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rived Shipments" sheetId="1" r:id="rId5"/>
    <sheet state="visible" name="Registration Tracking Sheet" sheetId="2" r:id="rId6"/>
    <sheet state="visible" name="POed not arrived" sheetId="3" r:id="rId7"/>
    <sheet state="visible" name="FDA Registration Priority" sheetId="4" r:id="rId8"/>
    <sheet state="hidden" name="Sheet1" sheetId="5" r:id="rId9"/>
    <sheet state="hidden" name="Dashboard" sheetId="6" r:id="rId10"/>
    <sheet state="hidden" name="Saud" sheetId="7" r:id="rId11"/>
    <sheet state="hidden" name="Purchase Order Summary" sheetId="8" r:id="rId12"/>
    <sheet state="visible" name="Purchase Order Summary V2" sheetId="9" r:id="rId13"/>
    <sheet state="visible" name="New Items Registered SAP" sheetId="10" r:id="rId14"/>
    <sheet state="visible" name="Sheet12" sheetId="11" r:id="rId15"/>
    <sheet state="visible" name="Sheet14" sheetId="12" r:id="rId16"/>
    <sheet state="visible" name="Sheet15" sheetId="13" r:id="rId17"/>
    <sheet state="hidden" name="Leaves" sheetId="14" r:id="rId18"/>
    <sheet state="hidden" name="For Supplier Event Agreements" sheetId="15" r:id="rId19"/>
  </sheets>
  <definedNames>
    <definedName hidden="1" localSheetId="0" name="_xlnm._FilterDatabase">'Arrived Shipments'!$A$1:$Y$423</definedName>
    <definedName hidden="1" localSheetId="1" name="_xlnm._FilterDatabase">'Registration Tracking Sheet'!$A$1:$I$1844</definedName>
    <definedName hidden="1" localSheetId="4" name="_xlnm._FilterDatabase">Sheet1!$A$1:$Z$989</definedName>
    <definedName hidden="1" localSheetId="7" name="_xlnm._FilterDatabase">'Purchase Order Summary'!$A$1:$S$306</definedName>
    <definedName hidden="1" localSheetId="8" name="_xlnm._FilterDatabase">'Purchase Order Summary V2'!$A$1:$AS$1070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tc={0bc447aa-bf7d-42c1-b7e3-36199aa0a0c2}</author>
  </authors>
  <commentList>
    <comment authorId="0" xr:uid="{0bc447aa-bf7d-42c1-b7e3-36199aa0a0c2}" ref="A1">
      <text>
        <t xml:space="preserve">[Threaded comment]
 Your version of Excel allows you to read this threaded comment; however, any edits to it will get removed if the file is opened in a newer version of Excel. Learn more: https://go.microsoft.com/fwlink/?linkid=870924
Comment:
	@m.mobarak@ppte.sa Please cross check it
</t>
      </text>
    </comment>
  </commentList>
</comments>
</file>

<file path=xl/sharedStrings.xml><?xml version="1.0" encoding="utf-8"?>
<sst xmlns="http://schemas.openxmlformats.org/spreadsheetml/2006/main" count="45583" uniqueCount="14819">
  <si>
    <t xml:space="preserve">  </t>
  </si>
  <si>
    <t>Order Number</t>
  </si>
  <si>
    <t>Containers</t>
  </si>
  <si>
    <t>Bayan</t>
  </si>
  <si>
    <t xml:space="preserve">Shipment </t>
  </si>
  <si>
    <t xml:space="preserve">Supplier </t>
  </si>
  <si>
    <t>External Email</t>
  </si>
  <si>
    <t>Internal Email</t>
  </si>
  <si>
    <t>Transfer File sent?</t>
  </si>
  <si>
    <t>Transfer Qty Dispatched?</t>
  </si>
  <si>
    <t xml:space="preserve">Landing Cost </t>
  </si>
  <si>
    <t xml:space="preserve">Arrived </t>
  </si>
  <si>
    <t xml:space="preserve">Received </t>
  </si>
  <si>
    <t>Announcement Number</t>
  </si>
  <si>
    <t>PO</t>
  </si>
  <si>
    <t>Invoice</t>
  </si>
  <si>
    <t>GRPO</t>
  </si>
  <si>
    <t>GRPO Date</t>
  </si>
  <si>
    <t>Days to be ready</t>
  </si>
  <si>
    <t>Sample Recieved ?</t>
  </si>
  <si>
    <t>Requested Date</t>
  </si>
  <si>
    <t>Recieved Date</t>
  </si>
  <si>
    <t xml:space="preserve">Prices updated in the system ? </t>
  </si>
  <si>
    <t>Remark</t>
  </si>
  <si>
    <t>Shipment Status</t>
  </si>
  <si>
    <t>JOSERA X9</t>
  </si>
  <si>
    <t>Josera</t>
  </si>
  <si>
    <t>Before DSV</t>
  </si>
  <si>
    <t>Done</t>
  </si>
  <si>
    <t>Yes</t>
  </si>
  <si>
    <t>0192023</t>
  </si>
  <si>
    <t>348 -&gt; 358</t>
  </si>
  <si>
    <t>389 -&gt; 399</t>
  </si>
  <si>
    <t>SMACC</t>
  </si>
  <si>
    <t>Not requested</t>
  </si>
  <si>
    <t>Closed</t>
  </si>
  <si>
    <t>KIT CAT - 400g</t>
  </si>
  <si>
    <t>Kit Cat</t>
  </si>
  <si>
    <t>Received</t>
  </si>
  <si>
    <t>LAROY - PUUR</t>
  </si>
  <si>
    <t>Laroy</t>
  </si>
  <si>
    <t>KIT CAT - KCIT230042B/2-C</t>
  </si>
  <si>
    <t>SCHESIR - 901104</t>
  </si>
  <si>
    <t xml:space="preserve">Schesir </t>
  </si>
  <si>
    <t>SCHESIR - 901105</t>
  </si>
  <si>
    <t>363-&gt;365</t>
  </si>
  <si>
    <t>408-&gt;410</t>
  </si>
  <si>
    <t>364-&gt;366</t>
  </si>
  <si>
    <t>INNER MONGOLIA</t>
  </si>
  <si>
    <t xml:space="preserve">Inner Mongolia </t>
  </si>
  <si>
    <t>366-&gt; 369</t>
  </si>
  <si>
    <t>411 &gt; 412</t>
  </si>
  <si>
    <t>367-&gt; 370</t>
  </si>
  <si>
    <t>KCIT230134 - Yogurt</t>
  </si>
  <si>
    <t>INABA</t>
  </si>
  <si>
    <t>374-375</t>
  </si>
  <si>
    <t>418-419</t>
  </si>
  <si>
    <t>375-376</t>
  </si>
  <si>
    <t>SANAL/NEDARMA</t>
  </si>
  <si>
    <t>Sanal</t>
  </si>
  <si>
    <t>Schesir -901280</t>
  </si>
  <si>
    <t xml:space="preserve">Moayad Pricing </t>
  </si>
  <si>
    <t>Schesir -901281</t>
  </si>
  <si>
    <t>Witte Molen Expert</t>
  </si>
  <si>
    <t>371 &gt; 373</t>
  </si>
  <si>
    <t>420 &gt; 422</t>
  </si>
  <si>
    <t>372 &gt; 374</t>
  </si>
  <si>
    <t>BUTCHERS</t>
  </si>
  <si>
    <t>Butchers</t>
  </si>
  <si>
    <t>376-377</t>
  </si>
  <si>
    <t>423 - 424</t>
  </si>
  <si>
    <t>377-378</t>
  </si>
  <si>
    <t>KIT CAT -Deboned 42A</t>
  </si>
  <si>
    <t>KIT CAT - Deboned 45</t>
  </si>
  <si>
    <t>Butcher's 
FS/23/10/0001/EX, FS/23/10/0002/EX</t>
  </si>
  <si>
    <t>386 - 387</t>
  </si>
  <si>
    <t>436 - 437</t>
  </si>
  <si>
    <t>387 - 388</t>
  </si>
  <si>
    <t xml:space="preserve">KIT CAT - Goat Milk </t>
  </si>
  <si>
    <t>KIT CAT - Gravy</t>
  </si>
  <si>
    <t>Applaws Cat Dry "4 Contenr</t>
  </si>
  <si>
    <t>Applaws</t>
  </si>
  <si>
    <t>378 &gt; 381</t>
  </si>
  <si>
    <t>427 &gt; 430</t>
  </si>
  <si>
    <t>379 &gt; 382</t>
  </si>
  <si>
    <t>Applaws Cat Dry "6 Contenr</t>
  </si>
  <si>
    <t>388 &lt; 393</t>
  </si>
  <si>
    <t>441 &gt; 446</t>
  </si>
  <si>
    <t>389 &lt; 394</t>
  </si>
  <si>
    <t>CATIDEA</t>
  </si>
  <si>
    <t>CatIdea</t>
  </si>
  <si>
    <t>My Family 8406</t>
  </si>
  <si>
    <t>MyFamily</t>
  </si>
  <si>
    <t>LAYROY  Expert 313+314+315</t>
  </si>
  <si>
    <t>131-133</t>
  </si>
  <si>
    <t>498-500</t>
  </si>
  <si>
    <t>127-129</t>
  </si>
  <si>
    <t>Kit Cat SoyaClump KCIT230322</t>
  </si>
  <si>
    <t>0012024</t>
  </si>
  <si>
    <t>VERSELE LAGA 2311826</t>
  </si>
  <si>
    <t>Versele Laga</t>
  </si>
  <si>
    <t>VERSELE LAGA  2311821 , 2311822</t>
  </si>
  <si>
    <t>20 , 21</t>
  </si>
  <si>
    <t>22 , 23</t>
  </si>
  <si>
    <t>LAVIOSA  2300000541</t>
  </si>
  <si>
    <t>Laviosa</t>
  </si>
  <si>
    <t>LAYROY  513 +765+ 766</t>
  </si>
  <si>
    <t>10 -&gt; 12</t>
  </si>
  <si>
    <t>3 -&gt; 5</t>
  </si>
  <si>
    <t>5 -&gt; 7</t>
  </si>
  <si>
    <t>LAVIOSA 2300000548 - 2300000563</t>
  </si>
  <si>
    <t>7 , 8</t>
  </si>
  <si>
    <t>13 , 14</t>
  </si>
  <si>
    <t>11 , 12</t>
  </si>
  <si>
    <t>Kit Cat Litter KCIT230034B</t>
  </si>
  <si>
    <t>Kit Cat Litter KCIT230034A</t>
  </si>
  <si>
    <t>KIt cat Gravy KCIT230310</t>
  </si>
  <si>
    <t>Deboned&amp;Gravy KCIT230314</t>
  </si>
  <si>
    <t>Deboned - KCIT230311</t>
  </si>
  <si>
    <t>Schesir - 900006</t>
  </si>
  <si>
    <t>Laviosa LAT2023000001848</t>
  </si>
  <si>
    <t>Selim 287+288+298</t>
  </si>
  <si>
    <t>Biosand</t>
  </si>
  <si>
    <t>13-14-15</t>
  </si>
  <si>
    <t>18-19-20</t>
  </si>
  <si>
    <t>17-18-19</t>
  </si>
  <si>
    <t>Schesir - 900004</t>
  </si>
  <si>
    <t xml:space="preserve">INABA INK202311030-004 </t>
  </si>
  <si>
    <t>KCIT230037B</t>
  </si>
  <si>
    <t>KCIT230037A</t>
  </si>
  <si>
    <t>Schesir - 900007</t>
  </si>
  <si>
    <t>Schesir - 900002</t>
  </si>
  <si>
    <t>Schesir - 900003</t>
  </si>
  <si>
    <t>Applaws Cat Dry "12Contenr</t>
  </si>
  <si>
    <t>32-43</t>
  </si>
  <si>
    <t>219-230</t>
  </si>
  <si>
    <t>34-45</t>
  </si>
  <si>
    <t>SANAL / 5240123</t>
  </si>
  <si>
    <t>Applaws Cat Dry "6Contenr</t>
  </si>
  <si>
    <t>48-53</t>
  </si>
  <si>
    <t>47-&gt;52</t>
  </si>
  <si>
    <t>49-&gt;54</t>
  </si>
  <si>
    <t>Princess litter166408-166409-166410</t>
  </si>
  <si>
    <t>Princess</t>
  </si>
  <si>
    <t>no need</t>
  </si>
  <si>
    <t>59-60-61</t>
  </si>
  <si>
    <t>57-58-59</t>
  </si>
  <si>
    <t>55-56-57</t>
  </si>
  <si>
    <t>-</t>
  </si>
  <si>
    <t>Butcher's 003 / 004</t>
  </si>
  <si>
    <t>done</t>
  </si>
  <si>
    <t>84-85</t>
  </si>
  <si>
    <t>51-52</t>
  </si>
  <si>
    <t>67-68</t>
  </si>
  <si>
    <t>Biosand 33,32</t>
  </si>
  <si>
    <t>71-72</t>
  </si>
  <si>
    <t>304-305</t>
  </si>
  <si>
    <t>59-60</t>
  </si>
  <si>
    <t xml:space="preserve">Kit Cat 2nd chance </t>
  </si>
  <si>
    <t>Josera Dry x7</t>
  </si>
  <si>
    <t>106-108&gt;113</t>
  </si>
  <si>
    <t>440-&gt;446</t>
  </si>
  <si>
    <t>105-&gt;111</t>
  </si>
  <si>
    <t>Lindocat - 2300000065</t>
  </si>
  <si>
    <t>Applaws Wet - 243693, 243694, 243695</t>
  </si>
  <si>
    <t>65-66-67</t>
  </si>
  <si>
    <t>93-94-95</t>
  </si>
  <si>
    <t>71-72-73</t>
  </si>
  <si>
    <t>Zolux Mats OC-3030</t>
  </si>
  <si>
    <t>Zolux</t>
  </si>
  <si>
    <t>N</t>
  </si>
  <si>
    <t>Arrived</t>
  </si>
  <si>
    <t>closed</t>
  </si>
  <si>
    <t>WM Expert x3 PPT-116</t>
  </si>
  <si>
    <t>62-63-64</t>
  </si>
  <si>
    <t xml:space="preserve">Not arrived yet, PO created,and other PO was created </t>
  </si>
  <si>
    <t>Butcher's - FS/23/12/0001/EX, FS/23/12/0002/EX</t>
  </si>
  <si>
    <t>To DSV</t>
  </si>
  <si>
    <t>115-116</t>
  </si>
  <si>
    <t>412-414</t>
  </si>
  <si>
    <t>114-115</t>
  </si>
  <si>
    <t>No Need</t>
  </si>
  <si>
    <t>Zolux Toys &amp; Accessories</t>
  </si>
  <si>
    <t>Not arrived yet, PO created</t>
  </si>
  <si>
    <t xml:space="preserve">Zolux Rodywood </t>
  </si>
  <si>
    <t>Applaws x11</t>
  </si>
  <si>
    <t>73-&gt; 83</t>
  </si>
  <si>
    <t>35-&gt;45</t>
  </si>
  <si>
    <t>74-75-76-78-79-80-81-82-83-85-103</t>
  </si>
  <si>
    <t>Schesir 900271</t>
  </si>
  <si>
    <t>Schesir 900272</t>
  </si>
  <si>
    <t>Schesir 900273</t>
  </si>
  <si>
    <t>Schesir 900274</t>
  </si>
  <si>
    <t>Dry &amp; KittyCrunch KCIT230323</t>
  </si>
  <si>
    <t>Zolux Poland Sticks</t>
  </si>
  <si>
    <t xml:space="preserve">Not arrived yet, PO created, Arrived , and other PO was created </t>
  </si>
  <si>
    <t>Josera 570264778, 570265037, 570265043</t>
  </si>
  <si>
    <t>117-118-119</t>
  </si>
  <si>
    <t>447-448-449</t>
  </si>
  <si>
    <t>116-117-118</t>
  </si>
  <si>
    <t>Schesir 900145, 900147</t>
  </si>
  <si>
    <t>194-195</t>
  </si>
  <si>
    <t>995-996</t>
  </si>
  <si>
    <t>206-207</t>
  </si>
  <si>
    <t>Applaws Ocean fish</t>
  </si>
  <si>
    <t>55-56-57-58</t>
  </si>
  <si>
    <t>Versele Laga 880549, 880552, 880556, 880561</t>
  </si>
  <si>
    <t>47-49</t>
  </si>
  <si>
    <t xml:space="preserve">Not arrived yet, PO created,  and other PO was created </t>
  </si>
  <si>
    <t>Zolux collar</t>
  </si>
  <si>
    <t>Schesir - 900338, 900339</t>
  </si>
  <si>
    <t>Non</t>
  </si>
  <si>
    <t>120-121</t>
  </si>
  <si>
    <t>450-451</t>
  </si>
  <si>
    <t>112-113</t>
  </si>
  <si>
    <t>KItcat 400g KCIT230315</t>
  </si>
  <si>
    <t>Kitcat Puree - KCIT220345B</t>
  </si>
  <si>
    <t>Appaws x12</t>
  </si>
  <si>
    <t>93-94-95-96-97-98-99-100-101-103-104-105</t>
  </si>
  <si>
    <t>76-&gt;81</t>
  </si>
  <si>
    <t>86-&gt;97</t>
  </si>
  <si>
    <t>Dr.Clauder 52337205, 52337206, 52337334</t>
  </si>
  <si>
    <t>Dr.Clauder</t>
  </si>
  <si>
    <t>196-197-198</t>
  </si>
  <si>
    <t>1005-1008-1006</t>
  </si>
  <si>
    <t>202-204</t>
  </si>
  <si>
    <t>Josera 570266397, 570266402, 570266405, 570266518</t>
  </si>
  <si>
    <t>122-&gt;125</t>
  </si>
  <si>
    <t>489-&gt;492</t>
  </si>
  <si>
    <t>119-&gt;122</t>
  </si>
  <si>
    <t xml:space="preserve">Josera Dry 570265885, 570265889, 570265891, 570265893
</t>
  </si>
  <si>
    <t>126-&gt;129</t>
  </si>
  <si>
    <t>494-&gt;497</t>
  </si>
  <si>
    <t>123-&gt;126</t>
  </si>
  <si>
    <t>Versele laga 15006838</t>
  </si>
  <si>
    <t>Requested</t>
  </si>
  <si>
    <t>Josera 570268172, 570268179, 570268187, 570268198</t>
  </si>
  <si>
    <t>134-&gt;137</t>
  </si>
  <si>
    <t>502-&gt;505</t>
  </si>
  <si>
    <t>131-&gt;134</t>
  </si>
  <si>
    <t>Expert 2403313, 2403315, 2403314</t>
  </si>
  <si>
    <t>No need</t>
  </si>
  <si>
    <t>131-132-133</t>
  </si>
  <si>
    <t>498-499-500</t>
  </si>
  <si>
    <t>127-128-129</t>
  </si>
  <si>
    <t>WM Cardboards - 22418071</t>
  </si>
  <si>
    <t>Not announced</t>
  </si>
  <si>
    <t>WM Expert - 22416655, 22416656, 22416667, 22416668</t>
  </si>
  <si>
    <t>138-&gt;141</t>
  </si>
  <si>
    <t>506-&gt;509</t>
  </si>
  <si>
    <t>135-&gt;138</t>
  </si>
  <si>
    <t>Lindocat - LVS2024000000038</t>
  </si>
  <si>
    <t>To AJEX</t>
  </si>
  <si>
    <t>148-149</t>
  </si>
  <si>
    <t>16of24 container received at AJEX first one received on 2May</t>
  </si>
  <si>
    <t>Lindocat - LAT2024000000686</t>
  </si>
  <si>
    <t>146-147</t>
  </si>
  <si>
    <t>11of15 container received at AJEX first one received on 4May</t>
  </si>
  <si>
    <t>Beaphar 90003827</t>
  </si>
  <si>
    <t>Beaphar</t>
  </si>
  <si>
    <t>Butcher's FS/24/01/0002/EX, FS/24/01/0003/EX, FS/24/01/0004/EX</t>
  </si>
  <si>
    <t>187-188-189</t>
  </si>
  <si>
    <t>898-899-900</t>
  </si>
  <si>
    <t>189-190-191</t>
  </si>
  <si>
    <t>Applaws Wet - 246489</t>
  </si>
  <si>
    <t>BAB'IN - FA2410192</t>
  </si>
  <si>
    <t>Codico</t>
  </si>
  <si>
    <t>Felyn Go - SC24122000401Z01</t>
  </si>
  <si>
    <t>14of14 container received at AJEX first one received on 8May</t>
  </si>
  <si>
    <t>Felyn Go - SC24122000401Z02</t>
  </si>
  <si>
    <t>14of14 container received at AJEX first one received on 15May</t>
  </si>
  <si>
    <t>Josera x2 - 570268792, 570268791</t>
  </si>
  <si>
    <t>514-515</t>
  </si>
  <si>
    <t>140-141</t>
  </si>
  <si>
    <t>WM Expert - 2403745, 2403746, 2403747</t>
  </si>
  <si>
    <t>148-149-150</t>
  </si>
  <si>
    <t>516-517-518</t>
  </si>
  <si>
    <t>150-151-152</t>
  </si>
  <si>
    <t>Applaws Dry x7</t>
  </si>
  <si>
    <t>152-&gt;158</t>
  </si>
  <si>
    <t>568-&gt;574</t>
  </si>
  <si>
    <t>153-&gt;159</t>
  </si>
  <si>
    <t>Butcher's FS/24/02/0003/EX, FS/24/02/0004/EX, FS/24/02/0005/EX</t>
  </si>
  <si>
    <t>184-185-186</t>
  </si>
  <si>
    <t>901-902-903</t>
  </si>
  <si>
    <t>192-193-194</t>
  </si>
  <si>
    <t>Applaws Dry x17</t>
  </si>
  <si>
    <t>165-&gt;181</t>
  </si>
  <si>
    <t>795-&gt;811</t>
  </si>
  <si>
    <t>167-&gt;183</t>
  </si>
  <si>
    <t>Dr.Clauder - 52430487, 52430489</t>
  </si>
  <si>
    <t>200-201</t>
  </si>
  <si>
    <t>1002-1003</t>
  </si>
  <si>
    <t>198-199</t>
  </si>
  <si>
    <t>WM Expert - 22419783, 22419784</t>
  </si>
  <si>
    <t>182-183</t>
  </si>
  <si>
    <t>881-882</t>
  </si>
  <si>
    <t>186-187</t>
  </si>
  <si>
    <t>Updated on Landing cost but not ubdated on system</t>
  </si>
  <si>
    <t>BioSand - 94,95,97,98,99</t>
  </si>
  <si>
    <t>160-&gt;164</t>
  </si>
  <si>
    <t>700-&gt;704</t>
  </si>
  <si>
    <t>162-&gt;166</t>
  </si>
  <si>
    <t>One new item is not announced yet</t>
  </si>
  <si>
    <t>Zolux Mats - 1004893</t>
  </si>
  <si>
    <t>Sanal - 5240325</t>
  </si>
  <si>
    <t>Kitcat 400g - KCIT230390</t>
  </si>
  <si>
    <t>Garden Bites - 22420807</t>
  </si>
  <si>
    <t>Wrong currency in system, Must be solved with Finance team</t>
  </si>
  <si>
    <t>Zolux Snacks - 1007892</t>
  </si>
  <si>
    <t>INABA INK202403030-001 x2</t>
  </si>
  <si>
    <t>Solid Gold IV-UK-00168200</t>
  </si>
  <si>
    <t>HEALTH &amp; HAPPINESS</t>
  </si>
  <si>
    <t>Bab'in - FA2411327, FA2411328</t>
  </si>
  <si>
    <t>231-232</t>
  </si>
  <si>
    <t>1175-1176</t>
  </si>
  <si>
    <t>236-237</t>
  </si>
  <si>
    <t>Dubex - TVI2024000000070</t>
  </si>
  <si>
    <t>Dubex</t>
  </si>
  <si>
    <t>Sanal - 5240369</t>
  </si>
  <si>
    <t>Schesir - 900647</t>
  </si>
  <si>
    <t>Kitcat 70&amp;80g - KCIT230313</t>
  </si>
  <si>
    <t>Felyn Go 10&amp;20L - LAT2024000001457</t>
  </si>
  <si>
    <t>Bab'in - FA2412679, FA2413095</t>
  </si>
  <si>
    <t>1178-1179</t>
  </si>
  <si>
    <t>234-235</t>
  </si>
  <si>
    <t>Zolux Sticks - 1011747</t>
  </si>
  <si>
    <t>Kit cat Deboned - KCIT230312</t>
  </si>
  <si>
    <t xml:space="preserve">Prince &amp; Princess 169034 </t>
  </si>
  <si>
    <t>Butcher's FS/24/03/0002/EX, 0003/EX, 0004/EX</t>
  </si>
  <si>
    <t>208-209-210</t>
  </si>
  <si>
    <t>1103-1104-1105</t>
  </si>
  <si>
    <t>220-221-222</t>
  </si>
  <si>
    <t xml:space="preserve"> Dubex TVI2024000000045</t>
  </si>
  <si>
    <t>yes</t>
  </si>
  <si>
    <t>I Love Happy Cats (Toys) - 22427634, 22428360</t>
  </si>
  <si>
    <t>279-280</t>
  </si>
  <si>
    <t>1563-1566</t>
  </si>
  <si>
    <t>270-271</t>
  </si>
  <si>
    <t>31-7-24</t>
  </si>
  <si>
    <t>I Love Happy Cats (Bowls) - 22425479</t>
  </si>
  <si>
    <t>Josi in Sauce 570280013</t>
  </si>
  <si>
    <t>Versele Laga 59058, 59059, 59060, 59061 -</t>
  </si>
  <si>
    <t>215-216-217-218</t>
  </si>
  <si>
    <t>1111-1112-1113-1114</t>
  </si>
  <si>
    <t>230-231-232-238</t>
  </si>
  <si>
    <t>28-7-24</t>
  </si>
  <si>
    <t>KCIT240067 10L</t>
  </si>
  <si>
    <t>22-7-24</t>
  </si>
  <si>
    <t>MPS-433 432</t>
  </si>
  <si>
    <t>MPS</t>
  </si>
  <si>
    <t>213-214</t>
  </si>
  <si>
    <t>1107-1108</t>
  </si>
  <si>
    <t>240-251</t>
  </si>
  <si>
    <t>30-7-24</t>
  </si>
  <si>
    <t xml:space="preserve"> kit cat 80g - KCIT230391 </t>
  </si>
  <si>
    <t>Yogurt - KCIT230403</t>
  </si>
  <si>
    <t>Witte Molen Expert 22430377, 22430401, 22430372</t>
  </si>
  <si>
    <t>221-222-223</t>
  </si>
  <si>
    <t>1142-1143-1144</t>
  </si>
  <si>
    <t>216-217-218</t>
  </si>
  <si>
    <t>JOSERA-570278103, 570278109, 570278275, 570278277, 570278502, 570278513</t>
  </si>
  <si>
    <t>224-&gt;229</t>
  </si>
  <si>
    <t>1145-&gt;1150</t>
  </si>
  <si>
    <t>223-&gt;228</t>
  </si>
  <si>
    <t>JOSERA-570278953, 570278955, 570279053, 570279055, 570279236</t>
  </si>
  <si>
    <t>238 &gt; 242</t>
  </si>
  <si>
    <t>226-228 &gt;231</t>
  </si>
  <si>
    <t>245-&gt;249</t>
  </si>
  <si>
    <t>Schesir 900935</t>
  </si>
  <si>
    <t>Kit Cat Mousse &amp; Goat Milk KCIT230392</t>
  </si>
  <si>
    <t>Kit Cat 400g KCIT230390A</t>
  </si>
  <si>
    <t>Kit Cat Petite Pouch KCIT230328</t>
  </si>
  <si>
    <t>Josera x5 570279590, 570279591, 570279767, 570279769, 570279908</t>
  </si>
  <si>
    <t>247 &gt; 251</t>
  </si>
  <si>
    <t>1233-&gt;1237</t>
  </si>
  <si>
    <t>240-&gt;244</t>
  </si>
  <si>
    <t>Yow Up FI24/22</t>
  </si>
  <si>
    <t>Dairy Pet</t>
  </si>
  <si>
    <t>15-8-24</t>
  </si>
  <si>
    <t>SCHESIR 900938, 900942</t>
  </si>
  <si>
    <t>252-253</t>
  </si>
  <si>
    <t>1305-1306</t>
  </si>
  <si>
    <t>256-257</t>
  </si>
  <si>
    <t xml:space="preserve"> Kitcat liter 20kg KCIT240066 </t>
  </si>
  <si>
    <t>Laroy 22436888 Toilet</t>
  </si>
  <si>
    <t>Zupreem -90540404</t>
  </si>
  <si>
    <t>zupreem</t>
  </si>
  <si>
    <t>Zolux 1018168</t>
  </si>
  <si>
    <t>28-8-24</t>
  </si>
  <si>
    <t>VERSELE LAGA 15007485</t>
  </si>
  <si>
    <t>18-8-24</t>
  </si>
  <si>
    <t>25-8-24</t>
  </si>
  <si>
    <t>I Love Happy Cats (Hammocks &amp; more) 22435480, 22435481</t>
  </si>
  <si>
    <t>323 -324</t>
  </si>
  <si>
    <t>1784-1785</t>
  </si>
  <si>
    <t>327-328</t>
  </si>
  <si>
    <t>SCHESIR--901163, 901164, 901165</t>
  </si>
  <si>
    <t>259-260-261</t>
  </si>
  <si>
    <t>1579-1580-1581</t>
  </si>
  <si>
    <t>280-281-282</t>
  </si>
  <si>
    <t>Applaws Wet 246530, 246537</t>
  </si>
  <si>
    <t>262-263</t>
  </si>
  <si>
    <t>1561-1562</t>
  </si>
  <si>
    <t>278-279</t>
  </si>
  <si>
    <t>SCHESIR- 901050, 901051, 901052</t>
  </si>
  <si>
    <t>265-266-267</t>
  </si>
  <si>
    <t>1582-1583-1584</t>
  </si>
  <si>
    <t>283-284-285</t>
  </si>
  <si>
    <t>Applaws Wet : 246531</t>
  </si>
  <si>
    <t>26-8-24</t>
  </si>
  <si>
    <t xml:space="preserve">MPS 563 </t>
  </si>
  <si>
    <t>MPB x3 316A 318A 319A</t>
  </si>
  <si>
    <t>MPB</t>
  </si>
  <si>
    <t>346-347-348</t>
  </si>
  <si>
    <t>1980-1983-1984</t>
  </si>
  <si>
    <t>344-345-346</t>
  </si>
  <si>
    <t>MyFamily - 10917, 3950, 3956, F80/0000042</t>
  </si>
  <si>
    <t>293-294-295</t>
  </si>
  <si>
    <t>1758-1761-1763</t>
  </si>
  <si>
    <t>304-305-306</t>
  </si>
  <si>
    <t xml:space="preserve">Biosand x5  153, 154, 167, 168, 169 </t>
  </si>
  <si>
    <t>268-&gt;272</t>
  </si>
  <si>
    <t>1524-&gt;1528</t>
  </si>
  <si>
    <t>272&gt;276</t>
  </si>
  <si>
    <t>Kitcat SoyaClump KCIT240119</t>
  </si>
  <si>
    <t xml:space="preserve">WM Expert 2404082, 2404083 x2 </t>
  </si>
  <si>
    <t>274-275</t>
  </si>
  <si>
    <t>1545-1546</t>
  </si>
  <si>
    <t>267-268</t>
  </si>
  <si>
    <t>ZOULX RODYWOOD NATURE LITTER 16L, 35L, 60L</t>
  </si>
  <si>
    <t>FORZA --37/EXUE, 47/EXUE, 67/EXUE</t>
  </si>
  <si>
    <t>Nasta</t>
  </si>
  <si>
    <t>31/08</t>
  </si>
  <si>
    <t>287-288-289</t>
  </si>
  <si>
    <t>1681-1682-1683</t>
  </si>
  <si>
    <t>MPS 657, 658</t>
  </si>
  <si>
    <t>349-350</t>
  </si>
  <si>
    <t>1978-1979</t>
  </si>
  <si>
    <t>362-363</t>
  </si>
  <si>
    <t>Dr Clauder 52432020</t>
  </si>
  <si>
    <t>Butcher's FS/24/04/0001/EX, 0002/EX &amp; FS/24/05/0001/EX, 0002/EX x3</t>
  </si>
  <si>
    <t>283-&gt;286</t>
  </si>
  <si>
    <t>1753-1756</t>
  </si>
  <si>
    <t>294-296</t>
  </si>
  <si>
    <t>Applaws Wet 246532, 246534</t>
  </si>
  <si>
    <t>291-292</t>
  </si>
  <si>
    <t>1734-1735</t>
  </si>
  <si>
    <t>292-293</t>
  </si>
  <si>
    <t>Lindocat 2300000389, 2300000390</t>
  </si>
  <si>
    <t>302-303</t>
  </si>
  <si>
    <t>1790-1791</t>
  </si>
  <si>
    <t>309-310</t>
  </si>
  <si>
    <t xml:space="preserve">Kit Cat Yogurt Yums KCIT240098 </t>
  </si>
  <si>
    <t>MPS 701</t>
  </si>
  <si>
    <t>Solid Gold x3 IV-UK-00172081</t>
  </si>
  <si>
    <t>PPTCO WH</t>
  </si>
  <si>
    <t>Zolux Bones 1031178</t>
  </si>
  <si>
    <t>Zolux Collars 1026476</t>
  </si>
  <si>
    <t>Applaws Dry x6 246398, 246470, 246461, 246467, 246462, 246463</t>
  </si>
  <si>
    <t>296 -&gt; 301</t>
  </si>
  <si>
    <t>1764-1769</t>
  </si>
  <si>
    <t>298-303</t>
  </si>
  <si>
    <t>Stefanplast x2 301352, 301364</t>
  </si>
  <si>
    <t>Stefanplast</t>
  </si>
  <si>
    <t>306-307</t>
  </si>
  <si>
    <t>1793-1794</t>
  </si>
  <si>
    <t>355-356</t>
  </si>
  <si>
    <t>WM 22446777, 22446778, 22446783</t>
  </si>
  <si>
    <t>352-353-354</t>
  </si>
  <si>
    <t>1985-1986-1987</t>
  </si>
  <si>
    <t>359-360-361</t>
  </si>
  <si>
    <t>PURINA 1310-1311</t>
  </si>
  <si>
    <t>Nestle</t>
  </si>
  <si>
    <t>341-342</t>
  </si>
  <si>
    <t>1917-1918</t>
  </si>
  <si>
    <t>334-335</t>
  </si>
  <si>
    <t>Zupreem -90549217</t>
  </si>
  <si>
    <t>Zupreem 90549213</t>
  </si>
  <si>
    <t>Princess Litter 170195, 170196, 170197 x3 - PL</t>
  </si>
  <si>
    <t>310-311-312</t>
  </si>
  <si>
    <t>1781-1782-1783</t>
  </si>
  <si>
    <t>Lindocat -LAT2024000002703, 04, 05, 06, 07</t>
  </si>
  <si>
    <t>313-&gt;317</t>
  </si>
  <si>
    <t>1776-&gt;1780</t>
  </si>
  <si>
    <t>312-313-338-&gt;340</t>
  </si>
  <si>
    <t>LAVIOSA -LAT2024000002576, 577, 578, 579, 580</t>
  </si>
  <si>
    <t>318-&gt;322</t>
  </si>
  <si>
    <t>1771-&gt;1775</t>
  </si>
  <si>
    <t>314-&gt;318</t>
  </si>
  <si>
    <t xml:space="preserve">BUTCHERS-FS/24/07/0001/EX..06/0002/EX...06/0003/EX
</t>
  </si>
  <si>
    <t>325-326-327</t>
  </si>
  <si>
    <t>1787-1788-1789</t>
  </si>
  <si>
    <t>341-342-343</t>
  </si>
  <si>
    <t>PURINA 1308-1309</t>
  </si>
  <si>
    <t>343-344</t>
  </si>
  <si>
    <t>1919-1920</t>
  </si>
  <si>
    <t>336-337</t>
  </si>
  <si>
    <t>Laroy Country -2404389</t>
  </si>
  <si>
    <t>H&amp;H-ZP01854087</t>
  </si>
  <si>
    <t>BEAPHAR-90005180</t>
  </si>
  <si>
    <t>INABA INK202408030-002</t>
  </si>
  <si>
    <t>329 - 339</t>
  </si>
  <si>
    <t>1828 - 1831</t>
  </si>
  <si>
    <t>322-323</t>
  </si>
  <si>
    <t>LAVIOSA-LAT2024000002933/ 34/ 35/ 36/ 37</t>
  </si>
  <si>
    <t>331-&gt;335</t>
  </si>
  <si>
    <t>1952-&gt;1956</t>
  </si>
  <si>
    <t>347-&gt;351</t>
  </si>
  <si>
    <t>KITCAT - KCIT240097</t>
  </si>
  <si>
    <t>Kitcat 400g x3 - KCIT240121A</t>
  </si>
  <si>
    <t>TCNU3010965</t>
  </si>
  <si>
    <t>Josera Cans  570291168</t>
  </si>
  <si>
    <t>MPS 838</t>
  </si>
  <si>
    <t>Lindocat x5 LAT2024000003173, LAT2024000003174, LAT2024000003175, LAT2024000003176, LAT2024000003177</t>
  </si>
  <si>
    <t>357-&gt;361</t>
  </si>
  <si>
    <t>2080-&gt;2084</t>
  </si>
  <si>
    <t>371-&gt;375</t>
  </si>
  <si>
    <t xml:space="preserve">Lindocat x5 LAT2024000003258, LAT2024000003259, LAT2024000003260, LAT2024000003261, LAT2024000003263 </t>
  </si>
  <si>
    <t>362-&gt;366</t>
  </si>
  <si>
    <t>2073-&gt;2077</t>
  </si>
  <si>
    <t>365-&gt;369</t>
  </si>
  <si>
    <t>TCKU7306230
MSKU0179334
MSKU1804333
TRHU4438951
MRSU6554921
SUDU8512430
MRKU4582813</t>
  </si>
  <si>
    <t>Josera Dry x7 570290465, 570290466, 570290570, 570290731, 570290736, 570290871, 570290875</t>
  </si>
  <si>
    <t>369-&gt;375</t>
  </si>
  <si>
    <t>2141-&gt;2147</t>
  </si>
  <si>
    <t>378-&gt;384</t>
  </si>
  <si>
    <t xml:space="preserve">Kitcat KCIT240151 Milk Replacer - 7 Pallets </t>
  </si>
  <si>
    <t xml:space="preserve">Dr.Clauder 52432783, 52432781 Dry &amp; Snacks </t>
  </si>
  <si>
    <t>378-379</t>
  </si>
  <si>
    <t>2208-2209</t>
  </si>
  <si>
    <t>387-388</t>
  </si>
  <si>
    <t>BSIU3208850</t>
  </si>
  <si>
    <t xml:space="preserve">Applaws Wet 250447 </t>
  </si>
  <si>
    <t>HLXU5360634</t>
  </si>
  <si>
    <t>MARK &amp; CHAPPELL- FL/24/1896</t>
  </si>
  <si>
    <t>Mark&amp;Chappell</t>
  </si>
  <si>
    <t>FFAU5912760</t>
  </si>
  <si>
    <t>KitCat Dry KCIT240189</t>
  </si>
  <si>
    <t xml:space="preserve">MSCU4377745 
CARU5733360 
TCLU4466510 </t>
  </si>
  <si>
    <t>KitCat 400g KCIT240121B</t>
  </si>
  <si>
    <t>MRSU3941681
MRKU3116791
MRKU2876450
MSKU9811350
MSKU1585889
MRKU4613832
MRKU4827264</t>
  </si>
  <si>
    <t>Josera Dry 570291169, 570291318, 570291406, 570291414, 570291560, 570291563, 570291053 x7</t>
  </si>
  <si>
    <t>383-&gt;389</t>
  </si>
  <si>
    <t>2260-&gt;2266</t>
  </si>
  <si>
    <t>390-&gt;396</t>
  </si>
  <si>
    <t>CLNU3034336
CLNU3021771
CLNU3069841
CLNU3071957
CLNU3020923</t>
  </si>
  <si>
    <t>Lindocat x5 LAT2024000003571, LAT2024000003572, LAT2024000003573, LAT2024000003574, LAT2024000003575</t>
  </si>
  <si>
    <t>390-&gt;394</t>
  </si>
  <si>
    <t>2268-&gt;2272</t>
  </si>
  <si>
    <t>397-&gt;401</t>
  </si>
  <si>
    <t>MEDU8654459
CAIU7242353
TGHU6090797</t>
  </si>
  <si>
    <t>Butcher's FS/24/09/0001/EX, FS/24/09/0002/EX, FS/24/09/0003/EX x3</t>
  </si>
  <si>
    <t>395-396-397</t>
  </si>
  <si>
    <t>2276-2277-2280</t>
  </si>
  <si>
    <t>404-405-406</t>
  </si>
  <si>
    <t xml:space="preserve">FANU3524559
FDCU0179452
HAMU1773015
HLBU1308055
SEKU6315518 </t>
  </si>
  <si>
    <t>Applaws Dry 246399, 246400 , 246401, 250992, 250993 x5</t>
  </si>
  <si>
    <t>25-&gt;29</t>
  </si>
  <si>
    <t>113-&gt;117</t>
  </si>
  <si>
    <t>26&gt;30</t>
  </si>
  <si>
    <t>ESDU1205809
ESDU2245133
ESDU1343789
ESDU1344213</t>
  </si>
  <si>
    <t>Felyn Go 20kg SC2409160402RZ2 x4</t>
  </si>
  <si>
    <t>24/12/2024 | 02/01/2025</t>
  </si>
  <si>
    <t>MSNU1954132
GAOU2470956
TRLU8777843
TRHU1272229</t>
  </si>
  <si>
    <t>Felyn Go 10L SC2409160402RZ1 x4</t>
  </si>
  <si>
    <t>GAOU7187208</t>
  </si>
  <si>
    <t xml:space="preserve">Josera Dry 570293422 </t>
  </si>
  <si>
    <t>TGHU1687877</t>
  </si>
  <si>
    <t>Kitcat Wipes KCIT240120</t>
  </si>
  <si>
    <t xml:space="preserve">MRSU6003770
TCNU2526330
 </t>
  </si>
  <si>
    <t>Josera 570294809, 570294823 x2</t>
  </si>
  <si>
    <t>1,2</t>
  </si>
  <si>
    <t>20,21</t>
  </si>
  <si>
    <t>3,4</t>
  </si>
  <si>
    <t>SLVU6014692
BURU6613769
HPCU4889294</t>
  </si>
  <si>
    <t xml:space="preserve">Lindocat probiotic x3 LAT2024000003863, LAT2024000003864,LAT2024000003865 </t>
  </si>
  <si>
    <t>3,4,5</t>
  </si>
  <si>
    <t>22,23,24</t>
  </si>
  <si>
    <t>5,6,7</t>
  </si>
  <si>
    <t>ESDU2235541
TEMU7723162</t>
  </si>
  <si>
    <t xml:space="preserve">Applaws Wet x2 250449, 250450 </t>
  </si>
  <si>
    <t>6,7</t>
  </si>
  <si>
    <t>29,30</t>
  </si>
  <si>
    <t>8,9</t>
  </si>
  <si>
    <t>CMAU6591287</t>
  </si>
  <si>
    <t>Applaws Wet &amp; Treats 251578</t>
  </si>
  <si>
    <t>Sanal Doypack 5250049</t>
  </si>
  <si>
    <t xml:space="preserve">MRSU5966673
MRSU3653068
TCKU6404171
MRSU6299718
</t>
  </si>
  <si>
    <t>Josera x4 570295017, 570295031, 570295163, 570295169</t>
  </si>
  <si>
    <t>8-&gt;11</t>
  </si>
  <si>
    <t>34-&gt;37</t>
  </si>
  <si>
    <t>10-&gt;13</t>
  </si>
  <si>
    <t>EMCU8786486
TRHU5235368
TXGU 5705136</t>
  </si>
  <si>
    <t>INABA INK202411030-003 x3</t>
  </si>
  <si>
    <t>30-31-32</t>
  </si>
  <si>
    <t>120-121-123</t>
  </si>
  <si>
    <t>33-34-35</t>
  </si>
  <si>
    <t>CAAU7693610
CAAU7693966
CAAU7694031</t>
  </si>
  <si>
    <t xml:space="preserve">Kitcat 400g KCIT240121C </t>
  </si>
  <si>
    <t>KOCU4852233
TXGU8525837</t>
  </si>
  <si>
    <t>Appalws Wet 250451, 240452 x2</t>
  </si>
  <si>
    <t>34,44</t>
  </si>
  <si>
    <t>162-165-166</t>
  </si>
  <si>
    <t>46-47-48</t>
  </si>
  <si>
    <t>SEKU4612409
GCXU5742535
MRSU5423362
CAAU8378336
MRSU6049792</t>
  </si>
  <si>
    <t>Josera Dry x5 570295623, 570295823, 570295799, 570295636, 570295481</t>
  </si>
  <si>
    <t>12-&gt;16</t>
  </si>
  <si>
    <t>82-&gt;86</t>
  </si>
  <si>
    <t>15&gt;18 . 32</t>
  </si>
  <si>
    <t>HDMU2834262</t>
  </si>
  <si>
    <t>Kitcat SoyaClump SOKC000390</t>
  </si>
  <si>
    <t xml:space="preserve">BSIU9864639 
FANU3788470 
HAMU2028995 
</t>
  </si>
  <si>
    <t>Applaws Dry x3 250990, 250991, 250994</t>
  </si>
  <si>
    <t>35-36-37</t>
  </si>
  <si>
    <t>126-127-128</t>
  </si>
  <si>
    <t>36-37-38</t>
  </si>
  <si>
    <t>AMPU8002765
CAIU4240969
REGU5083177</t>
  </si>
  <si>
    <t>Kitcat 400g x3 KCIT240121D</t>
  </si>
  <si>
    <t xml:space="preserve">HLBU2514826
UACU5582848
TCLU8060880
UETU6397371
GAOU6484109 </t>
  </si>
  <si>
    <t>Biosand x5 304, 305, 309, 308, 307</t>
  </si>
  <si>
    <t>20-&gt;24</t>
  </si>
  <si>
    <t>97-&gt;101</t>
  </si>
  <si>
    <t>19-&gt;23</t>
  </si>
  <si>
    <t>MSKU1683205
MSKU5690157
MRKU2080333
TCLU5699603</t>
  </si>
  <si>
    <t xml:space="preserve">Josera Dry x4 570297595, 570297596, 570297088, 570297104, 570296960 </t>
  </si>
  <si>
    <t>38-&gt;42</t>
  </si>
  <si>
    <t>155&gt;159</t>
  </si>
  <si>
    <t>41&gt;45</t>
  </si>
  <si>
    <t>SGCU7431820</t>
  </si>
  <si>
    <t xml:space="preserve">Zolux Beds 1064230 </t>
  </si>
  <si>
    <t xml:space="preserve">MRKU0919824
MRKU0889205
</t>
  </si>
  <si>
    <t xml:space="preserve">Zolux Cat Trees &amp; Scratching Poles x2 1065071, 1065074 </t>
  </si>
  <si>
    <t>46,47</t>
  </si>
  <si>
    <t>211-212</t>
  </si>
  <si>
    <t>TCKU1070580</t>
  </si>
  <si>
    <t>Compana 76215</t>
  </si>
  <si>
    <t>Compana</t>
  </si>
  <si>
    <t>MSDU8548921</t>
  </si>
  <si>
    <t>16743-</t>
  </si>
  <si>
    <t>Zolux Snacks 1065068</t>
  </si>
  <si>
    <t xml:space="preserve">MRSU5608828
CAAU6387175
TRHU4056809
</t>
  </si>
  <si>
    <t xml:space="preserve">Josera Dry x3 570297223, 570297362, 570297576 </t>
  </si>
  <si>
    <t>49-50-51</t>
  </si>
  <si>
    <t>224-225-226</t>
  </si>
  <si>
    <t>54-55-56</t>
  </si>
  <si>
    <t>TCLU5638444
MRKU2329220
MRSU4833151</t>
  </si>
  <si>
    <t>Versele Laga Prestige x3 2500131, 2500130, 2500129</t>
  </si>
  <si>
    <t>53-54-55</t>
  </si>
  <si>
    <t>264-265-266</t>
  </si>
  <si>
    <t>58-59-60</t>
  </si>
  <si>
    <t xml:space="preserve">TXGU5322184
MSNU7746440
</t>
  </si>
  <si>
    <t>Sanal 5250083 x2</t>
  </si>
  <si>
    <t>sanal</t>
  </si>
  <si>
    <t xml:space="preserve">MRSU4670901 </t>
  </si>
  <si>
    <t>Beaphar 90006054</t>
  </si>
  <si>
    <t>MSDU5092870
TLLU5158850</t>
  </si>
  <si>
    <t xml:space="preserve">Butcher's x2 FS/24/12/0001/EX, FS/24/11/0002/EX, FS/24/11/0003/EX </t>
  </si>
  <si>
    <t>292-293-294</t>
  </si>
  <si>
    <t>67-68-69</t>
  </si>
  <si>
    <t xml:space="preserve">EISU9140235 </t>
  </si>
  <si>
    <t>Bio Pet Active PPTE260224 x1</t>
  </si>
  <si>
    <t>BioPet</t>
  </si>
  <si>
    <t>ShipGo</t>
  </si>
  <si>
    <t>TLLU2578761</t>
  </si>
  <si>
    <t>Wellness CD99010924 x1</t>
  </si>
  <si>
    <t>Wellpet</t>
  </si>
  <si>
    <t>Wellness CD99010923 x1</t>
  </si>
  <si>
    <t>CAIU9317003
CHSU8034451
TRKU4466419</t>
  </si>
  <si>
    <t>Solid Gold SO-UK-24070318, SO-UK-24100443 x3</t>
  </si>
  <si>
    <t>61-62</t>
  </si>
  <si>
    <t>295-296</t>
  </si>
  <si>
    <t>65-66</t>
  </si>
  <si>
    <t>HDMU2740482</t>
  </si>
  <si>
    <t>Kitcat Supplements x1 SOKC000365</t>
  </si>
  <si>
    <t>FFAU3833786
MSDU7269310</t>
  </si>
  <si>
    <t xml:space="preserve">Butcher's x2 FS/24/10/0003/EX, 10/0004/EX </t>
  </si>
  <si>
    <t>64-65</t>
  </si>
  <si>
    <t>290-291</t>
  </si>
  <si>
    <t>70-71</t>
  </si>
  <si>
    <t>EGSU1321090</t>
  </si>
  <si>
    <t>Dr.Clauder's 52434131 x1</t>
  </si>
  <si>
    <t>StarLinks Riyadh</t>
  </si>
  <si>
    <t>TCKU6798877
MRKU6030114
MSKU1268673
MRSU5557232</t>
  </si>
  <si>
    <t>Versele Laga Prestige x4 2500228, 2500231, 2500229, 2500230</t>
  </si>
  <si>
    <t>70-&gt;73</t>
  </si>
  <si>
    <t>431-&gt;434</t>
  </si>
  <si>
    <t>103&gt;106</t>
  </si>
  <si>
    <t>KOCU2008460</t>
  </si>
  <si>
    <t>Kit Cat SOKC000415 Crystal Litter 5L</t>
  </si>
  <si>
    <t>SUDU7701505
TRHU7941276
MSKU0824314
CAAU5316900
GCXU5767718
MRSU3901708</t>
  </si>
  <si>
    <t>Wellness CD99010870, CD99010858, CD99010859, CD99010860, CD99010868, CD99010869 - PL</t>
  </si>
  <si>
    <t>0022025</t>
  </si>
  <si>
    <t>111-&gt;116</t>
  </si>
  <si>
    <t>455&lt;460</t>
  </si>
  <si>
    <t>126&lt;131</t>
  </si>
  <si>
    <t>TEMU4407704</t>
  </si>
  <si>
    <t xml:space="preserve">Kit Cat Purrfect Pocket SOKC000416 x1 </t>
  </si>
  <si>
    <t>HASU4275553</t>
  </si>
  <si>
    <t>Versele Laga 2500273</t>
  </si>
  <si>
    <t>GCXU5745690</t>
  </si>
  <si>
    <t>Josera 570303461 x1</t>
  </si>
  <si>
    <t>StarLinks Jeddah</t>
  </si>
  <si>
    <t>MSDU8655508</t>
  </si>
  <si>
    <t xml:space="preserve">Zolux Sticks 1064228  </t>
  </si>
  <si>
    <t>MRKU5652659</t>
  </si>
  <si>
    <t>Josera 570303024</t>
  </si>
  <si>
    <t>MRSU6386520</t>
  </si>
  <si>
    <t>Josera 570302578</t>
  </si>
  <si>
    <t>HMMU6289760</t>
  </si>
  <si>
    <t xml:space="preserve">Kit Cat SOKC000378 Goat Milk &amp; 80g </t>
  </si>
  <si>
    <t xml:space="preserve">SEKU6967115
CAAU8495034
</t>
  </si>
  <si>
    <t>WM Expert 22510711, 22510712 x2</t>
  </si>
  <si>
    <t>125-126</t>
  </si>
  <si>
    <t>464-465</t>
  </si>
  <si>
    <t>124-125</t>
  </si>
  <si>
    <t>CMAU8564531</t>
  </si>
  <si>
    <t>Kit Cat Dry &amp; Breath Bites &amp; Kitty Crunch SOKC00408 x1</t>
  </si>
  <si>
    <t>MRSU3931153
UETU6688546</t>
  </si>
  <si>
    <t>Josera 570303726, 570303987 x2</t>
  </si>
  <si>
    <t>123-124</t>
  </si>
  <si>
    <t>462-463</t>
  </si>
  <si>
    <t>122-123</t>
  </si>
  <si>
    <t>MSMU5424498</t>
  </si>
  <si>
    <t>Zolux Sticks 1075303</t>
  </si>
  <si>
    <t>zolux</t>
  </si>
  <si>
    <t>SLVU5018672
SLVU6052347
BSIU8274746
BSIU8340806
CICU6926253</t>
  </si>
  <si>
    <t>Laviosa x5 LAT20525000001233,34,35,36,37</t>
  </si>
  <si>
    <t>75-&gt;79</t>
  </si>
  <si>
    <t>422-&gt;426</t>
  </si>
  <si>
    <t>97&gt;101</t>
  </si>
  <si>
    <t>KitCat Wipes SOKC000389 x1</t>
  </si>
  <si>
    <t>MRSU6796720</t>
  </si>
  <si>
    <t>Zolux Cat Trees 1072174</t>
  </si>
  <si>
    <t>TRLU7364336
SLVU6057009
SLVU6017855
SLVU5017188
VSTU9905290
VOLU4954629
FICU8980051
FSCU8055077</t>
  </si>
  <si>
    <t xml:space="preserve">Laviosa x8 LAT2025000001225,26,27,28,29,30,31,32 </t>
  </si>
  <si>
    <t>80-&gt;87</t>
  </si>
  <si>
    <t>412-&gt;419</t>
  </si>
  <si>
    <t>85&gt;92</t>
  </si>
  <si>
    <t>BSIU8482729, BXAU4630723,
 CAIU8199185, CICU6928868,
 CULU6213329, HPCU4788391,
HPCU4795641, HYJU1094174, 
SLVU5009053</t>
  </si>
  <si>
    <t>Laviosa x9 LAT2025000001004,05,06,07,08,09,10,11,12</t>
  </si>
  <si>
    <t>88-&gt;96</t>
  </si>
  <si>
    <t>402-&gt;410</t>
  </si>
  <si>
    <t>76&gt;84</t>
  </si>
  <si>
    <t>MSDU6719136</t>
  </si>
  <si>
    <t>WM Expert &amp; Country 2500232</t>
  </si>
  <si>
    <t xml:space="preserve">TCNU6419601,
 TCKU6850511,
 TRHU8316186
</t>
  </si>
  <si>
    <t>WM Expert 2500158, 2500159, 2500160</t>
  </si>
  <si>
    <t>467-468-469</t>
  </si>
  <si>
    <t>133-134-135</t>
  </si>
  <si>
    <t>TXGU6875409</t>
  </si>
  <si>
    <t>Solid Gold Indigo Moon SO-UK-241 20727</t>
  </si>
  <si>
    <t>HMMU6691954, HMMU6549997</t>
  </si>
  <si>
    <t>KitCat Deboned &amp; Gravy SOKC000375 x2</t>
  </si>
  <si>
    <t>HMMU6706843</t>
  </si>
  <si>
    <t xml:space="preserve">KitCat Milk &amp; Soup SOKC000364A </t>
  </si>
  <si>
    <t xml:space="preserve">CULU6273734 
 TDRU0636210 
 TDRU5772478 
 TRLU7498211 
VOLU4955501 </t>
  </si>
  <si>
    <t>LAT2025000001290..91..92..93..94 x5</t>
  </si>
  <si>
    <t>103-&gt;107</t>
  </si>
  <si>
    <t>437&gt;441</t>
  </si>
  <si>
    <t>108&gt;112</t>
  </si>
  <si>
    <t xml:space="preserve"> BSIU8473917 
 CULU6074286 
VOLU 4523344 </t>
  </si>
  <si>
    <t>Laviosa LAT2025000001287..88..89 x3</t>
  </si>
  <si>
    <t>108-109-110</t>
  </si>
  <si>
    <t>445&gt;447</t>
  </si>
  <si>
    <t>113&gt;115</t>
  </si>
  <si>
    <t>MSCU5298949</t>
  </si>
  <si>
    <t>Champion 2025000000541 x1</t>
  </si>
  <si>
    <t>Champion</t>
  </si>
  <si>
    <t>MSNU6664476</t>
  </si>
  <si>
    <t>Champion 2025000000542 x1</t>
  </si>
  <si>
    <t>CHampion</t>
  </si>
  <si>
    <t>FFAU1709586</t>
  </si>
  <si>
    <t>Champion 2025000000543 x1</t>
  </si>
  <si>
    <t>CAIU9950259</t>
  </si>
  <si>
    <t>Arya Wet Wipes 2300000087</t>
  </si>
  <si>
    <t>TGBU3680355</t>
  </si>
  <si>
    <t xml:space="preserve">Kit Cat Petite Pouch SOKC000392 x1 </t>
  </si>
  <si>
    <t>CAIU4739428</t>
  </si>
  <si>
    <t>Laviosa 2300000139 x1</t>
  </si>
  <si>
    <t>DAYU2163350</t>
  </si>
  <si>
    <t xml:space="preserve">Beaphar 90006548 </t>
  </si>
  <si>
    <t>MEDU4753659, MSMU800201</t>
  </si>
  <si>
    <t>Laviosa 2300000149, 2300000150</t>
  </si>
  <si>
    <t>543-544</t>
  </si>
  <si>
    <t>153-154</t>
  </si>
  <si>
    <t>TRKU5501582</t>
  </si>
  <si>
    <t xml:space="preserve">WM PUUR 22512398 </t>
  </si>
  <si>
    <t>MRKU5353112
TCKU7420665
TRHU5026882
MSKU9970201
PONU8215680</t>
  </si>
  <si>
    <t>BioSand x5 86, 87, 88, 89, 90</t>
  </si>
  <si>
    <t>142-&gt;146</t>
  </si>
  <si>
    <t>537&lt;541</t>
  </si>
  <si>
    <t>148&gt;152</t>
  </si>
  <si>
    <t>MSKU1746279
SUDU6922271</t>
  </si>
  <si>
    <t>MPS 303, 320 x2</t>
  </si>
  <si>
    <t>152-153</t>
  </si>
  <si>
    <t>550-551</t>
  </si>
  <si>
    <t>155-156</t>
  </si>
  <si>
    <t>HPCU4508850
BSIU8271578
LYGU4157958
BSIU8476829
CICU7043720</t>
  </si>
  <si>
    <t xml:space="preserve">Laviosa LAT2025000001338..39..40..41..42 x5 </t>
  </si>
  <si>
    <t>159-&gt;163</t>
  </si>
  <si>
    <t>598&gt;602</t>
  </si>
  <si>
    <t>167&gt;171</t>
  </si>
  <si>
    <t xml:space="preserve">CAIU7092248
VOLU4960909
VOLU4959148
CBHU8680919
</t>
  </si>
  <si>
    <t>Laviosa LAT2025000000074..75..76..77 x4</t>
  </si>
  <si>
    <t>155-&gt;158</t>
  </si>
  <si>
    <t>594&gt;597</t>
  </si>
  <si>
    <t>163&gt;166</t>
  </si>
  <si>
    <t>SLVU4445880
NYKU4186335
SLVU5046000
LYGU4044925
CICU2648010</t>
  </si>
  <si>
    <t>Laviosa LAT2025000001330..31..32..33..34 x5</t>
  </si>
  <si>
    <t>147-&gt;151</t>
  </si>
  <si>
    <t>545&gt;549</t>
  </si>
  <si>
    <t>157 &gt;161</t>
  </si>
  <si>
    <t>CAAU7674694</t>
  </si>
  <si>
    <t>Kit Cat Complete 70g SOKC000393</t>
  </si>
  <si>
    <t>SEGU1288689</t>
  </si>
  <si>
    <t>Compana 90575917</t>
  </si>
  <si>
    <t>WHLU4304131
WHSU4010338</t>
  </si>
  <si>
    <t>Wellness Core CD99011047, CD99011048</t>
  </si>
  <si>
    <t>167-168</t>
  </si>
  <si>
    <t>604-605</t>
  </si>
  <si>
    <t>174-175</t>
  </si>
  <si>
    <t>TRHU7852158
CAAU7135080
CMAU3912681
UETU3031007</t>
  </si>
  <si>
    <t xml:space="preserve">Felyn Go Cans 75g 2500001249 </t>
  </si>
  <si>
    <t xml:space="preserve">Felyn Go </t>
  </si>
  <si>
    <t>TGBU8543885</t>
  </si>
  <si>
    <t>Kit Cat Deboned SOKC000375</t>
  </si>
  <si>
    <t>CMAU4185458</t>
  </si>
  <si>
    <t>Kit Cat Puree SOKC000391</t>
  </si>
  <si>
    <t>BSIU9162144
CAAU8689847</t>
  </si>
  <si>
    <t>Kit Cat Deboned &amp; Gravy SOKC000377</t>
  </si>
  <si>
    <t>TEMU7592817</t>
  </si>
  <si>
    <t>Kit Cat Milk &amp; Soup SOKC000364B</t>
  </si>
  <si>
    <t>CAIU7945593</t>
  </si>
  <si>
    <t>Kit Cat Deboned &amp; Gravy SOKC000376B</t>
  </si>
  <si>
    <t>CMAU2826721</t>
  </si>
  <si>
    <t>Espree 90573641</t>
  </si>
  <si>
    <t>MSMU6422714</t>
  </si>
  <si>
    <t>Coockoo 22519719, 22519720, 22519721</t>
  </si>
  <si>
    <t>180-181-182</t>
  </si>
  <si>
    <t>726-727-728</t>
  </si>
  <si>
    <t>FBLU0224153</t>
  </si>
  <si>
    <t>Garden Bites 22520996</t>
  </si>
  <si>
    <t>MSKU9926322
CAAU8313886</t>
  </si>
  <si>
    <t>Applaws Wet 255925, 255926</t>
  </si>
  <si>
    <t>175-176</t>
  </si>
  <si>
    <t>724-725</t>
  </si>
  <si>
    <t>187-188</t>
  </si>
  <si>
    <t>HAMU3003707
FANU1531501
HLBU2079879
UETU5746041
HAMU2835390
UETU6894486
HAMU3259767
TCLU8053685</t>
  </si>
  <si>
    <t xml:space="preserve">Applaws Dry x8 255779, 255780, 255781, 255782, 255783, 255784, 255785, 255786 </t>
  </si>
  <si>
    <t>184-&gt;191</t>
  </si>
  <si>
    <t>756&gt;763</t>
  </si>
  <si>
    <t>193-194-197-198-199-202-203-204</t>
  </si>
  <si>
    <t>DAYU2758158</t>
  </si>
  <si>
    <t>Sanal Doypack 5250208</t>
  </si>
  <si>
    <t>CAAU9433274</t>
  </si>
  <si>
    <t>Kit Cat GoatMilk &amp; Mousse SOKC000378</t>
  </si>
  <si>
    <t>MSKU1305484</t>
  </si>
  <si>
    <t>MPS 378</t>
  </si>
  <si>
    <t xml:space="preserve">CAAU8961908
CAAU9290770
MRSU5720587
</t>
  </si>
  <si>
    <t>Zolux Nutrimeal x3 1092583, 1092584, 1092585</t>
  </si>
  <si>
    <t>195-196-197</t>
  </si>
  <si>
    <t>786-787-788</t>
  </si>
  <si>
    <t>211-212-213</t>
  </si>
  <si>
    <t xml:space="preserve">CICU7243945
FYCU7207250
TCNU7091939
VOLU4912140
CICU6916086
</t>
  </si>
  <si>
    <t>Laviosa x5 LAV2025000000527..28..29..30..31</t>
  </si>
  <si>
    <t>198-&gt;202</t>
  </si>
  <si>
    <t>798&gt;802</t>
  </si>
  <si>
    <t>219&gt;223</t>
  </si>
  <si>
    <t>TCNU1121363
CAAU9254181</t>
  </si>
  <si>
    <t>Felyn Go Milk 235730, 235731</t>
  </si>
  <si>
    <t>203-204</t>
  </si>
  <si>
    <t>840-841</t>
  </si>
  <si>
    <t>224-225</t>
  </si>
  <si>
    <t>CMAU3544677
CMAU9644626
TCNU3508768
TRHU5562566</t>
  </si>
  <si>
    <t>Josera Dry 18kg x4 570313799, 570313788, 570313802, 570313803</t>
  </si>
  <si>
    <t>209-&gt;212</t>
  </si>
  <si>
    <t>847&gt;844</t>
  </si>
  <si>
    <t>229&gt;226</t>
  </si>
  <si>
    <t>GCXU5599321
SEKU4474275</t>
  </si>
  <si>
    <t>Sanal 5250180 x2</t>
  </si>
  <si>
    <t>HMMU6431026
TXGU8088850
KOCU4493339</t>
  </si>
  <si>
    <t>INABA x3 INK202503030-004-1&amp;2&amp;3</t>
  </si>
  <si>
    <t>213-&gt;217</t>
  </si>
  <si>
    <t>856&gt;852</t>
  </si>
  <si>
    <t>234&gt;230</t>
  </si>
  <si>
    <t>CAAU7748966
MRKU5766733
SEKU6966490</t>
  </si>
  <si>
    <t>Versele Laga x3 DG2509524, DG2509525, DG2509629</t>
  </si>
  <si>
    <t>206-207-208</t>
  </si>
  <si>
    <t>849-850-851</t>
  </si>
  <si>
    <t>236-237-238</t>
  </si>
  <si>
    <t>BXAU4654509
HPCU4706979
SLVU4669828
HPCU4498920
KPHU6787585</t>
  </si>
  <si>
    <t>Laviosa x5 LAV2025000000700..701..702..703..704</t>
  </si>
  <si>
    <t>228-&gt;232</t>
  </si>
  <si>
    <t>930&gt;934</t>
  </si>
  <si>
    <t>244-245-246-252-253</t>
  </si>
  <si>
    <t>BMOU4859770
OOLU8157483
CAIU8877852
HPCU4708164
CICU7047460</t>
  </si>
  <si>
    <t>Laviosa LAV2025000000584..585..586..587..588</t>
  </si>
  <si>
    <t>233-&gt;237</t>
  </si>
  <si>
    <t>925&gt;929</t>
  </si>
  <si>
    <t>247&lt;251</t>
  </si>
  <si>
    <t>HAMU1489483
TCNU7909096
UACU5471021
TCNU1767369
TCLU8357923</t>
  </si>
  <si>
    <t>Applaws Dry x5 255907, 255909, 255910, 255923, 255924</t>
  </si>
  <si>
    <t>218-&gt;222</t>
  </si>
  <si>
    <t>918&gt;922</t>
  </si>
  <si>
    <t>254&gt;258</t>
  </si>
  <si>
    <t xml:space="preserve">My Family Machines &amp; Displays 7 Pallets </t>
  </si>
  <si>
    <t>241-242</t>
  </si>
  <si>
    <t>1330-1345</t>
  </si>
  <si>
    <t>AZPU3393425
CAIU3051699
CMAU0553839
DFSU2093921
TCLU3067731
TEMU2801431
TEMU4013402
TLLU2323415</t>
  </si>
  <si>
    <t>Felyn Go Litter 10L SC2503060401RZ1</t>
  </si>
  <si>
    <t xml:space="preserve">TEMU7749465
HLBU1278351
FANU1265459
FDCU0177742
HLBU1639156
</t>
  </si>
  <si>
    <t>BioSand 127, 129, 130, 131, 132 x5</t>
  </si>
  <si>
    <t>244-&gt;248</t>
  </si>
  <si>
    <t>999&gt;1003</t>
  </si>
  <si>
    <t>273&gt;276-278</t>
  </si>
  <si>
    <t>CAAU6189971
CMAU0358935
CMAU8564510
MAGU5696935
TCNU4058665</t>
  </si>
  <si>
    <t xml:space="preserve">INABA INK202505030-001-1..2..3..4..5 x5 </t>
  </si>
  <si>
    <t>223-&gt;227</t>
  </si>
  <si>
    <t>913&gt;917</t>
  </si>
  <si>
    <t>239&gt;242</t>
  </si>
  <si>
    <t>WHLU0605970</t>
  </si>
  <si>
    <t>Princess Wet 173104</t>
  </si>
  <si>
    <t>CSNU7168465
OOLU9399814</t>
  </si>
  <si>
    <t>Princess Dry x2 25-3010-000097, 25-3010-000098</t>
  </si>
  <si>
    <t>239-240</t>
  </si>
  <si>
    <t>923-924</t>
  </si>
  <si>
    <t>259-260</t>
  </si>
  <si>
    <t>SEGU4785550
FTAU1050979</t>
  </si>
  <si>
    <t>Applaws Wet x2 255773, 255774</t>
  </si>
  <si>
    <t>249-250</t>
  </si>
  <si>
    <t>1004-1005</t>
  </si>
  <si>
    <t>271-272</t>
  </si>
  <si>
    <t xml:space="preserve">MRSU5962087
TCKU7624709
TLLU5972378
CAAU6449997
GAOU7384249
</t>
  </si>
  <si>
    <t>Applaws Dry x5 256018..19..20..21..22</t>
  </si>
  <si>
    <t>251-&gt;255</t>
  </si>
  <si>
    <t>993&gt;997</t>
  </si>
  <si>
    <t>266&gt;270</t>
  </si>
  <si>
    <t>GAOU7267221
MRKU2392780
MRKU5154933
MRSU6620617
SUDU6708763</t>
  </si>
  <si>
    <t>Applaws Dry x5 256013..14..15..16..17</t>
  </si>
  <si>
    <t>256-&gt;260</t>
  </si>
  <si>
    <t>988&lt;992</t>
  </si>
  <si>
    <t>261&gt;265</t>
  </si>
  <si>
    <t xml:space="preserve">TLLU2159111 </t>
  </si>
  <si>
    <t>Appalws Wet 255775</t>
  </si>
  <si>
    <t>KOCU2118560, HMMU6430272, KOCU4984034</t>
  </si>
  <si>
    <t>Appalws Wet 255776 -255777 -255778</t>
  </si>
  <si>
    <t>263&gt;265</t>
  </si>
  <si>
    <t>1033&gt;1035</t>
  </si>
  <si>
    <t>281&gt;283</t>
  </si>
  <si>
    <t>CAIU9755777
 TGBU8071290</t>
  </si>
  <si>
    <t>Felyn Go F22002-1, F2500012</t>
  </si>
  <si>
    <t>261-262</t>
  </si>
  <si>
    <t>1030-1031</t>
  </si>
  <si>
    <t>MRKU5799130, MRKU5843974</t>
  </si>
  <si>
    <t>MPS 510-527</t>
  </si>
  <si>
    <t>277-278</t>
  </si>
  <si>
    <t>1307-1308</t>
  </si>
  <si>
    <t>MSCU5362586</t>
  </si>
  <si>
    <t>CHAMPIONPET-2025000002327--1X40'</t>
  </si>
  <si>
    <t>TEMU8313835</t>
  </si>
  <si>
    <t>CHAMPIONPET-2025000002328--1X40'</t>
  </si>
  <si>
    <t>BMOU6751607</t>
  </si>
  <si>
    <t>CHAMPIONPET-2025000002329--1X40'</t>
  </si>
  <si>
    <t>CLHU8985380</t>
  </si>
  <si>
    <t>ZOLUX-1104341</t>
  </si>
  <si>
    <t>ZOLUX</t>
  </si>
  <si>
    <t>FCIU2902262, TEMU3968254, TGBU2160641,
CMAU1891595, TCKU1339828, FCIU3185274,
CMAU0410587, TGHU0015369</t>
  </si>
  <si>
    <t xml:space="preserve">INNER MONGOLIA--SC2503060401RZ3--8X20' </t>
  </si>
  <si>
    <t>CMAU0561310, CMAU1902215, BEAU2194010,
CARU3724380, TCKU3411500, CMAU2177319,
TCKU1343772, CMAU0324956, CMAU0237234</t>
  </si>
  <si>
    <t>INNER MONGOLIA--SC2503060401RZ4--9X20'</t>
  </si>
  <si>
    <t>GESU1252486, TRHU1341865, TEMU5392229,
CMAU0278038, TEMU2584439, CMAU0745620,
CMAU2044949, TLLU8215300</t>
  </si>
  <si>
    <t>INNER MONGOLIA--SC2503060401RZ2 --8X20'</t>
  </si>
  <si>
    <t>APZU4529985
SEGU4003373</t>
  </si>
  <si>
    <t>LAROY-20250144, 20250143--2X40'</t>
  </si>
  <si>
    <t>293-294</t>
  </si>
  <si>
    <t>1174-1175</t>
  </si>
  <si>
    <t>MRKU9849902</t>
  </si>
  <si>
    <t>BEAPHAR-90007412</t>
  </si>
  <si>
    <t>CAAU7000260
CAAU7617293</t>
  </si>
  <si>
    <t>MPS 536, 537 x2</t>
  </si>
  <si>
    <t>1284-1285</t>
  </si>
  <si>
    <t>GCXU2141649</t>
  </si>
  <si>
    <t>Zolux Puppy Mats 1103934</t>
  </si>
  <si>
    <t>MSDU6738856</t>
  </si>
  <si>
    <t>Zolux Rodywood Litter 1104755</t>
  </si>
  <si>
    <t>CAIU7855041
VOLU4927198
BXAU4619452
VOLU4942802
BSIU8332014</t>
  </si>
  <si>
    <t>Laviosa x5 LAV2025000000863..64..65..66..67</t>
  </si>
  <si>
    <t>1162&gt;1166</t>
  </si>
  <si>
    <t>296&lt;300</t>
  </si>
  <si>
    <t>SLVU5022498
BSIU8480834
VSTU9903934
BSIU9614183
XHCU5653214</t>
  </si>
  <si>
    <t>Laviosa x5 LAV2025000000933..34..35..36..37</t>
  </si>
  <si>
    <t>285&gt;289</t>
  </si>
  <si>
    <t>1167&gt;1171</t>
  </si>
  <si>
    <t>301&lt;305</t>
  </si>
  <si>
    <t xml:space="preserve">MSKU1203327
TXGU5261983
</t>
  </si>
  <si>
    <t>WM Expert 2500708, 2500709 x2</t>
  </si>
  <si>
    <t>283-284</t>
  </si>
  <si>
    <t>1246-1247</t>
  </si>
  <si>
    <t>314-315</t>
  </si>
  <si>
    <t>EGSU3790899</t>
  </si>
  <si>
    <t>Sanal Doypack 5250301</t>
  </si>
  <si>
    <t>FFAU4011691
NYKU4191840
BXAU4598128
SLVU6002557
CICU7240205</t>
  </si>
  <si>
    <t>Laviosa x5 LAV2025000001120..21..22..23..24</t>
  </si>
  <si>
    <t>307-&gt;311</t>
  </si>
  <si>
    <t>1314&gt;1318</t>
  </si>
  <si>
    <t>339&gt;343</t>
  </si>
  <si>
    <t>SLVU4754452
LYGU4149309
GESUS895177
LYGU4148811
CLHU8884954</t>
  </si>
  <si>
    <t>Laviosa x5 LAV2025000001108..09..10..11..12</t>
  </si>
  <si>
    <t>312-&gt;316</t>
  </si>
  <si>
    <t>1270&gt;1275</t>
  </si>
  <si>
    <t>318&gt;322</t>
  </si>
  <si>
    <t>UETU6944000</t>
  </si>
  <si>
    <t>MPS 655</t>
  </si>
  <si>
    <t>MSRU7633120</t>
  </si>
  <si>
    <t>Versele Laga 15009178</t>
  </si>
  <si>
    <t>TGBU4939219
CMAU9685203</t>
  </si>
  <si>
    <t>WM Expert x2 22537255, 22537260</t>
  </si>
  <si>
    <t>1248-1249</t>
  </si>
  <si>
    <t>312-313</t>
  </si>
  <si>
    <t>ECMU7533375
TRHU7864267</t>
  </si>
  <si>
    <t>Josera 570317629, 570317630 x2</t>
  </si>
  <si>
    <t>301-302</t>
  </si>
  <si>
    <t>1309-1310</t>
  </si>
  <si>
    <t>332-333</t>
  </si>
  <si>
    <t>UETU6303372
SEKU5620461
FFAU4449029
CMAU6469134</t>
  </si>
  <si>
    <t>Josera 570316643..6641..6766..6760 x4</t>
  </si>
  <si>
    <t>303-&gt;306</t>
  </si>
  <si>
    <t>1280&gt;1283</t>
  </si>
  <si>
    <t>323&gt;326</t>
  </si>
  <si>
    <t>MRKU5027693</t>
  </si>
  <si>
    <t>Dr.Clauders 52530466</t>
  </si>
  <si>
    <t>TEMU7782334</t>
  </si>
  <si>
    <t>Felyn Go Raw 3383</t>
  </si>
  <si>
    <t>7Pallets</t>
  </si>
  <si>
    <t xml:space="preserve">Zolux Bivouak Harnesses 1105184 7 Pallets </t>
  </si>
  <si>
    <t>Zolux Bivouak Collars 1108189 7Pallets</t>
  </si>
  <si>
    <t>HASU4414134</t>
  </si>
  <si>
    <t>MPS 680</t>
  </si>
  <si>
    <t>TCNU3635696
TXGU6094216
TGBU6903811
TGBU6991509
TLLU4100128</t>
  </si>
  <si>
    <t>Natural Code x5 6/1-24, 6/2-24, 6/3-24, 6/4-24, 6/2-25, 6/3-25</t>
  </si>
  <si>
    <t>323-&gt;327</t>
  </si>
  <si>
    <t>1293&gt;1297</t>
  </si>
  <si>
    <t>327&gt;331</t>
  </si>
  <si>
    <t>MSDU1139259
FCIU6476416
MSMU1772216
TCLU7659826
FCIU5952713
DRYU2352385
MSMU1041891
CORU2024436</t>
  </si>
  <si>
    <t>Kit Cat Litter 10L &amp; 20KG SOKC000510B x8</t>
  </si>
  <si>
    <t>TLLU2576603</t>
  </si>
  <si>
    <t>Instinct Cans 251102774</t>
  </si>
  <si>
    <t>Instinct</t>
  </si>
  <si>
    <t xml:space="preserve">FIBU0367355
MSMU1005636
MSNU3202197
FSCU7723340
TEMU4640320
CAIU2963125
MSNU3636871
</t>
  </si>
  <si>
    <t>Kit Cat Litter 10L &amp; 20KG SOKC000510A x7</t>
  </si>
  <si>
    <t>CAAU6665548
TRKU4454655
WFHU5159674</t>
  </si>
  <si>
    <t xml:space="preserve">Solid Gold SO-UK-2025030327 x3 </t>
  </si>
  <si>
    <t>CAAU7577550</t>
  </si>
  <si>
    <t>Compana 78606</t>
  </si>
  <si>
    <t>TCKU7531231</t>
  </si>
  <si>
    <t>Acana Wet 2025000004014 x1</t>
  </si>
  <si>
    <t>TCLU3633037</t>
  </si>
  <si>
    <t>Princess Wet x1 173105</t>
  </si>
  <si>
    <t xml:space="preserve">MRSU8130202
MRSU4319121
MRSU6845948
TCLU6356574
CAAU6668608
</t>
  </si>
  <si>
    <t xml:space="preserve">Biosand x5 194, 195, 196, 197, 198 </t>
  </si>
  <si>
    <t>333-&gt;337</t>
  </si>
  <si>
    <t>1408&gt;1412</t>
  </si>
  <si>
    <t>357&lt;361</t>
  </si>
  <si>
    <t>GCXU2127450
KOCU2219714
KOCU2111720</t>
  </si>
  <si>
    <t>KC Deboned Multipack SOKC000519 x3</t>
  </si>
  <si>
    <t>KIt Cat</t>
  </si>
  <si>
    <t>SUDU7729375</t>
  </si>
  <si>
    <t>KC Sticks SOKC000417</t>
  </si>
  <si>
    <t>EISU8361334</t>
  </si>
  <si>
    <t>KC Puree &amp; Deboned SOKC000565</t>
  </si>
  <si>
    <t>MRSU4613331</t>
  </si>
  <si>
    <t>Sanal 5250343</t>
  </si>
  <si>
    <t>TGHU9216317
MRSU5002110
TCKU7266626</t>
  </si>
  <si>
    <t>MPS x3 759, 760, 761</t>
  </si>
  <si>
    <t>1457-1458-1455</t>
  </si>
  <si>
    <t>364-365-366</t>
  </si>
  <si>
    <t>CAIU7133250</t>
  </si>
  <si>
    <t>Acana Wet 2025000004250</t>
  </si>
  <si>
    <t>MSKU2914443
MSKU2914443
MRKU7450641</t>
  </si>
  <si>
    <t>Princess Litter x3 173644, 178181, 173646</t>
  </si>
  <si>
    <t>350-351-352</t>
  </si>
  <si>
    <t>1540-1541-1543</t>
  </si>
  <si>
    <t>371-372-373</t>
  </si>
  <si>
    <t>EGHU9831142
EGSU1796943
HMCU9205594</t>
  </si>
  <si>
    <t>Felyn Go Smart Litter Box UBTAK20250220001 x3</t>
  </si>
  <si>
    <t>MSDU4608004
MSDU4046421</t>
  </si>
  <si>
    <t xml:space="preserve">KC Deboned &amp; Gravy SOKC000641A x2 </t>
  </si>
  <si>
    <t>CRSU1426609</t>
  </si>
  <si>
    <t>KC Petite Pouch SOKC000511</t>
  </si>
  <si>
    <t>MSDU4633162</t>
  </si>
  <si>
    <t>KC GoatMilk &amp; Mousse SOKC000595</t>
  </si>
  <si>
    <t>TTNU1196431</t>
  </si>
  <si>
    <t>Felyn Go Grooming Kit 25APB-9059</t>
  </si>
  <si>
    <t>NYKU3893122</t>
  </si>
  <si>
    <t xml:space="preserve">Instinct Cans 251103903 </t>
  </si>
  <si>
    <t>TEMU2139270</t>
  </si>
  <si>
    <t>KC Gravy &amp; Deboned SOKC000641B</t>
  </si>
  <si>
    <t>BSIU8359191
SLVU6016587
BXAU4507555
CULU6231282</t>
  </si>
  <si>
    <t>Felyn Go Rollbag x4 LAV2025000002165..66..67..68</t>
  </si>
  <si>
    <t>360-&gt;363</t>
  </si>
  <si>
    <t>1618-&gt;1621</t>
  </si>
  <si>
    <t>384&gt;387</t>
  </si>
  <si>
    <t>ESHU7288195
FCIU9272910
SLVU5020509
HPCU4650910</t>
  </si>
  <si>
    <t>Felyn Go Rollbag x4 LAV2025000002180..81..82..83</t>
  </si>
  <si>
    <t>364-&gt;367</t>
  </si>
  <si>
    <t>1622-1625</t>
  </si>
  <si>
    <t>380&gt;383</t>
  </si>
  <si>
    <t>BURU6657094
XHCUS648120
BSIU8459170
BSIU8358169
CICU6997196
ESHU7267818</t>
  </si>
  <si>
    <t xml:space="preserve">Laviosa LAV2025000002276..77..78..79..80..81 x6 </t>
  </si>
  <si>
    <t>DSV</t>
  </si>
  <si>
    <t>368-&gt;373</t>
  </si>
  <si>
    <t>1666-&gt;1671</t>
  </si>
  <si>
    <t>392-&gt;397</t>
  </si>
  <si>
    <t>TCLU8458282</t>
  </si>
  <si>
    <t>Cat H2O KIV25100008</t>
  </si>
  <si>
    <t>Cat H2O</t>
  </si>
  <si>
    <t>REGU5125230
FFAU6378330</t>
  </si>
  <si>
    <t>Applaws Wet 258069, 258071 x2</t>
  </si>
  <si>
    <t>1673-1674</t>
  </si>
  <si>
    <t>403-404</t>
  </si>
  <si>
    <t>HASU4378459
MRKU4455399
CAAU4750337
HASU4764810</t>
  </si>
  <si>
    <t>Josera Dry570332308..310..469..474 x4</t>
  </si>
  <si>
    <t>377-&gt;380</t>
  </si>
  <si>
    <t>1680-.1683</t>
  </si>
  <si>
    <t>388-&gt;391</t>
  </si>
  <si>
    <t>CAIU9624479
BSIU8477466
BEAU4391301
TGCU5331119
SLVU4717490</t>
  </si>
  <si>
    <t>Laviosa LAV2025000002362..63..64..65..66 x5</t>
  </si>
  <si>
    <t>381-&gt;385</t>
  </si>
  <si>
    <t>1675-.1679</t>
  </si>
  <si>
    <t>398-&gt;402</t>
  </si>
  <si>
    <t>OCGU8100501</t>
  </si>
  <si>
    <t>Applaws Wet 258068</t>
  </si>
  <si>
    <t>MSDU6847245
MSMU6068447
FFAU6604823</t>
  </si>
  <si>
    <t>Champion Dry x3 2025000004822..823..824</t>
  </si>
  <si>
    <t>387-388-389</t>
  </si>
  <si>
    <t>743&gt;745</t>
  </si>
  <si>
    <t>420&lt;422</t>
  </si>
  <si>
    <t>BXAU4611370</t>
  </si>
  <si>
    <t>Zolux Sweeties &amp; Snacks 1134098</t>
  </si>
  <si>
    <t>CAIU9764676</t>
  </si>
  <si>
    <t>Zupreem 90608504</t>
  </si>
  <si>
    <t>TRHU3014157</t>
  </si>
  <si>
    <t>KC Petite Pouch SOKC000596</t>
  </si>
  <si>
    <t>HLBU3079765
HAMU4009891
DFSU7482084
UACU5522999</t>
  </si>
  <si>
    <t>Applaws Dry 259100..105..106..261758 x4</t>
  </si>
  <si>
    <t>393-&gt;396</t>
  </si>
  <si>
    <t>729&gt;732</t>
  </si>
  <si>
    <t>409&gt;412</t>
  </si>
  <si>
    <t>MRSU5337979
CIPU5097293
MRKU4858286
CAAU5180820
MRKU5141284
TLLU5878470</t>
  </si>
  <si>
    <t>Laviosa LAV2025000002477..78..79..80..81..82 x6</t>
  </si>
  <si>
    <t>397-&gt;402</t>
  </si>
  <si>
    <t>734&gt;740</t>
  </si>
  <si>
    <t>414&gt;419</t>
  </si>
  <si>
    <t>CMAU6833020
SEKU5842535
TCKU6833140
TLLU4240515</t>
  </si>
  <si>
    <t xml:space="preserve">Wellness CD99011916, CD99011917, CD99011918, CD99011921 x4 </t>
  </si>
  <si>
    <t>1-&gt;4</t>
  </si>
  <si>
    <t>21&gt;24</t>
  </si>
  <si>
    <t>3&gt;6</t>
  </si>
  <si>
    <t>FANU1098006
TXGU6827252</t>
  </si>
  <si>
    <t xml:space="preserve">Appalws Dry x2 259101, 259102 </t>
  </si>
  <si>
    <t>25-26</t>
  </si>
  <si>
    <t>CAIU9225165</t>
  </si>
  <si>
    <t>Acana Wet 2025000005968</t>
  </si>
  <si>
    <t>MRSU3709125
HASU4564983
MRSU8138857
SUDU8892221
MRSU7137840
FFAU5753843</t>
  </si>
  <si>
    <t>Felyn Go Rollbag x6 LAV2025000002736..37..38..39..40..41</t>
  </si>
  <si>
    <t>8-&gt;13</t>
  </si>
  <si>
    <t>27&gt;32</t>
  </si>
  <si>
    <t>15&gt;20</t>
  </si>
  <si>
    <t>TCKU6776923
SEKU4604975
MRKU6112038
MRSU4482653
MRKU5836363
MRSU4606760</t>
  </si>
  <si>
    <t>Felyn Go Rollbag x6 LAV2025000002775..76..77..78..79..80</t>
  </si>
  <si>
    <t>14-&gt;19</t>
  </si>
  <si>
    <t>33&gt;38</t>
  </si>
  <si>
    <t>9&gt;14</t>
  </si>
  <si>
    <t>MRKU3251960
MRKU5884130
MRKU5795161
MSKU9192131
MRSU7700234</t>
  </si>
  <si>
    <t>LindoCat LAV2025000002928..29..30....31..32 x5</t>
  </si>
  <si>
    <t>43&gt;47</t>
  </si>
  <si>
    <t>21&gt;25</t>
  </si>
  <si>
    <t>TGHU1950108
FTAU1260342
GLDU9444917
MEDU6561980
FCIU6396178
MEDU6810779
MEDU6579741
GLDU9441287
FBIU0424922</t>
  </si>
  <si>
    <t>KC Litter SOKC000597 x9</t>
  </si>
  <si>
    <t>CAIU8853402
TRHU5951510
UETU7509028</t>
  </si>
  <si>
    <t>Josera Dry 570337755..61..57..54..62 x3</t>
  </si>
  <si>
    <t>26-&gt;30</t>
  </si>
  <si>
    <t>94&gt;98</t>
  </si>
  <si>
    <t>34&gt;38</t>
  </si>
  <si>
    <t>TCNU5337052
TRHU7329390</t>
  </si>
  <si>
    <t>KC 400g SOKC000679 x2</t>
  </si>
  <si>
    <t xml:space="preserve">MRSU5177058
MRSU6827538
MRKU5423246
</t>
  </si>
  <si>
    <t>Versele Laga DG2528240, DG2528241, DG2528242 x3</t>
  </si>
  <si>
    <t>32-33-34</t>
  </si>
  <si>
    <t>68&gt;70</t>
  </si>
  <si>
    <t>29&gt;31</t>
  </si>
  <si>
    <t>MSKU5473090</t>
  </si>
  <si>
    <t xml:space="preserve">Versele Laga DG2528445 </t>
  </si>
  <si>
    <t>EGHU3530136</t>
  </si>
  <si>
    <t>KC Wipes SOKC000512</t>
  </si>
  <si>
    <t>OOCU8214381</t>
  </si>
  <si>
    <t>KC Puree &amp; Deboned SOKC000832</t>
  </si>
  <si>
    <t>EITU0252270</t>
  </si>
  <si>
    <t>KC Powder Supplement SOKC000645</t>
  </si>
  <si>
    <t>MRKU6650856</t>
  </si>
  <si>
    <t xml:space="preserve">Beaphar 90008984 </t>
  </si>
  <si>
    <t>KSSU1003550</t>
  </si>
  <si>
    <t>Applaws Treat &amp; Wet 258067</t>
  </si>
  <si>
    <t>WHSU2903115
WHSU5371150</t>
  </si>
  <si>
    <t>Acana Wet 2026000000183, 2026000000265 x2</t>
  </si>
  <si>
    <t>225-226</t>
  </si>
  <si>
    <t>48-49</t>
  </si>
  <si>
    <t>WHSU5477184</t>
  </si>
  <si>
    <t>Wellness CD99011980</t>
  </si>
  <si>
    <t xml:space="preserve">REGU5192943
TXGU6873129
</t>
  </si>
  <si>
    <t>KC Deboned SOKC000684A x2</t>
  </si>
  <si>
    <t>CMAU0398882</t>
  </si>
  <si>
    <t>KC Deboned SOKC000684B</t>
  </si>
  <si>
    <t>HLBU2039855</t>
  </si>
  <si>
    <t>Applaws Dry 259104</t>
  </si>
  <si>
    <t>FANU3830097
HAMU2804825
HAMU1313299
FCIU7438410
HAMU4521193</t>
  </si>
  <si>
    <t>Laviosa LAV2026000000331..32..33..34..35 x5</t>
  </si>
  <si>
    <t>63-&gt;67</t>
  </si>
  <si>
    <t>190-&gt;194</t>
  </si>
  <si>
    <t>43-&gt;47</t>
  </si>
  <si>
    <t>BMOU6408521
CMAU0595140
TRHU3868011</t>
  </si>
  <si>
    <t>Versele Laga DG2527532, DG2528559 , DG2527632 x3</t>
  </si>
  <si>
    <t>68-&gt;70</t>
  </si>
  <si>
    <t>238-&gt;240</t>
  </si>
  <si>
    <t>53-&gt;55</t>
  </si>
  <si>
    <t>TRHU4494533</t>
  </si>
  <si>
    <t>MPS 153</t>
  </si>
  <si>
    <t>MRKU5420674
MRSU4117060
SUDU6760817
MRSU5732910
TCNU2609199
MRKU3540095
MRKU2073530
MRKU6384205
MRKU3494364
MSKU1739454
PONU8112379
MRKU5617030
MRSU3236887</t>
  </si>
  <si>
    <t>Josera Dry x13</t>
  </si>
  <si>
    <t>72-&gt;84</t>
  </si>
  <si>
    <t>307-&gt;321</t>
  </si>
  <si>
    <t>HASU4129374
HASU4277176
MRSU7542015
TLLU6858837
MRKU4570160</t>
  </si>
  <si>
    <t>Laviosa LAV2026000000706..707..708..709..710 x5</t>
  </si>
  <si>
    <t>85-&gt;89</t>
  </si>
  <si>
    <t>411&gt;415</t>
  </si>
  <si>
    <t>72&gt;76</t>
  </si>
  <si>
    <t>UETU8445777
MRKU6376030
GAOU7176097
CAAU8978270
MRKU5011450</t>
  </si>
  <si>
    <t xml:space="preserve">Laviosa LAV2026000000829..830..831..832..833 x5 </t>
  </si>
  <si>
    <t>90-&gt;94</t>
  </si>
  <si>
    <t>416&gt;420</t>
  </si>
  <si>
    <t>77&gt;81</t>
  </si>
  <si>
    <t>UETU6296041</t>
  </si>
  <si>
    <t>Josi 400g 570347744</t>
  </si>
  <si>
    <t>MRSU8250018
SUDU8577575
MRSU9190891
FFAU7427851
TRHU4150538
MRKU3576570
MRSU9121951</t>
  </si>
  <si>
    <t>50-&gt;55-58</t>
  </si>
  <si>
    <t>473-&gt;479</t>
  </si>
  <si>
    <t>83-&gt;89</t>
  </si>
  <si>
    <t>CMAU0349260
SEGU1296616
TRHU2327732
TEMU3689202
CMAU0512629
TCLU7449630
TEMU3307845
TEMU0950380</t>
  </si>
  <si>
    <t>KC Litter SOKC000817B x8</t>
  </si>
  <si>
    <t>CMAU0262480
TRHU1527042
MAGU2314793
TEMU5250564
TEMU5958260
TEMU2855443
CMAU0577018</t>
  </si>
  <si>
    <t>KC Litter SOKC000817A x7</t>
  </si>
  <si>
    <t>CMAU3852432</t>
  </si>
  <si>
    <t>KC Milk &amp; Soup SOKC000818</t>
  </si>
  <si>
    <t>GESU1366318
BHCU3147616
TLLU2322851</t>
  </si>
  <si>
    <t>KC Deboned Multipack SOKC000873 x3</t>
  </si>
  <si>
    <t>CAAU7616532
GAOU7529960
BEAU6374685
CAJU5236709</t>
  </si>
  <si>
    <t>KC Small Cans SOKC000820 x4</t>
  </si>
  <si>
    <t>CICU6974436
CICU6974478
CICU6974462
CICU6974375
CICU6974328
CICU6974502
CICU6975089
CICU6974499
CICU6974380
CICU6974360
CICU6974457
CICU6974354
CICU6974307
CICU6974396
CICU6974333
CICU6974415
CICU6974420
CICU6974483
CICU6974349
CICU6975073
CICU6974400</t>
  </si>
  <si>
    <t>Felyn Go Litter SC2511100402RZ x21</t>
  </si>
  <si>
    <t>MRSU9099375
FFAU4768495
MRSU7567688
MRSU4498351
MRSU4581131</t>
  </si>
  <si>
    <t>Applaws Dry x5</t>
  </si>
  <si>
    <t>48-49-56-57-59</t>
  </si>
  <si>
    <t>786&gt;791</t>
  </si>
  <si>
    <t>102&gt;106</t>
  </si>
  <si>
    <t>TIIU6398370
WHSUS937000
WHSU6803011
WHSU5166393
WHSU6342075</t>
  </si>
  <si>
    <t>Laviosa LAV2026000001659..60..61..62..63 x5</t>
  </si>
  <si>
    <t>107-&gt;111</t>
  </si>
  <si>
    <t>953&gt;957</t>
  </si>
  <si>
    <t>107&gt;112</t>
  </si>
  <si>
    <t>TCNU2997556
TGBU5290063
TGBU4149657
CAIU9751684</t>
  </si>
  <si>
    <t>KC Small Cans SOKC000879 x4</t>
  </si>
  <si>
    <t>TISU1101900</t>
  </si>
  <si>
    <t xml:space="preserve">Felyn Go Gourmet &amp; Soup F2600155 </t>
  </si>
  <si>
    <t>MRSU9197010</t>
  </si>
  <si>
    <t>Applaws Dry 262579</t>
  </si>
  <si>
    <t>TCNU3151710
CMAU7904869
SELU4241542
CMAU9238587
ECMU5489308
CAIU9698960
TRHU7980333</t>
  </si>
  <si>
    <t>Versele Laga DG2609046..47..48..49..DG2609104..106..107 x7</t>
  </si>
  <si>
    <t>113-&gt;119</t>
  </si>
  <si>
    <t>985&gt;991</t>
  </si>
  <si>
    <t>114&gt;120</t>
  </si>
  <si>
    <t>CMAU4828092
CMAU3360617</t>
  </si>
  <si>
    <t>Josera 570354283, 570354098 x2</t>
  </si>
  <si>
    <t>121-122</t>
  </si>
  <si>
    <t>TCNU3076520
TCNU5651633</t>
  </si>
  <si>
    <t>Josera Dry 570354294, 570354695 x2</t>
  </si>
  <si>
    <t>BSIU8477722
SLVU6049153
BXAU4673290
SLVU6002120
SLVU6010640</t>
  </si>
  <si>
    <t>Laviosa LAV2026000002031..32..33..34..35 x5</t>
  </si>
  <si>
    <t>TCNU7360600
TCNU5715152
TCLU9599726
FFAU4428941
DFSU6442723
CAMU5603423</t>
  </si>
  <si>
    <t>KC 400g SOKC000872 x6</t>
  </si>
  <si>
    <t>Range</t>
  </si>
  <si>
    <t xml:space="preserve">Item Code </t>
  </si>
  <si>
    <t>Item Name</t>
  </si>
  <si>
    <t>Request Date</t>
  </si>
  <si>
    <t>Status</t>
  </si>
  <si>
    <t>Received Date</t>
  </si>
  <si>
    <t>Registred</t>
  </si>
  <si>
    <t>Number</t>
  </si>
  <si>
    <t>Remarks</t>
  </si>
  <si>
    <t>Inaba Delights</t>
  </si>
  <si>
    <t>USA-868</t>
  </si>
  <si>
    <t>INABA CUP DASHI DELIGHTS CHICKEN WITH SALMON RECIPE (USA-868)</t>
  </si>
  <si>
    <t>USA-867</t>
  </si>
  <si>
    <t>INABA CUP DASHI DELIGHT S CHICKEN WITH BONITO FLAKES
 RECIPE (USA-867)</t>
  </si>
  <si>
    <t>USA-862</t>
  </si>
  <si>
    <t>INABA CUP DASHI DELIGHTS CHICKEN WITH TUNA SALMON RECIPE (USA-862)</t>
  </si>
  <si>
    <t>USA-861</t>
  </si>
  <si>
    <t>INABA CUP DASHI DELIGHTS CHICKEN WITH TUNA RECIPE (USA-861)</t>
  </si>
  <si>
    <t>USA-866</t>
  </si>
  <si>
    <t>INABA CUP DASHI DELIGHTS CHICKEN W ITH CHEESE RECIPE
 (USA-866)</t>
  </si>
  <si>
    <t>USA-865</t>
  </si>
  <si>
    <t>INABA CUP DASHI DELIGHTS CHICKEN WITH SCALLOP
 RECIPE (USA-865)</t>
  </si>
  <si>
    <t>USA-864</t>
  </si>
  <si>
    <t>INABA CUP DASHI DELIGHTS CHICKEN RECIPE (USA-864)</t>
  </si>
  <si>
    <t>USA-863</t>
  </si>
  <si>
    <t>INABA CUP DASHI DELIGHTS CHICKEN WITH TUNA &amp; SCALLOP
 RECIPE (USA-863)</t>
  </si>
  <si>
    <t>Wellness</t>
  </si>
  <si>
    <t>WEL WC CORE 98% Beef Recipe 12/85g</t>
  </si>
  <si>
    <t>WEL WC CORE 98% Turkey Recipe12/85g</t>
  </si>
  <si>
    <t>WEL WC CORE 98% Ckn/SalmRecip12/85g</t>
  </si>
  <si>
    <t>WEL WD CORE 95 Turkey with Kale 400g</t>
  </si>
  <si>
    <t>WEL WD CORE 95 Lamb With Pumpkin 400g</t>
  </si>
  <si>
    <t>WEL WD CORE 95 Beef with Broccoli 400g</t>
  </si>
  <si>
    <t>WEL WD CORE 95 Turkey with Goat 400g</t>
  </si>
  <si>
    <t>WEL WD CORE 95 Chicken with Duck with carrots 400g</t>
  </si>
  <si>
    <t>WEL WD CORE 95 Puppy original 400g</t>
  </si>
  <si>
    <t>Wellness core purely pate adult chicken</t>
  </si>
  <si>
    <t>Wellness Core Purely Pate Adult Chicken &amp; Turkey</t>
  </si>
  <si>
    <t>Wellness core purely pate adult chicken &amp; beef</t>
  </si>
  <si>
    <t>Wellness Core Purely Pate Adult Duck &amp; Chicken</t>
  </si>
  <si>
    <t>Wellness core purely pate kitten chicken &amp; Tuna</t>
  </si>
  <si>
    <t>zoulx</t>
  </si>
  <si>
    <t>ZOLUX CHICKEN WINGS 100G</t>
  </si>
  <si>
    <t>Wellness CORE Tender Cuts with Tuna in Savoury Gravy</t>
  </si>
  <si>
    <t>Wellness CORE Signature Selects Chunky Entree Flavoured with Beef &amp; Boneless Chicken in Sauce</t>
  </si>
  <si>
    <t>Wellness CORE Signature Selects Flaked Skipjack Tuna with Shrimp Entree in Broth</t>
  </si>
  <si>
    <t>Wellness CORE Tender Cuts with Chicken &amp; Salmon in Savoury Gravy</t>
  </si>
  <si>
    <t>Wellness CORE Tender Cuts with Turkey &amp; Duck in Savoury Gravy</t>
  </si>
  <si>
    <t>Wellness CORE Signature Selects Shredded Boneless Chicken Entree Flavoured with Turkey in Sauce</t>
  </si>
  <si>
    <t>Wellness CORE Tender Cuts with Chicken &amp; Chicken Liver in Savoury Gravy</t>
  </si>
  <si>
    <t>Wellness CORE Small Breed Savoury Medleys Flavoured with Roasted Chicken, Duck, Peas &amp; Carrot</t>
  </si>
  <si>
    <t>Wellness CORE Small Breed Savoury Medleys Flavoured with Tender Chicken, Turkey, Carrots &amp; Green Beans</t>
  </si>
  <si>
    <t>Wellness CORE Small Breed Savoury Medleys Flavoured with Braised Lamb, Venison, White Sweet Potatoes &amp; CatTots</t>
  </si>
  <si>
    <t>Wellness CORE Small Breed Savoury Medleys Flavoured with Roasted Chicken, Beef, Green Beans &amp; Red Peppers</t>
  </si>
  <si>
    <t>Wellness CORE Signature Selects Shredded Boneless Chicken Entree Flavoured with Chicken Liver in Sauce</t>
  </si>
  <si>
    <t>Wellness CORE Tender Cuts with Chicken &amp; Turkey in Savoury Gravy</t>
  </si>
  <si>
    <t>Wellness CORE Tender Cuts with Salmon &amp; Tuna in Savoury Gravy</t>
  </si>
  <si>
    <t>DASHI DELIGHTS SILKY BROTH CHICKEN RECIPE</t>
  </si>
  <si>
    <t>DASHI DELIGHTS SILKY BROTH CHICKEN WITH CHEESE RECIPE</t>
  </si>
  <si>
    <t>DASHI DELIGHTS SILKY BROTH CHICKEN WITH SALMON RECIPE</t>
  </si>
  <si>
    <t>DASHI DELIGHTS DELICATE FLAKES CHICKEN WITH SALMON RECIPE</t>
  </si>
  <si>
    <t>DASHI DELIGHTS DELICATE FLAKES CHICKEN WITH CHEESE RECIPE</t>
  </si>
  <si>
    <t>DASHI DELIGHTS DELICATE FLAKES CHICKEN WITH TUNA RECIPE</t>
  </si>
  <si>
    <t>DASHI DELIGHTS DELICATE FLAKES CHICKEN RECIPE</t>
  </si>
  <si>
    <t>DASHI DELIGHTS SILKY BROTH CHICKEN WITH TUNA RECIPE</t>
  </si>
  <si>
    <t>DASHI DELIGHTS DELICATE FLAKES CHICKEN WITH TUNA &amp; SALMON RECIPE</t>
  </si>
  <si>
    <t>DASHI DELIGHTS DELICATE FLAKES CHICKEN WITH TUNA &amp; SCALLOP RECIPE</t>
  </si>
  <si>
    <t>DASHI DELIGHTS SILKY BROTH CHICKEN WITH TUNA &amp; SALMON RECIPE</t>
  </si>
  <si>
    <t>DASHI DELIGHTS SILKY BROTH CHICKEN WITH TUNA &amp; SCALLOP RECIPE</t>
  </si>
  <si>
    <t>kit cat</t>
  </si>
  <si>
    <t>Kit Cat Savoury Soup Chicken</t>
  </si>
  <si>
    <t>Kit Cat Savoury Soup Tuna</t>
  </si>
  <si>
    <t>Kit Cat Savoury Soup Salmon</t>
  </si>
  <si>
    <t>Kit Cat Savoury Soup Seafood</t>
  </si>
  <si>
    <t>Kit Cat Goatmilk Cat</t>
  </si>
  <si>
    <t>Kit Cat Goatmilk Kitten</t>
  </si>
  <si>
    <t>جديد</t>
  </si>
  <si>
    <t>WHZ311EU</t>
  </si>
  <si>
    <t>Whimzees Ricebone 540g</t>
  </si>
  <si>
    <t>WHZ316EU</t>
  </si>
  <si>
    <t>Whimzees Stix S 420g</t>
  </si>
  <si>
    <t>WHZ317EU</t>
  </si>
  <si>
    <t>Whimzees Stix M 420g</t>
  </si>
  <si>
    <t>WHZ318EU</t>
  </si>
  <si>
    <t>Whimzees Stix L 420g</t>
  </si>
  <si>
    <t>WHZ320EU</t>
  </si>
  <si>
    <t>Whimzees Alligator M 360g</t>
  </si>
  <si>
    <t>WHZ322EU</t>
  </si>
  <si>
    <t>Whimzees Alligator S 360g</t>
  </si>
  <si>
    <t>WHZ327EU</t>
  </si>
  <si>
    <t>Whimzees Stix XS 420g</t>
  </si>
  <si>
    <t>WHZ341EU</t>
  </si>
  <si>
    <t>Whimzees Toothbrush Star XS 360g</t>
  </si>
  <si>
    <t>WHZ342EU</t>
  </si>
  <si>
    <t>Whimzees Toothbrush Star S 360g</t>
  </si>
  <si>
    <t>WHZ343EU</t>
  </si>
  <si>
    <t>Whimzees Toothbrush Star M 360g</t>
  </si>
  <si>
    <t>WHZ344EU</t>
  </si>
  <si>
    <t>Whimzees Toothbrush Star L 360g</t>
  </si>
  <si>
    <t>Sanal Dogs</t>
  </si>
  <si>
    <t>Sanal Dog Dental Sticks Medium 140g</t>
  </si>
  <si>
    <t>Sanal Dog Dental Sticks Small 105g</t>
  </si>
  <si>
    <t>Sanal Dog Mini Hearts 100g</t>
  </si>
  <si>
    <t>Sanal Dog Trainers Duo Hearts 300g</t>
  </si>
  <si>
    <t>Kit Cat Daily Supplement Gel - Hairball 120g</t>
  </si>
  <si>
    <t>Kit Cat Daily Supplement Gel - Multi Vitamin 120g</t>
  </si>
  <si>
    <t>Kit Cat Daily Supplement Gel - Skin &amp; Coat 120g</t>
  </si>
  <si>
    <t>Kit Cat Daily Supplement Gel -urinaru care</t>
  </si>
  <si>
    <t>Kit Cat Daily Supplement Gel - Weight Gain</t>
  </si>
  <si>
    <t>Kit Cat Kitten Milk Replacer 200g</t>
  </si>
  <si>
    <t>Josera Fohlen &amp; Stute 20kg</t>
  </si>
  <si>
    <t>No</t>
  </si>
  <si>
    <t>Josera Joker-Mineral 15kg</t>
  </si>
  <si>
    <t>Josera Joker-Mineral 4kg</t>
  </si>
  <si>
    <t>Josera Kraut &amp; Ruben Mineral 4kg</t>
  </si>
  <si>
    <t>Josera Kraut &amp; Ruben Mash 15kg</t>
  </si>
  <si>
    <t>Josera Kraut &amp; Ruben Mash 2kg</t>
  </si>
  <si>
    <t>Josera Kraut &amp; Ruben Mineral 15kg</t>
  </si>
  <si>
    <t>Josera Kraut &amp; Ruben Mineral</t>
  </si>
  <si>
    <t>Josera Wald &amp; Wiese 15kg</t>
  </si>
  <si>
    <t>Josera Help MvoGast Struktur 15kg</t>
  </si>
  <si>
    <t>Josera Help AminoBalancer 4kg</t>
  </si>
  <si>
    <t>CéDé</t>
  </si>
  <si>
    <t>CéDé Complete Handrearing food Protein+ P21-800g</t>
  </si>
  <si>
    <t>CéDé Complete Handrearing food Protein+ P21-200g</t>
  </si>
  <si>
    <t>CéDé Complete Handrearing food Energy+ P19 - 800g</t>
  </si>
  <si>
    <t>CéDé Complete Handrearing food Energy+ P19 - 200g</t>
  </si>
  <si>
    <t>Poultry-Menu 900g / 90 g</t>
  </si>
  <si>
    <t>Kitten Grainfree 400g / 60 g</t>
  </si>
  <si>
    <t xml:space="preserve">SensiCat 400g / 60 g </t>
  </si>
  <si>
    <t>مكتمل</t>
  </si>
  <si>
    <t>Dr.clauder</t>
  </si>
  <si>
    <t>DC Stripes Beef Snack Small 80g</t>
  </si>
  <si>
    <t>DC Stripes Chicken Snack Small 80g</t>
  </si>
  <si>
    <t>DC Stripes Duck Snack Small 80g</t>
  </si>
  <si>
    <t>DC Stripes Lamb Snack Small 80g</t>
  </si>
  <si>
    <t>DC F&amp;C Mother &amp; Puppy Emulsion 150g</t>
  </si>
  <si>
    <t>مرفوض</t>
  </si>
  <si>
    <t>DC High Premium Indoor 1.5kg</t>
  </si>
  <si>
    <t>Josera Meat Bars Beef 40g</t>
  </si>
  <si>
    <t>Josera Meat Bars Chicken 40g</t>
  </si>
  <si>
    <t>.Josera Meat Bars Turkey 40g</t>
  </si>
  <si>
    <t>Josera Meat Chunks Beef 70g</t>
  </si>
  <si>
    <t>Josera Meat Chunks Chicken 70g</t>
  </si>
  <si>
    <t>Josera Meat Chunks Turkey 70g</t>
  </si>
  <si>
    <t>Josera Meat Bites Mini Beef 70g</t>
  </si>
  <si>
    <t>Josera Meat Bites Mini Chicken 70g</t>
  </si>
  <si>
    <t>Josera Meat Bites Mini Turkey 70g</t>
  </si>
  <si>
    <t>Josera Meat Hearts Beef 70g</t>
  </si>
  <si>
    <t>Josera Meat Hearts Chicken 70g</t>
  </si>
  <si>
    <t>Josera Meat Hearts Turkey 70g</t>
  </si>
  <si>
    <t>JOSI</t>
  </si>
  <si>
    <t>JosiCat Meat Sticks Beef Lamb 20 x 35 g</t>
  </si>
  <si>
    <t>JosiCat Meat Sticks Chicken &amp; Duck 20 x 35 g</t>
  </si>
  <si>
    <t>JosiCat Meat Sticks Salmon &amp; Trout 20 x 35 g</t>
  </si>
  <si>
    <t>JosiDog Meat Sticks Beef20 x 33 g</t>
  </si>
  <si>
    <t>JosiDog Meat Sticks lamb</t>
  </si>
  <si>
    <t>JosiDog Meat Sticks Chicken 20 x 33 g</t>
  </si>
  <si>
    <t>WEL DD CORE SB Hlthy Wt 1.5kg</t>
  </si>
  <si>
    <t>WEL DD CORE SB Adult Ocean 1.5kg 5kg</t>
  </si>
  <si>
    <t>WEL DD CORE Puppy 1.5kg</t>
  </si>
  <si>
    <t>WEL DD CORE SB Original 1.5kg</t>
  </si>
  <si>
    <t>WEL DD CORE Senior 4/1.8kg</t>
  </si>
  <si>
    <t>WEL DD CORE Original 411.8kg</t>
  </si>
  <si>
    <t>WEL DD CORE Healthy Weight 1.8kg</t>
  </si>
  <si>
    <t>WEL DC CORE lamb 1.8kg , 10kg</t>
  </si>
  <si>
    <t>WEL DD CORE LB Puppy 2.75kg 10kg</t>
  </si>
  <si>
    <t>WEL DD CORE SB Adult Original 5kg</t>
  </si>
  <si>
    <t>WEL DD CORE SB Adult Low Fat 5kg</t>
  </si>
  <si>
    <t>WEL DD CORE OCEAN 1.8 &amp; 10 KG</t>
  </si>
  <si>
    <t>WEL DD CORE Original 10kg</t>
  </si>
  <si>
    <t>WEL DD CORE Healthy Weight 10kg</t>
  </si>
  <si>
    <t xml:space="preserve">WEL DD CORE Puppy 10kg </t>
  </si>
  <si>
    <t xml:space="preserve">WEL DD CORE Lamb 10kg </t>
  </si>
  <si>
    <t xml:space="preserve"> WEL DD CORE LB Puppy 10kg</t>
  </si>
  <si>
    <t>WEL DD CORE LB Original 10kg</t>
  </si>
  <si>
    <t>WEL DD CORE Senior Original 10kg</t>
  </si>
  <si>
    <t xml:space="preserve">WEL DD Active Life 10kg </t>
  </si>
  <si>
    <t xml:space="preserve">WEL DC CORE Ocean 6/300g </t>
  </si>
  <si>
    <t>WEL DC CORE Sterilised Fish 6/300g</t>
  </si>
  <si>
    <t xml:space="preserve">WEL DC CORE Original 6/300g </t>
  </si>
  <si>
    <t>WEL DC CORE Sterilised 6/300g</t>
  </si>
  <si>
    <t xml:space="preserve"> WEL DC CORE Kitten 6/300g </t>
  </si>
  <si>
    <t xml:space="preserve">WEL DC CORE Fish 411.75kg </t>
  </si>
  <si>
    <t>WEL DC CORE Sterlised Fish 411.75kg</t>
  </si>
  <si>
    <t xml:space="preserve"> WEL DC CORE Original 411.75kg</t>
  </si>
  <si>
    <t>WEL DC CORE Sterilised 411.75kg</t>
  </si>
  <si>
    <t xml:space="preserve">WEL DC CORE Kitten 4/1. 75kg </t>
  </si>
  <si>
    <t xml:space="preserve"> WEL DC CORE Adult Original 4kg</t>
  </si>
  <si>
    <t>WEL DC CORE Adult Ocean 4kg</t>
  </si>
  <si>
    <t>WEL DC CORE Adult Sterile Orig 4kg</t>
  </si>
  <si>
    <t>WEL DC CORE Adult Sterile Ocean 4kg</t>
  </si>
  <si>
    <t>ENCORE</t>
  </si>
  <si>
    <t>Encore Cat Chicken Breast in Broth 70g</t>
  </si>
  <si>
    <t>Encore Cat Tuna Fillet in Broth 70g</t>
  </si>
  <si>
    <t>Encore Cat Tuna Fillet with Shrimp in Broth 70g</t>
  </si>
  <si>
    <t>Encore Cat Tuna Fillet with Salmon in Broth 70غ</t>
  </si>
  <si>
    <t>Encore Cat Chicken Breast with Brown Rice in Broth 70g</t>
  </si>
  <si>
    <t>Encore Cat Tuna Fillet with Prawn in Broth 70g</t>
  </si>
  <si>
    <t>Encore Cat Tuna in Jelly 50g</t>
  </si>
  <si>
    <t>Encore Cat Tuna with Mackerel in Jelly 50g</t>
  </si>
  <si>
    <t>Encore Cat Tuna with Salmon in Jelly 50g</t>
  </si>
  <si>
    <t>Princess Plus Kitten Complete Cat Food</t>
  </si>
  <si>
    <t>Princess Plus Maintenance Complete Cat Food</t>
  </si>
  <si>
    <t>CeDe eivoer kanarie 1kg</t>
  </si>
  <si>
    <t>CeDe opfokvoer Bianco 1kg</t>
  </si>
  <si>
    <t>CeDe eivoer grasparkiet 1kg</t>
  </si>
  <si>
    <t>CéDé egg food tropical finches 1kg</t>
  </si>
  <si>
    <t>CeDe eivoer grate parkiet &amp; papegaai 1kg</t>
  </si>
  <si>
    <t>CéDé hand rearing food Energy+ P19 200g 800g 3kg</t>
  </si>
  <si>
    <t>CéDé Insectfood 600g</t>
  </si>
  <si>
    <t>CeDe onderhoudsvoer Allround 1kg</t>
  </si>
  <si>
    <t>CeDe prote"ine mix 1kg</t>
  </si>
  <si>
    <t>CeDe eivoer rul Allround 1kg 200g</t>
  </si>
  <si>
    <t>CeDe eivoer rul All round tropisch fruit 200g</t>
  </si>
  <si>
    <t>CeDe eivoer rul Allround kruiden &amp; appel 200g</t>
  </si>
  <si>
    <t>CeDe eivoer rul All round noten &amp; fruit grof 200g</t>
  </si>
  <si>
    <t>CeDe eivoer Allround 100% eicake 120g</t>
  </si>
  <si>
    <t>CéDé Multivitamin 200ml</t>
  </si>
  <si>
    <t>CéDé hand rearing food Protein+ P21-F9 200g 800g 3kg</t>
  </si>
  <si>
    <t>ACANA</t>
  </si>
  <si>
    <t>F2F235421W00085</t>
  </si>
  <si>
    <t>ACANA Premium Pate Beef for adult cats 85g</t>
  </si>
  <si>
    <t>F2F235521W00085</t>
  </si>
  <si>
    <t>ACANA Premium Pate Chicken for adult cats</t>
  </si>
  <si>
    <t>F2F235021W00085</t>
  </si>
  <si>
    <t>ACANA Premium Pate Chicken with Fish for kittens</t>
  </si>
  <si>
    <t>F2F235121W00085</t>
  </si>
  <si>
    <t>ACANA Premium Pate Lamb for adult cats</t>
  </si>
  <si>
    <t>F2F235321W00085</t>
  </si>
  <si>
    <t>ACANA Premium Pate Salmon with Chicken for adult cats</t>
  </si>
  <si>
    <t>F2F235221W00085</t>
  </si>
  <si>
    <t>ACANA Premium Pate Tuna with Chicken for adult cats</t>
  </si>
  <si>
    <t xml:space="preserve">NATURAL CODE </t>
  </si>
  <si>
    <t xml:space="preserve">Natural Code chicken fillets
</t>
  </si>
  <si>
    <t xml:space="preserve">Natural Code Chicken with Shrimps
</t>
  </si>
  <si>
    <t xml:space="preserve">Natural Code Chicken and Salmon
</t>
  </si>
  <si>
    <t xml:space="preserve">Natural Code Chicken with Tuna
</t>
  </si>
  <si>
    <t>Natural Code Chicken with beef</t>
  </si>
  <si>
    <t xml:space="preserve">NATURAL CODE TUNA SLICES
</t>
  </si>
  <si>
    <t xml:space="preserve">NATURAL CODE CHICKEN FOR KIT TEN
</t>
  </si>
  <si>
    <t xml:space="preserve">NATURAL CODE TUNA FOR KIT TEN
</t>
  </si>
  <si>
    <t xml:space="preserve">Natural Code Chicken and vegetables
</t>
  </si>
  <si>
    <t xml:space="preserve">NATURAL CODE TUNA AND SHRIMPS
</t>
  </si>
  <si>
    <t xml:space="preserve">NATURAL CODE TUNA AND WHITEBAIT
</t>
  </si>
  <si>
    <t xml:space="preserve">NATURAL CODE TUNA AND ALOE
</t>
  </si>
  <si>
    <t xml:space="preserve">NATURAL CODE TUNA AND BEEF
</t>
  </si>
  <si>
    <t>NATURAL CODE CHICKEN AND ASPARAGUSES</t>
  </si>
  <si>
    <t xml:space="preserve">NATURAL CODE CHICKEN AND SARDINES IN JELLY
</t>
  </si>
  <si>
    <t xml:space="preserve">NATURAL CODE TUNA AND SURIMI IN JELLY
</t>
  </si>
  <si>
    <t xml:space="preserve">NATURAL CODE CHICKEN AND TURKEY IN JELLY
</t>
  </si>
  <si>
    <t xml:space="preserve">NATURAL CODE CHICKEN, AMARANTH AND CARROTS IN JE.
</t>
  </si>
  <si>
    <t xml:space="preserve">NATURAL CODE TUNA AND KIWI IN JELLY
</t>
  </si>
  <si>
    <t xml:space="preserve">NATURAL CODE TUNA AND PAPAYA IN JELLY
</t>
  </si>
  <si>
    <t xml:space="preserve">NATURAL CODE KIT TEN BABY TUNA AND CHICKEN
</t>
  </si>
  <si>
    <t>NATURAL CODE ST ERIL 01 T UNA AND ZUCCHINI</t>
  </si>
  <si>
    <t>NATURAL CODE STERIL 02 TUNA AND AMARANTH</t>
  </si>
  <si>
    <t>NATURAL CODE ST ERIL 03 T UNA AND SEAWEEDS</t>
  </si>
  <si>
    <t>NATURAL CODE STERIL 04 TUNA AND ANCHOVIES</t>
  </si>
  <si>
    <t>NATURAL CODE ST ERIL 05 T UNA AND SEA BASS</t>
  </si>
  <si>
    <t>NATURAL CODE LAMB AND POTATOES</t>
  </si>
  <si>
    <t xml:space="preserve">NATURAL CODE BEEF AND VEGETABLES
</t>
  </si>
  <si>
    <t>NAT URAL CODE T URKEY AND POT AT OES</t>
  </si>
  <si>
    <t xml:space="preserve">NATURAL CODE CHICKEN WITH BEEF AND VEGETABLES
</t>
  </si>
  <si>
    <t>CHICKEN</t>
  </si>
  <si>
    <t xml:space="preserve">NATURAL CODE TUNA WITH SARDINES
</t>
  </si>
  <si>
    <t>NATURAL CODE CHICKEN WIT H LAMB AND POT AT OES</t>
  </si>
  <si>
    <t xml:space="preserve">NATURAL CODE TUNA WITH PUMPKIN
</t>
  </si>
  <si>
    <t xml:space="preserve">NATURAL CODE POUCH TUNA
</t>
  </si>
  <si>
    <t xml:space="preserve">NATURAL CODE TUNA AND SALMON
</t>
  </si>
  <si>
    <t xml:space="preserve">NATURAL CODE POUCH TUNA WITH SEA BREAM
</t>
  </si>
  <si>
    <t xml:space="preserve">NATURAL CODE POUCH SEA BREAM WITH VEGETABLES
</t>
  </si>
  <si>
    <t xml:space="preserve">NATURAL CODE POUCH TUNA WITH SALMON
</t>
  </si>
  <si>
    <t xml:space="preserve">NATURAL CODE STERILCAT TUNA WITH FLAXSEED AND BROWN RICE
</t>
  </si>
  <si>
    <t xml:space="preserve">NATURAL CODE STERILCAT TUNA WITH BLUEBERRIES AND BROWN RICE
</t>
  </si>
  <si>
    <t xml:space="preserve">NATURAL CODE STERILCAT TUNA WITH QUINOA AND BROWN RICE
</t>
  </si>
  <si>
    <t xml:space="preserve">NATURAL CODE TUNA FOR KIT TEN
</t>
  </si>
  <si>
    <t>NAT URAL CODE ST ERILCAT T UNA WIT H PUMPKIN AND BROWN RICE</t>
  </si>
  <si>
    <t xml:space="preserve">FELAYN GO
</t>
  </si>
  <si>
    <t>Salmon in gravy</t>
  </si>
  <si>
    <t>Tuna white meat in gravy</t>
  </si>
  <si>
    <t>Mackerel flakes and pumpkin in jelly</t>
  </si>
  <si>
    <t>Chicken in gravy</t>
  </si>
  <si>
    <t>Chicken and pumpkin with vegetables soup</t>
  </si>
  <si>
    <t>Chicken and Rice with Spinach in Jelly</t>
  </si>
  <si>
    <t>Chicken and Beef in Jelly</t>
  </si>
  <si>
    <t>Chicken and Rice with Pumpkin in Jelly</t>
  </si>
  <si>
    <t>Chicken and Rice with Green pea in Jelly</t>
  </si>
  <si>
    <t>Tuna Whole Meat with Surimi in Jelly</t>
  </si>
  <si>
    <t>Chicken Breast with Cheese</t>
  </si>
  <si>
    <t>Chicken Fillets</t>
  </si>
  <si>
    <t>Tuna and Chicken in Gravy</t>
  </si>
  <si>
    <t>Chicken Breast with Pumpkin</t>
  </si>
  <si>
    <t>Tuna with Shrimp</t>
  </si>
  <si>
    <t>Tuna with Chicken</t>
  </si>
  <si>
    <t>Chicken Fillets with Surimi</t>
  </si>
  <si>
    <t>Kitten Tuna in Jelly</t>
  </si>
  <si>
    <t>Kitten Chicken in Jelly</t>
  </si>
  <si>
    <t>Tuna with rice in jelly</t>
  </si>
  <si>
    <t>Tuna soup with papaya</t>
  </si>
  <si>
    <t>Tuna soup with pumpkin</t>
  </si>
  <si>
    <t xml:space="preserve">Kit Cat Tuna &amp; Chicken 80g </t>
  </si>
  <si>
    <t>Kit Cat Tuna &amp; Chicken Heart 80g</t>
  </si>
  <si>
    <t>Kit Cat Chicken &amp; Egg Yolk 80g</t>
  </si>
  <si>
    <t>Kit Cat Chicken &amp; Chicken Heart 80g</t>
  </si>
  <si>
    <t>Kit Cat Purrpuree Salmon Mix 900g</t>
  </si>
  <si>
    <t>Kit Cat Purrpuree Tuna Mix 900g</t>
  </si>
  <si>
    <t>Kit Cat Purrpuree Egg Yolk Mix 900g</t>
  </si>
  <si>
    <t>Kit Cat Purrpuree Goat Milk Mix 900g</t>
  </si>
  <si>
    <t>Kit Cat Purrpuree Chicken Mix 900g</t>
  </si>
  <si>
    <t>Kit Cat Purrpuree Variety Mix 900g</t>
  </si>
  <si>
    <t>Kit Cat Purrpuree Tuna &amp; Fiber ( Hairball ) 75g</t>
  </si>
  <si>
    <t>Kit Cat Purrpuree Tuna &amp; Goat Milk 75g</t>
  </si>
  <si>
    <t>Kit Cat Purrpuree Chicken &amp; Salmon 75g</t>
  </si>
  <si>
    <t>Kit Cat Purrpuree Chicken &amp; Goat Milk 75g</t>
  </si>
  <si>
    <t>Kit Cat Purrpuree Tuna &amp; Egg Yolk 75g</t>
  </si>
  <si>
    <t>Kit Cat Purrpuree Chicken &amp; Egg Yolk 75g</t>
  </si>
  <si>
    <t>Kit Cat Purrpuree Tuna &amp; Salmon 75g</t>
  </si>
  <si>
    <t>Kit Cat Purrpuree Salmon 75g</t>
  </si>
  <si>
    <t>Kit Cat Purrpuree Salmon &amp; Fiber ( Hairball) 75g</t>
  </si>
  <si>
    <t>Kit Cat Purrpuree Salmon &amp; Goat Milk 75g</t>
  </si>
  <si>
    <t>Kit Cat Purrpuree Salmon &amp; Egg Yolk 75g</t>
  </si>
  <si>
    <t>Garden Bites</t>
  </si>
  <si>
    <t>Garden Bites veggie buddies S - 6cm 270g</t>
  </si>
  <si>
    <t>Garden Bites veggie buddies M 270g</t>
  </si>
  <si>
    <t>Garden Bites triple vegan sticks S - 13cm - 20pcs multicolour 300g</t>
  </si>
  <si>
    <t>Garden Bites triple vegan sticks M - 15cm - 300g</t>
  </si>
  <si>
    <t>Garden Bites triple vegan sticks XL - 25cm - 3pcs multicolour 120g</t>
  </si>
  <si>
    <t>Garden Bites veggie buddies S - 6cm - 15g 2.7kg - display mixed colors</t>
  </si>
  <si>
    <t>Garden Bites veggie buddies M - 8,5cm - 45g 2.7kg display mixed colors</t>
  </si>
  <si>
    <t>Garden Bites veggie buddies L - 11cm - 90g - display mixed colors</t>
  </si>
  <si>
    <t>Garden Bites Fruity friends M ( 270g &amp; 2.7kg)</t>
  </si>
  <si>
    <t>Garden Bites dental twisters XL 120g/ 3.24kg</t>
  </si>
  <si>
    <t>Garden Bites dental sticks XL 120g &amp; 3.24kg</t>
  </si>
  <si>
    <t>applaws</t>
  </si>
  <si>
    <t>1009RE-A</t>
  </si>
  <si>
    <t>Applaws Cat Tin Tuna Fillet with Seaweed ( 70g &amp; 156g)</t>
  </si>
  <si>
    <t>2002RE-A</t>
  </si>
  <si>
    <t>Applaws Cat Chicken Breast 156g</t>
  </si>
  <si>
    <t>2003RE-A</t>
  </si>
  <si>
    <t>Applaws Cat Tuna Fillet 156g</t>
  </si>
  <si>
    <t>2005RE-A</t>
  </si>
  <si>
    <t>Applaws Cat Ocean Fish in broth 156g</t>
  </si>
  <si>
    <t>2007RE-A</t>
  </si>
  <si>
    <t>Applaws Cat Tuna Fillet with Cheese in broth 156g</t>
  </si>
  <si>
    <t>2025RE-A</t>
  </si>
  <si>
    <t>Applaws Cat Chicken Breast with Duck 156g</t>
  </si>
  <si>
    <t>9504ML-A</t>
  </si>
  <si>
    <t>Applaws Treat Tuna Loin 30g</t>
  </si>
  <si>
    <t>9506ML-A</t>
  </si>
  <si>
    <t>Applaws Treat Mackerel Loin 30g</t>
  </si>
  <si>
    <t>9509ML-A</t>
  </si>
  <si>
    <t>Applaws Treat Salmon Loin 30g</t>
  </si>
  <si>
    <t>ACANA Highest Protein Pacifica Recipe</t>
  </si>
  <si>
    <t>ACANA Highest Protein Wild Prairie Recipe Dog Food</t>
  </si>
  <si>
    <t>ACANA Highest Protein Grasslands Recipe Dog Food</t>
  </si>
  <si>
    <t>Selected Meat Sensible Beef 400g</t>
  </si>
  <si>
    <t>Selected Meat Sensible Chicken 400g</t>
  </si>
  <si>
    <t>Selected Meat Sensitive 400g</t>
  </si>
  <si>
    <t>Selected Meat Intestinal 400g</t>
  </si>
  <si>
    <t>Hypoallergen Diet 200g</t>
  </si>
  <si>
    <t>Anti Struvit Diet 200g</t>
  </si>
  <si>
    <t>Intestinal Diet 200g</t>
  </si>
  <si>
    <t>Kidney Diet 200g</t>
  </si>
  <si>
    <t>Dr clauder Best Selection Kitten 85g</t>
  </si>
  <si>
    <t xml:space="preserve">Dr clauder Best Selection Adult No 1 85g 200g </t>
  </si>
  <si>
    <t xml:space="preserve">Dr clauder Best Selection Adult No 2 85g 200g </t>
  </si>
  <si>
    <t>Dr clauder Best Selection Adult No 3 85g 200g</t>
  </si>
  <si>
    <t>Dr clauder Best Selection Adult No 4 85g 200g</t>
  </si>
  <si>
    <t>Dr clauder Best Selection Adult No 5 85g 200g</t>
  </si>
  <si>
    <t>Dr clauder Best Selection Adult No 10 85g 200g</t>
  </si>
  <si>
    <t>Dr clauder Best Selection Sterilised No 30 85g</t>
  </si>
  <si>
    <t>Dr clauder Best Selection Sterilised No 31 85g</t>
  </si>
  <si>
    <t>Dr clauder Best Selection Sterilised No 32 85g</t>
  </si>
  <si>
    <t>Dr clauder Best Selection Sterilised No 33 85g</t>
  </si>
  <si>
    <t>Dr clauder Best Selection Sterilised No 34 85g</t>
  </si>
  <si>
    <t>Dr clauder Selected Meat Poultry 100g</t>
  </si>
  <si>
    <t>Dr clauder Selected Meat Salmon &amp; Rice 100g</t>
  </si>
  <si>
    <t>Dr clauder BARF Salmonoil traditional 250ml</t>
  </si>
  <si>
    <t>Dr clauder Selected Meat Beef 200g</t>
  </si>
  <si>
    <t>Dr clauder Selected Meat Lamb &amp; Apple 200g</t>
  </si>
  <si>
    <t>Dr clauder Diet FSD Fur &amp; Skin 200g</t>
  </si>
  <si>
    <t>Dr clauder BARF Calcium / Phosphor 450g</t>
  </si>
  <si>
    <t>Dr clauder Trainee Snack Cheese 80g</t>
  </si>
  <si>
    <t>Dr clauder Basic Nature Vollcost Croc 20kg</t>
  </si>
  <si>
    <t>Dr clauder Basic Nature Energy 20kg</t>
  </si>
  <si>
    <t>Dr clauder Snack IT Multivitamin Creme 100g</t>
  </si>
  <si>
    <t>Dr clauder Snack IT Cheese Creme 100g</t>
  </si>
  <si>
    <t>Dr clauder Snack IT Salmon Creme 100g</t>
  </si>
  <si>
    <t xml:space="preserve">Wellness </t>
  </si>
  <si>
    <t>Wellness CORE Reward + calming duck recipe</t>
  </si>
  <si>
    <t>Wellness CORE Reward + digestion krill recipe</t>
  </si>
  <si>
    <t>Wellness CORE Reward + mobility sport recipe</t>
  </si>
  <si>
    <t>Wellness Core Reward + Skin &amp; Coat salmon sport recipe</t>
  </si>
  <si>
    <t>Wellness Core training treats chicken recipe flavored with berries</t>
  </si>
  <si>
    <t>Wellness Core training treats lamb reipe flavored with apples</t>
  </si>
  <si>
    <t>Wellness Core puppy trainers chicken recipe with carrots</t>
  </si>
  <si>
    <t>ZOLUX YUMMIES DOG SOFT TREATS LAMB 15g</t>
  </si>
  <si>
    <t>ZOLUX YUMMIES CAT SOFT STICKS TURKEY &amp; LIVER 15g</t>
  </si>
  <si>
    <t>ZOLUX YUMMIES DOG SOFT TREATS CHICKEN 12g</t>
  </si>
  <si>
    <t>ZOLUX YUMMIES CAT SOFT STICKS SALMON TROUT 15g</t>
  </si>
  <si>
    <t>ZOLUX YUMMIES CAT SOFT STICKS LAMB 12g</t>
  </si>
  <si>
    <t>ZOLUX YUMMIES DOG SOFT TREATS BEEF 12g</t>
  </si>
  <si>
    <t>Kit Cat Deboned Kitten Chicken Toppers 6x50g</t>
  </si>
  <si>
    <t>Kit Cat Deboned Kitten Tuna Toppers 6x50g</t>
  </si>
  <si>
    <t>Kit Cat Deboned Chicken &amp; Beef Toppers 6x50g</t>
  </si>
  <si>
    <t>Kit Cat Deboned Classic Chicken Toppers 6x50g</t>
  </si>
  <si>
    <t>Kit Cat Deboned Classic Tuna Toppers 6x50g</t>
  </si>
  <si>
    <t>Kit Cat Deboned Chicken &amp; Salmon Toppers 6x50g</t>
  </si>
  <si>
    <t>Kit Cat Deboned Tuna &amp; Chicken Toppers 6x50g</t>
  </si>
  <si>
    <t>Kit Cat Deboned Tuna &amp; Salmon Toppers 6x50g</t>
  </si>
  <si>
    <t>Kit Cat Deboned Tuna &amp; Shrimp Toppers 6x50g</t>
  </si>
  <si>
    <t>Kit Cat Deboned Tuna &amp; Whitebait Toppers 6x50g</t>
  </si>
  <si>
    <t>ENC8125-4CE</t>
  </si>
  <si>
    <t>Encore Cat Chicken breast with Duck 50g</t>
  </si>
  <si>
    <t>ENC1005-4CE</t>
  </si>
  <si>
    <t>Encore Chicken breast with ocean fish 50g</t>
  </si>
  <si>
    <t>Zolux Dog creamy stick chicken cheese 14g</t>
  </si>
  <si>
    <t>Zolux Dog creamy stick duck 14g</t>
  </si>
  <si>
    <t>Zolux Dog creamy stick chicken 14g</t>
  </si>
  <si>
    <t>Zolux Dog creamy stick chicken Salmon 14g</t>
  </si>
  <si>
    <t>Zolux Cat creamy stick tuna 14g</t>
  </si>
  <si>
    <t>Zolux Cat creamy stick chicken 14g</t>
  </si>
  <si>
    <t>Zolux cat creamy stick tuna shrimp 14g</t>
  </si>
  <si>
    <t>Zolux cat creamy stick tuna salmon 14g</t>
  </si>
  <si>
    <t>ACANA Puppy Small Breed Food 2kg</t>
  </si>
  <si>
    <t>ACANA Puppy Small Breed Food 6 kg</t>
  </si>
  <si>
    <t>ACANA Puppy Dog Food 2kg 6 kg</t>
  </si>
  <si>
    <t>ACANA Puppy Dog Food 11.4 kg</t>
  </si>
  <si>
    <t>ACANA Adult Small Breed Dog Food 2kg</t>
  </si>
  <si>
    <t>ACANA Adult Small Breed Dog Food 340g 6kg</t>
  </si>
  <si>
    <t>ACANA Adult Dog Food 2kg</t>
  </si>
  <si>
    <t>ACA ADULT DOG RECIPE 11.4KG</t>
  </si>
  <si>
    <t>ACANA Adult Dog Food 6- 17 kg</t>
  </si>
  <si>
    <t>ACANA Sport &amp; Agility Dog Food 11.4 kg</t>
  </si>
  <si>
    <t>ACANA Light Fit Dog Food 2 kg</t>
  </si>
  <si>
    <t>ACANA Light Fit Dog Food 6kg 11kg</t>
  </si>
  <si>
    <t>ACANA Senior Dog Food 2 kg</t>
  </si>
  <si>
    <t>ACANA Senior Dog Food 6kg 11kg</t>
  </si>
  <si>
    <t>ACANA Homestead Harvest Cat Food 1.8 kg</t>
  </si>
  <si>
    <t>ACANA Homestead Harvest Cat Food 4.5kg 340g</t>
  </si>
  <si>
    <t>ACANA Bountiful Catch Cat Food 1.8 kg</t>
  </si>
  <si>
    <t>ACANA Bountiful Catch Cat Food 4.5kg</t>
  </si>
  <si>
    <t>INTL ACANA Indoor Entree Cat 1.8 kg</t>
  </si>
  <si>
    <t>INTL ACANA Indoor Entree Cat 4.5kg 340g</t>
  </si>
  <si>
    <t>ACANA Highest Protein Wild Prairie Cat Food 340g</t>
  </si>
  <si>
    <t>ACANA Highest Protein Wild Prairie Cat Food 1.8 kg</t>
  </si>
  <si>
    <t>ACANA Highest Protein Grasslands Cat Food 340g</t>
  </si>
  <si>
    <t>ACANA Highest Protein Grasslands Cat Food 1.8 kg</t>
  </si>
  <si>
    <t>ACANA Highest Protein Indoor Cat Food 1.8 kg</t>
  </si>
  <si>
    <t>ACANA Highest Protein Indoor Cat Food 4.5 kg</t>
  </si>
  <si>
    <t>ACANA Highest Protein Pacifica Cat Food 340g</t>
  </si>
  <si>
    <t>ACANA Highest Protein Pacifica Cat Food 1.8 kg</t>
  </si>
  <si>
    <t>ORIJEN</t>
  </si>
  <si>
    <t>ORIJEN Puppy Dog Food 2 kg</t>
  </si>
  <si>
    <t>ORIJEN Puppy Large Dog Food 6 kg</t>
  </si>
  <si>
    <t>ORIJEN Puppy Dog Food 11.4kg</t>
  </si>
  <si>
    <t>ORIJEN Small Breed Dog Food 1.8 kg</t>
  </si>
  <si>
    <t>ORI SMALL BREED DOG 4.5KG</t>
  </si>
  <si>
    <t>ORIJEN Small Breed Puppy Dog Food 1.8kg</t>
  </si>
  <si>
    <t>ORIJEN Original Dog Food 2 kg</t>
  </si>
  <si>
    <t>ORIJEN Original Dog Food 6kg</t>
  </si>
  <si>
    <t>ORIJEN Six Fish Dog Food 2 kg</t>
  </si>
  <si>
    <t>ORIJEN Six Fish Dog Food 6kg 11.4kg</t>
  </si>
  <si>
    <t>ORIJEN Fit &amp; Trim Dog Food 2 kg</t>
  </si>
  <si>
    <t>ORIJEN Fit &amp; Trim Dog Food 11.4 kg</t>
  </si>
  <si>
    <t>ORIJEN Senior Dog Food2 kg</t>
  </si>
  <si>
    <t>ORIJEN Senior Dog Food 6kg</t>
  </si>
  <si>
    <t>ORI SENIOR DOG 11.4KG</t>
  </si>
  <si>
    <t>ORIJEN Original Cat Food 340g</t>
  </si>
  <si>
    <t>ORIJEN Original Cat Food 1.8 kg</t>
  </si>
  <si>
    <t>ORIJEN Guardian 8 Cat Food 340g</t>
  </si>
  <si>
    <t>ORIJEN Guardian 8 Cat Food 1.8kg</t>
  </si>
  <si>
    <t>ORIJEN Six Fish Cat Food 340g</t>
  </si>
  <si>
    <t>ORIJEN Six Fish Cat Food 1.8 kg</t>
  </si>
  <si>
    <t>ORIJEN Kitten Cat Food 340g</t>
  </si>
  <si>
    <t>ORIJEN Kitten Cat Food 1.8 kg</t>
  </si>
  <si>
    <t>ACANA Kitten First Feast Cat Food 1.8kg</t>
  </si>
  <si>
    <t>ACANA Kitten First Feast Cat Food 340g</t>
  </si>
  <si>
    <t xml:space="preserve">FELAYN GO
</t>
  </si>
  <si>
    <t>Felyn Go Cat Wetfood Chunks in Gravy Beef85g</t>
  </si>
  <si>
    <t>FELAYN GO</t>
  </si>
  <si>
    <t>Felyn Go Cat Wetfood Chunks in Gravy Chicken 85g</t>
  </si>
  <si>
    <t>Felyn Go Cat Wetfood Chunks in Gravy Salmon 85g</t>
  </si>
  <si>
    <t>Felyn Go Cat Wetfood Chunks in Gravy Tuna 85g</t>
  </si>
  <si>
    <t>Felyn Go Creamy Lickable Cat Treats Beef 15g</t>
  </si>
  <si>
    <t>Felyn Go Creamy Lickable Cat Treats Catnip 15g</t>
  </si>
  <si>
    <t>Felyn Go Creamy Lickable Cat Treats Chicken 15g</t>
  </si>
  <si>
    <t>Felyn Go Creamy Lickable Cat Treats Duck 15g</t>
  </si>
  <si>
    <t>Felyn Go Creamy Lickable Cat Treats Duck &amp; Liver 15g</t>
  </si>
  <si>
    <t>Felyn Go Creamy Lickable Cat Treats Rabbit 15g</t>
  </si>
  <si>
    <t>Felyn Go Creamy Lickable Cat Treats Salmon 15g</t>
  </si>
  <si>
    <t>Felyn Go Creamy Lickable Cat Treats Tuna 15g</t>
  </si>
  <si>
    <t>FEL YN GO Milk for Cats 200ml</t>
  </si>
  <si>
    <t>FEL YN GO Milk for Kittens 200ml</t>
  </si>
  <si>
    <t>Felyn Go Soft Bite Cat Treats Chicken &amp; Beef 10g</t>
  </si>
  <si>
    <t>Felyn Go Soft Bite Cat Treats Chicken &amp; Cheese 10g</t>
  </si>
  <si>
    <t>Felyn Go Soft Bite Cat Treats Chicken &amp; Salmon 10g</t>
  </si>
  <si>
    <t>Felyn Go Soft Bite Cat Treats Chicken &amp; Tuna 10g</t>
  </si>
  <si>
    <t>Felyn Go Soft Bite Cat Treats Chicken &amp; Yolk 10g</t>
  </si>
  <si>
    <t>Forza</t>
  </si>
  <si>
    <t>Forza 10 PUPPY CONDRO kg10</t>
  </si>
  <si>
    <t>ADULT CONDRO kg10</t>
  </si>
  <si>
    <t>Forza 10 RENAL 4kg 1.5kg 400g</t>
  </si>
  <si>
    <t>Forza 10 ECHO Mini/Toy 1,5kg</t>
  </si>
  <si>
    <t>Forza 10 ECHO kg4 10kg</t>
  </si>
  <si>
    <t>DERMO Mini/Toy 1,5kg</t>
  </si>
  <si>
    <t>Forza 10 DERMO kg10 4kg</t>
  </si>
  <si>
    <t>Forza 10 ULTRA DERMO 1,5kg 10kg</t>
  </si>
  <si>
    <t>Forza 10 INTESTINAL Mini/Toy 1 ,5kg</t>
  </si>
  <si>
    <t>Forza 10 INTESTINAL kg1,5 4kg 10kg</t>
  </si>
  <si>
    <t>Forza 10 DEPURA kg10</t>
  </si>
  <si>
    <t>Forza 10 PERIACTION Mini/Toy 1 ,5kg</t>
  </si>
  <si>
    <t>Forza 10 PERIACTION kg4 10kg</t>
  </si>
  <si>
    <t>Forza 10 DEFENSE kg10</t>
  </si>
  <si>
    <t>Forza 10 GASTROENTERIC kg4 10kg</t>
  </si>
  <si>
    <t>INTESTINAL COLON FASE 1 Mini/Toy 1 ,5kg</t>
  </si>
  <si>
    <t>INTESTINAL COLON FASE 1 kg4</t>
  </si>
  <si>
    <t>INTESTINAL COLON FASE 1 kg10</t>
  </si>
  <si>
    <t>INTESTINAL COLON FASE 2 Mini/Toy 1,5kg</t>
  </si>
  <si>
    <t>INTESTINAL COLON FASE 2 kg4</t>
  </si>
  <si>
    <t>INTESTINAL COLON FASE 2 kg10</t>
  </si>
  <si>
    <t>INTESTINAL COLON FASE 1 with Lamb and white Sorghum kg1,5</t>
  </si>
  <si>
    <t>INTESTINAL COLON FASE 1 with Lamb and white Sorghum kg10</t>
  </si>
  <si>
    <t>DIABETIC 1,5kg</t>
  </si>
  <si>
    <t>DIABETIC 10kg</t>
  </si>
  <si>
    <t>INTESTINAL Actiwet DOG - multipack 12 pouch x 100gr</t>
  </si>
  <si>
    <t>HYPOALLERGENIC Actiwet DOG (Fish) - multipack 12 pouch x 100gr</t>
  </si>
  <si>
    <t>HYPOALLERGENIC Actiwet DOG (Lamb) - multipack 12 pouch x 100gr</t>
  </si>
  <si>
    <t>INTESTINAL COLON DOG - Can - gr 390</t>
  </si>
  <si>
    <t>RENAL Actiwet DOG (Lamb) - Can - gr 390</t>
  </si>
  <si>
    <t>INTESTINAL Actiwet DOG - Can - gr 390</t>
  </si>
  <si>
    <t>DERMO Actiwet DOG - Can - gr 390</t>
  </si>
  <si>
    <t>INTESTINAL CAT gr400</t>
  </si>
  <si>
    <t>INTESTINAL CAT kg1,5</t>
  </si>
  <si>
    <t>URINARY CAT gr400</t>
  </si>
  <si>
    <t>URINARY CAT kg1,5</t>
  </si>
  <si>
    <t>RENAL CAT gr400</t>
  </si>
  <si>
    <t>RENAL CAT kg1,5</t>
  </si>
  <si>
    <t>HYPOALLERGENIC CAT gr400</t>
  </si>
  <si>
    <t>HYPOALLERGENIC CAT kg1</t>
  </si>
  <si>
    <t>INTESTINAL COLON CAT gr400</t>
  </si>
  <si>
    <t>INTESTINAL COLON CAT kg1,5</t>
  </si>
  <si>
    <t>INTESTINAL Actiwet CAT - multipack 12 pouch x 100gr</t>
  </si>
  <si>
    <t>HYPOALLERGENIC Actiwet CAT (fish) - multipack 12 pouch x 100gr</t>
  </si>
  <si>
    <t>HYPOALLERGENIC Actiwet CAT (lamb) - multipack 12 pouch x 100gr</t>
  </si>
  <si>
    <t>URINARY Actiwet CAT - multipack 12 pouch X 100gr</t>
  </si>
  <si>
    <t>RENAL Actiwet CAT - multipack 12 pouch x 100gr</t>
  </si>
  <si>
    <t>DIABETIC Actiwet CAT 100gr</t>
  </si>
  <si>
    <t>INTESTINAL COLON Actiwet CAT - multipack 12 pouch x 100gr</t>
  </si>
  <si>
    <t>CATIDEA Signature Beef</t>
  </si>
  <si>
    <t>CATIDEA Signature Chicken</t>
  </si>
  <si>
    <t>CATIDEA Signature Duck</t>
  </si>
  <si>
    <t>CATIDEA Signature Goat Milk Mother &amp; Baby Cat</t>
  </si>
  <si>
    <t>CATIDEA Signature Lamb</t>
  </si>
  <si>
    <t>CATIDEA Signature Salmon</t>
  </si>
  <si>
    <t>NUTRIMEAL+ DWARF RABBIT STICK Carrot X 2 115GR</t>
  </si>
  <si>
    <t>NUTRIMEAL+ DWARF RABBIT STICK beetroot X 2 115GR</t>
  </si>
  <si>
    <t>NUTRIMEAL+ DWARF RABBIT STICK vegetables X 2 115GR</t>
  </si>
  <si>
    <t>NUTRIMEAL+ GUINEA PIG STICKS orange X 2 115GR</t>
  </si>
  <si>
    <t>NUTRIMEAL+ GUINEA PIC STICKS X slow berry 2 110GR</t>
  </si>
  <si>
    <t>NUTRIMEAL+ HAMSTER/GERBIL STICKS X 2 110GR</t>
  </si>
  <si>
    <t>NUTRIMEAL+ RAT/MOUSE STICKS X 2 125GR</t>
  </si>
  <si>
    <t>NUTRIMEAL+ CHINCHILLA STICKS X 2 110GR</t>
  </si>
  <si>
    <t>NUTRIMEAL+ CANARI STICKS X 2 110GR</t>
  </si>
  <si>
    <t>NUTRIMEAL+ EXOTIC BIRD STICKS X 2 110GR</t>
  </si>
  <si>
    <t>NUTRIMEAL+ PARAKEET STICKS X 2 110GR</t>
  </si>
  <si>
    <t>NUTRIMEAL+ LARGE PARAKEET STICKS X 2 110GR</t>
  </si>
  <si>
    <t>ENC5102ML-A</t>
  </si>
  <si>
    <t>Encore Cat Treat 1x(12x10g) Chicken Freeze Dried</t>
  </si>
  <si>
    <t>ENC5103ML-A</t>
  </si>
  <si>
    <t>Encore Cat Treat 1x(12x10g) Tuna Fillet Freeze Dried</t>
  </si>
  <si>
    <t>Applaws tuna fillet freeze dried treats 10g</t>
  </si>
  <si>
    <t>Applaws chicken breast freeze dried treats 10g</t>
  </si>
  <si>
    <t>Kit Cat Skin &amp; Coat Supplement Powder 150g</t>
  </si>
  <si>
    <t>Kit Cat Urinary Care Supplement Powder 150g</t>
  </si>
  <si>
    <t>Kit Cat Dental Supplement Powder 150g</t>
  </si>
  <si>
    <t>Kit Cat Hairball Supplement Powder 150g</t>
  </si>
  <si>
    <t>Kit Cat L-Lysine Supplement Powder 150g</t>
  </si>
  <si>
    <t>Kit Cat Probiotic Supplement Powder 150g</t>
  </si>
  <si>
    <t>Kit Cat Taurine Supplement Powder 150g</t>
  </si>
  <si>
    <t>Kit Cat Tear Stain Supplement Powder 150g</t>
  </si>
  <si>
    <t>Kit Cat Weight Gain Supplement Powder 150g</t>
  </si>
  <si>
    <t>ACANA Adult Dog Food 11kg</t>
  </si>
  <si>
    <t>ORIJEN Fit &amp; Trim cat  Food 1.8 KG</t>
  </si>
  <si>
    <t xml:space="preserve">ORIJEN Fit &amp; Trim dog food 6 KG </t>
  </si>
  <si>
    <t>ORIJEN Guardian 8 340 G</t>
  </si>
  <si>
    <t>ORIJEN Original Dog Food 11 .4KG</t>
  </si>
  <si>
    <t>Absolute</t>
  </si>
  <si>
    <t>AM-5362</t>
  </si>
  <si>
    <t>Absolute Holistic Meaty Loaf 100g - Salmon</t>
  </si>
  <si>
    <t>AM-5379</t>
  </si>
  <si>
    <t>Absolute Holistic Meaty Loaf 100g - Lamb</t>
  </si>
  <si>
    <t>AM-5393</t>
  </si>
  <si>
    <t>Absolute Holistic Meaty Loaf 100g - Duck</t>
  </si>
  <si>
    <t>AM-5423</t>
  </si>
  <si>
    <t>Absolute Holistic Meaty Loaf 100g - Tuna</t>
  </si>
  <si>
    <t>AM-5447</t>
  </si>
  <si>
    <t>Absolute Holistic Meaty Loaf 100g - Turkey</t>
  </si>
  <si>
    <t>AM-5409</t>
  </si>
  <si>
    <t>Absolute Holistic Meaty Loaf 100g - Chicken</t>
  </si>
  <si>
    <t>zolux CREAMY TREAT DOG - CHICKEN X3 - DUCK X2 - CHICKEN SALMON X2</t>
  </si>
  <si>
    <t>Zolux CREAMY TREAT CAT - CHICKEN X3 - TUNASALMON X2 - TUNACRAB X2</t>
  </si>
  <si>
    <t>zolux CREAMY TREAT CAT - CHICKEN/CRAB X3 - TUNA X2 - TUNA/SHRI MP X2</t>
  </si>
  <si>
    <t>Zolux CREAMY TREAT CAT - TUNA/CRAB X7</t>
  </si>
  <si>
    <t>zolux CREAMY TREAT CAT- CHICKEN/CRAB X7</t>
  </si>
  <si>
    <t>FELYN GO</t>
  </si>
  <si>
    <t>Felyn Go Raw Arctic Char with Broccoli for kittens</t>
  </si>
  <si>
    <t>Felyn Go Raw Salmon &amp; Cod Roe with Spinach for kittens</t>
  </si>
  <si>
    <t>Felyn Go Raw Salmon &amp; Cod Roe with Kelp for cats</t>
  </si>
  <si>
    <t>Felyn Go Raw Arctic Char &amp; Cod Roe with Cranberries for cats</t>
  </si>
  <si>
    <t>Felyn Go Raw Cod &amp; Salmon with Sweet Potatoes for cats</t>
  </si>
  <si>
    <t>Felyn Go Raw Cod Roe &amp; Capelin with Seaweed for cats</t>
  </si>
  <si>
    <t>Instinct Raw Boost Kibble (Cat) Chicken - 5.0 lb.</t>
  </si>
  <si>
    <t>Instinct Be Natural Kibble (Dog) Beef - 25 lb.</t>
  </si>
  <si>
    <t>Instinct Be Natural Kibble (Dog) Beef - 4.5 lb.</t>
  </si>
  <si>
    <t>Instinct Be Natural Kibble (Dog) Chicken - 25 lb.</t>
  </si>
  <si>
    <t>Instinct Be Natural Kibble (Dog) Chicken - 4.5 lb.</t>
  </si>
  <si>
    <t>Instinct Be Natural Kibble (Dog) Lamb - 24 lb.</t>
  </si>
  <si>
    <t>Instinct Be Natural Kibble (Dog) Lamb - 4.5 lb.</t>
  </si>
  <si>
    <t>Instinct Be Natural Kibble (Dog) Salmon - 24 lb.</t>
  </si>
  <si>
    <t>Instinct Be Natural Kibble (Dog) Salmon - 4.5 lb.</t>
  </si>
  <si>
    <t>Instinct LID Wet (Cat) Rabbit - 3 oz. Pouches</t>
  </si>
  <si>
    <t>Instinct LID Wet (Cat) Turkey - CHINA - 5.5 oz. Cans</t>
  </si>
  <si>
    <t>Instinct LID Wet (Cat) Turkey - CHINA - 3 oz. Cans</t>
  </si>
  <si>
    <t>Instinct Meals Freeze Dried Meals (Dog) Beef - 3 oz.</t>
  </si>
  <si>
    <t>Instinct Meals Freeze Dried Meals (Dog) Lamb - 3 oz.</t>
  </si>
  <si>
    <t>Instinct Meals Freeze Dried Meals (Dog) Pollock MSC - 3 oz.</t>
  </si>
  <si>
    <t>Instinct Meals Freeze Dried Meals (Kitten) Chicken 9.5 oz.</t>
  </si>
  <si>
    <t>Instinct Meals Freeze Dried Meals (Puppy) Chicken - 14 oz.</t>
  </si>
  <si>
    <t>Instinct Raw Boost Freeze Dried Meals (Cat) Pollock MSC - 9.5oz.</t>
  </si>
  <si>
    <t>Instinct Raw Boost Freeze Dried Mixers (Adult Cat) Pollock MSC - 5 oz.</t>
  </si>
  <si>
    <t>Instinct Raw Boost Freeze Dried Mixers (Adult Dog) Pollock MSC</t>
  </si>
  <si>
    <t>Instinct Raw Boost Freeze Dried Original Mixers (Cat) Chicken - 6 oz.</t>
  </si>
  <si>
    <t>Instinct Raw Boost Freeze Dried Original Mixers (Cat) Rabbit - 6 oz.</t>
  </si>
  <si>
    <t>Instinct Raw Boost Freeze Dried Original Mixers (Dog) Beef - 6 oz.</t>
  </si>
  <si>
    <t>Instinct Raw Boost Freeze Dried Original Mixers (Dog) Beef PP 1 oz.</t>
  </si>
  <si>
    <t>Instinct Raw Boost Freeze Dried Shaker (Cat) Chicken - 5.5 oz.</t>
  </si>
  <si>
    <t>Instinct Raw Boost Freeze Dried Shaker (Dog) Beef - 5.5 oz.</t>
  </si>
  <si>
    <t>Instinct Raw Boost Freeze Dried Shaker (Dog) Chicken - 5.5 oz.</t>
  </si>
  <si>
    <t>Instinct Ultimate Protein Kibble (Cat) Chicken - 4 lb.</t>
  </si>
  <si>
    <t>Instinct Ultimate Protein Kibble (Kitten) CHINA - 1.8 lb.</t>
  </si>
  <si>
    <t>Instinct Ultimate Protein Kibble (Kitten) CHINA - 4 lb.</t>
  </si>
  <si>
    <t>Instinct Ultimate Protein Wet (Cat) Chicken - CHINA - 3 oz. Cans</t>
  </si>
  <si>
    <t>Instinct Raw Boost Kibble (Dog) Beef - 3.5 lb.</t>
  </si>
  <si>
    <t>forza</t>
  </si>
  <si>
    <t>Active VetDiet Intestinal Dog - multipack 12 pouch x 100gr</t>
  </si>
  <si>
    <t>Active VetDiet Hypoallergenic Dog Fish - multipack 12 pouch x 100gr</t>
  </si>
  <si>
    <t>Active VetDiet Hypoallergenic Dog Lamb - multipack 12 pouch x 100gr</t>
  </si>
  <si>
    <t>Active VetDiet Intestinal Colon Dog Fish - Can - gr 390</t>
  </si>
  <si>
    <t>Active VetDiet Renal Dog - Can - gr 390</t>
  </si>
  <si>
    <t>Active VetDiet Intestinal Dog - Can - gr 390</t>
  </si>
  <si>
    <t>Active VetDiet Dermo Dog - Can - gr 390</t>
  </si>
  <si>
    <t>Encore</t>
  </si>
  <si>
    <t>Encore Cat Treat Tuna Freeze Dried</t>
  </si>
  <si>
    <t>Encore Cat Treat Chicken Freeze Dried</t>
  </si>
  <si>
    <t>Selected Meat Sensitive</t>
  </si>
  <si>
    <t>Selected Meat Sensible Chicken</t>
  </si>
  <si>
    <t>Selected Meat Sensible Beef</t>
  </si>
  <si>
    <t>Selected Meat Intestinal</t>
  </si>
  <si>
    <t>Kidney Diet</t>
  </si>
  <si>
    <t>Hypoallergen Diet</t>
  </si>
  <si>
    <t>Anti Struvit Diet</t>
  </si>
  <si>
    <t>Selected Meat Lamb &amp; Apple</t>
  </si>
  <si>
    <t>482368KSA</t>
  </si>
  <si>
    <t>Zolux CREAMY TREAT DOG - CHICKEN X3 - DUCK X2 - CHICKEN SALMON X2</t>
  </si>
  <si>
    <t>582188KSA</t>
  </si>
  <si>
    <t>582189KSA</t>
  </si>
  <si>
    <t>CREAMY TREAT CAT- CHICKENCRAB X3 - TUNA X2 - TUNASHRIMP X2</t>
  </si>
  <si>
    <t>582196KSA</t>
  </si>
  <si>
    <t>582197KSA</t>
  </si>
  <si>
    <t>CREAMY TREAT CAT- CHICKEN/CRAB X7</t>
  </si>
  <si>
    <t>AH-4020</t>
  </si>
  <si>
    <t>Absolute Holistic Wild Tuna and Mountain Lobster</t>
  </si>
  <si>
    <t>AH-4037</t>
  </si>
  <si>
    <t>Absolute Holistic - Wild Tuna and King Salmon</t>
  </si>
  <si>
    <t>AH-4044</t>
  </si>
  <si>
    <t>Absolute Holistic Wild Tuna and Fish Roe</t>
  </si>
  <si>
    <t>AH-4051</t>
  </si>
  <si>
    <t>Absolute Holistic Chicken and Mountain Lobster</t>
  </si>
  <si>
    <t>Instinct Wet Flaked (Cat) Chicken - 3 oz. Cans</t>
  </si>
  <si>
    <t>Instinct Wet Flaked (Cat) Duck - 3 oz. Cans</t>
  </si>
  <si>
    <t>Instinct Wet Flaked (Cat) Lamb - 3 oz. Cans</t>
  </si>
  <si>
    <t>Instinct Wet Flaked (Cat) Salmon - 3 oz. Cans</t>
  </si>
  <si>
    <t>Instinct Wet Healthy Cravings (Cat) Chicken - 3 oz. Pouches</t>
  </si>
  <si>
    <t>Instinct Wet Healthy Cravings (Cat) Duck - 3 oz. Pouches</t>
  </si>
  <si>
    <t>Instinct Wet Healthy Cravings (Cat) Salmon - 3 oz. Pouches</t>
  </si>
  <si>
    <t>Instinct Wet Healthy Cravings (Cat) Tuna - 3 oz. Pouches</t>
  </si>
  <si>
    <t>Instinct Wet Healthy Cravings (Dog) Beef - 3 oz. Pouches</t>
  </si>
  <si>
    <t>Instinct Wet Healthy Cravings (Dog) Chicken - 3 oz. Pouches</t>
  </si>
  <si>
    <t>Instinct Wet Healthy Cravings (Dog) Lamb - 3 oz. Pouches</t>
  </si>
  <si>
    <t>Instinct Wet Original (Cat) Variety Pack - 3 oz. Pouches</t>
  </si>
  <si>
    <t>Instinct Wet Original (Dog) Chicken - 13.2 oz. Cans</t>
  </si>
  <si>
    <t>Instinct Wet Original (Dog) Variety Pack - 3 oz. Pouches</t>
  </si>
  <si>
    <t>Instinct Wet Original (Puppy) Chicken - 13.2 oz. Cans</t>
  </si>
  <si>
    <t>Absolute Holistic Chicken and King Salmon</t>
  </si>
  <si>
    <t>Absolute Holistic Chicken and Fish Roe</t>
  </si>
  <si>
    <t>Absolute Holistic Shredded Chicken and Quail Egg</t>
  </si>
  <si>
    <t>Absolute Holistic Shredded Chicken and Whitebait</t>
  </si>
  <si>
    <t>Instinct Wet Original (Cat) Chicken - CHINA -  5.5 oz. Cans</t>
  </si>
  <si>
    <t>Instinct Wet Original (Cat) Chicken - CHINA -  3 oz. Cans</t>
  </si>
  <si>
    <t>Instinct Wet Original (Cat) Duck - CHINA - 5.5 oz. Cans</t>
  </si>
  <si>
    <t>Instinct Wet Original (Cat) Duck - CHINA - 3 oz. Cans</t>
  </si>
  <si>
    <t>Instinct Wet Original (Kitten) Chicken - CHINA - 5.5 oz. Cans</t>
  </si>
  <si>
    <t>Instinct Wet Original (Kitten) Chicken - CHINA - 3 oz. Cans</t>
  </si>
  <si>
    <t>AH-3887</t>
  </si>
  <si>
    <t>Absolute Holistic Shredded Chicken and Scallop</t>
  </si>
  <si>
    <t>AH-3818</t>
  </si>
  <si>
    <t>Absolute Holistic Shredded Chicken Classic</t>
  </si>
  <si>
    <t>AH-3825</t>
  </si>
  <si>
    <t>Absolute Holistic Shredded Chicken &amp; Lamb</t>
  </si>
  <si>
    <t>AH-3832</t>
  </si>
  <si>
    <t>Absolute Holistic Shredded Chicken and Beef</t>
  </si>
  <si>
    <t>AH-3849</t>
  </si>
  <si>
    <t>Absolute Holistic Shredded Chicken and Salmon</t>
  </si>
  <si>
    <t>AH-3856</t>
  </si>
  <si>
    <t>Absolute Holistic Shredded Chicken and Skipjack</t>
  </si>
  <si>
    <t>AH-3771</t>
  </si>
  <si>
    <t>Absolute Holistic White Meat Tuna Classic</t>
  </si>
  <si>
    <t>AH-3764</t>
  </si>
  <si>
    <t>Absolute Holistic White Meat Tuna and Anchovy</t>
  </si>
  <si>
    <t>AH-3788</t>
  </si>
  <si>
    <t>Absolute Holistic White Meat Tuna and Whitebait</t>
  </si>
  <si>
    <t>AH-3795</t>
  </si>
  <si>
    <t>Absolute Holistic White Meat Tuna and Scallop</t>
  </si>
  <si>
    <t>AH-3801</t>
  </si>
  <si>
    <t>Absolute Holistic White Meat Tuna and Crabstick</t>
  </si>
  <si>
    <t xml:space="preserve">Absolute Holistic Meaty Loaf 100g - Salmon
</t>
  </si>
  <si>
    <t xml:space="preserve">Absolute Holistic Meaty Loaf 100g - Turkey
</t>
  </si>
  <si>
    <t xml:space="preserve">Absolute Holistic Meaty Loaf 100g - Chicken
</t>
  </si>
  <si>
    <t>Absolute Holistic Dental Chew Cranberry</t>
  </si>
  <si>
    <t>Absolute Holistic Dental Chew  Milk</t>
  </si>
  <si>
    <t>BIO PETACTIVE</t>
  </si>
  <si>
    <t>BIO PETACTIVE MULTISOL</t>
  </si>
  <si>
    <t>يحتوي على سوربيتول E420 ---- ع</t>
  </si>
  <si>
    <t>CatiMalt Plus  100 ml</t>
  </si>
  <si>
    <t>BIO PETACTIVE BETISOL</t>
  </si>
  <si>
    <t xml:space="preserve">DEEP MINERAL
</t>
  </si>
  <si>
    <t>Bio ISHAMIX</t>
  </si>
  <si>
    <t>E-Vitasel</t>
  </si>
  <si>
    <t>Avilin</t>
  </si>
  <si>
    <t>2025-733931</t>
  </si>
  <si>
    <t xml:space="preserve">(يحتوي على سوربيتول - Sorbitol) 
</t>
  </si>
  <si>
    <t>Spirulina</t>
  </si>
  <si>
    <t>Pigeon Vit</t>
  </si>
  <si>
    <t>AviBiotin</t>
  </si>
  <si>
    <t>AH-4334</t>
  </si>
  <si>
    <t>Absolute Holistic Dental Chew Fresh Mint</t>
  </si>
  <si>
    <t>AH-4341</t>
  </si>
  <si>
    <t>Absolute Holistic Dental Chew Peanut Butter</t>
  </si>
  <si>
    <t>AH-2187</t>
  </si>
  <si>
    <t>Absolute Holistic Dental Chews Milk Tea Flavor</t>
  </si>
  <si>
    <t>AH-2170</t>
  </si>
  <si>
    <t>Absolute Holistic Dental Chews Charcoal Flavor</t>
  </si>
  <si>
    <t>AH-2798</t>
  </si>
  <si>
    <t>Absolute Holistic Dental Chew Cranberry 160g</t>
  </si>
  <si>
    <t>AH-2804</t>
  </si>
  <si>
    <t>Absolute Holistic Dental Chews – Milk Flavor 160ل</t>
  </si>
  <si>
    <t>AH-2828</t>
  </si>
  <si>
    <t>Absolute Holistic Dental Chews Peanut Butter Flavor 160g</t>
  </si>
  <si>
    <t>AH-2835</t>
  </si>
  <si>
    <t>Absolute Holistic Dental Chews Charcoal Flavor 160g</t>
  </si>
  <si>
    <t>AH-2842</t>
  </si>
  <si>
    <t>Absolute Holistic Dental Chews Milk Tea Flavor 160g</t>
  </si>
  <si>
    <t>AH-07274</t>
  </si>
  <si>
    <t>Absolute Holistic Dental Chews Boost – Blueberry Flavor</t>
  </si>
  <si>
    <t>AH-07304</t>
  </si>
  <si>
    <t>Absolute Holistic Dental Chews Boost – Coconut Flavor</t>
  </si>
  <si>
    <t>AH-07281</t>
  </si>
  <si>
    <t>Absolute Holistic Dental Chews Boost – Turmeric Flavor</t>
  </si>
  <si>
    <t>AH-07267</t>
  </si>
  <si>
    <t>Absolute Holistic Dental Chews Boost – Kale Flavor</t>
  </si>
  <si>
    <t>AH-07298</t>
  </si>
  <si>
    <t>Absolute Holistic Dental Chews Boost – Chia Seed Flavor</t>
  </si>
  <si>
    <t>AH-07250</t>
  </si>
  <si>
    <t>Absolute Holistic Dental Chews Boost Pumpkin Flavor</t>
  </si>
  <si>
    <t>"AH-4334-AH-2811</t>
  </si>
  <si>
    <t>Absolute Holistic Dental Chews Mint Flavor 160g-25g</t>
  </si>
  <si>
    <t>Instinct Raw Boost Kibble (Dog) Chicken - 10 lb.</t>
  </si>
  <si>
    <t>Instinct Raw Boost Kibble (Dog) Chicken - 3.5 lb.</t>
  </si>
  <si>
    <t>Instinct LID Wet (Cat) Rabbit -  3 oz. Cans</t>
  </si>
  <si>
    <t>Instinct Raw Boost Kibble (Cat) Rabbit - 4.5 lb.</t>
  </si>
  <si>
    <t>Instinct Ultimate Protein Kibble Skin &amp; Coat (Cat) - 4 lb.</t>
  </si>
  <si>
    <t>Instinct Raw Boost Kibble (Cat) Chicken - 4.5 lb.</t>
  </si>
  <si>
    <t>Instinct Raw Boost Kibble (Dog) Salmon - 3.5 lb.</t>
  </si>
  <si>
    <t>Instinct Raw Freeze Dried Multi Vitamin MixersAdult CatChicken-0.75 oz.</t>
  </si>
  <si>
    <t>Instinct Raw Inspired Kibble (Cat) Chicken -  5 lb.</t>
  </si>
  <si>
    <t>Instinct Raw Inspired Kibble (Cat) Rabbit - 4.5 lb.</t>
  </si>
  <si>
    <t>Instinct Raw Inspired Kibble (Kitten) Chicken - 4.5 lb.</t>
  </si>
  <si>
    <t>Instinct Raw Inspired Kibble Original (Cat) Chicken - 11 lb.</t>
  </si>
  <si>
    <t>Instinct RBK Whole Grain Kibble (Puppy) Chicken - 3.5 lb.</t>
  </si>
  <si>
    <t>Felyn Go Calming</t>
  </si>
  <si>
    <t>FELYN GO DIGESTION</t>
  </si>
  <si>
    <t>FELYN GO HAIRBALL CONTROL</t>
  </si>
  <si>
    <t>FELYN GO IMMUNITY</t>
  </si>
  <si>
    <t>FELYN GO LYSINE</t>
  </si>
  <si>
    <t xml:space="preserve">FELYN GO MOBILITY
</t>
  </si>
  <si>
    <t xml:space="preserve">FELYN GO MULTIVITAMIN
</t>
  </si>
  <si>
    <t>FELYN GO MULTIVITAMIN KITTEN</t>
  </si>
  <si>
    <t>FELYN GO SKIN &amp; COAT</t>
  </si>
  <si>
    <t xml:space="preserve">KANYN GO CALMING
</t>
  </si>
  <si>
    <t>KANYN GO DIGESTION</t>
  </si>
  <si>
    <t>KANYN GO MOBILITY</t>
  </si>
  <si>
    <t>KANYN GO MULTIVITAMIN</t>
  </si>
  <si>
    <t>KANYN GO MULTIVITAMIN PUPPY</t>
  </si>
  <si>
    <t>KANYN GO SKIN &amp; COAT</t>
  </si>
  <si>
    <t xml:space="preserve">Felyn Go Fresh Salmon - 6 / 2 / 400 </t>
  </si>
  <si>
    <t xml:space="preserve">Felyn Go Fresh Beef and Poultry  - 6 / 2 / 400 </t>
  </si>
  <si>
    <t xml:space="preserve">Felyn Go Fresh Chicken with Herbs - 6 / 2 / 400 </t>
  </si>
  <si>
    <t xml:space="preserve">Felyn Go Fresh Turkey with Herbs - 6 / 2 / 400 </t>
  </si>
  <si>
    <t xml:space="preserve">Josera </t>
  </si>
  <si>
    <t>Josera Senior Cat Wet Food with Chicken</t>
  </si>
  <si>
    <t xml:space="preserve">Josera Kitten Chicken Cat wet SA 12x85g
</t>
  </si>
  <si>
    <t xml:space="preserve">Josera Chicken Cat wet 
</t>
  </si>
  <si>
    <t xml:space="preserve">Josera Duck Cat wet 
</t>
  </si>
  <si>
    <t>Instinct Ultimate Protein Wet (Cat) Chicken - CHINA -  5.5 oz. Cans</t>
  </si>
  <si>
    <t xml:space="preserve">Josera Turkey Cat Wet Food
</t>
  </si>
  <si>
    <t>Josera Kitten Duck Cat Wet Food</t>
  </si>
  <si>
    <t>Josera Kitten Beef Cat Wet Food</t>
  </si>
  <si>
    <t>خنزير</t>
  </si>
  <si>
    <t xml:space="preserve">Josera Kitten Turkey Cat wet
</t>
  </si>
  <si>
    <t>Josera Kitten Salmon Cat wet</t>
  </si>
  <si>
    <t>Instinct Raw Boo st FreezeDried DigestiveHealth Shaker(Cat)Chicken</t>
  </si>
  <si>
    <t xml:space="preserve">2025-568931
</t>
  </si>
  <si>
    <t xml:space="preserve">Instinct Be Natural Kibble (Cat) Chicken
</t>
  </si>
  <si>
    <t xml:space="preserve">Instinct Raw Boost Digestive Health Mixers(Cat) Chicken 
</t>
  </si>
  <si>
    <t xml:space="preserve">Instinct Raw Boost Freeze Dried Meals (Cat) Chicken </t>
  </si>
  <si>
    <t xml:space="preserve">Instinct Raw Boost Freeze Dried Mixers Pollock 
</t>
  </si>
  <si>
    <t xml:space="preserve">Instinct Raw Inspired Kibble (Cat) Salmon
</t>
  </si>
  <si>
    <t xml:space="preserve">Dr. Clauder Pigment Active Carrot Pellets
</t>
  </si>
  <si>
    <t>Dr. Clauder’s Puppy Milk+</t>
  </si>
  <si>
    <t>Dr. Clauder’s Kitten Milk+</t>
  </si>
  <si>
    <t>Dr. Clauder's Pigment Active Algosan</t>
  </si>
  <si>
    <t>Dr.Clauder Intestinal 20 Herbal Oil</t>
  </si>
  <si>
    <t xml:space="preserve">Dr.Clauder Salmon Oil
</t>
  </si>
  <si>
    <t>Dr.Clauder Joint Paste</t>
  </si>
  <si>
    <t>Dr.Clauder Fur Plus Paste</t>
  </si>
  <si>
    <t>Dr.Clauder Function &amp; Care Antihairball Paste with Taurine</t>
  </si>
  <si>
    <t>يحتوي على مكونات (Pork lard) شحم خنزير</t>
  </si>
  <si>
    <t>Dr. Clauder Gastrointestinal Emulsion</t>
  </si>
  <si>
    <t>Dr. Clauder Bitch &amp; Puppy Emulsion 150g</t>
  </si>
  <si>
    <t xml:space="preserve">Dr. Clauder Joint Pellets </t>
  </si>
  <si>
    <t>Dr. Clauder  Cat &amp; Kitten Emulsion 100g</t>
  </si>
  <si>
    <t>Dr.Clauder’s Joint Support Powder</t>
  </si>
  <si>
    <t>CATIDEA Tuna with Shrimp</t>
  </si>
  <si>
    <t xml:space="preserve">CATIDEA Tuna with Squid
</t>
  </si>
  <si>
    <t>CATIDEA Tuna with Mackerel</t>
  </si>
  <si>
    <t xml:space="preserve">CATIDEA Tuna with Whitebait
</t>
  </si>
  <si>
    <t>CATIDEA Tuna with Crabmeat</t>
  </si>
  <si>
    <t>CATIDEA Tuna with Mango</t>
  </si>
  <si>
    <t>CATIDEA Tuna with Cheese</t>
  </si>
  <si>
    <t>CATIDEA Selected Tuna</t>
  </si>
  <si>
    <t>CATIDEA Tuna with Sea Bream</t>
  </si>
  <si>
    <t>CATIDEA Tuna with Chicken</t>
  </si>
  <si>
    <t>CATIDEA Tuna with Beef</t>
  </si>
  <si>
    <t>CATIDEA Tuna with Salmon</t>
  </si>
  <si>
    <t>Instinct Wet Minced Cups Salmon</t>
  </si>
  <si>
    <t>CATIDEA Chicken with Shrimp</t>
  </si>
  <si>
    <t>CATIDEA Chicken with Squid</t>
  </si>
  <si>
    <t>CATIDEA Chicken with Crabmeat</t>
  </si>
  <si>
    <t>CATIDEA Chicken with Whitebait</t>
  </si>
  <si>
    <t xml:space="preserve">  CATIDEA Chicken with Pumpkin</t>
  </si>
  <si>
    <t>CATIDEA Chicken with Mango</t>
  </si>
  <si>
    <t>CATIDEA Chicken with Cheese</t>
  </si>
  <si>
    <t>CATIDEA Selected Chicken</t>
  </si>
  <si>
    <t>CATIDEA Chicken with Salmon</t>
  </si>
  <si>
    <t>CATIDEA Chicken with Sea Bream</t>
  </si>
  <si>
    <t>CATIDEA Chicken with Beef</t>
  </si>
  <si>
    <t>CATIDEA Chicken with Mackerel</t>
  </si>
  <si>
    <t>CATIDEA Signature Goat Milk Mother &amp; Baby cat 85g</t>
  </si>
  <si>
    <t xml:space="preserve">CATIDEA Aging +7
</t>
  </si>
  <si>
    <t xml:space="preserve">CATIDEA Aging + 12
</t>
  </si>
  <si>
    <t>CATIDEA Urinary Care</t>
  </si>
  <si>
    <t>CATIDEA Digest Sensitive</t>
  </si>
  <si>
    <t>CATIDEA Spayed &amp; Neutered</t>
  </si>
  <si>
    <t xml:space="preserve">CATIDEA Daily Hair &amp; Skin
</t>
  </si>
  <si>
    <t>CATIDEA Deep Recovery</t>
  </si>
  <si>
    <t>josera indoor - 400-2-4.25-10 kg</t>
  </si>
  <si>
    <t>VERSELE LAGA</t>
  </si>
  <si>
    <t>Versele Laga Prestige Budgies Gourmet</t>
  </si>
  <si>
    <t xml:space="preserve">Versele Laga Prestige Premium Parrots Mix without nuts </t>
  </si>
  <si>
    <t>Versele Laga Prestige Loro Porque African Parrot Mix</t>
  </si>
  <si>
    <t>Versele Laga Prestige Canaries PROMO 1kg + 200g free = 1.2kg</t>
  </si>
  <si>
    <t xml:space="preserve">Oropharma Colci-Lux 500g
</t>
  </si>
  <si>
    <t>Oropharma Anti Hairball</t>
  </si>
  <si>
    <t>NutriBird F16 - 10KG / 800G</t>
  </si>
  <si>
    <t>Versele Laga Crispy Muesli</t>
  </si>
  <si>
    <t>Versele Laga Prestige Sticks Small Passerines with Wild Seeds &amp; Aniseed topping</t>
  </si>
  <si>
    <t xml:space="preserve">Prestige Sticks Small Parakeets with Vegetables &amp; Dandelion
</t>
  </si>
  <si>
    <t xml:space="preserve">Prestige Sticks Small Parrots with Nuts &amp; Raisin topping
</t>
  </si>
  <si>
    <t xml:space="preserve">Versele-Laga Prestige Sticks Small Parakeets with Mixed Fruit &amp; Flowers 
</t>
  </si>
  <si>
    <t xml:space="preserve">Versele-Laga Prestige Sticks Small Parakeets with Eggs &amp; Thyme
</t>
  </si>
  <si>
    <t xml:space="preserve">VERSELE LAGA Prestige Sticks Small Parakeets Triple Variety Pack – 3 flavours
</t>
  </si>
  <si>
    <t>VERSELE LAGA Prestige Sticks Parrots with Vegetables &amp; Dandelion</t>
  </si>
  <si>
    <t xml:space="preserve">VERSELE LAGA Prestige Sticks Parrots with Banana &amp; Coconut Topping
</t>
  </si>
  <si>
    <t xml:space="preserve">VERSELE LAGA Prestige Sticks Canaries with Superseeds &amp; Flowers
</t>
  </si>
  <si>
    <t xml:space="preserve">Prestige Sticks Canaries with Red Fruit &amp; Mini 60g
</t>
  </si>
  <si>
    <t xml:space="preserve">VERSELE LAGA Prestige Sticks Canaries with Mixed Fruit &amp; Dandelion 
</t>
  </si>
  <si>
    <t xml:space="preserve">VERSELE LAGA Prestige Sticks Canaries with Eggs &amp; Thyme
</t>
  </si>
  <si>
    <t>VERSELE LAGA Prestige Sticks Canaries Triple Variety Pack – 3 flavours</t>
  </si>
  <si>
    <t xml:space="preserve">Encore Cat Ocean Fish
</t>
  </si>
  <si>
    <t xml:space="preserve">Encore Cat Sardine with Tuna Fillet in Broth 
</t>
  </si>
  <si>
    <t xml:space="preserve">Encore Tuna Fillet with Crab in Broth
</t>
  </si>
  <si>
    <t>Encore Tuna Fillet with Sea Bream in Broth</t>
  </si>
  <si>
    <t xml:space="preserve">Encore Chicken with Cheese
</t>
  </si>
  <si>
    <t xml:space="preserve">Applaws Chicken Breast with Salmon in Broth
</t>
  </si>
  <si>
    <t xml:space="preserve">Bavaro Force 28/16 </t>
  </si>
  <si>
    <t xml:space="preserve">Versele Laga Prestige Sticks Big Parakeets with Nuts &amp; Raisin Topping
</t>
  </si>
  <si>
    <t xml:space="preserve">Versele Laga Prestige Sticks Big Parakeets with Mango &amp; Rosehip
</t>
  </si>
  <si>
    <t>JosiDog Agilo Sport</t>
  </si>
  <si>
    <t>JosiDog Family 18kg</t>
  </si>
  <si>
    <t>JosiDog Junior 18kg</t>
  </si>
  <si>
    <t>JosiDog Master Mix 18kg - 15 KG</t>
  </si>
  <si>
    <t>Marinesse 10kg -2kg-400g</t>
  </si>
  <si>
    <t>Marinesse 4.25kg</t>
  </si>
  <si>
    <t>kitcat</t>
  </si>
  <si>
    <t>Kit Cat Atlantic Tuna with Crab 400g</t>
  </si>
  <si>
    <t>Kit Cat Kitten Mousse 400g</t>
  </si>
  <si>
    <t>Kit Cat Tuna with Anchovy 400g</t>
  </si>
  <si>
    <t>Kit Cat Tuna with Chicken 400g</t>
  </si>
  <si>
    <t>Kit Cat Tuna with Katsuobushi 400 g</t>
  </si>
  <si>
    <t>Kit Cat Tuna with Mackerel 400g</t>
  </si>
  <si>
    <t>Kit Cat Tuna with Prawn 400g</t>
  </si>
  <si>
    <t>Kit Cat Tuna with Salmon 400g</t>
  </si>
  <si>
    <t>Kit Cat Tuna with Whitebait 400g</t>
  </si>
  <si>
    <t>Versele-Laga Peanut Kernels</t>
  </si>
  <si>
    <t xml:space="preserve"> Versele-Laga NutriBird Nectar</t>
  </si>
  <si>
    <t xml:space="preserve">WEL DC CORE Kitten 1.75 kg
</t>
  </si>
  <si>
    <t>WEL DC CORE Sterilised ocean 4 kg</t>
  </si>
  <si>
    <t xml:space="preserve">ORIJEN Small Breed dog food 4.5 kg
</t>
  </si>
  <si>
    <t>ORIJEN Senior dog food 11.4 kg</t>
  </si>
  <si>
    <t xml:space="preserve">ORIJEN Fit &amp; Trim cat food 1.8 kg
</t>
  </si>
  <si>
    <t>ORIJEN Original dog food 11.4 kg</t>
  </si>
  <si>
    <t>Versele Laga Prestige Big Parakeet Standard Expert 20kg</t>
  </si>
  <si>
    <t>Catelux 10kg</t>
  </si>
  <si>
    <t>Catelux 15kg</t>
  </si>
  <si>
    <t>Catelux 2kg</t>
  </si>
  <si>
    <t>Catelux 4.25kg</t>
  </si>
  <si>
    <t>Catelux 400g</t>
  </si>
  <si>
    <t>JosiCat Crunchy Poultry 18kg</t>
  </si>
  <si>
    <t xml:space="preserve">Dailycat  60g - 400g - 2kg - 4.25 kg- 10kg </t>
  </si>
  <si>
    <t>JosiCat Crunchy Duck 18kg</t>
  </si>
  <si>
    <t>JosiCat Kitten 60g - 400g - 2kg -</t>
  </si>
  <si>
    <t xml:space="preserve">Naturecat   400g - 2kg - 4.25 kg- 10kg </t>
  </si>
  <si>
    <t xml:space="preserve">Josera Gastrointestinal Help Cat  400 G
</t>
  </si>
  <si>
    <t xml:space="preserve">JosiDog Mini 10kg </t>
  </si>
  <si>
    <t>FRENDI</t>
  </si>
  <si>
    <t>FRENDI chunks in gravy with beef  400G</t>
  </si>
  <si>
    <t xml:space="preserve">FRENDI chunks in gravy with chicken 400G
</t>
  </si>
  <si>
    <t>FRENDI chunks in gravy with salmon 400G</t>
  </si>
  <si>
    <t xml:space="preserve">FRENDI chunks in gravy with turkey 400G
</t>
  </si>
  <si>
    <t xml:space="preserve">Frendi chunks in gravy with chicken  KITEEN 400G
</t>
  </si>
  <si>
    <t xml:space="preserve">FRENDI chunks in gravy with chicken 100G
</t>
  </si>
  <si>
    <t>FRENDI chunks in gravy with turkey 100g</t>
  </si>
  <si>
    <t xml:space="preserve">Frendi  -white fish, trout, cod  12x100g </t>
  </si>
  <si>
    <t xml:space="preserve">Frendi -chicken, beef, turkey 12x100g 
</t>
  </si>
  <si>
    <t xml:space="preserve">Frendi , beef, turkey   4x100g
</t>
  </si>
  <si>
    <t>FRENDI chunks in gravy with beef - DOG  400G</t>
  </si>
  <si>
    <t xml:space="preserve">FRENDI chunks in gravy with chicken -DOG 400G
</t>
  </si>
  <si>
    <t xml:space="preserve">FRENDI chunks in gravy with veal  - DOG 400G
</t>
  </si>
  <si>
    <t>Bavaro Task 23/9 18kg</t>
  </si>
  <si>
    <t>Bavaro Work 26/12 18kg</t>
  </si>
  <si>
    <t>beaphar</t>
  </si>
  <si>
    <t>Beaphar Multi Vitamin Paste Duo-active Cat</t>
  </si>
  <si>
    <t>BITESY</t>
  </si>
  <si>
    <t xml:space="preserve">BITESY ADULT CHICKEN </t>
  </si>
  <si>
    <t xml:space="preserve">BITESY ADULT Lamb </t>
  </si>
  <si>
    <t xml:space="preserve">BITESY HERRING FISH STERILISED </t>
  </si>
  <si>
    <t xml:space="preserve">BITESY PUPPY with CHICKEN
</t>
  </si>
  <si>
    <t xml:space="preserve">BITESY ADULT BEEF AND CHICKEN
</t>
  </si>
  <si>
    <t>Naturelle 10 kg- 4.25- 2-400g</t>
  </si>
  <si>
    <t xml:space="preserve">Prestige Parrot 1kg- 3kg
</t>
  </si>
  <si>
    <t>Prestige Budgie 1kg- 4kg</t>
  </si>
  <si>
    <t>Prestige Premium Budgie  800g- 2.5 kg- 20 kg</t>
  </si>
  <si>
    <t>Prestige Big Parakeet 4 KG - 1 kg</t>
  </si>
  <si>
    <t>Prestige Premium Parrots 2 KG</t>
  </si>
  <si>
    <t xml:space="preserve">Prestige Loro Parque African Parrot 1 kg- 2.50 kg
</t>
  </si>
  <si>
    <t>Prestige Loro Parque Australian Parakeet 2.50 KG- 20 kg</t>
  </si>
  <si>
    <t>Prestige Loro Parque Australian Parakeet 1kg</t>
  </si>
  <si>
    <t>Kit Cat Chicken &amp; Crabstick Toppers 80g</t>
  </si>
  <si>
    <t>Kitcat deboned chicken &amp; beef toppers 80g</t>
  </si>
  <si>
    <t>Kitcat Deboned chicken &amp; lamb toppers 80g</t>
  </si>
  <si>
    <t>Kitcat Deboned chicken &amp; prawn toppers 80g</t>
  </si>
  <si>
    <t>Kitcat deboned chicken &amp; seafood toppers 80g</t>
  </si>
  <si>
    <t>Kitcat deboned chicken &amp; salmon toppers 80g</t>
  </si>
  <si>
    <t>Kit Cat Deboned Chicken &amp; Whitebait Toppers 80g</t>
  </si>
  <si>
    <t>Kitcat Deboned chicken classic 80g</t>
  </si>
  <si>
    <t>Kitcat Deboned tuna &amp; Anchovy toppers 80g</t>
  </si>
  <si>
    <t>Kitcat deboned tuna &amp; chicken toppers 80g</t>
  </si>
  <si>
    <t>Kitcat deboned tuna &amp; crab toppers 80g</t>
  </si>
  <si>
    <t>Kitcat deboned tuna &amp; salmon toppers 80g</t>
  </si>
  <si>
    <t>Kitcat deboned tuna &amp; scallop toppers 80g</t>
  </si>
  <si>
    <t>Kit Cat Deboned Tuna &amp; Shrimp Toppers 80g</t>
  </si>
  <si>
    <t>Kitcat Deboned tuna classic aspic 80g</t>
  </si>
  <si>
    <t>Gravy chicken &amp; beef 70g</t>
  </si>
  <si>
    <t>Gravy chicken &amp; Quail egg 70 g</t>
  </si>
  <si>
    <t>Gravy chicken &amp; salmon 70g</t>
  </si>
  <si>
    <t>Gravy chicken &amp; skipjack 70g</t>
  </si>
  <si>
    <t>Gravy chicken &amp; whitebait 70g</t>
  </si>
  <si>
    <t>Gravy classic chicken 70g</t>
  </si>
  <si>
    <t>Gravy Classic Tuna 70g</t>
  </si>
  <si>
    <t>Gravy tuna &amp; beef 70g</t>
  </si>
  <si>
    <t>Gravy tuna &amp; chicken 70g</t>
  </si>
  <si>
    <t>Gravy tuna &amp; quail egg 70g</t>
  </si>
  <si>
    <t>Gravy tuna &amp; whitebait 70g</t>
  </si>
  <si>
    <t>Gravy tuna &amp; salmon 70g</t>
  </si>
  <si>
    <t>Prestige Canary 1 KG</t>
  </si>
  <si>
    <t>Prestige Canary 4 KG</t>
  </si>
  <si>
    <t>Cat Tin 1x(24x70g) Kitten - Chicken Breast</t>
  </si>
  <si>
    <t>Chicken with Duck 70g</t>
  </si>
  <si>
    <t>Tuna Fillet with Crab 70g</t>
  </si>
  <si>
    <t>Applaws Chicken Breast with Duck 60g</t>
  </si>
  <si>
    <t>Applaws Tuna Fillet with Prawn 60g</t>
  </si>
  <si>
    <t>Tuna Fillet with Crab 60 g</t>
  </si>
  <si>
    <t>Applaws Chicken Breast with Rice 60g</t>
  </si>
  <si>
    <t>ARA Parrot 2 KG - 15 KG</t>
  </si>
  <si>
    <t>Prestige Loro Parque Australian Parrot 1 KG</t>
  </si>
  <si>
    <t>Exotic Light Mix Expert 750g</t>
  </si>
  <si>
    <t xml:space="preserve">Prestige Loro Parque Australian Parakeet 1 kg- 2.50 kg - 20 kg 
</t>
  </si>
  <si>
    <t xml:space="preserve">Prestige Loro Parque Amazone Parrot  1 kg - 15 kg
</t>
  </si>
  <si>
    <t xml:space="preserve">Senior </t>
  </si>
  <si>
    <t>Wellness CORE Signature Selects Tuna with Salmon in Broth</t>
  </si>
  <si>
    <t xml:space="preserve">Kit cat Freeze Dried Raw Food-Rabbit
</t>
  </si>
  <si>
    <t xml:space="preserve">Kit cat Freeze Dried Raw Food-Beef&amp;Cod Fish
</t>
  </si>
  <si>
    <t xml:space="preserve">Kit cat Freeze Dried Raw Food-Chicken&amp;Salmon
</t>
  </si>
  <si>
    <t xml:space="preserve">Kit cat Freeze Dried Raw Food-Chicken&amp;Goat Milk
</t>
  </si>
  <si>
    <t xml:space="preserve">Kit cat Party Packs Freeze Dried Treat-Poached Egg
</t>
  </si>
  <si>
    <t xml:space="preserve">Kit cat Party Packs Freeze Dried Treat-Love Bites
</t>
  </si>
  <si>
    <t xml:space="preserve">Kit cat Party Packs Freeze Dried Treat-Lollipop
</t>
  </si>
  <si>
    <t xml:space="preserve">Kit cat Party Packs Freeze Dried Treat-Ice Cream
</t>
  </si>
  <si>
    <t xml:space="preserve">Kit cat Party Packs Freeze Dried Treat-Donut
</t>
  </si>
  <si>
    <t xml:space="preserve">Kit cat Party Packs Freeze Dried Treat-Cheese Slices
</t>
  </si>
  <si>
    <t xml:space="preserve">Kit cat Party Packs Freeze Dried Treat-Cat Grass
</t>
  </si>
  <si>
    <t xml:space="preserve">JosiDog Junior 15 kg
</t>
  </si>
  <si>
    <t xml:space="preserve">JosiDog Master Mix 900g
</t>
  </si>
  <si>
    <t>JosiDog Min 900g</t>
  </si>
  <si>
    <t xml:space="preserve">CATIDEA ROASTED FRESH MEAT CATFOOD SALMON FORMULA
</t>
  </si>
  <si>
    <t xml:space="preserve">CATIDEA ROASTED FRESH MEAT CATFOOD BEEF FORMULA
</t>
  </si>
  <si>
    <t xml:space="preserve">CATIDEA ROASTED FRESH MEAT CATFOOD LAMB FORMULA
</t>
  </si>
  <si>
    <t xml:space="preserve">CATIDEA ROASTED FRESH MEAT CATFOOD PIGEON FORMULA
</t>
  </si>
  <si>
    <t xml:space="preserve">CATIDEA ROASTED FRESH MEAT CATFOOD VENISON FORMULA
</t>
  </si>
  <si>
    <t xml:space="preserve">CATIDEA ROASTED FRESH MEAT CATFOOD INSECT FORMULA
</t>
  </si>
  <si>
    <t xml:space="preserve">CATIDEA ROASTED FRESH MEAT CATFOOD CHICKEN FORMULA
</t>
  </si>
  <si>
    <t xml:space="preserve">CATIDEA ROASTED FRESH MEAT CATFOOD RABBIT FORMULA
</t>
  </si>
  <si>
    <t xml:space="preserve">CATIDEA ROASTED FRESH MEAT CATFOOD QUAIL FORMULA
</t>
  </si>
  <si>
    <t xml:space="preserve">CATIDEA Complete Nutrition Sachet Quail with Yolk &amp; Krill Oil
</t>
  </si>
  <si>
    <t xml:space="preserve">CATIDEA Complete Nutrition Sachet Pigeon with Yam &amp; Krill Oil
</t>
  </si>
  <si>
    <t xml:space="preserve">CATIDEA Complete Nutrition Sachet Chicken with Cranberry &amp; Krill Oil
</t>
  </si>
  <si>
    <t xml:space="preserve">CATIDEA Complete Nutrition Sachet Duck with Pear &amp; Krill Oil
</t>
  </si>
  <si>
    <t xml:space="preserve">CATIDEA Complete Nutrition Sachet Beef with Purple Yam &amp; Krill Oil
</t>
  </si>
  <si>
    <t xml:space="preserve">CATIDEA Complete Nutrition Sachet Lamb with Carrot &amp; Krill Oil
</t>
  </si>
  <si>
    <t xml:space="preserve">CATIDEA Complete Nutrition Sachet Venison with Oyster &amp; Krill Oil
</t>
  </si>
  <si>
    <t>NATURAL</t>
  </si>
  <si>
    <t xml:space="preserve">NATURAL CODE TUNA AND SHRIMPS 
</t>
  </si>
  <si>
    <t xml:space="preserve">CATIDEA Complete Nutrition Sachet Salmon with Seaweed &amp; Krill Oil
</t>
  </si>
  <si>
    <t xml:space="preserve">CATIDEA Complete Nutrition Sachet Tuna with Blueberry &amp; Krill Oil
</t>
  </si>
  <si>
    <t xml:space="preserve">CATIDEA Complete Nutrition Sachet Shrimp with Peas &amp; Krill Oil
</t>
  </si>
  <si>
    <t xml:space="preserve">CATIDEA Complete Nutrition Sachet Scallop with Pumpkin &amp; Krill Oil
</t>
  </si>
  <si>
    <t xml:space="preserve">CATIDEA Complete Nutrition Pouch Chicken with Cranberry &amp; Krill Oil
</t>
  </si>
  <si>
    <t>Mark and Chappell</t>
  </si>
  <si>
    <t>Healthy Bites Breath &amp; Dental for Cats &amp; Kittens 65g</t>
  </si>
  <si>
    <t>Healthy Bites Growth Support For Kittens 65g</t>
  </si>
  <si>
    <t>Healthy Bites Hairball Remedy For Cats &amp; Kittens 65g</t>
  </si>
  <si>
    <t xml:space="preserve">   
Healthy Treats Teething 50g </t>
  </si>
  <si>
    <t>Healthy Bites Nutri Booster For Kittens 65g</t>
  </si>
  <si>
    <t>Healthy Bites Urinary Care For Cats &amp; Kittens 65g</t>
  </si>
  <si>
    <t>Healthy Centres Mature Cheese Flavour Treats 80g</t>
  </si>
  <si>
    <t>Healthy Centres with Real Chicken &amp; Vegetables 113g</t>
  </si>
  <si>
    <t>Healthy Centres with Real Turkey &amp; Cranberry 113g</t>
  </si>
  <si>
    <t>Healthy Treats Breath &amp; Dental for Dogs 70g</t>
  </si>
  <si>
    <t>Healthy Treats Joint &amp; Hip for Dogs &amp; Puppies 70g</t>
  </si>
  <si>
    <t>Healthy Treats Skin &amp; Coat For Dogs and Puppies 70g</t>
  </si>
  <si>
    <t>Healthy Treats Teething for Puppies 50g</t>
  </si>
  <si>
    <t>VetIQ Skin and Coat Liquid 250ml</t>
  </si>
  <si>
    <t xml:space="preserve">VETIQ Healthy Bites Vitality Pack
</t>
  </si>
  <si>
    <t>Feline Happy Chicken 60g</t>
  </si>
  <si>
    <t>Feline Happy Duck 60g</t>
  </si>
  <si>
    <t>Feline Happy Salmon 60g</t>
  </si>
  <si>
    <t>Healthy Treats Serene Calming 50G</t>
  </si>
  <si>
    <t>Healthy Treats Flea-Guard 70G</t>
  </si>
  <si>
    <t>Healthy Treats Intestinal Support 50G</t>
  </si>
  <si>
    <t>Healthy Treats Nutri Booster 50G</t>
  </si>
  <si>
    <t xml:space="preserve">VETIQ DENTI – CARE Enzymatic Toothpaste 70g
</t>
  </si>
  <si>
    <t xml:space="preserve">CATIDEA Complete Nutrition Pouch Quail with Yolk &amp; Krill Oil
</t>
  </si>
  <si>
    <t xml:space="preserve">CATIDEA Complete Nutrition Pouch Pigeon with Yam &amp; Krill Oil
</t>
  </si>
  <si>
    <t xml:space="preserve">CATIDEA Complete Nutrition Pouch Salmon with Seaweed &amp; Krill Oil
</t>
  </si>
  <si>
    <t xml:space="preserve">CATIDEA Complete Nutrition Pouch Tuna with Blueberry &amp; Krill Oil
</t>
  </si>
  <si>
    <t xml:space="preserve">CATIDEA Complete Nutrition Pouch Shrimp with Peas &amp; Krill Oil
</t>
  </si>
  <si>
    <t xml:space="preserve">CATIDEA Complete Nutrition Pouch Scallop with Pumpkin &amp; Krill Oil
</t>
  </si>
  <si>
    <t xml:space="preserve">CATIDEA Easy Digest
</t>
  </si>
  <si>
    <t>Applaws Cat Chicken with Lamb  / 400/ 2 / 7.5  kg</t>
  </si>
  <si>
    <t xml:space="preserve">FELYN GO DIGESTION CHICKEN RECIPE
</t>
  </si>
  <si>
    <t xml:space="preserve">FELYN GO HAIRBALL CHICKEN RECIPE
</t>
  </si>
  <si>
    <t xml:space="preserve">FELYN GO MOBILITY TURKEY RECIPE
</t>
  </si>
  <si>
    <t xml:space="preserve">FELYN GO MULTIVITAMIN CHICKEN RECIPE
</t>
  </si>
  <si>
    <t xml:space="preserve">FELYN GO SKIN &amp; COAT SALMON RECIPE
</t>
  </si>
  <si>
    <t xml:space="preserve">FELYN GO URINARY DUCK &amp; CHICKEN LIVER RECIPE
</t>
  </si>
  <si>
    <t xml:space="preserve">Felyn Go Gourmet Beef with Coconut Stew
</t>
  </si>
  <si>
    <t xml:space="preserve">Felyn Go Gourmet Chicken &amp; Salmon with Coconut Stew
</t>
  </si>
  <si>
    <t xml:space="preserve">Felyn Go Gourmet Chicken &amp; Salmon with Pumpkin Stew
</t>
  </si>
  <si>
    <t xml:space="preserve">Felyn Go Gourmet Chicken &amp; Tuna Stew
</t>
  </si>
  <si>
    <t xml:space="preserve">Felyn Go Gourmet Chicken &amp; Tuna with Pumpkin Stew
</t>
  </si>
  <si>
    <t xml:space="preserve">Felyn Go Gourmet Chicken with Goji Berries Stew
</t>
  </si>
  <si>
    <t xml:space="preserve">Felyn Go Gourmet Chicken with Pumpkin Stew
</t>
  </si>
  <si>
    <t xml:space="preserve">Felyn Go Gourmet Chicken &amp; Beef Stew
</t>
  </si>
  <si>
    <t xml:space="preserve">Felyn Go REHYDRATE SOUP WITH BEEF
</t>
  </si>
  <si>
    <t xml:space="preserve">Felyn Go REHYDRATE SOUP WITH CHICKEN
</t>
  </si>
  <si>
    <t xml:space="preserve">Felyn Go REHYDRATE SOUP WITH CHICKEN &amp; MELON
</t>
  </si>
  <si>
    <t xml:space="preserve">Felyn Go REHYDRATE SOUP WITH CHICKEN &amp; PUMPKIN
</t>
  </si>
  <si>
    <t xml:space="preserve">Felyn Go REHYDRATE SOUP WITH DUCK &amp; CRANBERRIES
</t>
  </si>
  <si>
    <t xml:space="preserve">Felyn Go REHYDRATE SOUP WITH DUCK &amp; PEARS
</t>
  </si>
  <si>
    <t xml:space="preserve">Felyn Go REHYDRATE SOUP WITH TUNA &amp; PUMPKIN
</t>
  </si>
  <si>
    <t xml:space="preserve">Felyn Go Gourmet Chicken Paté
</t>
  </si>
  <si>
    <t xml:space="preserve">Felyn Go Gourmet Chicken &amp; Tuna Paté
</t>
  </si>
  <si>
    <t xml:space="preserve">Felyn Go Gourmet Duck with Cranberries Paté
</t>
  </si>
  <si>
    <t xml:space="preserve">Felyn Go Gourmet Chicken &amp; Crab Paté
</t>
  </si>
  <si>
    <t xml:space="preserve">Felyn Go Gourmet Chicken with Shrimps &amp; Salmon Paté
</t>
  </si>
  <si>
    <t xml:space="preserve">Felyn Go Gourmet Salmon with Cranberries Paté
</t>
  </si>
  <si>
    <t xml:space="preserve">Felyn Go Gourmet Duck Paté
</t>
  </si>
  <si>
    <t xml:space="preserve">Felyn Go Gourmet Chicken with Turkey Paté
</t>
  </si>
  <si>
    <t xml:space="preserve">Felyn Go Gourmet Snackgo Chicken Pate
</t>
  </si>
  <si>
    <t xml:space="preserve">Felyn Go Gourmet Snackgo Tuna Pate
</t>
  </si>
  <si>
    <t xml:space="preserve">Felyn Go Gourmet Snackgo Beef Pate
</t>
  </si>
  <si>
    <t xml:space="preserve">Felyn Go Gourmet Snackgo Crab Pate
</t>
  </si>
  <si>
    <t xml:space="preserve">Felyn Go Gourmet Snackgo Shrimp Pate
</t>
  </si>
  <si>
    <t xml:space="preserve">Felyn Go Gourmet Snackgo Salmon Pate
</t>
  </si>
  <si>
    <t xml:space="preserve">Felyn Go Gourmet Snackgo Duck Pate
</t>
  </si>
  <si>
    <t xml:space="preserve">Felyn Go Gourmet Snackgo Turkey Pate
</t>
  </si>
  <si>
    <t>ACANA BEEF WITH PUMPKIN RECIPE DOG FOOD / 2 KG / 6KG /11.4 KG</t>
  </si>
  <si>
    <t>ACANA COLD WATER FISH RECIPE DOG FOOD / 2 KG / 6KG /11.4 KG</t>
  </si>
  <si>
    <t xml:space="preserve">Felyn Go SOFT MEATY STICKS Chicken
</t>
  </si>
  <si>
    <t xml:space="preserve">Felyn Go SOFT MEATY STICKS Salmon &amp; Trout
</t>
  </si>
  <si>
    <t xml:space="preserve">Felyn Go SOFT MEATY STICKS Turkey with Lamb
</t>
  </si>
  <si>
    <t xml:space="preserve">Felyn Go Gourmet LICKABLE SPOONS
</t>
  </si>
  <si>
    <t xml:space="preserve">Felyn Go Gourmet Lickable Spoons Chicken
</t>
  </si>
  <si>
    <t xml:space="preserve">Felyn Go Gourmet Lickable Spoons Beef
</t>
  </si>
  <si>
    <t xml:space="preserve">Felyn Go Gourmet Lickable Spoons Tuna
</t>
  </si>
  <si>
    <t xml:space="preserve">FELYN GO MilkSnack SERENITY
</t>
  </si>
  <si>
    <t xml:space="preserve">FELYN GO MilkSnack HARMONY
</t>
  </si>
  <si>
    <t xml:space="preserve">FELYN GO MilkSnack ACTIVITY
</t>
  </si>
  <si>
    <t xml:space="preserve">FELYN GO MilkSnack ENERGY
</t>
  </si>
  <si>
    <t>Kitcat Boneless Chicken shred &amp; cheese goat milk 70g</t>
  </si>
  <si>
    <t>Kitcat Boneless Chicken shred &amp; Crab with goat milk 70g</t>
  </si>
  <si>
    <t>Kitcat Boneless Chicken shred &amp; salmon with Goat milk 70g</t>
  </si>
  <si>
    <t>Kitcat Boneless Chicken shred &amp; Shrimp with Goat milk 70g</t>
  </si>
  <si>
    <t>Kitcat Boneless Chicken shred &amp; Smoked fish flakes with Goat milk 70g</t>
  </si>
  <si>
    <t>Kitcat Boneless Chicken shred &amp; Whitebait with Goat milk 70g</t>
  </si>
  <si>
    <t>Kitcat white meat tuna flakes and salmon with Goat milk 70g</t>
  </si>
  <si>
    <t xml:space="preserve">Kitcat white meat tuna flakes &amp; Whitebait with Goat milk 70 g
</t>
  </si>
  <si>
    <t>Kitcat white meat tuna flakes with Smoked fish flakes Goat milk 70g</t>
  </si>
  <si>
    <t>Kitcat white meat tuna flakes and cheese with Goat milk 70g</t>
  </si>
  <si>
    <t>Kitcat white meat tuna flakes &amp; Crab with Goat milk 70g</t>
  </si>
  <si>
    <t>Kitcat white meat tuna flakes &amp; Shrimp with Goat milk 70g</t>
  </si>
  <si>
    <t>Kit Cat Kitten Mousse with Chicken 80g</t>
  </si>
  <si>
    <t>Kit Cat Kitten Mousse with Tuna 80g</t>
  </si>
  <si>
    <t xml:space="preserve">Kit Cat Tuna Mousse &amp; Chicken Toppers
</t>
  </si>
  <si>
    <t>Kit Cat Chicken Mousse &amp; Tuna Toppers 80g</t>
  </si>
  <si>
    <t>Kit Cat Deboned Kitten Tuna Flakes with Aspic 80g</t>
  </si>
  <si>
    <t>Kit Cat Deboned Kitten Chicken Flakes with Aspic 80g</t>
  </si>
  <si>
    <t>Kit Cat Purrpuree Chicken &amp; Fiber ( Hairball ) 75g</t>
  </si>
  <si>
    <t xml:space="preserve">Felyn go Pillows Fresh Chicken &amp; Salmon
</t>
  </si>
  <si>
    <t xml:space="preserve">Felyn go Pillows Fresh Chicken
</t>
  </si>
  <si>
    <t xml:space="preserve">Felyn go Pillows Fresh Chicken &amp; Codfish
</t>
  </si>
  <si>
    <t xml:space="preserve">Felyn go Pillows Fresh Chicken &amp; Beef
</t>
  </si>
  <si>
    <t xml:space="preserve">Felyn go Pillows Fresh Chicken &amp; Duck
</t>
  </si>
  <si>
    <t xml:space="preserve">Felyn go Pillows Fresh Chicken &amp; Tuna
</t>
  </si>
  <si>
    <t xml:space="preserve">Beaphar </t>
  </si>
  <si>
    <t xml:space="preserve">Beaphar Lactol Kitten Milk 500g - 250g </t>
  </si>
  <si>
    <t>Beaphar Lactol Puppy Milk 1kg - 500g -250 g</t>
  </si>
  <si>
    <t xml:space="preserve">Catelux 60g
</t>
  </si>
  <si>
    <t xml:space="preserve">CHURU Bites chicken recipe wraps chicken recipe 
</t>
  </si>
  <si>
    <t xml:space="preserve">ORIJEN Wild Reserve Free Run Chicken &amp; Wild Caught Fish Recipe Cat Food  1.58kg
</t>
  </si>
  <si>
    <t xml:space="preserve">ORIJEN Wild Reserve Wild Caught Fish Recipe Cat Food  1.58kg
</t>
  </si>
  <si>
    <t xml:space="preserve">ORIJEN Wild Reserve Free- Run Chicken Recipe Dog Food 1.8 kg
</t>
  </si>
  <si>
    <t xml:space="preserve">ORIJEN Wild Reserve Wild Caught Fish Recipe Dog Food </t>
  </si>
  <si>
    <t xml:space="preserve">CATIDEA CALM &amp; URINARY 125g- 400g
</t>
  </si>
  <si>
    <t>Dental Easy Treat 35g</t>
  </si>
  <si>
    <t>Dental Sticks M/L 182g</t>
  </si>
  <si>
    <t>Dental Sticks Small 112g</t>
  </si>
  <si>
    <t>Federkur Paganol Vitamintropfen 50ml</t>
  </si>
  <si>
    <t>Kitten Grainfree 10kg - 4.25 kg -2kg</t>
  </si>
  <si>
    <t xml:space="preserve">Kitten Grainfree 400g -60g </t>
  </si>
  <si>
    <t>Marinesse 2kg</t>
  </si>
  <si>
    <t>JosiDog Economy 15kg</t>
  </si>
  <si>
    <t>Naturecat 60g</t>
  </si>
  <si>
    <t>Marinesse 60g</t>
  </si>
  <si>
    <t xml:space="preserve">SensiCat 2kg - 10 kg
</t>
  </si>
  <si>
    <t>DC Kidney Diet 200g</t>
  </si>
  <si>
    <t>DC Hypoallergen Diet 200g</t>
  </si>
  <si>
    <t>DC Intestinal Diet 200g</t>
  </si>
  <si>
    <t>Gistocal 250g</t>
  </si>
  <si>
    <t xml:space="preserve">Sanal Anti-Hairball Bites Malt 75g
</t>
  </si>
  <si>
    <t>Sanal Biotin 75 g -350g</t>
  </si>
  <si>
    <t>Sanal Calcium Plus 200g</t>
  </si>
  <si>
    <t xml:space="preserve">Sanal Cat Multi Vitamin 350g
</t>
  </si>
  <si>
    <t xml:space="preserve">Sanal Cat Salmon Bites 75g
</t>
  </si>
  <si>
    <t xml:space="preserve">Sanal Cheese Bites 75g
</t>
  </si>
  <si>
    <t xml:space="preserve">Sanal Choco Drops 250g
</t>
  </si>
  <si>
    <t xml:space="preserve">Sanal Cranberry &amp; Chicken Bites 75g
</t>
  </si>
  <si>
    <t>Sanal Denta’s 75g</t>
  </si>
  <si>
    <t>Versele-Laga Prestige Parrot Adult Super 12.5 kg</t>
  </si>
  <si>
    <t xml:space="preserve">Sanal Dog Calcium Chicken Bones 80g
</t>
  </si>
  <si>
    <t xml:space="preserve">Sanal Dog Chicken &amp; Fish Strips 80g
</t>
  </si>
  <si>
    <t xml:space="preserve">SANAL DOG CHICKEN BONES 80g
</t>
  </si>
  <si>
    <t xml:space="preserve">Sanal Dog Chicken Filet 80g
</t>
  </si>
  <si>
    <t xml:space="preserve">Sanal Dog Chicken Sushi 80g
</t>
  </si>
  <si>
    <t xml:space="preserve">Sanal Dog Chicken Wrap 80g
</t>
  </si>
  <si>
    <t xml:space="preserve">Sanal Dog Trainers Fantasy Mix 300g
</t>
  </si>
  <si>
    <t>Sanal Dog Trainers Mini Bones 300g</t>
  </si>
  <si>
    <t xml:space="preserve">Sanal Fiesta 75g
</t>
  </si>
  <si>
    <t xml:space="preserve">Sanal Fish Bites 75g
</t>
  </si>
  <si>
    <t xml:space="preserve">Sanal Fish Trio 75g
</t>
  </si>
  <si>
    <t xml:space="preserve">Sanal Joint Care 75g
</t>
  </si>
  <si>
    <t xml:space="preserve">Felyn Go SOFT MEATY STICKS Salmon &amp; Trout
</t>
  </si>
  <si>
    <t xml:space="preserve">josera Indoor 60g
</t>
  </si>
  <si>
    <t xml:space="preserve">Sanal Milk Drops 250g
</t>
  </si>
  <si>
    <t xml:space="preserve">Sanal Mini Bones Chicken &amp; Beef 100g
</t>
  </si>
  <si>
    <t xml:space="preserve">Sanal Soft Stick Beef 12g
</t>
  </si>
  <si>
    <t xml:space="preserve">Sanal Soft Stick Lamb 12g
</t>
  </si>
  <si>
    <t xml:space="preserve">Sanal Soft Stick Poultry 12g
</t>
  </si>
  <si>
    <t xml:space="preserve">Sanal Soft Stick with Salmon &amp; Trout 15 g
</t>
  </si>
  <si>
    <t xml:space="preserve">Sanal Soft Sticks Lamb &amp; Rice 15g
</t>
  </si>
  <si>
    <t xml:space="preserve">Sanal Vita Bones Chicken &amp; Beef 100g
</t>
  </si>
  <si>
    <t xml:space="preserve">Sanal Soft Sticks Turkey &amp; Liver 15g
</t>
  </si>
  <si>
    <t xml:space="preserve">Sanal Sport Mix Chicken &amp; Beef 100g
</t>
  </si>
  <si>
    <t xml:space="preserve">Sanal Taurin 60g
</t>
  </si>
  <si>
    <t xml:space="preserve">Sanal Top Mix 240 g
</t>
  </si>
  <si>
    <t xml:space="preserve">Hypoallergenic 900g
</t>
  </si>
  <si>
    <t xml:space="preserve">JosiDog Mini 18kg 
</t>
  </si>
  <si>
    <t xml:space="preserve">Kit Cat Dry Food - Kittens &amp; Pregnant Cat 1.2kg
</t>
  </si>
  <si>
    <t xml:space="preserve">Kitcat Breath Bites Beef Flavor 60G
</t>
  </si>
  <si>
    <t xml:space="preserve">Kitcat Breath Bites Chicken Flavor 60G
</t>
  </si>
  <si>
    <t xml:space="preserve">Forza10 Intestinal  Cat Adult Fish Dry 400g - 1.5 kg
</t>
  </si>
  <si>
    <t xml:space="preserve">Forza10 Active Urinary Cat Adult Fish Dry 1.5 kg
</t>
  </si>
  <si>
    <t xml:space="preserve">Forza10 Active Renal Cat Adult Fish Dry 1.5 kg
</t>
  </si>
  <si>
    <t xml:space="preserve">Forza10 Active Hypoallergenic Cat Adult Fish Dry 1.5 kg
</t>
  </si>
  <si>
    <t xml:space="preserve">Forza10 Active Intestinal Colon Cat Adult Fish Dry 1.5 kg - 400g
</t>
  </si>
  <si>
    <t xml:space="preserve">Forza10 Active Intestinal Dog All Breeds Adult Fish Dry 1.5 KG - 4 KG
</t>
  </si>
  <si>
    <t xml:space="preserve">Forza10 Active Dermo Dog All Breeds Adult Fish Dry 4 kg
</t>
  </si>
  <si>
    <t xml:space="preserve">Forza10 Active Renal Dog All Breeds Adult Fish Dry 4 kg
</t>
  </si>
  <si>
    <t xml:space="preserve">Forza10 Active Diabetic Dog All Breeds Adult Fish Dry 1.5 kg
</t>
  </si>
  <si>
    <t xml:space="preserve">Forza10 Active Urinary Cat Fish Wet Paté 80g
</t>
  </si>
  <si>
    <t xml:space="preserve">Forza10 Active Intestinal Cat Fish Wet Paté 80
</t>
  </si>
  <si>
    <t xml:space="preserve">Forza10 Active Intestinal Colon Cat Fish Wet Paté 80 g
</t>
  </si>
  <si>
    <t xml:space="preserve">Forza10 Active Renal Cat Lamb Wet Paté 80 g
</t>
  </si>
  <si>
    <t xml:space="preserve">Forza10 Active Hypoallergenic Cat Fish Wet Paté 80g
</t>
  </si>
  <si>
    <t xml:space="preserve">Forza10 Active Hypoallergenic Cat Lamb Wet Paté 80g
</t>
  </si>
  <si>
    <t xml:space="preserve">Forza10 Active Diabetic Cat Fish Wet Paté 80g 
</t>
  </si>
  <si>
    <t xml:space="preserve">Kit Cat Daily Supplement Gel Dental Care150g </t>
  </si>
  <si>
    <t xml:space="preserve">Kit Cat Daily Supplement Gel Kidney Guard 150g
</t>
  </si>
  <si>
    <t>Kit Cat Daily Supplement Gel  Lysine Care 150g</t>
  </si>
  <si>
    <t xml:space="preserve">Kit Cat Daily Supplement Gel Daily Vitamin 150g
</t>
  </si>
  <si>
    <t xml:space="preserve">Kit Cat Daily Supplement Ge- Pre+Probiotic Care 150g
</t>
  </si>
  <si>
    <t>josera SensiCat 2kg</t>
  </si>
  <si>
    <t xml:space="preserve">Josera Léger  2 kg
</t>
  </si>
  <si>
    <t>Kitcat Breath Bites Lamb Flavor 60G</t>
  </si>
  <si>
    <t xml:space="preserve">Kitcat Breath Bites Salmon Flavor 60G
</t>
  </si>
  <si>
    <t xml:space="preserve">Kitcat Breath Bites Seafood Flavor 60G
</t>
  </si>
  <si>
    <t xml:space="preserve">Kitcat Breath Bites Tuna Flavor 60G
</t>
  </si>
  <si>
    <t xml:space="preserve">Kitcat chicken cuisine 1.20 KG
</t>
  </si>
  <si>
    <t xml:space="preserve">Forza10 Active Intestinal Colon Dog Lamb Wet Paté 390g
</t>
  </si>
  <si>
    <t xml:space="preserve">Forza10 Maintenance Cat Kitten (2-12 Months) Salmon Wet Paté 80g
</t>
  </si>
  <si>
    <t xml:space="preserve">Forza10 Maintenance Adult 1-6 Quail  80g
</t>
  </si>
  <si>
    <t xml:space="preserve">Forza10 Maintenance Cat Adult (1-6 Years) Salmon Wet Paté 80g
</t>
  </si>
  <si>
    <t xml:space="preserve">Forza10 Maintenance Cat Adult Sterilized Duck Wet Paté 80 g
</t>
  </si>
  <si>
    <t xml:space="preserve">Forza10 Maintenance Cat Adult Sterilized Quail Wet Paté 80g 
</t>
  </si>
  <si>
    <t xml:space="preserve">Forza10 Maintenance Cat Adult Sterilized Tuna Wet Paté 80g
</t>
  </si>
  <si>
    <t xml:space="preserve">Forza10 Maintenance Cat Adult Sterilized Anchovy Wet Paté 80g
</t>
  </si>
  <si>
    <t xml:space="preserve">Forza10 Active Urinary Dog All Breeds Adult Fish Dry 1.5kg
</t>
  </si>
  <si>
    <t xml:space="preserve">SALMON OIL 430ML EN/AR 
</t>
  </si>
  <si>
    <t>Vitamine A Bird 20ml</t>
  </si>
  <si>
    <t xml:space="preserve">LAVETA SUPER CAT 50ML
</t>
  </si>
  <si>
    <t xml:space="preserve">Federkur Paganol Vitamintropfen
</t>
  </si>
  <si>
    <t>Multi-Vit Parrots and Parakeets 20ml</t>
  </si>
  <si>
    <t xml:space="preserve">Malt paste duo-active
</t>
  </si>
  <si>
    <t>Beaphar Fresh Breath Tablets</t>
  </si>
  <si>
    <t>Multi-Vit Birds 20ml</t>
  </si>
  <si>
    <t>Bitesy</t>
  </si>
  <si>
    <t xml:space="preserve">Bitesy Chicken Chunks for Adult Cats 405g
</t>
  </si>
  <si>
    <t xml:space="preserve">Bitesy Salmon Chunks for Adult Cats 405g
</t>
  </si>
  <si>
    <t xml:space="preserve">Bitesy Chicken Chunks for Kittens 405g
</t>
  </si>
  <si>
    <t xml:space="preserve">Bitesy Salmon Chunks for Sterilised Cats 405g
</t>
  </si>
  <si>
    <t xml:space="preserve">Bitesy Liver Chunks for Adult Cats 405g
</t>
  </si>
  <si>
    <t xml:space="preserve">Bitesy Beef Chunks for Adult Cats405 g
</t>
  </si>
  <si>
    <t xml:space="preserve">Bitesy Veal Chunks for Adult Cats 405 g
</t>
  </si>
  <si>
    <t xml:space="preserve">Bitesy Lamb Chunks for Adult Cats 405g
</t>
  </si>
  <si>
    <t xml:space="preserve">Bitesy Tuna Chunks for Adult Cats 405 g
</t>
  </si>
  <si>
    <t xml:space="preserve">Bitesy Turkey Chunks for Adult Cats 405g
</t>
  </si>
  <si>
    <t xml:space="preserve">Bitesy Beef Chunks for Adult Dogs 405 g
</t>
  </si>
  <si>
    <t xml:space="preserve">Bitesy Chicken Chunks for Adult Dogs 405g
</t>
  </si>
  <si>
    <t xml:space="preserve">Bitesy Lamb Chunks for Adult Dogs 405 g
</t>
  </si>
  <si>
    <t xml:space="preserve">Bitesy Lamb Chunks for Puppies 405 g
</t>
  </si>
  <si>
    <t xml:space="preserve">Bitesy Salmon Chunks for Adult Dogs 405 g
</t>
  </si>
  <si>
    <t xml:space="preserve">Bitesy Veal Chunks for Adult Dogs 405g
</t>
  </si>
  <si>
    <t>PPT Number</t>
  </si>
  <si>
    <t>Description</t>
  </si>
  <si>
    <t>Invoice Number</t>
  </si>
  <si>
    <t>PO Number</t>
  </si>
  <si>
    <t>PPT-288</t>
  </si>
  <si>
    <t>KC 400g SOKC000819</t>
  </si>
  <si>
    <t>SOKC000819</t>
  </si>
  <si>
    <t>PPT-293</t>
  </si>
  <si>
    <t>Applaws Dry x13 262567 262568 262569 262570 262571 262572 262573 262574 262575 262576 262577 262578 262579</t>
  </si>
  <si>
    <t xml:space="preserve"> 262567 262568 262569 262570 262571 262572 262573 262574 262575 262576 262577 262578 262579</t>
  </si>
  <si>
    <t>2600048-&gt;60</t>
  </si>
  <si>
    <t>brand</t>
  </si>
  <si>
    <t>Priority</t>
  </si>
  <si>
    <t>catidea</t>
  </si>
  <si>
    <t xml:space="preserve"> bioPetActive</t>
  </si>
  <si>
    <t>josera</t>
  </si>
  <si>
    <t xml:space="preserve"> </t>
  </si>
  <si>
    <t>Clearance</t>
  </si>
  <si>
    <t xml:space="preserve">Ads </t>
  </si>
  <si>
    <t xml:space="preserve">Grr </t>
  </si>
  <si>
    <t>PI</t>
  </si>
  <si>
    <t>Review</t>
  </si>
  <si>
    <t>Notes</t>
  </si>
  <si>
    <t>Arabic Stickers</t>
  </si>
  <si>
    <t>Profine x3</t>
  </si>
  <si>
    <t>x</t>
  </si>
  <si>
    <t>Profine x2</t>
  </si>
  <si>
    <t>273-274</t>
  </si>
  <si>
    <t>Schesir Wet 900611</t>
  </si>
  <si>
    <t>Schesir Wet 900609</t>
  </si>
  <si>
    <t>KCIT220052A 10L x8</t>
  </si>
  <si>
    <t>Zolux Rodywood</t>
  </si>
  <si>
    <t>260 - 261</t>
  </si>
  <si>
    <t>258-259</t>
  </si>
  <si>
    <t>Zolux Annah</t>
  </si>
  <si>
    <t>MPS 357</t>
  </si>
  <si>
    <t>KCIT220102 Soya</t>
  </si>
  <si>
    <t>Applaws x2 228152 - 228153</t>
  </si>
  <si>
    <t>263-264</t>
  </si>
  <si>
    <t>MPS 293</t>
  </si>
  <si>
    <t>Whitebridge</t>
  </si>
  <si>
    <t>MC</t>
  </si>
  <si>
    <t>Zolux Rody.3</t>
  </si>
  <si>
    <t>Nestle 9304235626</t>
  </si>
  <si>
    <t>Nestle 9304235820</t>
  </si>
  <si>
    <t>MPS404</t>
  </si>
  <si>
    <t>Kitcat Litter 10L x7</t>
  </si>
  <si>
    <t>KCIT220053C</t>
  </si>
  <si>
    <t>Zolux Tunisia 833520</t>
  </si>
  <si>
    <t>تدخيل عالسستم</t>
  </si>
  <si>
    <t>Zolux Shenzen 837260</t>
  </si>
  <si>
    <t>Nestle 9304236412</t>
  </si>
  <si>
    <t>Nestle 9304235917</t>
  </si>
  <si>
    <t>Biosand 109/111/112</t>
  </si>
  <si>
    <t xml:space="preserve">New itm </t>
  </si>
  <si>
    <t>Beaphar 2022S20613</t>
  </si>
  <si>
    <t>Applaws Dry 229916+228713</t>
  </si>
  <si>
    <t>282-283</t>
  </si>
  <si>
    <t>Nestle 9304236423</t>
  </si>
  <si>
    <t>Zolux Nantong 831605</t>
  </si>
  <si>
    <t xml:space="preserve">تدخيل عالسستم </t>
  </si>
  <si>
    <t xml:space="preserve">Applaws 228154, 228155, 228157, 228714 </t>
  </si>
  <si>
    <t>KCIT21011</t>
  </si>
  <si>
    <t>LindoCat *3 - 2300000288 - 2300000283 - 2100002082</t>
  </si>
  <si>
    <t>Sanal 5220366</t>
  </si>
  <si>
    <t xml:space="preserve">MPS 477 </t>
  </si>
  <si>
    <t>MPS 492</t>
  </si>
  <si>
    <t>Zolux - China Rody.3  3442+ 3443</t>
  </si>
  <si>
    <t>LindoCat x3 - 2300000267 - 2300000271 - 2300000272</t>
  </si>
  <si>
    <t>Schesir Wet 502098 7th 900608</t>
  </si>
  <si>
    <t>Schesir Wet 502098 9th 900610</t>
  </si>
  <si>
    <t xml:space="preserve">Schesir order 502175 - 2nd container 900670 </t>
  </si>
  <si>
    <t>Schesir order 502175 - 3rd container 900783</t>
  </si>
  <si>
    <t>Schesir order 502175 - 6th container 900824</t>
  </si>
  <si>
    <t>Schesir order 502175 - 5th container 900823</t>
  </si>
  <si>
    <t>Schesir order 502175 - 4th container 900822</t>
  </si>
  <si>
    <t>Zolux Ningbo Toys &amp; Accessories</t>
  </si>
  <si>
    <t xml:space="preserve">Prevue pet Bird Toys </t>
  </si>
  <si>
    <t>Nestle 9304235673</t>
  </si>
  <si>
    <t>Nestle 9304240995</t>
  </si>
  <si>
    <t>Nestle 9304241398</t>
  </si>
  <si>
    <t>Prevue Pet Cat trees ( 3565444 , 3565445 , 3565446 , 3565447 , 3565448 )</t>
  </si>
  <si>
    <t>Manna Pro PO 8515 fruitables</t>
  </si>
  <si>
    <t>Josera 570191315 - 570191499</t>
  </si>
  <si>
    <t>Josera 570195962 - 570195963 - 570195965</t>
  </si>
  <si>
    <t>Josera 570195676-570195678</t>
  </si>
  <si>
    <t>Prevue Pet 3565449</t>
  </si>
  <si>
    <t>CatIdea 2111MS032</t>
  </si>
  <si>
    <t>Prevue Pet Dogs crate 3567631</t>
  </si>
  <si>
    <t>KCIT220133A 10L</t>
  </si>
  <si>
    <t>Zolux - China (Gloves and leashes) 840896</t>
  </si>
  <si>
    <t>Laviosa (LindoCat +signor gatto ) 2300000334 - 2300000336 - 2300000339</t>
  </si>
  <si>
    <t>Laviosa (Lindocat +Signor Gatto) 2300000326 -2300000327-2300000331</t>
  </si>
  <si>
    <t>Schesir 900822</t>
  </si>
  <si>
    <t>Schiser 900670</t>
  </si>
  <si>
    <t>Schesir 900824</t>
  </si>
  <si>
    <t>Schesir 900608</t>
  </si>
  <si>
    <t>Schesir 900610</t>
  </si>
  <si>
    <t>Schesir 900783</t>
  </si>
  <si>
    <t>Schesir 900823</t>
  </si>
  <si>
    <t>Zolux Ningbo 841800</t>
  </si>
  <si>
    <t>Applaws x4 228154 - 228155 - 228157 - 228714</t>
  </si>
  <si>
    <t>Zolux Rody3 841362 - 841363</t>
  </si>
  <si>
    <t>Zolux Toys Shenzen 837260</t>
  </si>
  <si>
    <t>KCIT210498 - KCIT210499 PUREE</t>
  </si>
  <si>
    <t xml:space="preserve">340-341 </t>
  </si>
  <si>
    <t>KCIT210112+KCIT210113  400g</t>
  </si>
  <si>
    <t>342-343</t>
  </si>
  <si>
    <t>KCIT220139 - Cuisine</t>
  </si>
  <si>
    <t>Seq</t>
  </si>
  <si>
    <t>Create Date</t>
  </si>
  <si>
    <t>Month</t>
  </si>
  <si>
    <t>Year</t>
  </si>
  <si>
    <t>P.Q. Number</t>
  </si>
  <si>
    <t>P.Q. Value</t>
  </si>
  <si>
    <t>P.O. Number</t>
  </si>
  <si>
    <t>P.O. Qty</t>
  </si>
  <si>
    <t>P.O. Value</t>
  </si>
  <si>
    <t>Currency</t>
  </si>
  <si>
    <t>Number of Articles</t>
  </si>
  <si>
    <t>Vendor Name</t>
  </si>
  <si>
    <t>Payment term</t>
  </si>
  <si>
    <t>Payment Status</t>
  </si>
  <si>
    <t>Order Made By</t>
  </si>
  <si>
    <t>ETD</t>
  </si>
  <si>
    <t>PPT-01</t>
  </si>
  <si>
    <t>SAR</t>
  </si>
  <si>
    <t>PPT-02</t>
  </si>
  <si>
    <t>USD</t>
  </si>
  <si>
    <t>KIT CAT</t>
  </si>
  <si>
    <t>PPT-03</t>
  </si>
  <si>
    <t>PPT-04</t>
  </si>
  <si>
    <t>PPT-05</t>
  </si>
  <si>
    <t>PPT-06</t>
  </si>
  <si>
    <t>PPT-07</t>
  </si>
  <si>
    <t>PPT-08</t>
  </si>
  <si>
    <t>Not Received</t>
  </si>
  <si>
    <t>PPT-09</t>
  </si>
  <si>
    <t>PPT-10</t>
  </si>
  <si>
    <t>PPT-11</t>
  </si>
  <si>
    <t>PPT-12</t>
  </si>
  <si>
    <t>PPT-13</t>
  </si>
  <si>
    <t>PPT-14</t>
  </si>
  <si>
    <t>PPT-15</t>
  </si>
  <si>
    <t>EURO</t>
  </si>
  <si>
    <t>Butcher’s</t>
  </si>
  <si>
    <t>Partial Delivered</t>
  </si>
  <si>
    <t>PPT-16</t>
  </si>
  <si>
    <t>PPT-17</t>
  </si>
  <si>
    <t>PPT-18</t>
  </si>
  <si>
    <t>PPT-19</t>
  </si>
  <si>
    <t>PPT-20</t>
  </si>
  <si>
    <t>PPT-21</t>
  </si>
  <si>
    <t>PPT-22</t>
  </si>
  <si>
    <t>DUBEX</t>
  </si>
  <si>
    <t>PPT-23</t>
  </si>
  <si>
    <t>PPT-24</t>
  </si>
  <si>
    <t>GROOMERS</t>
  </si>
  <si>
    <t>PPT-25</t>
  </si>
  <si>
    <t>PPT-26</t>
  </si>
  <si>
    <t>PPT-27</t>
  </si>
  <si>
    <t>PPT-28</t>
  </si>
  <si>
    <t>PPT-29</t>
  </si>
  <si>
    <t>PPT-30</t>
  </si>
  <si>
    <t>PPT-31</t>
  </si>
  <si>
    <t xml:space="preserve">Cancelled </t>
  </si>
  <si>
    <t>PPT-32</t>
  </si>
  <si>
    <t>PPT-33</t>
  </si>
  <si>
    <t>PPT-34</t>
  </si>
  <si>
    <t>PPT-35</t>
  </si>
  <si>
    <t>PPT-36</t>
  </si>
  <si>
    <t>PPT-37</t>
  </si>
  <si>
    <t>PPT-38</t>
  </si>
  <si>
    <t>PPT-39</t>
  </si>
  <si>
    <t>PPT-40</t>
  </si>
  <si>
    <t>LINDOCAT</t>
  </si>
  <si>
    <t>PPT-41</t>
  </si>
  <si>
    <t>BioSand</t>
  </si>
  <si>
    <t>PPT-42</t>
  </si>
  <si>
    <t>GEO IMPERIAL</t>
  </si>
  <si>
    <t>PPT-43</t>
  </si>
  <si>
    <t>PPT-44</t>
  </si>
  <si>
    <t>PPT-45</t>
  </si>
  <si>
    <t>PPT-46</t>
  </si>
  <si>
    <t>Profine</t>
  </si>
  <si>
    <t>PPT-47</t>
  </si>
  <si>
    <t>PPT-48</t>
  </si>
  <si>
    <t>PPT-49</t>
  </si>
  <si>
    <t>PPT-50</t>
  </si>
  <si>
    <t>PPT-51</t>
  </si>
  <si>
    <t>SCHESIR</t>
  </si>
  <si>
    <t>Mobarak</t>
  </si>
  <si>
    <t>PPT-52</t>
  </si>
  <si>
    <t>PPT-53</t>
  </si>
  <si>
    <t>PPT-54</t>
  </si>
  <si>
    <t>PPT-55</t>
  </si>
  <si>
    <t>Petnutrition</t>
  </si>
  <si>
    <t>P.O. Approved</t>
  </si>
  <si>
    <t>PPT-56</t>
  </si>
  <si>
    <t>Moayad</t>
  </si>
  <si>
    <t>PPT-57</t>
  </si>
  <si>
    <t>LAROY GROUP</t>
  </si>
  <si>
    <t>PPT-58</t>
  </si>
  <si>
    <t>Mark &amp; Chappel</t>
  </si>
  <si>
    <t>PPT-59</t>
  </si>
  <si>
    <t>PPT-60</t>
  </si>
  <si>
    <t>PPT-61</t>
  </si>
  <si>
    <t>PPT-62</t>
  </si>
  <si>
    <t>PPT-63</t>
  </si>
  <si>
    <t>Petsan</t>
  </si>
  <si>
    <t>PPT-64</t>
  </si>
  <si>
    <t>PPT-65</t>
  </si>
  <si>
    <t>PPT-66</t>
  </si>
  <si>
    <t>SEALAND HOLDINGS</t>
  </si>
  <si>
    <t>PPT-67</t>
  </si>
  <si>
    <t xml:space="preserve">Versele Laga </t>
  </si>
  <si>
    <t xml:space="preserve">Moayad </t>
  </si>
  <si>
    <t>PPT-68</t>
  </si>
  <si>
    <t>PPT-69</t>
  </si>
  <si>
    <t>BONUSBAGS</t>
  </si>
  <si>
    <t>PPT-70</t>
  </si>
  <si>
    <t>Manna Pro UK Ltd</t>
  </si>
  <si>
    <t>PPT-71</t>
  </si>
  <si>
    <t>Dry</t>
  </si>
  <si>
    <t>PPT-72</t>
  </si>
  <si>
    <t>PPT-73</t>
  </si>
  <si>
    <t>30-07-2023</t>
  </si>
  <si>
    <t>PPT-74</t>
  </si>
  <si>
    <t>Inaba</t>
  </si>
  <si>
    <t>PPT-75</t>
  </si>
  <si>
    <t>Schesir</t>
  </si>
  <si>
    <t>6 to 13 october</t>
  </si>
  <si>
    <t>PPT-76</t>
  </si>
  <si>
    <t>DAIRYPET</t>
  </si>
  <si>
    <t>PPT-78</t>
  </si>
  <si>
    <t>15-08-2023</t>
  </si>
  <si>
    <t>PPT-79</t>
  </si>
  <si>
    <t>PPT-80</t>
  </si>
  <si>
    <t>Euro</t>
  </si>
  <si>
    <t>qty changed</t>
  </si>
  <si>
    <t>ppt-81</t>
  </si>
  <si>
    <t>15-12-2023</t>
  </si>
  <si>
    <t>16-10-2023</t>
  </si>
  <si>
    <t>PPT-82</t>
  </si>
  <si>
    <t>22-10-2023</t>
  </si>
  <si>
    <t>PPT-83</t>
  </si>
  <si>
    <t>26-10-2023</t>
  </si>
  <si>
    <t>PPT-84</t>
  </si>
  <si>
    <t>PPT-85</t>
  </si>
  <si>
    <t>Wet</t>
  </si>
  <si>
    <t>30-10-2023</t>
  </si>
  <si>
    <t>PPT-89</t>
  </si>
  <si>
    <t>50 prepay-50 load</t>
  </si>
  <si>
    <t xml:space="preserve">Gravy-2Invoices </t>
  </si>
  <si>
    <t>PPT-90</t>
  </si>
  <si>
    <t>80g</t>
  </si>
  <si>
    <t>PPT-91</t>
  </si>
  <si>
    <t>Goatmilk</t>
  </si>
  <si>
    <t>PPT-92</t>
  </si>
  <si>
    <t>400g</t>
  </si>
  <si>
    <t>KCIT230315</t>
  </si>
  <si>
    <t>PPT-86</t>
  </si>
  <si>
    <t>Kit CAT</t>
  </si>
  <si>
    <t>Abu Naif</t>
  </si>
  <si>
    <t>Kc 2nd chance</t>
  </si>
  <si>
    <t>PPT-87</t>
  </si>
  <si>
    <t>Soya</t>
  </si>
  <si>
    <t>PPT-88</t>
  </si>
  <si>
    <t>PPT-93</t>
  </si>
  <si>
    <t>100% upon loading</t>
  </si>
  <si>
    <t>Petite Pouch</t>
  </si>
  <si>
    <t>PPT-94</t>
  </si>
  <si>
    <t>PPT-95</t>
  </si>
  <si>
    <t>PPT-96</t>
  </si>
  <si>
    <t>17-11-2023</t>
  </si>
  <si>
    <t>PPT-97</t>
  </si>
  <si>
    <t>19-11-2023</t>
  </si>
  <si>
    <t>PPT-98</t>
  </si>
  <si>
    <t xml:space="preserve">Snacks </t>
  </si>
  <si>
    <t>23-11-2023</t>
  </si>
  <si>
    <t>PPT-99</t>
  </si>
  <si>
    <t>50-50</t>
  </si>
  <si>
    <t>Cans 415g</t>
  </si>
  <si>
    <t>26-11-2023</t>
  </si>
  <si>
    <t>PPT-100</t>
  </si>
  <si>
    <t>27-12-2023</t>
  </si>
  <si>
    <t>ppt-101</t>
  </si>
  <si>
    <t>My family</t>
  </si>
  <si>
    <t>P.O. Under Process</t>
  </si>
  <si>
    <t>PPT-101</t>
  </si>
  <si>
    <t>Waiting for SFDA REg</t>
  </si>
  <si>
    <t>PPT-102</t>
  </si>
  <si>
    <t>Waiting for stickers</t>
  </si>
  <si>
    <t>PPT-103</t>
  </si>
  <si>
    <t>PPT-104</t>
  </si>
  <si>
    <t>PPT-105</t>
  </si>
  <si>
    <t>400g , X12</t>
  </si>
  <si>
    <t>20-12-203</t>
  </si>
  <si>
    <t>PPT-106</t>
  </si>
  <si>
    <t>Deboned X2</t>
  </si>
  <si>
    <t>PPT-107</t>
  </si>
  <si>
    <t>Goat&amp;Kitten X1</t>
  </si>
  <si>
    <t>28-12-2023</t>
  </si>
  <si>
    <t>PPT-108</t>
  </si>
  <si>
    <t>Yogurt yums</t>
  </si>
  <si>
    <t>PPT-109</t>
  </si>
  <si>
    <t xml:space="preserve">Petnutrition </t>
  </si>
  <si>
    <t>Princess litter</t>
  </si>
  <si>
    <t>30-12-2023</t>
  </si>
  <si>
    <t>PPT-110</t>
  </si>
  <si>
    <t>Prepayment</t>
  </si>
  <si>
    <t>31-12-2023</t>
  </si>
  <si>
    <t>PPT-111</t>
  </si>
  <si>
    <t>Treats</t>
  </si>
  <si>
    <t>PPT-112</t>
  </si>
  <si>
    <t>PPT-113</t>
  </si>
  <si>
    <t>With new Items</t>
  </si>
  <si>
    <t>22-01-2024</t>
  </si>
  <si>
    <t>PPT-114</t>
  </si>
  <si>
    <t>Solid Gold - USA</t>
  </si>
  <si>
    <t>24-01-2024</t>
  </si>
  <si>
    <t>PPT-115</t>
  </si>
  <si>
    <t>28-01-2024</t>
  </si>
  <si>
    <t>PPT-116</t>
  </si>
  <si>
    <t>29-01-2024</t>
  </si>
  <si>
    <t>PPT-117</t>
  </si>
  <si>
    <t>April</t>
  </si>
  <si>
    <t xml:space="preserve">Doypack </t>
  </si>
  <si>
    <t>PPT-118</t>
  </si>
  <si>
    <t>Med April</t>
  </si>
  <si>
    <t xml:space="preserve">Poland Sticks </t>
  </si>
  <si>
    <t>PPT-119</t>
  </si>
  <si>
    <t>ETA April</t>
  </si>
  <si>
    <t>PPT-120</t>
  </si>
  <si>
    <t>Solid Gold - Thai</t>
  </si>
  <si>
    <t>P.O. Approval Pending</t>
  </si>
  <si>
    <t>20-02-2024</t>
  </si>
  <si>
    <t>PPT-121</t>
  </si>
  <si>
    <t>Collars</t>
  </si>
  <si>
    <t>22-02-2024</t>
  </si>
  <si>
    <t>2400001</t>
  </si>
  <si>
    <t>PPT-122</t>
  </si>
  <si>
    <t>All the range</t>
  </si>
  <si>
    <t>25-02-2024</t>
  </si>
  <si>
    <t>2400002</t>
  </si>
  <si>
    <t>PPT-123</t>
  </si>
  <si>
    <t xml:space="preserve">Mats </t>
  </si>
  <si>
    <t>PPT-124</t>
  </si>
  <si>
    <t>Zupreem</t>
  </si>
  <si>
    <t>27-02-2024</t>
  </si>
  <si>
    <t>PPT-125</t>
  </si>
  <si>
    <t>2-3 m forecast turkey</t>
  </si>
  <si>
    <t>28-02-2024</t>
  </si>
  <si>
    <t>PPT-126</t>
  </si>
  <si>
    <t>29-02-2024</t>
  </si>
  <si>
    <t>PPT-127</t>
  </si>
  <si>
    <t>Dry x20</t>
  </si>
  <si>
    <t>PPT-128</t>
  </si>
  <si>
    <t>PPT-129</t>
  </si>
  <si>
    <t xml:space="preserve">Zolux </t>
  </si>
  <si>
    <t>Rodywood Litter</t>
  </si>
  <si>
    <t>PPT-130</t>
  </si>
  <si>
    <t>schesir</t>
  </si>
  <si>
    <t>10.03.2024</t>
  </si>
  <si>
    <t>PPT-131</t>
  </si>
  <si>
    <t>Multipack</t>
  </si>
  <si>
    <t>21-03-2024</t>
  </si>
  <si>
    <t>PPT-132</t>
  </si>
  <si>
    <t>Bird toys</t>
  </si>
  <si>
    <t>25-03-2024</t>
  </si>
  <si>
    <t>PPT-133</t>
  </si>
  <si>
    <t>Litter mix</t>
  </si>
  <si>
    <t>26-03-2024</t>
  </si>
  <si>
    <t>PPT-134</t>
  </si>
  <si>
    <t>Natural Code</t>
  </si>
  <si>
    <t>Wet food</t>
  </si>
  <si>
    <t>PPT-135</t>
  </si>
  <si>
    <t>Josera dry - need to go on system</t>
  </si>
  <si>
    <t>17-04-2024</t>
  </si>
  <si>
    <t>PPT-136</t>
  </si>
  <si>
    <t>All birds food</t>
  </si>
  <si>
    <t>18-04-2024</t>
  </si>
  <si>
    <t>PPT-137</t>
  </si>
  <si>
    <t>PPT-138</t>
  </si>
  <si>
    <t xml:space="preserve">Yogurt yums </t>
  </si>
  <si>
    <t>PPT-139</t>
  </si>
  <si>
    <t>Draft Ready waiting for new products</t>
  </si>
  <si>
    <t>PPT-140</t>
  </si>
  <si>
    <t>Draft Shared with Abu Naif</t>
  </si>
  <si>
    <t>PPT-141</t>
  </si>
  <si>
    <t>Dry food X1</t>
  </si>
  <si>
    <t>PPT-142</t>
  </si>
  <si>
    <t>Stefan Plast</t>
  </si>
  <si>
    <t>PPT-143</t>
  </si>
  <si>
    <t>Dog Bones</t>
  </si>
  <si>
    <t>PPT-144</t>
  </si>
  <si>
    <t>To be sent</t>
  </si>
  <si>
    <t>PPT-145</t>
  </si>
  <si>
    <t>15-05-2024</t>
  </si>
  <si>
    <t>PPT-146</t>
  </si>
  <si>
    <t>PPT-147</t>
  </si>
  <si>
    <t>ES-SS-VB-NV-BOB</t>
  </si>
  <si>
    <t>PPT-148</t>
  </si>
  <si>
    <t>Soya clump (Check APPRO)</t>
  </si>
  <si>
    <t>PPT-149</t>
  </si>
  <si>
    <t>Wet Wipes (Check APPRO)</t>
  </si>
  <si>
    <t>13-05-2024</t>
  </si>
  <si>
    <t>PPT-150</t>
  </si>
  <si>
    <t>Litter X3</t>
  </si>
  <si>
    <t>PPT-151</t>
  </si>
  <si>
    <t>Not Found</t>
  </si>
  <si>
    <t xml:space="preserve">New Milk replacer </t>
  </si>
  <si>
    <t>13-06-2024</t>
  </si>
  <si>
    <t>PPT-152</t>
  </si>
  <si>
    <t xml:space="preserve">USD </t>
  </si>
  <si>
    <t xml:space="preserve">Solid Gold </t>
  </si>
  <si>
    <t xml:space="preserve">2nd dry order </t>
  </si>
  <si>
    <t>PPT-153</t>
  </si>
  <si>
    <t>No sugoi here check with them</t>
  </si>
  <si>
    <t>PPT-154</t>
  </si>
  <si>
    <t>15-09-2024</t>
  </si>
  <si>
    <t>14-07-2024</t>
  </si>
  <si>
    <t>PPT-155</t>
  </si>
  <si>
    <t>Schesir - Dry</t>
  </si>
  <si>
    <t>Baked Dry 1X 20ft</t>
  </si>
  <si>
    <t>PPT-156</t>
  </si>
  <si>
    <t>22-07-2024</t>
  </si>
  <si>
    <t>PPT-157</t>
  </si>
  <si>
    <t>Schesir - Wet</t>
  </si>
  <si>
    <t>PPT-158</t>
  </si>
  <si>
    <t>1 Container 30/09 , 2 Containers 02/12</t>
  </si>
  <si>
    <t xml:space="preserve">Wet </t>
  </si>
  <si>
    <t>PPT-159</t>
  </si>
  <si>
    <t>Schesir - Best Selling</t>
  </si>
  <si>
    <t>PPT-160</t>
  </si>
  <si>
    <t>19-08-2024</t>
  </si>
  <si>
    <t>PPT-161</t>
  </si>
  <si>
    <t>Mark VETIQ</t>
  </si>
  <si>
    <t>21-08-2024</t>
  </si>
  <si>
    <t>PPT-162</t>
  </si>
  <si>
    <t>22-08-2024</t>
  </si>
  <si>
    <t>PPT-163</t>
  </si>
  <si>
    <t>EUR</t>
  </si>
  <si>
    <t>6 BOL's</t>
  </si>
  <si>
    <t>PPT-164</t>
  </si>
  <si>
    <t>Dry X5</t>
  </si>
  <si>
    <t>PPT-165</t>
  </si>
  <si>
    <t>Dry with offer for 2KG</t>
  </si>
  <si>
    <t>PPT-166</t>
  </si>
  <si>
    <t>Inner Mongolia</t>
  </si>
  <si>
    <t>16-09-2024</t>
  </si>
  <si>
    <t>PPT-167</t>
  </si>
  <si>
    <t>Sweeties and Snacks</t>
  </si>
  <si>
    <t>17-09-2024</t>
  </si>
  <si>
    <t>PPT-168</t>
  </si>
  <si>
    <t>Poland Stick</t>
  </si>
  <si>
    <t>PPT-169</t>
  </si>
  <si>
    <t>Poland Stick To b shipped one month after</t>
  </si>
  <si>
    <t>PPT-170</t>
  </si>
  <si>
    <t>PPT-171</t>
  </si>
  <si>
    <t>DoyPack</t>
  </si>
  <si>
    <t>09/20/2024</t>
  </si>
  <si>
    <t>PPT-172</t>
  </si>
  <si>
    <t>TBD</t>
  </si>
  <si>
    <t>Urgent Belg order</t>
  </si>
  <si>
    <t>PPT-173</t>
  </si>
  <si>
    <t>X4, 1 is Sugoi 3 Churu</t>
  </si>
  <si>
    <t>15-10-2024</t>
  </si>
  <si>
    <t>PPT-174</t>
  </si>
  <si>
    <t>??</t>
  </si>
  <si>
    <t>23-10-2024</t>
  </si>
  <si>
    <t>PPT-175</t>
  </si>
  <si>
    <t xml:space="preserve">First order for closing the target </t>
  </si>
  <si>
    <t>PPT-176</t>
  </si>
  <si>
    <t>2nd Order for closing the target</t>
  </si>
  <si>
    <t>24-10-2024</t>
  </si>
  <si>
    <t>PPT-177</t>
  </si>
  <si>
    <t>Eur</t>
  </si>
  <si>
    <t>PPT-178</t>
  </si>
  <si>
    <t>PPT-179</t>
  </si>
  <si>
    <t>Fruitables</t>
  </si>
  <si>
    <t>PPT-180</t>
  </si>
  <si>
    <t>Nutrivet</t>
  </si>
  <si>
    <t>PPT-181</t>
  </si>
  <si>
    <t>BOB</t>
  </si>
  <si>
    <t>PPT-182</t>
  </si>
  <si>
    <t>Vetsbest</t>
  </si>
  <si>
    <t>PPT-183</t>
  </si>
  <si>
    <t>Espree</t>
  </si>
  <si>
    <t>PPT-184</t>
  </si>
  <si>
    <t xml:space="preserve">Kit Cat </t>
  </si>
  <si>
    <t>Mid-Jan</t>
  </si>
  <si>
    <t xml:space="preserve">Deboned </t>
  </si>
  <si>
    <t>PPT-185</t>
  </si>
  <si>
    <t>Late Feb</t>
  </si>
  <si>
    <t>PPT-186</t>
  </si>
  <si>
    <t>A.Received</t>
  </si>
  <si>
    <t>Early Apr</t>
  </si>
  <si>
    <t>PPT-187</t>
  </si>
  <si>
    <t>Goat Milk and 80g</t>
  </si>
  <si>
    <t>PPT-188</t>
  </si>
  <si>
    <t>PPT-189</t>
  </si>
  <si>
    <t>Complete 70g</t>
  </si>
  <si>
    <t>13-11-2024</t>
  </si>
  <si>
    <t>PPT-190</t>
  </si>
  <si>
    <t>CRD-20-Jan</t>
  </si>
  <si>
    <t>Dry , BB,Kitty Crunch</t>
  </si>
  <si>
    <t>PPT-191</t>
  </si>
  <si>
    <t>SOKC000364</t>
  </si>
  <si>
    <t>Milk&amp; Soup</t>
  </si>
  <si>
    <t>PPT-192</t>
  </si>
  <si>
    <t>SOKC000365</t>
  </si>
  <si>
    <t>Gel</t>
  </si>
  <si>
    <t>14-11-2024</t>
  </si>
  <si>
    <t>PPT-193</t>
  </si>
  <si>
    <t>D/C</t>
  </si>
  <si>
    <t>Snow Peas</t>
  </si>
  <si>
    <t>PPT-194</t>
  </si>
  <si>
    <t>Wet Wipes</t>
  </si>
  <si>
    <t>PPT-195</t>
  </si>
  <si>
    <t>Soya Clump</t>
  </si>
  <si>
    <t>PPT-196</t>
  </si>
  <si>
    <t>Puree</t>
  </si>
  <si>
    <t>PPT-197</t>
  </si>
  <si>
    <t>19-11-2024</t>
  </si>
  <si>
    <t>PPT-198</t>
  </si>
  <si>
    <t>Thailand Cans</t>
  </si>
  <si>
    <t>21-11-2024</t>
  </si>
  <si>
    <t>PPT-199</t>
  </si>
  <si>
    <t>Beds with some new items</t>
  </si>
  <si>
    <t>PPT-200</t>
  </si>
  <si>
    <t>Chezch All new items  Trees</t>
  </si>
  <si>
    <t>26-11-2024</t>
  </si>
  <si>
    <t>PPT-201</t>
  </si>
  <si>
    <t>Wet Thailand</t>
  </si>
  <si>
    <t>PPT-202</t>
  </si>
  <si>
    <t>PPT-203</t>
  </si>
  <si>
    <t>Litter</t>
  </si>
  <si>
    <t>28-11-2024</t>
  </si>
  <si>
    <t>PPT-204</t>
  </si>
  <si>
    <t>Purina</t>
  </si>
  <si>
    <t>PPT-205</t>
  </si>
  <si>
    <t>Horse Food</t>
  </si>
  <si>
    <t>PPT-206</t>
  </si>
  <si>
    <t>Nutrimeal3 Food</t>
  </si>
  <si>
    <t>30-11-2024</t>
  </si>
  <si>
    <t>PPT-207</t>
  </si>
  <si>
    <t>Crystal Litter try</t>
  </si>
  <si>
    <t>PPT-208</t>
  </si>
  <si>
    <t>Purrfect Pocket new price</t>
  </si>
  <si>
    <t>PPT-209</t>
  </si>
  <si>
    <t>Kit Cat Sticks</t>
  </si>
  <si>
    <t>PPT-210</t>
  </si>
  <si>
    <t>Champion Petfood</t>
  </si>
  <si>
    <t>Orijen acana wet dry food</t>
  </si>
  <si>
    <t>PPT-211</t>
  </si>
  <si>
    <t xml:space="preserve">Old Prices Order </t>
  </si>
  <si>
    <t>PPT-212</t>
  </si>
  <si>
    <t>Laroy-Neth</t>
  </si>
  <si>
    <t>PPT-213</t>
  </si>
  <si>
    <t>Laroy-Belg</t>
  </si>
  <si>
    <t>PPT-214</t>
  </si>
  <si>
    <t>PPT-215</t>
  </si>
  <si>
    <t>Coockoo</t>
  </si>
  <si>
    <t>PPT-216</t>
  </si>
  <si>
    <t>Arya</t>
  </si>
  <si>
    <t>Wet Wipes Stackable</t>
  </si>
  <si>
    <t>PPT-217</t>
  </si>
  <si>
    <t>PPT-218</t>
  </si>
  <si>
    <t>Dry X8</t>
  </si>
  <si>
    <t>PPT-219</t>
  </si>
  <si>
    <t xml:space="preserve">Purina </t>
  </si>
  <si>
    <t>March Dispatch 2C</t>
  </si>
  <si>
    <t>PPT-220</t>
  </si>
  <si>
    <t>1-13-2025</t>
  </si>
  <si>
    <t>PPT-221</t>
  </si>
  <si>
    <t>PPT-222</t>
  </si>
  <si>
    <t>PPT-223</t>
  </si>
  <si>
    <t>PPT-224</t>
  </si>
  <si>
    <t>PPT-225</t>
  </si>
  <si>
    <t>Felyngo-Wet</t>
  </si>
  <si>
    <t>End of FEb</t>
  </si>
  <si>
    <t>PPT-226</t>
  </si>
  <si>
    <t>Beg of March</t>
  </si>
  <si>
    <t>CEDE</t>
  </si>
  <si>
    <t>PPT-227</t>
  </si>
  <si>
    <t>PPT-228</t>
  </si>
  <si>
    <t>March</t>
  </si>
  <si>
    <t>Neth Items</t>
  </si>
  <si>
    <t>PPT-229</t>
  </si>
  <si>
    <t>Orders for Q1</t>
  </si>
  <si>
    <t>PPT-230</t>
  </si>
  <si>
    <t>Immergut</t>
  </si>
  <si>
    <t>PPT-231</t>
  </si>
  <si>
    <t>Catidea Wet</t>
  </si>
  <si>
    <t>30-30-40</t>
  </si>
  <si>
    <t>Abo Nayef</t>
  </si>
  <si>
    <t>PPT-232</t>
  </si>
  <si>
    <t>CAD</t>
  </si>
  <si>
    <t>PPT-233</t>
  </si>
  <si>
    <t>PPT-234</t>
  </si>
  <si>
    <t>PPT-235</t>
  </si>
  <si>
    <t>PPT-236</t>
  </si>
  <si>
    <t>PPT-237</t>
  </si>
  <si>
    <t>PPT-238</t>
  </si>
  <si>
    <t>PPT-239</t>
  </si>
  <si>
    <t>Urgent Order from Belg</t>
  </si>
  <si>
    <t>PPT-240</t>
  </si>
  <si>
    <t>Deboned MultiPack</t>
  </si>
  <si>
    <t>PPT-241</t>
  </si>
  <si>
    <t>Urgent Order from Belg-Dry</t>
  </si>
  <si>
    <t>PPT-242</t>
  </si>
  <si>
    <t>Sealand</t>
  </si>
  <si>
    <t>PPT-243</t>
  </si>
  <si>
    <t>Crunvhy chicken</t>
  </si>
  <si>
    <t>PPT-244</t>
  </si>
  <si>
    <t>PPT-245</t>
  </si>
  <si>
    <t>Normal Products Aug, 20 other Nov, Multipack Jan</t>
  </si>
  <si>
    <t>Thai with new items</t>
  </si>
  <si>
    <t>PPT-246</t>
  </si>
  <si>
    <t>BVK Harness</t>
  </si>
  <si>
    <t>PPT-247</t>
  </si>
  <si>
    <t>Silicone</t>
  </si>
  <si>
    <t>PPT-248</t>
  </si>
  <si>
    <t>BVK Silicone Lead</t>
  </si>
  <si>
    <t>PPT-249</t>
  </si>
  <si>
    <t>Rodywood</t>
  </si>
  <si>
    <t>PPT-250</t>
  </si>
  <si>
    <t>Training Pad</t>
  </si>
  <si>
    <t>PPT-251</t>
  </si>
  <si>
    <t>New items</t>
  </si>
  <si>
    <t>PPT-252</t>
  </si>
  <si>
    <t>UK order</t>
  </si>
  <si>
    <t>PPT-253</t>
  </si>
  <si>
    <t>PPT-254</t>
  </si>
  <si>
    <t>New Puur Purre Puree</t>
  </si>
  <si>
    <t>PPT-255</t>
  </si>
  <si>
    <t>Felyn Go</t>
  </si>
  <si>
    <t>PPT-256</t>
  </si>
  <si>
    <t>LC&amp;SG</t>
  </si>
  <si>
    <t>PPT-257</t>
  </si>
  <si>
    <t>PPT-258</t>
  </si>
  <si>
    <t>PPT-259</t>
  </si>
  <si>
    <t>Deboned&amp; Gravy</t>
  </si>
  <si>
    <t>PPT-260</t>
  </si>
  <si>
    <t>80g&amp;Goatmilk</t>
  </si>
  <si>
    <t>PPT-261</t>
  </si>
  <si>
    <t>PPT-262</t>
  </si>
  <si>
    <t>PPT-263</t>
  </si>
  <si>
    <t>Neth</t>
  </si>
  <si>
    <t>PPT-264</t>
  </si>
  <si>
    <t>Doypack</t>
  </si>
  <si>
    <t>PPT-265</t>
  </si>
  <si>
    <t>Boreal Checz</t>
  </si>
  <si>
    <t>PPT-266</t>
  </si>
  <si>
    <t>PPT-267</t>
  </si>
  <si>
    <t>New Supplements</t>
  </si>
  <si>
    <t>PPT-268</t>
  </si>
  <si>
    <t>PPT-269</t>
  </si>
  <si>
    <t>Belg</t>
  </si>
  <si>
    <t>PPT-270</t>
  </si>
  <si>
    <t>PPT-271</t>
  </si>
  <si>
    <t>Bio PetActive</t>
  </si>
  <si>
    <t>FG&amp;BPA</t>
  </si>
  <si>
    <t>PPT-272</t>
  </si>
  <si>
    <t>PPT-273</t>
  </si>
  <si>
    <t>Deboned and Gravy</t>
  </si>
  <si>
    <t>PPT-274</t>
  </si>
  <si>
    <t>Absolute Pet</t>
  </si>
  <si>
    <t>Bisque</t>
  </si>
  <si>
    <t>PPT-275</t>
  </si>
  <si>
    <t>Meaty Loaf</t>
  </si>
  <si>
    <t>PPT-276</t>
  </si>
  <si>
    <t>Dental Chews</t>
  </si>
  <si>
    <t>PPT-277</t>
  </si>
  <si>
    <t>PPT-278</t>
  </si>
  <si>
    <t>Forza10</t>
  </si>
  <si>
    <t>Wet &amp; Vet Wet</t>
  </si>
  <si>
    <t>PPT-279</t>
  </si>
  <si>
    <t>Cans</t>
  </si>
  <si>
    <t>PPT-280</t>
  </si>
  <si>
    <t>Butcher's</t>
  </si>
  <si>
    <t>PPT-281</t>
  </si>
  <si>
    <t>New Sweeties</t>
  </si>
  <si>
    <t>PPT-282</t>
  </si>
  <si>
    <t>Zarafah Order</t>
  </si>
  <si>
    <t>PPT-283</t>
  </si>
  <si>
    <t>PPT-284</t>
  </si>
  <si>
    <t>PPT-285</t>
  </si>
  <si>
    <t>PPT-286</t>
  </si>
  <si>
    <t>All small Cans</t>
  </si>
  <si>
    <t>PPT-287</t>
  </si>
  <si>
    <t>Stella and Chewy</t>
  </si>
  <si>
    <t>PPT-289</t>
  </si>
  <si>
    <t>PPT-290</t>
  </si>
  <si>
    <t>Milk&amp;Soup</t>
  </si>
  <si>
    <t>PPT-291</t>
  </si>
  <si>
    <t>Puree China</t>
  </si>
  <si>
    <t>PPT-292</t>
  </si>
  <si>
    <t>PPT-294</t>
  </si>
  <si>
    <t>PPT-295</t>
  </si>
  <si>
    <t>PPT-296</t>
  </si>
  <si>
    <t>7+1 Cans</t>
  </si>
  <si>
    <t>PPT-297</t>
  </si>
  <si>
    <t xml:space="preserve">Bitesy </t>
  </si>
  <si>
    <t>PPT-298</t>
  </si>
  <si>
    <t>PPT-299</t>
  </si>
  <si>
    <t>PPT-300</t>
  </si>
  <si>
    <t>Small Cans</t>
  </si>
  <si>
    <t>Order Destination</t>
  </si>
  <si>
    <t>Shipment (Invoices)</t>
  </si>
  <si>
    <t>1st P.O. Number</t>
  </si>
  <si>
    <t>1st P.O. Value</t>
  </si>
  <si>
    <t>2nd P.O. Number</t>
  </si>
  <si>
    <t>2nd P.O. Value</t>
  </si>
  <si>
    <t>3rd P.O. Number</t>
  </si>
  <si>
    <t>3rd P.O. Value</t>
  </si>
  <si>
    <t>4th P.O. Number</t>
  </si>
  <si>
    <t>4th P.O. Value</t>
  </si>
  <si>
    <t>Total P.O. Value</t>
  </si>
  <si>
    <t>Is the P.O closed?</t>
  </si>
  <si>
    <t>New Items</t>
  </si>
  <si>
    <t>Estimated Loading Date - Details</t>
  </si>
  <si>
    <t>Estimated Loading Date</t>
  </si>
  <si>
    <r>
      <rPr>
        <rFont val="Arial"/>
        <color rgb="FFFF0000"/>
      </rPr>
      <t xml:space="preserve">Days </t>
    </r>
    <r>
      <rPr>
        <rFont val="Arial"/>
        <color theme="1"/>
      </rPr>
      <t>Until Loading Date</t>
    </r>
  </si>
  <si>
    <t>Order Confirmed Total</t>
  </si>
  <si>
    <t>Order total after Payment Discount</t>
  </si>
  <si>
    <t>1st Payment Value</t>
  </si>
  <si>
    <t>1st Payment Status</t>
  </si>
  <si>
    <t>2nd Payment Value</t>
  </si>
  <si>
    <t>2nd Payment Status</t>
  </si>
  <si>
    <t>3rd Payment Value</t>
  </si>
  <si>
    <t>3rd Payment Status</t>
  </si>
  <si>
    <t>Total Pament Status</t>
  </si>
  <si>
    <t>Mark &amp; Chappell</t>
  </si>
  <si>
    <t>SOKC000684A - SOKC000684B</t>
  </si>
  <si>
    <t>Complete</t>
  </si>
  <si>
    <t>Yes, Request Data!</t>
  </si>
  <si>
    <t xml:space="preserve">SOKC000817A
 | SOKC000817B
</t>
  </si>
  <si>
    <t>Milk &amp; Soup</t>
  </si>
  <si>
    <t>SOKC000832</t>
  </si>
  <si>
    <t xml:space="preserve">262567
262568
262569
262570
262571
262572
262573
262574
262575
262576
262577
262578
262579
</t>
  </si>
  <si>
    <t>Partially</t>
  </si>
  <si>
    <t xml:space="preserve">25-25-50 and 2% Discount </t>
  </si>
  <si>
    <t>Done 12-01-26</t>
  </si>
  <si>
    <t>Done 19-02-26</t>
  </si>
  <si>
    <t>160K Done</t>
  </si>
  <si>
    <t>Super premium</t>
  </si>
  <si>
    <t>Yes, Data Received</t>
  </si>
  <si>
    <t>Yes, Data Requested</t>
  </si>
  <si>
    <t>Jelly &amp; Gravy</t>
  </si>
  <si>
    <t>Not yet</t>
  </si>
  <si>
    <t>PPT-301</t>
  </si>
  <si>
    <t>multiple shipments</t>
  </si>
  <si>
    <t>PPT-302</t>
  </si>
  <si>
    <t>week 49,50,51,52</t>
  </si>
  <si>
    <t xml:space="preserve">LAV2025000002928
LAV2025000002929
LAV2025000002930
LAV2025000002931
LAV2025000002932
LAV2026000000331
LAV2026000000332
LAV2026000000333
LAV2026000000334
LAV2026000000335
</t>
  </si>
  <si>
    <t>date shown is for last shipment</t>
  </si>
  <si>
    <t>PPT-303</t>
  </si>
  <si>
    <t>PPT-304</t>
  </si>
  <si>
    <t>same as ppt-303 but 3 month after</t>
  </si>
  <si>
    <t>PPT-305</t>
  </si>
  <si>
    <t>PPT-306</t>
  </si>
  <si>
    <t>Felyngo-Jukka</t>
  </si>
  <si>
    <t>Creamy, Pouch, Soft bite</t>
  </si>
  <si>
    <t>PPT-307</t>
  </si>
  <si>
    <t>Frendi</t>
  </si>
  <si>
    <t>PPT-308</t>
  </si>
  <si>
    <t>small Cans</t>
  </si>
  <si>
    <t>PPT-309</t>
  </si>
  <si>
    <t>PPT-310</t>
  </si>
  <si>
    <t>Deboned Multipack</t>
  </si>
  <si>
    <t>PPT-311</t>
  </si>
  <si>
    <t>PPT-312</t>
  </si>
  <si>
    <t>PPT-313</t>
  </si>
  <si>
    <t>1st Shipment out of 6</t>
  </si>
  <si>
    <t xml:space="preserve">EUR </t>
  </si>
  <si>
    <t>PPT-314</t>
  </si>
  <si>
    <t>PPT-315</t>
  </si>
  <si>
    <t>SS&amp;VB&amp;Espree</t>
  </si>
  <si>
    <t>PPT-316</t>
  </si>
  <si>
    <t>PPT-317</t>
  </si>
  <si>
    <t>Germany</t>
  </si>
  <si>
    <t>PPT-318</t>
  </si>
  <si>
    <t>PPT-319</t>
  </si>
  <si>
    <t>PPT-320</t>
  </si>
  <si>
    <t>PPT-321</t>
  </si>
  <si>
    <t>PPT-322</t>
  </si>
  <si>
    <t>PPT-323</t>
  </si>
  <si>
    <t>PPT-324</t>
  </si>
  <si>
    <t>Wet Belg</t>
  </si>
  <si>
    <t>PPT-325</t>
  </si>
  <si>
    <t>PPT-326</t>
  </si>
  <si>
    <t>PPT-327</t>
  </si>
  <si>
    <t>PPT-328</t>
  </si>
  <si>
    <t>PPT-329</t>
  </si>
  <si>
    <t xml:space="preserve">Dry- This one got updated </t>
  </si>
  <si>
    <t>PPT-330</t>
  </si>
  <si>
    <t>PPT-331</t>
  </si>
  <si>
    <t>Wet - Thailand</t>
  </si>
  <si>
    <t>PPT-332</t>
  </si>
  <si>
    <t>Dry - Belgium</t>
  </si>
  <si>
    <t>PPT-333</t>
  </si>
  <si>
    <t>Dry shipping 20-jun</t>
  </si>
  <si>
    <t>PPT-334</t>
  </si>
  <si>
    <t>PPT-335</t>
  </si>
  <si>
    <t>PPT-336</t>
  </si>
  <si>
    <t>PPT-337</t>
  </si>
  <si>
    <t>Dry - Spain</t>
  </si>
  <si>
    <t>PPT-338</t>
  </si>
  <si>
    <t>PPT-339</t>
  </si>
  <si>
    <t>PPT-340</t>
  </si>
  <si>
    <t>FG-001</t>
  </si>
  <si>
    <t>kingfisher</t>
  </si>
  <si>
    <t>PPT-341</t>
  </si>
  <si>
    <t>Belgium</t>
  </si>
  <si>
    <t>PPT-342</t>
  </si>
  <si>
    <t>PPT-343</t>
  </si>
  <si>
    <t>PPT-344</t>
  </si>
  <si>
    <t>France Factory 1</t>
  </si>
  <si>
    <t>PPT-345</t>
  </si>
  <si>
    <t>Poland Factory2</t>
  </si>
  <si>
    <t>PPT-346</t>
  </si>
  <si>
    <t>Ningbo1</t>
  </si>
  <si>
    <t>PPT-347</t>
  </si>
  <si>
    <t>PPT-348</t>
  </si>
  <si>
    <t>PPT-349</t>
  </si>
  <si>
    <t>PPT-350</t>
  </si>
  <si>
    <t>Dry, Kitty Crunch, Breath Bites</t>
  </si>
  <si>
    <t>PPT-351</t>
  </si>
  <si>
    <t>PPT-352</t>
  </si>
  <si>
    <t>Sticks</t>
  </si>
  <si>
    <t>PPT-353</t>
  </si>
  <si>
    <t>Litter 10L, 20kg</t>
  </si>
  <si>
    <t>PPT-354</t>
  </si>
  <si>
    <t>SoyaClump</t>
  </si>
  <si>
    <t>PPT-355</t>
  </si>
  <si>
    <t>PPT-356</t>
  </si>
  <si>
    <t>PPT-357</t>
  </si>
  <si>
    <t>PPT-358</t>
  </si>
  <si>
    <t>PPT-359</t>
  </si>
  <si>
    <t>PPT-360</t>
  </si>
  <si>
    <t>PPT-361</t>
  </si>
  <si>
    <t>PPT-362</t>
  </si>
  <si>
    <t>Supplements</t>
  </si>
  <si>
    <t>PPT-363</t>
  </si>
  <si>
    <t>Thailand</t>
  </si>
  <si>
    <t>PPT-364</t>
  </si>
  <si>
    <t>PPT-365</t>
  </si>
  <si>
    <t>Days Until Loading Date</t>
  </si>
  <si>
    <t xml:space="preserve">Brand </t>
  </si>
  <si>
    <t>SAP Code</t>
  </si>
  <si>
    <t>Checked</t>
  </si>
  <si>
    <t>P12500188</t>
  </si>
  <si>
    <t>NO</t>
  </si>
  <si>
    <t>P12500189</t>
  </si>
  <si>
    <t>P12500190</t>
  </si>
  <si>
    <t>P12500191</t>
  </si>
  <si>
    <t>P12500192</t>
  </si>
  <si>
    <t>P12500193</t>
  </si>
  <si>
    <t>P16801593</t>
  </si>
  <si>
    <t>P16801594</t>
  </si>
  <si>
    <t>P16801595</t>
  </si>
  <si>
    <t>P16801596</t>
  </si>
  <si>
    <t>P16801597</t>
  </si>
  <si>
    <t>P16801598</t>
  </si>
  <si>
    <t>P16801599</t>
  </si>
  <si>
    <t>P16801600</t>
  </si>
  <si>
    <t>P16801601</t>
  </si>
  <si>
    <t>P16801602</t>
  </si>
  <si>
    <t>Versele Lag</t>
  </si>
  <si>
    <t>P15300186</t>
  </si>
  <si>
    <t>P16100036</t>
  </si>
  <si>
    <t>P16100037</t>
  </si>
  <si>
    <t>P16100038</t>
  </si>
  <si>
    <t>P16100039</t>
  </si>
  <si>
    <t>P16100040</t>
  </si>
  <si>
    <t>P16100041</t>
  </si>
  <si>
    <t>P16100042</t>
  </si>
  <si>
    <t>P18600001</t>
  </si>
  <si>
    <t>P18600002</t>
  </si>
  <si>
    <t>P18600003</t>
  </si>
  <si>
    <t>P18600004</t>
  </si>
  <si>
    <t>P18600005</t>
  </si>
  <si>
    <t>P18700001</t>
  </si>
  <si>
    <t>P18700002</t>
  </si>
  <si>
    <t>P18700003</t>
  </si>
  <si>
    <t>P18700004</t>
  </si>
  <si>
    <t>P18700005</t>
  </si>
  <si>
    <t>P18700006</t>
  </si>
  <si>
    <t>P18700007</t>
  </si>
  <si>
    <t>P18700008</t>
  </si>
  <si>
    <t>P18700009</t>
  </si>
  <si>
    <t>P18700010</t>
  </si>
  <si>
    <t>P18700011</t>
  </si>
  <si>
    <t>P18700012</t>
  </si>
  <si>
    <t>P18700013</t>
  </si>
  <si>
    <t>P12500194</t>
  </si>
  <si>
    <t>YES</t>
  </si>
  <si>
    <t>P12500195</t>
  </si>
  <si>
    <t>P12500196</t>
  </si>
  <si>
    <t>P12500197</t>
  </si>
  <si>
    <t>Lindocat</t>
  </si>
  <si>
    <t>P12700104</t>
  </si>
  <si>
    <t>P12700105</t>
  </si>
  <si>
    <t>P12700106</t>
  </si>
  <si>
    <t>Vendor Code</t>
  </si>
  <si>
    <t>Reference number</t>
  </si>
  <si>
    <t>NAME AR</t>
  </si>
  <si>
    <t>Product Registration</t>
  </si>
  <si>
    <t>B1104</t>
  </si>
  <si>
    <t>P-1-N-180820-2290</t>
  </si>
  <si>
    <t>REJECTED</t>
  </si>
  <si>
    <t>Butcher's Natural &amp; Healthy Dog with Chicken and Rice Pate 390g</t>
  </si>
  <si>
    <t>بوتشرز طبيعي وصحي للكلاب مع الدجاج والرز باتي 390 جم</t>
  </si>
  <si>
    <t>بوتشرز بت كير ال تي دي</t>
  </si>
  <si>
    <t>B1107</t>
  </si>
  <si>
    <t>P-1-N-180820-2291</t>
  </si>
  <si>
    <t>Butcher's Natural &amp; Healthy Dog with Beef and Rice Pate 390g</t>
  </si>
  <si>
    <t>بوتشرز طبيعي وصحي للكلاب مع لحم البقر والرز باتي 390 جم</t>
  </si>
  <si>
    <t>Factory</t>
  </si>
  <si>
    <t>B1110</t>
  </si>
  <si>
    <t>P-1-N-180820-2292</t>
  </si>
  <si>
    <t>Butcher's Natural &amp; Healthy Dog with Lamb and Rice Pate 390g</t>
  </si>
  <si>
    <t>بوتشرز طبيعي وصحي للكلاب مع لحم ضأن والرز باتي 390 جم</t>
  </si>
  <si>
    <t>SC1571</t>
  </si>
  <si>
    <t>P-1-N-190820-2298</t>
  </si>
  <si>
    <t>تمت طباعة الشهادة</t>
  </si>
  <si>
    <t>Sanal Anti-Hairball Bites Malt 75g</t>
  </si>
  <si>
    <t>سانال قطع مكافحة كرة الشعر الشعير 75 جم</t>
  </si>
  <si>
    <t>MAFE2020940</t>
  </si>
  <si>
    <t>نيدرما بي في</t>
  </si>
  <si>
    <t>SC1572</t>
  </si>
  <si>
    <t>P-1-N-190820-2300</t>
  </si>
  <si>
    <t>Sanal Cheese Bites 75g</t>
  </si>
  <si>
    <t>سانال قطع الجبن 75 جم</t>
  </si>
  <si>
    <t>MAFE2020939</t>
  </si>
  <si>
    <t>SC1573</t>
  </si>
  <si>
    <t>P-1-N-200820-2316</t>
  </si>
  <si>
    <t>سانال دنتاس 75 جم</t>
  </si>
  <si>
    <t>MAFE2020963</t>
  </si>
  <si>
    <t>SC1574</t>
  </si>
  <si>
    <t>P-1-N-200820-2318</t>
  </si>
  <si>
    <t>Sanal Fish Bites 75g</t>
  </si>
  <si>
    <t>سانال قطع السمك 75 جم</t>
  </si>
  <si>
    <t>MAFE2020961</t>
  </si>
  <si>
    <t>SC1577</t>
  </si>
  <si>
    <t>P-1-N-200820-2319</t>
  </si>
  <si>
    <t>Sanal Fiesta 75g</t>
  </si>
  <si>
    <t>سانال فييستا 75 جم</t>
  </si>
  <si>
    <t>MAFE2020960</t>
  </si>
  <si>
    <t>SC1578</t>
  </si>
  <si>
    <t>P-1-N-200820-2321</t>
  </si>
  <si>
    <t>Sanal Cranberry &amp; Chicken Bites 75g</t>
  </si>
  <si>
    <t>سانال قطع التوت البري والدجاج 75 جم</t>
  </si>
  <si>
    <t>MAFE2020959</t>
  </si>
  <si>
    <t>421171</t>
  </si>
  <si>
    <t>P-1-N-220820-2331</t>
  </si>
  <si>
    <t>Prestige Premium Canary 800 G</t>
  </si>
  <si>
    <t>برستيج بريميوم كناري 800 جرام</t>
  </si>
  <si>
    <t>MAFE2020969</t>
  </si>
  <si>
    <t>فيرسل لاقا ان في</t>
  </si>
  <si>
    <t>421172</t>
  </si>
  <si>
    <t>P-1-N-220820-2332</t>
  </si>
  <si>
    <t>Prestige Premium Canary 2.50 KG</t>
  </si>
  <si>
    <t>برستيج بريميوم كناري 2.50 كيلو</t>
  </si>
  <si>
    <t>MAFE2020974</t>
  </si>
  <si>
    <t>421699</t>
  </si>
  <si>
    <t>P-1-N-220820-2333</t>
  </si>
  <si>
    <t>Prestige Premium Budgie 800g</t>
  </si>
  <si>
    <t>برستيج بريميوم ببغاء صغير 800 جرام</t>
  </si>
  <si>
    <t>MAFE2020996</t>
  </si>
  <si>
    <t>421700</t>
  </si>
  <si>
    <t>P-1-N-220820-2334</t>
  </si>
  <si>
    <t>Prestige Premium Budgie 2.50 KG</t>
  </si>
  <si>
    <t>برستيج بريميوم ببغاء صغير 2.50 كيلو</t>
  </si>
  <si>
    <t>MAFE2020973</t>
  </si>
  <si>
    <t>421512</t>
  </si>
  <si>
    <t>P-1-N-220820-2335</t>
  </si>
  <si>
    <t>Prestige Premium Tropical Finches 800g</t>
  </si>
  <si>
    <t>برستيج بريميوم عصافير استوائية 800 جرام</t>
  </si>
  <si>
    <t>MAFE2020972</t>
  </si>
  <si>
    <t>421913</t>
  </si>
  <si>
    <t>P-1-N-220820-2336</t>
  </si>
  <si>
    <t>برستيج بريميوم ببغاء 2 كيلو</t>
  </si>
  <si>
    <t>MAFE2020990</t>
  </si>
  <si>
    <t>SD2972</t>
  </si>
  <si>
    <t>P-1-N-230820-2342</t>
  </si>
  <si>
    <t>Sanal Soft Sticks Salmon &amp; Trout 15g</t>
  </si>
  <si>
    <t>سانال فيتا بونز 100 جم</t>
  </si>
  <si>
    <t>MAFE2020958</t>
  </si>
  <si>
    <t>SC3830</t>
  </si>
  <si>
    <t>P-1-N-230820-2347</t>
  </si>
  <si>
    <t>سانال عصا طرية بسمك السالمون و التراوت 15 جم</t>
  </si>
  <si>
    <t>MAFE2020971</t>
  </si>
  <si>
    <t>SC3840</t>
  </si>
  <si>
    <t>P-1-N-230820-2348</t>
  </si>
  <si>
    <t>Sanal Soft Sticks Turkey &amp; Liver 15g</t>
  </si>
  <si>
    <t>سانال عصا طرية بالديك الرومي والكبد 15 جم</t>
  </si>
  <si>
    <t>MAFE2020970</t>
  </si>
  <si>
    <t>SC3850</t>
  </si>
  <si>
    <t>P-1-N-230820-2350</t>
  </si>
  <si>
    <t>Sanal Soft Sticks Lamb &amp; Rice 15g</t>
  </si>
  <si>
    <t>سانال عصا طرية بلحم الضأن والأرز 15 جم</t>
  </si>
  <si>
    <t>MAFE2020968</t>
  </si>
  <si>
    <t>SD2900</t>
  </si>
  <si>
    <t>P-1-N-230820-2354</t>
  </si>
  <si>
    <t>Sanal Soft Stick Beef 12g</t>
  </si>
  <si>
    <t>سانال عصا طرية باللحم البقري 12 جم</t>
  </si>
  <si>
    <t>MAFE2020967</t>
  </si>
  <si>
    <t>SD2920</t>
  </si>
  <si>
    <t>P-1-N-230820-2356</t>
  </si>
  <si>
    <t>Sanal Soft Stick Poultry 12g</t>
  </si>
  <si>
    <t>سانال عصا طرية بالدواجن 12 جم</t>
  </si>
  <si>
    <t>MAFE2020989</t>
  </si>
  <si>
    <t>P-1-N-240820-2390</t>
  </si>
  <si>
    <t>Prestige Loro Parque African Parrot 1 KG</t>
  </si>
  <si>
    <t>برستيج لورو بارك ببغاء افريقي 1 كيلو</t>
  </si>
  <si>
    <t>P-1-N-240820-2391</t>
  </si>
  <si>
    <t>Prestige Loro Parque African Parrot 2.50 KG</t>
  </si>
  <si>
    <t>برستيج لورو بارك ببغاء افريقي 2.50 كيلو</t>
  </si>
  <si>
    <t>422208</t>
  </si>
  <si>
    <t>P-1-N-240820-2392</t>
  </si>
  <si>
    <t>Prestige Loro Parque Amazone Parrot 1 KG</t>
  </si>
  <si>
    <t>برستيج لورو بارك ببغاء امازوني 1 كيلو</t>
  </si>
  <si>
    <t>422211</t>
  </si>
  <si>
    <t>P-1-N-240820-2393</t>
  </si>
  <si>
    <t>Prestige Loro Parque Amazone Parrot 15 KG</t>
  </si>
  <si>
    <t>برستيج لورو بارك ببغاء امازوني 15 كيلو</t>
  </si>
  <si>
    <t>MAFE20201203</t>
  </si>
  <si>
    <t>422212</t>
  </si>
  <si>
    <t>P-1-N-240820-2394</t>
  </si>
  <si>
    <t>برستيج لورو بارك ببغاء استرالي 1 كيلو</t>
  </si>
  <si>
    <t>P-1-N-250820-2416</t>
  </si>
  <si>
    <t>Butcher's Natural &amp; Healthy with Trout Chunks in Jelly 400g</t>
  </si>
  <si>
    <t>بوتشرز طبيعي وصحي مع التراوت في الجلي 400 جم</t>
  </si>
  <si>
    <t>P-1-N-250820-2420</t>
  </si>
  <si>
    <t>Butcher's Natural &amp; Healthy with Game Chunks in Jelly 400g</t>
  </si>
  <si>
    <t>بوتشرز طبيعي وصحي مع قطع لحوم الطرائد في الجلي 400 جم</t>
  </si>
  <si>
    <t>B1135</t>
  </si>
  <si>
    <t>P-1-N-250820-2421</t>
  </si>
  <si>
    <t>Butcher's Natural &amp; Healthy with Ocean Fish Chunks in Jelly 400g</t>
  </si>
  <si>
    <t>بوتشرز طبيعي وصحي مع قطع أسماك المحيط في الجلي 400 جم</t>
  </si>
  <si>
    <t>P-1-N-250820-2422</t>
  </si>
  <si>
    <t>Butcher's Natural &amp; Healthy with Chicken Chunks in Jelly 400g</t>
  </si>
  <si>
    <t>بوتشرز طبيعي وصحي مع قطع دجاج في الجلي 400 جم</t>
  </si>
  <si>
    <t>P-1-N-250820-2423</t>
  </si>
  <si>
    <t>Butcher's Natural &amp; Healthy with Beef Chunks in Jelly 400g</t>
  </si>
  <si>
    <t>بوتشرز طبيعي وصحي مع قطع اللحم البقري في الجلي 400 جم</t>
  </si>
  <si>
    <t>MC1216</t>
  </si>
  <si>
    <t>P-1-N-250820-2430</t>
  </si>
  <si>
    <t>هيلثي تريتس للجلد والفرو للكلاب والجراء 70 جم</t>
  </si>
  <si>
    <t>MAFE20201062</t>
  </si>
  <si>
    <t>مارك اند شابل ليمتد</t>
  </si>
  <si>
    <t>MC2473</t>
  </si>
  <si>
    <t>P-1-N-260820-2435</t>
  </si>
  <si>
    <t>Healthy Treats Breath &amp; Dental 70g</t>
  </si>
  <si>
    <t>وجبة ممتعة صحية لرائحة الفم والأسنان 70 جم</t>
  </si>
  <si>
    <t>MAFE20201061</t>
  </si>
  <si>
    <t>MC3357</t>
  </si>
  <si>
    <t>P-1-N-260820-2438</t>
  </si>
  <si>
    <t>Healthy Treats Nutri-Booster 50g</t>
  </si>
  <si>
    <t>وجبة ممتعة صحية نيوتري بوستر 50 جم</t>
  </si>
  <si>
    <t>MAFE20201002</t>
  </si>
  <si>
    <t>MC3456</t>
  </si>
  <si>
    <t>P-1-N-260820-2440</t>
  </si>
  <si>
    <t>Healthy Treats Teething 50g</t>
  </si>
  <si>
    <t>هيلثي تريتس للتسنين 50 جم</t>
  </si>
  <si>
    <t>MAFE20201059</t>
  </si>
  <si>
    <t>HS30236</t>
  </si>
  <si>
    <t>P-1-N-260820-2441</t>
  </si>
  <si>
    <t>Sunburst Macaw 1.36 KG</t>
  </si>
  <si>
    <t>صن بيرست مكاو 1.36 كيلو</t>
  </si>
  <si>
    <t>MAFE20201001</t>
  </si>
  <si>
    <t>مؤسسة مجموعة ذا هيغينز</t>
  </si>
  <si>
    <t>MC5894</t>
  </si>
  <si>
    <t>P-1-N-270820-2458</t>
  </si>
  <si>
    <t>Healthy Treats Calming For Puppies 50g</t>
  </si>
  <si>
    <t>هيلثي تريتس مهدئ للجراء 50 جم</t>
  </si>
  <si>
    <t>MAFE20201058</t>
  </si>
  <si>
    <t>MC5887</t>
  </si>
  <si>
    <t>P-1-N-270820-2459</t>
  </si>
  <si>
    <t>Healthy Treats Intestinal Aid For Puppies 50g</t>
  </si>
  <si>
    <t>هيلثي تريتس مساعدات معوية للجراء 50 جم</t>
  </si>
  <si>
    <t>MAFE20201057</t>
  </si>
  <si>
    <t>MC5917</t>
  </si>
  <si>
    <t>P-1-N-270820-2462</t>
  </si>
  <si>
    <t>Healthy Treats Fleaguard For Dogs &amp; Puppies 70g</t>
  </si>
  <si>
    <t>هيلثي تريتس فليجارد للكلاب والجراء 70 جم</t>
  </si>
  <si>
    <t>MAFE20201056</t>
  </si>
  <si>
    <t>HS30310</t>
  </si>
  <si>
    <t>P-1-N-270820-2464</t>
  </si>
  <si>
    <t>InTune Harmony Macaw 1.36 KG</t>
  </si>
  <si>
    <t>ان تون هارموني ببغاء مكاو 1.36 كيلو</t>
  </si>
  <si>
    <t>MAFE20201035</t>
  </si>
  <si>
    <t>HS30325</t>
  </si>
  <si>
    <t>P-1-N-270820-2465</t>
  </si>
  <si>
    <t>InTune Harmony Parakeet 0.91 KG</t>
  </si>
  <si>
    <t>ان تون هارموني الببغاء الصغير 0.91 كيلو</t>
  </si>
  <si>
    <t>MAFE20201008</t>
  </si>
  <si>
    <t>HS30315</t>
  </si>
  <si>
    <t>P-1-N-270820-2466</t>
  </si>
  <si>
    <t>InTune Harmony Parrot 1.36 KG</t>
  </si>
  <si>
    <t>ان تون هارموني ببغاء 1.36 كيلو</t>
  </si>
  <si>
    <t>MAFE20201007</t>
  </si>
  <si>
    <t>HS30317</t>
  </si>
  <si>
    <t>P-1-N-270820-2467</t>
  </si>
  <si>
    <t>InTune Harmony Parrot 7.94 KG</t>
  </si>
  <si>
    <t>ان تون هارموني ببغاء 7.94 كيلو</t>
  </si>
  <si>
    <t>MAFE20201006</t>
  </si>
  <si>
    <t>HS30312</t>
  </si>
  <si>
    <t>P-1-N-270820-2468</t>
  </si>
  <si>
    <t>InTune Harmony Macaw 7.94 KG</t>
  </si>
  <si>
    <t>ان تون هارموني ببغاء مكاو 7.94 كيلو</t>
  </si>
  <si>
    <t>MAFE20201055</t>
  </si>
  <si>
    <t>HS30320</t>
  </si>
  <si>
    <t>P-1-N-270820-2469</t>
  </si>
  <si>
    <t>InTune Harmony Conure &amp; Cockatiel 0.91 KG</t>
  </si>
  <si>
    <t>ان تون هارموني الكنيور/ الكوكاتيل 0.91 كيلو</t>
  </si>
  <si>
    <t>MAFE20201080</t>
  </si>
  <si>
    <t>MC5023</t>
  </si>
  <si>
    <t>P-1-N-270820-2470</t>
  </si>
  <si>
    <t>Healthy Bites Breath &amp; Dental For Cats &amp; Kittens 65g</t>
  </si>
  <si>
    <t>هيلثي بايتس لرائحة الفم والأسنان للقطط الصغيرة و البالغة 65 جم</t>
  </si>
  <si>
    <t>HS30322</t>
  </si>
  <si>
    <t>P-1-N-270820-2471</t>
  </si>
  <si>
    <t>InTune Harmony Conure &amp; Cockatiel 7.94 KG</t>
  </si>
  <si>
    <t>ان تون هارموني ببغاء الكنيور و الكوكاتيل 7.94 كيلو</t>
  </si>
  <si>
    <t>MAFE20201079</t>
  </si>
  <si>
    <t>HS30270</t>
  </si>
  <si>
    <t>P-1-N-270820-2473</t>
  </si>
  <si>
    <t>InTune Hand Feed 283 G</t>
  </si>
  <si>
    <t>ان تون تغذية يدوية (اكل غر) 283 جرام</t>
  </si>
  <si>
    <t>MAFE20201054</t>
  </si>
  <si>
    <t>HS30272</t>
  </si>
  <si>
    <t>P-1-N-270820-2474</t>
  </si>
  <si>
    <t>InTune Hand Feed 2.27 KG</t>
  </si>
  <si>
    <t>ان تون تغذية يدوية (اكل غر) 2.27 كيلو</t>
  </si>
  <si>
    <t>MAFE20201053</t>
  </si>
  <si>
    <t>HS30275</t>
  </si>
  <si>
    <t>P-1-N-270820-2475</t>
  </si>
  <si>
    <t>InTune Hand Feed HE 2.27 KG</t>
  </si>
  <si>
    <t>ان تون تغذية يدوية عالي الطاقة (اكل غر) 2.27 كيلو</t>
  </si>
  <si>
    <t>MAFE20201052</t>
  </si>
  <si>
    <t>HS30274</t>
  </si>
  <si>
    <t>P-1-N-270820-2476</t>
  </si>
  <si>
    <t>InTune Hand Feed HE 283 G</t>
  </si>
  <si>
    <t>ان تون تغذية يدوية عالي الطاقة (اكل غر) 283 جرام</t>
  </si>
  <si>
    <t>MAFE20201005</t>
  </si>
  <si>
    <t>MC5016</t>
  </si>
  <si>
    <t>P-1-N-300820-2488</t>
  </si>
  <si>
    <t>هيلثي بايتس لمنع كرات الشعر للقطط الصغيرة و البالغة 65 جم</t>
  </si>
  <si>
    <t>MC4965</t>
  </si>
  <si>
    <t>P-1-N-300820-2489</t>
  </si>
  <si>
    <t>هيلثي بايتس نيوتري بوستر للقطط الصغيرة 65 جم</t>
  </si>
  <si>
    <t>MC5030</t>
  </si>
  <si>
    <t>P-1-N-300820-2492</t>
  </si>
  <si>
    <t>هيلثي بايتس للعناية البولية للقطط الصغيرة والبالغة 65 جم</t>
  </si>
  <si>
    <t>MAFE20201078</t>
  </si>
  <si>
    <t>MC5924</t>
  </si>
  <si>
    <t>P-1-N-300820-2499</t>
  </si>
  <si>
    <t>هيلثي بايتس دعم النمو للقطط الصغيرة 65 جم</t>
  </si>
  <si>
    <t>MAFE20201077</t>
  </si>
  <si>
    <t>MC5627</t>
  </si>
  <si>
    <t>P-1-N-300820-2504</t>
  </si>
  <si>
    <t>فيلين هابي بالدجاج 60 جم</t>
  </si>
  <si>
    <t>MAFE20201209</t>
  </si>
  <si>
    <t>MC5634</t>
  </si>
  <si>
    <t>P-1-N-300820-2506</t>
  </si>
  <si>
    <t>فيلين هابي بالبط 60 جم</t>
  </si>
  <si>
    <t>MAFE20201163</t>
  </si>
  <si>
    <t>MC5641</t>
  </si>
  <si>
    <t>P-1-N-300820-2507</t>
  </si>
  <si>
    <t>فيلين هابي بالسالمون 60 جم</t>
  </si>
  <si>
    <t>MAFE20201162</t>
  </si>
  <si>
    <t>422218</t>
  </si>
  <si>
    <t>P-1-N-300820-2508</t>
  </si>
  <si>
    <t>ARA Parrot 2 KG</t>
  </si>
  <si>
    <t>ببغاء أرا 2 كيلو</t>
  </si>
  <si>
    <t>MAFE20201076</t>
  </si>
  <si>
    <t>422219</t>
  </si>
  <si>
    <t>P-1-N-300820-2509</t>
  </si>
  <si>
    <t>Prestige ARA Parrot 15 kg</t>
  </si>
  <si>
    <t>برستيج أرا ببغاء 15 كيلو</t>
  </si>
  <si>
    <t>MAFE20201036</t>
  </si>
  <si>
    <t>421620</t>
  </si>
  <si>
    <t>P-1-N-300820-2510</t>
  </si>
  <si>
    <t>Prestige Budgie 1 KG</t>
  </si>
  <si>
    <t>برستيج ببغاء صغير 1 كيلو</t>
  </si>
  <si>
    <t>MAFE20201047</t>
  </si>
  <si>
    <t>421621</t>
  </si>
  <si>
    <t>P-1-N-300820-2512</t>
  </si>
  <si>
    <t>Prestige Budgie 4 KG</t>
  </si>
  <si>
    <t>برستيج ببغاء صغير 4 كيلو</t>
  </si>
  <si>
    <t>MAFE20201046</t>
  </si>
  <si>
    <t>P-1-N-310820-2517</t>
  </si>
  <si>
    <t>هيلثي سنترز بنكهة الجبن الناضجة 80 جرام</t>
  </si>
  <si>
    <t>MAFE20201045</t>
  </si>
  <si>
    <t>P-1-N-310820-2518</t>
  </si>
  <si>
    <t>Healthy Centres Roast Chicken Flavour Treats 80g</t>
  </si>
  <si>
    <t>هيلثي سنترز بنكهة الدجاج المشوي 80 جرام</t>
  </si>
  <si>
    <t>P-1-N-310820-2519</t>
  </si>
  <si>
    <t>هيلثي سنترز مع دجاج حقيقي وخضار 113 جم</t>
  </si>
  <si>
    <t>MAFE20201044</t>
  </si>
  <si>
    <t>P-1-N-310820-2520</t>
  </si>
  <si>
    <t>هيلثي سنترز مع مع الديك الرومي الحقيقي والتوت البري 113 جم</t>
  </si>
  <si>
    <t>MAFE20201043</t>
  </si>
  <si>
    <t>421040</t>
  </si>
  <si>
    <t>P-1-N-010920-2536</t>
  </si>
  <si>
    <t>برستيج كناري 1 كيلو</t>
  </si>
  <si>
    <t>MAFE20201094</t>
  </si>
  <si>
    <t>421795</t>
  </si>
  <si>
    <t>P-1-N-010920-2537</t>
  </si>
  <si>
    <t>Prestige Parrot 1 KG</t>
  </si>
  <si>
    <t>برستيج ببغاء 1 كيلو</t>
  </si>
  <si>
    <t>MAFE20201074</t>
  </si>
  <si>
    <t>421796</t>
  </si>
  <si>
    <t>P-1-N-010920-2538</t>
  </si>
  <si>
    <t>Prestige Parrot 3 KG</t>
  </si>
  <si>
    <t>برستيج ببغاء 3 كيلو</t>
  </si>
  <si>
    <t>MAFE20201073</t>
  </si>
  <si>
    <t>421880</t>
  </si>
  <si>
    <t>P-1-N-010920-2539</t>
  </si>
  <si>
    <t>Prestige Big Parakeet 1 KG</t>
  </si>
  <si>
    <t>برستيج ببغاء كبير (كروان) 1 كيلو</t>
  </si>
  <si>
    <t>MAFE20201072</t>
  </si>
  <si>
    <t>421881</t>
  </si>
  <si>
    <t>P-1-N-010920-2540</t>
  </si>
  <si>
    <t>Prestige Big Parakeet 4 KG</t>
  </si>
  <si>
    <t>برستيج ببغاء كبير (كروان) 4 كيلو</t>
  </si>
  <si>
    <t>MAFE20201071</t>
  </si>
  <si>
    <t>421521</t>
  </si>
  <si>
    <t>P-1-N-010920-2541</t>
  </si>
  <si>
    <t>Prestige Tropical Finches 4 KG</t>
  </si>
  <si>
    <t>برستيج عصافير استوائية 4 كيلو</t>
  </si>
  <si>
    <t>MAFE20201132</t>
  </si>
  <si>
    <t>421520</t>
  </si>
  <si>
    <t>P-1-N-010920-2542</t>
  </si>
  <si>
    <t>Prestige Tropical Finches 1 KG</t>
  </si>
  <si>
    <t>برستيج عصافير استوائية 1 كيلو</t>
  </si>
  <si>
    <t>MAFE20201131</t>
  </si>
  <si>
    <t>421041</t>
  </si>
  <si>
    <t>P-1-N-010920-2544</t>
  </si>
  <si>
    <t>برستيج كناري 4 كيلو</t>
  </si>
  <si>
    <t>MAFE20201092</t>
  </si>
  <si>
    <t>421239</t>
  </si>
  <si>
    <t>P-1-N-010920-2546</t>
  </si>
  <si>
    <t>Prestige European Finches 1 KG</t>
  </si>
  <si>
    <t>برستيج عصافير أوروبية 1 كيلو</t>
  </si>
  <si>
    <t>MAFE20201070</t>
  </si>
  <si>
    <t>170541</t>
  </si>
  <si>
    <t>P-1-N-020920-2561</t>
  </si>
  <si>
    <t>Profine Adult Chicken &amp; Potatoes 15 KG</t>
  </si>
  <si>
    <t>بروفاين من الدجاج و البطاطس للكلاب البالغة 15 كيلو</t>
  </si>
  <si>
    <t>MAFE20201091</t>
  </si>
  <si>
    <t>فافو براها اس ار او</t>
  </si>
  <si>
    <t>170543</t>
  </si>
  <si>
    <t>P-1-N-020920-2562</t>
  </si>
  <si>
    <t>Profine Energy Chicken &amp; Potatoes 15 KG</t>
  </si>
  <si>
    <t>بروفاين الطاقة الدجاج و البطاطس 15 كيلو</t>
  </si>
  <si>
    <t>MAFE20201090</t>
  </si>
  <si>
    <t>170549</t>
  </si>
  <si>
    <t>P-1-N-020920-2563</t>
  </si>
  <si>
    <t>Profine Adult Lamb &amp; Potatoes 15 KG</t>
  </si>
  <si>
    <t>بروفاين لحم الضأن و البطاطس للكلاب البالغة 15 كيلو</t>
  </si>
  <si>
    <t>MAFE20201089</t>
  </si>
  <si>
    <t>170532</t>
  </si>
  <si>
    <t>P-1-N-020920-2564</t>
  </si>
  <si>
    <t>Profine Puppy Chicken &amp; Potatoes 15 KG</t>
  </si>
  <si>
    <t>بروفاين الدجاج و البطاطس للكلاب الصغيرة 15 كيلو</t>
  </si>
  <si>
    <t>MAFE20201095</t>
  </si>
  <si>
    <t>170547</t>
  </si>
  <si>
    <t>P-1-N-020920-2565</t>
  </si>
  <si>
    <t>Profine Puppy Lamb &amp; Potatoes 15 Kg</t>
  </si>
  <si>
    <t>بروفاين لحم الضأن و البطاطس للكلاب الصغيرة 15 كيلو</t>
  </si>
  <si>
    <t>MAFE20201130</t>
  </si>
  <si>
    <t>170561</t>
  </si>
  <si>
    <t>P-1-N-020920-2566</t>
  </si>
  <si>
    <t>Profine Kitten 10 KG</t>
  </si>
  <si>
    <t>بروفاين للقطط الصغيرة 10 كيلو</t>
  </si>
  <si>
    <t>MAFE20201100</t>
  </si>
  <si>
    <t>170560</t>
  </si>
  <si>
    <t>P-1-N-020920-2567</t>
  </si>
  <si>
    <t>Profine kitten 2 KG</t>
  </si>
  <si>
    <t>بروفاين للقطط الصغيرة 2 كيلو</t>
  </si>
  <si>
    <t>MAFE20201099</t>
  </si>
  <si>
    <t>170559</t>
  </si>
  <si>
    <t>P-1-N-020920-2568</t>
  </si>
  <si>
    <t>Profine Kitten 300 g</t>
  </si>
  <si>
    <t>بروفاين للقطط الصغيرة 300 جرام</t>
  </si>
  <si>
    <t>MAFE20201098</t>
  </si>
  <si>
    <t>170563</t>
  </si>
  <si>
    <t>P-1-N-020920-2570</t>
  </si>
  <si>
    <t>Profine Cat Sterilised 2 KG</t>
  </si>
  <si>
    <t>بروفاين للقطط المعقمة 2 كيلو</t>
  </si>
  <si>
    <t>MAFE20201124</t>
  </si>
  <si>
    <t>170564</t>
  </si>
  <si>
    <t>P-1-N-020920-2571</t>
  </si>
  <si>
    <t>Profine Cat Sterilised 10 KG</t>
  </si>
  <si>
    <t>بروفاين للقطط المعقمة 10 كيلو</t>
  </si>
  <si>
    <t>MAFE20201097</t>
  </si>
  <si>
    <t>170562</t>
  </si>
  <si>
    <t>P-1-N-020920-2572</t>
  </si>
  <si>
    <t>Profine Sterilised 300 g</t>
  </si>
  <si>
    <t>بروفاين للقطط المعقمة 300 جرام</t>
  </si>
  <si>
    <t>MAFE20201129</t>
  </si>
  <si>
    <t>170572</t>
  </si>
  <si>
    <t>P-1-N-020920-2573</t>
  </si>
  <si>
    <t>Profine Cat Derma Adult Salmon 2 KG</t>
  </si>
  <si>
    <t>بروفاين دريما للقطط البالغة بالسلمون 2 كيلو</t>
  </si>
  <si>
    <t>MAFE20201128</t>
  </si>
  <si>
    <t>P-1-N-020920-2574</t>
  </si>
  <si>
    <t>بروفاين ديرما للقطط البالغة بالسلمون 2 كيلو</t>
  </si>
  <si>
    <t>MAFE20201127</t>
  </si>
  <si>
    <t>170573</t>
  </si>
  <si>
    <t>P-1-N-020920-2575</t>
  </si>
  <si>
    <t>Profine Cat Derma Adult Salmon 10 KG</t>
  </si>
  <si>
    <t>بروفاين ديرما للقطط البالغة بالسلمون 10 كيلو</t>
  </si>
  <si>
    <t>MAFE20201126</t>
  </si>
  <si>
    <t>170571</t>
  </si>
  <si>
    <t>P-1-N-020920-2576</t>
  </si>
  <si>
    <t>Profine Cat Derma Adult Salmon 300 g</t>
  </si>
  <si>
    <t>بروفاين ديرما للقطط البالغة بالسلمون 300 جرام</t>
  </si>
  <si>
    <t>MAFE20201088</t>
  </si>
  <si>
    <t>170566</t>
  </si>
  <si>
    <t>P-1-N-020920-2578</t>
  </si>
  <si>
    <t>Profine Cat Original Adult Chincken 2 Kg</t>
  </si>
  <si>
    <t>بروفاين أوريجنال للقطط البالغة بالدجاج 2 كيلو</t>
  </si>
  <si>
    <t>MAFE20201087</t>
  </si>
  <si>
    <t>170567</t>
  </si>
  <si>
    <t>P-1-N-020920-2579</t>
  </si>
  <si>
    <t>Profine Cat Original Adult Chicken 10 KG</t>
  </si>
  <si>
    <t>بروفاين أوريجنال للقطط البالغة بالدجاج 10 كيلو</t>
  </si>
  <si>
    <t>MAFE20201086</t>
  </si>
  <si>
    <t>170565</t>
  </si>
  <si>
    <t>P-1-N-020920-2580</t>
  </si>
  <si>
    <t>Profine Cat Original Adult Chicken 300 g</t>
  </si>
  <si>
    <t>بروفاين أوريجنال للقطط البالغة بالدجاج 300 جرام</t>
  </si>
  <si>
    <t>MAFE20201085</t>
  </si>
  <si>
    <t>MC1506</t>
  </si>
  <si>
    <t>P-1-N-030920-2583</t>
  </si>
  <si>
    <t>VETIQ Defurr-um 70g</t>
  </si>
  <si>
    <t>فيتيك ديفر-وم 70 جم</t>
  </si>
  <si>
    <t>MAFE20201276</t>
  </si>
  <si>
    <t>MC5610</t>
  </si>
  <si>
    <t>P-1-N-030920-2587</t>
  </si>
  <si>
    <t>VETIQ Urinary Care Paste 100g</t>
  </si>
  <si>
    <t>فيت اي كيو معجون العناية بالبول 100 جم</t>
  </si>
  <si>
    <t>MAFE20201272</t>
  </si>
  <si>
    <t>MC5368</t>
  </si>
  <si>
    <t>P-1-N-030920-2589</t>
  </si>
  <si>
    <t>فيت اي كيو سائل للجلد والفرو 250 مل</t>
  </si>
  <si>
    <t>MAFE20201125</t>
  </si>
  <si>
    <t>MC1384</t>
  </si>
  <si>
    <t>P-1-N-030920-2590</t>
  </si>
  <si>
    <t>VetIQ Nutri-Vit Plus Cat 70g</t>
  </si>
  <si>
    <t>فيت اي كيو نيوتري فيت بلس للقطط 70 جم</t>
  </si>
  <si>
    <t>MAFE20201122</t>
  </si>
  <si>
    <t>MC5498</t>
  </si>
  <si>
    <t>P-1-N-030920-2592</t>
  </si>
  <si>
    <t>VetIQ Nutri-Vit Plus Dog 100g</t>
  </si>
  <si>
    <t>فيت اي كيو نيوتري فيت بلس للكلاب 100 جم</t>
  </si>
  <si>
    <t>MAFE20201110</t>
  </si>
  <si>
    <t>MC639</t>
  </si>
  <si>
    <t>P-1-N-030920-2593</t>
  </si>
  <si>
    <t>VetIQ Megavit 30 Tablets 88g</t>
  </si>
  <si>
    <t>فيت اي كيو ميجافيت 30 حبة 88 جم</t>
  </si>
  <si>
    <t>MAFE20201121</t>
  </si>
  <si>
    <t>MC2800</t>
  </si>
  <si>
    <t>P-1-N-030920-2594</t>
  </si>
  <si>
    <t>VetIQ Kalsium Plus 60 Tabletss 76g</t>
  </si>
  <si>
    <t>فيت اي كيو كالسيوم بلس 60 حبة 76 جم</t>
  </si>
  <si>
    <t xml:space="preserve">FOM-2024-7307-FEB-2024-41831 -C-0041-62628
</t>
  </si>
  <si>
    <t>A4023</t>
  </si>
  <si>
    <t>P-1-N-060920-2630</t>
  </si>
  <si>
    <t>Applaws Adult Cat Chicken with Extra Salmon 2 kg</t>
  </si>
  <si>
    <t>ابلاوز دجاج مع سلمون اضافي للقطط البالغة 2 كغم</t>
  </si>
  <si>
    <t>MAFE20201119</t>
  </si>
  <si>
    <t>أم بي أم برودكتس ليمتد</t>
  </si>
  <si>
    <t>A4073</t>
  </si>
  <si>
    <t>P-1-N-070920-2656</t>
  </si>
  <si>
    <t>Applaws Adult Cat Chicken with Extra Salmon 7.5 kg</t>
  </si>
  <si>
    <t>ابلاوز دجاج مع سلمون اضافي للقطط البالغة 7.5 كغم</t>
  </si>
  <si>
    <t>MAFE20201212</t>
  </si>
  <si>
    <t>A4305</t>
  </si>
  <si>
    <t>P-1-N-070920-2657</t>
  </si>
  <si>
    <t>Applaws Senior Cat Chicken 7.5 kg</t>
  </si>
  <si>
    <t>ابلاوز دجاج للقطط كبيرة السن 7.5 كغم</t>
  </si>
  <si>
    <t>MAFE20201213</t>
  </si>
  <si>
    <t>422224</t>
  </si>
  <si>
    <t>P-1-N-070920-2659</t>
  </si>
  <si>
    <t>Prestige Loro Parque Australian Parakeet 1 KG</t>
  </si>
  <si>
    <t>برستيج لورو بارك باراكيت استرالي 1 كيلو</t>
  </si>
  <si>
    <t>MAFE20201215</t>
  </si>
  <si>
    <t>422225</t>
  </si>
  <si>
    <t>P-1-N-070920-2660</t>
  </si>
  <si>
    <t>Prestige Loro Parque Australian Parakeet 2.50 KG</t>
  </si>
  <si>
    <t>برستيج لورو بارك باراكيت استرالي 2.50 كيلو</t>
  </si>
  <si>
    <t>MAFE20201200</t>
  </si>
  <si>
    <t>P-1-N-070920-2661</t>
  </si>
  <si>
    <t>جيستوكال 250 جم</t>
  </si>
  <si>
    <t>MAFE20201199</t>
  </si>
  <si>
    <t>بيفار بي في</t>
  </si>
  <si>
    <t>422228</t>
  </si>
  <si>
    <t>P-1-N-070920-2662</t>
  </si>
  <si>
    <t>Prestige Loro Parque Australian Parakeet 20 KG</t>
  </si>
  <si>
    <t>برستيج لورو بارك باراكيت استرالي 20 كيلو</t>
  </si>
  <si>
    <t>MAFE20201198</t>
  </si>
  <si>
    <t>P-1-N-070920-2677</t>
  </si>
  <si>
    <t>Kit cat Purr Puree Plus Joint care (Tuna &amp; Glucosamine) 60g</t>
  </si>
  <si>
    <t>كت كات بور بوري بلاس العناية بالمفصل (تونا و الجلوكوزامين) 60 جرام</t>
  </si>
  <si>
    <t>MAFE20201181</t>
  </si>
  <si>
    <t>شركة يونيكورد العامة المحدودة</t>
  </si>
  <si>
    <t>15335</t>
  </si>
  <si>
    <t>P-1-N-080920-2696</t>
  </si>
  <si>
    <t>Hamster Vitamin Solution 75ml</t>
  </si>
  <si>
    <t>محلول فيتامين الهامستر 75 مل</t>
  </si>
  <si>
    <t>MAFE20201291</t>
  </si>
  <si>
    <t>17119</t>
  </si>
  <si>
    <t>P-1-N-080920-2697</t>
  </si>
  <si>
    <t>Poultry Paste 100g</t>
  </si>
  <si>
    <t>معجون دواجن 100 جرام</t>
  </si>
  <si>
    <t>MAFE20201312</t>
  </si>
  <si>
    <t>17120</t>
  </si>
  <si>
    <t>P-1-N-080920-2699</t>
  </si>
  <si>
    <t>Salmon Oil Paste100g</t>
  </si>
  <si>
    <t>معجون زيت السلمون 100 جم</t>
  </si>
  <si>
    <t>MAFE20201290</t>
  </si>
  <si>
    <t>17036</t>
  </si>
  <si>
    <t>P-1-N-080920-2700</t>
  </si>
  <si>
    <t>Multi Vitamin Paste Duo-active Cat 100g</t>
  </si>
  <si>
    <t>معجون متعدد الفيتامينات ديو-أكتيف كات 100 جرام</t>
  </si>
  <si>
    <t>MAFE20201289</t>
  </si>
  <si>
    <t>12952</t>
  </si>
  <si>
    <t>P-1-N-080920-2701</t>
  </si>
  <si>
    <t>Multi Vitamin Paste Dog 100g</t>
  </si>
  <si>
    <t>معجون متعدد الفيتامينات للكلاب 100 جرام</t>
  </si>
  <si>
    <t>MAFE20201311</t>
  </si>
  <si>
    <t>P-1-N-080920-2706</t>
  </si>
  <si>
    <t>فيتامين أ للطيور 20 مل</t>
  </si>
  <si>
    <t>MAFE20201288</t>
  </si>
  <si>
    <t>P-1-N-080920-2711</t>
  </si>
  <si>
    <t>ملتي فيت لالببغاوات و الباراكيت 20 مل</t>
  </si>
  <si>
    <t>MAFE20201287</t>
  </si>
  <si>
    <t>P-1-N-080920-2715</t>
  </si>
  <si>
    <t>Vitamine B 50ml</t>
  </si>
  <si>
    <t>فيتامين ب 50 مل</t>
  </si>
  <si>
    <t>MAFE20201377</t>
  </si>
  <si>
    <t>P-1-N-080920-2738</t>
  </si>
  <si>
    <t>MAFE20201286</t>
  </si>
  <si>
    <t>P-1-N-080920-2740</t>
  </si>
  <si>
    <t>MAFE20201285</t>
  </si>
  <si>
    <t>P-1-N-080920-2743</t>
  </si>
  <si>
    <t>MAFE20201284</t>
  </si>
  <si>
    <t>P-1-N-080920-2746</t>
  </si>
  <si>
    <t>MAFE20201283</t>
  </si>
  <si>
    <t>P-1-N-120920-2863</t>
  </si>
  <si>
    <t>Kitcat classic 32 1.20 kg</t>
  </si>
  <si>
    <t>كت كات كلاسيك32 1.2كيلو</t>
  </si>
  <si>
    <t>MAFE20201233</t>
  </si>
  <si>
    <t>شركة نوتريكس العامة المحدودة</t>
  </si>
  <si>
    <t>P-1-N-130920-2879</t>
  </si>
  <si>
    <t>Top 10 Cat 150g</t>
  </si>
  <si>
    <t>توب 10 للقطط 150 جرام</t>
  </si>
  <si>
    <t>P-1-N-130920-2880</t>
  </si>
  <si>
    <t>Top 10 Dog 118g</t>
  </si>
  <si>
    <t>توب 10 للكلاب118 جرام</t>
  </si>
  <si>
    <t>P-1-N-130920-2882</t>
  </si>
  <si>
    <t>ملتي فيت للطيور 20 مل</t>
  </si>
  <si>
    <t>MAFE20201308</t>
  </si>
  <si>
    <t>11285</t>
  </si>
  <si>
    <t>P-1-N-130920-2885</t>
  </si>
  <si>
    <t>NAME EN</t>
  </si>
  <si>
    <t>زيت السلمون 425 مل</t>
  </si>
  <si>
    <t>MAFE20201307</t>
  </si>
  <si>
    <t>P-1-N-130920-2886</t>
  </si>
  <si>
    <t>Laveta Super Multi-vitamin + Taurin 50ml</t>
  </si>
  <si>
    <t>لافيتا سوبر ملتي فيتامين + تورين 50 مل</t>
  </si>
  <si>
    <t>12809</t>
  </si>
  <si>
    <t>P-1-N-130920-2887</t>
  </si>
  <si>
    <t>Laveta Super Multi-vitamin + Carnitine 50ml</t>
  </si>
  <si>
    <t>لافيتا سوبر ملتي فيتامين +كارنيتين 50 مل</t>
  </si>
  <si>
    <t>MAFE20201349</t>
  </si>
  <si>
    <t>12967</t>
  </si>
  <si>
    <t>P-1-N-130920-2888</t>
  </si>
  <si>
    <t>Junior Paste Duo-Active 100g</t>
  </si>
  <si>
    <t>جونيور بايست دوو-أكتيف 100 جم</t>
  </si>
  <si>
    <t>MAFE20201305</t>
  </si>
  <si>
    <t>بيفار</t>
  </si>
  <si>
    <t>P-1-N-130920-2889</t>
  </si>
  <si>
    <t>دنتال ستيكس للكلاب المتوسطة والكبيرة 182 جرام</t>
  </si>
  <si>
    <t>MAFE20201348</t>
  </si>
  <si>
    <t>13621</t>
  </si>
  <si>
    <t>P-1-N-130920-2890</t>
  </si>
  <si>
    <t>دنتال ستيكس للكلاب الصغيرة 112 جرام</t>
  </si>
  <si>
    <t>MAFE20201347</t>
  </si>
  <si>
    <t>15199</t>
  </si>
  <si>
    <t>P-1-N-130920-2891</t>
  </si>
  <si>
    <t>Beaphar Lactol Kitten Milk 250g</t>
  </si>
  <si>
    <t>بيفار لاكتول حليب القطط الصغيرة 250 جم</t>
  </si>
  <si>
    <t>MAFE20201304</t>
  </si>
  <si>
    <t>15198</t>
  </si>
  <si>
    <t>P-1-N-130920-2893</t>
  </si>
  <si>
    <t>Beaphar Lactol Puppy Milk 250g</t>
  </si>
  <si>
    <t>بيفار لاكتول حليب الجراء 250 جم</t>
  </si>
  <si>
    <t>MAFE20201346</t>
  </si>
  <si>
    <t>a4205</t>
  </si>
  <si>
    <t>P-1-N-130920-2898</t>
  </si>
  <si>
    <t>Applaws Senior Cat Chicken 2 kg</t>
  </si>
  <si>
    <t>ابلاوز دجاج للقطط كبيرة السن 2 كغم</t>
  </si>
  <si>
    <t>MAFE20201303</t>
  </si>
  <si>
    <t>USA551</t>
  </si>
  <si>
    <t>P-1-N-140920-2908</t>
  </si>
  <si>
    <t>Grilled Chicken fillet in crab flavored broth 25 g</t>
  </si>
  <si>
    <t>فيليه دجاج مشوي في مرق بنكهة السلطعون 25 جرام</t>
  </si>
  <si>
    <t>MAFE20201302</t>
  </si>
  <si>
    <t>شركة تاي اينابا للأغذية المحدودة</t>
  </si>
  <si>
    <t>USA552</t>
  </si>
  <si>
    <t>P-1-N-140920-2909</t>
  </si>
  <si>
    <t>Grilled Chicken fillet in chicken flavored broth 25 g</t>
  </si>
  <si>
    <t>فيليه دجاج مشوي في مرق بنكهة الدجاج 25 جرام</t>
  </si>
  <si>
    <t>MAFE20201301</t>
  </si>
  <si>
    <t>USA553</t>
  </si>
  <si>
    <t>P-1-N-140920-2910</t>
  </si>
  <si>
    <t>Grilled Chicken fillet extra tender in crab flavored broth 25 g</t>
  </si>
  <si>
    <t>فيليه دجاج مشوي طري أكثر في مرق بنكهة السلطعون 25 جرام</t>
  </si>
  <si>
    <t>MAFE20201300</t>
  </si>
  <si>
    <t>USA554</t>
  </si>
  <si>
    <t>P-1-N-140920-2911</t>
  </si>
  <si>
    <t>Grilled Chicken fillet in scallop flavored broth 25 g</t>
  </si>
  <si>
    <t>فيليه دجاج مشوي في مرق بنكهة المحار 25 جرام</t>
  </si>
  <si>
    <t>MAFE20201375</t>
  </si>
  <si>
    <t>USA555</t>
  </si>
  <si>
    <t>P-1-N-140920-2912</t>
  </si>
  <si>
    <t>Grilled Chicken fillet in Shrimp flavored broth 25 g</t>
  </si>
  <si>
    <t>فيليه دجاج مشوي في مرق بنكهة الجمبري 25 جرام</t>
  </si>
  <si>
    <t>MAFE20201374</t>
  </si>
  <si>
    <t>USA601</t>
  </si>
  <si>
    <t>P-1-N-140920-2913</t>
  </si>
  <si>
    <t>CHURU Tuna recipe 56g</t>
  </si>
  <si>
    <t>تشورو وصفة التونا 56 جرام</t>
  </si>
  <si>
    <t>MAFE20201299</t>
  </si>
  <si>
    <t>USA602</t>
  </si>
  <si>
    <t>P-1-N-140920-2914</t>
  </si>
  <si>
    <t>CHURU Tuna with chicken 56g</t>
  </si>
  <si>
    <t>تشورو وصفة التونا مع الدجاج 56 جرام</t>
  </si>
  <si>
    <t>MAFE20201298</t>
  </si>
  <si>
    <t>USA603</t>
  </si>
  <si>
    <t>P-1-N-140920-2915</t>
  </si>
  <si>
    <t>CHURU Chicken recipe 56g</t>
  </si>
  <si>
    <t>تشورو وصفة الدجاج 56 جرام</t>
  </si>
  <si>
    <t>MAFE20201297</t>
  </si>
  <si>
    <t>USA604</t>
  </si>
  <si>
    <t>P-1-N-140920-2916</t>
  </si>
  <si>
    <t>CHURU Tuna with scallop recipe 56g</t>
  </si>
  <si>
    <t>تشورو وصفة التونا مع سرطان البحر 56 جرام</t>
  </si>
  <si>
    <t>MAFE20201296</t>
  </si>
  <si>
    <t>USA605</t>
  </si>
  <si>
    <t>P-1-N-140920-2917</t>
  </si>
  <si>
    <t>CHURU Chicken with scallop recipe 56g</t>
  </si>
  <si>
    <t>تشورو وصفة الدجاج مع سرطان البحر 56 جرام</t>
  </si>
  <si>
    <t>MAFE20201295</t>
  </si>
  <si>
    <t>USA606</t>
  </si>
  <si>
    <t>P-1-N-140920-2919</t>
  </si>
  <si>
    <t>CHURU Tuna with salmon recipe 56g</t>
  </si>
  <si>
    <t>تشورو وصفة التونا و السالمون 56 جرام</t>
  </si>
  <si>
    <t>MAFE20201345</t>
  </si>
  <si>
    <t>USA607</t>
  </si>
  <si>
    <t>P-1-N-140920-2921</t>
  </si>
  <si>
    <t>CHURU Chicken with cheese recipe 56g</t>
  </si>
  <si>
    <t>تشورو وصفة الدجاج و الجبن 56 جرام</t>
  </si>
  <si>
    <t>MAFE20201344</t>
  </si>
  <si>
    <t>USA608</t>
  </si>
  <si>
    <t>P-1-N-140920-2922</t>
  </si>
  <si>
    <t>CHURU Chicken with shrimp flavored recipe 56g</t>
  </si>
  <si>
    <t>تشورو وصفة الدجاج و نكهة الجمبري 56 جرام</t>
  </si>
  <si>
    <t>MAFE20201343</t>
  </si>
  <si>
    <t>USA609</t>
  </si>
  <si>
    <t>P-1-N-140920-2924</t>
  </si>
  <si>
    <t>CHURU Chicken with crab flavor recipe 56g</t>
  </si>
  <si>
    <t>تشورو وصفة الدجاج و نكهة السلطعون 56 جرام</t>
  </si>
  <si>
    <t>MAFE20201342</t>
  </si>
  <si>
    <t>a4074</t>
  </si>
  <si>
    <t>P-1-N-140920-2928</t>
  </si>
  <si>
    <t>Applaws Cat Chicken with Lamb 7.5 kg</t>
  </si>
  <si>
    <t>ابلاوز دجاج مع لحم الضأن للقطط 7.5 كغم</t>
  </si>
  <si>
    <t>MAFE20201383</t>
  </si>
  <si>
    <t>أم</t>
  </si>
  <si>
    <t>USA721</t>
  </si>
  <si>
    <t>P-1-N-140920-2929</t>
  </si>
  <si>
    <t>CHURU Bites chicken recipe wraps tuna recipe 30 g</t>
  </si>
  <si>
    <t>تشورو بايتس وصفة الدجاج ملفوفة بوصفة التونا 30 جرام</t>
  </si>
  <si>
    <t>MAFE20201341</t>
  </si>
  <si>
    <t>USA722</t>
  </si>
  <si>
    <t>P-1-N-140920-2930</t>
  </si>
  <si>
    <t>CHURU Bites chicken recipe wraps tuna with scallop recipe 30g</t>
  </si>
  <si>
    <t>تشورو</t>
  </si>
  <si>
    <t>MAFE20201340</t>
  </si>
  <si>
    <t>USA723</t>
  </si>
  <si>
    <t>P-1-N-140920-2931</t>
  </si>
  <si>
    <t>CHURU Bites chicken recipe wraps tuna with salmon recipe 30g</t>
  </si>
  <si>
    <t>تشورو بايتس وصفة الدجاج ملفوفة بوصفة التونا مع السالمون 30 جرام</t>
  </si>
  <si>
    <t>MAFE20201339</t>
  </si>
  <si>
    <t>USA724</t>
  </si>
  <si>
    <t>P-1-N-140920-2932</t>
  </si>
  <si>
    <t>CHURU Bites chicken recipe wraps chicken recipe 30g</t>
  </si>
  <si>
    <t>تشورو بايتس وصفة الدجاج ملفوفة بوصفة الدجاج 30جرام</t>
  </si>
  <si>
    <t>MAFE20201338</t>
  </si>
  <si>
    <t>USD601</t>
  </si>
  <si>
    <t>P-1-N-140920-2933</t>
  </si>
  <si>
    <t>Dog CHURU chicken recipe 160g</t>
  </si>
  <si>
    <t>تشورو للكلاب بوصفة الدجاج 160 جرام</t>
  </si>
  <si>
    <t>MAFE20201337</t>
  </si>
  <si>
    <t>USD602</t>
  </si>
  <si>
    <t>P-1-N-140920-2934</t>
  </si>
  <si>
    <t>Dog CHURU chicken with tuna recipe 160g</t>
  </si>
  <si>
    <t>تشورو للكلاب بوصفة الدجاج مع التونا 160 جرام</t>
  </si>
  <si>
    <t>MAFE20201336</t>
  </si>
  <si>
    <t>USD603</t>
  </si>
  <si>
    <t>P-1-N-140920-2935</t>
  </si>
  <si>
    <t>Dog CHURU chicken with salmon recipe 160g</t>
  </si>
  <si>
    <t>تشورو للكلاب بوصفة الدجاج مع السالمون 160 جرام</t>
  </si>
  <si>
    <t>MAFE20201335</t>
  </si>
  <si>
    <t>USD604</t>
  </si>
  <si>
    <t>P-1-N-140920-2936</t>
  </si>
  <si>
    <t>Dog CHURU chicken with cheese recipe 160g</t>
  </si>
  <si>
    <t>تشورو للكلاب بوصفة الدجاج مع الجبن 160 جرام</t>
  </si>
  <si>
    <t>MAFE20201334</t>
  </si>
  <si>
    <t>USD605</t>
  </si>
  <si>
    <t>P-1-N-140920-2937</t>
  </si>
  <si>
    <t>Dog CHURU chicken with vegetable recipe 160g</t>
  </si>
  <si>
    <t>تشورو للكلاب بوصفة الدجاج مع الخضروات 160 جرام</t>
  </si>
  <si>
    <t>MAFE20201333</t>
  </si>
  <si>
    <t>USA711</t>
  </si>
  <si>
    <t>P-1-N-140920-2938</t>
  </si>
  <si>
    <t>CHURU POPS tuna recipe 60g</t>
  </si>
  <si>
    <t>تشورو بوبز وصفة التونا 60 جرام</t>
  </si>
  <si>
    <t>MAFE20201332</t>
  </si>
  <si>
    <t>شركة</t>
  </si>
  <si>
    <t>USA712</t>
  </si>
  <si>
    <t>P-1-N-140920-2939</t>
  </si>
  <si>
    <t>CHURU POPS chicken recipe 60g</t>
  </si>
  <si>
    <t>تشورو بوبز وصفة الدجاج 60 جرام</t>
  </si>
  <si>
    <t>MAFE20201331</t>
  </si>
  <si>
    <t>USA713</t>
  </si>
  <si>
    <t>P-1-N-140920-2940</t>
  </si>
  <si>
    <t>CHURU POPS Tuna with chicken recipe 60g</t>
  </si>
  <si>
    <t>MAFE20201330</t>
  </si>
  <si>
    <t>USA731</t>
  </si>
  <si>
    <t>P-1-N-140920-2941</t>
  </si>
  <si>
    <t>CHURU Rolls chicken recipe wraps tuna recipe 40g</t>
  </si>
  <si>
    <t>تشورو رولز وصفة الدجاج ملفوفة بوصفة التونا 40 جرام</t>
  </si>
  <si>
    <t>MAFE20201329</t>
  </si>
  <si>
    <t>USA732</t>
  </si>
  <si>
    <t>P-1-N-140920-2942</t>
  </si>
  <si>
    <t>CHURU Rolls chicken recipe wraps tuna with scallop recipe 40g</t>
  </si>
  <si>
    <t>تشورو رولز وصفة الدجاج ملفوفة بوصفة التونا و المحار 40 جرام</t>
  </si>
  <si>
    <t>MAFE20201328</t>
  </si>
  <si>
    <t>USA733</t>
  </si>
  <si>
    <t>P-1-N-140920-2943</t>
  </si>
  <si>
    <t>CHURU Rolls chicken recipe wraps chicken recipe 40g</t>
  </si>
  <si>
    <t>تشورو رولز وصفة الدجاج ملفوفة بوصفة الدجاج 40 جرام</t>
  </si>
  <si>
    <t>MAFE20201327</t>
  </si>
  <si>
    <t>USA701</t>
  </si>
  <si>
    <t>P-1-N-140920-2944</t>
  </si>
  <si>
    <t>Juicy Bites tuna &amp; chicken flavor 33.9g</t>
  </si>
  <si>
    <t>جوسي بايتس بنكهة التونا و الدجاج 33.9 جرام</t>
  </si>
  <si>
    <t>MAFE20201326</t>
  </si>
  <si>
    <t>USA702</t>
  </si>
  <si>
    <t>P-1-N-140920-2945</t>
  </si>
  <si>
    <t>Juicy Bites fish &amp; clam flavor 33.9g</t>
  </si>
  <si>
    <t>جوسي بايتس بنكهة السمك و البطلينوس 33.9 جرام</t>
  </si>
  <si>
    <t>MAFE20201325</t>
  </si>
  <si>
    <t>USA703</t>
  </si>
  <si>
    <t>P-1-N-140920-2946</t>
  </si>
  <si>
    <t>Juicy Bites scallop &amp; crab flavor 33.9g</t>
  </si>
  <si>
    <t>جوسي بايتس بنكهة المحار و السلطعون 33.9 جرام</t>
  </si>
  <si>
    <t>MAFE20201324</t>
  </si>
  <si>
    <t>USA704</t>
  </si>
  <si>
    <t>P-1-N-140920-2947</t>
  </si>
  <si>
    <t>Juicy Bites shrimp &amp; seafood mix flavor 33.9g</t>
  </si>
  <si>
    <t>جوسي بايتس بنكهة الجمبري و تشكيلة المأكولات البحرية 33.9 جرام</t>
  </si>
  <si>
    <t>MAFE20201323</t>
  </si>
  <si>
    <t>USA705</t>
  </si>
  <si>
    <t>P-1-N-140920-2948</t>
  </si>
  <si>
    <t>Juicy Bites homestyle broth &amp; calamari flavor 33.9g</t>
  </si>
  <si>
    <t>جوسي بايتس بنكهة مرق هوم ستايل وكاليماري 33.9 جرام</t>
  </si>
  <si>
    <t>MAFE20201322</t>
  </si>
  <si>
    <t>USA501</t>
  </si>
  <si>
    <t>P-1-N-140920-2949</t>
  </si>
  <si>
    <t>Grilled Tuna fillet in tuna flavored broth 25g</t>
  </si>
  <si>
    <t>فيليه تونا مشوي في مرق بنكهة التونا 25 جرام</t>
  </si>
  <si>
    <t>MAFE20201321</t>
  </si>
  <si>
    <t>USA502</t>
  </si>
  <si>
    <t>P-1-N-140920-2950</t>
  </si>
  <si>
    <t>Grilled Tuna fillet in scallop flavored broth 25g</t>
  </si>
  <si>
    <t>فيليه تونا مشوي في مرق نكهة المحار 25 جرام</t>
  </si>
  <si>
    <t>MAFE20201320</t>
  </si>
  <si>
    <t>USA503</t>
  </si>
  <si>
    <t>P-1-N-140920-2951</t>
  </si>
  <si>
    <t>Grilled Tuna fillet in homestyle broth 25g</t>
  </si>
  <si>
    <t>فيليه تونا مشوي في مرق بأسلوب منزلي 25 جرام</t>
  </si>
  <si>
    <t>MAFE20201319</t>
  </si>
  <si>
    <t>USA504</t>
  </si>
  <si>
    <t>P-1-N-140920-2952</t>
  </si>
  <si>
    <t>Grilled Tuna fillet in crab flavored broth 25g</t>
  </si>
  <si>
    <t>فيليه تونا مشوي في مرق بنكهة السلطعون 25 جرام</t>
  </si>
  <si>
    <t>MAFE20201318</t>
  </si>
  <si>
    <t>USA505</t>
  </si>
  <si>
    <t>P-1-N-140920-2953</t>
  </si>
  <si>
    <t>Grilled Tuna fillet extra tender in tuna flavored broth 25g</t>
  </si>
  <si>
    <t>فيليه تونا مشوي طري أكثر في مرق التونا 25 جرام</t>
  </si>
  <si>
    <t>MAFE20201317</t>
  </si>
  <si>
    <t>USA506</t>
  </si>
  <si>
    <t>P-1-N-140920-2954</t>
  </si>
  <si>
    <t>Grilled Tuna fillet in shrimp flavored broth 25g</t>
  </si>
  <si>
    <t>فيليه تونا مشوي في مرق الجمبري 25 جرام</t>
  </si>
  <si>
    <t>MAFE20201316</t>
  </si>
  <si>
    <t>USA508</t>
  </si>
  <si>
    <t>P-1-N-140920-2955</t>
  </si>
  <si>
    <t>Grilled Tuna fillet in calamari flavored 25g</t>
  </si>
  <si>
    <t>فيليه تونا مشوي في مرق كاليماري 25 جرام</t>
  </si>
  <si>
    <t>MAFE20201373</t>
  </si>
  <si>
    <t>P-1-N-160920-3010</t>
  </si>
  <si>
    <t>MAFE2021276</t>
  </si>
  <si>
    <t>A4304</t>
  </si>
  <si>
    <t>P-1-N-170920-3024</t>
  </si>
  <si>
    <t>Applaws Adult Cat Chicken with Extra Duck 7.5 kg</t>
  </si>
  <si>
    <t>ابلاوز دجاج مع البط الإضافي للقطط البالغة 7.5 كغم</t>
  </si>
  <si>
    <t>MAFE20201401</t>
  </si>
  <si>
    <t>A4204</t>
  </si>
  <si>
    <t>P-1-N-170920-3025</t>
  </si>
  <si>
    <t>Applaws Adult Cat Chicken with Extra Duck 2 kg</t>
  </si>
  <si>
    <t>ابلاوز دجاج مع البط الإضافي للقطط البالغة 2 كغم</t>
  </si>
  <si>
    <t>MAFE20201400</t>
  </si>
  <si>
    <t>A4105</t>
  </si>
  <si>
    <t>P-1-N-170920-3027</t>
  </si>
  <si>
    <t>Applaws Senior Cat Chicken 400g</t>
  </si>
  <si>
    <t>ابلاوز دجاج للقطط كبيرة السن 400 جم</t>
  </si>
  <si>
    <t>MAFE20201399</t>
  </si>
  <si>
    <t>A4104</t>
  </si>
  <si>
    <t>P-1-N-170920-3028</t>
  </si>
  <si>
    <t>Applaws Adult Cat Chicken with Extra Duck 400g</t>
  </si>
  <si>
    <t>ابلاوز دجاج مع البط الإضافي للقطط البالغة 400 جم</t>
  </si>
  <si>
    <t>MAFE20201398</t>
  </si>
  <si>
    <t>A4072</t>
  </si>
  <si>
    <t>P-1-N-170920-3029</t>
  </si>
  <si>
    <t>Applaws Adult Cat Chicken 7.5 kg</t>
  </si>
  <si>
    <t>ابلاوز دجاج للقطط البالغة 7.5 كغم</t>
  </si>
  <si>
    <t>MAFE20201397</t>
  </si>
  <si>
    <t>A4022</t>
  </si>
  <si>
    <t>P-1-N-170920-3030</t>
  </si>
  <si>
    <t>Applaws Adult Cat Chicken 2 kg</t>
  </si>
  <si>
    <t>ابلاوز دجاج للقطط البالغة 2 كغم</t>
  </si>
  <si>
    <t>MAFE20201396</t>
  </si>
  <si>
    <t>A4002</t>
  </si>
  <si>
    <t>P-1-N-170920-3032</t>
  </si>
  <si>
    <t>Applaws Adult Cat Chicken 400g</t>
  </si>
  <si>
    <t>ابلاوز دجاج للقطط البالغة 400 جم</t>
  </si>
  <si>
    <t>MAFE20201395</t>
  </si>
  <si>
    <t>A4071</t>
  </si>
  <si>
    <t>P-1-N-170920-3033</t>
  </si>
  <si>
    <t>Applaws Kitten Chicken 7.5 kg</t>
  </si>
  <si>
    <t>ابلاوز دجاج للقطط الصغيرة 7.5 كغم</t>
  </si>
  <si>
    <t>MAFE20201394</t>
  </si>
  <si>
    <t>A4021</t>
  </si>
  <si>
    <t>P-1-N-170920-3034</t>
  </si>
  <si>
    <t>Applaws Kitten Chicken 2 kg</t>
  </si>
  <si>
    <t>ابلاوز دجاج للقطط الصغيرة 2 كغم</t>
  </si>
  <si>
    <t>MAFE20201393</t>
  </si>
  <si>
    <t>A4001</t>
  </si>
  <si>
    <t>P-1-N-170920-3035</t>
  </si>
  <si>
    <t>Applaws Kitten Chicken 400g</t>
  </si>
  <si>
    <t>ابلاوز دجاج للقطط الصغيرة 400 جم</t>
  </si>
  <si>
    <t>MAFE20201418</t>
  </si>
  <si>
    <t>A4003</t>
  </si>
  <si>
    <t>P-1-N-170920-3036</t>
  </si>
  <si>
    <t>Applaws Adult Cat Chicken with Extra Salmon 400g</t>
  </si>
  <si>
    <t>ابلاوز دجاج مع سالمون إضافي للقطط البالغة 400 جم</t>
  </si>
  <si>
    <t>MAFE20201392</t>
  </si>
  <si>
    <t>A4024</t>
  </si>
  <si>
    <t>P-1-N-170920-3037</t>
  </si>
  <si>
    <t>Applaws Cat Chicken with Lamb 2 kg</t>
  </si>
  <si>
    <t>ابلاوز دجاج مع لحم الضأن للقطط 2 كغم</t>
  </si>
  <si>
    <t>MAFE20201391</t>
  </si>
  <si>
    <t>A4004</t>
  </si>
  <si>
    <t>P-1-N-170920-3038</t>
  </si>
  <si>
    <t>Applaws Cat Chicken with Lamb 400g</t>
  </si>
  <si>
    <t>ابلاوز دجاج مع لحم الضأن للقطط 400 جم</t>
  </si>
  <si>
    <t>MAFE20201390</t>
  </si>
  <si>
    <t>P-1-N-170920-3043</t>
  </si>
  <si>
    <t>هيلثي</t>
  </si>
  <si>
    <t>MAFE20201389</t>
  </si>
  <si>
    <t>P-1-N-170920-3044</t>
  </si>
  <si>
    <t>MAFE20201388</t>
  </si>
  <si>
    <t>A1002</t>
  </si>
  <si>
    <t>P-1-N-200920-3084</t>
  </si>
  <si>
    <t>Applaws Chicken Breast 70g</t>
  </si>
  <si>
    <t>ابلاوز صدور دجاج 70 جرام</t>
  </si>
  <si>
    <t>MAFE20201387</t>
  </si>
  <si>
    <t>A1003</t>
  </si>
  <si>
    <t>P-1-N-200920-3099</t>
  </si>
  <si>
    <t>Applaws Tuna Fillet 70g</t>
  </si>
  <si>
    <t>ابلاوز فيليه التونة 70 جرام</t>
  </si>
  <si>
    <t>MAFE20201386</t>
  </si>
  <si>
    <t>P-1-N-200920-3100</t>
  </si>
  <si>
    <t>Applaws Chicken Breast with Cheese 70g</t>
  </si>
  <si>
    <t>ابلاوز صدور دجاج بالجبن 70 جرام</t>
  </si>
  <si>
    <t>P-1-N-200920-3101</t>
  </si>
  <si>
    <t>Applaws Tuna Fillet with Cheese 70g</t>
  </si>
  <si>
    <t>ابلاوز فيليه التونة بالجبن 70 جرام</t>
  </si>
  <si>
    <t>P-1-N-200920-3103</t>
  </si>
  <si>
    <t>Applaws Tuna Fillet with Prawn 70g</t>
  </si>
  <si>
    <t>ابلاوز فيليه التونة مع الجمبري 70 جرام</t>
  </si>
  <si>
    <t>P-1-N-200920-3104</t>
  </si>
  <si>
    <t>Applaws Chicken Breast with Pumpkin 70g</t>
  </si>
  <si>
    <t>ابلاوز صدر دجاج بالقرع 70 جرام</t>
  </si>
  <si>
    <t>P-1-N-200920-3105</t>
  </si>
  <si>
    <t>Applaws Chicken Breast with Duck 70g</t>
  </si>
  <si>
    <t>ابلاوز صدر دجاج بالبط 70 جرام</t>
  </si>
  <si>
    <t>P-1-N-200920-3106</t>
  </si>
  <si>
    <t>Applaws Tuna Fillet with Crab 70g</t>
  </si>
  <si>
    <t>أبلاوز فيليه تونة مع السلطعون 70 جم</t>
  </si>
  <si>
    <t>A1001</t>
  </si>
  <si>
    <t>P-1-N-210920-3128</t>
  </si>
  <si>
    <t>كات تين 1 × (24 × 70 جم) صدور دجاج للقطط الصغيرة</t>
  </si>
  <si>
    <t>MAFE20201480</t>
  </si>
  <si>
    <t>A8903</t>
  </si>
  <si>
    <t>P-1-N-210920-3133</t>
  </si>
  <si>
    <t>Chicken Soup with Chicken 3x40g</t>
  </si>
  <si>
    <t>شوربة دجاج مع الدجاج 3×40 جرام</t>
  </si>
  <si>
    <t>MAFE20201454</t>
  </si>
  <si>
    <t>137110</t>
  </si>
  <si>
    <t>P-1-N-220920-3159</t>
  </si>
  <si>
    <t>Crunchy stick canary. Canary seed - honey 85g</t>
  </si>
  <si>
    <t>كرنشي ستك للكناري بذور الكناري و العسل 85 جرام</t>
  </si>
  <si>
    <t>MAFE20201464</t>
  </si>
  <si>
    <t>زولكس ساس</t>
  </si>
  <si>
    <t>137111</t>
  </si>
  <si>
    <t>P-1-N-220920-3160</t>
  </si>
  <si>
    <t>Crunchy stick canary. Canary seed - sticklewort 85g</t>
  </si>
  <si>
    <t>كرنشي ستك للكناري بذور الكناري و الاعشاب 85 جرام</t>
  </si>
  <si>
    <t>MAFE20201463</t>
  </si>
  <si>
    <t>137112</t>
  </si>
  <si>
    <t>P-1-N-220920-3161</t>
  </si>
  <si>
    <t>Crunchy stick canary. Canary seed - Carrot 85g</t>
  </si>
  <si>
    <t>كرنشي ستك كناري بذور الكناري و الجزر 85 جرام</t>
  </si>
  <si>
    <t>MAFE20201462</t>
  </si>
  <si>
    <t>137114</t>
  </si>
  <si>
    <t>P-1-N-220920-3163</t>
  </si>
  <si>
    <t>Crunchy stick Exotic Millet - Honey 85g</t>
  </si>
  <si>
    <t>كرنشي ستك الاستوائية دخن و عسل 85 جرام</t>
  </si>
  <si>
    <t>MAFE20201469</t>
  </si>
  <si>
    <t>137115</t>
  </si>
  <si>
    <t>P-1-N-220920-3164</t>
  </si>
  <si>
    <t>Crunchy stick Exotic Millet - Apple 85g</t>
  </si>
  <si>
    <t>كرنشي ستك الاستوائية دخن وتفاح 85 جرام</t>
  </si>
  <si>
    <t>MAFE20201468</t>
  </si>
  <si>
    <t>137116</t>
  </si>
  <si>
    <t>P-1-N-220920-3165</t>
  </si>
  <si>
    <t>Crunchy stick Large parakeet Currant - Mountain-Ash 115g</t>
  </si>
  <si>
    <t>كرنشي ستك للبراكيت الكبيرة زبيب و الغبيرا 115 جرام</t>
  </si>
  <si>
    <t>MAFE20201461</t>
  </si>
  <si>
    <t>137117</t>
  </si>
  <si>
    <t>P-1-N-220920-3167</t>
  </si>
  <si>
    <t>Crunchy stick Large Parakeet Sunflower - Peanut 115g</t>
  </si>
  <si>
    <t>كرنشي ستك للبراكيت الكبير حب شمسي و فول سوداني 115 جرام</t>
  </si>
  <si>
    <t>MAFE20201460</t>
  </si>
  <si>
    <t>زولكس</t>
  </si>
  <si>
    <t>137118</t>
  </si>
  <si>
    <t>P-1-N-220920-3168</t>
  </si>
  <si>
    <t>Crunchy stick Parrot Peanut - Apple 115g</t>
  </si>
  <si>
    <t>كرنشي ستك للببغاء فول سوداني وتفاح 115 جرام</t>
  </si>
  <si>
    <t>MAFE20201459</t>
  </si>
  <si>
    <t>137119</t>
  </si>
  <si>
    <t>P-1-N-220920-3169</t>
  </si>
  <si>
    <t>Crunchy stick Parrot Peanut - Banana 115g</t>
  </si>
  <si>
    <t>كرنشي ستك للببغاء فول سوداني و موز 115 جرام</t>
  </si>
  <si>
    <t>MAFE20201458</t>
  </si>
  <si>
    <t>137121</t>
  </si>
  <si>
    <t>P-1-N-220920-3170</t>
  </si>
  <si>
    <t>Crunchy stick Parakeet Millet - Apple 85g</t>
  </si>
  <si>
    <t>كرنشي ستك للبراكيت الصغيرة دخن و تفاح 85 جرام</t>
  </si>
  <si>
    <t>MAFE20201457</t>
  </si>
  <si>
    <t>137122</t>
  </si>
  <si>
    <t>P-1-N-220920-3171</t>
  </si>
  <si>
    <t>Crunchy stick Parakeet Coconut - Banana 85g</t>
  </si>
  <si>
    <t>كرنشي ستك للبراكيت الصغيرة جوز هند و موز 85 جرام</t>
  </si>
  <si>
    <t>MAFE20201456</t>
  </si>
  <si>
    <t>137123</t>
  </si>
  <si>
    <t>P-1-N-220920-3172</t>
  </si>
  <si>
    <t>Crunchy stick Parakeet Millet - Honey 85g</t>
  </si>
  <si>
    <t>كرنشي ستك للبراكيت الصغيرة دخن و عسل 85 جرام</t>
  </si>
  <si>
    <t>MAFE20201455</t>
  </si>
  <si>
    <t>A8902</t>
  </si>
  <si>
    <t>P-1-N-280920-3222</t>
  </si>
  <si>
    <t>Pumpkin Soup with Salmon 3x40g</t>
  </si>
  <si>
    <t>شوربة اليقطين مع السلمون 3×40 جرام</t>
  </si>
  <si>
    <t>MAFE20201479</t>
  </si>
  <si>
    <t>A8901</t>
  </si>
  <si>
    <t>P-1-N-280920-3223</t>
  </si>
  <si>
    <t>Pumpkin Soup with Seabream 3x40g</t>
  </si>
  <si>
    <t>شوربة اليقطين مع الدنيس 3×40 جرام</t>
  </si>
  <si>
    <t>MAFE20201478</t>
  </si>
  <si>
    <t>A7005</t>
  </si>
  <si>
    <t>P-1-N-041020-3312</t>
  </si>
  <si>
    <t>أبلاوز صدر دجاج مع أرز 60 جم</t>
  </si>
  <si>
    <t>MAFE20201516</t>
  </si>
  <si>
    <t>A7001</t>
  </si>
  <si>
    <t>P-1-N-041020-3313</t>
  </si>
  <si>
    <t>أبلاوز صدر دجاج بالبط 60 جم</t>
  </si>
  <si>
    <t>MAFE20201515</t>
  </si>
  <si>
    <t>P-1-N-041020-3314</t>
  </si>
  <si>
    <t>Applaws Tuna Fillet with Crab 60g</t>
  </si>
  <si>
    <t>أبلاوز فيليه تونة مع السلطعون 60 جم</t>
  </si>
  <si>
    <t>A7002</t>
  </si>
  <si>
    <t>P-1-N-041020-3315</t>
  </si>
  <si>
    <t>أبلاوز فيليه تونة بالجمبري 60 جم</t>
  </si>
  <si>
    <t>MAFE20201514</t>
  </si>
  <si>
    <t>A8002</t>
  </si>
  <si>
    <t>P-1-N-041020-3318</t>
  </si>
  <si>
    <t>Applaws Chicken Breast with Asparagus 70g</t>
  </si>
  <si>
    <t>أبلاوز صدر دجاج مع الهليون 70 جم</t>
  </si>
  <si>
    <t>MAFE20201591</t>
  </si>
  <si>
    <t>P-1-N-041020-3319</t>
  </si>
  <si>
    <t>Applaws Chicken Breast with Tuna Roe 60g</t>
  </si>
  <si>
    <t>أبلاوز صدر دجاج مع تونة رو 60 جم</t>
  </si>
  <si>
    <t>P-1-N-041020-3320</t>
  </si>
  <si>
    <t>أبلاوز سردين مع الماكريل 60 جم</t>
  </si>
  <si>
    <t>A8256</t>
  </si>
  <si>
    <t>P-1-N-041020-3327</t>
  </si>
  <si>
    <t>Applaws Tuna with Salmon in Jelly 70g</t>
  </si>
  <si>
    <t>أبلاوز تونة مع سلمون في جيلي 70 جم</t>
  </si>
  <si>
    <t>MAFE20201512</t>
  </si>
  <si>
    <t>A8254</t>
  </si>
  <si>
    <t>P-1-N-041020-3329</t>
  </si>
  <si>
    <t>Applaws Tuna in Jelly 70g</t>
  </si>
  <si>
    <t>أبلاوز تونة في الجلي 70 جم</t>
  </si>
  <si>
    <t>MAFE20201511</t>
  </si>
  <si>
    <t>P-1-N-041020-3330</t>
  </si>
  <si>
    <t>Applaws Chicken Breast &amp; Wild Rice 70g</t>
  </si>
  <si>
    <t>أبلاوز صدر دجاج و أرز بري 70 جم</t>
  </si>
  <si>
    <t>A8006</t>
  </si>
  <si>
    <t>P-1-N-041020-3331</t>
  </si>
  <si>
    <t>Applaws Tuna Fillet with Whole Anchovy 70g</t>
  </si>
  <si>
    <t>أبلاوز فيليه تونة مع الأنشوجة الكاملة 70 جم</t>
  </si>
  <si>
    <t>MAFE20201510</t>
  </si>
  <si>
    <t>C100</t>
  </si>
  <si>
    <t>P-1-N-131020-3500</t>
  </si>
  <si>
    <t>Tuna whole meat and rice in jelly (50*6) 300g</t>
  </si>
  <si>
    <t>لحم التونا و الأرز بالجيلي (50*6) 300 جرام</t>
  </si>
  <si>
    <t>MAFE20201759</t>
  </si>
  <si>
    <t>ساوث ايست الاسيوية للتغليف والتعليب المحدودة</t>
  </si>
  <si>
    <t>C103</t>
  </si>
  <si>
    <t>P-1-N-131020-3501</t>
  </si>
  <si>
    <t>Tuna whole meat with shrimp and rice in jelly (50*6) 300g</t>
  </si>
  <si>
    <t>لحم</t>
  </si>
  <si>
    <t>MAFE20201758</t>
  </si>
  <si>
    <t>أغراس ديليتش اس بي أي</t>
  </si>
  <si>
    <t>C106</t>
  </si>
  <si>
    <t>P-1-N-131020-3502</t>
  </si>
  <si>
    <t>Tuna whole meat with beef and rice in jelly (50*6) 300g</t>
  </si>
  <si>
    <t>لحم التونا مع اللحم البقري و الأرز بالجيلي (50*6) 300 جرام</t>
  </si>
  <si>
    <t>MAFE20201757</t>
  </si>
  <si>
    <t>C112</t>
  </si>
  <si>
    <t>P-1-N-131020-3504</t>
  </si>
  <si>
    <t>Chicken flake with rice (6*50) 300g</t>
  </si>
  <si>
    <t>شرائح الدجاج مع الأرز (50*6) 300 جرام</t>
  </si>
  <si>
    <t>MAFE20201756</t>
  </si>
  <si>
    <t>C115</t>
  </si>
  <si>
    <t>P-1-N-131020-3505</t>
  </si>
  <si>
    <t>Tuna whole meat with seabass and rice in jelly (6*50) 300g</t>
  </si>
  <si>
    <t>لحم التونا مع سمك القاروص و الأرز بالجلي (6*50) 300 جرام</t>
  </si>
  <si>
    <t>MAFE20201754</t>
  </si>
  <si>
    <t>C118</t>
  </si>
  <si>
    <t>P-1-N-131020-3506</t>
  </si>
  <si>
    <t>Tuna white meat and rice in solution (6*50) 300g</t>
  </si>
  <si>
    <t>خليط لحم التونا مع الأرز (6*50) 300 جرام</t>
  </si>
  <si>
    <t>MAFE20201753</t>
  </si>
  <si>
    <t>C121</t>
  </si>
  <si>
    <t>P-1-N-131020-3507</t>
  </si>
  <si>
    <t>Chicken and rice with duck in solution (6*50) 300g</t>
  </si>
  <si>
    <t>خليط الدجاج و الأرز مع البط (6*50) 300 جرام</t>
  </si>
  <si>
    <t>MAFE20201752</t>
  </si>
  <si>
    <t>C124</t>
  </si>
  <si>
    <t>P-1-N-131020-3508</t>
  </si>
  <si>
    <t>Chicken and rice with pumpkin in solution (6*50) 300g</t>
  </si>
  <si>
    <t>خليط الدجاج و الأرز مع القرع (6*50) 300 جرام</t>
  </si>
  <si>
    <t>MAFE20201751</t>
  </si>
  <si>
    <t>C125</t>
  </si>
  <si>
    <t>P-1-N-131020-3509</t>
  </si>
  <si>
    <t>Tuna whole meat with salmon and rice in soft jelly (6*50) 300g</t>
  </si>
  <si>
    <t>لحم التونا مع السالمون و الأرز بالجيلي الطري (6*50) 300 جرام</t>
  </si>
  <si>
    <t>MAFE20201750</t>
  </si>
  <si>
    <t>C126</t>
  </si>
  <si>
    <t>P-1-N-131020-3510</t>
  </si>
  <si>
    <t>Tuna whole meat with seabream and rice in soft jelly (6*50) 300g</t>
  </si>
  <si>
    <t>لحم التونا مع سمك القاروص م الأرز بالجيلي الطري (6*50) 300 جرام</t>
  </si>
  <si>
    <t>MAFE20201749</t>
  </si>
  <si>
    <t>ساوث</t>
  </si>
  <si>
    <t>C127</t>
  </si>
  <si>
    <t>P-1-N-131020-3512</t>
  </si>
  <si>
    <t>Tuna whole meat, chicken, rice in soft jelly (6*50) 300g</t>
  </si>
  <si>
    <t>لحم التونا و الدجاج و الأرز بالجيلي الطري (6*50) 300 جرام</t>
  </si>
  <si>
    <t>C128</t>
  </si>
  <si>
    <t>P-1-N-131020-3513</t>
  </si>
  <si>
    <t>Tuna whole meat, papaya, rice in soft jelly (6*50) 300g</t>
  </si>
  <si>
    <t>c135</t>
  </si>
  <si>
    <t>P-1-N-131020-3514</t>
  </si>
  <si>
    <t>Tuna whole meat with rice in jelly 85g</t>
  </si>
  <si>
    <t>تونا مع الأرز بالجيلي 85 جرام</t>
  </si>
  <si>
    <t>MAFE20201784</t>
  </si>
  <si>
    <t>C136</t>
  </si>
  <si>
    <t>P-1-N-131020-3515</t>
  </si>
  <si>
    <t>Tuna whole meat with surimi and rice in jelly 85g</t>
  </si>
  <si>
    <t>تونا مع السوريمي و الأرز بالجيلي 85 جرام</t>
  </si>
  <si>
    <t>MAFE20201783</t>
  </si>
  <si>
    <t>C137</t>
  </si>
  <si>
    <t>P-1-N-131020-3516</t>
  </si>
  <si>
    <t>Tuna with chicken 85g</t>
  </si>
  <si>
    <t>تونا مع الدجاج 85 جرام</t>
  </si>
  <si>
    <t>MAFE20201782</t>
  </si>
  <si>
    <t>c138</t>
  </si>
  <si>
    <t>P-1-N-131020-3517</t>
  </si>
  <si>
    <t>Tuna with shrimp 85g</t>
  </si>
  <si>
    <t>تونا مع الجمبري 85 جرام</t>
  </si>
  <si>
    <t>MAFE20201781</t>
  </si>
  <si>
    <t>C139</t>
  </si>
  <si>
    <t>P-1-N-131020-3518</t>
  </si>
  <si>
    <t>Tuna white meat with shirasu and rice 85g</t>
  </si>
  <si>
    <t>لحم التونا الابيض مع الشيراسو و الارز 85 جرام</t>
  </si>
  <si>
    <t>MAFE20201780</t>
  </si>
  <si>
    <t>C141</t>
  </si>
  <si>
    <t>P-1-N-131020-3519</t>
  </si>
  <si>
    <t>Tuna whole meat with beef and rice in gel 85g</t>
  </si>
  <si>
    <t>تونا مع اللحم البقري و الارز بالجيلي 85 جرام</t>
  </si>
  <si>
    <t>MAFE20201779</t>
  </si>
  <si>
    <t>C142</t>
  </si>
  <si>
    <t>P-1-N-131020-3520</t>
  </si>
  <si>
    <t>Tuna whole meat with rice and seaweed in gel 85g</t>
  </si>
  <si>
    <t>تونا مع الارز و الاعشاب البحرية بالجيلي 85 جرام</t>
  </si>
  <si>
    <t>MAFE20201778</t>
  </si>
  <si>
    <t>C143</t>
  </si>
  <si>
    <t>P-1-N-131020-3521</t>
  </si>
  <si>
    <t>Tuna whole meat with aloe and rice in gel 85g</t>
  </si>
  <si>
    <t>تونا مع الصبار والارز بالجيلي 85 جرام</t>
  </si>
  <si>
    <t>MAFE20201777</t>
  </si>
  <si>
    <t>P-1-N-131020-3522</t>
  </si>
  <si>
    <t>Chicken flake with rice in gel 85g</t>
  </si>
  <si>
    <t>شرائح الدجاج مع الارز بالجيلي 85 جرام</t>
  </si>
  <si>
    <t>MAFE20201809</t>
  </si>
  <si>
    <t>C161</t>
  </si>
  <si>
    <t>P-1-N-131020-3523</t>
  </si>
  <si>
    <t>Chicken fillets with surimi 85g</t>
  </si>
  <si>
    <t>فيلية الدجاج مع السوريمي 85 جرام</t>
  </si>
  <si>
    <t>MAFE20201808</t>
  </si>
  <si>
    <t>C169</t>
  </si>
  <si>
    <t>P-1-N-131020-3524</t>
  </si>
  <si>
    <t>Chicken fillets 85g</t>
  </si>
  <si>
    <t>فيلية الدجاج 85 جرام</t>
  </si>
  <si>
    <t>MAFE20201807</t>
  </si>
  <si>
    <t>C175</t>
  </si>
  <si>
    <t>P-1-N-131020-3525</t>
  </si>
  <si>
    <t>Tuna white meat and chicken with rice 85g</t>
  </si>
  <si>
    <t>لحم التونا الابيض والدجاج مع الارز 85 جرام</t>
  </si>
  <si>
    <t>MAFE20201806</t>
  </si>
  <si>
    <t>c176</t>
  </si>
  <si>
    <t>P-1-N-131020-3526</t>
  </si>
  <si>
    <t>Tuna white meat and beef with rice 85g</t>
  </si>
  <si>
    <t>لحم التونا الابيض و اللحم البقري مع الارز 85 جرام</t>
  </si>
  <si>
    <t>MAFE20201804</t>
  </si>
  <si>
    <t>P-1-N-131020-3527</t>
  </si>
  <si>
    <t>لحم التونا الابيض مع شيرازو و الارز 85 جرام</t>
  </si>
  <si>
    <t>MAFE20201805</t>
  </si>
  <si>
    <t>C178</t>
  </si>
  <si>
    <t>P-1-N-131020-3528</t>
  </si>
  <si>
    <t>Chicken flake with rice 85g</t>
  </si>
  <si>
    <t>شرائح الدجاج و الارز 85 جرام</t>
  </si>
  <si>
    <t>MAFE20201803</t>
  </si>
  <si>
    <t>C179</t>
  </si>
  <si>
    <t>P-1-N-131020-3529</t>
  </si>
  <si>
    <t>Chicken and beef with rice 85g</t>
  </si>
  <si>
    <t>الدجاج و اللحم البقري مع الارز 85 جرام</t>
  </si>
  <si>
    <t>MAFE20201801</t>
  </si>
  <si>
    <t>c184</t>
  </si>
  <si>
    <t>P-1-N-131020-3530</t>
  </si>
  <si>
    <t>Tuna with aloe kitten 85g</t>
  </si>
  <si>
    <t>تونا مع الصبار للقطط الصغيرة 85 جرام</t>
  </si>
  <si>
    <t>MAFE20201802</t>
  </si>
  <si>
    <t>C185</t>
  </si>
  <si>
    <t>P-1-N-131020-3531</t>
  </si>
  <si>
    <t>Chicken and rice with aloe in gel 85g</t>
  </si>
  <si>
    <t>دجاج و الارز مع الصبار بالجيلي 85 جرام</t>
  </si>
  <si>
    <t>MAFE20201800</t>
  </si>
  <si>
    <t>C168</t>
  </si>
  <si>
    <t>P-1-N-131020-3532</t>
  </si>
  <si>
    <t>Tuna white meat flakes and rice 85g</t>
  </si>
  <si>
    <t>شرائح لحم التونا الابيض و الارز 85 جرام</t>
  </si>
  <si>
    <t>MAFE20201799</t>
  </si>
  <si>
    <t>C2700</t>
  </si>
  <si>
    <t>P-1-N-131020-3533</t>
  </si>
  <si>
    <t>Tuna whole meat and rice in jelly 140g</t>
  </si>
  <si>
    <t>التونا و الارز بالجيلي 140 جرام</t>
  </si>
  <si>
    <t>MAFE20201832</t>
  </si>
  <si>
    <t>C2701</t>
  </si>
  <si>
    <t>P-1-N-131020-3534</t>
  </si>
  <si>
    <t>Tuna whole meat with beef and rice in gel 140g</t>
  </si>
  <si>
    <t>التونا مع اللحم البقري و الارز بالجيلي 140 جرام</t>
  </si>
  <si>
    <t>MAFE20201831</t>
  </si>
  <si>
    <t>C2702</t>
  </si>
  <si>
    <t>P-1-N-131020-3535</t>
  </si>
  <si>
    <t>Tuna white meat and rice with shirasu in solution 140g</t>
  </si>
  <si>
    <t>خليط لحم التونا الابيض و الارز مع سمك الشيرازو 140 جرام</t>
  </si>
  <si>
    <t>MAFE20201830</t>
  </si>
  <si>
    <t>C2704</t>
  </si>
  <si>
    <t>P-1-N-131020-3536</t>
  </si>
  <si>
    <t>Chicken flake and rice in gel 140g</t>
  </si>
  <si>
    <t>شرائح الدجاج و الارز بالجيلي 140 جرام</t>
  </si>
  <si>
    <t>MAFE20201829</t>
  </si>
  <si>
    <t>P-1-N-131020-3538</t>
  </si>
  <si>
    <t>Tuna whole meat and rice with aloe in gel 140g</t>
  </si>
  <si>
    <t>التونا و الارز مع الصبار بالجيلي 140 جرام</t>
  </si>
  <si>
    <t>C2731</t>
  </si>
  <si>
    <t>P-1-N-131020-3539</t>
  </si>
  <si>
    <t>Chicken and rice with aloe in gel 140g</t>
  </si>
  <si>
    <t>الدجاج و الارز مع الصبار بالجيلي 140 جرام</t>
  </si>
  <si>
    <t>C2800</t>
  </si>
  <si>
    <t>P-1-N-131020-3540</t>
  </si>
  <si>
    <t>Chicken and rice with carrot in jelly 285g</t>
  </si>
  <si>
    <t>دجاج و ارز مع الجزر بالجيلي 285 جرام</t>
  </si>
  <si>
    <t>MAFE20201828</t>
  </si>
  <si>
    <t>C2801</t>
  </si>
  <si>
    <t>P-1-N-131020-3541</t>
  </si>
  <si>
    <t>Chicken, rice with potato and carrot in jelly 285g</t>
  </si>
  <si>
    <t>دجاج، ارز مع بطاطا و جزر بالجيلي 285 جرام</t>
  </si>
  <si>
    <t>MAFE20201855</t>
  </si>
  <si>
    <t>C2802</t>
  </si>
  <si>
    <t>P-1-N-131020-3542</t>
  </si>
  <si>
    <t>Chicken and rice with pumpkin in jelly 285g</t>
  </si>
  <si>
    <t>دجاج و ارز بالقرع في جيلي 285 جرام</t>
  </si>
  <si>
    <t>MAFE20201854</t>
  </si>
  <si>
    <t>C2803</t>
  </si>
  <si>
    <t>P-1-N-131020-3543</t>
  </si>
  <si>
    <t>Chicken and rice with green pea in jelly 285g</t>
  </si>
  <si>
    <t>دجاج و ارز مع بازلا خضراء بالجيلي 285 جرام</t>
  </si>
  <si>
    <t>MAFE20201827</t>
  </si>
  <si>
    <t>P-1-N-211020-3705</t>
  </si>
  <si>
    <t>بوتشرز</t>
  </si>
  <si>
    <t>P-1-N-291020-3850</t>
  </si>
  <si>
    <t>MAFE20201772</t>
  </si>
  <si>
    <t>P-1-N-291020-3853</t>
  </si>
  <si>
    <t>MAFE20201768</t>
  </si>
  <si>
    <t>P-1-N-291020-3854</t>
  </si>
  <si>
    <t>MAFE20201767</t>
  </si>
  <si>
    <t>P-1-N-291020-3856</t>
  </si>
  <si>
    <t>MAFE20201765</t>
  </si>
  <si>
    <t>FB1005000</t>
  </si>
  <si>
    <t>P-1-N-011120-3874</t>
  </si>
  <si>
    <t>Fruitables Pumpkin Superblend Digestive Supplement 425g</t>
  </si>
  <si>
    <t>فروتابلز بمبكن سوبربلند دايجستف سبلمنت 425 جم</t>
  </si>
  <si>
    <t>MAFE20201795</t>
  </si>
  <si>
    <t>شركة منتجات مانا برو ذات المسؤولية المحدودة</t>
  </si>
  <si>
    <t>FB1005002</t>
  </si>
  <si>
    <t>P-1-N-021120-3890</t>
  </si>
  <si>
    <t>Fruitables Switch Food Transition Supplement 425g</t>
  </si>
  <si>
    <t>فروتابلز سويتش مكمل غذائي لإستبدال الطعام 425 جم</t>
  </si>
  <si>
    <t>MAFE20201794</t>
  </si>
  <si>
    <t>FB1005018</t>
  </si>
  <si>
    <t>P-1-N-021120-3893</t>
  </si>
  <si>
    <t>Wildly Natural Chicken Flavor 71g</t>
  </si>
  <si>
    <t>وايدلي ناتشورال نكهة الدجاج 71 جم</t>
  </si>
  <si>
    <t>MAFE20201793</t>
  </si>
  <si>
    <t>FB1005019</t>
  </si>
  <si>
    <t>P-1-N-021120-3894</t>
  </si>
  <si>
    <t>Wildly Natural Salmon Flavor 71g</t>
  </si>
  <si>
    <t>وايدلي ناتشورال نكهة السلمون 71 جم</t>
  </si>
  <si>
    <t>MAFE20201792</t>
  </si>
  <si>
    <t>FB1005020</t>
  </si>
  <si>
    <t>P-1-N-021120-3895</t>
  </si>
  <si>
    <t>Wildly Natural Tuna Flavor 71g</t>
  </si>
  <si>
    <t>وايدلي ناتشورال نكهة التونة 71 جم</t>
  </si>
  <si>
    <t>MAFE20201791</t>
  </si>
  <si>
    <t>FB1005100</t>
  </si>
  <si>
    <t>P-1-N-021120-3896</t>
  </si>
  <si>
    <t>Wildly Natural Whole Jerky Roast Chick Tenders 141g</t>
  </si>
  <si>
    <t>وايدلي ناتشورال هول جيركي تيندرز دجاج مشوي 141 جم</t>
  </si>
  <si>
    <t>MAFE20201790</t>
  </si>
  <si>
    <t>FB1005102</t>
  </si>
  <si>
    <t>P-1-N-021120-3897</t>
  </si>
  <si>
    <t>Wildly Natural Whole Jerky Roast Chick Tenders 340g</t>
  </si>
  <si>
    <t>وايدلي ناتشورال هول جيركي تيندرز دجاج مشوي 340 جم</t>
  </si>
  <si>
    <t>MAFE20201821</t>
  </si>
  <si>
    <t>FB1005105</t>
  </si>
  <si>
    <t>P-1-N-021120-3898</t>
  </si>
  <si>
    <t>Wildly Natural Whole Jerky Alaskan Salmon Strips 141g</t>
  </si>
  <si>
    <t>وايدلي ناتشورال هول جيركي شرائح سلمون ألاسكا 141 جم</t>
  </si>
  <si>
    <t>MAFE20201789</t>
  </si>
  <si>
    <t>FB1005107</t>
  </si>
  <si>
    <t>P-1-N-021120-3899</t>
  </si>
  <si>
    <t>Wildly Natural Whole Jerky Grilled Bison Strips 340g</t>
  </si>
  <si>
    <t>وايدلي ناتشورال هول جيركي شرائح بيسون مشوية 340 جم</t>
  </si>
  <si>
    <t>MAFE20201820</t>
  </si>
  <si>
    <t>FB1005104</t>
  </si>
  <si>
    <t>P-1-N-021120-3900</t>
  </si>
  <si>
    <t>Wildly Natural Whole Jerky Grilled Bison Strips 141g</t>
  </si>
  <si>
    <t>وايدلي ناتشورال هول جيركي شرائح بيسون مشوية 141 جم</t>
  </si>
  <si>
    <t>MAFE20201819</t>
  </si>
  <si>
    <t>FB1005106</t>
  </si>
  <si>
    <t>P-1-N-021120-3901</t>
  </si>
  <si>
    <t>Wildly Natural Whole Jerky Grilled Duck Strips 141g</t>
  </si>
  <si>
    <t>وايدلي ناتشورال هول جيركي شرائح البط المشوية 141 جم</t>
  </si>
  <si>
    <t>MAFE20201788</t>
  </si>
  <si>
    <t>P-1-N-031120-3927</t>
  </si>
  <si>
    <t>لحم التونا و البابايا و الأرز بالجيلي الطري (6*50) 300 جرام</t>
  </si>
  <si>
    <t>MAFE20201845</t>
  </si>
  <si>
    <t>FB1005001</t>
  </si>
  <si>
    <t>P-1-N-031120-3929</t>
  </si>
  <si>
    <t>Fruitables Pumpkin &amp; Oatmeal Weightloss Supplement 425g</t>
  </si>
  <si>
    <t>فروتابلز ويتلوس سوبليمنت اليقطين والشوفان 425 جم</t>
  </si>
  <si>
    <t>MAFE20201816</t>
  </si>
  <si>
    <t>FB1005022</t>
  </si>
  <si>
    <t>P-1-N-031120-3932</t>
  </si>
  <si>
    <t>Fruitables Pumpkin &amp; Banana Flavor 198g</t>
  </si>
  <si>
    <t>فروتابلز نكهة القرع والموز 198 جم</t>
  </si>
  <si>
    <t>MAFE20201815</t>
  </si>
  <si>
    <t>FB1005021</t>
  </si>
  <si>
    <t>P-1-N-031120-3933</t>
  </si>
  <si>
    <t>Fruitables Pumpkin &amp; Apple Flavor 198g</t>
  </si>
  <si>
    <t>فروتابلز نكهة القرع والتفاح 198 جم</t>
  </si>
  <si>
    <t>MAFE20201814</t>
  </si>
  <si>
    <t>FB1005023</t>
  </si>
  <si>
    <t>P-1-N-031120-3935</t>
  </si>
  <si>
    <t>Fruitables Pumpkin &amp; Blueberry Flavor 198g</t>
  </si>
  <si>
    <t>فروتابلز</t>
  </si>
  <si>
    <t>MAFE20201813</t>
  </si>
  <si>
    <t>FB1005024</t>
  </si>
  <si>
    <t>P-1-N-031120-3936</t>
  </si>
  <si>
    <t>Fruitables Pumpkin &amp; Cranberry Flavor 198g</t>
  </si>
  <si>
    <t>فروتابلز نكهة القرع والتوت البري 198 جم</t>
  </si>
  <si>
    <t>MAFE20201812</t>
  </si>
  <si>
    <t>P-1-N-031120-3937</t>
  </si>
  <si>
    <t>Fruitables Skinny Minis Pumpkin &amp; Berry Flavor 141g</t>
  </si>
  <si>
    <t>فروتابلز سكيني مينيز بنكهة القرع والتوت 141 جم</t>
  </si>
  <si>
    <t>P-1-N-031120-3938</t>
  </si>
  <si>
    <t>Fruitables Skinny Minis Pumpkin &amp; Mango Flavor 141g</t>
  </si>
  <si>
    <t>فروتابلز سكيني مينيز بنكهة القرع والمانجو 141 جم</t>
  </si>
  <si>
    <t>P-1-N-031120-3939</t>
  </si>
  <si>
    <t>Fruitables Skinny Minis Rotisserie Chicken Flavor 141g</t>
  </si>
  <si>
    <t>فروتابلز سكيني مينيز بنكهة الدجاج المشوي 141 جم</t>
  </si>
  <si>
    <t>P-1-N-031120-3941</t>
  </si>
  <si>
    <t>Fruitables Skinny Minis Grilled Bison Flavor 141g</t>
  </si>
  <si>
    <t>فروتابلز سكيني مينيز نكهة بيسون مشوية 141 جم</t>
  </si>
  <si>
    <t>P-1-N-041120-3946</t>
  </si>
  <si>
    <t>Fruitables Watermelon Flavor 141g</t>
  </si>
  <si>
    <t>فروتابلز نكهة البطيخ 141 جم</t>
  </si>
  <si>
    <t>FB1005037</t>
  </si>
  <si>
    <t>P-1-N-041120-3948</t>
  </si>
  <si>
    <t>Fruitables Pumpkin &amp; Spice Flavor 141g</t>
  </si>
  <si>
    <t>فروتابلز نكهة اليقطين والتوابل 141 جم</t>
  </si>
  <si>
    <t>MAFE20201842</t>
  </si>
  <si>
    <t>P-1-N-041120-3951</t>
  </si>
  <si>
    <t>Fruitables Pumpkin 141g</t>
  </si>
  <si>
    <t>فروتابلز نكهة اليقطين 141 جم</t>
  </si>
  <si>
    <t>FB1030608</t>
  </si>
  <si>
    <t>P-1-N-041120-3952</t>
  </si>
  <si>
    <t>Fruitables Salmon Flavor with Cranberry 70g</t>
  </si>
  <si>
    <t>فروتابلز نكهة السلمون مع التوت البري 70 جم</t>
  </si>
  <si>
    <t>MAFE20201840</t>
  </si>
  <si>
    <t>FB1030609</t>
  </si>
  <si>
    <t>P-1-N-041120-3953</t>
  </si>
  <si>
    <t>Fruitables Tuna Flavour with Pumpkin 70g</t>
  </si>
  <si>
    <t>MAFE20201839</t>
  </si>
  <si>
    <t>FB1030607</t>
  </si>
  <si>
    <t>P-1-N-041120-3955</t>
  </si>
  <si>
    <t>Fruitables Chicken Flavor with Blueberry 70g</t>
  </si>
  <si>
    <t>فروتابلز نكهة الدجاج مع التوت 70 جم</t>
  </si>
  <si>
    <t>MAFE20201838</t>
  </si>
  <si>
    <t>PV0650</t>
  </si>
  <si>
    <t>P-1-N-041120-3964</t>
  </si>
  <si>
    <t>Whimzees Toothbrush Star (XS) 360g</t>
  </si>
  <si>
    <t>ويمزيس توثبراش ستار (صغير جدا) 360 جم</t>
  </si>
  <si>
    <t>MAFE20201835</t>
  </si>
  <si>
    <t>باراغون لمنتجات الحيوان بي في</t>
  </si>
  <si>
    <t>PV0667</t>
  </si>
  <si>
    <t>P-1-N-081120-3986</t>
  </si>
  <si>
    <t>Whimzees Toothbrush Star (S) 360g</t>
  </si>
  <si>
    <t>ويمزيس توثبراش ستار (صغير) 360 جم</t>
  </si>
  <si>
    <t>MAFE20201938</t>
  </si>
  <si>
    <t>PV0674</t>
  </si>
  <si>
    <t>P-1-N-081120-3987</t>
  </si>
  <si>
    <t>Whimzees Toothbrush Star (M) 360g</t>
  </si>
  <si>
    <t>ويمزيس توثبراش ستار (متوسط) 360 جم</t>
  </si>
  <si>
    <t>MAFE20201936</t>
  </si>
  <si>
    <t>PV0681</t>
  </si>
  <si>
    <t>P-1-N-081120-3988</t>
  </si>
  <si>
    <t>Whimzees Toothbrush Star (L) 360g</t>
  </si>
  <si>
    <t>ويمزيس توثبراش ستار (كبير) 360 جم</t>
  </si>
  <si>
    <t>MAFE20201935</t>
  </si>
  <si>
    <t>PV2586</t>
  </si>
  <si>
    <t>P-1-N-081120-3989</t>
  </si>
  <si>
    <t>Whimzees Alligator (S) 360g</t>
  </si>
  <si>
    <t>ويمزيس اليجاتور (صغير) 360 جم</t>
  </si>
  <si>
    <t>MAFE20201934</t>
  </si>
  <si>
    <t>PV0704</t>
  </si>
  <si>
    <t>P-1-N-081120-3990</t>
  </si>
  <si>
    <t>Whimzees Alligator (M) 360g</t>
  </si>
  <si>
    <t>ويمزيس اليجاتور (متوسط) 360 جم</t>
  </si>
  <si>
    <t>MAFE20201933</t>
  </si>
  <si>
    <t>PV2562</t>
  </si>
  <si>
    <t>P-1-N-081120-3991</t>
  </si>
  <si>
    <t>Whimzees Rice Bone 540g</t>
  </si>
  <si>
    <t>ويمزيس رايس بون 540 جم</t>
  </si>
  <si>
    <t>MAFE20201932</t>
  </si>
  <si>
    <t>باراغون</t>
  </si>
  <si>
    <t>PV2548</t>
  </si>
  <si>
    <t>P-1-N-081120-3992</t>
  </si>
  <si>
    <t>Whimzees Stix (XS) 420g</t>
  </si>
  <si>
    <t>ويمزيس ستيكس (صغير جدا) 420 جم</t>
  </si>
  <si>
    <t>MAFE20201944</t>
  </si>
  <si>
    <t>PV2906</t>
  </si>
  <si>
    <t>P-1-N-081120-3994</t>
  </si>
  <si>
    <t>Whimzees Stix (XS) 60g</t>
  </si>
  <si>
    <t>ويمزيس</t>
  </si>
  <si>
    <t>MAFE20201931</t>
  </si>
  <si>
    <t>PV0773</t>
  </si>
  <si>
    <t>P-1-N-081120-3996</t>
  </si>
  <si>
    <t>Whimzees Stix (S) 210g</t>
  </si>
  <si>
    <t>ويمزيس ستيكس (صغير) 210 جم</t>
  </si>
  <si>
    <t>MAFE20201930</t>
  </si>
  <si>
    <t>PV2524</t>
  </si>
  <si>
    <t>P-1-N-081120-3997</t>
  </si>
  <si>
    <t>Whimzees Stix (M) 210g</t>
  </si>
  <si>
    <t>ويمزيس ستيكس (متوسط) 210 جم</t>
  </si>
  <si>
    <t>MAFE20201929</t>
  </si>
  <si>
    <t>P-1-N-101120-4086</t>
  </si>
  <si>
    <t>P-1-N-101120-4088</t>
  </si>
  <si>
    <t>P-1-N-101120-4091</t>
  </si>
  <si>
    <t>P-1-N-101120-4092</t>
  </si>
  <si>
    <t>P-1-N-101120-4093</t>
  </si>
  <si>
    <t>C370</t>
  </si>
  <si>
    <t>P-1-N-111120-4105</t>
  </si>
  <si>
    <t>Chicken and Rice with Papaya in Gel 150g</t>
  </si>
  <si>
    <t>الدجاج والأرز مع البابايا في الجيلي 150 جرام</t>
  </si>
  <si>
    <t>C371</t>
  </si>
  <si>
    <t>P-1-N-111120-4106</t>
  </si>
  <si>
    <t>Chicken and Rice with Pineapple in Solution 150g</t>
  </si>
  <si>
    <t>دجاج وأرز مع الأناناس في محلول 150 جرام</t>
  </si>
  <si>
    <t>MAFE20202039</t>
  </si>
  <si>
    <t>C372</t>
  </si>
  <si>
    <t>P-1-N-111120-4107</t>
  </si>
  <si>
    <t>Chicken and Rice with Apple in Solution 150g</t>
  </si>
  <si>
    <t>دجاج</t>
  </si>
  <si>
    <t>MAFE20202038</t>
  </si>
  <si>
    <t>C680</t>
  </si>
  <si>
    <t>P-1-N-111120-4108</t>
  </si>
  <si>
    <t>Chicken Fillets 150g</t>
  </si>
  <si>
    <t>فيليه دجاج 150 جرام</t>
  </si>
  <si>
    <t>MAFE20202037</t>
  </si>
  <si>
    <t>C681</t>
  </si>
  <si>
    <t>P-1-N-111120-4109</t>
  </si>
  <si>
    <t>Tuna whole meat and rice in jelly 150g</t>
  </si>
  <si>
    <t>لحم تونة كامل مع أرز في الجيلي 150 جرام</t>
  </si>
  <si>
    <t>MAFE20202036</t>
  </si>
  <si>
    <t>C682</t>
  </si>
  <si>
    <t>P-1-N-111120-4111</t>
  </si>
  <si>
    <t>Chicken and Beef with Rice 150g</t>
  </si>
  <si>
    <t>دجاج و لحم بقري مع الأرز 150 جرام</t>
  </si>
  <si>
    <t>MAFE20202035</t>
  </si>
  <si>
    <t>C684</t>
  </si>
  <si>
    <t>P-1-N-111120-4112</t>
  </si>
  <si>
    <t>Chicken and rice with aloe in gel 150g</t>
  </si>
  <si>
    <t>الدجاج والأرز مع جل الصبار 150 جرام</t>
  </si>
  <si>
    <t>P-1-N-111120-4113</t>
  </si>
  <si>
    <t>Tuna whole meat and rice with aloe in gel 150g</t>
  </si>
  <si>
    <t>لحم تونة كامل مع أرز مع جل الصبار 150 جرام</t>
  </si>
  <si>
    <t>P-1-N-111120-4115</t>
  </si>
  <si>
    <t>P-1-N-111120-4138</t>
  </si>
  <si>
    <t>شوربة سلمون بالجزر 85 جرام</t>
  </si>
  <si>
    <t>C673</t>
  </si>
  <si>
    <t>P-1-N-111120-4139</t>
  </si>
  <si>
    <t>Tuna Soup with Squid 85g</t>
  </si>
  <si>
    <t>شوربة التونة بالحبار 85 جم</t>
  </si>
  <si>
    <t>P-1-N-111120-4140</t>
  </si>
  <si>
    <t>Tuna Soup with Papaya 85g</t>
  </si>
  <si>
    <t>شوربة التونة بالبابايا 85 جم</t>
  </si>
  <si>
    <t>C674</t>
  </si>
  <si>
    <t>P-1-N-111120-4141</t>
  </si>
  <si>
    <t>Tuna Soup with Carrot and Pumpkin 85g</t>
  </si>
  <si>
    <t>شوربة</t>
  </si>
  <si>
    <t>P-1-N-111120-4144</t>
  </si>
  <si>
    <t>Chicken with Carrot and Pumpkin 85g</t>
  </si>
  <si>
    <t>دجاج بالجزر والقرع 85 جم</t>
  </si>
  <si>
    <t>P-1-N-111120-4145</t>
  </si>
  <si>
    <t>Salmon Soup with Carrot 85g</t>
  </si>
  <si>
    <t>C355</t>
  </si>
  <si>
    <t>P-1-N-121120-4156</t>
  </si>
  <si>
    <t>Tuna whole meat and rice with kiwi in soft gel 75g</t>
  </si>
  <si>
    <t>لحم تونا كامل و أرز مع كيوي في الجيلي الطري 75 جرام</t>
  </si>
  <si>
    <t>MAFE20202102</t>
  </si>
  <si>
    <t>C354</t>
  </si>
  <si>
    <t>P-1-N-121120-4157</t>
  </si>
  <si>
    <t>Tuna white meat rice with mango in solution 75g</t>
  </si>
  <si>
    <t>لحم تونا أبيض و أرز مع المانجو 75 جرام</t>
  </si>
  <si>
    <t>MAFE20202069</t>
  </si>
  <si>
    <t>C353</t>
  </si>
  <si>
    <t>P-1-N-121120-4158</t>
  </si>
  <si>
    <t>Tuna whole meat, rice with pineapple in gel 75g</t>
  </si>
  <si>
    <t>لحم تونا كامل و أرز مع أناناس في الجيلي 75 جرام</t>
  </si>
  <si>
    <t>MAFE20202068</t>
  </si>
  <si>
    <t>C352</t>
  </si>
  <si>
    <t>P-1-N-121120-4159</t>
  </si>
  <si>
    <t>Chicken and rice with apple in solution 75g</t>
  </si>
  <si>
    <t>دجاج و أرز مع التفاح 75 جرام</t>
  </si>
  <si>
    <t>MAFE20202067</t>
  </si>
  <si>
    <t>P-1-N-121120-4160</t>
  </si>
  <si>
    <t>دجاج و أرز مع الأناناس 75 جرام</t>
  </si>
  <si>
    <t>MAFE20202066</t>
  </si>
  <si>
    <t>C350</t>
  </si>
  <si>
    <t>P-1-N-121120-4161</t>
  </si>
  <si>
    <t>Tuna whole meat and rice with papaya in gel 75g</t>
  </si>
  <si>
    <t>لحم تونة كامل و أرز مع بابايا في الجيلي 75 جرام</t>
  </si>
  <si>
    <t>MAFE20202065</t>
  </si>
  <si>
    <t>B1141</t>
  </si>
  <si>
    <t>P-1-N-121120-4164</t>
  </si>
  <si>
    <t>Butcher's Natural &amp; Healthy Cat Game and Beef CIJ 400g</t>
  </si>
  <si>
    <t>بوتشرز طبيعي وصحي مع قطع لحوم الطرائد ولحم البقر في الجلي للقطط 400 جم</t>
  </si>
  <si>
    <t>MAFE20202011</t>
  </si>
  <si>
    <t>B1134</t>
  </si>
  <si>
    <t>P-1-N-121120-4165</t>
  </si>
  <si>
    <t>Butcher's Natural &amp; Healthy Cat Trout CIJ 400g</t>
  </si>
  <si>
    <t>MAFE20201974</t>
  </si>
  <si>
    <t>B1137</t>
  </si>
  <si>
    <t>P-1-N-121120-4166</t>
  </si>
  <si>
    <t>Butcher's Natural &amp; Healthy Cat Beef CIJ 400g</t>
  </si>
  <si>
    <t>بوتشرز طبيعي وصحي مع قطع اللحم البقري في الجلي للقطط 400 جم</t>
  </si>
  <si>
    <t>MAFE20202010</t>
  </si>
  <si>
    <t>B1139</t>
  </si>
  <si>
    <t>P-1-N-121120-4167</t>
  </si>
  <si>
    <t>Butcher's Natural &amp; Healthy Cat Chicken CIJ 400g</t>
  </si>
  <si>
    <t>بوتشرز طبيعي وصحي قطع دجاج في الجلي للقطط 400 جم</t>
  </si>
  <si>
    <t>MAFE20202009</t>
  </si>
  <si>
    <t>P-1-N-121120-4168</t>
  </si>
  <si>
    <t>MAFE20201967</t>
  </si>
  <si>
    <t>50010055</t>
  </si>
  <si>
    <t>P-1-N-151120-4186</t>
  </si>
  <si>
    <t>Bavaro Force 28/16 18kg</t>
  </si>
  <si>
    <t>بافارو فورس 28/16 18 كجم</t>
  </si>
  <si>
    <t>MAFE20201983</t>
  </si>
  <si>
    <t>شركة جوسيرا بت فود جي ام بي اتش كاي جي</t>
  </si>
  <si>
    <t>50010056</t>
  </si>
  <si>
    <t>P-1-N-151120-4196</t>
  </si>
  <si>
    <t>بافارو تاسك 23/9 18 كجم</t>
  </si>
  <si>
    <t>MAFE20201982</t>
  </si>
  <si>
    <t>50010057</t>
  </si>
  <si>
    <t>P-1-N-151120-4197</t>
  </si>
  <si>
    <t>بافارو ورك 26/12 18 كجم</t>
  </si>
  <si>
    <t>MAFE20201981</t>
  </si>
  <si>
    <t>P-1-N-151120-4202</t>
  </si>
  <si>
    <t>جوزيكات دواجن مقرمشة 18 كجم</t>
  </si>
  <si>
    <t>MAFE20202005</t>
  </si>
  <si>
    <t>50010059</t>
  </si>
  <si>
    <t>P-1-N-151120-4203</t>
  </si>
  <si>
    <t>جوزيكات بط مقرمش 18 كجم</t>
  </si>
  <si>
    <t>MAFE20202004</t>
  </si>
  <si>
    <t>50010058</t>
  </si>
  <si>
    <t>P-1-N-151120-4204</t>
  </si>
  <si>
    <t>JosiCat Tasty Beef 18kg</t>
  </si>
  <si>
    <t>جوزيكات لحم بقري لذيذ 18 كجم</t>
  </si>
  <si>
    <t>MAFE20202003</t>
  </si>
  <si>
    <t>50010049</t>
  </si>
  <si>
    <t>P-1-N-171120-4228</t>
  </si>
  <si>
    <t>JosiDog Active 18kg</t>
  </si>
  <si>
    <t>جوزيدوج</t>
  </si>
  <si>
    <t>MAFE20201980</t>
  </si>
  <si>
    <t>50010077</t>
  </si>
  <si>
    <t>P-1-N-181120-4252</t>
  </si>
  <si>
    <t>كاتيلوكس 10 كجم</t>
  </si>
  <si>
    <t>MAFE20202002</t>
  </si>
  <si>
    <t>J50007758</t>
  </si>
  <si>
    <t>P-1-N-181120-4253</t>
  </si>
  <si>
    <t>Catelux 60g</t>
  </si>
  <si>
    <t>كاتيلوكس 60 جم</t>
  </si>
  <si>
    <t>MAFE20202001</t>
  </si>
  <si>
    <t>50010083</t>
  </si>
  <si>
    <t>P-1-N-181120-4254</t>
  </si>
  <si>
    <t>كاتيلوكس 4.25 كجم</t>
  </si>
  <si>
    <t>MAFE20202000</t>
  </si>
  <si>
    <t>50010087</t>
  </si>
  <si>
    <t>P-1-N-181120-4255</t>
  </si>
  <si>
    <t>كاتيلوكس 400 جم</t>
  </si>
  <si>
    <t>MAFE20201999</t>
  </si>
  <si>
    <t>50010086</t>
  </si>
  <si>
    <t>P-1-N-181120-4256</t>
  </si>
  <si>
    <t>كاتيلوكس 2 كجم</t>
  </si>
  <si>
    <t>MAFE20201998</t>
  </si>
  <si>
    <t>50010069</t>
  </si>
  <si>
    <t>P-1-N-181120-4257</t>
  </si>
  <si>
    <t>كاتيلوكس 15 كجم</t>
  </si>
  <si>
    <t>MAFE20202032</t>
  </si>
  <si>
    <t>P-1-N-191120-4286</t>
  </si>
  <si>
    <t>سينسيكات 60 جم</t>
  </si>
  <si>
    <t>MAFE20202030</t>
  </si>
  <si>
    <t>P-1-N-191120-4292</t>
  </si>
  <si>
    <t>Carismo 60g</t>
  </si>
  <si>
    <t>كاريزمو 60 جم</t>
  </si>
  <si>
    <t>MAFE20202062</t>
  </si>
  <si>
    <t>J50007764</t>
  </si>
  <si>
    <t>P-1-N-191120-4293</t>
  </si>
  <si>
    <t>Culinesse 60g</t>
  </si>
  <si>
    <t>كولينس 60 جرام</t>
  </si>
  <si>
    <t>MAFE20202051</t>
  </si>
  <si>
    <t>50010090</t>
  </si>
  <si>
    <t>P-1-N-191120-4294</t>
  </si>
  <si>
    <t>Culinesse 4.25kg</t>
  </si>
  <si>
    <t>كولينس</t>
  </si>
  <si>
    <t>MAFE20202029</t>
  </si>
  <si>
    <t>50010088</t>
  </si>
  <si>
    <t>P-1-N-191120-4296</t>
  </si>
  <si>
    <t>Culinesse 15kg</t>
  </si>
  <si>
    <t>كولينس 15 كجم</t>
  </si>
  <si>
    <t>MAFE20202028</t>
  </si>
  <si>
    <t>50010089</t>
  </si>
  <si>
    <t>P-1-N-191120-4298</t>
  </si>
  <si>
    <t>Culinesse 10kg</t>
  </si>
  <si>
    <t>كولينس 10 كجم</t>
  </si>
  <si>
    <t>MAFE20202027</t>
  </si>
  <si>
    <t>50010091</t>
  </si>
  <si>
    <t>P-1-N-191120-4299</t>
  </si>
  <si>
    <t>Culinesse 2kg</t>
  </si>
  <si>
    <t>كولينس 2 كجم</t>
  </si>
  <si>
    <t>MAFE20202026</t>
  </si>
  <si>
    <t>50010092</t>
  </si>
  <si>
    <t>P-1-N-191120-4300</t>
  </si>
  <si>
    <t>Culinesse 400g</t>
  </si>
  <si>
    <t>كولينس 400 جرام</t>
  </si>
  <si>
    <t>MAFE20202025</t>
  </si>
  <si>
    <t>P-1-N-221120-4321</t>
  </si>
  <si>
    <t>MAFE20202049</t>
  </si>
  <si>
    <t>P-1-N-221120-4322</t>
  </si>
  <si>
    <t>P-1-N-221120-4324</t>
  </si>
  <si>
    <t>J50007845</t>
  </si>
  <si>
    <t>P-1-N-231120-4330</t>
  </si>
  <si>
    <t>Dailycat 60g</t>
  </si>
  <si>
    <t>ديلي كات 60 جم</t>
  </si>
  <si>
    <t>MAFE20202048</t>
  </si>
  <si>
    <t>50010096</t>
  </si>
  <si>
    <t>P-1-N-231120-4331</t>
  </si>
  <si>
    <t>Dailycat 400g</t>
  </si>
  <si>
    <t>ديلي كات 400 جم</t>
  </si>
  <si>
    <t>MAFE20202047</t>
  </si>
  <si>
    <t>50010095</t>
  </si>
  <si>
    <t>P-1-N-231120-4332</t>
  </si>
  <si>
    <t>Dailycat 2kg</t>
  </si>
  <si>
    <t>ديلي</t>
  </si>
  <si>
    <t>MAFE20202046</t>
  </si>
  <si>
    <t>50010094</t>
  </si>
  <si>
    <t>P-1-N-231120-4333</t>
  </si>
  <si>
    <t>Dailycat 4.25kg</t>
  </si>
  <si>
    <t>ديلي كات 4.25 كجم</t>
  </si>
  <si>
    <t>MAFE20202045</t>
  </si>
  <si>
    <t>50010093</t>
  </si>
  <si>
    <t>P-1-N-231120-4334</t>
  </si>
  <si>
    <t>Dailycat 10kg</t>
  </si>
  <si>
    <t>ديلي كات 10 كجم</t>
  </si>
  <si>
    <t>MAFE20202044</t>
  </si>
  <si>
    <t>J50007748</t>
  </si>
  <si>
    <t>P-1-N-231120-4337</t>
  </si>
  <si>
    <t>Kitten 60g</t>
  </si>
  <si>
    <t>كيتن 60 جم</t>
  </si>
  <si>
    <t>MAFE20202043</t>
  </si>
  <si>
    <t>50010104</t>
  </si>
  <si>
    <t>P-1-N-231120-4338</t>
  </si>
  <si>
    <t>Kitten 400g</t>
  </si>
  <si>
    <t>كيتن 400 جم</t>
  </si>
  <si>
    <t>MAFE20202061</t>
  </si>
  <si>
    <t>50010103</t>
  </si>
  <si>
    <t>P-1-N-231120-4339</t>
  </si>
  <si>
    <t>Kitten 2kg</t>
  </si>
  <si>
    <t>كيتن 2 كجم</t>
  </si>
  <si>
    <t>MAFE20202060</t>
  </si>
  <si>
    <t>50010097</t>
  </si>
  <si>
    <t>P-1-N-231120-4340</t>
  </si>
  <si>
    <t>Kitten 10kg</t>
  </si>
  <si>
    <t>كيتن 10 كجم</t>
  </si>
  <si>
    <t>MAFE20202059</t>
  </si>
  <si>
    <t>P-1-N-231120-4343</t>
  </si>
  <si>
    <t>مارينيس 60 جم</t>
  </si>
  <si>
    <t>MAFE20202042</t>
  </si>
  <si>
    <t>50010110</t>
  </si>
  <si>
    <t>P-1-N-231120-4344</t>
  </si>
  <si>
    <t>Marinesse 400g</t>
  </si>
  <si>
    <t>مارينيس 400 جم</t>
  </si>
  <si>
    <t>MAFE20202041</t>
  </si>
  <si>
    <t>50010109</t>
  </si>
  <si>
    <t>P-1-N-231120-4345</t>
  </si>
  <si>
    <t>مارينيس 2 كجم</t>
  </si>
  <si>
    <t>MAFE20202058</t>
  </si>
  <si>
    <t>50010108</t>
  </si>
  <si>
    <t>P-1-N-231120-4346</t>
  </si>
  <si>
    <t>مارينيس</t>
  </si>
  <si>
    <t>MAFE20202057</t>
  </si>
  <si>
    <t>50010107</t>
  </si>
  <si>
    <t>P-1-N-231120-4347</t>
  </si>
  <si>
    <t>Marinesse 10kg</t>
  </si>
  <si>
    <t>مارينيس 10 كجم</t>
  </si>
  <si>
    <t>MAFE20202056</t>
  </si>
  <si>
    <t>J50007775</t>
  </si>
  <si>
    <t>P-1-N-231120-4348</t>
  </si>
  <si>
    <t>ناتشوركات 60 جم</t>
  </si>
  <si>
    <t>MAFE20202116</t>
  </si>
  <si>
    <t>50010115</t>
  </si>
  <si>
    <t>P-1-N-231120-4349</t>
  </si>
  <si>
    <t>Naturecat 400g</t>
  </si>
  <si>
    <t>ناتشوركات 400 جم</t>
  </si>
  <si>
    <t>MAFE20202115</t>
  </si>
  <si>
    <t>50010114</t>
  </si>
  <si>
    <t>P-1-N-231120-4350</t>
  </si>
  <si>
    <t>Naturecat 2kg</t>
  </si>
  <si>
    <t>ناتشوركات 2 كجم</t>
  </si>
  <si>
    <t>MAFE20202114</t>
  </si>
  <si>
    <t>50010113</t>
  </si>
  <si>
    <t>P-1-N-231120-4351</t>
  </si>
  <si>
    <t>Naturecat 4.25kg</t>
  </si>
  <si>
    <t>ناتشوركات 4.25 كجم</t>
  </si>
  <si>
    <t>MAFE20202113</t>
  </si>
  <si>
    <t>50010112</t>
  </si>
  <si>
    <t>P-1-N-231120-4352</t>
  </si>
  <si>
    <t>Naturecat 10kg</t>
  </si>
  <si>
    <t>ناتشوركات 10 كجم</t>
  </si>
  <si>
    <t>MAFE20202112</t>
  </si>
  <si>
    <t>P-1-N-231120-4353</t>
  </si>
  <si>
    <t>ناتشوريل 60 جم</t>
  </si>
  <si>
    <t>MAFE20202111</t>
  </si>
  <si>
    <t>50010120</t>
  </si>
  <si>
    <t>P-1-N-231120-4354</t>
  </si>
  <si>
    <t>Naturelle 400g</t>
  </si>
  <si>
    <t>ناتشوريل 400 جم</t>
  </si>
  <si>
    <t>MAFE20202110</t>
  </si>
  <si>
    <t>50010119</t>
  </si>
  <si>
    <t>P-1-N-231120-4355</t>
  </si>
  <si>
    <t>Naturelle 2kg</t>
  </si>
  <si>
    <t>ناتشوريل 2 كجم</t>
  </si>
  <si>
    <t>MAFE20202109</t>
  </si>
  <si>
    <t>50010118</t>
  </si>
  <si>
    <t>P-1-N-231120-4356</t>
  </si>
  <si>
    <t>Naturelle 4.25kg</t>
  </si>
  <si>
    <t>ناتشوريل</t>
  </si>
  <si>
    <t>MAFE20202144</t>
  </si>
  <si>
    <t>50010117</t>
  </si>
  <si>
    <t>P-1-N-231120-4357</t>
  </si>
  <si>
    <t>Naturelle 10kg</t>
  </si>
  <si>
    <t>ناتشوريل 10 كجم</t>
  </si>
  <si>
    <t>MAFE20202130</t>
  </si>
  <si>
    <t>50010050</t>
  </si>
  <si>
    <t>P-1-N-231120-4359</t>
  </si>
  <si>
    <t>JosiDog Agilo Sport 18kg</t>
  </si>
  <si>
    <t>جوسي دوج اجيلو سبورت 18 كجم</t>
  </si>
  <si>
    <t>50010053</t>
  </si>
  <si>
    <t>P-1-N-231120-4360</t>
  </si>
  <si>
    <t>جوسي دوج ماستر مكس 18 كجم -15 كجم</t>
  </si>
  <si>
    <t>MAFE20202091</t>
  </si>
  <si>
    <t>50010054</t>
  </si>
  <si>
    <t>P-1-N-231120-4361</t>
  </si>
  <si>
    <t>JosiDog Mini 18kg - 10KG</t>
  </si>
  <si>
    <t>جوسي دوج ميني 18 كجم , 10 كجم</t>
  </si>
  <si>
    <t>FOM-2024-6397-FEB-2024-48903 -C-0041-69700</t>
  </si>
  <si>
    <t>50010052</t>
  </si>
  <si>
    <t>P-1-N-231120-4363</t>
  </si>
  <si>
    <t>جوسي دوج جونير 18 كجم</t>
  </si>
  <si>
    <t>MAFE20202088</t>
  </si>
  <si>
    <t>50010051</t>
  </si>
  <si>
    <t>P-1-N-231120-4365</t>
  </si>
  <si>
    <t>جوسي دوج فاميلي 18 كجم</t>
  </si>
  <si>
    <t>MAFE20202087</t>
  </si>
  <si>
    <t>P-1-N-261120-4407</t>
  </si>
  <si>
    <t>MAFE20202498</t>
  </si>
  <si>
    <t>P-1-N-291120-4425</t>
  </si>
  <si>
    <t>P-1-N-021220-4478</t>
  </si>
  <si>
    <t>C02900201</t>
  </si>
  <si>
    <t>P-1-N-071220-4584</t>
  </si>
  <si>
    <t>Schesir NS DRY Duck 1.4 Kg</t>
  </si>
  <si>
    <t>شيزير</t>
  </si>
  <si>
    <t>MAFE20202217</t>
  </si>
  <si>
    <t>C02080200</t>
  </si>
  <si>
    <t>P-1-N-131220-4685</t>
  </si>
  <si>
    <t>Schesir NS Dry Turkey 2.24 kg</t>
  </si>
  <si>
    <t>شيزير أن أس طعام جاف بالديك رومي 2.24 كجم</t>
  </si>
  <si>
    <t>MAFE20202468</t>
  </si>
  <si>
    <t>C02080201</t>
  </si>
  <si>
    <t>P-1-N-131220-4686</t>
  </si>
  <si>
    <t>Schesir NS Dry Lamb 2.24 kg</t>
  </si>
  <si>
    <t>شيزير أن أس طعام جاف بلحم الضأن 2.24 كجم</t>
  </si>
  <si>
    <t>MAFE20202467</t>
  </si>
  <si>
    <t>P-1-N-131220-4687</t>
  </si>
  <si>
    <t>MAFE20202466</t>
  </si>
  <si>
    <t>P-1-N-131220-4689</t>
  </si>
  <si>
    <t>شيزير أن أس طعام جاف باللحم الضأن 2.24 كجم</t>
  </si>
  <si>
    <t>MAFE20202465</t>
  </si>
  <si>
    <t>P-1-N-131220-4690</t>
  </si>
  <si>
    <t>MAFE20202464</t>
  </si>
  <si>
    <t>C02080222</t>
  </si>
  <si>
    <t>P-1-N-131220-4691</t>
  </si>
  <si>
    <t>Schesir NS Dry Tuna 2.24 kg</t>
  </si>
  <si>
    <t>شيزير أن أس طعام جاف بالتونة 2.24 كجم</t>
  </si>
  <si>
    <t>MAFE20202463</t>
  </si>
  <si>
    <t>P-1-N-131220-4692</t>
  </si>
  <si>
    <t>MAFE20202462</t>
  </si>
  <si>
    <t>C02080300</t>
  </si>
  <si>
    <t>P-1-N-131220-4694</t>
  </si>
  <si>
    <t>Schesir NS Dry Turkey 4.5 kg</t>
  </si>
  <si>
    <t>شيزير أن أس طعام جاف بالديك رومي 4.5 كجم</t>
  </si>
  <si>
    <t>MAFE20202461</t>
  </si>
  <si>
    <t>أغراس</t>
  </si>
  <si>
    <t>C02080900</t>
  </si>
  <si>
    <t>P-1-N-131220-4695</t>
  </si>
  <si>
    <t>Schesir NS Dry Turkey 9.6 kg</t>
  </si>
  <si>
    <t>شيزير أن أس طعام جاف بالديك رومي 9.6 كجم</t>
  </si>
  <si>
    <t>C02080902</t>
  </si>
  <si>
    <t>P-1-N-131220-4696</t>
  </si>
  <si>
    <t>Schesir NS Dry Tuna 9.6 kg</t>
  </si>
  <si>
    <t>MAFE20202460</t>
  </si>
  <si>
    <t>C02080903</t>
  </si>
  <si>
    <t>P-1-N-131220-4697</t>
  </si>
  <si>
    <t>Schesir NS Dry Lamb 9.6 kg</t>
  </si>
  <si>
    <t>شيزير أن أس طعام جاف بلحم الضأن 9.6 كجم</t>
  </si>
  <si>
    <t>MAFE20202459</t>
  </si>
  <si>
    <t>P-1-N-161220-4815</t>
  </si>
  <si>
    <t>NutriMeal mixed food for canaries 800g</t>
  </si>
  <si>
    <t>نوتري ميل غذاء مختلط للكناري 800 جم</t>
  </si>
  <si>
    <t>MAFE2021110</t>
  </si>
  <si>
    <t>139071</t>
  </si>
  <si>
    <t>P-1-N-161220-4816</t>
  </si>
  <si>
    <t>NutriMeal Mixed Food for Canaries 2.5kg</t>
  </si>
  <si>
    <t>نوتري ميل غذاء مختلط للكناري 2.5 كجم</t>
  </si>
  <si>
    <t>MAFE2021109</t>
  </si>
  <si>
    <t>P-1-N-161220-4821</t>
  </si>
  <si>
    <t>NutriMeal Mixed Food for Exotic Birds 800g</t>
  </si>
  <si>
    <t>نوتري ميل غذاء للطيور النادرة 800 جم</t>
  </si>
  <si>
    <t>MAFE2021108</t>
  </si>
  <si>
    <t>P-1-N-161220-4822</t>
  </si>
  <si>
    <t>NutriMeal Mixed Food for Exotic Birds 2.5 kg</t>
  </si>
  <si>
    <t>نوتري ميل غذاء للطيور النادرة 2.5 كجم</t>
  </si>
  <si>
    <t>MAFE2021107</t>
  </si>
  <si>
    <t>P-1-N-161220-4824</t>
  </si>
  <si>
    <t>NutriMeal Mixed Food for Parakeets 800g</t>
  </si>
  <si>
    <t>نوتري ميل غذاء للببغاوات الصغيرة 800 جم</t>
  </si>
  <si>
    <t>MAFE2021106</t>
  </si>
  <si>
    <t>P-1-N-161220-4825</t>
  </si>
  <si>
    <t>نوتري ميل غذاء للببغاوات الصغيرة 2.5 كجم</t>
  </si>
  <si>
    <t>mafe2021105</t>
  </si>
  <si>
    <t>P-1-N-161220-4828</t>
  </si>
  <si>
    <t>NutriMeal Mixed Food for Large Budgerigars 800g</t>
  </si>
  <si>
    <t>نوتري ميل غذاء للبادجي الكبير 800 جم</t>
  </si>
  <si>
    <t>MAFE2021104</t>
  </si>
  <si>
    <t>P-1-N-161220-4829</t>
  </si>
  <si>
    <t>NutriMeal Mixed Food for Large Budgerigars 2.5 kg</t>
  </si>
  <si>
    <t>نوتري ميل غذاء للبادجي الكبير 2.5 كجم</t>
  </si>
  <si>
    <t>MAFE2021103</t>
  </si>
  <si>
    <t>P-1-N-161220-4831</t>
  </si>
  <si>
    <t>NutriMeal Mixed Food for Parrots 700g</t>
  </si>
  <si>
    <t>نوتري</t>
  </si>
  <si>
    <t>MAFE20202375</t>
  </si>
  <si>
    <t>P-1-N-161220-4832</t>
  </si>
  <si>
    <t>NutriMeal Mixed Food for Parrots 2.25 kg</t>
  </si>
  <si>
    <t>نوتري ميل غذاء للببغاوات 2.25 كجم</t>
  </si>
  <si>
    <t>MAFE20202374</t>
  </si>
  <si>
    <t>P-1-N-181220-4883</t>
  </si>
  <si>
    <t>NutriMeal Mixed Food for Dwarf Rabbits Juniors 800g</t>
  </si>
  <si>
    <t>نوتري ميل غذاء مختلط للأرانب القزمية الصغيرة 800 جم</t>
  </si>
  <si>
    <t>MAFE2021101</t>
  </si>
  <si>
    <t>P-1-N-181220-4884</t>
  </si>
  <si>
    <t>NutriMeal Mixed Food for Dwarf Rabbits Adults 800g</t>
  </si>
  <si>
    <t>نوتري ميل غذاء مختلط للأرانب القزمية الكبيرة 800 جم</t>
  </si>
  <si>
    <t>MAFE2021100</t>
  </si>
  <si>
    <t>P-1-N-181220-4885</t>
  </si>
  <si>
    <t>NutriMeal Mixed Food for Hamsters 600g</t>
  </si>
  <si>
    <t>نوتري ميل غذاء مختلط للهامستر 600 جم</t>
  </si>
  <si>
    <t>482770</t>
  </si>
  <si>
    <t>P-1-N-181220-4886</t>
  </si>
  <si>
    <t>Snack Chicken Fillets 70g Rich in Chicken</t>
  </si>
  <si>
    <t>سناك فيليه دجاج 70 جم غني بالدجاج</t>
  </si>
  <si>
    <t>MAFE20202345</t>
  </si>
  <si>
    <t>يانتاي هوس بت فود تك كو</t>
  </si>
  <si>
    <t>482775</t>
  </si>
  <si>
    <t>P-1-N-181220-4887</t>
  </si>
  <si>
    <t>Snack Chewing Sticks with Chicken x10 Rich in Chicken 85g</t>
  </si>
  <si>
    <t>سناك اصابع مضغ بالدجاج ×10 غنية بالدجاج 85 جم</t>
  </si>
  <si>
    <t>P-1-N-181220-4888</t>
  </si>
  <si>
    <t>تشو درم ستيكس بالدجاج ×7 70 جم</t>
  </si>
  <si>
    <t>MAFE20202344</t>
  </si>
  <si>
    <t>482777</t>
  </si>
  <si>
    <t>P-1-N-181220-4889</t>
  </si>
  <si>
    <t>Snack Chewing Bones with Chicken XS x7 Rich in Chicken 90g</t>
  </si>
  <si>
    <t>سناك عظام المضغ بالدجاج صغير جدا ×7 غني بالدجاج</t>
  </si>
  <si>
    <t>MAFE20202339</t>
  </si>
  <si>
    <t>يانتاي</t>
  </si>
  <si>
    <t>482779</t>
  </si>
  <si>
    <t>P-1-N-181220-4890</t>
  </si>
  <si>
    <t>Snack Chewing Bones with Chicken M x1 Rich in Chicken 65g</t>
  </si>
  <si>
    <t>سناك عظام المضغ بالدجاج متوسط ×1 غني بالدجاج 65 جم</t>
  </si>
  <si>
    <t>MAFE20202343</t>
  </si>
  <si>
    <t>P-1-N-181220-4891</t>
  </si>
  <si>
    <t>Chewing Bone with Chicken S x2 55g</t>
  </si>
  <si>
    <t>عظام</t>
  </si>
  <si>
    <t>P-1-N-211220-4958</t>
  </si>
  <si>
    <t>Chicken with Cheese 70g</t>
  </si>
  <si>
    <t>دجاج بالجبن 70 جم</t>
  </si>
  <si>
    <t>MAFE20202390</t>
  </si>
  <si>
    <t>A1007</t>
  </si>
  <si>
    <t>P-1-N-211220-4959</t>
  </si>
  <si>
    <t>Tuna with Cheese 70g</t>
  </si>
  <si>
    <t>تونة بالجبن 70 جم</t>
  </si>
  <si>
    <t>MAFE20202389</t>
  </si>
  <si>
    <t>A1008</t>
  </si>
  <si>
    <t>P-1-N-211220-4961</t>
  </si>
  <si>
    <t>Tuna with Shrimp 70g</t>
  </si>
  <si>
    <t>تونة بالجمبري 70 جم</t>
  </si>
  <si>
    <t>MAFE2021293</t>
  </si>
  <si>
    <t>A1010</t>
  </si>
  <si>
    <t>P-1-N-211220-4963</t>
  </si>
  <si>
    <t>Chicken with Pumpkin 70g</t>
  </si>
  <si>
    <t>دجاج بالقرع 70 جم</t>
  </si>
  <si>
    <t>MAFE20202388</t>
  </si>
  <si>
    <t>A1025</t>
  </si>
  <si>
    <t>P-1-N-211220-4964</t>
  </si>
  <si>
    <t>دجاج بالبط 70 جم</t>
  </si>
  <si>
    <t>MAFE20202387</t>
  </si>
  <si>
    <t>A1026</t>
  </si>
  <si>
    <t>P-1-N-211220-4965</t>
  </si>
  <si>
    <t>فيليه تونة مع السلطعون 70 جم</t>
  </si>
  <si>
    <t>MAFE20202405</t>
  </si>
  <si>
    <t>P-1-N-211220-4966</t>
  </si>
  <si>
    <t>فيليه تونة مع السلطعون 60 جم</t>
  </si>
  <si>
    <t>MAFE20202404</t>
  </si>
  <si>
    <t>A8007</t>
  </si>
  <si>
    <t>P-1-N-211220-4967</t>
  </si>
  <si>
    <t>Chicken and Rice 70g</t>
  </si>
  <si>
    <t>دجاج و أرز 70 جم</t>
  </si>
  <si>
    <t>MAFE20202386</t>
  </si>
  <si>
    <t>C02900101</t>
  </si>
  <si>
    <t>P-1-N-231220-5018</t>
  </si>
  <si>
    <t>Schesir NS Dry Duck 350g</t>
  </si>
  <si>
    <t>شيزير أن أس طعام جاف بالبط 350 جم</t>
  </si>
  <si>
    <t>C02900100</t>
  </si>
  <si>
    <t>P-1-N-231220-5019</t>
  </si>
  <si>
    <t>Schesir NS Dry Turkey 350g</t>
  </si>
  <si>
    <t>C02900102</t>
  </si>
  <si>
    <t>P-1-N-231220-5020</t>
  </si>
  <si>
    <t>Schesir NS Dry Chicken 350g</t>
  </si>
  <si>
    <t>شيزير أن أس طعام جاف بالدجاج 350 جم</t>
  </si>
  <si>
    <t>C02900103</t>
  </si>
  <si>
    <t>P-1-N-231220-5022</t>
  </si>
  <si>
    <t>Schesir NS Dry Beef 350g</t>
  </si>
  <si>
    <t>شيزير أن أس طعام جاف بلحم بقري 350 جم</t>
  </si>
  <si>
    <t>C02900200</t>
  </si>
  <si>
    <t>P-1-N-231220-5023</t>
  </si>
  <si>
    <t>Schesir NS Dry Turkey 1.4 kg</t>
  </si>
  <si>
    <t>شيزير أن أس طعام جاف ببالديك الرومي 1.4 كجم</t>
  </si>
  <si>
    <t>P-1-N-231220-5024</t>
  </si>
  <si>
    <t>Schesir NS Dry Duck 1.4 kg</t>
  </si>
  <si>
    <t>شيزير أن أس طعام جاف بالبط 1.4 كجم</t>
  </si>
  <si>
    <t>C02900202</t>
  </si>
  <si>
    <t>P-1-N-231220-5026</t>
  </si>
  <si>
    <t>Schesir NS Dry Chicken 1.4 kg</t>
  </si>
  <si>
    <t>شيزير أن أس طعام جاف بالدجاج 1.4 كجم</t>
  </si>
  <si>
    <t>MAFE20202447</t>
  </si>
  <si>
    <t>C02900203</t>
  </si>
  <si>
    <t>P-1-N-231220-5027</t>
  </si>
  <si>
    <t>Schesir NS Dry Beef 1.4 kg</t>
  </si>
  <si>
    <t>شيزير أن أس طعام جاف بلحم بقري 1.4 كجم</t>
  </si>
  <si>
    <t>MAFE20202446</t>
  </si>
  <si>
    <t>P-1-N-231220-5028</t>
  </si>
  <si>
    <t>شيزير أن أس طعام جاف بالتونة 1.4 كجم</t>
  </si>
  <si>
    <t>MAFE20202532</t>
  </si>
  <si>
    <t>P-1-N-231220-5030</t>
  </si>
  <si>
    <t>MAFE20202531</t>
  </si>
  <si>
    <t>P-1-N-241220-5053</t>
  </si>
  <si>
    <t>MAFE20202530</t>
  </si>
  <si>
    <t>P-1-N-271220-5088</t>
  </si>
  <si>
    <t>Chicken and Rice 156g</t>
  </si>
  <si>
    <t>A3032</t>
  </si>
  <si>
    <t>P-1-N-271220-5089</t>
  </si>
  <si>
    <t>Chicken, Vegetable and Rice 156g</t>
  </si>
  <si>
    <t>دجاج ، خضار و أرز 156 جم</t>
  </si>
  <si>
    <t>MAFE2021292</t>
  </si>
  <si>
    <t>P-1-N-271220-5091</t>
  </si>
  <si>
    <t>Applaws Chicken Breast with Lamb in Jelly 156g</t>
  </si>
  <si>
    <t>أبلاوز صدر دجاج مع لحم غنم في جيلي 156 جم</t>
  </si>
  <si>
    <t>170533</t>
  </si>
  <si>
    <t>P-1-N-281220-5118</t>
  </si>
  <si>
    <t>Profine Puppy Chicken &amp; Potatoes 3kg</t>
  </si>
  <si>
    <t>بروفاين للجرو بالدجاج والبطاطس 3 كجم</t>
  </si>
  <si>
    <t>MAFE20202522</t>
  </si>
  <si>
    <t>170534</t>
  </si>
  <si>
    <t>P-1-N-281220-5119</t>
  </si>
  <si>
    <t>Profine Junior Large Chicken &amp; Potatoes 15kg</t>
  </si>
  <si>
    <t>بروفاين للجرو الكبير بالدجاج والبطاطس 15 كجم</t>
  </si>
  <si>
    <t>MAFE20202520</t>
  </si>
  <si>
    <t>170536</t>
  </si>
  <si>
    <t>P-1-N-281220-5120</t>
  </si>
  <si>
    <t>Profine Adult Small Chicken &amp; Potatoes 10kg</t>
  </si>
  <si>
    <t>بروفاين للكلاب البالغة الصغيرة بالدجاج والبطاطس 10 كجم</t>
  </si>
  <si>
    <t>MAFE20202519</t>
  </si>
  <si>
    <t>170537</t>
  </si>
  <si>
    <t>P-1-N-281220-5121</t>
  </si>
  <si>
    <t>Profine Adult Small Chicken &amp; Potatoes 2kg</t>
  </si>
  <si>
    <t>بروفاين للكلاب البالغة الصغيرة بالدجاج والبطاطس 2 كجم</t>
  </si>
  <si>
    <t>MAFE20202518</t>
  </si>
  <si>
    <t>P-1-N-281220-5122</t>
  </si>
  <si>
    <t>بروفاين للكلاب البالغة بالدجاج والبطاطس 15 كجم</t>
  </si>
  <si>
    <t>MAFE20202517</t>
  </si>
  <si>
    <t>170540</t>
  </si>
  <si>
    <t>P-1-N-281220-5123</t>
  </si>
  <si>
    <t>Profine Adult Chicken &amp; Potatoes 3kg</t>
  </si>
  <si>
    <t>بروفاين للكلاب البالغة بالدجاج والبطاطس 3 كجم</t>
  </si>
  <si>
    <t>MAFE20202516</t>
  </si>
  <si>
    <t>فافو</t>
  </si>
  <si>
    <t>170544</t>
  </si>
  <si>
    <t>P-1-N-281220-5124</t>
  </si>
  <si>
    <t>Profine Energy Chicken &amp; Potatoes 3kg</t>
  </si>
  <si>
    <t>بروفاين انرجي بالدجاج والبطاطس 3 كجم</t>
  </si>
  <si>
    <t>MAFE20202515</t>
  </si>
  <si>
    <t>170551</t>
  </si>
  <si>
    <t>P-1-N-281220-5125</t>
  </si>
  <si>
    <t>Profine Light Lamb &amp; Potatoes 15kg</t>
  </si>
  <si>
    <t>بروفاين</t>
  </si>
  <si>
    <t>MAFE20202514</t>
  </si>
  <si>
    <t>170553</t>
  </si>
  <si>
    <t>P-1-N-281220-5126</t>
  </si>
  <si>
    <t>Profine Adult Salmon &amp; Potatoes 15kg</t>
  </si>
  <si>
    <t>بروفاين للكلاب البالغة بالسلمون والبطاطس 15 كجم</t>
  </si>
  <si>
    <t>MAFE20202513</t>
  </si>
  <si>
    <t>P-1-N-291220-5182</t>
  </si>
  <si>
    <t>كيت كات بيك اوف ذا اوشن 5 كجم</t>
  </si>
  <si>
    <t>MAFE20202564</t>
  </si>
  <si>
    <t>C2804</t>
  </si>
  <si>
    <t>P-1-N-291220-5207</t>
  </si>
  <si>
    <t>Chicken and Rice with Spinach in Jelly 285g</t>
  </si>
  <si>
    <t>الدجاج والأرز مع السبانخ بالجلي 285 جم</t>
  </si>
  <si>
    <t>C170</t>
  </si>
  <si>
    <t>P-1-N-291220-5214</t>
  </si>
  <si>
    <t>Salmon and Rice in Solution 85g</t>
  </si>
  <si>
    <t>سمك السلمون والأرز في محلول 85 جم</t>
  </si>
  <si>
    <t>MAFE20202545</t>
  </si>
  <si>
    <t>P-1-N-291220-5217</t>
  </si>
  <si>
    <t>Tuna White Meat and Beef with Rice 85g</t>
  </si>
  <si>
    <t>تونة لحم ابيض ولحم بقري مع أرز 85 جم</t>
  </si>
  <si>
    <t>MAFE20202544</t>
  </si>
  <si>
    <t>P-1-N-291220-5235</t>
  </si>
  <si>
    <t>Tuna with Aloe Kitten 85g</t>
  </si>
  <si>
    <t>تونة مع الصبار للقطط الصغيرة 85 جم</t>
  </si>
  <si>
    <t>MAFE20202561</t>
  </si>
  <si>
    <t>C585</t>
  </si>
  <si>
    <t>P-1-N-311220-5257</t>
  </si>
  <si>
    <t>Tuna White Meat, Seabream and Rice in Fish Broth 70g</t>
  </si>
  <si>
    <t>تونة باللحم الأبيض ، سمك الدنيس ، أرز في مرق السمك 70 جم</t>
  </si>
  <si>
    <t>MAFE20213</t>
  </si>
  <si>
    <t>P-1-N-311220-5258</t>
  </si>
  <si>
    <t>تونة مع الجمبري 70 جم</t>
  </si>
  <si>
    <t>MAFE2022</t>
  </si>
  <si>
    <t>P-1-N-311220-5259</t>
  </si>
  <si>
    <t>دجاج ولحم بقري مع أرز 70 جم</t>
  </si>
  <si>
    <t>C688</t>
  </si>
  <si>
    <t>P-1-N-311220-5260</t>
  </si>
  <si>
    <t>Tuna Whole Meat with Aloe and Rice in Gel 150g</t>
  </si>
  <si>
    <t>لحم تونة كامل مع الصبار والأرز في الجلي 150 جم</t>
  </si>
  <si>
    <t>C689</t>
  </si>
  <si>
    <t>P-1-N-311220-5262</t>
  </si>
  <si>
    <t>Chicken with Aloe and Rice in Jelly 150g</t>
  </si>
  <si>
    <t>دجاج بالصبار والأرز بالجلي 150 جم</t>
  </si>
  <si>
    <t>P-1-N-311220-5269</t>
  </si>
  <si>
    <t>Chicken and Rice with Aloe in Gel 140g</t>
  </si>
  <si>
    <t>الدجاج</t>
  </si>
  <si>
    <t>C2730</t>
  </si>
  <si>
    <t>P-1-N-311220-5270</t>
  </si>
  <si>
    <t>Tuna with Aloe Kitten 140g</t>
  </si>
  <si>
    <t>تونة مع الصبار للقطط الصغيرة 140 جم</t>
  </si>
  <si>
    <t>B1020</t>
  </si>
  <si>
    <t>P-1-N-030121-9</t>
  </si>
  <si>
    <t>Butchers Functional Dog Junior Chicken CIJ 400g</t>
  </si>
  <si>
    <t>بوتشرز فنكشنال بقطع الدجاج في الجلي للكلاب الصغيرة 400 جم</t>
  </si>
  <si>
    <t>P-1-N-030121-11</t>
  </si>
  <si>
    <t>P-1-N-030121-14</t>
  </si>
  <si>
    <t>بوتشرز فنكشنال بقطع لحم ضأن في الجلي للكلاب الصغيرة 400 جم</t>
  </si>
  <si>
    <t>b1045</t>
  </si>
  <si>
    <t>Butchers Functional Cat Beauty Salmon CIJ 400g</t>
  </si>
  <si>
    <t>بوتشرز فنكشنال بيوتي بقطع السلمون في الجلي للقطط 400 جم</t>
  </si>
  <si>
    <t>B1046</t>
  </si>
  <si>
    <t>P-1-N-030121-16</t>
  </si>
  <si>
    <t>Butchers Functional Cat Beauty Chicken CIJ 400g</t>
  </si>
  <si>
    <t>بوتشرز فنكشنال بيوتي بقطع الدجاج في الجلي للقطط 400 جم</t>
  </si>
  <si>
    <t>MAFE202126</t>
  </si>
  <si>
    <t>P-1-N-050121-35</t>
  </si>
  <si>
    <t>عظام المضغ بالدجاج صغيرة ×2 55 جم</t>
  </si>
  <si>
    <t>P-1-N-050121-36</t>
  </si>
  <si>
    <t>سانال توب ميكس 240 جم</t>
  </si>
  <si>
    <t>MAFE2021327</t>
  </si>
  <si>
    <t>sc1575</t>
  </si>
  <si>
    <t>P-1-N-050121-37</t>
  </si>
  <si>
    <t>Sanal Cat Salmon Bites 75g</t>
  </si>
  <si>
    <t>سانال بيتس بسمك السلمون للقطط 75 جم</t>
  </si>
  <si>
    <t>MAFE202178</t>
  </si>
  <si>
    <t>نيدرما</t>
  </si>
  <si>
    <t>sc1579</t>
  </si>
  <si>
    <t>P-1-N-050121-38</t>
  </si>
  <si>
    <t>Sanal Joint Care 75g</t>
  </si>
  <si>
    <t>سانال جوينت كير 75 جم</t>
  </si>
  <si>
    <t>MAFE2021326</t>
  </si>
  <si>
    <t>sc1585</t>
  </si>
  <si>
    <t>P-1-N-050121-39</t>
  </si>
  <si>
    <t>Sanal Cat Multi Vitamin 350g</t>
  </si>
  <si>
    <t>سانال</t>
  </si>
  <si>
    <t>MAFE2021325</t>
  </si>
  <si>
    <t>sc1590</t>
  </si>
  <si>
    <t>P-1-N-050121-40</t>
  </si>
  <si>
    <t>Sanal Fish Trio 75g</t>
  </si>
  <si>
    <t>سانال فيش تريو 75 جم</t>
  </si>
  <si>
    <t>MAFE2021324</t>
  </si>
  <si>
    <t>sd2006</t>
  </si>
  <si>
    <t>P-1-N-050121-41</t>
  </si>
  <si>
    <t>سانال كالسيوم بلس 200 جم</t>
  </si>
  <si>
    <t>MAFE2021323</t>
  </si>
  <si>
    <t>P-1-N-050121-42</t>
  </si>
  <si>
    <t>P-1-N-050121-43</t>
  </si>
  <si>
    <t>سانال ييست كالسيوم 350 جم</t>
  </si>
  <si>
    <t>MAFE2021322</t>
  </si>
  <si>
    <t>sd2310</t>
  </si>
  <si>
    <t>Sanal Choco Drops 250g</t>
  </si>
  <si>
    <t>سانال شوكو دروبس 250 جم</t>
  </si>
  <si>
    <t>MAFE2021130</t>
  </si>
  <si>
    <t>SD2330</t>
  </si>
  <si>
    <t>P-1-N-050121-44</t>
  </si>
  <si>
    <t>Sanal Milk Drops 250g</t>
  </si>
  <si>
    <t>سانال ميلك دروبس 250 جم</t>
  </si>
  <si>
    <t>MAFE2021129</t>
  </si>
  <si>
    <t>sd2458</t>
  </si>
  <si>
    <t>P-1-N-050121-46</t>
  </si>
  <si>
    <t>Sanal Biotin 350g</t>
  </si>
  <si>
    <t>سانال بيوتين 350 جم</t>
  </si>
  <si>
    <t>MAFE2021128</t>
  </si>
  <si>
    <t>P-1-N-050121-47</t>
  </si>
  <si>
    <t>كت كات حليب للقطط 250 مل</t>
  </si>
  <si>
    <t>MAFE2021127</t>
  </si>
  <si>
    <t>ليملكو ان في</t>
  </si>
  <si>
    <t>sd2910</t>
  </si>
  <si>
    <t>P-1-N-050121-48</t>
  </si>
  <si>
    <t>Sanal Soft Stick Lamb 12g</t>
  </si>
  <si>
    <t>سانال سوفت ستيك بلحم الغنم 12 جم</t>
  </si>
  <si>
    <t>MAFE2021139</t>
  </si>
  <si>
    <t>sd2970</t>
  </si>
  <si>
    <t>P-1-N-050121-49</t>
  </si>
  <si>
    <t>Sanal Vita Bones Chicken &amp; Beef 100g</t>
  </si>
  <si>
    <t>سانال فيتا بونز دجاج ولحم بقري 100 جم</t>
  </si>
  <si>
    <t>MAFE2021321</t>
  </si>
  <si>
    <t>sd2971</t>
  </si>
  <si>
    <t>P-1-N-050121-50</t>
  </si>
  <si>
    <t>Sanal Sport Mix Chicken &amp; Beef 100g</t>
  </si>
  <si>
    <t>سانالسبورت</t>
  </si>
  <si>
    <t>MAFE2021320</t>
  </si>
  <si>
    <t>SD2973</t>
  </si>
  <si>
    <t>P-1-N-050121-51</t>
  </si>
  <si>
    <t>Sanal Mini Bones Chicken &amp; Beef 100g</t>
  </si>
  <si>
    <t>سانال ميني بونز دجاج ولحم بقري 100 جم</t>
  </si>
  <si>
    <t>MAFE2021126</t>
  </si>
  <si>
    <t>SD2980</t>
  </si>
  <si>
    <t>P-1-N-050121-53</t>
  </si>
  <si>
    <t>Sanal Dog Trainers Fantasy Mix 300g</t>
  </si>
  <si>
    <t>سانال مدرب الكلاب فانتاسي ميكس 300 جرام</t>
  </si>
  <si>
    <t>MAFE2021125</t>
  </si>
  <si>
    <t>P-1-N-050121-54</t>
  </si>
  <si>
    <t>P-1-N-050121-55</t>
  </si>
  <si>
    <t>سانال مدرب الكلاب ديو بونز 300 جرام</t>
  </si>
  <si>
    <t>MAFE2021124</t>
  </si>
  <si>
    <t>SD2982</t>
  </si>
  <si>
    <t>سانال مدرب الكلاب ميني بونز 300 جرام</t>
  </si>
  <si>
    <t>MAFE2021123</t>
  </si>
  <si>
    <t>P-1-N-050121-56</t>
  </si>
  <si>
    <t>MAFE202135</t>
  </si>
  <si>
    <t>DD4515P</t>
  </si>
  <si>
    <t>P-1-N-070121-88</t>
  </si>
  <si>
    <t>Applaws Puppy Small Medium Breed 15kg</t>
  </si>
  <si>
    <t>أبلاوز للسلالة الجراء الصغيرة ومتوسطة الحجم 15 كجم</t>
  </si>
  <si>
    <t>MAFE2021118</t>
  </si>
  <si>
    <t>P-1-N-070121-89</t>
  </si>
  <si>
    <t>أبلاوز لسلالة الكلاب البالغة الصغيرة ومتوسطة الحجم 15 كجم</t>
  </si>
  <si>
    <t>MAFE2021117</t>
  </si>
  <si>
    <t>DD4515L</t>
  </si>
  <si>
    <t>P-1-N-070121-90</t>
  </si>
  <si>
    <t>Applaws Adult Dog Small &amp; Medium Breed Chicken with Lamb 15kg</t>
  </si>
  <si>
    <t>أبلاوز لسلالة الكلاب البالغة الصغيرة ومتوسطة الحجم بالدجاج مع لحم الغنم 15 كجم</t>
  </si>
  <si>
    <t>MAFE2021116</t>
  </si>
  <si>
    <t>P-1-N-100121-106</t>
  </si>
  <si>
    <t>MAFE202188</t>
  </si>
  <si>
    <t>P-1-N-100121-107</t>
  </si>
  <si>
    <t>MAFE202187</t>
  </si>
  <si>
    <t>P-1-N-100121-109</t>
  </si>
  <si>
    <t>P-1-N-100121-111</t>
  </si>
  <si>
    <t>P-1-N-100121-112</t>
  </si>
  <si>
    <t>P-1-N-100121-113</t>
  </si>
  <si>
    <t>13676</t>
  </si>
  <si>
    <t>P-1-N-100121-117</t>
  </si>
  <si>
    <t>Multi-Vit Rabbits and Rodents 20 ml</t>
  </si>
  <si>
    <t>ملتي فيت للأرانب والقوارض 20 مل</t>
  </si>
  <si>
    <t>A4027</t>
  </si>
  <si>
    <t>P-1-N-100121-118</t>
  </si>
  <si>
    <t>Applaws Adult Cat Ocean Fish with Salmon 1.8kg</t>
  </si>
  <si>
    <t>أبلاوز سمك المحيط مع السلمون للقطط البالغة 1.8 كجم</t>
  </si>
  <si>
    <t>MAFE2021115</t>
  </si>
  <si>
    <t>P-1-N-110121-140</t>
  </si>
  <si>
    <t>ألفيس داينر سلمون شهي 100 جرام</t>
  </si>
  <si>
    <t>MAFE2021267</t>
  </si>
  <si>
    <t>mc5658</t>
  </si>
  <si>
    <t>P-1-N-110121-141</t>
  </si>
  <si>
    <t>Alfies Diner Succulent Chicken 100g</t>
  </si>
  <si>
    <t>ألفيس داينر دجاج طري 100 جرام</t>
  </si>
  <si>
    <t>MAFE2021266</t>
  </si>
  <si>
    <t>مارك</t>
  </si>
  <si>
    <t>mc5665</t>
  </si>
  <si>
    <t>P-1-N-110121-143</t>
  </si>
  <si>
    <t>Alfies Diner Tender Turkey 100g</t>
  </si>
  <si>
    <t>ألفيس داينر لحم ديك رومي طري 100 جرام</t>
  </si>
  <si>
    <t>MAFE2021265</t>
  </si>
  <si>
    <t>11532</t>
  </si>
  <si>
    <t>P-1-N-240121-316</t>
  </si>
  <si>
    <t>قطرات فيتامين فيدركور باجانول 50 مل</t>
  </si>
  <si>
    <t>mc6136</t>
  </si>
  <si>
    <t>P-1-N-240121-321</t>
  </si>
  <si>
    <t>هيلثي تريتس لرائحة الفم والأسنان للكلاب 70 جرام</t>
  </si>
  <si>
    <t>MAFE2021280</t>
  </si>
  <si>
    <t>mc6143</t>
  </si>
  <si>
    <t>P-1-N-240121-322</t>
  </si>
  <si>
    <t>هيلثي تريتس للمفاصل والورك للكلاب والجراء 70 جرام</t>
  </si>
  <si>
    <t>MAFE2021279</t>
  </si>
  <si>
    <t>P-1-N-240121-323</t>
  </si>
  <si>
    <t>MAFE2021278</t>
  </si>
  <si>
    <t>mc6167</t>
  </si>
  <si>
    <t>P-1-N-240121-324</t>
  </si>
  <si>
    <t>هيلثي تريتس التسنين للجراء 50 جرام</t>
  </si>
  <si>
    <t>MAFE2021277</t>
  </si>
  <si>
    <t>P-1-N-240121-325</t>
  </si>
  <si>
    <t>هيلثي بايتس لرائحة الفم والأسنان للقطط الصغيرة و البالغة 65 جرام</t>
  </si>
  <si>
    <t>MAFE20201363</t>
  </si>
  <si>
    <t>P-1-N-240121-326</t>
  </si>
  <si>
    <t>MAFE2021275</t>
  </si>
  <si>
    <t>P-1-N-240121-327</t>
  </si>
  <si>
    <t>هيلثي بايتس للعناية البولية للقطط الصغيرة و البالغة 65 جم</t>
  </si>
  <si>
    <t>MAFE2021274</t>
  </si>
  <si>
    <t>P-1-N-280121-379</t>
  </si>
  <si>
    <t>C560</t>
  </si>
  <si>
    <t>P-1-N-280121-385</t>
  </si>
  <si>
    <t>Tuna whole meat and rice in jelly 100g</t>
  </si>
  <si>
    <t>التونا</t>
  </si>
  <si>
    <t>MAFE2021305</t>
  </si>
  <si>
    <t>C561</t>
  </si>
  <si>
    <t>P-1-N-280121-386</t>
  </si>
  <si>
    <t>Tuna with Chicken 100g</t>
  </si>
  <si>
    <t>تونة بالدجاج 100 جرام</t>
  </si>
  <si>
    <t>MAFE2021304</t>
  </si>
  <si>
    <t>C562</t>
  </si>
  <si>
    <t>P-1-N-280121-387</t>
  </si>
  <si>
    <t>Chicken Fillets 100g</t>
  </si>
  <si>
    <t>فيليه دجاج 100 جرام</t>
  </si>
  <si>
    <t>MAFE2021303</t>
  </si>
  <si>
    <t>C565</t>
  </si>
  <si>
    <t>P-1-N-280121-388</t>
  </si>
  <si>
    <t>Tuna Whole Meat with Seabass in Gel 100g</t>
  </si>
  <si>
    <t>تونة لحم كامل بالقاروص في الجيلي 100 جم</t>
  </si>
  <si>
    <t>MAFE2021302</t>
  </si>
  <si>
    <t>C566</t>
  </si>
  <si>
    <t>P-1-N-280121-389</t>
  </si>
  <si>
    <t>Chicken with seabass in gel 100g</t>
  </si>
  <si>
    <t>دجاج مع القاروص في الجيلي 100 جم</t>
  </si>
  <si>
    <t>MAFE2021301</t>
  </si>
  <si>
    <t>C575</t>
  </si>
  <si>
    <t>P-1-N-280121-390</t>
  </si>
  <si>
    <t>Kitten Tuna Whole Meat in Jelly 100g</t>
  </si>
  <si>
    <t>تونا لحم كامل بالجلي للقطط الصغيرة 100 جم</t>
  </si>
  <si>
    <t>MAFE2021300</t>
  </si>
  <si>
    <t>C576</t>
  </si>
  <si>
    <t>P-1-N-280121-391</t>
  </si>
  <si>
    <t>Kitten Chicken Flake in Jelly 100g</t>
  </si>
  <si>
    <t>دجاج فليك بالجلي للقطط الصغيرة 100 جم</t>
  </si>
  <si>
    <t>MAFE2021299</t>
  </si>
  <si>
    <t>P-1-N-280121-393</t>
  </si>
  <si>
    <t>تونة لحم كامل ودجاج بالروبيان مع أرز في الجيلي الطري 100 جرام</t>
  </si>
  <si>
    <t>MAFE2021298</t>
  </si>
  <si>
    <t>C580</t>
  </si>
  <si>
    <t>P-1-N-280121-394</t>
  </si>
  <si>
    <t>Chicken and Rice in Chicken Broth 100g</t>
  </si>
  <si>
    <t>الدجاج والأرز في مرق الدجاج 100 جرام</t>
  </si>
  <si>
    <t>MAFE2021297</t>
  </si>
  <si>
    <t>C581</t>
  </si>
  <si>
    <t>P-1-N-280121-395</t>
  </si>
  <si>
    <t>Tuna White Meat, Seabream and Rice in Fish Broth 100g</t>
  </si>
  <si>
    <t>تونة بيضاء ، لحم دنيس والأرز في مرق السمك 100 جرام</t>
  </si>
  <si>
    <t>MAFE2021296</t>
  </si>
  <si>
    <t>C582</t>
  </si>
  <si>
    <t>P-1-N-280121-396</t>
  </si>
  <si>
    <t>Tuna Whole Meat with Salmon and Rice in Soft Jelly 100g</t>
  </si>
  <si>
    <t>MAFE2021295</t>
  </si>
  <si>
    <t>P-1-N-280121-397</t>
  </si>
  <si>
    <t>P-1-N-280121-398</t>
  </si>
  <si>
    <t>P-1-N-280121-399</t>
  </si>
  <si>
    <t>الدجاج و الارز مع الصبار بالجيلي 140 جم</t>
  </si>
  <si>
    <t>P-1-N-280121-400</t>
  </si>
  <si>
    <t>P-1-N-310121-422</t>
  </si>
  <si>
    <t>Dog Tin Beef Steak 156g</t>
  </si>
  <si>
    <t>علبة ستيك لحم بقري للكلاب 156 جم</t>
  </si>
  <si>
    <t>P-1-N-310121-423</t>
  </si>
  <si>
    <t>Dog Tin Beef Steak with Potato 156g</t>
  </si>
  <si>
    <t>علبة ستيك لحم بقري مع البطاطس للكلاب 156 جم</t>
  </si>
  <si>
    <t>P-1-N-310121-424</t>
  </si>
  <si>
    <t>علبة لحم بقري مع الخضروات للكلاب 156 جم</t>
  </si>
  <si>
    <t>P-1-N-020221-461</t>
  </si>
  <si>
    <t>Canned Petfood Tuna &amp; Crab 400g</t>
  </si>
  <si>
    <t>أغذية الحيوانات الأليفة المعلبة تونة وكابوريا 400 جم</t>
  </si>
  <si>
    <t>كت</t>
  </si>
  <si>
    <t>P-1-N-020221-463</t>
  </si>
  <si>
    <t>Canned Petfood Tuna &amp; Mackerel 400g</t>
  </si>
  <si>
    <t>أغذية الحيوانات الأليفة المعلبة تونة والماكريل 400 جم</t>
  </si>
  <si>
    <t>كت كات انترناشونال بي تي إي ليمتيد</t>
  </si>
  <si>
    <t>P-1-N-020221-464</t>
  </si>
  <si>
    <t>Canned Petfood Tuna &amp; Prawn 400g</t>
  </si>
  <si>
    <t>أغذية</t>
  </si>
  <si>
    <t>P-1-N-020221-465</t>
  </si>
  <si>
    <t>رفض التس</t>
  </si>
  <si>
    <t>Canned Petfood Tuna &amp; Katsuobushi 400g</t>
  </si>
  <si>
    <t>أغذية الحيوانات الأليفة المعلبة تونة وكاتسوبوشي 400 جم</t>
  </si>
  <si>
    <t>P-1-N-020221-466</t>
  </si>
  <si>
    <t>Canned Petfood Tuna &amp; Whitebait 400g</t>
  </si>
  <si>
    <t>أغذية الحيوانات الأليفة المعلبة تونة وسمك وايتبيت 400 جم</t>
  </si>
  <si>
    <t>P-1-N-020221-471</t>
  </si>
  <si>
    <t>Canned Petfood Mousse with Tuna 80g</t>
  </si>
  <si>
    <t>أغذية الحيوانات الأليفة المعلبة موس بالتونة 80 جم</t>
  </si>
  <si>
    <t>P-1-N-020221-472</t>
  </si>
  <si>
    <t>Canned Petfood Mousse with Chicken 80g</t>
  </si>
  <si>
    <t>أغذية الحيوانات الأليفة المعلبة موس بالدجاج 80 جم</t>
  </si>
  <si>
    <t>P-1-N-020221-473</t>
  </si>
  <si>
    <t>Canned Petfood Tuna Mousse &amp; Chicken Toppers 80g</t>
  </si>
  <si>
    <t>أغذية الحيوانات الأليفة المعلبة موس التونة و دجاج توبرز 80 جم</t>
  </si>
  <si>
    <t>P-1-N-020221-474</t>
  </si>
  <si>
    <t>Canned Petfood Chicken Mousse &amp; Tuna Toppers 80g</t>
  </si>
  <si>
    <t>أغذية الحيوانات الأليفة المعلبة موس الدجاج و تونة توبرز 80 جم</t>
  </si>
  <si>
    <t>P-1-N-080221-563</t>
  </si>
  <si>
    <t>فيت اي كيو 2 في 1 معجون العناية بالأسنان 70 جم</t>
  </si>
  <si>
    <t>MC5597</t>
  </si>
  <si>
    <t>P-1-N-080221-564</t>
  </si>
  <si>
    <t>VetIQ 2in1 Dental Care Liquid 250ml</t>
  </si>
  <si>
    <t>فيت اي كيو 2 في 1 سائل العناية بالأسنان 250 مل</t>
  </si>
  <si>
    <t>MC5955</t>
  </si>
  <si>
    <t>P-1-N-080221-565</t>
  </si>
  <si>
    <t>VetIQ 2in1 Dental Care Chews 60g</t>
  </si>
  <si>
    <t>فيت اي كيو 2 في 1 تشيوز للعناية بالأسنان 60 جم</t>
  </si>
  <si>
    <t>15327</t>
  </si>
  <si>
    <t>P-1-N-090221-582</t>
  </si>
  <si>
    <t>وجبة</t>
  </si>
  <si>
    <t>MAFE2021406</t>
  </si>
  <si>
    <t>P-1-N-090221-584</t>
  </si>
  <si>
    <t>MAFE2021407</t>
  </si>
  <si>
    <t>P-1-N-090221-585</t>
  </si>
  <si>
    <t>PRFE2021405</t>
  </si>
  <si>
    <t>P-1-N-100221-613</t>
  </si>
  <si>
    <t>كيت كات تونة مع الكاتسوبوشي 400 جم</t>
  </si>
  <si>
    <t>MAFE2021558</t>
  </si>
  <si>
    <t>شركة سيام للأغذية العالمية المحدودة</t>
  </si>
  <si>
    <t>P-1-N-170221-726</t>
  </si>
  <si>
    <t>MAFE2021499</t>
  </si>
  <si>
    <t>P-1-N-170221-727</t>
  </si>
  <si>
    <t>MAFE2021498</t>
  </si>
  <si>
    <t>P-1-N-170221-728</t>
  </si>
  <si>
    <t>MAFE2021497</t>
  </si>
  <si>
    <t>P-1-N-170221-729</t>
  </si>
  <si>
    <t>MAFE2021496</t>
  </si>
  <si>
    <t>P-1-N-210221-795</t>
  </si>
  <si>
    <t>MAFE2021728</t>
  </si>
  <si>
    <t>P-1-N-210221-796</t>
  </si>
  <si>
    <t>Schesir NS Dry Beef 2.24 kg</t>
  </si>
  <si>
    <t>شيزير أن أس طعام جاف بلحم البقر 2.24 كجم</t>
  </si>
  <si>
    <t>MAFE2021727</t>
  </si>
  <si>
    <t>P-1-N-210221-797</t>
  </si>
  <si>
    <t>Schesir NS Dry Lamb 4.5 kg</t>
  </si>
  <si>
    <t>شيزير أن أس طعام جاف بلحم الخروف 4.5 كجم</t>
  </si>
  <si>
    <t>MAFE2021726</t>
  </si>
  <si>
    <t>P-1-N-210221-798</t>
  </si>
  <si>
    <t>Schesir NS Dry Tuna 4.5 kg</t>
  </si>
  <si>
    <t>MAFE2021725</t>
  </si>
  <si>
    <t>P-1-N-210221-799</t>
  </si>
  <si>
    <t>MAFE2021724</t>
  </si>
  <si>
    <t>P-1-N-210221-800</t>
  </si>
  <si>
    <t>Schesir NS Dry Beef 9.6 kg</t>
  </si>
  <si>
    <t>شيزير أن أس طعام جاف بلحم البقر 9.6 كجم</t>
  </si>
  <si>
    <t>MAFE2021723</t>
  </si>
  <si>
    <t>P-1-N-210221-801</t>
  </si>
  <si>
    <t>شيزير أن أس طعام جاف بالتونة 4.5 كجم</t>
  </si>
  <si>
    <t>MAFE2021722</t>
  </si>
  <si>
    <t>P-1-N-210221-802</t>
  </si>
  <si>
    <t>شيزير أن أس طعام جاف ببالديك الرومي 4.5 كجم</t>
  </si>
  <si>
    <t>MAFE2021721</t>
  </si>
  <si>
    <t>P-1-N-210221-803</t>
  </si>
  <si>
    <t>Schesir NS Dry Duck 4.5 kg</t>
  </si>
  <si>
    <t>شيزير أن أس طعام جاف بالبط 4.5 كجم</t>
  </si>
  <si>
    <t>MAFE2021720</t>
  </si>
  <si>
    <t>P-1-N-210221-804</t>
  </si>
  <si>
    <t>Schesir NS Dry Beef 4.5 kg</t>
  </si>
  <si>
    <t>شيزير أن أس طعام جاف بلحم بقري 4.5 كجم</t>
  </si>
  <si>
    <t>MAFE2021719</t>
  </si>
  <si>
    <t>P-1-N-030321-1071</t>
  </si>
  <si>
    <t>MAFE2021684</t>
  </si>
  <si>
    <t>P-1-N-070321-1126</t>
  </si>
  <si>
    <t>MAFE2021753</t>
  </si>
  <si>
    <t>P-1-N-070321-1127</t>
  </si>
  <si>
    <t>MAFE2021739</t>
  </si>
  <si>
    <t>P-1-N-070321-1128</t>
  </si>
  <si>
    <t>MAFE2021738</t>
  </si>
  <si>
    <t>P-1-N-070321-1130</t>
  </si>
  <si>
    <t>English Name</t>
  </si>
  <si>
    <t>MAFE2021737</t>
  </si>
  <si>
    <t>B1022</t>
  </si>
  <si>
    <t>P-1-N-070321-1132</t>
  </si>
  <si>
    <t>Butchers Functional Dog Junior Lamb CIJ 400g</t>
  </si>
  <si>
    <t>MAFE2021735</t>
  </si>
  <si>
    <t>WB80232</t>
  </si>
  <si>
    <t>P-1-N-070321-1133</t>
  </si>
  <si>
    <t>Tiki Cat Velvet Mousse with Chicken &amp; Egg 80g</t>
  </si>
  <si>
    <t>MAFE2021732</t>
  </si>
  <si>
    <t>P-1-N-070321-1138</t>
  </si>
  <si>
    <t>Kit Cat Deboned Tuna Classic Aspic for Kitten 80g</t>
  </si>
  <si>
    <t>كيت كات ديبوند تونة كلاسيك أسبك للقطط الصغيرة 80 جم</t>
  </si>
  <si>
    <t>P-1-N-070321-1139</t>
  </si>
  <si>
    <t>Kit Cat Deboned Chicken Classic Aspic for Kitten 80g</t>
  </si>
  <si>
    <t>كيت كات ديبوند دجاج كلاسيك أسبك للقطط الصغيرة 80 جم</t>
  </si>
  <si>
    <t>USD611</t>
  </si>
  <si>
    <t>P-1-N-080321-1168</t>
  </si>
  <si>
    <t>Dog Churu Chicken Recipe 80g</t>
  </si>
  <si>
    <t>تشورو للكلاب وصفة الدجاج 80 جم</t>
  </si>
  <si>
    <t>MAFE2021813</t>
  </si>
  <si>
    <t>USD612</t>
  </si>
  <si>
    <t>P-1-N-080321-1169</t>
  </si>
  <si>
    <t>Dog Churu Chicken with Tuna Recipe 80g</t>
  </si>
  <si>
    <t>تشورو للكلاب وصفة الدجاج مع التونا 80 جم</t>
  </si>
  <si>
    <t>MAFE2021812</t>
  </si>
  <si>
    <t>USD613</t>
  </si>
  <si>
    <t>P-1-N-080321-1170</t>
  </si>
  <si>
    <t>Dog Churu Chicken with Salmon Recipe 80g</t>
  </si>
  <si>
    <t>تشورو للكلاب وصفة الدجاج مع السالمون 80 جم</t>
  </si>
  <si>
    <t>MAFE2021818</t>
  </si>
  <si>
    <t>USD614</t>
  </si>
  <si>
    <t>P-1-N-080321-1171</t>
  </si>
  <si>
    <t>Dog Churu Chicken with Cheese Recipe 80g</t>
  </si>
  <si>
    <t>تشورو للكلاب وصفة الدجاج مع الجبنة 80 جم</t>
  </si>
  <si>
    <t>MAFE2021811</t>
  </si>
  <si>
    <t>USD615</t>
  </si>
  <si>
    <t>P-1-N-080321-1172</t>
  </si>
  <si>
    <t>Dog Churu Chicken with Vegetables Recipe 80g</t>
  </si>
  <si>
    <t>تشورو للكلاب وصفة الدجاج مع الخضار 80 جم</t>
  </si>
  <si>
    <t>MAFE2021810</t>
  </si>
  <si>
    <t>USD721</t>
  </si>
  <si>
    <t>P-1-N-080321-1173</t>
  </si>
  <si>
    <t>Churu Bites for Dog Chicken Recipe Wraps Chicken Recipe 96g</t>
  </si>
  <si>
    <t>تشورو بايتس للكلاب وصفة الدجاج ملفوفة بوصفة الدجاج 96 جم</t>
  </si>
  <si>
    <t>MAFE2021809</t>
  </si>
  <si>
    <t>USD722</t>
  </si>
  <si>
    <t>P-1-N-080321-1174</t>
  </si>
  <si>
    <t>Churu Bites for Dog Chicken Recipe Wraps Chicken with Tuna Recipe 96g</t>
  </si>
  <si>
    <t>تشورو بايتس للكلاب وصفة الدجاج ملفوفة بوصفة الدجاج مع التونا 96 جم</t>
  </si>
  <si>
    <t>MAFE2021808</t>
  </si>
  <si>
    <t>USD724</t>
  </si>
  <si>
    <t>P-1-N-080321-1175</t>
  </si>
  <si>
    <t>Churu Bites for Dog Chicken Recipe Wraps Chicken with Cheese Recipe 96g</t>
  </si>
  <si>
    <t>تشورو بايتس للكلاب وصفة الدجاج ملفوفة بوصفة الدجاج مع الجبنة 96 جم</t>
  </si>
  <si>
    <t>MAFE2021807</t>
  </si>
  <si>
    <t>P-1-N-080321-1176</t>
  </si>
  <si>
    <t>Churu Bites for Dog Chicken Recipe Wraps Chicken with Salmon Recipe 96g</t>
  </si>
  <si>
    <t>تشورو بايتس للكلاب وصفة الدجاج ملفوفة بوصفة الدجاج مع السالمون 96 جم</t>
  </si>
  <si>
    <t>MAFE2021817</t>
  </si>
  <si>
    <t>USD731</t>
  </si>
  <si>
    <t>P-1-N-080321-1177</t>
  </si>
  <si>
    <t>Churu Rolls for Dog Chicken Recipe Wraps Chicken Recipe 96g</t>
  </si>
  <si>
    <t>تشورو رولز للكلاب وصفة الدجاج ملفوفة بوصفة الدجاج 96 جم</t>
  </si>
  <si>
    <t>MAFE2021806</t>
  </si>
  <si>
    <t>USD732</t>
  </si>
  <si>
    <t>P-1-N-080321-1178</t>
  </si>
  <si>
    <t>Churu Rolls for Dog Chicken Recipe Wraps Chicken with Salmon Recipe 96g</t>
  </si>
  <si>
    <t>تشورو رولز للكلاب وصفة الدجاج ملفوفة بوصفة الدجاج مع السالمون 96 جم</t>
  </si>
  <si>
    <t>MAFE2021805</t>
  </si>
  <si>
    <t>USD733</t>
  </si>
  <si>
    <t>P-1-N-080321-1179</t>
  </si>
  <si>
    <t>Churu Rolls for Dog Chicken Recipe Wraps Chicken with Cheese Recipe 96g</t>
  </si>
  <si>
    <t>تشورو رولز للكلاب وصفة الدجاج ملفوفة بوصفة الدجاج مع الجبنة 96 جم</t>
  </si>
  <si>
    <t>MAFE2021769</t>
  </si>
  <si>
    <t>A1036</t>
  </si>
  <si>
    <t>P-1-N-080321-1191</t>
  </si>
  <si>
    <t>Applaws Kitten Tuna 70g</t>
  </si>
  <si>
    <t>أبلاوز تونة للقطط الصغيرة 70 جم</t>
  </si>
  <si>
    <t>MAFE20211106</t>
  </si>
  <si>
    <t>a3120</t>
  </si>
  <si>
    <t>P-1-N-080321-1192</t>
  </si>
  <si>
    <t>Applaws Chicken with Duck in Jelly 156g</t>
  </si>
  <si>
    <t>أبلاوز دجاج مع البط في جيلي 156 جم</t>
  </si>
  <si>
    <t>MAFE2021804</t>
  </si>
  <si>
    <t>شركة بريمير لصناعة التعليب المحدودة</t>
  </si>
  <si>
    <t>A3122</t>
  </si>
  <si>
    <t>P-1-N-080321-1193</t>
  </si>
  <si>
    <t>Applaws Chicken with Lamb in Jelly 156g</t>
  </si>
  <si>
    <t>أبلاوز دجاج مع لحم غنم في جيلي 156 جم</t>
  </si>
  <si>
    <t>MAFE2021803</t>
  </si>
  <si>
    <t>a8004</t>
  </si>
  <si>
    <t>P-1-N-080321-1194</t>
  </si>
  <si>
    <t>Applaws Cat Pouch 70g Tuna with Seabream</t>
  </si>
  <si>
    <t>كيس أبلاوز للقطط 70 جم من التونة مع الدنيس</t>
  </si>
  <si>
    <t>شركة شوتيوات للتصنيع المحدودة</t>
  </si>
  <si>
    <t>P-1-N-090321-1210</t>
  </si>
  <si>
    <t>P-1-N-110321-1246</t>
  </si>
  <si>
    <t>Butcher’s Beef 15kg</t>
  </si>
  <si>
    <t>بوتشرز بلحم بقري 15 كجم</t>
  </si>
  <si>
    <t>MAFE2021964</t>
  </si>
  <si>
    <t>P-1-N-110321-1247</t>
  </si>
  <si>
    <t>Butcher’s Chicken 15kg</t>
  </si>
  <si>
    <t>بوتشرز بالدجاج 15 كجم</t>
  </si>
  <si>
    <t>MAFE2021965</t>
  </si>
  <si>
    <t>P-1-N-140321-1268</t>
  </si>
  <si>
    <t>دجاج مع اليقطين 70 جم</t>
  </si>
  <si>
    <t>MAFE2021826</t>
  </si>
  <si>
    <t>A8008</t>
  </si>
  <si>
    <t>P-1-N-140321-1270</t>
  </si>
  <si>
    <t>Applaws Cat Pouch 70g Tuna with Prawn</t>
  </si>
  <si>
    <t>كيس أبلاوز للقطط 70 جم من التونة مع الروبيان</t>
  </si>
  <si>
    <t>MAFE2021822</t>
  </si>
  <si>
    <t>P-1-N-140321-1272</t>
  </si>
  <si>
    <t>كيت كات ديبونيد الدجاج و وايتبيت توبرز 80 جم</t>
  </si>
  <si>
    <t>MAFE2021966</t>
  </si>
  <si>
    <t>P-1-N-140321-1273</t>
  </si>
  <si>
    <t>كيت كات ديبونيد الدجاج و عصا السلطعون توبرز 80 جم</t>
  </si>
  <si>
    <t>MAFE2021967</t>
  </si>
  <si>
    <t>P-1-N-140321-1274</t>
  </si>
  <si>
    <t>Kit Cat Deboned Tuna and Whitebait Toppers 80g</t>
  </si>
  <si>
    <t>كيت كات ديبونيد التونة و وايتبيت توبرز 80 جم</t>
  </si>
  <si>
    <t>MAFE2021968</t>
  </si>
  <si>
    <t>P-1-N-140321-1276</t>
  </si>
  <si>
    <t>كيت كات تونة مع الأنشوجة 400 جم</t>
  </si>
  <si>
    <t>MAFE2021970</t>
  </si>
  <si>
    <t>P-1-N-140321-1277</t>
  </si>
  <si>
    <t>كيت كات تونة مع الدجاج 400 جم</t>
  </si>
  <si>
    <t>MAFE2021969</t>
  </si>
  <si>
    <t>P-1-N-140321-1278</t>
  </si>
  <si>
    <t>Kit Cat Canned Petfood Atlantic Tuna with Wild Salmon 400g</t>
  </si>
  <si>
    <t>كيت كات أغذية الحيوانات الأليفة المعلبة تونة الأطلسي مع السلمون البري 400 جم</t>
  </si>
  <si>
    <t>P-1-N-210321-1423</t>
  </si>
  <si>
    <t>MAFE2021892</t>
  </si>
  <si>
    <t>P-1-N-280321-1540</t>
  </si>
  <si>
    <t>MAFE2021959</t>
  </si>
  <si>
    <t>P-1-N-280321-1541</t>
  </si>
  <si>
    <t>P-1-N-290321-1563</t>
  </si>
  <si>
    <t>MAFE2021971</t>
  </si>
  <si>
    <t>A3031</t>
  </si>
  <si>
    <t>P-1-N-010421-1645</t>
  </si>
  <si>
    <t>Chicken with Rice 156g</t>
  </si>
  <si>
    <t>دجاج مع أرز 156 جم</t>
  </si>
  <si>
    <t>MAFE20211013</t>
  </si>
  <si>
    <t>A3036</t>
  </si>
  <si>
    <t>P-1-N-010421-1652</t>
  </si>
  <si>
    <t>Chicken with Beef Liver and Vegetable 156 g</t>
  </si>
  <si>
    <t>دجاج مع الكبد البقري والخضار 156 جرام</t>
  </si>
  <si>
    <t>MAFE20211003</t>
  </si>
  <si>
    <t>461722</t>
  </si>
  <si>
    <t>P-1-N-060421-1830</t>
  </si>
  <si>
    <t>Crispy Muesli Hamsters &amp; Co 2.75 kg</t>
  </si>
  <si>
    <t>كريسبي موسلي للهامستر 2.75 كغ</t>
  </si>
  <si>
    <t>MAFE20211527</t>
  </si>
  <si>
    <t>50010849</t>
  </si>
  <si>
    <t>P-1-N-270421-2279</t>
  </si>
  <si>
    <t>Festival 15kg</t>
  </si>
  <si>
    <t>فيستيفال 15 كجم</t>
  </si>
  <si>
    <t>MAFE20211362</t>
  </si>
  <si>
    <t>50010850</t>
  </si>
  <si>
    <t>P-1-N-270421-2288</t>
  </si>
  <si>
    <t>Kids 15kg</t>
  </si>
  <si>
    <t>كيدس 15 كجم</t>
  </si>
  <si>
    <t>MAFE20211346</t>
  </si>
  <si>
    <t>50010856</t>
  </si>
  <si>
    <t>P-1-N-270421-2294</t>
  </si>
  <si>
    <t>FamilyPlus 15kg</t>
  </si>
  <si>
    <t>فاميلي بلس 15 كجم</t>
  </si>
  <si>
    <t>MAFE20211344</t>
  </si>
  <si>
    <t>50010861</t>
  </si>
  <si>
    <t>P-1-N-270421-2295</t>
  </si>
  <si>
    <t>Hypoallergenic 15kg</t>
  </si>
  <si>
    <t>هيبوالرجينيك 15 كجم</t>
  </si>
  <si>
    <t>MAFE20211343</t>
  </si>
  <si>
    <t>50010877</t>
  </si>
  <si>
    <t>P-1-N-270421-2297</t>
  </si>
  <si>
    <t>جوسي دوج ايكونومي 15 كجم</t>
  </si>
  <si>
    <t>MAFE20211341</t>
  </si>
  <si>
    <t>50010836</t>
  </si>
  <si>
    <t>P-1-N-270421-2309</t>
  </si>
  <si>
    <t>MiniDeluxe 15kg</t>
  </si>
  <si>
    <t>ميني ديلوكس 15 كجم</t>
  </si>
  <si>
    <t>MAFE20211340</t>
  </si>
  <si>
    <t>50010847</t>
  </si>
  <si>
    <t>P-1-N-270421-2310</t>
  </si>
  <si>
    <t>MiniJunior 15kg</t>
  </si>
  <si>
    <t>ميني جونيور 15 كجم</t>
  </si>
  <si>
    <t>MAFE20211339</t>
  </si>
  <si>
    <t>50010852</t>
  </si>
  <si>
    <t>P-1-N-270421-2311</t>
  </si>
  <si>
    <t>Optiness 15kg</t>
  </si>
  <si>
    <t>أوبتيناس 15 كجم</t>
  </si>
  <si>
    <t>MAFE20211338</t>
  </si>
  <si>
    <t>50011364</t>
  </si>
  <si>
    <t>P-1-N-270421-2312</t>
  </si>
  <si>
    <t>SensiCat 10kg</t>
  </si>
  <si>
    <t>سينسيكات 10 كجم</t>
  </si>
  <si>
    <t>MAFE20211336</t>
  </si>
  <si>
    <t>50010857</t>
  </si>
  <si>
    <t>P-1-N-270421-2313</t>
  </si>
  <si>
    <t>SensiJunior 15kg</t>
  </si>
  <si>
    <t>سينسي جونيور 15 كجم</t>
  </si>
  <si>
    <t>MAFE20211337</t>
  </si>
  <si>
    <t>50010859</t>
  </si>
  <si>
    <t>P-1-N-270421-2314</t>
  </si>
  <si>
    <t>SensiPlus 15kg</t>
  </si>
  <si>
    <t>سينسي بلس 15 كجم</t>
  </si>
  <si>
    <t>MAFE20211335</t>
  </si>
  <si>
    <t>50010863</t>
  </si>
  <si>
    <t>P-1-N-270421-2315</t>
  </si>
  <si>
    <t>YoungStar 15kg</t>
  </si>
  <si>
    <t>يونغ ستار 15 كجم</t>
  </si>
  <si>
    <t>MAFE20211334</t>
  </si>
  <si>
    <t>P-1-N-020521-2376</t>
  </si>
  <si>
    <t>Schesir NS Dry Turkey 490g</t>
  </si>
  <si>
    <t>شيزير أن أس طعام جاف بالديك الرومي 490 جم</t>
  </si>
  <si>
    <t>P-1-N-020521-2377</t>
  </si>
  <si>
    <t>MAFE20211431</t>
  </si>
  <si>
    <t>P-1-N-020521-2378</t>
  </si>
  <si>
    <t>Schesir NS Dry Lamb 490g</t>
  </si>
  <si>
    <t>شيزير أن أس طعام جاف بلحم الضأن 490 جم</t>
  </si>
  <si>
    <t>P-1-N-020521-2379</t>
  </si>
  <si>
    <t>MAFE20211430</t>
  </si>
  <si>
    <t>50010833</t>
  </si>
  <si>
    <t>P-1-N-040521-2440</t>
  </si>
  <si>
    <t>Festival 900g</t>
  </si>
  <si>
    <t>فيستيفال 900 جم</t>
  </si>
  <si>
    <t>MAFE20211470</t>
  </si>
  <si>
    <t>50010851</t>
  </si>
  <si>
    <t>P-1-N-040521-2441</t>
  </si>
  <si>
    <t>Kids 900g</t>
  </si>
  <si>
    <t>كيدس 900 جم</t>
  </si>
  <si>
    <t>MAFE20211449</t>
  </si>
  <si>
    <t>50010862</t>
  </si>
  <si>
    <t>P-1-N-040521-2442</t>
  </si>
  <si>
    <t>Hypoallergenic 900g</t>
  </si>
  <si>
    <t>هيبوالرجينيك 900 جم</t>
  </si>
  <si>
    <t>MAFE20211448</t>
  </si>
  <si>
    <t>50010846</t>
  </si>
  <si>
    <t>P-1-N-040521-2443</t>
  </si>
  <si>
    <t>MiniDeluxe 900g</t>
  </si>
  <si>
    <t>ميني ديلوكس 900 جم</t>
  </si>
  <si>
    <t>MAFE20211447</t>
  </si>
  <si>
    <t>50005673</t>
  </si>
  <si>
    <t>P-1-N-040521-2444</t>
  </si>
  <si>
    <t>MiniJunior 900g</t>
  </si>
  <si>
    <t>ميني جونيور 900 جم</t>
  </si>
  <si>
    <t>MAFE20211446</t>
  </si>
  <si>
    <t>50010853</t>
  </si>
  <si>
    <t>P-1-N-040521-2445</t>
  </si>
  <si>
    <t>Optiness 900g</t>
  </si>
  <si>
    <t>أوبتيناس 900 جم</t>
  </si>
  <si>
    <t>MAFE20211445</t>
  </si>
  <si>
    <t>P-1-N-040521-2446</t>
  </si>
  <si>
    <t>SensiJunior 900g</t>
  </si>
  <si>
    <t>سينسي جونيور 900 جم</t>
  </si>
  <si>
    <t>MAFE20211444</t>
  </si>
  <si>
    <t>50010860</t>
  </si>
  <si>
    <t>P-1-N-040521-2447</t>
  </si>
  <si>
    <t>SensiPlus 900g</t>
  </si>
  <si>
    <t>سينسي بلس 900 جم</t>
  </si>
  <si>
    <t>MAFE20211443</t>
  </si>
  <si>
    <t>50010864</t>
  </si>
  <si>
    <t>P-1-N-040521-2448</t>
  </si>
  <si>
    <t>YoungStar 900g</t>
  </si>
  <si>
    <t>يونغ ستار 900 جم</t>
  </si>
  <si>
    <t>MAFE20211442</t>
  </si>
  <si>
    <t>P-1-N-040521-2449</t>
  </si>
  <si>
    <t>MAFE20211441</t>
  </si>
  <si>
    <t>P-1-N-040521-2450</t>
  </si>
  <si>
    <t>MAFE20211440</t>
  </si>
  <si>
    <t>461702</t>
  </si>
  <si>
    <t>P-1-N-040521-2451</t>
  </si>
  <si>
    <t>Crispy Muesli Rabbits 2.75 Kg</t>
  </si>
  <si>
    <t>كريسبي موسلي للأرانب 2.75 كجم</t>
  </si>
  <si>
    <t>MAFE20211522</t>
  </si>
  <si>
    <t>462093</t>
  </si>
  <si>
    <t>P-1-N-040521-2452</t>
  </si>
  <si>
    <t>Crispy Crunchies Fruit 75g</t>
  </si>
  <si>
    <t>كريسبي كرانشيز فواكه 75 جم</t>
  </si>
  <si>
    <t>MAFE20211521</t>
  </si>
  <si>
    <t>462091</t>
  </si>
  <si>
    <t>P-1-N-040521-2453</t>
  </si>
  <si>
    <t>Crispy Crunchies Hay 75g</t>
  </si>
  <si>
    <t>كريسبي كرانشيز هاي 75 جم</t>
  </si>
  <si>
    <t>MAFE20211520</t>
  </si>
  <si>
    <t>462005</t>
  </si>
  <si>
    <t>P-1-N-040521-2454</t>
  </si>
  <si>
    <t>Crispy Toasties Vegetable 150g</t>
  </si>
  <si>
    <t>كريسبي توستيز خضار 150 جم</t>
  </si>
  <si>
    <t>MAFE20211519</t>
  </si>
  <si>
    <t>50010854</t>
  </si>
  <si>
    <t>P-1-N-040521-2460</t>
  </si>
  <si>
    <t>Poultry-Meal 15kg</t>
  </si>
  <si>
    <t>وجبة دواجن 15 كجم</t>
  </si>
  <si>
    <t>MAFE20211517</t>
  </si>
  <si>
    <t>50010855</t>
  </si>
  <si>
    <t>P-1-N-040521-2461</t>
  </si>
  <si>
    <t>منيو دواجن 900 جم</t>
  </si>
  <si>
    <t xml:space="preserve">FOM-2024-6397-FEB-2024-49545 -C-0041-70342
</t>
  </si>
  <si>
    <t>50010866</t>
  </si>
  <si>
    <t>P-1-N-040521-2465</t>
  </si>
  <si>
    <t>ﻛﻴﺘﻦ خالي من الحبوب 400 جم</t>
  </si>
  <si>
    <t xml:space="preserve">FOM-2024-6397-FEB-2024-49543 -C-0041-70340
</t>
  </si>
  <si>
    <t>50010865</t>
  </si>
  <si>
    <t>P-1-N-040521-2466</t>
  </si>
  <si>
    <t>Kitten Grainfree 2kg</t>
  </si>
  <si>
    <t>ﻛﻴﺘﻦ خالي من الحبوب 2 كجم</t>
  </si>
  <si>
    <t>MAFE20211513</t>
  </si>
  <si>
    <t>451344</t>
  </si>
  <si>
    <t>P-1-N-040521-2482</t>
  </si>
  <si>
    <t>Prestige Millet Red 100g</t>
  </si>
  <si>
    <t>برستيج دخن أحمر 100 جم</t>
  </si>
  <si>
    <t>MAFE20211506</t>
  </si>
  <si>
    <t>461712</t>
  </si>
  <si>
    <t>P-1-N-040521-2484</t>
  </si>
  <si>
    <t>Crispy Muesli Guinea Pig 2.75 Kg</t>
  </si>
  <si>
    <t>كريسبي موسلي للخنزير الغيني 2.75 كجم</t>
  </si>
  <si>
    <t>MAFE20211563</t>
  </si>
  <si>
    <t>422312</t>
  </si>
  <si>
    <t>P-1-N-040521-2485</t>
  </si>
  <si>
    <t>Sticks Big Parakeets Exotic Fruit 140g</t>
  </si>
  <si>
    <t>ستكس للبراكيت الكبيرة بالفاكهة الاستوائية 140 جم</t>
  </si>
  <si>
    <t>MAFE20211504</t>
  </si>
  <si>
    <t>422313</t>
  </si>
  <si>
    <t>P-1-N-040521-2486</t>
  </si>
  <si>
    <t>Sticks Big Parakeets Nuts &amp; Honey 140g</t>
  </si>
  <si>
    <t>ستكس للبراكيت الكبيرة بالمكسرات والعسل 140 جم</t>
  </si>
  <si>
    <t>MAFE20211503</t>
  </si>
  <si>
    <t>422323</t>
  </si>
  <si>
    <t>P-1-N-040521-2487</t>
  </si>
  <si>
    <t>Sticks Budgies Egg-Oyster Shell 60g</t>
  </si>
  <si>
    <t>ستكس للبدجي بالبيض و أصداف المحار 60 جم</t>
  </si>
  <si>
    <t>MAFE20211502</t>
  </si>
  <si>
    <t>422309</t>
  </si>
  <si>
    <t>P-1-N-040521-2488</t>
  </si>
  <si>
    <t>Sticks Budgies Exotic Fruit 60g</t>
  </si>
  <si>
    <t>ستكس للبدجي بالفاكهة الاستوائية 60 جم</t>
  </si>
  <si>
    <t>MAFE20211501</t>
  </si>
  <si>
    <t>422310</t>
  </si>
  <si>
    <t>P-1-N-040521-2491</t>
  </si>
  <si>
    <t>Sticks Budgies Forest Fruit 60g</t>
  </si>
  <si>
    <t>ستكس للبدجي بثمرة الغابة 60 جم</t>
  </si>
  <si>
    <t>MAFE20211498</t>
  </si>
  <si>
    <t>422308</t>
  </si>
  <si>
    <t>P-1-N-040521-2492</t>
  </si>
  <si>
    <t>Sticks Budgies Honey 60g</t>
  </si>
  <si>
    <t>ستكس للبدجي بالعسل 60 جم</t>
  </si>
  <si>
    <t>MAFE20211496</t>
  </si>
  <si>
    <t>P-1-N-040521-2494</t>
  </si>
  <si>
    <t>Sticks Budgie Triple Variety Pack 90g</t>
  </si>
  <si>
    <t>ستكس للبدجي عبوة تنوع ثلاثي 90 جم</t>
  </si>
  <si>
    <t>MAFE20211495</t>
  </si>
  <si>
    <t>P-1-N-040521-2495</t>
  </si>
  <si>
    <t>Sticks Canary Egg-Oyster Shell 60g</t>
  </si>
  <si>
    <t>ستكس للكناري بالبيض و أصداف المحار 60 جم</t>
  </si>
  <si>
    <t>MAFE20211493</t>
  </si>
  <si>
    <t>P-1-N-040521-2497</t>
  </si>
  <si>
    <t>Sticks Canaries Exotic Fruit 60g</t>
  </si>
  <si>
    <t>ستكس للكناري بالفاكهة الاستوائية 60 جم</t>
  </si>
  <si>
    <t>MAFE20211492</t>
  </si>
  <si>
    <t>P-1-N-040521-2498</t>
  </si>
  <si>
    <t>Sticks Canaries Forest Fruit 60g</t>
  </si>
  <si>
    <t>ستكس للكناري بثمرة الغابة 60 جم</t>
  </si>
  <si>
    <t>MAFE20211491</t>
  </si>
  <si>
    <t>P-1-N-040521-2499</t>
  </si>
  <si>
    <t>Sticks Canaries Honey 60g</t>
  </si>
  <si>
    <t>ستكس للكناري بالعسل 60 جم</t>
  </si>
  <si>
    <t>MAFE20211489</t>
  </si>
  <si>
    <t>P-1-N-040521-2500</t>
  </si>
  <si>
    <t>Sticks Canary Triple Variety Pack 90g</t>
  </si>
  <si>
    <t>ستكس للكناري عبوة تنوع ثلاثي 90 جم</t>
  </si>
  <si>
    <t>MAFE20211488</t>
  </si>
  <si>
    <t>Agency</t>
  </si>
  <si>
    <t>P-1-N-040521-2502</t>
  </si>
  <si>
    <t>Sticks Parrots Exotic Fruit 140g</t>
  </si>
  <si>
    <t>ستكس للببغاوات بالفاكهة الاستوائية 140 جم</t>
  </si>
  <si>
    <t>MAFE20211487</t>
  </si>
  <si>
    <t>P-1-N-040521-2503</t>
  </si>
  <si>
    <t>Sticks Parrots Nuts &amp; Honey 140g</t>
  </si>
  <si>
    <t>ستكس للببغاوات بالمكسرات والعسل 140 جم</t>
  </si>
  <si>
    <t>MAFE20211486</t>
  </si>
  <si>
    <t>422259</t>
  </si>
  <si>
    <t>P-1-N-040521-2504</t>
  </si>
  <si>
    <t>Prestige Snack Big Parakeets 125g</t>
  </si>
  <si>
    <t>بريستيج سناك للبراكيت الكبيرة 125 جم</t>
  </si>
  <si>
    <t>MAFE20211485</t>
  </si>
  <si>
    <t>P-1-N-050521-2537</t>
  </si>
  <si>
    <t>Poultry-Menu 15kg</t>
  </si>
  <si>
    <t>منيو دواجن 15 كجم</t>
  </si>
  <si>
    <t>MAFE20211562</t>
  </si>
  <si>
    <t>50010834</t>
  </si>
  <si>
    <t>P-1-N-110521-2661</t>
  </si>
  <si>
    <t>Kitten Grainfree 10kg</t>
  </si>
  <si>
    <t>ﻛﻴﺘﻦ خالي من الحبوب 10 كجم</t>
  </si>
  <si>
    <t>MAFE20211601</t>
  </si>
  <si>
    <t>50010835</t>
  </si>
  <si>
    <t>P-1-N-110521-2662</t>
  </si>
  <si>
    <t>Kitten Grainfree 4.25kg</t>
  </si>
  <si>
    <t>ﻛﻴﺘﻦ خالي من الحبوب 4.25 جم</t>
  </si>
  <si>
    <t>MAFE20211576</t>
  </si>
  <si>
    <t>422097</t>
  </si>
  <si>
    <t>P-1-N-180521-2690</t>
  </si>
  <si>
    <t>Nutribird A18 Lori 800g</t>
  </si>
  <si>
    <t>نيوتريبيرد اي18 لوري 800 جم</t>
  </si>
  <si>
    <t>MAFE20211652</t>
  </si>
  <si>
    <t>422012</t>
  </si>
  <si>
    <t>P-1-N-180521-2691</t>
  </si>
  <si>
    <t>Nutribird A19 800g</t>
  </si>
  <si>
    <t>نيوتريبيرد اي19 800 جم</t>
  </si>
  <si>
    <t>MAFE20211647</t>
  </si>
  <si>
    <t>422081</t>
  </si>
  <si>
    <t>P-1-N-180521-2692</t>
  </si>
  <si>
    <t>Nutribird A19 H.E. 800g</t>
  </si>
  <si>
    <t>نيوتريبيرد اي19 اتش. إي. 800 جم</t>
  </si>
  <si>
    <t>MAFE20211646</t>
  </si>
  <si>
    <t>422010</t>
  </si>
  <si>
    <t>P-1-N-180521-2693</t>
  </si>
  <si>
    <t>Nutribird A21 800g</t>
  </si>
  <si>
    <t>نيوتريبيرد اي21 800 جم</t>
  </si>
  <si>
    <t>MAFE20211668</t>
  </si>
  <si>
    <t>P-1-N-180521-2694</t>
  </si>
  <si>
    <t>MAFE20211645</t>
  </si>
  <si>
    <t>P-1-N-180521-2695</t>
  </si>
  <si>
    <t>Tuna White Meat and Rice with Carrot in broth 285g</t>
  </si>
  <si>
    <t>لحم تونا ابيض مع أرز بالجزر في المرق 285 جم</t>
  </si>
  <si>
    <t>MAFE20211667</t>
  </si>
  <si>
    <t>422098</t>
  </si>
  <si>
    <t>P-1-N-230521-2788</t>
  </si>
  <si>
    <t>Nutribird A18 Lori 3kg</t>
  </si>
  <si>
    <t>نيوتريبيرد اي18 لوري 3 كجم</t>
  </si>
  <si>
    <t>MAFE20211755</t>
  </si>
  <si>
    <t>422172</t>
  </si>
  <si>
    <t>P-1-N-230521-2789</t>
  </si>
  <si>
    <t>Nutribird A19 3kg</t>
  </si>
  <si>
    <t>نيوتريبيرد اي19 3 كجم</t>
  </si>
  <si>
    <t>MAFE20211754</t>
  </si>
  <si>
    <t>422082</t>
  </si>
  <si>
    <t>P-1-N-230521-2790</t>
  </si>
  <si>
    <t>Nutribird A19 H.E. 3kg</t>
  </si>
  <si>
    <t>نيوتريبيرد اي19 اتش. إي. 3 كجم</t>
  </si>
  <si>
    <t>MAFE20211753</t>
  </si>
  <si>
    <t>422015</t>
  </si>
  <si>
    <t>P-1-N-230521-2791</t>
  </si>
  <si>
    <t>Nutribird A21 3kg</t>
  </si>
  <si>
    <t>نيوتريبيرد اي21 3 كجم</t>
  </si>
  <si>
    <t>MAFE20211752</t>
  </si>
  <si>
    <t>424185</t>
  </si>
  <si>
    <t>P-1-N-230521-2804</t>
  </si>
  <si>
    <t>Mountain Hay Mint 500g</t>
  </si>
  <si>
    <t>تبن جبلي بالنعناع 500 جم</t>
  </si>
  <si>
    <t>MAFE20211696</t>
  </si>
  <si>
    <t>422255</t>
  </si>
  <si>
    <t>P-1-N-230521-2815</t>
  </si>
  <si>
    <t>Prestige Snack Canaries 125g</t>
  </si>
  <si>
    <t>بريستيج سناك للكناري 125 جم</t>
  </si>
  <si>
    <t>MAFE20211694</t>
  </si>
  <si>
    <t>422258</t>
  </si>
  <si>
    <t>P-1-N-230521-2816</t>
  </si>
  <si>
    <t>Prestige Snack Budgies 125g</t>
  </si>
  <si>
    <t>بريستيج سناك للبادجي 125 جم</t>
  </si>
  <si>
    <t>MAFE20211686</t>
  </si>
  <si>
    <t>422257</t>
  </si>
  <si>
    <t>P-1-N-230521-2817</t>
  </si>
  <si>
    <t>Prestige Snack Finches 125g</t>
  </si>
  <si>
    <t>بريستيج سناك للفينش 125 جم</t>
  </si>
  <si>
    <t>MAFE20211685</t>
  </si>
  <si>
    <t>422256</t>
  </si>
  <si>
    <t>P-1-N-230521-2818</t>
  </si>
  <si>
    <t>Prestige Snack Wild Seed 125g</t>
  </si>
  <si>
    <t>بريستيج سناك بالبذور البرية 125 جم</t>
  </si>
  <si>
    <t>MAFE20211684</t>
  </si>
  <si>
    <t>422311</t>
  </si>
  <si>
    <t>P-1-N-230521-2820</t>
  </si>
  <si>
    <t>Sticks Finches Exotic Fruit 60g</t>
  </si>
  <si>
    <t>ستكس للفينش بالفاكهة الاستوائية 60 جم</t>
  </si>
  <si>
    <t>MAFE20211683</t>
  </si>
  <si>
    <t>424180</t>
  </si>
  <si>
    <t>P-1-N-230521-2822</t>
  </si>
  <si>
    <t>Mountain Hay Herbs 500g</t>
  </si>
  <si>
    <t>تبن جبلي بالأعشاب 500 جم</t>
  </si>
  <si>
    <t>MAFE20211682</t>
  </si>
  <si>
    <t>424181</t>
  </si>
  <si>
    <t>P-1-N-230521-2823</t>
  </si>
  <si>
    <t>Mountain Hay Dandelion 500g</t>
  </si>
  <si>
    <t>تبن جبلي بالهندباء 500 جم</t>
  </si>
  <si>
    <t>MAFE20211681</t>
  </si>
  <si>
    <t>424182</t>
  </si>
  <si>
    <t>P-1-N-230521-2824</t>
  </si>
  <si>
    <t>Mountain Hay Camomille 500g</t>
  </si>
  <si>
    <t>تبن جبلي بالبابونج 500 جم</t>
  </si>
  <si>
    <t>MAFE20211751</t>
  </si>
  <si>
    <t>451343</t>
  </si>
  <si>
    <t>P-1-N-230521-2827</t>
  </si>
  <si>
    <t>Prestige Millet Gold 100g</t>
  </si>
  <si>
    <t>برستيج دخن ذهبي 100 جم</t>
  </si>
  <si>
    <t>451330</t>
  </si>
  <si>
    <t>P-1-N-230521-2828</t>
  </si>
  <si>
    <t>Prestige Millet Gold 300g</t>
  </si>
  <si>
    <t>برستيج دخن ذهبي 300 جم</t>
  </si>
  <si>
    <t>451321</t>
  </si>
  <si>
    <t>P-1-N-230521-2829</t>
  </si>
  <si>
    <t>Prestige Millet Gold 1kg</t>
  </si>
  <si>
    <t>برستيج دخن ذهبي 1 كجم</t>
  </si>
  <si>
    <t>424194</t>
  </si>
  <si>
    <t>P-1-N-240521-2834</t>
  </si>
  <si>
    <t>Nature Timothy Hay Beetroot &amp; Tomato 500g</t>
  </si>
  <si>
    <t>نيتشر تيموثي تبن بالشمندر والطماطم 500 جم</t>
  </si>
  <si>
    <t>MAFE20211750</t>
  </si>
  <si>
    <t>424192</t>
  </si>
  <si>
    <t>P-1-N-240521-2835</t>
  </si>
  <si>
    <t>Nature Timothy Hay Bell Pepper &amp; Parsnip 500g</t>
  </si>
  <si>
    <t>نيتشر تيموثي تبن بالفلفل الحلو والجزر الأبيض 500 جم</t>
  </si>
  <si>
    <t>MAFE20211749</t>
  </si>
  <si>
    <t>424193</t>
  </si>
  <si>
    <t>P-1-N-240521-2836</t>
  </si>
  <si>
    <t>Nature Timothy Hay Carrots &amp; Pumpkin 500g</t>
  </si>
  <si>
    <t>نيتشر تيموثي تبن بالجزر واليقطين 500 جم</t>
  </si>
  <si>
    <t>MAFE20211748</t>
  </si>
  <si>
    <t>461699</t>
  </si>
  <si>
    <t>P-1-N-240521-2838</t>
  </si>
  <si>
    <t>Crispy Muesli Hamsters &amp; Co 400g</t>
  </si>
  <si>
    <t>كريسبي موسلي للهامستر 400 جم</t>
  </si>
  <si>
    <t>MAFE20211734</t>
  </si>
  <si>
    <t>461434</t>
  </si>
  <si>
    <t>P-1-N-240521-2841</t>
  </si>
  <si>
    <t>Nature Snack Berries 85g</t>
  </si>
  <si>
    <t>نيتشر سناك بالتوت 85 جم</t>
  </si>
  <si>
    <t>MAFE20211733</t>
  </si>
  <si>
    <t>461435</t>
  </si>
  <si>
    <t>P-1-N-240521-2842</t>
  </si>
  <si>
    <t>Nature Snack Fruities 85g</t>
  </si>
  <si>
    <t>نيتشر سناك فروتيز 85 جم</t>
  </si>
  <si>
    <t>MAFE20211732</t>
  </si>
  <si>
    <t>461437</t>
  </si>
  <si>
    <t>P-1-N-240521-2843</t>
  </si>
  <si>
    <t>Nature Snack Proteins 85g</t>
  </si>
  <si>
    <t>نيتشر سناك بروتين 85 جم</t>
  </si>
  <si>
    <t>MAFE20211731</t>
  </si>
  <si>
    <t>461433</t>
  </si>
  <si>
    <t>P-1-N-240521-2844</t>
  </si>
  <si>
    <t>Nature Snack Veggies 85g</t>
  </si>
  <si>
    <t>نيتشر سناك فيجيز 85 جم</t>
  </si>
  <si>
    <t>MAFE20211730</t>
  </si>
  <si>
    <t>P-1-N-240521-2849</t>
  </si>
  <si>
    <t>Oropharma Ferti-Vit 25g</t>
  </si>
  <si>
    <t>أوروفارما فرتي-فيت 25 جم</t>
  </si>
  <si>
    <t>PRFE20211729</t>
  </si>
  <si>
    <t>P-1-N-240521-2850</t>
  </si>
  <si>
    <t>Oropharma Ferti-Vit 200g</t>
  </si>
  <si>
    <t>أوروفارما فرتي-فيت 200 جم</t>
  </si>
  <si>
    <t>PRFE20211728</t>
  </si>
  <si>
    <t>460207</t>
  </si>
  <si>
    <t>P-1-N-240521-2851</t>
  </si>
  <si>
    <t>Oropharma Muta-Vit 25g</t>
  </si>
  <si>
    <t>أوروفارما ميوتا-فيت 25 جم</t>
  </si>
  <si>
    <t>PRFE20211727</t>
  </si>
  <si>
    <t>460208</t>
  </si>
  <si>
    <t>P-1-N-240521-2852</t>
  </si>
  <si>
    <t>Oropharma Muta-Vit 200g</t>
  </si>
  <si>
    <t>أوروفارما ميوتا-فيت 200 جم</t>
  </si>
  <si>
    <t>PRFE20211726</t>
  </si>
  <si>
    <t>460203</t>
  </si>
  <si>
    <t>P-1-N-240521-2853</t>
  </si>
  <si>
    <t>Oropharma Omni-Vit 25g</t>
  </si>
  <si>
    <t>أوروفارما اومني-فيت 25 جم</t>
  </si>
  <si>
    <t>PRFE20211725</t>
  </si>
  <si>
    <t>460204</t>
  </si>
  <si>
    <t>P-1-N-240521-2854</t>
  </si>
  <si>
    <t>Oropharma Omni-Vit 200g</t>
  </si>
  <si>
    <t>أوروفارما اومني-فيت 200 جم</t>
  </si>
  <si>
    <t>PRFE20211724</t>
  </si>
  <si>
    <t>P-1-N-250521-2887</t>
  </si>
  <si>
    <t>RFM20211747</t>
  </si>
  <si>
    <t>P-1-N-250521-2888</t>
  </si>
  <si>
    <t>RFM20211746</t>
  </si>
  <si>
    <t>P-1-N-250521-2889</t>
  </si>
  <si>
    <t>RFM20211745</t>
  </si>
  <si>
    <t>170575</t>
  </si>
  <si>
    <t>P-1-N-260521-2913</t>
  </si>
  <si>
    <t>Profine Cat Light Turkey 2kg</t>
  </si>
  <si>
    <t>بروفاين للقطط بالديك الرومي الخفيف 2 كجم</t>
  </si>
  <si>
    <t>MAFE20211789</t>
  </si>
  <si>
    <t>170576</t>
  </si>
  <si>
    <t>P-1-N-260521-2914</t>
  </si>
  <si>
    <t>Profine Cat Light Turkey 10kg</t>
  </si>
  <si>
    <t>بروفاين للقطط بالديك الرومي الخفيف 10 كجم</t>
  </si>
  <si>
    <t>MAFE20211788</t>
  </si>
  <si>
    <t>100293</t>
  </si>
  <si>
    <t>P-1-N-260521-2916</t>
  </si>
  <si>
    <t>Profine Grain Free Duck Snack 200g</t>
  </si>
  <si>
    <t>بروفاين وجبة خفيفة خالية من الحبوب بالبط 200 جم</t>
  </si>
  <si>
    <t>MAFE20211787</t>
  </si>
  <si>
    <t>100289</t>
  </si>
  <si>
    <t>P-1-N-260521-2917</t>
  </si>
  <si>
    <t>Profine Grain Free Chicken Snack 200g</t>
  </si>
  <si>
    <t>بروفاين وجبة خفيفة خالية من الحبوب بالدجاج 200 جم</t>
  </si>
  <si>
    <t>MAFE20211786</t>
  </si>
  <si>
    <t>100290</t>
  </si>
  <si>
    <t>P-1-N-260521-2918</t>
  </si>
  <si>
    <t>Porfine Grain Free Lamb Snack 200g</t>
  </si>
  <si>
    <t>بروفاين وجبة خفيفة خالية من الحبوب بلحم الضأن 200 جم</t>
  </si>
  <si>
    <t>MAFE20211785</t>
  </si>
  <si>
    <t>100291</t>
  </si>
  <si>
    <t>P-1-N-260521-2919</t>
  </si>
  <si>
    <t>Porfine Grain Free Salmon Snack 200g</t>
  </si>
  <si>
    <t>بروفاين وجبة خفيفة خالية من الحبوب بالسالمون 200 جم</t>
  </si>
  <si>
    <t>MAFE20211784</t>
  </si>
  <si>
    <t>100292</t>
  </si>
  <si>
    <t>P-1-N-260521-2920</t>
  </si>
  <si>
    <t>Porfine Grain Free Turkey Snack 200g</t>
  </si>
  <si>
    <t>بروفاين وجبة خفيفة خالية من الحبوب بالديك رومى 200 جم</t>
  </si>
  <si>
    <t>MAFE20211783</t>
  </si>
  <si>
    <t>111389</t>
  </si>
  <si>
    <t>P-1-N-260521-2921</t>
  </si>
  <si>
    <t>Porfine Duck Enriched with Goji Berries 50g</t>
  </si>
  <si>
    <t>بروفاين بط مع توت القوجي 50 جم</t>
  </si>
  <si>
    <t>MAFE20211782</t>
  </si>
  <si>
    <t>111390</t>
  </si>
  <si>
    <t>P-1-N-260521-2922</t>
  </si>
  <si>
    <t>Porfine Tuna Enriched with Fennel 50g</t>
  </si>
  <si>
    <t>بروفاين تونة مع الشمر 50 جم</t>
  </si>
  <si>
    <t>MAFE20211781</t>
  </si>
  <si>
    <t>111391</t>
  </si>
  <si>
    <t>P-1-N-260521-2923</t>
  </si>
  <si>
    <t>Porfine Turkey Enriched with Oat Grass 50g</t>
  </si>
  <si>
    <t>بروفاين ديك رومي مع عشب الشوفان 50 جم</t>
  </si>
  <si>
    <t>MAFE20211780</t>
  </si>
  <si>
    <t>170548</t>
  </si>
  <si>
    <t>P-1-N-260521-2928</t>
  </si>
  <si>
    <t>Porfine Puppy Lamb &amp; Potatoes 3kg</t>
  </si>
  <si>
    <t>بروفاين للجراء بلحم الغنم والبطاطس 3 كجم</t>
  </si>
  <si>
    <t>MAFE20211779</t>
  </si>
  <si>
    <t>170550</t>
  </si>
  <si>
    <t>P-1-N-260521-2929</t>
  </si>
  <si>
    <t>Porfine Adult Lamb &amp; Potatoes 3kg</t>
  </si>
  <si>
    <t>بروفاين للكلاب البالغة بلحم الغنم والبطاطس 3 كجم</t>
  </si>
  <si>
    <t>MAFE20211776</t>
  </si>
  <si>
    <t>170569</t>
  </si>
  <si>
    <t>P-1-N-260521-2930</t>
  </si>
  <si>
    <t>Porfine Cat Indoor Adult Lamb 2kg</t>
  </si>
  <si>
    <t>بروفاين للقطط الداخلية البالغة بلحم الغنم 2 كجم</t>
  </si>
  <si>
    <t>MAFE20211777</t>
  </si>
  <si>
    <t>424046</t>
  </si>
  <si>
    <t>P-1-N-300521-3010</t>
  </si>
  <si>
    <t>Orlux Lori 700g</t>
  </si>
  <si>
    <t>اورلوكس لوري 700 جم</t>
  </si>
  <si>
    <t>MAFE20211830</t>
  </si>
  <si>
    <t>424049</t>
  </si>
  <si>
    <t>P-1-N-300521-3011</t>
  </si>
  <si>
    <t>Orlux Lori 3kg</t>
  </si>
  <si>
    <t>اورلوكس لوري 3 كجم</t>
  </si>
  <si>
    <t>MAFE20211829</t>
  </si>
  <si>
    <t>C02900400</t>
  </si>
  <si>
    <t>P-1-N-300521-3022</t>
  </si>
  <si>
    <t>Schesir NS Dry Chicken 4.5 kg</t>
  </si>
  <si>
    <t>شيزير أن أس طعام جاف بالدجاج 4.5 كجم</t>
  </si>
  <si>
    <t>MAFE20211828</t>
  </si>
  <si>
    <t>C02900105</t>
  </si>
  <si>
    <t>P-1-N-300521-3040</t>
  </si>
  <si>
    <t>Schesir NS Dry Tuna 350g</t>
  </si>
  <si>
    <t>شيزير أن أس طعام جاف بالتونة 350 جم</t>
  </si>
  <si>
    <t>MAFE20211823</t>
  </si>
  <si>
    <t>P-1-N-300521-3041</t>
  </si>
  <si>
    <t>MAFE20211822</t>
  </si>
  <si>
    <t>P-1-N-300521-3042</t>
  </si>
  <si>
    <t>شيزير أن أس طعام جاف بالديك الرومي 350 جم</t>
  </si>
  <si>
    <t>MAFE20211821</t>
  </si>
  <si>
    <t>B1047</t>
  </si>
  <si>
    <t>P-1-N-020621-3212</t>
  </si>
  <si>
    <t>Butchers Functional Cat Beauty Lamb CIJ 400g</t>
  </si>
  <si>
    <t>بوتشرز فنكشنال بيوتي بقطع لحم الضأن في الجلي للقطط 400 جم</t>
  </si>
  <si>
    <t>MAFE20211876</t>
  </si>
  <si>
    <t>11657</t>
  </si>
  <si>
    <t>P-1-N-100621-3439</t>
  </si>
  <si>
    <t>Multi Vit Reptiles 20ml</t>
  </si>
  <si>
    <t>مولتي فيت للزواحف 20 مل</t>
  </si>
  <si>
    <t>PRFE20212018</t>
  </si>
  <si>
    <t>482772</t>
  </si>
  <si>
    <t>P-1-N-170621-3656</t>
  </si>
  <si>
    <t>Snack Duck Fillets 70g Rich in Duck</t>
  </si>
  <si>
    <t>سناك فيليه بط 70جم غني بالبط</t>
  </si>
  <si>
    <t>MAFE20212127</t>
  </si>
  <si>
    <t>482774</t>
  </si>
  <si>
    <t>P-1-N-170621-3657</t>
  </si>
  <si>
    <t>Snack Chicken Wings 100g Rich in Chicken</t>
  </si>
  <si>
    <t>سناك جوانح دجاج 100جم غني بالدجاج</t>
  </si>
  <si>
    <t>MAFE20212103</t>
  </si>
  <si>
    <t>P-1-N-170621-3658</t>
  </si>
  <si>
    <t>سناك عظام المضغ بالدجاج ×10 قطع غني بالدجاج 85 جم</t>
  </si>
  <si>
    <t>MAFE20212102</t>
  </si>
  <si>
    <t>482784</t>
  </si>
  <si>
    <t>P-1-N-170621-3659</t>
  </si>
  <si>
    <t>Snack Chicken Sausages 100g Rich in Chicken</t>
  </si>
  <si>
    <t>سناك نقانق 100جم غني بالدجاج</t>
  </si>
  <si>
    <t>MAFE20212101</t>
  </si>
  <si>
    <t>482785</t>
  </si>
  <si>
    <t>P-1-N-170621-3660</t>
  </si>
  <si>
    <t>Snack Chicken Sandwich 100g Rich in Chicken</t>
  </si>
  <si>
    <t>سناك ساندويش100 جم غني بالدجاج</t>
  </si>
  <si>
    <t>MAFE20212100</t>
  </si>
  <si>
    <t>482786</t>
  </si>
  <si>
    <t>P-1-N-170621-3661</t>
  </si>
  <si>
    <t>Snack Chicken Sushi 100g Rich in Chicken</t>
  </si>
  <si>
    <t>سناك سوشي 100جم غني بالدجاج</t>
  </si>
  <si>
    <t>MAFE20212099</t>
  </si>
  <si>
    <t>582150</t>
  </si>
  <si>
    <t>P-1-N-170621-3662</t>
  </si>
  <si>
    <t>Snack Mini Chicken Fillets 50g Rich in Chicken</t>
  </si>
  <si>
    <t>سناك ميني دجاج فيليه 50جم غني بالدجاج</t>
  </si>
  <si>
    <t>MAFE20212098</t>
  </si>
  <si>
    <t>582151</t>
  </si>
  <si>
    <t>P-1-N-170621-3663</t>
  </si>
  <si>
    <t>Snack Mini Duck Slices 50g Rich in Duck</t>
  </si>
  <si>
    <t>سناك ميني بط شرائح 50جم غني بالبط</t>
  </si>
  <si>
    <t>MAFE20212097</t>
  </si>
  <si>
    <t>582152</t>
  </si>
  <si>
    <t>P-1-N-170621-3664</t>
  </si>
  <si>
    <t>Snack Mini Chicken Sandwich 50g Rich in Chicken</t>
  </si>
  <si>
    <t>سناك ميني دجاج ساندويش 50جم غني بالدجاج</t>
  </si>
  <si>
    <t>MAFE20212096</t>
  </si>
  <si>
    <t>582153</t>
  </si>
  <si>
    <t>P-1-N-170621-3665</t>
  </si>
  <si>
    <t>Snack Mini Chicken Sushi 50g Rich in Chicken</t>
  </si>
  <si>
    <t>سناك ميني دجاج سوشي 50 جم غني بالدجاج</t>
  </si>
  <si>
    <t>MAFE20212095</t>
  </si>
  <si>
    <t>1001006</t>
  </si>
  <si>
    <t>P-1-N-200621-3701</t>
  </si>
  <si>
    <t>Nutri-Vet Hairball Chicken Paw Gel for Cats 89ml</t>
  </si>
  <si>
    <t>نيوتري-فيت كرة الشعر باو جل بالدجاج للقطط 89 مل</t>
  </si>
  <si>
    <t>MAFE20212093</t>
  </si>
  <si>
    <t>1001009</t>
  </si>
  <si>
    <t>P-1-N-200621-3705</t>
  </si>
  <si>
    <t>Nutri-Vet Hip and Joint Paw Gel for Cats 89ml</t>
  </si>
  <si>
    <t>نيوتري-فيت الورك والمفاصل باو جل للقطط 89 مل</t>
  </si>
  <si>
    <t>MAFE20212092</t>
  </si>
  <si>
    <t>1001014</t>
  </si>
  <si>
    <t>P-1-N-200621-3707</t>
  </si>
  <si>
    <t>Nutri-Vet Multi-Vite Paw-Gel for Cats 89ml</t>
  </si>
  <si>
    <t>نيوتري-فيت مولتي-فايت باو جل للقطط 89 مل</t>
  </si>
  <si>
    <t>MAFE20212091</t>
  </si>
  <si>
    <t>1001015</t>
  </si>
  <si>
    <t>P-1-N-210621-3719</t>
  </si>
  <si>
    <t>Nutri-Vet Pet-Ease Paw-Gel for Cats 89ml</t>
  </si>
  <si>
    <t>نيوتري-فيت بت-ايز باو جل للقطط 89 مل</t>
  </si>
  <si>
    <t>MAFE20212139</t>
  </si>
  <si>
    <t>1001017</t>
  </si>
  <si>
    <t>P-1-N-210621-3721</t>
  </si>
  <si>
    <t>Nutri-Vet Hairball Salmon Paw Gel for Cats 89ml</t>
  </si>
  <si>
    <t>نيوتري-فيت كرة الشعر باو جل بالسلمون للقطط 89 مل</t>
  </si>
  <si>
    <t>MAFE20212138</t>
  </si>
  <si>
    <t>1001021</t>
  </si>
  <si>
    <t>P-1-N-210621-3722</t>
  </si>
  <si>
    <t>Nutri-Vet Wild Alaskan Salmon Oil for Cats 118ml</t>
  </si>
  <si>
    <t>نيوتري-فيت زيت السلمون البري من ألاسكا للقطط 118 مل</t>
  </si>
  <si>
    <t>MAFE20212137</t>
  </si>
  <si>
    <t>1001036</t>
  </si>
  <si>
    <t>P-1-N-210621-3724</t>
  </si>
  <si>
    <t>Nutri-Vet Breath and Tartar Biscuits for Dogs 553g</t>
  </si>
  <si>
    <t>نيوتري-فيت بسكويت للتنفس والجير للكلاب 553 جم</t>
  </si>
  <si>
    <t>MAFE20212163</t>
  </si>
  <si>
    <t>1001060</t>
  </si>
  <si>
    <t>P-1-N-210621-3727</t>
  </si>
  <si>
    <t>Nutri-Vet Hip and Joint Biscuits for Dogs 553g</t>
  </si>
  <si>
    <t>نيوتري-فيت بسكويت الورك والمفاصل للكلاب 553 جم</t>
  </si>
  <si>
    <t>MAFE20212136</t>
  </si>
  <si>
    <t>1001061</t>
  </si>
  <si>
    <t>P-1-N-210621-3728</t>
  </si>
  <si>
    <t>Nutri-Vet Hip and Joint Biscuits for Dogs 2.7kg</t>
  </si>
  <si>
    <t>نيوتري-فيت بسكويت الورك والمفاصل للكلاب 2.7 كجم</t>
  </si>
  <si>
    <t>MAFE20212135</t>
  </si>
  <si>
    <t>1001099</t>
  </si>
  <si>
    <t>P-1-N-210621-3729</t>
  </si>
  <si>
    <t>Nutri-Vet Wild Alaskan Salmon Oil for Dogs 399ml</t>
  </si>
  <si>
    <t>نيوتري-فيت زيت السلمون البري من ألاسكا للكلاب 399 مل</t>
  </si>
  <si>
    <t>MAFE20212162</t>
  </si>
  <si>
    <t>1001100</t>
  </si>
  <si>
    <t>P-1-N-210621-3730</t>
  </si>
  <si>
    <t>Nutri-Vet Wild Alaskan Salmon Oil for Dogs 192ml</t>
  </si>
  <si>
    <t>نيوتري-فيت زيت السلمون البري من ألاسكا للكلاب 192 مل</t>
  </si>
  <si>
    <t>MAFE20212134</t>
  </si>
  <si>
    <t>P-1-N-230621-3793</t>
  </si>
  <si>
    <t>SCHESIR for Cat Tuna with Whitebaits 85g</t>
  </si>
  <si>
    <t>شيزير للقطط بالتونة مع الوايتبيتس 85 جم</t>
  </si>
  <si>
    <t>MAFE20212259</t>
  </si>
  <si>
    <t>P-1-N-230621-3794</t>
  </si>
  <si>
    <t>SCHESIR for Cat Tuna with Pineapple 85g</t>
  </si>
  <si>
    <t>شيزير للقطط بالتونة مع الأناناس 85 جم</t>
  </si>
  <si>
    <t>MAFE20212257</t>
  </si>
  <si>
    <t>P-1-N-230621-3795</t>
  </si>
  <si>
    <t>SCHESIR for Cat Tuna with Shrimp 85g</t>
  </si>
  <si>
    <t>شيزير للقطط بالتونة مع الجمبري 85 جم</t>
  </si>
  <si>
    <t>MAFE20212256</t>
  </si>
  <si>
    <t>P-1-N-230621-3796</t>
  </si>
  <si>
    <t>SCHESIR for Cat Tuna with Apple 85g</t>
  </si>
  <si>
    <t>شيزير للقطط بالتونة مع التفاح 85 جم</t>
  </si>
  <si>
    <t>MAFE20212255</t>
  </si>
  <si>
    <t>C675</t>
  </si>
  <si>
    <t>P-1-N-230621-3797</t>
  </si>
  <si>
    <t>SCHESIR for Cat Tuna with Papaya 85g</t>
  </si>
  <si>
    <t>شيزير للقطط بالتونة مع البابايا 85 جم</t>
  </si>
  <si>
    <t>MAFE20212254</t>
  </si>
  <si>
    <t>P-1-N-230621-3798</t>
  </si>
  <si>
    <t>SCHESIR for Cat Tuna with Mackerel 85g</t>
  </si>
  <si>
    <t>شيزير للقطط بالتونة مع الماكريل 85 جم</t>
  </si>
  <si>
    <t>MAFE20212253</t>
  </si>
  <si>
    <t>C0170101</t>
  </si>
  <si>
    <t>P-1-N-230621-3800</t>
  </si>
  <si>
    <t>SCHESIR for Cat Tuna with Chicken Slices 85g</t>
  </si>
  <si>
    <t>شيزير للقطط بالتونة مع شرائح دجاج 85 جم</t>
  </si>
  <si>
    <t>MAFE20212250</t>
  </si>
  <si>
    <t>1068120</t>
  </si>
  <si>
    <t>P-1-N-230621-3816</t>
  </si>
  <si>
    <t>Salmon in Cooking Water 4x70g</t>
  </si>
  <si>
    <t>سمك السلمون في ماء الطهي 4× 70 جرام</t>
  </si>
  <si>
    <t>MAFE20212252</t>
  </si>
  <si>
    <t>تروبيكال كانينج بابليك كمبني ليميتيد</t>
  </si>
  <si>
    <t>1068121</t>
  </si>
  <si>
    <t>P-1-N-230621-3817</t>
  </si>
  <si>
    <t>Salmon with Carrots in Cooking Water 70g</t>
  </si>
  <si>
    <t>سمك السلمون مع الجزر في ماء الطهي 70 جرام</t>
  </si>
  <si>
    <t>MAFE20212251</t>
  </si>
  <si>
    <t>P-1-N-230621-3818</t>
  </si>
  <si>
    <t>Salmon with Pumpkin in Cooking Water 70g</t>
  </si>
  <si>
    <t>سمك السلمون مع اليقطين في ماء الطهي 70 جرام</t>
  </si>
  <si>
    <t>MAFE20212249</t>
  </si>
  <si>
    <t>P-1-N-230621-3819</t>
  </si>
  <si>
    <t>Salmon with Papaya in Cooking Water 70g</t>
  </si>
  <si>
    <t>سمك السلمون مع البابايا في ماء الطهي 70 جرام</t>
  </si>
  <si>
    <t>P-1-N-230621-3820</t>
  </si>
  <si>
    <t>Salmon with Mango in Cooking Water 70g</t>
  </si>
  <si>
    <t>سمك السلمون مع المانجو في ماء الطهي 70 جرام</t>
  </si>
  <si>
    <t>MAFE20212247</t>
  </si>
  <si>
    <t>15187</t>
  </si>
  <si>
    <t>P-1-N-070721-4202</t>
  </si>
  <si>
    <t>Beaphar Lactol Puppy Milk 500g</t>
  </si>
  <si>
    <t>بيفار لاكتول حليب الجرو 500 جم</t>
  </si>
  <si>
    <t>MAFE20212489</t>
  </si>
  <si>
    <t>15188</t>
  </si>
  <si>
    <t>P-1-N-070721-4203</t>
  </si>
  <si>
    <t>Beaphar Lactol Puppy Milk 1kg</t>
  </si>
  <si>
    <t>بيفار لاكتول حليب الجرو 1 كجم</t>
  </si>
  <si>
    <t>MAFE20212458</t>
  </si>
  <si>
    <t>b1069</t>
  </si>
  <si>
    <t>P-1-N-070721-4207</t>
  </si>
  <si>
    <t>Butchers Functional Dog Sensitive Lamb &amp; Rice Pate 390g</t>
  </si>
  <si>
    <t>بوتشرز فنكشنال سنسيتيف بلحم الضأن و ارز باتي للكلاب 390 جم</t>
  </si>
  <si>
    <t>MAFE20212457</t>
  </si>
  <si>
    <t>b1066</t>
  </si>
  <si>
    <t>P-1-N-070721-4214</t>
  </si>
  <si>
    <t>Butchers Functional Dog Beauty Salmon 400g</t>
  </si>
  <si>
    <t>بوتشرز فنكشنال بيوتي بالسلمون للكلاب 400 جم</t>
  </si>
  <si>
    <t>MAFE20212456</t>
  </si>
  <si>
    <t>P-1-N-260721-4505</t>
  </si>
  <si>
    <t>فروتابلز زبدة الفول السوداني وقطع التفاح 170 جم</t>
  </si>
  <si>
    <t>MAFE20212633</t>
  </si>
  <si>
    <t>FB1030761</t>
  </si>
  <si>
    <t>P-1-N-260721-4510</t>
  </si>
  <si>
    <t>Fruitables Peanut Butter &amp; Banana Bar 170g</t>
  </si>
  <si>
    <t>فروتابلز زبدة الفول السوداني وقطع الموز 170 جم</t>
  </si>
  <si>
    <t>MAFE20212598</t>
  </si>
  <si>
    <t>FB1030762</t>
  </si>
  <si>
    <t>P-1-N-260721-4511</t>
  </si>
  <si>
    <t>Fruitables Peanut Butter &amp; Blueberry Bar 170g</t>
  </si>
  <si>
    <t>فروتابلز زبدة الفول السوداني و التوت الأزرق 170 جم</t>
  </si>
  <si>
    <t>MAFE20212597</t>
  </si>
  <si>
    <t>FB1030776</t>
  </si>
  <si>
    <t>P-1-N-260721-4512</t>
  </si>
  <si>
    <t>Fruitables Biggies Peanut Butter &amp; Banana Crunchy Flavor 454g</t>
  </si>
  <si>
    <t>فروتابلز بيجيز بزبدة الفول السوداني و نكهة الموز المقرمشة 454 جم</t>
  </si>
  <si>
    <t>MAFE20212596</t>
  </si>
  <si>
    <t>FB1030777</t>
  </si>
  <si>
    <t>P-1-N-260721-4514</t>
  </si>
  <si>
    <t>Fruitables Biggies Almond Butter &amp; Coconut Flavor 454g</t>
  </si>
  <si>
    <t>MAFE20212621</t>
  </si>
  <si>
    <t>FB1030779</t>
  </si>
  <si>
    <t>P-1-N-260721-4515</t>
  </si>
  <si>
    <t>Fruitables Biggies Pumpkin &amp; Blueberry Flavor 454g</t>
  </si>
  <si>
    <t>فروتابلز بيجيز نكهة القرع والتوت 454 جم</t>
  </si>
  <si>
    <t>MAFE20212595</t>
  </si>
  <si>
    <t>FB1005070</t>
  </si>
  <si>
    <t>P-1-N-270721-4522</t>
  </si>
  <si>
    <t>Fruitables Pumpkin 425g</t>
  </si>
  <si>
    <t>فروتابلز باليقطين 425 جم</t>
  </si>
  <si>
    <t>MAFE20212620</t>
  </si>
  <si>
    <t>1001011</t>
  </si>
  <si>
    <t>P-1-N-290721-4601</t>
  </si>
  <si>
    <t>Nutri-Vet L-Lysine Soft Chew for Cats 108g</t>
  </si>
  <si>
    <t>نيوتري-فيت ال-ليسين لينة المضغ للقطط 108 جم</t>
  </si>
  <si>
    <t>MAFE20212664</t>
  </si>
  <si>
    <t>FB1030752</t>
  </si>
  <si>
    <t>P-1-N-290721-4605</t>
  </si>
  <si>
    <t>Fruitables Pumpkin &amp; Blueberry Flavor 340g</t>
  </si>
  <si>
    <t>فروتابلز نكهة القرع والتوت الأزرق 340 جم</t>
  </si>
  <si>
    <t>MAFE20212660</t>
  </si>
  <si>
    <t>FB1030751</t>
  </si>
  <si>
    <t>P-1-N-290721-4606</t>
  </si>
  <si>
    <t>Fruitables Pumpkin &amp; Banana Flavor 340g</t>
  </si>
  <si>
    <t>فروتابلز نكهة القرع والموز 340 جم</t>
  </si>
  <si>
    <t>MAFE20212659</t>
  </si>
  <si>
    <t>P-1-N-290721-4607</t>
  </si>
  <si>
    <t>فروتابلز نكهة القرع والتفاح 340 جم</t>
  </si>
  <si>
    <t>MAFE20212658</t>
  </si>
  <si>
    <t>1001020</t>
  </si>
  <si>
    <t>P-1-N-050821-4824</t>
  </si>
  <si>
    <t>Nutri-Vet Uri-Ease Paw-Gel for Cats 89ml</t>
  </si>
  <si>
    <t>نيوتري-فيت يوري-ايز باو جل للقطط 89 مل</t>
  </si>
  <si>
    <t>NV1001069</t>
  </si>
  <si>
    <t>P-1-N-100821-4901</t>
  </si>
  <si>
    <t>Nutri-Vet Multi-Vite for Dogs 204g</t>
  </si>
  <si>
    <t>نيوتري-فيت مولتي-فايت للكلاب 204 جم</t>
  </si>
  <si>
    <t>MAFE20212816</t>
  </si>
  <si>
    <t>NV1001040</t>
  </si>
  <si>
    <t>P-1-N-100821-4903</t>
  </si>
  <si>
    <t>Nutri-Vet Brewers Yeast Chewables for Dogs 275g</t>
  </si>
  <si>
    <t>نيوتري-فيت تشوابلز بخميرة البيرة للكلاب 275 جم</t>
  </si>
  <si>
    <t>MAFE20212822</t>
  </si>
  <si>
    <t>P-1-N-150821-5057</t>
  </si>
  <si>
    <t>MAFE20212912</t>
  </si>
  <si>
    <t>P-1-N-070921-5731</t>
  </si>
  <si>
    <t>Chicken</t>
  </si>
  <si>
    <t>الدجاج والأرز مع الصبار بالجيلي 150 جم</t>
  </si>
  <si>
    <t>VB80332</t>
  </si>
  <si>
    <t>P-1-N-290921-6286</t>
  </si>
  <si>
    <t>Vet’s Best Comfort Calm Gel for Cats 100g</t>
  </si>
  <si>
    <t>فيتس بست جل مهدئ ومريح للقطط 100 جم</t>
  </si>
  <si>
    <t>MAFE20213496</t>
  </si>
  <si>
    <t>VB80137</t>
  </si>
  <si>
    <t>P-1-N-290921-6287</t>
  </si>
  <si>
    <t>Vet’s Best Comfort Calm Tablets for Dogs 132g</t>
  </si>
  <si>
    <t>فيتس بست تبلتس مهدئ ومريح للكلاب 132 جم</t>
  </si>
  <si>
    <t>MAFE20213502</t>
  </si>
  <si>
    <t>VB80243</t>
  </si>
  <si>
    <t>P-1-N-290921-6288</t>
  </si>
  <si>
    <t>Vet’s Best Immune Support Tablets for Dogs 150g</t>
  </si>
  <si>
    <t>فيتس بست تبلتس لدعم المناعة للكلاب 150 جم</t>
  </si>
  <si>
    <t>MAFE20213503</t>
  </si>
  <si>
    <t>VB80333</t>
  </si>
  <si>
    <t>P-1-N-290921-6289</t>
  </si>
  <si>
    <t>Vet’s Best Hairball Control Gel for Cats 100g</t>
  </si>
  <si>
    <t>فيتس بست جل لكرات الشعر للقطط 100 جم</t>
  </si>
  <si>
    <t>MAFE20213504</t>
  </si>
  <si>
    <t>P-1-N-290921-6290</t>
  </si>
  <si>
    <t>فيتس بست تبلتس للجلد والفرو للكلاب 150 جم</t>
  </si>
  <si>
    <t>MAFE20213505</t>
  </si>
  <si>
    <t>VB80335</t>
  </si>
  <si>
    <t>P-1-N-290921-6291</t>
  </si>
  <si>
    <t>Vet’s Best Urinary Tract Support Gel for Cats 100g</t>
  </si>
  <si>
    <t>فيتس بست يوريناري تراكت سابورت جل للقطط 100 جم</t>
  </si>
  <si>
    <t>MAFE20213526</t>
  </si>
  <si>
    <t>VB80334</t>
  </si>
  <si>
    <t>P-1-N-290921-6292</t>
  </si>
  <si>
    <t>Vet’s Best Multi System Support Gel for Cats 100g</t>
  </si>
  <si>
    <t>فيتس بست جل متعدد الأنظمة لدعم القطط 100 جم</t>
  </si>
  <si>
    <t>MAFE20213506</t>
  </si>
  <si>
    <t>P-1-N-300921-6338</t>
  </si>
  <si>
    <t>MAFE20213507</t>
  </si>
  <si>
    <t>100414</t>
  </si>
  <si>
    <t>P-1-N-211021-6970</t>
  </si>
  <si>
    <t>Profine Chicken and Marigold 50g</t>
  </si>
  <si>
    <t>MAFE20213916</t>
  </si>
  <si>
    <t>100415</t>
  </si>
  <si>
    <t>P-1-N-211021-6971</t>
  </si>
  <si>
    <t>Profine Lamb with Chokeberries 50g</t>
  </si>
  <si>
    <t>بروفاين لحم ضآن مع التشوكبيري 50 جم</t>
  </si>
  <si>
    <t>MAFE20213891</t>
  </si>
  <si>
    <t>100416</t>
  </si>
  <si>
    <t>P-1-N-211021-6972</t>
  </si>
  <si>
    <t>Profine Salmon with Thyme 50g</t>
  </si>
  <si>
    <t>بروفاين سالمون مع زعتر 50 جم</t>
  </si>
  <si>
    <t>MAFE20213890</t>
  </si>
  <si>
    <t>P-1-N-011121-7322</t>
  </si>
  <si>
    <t>Crispy Muesli Hamsters &amp; Co 1 kg</t>
  </si>
  <si>
    <t>كريسبي موسلي للهامستر 1 كجم</t>
  </si>
  <si>
    <t>SV6000</t>
  </si>
  <si>
    <t>P-1-N-011121-7323</t>
  </si>
  <si>
    <t>Sanal Taurin 60g</t>
  </si>
  <si>
    <t>سانال تورين 60 جم</t>
  </si>
  <si>
    <t>MAFE20214055</t>
  </si>
  <si>
    <t>P-1-N-021121-7370</t>
  </si>
  <si>
    <t>سينسيكات 2 كجم</t>
  </si>
  <si>
    <t>MAFE20214098</t>
  </si>
  <si>
    <t>P-1-N-021121-7372</t>
  </si>
  <si>
    <t>سينسيكات 400 جم</t>
  </si>
  <si>
    <t>FOM-2024-6397-FEB-2024-49549 -C-0041-70346</t>
  </si>
  <si>
    <t>P-1-N-081121-7514</t>
  </si>
  <si>
    <t>Kit</t>
  </si>
  <si>
    <t>كيت كات كوزين كامل – تونا و بذور الشيا 150 جم</t>
  </si>
  <si>
    <t>P-1-N-081121-7520</t>
  </si>
  <si>
    <t>كيت كات كوزين كامل – تونا كلاسيك 150 جم</t>
  </si>
  <si>
    <t>MAFE20214135</t>
  </si>
  <si>
    <t>4077</t>
  </si>
  <si>
    <t>P-1-N-101121-7590</t>
  </si>
  <si>
    <t>Applaws Adult Cat Ocean Fish with Salmon 6kg</t>
  </si>
  <si>
    <t>أبلاوز سمك المحيط مع السلمون للقطط البالغة 6 كجم</t>
  </si>
  <si>
    <t>P-1-N-101121-7591</t>
  </si>
  <si>
    <t>Applaws Adult Cat Ocean Fish with Salmon 350g</t>
  </si>
  <si>
    <t>أبلاوز سمك المحيط مع السلمون للقطط البالغة 350 جم</t>
  </si>
  <si>
    <t>P-1-N-211121-7879</t>
  </si>
  <si>
    <t>Vet’s</t>
  </si>
  <si>
    <t>فيتس بست تبلتس الورك والمفاصل للكلاب 144 جم</t>
  </si>
  <si>
    <t>AHAF3108</t>
  </si>
  <si>
    <t>P-1-N-221121-7917</t>
  </si>
  <si>
    <t>Absolute Holistic Grain free Indoor - Chicken 1.36kg</t>
  </si>
  <si>
    <t>ابسولوت هوليستيك ايندور خالي من الحبوب بالدجاج 1.36 كجم</t>
  </si>
  <si>
    <t>شركة المتحدة للحيوانات الأليفة هولندا</t>
  </si>
  <si>
    <t>AHAF3085</t>
  </si>
  <si>
    <t>P-1-N-221121-7918</t>
  </si>
  <si>
    <t>Absolute Holistic Grain free Coat Care - Salmon &amp; Cod 1.36kg</t>
  </si>
  <si>
    <t>ابسولوت هوليستيك للعناية بالفراء خالي من الحبوب بسمك السلمون وسمك القد 1.36 كجم</t>
  </si>
  <si>
    <t>AHAF3146</t>
  </si>
  <si>
    <t>P-1-N-221121-7920</t>
  </si>
  <si>
    <t>Absolute Holistic Grain free Kitten - Chicken &amp; Salmon 1.36kg</t>
  </si>
  <si>
    <t>ابسولوت هوليستيك للقطط الصغيرة خالي من الحبوب بالدجاج و السلمون 1.36 كجم</t>
  </si>
  <si>
    <t>AHAF3122</t>
  </si>
  <si>
    <t>P-1-N-221121-7921</t>
  </si>
  <si>
    <t>Absolute Holistic Grain free Urinary - Tuna &amp; Chicken 1.36kg</t>
  </si>
  <si>
    <t>ابسولوت هوليستيك يوريناري خالي من الحبوب بالتونة والدجاج 1.36 كجم</t>
  </si>
  <si>
    <t>P-1-N-221121-7922</t>
  </si>
  <si>
    <t>ابسولوت هوليستيك لكرة الشعر خالي من الحبوب بالديك الرومي ، الدجاج و البط 1.36 كجم</t>
  </si>
  <si>
    <t>SD2817</t>
  </si>
  <si>
    <t>P-1-N-231121-7948</t>
  </si>
  <si>
    <t>SANAL DOG CHICKEN BONES 80g</t>
  </si>
  <si>
    <t>سانال الكلاب تشيكن بونز 80 جم</t>
  </si>
  <si>
    <t>MAFE20214410</t>
  </si>
  <si>
    <t>شركة تشينغداو يالوت للأغذية المحدودة</t>
  </si>
  <si>
    <t>SD2816</t>
  </si>
  <si>
    <t>P-1-N-231121-7949</t>
  </si>
  <si>
    <t>Sanal Dog Chicken Wrap 80g</t>
  </si>
  <si>
    <t>سانال الكلاب راب دجاج 80 جم</t>
  </si>
  <si>
    <t>MAFE20214408</t>
  </si>
  <si>
    <t>SD2815</t>
  </si>
  <si>
    <t>P-1-N-231121-7956</t>
  </si>
  <si>
    <t>Sanal Dog Chicken &amp; Fish Strips 80g</t>
  </si>
  <si>
    <t>سانال الكلاب بشرائح الدجاج و السمك 80 جم</t>
  </si>
  <si>
    <t>MAFE20214407</t>
  </si>
  <si>
    <t>SD2814</t>
  </si>
  <si>
    <t>P-1-N-231121-7957</t>
  </si>
  <si>
    <t>Sanal Dog Duck Filet 80g</t>
  </si>
  <si>
    <t>MAFE20214406</t>
  </si>
  <si>
    <t>SD2813</t>
  </si>
  <si>
    <t>P-1-N-231121-7958</t>
  </si>
  <si>
    <t>Sanal Dog Calcium Chicken Bones 80g</t>
  </si>
  <si>
    <t>سانال الكلاب كالسيوم تشيكن بونز 80 جم</t>
  </si>
  <si>
    <t>MAFE20214404</t>
  </si>
  <si>
    <t>SD2812</t>
  </si>
  <si>
    <t>P-1-N-231121-7959</t>
  </si>
  <si>
    <t>Sanal Dog Combo Rice &amp; Chicken 80g</t>
  </si>
  <si>
    <t>سانال الكلاب كومبو أرز ودجاج 80 جم</t>
  </si>
  <si>
    <t>MAFE20214405</t>
  </si>
  <si>
    <t>SD2811</t>
  </si>
  <si>
    <t>P-1-N-231121-7960</t>
  </si>
  <si>
    <t>Sanal Dog Chicken Sushi 80g</t>
  </si>
  <si>
    <t>سانال الكلاب سوشي دجاج 80 جم</t>
  </si>
  <si>
    <t>MAFE20214403</t>
  </si>
  <si>
    <t>SD2810</t>
  </si>
  <si>
    <t>P-1-N-231121-7961</t>
  </si>
  <si>
    <t>Sanal Dog Chicken Filet 80g</t>
  </si>
  <si>
    <t>سانال الكلاب بفيليه الدجاج 80 جم</t>
  </si>
  <si>
    <t>MAFE20214402</t>
  </si>
  <si>
    <t>P-1-N-051221-8369</t>
  </si>
  <si>
    <t>Vet’s Best Hip &amp; Joint Tablets for Dogs 144g</t>
  </si>
  <si>
    <t>فيتس بست هيب اند جوينت تبلتس للكلاب 144 جم</t>
  </si>
  <si>
    <t>P-1-N-061221-8398</t>
  </si>
  <si>
    <t>بادي اند بادي بسكويت تريتس للقطط 85 جم</t>
  </si>
  <si>
    <t>MAFE20214598</t>
  </si>
  <si>
    <t>وايت بريدج ماركات الحيوانات الأليفة</t>
  </si>
  <si>
    <t>WB29120</t>
  </si>
  <si>
    <t>P-1-N-071221-8447</t>
  </si>
  <si>
    <t>Buddy Biscuits Grain Free Cat Treats with Tender Chicken 85g</t>
  </si>
  <si>
    <t>بادي بسكويت وجبة خفيفة للقطط خالية من الحبوب مع الدجاج الطري 85 جم</t>
  </si>
  <si>
    <t>MAFE20214631</t>
  </si>
  <si>
    <t>WB17306</t>
  </si>
  <si>
    <t>P-1-N-071221-8448</t>
  </si>
  <si>
    <t>Buddy Biscuits Mini Jerky Chicken &amp; Sweet Potato 113g</t>
  </si>
  <si>
    <t>بادي بسكويت ميني جيركي تشيكن وبطاطا حلوة 113 جم</t>
  </si>
  <si>
    <t>MAFE20214635</t>
  </si>
  <si>
    <t>WB12515</t>
  </si>
  <si>
    <t>P-1-N-071221-8449</t>
  </si>
  <si>
    <t>Buddy Biscuits Assorted Flavors - Roasted Chicken, Grilled Beef, Sharp Cheddar 453g</t>
  </si>
  <si>
    <t>بادي بسكويت بنكهات متنوعة - دجاج مشوي ، لحم بقري مشوي ، جبن شيدر حاد 453 جم</t>
  </si>
  <si>
    <t>MAFE20214634</t>
  </si>
  <si>
    <t>WB17500</t>
  </si>
  <si>
    <t>P-1-N-071221-8450</t>
  </si>
  <si>
    <t>Buddy Biscuits Chewy Treats with Peanut Butter 170g</t>
  </si>
  <si>
    <t>بادي</t>
  </si>
  <si>
    <t>MAFE20214656</t>
  </si>
  <si>
    <t>WB17300</t>
  </si>
  <si>
    <t>P-1-N-071221-8451</t>
  </si>
  <si>
    <t>Buddy Biscuits Chewy Treats with Roasted Chicken 170g</t>
  </si>
  <si>
    <t>بادي بسكويت وجبة خفيفة وطرية مع الدجاج المشوي 170 جم</t>
  </si>
  <si>
    <t>MAFE20214630</t>
  </si>
  <si>
    <t>WB12300</t>
  </si>
  <si>
    <t>P-1-N-071221-8452</t>
  </si>
  <si>
    <t>Buddy Biscuits Crunchy Treats with Roasted Chicken 453g</t>
  </si>
  <si>
    <t>بادي بسكويت وجبة خفيفة مقرمشة مع الدجاج المشوي 453 جم</t>
  </si>
  <si>
    <t>MAFE20214626</t>
  </si>
  <si>
    <t>WB12303</t>
  </si>
  <si>
    <t>P-1-N-071221-8453</t>
  </si>
  <si>
    <t>Buddy Biscuits Crunchy Treats with Roasted Chicken 1.58kg</t>
  </si>
  <si>
    <t>بادي بسكويت وجبة خفيفة مقرمشة مع الدجاج المشوي 1.58 كجم</t>
  </si>
  <si>
    <t>MAFE20214629</t>
  </si>
  <si>
    <t>WB12507</t>
  </si>
  <si>
    <t>P-1-N-071221-8454</t>
  </si>
  <si>
    <t>Buddy Biscuits Crunchy Treats with Peanut Butter 1.58kg</t>
  </si>
  <si>
    <t>بادي بسكويت وجبة خفيفة مقرمشة مع زبدة الفول السوداني 1.58 كجم</t>
  </si>
  <si>
    <t>MAFE20214628</t>
  </si>
  <si>
    <t>WB12500</t>
  </si>
  <si>
    <t>P-1-N-071221-8455</t>
  </si>
  <si>
    <t>Buddy Biscuits Crunchy Treats with Peanut Butter 453g</t>
  </si>
  <si>
    <t>بادي بسكويت وجبة خفيفة مقرمشة مع زبدة الفول السوداني 453 جم</t>
  </si>
  <si>
    <t>MAFE20214625</t>
  </si>
  <si>
    <t>P-1-N-071221-8456</t>
  </si>
  <si>
    <t>بادي بسكويت وجبة خفيفة طرية خالية من الحبوب مع اللحم البقري المشوي 141 جم</t>
  </si>
  <si>
    <t>MAFE20214627</t>
  </si>
  <si>
    <t>WB28250</t>
  </si>
  <si>
    <t>P-1-N-071221-8457</t>
  </si>
  <si>
    <t>Buddy Biscuits Grain Free Chewy Treats with Peanut Butter 141g</t>
  </si>
  <si>
    <t>بادي بسكويت وجبة خفيفة طرية خالية من الحبوب مع زبدة الفول السوداني 141 جم</t>
  </si>
  <si>
    <t>WB28230</t>
  </si>
  <si>
    <t>P-1-N-071221-8458</t>
  </si>
  <si>
    <t>Buddy Biscuits Grain Free Chewy Treats with Roasted Chicken 141g</t>
  </si>
  <si>
    <t>ادي بسكويت وجبة خفيفة طرية خالية من الحبوب مع الدجاج المشوي 141 جم</t>
  </si>
  <si>
    <t>MAFE20214623</t>
  </si>
  <si>
    <t>WB28130</t>
  </si>
  <si>
    <t>P-1-N-071221-8459</t>
  </si>
  <si>
    <t>Buddy Biscuits Grain Free Crunchy Treats with Roasted Chicken 396g</t>
  </si>
  <si>
    <t>بادي بسكويت وجبة خفيفة مقرمشة خالية من الحبوب مع الدجاج المشوي 396 جم</t>
  </si>
  <si>
    <t>12300</t>
  </si>
  <si>
    <t>P-1-N-071221-8460</t>
  </si>
  <si>
    <t>Buddy Biscuits Grain Free Crunchy Treats with Peanut Butter 396g</t>
  </si>
  <si>
    <t>ادي</t>
  </si>
  <si>
    <t>MAFE20214655</t>
  </si>
  <si>
    <t>28330</t>
  </si>
  <si>
    <t>P-1-N-071221-8461</t>
  </si>
  <si>
    <t>Buddy Biscuits Grain Free TEENY Crunchy Treats with Peanut Butter 198g</t>
  </si>
  <si>
    <t>بادي بسكويت حجم صغير وجبة خفيفة مقرمشة خالية من الحبوب مع زبدة الفول السوداني 198 جم</t>
  </si>
  <si>
    <t>MAFE20214654</t>
  </si>
  <si>
    <t>28350</t>
  </si>
  <si>
    <t>P-1-N-071221-8462</t>
  </si>
  <si>
    <t>Buddy Biscuits Grain Free TEENY Crunchy Treats with Roasted Chicken 198g</t>
  </si>
  <si>
    <t>بادي بسكويت حجم صغير وجبة خفيفة مقرمشة خالية من الحبوب مع الدجاج المشوي 198 جم</t>
  </si>
  <si>
    <t>MAFE20214653</t>
  </si>
  <si>
    <t>WB12530</t>
  </si>
  <si>
    <t>P-1-N-071221-8463</t>
  </si>
  <si>
    <t>Buddy Biscuits TEENY Crunchy Treats with Peanut Butter 227g</t>
  </si>
  <si>
    <t>بادي بسكويت حجم صغير وجبة خفيفة مقرمشة مع زبدة الفول السوداني 227 جم</t>
  </si>
  <si>
    <t>MAFE20214652</t>
  </si>
  <si>
    <t>12530</t>
  </si>
  <si>
    <t>P-1-N-071221-8464</t>
  </si>
  <si>
    <t>Buddy Biscuits TEENY Crunchy Treats with Roasted Chicken 227g</t>
  </si>
  <si>
    <t>بادي بسكويت حجم صغير وجبة خفيفة مقرمشة مع الدجاج المشوي 227 جم</t>
  </si>
  <si>
    <t>MAFE20214651</t>
  </si>
  <si>
    <t>WB18103</t>
  </si>
  <si>
    <t>P-1-N-071221-8465</t>
  </si>
  <si>
    <t>Buddy Trainers Training Chews with Chicken Liver 198g</t>
  </si>
  <si>
    <t>بادي تراينرز وجبة خفيفة للتدريب مع كبدة الدجاج 198 جم</t>
  </si>
  <si>
    <t>MAFE20214650</t>
  </si>
  <si>
    <t>P-1-N-071221-8466</t>
  </si>
  <si>
    <t>ادي بسكويت وجبة خفيفة للقطط خالية من الحبوب مع التونة الشهية 85 جم</t>
  </si>
  <si>
    <t>MAFE20214649</t>
  </si>
  <si>
    <t>WB80263</t>
  </si>
  <si>
    <t>P-1-N-281221-9165</t>
  </si>
  <si>
    <t>Tiki Cat Aloha Friends Wet Cat Food Tuna, Tilapia &amp; Pumpkin 85g</t>
  </si>
  <si>
    <t>تيكي كات ألوها فريندز طعام القطط الرطب بالتونا وسمك البلطي واليقطين 85 جم</t>
  </si>
  <si>
    <t>WB80261</t>
  </si>
  <si>
    <t>P-1-N-281221-9167</t>
  </si>
  <si>
    <t>Tiki Cat Aloha Friends Wet Cat Food Tuna, Ocean Whitefish &amp; Pumpkin 85g</t>
  </si>
  <si>
    <t>تيكي كات ألوها فريندز طعام القطط الرطب بالتونا والسمك الابيض واليقطين 85 جم</t>
  </si>
  <si>
    <t>WB80262</t>
  </si>
  <si>
    <t>P-1-N-281221-9168</t>
  </si>
  <si>
    <t>Tiki Cat Aloha Friends Wet Cat Food Tuna, Shrimp &amp; Pumpkin 85g</t>
  </si>
  <si>
    <t>تيكي كات ألوها فريندزطعام القطط الرطب بالتونا والجمبري واليقطين 85 جم</t>
  </si>
  <si>
    <t>WB80260</t>
  </si>
  <si>
    <t>P-1-N-281221-9169</t>
  </si>
  <si>
    <t>Tiki Cat Aloha Friends Wet Cat Food Tuna, Calamari &amp; Pumpkin 85g</t>
  </si>
  <si>
    <t>تيكي كات ألوها فريندزطعام القطط الرطب بالتونا والكاليماري واليقطين 85 جم</t>
  </si>
  <si>
    <t>WB80259</t>
  </si>
  <si>
    <t>P-1-N-281221-9170</t>
  </si>
  <si>
    <t>Tiki Cat Aloha Friends Wet Cat Food Tuna &amp; Pumpkin 85g</t>
  </si>
  <si>
    <t>تيكي كات ألوها فريندز طعام القطط الرطب بالتونا واليقطين 85 جم</t>
  </si>
  <si>
    <t>P-1-N-090122-169</t>
  </si>
  <si>
    <t>MAFE2022158</t>
  </si>
  <si>
    <t>P-1-N-090122-170</t>
  </si>
  <si>
    <t>MAFE2022140</t>
  </si>
  <si>
    <t>P-1-N-090122-171</t>
  </si>
  <si>
    <t>MAFE2022141</t>
  </si>
  <si>
    <t>P-1-N-090122-172</t>
  </si>
  <si>
    <t>MAFE2022139</t>
  </si>
  <si>
    <t>P-1-N-090122-173</t>
  </si>
  <si>
    <t>MAFE2022138</t>
  </si>
  <si>
    <t>SC3870</t>
  </si>
  <si>
    <t>P-1-N-230122-484</t>
  </si>
  <si>
    <t>Sanal Cream Sticks with Salmon 75g</t>
  </si>
  <si>
    <t>سانال اصابع الكريمة مع السالمون 75 جم</t>
  </si>
  <si>
    <t>MAFE2022365</t>
  </si>
  <si>
    <t>SC3871</t>
  </si>
  <si>
    <t>P-1-N-230122-485</t>
  </si>
  <si>
    <t>Sanal Cream Sticks with Chicken 75g</t>
  </si>
  <si>
    <t>سانال اصابع الكريمة مع الدجاج 75 جم</t>
  </si>
  <si>
    <t>MAFE2022364</t>
  </si>
  <si>
    <t>P-1-N-060222-745</t>
  </si>
  <si>
    <t>Schesir Chicken and Tuna Mousse with Blueberry 85g</t>
  </si>
  <si>
    <t>شيزير موس الدجاج والتونة بالتوت الأزرق 80 جم</t>
  </si>
  <si>
    <t>شركة التحالف الآسيوي الدولية المحدودة</t>
  </si>
  <si>
    <t>1069014</t>
  </si>
  <si>
    <t>P-1-N-060222-746</t>
  </si>
  <si>
    <t>Schesir Tuna Mousse with Chicken and Shrimp 80g</t>
  </si>
  <si>
    <t>MAFE2022493</t>
  </si>
  <si>
    <t>P-1-N-060222-747</t>
  </si>
  <si>
    <t>شيزير تونة مع موس لحم الضأن 80 جم</t>
  </si>
  <si>
    <t>MAFE2022494</t>
  </si>
  <si>
    <t>1069012</t>
  </si>
  <si>
    <t>P-1-N-060222-748</t>
  </si>
  <si>
    <t>Schesir Tuna with Beef Mousse 80g</t>
  </si>
  <si>
    <t>شيزير تونة مع موس لحم البقر 80 جم</t>
  </si>
  <si>
    <t>MAFE2022492</t>
  </si>
  <si>
    <t>1069015</t>
  </si>
  <si>
    <t>P-1-N-060222-749</t>
  </si>
  <si>
    <t>Schesir Chicken and Tuna Mousse with Kiwi 80g</t>
  </si>
  <si>
    <t>شيزير موس الدجاج والتونة مع الكيوي 80 جم</t>
  </si>
  <si>
    <t>MAFE2022491</t>
  </si>
  <si>
    <t>1069010</t>
  </si>
  <si>
    <t>P-1-N-060222-750</t>
  </si>
  <si>
    <t>Schesir Chicken and Tuna Mousse with Mango 80g</t>
  </si>
  <si>
    <t>شيزير موس الدجاج والتونة مع المانجو 80 جم</t>
  </si>
  <si>
    <t>MAFE2022490</t>
  </si>
  <si>
    <t>1071830</t>
  </si>
  <si>
    <t>P-1-N-060222-751</t>
  </si>
  <si>
    <t>Schesir Tuna with Anchovy, Sweet Potato &amp; Cranberry 85g</t>
  </si>
  <si>
    <t>شيزير تونة مع الأنشوجة والبطاطا الحلوة والتوت البري 85 جم</t>
  </si>
  <si>
    <t>MAFE2022417</t>
  </si>
  <si>
    <t>P-1-N-060222-752</t>
  </si>
  <si>
    <t>شيزير تونة مع سوريمي وبابايا وبازلاء خضراء 85 جم</t>
  </si>
  <si>
    <t>MAFE2022416</t>
  </si>
  <si>
    <t>P-1-N-060222-753</t>
  </si>
  <si>
    <t>Schesir Ocean Fish with Pumpkin &amp; Pear 85g</t>
  </si>
  <si>
    <t>شيزير أسماك المحيط مع القرع والكمثرى 85 جم</t>
  </si>
  <si>
    <t>MAFE2022415</t>
  </si>
  <si>
    <t>1071810</t>
  </si>
  <si>
    <t>P-1-N-060222-754</t>
  </si>
  <si>
    <t>Schesir Chicken with Goji Berry &amp; Spinach 85g</t>
  </si>
  <si>
    <t>شيزير دجاج مع غوجي بيري و سبانخ 85 جم</t>
  </si>
  <si>
    <t>MAFE2022414</t>
  </si>
  <si>
    <t>1071800</t>
  </si>
  <si>
    <t>P-1-N-060222-755</t>
  </si>
  <si>
    <t>Schesir Chicken with Pineapple &amp; Carrot 85g</t>
  </si>
  <si>
    <t>شيزير دجاج بالأناناس والجزر 85 جم</t>
  </si>
  <si>
    <t>MAFE2022413</t>
  </si>
  <si>
    <t>1071820</t>
  </si>
  <si>
    <t>P-1-N-060222-756</t>
  </si>
  <si>
    <t>Schesir Chicken with Beef, Mango &amp; Green Beans 85g</t>
  </si>
  <si>
    <t>شيزير دجاج مع لحم البقر والمانجو والفاصوليا الخضراء 85 جم</t>
  </si>
  <si>
    <t>MAFE2022412</t>
  </si>
  <si>
    <t>P-1-N-080222-838</t>
  </si>
  <si>
    <t>EXOTIC</t>
  </si>
  <si>
    <t>اكسوتك فروت ميكس اكسبرت 600 جم</t>
  </si>
  <si>
    <t>MAFE2022568</t>
  </si>
  <si>
    <t>421953</t>
  </si>
  <si>
    <t>P-1-N-080222-840</t>
  </si>
  <si>
    <t>EXOTIC NUTS MIX EXPERT 750g</t>
  </si>
  <si>
    <t>اكسوتك نتس ميكس اكسبرت 750 جم</t>
  </si>
  <si>
    <t>MAFE2022559</t>
  </si>
  <si>
    <t>c01069011</t>
  </si>
  <si>
    <t>P-1-N-130222-927</t>
  </si>
  <si>
    <t>Schesir Chicken and Tuna Mousse with Blueberry 80g</t>
  </si>
  <si>
    <t>MAFE2022593</t>
  </si>
  <si>
    <t>WB80264</t>
  </si>
  <si>
    <t>P-1-N-130222-944</t>
  </si>
  <si>
    <t>Tiki Cat Special Fussy with Duck Liver and Egg in Broth 68g</t>
  </si>
  <si>
    <t>تيكي كات سبشال فسي مع كبدة البط والبيض في مرق 68 جم</t>
  </si>
  <si>
    <t>MAFE2022538</t>
  </si>
  <si>
    <t>WB80265</t>
  </si>
  <si>
    <t>P-1-N-130222-946</t>
  </si>
  <si>
    <t>Tiki Cat Special Light Chicken with Turkey and Pumpkin Recipe in Broth 68g</t>
  </si>
  <si>
    <t>تيكي كات سبشال لايت وصفة الدجاج مع الديك الرومي والقرع في المرق 68 جم</t>
  </si>
  <si>
    <t>MAFE2022537</t>
  </si>
  <si>
    <t>P-1-N-130222-947</t>
  </si>
  <si>
    <t>تيكي كات ألوها فريندز وصفة الدجاج مع القرع واللحم البقري في المرق 70 جم</t>
  </si>
  <si>
    <t>MAFE2022526</t>
  </si>
  <si>
    <t>WB80234</t>
  </si>
  <si>
    <t>P-1-N-130222-948</t>
  </si>
  <si>
    <t>Tiki Cat Velvet Mousse Kitten with Chicken &amp; Chicken Liver 68g</t>
  </si>
  <si>
    <t>تيكي كات فلفت موس كيتن مع دجاج و كبدة دجاج 68 جم</t>
  </si>
  <si>
    <t>MAFE2022525</t>
  </si>
  <si>
    <t>WB80235</t>
  </si>
  <si>
    <t>P-1-N-130222-949</t>
  </si>
  <si>
    <t>Tiki Cat Velvet Mousse Kitten with Salmon &amp; Chicken 68g</t>
  </si>
  <si>
    <t>تيكي كات فلفت موس كيتن مع السلمون والدجاج 68 جم</t>
  </si>
  <si>
    <t>MAFE2022524</t>
  </si>
  <si>
    <t>P-1-N-130222-950</t>
  </si>
  <si>
    <t>تيكي كات فلفت موس مع الدجاج والبيض 80 جم</t>
  </si>
  <si>
    <t>MAFE2022523</t>
  </si>
  <si>
    <t>WB80231</t>
  </si>
  <si>
    <t>P-1-N-130222-951</t>
  </si>
  <si>
    <t>Tiki Cat Velvet Mousse with Chicken 80g</t>
  </si>
  <si>
    <t>تيكي</t>
  </si>
  <si>
    <t>MAFE2022522</t>
  </si>
  <si>
    <t>WB80238</t>
  </si>
  <si>
    <t>P-1-N-130222-952</t>
  </si>
  <si>
    <t>Tiki Cat Velvet Mousse with Salmon 80g</t>
  </si>
  <si>
    <t>تيكي كات فلفت موس مع السلمون 80 جم</t>
  </si>
  <si>
    <t>MAFE2022521</t>
  </si>
  <si>
    <t>WB80224</t>
  </si>
  <si>
    <t>P-1-N-130222-953</t>
  </si>
  <si>
    <t>Tiki Cat Chicken Recipe in Chicken Consomme 80g</t>
  </si>
  <si>
    <t>تيكي كات وصفة الدجاج في مرقة دجاج 80 جم</t>
  </si>
  <si>
    <t>MAFE2022520</t>
  </si>
  <si>
    <t>WB80267</t>
  </si>
  <si>
    <t>P-1-N-130222-954</t>
  </si>
  <si>
    <t>Tiki Cat Tilapia Recipe in Tilapia Consomme 80g</t>
  </si>
  <si>
    <t>تيكي كات وصفة البلطي في مرق البلطي 80 جم</t>
  </si>
  <si>
    <t>MAFE2022519</t>
  </si>
  <si>
    <t>WB80230</t>
  </si>
  <si>
    <t>P-1-N-130222-955</t>
  </si>
  <si>
    <t>Tiki Cat Stix Wet Treats with Tuna in Creamy Gravy 85g</t>
  </si>
  <si>
    <t>تيكي كات ستيكس وت تريتس مع التونة في مرق الكريمة 85 جم</t>
  </si>
  <si>
    <t>MAFE2022518</t>
  </si>
  <si>
    <t>WB80229</t>
  </si>
  <si>
    <t>P-1-N-130222-956</t>
  </si>
  <si>
    <t>Tiki Cat Stix Wet Treats with Tuna &amp; Scallops in Creamy Gravy 85g</t>
  </si>
  <si>
    <t>تيكي كات ستيكس وت تريتس مع التونة والاسكالوب في مرق الكريمة 85 جم</t>
  </si>
  <si>
    <t>MAFE2022517</t>
  </si>
  <si>
    <t>P-1-N-150222-978</t>
  </si>
  <si>
    <t>اكسوتك لايت ميكس اكسبرت 750 جم</t>
  </si>
  <si>
    <t>MAFE2022557</t>
  </si>
  <si>
    <t>461308</t>
  </si>
  <si>
    <t>P-1-N-150222-979</t>
  </si>
  <si>
    <t>Complete Cuni Junior 500g</t>
  </si>
  <si>
    <t>كومبليت كوني جونيور 500 جم</t>
  </si>
  <si>
    <t>MAFE2022556</t>
  </si>
  <si>
    <t>461310</t>
  </si>
  <si>
    <t>P-1-N-150222-980</t>
  </si>
  <si>
    <t>Complete Cuni Sensitive 500g</t>
  </si>
  <si>
    <t>كومبليت كوني سنسيتيف 500 جم</t>
  </si>
  <si>
    <t>MAFE2022555</t>
  </si>
  <si>
    <t>461250</t>
  </si>
  <si>
    <t>P-1-N-150222-981</t>
  </si>
  <si>
    <t>Complete Cuni Adult 500g</t>
  </si>
  <si>
    <t>كومبليت كوني ادولت 500 جم</t>
  </si>
  <si>
    <t>MAFE2022554</t>
  </si>
  <si>
    <t>461296</t>
  </si>
  <si>
    <t>P-1-N-150222-982</t>
  </si>
  <si>
    <t>Complete Hamster &amp; Gerbil 500g</t>
  </si>
  <si>
    <t>كومبليت</t>
  </si>
  <si>
    <t>MAFE2022550</t>
  </si>
  <si>
    <t>P-1-N-150222-983</t>
  </si>
  <si>
    <t>Oropharma</t>
  </si>
  <si>
    <t>أوروفارما أورو دايجست 150 جم</t>
  </si>
  <si>
    <t>PRFE2022583</t>
  </si>
  <si>
    <t>460214</t>
  </si>
  <si>
    <t>P-1-N-150222-984</t>
  </si>
  <si>
    <t>Oropharma Calci-Lux 150g</t>
  </si>
  <si>
    <t>أوروفارما كالسي لوكس 150 جم</t>
  </si>
  <si>
    <t>NMFE2022553</t>
  </si>
  <si>
    <t>422220</t>
  </si>
  <si>
    <t>P-1-N-150222-985</t>
  </si>
  <si>
    <t>Prestige Loro Parque African Parakeet Mix 1kg</t>
  </si>
  <si>
    <t>بريستيج لورو باركيه مزيج البراكيت الأفريقي 1 كجم</t>
  </si>
  <si>
    <t>MAFE2022552</t>
  </si>
  <si>
    <t>422223</t>
  </si>
  <si>
    <t>P-1-N-150222-986</t>
  </si>
  <si>
    <t>Prestige Loro Parque African Parakeet Mix - Expert 20kg</t>
  </si>
  <si>
    <t>بريستيج لورو باركيه مزيج البراكيت الأفريقي - اكسبرت 20 كجم</t>
  </si>
  <si>
    <t>MAFE2022551</t>
  </si>
  <si>
    <t>422201</t>
  </si>
  <si>
    <t>P-1-N-150222-987</t>
  </si>
  <si>
    <t>Prestige Loro Parque African Parrot Mix 1kg</t>
  </si>
  <si>
    <t>بريستيج لورو باركيه مزيج الببغاء الأفريقي 1 كجم</t>
  </si>
  <si>
    <t>MAFE2022549</t>
  </si>
  <si>
    <t>P-1-N-150222-988</t>
  </si>
  <si>
    <t>بريستيج لورو باركيه مزيج الببغاء الأفريقي 2.5 كجم</t>
  </si>
  <si>
    <t>MAFE2022548</t>
  </si>
  <si>
    <t>422207</t>
  </si>
  <si>
    <t>P-1-N-150222-989</t>
  </si>
  <si>
    <t>Prestige Loro Parque African Parrot Mix - Expert 15kg</t>
  </si>
  <si>
    <t>بريستيج لورو باركيه مزيج الببغاء الأفريقي - اكسبرت 15 كجم</t>
  </si>
  <si>
    <t>MAFE2022547</t>
  </si>
  <si>
    <t>461697</t>
  </si>
  <si>
    <t>P-1-N-170222-1056</t>
  </si>
  <si>
    <t>Crispy Muesli Rabbits 400g</t>
  </si>
  <si>
    <t>كريسبي موسلي للأرانب 400 جم</t>
  </si>
  <si>
    <t>MAFE2022638</t>
  </si>
  <si>
    <t>P-1-N-170222-1057</t>
  </si>
  <si>
    <t>MAFE2022627</t>
  </si>
  <si>
    <t>422170</t>
  </si>
  <si>
    <t>P-1-N-170222-1058</t>
  </si>
  <si>
    <t>Nutribird A19 250g</t>
  </si>
  <si>
    <t>نيوتريبيرد</t>
  </si>
  <si>
    <t>MAFE2022637</t>
  </si>
  <si>
    <t>P-1-N-170222-1059</t>
  </si>
  <si>
    <t>MAFE2022630</t>
  </si>
  <si>
    <t>422173</t>
  </si>
  <si>
    <t>P-1-N-170222-1060</t>
  </si>
  <si>
    <t>Nutribird A21 250g</t>
  </si>
  <si>
    <t>نيوتريبيرد اي21 250 جم</t>
  </si>
  <si>
    <t>MAFE2022636</t>
  </si>
  <si>
    <t>P-1-N-170222-1061</t>
  </si>
  <si>
    <t>MAFE2022635</t>
  </si>
  <si>
    <t>P-1-N-170222-1062</t>
  </si>
  <si>
    <t>MAFE2022631</t>
  </si>
  <si>
    <t>422176</t>
  </si>
  <si>
    <t>P-1-N-170222-1063</t>
  </si>
  <si>
    <t>Nutribird ALLROUND 250g</t>
  </si>
  <si>
    <t>نيوتريبيرد اولراوند 250 جم</t>
  </si>
  <si>
    <t>MAFE2022634</t>
  </si>
  <si>
    <t>P-1-N-170222-1064</t>
  </si>
  <si>
    <t>نيوتريبيرد اولراوند 800 جم</t>
  </si>
  <si>
    <t>MAFE2022632</t>
  </si>
  <si>
    <t>VL422101</t>
  </si>
  <si>
    <t>P-1-N-170222-1074</t>
  </si>
  <si>
    <t>Nutribird B14 800g</t>
  </si>
  <si>
    <t>نيوتريبيرد بي14 800 جم</t>
  </si>
  <si>
    <t>VL422103</t>
  </si>
  <si>
    <t>P-1-N-170222-1075</t>
  </si>
  <si>
    <t>Nutribird B18 3kg</t>
  </si>
  <si>
    <t>نيوتريبيرد بي18 3 كجم</t>
  </si>
  <si>
    <t>MAFE2022623</t>
  </si>
  <si>
    <t>VL422115</t>
  </si>
  <si>
    <t>P-1-N-170222-1076</t>
  </si>
  <si>
    <t>Nutribird G14 Tropical 1kg</t>
  </si>
  <si>
    <t>نيوتريبيرد جي14 تروبيكال 1 كجم</t>
  </si>
  <si>
    <t>MAFE2022626</t>
  </si>
  <si>
    <t>VL422116</t>
  </si>
  <si>
    <t>P-1-N-170222-1077</t>
  </si>
  <si>
    <t>Nutribird G14 Tropical 3kg</t>
  </si>
  <si>
    <t>MAFE2022629</t>
  </si>
  <si>
    <t>VL422128</t>
  </si>
  <si>
    <t>P-1-N-170222-1078</t>
  </si>
  <si>
    <t>Nutribird P15 Tropical 1kg</t>
  </si>
  <si>
    <t>نيوتريبيرد بي15 تروبيكال 1 كجم</t>
  </si>
  <si>
    <t>MAFE2022628</t>
  </si>
  <si>
    <t>VL422129</t>
  </si>
  <si>
    <t>P-1-N-170222-1079</t>
  </si>
  <si>
    <t>Nutribird P15 Tropical 3kg</t>
  </si>
  <si>
    <t>نيوتريبيرد بي15 تروبيكال 3 كجم</t>
  </si>
  <si>
    <t>MAFE2022625</t>
  </si>
  <si>
    <t>422122</t>
  </si>
  <si>
    <t>P-1-N-170222-1081</t>
  </si>
  <si>
    <t>Nutribird Lori 700g</t>
  </si>
  <si>
    <t>نيوتريبيرد لوري 700 جم</t>
  </si>
  <si>
    <t>MAFE2022620</t>
  </si>
  <si>
    <t>VL422178</t>
  </si>
  <si>
    <t>P-1-N-170222-1082</t>
  </si>
  <si>
    <t>Nutribird Handmix 500g</t>
  </si>
  <si>
    <t>نيوتريبيرد هاندميكس 500 جم</t>
  </si>
  <si>
    <t>MAFE2022624</t>
  </si>
  <si>
    <t>VL424169</t>
  </si>
  <si>
    <t>P-1-N-170222-1084</t>
  </si>
  <si>
    <t>Orlux Forti Patee 250g</t>
  </si>
  <si>
    <t>أورلوكس فورتي باتي 250 جم</t>
  </si>
  <si>
    <t>MAFE2022622</t>
  </si>
  <si>
    <t>VL424170</t>
  </si>
  <si>
    <t>P-1-N-170222-1085</t>
  </si>
  <si>
    <t>Orlux Frutti Patee 250g</t>
  </si>
  <si>
    <t>أورلوكس فروتي باتي 250 جم</t>
  </si>
  <si>
    <t>MAFE2022619</t>
  </si>
  <si>
    <t>424211</t>
  </si>
  <si>
    <t>P-1-N-170222-1086</t>
  </si>
  <si>
    <t>Orlux Frutti Patee Expert 1kg</t>
  </si>
  <si>
    <t>أورلوكس فروتي باتي اكسبرت 1 كجم</t>
  </si>
  <si>
    <t>MAFE2022621</t>
  </si>
  <si>
    <t>VL424205</t>
  </si>
  <si>
    <t>P-1-N-170222-1087</t>
  </si>
  <si>
    <t>Orlux Gold Patee Yellow Expert 1kg</t>
  </si>
  <si>
    <t>أورلوكس جولد باتي يالو اكسبرت 1 كجم</t>
  </si>
  <si>
    <t>MAFE2022618</t>
  </si>
  <si>
    <t>VL424048</t>
  </si>
  <si>
    <t>P-1-N-170222-1088</t>
  </si>
  <si>
    <t>Orlux Gold Patee Small Parakeets 250g</t>
  </si>
  <si>
    <t>أورلوكس جولد باتي البراكيت الصغيرة 250 جم</t>
  </si>
  <si>
    <t>MAFE2022617</t>
  </si>
  <si>
    <t>VL424086</t>
  </si>
  <si>
    <t>P-1-N-170222-1089</t>
  </si>
  <si>
    <t>Orlux Gold Patee Small Parakeets 1kg</t>
  </si>
  <si>
    <t>أورلوكس جولد باتي البراكيت الصغيرة 1 كجم</t>
  </si>
  <si>
    <t>MAFE2022616</t>
  </si>
  <si>
    <t>AHAF3115</t>
  </si>
  <si>
    <t>P-1-N-210222-1220</t>
  </si>
  <si>
    <t>Absolute Holistic Grain free Indoor - Chicken 4.54kg</t>
  </si>
  <si>
    <t>ابسولوت هوليستيك ايندور خالي من الحبوب بالدجاج 4.54 كجم</t>
  </si>
  <si>
    <t>MAFE2022703</t>
  </si>
  <si>
    <t>AHAF3092</t>
  </si>
  <si>
    <t>P-1-N-210222-1221</t>
  </si>
  <si>
    <t>Absolute Holistic Grain free Coat Care - Salmon &amp; Cod 4.54kg</t>
  </si>
  <si>
    <t>ابسولوت هوليستيك للعناية بالفراء خالي من الحبوب بسمك السلمون وسمك القد 4.54 كجم</t>
  </si>
  <si>
    <t>MAFE2022701</t>
  </si>
  <si>
    <t>AHAF3153</t>
  </si>
  <si>
    <t>P-1-N-210222-1222</t>
  </si>
  <si>
    <t>Absolute Holistic Grain free Kitten - Chicken &amp; Salmon 4.54kg</t>
  </si>
  <si>
    <t>ابسولوت هوليستيك للقطط الصغيرة خالي من الحبوب بالدجاج و السلمون 4.54 كجم</t>
  </si>
  <si>
    <t>MAFE2022700</t>
  </si>
  <si>
    <t>AHAF3139</t>
  </si>
  <si>
    <t>P-1-N-210222-1223</t>
  </si>
  <si>
    <t>Absolute Holistic Grain free Urinary - Tuna &amp; Chicken 4.54kg</t>
  </si>
  <si>
    <t>ابسولوت هوليستيك يوريناري خالي من الحبوب بالتونة والدجاج 4.54 كجم</t>
  </si>
  <si>
    <t>MAFE2022699</t>
  </si>
  <si>
    <t>AHAF3078</t>
  </si>
  <si>
    <t>P-1-N-210222-1224</t>
  </si>
  <si>
    <t>Absolute Holistic Grain free Hairball - Turkey, Chicken &amp; Duck 4.54kg</t>
  </si>
  <si>
    <t>ابسولوت هوليستيك لكرة الشعر خالي من الحبوب بالديك الرومي ، الدجاج و البط 4.54 كجم</t>
  </si>
  <si>
    <t>MAFE2022698</t>
  </si>
  <si>
    <t>10283</t>
  </si>
  <si>
    <t>P-1-N-210222-1225</t>
  </si>
  <si>
    <t>Kidney Support Easy 35g</t>
  </si>
  <si>
    <t>كيدني سابورت ئيسي 35 جم</t>
  </si>
  <si>
    <t>MAFE2022697</t>
  </si>
  <si>
    <t>WB80252</t>
  </si>
  <si>
    <t>P-1-N-010322-1432</t>
  </si>
  <si>
    <t>Tiki Dog Stix Wet Treats with Chicken in Creamy Gravy 85g</t>
  </si>
  <si>
    <t>تيكي دوج ستيكس وت تريتس مع الدجاج في مرق الكريمة 85 جم</t>
  </si>
  <si>
    <t>MAFE2022901</t>
  </si>
  <si>
    <t>WB80253</t>
  </si>
  <si>
    <t>P-1-N-010322-1433</t>
  </si>
  <si>
    <t>Tiki Dog Stix Wet Treats with Duck in Creamy Gravy 85g</t>
  </si>
  <si>
    <t>تيكي دوج ستيكس وت تريتس مع البط في مرق الكريمة 85 جم</t>
  </si>
  <si>
    <t>MAFE2022900</t>
  </si>
  <si>
    <t>1071700</t>
  </si>
  <si>
    <t>P-1-N-080322-1585</t>
  </si>
  <si>
    <t>Chicken in Broth 85g</t>
  </si>
  <si>
    <t>دجاج في مرق 85 جم</t>
  </si>
  <si>
    <t>MAFE20221076</t>
  </si>
  <si>
    <t>1071705</t>
  </si>
  <si>
    <t>P-1-N-080322-1586</t>
  </si>
  <si>
    <t>Ocean Fish Topper 85g</t>
  </si>
  <si>
    <t>توبر أسماك المحيط 85 جم</t>
  </si>
  <si>
    <t>MAFE20221082</t>
  </si>
  <si>
    <t>P-1-N-080322-1587</t>
  </si>
  <si>
    <t>Tuna Salad 85g</t>
  </si>
  <si>
    <t>سلطة التونة 85 جم</t>
  </si>
  <si>
    <t>MAFE20221080</t>
  </si>
  <si>
    <t>1071701</t>
  </si>
  <si>
    <t>P-1-N-080322-1588</t>
  </si>
  <si>
    <t>Chicken with Potato in Gravy 85g</t>
  </si>
  <si>
    <t>دجاج مع بطاطا في مرق 85 جم</t>
  </si>
  <si>
    <t>MAFE20221079</t>
  </si>
  <si>
    <t>1071702</t>
  </si>
  <si>
    <t>P-1-N-080322-1589</t>
  </si>
  <si>
    <t>Chicken Salad 85g</t>
  </si>
  <si>
    <t>سلطة الدجاج 85 جم</t>
  </si>
  <si>
    <t>MAFE20221078</t>
  </si>
  <si>
    <t>C01071704</t>
  </si>
  <si>
    <t>P-1-N-080322-1590</t>
  </si>
  <si>
    <t>Chicken with Lamb Topper 85g</t>
  </si>
  <si>
    <t>دجاج مع لحم الضأن 85 جم</t>
  </si>
  <si>
    <t>MAFE20221075</t>
  </si>
  <si>
    <t>WB80223</t>
  </si>
  <si>
    <t>P-1-N-090322-1599</t>
  </si>
  <si>
    <t>Tiki Cat Salmon &amp; Chicken Recipe in Chicken Consomme 80g</t>
  </si>
  <si>
    <t>تيكي كات وصفة السلمون والدجاج في مرقة دجاج 80 جم</t>
  </si>
  <si>
    <t>MAFE20221073</t>
  </si>
  <si>
    <t>WB80245</t>
  </si>
  <si>
    <t>P-1-N-090322-1608</t>
  </si>
  <si>
    <t>Tiki Dog Peking Duck Recipe in Broth 85g</t>
  </si>
  <si>
    <t>تيكي دوج وصفة بط بكين في مرق 85 جم</t>
  </si>
  <si>
    <t>MAFE20221072</t>
  </si>
  <si>
    <t>WB80255</t>
  </si>
  <si>
    <t>P-1-N-090322-1609</t>
  </si>
  <si>
    <t>Tiki Dog Petites Chicken with Beef Liver Recipe in Chicken Broth 85g</t>
  </si>
  <si>
    <t>تيكي دوج بيتيتس وصفة دجاج مع كبد البقر في مرق الدجاج 85 جم</t>
  </si>
  <si>
    <t>MAFE20221071</t>
  </si>
  <si>
    <t>WB80254</t>
  </si>
  <si>
    <t>P-1-N-090322-1610</t>
  </si>
  <si>
    <t>Tiki Dog Petites Chicken with Chicken Liver Recipe in Chicken Broth 85g</t>
  </si>
  <si>
    <t>تيكي دوج بيتيتس وصفة دجاج مع كبد الدجاج في مرق الدجاج 85 جم</t>
  </si>
  <si>
    <t>WB80256</t>
  </si>
  <si>
    <t>P-1-N-090322-1611</t>
  </si>
  <si>
    <t>Tiki Dog Petites Chicken with Duck Recipe in Chicken Broth 85g</t>
  </si>
  <si>
    <t>تيكي دوج بيتيتس وصفة دجاج مع البط في مرق الدجاج 85 جم</t>
  </si>
  <si>
    <t>MAFE20221031</t>
  </si>
  <si>
    <t>P-1-N-090322-1612</t>
  </si>
  <si>
    <t>Tiki</t>
  </si>
  <si>
    <t>تيكي دوج وصفة دجاج في مرق 85 جم</t>
  </si>
  <si>
    <t>WB80240</t>
  </si>
  <si>
    <t>P-1-N-090322-1613</t>
  </si>
  <si>
    <t>Tiki Dog Chicken with Beef Recipe in Broth 85g</t>
  </si>
  <si>
    <t>تيكي دوج وصفة الدجاج باللحم البقري في مرق 85 جم</t>
  </si>
  <si>
    <t>MAFE20221019</t>
  </si>
  <si>
    <t>WB80241</t>
  </si>
  <si>
    <t>P-1-N-090322-1614</t>
  </si>
  <si>
    <t>Tiki Dog Chicken with Duck Recipe in Broth 85g</t>
  </si>
  <si>
    <t>تيكي دوج وصفة الدجاج مع البط في مرق 85 جم</t>
  </si>
  <si>
    <t>WB80242</t>
  </si>
  <si>
    <t>P-1-N-090322-1615</t>
  </si>
  <si>
    <t>Tiki Dog Chicken with Egg Recipe in Broth 85g</t>
  </si>
  <si>
    <t>تيكي دوج وصفة الدجاج بالبيض في مرق 85 جم</t>
  </si>
  <si>
    <t>WB80243</t>
  </si>
  <si>
    <t>P-1-N-090322-1616</t>
  </si>
  <si>
    <t>Tiki Dog Chicken with Salmon Recipe in Broth 85g</t>
  </si>
  <si>
    <t>تيكي دوج وصفة دجاج مع السلمون في مرق 85 جم</t>
  </si>
  <si>
    <t>WB80246</t>
  </si>
  <si>
    <t>P-1-N-090322-1617</t>
  </si>
  <si>
    <t>Tiki Dog Beef with Potatoes &amp; Carrot Burgundy Recipe in Broth 85g</t>
  </si>
  <si>
    <t>تيكي دوج وصفة لحم البقر مع البطاطس والجزر في المرق 85 جم</t>
  </si>
  <si>
    <t>WB80251</t>
  </si>
  <si>
    <t>P-1-N-090322-1618</t>
  </si>
  <si>
    <t>Tiki Dog Chicken Curry Recipe in Broth 85g</t>
  </si>
  <si>
    <t>تيكي دوج وصفة كاري الدجاج في مرق 85 جم</t>
  </si>
  <si>
    <t>WB80248</t>
  </si>
  <si>
    <t>P-1-N-090322-1619</t>
  </si>
  <si>
    <t>Tiki Dog Chicken Masala Recipe in Broth 85g</t>
  </si>
  <si>
    <t>تيكي دوج وصفة ماسالا الدجاج في مرق 85 جم</t>
  </si>
  <si>
    <t>WB80247</t>
  </si>
  <si>
    <t>P-1-N-090322-1620</t>
  </si>
  <si>
    <t>Tiki Dog Lamb with Couscous &amp; Chickpea Recipe in Broth 85g</t>
  </si>
  <si>
    <t>تيكي دوج وصفة لحم الضأن مع الكسكس والحمص في المرق 85 جم</t>
  </si>
  <si>
    <t>WB80244</t>
  </si>
  <si>
    <t>P-1-N-090322-1621</t>
  </si>
  <si>
    <t>Tiki Dog Chicken with Snow Peas Stir Fry Recipe in Broth 85g</t>
  </si>
  <si>
    <t>تيكي دوج وصفة الدجاج مع بازلاء الثلج المقلى في المرق 85 جم</t>
  </si>
  <si>
    <t>WB80222</t>
  </si>
  <si>
    <t>P-1-N-100322-1633</t>
  </si>
  <si>
    <t>Tiki Cat Luau Chicken with Egg Recipe in Chicken Consomme 80g</t>
  </si>
  <si>
    <t>تيكي كات لواو وصفة دجاج بالبيض في مرقة دجاج 80 جم</t>
  </si>
  <si>
    <t>WB80210</t>
  </si>
  <si>
    <t>P-1-N-100322-1634</t>
  </si>
  <si>
    <t>Tiki Cat After Dark Chicken Recipe in Broth 80g</t>
  </si>
  <si>
    <t>تيكي كات افتر دارك وصفة الدجاج في المرق 80 جم</t>
  </si>
  <si>
    <t>MAFE20221070</t>
  </si>
  <si>
    <t>WB80212</t>
  </si>
  <si>
    <t>P-1-N-100322-1635</t>
  </si>
  <si>
    <t>Tiki Cat After Dark Chicken with Duck Recipe in Broth 80g</t>
  </si>
  <si>
    <t>تيكي كات افتر دارك وصفة الدجاج مع البط في المرق 80 جم</t>
  </si>
  <si>
    <t>MAFE20221068</t>
  </si>
  <si>
    <t>WB80214</t>
  </si>
  <si>
    <t>P-1-N-100322-1636</t>
  </si>
  <si>
    <t>Tiki Cat After Dark Chicken with Quail Egg Recipe in Broth 80g</t>
  </si>
  <si>
    <t>تيكي كات افتر دارك وصفة الدجاج مع بيض السمان في المرق 80 جم</t>
  </si>
  <si>
    <t>MAFE20221067</t>
  </si>
  <si>
    <t>WB80211</t>
  </si>
  <si>
    <t>P-1-N-100322-1637</t>
  </si>
  <si>
    <t>Tiki Cat After Dark Chicken with Beef Recipe in Broth 80g</t>
  </si>
  <si>
    <t>تيكي كات افتر دارك وصفة الدجاج باللحم البقري في المرق 80 جم</t>
  </si>
  <si>
    <t>WB80213</t>
  </si>
  <si>
    <t>P-1-N-100322-1638</t>
  </si>
  <si>
    <t>Tiki Cat After Dark Chicken with Lamb Recipe in Broth 80g</t>
  </si>
  <si>
    <t>تيكي كات افتر دارك وصفة الدجاج مع لحم الضأن في المرق 80 جم</t>
  </si>
  <si>
    <t>WB80233</t>
  </si>
  <si>
    <t>P-1-N-100322-1639</t>
  </si>
  <si>
    <t>Tiki Cat Velvet Mousse with Chicken &amp; Salmon in Broth 80g</t>
  </si>
  <si>
    <t>تيكي كات فلفت موس مع الدجاج و السلمون في مرق 80 جم</t>
  </si>
  <si>
    <t>MAFE2022999</t>
  </si>
  <si>
    <t>WB80236</t>
  </si>
  <si>
    <t>P-1-N-100322-1640</t>
  </si>
  <si>
    <t>Tiki Cat Velvet Mousse with Tuna &amp; Chicken in Broth 80g</t>
  </si>
  <si>
    <t>تيكي كات فلفت موس مع تونة ودجاج في مرق 80 جم</t>
  </si>
  <si>
    <t>MAFE2022998</t>
  </si>
  <si>
    <t>WB80237</t>
  </si>
  <si>
    <t>P-1-N-100322-1641</t>
  </si>
  <si>
    <t>Tiki Cat Velvet Mousse with Tuna &amp; Mackerel in Broth 80g</t>
  </si>
  <si>
    <t>تيكي كات فلفت موس مع التونة والماكريل في المرق 80 جم</t>
  </si>
  <si>
    <t>MAFE2022997</t>
  </si>
  <si>
    <t>WB80215</t>
  </si>
  <si>
    <t>P-1-N-100322-1642</t>
  </si>
  <si>
    <t>Tiki Cat Aloha Friends Chicken with Pumpkin Recipe in Broth 70g</t>
  </si>
  <si>
    <t>تيكي كات ألوها فريندز وصفة الدجاج مع القرع في مرق 70 جم</t>
  </si>
  <si>
    <t>MAFE2022996</t>
  </si>
  <si>
    <t>WB80217</t>
  </si>
  <si>
    <t>P-1-N-100322-1643</t>
  </si>
  <si>
    <t>Tiki Cat Aloha Friends Chicken with Pumpkin &amp; Duck Recipe in Broth 70g</t>
  </si>
  <si>
    <t>تيكي كات ألوها فريندز وصفة الدجاج مع القرع والبط في المرق 70 جم</t>
  </si>
  <si>
    <t>MAFE2022995</t>
  </si>
  <si>
    <t>WB80219</t>
  </si>
  <si>
    <t>P-1-N-100322-1644</t>
  </si>
  <si>
    <t>Tiki Cat Aloha Friends Chicken with Pumpkin &amp; Lamb Recipe in Broth 70g</t>
  </si>
  <si>
    <t>تيكي كات ألوها فريندز وصفة الدجاج مع القرع ولحم الضأن في المرق 70 جم</t>
  </si>
  <si>
    <t>MAFE2022994</t>
  </si>
  <si>
    <t>WB80218</t>
  </si>
  <si>
    <t>P-1-N-100322-1645</t>
  </si>
  <si>
    <t>Tiki Cat Aloha Friends Chicken with Pumpkin &amp; Egg Recipe in Broth 70g</t>
  </si>
  <si>
    <t>تيكي كات ألوها فريندز وصفة الدجاج مع القرع والبيض في مرق 70 جم</t>
  </si>
  <si>
    <t>MAFE2022993</t>
  </si>
  <si>
    <t>WB80220</t>
  </si>
  <si>
    <t>P-1-N-100322-1646</t>
  </si>
  <si>
    <t>Tiki Cat Salmon Recipe in Salmon Consomme 80g</t>
  </si>
  <si>
    <t>تيكي كات وصفة السلمون في مرق السلمون 80 جم</t>
  </si>
  <si>
    <t>MAFE2022992</t>
  </si>
  <si>
    <t>WB80228</t>
  </si>
  <si>
    <t>P-1-N-100322-1647</t>
  </si>
  <si>
    <t>Tiki Cat Stix Wet Treats with Salmon in Creamy Gravy 85g</t>
  </si>
  <si>
    <t>تيكي كات ستيكس وت تريتس مع السلمون في مرق الكريمة 85 جم</t>
  </si>
  <si>
    <t>MAFE2022991</t>
  </si>
  <si>
    <t>WB80226</t>
  </si>
  <si>
    <t>P-1-N-100322-1648</t>
  </si>
  <si>
    <t>Tiki Cat Stix Wet Treats with Chicken in Creamy Gravy 85g</t>
  </si>
  <si>
    <t>تيكي كات ستيكس وت تريتس مع الدجاج في مرق الكريمة 85 جم</t>
  </si>
  <si>
    <t>MAFE2022990</t>
  </si>
  <si>
    <t>P-1-N-170322-1813</t>
  </si>
  <si>
    <t>Beaphar Intensive Red 10g</t>
  </si>
  <si>
    <t>بيافار انتنسيف رد 10 غ</t>
  </si>
  <si>
    <t>P-1-N-190322-1883</t>
  </si>
  <si>
    <t>Calming Cat Treats 35 g</t>
  </si>
  <si>
    <t>كالمينغ كات تريتس 35 جرام</t>
  </si>
  <si>
    <t>P-1-N-140422-2497</t>
  </si>
  <si>
    <t>Tiki Dog Petites Chicken with Salmon Recipe in Chicken Broth 85g</t>
  </si>
  <si>
    <t>تيكي دوج بيتيتس وصفة الدجاج مع السلمون في مرق الدجاج 85 جم</t>
  </si>
  <si>
    <t>139082</t>
  </si>
  <si>
    <t>P-1-N-160522-2947</t>
  </si>
  <si>
    <t>NUTRIMEAL3 CANARY 800g</t>
  </si>
  <si>
    <t>نوتري ميل 3 كناري 800 جم</t>
  </si>
  <si>
    <t>MAFE20221667</t>
  </si>
  <si>
    <t>الفا برود ساس</t>
  </si>
  <si>
    <t>139083</t>
  </si>
  <si>
    <t>P-1-N-160522-2948</t>
  </si>
  <si>
    <t>NUTRIMEAL 3 CANARY 2.5kg</t>
  </si>
  <si>
    <t>نوتري ميل 3 كناري 2.5 كجم</t>
  </si>
  <si>
    <t>139084</t>
  </si>
  <si>
    <t>P-1-N-160522-2949</t>
  </si>
  <si>
    <t>NUTRIMEAL3 EXOTIC BIRD 800g</t>
  </si>
  <si>
    <t>نوتري ميل 3 للطيورالاستوائية 800 جم</t>
  </si>
  <si>
    <t>MAFE20221738</t>
  </si>
  <si>
    <t>139085</t>
  </si>
  <si>
    <t>P-1-N-160522-2950</t>
  </si>
  <si>
    <t>NUTRIMEAL3 EXOTIC BIRD 2.5kg</t>
  </si>
  <si>
    <t>نوتري ميل 3 للطيورالاستوائية 2.5 كجم</t>
  </si>
  <si>
    <t>139086</t>
  </si>
  <si>
    <t>P-1-N-160522-2951</t>
  </si>
  <si>
    <t>NUTRIMEAL3 PARAKEETS 800g</t>
  </si>
  <si>
    <t>نوتري ميل 3 للبراكيت 800 جم</t>
  </si>
  <si>
    <t>MAFE20221665</t>
  </si>
  <si>
    <t>139087</t>
  </si>
  <si>
    <t>P-1-N-160522-2952</t>
  </si>
  <si>
    <t>NUTRIMEAL3 PARAKEETS 2.5kg</t>
  </si>
  <si>
    <t>نوتري ميل 3 للبراكيت 2.5 كجم</t>
  </si>
  <si>
    <t>MAFE20221664</t>
  </si>
  <si>
    <t>139088</t>
  </si>
  <si>
    <t>P-1-N-160522-2953</t>
  </si>
  <si>
    <t>NUTRIMEAL3 LARGE PARAKEETS 800g</t>
  </si>
  <si>
    <t>نوتري ميل 3 للبراكيت الكبيرة 800 جم</t>
  </si>
  <si>
    <t>MAFE20221663</t>
  </si>
  <si>
    <t>139089</t>
  </si>
  <si>
    <t>P-1-N-160522-2954</t>
  </si>
  <si>
    <t>NUTRIMEAL3 LARGE PARAKEETS 2.5kg</t>
  </si>
  <si>
    <t>نوتري ميل 3 للبراكيت الكبيرة 2.5 كجم</t>
  </si>
  <si>
    <t>MAFE20221662</t>
  </si>
  <si>
    <t>139090</t>
  </si>
  <si>
    <t>P-1-N-160522-2955</t>
  </si>
  <si>
    <t>NUTRIMEAL3 PARROTS 700g</t>
  </si>
  <si>
    <t>نوتري ميل 3 للببغاوات 700 جم</t>
  </si>
  <si>
    <t>MAFE20221661</t>
  </si>
  <si>
    <t>139091</t>
  </si>
  <si>
    <t>P-1-N-160522-2956</t>
  </si>
  <si>
    <t>NUTRIMEAL3 PARROTS 2.25kg</t>
  </si>
  <si>
    <t>نوتري ميل 3 للببغاوات 2.25 كجم</t>
  </si>
  <si>
    <t>MAFE20221701</t>
  </si>
  <si>
    <t>210194</t>
  </si>
  <si>
    <t>P-1-N-160522-2957</t>
  </si>
  <si>
    <t>NUTRIMEAL3 JUNIOR DWARF RABBITS 800g</t>
  </si>
  <si>
    <t>نوتري ميل 3 للارانب القزمية الصغيرة 800 جم</t>
  </si>
  <si>
    <t>MAFE20221700</t>
  </si>
  <si>
    <t>210195</t>
  </si>
  <si>
    <t>P-1-N-160522-2958</t>
  </si>
  <si>
    <t>NUTRIMEAL3 JUNIOR DWARF RABBITS PELLETS 800g</t>
  </si>
  <si>
    <t>نوتري ميل 3 حبيبات للارانب القزمية الصغيرة 800 جم</t>
  </si>
  <si>
    <t>MAFE20221705</t>
  </si>
  <si>
    <t>210196</t>
  </si>
  <si>
    <t>P-1-N-160522-2959</t>
  </si>
  <si>
    <t>NUTRIMEAL3 JUNIOR DWARF RABBITS PELLETS 2.5kg</t>
  </si>
  <si>
    <t>نوتري ميل 3 حبيبات للارانب القزمية الصغيرة 2.5 كجم</t>
  </si>
  <si>
    <t>MAFE20221704</t>
  </si>
  <si>
    <t>210199</t>
  </si>
  <si>
    <t>P-1-N-160522-2960</t>
  </si>
  <si>
    <t>NUTRIMEAL3 ADULT DWARF RABBITS PELLETS 800g</t>
  </si>
  <si>
    <t>نوتري ميل 3 حبيبات للارانب القزمية الكبيرة 800 جم</t>
  </si>
  <si>
    <t>MAFE20221703</t>
  </si>
  <si>
    <t>210200</t>
  </si>
  <si>
    <t>P-1-N-160522-2961</t>
  </si>
  <si>
    <t>NUTRIMEAL3 ADULT DWARF RABBITS PELLETS 2.5kg</t>
  </si>
  <si>
    <t>نوتري ميل 3 حبيبات للارانب القزمية الكبيرة 2.5 كجم</t>
  </si>
  <si>
    <t>MAFE20221695</t>
  </si>
  <si>
    <t>210233</t>
  </si>
  <si>
    <t>P-1-N-160522-2962</t>
  </si>
  <si>
    <t>NUTRIMEAL3 ADULT DWARF RABBITS PELLETS 7kg</t>
  </si>
  <si>
    <t>نوتري ميل 3 حبيبات للارانب القزمية الكبيرة 7 كجم</t>
  </si>
  <si>
    <t>MAFE20221702</t>
  </si>
  <si>
    <t>210197</t>
  </si>
  <si>
    <t>P-1-N-160522-2963</t>
  </si>
  <si>
    <t>NUTRIMEAL3 ADULT DWARF RABBITS 800g</t>
  </si>
  <si>
    <t>نوتري ميل 3 للارانب القزمية الكبيرة 800 جم</t>
  </si>
  <si>
    <t>MAFE20221699</t>
  </si>
  <si>
    <t>210198</t>
  </si>
  <si>
    <t>P-1-N-160522-2964</t>
  </si>
  <si>
    <t>NUTRIMEAL3 ADULT DWARF RABBITS 2.5kg</t>
  </si>
  <si>
    <t>نوتري ميل 3 للارانب القزمية الكبيرة 2.5 كجم</t>
  </si>
  <si>
    <t>MAFE20221697</t>
  </si>
  <si>
    <t>210232</t>
  </si>
  <si>
    <t>P-1-N-160522-2965</t>
  </si>
  <si>
    <t>NUTRIMEAL3 ADULT DWARF RABBITS 6kg</t>
  </si>
  <si>
    <t>نوتري ميل 3 للارانب القزمية الكبيرة 6 كجم</t>
  </si>
  <si>
    <t>MAFE20221698</t>
  </si>
  <si>
    <t>P-1-N-160522-2966</t>
  </si>
  <si>
    <t>NUTRIMEAL</t>
  </si>
  <si>
    <t>نوتري ميل 3 للارانب القزمية الصغيرة 6 كجم</t>
  </si>
  <si>
    <t>MAFE20221696</t>
  </si>
  <si>
    <t>210208</t>
  </si>
  <si>
    <t>P-1-N-160522-2967</t>
  </si>
  <si>
    <t>NUTRIMEAL3 HAMSTERS 600g</t>
  </si>
  <si>
    <t>نوتري ميل 3 للهامستر 600 جم</t>
  </si>
  <si>
    <t>MAFE20221694</t>
  </si>
  <si>
    <t>210201</t>
  </si>
  <si>
    <t>P-1-N-160522-2968</t>
  </si>
  <si>
    <t>NUTRIMEAL3 GUINEA PIGS 800g</t>
  </si>
  <si>
    <t>نوتري ميل 3 للخنزير الغيني 800 جم</t>
  </si>
  <si>
    <t>MAFE20221693</t>
  </si>
  <si>
    <t>210202</t>
  </si>
  <si>
    <t>P-1-N-160522-2969</t>
  </si>
  <si>
    <t>NUTRIMEAL3 GUINEA PIGS 2.5kg</t>
  </si>
  <si>
    <t>نوتري ميل 3 للخنزير الغيني 2.5 كجم</t>
  </si>
  <si>
    <t>MAFE20221692</t>
  </si>
  <si>
    <t>210203</t>
  </si>
  <si>
    <t>P-1-N-160522-2970</t>
  </si>
  <si>
    <t>NUTRIMEAL 3 GUINEA PIGS PELLETS 800g</t>
  </si>
  <si>
    <t>نوتري ميل 3 حبيبات للخنزير الغيني 800 جم</t>
  </si>
  <si>
    <t>MAFE20221691</t>
  </si>
  <si>
    <t>210204</t>
  </si>
  <si>
    <t>P-1-N-160522-2971</t>
  </si>
  <si>
    <t>NUTRIMEAL3 GUINEA PIGS PELLETS 2.5kg</t>
  </si>
  <si>
    <t>نوتري ميل 3 حبيبات للخنزير الغيني 2.5 كجم</t>
  </si>
  <si>
    <t>MAFE20221690</t>
  </si>
  <si>
    <t>USA624</t>
  </si>
  <si>
    <t>P-1-N-280622-3882</t>
  </si>
  <si>
    <t>Churu Tuna Recipe 5x14g Churu Tuna with Chicken Recipe 5x14g Churu Tuna with Scallop Recipe 5x14g Churu Tuna with Cheese Recipe 5x14g</t>
  </si>
  <si>
    <t>تشورو تونا 5×14جرام تشورو تونا مع الدجاج 5×14جرام تشورو تونا مع المحار 5×14جرام تشورو تونا مع الجبنة 5×14جرام</t>
  </si>
  <si>
    <t>MAFE20222156</t>
  </si>
  <si>
    <t>USA627</t>
  </si>
  <si>
    <t>P-1-N-290622-3900</t>
  </si>
  <si>
    <t>Churu Chicken Recipe 5x14g Churu Chicken with Scallop Recipe 5x14g Churu Chicken with Cheese Recipe 5x14g Churu Chicken with Crab Flavor Recipe 5x14g</t>
  </si>
  <si>
    <t>تشورو دجاج 5×14جرام تشورو دجاج مع المحار 5×14جرام تشورو دجاج مع الجبنة 5×14جرام تشورو دجاج مع السلطعون 5×14جرام</t>
  </si>
  <si>
    <t>MAFE20222175</t>
  </si>
  <si>
    <t>USA628</t>
  </si>
  <si>
    <t>P-1-N-290622-3901</t>
  </si>
  <si>
    <t>Churu Chicken with Cheese Recipe 5x14g Churu Chicken with Beef Recipe 5x14g Churu Chicken with Cheese &amp; Beef Recipe 5x14g Churu Chicken with Salmon Recipe 5x14g</t>
  </si>
  <si>
    <t>تشورو دجاج مع الجبنة 5×14جرام تشورو دجاج مع اللحم البقري 5×14جرام تشورو دجاج مع الجبنة واللحم البقري 5×14جرام تشورو دجاج مع السالمون 5×14جرام</t>
  </si>
  <si>
    <t>MAFE20222186</t>
  </si>
  <si>
    <t>USA641</t>
  </si>
  <si>
    <t>P-1-N-290622-3904</t>
  </si>
  <si>
    <t>Churu Tuna Recipe 10x14g Churu Tuna with Beef Recipe 10x14g Churu Tuna with Bonito Flakes Recipe 10x14g Churu Tuna Recipe with Seafood Flavor 10x14g</t>
  </si>
  <si>
    <t>تشورو تونا 10×14جرام تشورو تونا مع اللحم البقري 10×14جرام تشورو تونا مع رقائق البونيتو 10×14جرام تشورو تونا مع ثمار البحر 10×14جرام</t>
  </si>
  <si>
    <t>MAFE20222185</t>
  </si>
  <si>
    <t>USA643</t>
  </si>
  <si>
    <t>P-1-N-290622-3905</t>
  </si>
  <si>
    <t>Churu Chicken Recipe 5x14g Churu Chicken with Scallop Recipe 5x14g Churu Chicken with Crab Flavor Recipe 5x14g Churu Chicken with Beef Recipe 5x14g</t>
  </si>
  <si>
    <t>تشورو دجاج 10×14جرام تشورو دجاج مع المحار 10×14جرام تشورو تونا مع السلطعون 10×14جرام تشورو تونا مع اللحم البقري 10×14جرام</t>
  </si>
  <si>
    <t>MAFE20222184</t>
  </si>
  <si>
    <t>USA661</t>
  </si>
  <si>
    <t>P-1-N-290622-3906</t>
  </si>
  <si>
    <t>Churu Tuna with Beef Recipe 4x14g</t>
  </si>
  <si>
    <t>تشورو تونا مع اللحم البقري 4×14جرام</t>
  </si>
  <si>
    <t>MAFE20222172</t>
  </si>
  <si>
    <t>USA662</t>
  </si>
  <si>
    <t>P-1-N-290622-3907</t>
  </si>
  <si>
    <t>Churu Chicken with Beef Recipe 4x14g</t>
  </si>
  <si>
    <t>تشورو دجاج مع اللحم البقري 4×14جرام</t>
  </si>
  <si>
    <t>MAFE20222176</t>
  </si>
  <si>
    <t>USA663</t>
  </si>
  <si>
    <t>P-1-N-290622-3908</t>
  </si>
  <si>
    <t>Churu Tuna with Cheese Recipe 4x14g</t>
  </si>
  <si>
    <t>تشورو تونا مع الجبنة 4×14جرام</t>
  </si>
  <si>
    <t>MAFE20222169</t>
  </si>
  <si>
    <t>USA664</t>
  </si>
  <si>
    <t>P-1-N-290622-3910</t>
  </si>
  <si>
    <t>Churu Tuna with Clam Flavor 4x14g</t>
  </si>
  <si>
    <t>تشورو تونا مع نكهة البطلينوس 4×14جرام</t>
  </si>
  <si>
    <t>MAFE20222174</t>
  </si>
  <si>
    <t>USA665</t>
  </si>
  <si>
    <t>P-1-N-290622-3911</t>
  </si>
  <si>
    <t>Churu Tuna Recipe with Crab Flavor 4x14g</t>
  </si>
  <si>
    <t>تشورو تونا مع السلطعون 4×14جرام</t>
  </si>
  <si>
    <t>MAFE20222173</t>
  </si>
  <si>
    <t>USA666</t>
  </si>
  <si>
    <t>P-1-N-290622-3912</t>
  </si>
  <si>
    <t>Churu Tuna Recipe with Shrimp Flavor 4x14g</t>
  </si>
  <si>
    <t>تشورو تونا مع الجمبري 4×14جرام</t>
  </si>
  <si>
    <t>MAFE20222171</t>
  </si>
  <si>
    <t>USA667</t>
  </si>
  <si>
    <t>P-1-N-290622-3913</t>
  </si>
  <si>
    <t>Churu Chicken with Salmon Recipe 4x14g</t>
  </si>
  <si>
    <t>تشورو دجاج مع السالمون 4×14جرام</t>
  </si>
  <si>
    <t>MAFE20222168</t>
  </si>
  <si>
    <t>USA670</t>
  </si>
  <si>
    <t>P-1-N-290622-3915</t>
  </si>
  <si>
    <t>Churu Chicken with Cheese &amp; Beef Recipe 4x14g</t>
  </si>
  <si>
    <t>تشورو دجاج مع الجبنة واللحم البقري 4×14جرام</t>
  </si>
  <si>
    <t>MAFE20222170</t>
  </si>
  <si>
    <t>USA681</t>
  </si>
  <si>
    <t>P-1-N-290622-3917</t>
  </si>
  <si>
    <t>Churu Tuna with Salmon Recipe 10x14g Churu Tuna with Cheese Recipe 10x14g Churu Tuna Recipe with Clam Flavor 10x14g Churu Tuna Recipe with Crab Flavor 10x14g Churu Tuna Recipe with Shrimp Flavor 10x14g Churu Tuna with Bonito Flakes Recipe 10x14g</t>
  </si>
  <si>
    <t>تشورو تونا مع السالمون 10×14جرام تشورو تونا مع الجبنة 10×14جرام تشورو تونا مع نكهة السمك 10×14جرام تشورو تونا مع السلطعون 10×14جرام تشورو تونا مع الجمبري 10×14جرام تشورو تونا مع رقائق البونيتو 10×14جرام</t>
  </si>
  <si>
    <t>MAFE20222167</t>
  </si>
  <si>
    <t>USA682</t>
  </si>
  <si>
    <t>P-1-N-290622-3919</t>
  </si>
  <si>
    <t>Churu Chicken Recipe 10x14g Churu Chicken with Scallop Recipe 10x14g Churu Chicken with Cheese Recipe 10x14g Churu Chicken with Beef Recipe 10x14g Churu Chicken with Cheese &amp; Beef Recipe 10x14g Churu Chicken with Salmon Recipe 10x14g</t>
  </si>
  <si>
    <t>تشورو دجاج 10×14جرام تشورو دجاج مع المحار 10×14جرام تشورو دجاج مع الجبنة 10×14جرام تشورو دجاج مع اللحم البقري 10×14جرام تشورو دجاج مع الجبنة واللحم البقري 10×14جرام تشورو دجاج مع السالمون 10×14جرام</t>
  </si>
  <si>
    <t>MAFE20222166</t>
  </si>
  <si>
    <t>USA741</t>
  </si>
  <si>
    <t>P-1-N-290622-3921</t>
  </si>
  <si>
    <t>Churu Fun Bites Chicken Recipe Wraps Tuna Recipe 3x20g</t>
  </si>
  <si>
    <t>تشورو فان بايتس دجاج راب وتونا 3×20 جرام</t>
  </si>
  <si>
    <t>MAFE20222189</t>
  </si>
  <si>
    <t>USA742</t>
  </si>
  <si>
    <t>P-1-N-290622-3922</t>
  </si>
  <si>
    <t>Churu Fun Bites Chicken Recipe Wraps Tuna with Scallop Recipe 3x20g</t>
  </si>
  <si>
    <t>تشورو فان بايتس دجاج راب وتونا مع المحار 3×20 جرام</t>
  </si>
  <si>
    <t>MAFE20222188</t>
  </si>
  <si>
    <t>USA743</t>
  </si>
  <si>
    <t>P-1-N-290622-3923</t>
  </si>
  <si>
    <t>Churu Fun Bites Chicken Recipe Wraps Chicken Recipe 3x20g</t>
  </si>
  <si>
    <t>تشورو فان بايتس دجاج راب ودجاج 3×20 جرام</t>
  </si>
  <si>
    <t>MAFE20222187</t>
  </si>
  <si>
    <t>SC3500</t>
  </si>
  <si>
    <t>P-1-N-310722-4291</t>
  </si>
  <si>
    <t>Sanal TopMix 50g</t>
  </si>
  <si>
    <t>سانال توب ميكس 50 جم</t>
  </si>
  <si>
    <t>MAFE20222372</t>
  </si>
  <si>
    <t>SC1600</t>
  </si>
  <si>
    <t>P-1-N-310722-4292</t>
  </si>
  <si>
    <t>Sanal Kitten 30g</t>
  </si>
  <si>
    <t>سانال القطط الصغيرة 30 جم</t>
  </si>
  <si>
    <t>MAFE20222361</t>
  </si>
  <si>
    <t>SC1800</t>
  </si>
  <si>
    <t>P-1-N-310722-4293</t>
  </si>
  <si>
    <t>Sanal Catnip 30g</t>
  </si>
  <si>
    <t>سانال كاتنيب 30 جم</t>
  </si>
  <si>
    <t>MAFE20222359</t>
  </si>
  <si>
    <t>SC1500</t>
  </si>
  <si>
    <t>P-1-N-310722-4294</t>
  </si>
  <si>
    <t>Sanal Cat Fantasy 150g</t>
  </si>
  <si>
    <t>سانال كات فانتاسي 150 جم</t>
  </si>
  <si>
    <t>MAFE20222360</t>
  </si>
  <si>
    <t>SV6020</t>
  </si>
  <si>
    <t>P-1-N-310722-4295</t>
  </si>
  <si>
    <t>Sanal Malt Paste 15g</t>
  </si>
  <si>
    <t>سانال مالت بايست 15 جم</t>
  </si>
  <si>
    <t>MAFE20222348</t>
  </si>
  <si>
    <t>SV6010</t>
  </si>
  <si>
    <t>P-1-N-310722-4296</t>
  </si>
  <si>
    <t>Sanal Malt Paste 100g</t>
  </si>
  <si>
    <t>سانال مالت بايست 100 جم</t>
  </si>
  <si>
    <t>MAFE20222352</t>
  </si>
  <si>
    <t>SD2400</t>
  </si>
  <si>
    <t>P-1-N-310722-4297</t>
  </si>
  <si>
    <t>Sanal Puppy Training 30g</t>
  </si>
  <si>
    <t>سانال تدريب الجرو 30 جم</t>
  </si>
  <si>
    <t>MAFE20222358</t>
  </si>
  <si>
    <t>SD2406</t>
  </si>
  <si>
    <t>P-1-N-310722-4298</t>
  </si>
  <si>
    <t>Sanal Puppy Training 75g</t>
  </si>
  <si>
    <t>سانال تدريب الجرو 75 جم</t>
  </si>
  <si>
    <t>MAFE20222356</t>
  </si>
  <si>
    <t>SV5100</t>
  </si>
  <si>
    <t>P-1-N-310722-4299</t>
  </si>
  <si>
    <t>Sanal Dog Multi Vitamin Paste 100g</t>
  </si>
  <si>
    <t>سانال دوج ملتي فيتامين بايست 100 جم</t>
  </si>
  <si>
    <t>MAFE20222349</t>
  </si>
  <si>
    <t>P-1-N-080822-4490</t>
  </si>
  <si>
    <t>VL GOLDENFEAST CENTRAL AMERICAN 1.36KG</t>
  </si>
  <si>
    <t>في ال غولدن فييست أمريكا الوسطى 1.36 كجم</t>
  </si>
  <si>
    <t>MAFE20222525</t>
  </si>
  <si>
    <t>P-1-N-080822-4491</t>
  </si>
  <si>
    <t>VL GOLDENFEAST INDONESIAN 1.36KG</t>
  </si>
  <si>
    <t>في ال غولدن فييست إندونيسي 1.36 كجم</t>
  </si>
  <si>
    <t>MAFE20222524</t>
  </si>
  <si>
    <t>P-1-N-080822-4492</t>
  </si>
  <si>
    <t>VL GOLDENFEAST MADAGASCAR 1.36KG</t>
  </si>
  <si>
    <t>في ال غولدن فييست مدغشقر 1.36 كجم</t>
  </si>
  <si>
    <t>MAFE20222515</t>
  </si>
  <si>
    <t>P-1-N-080822-4493</t>
  </si>
  <si>
    <t>VL GOLDENFEAST AMAZON 1.36KG</t>
  </si>
  <si>
    <t>في ال غولدن فييست أمازون 1.36 كجم</t>
  </si>
  <si>
    <t>MAFE20222523</t>
  </si>
  <si>
    <t>P-1-N-080822-4494</t>
  </si>
  <si>
    <t>VL GOLDENFEAST CARRIBEAN 1.36KG</t>
  </si>
  <si>
    <t>في ال غولدن فييست الكاريبي 1.36 كجم</t>
  </si>
  <si>
    <t>MAFE20222522</t>
  </si>
  <si>
    <t>P-1-N-080822-4495</t>
  </si>
  <si>
    <t>VL GOLDENFEAST BONITA NUT 1.36KG</t>
  </si>
  <si>
    <t>في ال غولدن فييست جوز البونيتا 1.36 كجم</t>
  </si>
  <si>
    <t>MAFE20222513</t>
  </si>
  <si>
    <t>P-1-N-080822-4496</t>
  </si>
  <si>
    <t>VL GOLDENFEAST BEAN SUPREME TREAT 1.36KG</t>
  </si>
  <si>
    <t>في ال غولدن فييست وجبة فول سوبريم 1.36 كجم</t>
  </si>
  <si>
    <t>MAFE20222516</t>
  </si>
  <si>
    <t>P-1-N-080822-4498</t>
  </si>
  <si>
    <t>VITA SEED PARROT 1.36KG</t>
  </si>
  <si>
    <t>فيتا سييد ببغاء 1.36 كجم</t>
  </si>
  <si>
    <t>MAFE20222521</t>
  </si>
  <si>
    <t>P-1-N-080822-4499</t>
  </si>
  <si>
    <t>VITA SEED CONURE/LOVEBIRD 1.13KG</t>
  </si>
  <si>
    <t>فيتا سييد كونيور / طيور الحب 1.13 كجم</t>
  </si>
  <si>
    <t>MAFE20222520</t>
  </si>
  <si>
    <t>P-1-N-080822-4500</t>
  </si>
  <si>
    <t>VITA SEED COCKATIEL 1.13KG</t>
  </si>
  <si>
    <t>فيتا سييد كوكاتيل 1.13 كجم</t>
  </si>
  <si>
    <t>MAFE20222519</t>
  </si>
  <si>
    <t>P-1-N-080822-4501</t>
  </si>
  <si>
    <t>MAYAN HARVEST YUCATAN 1.36KG</t>
  </si>
  <si>
    <t>مايان هارفست يوكاتان 1.36 كجم</t>
  </si>
  <si>
    <t>MAFE20222518</t>
  </si>
  <si>
    <t>P-1-N-080822-4502</t>
  </si>
  <si>
    <t>MAYAN HARVEST TIKAL 1.36KG</t>
  </si>
  <si>
    <t>مايان هارفست تيكال 1.36 كجم</t>
  </si>
  <si>
    <t>MAFE20222512</t>
  </si>
  <si>
    <t>P-1-N-080822-4503</t>
  </si>
  <si>
    <t>SUNBURST CONURE 1.36KG</t>
  </si>
  <si>
    <t>صنبرست كونيور 1.36 كجم</t>
  </si>
  <si>
    <t>MAFE20222517</t>
  </si>
  <si>
    <t>P-1-N-080822-4504</t>
  </si>
  <si>
    <t>SUNBURST PARROT 1.36KG</t>
  </si>
  <si>
    <t>صنبرست ببغاء 1.36 كجم</t>
  </si>
  <si>
    <t>MAFE20222514</t>
  </si>
  <si>
    <t>HS32250</t>
  </si>
  <si>
    <t>P-1-N-080822-4505</t>
  </si>
  <si>
    <t>SUNBURST TREATS FRUIT TO NUTS 141.75G</t>
  </si>
  <si>
    <t>صنبرست وجبة ممتعة من الفاكهة إلى المكسرات 141.75 جم</t>
  </si>
  <si>
    <t>MAFE20222511</t>
  </si>
  <si>
    <t>P-1-N-080822-4506</t>
  </si>
  <si>
    <t>PROTEIN EGG FOOD 141.75G</t>
  </si>
  <si>
    <t>غذاء بروتين البيض 141.75 جم</t>
  </si>
  <si>
    <t>MAFE20222510</t>
  </si>
  <si>
    <t>C01072010</t>
  </si>
  <si>
    <t>P-1-N-080822-4519</t>
  </si>
  <si>
    <t>SCHESIR KITTEN CHICKEN CREAM 150g</t>
  </si>
  <si>
    <t>شيزيركيتن كريمة الدجاج 150 جم</t>
  </si>
  <si>
    <t>MAFE20222644</t>
  </si>
  <si>
    <t>C01072020</t>
  </si>
  <si>
    <t>P-1-N-080822-4520</t>
  </si>
  <si>
    <t>Schesir Kitten Tuna Cream 150g</t>
  </si>
  <si>
    <t>شيزيركيتن كريمة التونة 150 جم</t>
  </si>
  <si>
    <t>MAFE20222643</t>
  </si>
  <si>
    <t>C01072310</t>
  </si>
  <si>
    <t>P-1-N-080822-4522</t>
  </si>
  <si>
    <t>SCHESIR KITTEN CHICKEN MOUSSE 85g</t>
  </si>
  <si>
    <t>شيزير كيتن موس دجاج 85 جم</t>
  </si>
  <si>
    <t>MAFE20222686</t>
  </si>
  <si>
    <t>C01072320</t>
  </si>
  <si>
    <t>P-1-N-080822-4523</t>
  </si>
  <si>
    <t>Schesir Kitten Tuna Mousse 85g</t>
  </si>
  <si>
    <t>شيزير كيتن موس تونة 85 جم</t>
  </si>
  <si>
    <t>MAFE20222677</t>
  </si>
  <si>
    <t>FB1031097</t>
  </si>
  <si>
    <t>P-1-N-140822-4663</t>
  </si>
  <si>
    <t>Fruitables Yogos Real Yogurt &amp; Strawberry/Banana Treats 340g</t>
  </si>
  <si>
    <t>فروتابلز يوغوز وجبة ممتعة بالزبادي الحقيقي والفراولة والموز 340 جم</t>
  </si>
  <si>
    <t>MAFE20222548</t>
  </si>
  <si>
    <t>FB1031098</t>
  </si>
  <si>
    <t>P-1-N-140822-4664</t>
  </si>
  <si>
    <t>Fruitables Yogos Real Yogurt &amp; Blueberry Treats 340g</t>
  </si>
  <si>
    <t>فروتابلز يوغوز وجبة ممتعة بالزبادي الحقيقي والتوت 340 جم</t>
  </si>
  <si>
    <t>MAFE20222537</t>
  </si>
  <si>
    <t>FB1031099</t>
  </si>
  <si>
    <t>P-1-N-140822-4665</t>
  </si>
  <si>
    <t>Fruitables Yogos Real Yogurt &amp; Coconut Treats 340g</t>
  </si>
  <si>
    <t>فروتابلز يوغوز وجبة ممتعة بالزبادي الحقيقي وجوزة الهند 340 جم</t>
  </si>
  <si>
    <t>MAFE20222540</t>
  </si>
  <si>
    <t>P-1-N-150822-4729</t>
  </si>
  <si>
    <t>كيت كات السلمون والمأكولات البحرية 15 جم</t>
  </si>
  <si>
    <t>MAFE20222536</t>
  </si>
  <si>
    <t>شركة برو بيت النمسا لأغذية الحيوانات الأليفة</t>
  </si>
  <si>
    <t>5652</t>
  </si>
  <si>
    <t>P-1-N-150822-4732</t>
  </si>
  <si>
    <t>Kit Cat Cat Stick - Salmon &amp; Katsuobushi 15g</t>
  </si>
  <si>
    <t>كيت كات سمك السلمون وكاتسوبوشي 15 جم</t>
  </si>
  <si>
    <t>MAFE20222529</t>
  </si>
  <si>
    <t>P-1-N-180822-4858</t>
  </si>
  <si>
    <t>Kit Cat Purrfect Pockets Dental Care 60g</t>
  </si>
  <si>
    <t>كيت كات برفكت باكتس العناية بالأسنان 60 ﺟﻢ</t>
  </si>
  <si>
    <t>MAFE20222674</t>
  </si>
  <si>
    <t>الشركة المتحدة للحيوانات الأليفة أسبانيا</t>
  </si>
  <si>
    <t>P-1-N-240822-4978</t>
  </si>
  <si>
    <t>JosiCat Chicken in Sauce 415g</t>
  </si>
  <si>
    <t>جوسيكات دجاج بالصلصة 415 جم</t>
  </si>
  <si>
    <t>MAFE20222766</t>
  </si>
  <si>
    <t>P-1-N-240822-4979</t>
  </si>
  <si>
    <t>JosiCat Beef in Sauce 415g</t>
  </si>
  <si>
    <t>جوسيكات لحم بقري بالصلصة 415 جم</t>
  </si>
  <si>
    <t>MAFE20222763</t>
  </si>
  <si>
    <t>P-1-N-240822-4980</t>
  </si>
  <si>
    <t>JosiCat Fish in Sauce 415g</t>
  </si>
  <si>
    <t>جوسيكات سمك بالصلصة 415 جم</t>
  </si>
  <si>
    <t>MAFE20222764</t>
  </si>
  <si>
    <t>P-1-N-240822-4981</t>
  </si>
  <si>
    <t>JosiDog Beef in Sauce 415g</t>
  </si>
  <si>
    <t>جوسيدوج لحم بقري بالصلصة 415 جم</t>
  </si>
  <si>
    <t>MAFE20222765</t>
  </si>
  <si>
    <t>P-1-N-240822-4982</t>
  </si>
  <si>
    <t>JosiDog Chicken in Sauce 415g</t>
  </si>
  <si>
    <t>جوسيدوج دجاج بالصلصة 415 جم</t>
  </si>
  <si>
    <t>MAFE20222762</t>
  </si>
  <si>
    <t>P-1-N-240822-4983</t>
  </si>
  <si>
    <t>JosiDog Game in Sauce 415g</t>
  </si>
  <si>
    <t>جوسيدوج لحوم الطرائد بالصلصة 415 جم</t>
  </si>
  <si>
    <t>MAFE20222761</t>
  </si>
  <si>
    <t>50012124</t>
  </si>
  <si>
    <t>P-1-N-290822-5039</t>
  </si>
  <si>
    <t>Gastrointestinal Cat 2kg</t>
  </si>
  <si>
    <t>جاسترو اينتستينال كات 2 كم</t>
  </si>
  <si>
    <t>MAFE20222757</t>
  </si>
  <si>
    <t>50012126</t>
  </si>
  <si>
    <t>P-1-N-290822-5040</t>
  </si>
  <si>
    <t>Hypoallergenic Cat 2kg</t>
  </si>
  <si>
    <t>هايبو ألرجنيك كات 2 كجم</t>
  </si>
  <si>
    <t>MAFE20222758</t>
  </si>
  <si>
    <t>50012128</t>
  </si>
  <si>
    <t>P-1-N-290822-5041</t>
  </si>
  <si>
    <t>Renal Cat 2kg</t>
  </si>
  <si>
    <t>رينال كات 2 كجم</t>
  </si>
  <si>
    <t>MAFE20222756</t>
  </si>
  <si>
    <t>50012130</t>
  </si>
  <si>
    <t>P-1-N-290822-5042</t>
  </si>
  <si>
    <t>Urinary Cat 2kg</t>
  </si>
  <si>
    <t>يوريناري كات 2 كجم</t>
  </si>
  <si>
    <t>MAFE20222755</t>
  </si>
  <si>
    <t>50012132</t>
  </si>
  <si>
    <t>P-1-N-290822-5043</t>
  </si>
  <si>
    <t>Weight &amp; Diabetic Cat 2kg</t>
  </si>
  <si>
    <t>ويت اند ديابتك كات 2 كجم</t>
  </si>
  <si>
    <t>MAFE20222754</t>
  </si>
  <si>
    <t>1008043</t>
  </si>
  <si>
    <t>P-1-N-150922-5340</t>
  </si>
  <si>
    <t>ZUPREEM FRUITBLEND SMALL 907g</t>
  </si>
  <si>
    <t>زوبريم فروتبلند صغير 907 ﺟﻢ</t>
  </si>
  <si>
    <t>MAFE20222954</t>
  </si>
  <si>
    <t>شركة المنتجات الغذائية المتميزة</t>
  </si>
  <si>
    <t>1008045</t>
  </si>
  <si>
    <t>P-1-N-150922-5341</t>
  </si>
  <si>
    <t>ZUPREEM FRUITBLEND SMALL 4.5kg</t>
  </si>
  <si>
    <t>زوبريم فروتبلند صغير 4.5 كجم</t>
  </si>
  <si>
    <t>MAFE20222953</t>
  </si>
  <si>
    <t>1008049</t>
  </si>
  <si>
    <t>P-1-N-150922-5342</t>
  </si>
  <si>
    <t>ZUPREEM FRUITBLEND MEDIUM 907g</t>
  </si>
  <si>
    <t>زوبريم فروتبلند متوسط 907 ﺟﻢ</t>
  </si>
  <si>
    <t>MAFE20222952</t>
  </si>
  <si>
    <t>1008017</t>
  </si>
  <si>
    <t>P-1-N-150922-5344</t>
  </si>
  <si>
    <t>ZUPREEM TROPICAL MIX MEDIUM 170g</t>
  </si>
  <si>
    <t>زوبريم تروبيكال ميكس متوسط 170 ﺟﻢ</t>
  </si>
  <si>
    <t>MAFE20222950</t>
  </si>
  <si>
    <t>1008018</t>
  </si>
  <si>
    <t>P-1-N-150922-5345</t>
  </si>
  <si>
    <t>ZUPREEM TROPICAL MIX LARGE 170g</t>
  </si>
  <si>
    <t>زوبريم تروبيكال ميكس كبير 170 ﺟﻢ</t>
  </si>
  <si>
    <t>MAFE20222948</t>
  </si>
  <si>
    <t>1008019</t>
  </si>
  <si>
    <t>P-1-N-150922-5346</t>
  </si>
  <si>
    <t>ZUPREEM GARDEN MIX MEDIUM 170g</t>
  </si>
  <si>
    <t>زوبريم جاردين ميكس متوسط 170 ﺟﻢ</t>
  </si>
  <si>
    <t>MAFE20222947</t>
  </si>
  <si>
    <t>1008020</t>
  </si>
  <si>
    <t>P-1-N-150922-5347</t>
  </si>
  <si>
    <t>ZUPREEM GARDEN MIX LARGE 170g</t>
  </si>
  <si>
    <t>زوبريم جاردينز ميكس كبير 170 ﺟﻢ</t>
  </si>
  <si>
    <t>MAFE20222943</t>
  </si>
  <si>
    <t>1008015</t>
  </si>
  <si>
    <t>P-1-N-150922-5348</t>
  </si>
  <si>
    <t>ZUPREEM ORCHARD MIX MEDIUM 170g</t>
  </si>
  <si>
    <t>زوبريم أوركارد ميكس متوسط 170 ﺟﻢ</t>
  </si>
  <si>
    <t>MAFE20222937</t>
  </si>
  <si>
    <t>1008016</t>
  </si>
  <si>
    <t>P-1-N-150922-5349</t>
  </si>
  <si>
    <t>ZUPREEM ORCHARD MIX LARGE 170g</t>
  </si>
  <si>
    <t>زوبريم أوركارد ميكس كبير 170 ﺟﻢ</t>
  </si>
  <si>
    <t>MAFE20222942</t>
  </si>
  <si>
    <t>1008076</t>
  </si>
  <si>
    <t>P-1-N-150922-5350</t>
  </si>
  <si>
    <t>ZUPREEM NATURAL SMALL 1kg</t>
  </si>
  <si>
    <t>زوبريم ناتشورال صغير 1 كجم</t>
  </si>
  <si>
    <t>MAFE20222940</t>
  </si>
  <si>
    <t>1008079</t>
  </si>
  <si>
    <t>P-1-N-150922-5351</t>
  </si>
  <si>
    <t>ZUPREEM NATURAL MEDIUM 1.1kg</t>
  </si>
  <si>
    <t>زوبريم ناتشورال متوسط 1.1 كجم</t>
  </si>
  <si>
    <t>MAFE20222938</t>
  </si>
  <si>
    <t>1008085</t>
  </si>
  <si>
    <t>P-1-N-150922-5352</t>
  </si>
  <si>
    <t>ZUPREEM NATURAL LARGE 1.4kg</t>
  </si>
  <si>
    <t>زوبريم ناتشورال كبير 1.4 كجم</t>
  </si>
  <si>
    <t>MAFE20222936</t>
  </si>
  <si>
    <t>1008000</t>
  </si>
  <si>
    <t>P-1-N-061022-5690</t>
  </si>
  <si>
    <t>ZUPREEM SMARTSELECTS CAN&amp;FICH 907g</t>
  </si>
  <si>
    <t>زوبريم سمارت سلكتس الكناري والفينش 907 ﺟﻢ</t>
  </si>
  <si>
    <t>1008001</t>
  </si>
  <si>
    <t>P-1-N-061022-5691</t>
  </si>
  <si>
    <t>ZUPREEM SMARTSELECTS PARAKEETS 907g</t>
  </si>
  <si>
    <t>زوبريم سمارت سلكتس البراكيت 907 ﺟﻢ</t>
  </si>
  <si>
    <t>1008002</t>
  </si>
  <si>
    <t>P-1-N-061022-5692</t>
  </si>
  <si>
    <t>ZUPREEM SMARTSELECTS COCKTIEL 1.1kg</t>
  </si>
  <si>
    <t>زوبريم سمارت سلكتس الكوكاتيل 1.1 كجم</t>
  </si>
  <si>
    <t>1008003</t>
  </si>
  <si>
    <t>P-1-N-061022-5693</t>
  </si>
  <si>
    <t>ZUPREEM SMARTSELECTS P&amp;C 1.8kg</t>
  </si>
  <si>
    <t>زوبريم سمارت سلكتس الببغاوات و الكنيور 1.8 كجم</t>
  </si>
  <si>
    <t>1008004</t>
  </si>
  <si>
    <t>P-1-N-061022-5694</t>
  </si>
  <si>
    <t>ZUPREEM SMARTSELECTS MACAWS 1.8kg</t>
  </si>
  <si>
    <t>زوبريم سمارت سلكتس المكاو 1.8 كجم</t>
  </si>
  <si>
    <t>1008005</t>
  </si>
  <si>
    <t>P-1-N-061022-5695</t>
  </si>
  <si>
    <t>ZUPREEM PURE FUN SMALL 907g</t>
  </si>
  <si>
    <t>زوبريم بيور فن صغير 907 ﺟﻢ</t>
  </si>
  <si>
    <t>1008006</t>
  </si>
  <si>
    <t>P-1-N-061022-5696</t>
  </si>
  <si>
    <t>ZUPREEM FUN MEDIUM 907g</t>
  </si>
  <si>
    <t>زوبريم فن متوسط 907 ﺟﻢ</t>
  </si>
  <si>
    <t>1008007</t>
  </si>
  <si>
    <t>P-1-N-061022-5697</t>
  </si>
  <si>
    <t>ZUPREEM PURE FUN P&amp;C 907g</t>
  </si>
  <si>
    <t>زوبريم بيور فن الببغاوات و الكنيور 907 ﺟﻢ</t>
  </si>
  <si>
    <t>1008008</t>
  </si>
  <si>
    <t>P-1-N-061022-5698</t>
  </si>
  <si>
    <t>ZUPREEM PURE FUN LARGE 907g</t>
  </si>
  <si>
    <t>زوبريم بيور فن كبير 907 ﺟﻢ</t>
  </si>
  <si>
    <t>1008009</t>
  </si>
  <si>
    <t>P-1-N-061022-5699</t>
  </si>
  <si>
    <t>ZUPREEM SENSIBLE SEED SMALL 907g</t>
  </si>
  <si>
    <t>زوبريم سينسيبل سييد صغير 907 ﺟﻢ</t>
  </si>
  <si>
    <t>1008010</t>
  </si>
  <si>
    <t>P-1-N-061022-5700</t>
  </si>
  <si>
    <t>ZUPREEM SENSIBLE SEED MEDIUM 907g</t>
  </si>
  <si>
    <t>زوبريم سينسيبل سييد متوسط 907 ﺟﻢ</t>
  </si>
  <si>
    <t>1008011</t>
  </si>
  <si>
    <t>P-1-N-061022-5701</t>
  </si>
  <si>
    <t>ZUPREEM SENSIBLE SEED P&amp;C 907g</t>
  </si>
  <si>
    <t>زوبريم سينسيبل سييد الببغاوات و الكنيور 907 ﺟﻢ</t>
  </si>
  <si>
    <t>1008012</t>
  </si>
  <si>
    <t>P-1-N-061022-5702</t>
  </si>
  <si>
    <t>ZUPREEM SENSIBLE SEED LARGE 907g</t>
  </si>
  <si>
    <t>زوبريم سينسيبل سييد كبير 907 ﺟﻢ</t>
  </si>
  <si>
    <t>1008038</t>
  </si>
  <si>
    <t>P-1-N-091022-5730</t>
  </si>
  <si>
    <t>ZUPREEM FRUITBLEND XSMALL 907g</t>
  </si>
  <si>
    <t>زوبريم فروتبلند صغير جدا 907 جم</t>
  </si>
  <si>
    <t>1008040</t>
  </si>
  <si>
    <t>P-1-N-091022-5731</t>
  </si>
  <si>
    <t>ZUPREEM FRUITBLEND XSMALL 4.5kg</t>
  </si>
  <si>
    <t>زوبريم فروتبلند صغير جدا 4.5 كجم</t>
  </si>
  <si>
    <t>1008055</t>
  </si>
  <si>
    <t>P-1-N-091022-5732</t>
  </si>
  <si>
    <t>ZUPREEM FRUITBLEND MED/LARGE 907g</t>
  </si>
  <si>
    <t>زوبريم فروتبلند متوسط / كبير 907 جم</t>
  </si>
  <si>
    <t>1008062</t>
  </si>
  <si>
    <t>P-1-N-091022-5733</t>
  </si>
  <si>
    <t>ZUPREEM FRUITBLEND LARGE 907g</t>
  </si>
  <si>
    <t>زوبريم فروتبلند كبير 907 جم</t>
  </si>
  <si>
    <t>1008033</t>
  </si>
  <si>
    <t>P-1-N-091022-5734</t>
  </si>
  <si>
    <t>ZUPREEM FRUITBLEND MED BREEDER 907g</t>
  </si>
  <si>
    <t>زوبريم فروتبلند للتربية متوسط 907 جم</t>
  </si>
  <si>
    <t>1008035</t>
  </si>
  <si>
    <t>P-1-N-091022-5735</t>
  </si>
  <si>
    <t>ZUPREEM FRUITBLEND MED/LARGE BREEDER 907g</t>
  </si>
  <si>
    <t>زوبريم فروتبلند للتربية متوسط/كبير 907 جم</t>
  </si>
  <si>
    <t>137126</t>
  </si>
  <si>
    <t>P-1-N-201022-6005</t>
  </si>
  <si>
    <t>NUTRIMEAL Premium sticks for canaries - CANARY GRASS + SHELLS 110g</t>
  </si>
  <si>
    <t>نوتري ميل بريميوم ستيكس للكناري - عشب الكناري + الأصداف 110جم</t>
  </si>
  <si>
    <t>بي بي اتش نيستور توماش كاوكي</t>
  </si>
  <si>
    <t>137127</t>
  </si>
  <si>
    <t>P-1-N-201022-6006</t>
  </si>
  <si>
    <t>NUTRILMEAL PREMIUM STICKS FOR EXOTIC BIRDS - YELLOW MILLET + SHELLS 110g</t>
  </si>
  <si>
    <t>نوتري ميل بريميوم ستيكس للطيور االتسووايي - الدخن الأصفر + الأصداف 110 جم</t>
  </si>
  <si>
    <t>MAFE20223263</t>
  </si>
  <si>
    <t>137128</t>
  </si>
  <si>
    <t>P-1-N-201022-6007</t>
  </si>
  <si>
    <t>NUTRILMEAL PREMIUM STICKS FOR PARAKEETS - RED MILLET + SHELLS 110g</t>
  </si>
  <si>
    <t>نوتري ميل بريميوم ستيكس للبراكيت - الدخن الأحمر + الأصداف 110 جم</t>
  </si>
  <si>
    <t>MAFE20223264</t>
  </si>
  <si>
    <t>137129</t>
  </si>
  <si>
    <t>P-1-N-201022-6008</t>
  </si>
  <si>
    <t>NUTRILMEAL PREMIUM STICKS FOR LARGE PARAKEETS - SUNFLOWER SEED + SHELLS 110g</t>
  </si>
  <si>
    <t>نوتري ميل بريميوم ستيكس للبراكيت الكبيرة - بذور دوار الشمس + الأصداف 110 جم</t>
  </si>
  <si>
    <t>MAFE20223318</t>
  </si>
  <si>
    <t>209282</t>
  </si>
  <si>
    <t>P-1-N-201022-6009</t>
  </si>
  <si>
    <t>NUTRILMEAL PREMIUM STICKS FOR DWARF RABBITS - CARROT 115g</t>
  </si>
  <si>
    <t>نوتري ميل بريميوم ستيكس للأرانب القزمية - الجزر 115 جم</t>
  </si>
  <si>
    <t>MAFE20223262</t>
  </si>
  <si>
    <t>209284</t>
  </si>
  <si>
    <t>P-1-N-201022-6010</t>
  </si>
  <si>
    <t>NUTRILMEAL PREMIUM STICKS FOR DWARF RABBITS - VEGETABLES 115g</t>
  </si>
  <si>
    <t>نوتري ميل بريميوم ستيكس للأرانب القزمية - الخضروات 115 جم</t>
  </si>
  <si>
    <t>MAFE20223261</t>
  </si>
  <si>
    <t>209287</t>
  </si>
  <si>
    <t>P-1-N-201022-6011</t>
  </si>
  <si>
    <t>NUTRILMEAL PREMIUM STICKS FOR HAMSTERS AND GERBILS - OATS 110g</t>
  </si>
  <si>
    <t>نوتري ميل بريميوم ستيكس للهامستر والجربيلز - الشوفان 110 جم</t>
  </si>
  <si>
    <t>MAFE20223281</t>
  </si>
  <si>
    <t>P-1-N-251022-6105</t>
  </si>
  <si>
    <t>MINERAL GRIT 170.1g</t>
  </si>
  <si>
    <t>مينيرال غريت 170.1 جم</t>
  </si>
  <si>
    <t>1008068</t>
  </si>
  <si>
    <t>P-1-N-301022-6209</t>
  </si>
  <si>
    <t>ZUPREEM NUTBLEND 1.5kg</t>
  </si>
  <si>
    <t>زوبريم نوتبلند 1.5 كجم</t>
  </si>
  <si>
    <t>MAFE20223380</t>
  </si>
  <si>
    <t>1008071</t>
  </si>
  <si>
    <t>P-1-N-301022-6210</t>
  </si>
  <si>
    <t>ZUPREEM VEGBLEND 1.5kg</t>
  </si>
  <si>
    <t>زوبريم فيجيبلند 1.5 كجم</t>
  </si>
  <si>
    <t>MAFE20223389</t>
  </si>
  <si>
    <t>1008082</t>
  </si>
  <si>
    <t>P-1-N-301022-6212</t>
  </si>
  <si>
    <t>ZUPREEM NATURAL MED/LARGE BREED 1.4kg</t>
  </si>
  <si>
    <t>زوبريم ناتشورال سلالة متوسطة / كبيرة 1.4 كجم</t>
  </si>
  <si>
    <t>MAFE20223387</t>
  </si>
  <si>
    <t>1008074</t>
  </si>
  <si>
    <t>P-1-N-301022-6213</t>
  </si>
  <si>
    <t>ZUPREEM PASTABLEND MED/LARGE 1.4kg</t>
  </si>
  <si>
    <t>زوبريم باستابلند متوسط / كبير 1.4 كجم</t>
  </si>
  <si>
    <t>MAFE20223388</t>
  </si>
  <si>
    <t>1008073</t>
  </si>
  <si>
    <t>P-1-N-301022-6214</t>
  </si>
  <si>
    <t>ZUPREEM PASTABLEND MEDIUM 907G</t>
  </si>
  <si>
    <t>زوبريم باستابلند متوسط 907 جم</t>
  </si>
  <si>
    <t>MAFE20223379</t>
  </si>
  <si>
    <t>1008075</t>
  </si>
  <si>
    <t>P-1-N-301022-6215</t>
  </si>
  <si>
    <t>ZUPREEM PASTABLEND LARGE 1.4kg</t>
  </si>
  <si>
    <t>زوبريم باستابلند كبير 1.4 كجم</t>
  </si>
  <si>
    <t>MAFE20223386</t>
  </si>
  <si>
    <t>P-1-N-301022-6216</t>
  </si>
  <si>
    <t>زوبريم سمارت سلكتس الكناري والفيش 907 ﺟﻢ</t>
  </si>
  <si>
    <t>MAFE20223404</t>
  </si>
  <si>
    <t>P-1-N-301022-6217</t>
  </si>
  <si>
    <t>MAFE20223385</t>
  </si>
  <si>
    <t>P-1-N-301022-6218</t>
  </si>
  <si>
    <t>MAFE20223383</t>
  </si>
  <si>
    <t>P-1-N-301022-6219</t>
  </si>
  <si>
    <t>MAFE20223382</t>
  </si>
  <si>
    <t>P-1-N-301022-6220</t>
  </si>
  <si>
    <t>MAFE20223381</t>
  </si>
  <si>
    <t>P-1-N-301022-6221</t>
  </si>
  <si>
    <t>MAFE20223374</t>
  </si>
  <si>
    <t>P-1-N-301022-6222</t>
  </si>
  <si>
    <t>MAFE20223378</t>
  </si>
  <si>
    <t>P-1-N-301022-6223</t>
  </si>
  <si>
    <t>MAFE20223377</t>
  </si>
  <si>
    <t>P-1-N-301022-6224</t>
  </si>
  <si>
    <t>MAFE20223419</t>
  </si>
  <si>
    <t>P-1-N-301022-6225</t>
  </si>
  <si>
    <t>MAFE20223418</t>
  </si>
  <si>
    <t>P-1-N-301022-6226</t>
  </si>
  <si>
    <t>MAFE20223417</t>
  </si>
  <si>
    <t>P-1-N-301022-6227</t>
  </si>
  <si>
    <t>MAFE20223416</t>
  </si>
  <si>
    <t>P-1-N-301022-6228</t>
  </si>
  <si>
    <t>MAFE20223415</t>
  </si>
  <si>
    <t>P-1-N-301022-6229</t>
  </si>
  <si>
    <t>MAFE20223403</t>
  </si>
  <si>
    <t>P-1-N-301022-6230</t>
  </si>
  <si>
    <t>MAFE20223401</t>
  </si>
  <si>
    <t>P-1-N-301022-6231</t>
  </si>
  <si>
    <t>MAFE20223402</t>
  </si>
  <si>
    <t>P-1-N-301022-6232</t>
  </si>
  <si>
    <t>MAFE20223400</t>
  </si>
  <si>
    <t>P-1-N-301022-6233</t>
  </si>
  <si>
    <t>MAFE20223399</t>
  </si>
  <si>
    <t>P-1-N-301022-6234</t>
  </si>
  <si>
    <t>MAFE20223398</t>
  </si>
  <si>
    <t>1008088</t>
  </si>
  <si>
    <t>P-1-N-301022-6236</t>
  </si>
  <si>
    <t>ZUPREEM RABBIT 2.3KG</t>
  </si>
  <si>
    <t>زوبريم للأرانب 2.3 كجم</t>
  </si>
  <si>
    <t>MAFE20223608</t>
  </si>
  <si>
    <t>1008091</t>
  </si>
  <si>
    <t>P-1-N-301022-6237</t>
  </si>
  <si>
    <t>ZUPREEM GUINEA PIG 2.3kg</t>
  </si>
  <si>
    <t>زوبريم للخنازير الغينيا 2.3 كجم</t>
  </si>
  <si>
    <t>MAFE20223607</t>
  </si>
  <si>
    <t>1008093</t>
  </si>
  <si>
    <t>P-1-N-301022-6238</t>
  </si>
  <si>
    <t>ZUPREEM HAY 397g</t>
  </si>
  <si>
    <t>زوبريم تبن 397 جم</t>
  </si>
  <si>
    <t>RFM20223396</t>
  </si>
  <si>
    <t>1008094</t>
  </si>
  <si>
    <t>P-1-N-301022-6239</t>
  </si>
  <si>
    <t>ZUPREEM HAY 1.13kg</t>
  </si>
  <si>
    <t>زوبريم تبن 1.13 كجم</t>
  </si>
  <si>
    <t>RFM20223395</t>
  </si>
  <si>
    <t>P-1-N-021122-6290</t>
  </si>
  <si>
    <t>MAFE20223513</t>
  </si>
  <si>
    <t>USA803</t>
  </si>
  <si>
    <t>P-1-N-101122-6435</t>
  </si>
  <si>
    <t>Twin Packs Tuna &amp; Chicken with Scallop Recipe in Scallop Broth 80g</t>
  </si>
  <si>
    <t>توين باكس وصفة تونا ودجاج مع المحار بمرق المحار 80 جم</t>
  </si>
  <si>
    <t>MAFE20223550</t>
  </si>
  <si>
    <t>USA801</t>
  </si>
  <si>
    <t>P-1-N-101122-6436</t>
  </si>
  <si>
    <t>Twin Packs Tuna &amp; Chicken Recipe in Tuna Broth 80g</t>
  </si>
  <si>
    <t>توين باكس وصفة تونا ودجاج بمرق التونا 80 جم</t>
  </si>
  <si>
    <t>MAFE20223549</t>
  </si>
  <si>
    <t>USA802</t>
  </si>
  <si>
    <t>P-1-N-101122-6437</t>
  </si>
  <si>
    <t>Twin Packs Chicken Recipe in Chicken Broth 80g</t>
  </si>
  <si>
    <t>توين باكس وصفة دجاج بمرق الدجاج 80 جم</t>
  </si>
  <si>
    <t>MAFE20223542</t>
  </si>
  <si>
    <t>P-1-N-061222-7027</t>
  </si>
  <si>
    <t>goDUCK with superfoods 150g</t>
  </si>
  <si>
    <t>غو بط مع سوبرفوودس 150 ﺟﻢ</t>
  </si>
  <si>
    <t>MAFE20223997</t>
  </si>
  <si>
    <t>هيرمان جي إم بي إتش</t>
  </si>
  <si>
    <t>P-1-N-061222-7028</t>
  </si>
  <si>
    <t>goDUCK with superfoods for Dog-Puppy 150g</t>
  </si>
  <si>
    <t>غو بط مع سوبرفوودس للجرو 150 ﺟﻢ</t>
  </si>
  <si>
    <t>MAFE20224029</t>
  </si>
  <si>
    <t>P-1-N-061222-7029</t>
  </si>
  <si>
    <t>goLAMB with superfoods for Dogs 150g</t>
  </si>
  <si>
    <t>غو لحم الضأن مع سوبرفوودس للكلاب 150 ﺟﻢ</t>
  </si>
  <si>
    <t>MAFE20224030</t>
  </si>
  <si>
    <t>P-1-N-061222-7030</t>
  </si>
  <si>
    <t>goVENISON with superfoods for Dogs 150g</t>
  </si>
  <si>
    <t>غو لحم الغزال مع سوبرفوودس للكلاب 150 ﺟﻢ</t>
  </si>
  <si>
    <t>MAFE20224015</t>
  </si>
  <si>
    <t>P-1-N-061222-7031</t>
  </si>
  <si>
    <t>goRABBIT with superfoods for Dogs 150g</t>
  </si>
  <si>
    <t>غو أرنب مع سوبرفوودس للكلاب 150 ﺟﻢ</t>
  </si>
  <si>
    <t>MAFE20224022</t>
  </si>
  <si>
    <t>EGGD85</t>
  </si>
  <si>
    <t>P-1-N-061222-7032</t>
  </si>
  <si>
    <t>goDUCK with superfoods for Cats 85g</t>
  </si>
  <si>
    <t>غو بط مع سوبرفوودس للقطط 85 ﺟﻢ</t>
  </si>
  <si>
    <t>MAFE20224028</t>
  </si>
  <si>
    <t>EGGC85</t>
  </si>
  <si>
    <t>P-1-N-061222-7033</t>
  </si>
  <si>
    <t>goCHICKEN with superfoods for Cats 85g</t>
  </si>
  <si>
    <t>غو دجاج مع سوبرفوودس للقطط 85 ﺟﻢ</t>
  </si>
  <si>
    <t>MAFE20224027</t>
  </si>
  <si>
    <t>EGGSC85</t>
  </si>
  <si>
    <t>P-1-N-061222-7034</t>
  </si>
  <si>
    <t>GoSALMON &amp; CHICKEN with superfoods for Cats 85g</t>
  </si>
  <si>
    <t>غو سمك السلمون والدجاج مع سوبرفوودس للقطط 85 ﺟﻢ</t>
  </si>
  <si>
    <t>MAFE20223998</t>
  </si>
  <si>
    <t>EGGG85</t>
  </si>
  <si>
    <t>P-1-N-061222-7035</t>
  </si>
  <si>
    <t>goGOOSE for Kitten 85g</t>
  </si>
  <si>
    <t>غو غوس للقطط الصغيرة 85 ﺟﻢ</t>
  </si>
  <si>
    <t>MAFE20223996</t>
  </si>
  <si>
    <t>P-1-N-131222-7219</t>
  </si>
  <si>
    <t>Lara Adult Beef Flavour 10kg</t>
  </si>
  <si>
    <t>لارا أدولت نكهة اللحم البقري 10 كجم</t>
  </si>
  <si>
    <t>MAFE20223953</t>
  </si>
  <si>
    <t>P-1-N-131222-7220</t>
  </si>
  <si>
    <t>Lara Adult Beef Flavour 2kg</t>
  </si>
  <si>
    <t>لارا أدولت نكهة اللحم البقري 2 كجم</t>
  </si>
  <si>
    <t>MAFE20223955</t>
  </si>
  <si>
    <t>P-1-N-131222-7221</t>
  </si>
  <si>
    <t>Lara Adult Indoor with Turkey-Chicken 2kg</t>
  </si>
  <si>
    <t>لارا أدولت إندور مع ديك رومي - دجاج 2 كجم</t>
  </si>
  <si>
    <t>MAFE20223945</t>
  </si>
  <si>
    <t>P-1-N-131222-7222</t>
  </si>
  <si>
    <t>Lara Adult Sterilized with Chicken 10kg</t>
  </si>
  <si>
    <t>لارا أدولت العقيم بالدجاج 10 كجم</t>
  </si>
  <si>
    <t>MAFE20223952</t>
  </si>
  <si>
    <t>VL441076</t>
  </si>
  <si>
    <t>P-1-N-131222-7223</t>
  </si>
  <si>
    <t>Lara Adult Sterilized with Chicken 350g</t>
  </si>
  <si>
    <t>لارا أدولت العقيم بالدجاج 350 جم</t>
  </si>
  <si>
    <t>MAFE20223950</t>
  </si>
  <si>
    <t>P-1-N-131222-7224</t>
  </si>
  <si>
    <t>Lara Adult Sterilized with Chicken 2kg</t>
  </si>
  <si>
    <t>لارا أدولت العقيم بالدجاج 2 كجم</t>
  </si>
  <si>
    <t>MAFE20223951</t>
  </si>
  <si>
    <t>P-1-N-131222-7226</t>
  </si>
  <si>
    <t>Lara Adult Urinary Care with Chicken 2kg</t>
  </si>
  <si>
    <t>لارا أدولت يوريناري كير بالدجاج 2 كجم</t>
  </si>
  <si>
    <t>MAFE20223949</t>
  </si>
  <si>
    <t>P-1-N-131222-7227</t>
  </si>
  <si>
    <t>Lara Adult with Lamb 2kg</t>
  </si>
  <si>
    <t>لارا أدولت بلحم الضأن 2 كجم</t>
  </si>
  <si>
    <t>MAFE20223948</t>
  </si>
  <si>
    <t>P-1-N-131222-7228</t>
  </si>
  <si>
    <t>Lara Adult with Lamb 10kg</t>
  </si>
  <si>
    <t>لارا أدولت بلحم الضأن 10 كجم</t>
  </si>
  <si>
    <t>MAFE20223947</t>
  </si>
  <si>
    <t>P-1-N-131222-7229</t>
  </si>
  <si>
    <t>Lara Adult with Salmon 10kg</t>
  </si>
  <si>
    <t>لارا أدولت بالسلمون 10 كجم</t>
  </si>
  <si>
    <t>MAFE20223942</t>
  </si>
  <si>
    <t>P-1-N-131222-7230</t>
  </si>
  <si>
    <t>Lara</t>
  </si>
  <si>
    <t>لارا أدولت بالسلمون 350 جم</t>
  </si>
  <si>
    <t>MAFE20223943</t>
  </si>
  <si>
    <t>P-1-N-131222-7231</t>
  </si>
  <si>
    <t>Lara Adult with Salmon 2kg</t>
  </si>
  <si>
    <t>لارا أدولت بالسلمون 2 كجم</t>
  </si>
  <si>
    <t>MAFE20223941</t>
  </si>
  <si>
    <t>P-1-N-131222-7232</t>
  </si>
  <si>
    <t>Lara Adult with Turkey-Chicken 10kg</t>
  </si>
  <si>
    <t>لارا أدولت بالديك الرومي والدجاج 10 كجم</t>
  </si>
  <si>
    <t>MAFE20223977</t>
  </si>
  <si>
    <t>VL441068</t>
  </si>
  <si>
    <t>P-1-N-131222-7233</t>
  </si>
  <si>
    <t>Lara Adult with Turkey-Chicken 350g</t>
  </si>
  <si>
    <t>لارا أدولت بالديك الرومي والدجاج 350 جم</t>
  </si>
  <si>
    <t>MAFE20223973</t>
  </si>
  <si>
    <t>P-1-N-131222-7234</t>
  </si>
  <si>
    <t>Lara Adult with Turkey-Chicken 2kg</t>
  </si>
  <si>
    <t>لارا أدولت بالديك الرومي والدجاج 2 كجم</t>
  </si>
  <si>
    <t>MAFE20223978</t>
  </si>
  <si>
    <t>VL441064</t>
  </si>
  <si>
    <t>P-1-N-131222-7235</t>
  </si>
  <si>
    <t>Lara Junior with Chicken 350g</t>
  </si>
  <si>
    <t>لارا جونيور بالدجاج 350 جم</t>
  </si>
  <si>
    <t>MAFE20223969</t>
  </si>
  <si>
    <t>P-1-N-131222-7236</t>
  </si>
  <si>
    <t>Lara Junior with Chicken 2kg</t>
  </si>
  <si>
    <t>لارا جونيور بالدجاج 2 كجم</t>
  </si>
  <si>
    <t>MAFE20223976</t>
  </si>
  <si>
    <t>P-1-N-131222-7237</t>
  </si>
  <si>
    <t>Lara Senior with Turkey-Chicken 350g</t>
  </si>
  <si>
    <t>لارا سينيور بالديك الرومي والدجاج 350 جم</t>
  </si>
  <si>
    <t>MAFE20223974</t>
  </si>
  <si>
    <t>P-1-N-131222-7238</t>
  </si>
  <si>
    <t>Lara Senior with Turkey-Chicken 2kg</t>
  </si>
  <si>
    <t>لارا سينيور بالديك الرومي والدجاج 2 كجم</t>
  </si>
  <si>
    <t>MAFE20223975</t>
  </si>
  <si>
    <t>P-1-N-141222-7258</t>
  </si>
  <si>
    <t>Kit Cat Petite Pouch 70g - Tuna &amp; Chicken</t>
  </si>
  <si>
    <t>كت كات بيتيت باوتش 70 جرام - تونة ودجاج</t>
  </si>
  <si>
    <t>MAFE20223971</t>
  </si>
  <si>
    <t>P-1-N-141222-7259</t>
  </si>
  <si>
    <t>Kit Cat Petite Pouch 70g - Tuna &amp; Whitefish</t>
  </si>
  <si>
    <t>كت كات بيتيت باوتش 70 جرام - تونة والسمك الأبيض</t>
  </si>
  <si>
    <t>MAFE20223970</t>
  </si>
  <si>
    <t>P-1-N-141222-7260</t>
  </si>
  <si>
    <t>Kit Cat Petite Pouch 70g - Tuna &amp; Saba</t>
  </si>
  <si>
    <t>كت كات بيتيت باوتش 70 جرام - تونة وصبا</t>
  </si>
  <si>
    <t>MAFE20223968</t>
  </si>
  <si>
    <t>P-1-N-141222-7261</t>
  </si>
  <si>
    <t>Kit Cat Petite Pouch 70g - Tuna &amp; Salmon</t>
  </si>
  <si>
    <t>كت كات بيتيت باوتش 70 جرام - تونة وسمك السالمون</t>
  </si>
  <si>
    <t>MAFE20223967</t>
  </si>
  <si>
    <t>P-1-N-141222-7262</t>
  </si>
  <si>
    <t>Kit Cat Petite Pouch 70g - Tuna &amp; Beef</t>
  </si>
  <si>
    <t>كت كات بيتيت باوتش 70 جرام - تونة ولحم بقري</t>
  </si>
  <si>
    <t>MAFE20224079</t>
  </si>
  <si>
    <t>P-1-N-141222-7263</t>
  </si>
  <si>
    <t>Kit Cat Petite Pouch 70g – Classic Tuna</t>
  </si>
  <si>
    <t>كت كات بيتيت باوتش 70 جرام - تونة كلاسيك</t>
  </si>
  <si>
    <t>MAFE20224078</t>
  </si>
  <si>
    <t>P-1-N-141222-7264</t>
  </si>
  <si>
    <t>Kit Cat Petite Pouch 70g – Kitten Tuna</t>
  </si>
  <si>
    <t>كت كات بيتيت باوتش 70 جرام - تونة للقطط الصغيرة</t>
  </si>
  <si>
    <t>MAFE20224069</t>
  </si>
  <si>
    <t>P-1-N-141222-7265</t>
  </si>
  <si>
    <t>Kit Cat Petite Pouch 70g - Chicken &amp; Tuna</t>
  </si>
  <si>
    <t>كت كات بيتيت باوتش 70 جرام - دجاج وتونا</t>
  </si>
  <si>
    <t>MAFE20224077</t>
  </si>
  <si>
    <t>P-1-N-141222-7266</t>
  </si>
  <si>
    <t>Kit Cat Petite Pouch 70g - Chicken &amp; Whitefish</t>
  </si>
  <si>
    <t>كت كات بيتيت باوتش 70 جرام - دجاج والسمك الأبيض</t>
  </si>
  <si>
    <t>MAFE20224076</t>
  </si>
  <si>
    <t>P-1-N-141222-7267</t>
  </si>
  <si>
    <t>Kit Cat Petite Pouch 70g - Chicken &amp; Saba</t>
  </si>
  <si>
    <t>كت كات بيتيت باوتش 70 جرام - دجاج وسمك السابا</t>
  </si>
  <si>
    <t>MAFE20224170</t>
  </si>
  <si>
    <t>P-1-N-141222-7268</t>
  </si>
  <si>
    <t>Kit Cat Petite Pouch 70g - Chicken &amp; Salmon</t>
  </si>
  <si>
    <t>كت كات بيتيت باوتش 70 جرام - دجاج وسمك السالمون</t>
  </si>
  <si>
    <t>MAFE20224070</t>
  </si>
  <si>
    <t>P-1-N-141222-7269</t>
  </si>
  <si>
    <t>Kit Cat Petite Pouch 70g - Chicken &amp; Beef</t>
  </si>
  <si>
    <t>كت كات بيتيت باوتش 70 جرام - دجاج ولحم بقري</t>
  </si>
  <si>
    <t>MAFE20224075</t>
  </si>
  <si>
    <t>P-1-N-141222-7270</t>
  </si>
  <si>
    <t>Kit Cat Petite Pouch 70g – Classic Chicken</t>
  </si>
  <si>
    <t>كت كات بيتيت باوتش 70 جرام - دجاج كلاسيك</t>
  </si>
  <si>
    <t>MAFE20224074</t>
  </si>
  <si>
    <t>P-1-N-141222-7271</t>
  </si>
  <si>
    <t>Kit Cat Petite Pouch 70g – Kitten Chicken</t>
  </si>
  <si>
    <t>كت كات بيتيت باوتش 70 جرام - دجاج للقطط الصغيرة</t>
  </si>
  <si>
    <t>MAFE20224073</t>
  </si>
  <si>
    <t>USA854</t>
  </si>
  <si>
    <t>P-1-N-080123-142</t>
  </si>
  <si>
    <t>Churu Bisque Chicken with Beef Recipe 40g</t>
  </si>
  <si>
    <t>شورو بيسك وصفة الدجاج باللحم البقري 40 جرام</t>
  </si>
  <si>
    <t>MAFE202350</t>
  </si>
  <si>
    <t>USA853</t>
  </si>
  <si>
    <t>P-1-N-080123-143</t>
  </si>
  <si>
    <t>Churu Bisque Chicken Recipe 40g</t>
  </si>
  <si>
    <t>شورو بيسك وصفة الدجاج 40 جرام</t>
  </si>
  <si>
    <t>MAFE202328</t>
  </si>
  <si>
    <t>USA852</t>
  </si>
  <si>
    <t>P-1-N-080123-145</t>
  </si>
  <si>
    <t>Churu Bisque Tuna with Salmon Recipe 40g</t>
  </si>
  <si>
    <t>شورو بيسك وصفة التونة مع السلمون 40 جرام</t>
  </si>
  <si>
    <t>MAFE202327</t>
  </si>
  <si>
    <t>USA851</t>
  </si>
  <si>
    <t>P-1-N-080123-146</t>
  </si>
  <si>
    <t>Churu Bisque Tuna Recipe 40g</t>
  </si>
  <si>
    <t>شورو بيسك وصفة التونة 40 جرام</t>
  </si>
  <si>
    <t>MAFE202326</t>
  </si>
  <si>
    <t>USA691</t>
  </si>
  <si>
    <t>P-1-N-120123-262</t>
  </si>
  <si>
    <t>Churu for Kitten Tuna Recipe 56g</t>
  </si>
  <si>
    <t>شورو للقطط الصغيرة بوصفة التونة 56 جرام</t>
  </si>
  <si>
    <t>MAFE2023240</t>
  </si>
  <si>
    <t>USA692</t>
  </si>
  <si>
    <t>P-1-N-120123-263</t>
  </si>
  <si>
    <t>Churu for Kitten Chicken Recipe 56g</t>
  </si>
  <si>
    <t>شورو للقطط الصغيرة بوصفة الدجاج 56 جرام</t>
  </si>
  <si>
    <t>MAFE2023239</t>
  </si>
  <si>
    <t>P-1-N-160123-323</t>
  </si>
  <si>
    <t>EXPERT CANARY MIDDLE EAST 20KG</t>
  </si>
  <si>
    <t>اكسبرت كناري ميدل ايست 20 كجم</t>
  </si>
  <si>
    <t>MAFE2023301</t>
  </si>
  <si>
    <t>لاروي جروب إن في</t>
  </si>
  <si>
    <t>P-1-N-160123-324</t>
  </si>
  <si>
    <t>EXPERT LARGE PARAKEET MIDDLE EAST 20KG</t>
  </si>
  <si>
    <t>اكسبرت براكيت كبيرة ميدل ايست 20 كجم</t>
  </si>
  <si>
    <t>MAFE2023300</t>
  </si>
  <si>
    <t>cancel</t>
  </si>
  <si>
    <t>P-1-N-230123-483</t>
  </si>
  <si>
    <t>Kit Cat Cranberry Crisps - Chicken Flavor 20g x 50</t>
  </si>
  <si>
    <t>كت كات كرانبيري كريسبس - نكهة الدجاج 20 جم × 50</t>
  </si>
  <si>
    <t>MAFE2023348</t>
  </si>
  <si>
    <t>P-1-N-230123-484</t>
  </si>
  <si>
    <t>Kit Cat Cranberry Crisps - Beef Flavor 20g x 50</t>
  </si>
  <si>
    <t>كت كات كرانبيري كريسبس - نكهة اللحم البقري 20 جم × 50</t>
  </si>
  <si>
    <t>MAFE2023350</t>
  </si>
  <si>
    <t>P-1-N-230123-485</t>
  </si>
  <si>
    <t>Kit Cat Cranberry Crisps - Lamb Flavor 20g x 50</t>
  </si>
  <si>
    <t>كت كات كرانبيري كريسبس - نكهة لحم الضأن 20 جم × 50</t>
  </si>
  <si>
    <t>MAFE2023349</t>
  </si>
  <si>
    <t>P-1-N-230123-486</t>
  </si>
  <si>
    <t>Kit Cat Cranberry Crisps - Salmon Flavor 20g x 50</t>
  </si>
  <si>
    <t>كت كات كرانبيري كريسبس - نكهة السلمون 20 جم × 50</t>
  </si>
  <si>
    <t>MAFE2023347</t>
  </si>
  <si>
    <t>P-1-N-230123-487</t>
  </si>
  <si>
    <t>Kit Cat Cranberry Crisps - Seafood Flavor 20g x 50</t>
  </si>
  <si>
    <t>كت كات كرانبيري كريسبس - نكهة المأكولات البحرية 20 جم × 50</t>
  </si>
  <si>
    <t>MAFE2023346</t>
  </si>
  <si>
    <t>P-1-N-230123-488</t>
  </si>
  <si>
    <t>Kit Cat Cranberry Crisps - Tuna Flavor 20g x 50</t>
  </si>
  <si>
    <t>كت كات كرانبيري كريسبس - نكهة التونة 20 جم × 50</t>
  </si>
  <si>
    <t>MAFE2023345</t>
  </si>
  <si>
    <t>B1149</t>
  </si>
  <si>
    <t>P-1-N-070223-739</t>
  </si>
  <si>
    <t>Butcher's Delicious Dinners Cat with game chunks in Jelly 400g</t>
  </si>
  <si>
    <t>بوتشرز عشاء لذيذ للقطط مع قطع لحم الطرائد في الجيلي 400 جرام</t>
  </si>
  <si>
    <t xml:space="preserve">FOM-2024-6775-FEB-2024-41222 -C-0041-62019
</t>
  </si>
  <si>
    <t>P-1-N-070223-740</t>
  </si>
  <si>
    <t>Butcher's Delicious Dinners Cat with chicken chunks in Jelly 400g</t>
  </si>
  <si>
    <t>بوتشرز عشاء لذيذ للقطط مع قطع الدجاج في الجيلي 400 جرام</t>
  </si>
  <si>
    <t xml:space="preserve">FOM-2024-6775-FEB-2024-41223 -C-0041-62020
</t>
  </si>
  <si>
    <t>P-1-N-070223-741</t>
  </si>
  <si>
    <t>Butcher's Delicious Dinners Cat with trout chunks in Jelly 400g</t>
  </si>
  <si>
    <t>بوتشرز عشاء لذيذ للقطط مع قطع سمك السلمون المرقط في الجيلي 400 جرام</t>
  </si>
  <si>
    <t xml:space="preserve">FOM-2024-6775-FEB-2024-41236 -C-0041-62033
</t>
  </si>
  <si>
    <t>P-1-N-070223-742</t>
  </si>
  <si>
    <t>Butcher's Delicious Dinners Cat with beef chunks in Jelly 400g</t>
  </si>
  <si>
    <t>بوتشرز عشاء لذيذ للقطط مع قطع لحم بقري في الجيلي 400 جرام</t>
  </si>
  <si>
    <t xml:space="preserve">FOM-2024-6775-FEB-2024-41240 -C-0041-62037
</t>
  </si>
  <si>
    <t>P-1-N-070223-743</t>
  </si>
  <si>
    <t>Butcher's Delicious Dinners Cat with sea fish chunks in Jelly 400g</t>
  </si>
  <si>
    <t>بوتشرز عشاء لذيذ للقطط مع قطع سمك البحر في الجيلي 400 جرام</t>
  </si>
  <si>
    <t xml:space="preserve">FOM-2024-6775-FEB-2024-41241 -C-0041-62038
</t>
  </si>
  <si>
    <t>P-1-N-070223-744</t>
  </si>
  <si>
    <t>Butcher's Original Dog Recipe with beef in Gravy 400g</t>
  </si>
  <si>
    <t>بوتشرز الوصفة الأصلية للكلب مع لحم بقري في المرق 400 جرام</t>
  </si>
  <si>
    <t xml:space="preserve">FOM-2024-6775-FEB-2024-41242 -C-0041-62039
</t>
  </si>
  <si>
    <t>P-1-N-070223-745</t>
  </si>
  <si>
    <t>Butcher's Original Dog Recipe with turkey in Gravy 400g</t>
  </si>
  <si>
    <t>بوتشرز الوصفة الأصلية للكلب مع الديك الرومي في المرق 400 جرام</t>
  </si>
  <si>
    <t xml:space="preserve">FOM-2024-6775-FEB-2024-41243 -C-0041-62040
</t>
  </si>
  <si>
    <t>P-1-N-070223-746</t>
  </si>
  <si>
    <t>Butcher's Original Dog Recipe with Lamb in Jelly 400g</t>
  </si>
  <si>
    <t>بوتشرز الوصفة الأصلية للكلب مع لحم الضأن في الجيلي 400 جرام</t>
  </si>
  <si>
    <t xml:space="preserve">FOM-2024-6775-FEB-2024-41244 -C-0041-62041
</t>
  </si>
  <si>
    <t>P-1-N-070223-747</t>
  </si>
  <si>
    <t>Butcher's Original Dog Recipe with chicken in Jelly 400g</t>
  </si>
  <si>
    <t>بوتشرز الوصفة الأصلية للكلب مع الدجاج في الجيلي 400 جرام</t>
  </si>
  <si>
    <t xml:space="preserve">FOM-2024-6775-FEB-2024-41245 -C-0041-62042
</t>
  </si>
  <si>
    <t>P-1-N-070223-748</t>
  </si>
  <si>
    <t>Butcher's Original Dog Junior with beef chunks in Jelly 400g</t>
  </si>
  <si>
    <t>بوتشرز الوصفة الأصلية للكلب الصغيرة مع قطع اللحم البقري في الجيلي 400 جرام</t>
  </si>
  <si>
    <t>MAFE2023427</t>
  </si>
  <si>
    <t>P-1-N-070223-749</t>
  </si>
  <si>
    <t>Butcher's Original Dog Junior with chicken chunks in Jelly 400g</t>
  </si>
  <si>
    <t>بوتشرز الوصفة الأصلية للكلب الصغيرة مع قطع الدجاج في الجيلي 400 جرام</t>
  </si>
  <si>
    <t>P-1-N-140223-880</t>
  </si>
  <si>
    <t>ALPINE PREMIUM HAY 500G</t>
  </si>
  <si>
    <t>تبن ألبين بريميوم 500 جم</t>
  </si>
  <si>
    <t>MAFE2023633</t>
  </si>
  <si>
    <t>اس. اي. ار. ال بيوليديس</t>
  </si>
  <si>
    <t>P-1-N-140223-881</t>
  </si>
  <si>
    <t>ALPINE PREMIUM HAY 1.5KG</t>
  </si>
  <si>
    <t>تبن ألبين بريميوم 1.5 كجم</t>
  </si>
  <si>
    <t>MAFE2023626</t>
  </si>
  <si>
    <t>P-1-N-140223-882</t>
  </si>
  <si>
    <t>ALPINE PREMIUM HAY 2.5KG</t>
  </si>
  <si>
    <t>تبن ألبين بريميوم 2.5 كجم</t>
  </si>
  <si>
    <t>MAFE2023624</t>
  </si>
  <si>
    <t>P-1-N-140223-883</t>
  </si>
  <si>
    <t>NMEAL3 ALPINE HAY APP/BEET 1KG</t>
  </si>
  <si>
    <t>ان ميل 3 تبن ألبين التفاح والشمندر 1 كجم</t>
  </si>
  <si>
    <t>MAFE2023622</t>
  </si>
  <si>
    <t>P-1-N-140223-884</t>
  </si>
  <si>
    <t>ALPINE PREM HAY CARR/DAND 1KG</t>
  </si>
  <si>
    <t>تبن ألبين بريميوم الجزر والهندباء 1 كجم</t>
  </si>
  <si>
    <t>MAFE2023621</t>
  </si>
  <si>
    <t>P-1-N-140223-885</t>
  </si>
  <si>
    <t>ALPINE PREM HAY MINT/CHAM 1KG</t>
  </si>
  <si>
    <t>تبن ألبين بريميوم النعناع والبابونج 1 كجم</t>
  </si>
  <si>
    <t>MAFE2023619</t>
  </si>
  <si>
    <t>P-1-N-140223-886</t>
  </si>
  <si>
    <t>MEADOW</t>
  </si>
  <si>
    <t>تبن المرج 1 كجم</t>
  </si>
  <si>
    <t>MAFE2023620</t>
  </si>
  <si>
    <t>P-1-N-140223-887</t>
  </si>
  <si>
    <t>MEADOW HAY 2.5KG</t>
  </si>
  <si>
    <t>تبن المرج 2.5 كجم</t>
  </si>
  <si>
    <t>P-1-N-140223-889</t>
  </si>
  <si>
    <t>MEADOW HAY 240L</t>
  </si>
  <si>
    <t>تبن المرج 240 لتر</t>
  </si>
  <si>
    <t>P-1-N-150223-937</t>
  </si>
  <si>
    <t>ZUPREEM FRUITBLEND EXTRA SMALL 200g</t>
  </si>
  <si>
    <t>زوبريم فروتبلند صغير جدا 200جم</t>
  </si>
  <si>
    <t>1008037</t>
  </si>
  <si>
    <t>P-1-N-150223-938</t>
  </si>
  <si>
    <t>ZUPREEM FRUITBLEND EXTRA SMALL 379g</t>
  </si>
  <si>
    <t>زوبريم فروتبلند صغير جدا 379 جم</t>
  </si>
  <si>
    <t>P-1-N-150223-939</t>
  </si>
  <si>
    <t>ZUPREEM FRUITBLEND SMALL 200g</t>
  </si>
  <si>
    <t>زوبريم فروتبلند صغير 200جم</t>
  </si>
  <si>
    <t>1008042</t>
  </si>
  <si>
    <t>P-1-N-150223-940</t>
  </si>
  <si>
    <t>ZUPREEM FRUITBLEND SMALL 397g</t>
  </si>
  <si>
    <t>زوبريم فروتبلند صغير 397 جم</t>
  </si>
  <si>
    <t>P-1-N-150223-941</t>
  </si>
  <si>
    <t>ZUPREEM FRUITBLEND MEDIUM 200g</t>
  </si>
  <si>
    <t>زوبريم فروتبلند متوسط 200جم</t>
  </si>
  <si>
    <t>1008048</t>
  </si>
  <si>
    <t>P-1-N-150223-942</t>
  </si>
  <si>
    <t>ZUPREEM FRUITBLEND MEDIUM 397g</t>
  </si>
  <si>
    <t>زوبريم فروتبلند متوسط 397 جم</t>
  </si>
  <si>
    <t>P-1-N-150223-944</t>
  </si>
  <si>
    <t>ZUPREEM FRUITBLEND PARROTS &amp; CONURES 1.6 kg</t>
  </si>
  <si>
    <t>زوبريم فروتبلند الببغاوات و الكنيور 1.6 كجم</t>
  </si>
  <si>
    <t>P-1-N-150223-945</t>
  </si>
  <si>
    <t>ZUPREEM</t>
  </si>
  <si>
    <t>زوبريم فروتبلند الببغاوات و الكنيور 5.4 كجم</t>
  </si>
  <si>
    <t>1008063</t>
  </si>
  <si>
    <t>P-1-N-150223-946</t>
  </si>
  <si>
    <t>ZUPREEM FRUITBLEND LARGE 1.6 kg</t>
  </si>
  <si>
    <t>زوبريم فروتبلند كبير 1.6 كجم</t>
  </si>
  <si>
    <t>1008064</t>
  </si>
  <si>
    <t>P-1-N-150223-948</t>
  </si>
  <si>
    <t>ZUPREEM FRUITBLEND LARGE 5.4 kg</t>
  </si>
  <si>
    <t>زوبريم فروتبلند كبير 5.4 كجم</t>
  </si>
  <si>
    <t>1008069</t>
  </si>
  <si>
    <t>P-1-N-150223-949</t>
  </si>
  <si>
    <t>ZUPREEM NUTBLEND PARROTS &amp; CONURES 7.94 kg</t>
  </si>
  <si>
    <t>زوبريم نوتبلند الببغاوات و الكنيور 7.94 كجم</t>
  </si>
  <si>
    <t>1008070</t>
  </si>
  <si>
    <t>P-1-N-150223-950</t>
  </si>
  <si>
    <t>ZUPREEM VEGGIEBLEND MEDIUM 907 kg</t>
  </si>
  <si>
    <t>زوبريم فيجيبلند متوسط 907 كجم</t>
  </si>
  <si>
    <t>1008072</t>
  </si>
  <si>
    <t>P-1-N-150223-951</t>
  </si>
  <si>
    <t>ZUPREEM VEGGIEBLEND PARROTS &amp; CONURES 7.94 kg</t>
  </si>
  <si>
    <t>زوبريم فيجيبلند الببغاوات و الكنيور 7.94 كجم</t>
  </si>
  <si>
    <t>P-1-N-150223-952</t>
  </si>
  <si>
    <t>ZUPREEM TIMOTHY NATURALS HAY 1.6kg</t>
  </si>
  <si>
    <t>زوبريم تيموثي ناتشورالز هاي 1.6 كجم</t>
  </si>
  <si>
    <t>P-1-N-150223-953</t>
  </si>
  <si>
    <t>ZUPREEM TIMOTHY NATURALS GUINEA PIG 1.6kg</t>
  </si>
  <si>
    <t>زوبريم تيموثي ناتشورالز الخنازير الغينيا 1.6 كجم</t>
  </si>
  <si>
    <t xml:space="preserve">FOM-2024-7157-FEB-2024-55343 -C-0041-76150
</t>
  </si>
  <si>
    <t>P-1-N-160223-984</t>
  </si>
  <si>
    <t>EXPERT BUDGIE MIX MIDDLE EAST 20KG</t>
  </si>
  <si>
    <t>اكسبرت بادجي ميكس ميدل ايست 20 كجم</t>
  </si>
  <si>
    <t xml:space="preserve">MAFE2023598
</t>
  </si>
  <si>
    <t>ويت مولين بي في</t>
  </si>
  <si>
    <t>P-1-N-160223-985</t>
  </si>
  <si>
    <t>EXPERT PARROTS MIDDLE EAST 12.5 KG</t>
  </si>
  <si>
    <t>اكسبرت الببغاوات ميدل ايست 12.5 كجم</t>
  </si>
  <si>
    <t>P-1-N-210223-1095</t>
  </si>
  <si>
    <t>Crispy</t>
  </si>
  <si>
    <t>كريسبي توستيز جبن ١٥٠ جم</t>
  </si>
  <si>
    <t>MAFE2023825</t>
  </si>
  <si>
    <t>461484</t>
  </si>
  <si>
    <t>P-1-N-210223-1096</t>
  </si>
  <si>
    <t>Complete Crock Apple 50g</t>
  </si>
  <si>
    <t>كومبليت كروك التفاح 50 جم</t>
  </si>
  <si>
    <t>MAFE2023806</t>
  </si>
  <si>
    <t>461485</t>
  </si>
  <si>
    <t>P-1-N-210223-1097</t>
  </si>
  <si>
    <t>Complete Crock Carrot 50g</t>
  </si>
  <si>
    <t>كومبليت كروك الجزر 50 جم</t>
  </si>
  <si>
    <t>MAFE2023805</t>
  </si>
  <si>
    <t>P-1-N-210223-1098</t>
  </si>
  <si>
    <t>Complete Crock Berry 50g</t>
  </si>
  <si>
    <t>كومبليت كروك التوت 50 جم</t>
  </si>
  <si>
    <t>MAFE20231553</t>
  </si>
  <si>
    <t>460221</t>
  </si>
  <si>
    <t>P-1-N-210223-1099</t>
  </si>
  <si>
    <t>Oropharma Opti-Breed 500g</t>
  </si>
  <si>
    <t>أوروفارما اوبتي-بريد 500 جم</t>
  </si>
  <si>
    <t>PRFE2023822</t>
  </si>
  <si>
    <t>P-1-N-260223-1182</t>
  </si>
  <si>
    <t>Filet Chicken with Duck 70g</t>
  </si>
  <si>
    <t>فيليه دجاج مع البط 70 جم</t>
  </si>
  <si>
    <t>MAFE2023908</t>
  </si>
  <si>
    <t>P-1-N-260223-1183</t>
  </si>
  <si>
    <t>مرجع للتعديل</t>
  </si>
  <si>
    <t>Filet Chicken with Veal 70g</t>
  </si>
  <si>
    <t>فيليه دجاج مع لحم العجل 70 جم</t>
  </si>
  <si>
    <t>P-1-N-260223-1184</t>
  </si>
  <si>
    <t>Filet Chicken with Salmon 70g</t>
  </si>
  <si>
    <t>فيليه دجاج مع سمك السالمون 70 جم</t>
  </si>
  <si>
    <t>P-1-N-260223-1185</t>
  </si>
  <si>
    <t>Filet Chicken with Beef 70g</t>
  </si>
  <si>
    <t>فيليه دجاج مع لحم البقر 70 جم</t>
  </si>
  <si>
    <t>P-1-N-260223-1186</t>
  </si>
  <si>
    <t>Filet Pure Chicken 70g</t>
  </si>
  <si>
    <t>فيليه بيور دجاج 70 جم</t>
  </si>
  <si>
    <t>P-1-N-260223-1187</t>
  </si>
  <si>
    <t>Pate Duck &amp; Chicken with Parsley 85g</t>
  </si>
  <si>
    <t>باتيه البط والدجاج مع البقدونس 85 جم</t>
  </si>
  <si>
    <t>MAFE2023905</t>
  </si>
  <si>
    <t>P-1-N-260223-1196</t>
  </si>
  <si>
    <t>MAFE2023839</t>
  </si>
  <si>
    <t>P-1-N-260223-1199</t>
  </si>
  <si>
    <t>MAFE2023838</t>
  </si>
  <si>
    <t>P-1-N-260223-1200</t>
  </si>
  <si>
    <t>EXPERT PARROTS MIX FRUIT MIDDLE EAST 12.5KG</t>
  </si>
  <si>
    <t>اكسبرت الببغاوات مزيج الفاكهة ميدل ايست 12.5 كجم</t>
  </si>
  <si>
    <t>MAFE2023837</t>
  </si>
  <si>
    <t>P-1-N-260223-1202</t>
  </si>
  <si>
    <t>MAFE2023836</t>
  </si>
  <si>
    <t>P-1-N-260223-1203</t>
  </si>
  <si>
    <t>MAFE2023835</t>
  </si>
  <si>
    <t>P-1-N-270223-1219</t>
  </si>
  <si>
    <t>ZUPREEM NATURAL SMALL 9.07kg</t>
  </si>
  <si>
    <t>زوبريم ناتشورال صغير 9.07 كجم</t>
  </si>
  <si>
    <t>MAFE2023930</t>
  </si>
  <si>
    <t>1008081</t>
  </si>
  <si>
    <t>P-1-N-270223-1220</t>
  </si>
  <si>
    <t>ZUPREEM NATURAL MEDIUM 9.07kg</t>
  </si>
  <si>
    <t>زوبريم ناتشورال متوسط 9.07 كجم</t>
  </si>
  <si>
    <t>MAFE2023929</t>
  </si>
  <si>
    <t>1008084</t>
  </si>
  <si>
    <t>P-1-N-270223-1221</t>
  </si>
  <si>
    <t>ZUPREEM NATURAL PARROTS &amp; CONURES 9.07kg</t>
  </si>
  <si>
    <t>زوبريم ناتشورال الببغاوات و الكنيور 9.07 كجم</t>
  </si>
  <si>
    <t>MAFE2023928</t>
  </si>
  <si>
    <t>1008086</t>
  </si>
  <si>
    <t>P-1-N-270223-1223</t>
  </si>
  <si>
    <t>ZUPREEM NATURAL LARGE 9.07kg</t>
  </si>
  <si>
    <t>زوبريم ناتشورال كبير 9.07 كجم</t>
  </si>
  <si>
    <t>MAFE2023927</t>
  </si>
  <si>
    <t>1008036</t>
  </si>
  <si>
    <t>P-1-N-270223-1236</t>
  </si>
  <si>
    <t>ZUPREM FRUITBLEND AVIANBREEDER LARGE 18.1kg</t>
  </si>
  <si>
    <t>زوبريم فروتبلند أفيان بريدر كبير 18.1 كجم</t>
  </si>
  <si>
    <t>MAFE2023900</t>
  </si>
  <si>
    <t>1008034</t>
  </si>
  <si>
    <t>P-1-N-270223-1237</t>
  </si>
  <si>
    <t>ZUPREM FRUITBLEND AVIANBREEDER PARROTS &amp; CONURES 18.1kg</t>
  </si>
  <si>
    <t>زوبريم فروتبلند أفيان بريدر الببغاوات و الكنيور 18.1 كجم</t>
  </si>
  <si>
    <t>MAFE2023899</t>
  </si>
  <si>
    <t>1008032</t>
  </si>
  <si>
    <t>P-1-N-270223-1238</t>
  </si>
  <si>
    <t>ZUPREM FRUITBLEND AVIANBREEDER MEDIUM 18.1kg</t>
  </si>
  <si>
    <t>زوبريم فروتبلند أفيان بريدر متوسط 18.1 كجم</t>
  </si>
  <si>
    <t>MAFE2023901</t>
  </si>
  <si>
    <t>1008030</t>
  </si>
  <si>
    <t>P-1-N-270223-1239</t>
  </si>
  <si>
    <t>ZUPREM NATURAL AVIANBREEDER PARROTS &amp; CONURES 18.1kg</t>
  </si>
  <si>
    <t>زوبريم ناتشورال أفيان بريدر الببغاوات و الكنيور 18.1 كجم</t>
  </si>
  <si>
    <t>MAFE2023902</t>
  </si>
  <si>
    <t>1008031</t>
  </si>
  <si>
    <t>P-1-N-270223-1241</t>
  </si>
  <si>
    <t>ZUPREM NATURAL AVIANBREEDER MEDIUM 18.1kg</t>
  </si>
  <si>
    <t>زوبريم ناتشورال أفيان بريدر متوسط 18.1 كجم</t>
  </si>
  <si>
    <t>MAFE2023885</t>
  </si>
  <si>
    <t>1008065</t>
  </si>
  <si>
    <t>P-1-N-270223-1244</t>
  </si>
  <si>
    <t>ZUPREEM FRUITBLEND LARGE 7.94kg</t>
  </si>
  <si>
    <t>زوبريم فروتبلند كبير 7.94 كجم</t>
  </si>
  <si>
    <t>MAFE2023860</t>
  </si>
  <si>
    <t>P-1-N-270223-1245</t>
  </si>
  <si>
    <t>ZUPREEM FRUITBLEND PARROTS &amp; CONURES 7.94kg</t>
  </si>
  <si>
    <t>زوبريم فروتبلند الببغاوات و الكنيور 7.94 كجم</t>
  </si>
  <si>
    <t>MAFE2023859</t>
  </si>
  <si>
    <t>1008059</t>
  </si>
  <si>
    <t>P-1-N-270223-1246</t>
  </si>
  <si>
    <t>ZUPREEM FRUITBLEND MEDIUM 7.94kg</t>
  </si>
  <si>
    <t>زوبريم فروتبلند متوسط 7.94 كجم</t>
  </si>
  <si>
    <t>MAFE2023858</t>
  </si>
  <si>
    <t>1008066</t>
  </si>
  <si>
    <t>P-1-N-270223-1247</t>
  </si>
  <si>
    <t>ZUPREEM FRUITBLEND LARGE 15.88kg</t>
  </si>
  <si>
    <t>زوبريم فروتبلند كبير 15.88 كجم</t>
  </si>
  <si>
    <t>MAFE2023857</t>
  </si>
  <si>
    <t>P-1-N-270223-1249</t>
  </si>
  <si>
    <t>ZUPREEM FRUITBLEND PARROTS &amp; CONURES 15.88kg</t>
  </si>
  <si>
    <t>زوبريم فروتبلند الببغاوات و الكنيور 15.88 كجم</t>
  </si>
  <si>
    <t>MAFE2023856</t>
  </si>
  <si>
    <t>P-1-N-270223-1250</t>
  </si>
  <si>
    <t>ZUPREEM FRUITBLEND MEDIUM 15.88kg</t>
  </si>
  <si>
    <t>زوبريم فروتبلند متوسط 15.88 كجم</t>
  </si>
  <si>
    <t>MAFE2023855</t>
  </si>
  <si>
    <t>P-1-N-280223-1259</t>
  </si>
  <si>
    <t>Pate Beef &amp; Chicken Goulash 85g</t>
  </si>
  <si>
    <t>باتيه جولاش لحم و دجاج 85 جم</t>
  </si>
  <si>
    <t>MAFE2023884</t>
  </si>
  <si>
    <t>P-1-N-280223-1260</t>
  </si>
  <si>
    <t>Pate Chicken with Spinach 85g</t>
  </si>
  <si>
    <t>باتيه دجاج بالسبانخ 85 جم</t>
  </si>
  <si>
    <t>MAFE2023883</t>
  </si>
  <si>
    <t>P-1-N-280223-1261</t>
  </si>
  <si>
    <t>Pate Kitten 85g</t>
  </si>
  <si>
    <t>باتيه القطط الصغيرة 85 جم</t>
  </si>
  <si>
    <t>MAFE2023882</t>
  </si>
  <si>
    <t>P-1-N-280223-1262</t>
  </si>
  <si>
    <t>Pate Salmon with Seaweed 80g</t>
  </si>
  <si>
    <t>باتيه سمك السلمون مع الأعشاب البحرية 80 جم</t>
  </si>
  <si>
    <t>MAFE2023881</t>
  </si>
  <si>
    <t>P-1-N-280223-1263</t>
  </si>
  <si>
    <t>Pate Turkey with Zucchini 85g</t>
  </si>
  <si>
    <t>باتيه ديك رومي مع الكوسا 85 جم</t>
  </si>
  <si>
    <t>MAFE2023880</t>
  </si>
  <si>
    <t>P-1-N-280223-1264</t>
  </si>
  <si>
    <t>Multipack Filet a 6x70g</t>
  </si>
  <si>
    <t>مالتي باك فيليه أ 6 × 70 جرام</t>
  </si>
  <si>
    <t>MAFE2023879</t>
  </si>
  <si>
    <t>P-1-N-280223-1265</t>
  </si>
  <si>
    <t>Multipack Pate a 6x85g</t>
  </si>
  <si>
    <t>مالتي باك باتيه أ 6 × 85 جرام</t>
  </si>
  <si>
    <t>MAFE2023878</t>
  </si>
  <si>
    <t>P-1-N-280223-1270</t>
  </si>
  <si>
    <t>Soup Chicken with Carrots &amp; Spinach 70g</t>
  </si>
  <si>
    <t>شوربة دجاج بالجزر والسبانخ 70 جم</t>
  </si>
  <si>
    <t>P-1-N-050323-1347</t>
  </si>
  <si>
    <t>Prestige Premium Parrots Exotic Nuts Mix 750g</t>
  </si>
  <si>
    <t>برستيج بريميوم إكزوتك مكسرات مشكلة للببغاء 750 جم</t>
  </si>
  <si>
    <t>MAFE2023939</t>
  </si>
  <si>
    <t>P-1-N-050323-1348</t>
  </si>
  <si>
    <t>PRESTIGE PREMIUM CANARIES EXPERT 20KG</t>
  </si>
  <si>
    <t>برستيج بريميوم كناري إكسبرت 20 كجم</t>
  </si>
  <si>
    <t>MAFE2023938</t>
  </si>
  <si>
    <t>421701</t>
  </si>
  <si>
    <t>P-1-N-060323-1362</t>
  </si>
  <si>
    <t>PRESTIGE PREMIUM BUDGIES 20KG</t>
  </si>
  <si>
    <t>برستيج بريميوم بادجي 20 كجم</t>
  </si>
  <si>
    <t>MAFE2023937</t>
  </si>
  <si>
    <t>P-1-N-060323-1365</t>
  </si>
  <si>
    <t>Prestige Parrots Fruit Mega 15kg</t>
  </si>
  <si>
    <t>برستيج ببغاء فواكه ميجا 15 كجم</t>
  </si>
  <si>
    <t>MAFE2023936</t>
  </si>
  <si>
    <t>P-1-N-060323-1367</t>
  </si>
  <si>
    <t>PRESTIGE BUDGIES 20KG</t>
  </si>
  <si>
    <t>برستيج بادجي 20 كجم</t>
  </si>
  <si>
    <t>MAFE2023935</t>
  </si>
  <si>
    <t>421641</t>
  </si>
  <si>
    <t>P-1-N-060323-1368</t>
  </si>
  <si>
    <t>PRESTIGE BUDGIES GOURMET 20KG</t>
  </si>
  <si>
    <t>برستيج بادجي جورميه 20 كجم</t>
  </si>
  <si>
    <t>MAFE2023934</t>
  </si>
  <si>
    <t>P-1-N-140323-1534</t>
  </si>
  <si>
    <t>MAFE20231176</t>
  </si>
  <si>
    <t>P-1-N-140323-1535</t>
  </si>
  <si>
    <t>Applaws Cat Dry Food Fish with Salmon 6kg</t>
  </si>
  <si>
    <t>MAFE20231177</t>
  </si>
  <si>
    <t>P-1-N-220323-1705</t>
  </si>
  <si>
    <t>MAFE20231194</t>
  </si>
  <si>
    <t>C01070100</t>
  </si>
  <si>
    <t>P-1-N-260323-1834</t>
  </si>
  <si>
    <t>Schesir Pouch Tuna in jelly 85g</t>
  </si>
  <si>
    <t>شيزير كيس تونة في الجيلي 85 جم</t>
  </si>
  <si>
    <t>MAFE20231251</t>
  </si>
  <si>
    <t>C01070105</t>
  </si>
  <si>
    <t>P-1-N-260323-1835</t>
  </si>
  <si>
    <t>Schesir Pouch Tuna and Seabass in Jelly 85g</t>
  </si>
  <si>
    <t>شيزير كيس تونة وسمك القاروص في الجيلي 85 جم</t>
  </si>
  <si>
    <t>MAFE20231249</t>
  </si>
  <si>
    <t>P-1-N-260323-1836</t>
  </si>
  <si>
    <t>شيزير كيس تونة ودجاج في الجيلي 85 جم</t>
  </si>
  <si>
    <t>MAFE20231250</t>
  </si>
  <si>
    <t>C01070102</t>
  </si>
  <si>
    <t>P-1-N-260323-1837</t>
  </si>
  <si>
    <t>Schesir Pouch Chicken in Jelly 85g</t>
  </si>
  <si>
    <t>شيزير كيس دجاج في الجيلي 85 جم</t>
  </si>
  <si>
    <t>MAFE20231248</t>
  </si>
  <si>
    <t>C01070106</t>
  </si>
  <si>
    <t>P-1-N-260323-1838</t>
  </si>
  <si>
    <t>Schesir Pouch Chicken and Seabass in Jelly 85g</t>
  </si>
  <si>
    <t>شيزير كيس دجاج وسمك القاروص في الجيلي 85 جم</t>
  </si>
  <si>
    <t>C01070111</t>
  </si>
  <si>
    <t>P-1-N-260323-1839</t>
  </si>
  <si>
    <t>Schesir Pouch Chicken Slices in Sauce 85g</t>
  </si>
  <si>
    <t>شيزير كيس شرائح دجاج بالصلصة 85 جم</t>
  </si>
  <si>
    <t>MAFE20231246</t>
  </si>
  <si>
    <t>C01070112</t>
  </si>
  <si>
    <t>P-1-N-260323-1840</t>
  </si>
  <si>
    <t>Schesir Pouch Tuna with Seabream in Jelly 85g</t>
  </si>
  <si>
    <t>شيزير كيس تونة مع سمك الدنيس في الجيلي 85 جم</t>
  </si>
  <si>
    <t>C01070113</t>
  </si>
  <si>
    <t>P-1-N-260323-1841</t>
  </si>
  <si>
    <t>Schesir Pouch Tuna with Salmon in Jelly 85g</t>
  </si>
  <si>
    <t>شيزير كيس تونة مع السلمون في الجيلي 85 جم</t>
  </si>
  <si>
    <t>C01070110</t>
  </si>
  <si>
    <t>P-1-N-260323-1842</t>
  </si>
  <si>
    <t>Schesir Tuna and Chicken with Shrimps in Jelly 85g</t>
  </si>
  <si>
    <t>شيزير كيس تونة ودجاج مع روبيان في الجيلي 85 جم</t>
  </si>
  <si>
    <t>MAFE20231243</t>
  </si>
  <si>
    <t>421905</t>
  </si>
  <si>
    <t>P-1-N-280323-1892</t>
  </si>
  <si>
    <t>Prestige Big Parakeets Gourmet Jana 20kg</t>
  </si>
  <si>
    <t>برستيج البراكيت الكبيرة جورميه جانا 20 كجم</t>
  </si>
  <si>
    <t>MAFE20231296</t>
  </si>
  <si>
    <t>P-1-N-280323-1893</t>
  </si>
  <si>
    <t>Prestige Canaries Gourmet Expert 20kg</t>
  </si>
  <si>
    <t>برستيج كناري جورميه إكسبرت 20 كجم</t>
  </si>
  <si>
    <t>MAFE20231287</t>
  </si>
  <si>
    <t>P-1-N-280323-1894</t>
  </si>
  <si>
    <t>Prestige Big Parakeets | Cockatiels Expert 20kg</t>
  </si>
  <si>
    <t>برستيج البراكيت الكبيرة | كوكاتيل إكسبرت 20 كجم</t>
  </si>
  <si>
    <t>MAFE20231422</t>
  </si>
  <si>
    <t>P-1-N-280323-1895</t>
  </si>
  <si>
    <t>Prestige Canaries Expert 20kg</t>
  </si>
  <si>
    <t>برستيج كناري إكسبرت 20 كجم</t>
  </si>
  <si>
    <t>MAFE20231359</t>
  </si>
  <si>
    <t>P-1-N-290323-1917</t>
  </si>
  <si>
    <t>PRINCESS CLASSIC CHICKEN &amp; TUNA TOPPING CRABSTICK 170g</t>
  </si>
  <si>
    <t>برنسيس كلاسيك دجاج وتونة مع عصا السلطعون 170 جم</t>
  </si>
  <si>
    <t>MAFE20231528</t>
  </si>
  <si>
    <t>P-1-N-290323-1918</t>
  </si>
  <si>
    <t>PRINCESS CLASSIC CHICKEN &amp; TUNA TOPPING BABY CLAM 170g</t>
  </si>
  <si>
    <t>برنسيس كلاسيك دجاج وتونة مع المحار الصغير 170 جم</t>
  </si>
  <si>
    <t>MAFE20231285</t>
  </si>
  <si>
    <t>P-1-N-290323-1919</t>
  </si>
  <si>
    <t>PRINCESS CLASSIC CHICKEN &amp; TUNA SHRIMP CAVIAR FLAVOR 170g</t>
  </si>
  <si>
    <t>برنسيس كلاسيك دجاج وتونة بنكهة الجمبري والكافيار 170 جم</t>
  </si>
  <si>
    <t xml:space="preserve">FOM-2024-6911-FEB-2024-51509 -C-0041-72306
</t>
  </si>
  <si>
    <t>يونيكورد بابليك كمبني ليميتيد</t>
  </si>
  <si>
    <t xml:space="preserve">٠٥/٠٤/٢٠٢٨
</t>
  </si>
  <si>
    <t>P-1-N-290323-1920</t>
  </si>
  <si>
    <t>PRINCESS CLASSIC CHICKEN &amp; TUNA TOPPING VEGETABLES 170g</t>
  </si>
  <si>
    <t>برنسيس كلاسيك دجاج وتونة مع الخضار 170 جم</t>
  </si>
  <si>
    <t>MAFE20231284</t>
  </si>
  <si>
    <t>P-1-N-290323-1921</t>
  </si>
  <si>
    <t>PRINCESS CLASSIC CHICKEN &amp; TUNA 170g</t>
  </si>
  <si>
    <t>برنسيس كلاسيك دجاج وتونة 170 جم</t>
  </si>
  <si>
    <t>MAFE20231529</t>
  </si>
  <si>
    <t>P-1-N-290323-1922</t>
  </si>
  <si>
    <t>PRINCESS CLASSIC CHICKEN &amp; TUNA TOPPING SHRIMP 170g</t>
  </si>
  <si>
    <t>برنسيس كلاسيك دجاج وتونة مع الجمبري 170 جم</t>
  </si>
  <si>
    <t>MAFE20231281</t>
  </si>
  <si>
    <t>P-1-N-290323-1923</t>
  </si>
  <si>
    <t>PRINCESS CLASSIC CHICKEN &amp; TUNA TOPPING WHITE BAIT 170g</t>
  </si>
  <si>
    <t>برنسيس كلاسيك دجاج وتونة مع الوايتبيت 170 جم</t>
  </si>
  <si>
    <t>MAFE20231280</t>
  </si>
  <si>
    <t>P-1-N-290323-1924</t>
  </si>
  <si>
    <t>PRINCESS CLASSIC CHICKEN &amp; TUNA GINSENG EXTRACT &amp; HONEY FLAVORS 170g</t>
  </si>
  <si>
    <t>برنسيس كلاسيك دجاج وتونة بخلاصة الجينسنغ ونكهات العسل 170 جم</t>
  </si>
  <si>
    <t>MAFE20231279</t>
  </si>
  <si>
    <t>P-1-N-290323-1925</t>
  </si>
  <si>
    <t>PRINCESS CLASSIC CHICKEN &amp; TUNA TOPPING OYSTER 170g</t>
  </si>
  <si>
    <t>برنسيس كلاسيك دجاج وتونة مع المحار 170 جم</t>
  </si>
  <si>
    <t>FOM-2024-6911-FEB-2024-51515 -C-0041-72312</t>
  </si>
  <si>
    <t>P-1-N-290323-1926</t>
  </si>
  <si>
    <t>PRINCESS CLASSIC CHICKEN &amp; TUNA OMELETTE &amp; LOBSTER FLAVORS 170g</t>
  </si>
  <si>
    <t>MAFE20231277</t>
  </si>
  <si>
    <t>P-1-N-290323-1927</t>
  </si>
  <si>
    <t>PRINCESS CLASSIC CHICKEN &amp; TUNA TOPPING BELL PEPPER 170g</t>
  </si>
  <si>
    <t>برنسيس كلاسيك دجاج وتونة مع فلفل رومي 170 جم</t>
  </si>
  <si>
    <t>MAFE20231276</t>
  </si>
  <si>
    <t>P-1-N-290323-1928</t>
  </si>
  <si>
    <t>PRINCESS CLASSIC PACIFIC TUNA 170g</t>
  </si>
  <si>
    <t>برنسيس كلاسيك تونة المحيط الهادئ 170 جم</t>
  </si>
  <si>
    <t>MAFE20231530</t>
  </si>
  <si>
    <t>P-1-N-290323-1929</t>
  </si>
  <si>
    <t>PRINCESS CLASSIC PACIFIC TUNA TOPPING CHEESE 170g</t>
  </si>
  <si>
    <t>برنسيس كلاسيك تونة المحيط الهادئ مع الجبن 170 جم</t>
  </si>
  <si>
    <t>MAFE20231298</t>
  </si>
  <si>
    <t>P-1-N-290323-1930</t>
  </si>
  <si>
    <t>PRINCESS CLASSIC PACIFIC TUNA TOPPING PANGASIUS 170g</t>
  </si>
  <si>
    <t>برنسيس كلاسيك تونة المحيط الهادئ مع البنغاسيوس 170 جم</t>
  </si>
  <si>
    <t xml:space="preserve">FOM-2024-6911-FEB-2024-39582 -C-0041-60379
</t>
  </si>
  <si>
    <t>P-1-N-290323-1931</t>
  </si>
  <si>
    <t>PRINCESS CLASSIC PACIFIC TUNA TOPPING COD 170g</t>
  </si>
  <si>
    <t>برنسيس كلاسيك تونة المحيط الهادئ مع سمك القد 170 جم</t>
  </si>
  <si>
    <t>MAFE20231300</t>
  </si>
  <si>
    <t>P-1-N-290323-1932</t>
  </si>
  <si>
    <t>PRINCESS CLASSIC CHICKEN &amp; TUNA CARROT &amp; ZUCCHINI &amp; TOMATO FLAVORS 170g</t>
  </si>
  <si>
    <t>برنسيس كلاسيك دجاج وتونة بنكهات الجزر والكوسا والطماطم 170 جم</t>
  </si>
  <si>
    <t>MAFE20231301</t>
  </si>
  <si>
    <t>P-1-N-290323-1933</t>
  </si>
  <si>
    <t>PRINCESS CLASSIC CHICKEN &amp; TUNA GINKGO &amp; GOJI BERRY FLAVORS 170g</t>
  </si>
  <si>
    <t>برنسيس كلاسيك دجاج وتونة بنكهات توت الغوجي والجينكو 170 جم</t>
  </si>
  <si>
    <t>MAFE20231302</t>
  </si>
  <si>
    <t>P-1-N-300323-1956</t>
  </si>
  <si>
    <t>PRINCESS EXCELLENCE CHICKEN &amp; TUNA TOPPING SALMON 70g</t>
  </si>
  <si>
    <t>برنسيس إكسلنس دجاج وتونة مع السلمون 70 جم</t>
  </si>
  <si>
    <t>MAFE20231312</t>
  </si>
  <si>
    <t>PNPP10</t>
  </si>
  <si>
    <t>P-1-N-300323-1957</t>
  </si>
  <si>
    <t>PRINCESS EXCELLENCE CHICKEN &amp; TUNA 70g</t>
  </si>
  <si>
    <t>برنسيس إكسلنس دجاج وتونة 70 جم</t>
  </si>
  <si>
    <t>MAFE20231350</t>
  </si>
  <si>
    <t>PNPP11</t>
  </si>
  <si>
    <t>P-1-N-300323-1958</t>
  </si>
  <si>
    <t xml:space="preserve">PRINCESS EXCELLENCE CHICKEN &amp; TUNA TOPPING SQUID RING 70g
</t>
  </si>
  <si>
    <t>برنسيس إكسلنس دجاج وتونة مع حلقات الحبار 70 جم</t>
  </si>
  <si>
    <t>MAFE20231313</t>
  </si>
  <si>
    <t>PNPP12</t>
  </si>
  <si>
    <t>P-1-N-300323-1959</t>
  </si>
  <si>
    <t>PRINCESS EXCELLENCE CHICKEN &amp; TUNA TOPPING PUMPKIN 70g</t>
  </si>
  <si>
    <t>برنسيس إكسلنس دجاج وتونة مع اليقطين 70 جم</t>
  </si>
  <si>
    <t>MAFE20231400</t>
  </si>
  <si>
    <t>PNPP13</t>
  </si>
  <si>
    <t>P-1-N-300323-1960</t>
  </si>
  <si>
    <t>PRINCESS EXCELLENCE CHICKEN &amp; TUNA TOPPING SHRIMP 70g</t>
  </si>
  <si>
    <t>برنسيس إكسلنس دجاج وتونة مع الجمبري 70 جم</t>
  </si>
  <si>
    <t>MAFE20231384</t>
  </si>
  <si>
    <t>PNPP14</t>
  </si>
  <si>
    <t>P-1-N-300323-1961</t>
  </si>
  <si>
    <t>PRINCESS EXCELLENCE CHICKEN &amp; TUNA TOPPING ALOE VERA 70g</t>
  </si>
  <si>
    <t>برنسيس إكسلنس دجاج وتونة مع الألو فيرا 70 جم</t>
  </si>
  <si>
    <t>MAFE20231382</t>
  </si>
  <si>
    <t>P-1-N-300323-1962</t>
  </si>
  <si>
    <t>PRINCESS EXCELLENCE CHICKEN &amp; TUNA TOPPING WHITE BAIT 70g</t>
  </si>
  <si>
    <t>برنسيس إكسلنس دجاج وتونة مع الوايتبيت 70 جم</t>
  </si>
  <si>
    <t>MAFE20231385</t>
  </si>
  <si>
    <t>PNPP17</t>
  </si>
  <si>
    <t>P-1-N-300323-1963</t>
  </si>
  <si>
    <t>PRINCESS EXCELLENCE PACIFIC TUNA 70g</t>
  </si>
  <si>
    <t>برنسيس إكسلنس تونة المحيط الهادئ 70 جم</t>
  </si>
  <si>
    <t>MAFE20231383</t>
  </si>
  <si>
    <t>PNPP19</t>
  </si>
  <si>
    <t>P-1-N-300323-1964</t>
  </si>
  <si>
    <t>PRINCESS EXCELLENCE CHICKEN BREAST 70g</t>
  </si>
  <si>
    <t>برنسيس إكسلنس صدور الدجاج 70 جم</t>
  </si>
  <si>
    <t>MAFE20231401</t>
  </si>
  <si>
    <t>PNPP20</t>
  </si>
  <si>
    <t>P-1-N-300323-1965</t>
  </si>
  <si>
    <t>PRINCESS EXCELLENCE GOLD CHICKEN BREAST 70g</t>
  </si>
  <si>
    <t>برنسيس إكسلنس جولد صدور الدجاج 70 جم</t>
  </si>
  <si>
    <t>MAFE20231402</t>
  </si>
  <si>
    <t>PNPP21</t>
  </si>
  <si>
    <t>P-1-N-300323-1966</t>
  </si>
  <si>
    <t>PRINCESS EXCELLENCE CHICKEN BREAST TOPPING TURKEY 70g</t>
  </si>
  <si>
    <t>برنسيس إكسلنس صدور الدجاج مع الديك الرومى 70 جم</t>
  </si>
  <si>
    <t>MAFE20231403</t>
  </si>
  <si>
    <t>P-1-N-020423-2000</t>
  </si>
  <si>
    <t>PRINCESS ZEST CHICKEN &amp; TUNA TOPPING SURIMI 170g</t>
  </si>
  <si>
    <t>برنسيس زيست دجاج وتونة مع السوريمي 170 جم</t>
  </si>
  <si>
    <t>MAFE20231362</t>
  </si>
  <si>
    <t>P-1-N-020423-2001</t>
  </si>
  <si>
    <t>PRINCESS ZEST CHICKEN &amp; TUNA TOPPING PAPAYA 170g</t>
  </si>
  <si>
    <t>برنسيس زيست دجاج وتونة مع البابايا 170 جم</t>
  </si>
  <si>
    <t>MAFE20231363</t>
  </si>
  <si>
    <t>P-1-N-020423-2002</t>
  </si>
  <si>
    <t>PRINCESS ZEST CHICKEN &amp; TUNA TOPPING MUSSELS 170g</t>
  </si>
  <si>
    <t>برنسيس زيست دجاج وتونة مع بلح البحر 170 جم</t>
  </si>
  <si>
    <t>MAFE20231364</t>
  </si>
  <si>
    <t>P-1-N-020423-2003</t>
  </si>
  <si>
    <t>PRINCESS ZEST CHICKEN &amp; TUNA TOPPING SALMON FLAKES 170g</t>
  </si>
  <si>
    <t>برنسيس زيست دجاج وتونة مع رقائق السلمون 170 جم</t>
  </si>
  <si>
    <t>MAFE20231365</t>
  </si>
  <si>
    <t>P-1-N-020423-2004</t>
  </si>
  <si>
    <t>PRINCESS ZEST CHICKEN &amp; TUNA TOPPING VANNAMEI SHRIMP 170g</t>
  </si>
  <si>
    <t>برنسيس زيست دجاج وتونة مع الجمبري الفانامي 170 جم</t>
  </si>
  <si>
    <t>MAFE20231366</t>
  </si>
  <si>
    <t>P-1-N-030423-2020</t>
  </si>
  <si>
    <t>PRINCESS CLASSIC GOLD CHICKEN &amp; TUNA TOPPING SCALLOP CRANBERRY FLAVOR 170g</t>
  </si>
  <si>
    <t>برنسيس كلاسيك جولد دجاج وتونة مع الأسقلوب بنكهة التوت البري 170 جم</t>
  </si>
  <si>
    <t>MAFE20231342</t>
  </si>
  <si>
    <t>P-1-N-030423-2021</t>
  </si>
  <si>
    <t>PRINCESS CLASSIC GOLD CHICKEN &amp; TUNA TOPPING SCALLOP 170g</t>
  </si>
  <si>
    <t>برنسيس كلاسيك جولد دجاج وتونة مع الأسقلوب 170 جم</t>
  </si>
  <si>
    <t>MAFE20231341</t>
  </si>
  <si>
    <t>P-1-N-030423-2022</t>
  </si>
  <si>
    <t>PRINCESS CLASSIC GOLD CHICKEN &amp; TUNA TOPPING SALMON FLAKES 170g</t>
  </si>
  <si>
    <t>برنسيس كلاسيك جولد دجاج وتونة مع رقائق السلمون 170 جم</t>
  </si>
  <si>
    <t>MAFE20231340</t>
  </si>
  <si>
    <t>P-1-N-030423-2023</t>
  </si>
  <si>
    <t>PRINCESS CLASSIC GOLD CHICKEN &amp; TUNA TOPPING VANNAMEI SHRIMP 170g</t>
  </si>
  <si>
    <t>برنسيس كلاسيك جولد دجاج وتونة مع الجمبري الفانامي 170 جم</t>
  </si>
  <si>
    <t>MAFE20231367</t>
  </si>
  <si>
    <t>P-1-N-030423-2024</t>
  </si>
  <si>
    <t>PRINCESS CLASSIC GOLD CHICKEN &amp; TUNA TOPPING PAPAYA 170g</t>
  </si>
  <si>
    <t>برنسيس كلاسيك جولد دجاج وتونة مع البابايا 170 جم</t>
  </si>
  <si>
    <t>MAFE20231368</t>
  </si>
  <si>
    <t>PNPPP1</t>
  </si>
  <si>
    <t>P-1-N-030423-2028</t>
  </si>
  <si>
    <t>PRINCESS CLASSIC POUCH CHICKEN &amp; TUNA 70g</t>
  </si>
  <si>
    <t>برنسيس كلاسيك كيس دجاج وتونة 70 جم</t>
  </si>
  <si>
    <t>MAFE20231369</t>
  </si>
  <si>
    <t>PNPPP2</t>
  </si>
  <si>
    <t>P-1-N-030423-2029</t>
  </si>
  <si>
    <t>PRINCESS CLASSIC POUCH CHICKEN &amp; TUNA TOPPING SHRIMP 70g</t>
  </si>
  <si>
    <t>برنسيس كلاسيك كيس دجاج وتونة مع الجمبري 70 جم</t>
  </si>
  <si>
    <t>MAFE20231370</t>
  </si>
  <si>
    <t>PNPPP3</t>
  </si>
  <si>
    <t>P-1-N-030423-2031</t>
  </si>
  <si>
    <t>PRINCESS CLASSIC POUCH CHICKEN &amp; TUNA TOPPING VEGETABLES 70g</t>
  </si>
  <si>
    <t>برنسيس كلاسيك كيس دجاج وتونة مع الخضروات 70 جم</t>
  </si>
  <si>
    <t>MAFE20231371</t>
  </si>
  <si>
    <t>PNPPP4</t>
  </si>
  <si>
    <t>P-1-N-030423-2032</t>
  </si>
  <si>
    <t>PRINCESS CLASSIC POUCH CHICKEN &amp; TUNA TOPPING CRABSTICK 70g</t>
  </si>
  <si>
    <t>برنسيس كلاسيك كيس دجاج وتونة مع عصا السلطعون 70 جم</t>
  </si>
  <si>
    <t>MAFE20231339</t>
  </si>
  <si>
    <t>P-1-N-030423-2033</t>
  </si>
  <si>
    <t>PRINCESS CLASSIC POUCH CHICKEN &amp; TUNA TOPPING WHITE BAIT 70g</t>
  </si>
  <si>
    <t>برنسيس كلاسيك كيس دجاج وتونة مع وايتبيت 70 جم</t>
  </si>
  <si>
    <t>MAFE20231338</t>
  </si>
  <si>
    <t>شركة المتحدة للحيوانات الأليفة فرنسا</t>
  </si>
  <si>
    <t>PNPPP6</t>
  </si>
  <si>
    <t>P-1-N-030423-2034</t>
  </si>
  <si>
    <t>PRINCESS CLASSIC POUCH CHICKEN &amp; TUNA TOPPING BABY CLAM 70g</t>
  </si>
  <si>
    <t>برنسيس كلاسيك كيس دجاج وتونة مع المحار الصغير 70 جم</t>
  </si>
  <si>
    <t>MAFE20231337</t>
  </si>
  <si>
    <t>P-1-N-030423-2035</t>
  </si>
  <si>
    <t>MAFE20231336</t>
  </si>
  <si>
    <t>P-1-N-030423-2036</t>
  </si>
  <si>
    <t>MAFE20231335</t>
  </si>
  <si>
    <t>P-1-N-040423-2062</t>
  </si>
  <si>
    <t>CéDé Eggfood canary 1KG</t>
  </si>
  <si>
    <t>سي دي إيغفود كناري 1 كجم</t>
  </si>
  <si>
    <t>MAFE20231541</t>
  </si>
  <si>
    <t>P-1-N-040423-2063</t>
  </si>
  <si>
    <t>CéDé Eggfood canary 5kg</t>
  </si>
  <si>
    <t>سي دي إيغفود كناري 5 كجم</t>
  </si>
  <si>
    <t>MAFE20231522</t>
  </si>
  <si>
    <t>P-1-N-040423-2064</t>
  </si>
  <si>
    <t>CéDé Eggfood Budgie 1kg</t>
  </si>
  <si>
    <t>سي دي إيغفود بادجي 1 كجم</t>
  </si>
  <si>
    <t>MAFE20231538</t>
  </si>
  <si>
    <t>P-1-N-040423-2065</t>
  </si>
  <si>
    <t>CéDé Bird Minerals 1200g</t>
  </si>
  <si>
    <t>سي دي برد مينيرال 1200 جم</t>
  </si>
  <si>
    <t>MAFE20233434</t>
  </si>
  <si>
    <t>P-1-N-040423-2066</t>
  </si>
  <si>
    <t>CéDé Premium Eggfood allround 240g</t>
  </si>
  <si>
    <t>سي دي بريميوم إيغفود اولاراوند 240 جم</t>
  </si>
  <si>
    <t>MAFE20231537</t>
  </si>
  <si>
    <t>P-1-N-040423-2067</t>
  </si>
  <si>
    <t>CéDé Protein Mix 1kg</t>
  </si>
  <si>
    <t>سي دي مزيج بروتين 1 كجم</t>
  </si>
  <si>
    <t>MAFE20231536</t>
  </si>
  <si>
    <t>P-1-N-040423-2069</t>
  </si>
  <si>
    <t>سي دي إنسكتفود 600 جم</t>
  </si>
  <si>
    <t>MAFE20231542</t>
  </si>
  <si>
    <t>P-1-N-040423-2070</t>
  </si>
  <si>
    <t>سي دي ملتي فيتامين 200 مل</t>
  </si>
  <si>
    <t>MAFE20231408</t>
  </si>
  <si>
    <t>P-1-N-100423-2199</t>
  </si>
  <si>
    <t>COUNTRY Canary 0.6kg</t>
  </si>
  <si>
    <t>كونتري كناري 0،6 كجم</t>
  </si>
  <si>
    <t>MAFE20231460</t>
  </si>
  <si>
    <t>P-1-N-100423-2200</t>
  </si>
  <si>
    <t>COUNTRY Canary 2.5kg</t>
  </si>
  <si>
    <t>كونتري كناري 2.5 كجم</t>
  </si>
  <si>
    <t>MAFE20231461</t>
  </si>
  <si>
    <t>P-1-N-100423-2201</t>
  </si>
  <si>
    <t>COUNTRY Snack muesli 0.8kg</t>
  </si>
  <si>
    <t>كونتري وجبة خفيفة موزلي 0،8 كجم</t>
  </si>
  <si>
    <t>MAFE20231462</t>
  </si>
  <si>
    <t>P-1-N-100423-2202</t>
  </si>
  <si>
    <t>COUNTRY Lovebird 0.6kg</t>
  </si>
  <si>
    <t>كونتري طيور الحب 0،6 كجم</t>
  </si>
  <si>
    <t>MAFE20231463</t>
  </si>
  <si>
    <t>P-1-N-100423-2203</t>
  </si>
  <si>
    <t>COUNTRY Lovebird 2.5kg</t>
  </si>
  <si>
    <t>كونتري طيور الحب 2.5 كجم</t>
  </si>
  <si>
    <t>MAFE20231465</t>
  </si>
  <si>
    <t>P-1-N-100423-2204</t>
  </si>
  <si>
    <t>COUNTRY Rabbit 0.8kg</t>
  </si>
  <si>
    <t>كونتري أرنب 0،8 كجم</t>
  </si>
  <si>
    <t>MAFE20231603</t>
  </si>
  <si>
    <t>P-1-N-100423-2205</t>
  </si>
  <si>
    <t>COUNTRY Rabbit 2.5kg</t>
  </si>
  <si>
    <t>كونتري أرنب 2.5 كجم</t>
  </si>
  <si>
    <t>P-1-N-100423-2206</t>
  </si>
  <si>
    <t>COUNTRY Large Parakeet 0,55KG</t>
  </si>
  <si>
    <t>كونتري براكيت كبيرة 0،55 كجم</t>
  </si>
  <si>
    <t>MAFE20231467</t>
  </si>
  <si>
    <t>P-1-N-100423-2207</t>
  </si>
  <si>
    <t>COUNTRY Large Parakeet 2.5kg</t>
  </si>
  <si>
    <t>كونتري براكيت كبيرة 2.5 كجم</t>
  </si>
  <si>
    <t>MAFE20231464</t>
  </si>
  <si>
    <t>P-1-N-100423-2208</t>
  </si>
  <si>
    <t>COUNTRY Hamster 850g</t>
  </si>
  <si>
    <t>كونتري الهامستر 850 جم</t>
  </si>
  <si>
    <t>MAFE20231641</t>
  </si>
  <si>
    <t>P-1-N-100423-2209</t>
  </si>
  <si>
    <t>COUNTRY hamster 3.0kg</t>
  </si>
  <si>
    <t>كونتري الهامستر3،0 كجم</t>
  </si>
  <si>
    <t>MAFE20231625</t>
  </si>
  <si>
    <t>P-1-N-180423-2329</t>
  </si>
  <si>
    <t>PRINCE CLASSIC PACIFIC TUNA TOPPING VANNAMEI SHRIMP 170g</t>
  </si>
  <si>
    <t>برينس كلاسيك تونة المحيط الهادئ مع الجمبري الفانامي 170 جم</t>
  </si>
  <si>
    <t>MAFE20231535</t>
  </si>
  <si>
    <t>P-1-N-180423-2330</t>
  </si>
  <si>
    <t>PRINCE CLASSIC PACIFIC TUNA 170g</t>
  </si>
  <si>
    <t>برينس كلاسيك تونة المحيط الهادئ 170 جم</t>
  </si>
  <si>
    <t>P-1-N-180423-2332</t>
  </si>
  <si>
    <t>PRINCE CLASSIC CHICKEN &amp; TUNA 170g</t>
  </si>
  <si>
    <t>برينس كلاسيك دجاج وتونة 170 جم</t>
  </si>
  <si>
    <t>MAFE20231282</t>
  </si>
  <si>
    <t>P-1-N-180423-2333</t>
  </si>
  <si>
    <t>PRINCE CLASSIC CHICKEN &amp; TUNA TOPPING CRABSTICK 170g</t>
  </si>
  <si>
    <t>برينس كلاسيك دجاج وتونة مع عصا السلطعون 170 جم</t>
  </si>
  <si>
    <t>P-1-N-180423-2334</t>
  </si>
  <si>
    <t>PRINCE CLASSIC CHICKEN &amp; TUNA GINSENG EXTRACT &amp; HONEY FLAVORS 170g</t>
  </si>
  <si>
    <t>برينس كالسيك دجاج وتونة بخلاصة الجينسنغ ونكهات العسل 170 جم</t>
  </si>
  <si>
    <t>MAFE20231527</t>
  </si>
  <si>
    <t>P-1-N-180423-2335</t>
  </si>
  <si>
    <t>PRINCE CLASSIC CHICKEN &amp; TUNA TOPPING SHRIMP 170g</t>
  </si>
  <si>
    <t>برينس كلاسيك دجاج وتونة مع الجمبري 170 جم</t>
  </si>
  <si>
    <t>MAFE20231526</t>
  </si>
  <si>
    <t>P-1-N-040523-2527</t>
  </si>
  <si>
    <t>CéDé Eggfood Budgie 5kg</t>
  </si>
  <si>
    <t>سي دي إيغفود بادجي 5 كجم</t>
  </si>
  <si>
    <t>P-1-N-040523-2528</t>
  </si>
  <si>
    <t>CéDé Premium Eggfood allround 10Kg</t>
  </si>
  <si>
    <t>سي دي بريميوم إيغفود اولاراوند 10 كجم</t>
  </si>
  <si>
    <t>MAFE20231670</t>
  </si>
  <si>
    <t>P-1-N-070523-2572</t>
  </si>
  <si>
    <t>COUNTRY Guinea-Pig 0.85kg</t>
  </si>
  <si>
    <t>كونتري خنازيرغينيا 0.85 كجم</t>
  </si>
  <si>
    <t>MAFE20231666</t>
  </si>
  <si>
    <t>P-1-N-070523-2573</t>
  </si>
  <si>
    <t>COUNTRY Guinea-Pig 3,0KG</t>
  </si>
  <si>
    <t>كونتري خنازيرغينيا 3.0 كجم</t>
  </si>
  <si>
    <t>P-1-N-070523-2574</t>
  </si>
  <si>
    <t>COUNTRY Finches 0.6kg</t>
  </si>
  <si>
    <t>كونتري فينشز 0.6 كجم</t>
  </si>
  <si>
    <t>MAFE20231664</t>
  </si>
  <si>
    <t>P-1-N-070523-2575</t>
  </si>
  <si>
    <t>COUNTRY Budgie 0.6kg</t>
  </si>
  <si>
    <t>كونتري بادجي 0.6 كجم</t>
  </si>
  <si>
    <t>MAFE20231663</t>
  </si>
  <si>
    <t>P-1-N-070523-2576</t>
  </si>
  <si>
    <t>COUNTRY Budgie 2.5kg</t>
  </si>
  <si>
    <t>كونتري بادجي 2.5 كجم</t>
  </si>
  <si>
    <t>P-1-N-070523-2577</t>
  </si>
  <si>
    <t>COUNTRY Parrot 2kg</t>
  </si>
  <si>
    <t>كونتري ببغاء 2 كجم</t>
  </si>
  <si>
    <t>P-1-N-110523-2687</t>
  </si>
  <si>
    <t>APPLAWS KITTEN CHICKEN 400G</t>
  </si>
  <si>
    <t>أبلاوز دجاج للقطط الصغيرة 400 جم</t>
  </si>
  <si>
    <t xml:space="preserve">FOM-2024-6779-FEB-2024-57216 -C-0041-78023
</t>
  </si>
  <si>
    <t>سي اند دي فوودز سباين</t>
  </si>
  <si>
    <t>16-5-2028</t>
  </si>
  <si>
    <t>P-1-N-110523-2688</t>
  </si>
  <si>
    <t>APPLAWS KITTEN CHICKEN 2KG</t>
  </si>
  <si>
    <t>أبلاوز دجاج للقطط الصغيرة 2 كجم</t>
  </si>
  <si>
    <t xml:space="preserve">FOM-2024-6779-FEB-2024-57217 -C-0041-78024
</t>
  </si>
  <si>
    <t>P-1-N-110523-2689</t>
  </si>
  <si>
    <t>APPLAWS KITTEN CHICKEN 7.5KG</t>
  </si>
  <si>
    <t>أبلاوز دجاج للقطط الصغيرة 7.5 كجم</t>
  </si>
  <si>
    <t xml:space="preserve">FOM-2024-6779-FEB-2024-57218 -C-0041-78025
</t>
  </si>
  <si>
    <t>P-1-N-110523-2691</t>
  </si>
  <si>
    <t>APPLAWS ADULT CAT CHICKEN 400G</t>
  </si>
  <si>
    <t>أبلاوز دجاج للقطط البالغة 400 جم</t>
  </si>
  <si>
    <t xml:space="preserve">FOM-2024-6779-FEB-2024-57219 -C-0041-78026
</t>
  </si>
  <si>
    <t>P-1-N-110523-2692</t>
  </si>
  <si>
    <t>APPLAWS ADULT CAT CHICKEN 2KG</t>
  </si>
  <si>
    <t>أبلاوز دجاج للقطط البالغة 2 كجم</t>
  </si>
  <si>
    <t xml:space="preserve">FOM-2024-6779-FEB-2024-57220 -C-0041-78027
</t>
  </si>
  <si>
    <t>P-1-N-110523-2693</t>
  </si>
  <si>
    <t>APPLAWS ADULT CAT CHICKEN 7.5KG</t>
  </si>
  <si>
    <t>أبلاوز دجاج للقطط البالغة 7.5 كجم</t>
  </si>
  <si>
    <t>P-1-N-110523-2694</t>
  </si>
  <si>
    <t>APPLAWS ADULT CAT CHICKEN WITH EXTRA SALMON 400G</t>
  </si>
  <si>
    <t>أبلاوز دجاج مع سمك السلمون الإضافي للقطط البالغة 400 جم</t>
  </si>
  <si>
    <t xml:space="preserve">FOM-2024-6779-FEB-2024-57222 -C-0041-78029
</t>
  </si>
  <si>
    <t>P-1-N-110523-2695</t>
  </si>
  <si>
    <t>APPLAWS ADULT CAT CHICKEN WITH EXTRA SALMON 2KG</t>
  </si>
  <si>
    <t>أبلاوز دجاج مع سمك السلمون الإضافي للقطط البالغة 2 كجم</t>
  </si>
  <si>
    <t xml:space="preserve">FOM-2024-6779-FEB-2024-57223 -C-0041-78030
</t>
  </si>
  <si>
    <t>P-1-N-110523-2696</t>
  </si>
  <si>
    <t>APPLAWS ADULT CAT CHICKEN WITH EXTRA SALMON 7.5KG</t>
  </si>
  <si>
    <t>أبلاوز دجاج مع سمك السلمون الإضافي للقطط البالغة 7.5 كجم</t>
  </si>
  <si>
    <t xml:space="preserve">FOM-2024-6779-FEB-2024-57224 -C-0041-78031
</t>
  </si>
  <si>
    <t>P-1-N-110523-2700</t>
  </si>
  <si>
    <t>APPLAWS SENIOR CAT CHICKEN 400G</t>
  </si>
  <si>
    <t>أبلاوز دجاج للقطط كبيرة السن 400 جم</t>
  </si>
  <si>
    <t xml:space="preserve">FOM-2024-6779-FEB-2024-57207 -C-0041-78014
</t>
  </si>
  <si>
    <t>17-5-2028</t>
  </si>
  <si>
    <t>P-1-N-110523-2701</t>
  </si>
  <si>
    <t>APPLAWS SENIOR CAT CHICKEN 2KG</t>
  </si>
  <si>
    <t>أبلاوز دجاج للقطط كبيرة السن 2 كجم</t>
  </si>
  <si>
    <t xml:space="preserve">FOM-2024-6779-FEB-2024-57208 -C-0041-78015
</t>
  </si>
  <si>
    <t>P-1-N-110523-2702</t>
  </si>
  <si>
    <t>APPLAWS SENIOR CAT CHICKEN 7.5KG</t>
  </si>
  <si>
    <t>أبلاوز دجاج للقطط كبيرة السن 7.5 كجم</t>
  </si>
  <si>
    <t xml:space="preserve">FOM-2024-6779-FEB-2024-57209 -C-0041-78016
</t>
  </si>
  <si>
    <t>P-1-N-110523-2703</t>
  </si>
  <si>
    <t>APPLAWS ADULT CAT CHICKEN WITH EXTRA DUCK 400G</t>
  </si>
  <si>
    <t>أبلاوز دجاج مع البط الإضافي للقطط البالغة 400 جم</t>
  </si>
  <si>
    <t xml:space="preserve">FOM-2024-6779-FEB-2024-57210 -C-0041-78017
</t>
  </si>
  <si>
    <t>P-1-N-110523-2704</t>
  </si>
  <si>
    <t>APPLAWS ADULT CAT CHICKEN WITH EXTRA DUCK 2KG</t>
  </si>
  <si>
    <t>أبلاوز دجاج مع البط الإضافي للقطط البالغة 2 كجم</t>
  </si>
  <si>
    <t xml:space="preserve">FOM-2024-6779-FEB-2024-57211 -C-0041-78018
</t>
  </si>
  <si>
    <t>P-1-N-110523-2705</t>
  </si>
  <si>
    <t>APPLAWS ADULT CAT CHICKEN WITH EXTRA DUCK 7.5KG</t>
  </si>
  <si>
    <t>أبلاوز دجاج مع البط الإضافي للقطط البالغة 7.5 كجم</t>
  </si>
  <si>
    <t xml:space="preserve">FOM-2024-6779-FEB-2024-57212 -C-0041-78019
</t>
  </si>
  <si>
    <t>P-1-N-110523-2708</t>
  </si>
  <si>
    <t>APPLAWS ADULT CAT OCEAN FISH WITH SALMON 350G</t>
  </si>
  <si>
    <t xml:space="preserve">FOM-2024-6779-FEB-2024-57213 -C-0041-78020
</t>
  </si>
  <si>
    <t>P-1-N-110523-2709</t>
  </si>
  <si>
    <t>APPLAWS ADULT CAT OCEAN FISH WITH SALMON 1.8KG</t>
  </si>
  <si>
    <t xml:space="preserve">FOM-2024-6779-FEB-2024-57214 -C-0041-78021
</t>
  </si>
  <si>
    <t>P-1-N-110523-2710</t>
  </si>
  <si>
    <t>APPLAWS ADULT CAT OCEAN FISH WITH SALMON 6KG</t>
  </si>
  <si>
    <t xml:space="preserve">FOM-2024-6779-FEB-2024-57215 -C-0041-78022
</t>
  </si>
  <si>
    <t>50013105</t>
  </si>
  <si>
    <t>P-1-N-150623-3602</t>
  </si>
  <si>
    <t>JosiCat Kitten 650g</t>
  </si>
  <si>
    <t>جوسيكات كيتن 650 جم</t>
  </si>
  <si>
    <t>MAFE20232465</t>
  </si>
  <si>
    <t>50013106</t>
  </si>
  <si>
    <t>P-1-N-150623-3603</t>
  </si>
  <si>
    <t>JosiCat Kitten 1.9kg</t>
  </si>
  <si>
    <t>جوسيكات كيتن 1.9 كجم</t>
  </si>
  <si>
    <t>MAFE20232464</t>
  </si>
  <si>
    <t>50013108</t>
  </si>
  <si>
    <t>P-1-N-150623-3605</t>
  </si>
  <si>
    <t>JosiCat Kitten 10kg</t>
  </si>
  <si>
    <t>جوسيكات كيتن 10 كجم</t>
  </si>
  <si>
    <t>MAFE20232463</t>
  </si>
  <si>
    <t>P-1-N-080823-4674</t>
  </si>
  <si>
    <t>PUUR Budgie wh 750GR</t>
  </si>
  <si>
    <t>بيور البادجي دبليو اتش 750 جم</t>
  </si>
  <si>
    <t>P-1-N-080823-4675</t>
  </si>
  <si>
    <t>PUUR Budgie wh 2KG</t>
  </si>
  <si>
    <t>بيور البادجي دبليو اتش 2 كجم</t>
  </si>
  <si>
    <t>P-1-N-080823-4676</t>
  </si>
  <si>
    <t>PUUR Canary wh 750GR</t>
  </si>
  <si>
    <t>بيور الكناري دبليو اتش 750 جم</t>
  </si>
  <si>
    <t>P-1-N-080823-4677</t>
  </si>
  <si>
    <t>PUUR Canary wh 2KG</t>
  </si>
  <si>
    <t>بيور الكناري دبليو اتش 2 كجم</t>
  </si>
  <si>
    <t>P-1-N-080823-4678</t>
  </si>
  <si>
    <t>PUUR Dwarf hamster &amp; friends 400GR</t>
  </si>
  <si>
    <t>بيور الهامستر الصغير والأصدقاء 400 جم</t>
  </si>
  <si>
    <t>P-1-N-080823-4679</t>
  </si>
  <si>
    <t>PUUR Guinea Pig 700GR</t>
  </si>
  <si>
    <t>بيورالخنزيرالغيني 700 جم</t>
  </si>
  <si>
    <t>P-1-N-080823-4680</t>
  </si>
  <si>
    <t>PUUR Guinea Pig 2.5KG</t>
  </si>
  <si>
    <t>بيورالخنزيرالغيني 2.5 كجم</t>
  </si>
  <si>
    <t>P-1-N-080823-4681</t>
  </si>
  <si>
    <t>PUUR Hamster 400gr</t>
  </si>
  <si>
    <t>بيور الهامستر 400 جم</t>
  </si>
  <si>
    <t>MAFE20233205</t>
  </si>
  <si>
    <t>P-1-N-080823-4682</t>
  </si>
  <si>
    <t>PUUR Hamster 1.5KG</t>
  </si>
  <si>
    <t>بيور الهامستر 1.5 كجم</t>
  </si>
  <si>
    <t>MAFE20233203</t>
  </si>
  <si>
    <t>P-1-N-080823-4683</t>
  </si>
  <si>
    <t>PUUR Large Parakeet and cockatoo wh 750GR</t>
  </si>
  <si>
    <t>بيور البراكيت والكوكاتو الكبيرة دبليو اتش 750 جم</t>
  </si>
  <si>
    <t>MAFE20233204</t>
  </si>
  <si>
    <t>654773</t>
  </si>
  <si>
    <t>P-1-N-080823-4684</t>
  </si>
  <si>
    <t>PUUR Large Parakeet and cockatoo wh 2kg</t>
  </si>
  <si>
    <t>بيور البراكيت والكوكاتو الكبيرة دبليو اتش 2 كجم</t>
  </si>
  <si>
    <t>MAFE20233202</t>
  </si>
  <si>
    <t>654769</t>
  </si>
  <si>
    <t>P-1-N-080823-4685</t>
  </si>
  <si>
    <t>PUUR Lovebird wh 750GR</t>
  </si>
  <si>
    <t>بيور طيور الحب دبليو اتش 750 جم</t>
  </si>
  <si>
    <t>MAFE20233201</t>
  </si>
  <si>
    <t>654770</t>
  </si>
  <si>
    <t>P-1-N-080823-4686</t>
  </si>
  <si>
    <t>PUUR Lovebird wh 2KG</t>
  </si>
  <si>
    <t>بيور طيور الحب دبليو اتش 2 كجم</t>
  </si>
  <si>
    <t>MAFE20233200</t>
  </si>
  <si>
    <t>654749</t>
  </si>
  <si>
    <t>P-1-N-080823-4687</t>
  </si>
  <si>
    <t>PUUR Parrot wh/wp 2kg</t>
  </si>
  <si>
    <t>بيور الببغاوات دبليو اتش/دبليو بي 2 كجم</t>
  </si>
  <si>
    <t>MAFE20233198</t>
  </si>
  <si>
    <t>P-1-N-080823-4688</t>
  </si>
  <si>
    <t>PUUR Rabbit 600gr</t>
  </si>
  <si>
    <t>بيورالأرنب 600 جم</t>
  </si>
  <si>
    <t>MAFE20233199</t>
  </si>
  <si>
    <t>P-1-N-080823-4689</t>
  </si>
  <si>
    <t>PUUR Rabbit 2kg</t>
  </si>
  <si>
    <t>بيور الأرنب 2 كجم</t>
  </si>
  <si>
    <t>MAFE20233060</t>
  </si>
  <si>
    <t>P-1-N-080823-4690</t>
  </si>
  <si>
    <t>PUUR Rabbit Junior 600gr</t>
  </si>
  <si>
    <t>بيور الأرنب الصغير 600 جم</t>
  </si>
  <si>
    <t>MAFE20233197</t>
  </si>
  <si>
    <t>P-1-N-080823-4691</t>
  </si>
  <si>
    <t>PUUR Tropical Bird 750gr</t>
  </si>
  <si>
    <t>بيور الطيور الاستوائية 750 جم</t>
  </si>
  <si>
    <t>MAFE20233196</t>
  </si>
  <si>
    <t>P-1-N-080823-4692</t>
  </si>
  <si>
    <t>PUUR Tropical Bird 2kg</t>
  </si>
  <si>
    <t>بيور الطيور الاستوائية 2 كجم</t>
  </si>
  <si>
    <t>MAFE20233195</t>
  </si>
  <si>
    <t>P-1-N-140823-4825</t>
  </si>
  <si>
    <t>Yow Up Para perros 115g</t>
  </si>
  <si>
    <t>يو اب بارا باروس 115 جرام</t>
  </si>
  <si>
    <t>MAFE20233145</t>
  </si>
  <si>
    <t>دايري بت اس ال</t>
  </si>
  <si>
    <t>DP1014</t>
  </si>
  <si>
    <t>P-1-N-140823-4827</t>
  </si>
  <si>
    <t>YOW UP Para Gatos 85g</t>
  </si>
  <si>
    <t>يو اب بارا قاتوس 85 جرام</t>
  </si>
  <si>
    <t>MAFE20233148</t>
  </si>
  <si>
    <t>P-1-N-160823-4867</t>
  </si>
  <si>
    <t>Country Blossom hay carrot 500g</t>
  </si>
  <si>
    <t>كونتري بلوسم التبن والجزر 500 جم</t>
  </si>
  <si>
    <t>MAFE20233192</t>
  </si>
  <si>
    <t>P-1-N-160823-4868</t>
  </si>
  <si>
    <t>Country Blossom hay rose blossom 500g</t>
  </si>
  <si>
    <t>كونتري بلوسم التبن والورد 500 جم</t>
  </si>
  <si>
    <t>MAFE20233191</t>
  </si>
  <si>
    <t>P-1-N-160823-4885</t>
  </si>
  <si>
    <t>Country Seed sticks finch apple &amp; sesame seed 60g</t>
  </si>
  <si>
    <t>كونتري سيد ستيكس للشرشوريات بالتفاح و بذور السمسم 60 جرام</t>
  </si>
  <si>
    <t>MAFE20233187</t>
  </si>
  <si>
    <t>P-1-N-160823-4886</t>
  </si>
  <si>
    <t>Country Seed sticks canary elder &amp; cranberry 60g</t>
  </si>
  <si>
    <t>كونتري سيد ستيكس للكناري بالبلسان والتوت البري 60 جرام</t>
  </si>
  <si>
    <t>MAFE20233188</t>
  </si>
  <si>
    <t>P-1-N-160823-4887</t>
  </si>
  <si>
    <t>Country Seed sticks parakeet kiwi &amp; pear 140g</t>
  </si>
  <si>
    <t>كونتري سيد ستيكس للبراكيت بالكيوي والكمثرى 140 جرام</t>
  </si>
  <si>
    <t>MAFE20233186</t>
  </si>
  <si>
    <t>P-1-N-160823-4888</t>
  </si>
  <si>
    <t>Country Seed sticks parrot rosehip &amp; elderberry 140g</t>
  </si>
  <si>
    <t>كونتري سيد ستيكس للببغاوات بثمر الورد والبيلسان 140 جرام</t>
  </si>
  <si>
    <t>MAFE20233185</t>
  </si>
  <si>
    <t>P-1-N-160823-4889</t>
  </si>
  <si>
    <t>Country Chew sticks carrot &amp; leek 110g</t>
  </si>
  <si>
    <t>كونتري تشو ستيكس الجزر والكراث 110 جرام</t>
  </si>
  <si>
    <t>MAFE20233184</t>
  </si>
  <si>
    <t>P-1-N-160823-4890</t>
  </si>
  <si>
    <t>Country Millet spray 150g</t>
  </si>
  <si>
    <t>كونتري عنقود الدخن 150 جرام</t>
  </si>
  <si>
    <t>RFM20233183</t>
  </si>
  <si>
    <t>P-1-N-160823-4891</t>
  </si>
  <si>
    <t>Country Chew sticks papaya &amp; hibiscus 110g</t>
  </si>
  <si>
    <t>كونتري تشو ستيكس البابايا والكركديه 110 جرام</t>
  </si>
  <si>
    <t>MAFE20233182</t>
  </si>
  <si>
    <t>P-1-N-160823-4892</t>
  </si>
  <si>
    <t>Country Chew sticks elderberry &amp; apple 110g</t>
  </si>
  <si>
    <t>كونتري تشو ستيكس البلسان والتفاح 110 جرام</t>
  </si>
  <si>
    <t>MAFE20233181</t>
  </si>
  <si>
    <t>P-1-N-160823-4893</t>
  </si>
  <si>
    <t>Country Chew sticks tomato &amp; peas 180g</t>
  </si>
  <si>
    <t>كونتري تشو ستيكس الطماطم والبازلاء 180 جرام</t>
  </si>
  <si>
    <t>MAFE20233180</t>
  </si>
  <si>
    <t>P-1-N-160823-4894</t>
  </si>
  <si>
    <t>Country Chew sticks coconut &amp; orange 180g</t>
  </si>
  <si>
    <t>كونتري تشو ستيكس جوز الهند والبرتقال 180 جرام</t>
  </si>
  <si>
    <t>MAFE20233179</t>
  </si>
  <si>
    <t>P-1-N-240823-5043</t>
  </si>
  <si>
    <t>PUUR Stick Cockatoo Kiwi/Eucalyptus 1 ST 140g</t>
  </si>
  <si>
    <t>بيور ستيك كوكاتو الكيوي / الأوكالبتوس 1 اس تي 140 جم</t>
  </si>
  <si>
    <t>MAFE20233278</t>
  </si>
  <si>
    <t>P-1-N-240823-5044</t>
  </si>
  <si>
    <t>PUUR Stick Parrot Pineapple/Peanut 1 ST 140g</t>
  </si>
  <si>
    <t>بيور ستيك ببغاوات الأناناس / الفول السوداني 1 اس تي 140 جم</t>
  </si>
  <si>
    <t>MAFE20233281</t>
  </si>
  <si>
    <t>P-1-N-240823-5045</t>
  </si>
  <si>
    <t>PUUR PUUR Pauze Sticks parrot banana &amp; rosehip 1 ST 140g</t>
  </si>
  <si>
    <t>بيور بيور باوز ستيكس ببغاوات الموز وثمر الورد 1 اس تي 140 جم</t>
  </si>
  <si>
    <t>MAFE20233282</t>
  </si>
  <si>
    <t>P-1-N-240823-5046</t>
  </si>
  <si>
    <t>PUUR Stick Parrot Papaya 1 ST 140g</t>
  </si>
  <si>
    <t>بيور ستيك ببغاوات البابايا 1 اس تي 140 جم</t>
  </si>
  <si>
    <t>MAFE20233283</t>
  </si>
  <si>
    <t>P-1-N-240823-5047</t>
  </si>
  <si>
    <t>PUUR Stick Lovebird Honey/Date 1 ST 60g</t>
  </si>
  <si>
    <t>بيور ستيك طيور الحب العسل/التمر 1 اس تي 60 جم</t>
  </si>
  <si>
    <t>MAFE20233284</t>
  </si>
  <si>
    <t>P-1-N-240823-5048</t>
  </si>
  <si>
    <t>PUUR Stick Large Parakeet Apricot 1 ST 140g</t>
  </si>
  <si>
    <t>بيور ستيك براكيت كبيرة المشمش 1 اس تي 140 جم</t>
  </si>
  <si>
    <t>MAFE20233285</t>
  </si>
  <si>
    <t>P-1-N-240823-5049</t>
  </si>
  <si>
    <t>PUUR Pauze Sticks I parakeet fennel &amp; pepper 1ST 140g</t>
  </si>
  <si>
    <t>بيور باوز ستيكس |براكيت الشمر والفلفل 1 اس تي 140 جم</t>
  </si>
  <si>
    <t>MAFE20233286</t>
  </si>
  <si>
    <t>P-1-N-240823-5050</t>
  </si>
  <si>
    <t>PUUR Stick Budgie Apple/Rosehip 1 ST 60g</t>
  </si>
  <si>
    <t>بيور ستيك بادجي التفاح / ثمر الورد 1 اس تي 60 جم</t>
  </si>
  <si>
    <t>MAFE20233287</t>
  </si>
  <si>
    <t>P-1-N-240823-5051</t>
  </si>
  <si>
    <t>PUUR Pauze Sticks budgie rasp &amp; elderberry 1 ST 60g</t>
  </si>
  <si>
    <t>بيور باوز ستيكس بادجي التوت و البلسان 1 اس تي 60 جم</t>
  </si>
  <si>
    <t>MAFE20233288</t>
  </si>
  <si>
    <t>P-1-N-240823-5052</t>
  </si>
  <si>
    <t>PUUR Stick Budgie Papaya/Orange 1 ST 60g</t>
  </si>
  <si>
    <t>بيور ستيك بادجي البابايا/البرتقال 1 اس تي 60 جم</t>
  </si>
  <si>
    <t>MAFE20233267</t>
  </si>
  <si>
    <t>P-1-N-240823-5053</t>
  </si>
  <si>
    <t>PUUR Stick Canary Apple/Pear 1ST 60g</t>
  </si>
  <si>
    <t>بيور ستيك كناري التفاح / الكمثرى 1 اس تي 60 جم</t>
  </si>
  <si>
    <t>MAFE20233266</t>
  </si>
  <si>
    <t>P-1-N-240823-5054</t>
  </si>
  <si>
    <t>PUUR Pauze Sticks canary cranberrry &amp; kiwi 1 ST 60g</t>
  </si>
  <si>
    <t>بيور باوز ستيكس كناري التوت البري والكيوي 1 اس تي 60 جم</t>
  </si>
  <si>
    <t>MAFE20233265</t>
  </si>
  <si>
    <t>P-1-N-240823-5055</t>
  </si>
  <si>
    <t>PUUR Stick Canary Elderberry/Cranberry 1 ST 60g</t>
  </si>
  <si>
    <t>بيور ستيك كناري نبات البلسان/التوت البري 1 اس تي 60 جم</t>
  </si>
  <si>
    <t>MAFE20233264</t>
  </si>
  <si>
    <t>P-1-N-240823-5056</t>
  </si>
  <si>
    <t>PUUR Stick Tropical birds Wild Seeds 1 ST 60g</t>
  </si>
  <si>
    <t>بيور ستيك طيور استوائية البذور البرية 1 اس تي 60 جم</t>
  </si>
  <si>
    <t>MAFE20233263</t>
  </si>
  <si>
    <t>P-1-N-280823-5125</t>
  </si>
  <si>
    <t>PUUR Mix Nuts &amp; Fruit 200GR</t>
  </si>
  <si>
    <t>بيور مزيج المكسرات والفواكه 200 جم</t>
  </si>
  <si>
    <t>MAFE20233320</t>
  </si>
  <si>
    <t>P-1-N-280823-5126</t>
  </si>
  <si>
    <t>PUUR Snack Muesli 700GR</t>
  </si>
  <si>
    <t>بيور سناك ميوزلي 700 جم</t>
  </si>
  <si>
    <t>MAFE20233319</t>
  </si>
  <si>
    <t>P-1-N-280823-5127</t>
  </si>
  <si>
    <t>PUUR Snack vegetables /herbs 100GR</t>
  </si>
  <si>
    <t>بيور سناك الخضار والأعشاب 100 جم</t>
  </si>
  <si>
    <t>MAFE20233356</t>
  </si>
  <si>
    <t>P-1-N-280823-5128</t>
  </si>
  <si>
    <t>PUUR Orchard hay 500 GR</t>
  </si>
  <si>
    <t>بيور قش البستان 500 جم</t>
  </si>
  <si>
    <t>MAFE20233318</t>
  </si>
  <si>
    <t>P-1-N-280823-5129</t>
  </si>
  <si>
    <t>PUUR Timothy hay 500 GR</t>
  </si>
  <si>
    <t>بيور قش تيموثي 500 جم</t>
  </si>
  <si>
    <t>MAFE20233317</t>
  </si>
  <si>
    <t>654859</t>
  </si>
  <si>
    <t>P-1-N-280823-5130</t>
  </si>
  <si>
    <t>PUUR Timothy hay vegetables 500 GR</t>
  </si>
  <si>
    <t>بيور قش تيموثي خضروات 500 جم</t>
  </si>
  <si>
    <t>MAFE20233326</t>
  </si>
  <si>
    <t>P-1-N-280823-5131</t>
  </si>
  <si>
    <t>PUUR Timothy hay herbs 500 GR</t>
  </si>
  <si>
    <t>بيور قش تيموثي أعشاب 500 جم</t>
  </si>
  <si>
    <t>MAFE20233325</t>
  </si>
  <si>
    <t>P-1-N-280823-5132</t>
  </si>
  <si>
    <t>PUUR Meadow hay flowers 500 GR</t>
  </si>
  <si>
    <t>بيور قش مراعي زهور 500 جم</t>
  </si>
  <si>
    <t>MAFE20233324</t>
  </si>
  <si>
    <t>P-1-N-280823-5133</t>
  </si>
  <si>
    <t>PUUR Meadow hay vegetables 500 GR</t>
  </si>
  <si>
    <t>بيور قش مراعي خضروات 500 جم</t>
  </si>
  <si>
    <t>MAFE20233323</t>
  </si>
  <si>
    <t>P-1-N-280823-5134</t>
  </si>
  <si>
    <t>PUUR Hay roll Strawberry/Cranberry 200 GR</t>
  </si>
  <si>
    <t>بيور لفة القش فراولة/توت بري 200 جم</t>
  </si>
  <si>
    <t>MAFE20233322</t>
  </si>
  <si>
    <t>P-1-N-280823-5135</t>
  </si>
  <si>
    <t>PUUR Hay roll Hibiscus/Mint 200 GR</t>
  </si>
  <si>
    <t>بيور لفة قش الكركديه / النعناع 200 جم</t>
  </si>
  <si>
    <t>MAFE20233293</t>
  </si>
  <si>
    <t>P-1-N-280823-5136</t>
  </si>
  <si>
    <t>PUUR Hay roll Celery/Paprika 200 GR</t>
  </si>
  <si>
    <t>بيور لفة قش كرفس/بابريكا 200 جم</t>
  </si>
  <si>
    <t>MAFE20233292</t>
  </si>
  <si>
    <t>P-1-N-280823-5137</t>
  </si>
  <si>
    <t>PUUR Hay roll Carrot/Pumpkin 200 GR</t>
  </si>
  <si>
    <t>بيور لفة قش الجزر / اليقطين 200 جم</t>
  </si>
  <si>
    <t>MAFE20233291</t>
  </si>
  <si>
    <t>P-1-N-280823-5138</t>
  </si>
  <si>
    <t>PUUR Pauze marigold tube flowers &amp; herbs 80gr Yellow</t>
  </si>
  <si>
    <t>بيور باوز أنبوب القطيفة الزهور والأعشاب 80 جم يالو</t>
  </si>
  <si>
    <t>MAFE20233631</t>
  </si>
  <si>
    <t>P-1-N-280823-5140</t>
  </si>
  <si>
    <t>PUUR Pauze parsley tube carrot &amp; plantain 200gr Green</t>
  </si>
  <si>
    <t>بيور باوز أنبوب البقدونس الجزر والموز 200 جم جرين</t>
  </si>
  <si>
    <t>MAFE20233290</t>
  </si>
  <si>
    <t>P-1-N-280823-5142</t>
  </si>
  <si>
    <t>PUUR Pauze parsley tube carrot &amp; plantain 100gr Green</t>
  </si>
  <si>
    <t>بيور باوز أنبوب البقدونس الجزر والموز 100 جم جرين</t>
  </si>
  <si>
    <t>MAFE20233289</t>
  </si>
  <si>
    <t>P-1-N-280823-5143</t>
  </si>
  <si>
    <t>PUUR Pauze beetroot tube parsnip &amp; carrot 100gr Red</t>
  </si>
  <si>
    <t>بيور باوز أنبوب الشمندر الجزر الأبيض والجزر 100 جم ريد</t>
  </si>
  <si>
    <t>MAFE20233331</t>
  </si>
  <si>
    <t>P-1-N-280823-5144</t>
  </si>
  <si>
    <t>PUUR Pauze carrot tube grain &amp; nettle 100gr</t>
  </si>
  <si>
    <t>بيور باوز أنبوب الجزر الحبوب والقراص 100 جم</t>
  </si>
  <si>
    <t>MAFE20233330</t>
  </si>
  <si>
    <t>P-1-N-280823-5145</t>
  </si>
  <si>
    <t>PUUR Hay tunnel Vegetables 280 GR</t>
  </si>
  <si>
    <t>بيور لفة قش خضروات 280 جم</t>
  </si>
  <si>
    <t>MAFE20233329</t>
  </si>
  <si>
    <t>P-1-N-280823-5146</t>
  </si>
  <si>
    <t>PUUR Hay tunnel Parsnip 425 GR</t>
  </si>
  <si>
    <t>بيور لفة قش الجزر الأبيض 425 جم</t>
  </si>
  <si>
    <t>MAFE20233328</t>
  </si>
  <si>
    <t>P-1-N-280823-5147</t>
  </si>
  <si>
    <t>PUUR Hay tunnel Parsley/Flowers 60 GR</t>
  </si>
  <si>
    <t>بيور لفة قش البقدونس / الزهور 60 جم</t>
  </si>
  <si>
    <t>MAFE20233327</t>
  </si>
  <si>
    <t>P-1-N-040923-5240</t>
  </si>
  <si>
    <t>PUUR Rabbit Junior 2kg</t>
  </si>
  <si>
    <t>بيور الأرنب الصغير 2 كجم</t>
  </si>
  <si>
    <t>MAFE20233428</t>
  </si>
  <si>
    <t>P-1-N-040923-5242</t>
  </si>
  <si>
    <t>Country Seed sticks budgie apricot &amp; fig 60g</t>
  </si>
  <si>
    <t>كونتري سيد ستيكس للبادجي بالمشمش والتين 60 جرام</t>
  </si>
  <si>
    <t>MAFE20233427</t>
  </si>
  <si>
    <t>P-231</t>
  </si>
  <si>
    <t>P-1-N-040923-5245</t>
  </si>
  <si>
    <t>CIAO SUGOI CRUNCHY TUNA FLAVOR PLUS PREBIOTICS 110G</t>
  </si>
  <si>
    <t>تشاو سوغوي نكهة التونة المقرمشة بالإضافة إلى البريبايوتكس 110 جم</t>
  </si>
  <si>
    <t>MAFE20233440</t>
  </si>
  <si>
    <t>CDT-251</t>
  </si>
  <si>
    <t>P-1-N-040923-5246</t>
  </si>
  <si>
    <t>CIAO SUGOI CRUNCHY TUNA FLAVOR PLUS PREBIOTICS 1.14KG</t>
  </si>
  <si>
    <t>تشاو سوغوي نكهة التونة المقرمشة بالإضافة إلى البريبايوتكس 1.14 كجم</t>
  </si>
  <si>
    <t>MAFE20233449</t>
  </si>
  <si>
    <t>P-232</t>
  </si>
  <si>
    <t>P-1-N-040923-5247</t>
  </si>
  <si>
    <t>CIAO SUGOI CRUNCHY SCALLOP FLAVOR PLUS PREBIOTICS 110G</t>
  </si>
  <si>
    <t>تشاو سوغوي نكهة الإسكالوب المقرمشة بالإضافة إلى البريبايوتكس 110 جم</t>
  </si>
  <si>
    <t>MAFE20233448</t>
  </si>
  <si>
    <t>P-233</t>
  </si>
  <si>
    <t>P-1-N-040923-5248</t>
  </si>
  <si>
    <t>CIAO SUGOI CRUNCHY CHICKEN FLAVOR PLUS PREBIOTICS 110G</t>
  </si>
  <si>
    <t>تشاو سوغوي نكهة الدجاج المقرمشة بالإضافة إلى البريبايوتكس 110 جم</t>
  </si>
  <si>
    <t>MAFE20233447</t>
  </si>
  <si>
    <t>CDT-253</t>
  </si>
  <si>
    <t>P-1-N-040923-5249</t>
  </si>
  <si>
    <t>CIAO SUGOI CRUNCHY CHICKEN FLAVOR PLUS PREBIOTICS 1.14KG</t>
  </si>
  <si>
    <t>تشاو سوغوي نكهة الدجاج المقرمشة بالإضافة إلى البريبايوتكس 1.14 كجم</t>
  </si>
  <si>
    <t>MAFE20233446</t>
  </si>
  <si>
    <t>CDT-254</t>
  </si>
  <si>
    <t>P-1-N-040923-5250</t>
  </si>
  <si>
    <t>CIAO SUGOI CRUNCHY SALMON FLAVOR PLUS PREBIOTICS 110G</t>
  </si>
  <si>
    <t>تشاو سوغوي نكهة السلمون المقرمشة بالإضافة إلى البريبايوتكس 110 جم</t>
  </si>
  <si>
    <t>MAFE20233426</t>
  </si>
  <si>
    <t>P-1-N-190923-5561</t>
  </si>
  <si>
    <t>Country Chew sticks fig &amp; pineapple 110g</t>
  </si>
  <si>
    <t>كونتري تشو ستيكس التين والأناناس 110 جرام</t>
  </si>
  <si>
    <t>MAFE20233633</t>
  </si>
  <si>
    <t>50012227</t>
  </si>
  <si>
    <t>P-1-N-250923-5693</t>
  </si>
  <si>
    <t>JosiCat Sterilised Classic 650g</t>
  </si>
  <si>
    <t>جوسيكات ستيرلايزد كلاسيك 650 جم</t>
  </si>
  <si>
    <t>MAFE20233760</t>
  </si>
  <si>
    <t>50012225</t>
  </si>
  <si>
    <t>P-1-N-250923-5694</t>
  </si>
  <si>
    <t>JosiCat Crispy Duck 650g</t>
  </si>
  <si>
    <t>جوسيكات البط المقرمش 650 جم</t>
  </si>
  <si>
    <t>MAFE20233775</t>
  </si>
  <si>
    <t>50012988</t>
  </si>
  <si>
    <t>P-1-N-250923-5695</t>
  </si>
  <si>
    <t>JosiCat Crunchy Chicken 650g</t>
  </si>
  <si>
    <t>جوسيكات الدجاج المقرمش 650 جم</t>
  </si>
  <si>
    <t>MAFE20233776</t>
  </si>
  <si>
    <t>50012229</t>
  </si>
  <si>
    <t>P-1-N-250923-5696</t>
  </si>
  <si>
    <t>JosiCat Tasty Beef 650g</t>
  </si>
  <si>
    <t>جوسيكات اللحم البقري اللذيذ 650 جم</t>
  </si>
  <si>
    <t>MAFE20233777</t>
  </si>
  <si>
    <t>P-1-N-250923-5697</t>
  </si>
  <si>
    <t>JosiCat Sterilised Classic 18kg - 650 g</t>
  </si>
  <si>
    <t>جوسيكات ستيرلايزد كلاسيك 18 كجم</t>
  </si>
  <si>
    <t>FOM-2024-6397-FEB-2024-49456 -C-0041-70253</t>
  </si>
  <si>
    <t>P-1-N-270923-5779</t>
  </si>
  <si>
    <t>PUUR Fruits &amp; Nuts Crumble 200gr</t>
  </si>
  <si>
    <t>بيور كرامبل الفواكه والمكسرات 200 جم</t>
  </si>
  <si>
    <t>MAFE20233778</t>
  </si>
  <si>
    <t>P-1-N-301023-6531</t>
  </si>
  <si>
    <t>Dr. Clauder’s High Premium Adult Grainfree 1.5 kg</t>
  </si>
  <si>
    <t>دكتور كلاودر هاي بريميوم خالي من الحبوب للبالغين 1.5 كجم</t>
  </si>
  <si>
    <t>MAFE20234771</t>
  </si>
  <si>
    <t>شركة حلول د. كلودر للحيوانات الأليفة محدودة المسؤولية</t>
  </si>
  <si>
    <t>P-1-N-301023-6532</t>
  </si>
  <si>
    <t>Dr. Clauder’s High Premium Adult Grainfree 4 kg</t>
  </si>
  <si>
    <t>دكتور كلاودر هاي بريميوم خالي من الحبوب للبالغين 4 كجم</t>
  </si>
  <si>
    <t>MAFE20234767</t>
  </si>
  <si>
    <t>P-1-N-301023-6533</t>
  </si>
  <si>
    <t>Dr. Clauder’s High Premium Adult Grainfree 10 kg</t>
  </si>
  <si>
    <t>دكتور كلاودر هاي بريميوم خالي من الحبوب للبالغين 10 كجم</t>
  </si>
  <si>
    <t>MAFE20234841</t>
  </si>
  <si>
    <t>P-1-N-301023-6534</t>
  </si>
  <si>
    <t>Dr. Clauder’s High Premium Indoor 4 kg</t>
  </si>
  <si>
    <t>دكتور كلاودر هاي بريميوم اندور 4 كجم</t>
  </si>
  <si>
    <t>P-1-N-301023-6535</t>
  </si>
  <si>
    <t>Dr. Clauder’s High Premium Indoor 10 kg</t>
  </si>
  <si>
    <t>دكتور كلاودر هاي بريميوم اندور 10 كجم</t>
  </si>
  <si>
    <t>MAFE20234769</t>
  </si>
  <si>
    <t>P-1-N-301023-6536</t>
  </si>
  <si>
    <t>Dr. Clauder’s High Premium Kitten 400g</t>
  </si>
  <si>
    <t>دكتور كلاودر هاي بريميوم قطط صغيرة 400 جم</t>
  </si>
  <si>
    <t>\</t>
  </si>
  <si>
    <t>P-1-N-301023-6537</t>
  </si>
  <si>
    <t>Dr. Clauder’s High Premium Kitten 1.5kg</t>
  </si>
  <si>
    <t>دكتور كلاودر هاي بريميوم قطط صغيرة 1.5 كجم</t>
  </si>
  <si>
    <t>MAFE20234768</t>
  </si>
  <si>
    <t>P-1-N-301023-6538</t>
  </si>
  <si>
    <t>Dr. Clauder’s High Premium Kitten 4kg</t>
  </si>
  <si>
    <t>دكتور كلاودر هاي بريميوم قطط صغيرة 4 كجم</t>
  </si>
  <si>
    <t>MAFE20234766</t>
  </si>
  <si>
    <t>P-1-N-301023-6539</t>
  </si>
  <si>
    <t>Dr. Clauder’s High Premium Kitten 10kg</t>
  </si>
  <si>
    <t>دكتور كلاودر هاي بريميوم قطط صغيرة 10 كجم</t>
  </si>
  <si>
    <t>MAFE20234765</t>
  </si>
  <si>
    <t>P-1-N-301023-6541</t>
  </si>
  <si>
    <t>Dr. Clauder’s High Premium Outdoor 1.5 kg</t>
  </si>
  <si>
    <t>دكتور كلاودر هاي بريميوم اوت دور 1.5 كجم</t>
  </si>
  <si>
    <t>MAFE20234764</t>
  </si>
  <si>
    <t>21420400</t>
  </si>
  <si>
    <t>P-1-N-301023-6542</t>
  </si>
  <si>
    <t>Dr. Clauder’s High Premium Outdoor 4 kg</t>
  </si>
  <si>
    <t>دكتور كلاودر هاي بريميوم اوت دور 4 كجم</t>
  </si>
  <si>
    <t>MAFE20234763</t>
  </si>
  <si>
    <t>21421000</t>
  </si>
  <si>
    <t>P-1-N-301023-6543</t>
  </si>
  <si>
    <t>Dr. Clauder’s High Premium Outdoor 10 kg</t>
  </si>
  <si>
    <t>دكتور كلاودر هاي بريميوم اوت دور 10 كجم</t>
  </si>
  <si>
    <t>MAFE20234762</t>
  </si>
  <si>
    <t>21450150</t>
  </si>
  <si>
    <t>P-1-N-301023-6544</t>
  </si>
  <si>
    <t>Dr. Clauder’s High Premium Senior/Light 1.5kg</t>
  </si>
  <si>
    <t>دكتور كلاودر هاي بريميوم سينيور / لايت 1.5 كجم</t>
  </si>
  <si>
    <t>MAFE20234761</t>
  </si>
  <si>
    <t>21450400</t>
  </si>
  <si>
    <t>P-1-N-301023-6545</t>
  </si>
  <si>
    <t>Dr. Clauder’s High Premium Senior/Light 4kg</t>
  </si>
  <si>
    <t>دكتور كلاودر هاي بريميوم سينيور / لايت 4 كجم</t>
  </si>
  <si>
    <t>MAFE20234760</t>
  </si>
  <si>
    <t>P-1-N-301023-6546</t>
  </si>
  <si>
    <t>Dr. Clauder’s High Premium Senior/Light 10kg</t>
  </si>
  <si>
    <t>دكتور كلاودر هاي بريميوم سينيور / لايت 10 كجم</t>
  </si>
  <si>
    <t>MAFE20234759</t>
  </si>
  <si>
    <t>P-1-N-311023-6580</t>
  </si>
  <si>
    <t>Dr. Clauder’s Selected Meat Ente 100 g</t>
  </si>
  <si>
    <t>دكتور كلاودر لحوم مختارة بط 100 جم</t>
  </si>
  <si>
    <t>MAFE20234679</t>
  </si>
  <si>
    <t>P-1-N-311023-6581</t>
  </si>
  <si>
    <t>Dr. Clauder’s Selected Meat Geflügel 100 g</t>
  </si>
  <si>
    <t>دكتور كلاودر لحوم مختارة دواجن 100 جم</t>
  </si>
  <si>
    <t>MAFE20234680</t>
  </si>
  <si>
    <t>P-1-N-311023-6582</t>
  </si>
  <si>
    <t>Dr. Clauder’s Selected Meat Lachs &amp; Reis 100 g</t>
  </si>
  <si>
    <t>دكتور كلاودر لحوم مختارة سمك السلمون والأرز 100 جم</t>
  </si>
  <si>
    <t>MAFE20234681</t>
  </si>
  <si>
    <t>P-1-N-311023-6583</t>
  </si>
  <si>
    <t>Dr. Clauder’s Selected Meat Pute &amp; Reis 100 g</t>
  </si>
  <si>
    <t>دكتور كلاودر لحوم مختارة الديك الرومي والأرز 100 جم</t>
  </si>
  <si>
    <t>MAFE20234682</t>
  </si>
  <si>
    <t>P-1-N-131123-6896</t>
  </si>
  <si>
    <t xml:space="preserve">FEB-2024-58702 
</t>
  </si>
  <si>
    <t>SOLID GOLD MIGHTY MINI TOY &amp; SMALL BREED LAMB GRAIN FREE 99g</t>
  </si>
  <si>
    <t>سوليد جولد مايتي سلالة الكلاب الصغيرة والصغيرة جدا الضأن خالي من الحبوب 99 جم</t>
  </si>
  <si>
    <t>FOM-2024-5981-FEB-2024-58702 -C-0041-79510</t>
  </si>
  <si>
    <t>شركة سوليد جولد بيت المحدودة المسؤولية</t>
  </si>
  <si>
    <t>19/11/2028</t>
  </si>
  <si>
    <t>P-1-N-131123-6897</t>
  </si>
  <si>
    <t xml:space="preserve">FEB-2024-58703 
</t>
  </si>
  <si>
    <t>SOLID GOLD MIGHTY MINI TOY &amp; SMALL BREED CHICKEN GRAIN FREE 99g</t>
  </si>
  <si>
    <t>سوليد جولد مايتي سلالة الكلاب الصغيرة والصغيرة جدا الدجاج خالي من الحبوب 99 جم</t>
  </si>
  <si>
    <t>FOM-2024-5981-FEB-2024-58703 -C-0041-79511</t>
  </si>
  <si>
    <t>P-1-N-131123-6912</t>
  </si>
  <si>
    <t>SOLID GOLD NB LOVE AT FIRST BARK CHICKEN GRAIN FREE 9.98kg</t>
  </si>
  <si>
    <t>سوليد جولد ان بي لاف ات فرست بارك الدجاج خالي من الحبوب 9.98 كجم</t>
  </si>
  <si>
    <t>P-1-N-131123-6913</t>
  </si>
  <si>
    <t>SOLID GOLD NB LOVE AT FIRST BARK CHICKEN GRAIN FREE 1.7kg</t>
  </si>
  <si>
    <t>سوليد جولد ان بي لاف ات فرست بارك الدجاج خالي من الحبوب 1.7 كجم</t>
  </si>
  <si>
    <t>P-1-N-181223-7728</t>
  </si>
  <si>
    <t>FEB-2024-58691</t>
  </si>
  <si>
    <t>Solid Gold NB Mighty Mini Chicken 1.7Kg</t>
  </si>
  <si>
    <t>سوليد جولد ان بي مايتي ميني دجاج 1.7 جم</t>
  </si>
  <si>
    <t>FOM-2024-5981-FEB-2024-58691 -C-0041-79499</t>
  </si>
  <si>
    <t>25/12/2028</t>
  </si>
  <si>
    <t>P-1-N-191123-7085</t>
  </si>
  <si>
    <t>Solid Gold NB Barking at the Moon Beef 1.7Kg</t>
  </si>
  <si>
    <t>سوليد جولد ان بي باركينج ات ذا مون لحم بقري 1.7 جم</t>
  </si>
  <si>
    <t>FOM-2024-5981-FEB-2024-58693 -C-0041-79501</t>
  </si>
  <si>
    <t>P-1-N-191123-7086</t>
  </si>
  <si>
    <t>Solid Gold NB Barking at the Moon Beef 4.99Kg</t>
  </si>
  <si>
    <t>سوليد جولد ان بي باركينج ات ذا مون لحم بقري 4.99 جم</t>
  </si>
  <si>
    <t xml:space="preserve">FOM-2024-0902-FEP-2024-80872-C-22548-0675
</t>
  </si>
  <si>
    <t>P-1-N-191123-7087</t>
  </si>
  <si>
    <t xml:space="preserve">FEB-2024-58688 
</t>
  </si>
  <si>
    <t>Solid Gold NB Barking at the Moon Beef 9.98Kg</t>
  </si>
  <si>
    <t>سوليد جولد ان بي باركينج ات ذا مون لحم بقري 9.98 جم</t>
  </si>
  <si>
    <t xml:space="preserve">FOM-2024-5981-FEB-2024-58688 -C-0041-79496
</t>
  </si>
  <si>
    <t xml:space="preserve">19/12/2028
</t>
  </si>
  <si>
    <t>21703</t>
  </si>
  <si>
    <t>P-1-N-191123-7090</t>
  </si>
  <si>
    <t>Solid Gold LET'S STAY IN CHICKEN GF 1.36 kg</t>
  </si>
  <si>
    <t>سوليد جولد لتس ستاي إن دجاج خالي من الحبوب إندور 1.36 كجم</t>
  </si>
  <si>
    <t>MAFE20234732</t>
  </si>
  <si>
    <t>21706</t>
  </si>
  <si>
    <t>P-1-N-191123-7091</t>
  </si>
  <si>
    <t>Solid Gold LET'S STAY IN CHICKEN GF 2.72 kg</t>
  </si>
  <si>
    <t>سوليد جولد لتس ستاي إن دجاج خالي من الحبوب إندور 2.72 كجم</t>
  </si>
  <si>
    <t>MAFE20234730</t>
  </si>
  <si>
    <t>21712</t>
  </si>
  <si>
    <t>P-1-N-191123-7092</t>
  </si>
  <si>
    <t>Solid Gold LET'S STAY IN CHICKEN GF IN 5.44 kg</t>
  </si>
  <si>
    <t>سوليد جولد لتس ستاي إن دجاج خالي من الحبوب إندور 5.44 كجم</t>
  </si>
  <si>
    <t>MAFE20234729</t>
  </si>
  <si>
    <t>P-1-N-191123-7093</t>
  </si>
  <si>
    <t>SOLID GOLD MIGHTY MINI TURKEY GRAVY GF 99g</t>
  </si>
  <si>
    <t>سوليد جولد مايتي ميني الديك الرومي في المرق خالي من الحبوب 99 جم</t>
  </si>
  <si>
    <t>SD2456</t>
  </si>
  <si>
    <t>P-1-N-271123-7233</t>
  </si>
  <si>
    <t>Sanal Biotin 75 g</t>
  </si>
  <si>
    <t>سانال بيوتين 75 جم</t>
  </si>
  <si>
    <t>MAFE20234718</t>
  </si>
  <si>
    <t>33220200</t>
  </si>
  <si>
    <t>P-1-N-031223-7361</t>
  </si>
  <si>
    <t>Dr. Clauder’s Best Choice Mini Adult 2 kg</t>
  </si>
  <si>
    <t>دكتور كلاودر أفضل خيار ميني الكبار 2 كجم</t>
  </si>
  <si>
    <t>MAFE20234850</t>
  </si>
  <si>
    <t>P-1-N-031223-7362</t>
  </si>
  <si>
    <t>Dr. Clauder’s Best Choice Mini Adult Lamm &amp; Reis 2kg</t>
  </si>
  <si>
    <t>دكتور كلاودر أفضل خيار ميني الكبار لحم الضأن والأرز 2 كجم</t>
  </si>
  <si>
    <t>MAFE20234849</t>
  </si>
  <si>
    <t>33230200</t>
  </si>
  <si>
    <t>P-1-N-031223-7363</t>
  </si>
  <si>
    <t>Dr. Clauder’s Best Choice Mini Junior Lachs 2 kg</t>
  </si>
  <si>
    <t>دكتور كلاودر أفضل خيار ميني جونيور سمك السالمون 2 كجم</t>
  </si>
  <si>
    <t>MAFE20234848</t>
  </si>
  <si>
    <t>P-1-N-031223-7364</t>
  </si>
  <si>
    <t>Dr</t>
  </si>
  <si>
    <t>دكتور كلاودر أفضل خيار الكبار متوسط الحجم 4 كجم</t>
  </si>
  <si>
    <t>MAFE20234847</t>
  </si>
  <si>
    <t>34021250</t>
  </si>
  <si>
    <t>P-1-N-031223-7365</t>
  </si>
  <si>
    <t>Dr. Clauder’s Best Choice Adult Medium 12.5 kg</t>
  </si>
  <si>
    <t>دكتور كلاودر أفضل خيار الكبار متوسط الحجم 12.5 كجم</t>
  </si>
  <si>
    <t>MAFE20234846</t>
  </si>
  <si>
    <t>34000400</t>
  </si>
  <si>
    <t>P-1-N-031223-7366</t>
  </si>
  <si>
    <t>Clauder’s Best Choice Junior Medium 4 kg</t>
  </si>
  <si>
    <t>دكتور كلاودر أفضل خيار جونيور متوسط الحجم 4 كجم</t>
  </si>
  <si>
    <t>MAFE20234845</t>
  </si>
  <si>
    <t>P-1-N-031223-7367</t>
  </si>
  <si>
    <t>Dr. Clauder’s Best Choice Junior Medium 12.5 kg</t>
  </si>
  <si>
    <t>دكتور كلاودر أفضل خيار جونيور متوسط الحجم 12.5 كجم</t>
  </si>
  <si>
    <t>MAFE20234844</t>
  </si>
  <si>
    <t>P-1-N-051223-7411</t>
  </si>
  <si>
    <t>Dr. Clauder’s Best Choice Performance PowerPlus 4 kg</t>
  </si>
  <si>
    <t>دكتور كلاودر أفضل خيار بيرفورمانس باور بلس 4 كجم</t>
  </si>
  <si>
    <t>MAFE20235016</t>
  </si>
  <si>
    <t>P-1-N-051223-7412</t>
  </si>
  <si>
    <t>Dr. Clauder’s Best Choice Performance PowerPlus 12.5 kg</t>
  </si>
  <si>
    <t>دكتور كلاودر أفضل خيار بيرفورمانس باور بلس 12.5 كجم</t>
  </si>
  <si>
    <t>MAFE20235015</t>
  </si>
  <si>
    <t>33050400</t>
  </si>
  <si>
    <t>P-1-N-051223-7413</t>
  </si>
  <si>
    <t>Dr. Clauder’s Best Choice Adult Lamm &amp; Reis 4 kg</t>
  </si>
  <si>
    <t>دكتور كلاودر أفضل خيار الكبار لحم الضأن والأرز 4 كجم</t>
  </si>
  <si>
    <t>MAFE20235062</t>
  </si>
  <si>
    <t>33051250</t>
  </si>
  <si>
    <t>P-1-N-051223-7414</t>
  </si>
  <si>
    <t>Dr. Clauder’s Best Choice Adult Lamm &amp; Reis 12.5 kg</t>
  </si>
  <si>
    <t>دكتور كلاودر أفضل خيار الكبار لحم الضأن والأرز 12.5 كجم</t>
  </si>
  <si>
    <t>MAFE20235014</t>
  </si>
  <si>
    <t>33140400</t>
  </si>
  <si>
    <t>P-1-N-051223-7415</t>
  </si>
  <si>
    <t>Dr. Clauder’s Best Choice Junior Lamm &amp; Reis 4 kg</t>
  </si>
  <si>
    <t>دكتور كلاودر أفضل خيار جونيور لحم الضأن والأرز 4 كجم</t>
  </si>
  <si>
    <t>MAFE20235061</t>
  </si>
  <si>
    <t>P-1-N-051223-7416</t>
  </si>
  <si>
    <t>Dr. Clauder’s Best Choice Junior Lamm &amp; Reis 12.5 kg</t>
  </si>
  <si>
    <t>دكتور كلاودر أفضل خيار جونيور لحم الضأن والأرز 12.5 كجم</t>
  </si>
  <si>
    <t>MAFE20235060</t>
  </si>
  <si>
    <t>P-1-N-051223-7417</t>
  </si>
  <si>
    <t>Dr. Clauder’s Ente&amp;Kartoffel 11.5 kg</t>
  </si>
  <si>
    <t>دكتور كلاودر بط وبطاطس 11.5 كجم</t>
  </si>
  <si>
    <t>MAFE20235013</t>
  </si>
  <si>
    <t>33210200</t>
  </si>
  <si>
    <t>P-1-N-051223-7418</t>
  </si>
  <si>
    <t>Dr. Clauder’s Mini Ente&amp;Kartoffel 2 kg</t>
  </si>
  <si>
    <t>دكتور كلاودر ميني بط وبطاطس 2 كجم</t>
  </si>
  <si>
    <t>MAFE20235012</t>
  </si>
  <si>
    <t>P-1-N-051223-7419</t>
  </si>
  <si>
    <t>Dr. Clauder’s Mini Ente&amp;Kartoffel 12.5 kg</t>
  </si>
  <si>
    <t>دكتور كلاودر ميني بط وبطاطس 12.5 كجم</t>
  </si>
  <si>
    <t>MAFE20235011</t>
  </si>
  <si>
    <t>P-1-N-051223-7421</t>
  </si>
  <si>
    <t>Dr. Clauder’s Wildlife Ente 2 kg</t>
  </si>
  <si>
    <t>دكتور كلاودر وايلد لايف بط 2 كجم</t>
  </si>
  <si>
    <t>MAFE20235010</t>
  </si>
  <si>
    <t>34421150</t>
  </si>
  <si>
    <t>P-1-N-051223-7422</t>
  </si>
  <si>
    <t>Dr. Clauder’s Wildlife Ente 11.5 kg</t>
  </si>
  <si>
    <t>دكتور كلاودر وايلد لايف بط 11.5 كجم</t>
  </si>
  <si>
    <t>MAFE20235009</t>
  </si>
  <si>
    <t>34410200</t>
  </si>
  <si>
    <t>P-1-N-051223-7423</t>
  </si>
  <si>
    <t>Dr. Clauder’s Wildlife Lamm 2 kg</t>
  </si>
  <si>
    <t>دكتور كلاودر وايلد لايف لحم ضأن 2 كجم</t>
  </si>
  <si>
    <t>MAFE20235008</t>
  </si>
  <si>
    <t>34411150</t>
  </si>
  <si>
    <t>P-1-N-051223-7424</t>
  </si>
  <si>
    <t>Dr. Clauder’s Wildlife Lamm 11.5 kg</t>
  </si>
  <si>
    <t>دكتور كلاودر وايلد لايف لحم ضأن 11.5 كجم</t>
  </si>
  <si>
    <t>MAFE20235007</t>
  </si>
  <si>
    <t>33321000</t>
  </si>
  <si>
    <t>P-1-N-051223-7425</t>
  </si>
  <si>
    <t>Dr. Clauder’s Diät FSD Haar &amp; Hautdiät 1 kg</t>
  </si>
  <si>
    <t>دكتور كلاودر النظام الغذائي للفرو والجلد 1 كجم</t>
  </si>
  <si>
    <t>MAFE20235006</t>
  </si>
  <si>
    <t>33324000</t>
  </si>
  <si>
    <t>P-1-N-051223-7426</t>
  </si>
  <si>
    <t>Dr. Clauder’s Diät FSD Haar &amp; Hautdiät 4 kg</t>
  </si>
  <si>
    <t>دكتور كلاودر النظام الغذائي للفرو والجلد 4 كجم</t>
  </si>
  <si>
    <t>MAFE20235005</t>
  </si>
  <si>
    <t>31444015</t>
  </si>
  <si>
    <t>P-1-N-051223-7427</t>
  </si>
  <si>
    <t>Dr. Clauder’s High Premium Junior 15 kg</t>
  </si>
  <si>
    <t>دكتور كلاودر هاي بريميوم جونيور 15 كجم</t>
  </si>
  <si>
    <t>MAFE20235004</t>
  </si>
  <si>
    <t>31444115</t>
  </si>
  <si>
    <t>P-1-N-051223-7428</t>
  </si>
  <si>
    <t>Dr. Clauder’s High Premium Lamm &amp; Reis 15 kg</t>
  </si>
  <si>
    <t>دكتور كلاودر هاي بريميوم لحم الضأن والأرز 15 كجم</t>
  </si>
  <si>
    <t>MAFE20235003</t>
  </si>
  <si>
    <t>P-1-N-051223-7429</t>
  </si>
  <si>
    <t>Dr. Clauder’s Basic Nature Energy 20 kg</t>
  </si>
  <si>
    <t>دكتور كلاودر بسيك نايتشور انرجي 20 كجم</t>
  </si>
  <si>
    <t>MAFE20235002</t>
  </si>
  <si>
    <t>P-1-N-051223-7430</t>
  </si>
  <si>
    <t>Dr. Clauder’s Basic Nature Vollkost Croc 20 kg</t>
  </si>
  <si>
    <t>دكتور كلاودر بسيك نايتشور فولكوست كروك 20 كجم</t>
  </si>
  <si>
    <t>MAFE20235001</t>
  </si>
  <si>
    <t>21232252</t>
  </si>
  <si>
    <t>P-1-N-061223-7456</t>
  </si>
  <si>
    <t>Schesir After Dark Velvet Mousse Chicken with quail egg 80g</t>
  </si>
  <si>
    <t>شیزیر افتر دارك فیلفت موس دجاج مع بیض السمان 80 جم</t>
  </si>
  <si>
    <t>MAFE20235000</t>
  </si>
  <si>
    <t>21232352</t>
  </si>
  <si>
    <t>P-1-N-061223-7457</t>
  </si>
  <si>
    <t>Schesir After Dark Velvet Mousse Chicken with beef 80g</t>
  </si>
  <si>
    <t>شیزیر افتر دارك فیلفیت موس دجاج مع اللحم البقري 80 جم</t>
  </si>
  <si>
    <t>MAFE20234999</t>
  </si>
  <si>
    <t>21232152</t>
  </si>
  <si>
    <t>P-1-N-061223-7458</t>
  </si>
  <si>
    <t>Schesir After Dark Velvet Mousse Chicken 80g</t>
  </si>
  <si>
    <t>شیزیر افتر دارك دجاج فیفلت موس 80 جم</t>
  </si>
  <si>
    <t>MAFE20234998</t>
  </si>
  <si>
    <t>P-1-N-061223-7459</t>
  </si>
  <si>
    <t>Schesir After Dark Velvet Mousse Chicken with duck 80g</t>
  </si>
  <si>
    <t>شیزیر افتر دارك فیلفت موس دجاج مع البط 80 جم</t>
  </si>
  <si>
    <t>MAFE20234997</t>
  </si>
  <si>
    <t>P-1-N-061223-7460</t>
  </si>
  <si>
    <t>Schesir After Dark Chicken with quail egg Pate 80g</t>
  </si>
  <si>
    <t>شیزیر افتر دارك دجاج مع بیض السمان باتیه 80 جم</t>
  </si>
  <si>
    <t>MAFE20234996</t>
  </si>
  <si>
    <t>P-1-N-061223-7461</t>
  </si>
  <si>
    <t>Schesir After Dark Chicken with beef Pate 80g</t>
  </si>
  <si>
    <t>شیزیر افتر دارك دجاج مع اللحم البقري باتیه 80 جم</t>
  </si>
  <si>
    <t>MAFE20234995</t>
  </si>
  <si>
    <t>21232452</t>
  </si>
  <si>
    <t>P-1-N-061223-7463</t>
  </si>
  <si>
    <t>Schesir After Dark Chicken with duck Pate 80g</t>
  </si>
  <si>
    <t>شیزیر افتر دارك دجاج مع البط باتیه 80 جم</t>
  </si>
  <si>
    <t>MAFE20234994</t>
  </si>
  <si>
    <t>P-1-N-061223-7464</t>
  </si>
  <si>
    <t>Schesir After Dark Chicken Pate 80g</t>
  </si>
  <si>
    <t>شیزیر افتر دارك دجاج باتیه 80 جم</t>
  </si>
  <si>
    <t>MAFE20234993</t>
  </si>
  <si>
    <t>21112152</t>
  </si>
  <si>
    <t>P-1-N-061223-7465</t>
  </si>
  <si>
    <t>Schesir After Dark Chicken with quail egg in broth 80g</t>
  </si>
  <si>
    <t>شیزیر افتر دارك دجاج مع بیض السمان بالمرق 80 جم</t>
  </si>
  <si>
    <t>MAFE20234992</t>
  </si>
  <si>
    <t>P-1-N-061223-7466</t>
  </si>
  <si>
    <t>Schesir After Dark Chicken in broth 80g</t>
  </si>
  <si>
    <t>شیزیر افتر دارك دجاج بالمرق 80 جم</t>
  </si>
  <si>
    <t>MAFE23234991</t>
  </si>
  <si>
    <t>21112252</t>
  </si>
  <si>
    <t>P-1-N-061223-7467</t>
  </si>
  <si>
    <t>Schesir After Dark Chicken with beef in broth 80g</t>
  </si>
  <si>
    <t>شیزیر افتر دارك دجاج مع اللحم البقري بالمرق 80 جم</t>
  </si>
  <si>
    <t>MAFE20234990</t>
  </si>
  <si>
    <t>21112352</t>
  </si>
  <si>
    <t>P-1-N-061223-7468</t>
  </si>
  <si>
    <t>Schesir After Dark Chicken with duck in broth 80g</t>
  </si>
  <si>
    <t>شیزیر افتر دارك دجاج مع البط بالمرق 80 جم</t>
  </si>
  <si>
    <t>MAFE20234989</t>
  </si>
  <si>
    <t>21239152</t>
  </si>
  <si>
    <t>P-1-N-061223-7480</t>
  </si>
  <si>
    <t>Schesir Baby Chicken with salmon in broth 70g</t>
  </si>
  <si>
    <t>شیزیر بیبي بالدجاج والسالمون في المرق 70 جم</t>
  </si>
  <si>
    <t>MAFE20234988</t>
  </si>
  <si>
    <t>21111052</t>
  </si>
  <si>
    <t>P-1-N-061223-7481</t>
  </si>
  <si>
    <t>Schesir Baby Chicken with chicken liver in broth 70g</t>
  </si>
  <si>
    <t>شیزیر بیبي بالدجاج والكبد في المرق 70 جم</t>
  </si>
  <si>
    <t>MAFE20235043</t>
  </si>
  <si>
    <t>21630152</t>
  </si>
  <si>
    <t>P-1-N-061223-7482</t>
  </si>
  <si>
    <t>Schesir Baby Chicken with salmon and chicken liver 3 x 55g</t>
  </si>
  <si>
    <t>شیزیر بیبي بالدجاج والكبد والسالمون 3 × 55 جم</t>
  </si>
  <si>
    <t>MAFE20234987</t>
  </si>
  <si>
    <t>21113152</t>
  </si>
  <si>
    <t>P-1-N-061223-7484</t>
  </si>
  <si>
    <t>Schesir Silver Tuna and mackerel in broth 70g</t>
  </si>
  <si>
    <t>شيزير سيلفر تونا وسمك المكاريل في المرق 70 جم</t>
  </si>
  <si>
    <t>MAFE20235042</t>
  </si>
  <si>
    <t>21100152</t>
  </si>
  <si>
    <t>P-1-N-061223-7485</t>
  </si>
  <si>
    <t>Schesir Silver Chicken with duck 70g</t>
  </si>
  <si>
    <t>شيزير سيلفر دجاج مع البط في المرق 70 جم</t>
  </si>
  <si>
    <t>MAFE20235041</t>
  </si>
  <si>
    <t>P-1-N-061223-7486</t>
  </si>
  <si>
    <t>شيزير سيلفر دجاج في المرق 70 جم</t>
  </si>
  <si>
    <t>MAFE20235040</t>
  </si>
  <si>
    <t>21231052</t>
  </si>
  <si>
    <t>P-1-N-061223-7487</t>
  </si>
  <si>
    <t>Schesir Special Mousse Chicken with duck liver 70g</t>
  </si>
  <si>
    <t>شیزیر سبیشل موس دجاج مع كبد البط 70 جم</t>
  </si>
  <si>
    <t>MAFE20234986</t>
  </si>
  <si>
    <t>P-1-N-061223-7489</t>
  </si>
  <si>
    <t>Schesir Special Mousse Chicken 70g</t>
  </si>
  <si>
    <t>شیزیر سبیشل موس بالدجاج 70 جم</t>
  </si>
  <si>
    <t>MAFE20234985</t>
  </si>
  <si>
    <t>P-1-N-061223-7490</t>
  </si>
  <si>
    <t>Schesir Special Mousse Salmon with Chicken 70g</t>
  </si>
  <si>
    <t>شیزیر سبیشل موس دجاج بالسالمون 70 جم</t>
  </si>
  <si>
    <t>MAFE20234984</t>
  </si>
  <si>
    <t>21239052</t>
  </si>
  <si>
    <t>P-1-N-061223-7491</t>
  </si>
  <si>
    <t>Schesir Baby Mousse Chicken with chicken Liver 70g</t>
  </si>
  <si>
    <t>شیزیر بیبي موس بالدجاج والكبد 70 جم</t>
  </si>
  <si>
    <t>MAFE20235039</t>
  </si>
  <si>
    <t>P-1-N-061223-7493</t>
  </si>
  <si>
    <t>Schesir Baby Mousse Salmon and chicken 70g</t>
  </si>
  <si>
    <t>شیزیر بیبي موس بالدجاج والسالمون 70 جم</t>
  </si>
  <si>
    <t>MAFE20235038</t>
  </si>
  <si>
    <t>P-1-N-061223-7495</t>
  </si>
  <si>
    <t>Schesir Stix Creamy snacks with Duck 6 x 15g</t>
  </si>
  <si>
    <t>شيزيرستيكس كريمي وجبات خفيفة في البط 6 × 15 جم</t>
  </si>
  <si>
    <t>MAFE20235037</t>
  </si>
  <si>
    <t>P-1-N-061223-7497</t>
  </si>
  <si>
    <t>Schesir Stix Creamy snacks Chicken 6 x 15g</t>
  </si>
  <si>
    <t>شيزيرستيكس كريمي وجبات خفيفة في الدجاج 6 × 15 جم</t>
  </si>
  <si>
    <t>MAFE20235036</t>
  </si>
  <si>
    <t>25231452</t>
  </si>
  <si>
    <t>P-1-N-071223-7501</t>
  </si>
  <si>
    <t>Schesir Stix Creamy snacks with Salmon 6 x 15g</t>
  </si>
  <si>
    <t>شيزيرستيكس كريمي وجبات خفيفة في السالمون 6 × 15 جم</t>
  </si>
  <si>
    <t>MAFE20235034</t>
  </si>
  <si>
    <t>P-1-N-071223-7502</t>
  </si>
  <si>
    <t>Schesir Stix Creamy snacks Tuna 6 x 15g</t>
  </si>
  <si>
    <t>شيزيرستيكس كريمي وجبات خفيفة في التونا 6 × 15 جم</t>
  </si>
  <si>
    <t>MAFE20235033</t>
  </si>
  <si>
    <t>P-1-N-071223-7503</t>
  </si>
  <si>
    <t>Schesir Baby Thrive Chicken with chicken liver 8g</t>
  </si>
  <si>
    <t>شیزیر بیبي ثرایف بالدجاج والكبد 8 جم</t>
  </si>
  <si>
    <t>MAFE20234983</t>
  </si>
  <si>
    <t>25200152</t>
  </si>
  <si>
    <t>P-1-N-071223-7504</t>
  </si>
  <si>
    <t>Schesir Baby Thrive Chicken with chicken liver 20 x 8g</t>
  </si>
  <si>
    <t>شیزیر بیبي ثرایف بالدجاج والكبد 20 × 8 جم</t>
  </si>
  <si>
    <t>MAFE20234982</t>
  </si>
  <si>
    <t>P-1-N-071223-7505</t>
  </si>
  <si>
    <t>Schesir Silver Mousse Chicken 80g</t>
  </si>
  <si>
    <t>شيزير سيلفر موس دجاج 80 جم</t>
  </si>
  <si>
    <t>MAFE20235032</t>
  </si>
  <si>
    <t>P-1-N-071223-7506</t>
  </si>
  <si>
    <t>Schesir Silver Mousse Salmon and chicken 80g</t>
  </si>
  <si>
    <t>شيزيرسيلفر موس سالمون ودجاج 80 جم</t>
  </si>
  <si>
    <t>MAFE20235031</t>
  </si>
  <si>
    <t>P-1-N-131223-7647</t>
  </si>
  <si>
    <t>سوليد جولد ان بي باركينج ات ذا مون لحم بقري 9.98 كجم</t>
  </si>
  <si>
    <t>MAFE20235056</t>
  </si>
  <si>
    <t>P-1-N-181223-7718</t>
  </si>
  <si>
    <t>MAFE20234586</t>
  </si>
  <si>
    <t>12703</t>
  </si>
  <si>
    <t>P-1-N-181223-7719</t>
  </si>
  <si>
    <t>MAFE20234587</t>
  </si>
  <si>
    <t>15511</t>
  </si>
  <si>
    <t>P-1-N-181223-7729</t>
  </si>
  <si>
    <t>Solid Gold NB Mighty Mini Chicken 4.99Kg</t>
  </si>
  <si>
    <t>سوليد جولد ان بي مايتي ميني دجاج 4.99 كجم</t>
  </si>
  <si>
    <t>FOM-2024-5981-FEB-2024-58692 -C-0041-79500</t>
  </si>
  <si>
    <t>P-1-N-191223-7739</t>
  </si>
  <si>
    <t>MAFE20235154</t>
  </si>
  <si>
    <t>P-1-N-191223-7740</t>
  </si>
  <si>
    <t>سوليد جولد ان بي باركينج ات ذا مون لحم بقري 4.99 كجم</t>
  </si>
  <si>
    <t>50012956</t>
  </si>
  <si>
    <t>P-1-N-241223-7844</t>
  </si>
  <si>
    <t>Poultry Menu 12.5kg</t>
  </si>
  <si>
    <t>بولتري منيو 12.5 كجم</t>
  </si>
  <si>
    <t>MAFE20235197</t>
  </si>
  <si>
    <t>50012951</t>
  </si>
  <si>
    <t>P-1-N-241223-7845</t>
  </si>
  <si>
    <t>MiniDeluxe 10kg</t>
  </si>
  <si>
    <t>ميني ديلوكس 10 كجم</t>
  </si>
  <si>
    <t>MAFE20235198</t>
  </si>
  <si>
    <t>P-1-N-090124-197</t>
  </si>
  <si>
    <t>SOLID GOLD NB LEAPING WATERS SENSITIVE STOMACH SALMON &amp; VEGETABLES GRAIN FREE 9.98Kg</t>
  </si>
  <si>
    <t>سوليد جولد ان بي ليبينج ووترز المعدة الحساسة سمك السلمون والخضروات خالية من الحبوب 9.98 كجم</t>
  </si>
  <si>
    <t>21203</t>
  </si>
  <si>
    <t>P-1-N-090124-199</t>
  </si>
  <si>
    <t>SOLID GOLD FIT AS A FIDDLE ALASKAN POLLOCK GRAIN FREE 1.36 kg</t>
  </si>
  <si>
    <t>سوليد جولد فيت از اه فيدل بلوق خالي من الحبوب 1.36 كجم</t>
  </si>
  <si>
    <t>MAFE2024216</t>
  </si>
  <si>
    <t>11004</t>
  </si>
  <si>
    <t>P-1-N-090124-200</t>
  </si>
  <si>
    <t>Solid Gold Holistique Blendz Oatmeal 1.81 kg</t>
  </si>
  <si>
    <t>سوليد جولد هوليستيك بليندز دقيق الشوفان 1.81 كجم</t>
  </si>
  <si>
    <t>MAFE2024217</t>
  </si>
  <si>
    <t>P-1-N-090124-202</t>
  </si>
  <si>
    <t>Solid Gold FIT AND FABULOUS POLLOCK 1.81 kg</t>
  </si>
  <si>
    <t>سوليد جولد فيت اند فابيولوس بلوق 1.81 كجم</t>
  </si>
  <si>
    <t>P-1-N-090124-203</t>
  </si>
  <si>
    <t>Solid Gold FIT AND FABULOUS POLLOCK WC 10.89 kg</t>
  </si>
  <si>
    <t>سوليد جولد فيت اند فابيولوس بلوق دبليو سي 10.89 كجم</t>
  </si>
  <si>
    <t>P-1-N-090124-204</t>
  </si>
  <si>
    <t>Solid Gold Holistique Blendz Oatmeal SR 6.80 kg</t>
  </si>
  <si>
    <t>سوليد جولد هوليستيك بليندز دقيق الشوفان اس ار 6.80 كجم</t>
  </si>
  <si>
    <t>MAFE2024218</t>
  </si>
  <si>
    <t>11024</t>
  </si>
  <si>
    <t>P-1-N-090124-205</t>
  </si>
  <si>
    <t>Solid Gold Holistique Blendz Oatmeal SR 10.89kg</t>
  </si>
  <si>
    <t>سوليد جولد هوليستيك بليندز دقيق الشوفان اس ار 10.89 كجم</t>
  </si>
  <si>
    <t>MAFE2024219</t>
  </si>
  <si>
    <t>23003</t>
  </si>
  <si>
    <t>P-1-N-090124-206</t>
  </si>
  <si>
    <t>Solid Gold INDIGO MOON POLLOCK GF 1.36 kg</t>
  </si>
  <si>
    <t>سوليد جولد إنديجو مون بلوق خالي من الحبوب 1.36 كجم</t>
  </si>
  <si>
    <t>MAFE2024221</t>
  </si>
  <si>
    <t>23006</t>
  </si>
  <si>
    <t>P-1-N-090124-207</t>
  </si>
  <si>
    <t>Solid Gold INDIGO MOON POLLOCK GF 2.72 kg</t>
  </si>
  <si>
    <t>سوليد جولد إنديجو مون بلوق خالي من الحبوب 2.72 كجم</t>
  </si>
  <si>
    <t>MAFE2024220</t>
  </si>
  <si>
    <t>23012</t>
  </si>
  <si>
    <t>P-1-N-090124-208</t>
  </si>
  <si>
    <t>Solid Gold INDIGO MOON POLLOCK GF 5.44 kg</t>
  </si>
  <si>
    <t>سوليد جولد إنديجو مون بلوق خالي من الحبوب 5.44 كجم</t>
  </si>
  <si>
    <t>MAFE2024222</t>
  </si>
  <si>
    <t>21106</t>
  </si>
  <si>
    <t>P-1-N-090124-209</t>
  </si>
  <si>
    <t>Solid Gold WINGED TIGER QUAIL GE 2.72kg</t>
  </si>
  <si>
    <t>سوليد جولد وينجد تايجر السمان جي إي 2.72 كجم</t>
  </si>
  <si>
    <t>MAFE2024223</t>
  </si>
  <si>
    <t xml:space="preserve">FEP-2024-80877
</t>
  </si>
  <si>
    <t>Solid Gold NUTRIENT BOOST KATZ N FLOCKEN LAMB 4.98kg</t>
  </si>
  <si>
    <t>سوليد جولد نيوترينت بوست كاتز آند فلوكين لحم ضأن 4.98 كجم</t>
  </si>
  <si>
    <t>P-1-N-140124-322</t>
  </si>
  <si>
    <t>Applaws Chicken Breast with Cheese 70 gram</t>
  </si>
  <si>
    <t>ابلاوز صدور الدجاج مع الجبنة 70 جرام</t>
  </si>
  <si>
    <t>P-1-N-140124-324</t>
  </si>
  <si>
    <t>Applaws Chicken Breast with Pumpkin 70 gram</t>
  </si>
  <si>
    <t>ابلاوز صدور الدجاج مع اليقطين 70 جرام</t>
  </si>
  <si>
    <t>P-1-N-140124-326</t>
  </si>
  <si>
    <t>Applaws Tuna with crab 60 gram</t>
  </si>
  <si>
    <t>ابلاوز تونة مع السلطعون البحري 60 جرام</t>
  </si>
  <si>
    <t>P-1-N-150124-333</t>
  </si>
  <si>
    <t>Tuna with Prawn 60 gram</t>
  </si>
  <si>
    <t>ابلاوز تونة بالربيان 60 جرام</t>
  </si>
  <si>
    <t>P-1-N-150124-334</t>
  </si>
  <si>
    <t>Chicken with Duck 60 gram</t>
  </si>
  <si>
    <t>صدور الدجاج مع البط 60 جرام</t>
  </si>
  <si>
    <t>6041A</t>
  </si>
  <si>
    <t>P-1-N-160124-368</t>
  </si>
  <si>
    <t>Delicious Dinners Pouch Chicken And Liver CIJ /Chicken And Beef CIJ 4x100g</t>
  </si>
  <si>
    <t>عشاء لذيذ كيس الدجاج والكبد قطع في الجيلي/ الدجاج و لحم البقر قطع في الجيلي 4×100 جم</t>
  </si>
  <si>
    <t>MAFE2024307</t>
  </si>
  <si>
    <t>P-1-N-160124-369</t>
  </si>
  <si>
    <t>Delicious Dinners Pouch with Ocean Fish CIJ/ with Haddock CIJ 4x100g</t>
  </si>
  <si>
    <t>عشاء لذيذ كيس أسماك المحيط قطع في الجيلي/ بسمك الحدوق قطع في الجيلي 4 ×100 جم</t>
  </si>
  <si>
    <t>MAFE2024309</t>
  </si>
  <si>
    <t>P-1-N-160124-370</t>
  </si>
  <si>
    <t>Delicious Dinners Pouch Chicken And Salmon CIJ /with Trout CIJ 4x100g</t>
  </si>
  <si>
    <t>عشاء لذيذ كيس الدجاج والسلمون قطع في الجيلي/ بسمك السلمون المرقط قطع في الجيلي 4 ×100 جم</t>
  </si>
  <si>
    <t>MAFE2024310</t>
  </si>
  <si>
    <t>6042A</t>
  </si>
  <si>
    <t>P-1-N-160124-371</t>
  </si>
  <si>
    <t>Delicious Dinners Pouch Chicken CIJ/Chicken And Turkey CIJ 4x100g</t>
  </si>
  <si>
    <t>عشاء لذيذ كيس الدجاج قطع في الجيلي/ الدجاج والديك الرومي قطع في الجيلي 4 ×100 جم</t>
  </si>
  <si>
    <t>MAFE2024311</t>
  </si>
  <si>
    <t>P-1-N-160124-372</t>
  </si>
  <si>
    <t>Delicious Dinners Pouch Chicken CIJ/ Chicken And Turkey CIJ /Chicken And Liver CIJ /Chicken And Beef CIJ 4x100g</t>
  </si>
  <si>
    <t>عشاء لذيذ كيس الدجاج قطع في الجيلي/ الدجاج والديك الرومي قطع في الجيلي/ الدجاج والكبد قطع في الجيلي/ الدجاج و لحم البقر قطع في الجيلي 4 ×100 جم</t>
  </si>
  <si>
    <t>MAFE2024312</t>
  </si>
  <si>
    <t>P-1-N-180124-453</t>
  </si>
  <si>
    <t>BAB’IN CLASSIC JUNIOR 3 KG</t>
  </si>
  <si>
    <t>بابين كلاسيك جونيور 3 كجم</t>
  </si>
  <si>
    <t>MAFE2024313</t>
  </si>
  <si>
    <t>كوديكو</t>
  </si>
  <si>
    <t>P-1-N-180124-454</t>
  </si>
  <si>
    <t>BAB’IN CLASSIC JUNIOR 14 KG</t>
  </si>
  <si>
    <t>بابين كلاسيك جونيور 14 كجم</t>
  </si>
  <si>
    <t>MAFE2024314</t>
  </si>
  <si>
    <t>P-1-N-180124-455</t>
  </si>
  <si>
    <t>BAB’IN CLASSIC MAINTENANCE 3 KG</t>
  </si>
  <si>
    <t>بابين كلاسيك ماينتينانس 3 كجم</t>
  </si>
  <si>
    <t>MAFE2024315</t>
  </si>
  <si>
    <t>P-1-N-180124-456</t>
  </si>
  <si>
    <t>BAB’IN CLASSIC MAINTENANCE 14 KG</t>
  </si>
  <si>
    <t>بابين كلاسيك ماينتينانس 14 كجم</t>
  </si>
  <si>
    <t>MAFE2024316</t>
  </si>
  <si>
    <t>P-1-N-180124-458</t>
  </si>
  <si>
    <t>BAB’IN CLASSIC EFFORT 3 KG</t>
  </si>
  <si>
    <t>بابين كلاسيك إففورت 3 كجم</t>
  </si>
  <si>
    <t>MAFE2024317</t>
  </si>
  <si>
    <t>P-1-N-180124-459</t>
  </si>
  <si>
    <t>BAB’IN CLASSIC EFFORT 14 KG</t>
  </si>
  <si>
    <t>بابين كلاسيك إففورت 14 كجم</t>
  </si>
  <si>
    <t>MAFE2024318</t>
  </si>
  <si>
    <t>P-1-N-210124-518</t>
  </si>
  <si>
    <t>Applaws Chicken with Tuna Roe 60 gram</t>
  </si>
  <si>
    <t>ابلاوز دجاج مع بطارخ التونة 60 جرام</t>
  </si>
  <si>
    <t>P-1-N-210124-520</t>
  </si>
  <si>
    <t>Applaws chicken and Rice 60 gram</t>
  </si>
  <si>
    <t>ابلاوز دجاج مع ارز 60 جرام</t>
  </si>
  <si>
    <t>P-1-N-210124-521</t>
  </si>
  <si>
    <t>Applaws Sardine and Mackerel 60 gram</t>
  </si>
  <si>
    <t>ابلاوز سردين مع ماكريل 60 جرام</t>
  </si>
  <si>
    <t>P-1-N-210124-523</t>
  </si>
  <si>
    <t>Princess Kitten 20kg</t>
  </si>
  <si>
    <t>برنسيس للقطط الصغيرة 20 كج</t>
  </si>
  <si>
    <t>اقريناتورا هادزيتشي</t>
  </si>
  <si>
    <t>P-1-N-210124-524</t>
  </si>
  <si>
    <t>Princess Maintenance15 kg</t>
  </si>
  <si>
    <t>برنسيس مينتنانس 15 كج</t>
  </si>
  <si>
    <t>P-1-N-210124-525</t>
  </si>
  <si>
    <t>Princess Temptation 20 kg</t>
  </si>
  <si>
    <t>برنسيس تيمتاشن للقطط البالغة 20 كج</t>
  </si>
  <si>
    <t>MAFE2024729</t>
  </si>
  <si>
    <t>P-1-N-210124-526</t>
  </si>
  <si>
    <t>Princess Sterilized 20kg</t>
  </si>
  <si>
    <t>برنسيس للقطط المعقمة 20 كج</t>
  </si>
  <si>
    <t>101100</t>
  </si>
  <si>
    <t>P-1-N-210124-531</t>
  </si>
  <si>
    <t>BAB’IN SIGNATURE MINI JUNIOR 2 KG</t>
  </si>
  <si>
    <t>بابين سيجنتشر ميني جونيور 2 كجم</t>
  </si>
  <si>
    <t>MAFE2024333</t>
  </si>
  <si>
    <t>101110</t>
  </si>
  <si>
    <t>P-1-N-210124-532</t>
  </si>
  <si>
    <t>BAB’IN SIGNATURE MEDIUM JUNIOR 3 KG</t>
  </si>
  <si>
    <t>بابين سيجنتشرميديم جونيور 3 كجم</t>
  </si>
  <si>
    <t>MAFE2024332</t>
  </si>
  <si>
    <t>101115</t>
  </si>
  <si>
    <t>P-1-N-210124-533</t>
  </si>
  <si>
    <t>BAB’IN SIGNATURE MEDIUM JUNIOR 12 KG</t>
  </si>
  <si>
    <t>بابين سيجنتشرميديم جونيور 12 كجم</t>
  </si>
  <si>
    <t>MAFE2024331</t>
  </si>
  <si>
    <t>P-1-N-210124-534</t>
  </si>
  <si>
    <t>BAB’IN SIGNATURE GIANT JUNIOR 12 KG</t>
  </si>
  <si>
    <t>بابين سيجنتشر جاينت جونيور 12 كجم</t>
  </si>
  <si>
    <t>MAFE2024330</t>
  </si>
  <si>
    <t>101130</t>
  </si>
  <si>
    <t>P-1-N-210124-535</t>
  </si>
  <si>
    <t>BAB’IN SIGNATURE MINI ADULT 2 KG</t>
  </si>
  <si>
    <t>بابين سيجنتشر ميني ادلت 2 كجم</t>
  </si>
  <si>
    <t>MAFE2024329</t>
  </si>
  <si>
    <t>101135</t>
  </si>
  <si>
    <t>P-1-N-210124-536</t>
  </si>
  <si>
    <t>BAB’IN SIGNATURE MINI ADULT 6 KG</t>
  </si>
  <si>
    <t>بابين سيجنتشر ميني ادلت 6 كجم</t>
  </si>
  <si>
    <t>MAFE2024328</t>
  </si>
  <si>
    <t>101140</t>
  </si>
  <si>
    <t>P-1-N-210124-537</t>
  </si>
  <si>
    <t>BAB’IN SIGNATURE MINI STERILIZED 2 KG</t>
  </si>
  <si>
    <t>بابين سيجنتشر ميني ستريليزد 2 كجم</t>
  </si>
  <si>
    <t>MAFE2024327</t>
  </si>
  <si>
    <t>101145</t>
  </si>
  <si>
    <t>P-1-N-210124-538</t>
  </si>
  <si>
    <t>BAB’IN SIGNATURE MINI STERILIZED 6 KG</t>
  </si>
  <si>
    <t>بابين سيجنتشر ميني ستريليزد 6 كجم</t>
  </si>
  <si>
    <t>MAFE2024326</t>
  </si>
  <si>
    <t>101150</t>
  </si>
  <si>
    <t>P-1-N-210124-539</t>
  </si>
  <si>
    <t>BAB’IN SIGNATURE MEDIUM ADULT 3 KG</t>
  </si>
  <si>
    <t>بابين سيجنتشر ميديم ادلت 3 كجم</t>
  </si>
  <si>
    <t>MAFE2024325</t>
  </si>
  <si>
    <t>101155</t>
  </si>
  <si>
    <t>P-1-N-210124-540</t>
  </si>
  <si>
    <t>BAB’IN SIGNATURE MEDIUM ADULT 12 KG</t>
  </si>
  <si>
    <t>بابين سيجنتشر ميديم ادلت 12 كجم</t>
  </si>
  <si>
    <t>MAFE2024324</t>
  </si>
  <si>
    <t>101161</t>
  </si>
  <si>
    <t>P-1-N-210124-541</t>
  </si>
  <si>
    <t>BAB’IN SIGNATURE MEDIUM STERILIZED 3 KG</t>
  </si>
  <si>
    <t>بابين سيجنتشرميديم ستريليزد 3 كجم</t>
  </si>
  <si>
    <t>MAFE2024323</t>
  </si>
  <si>
    <t>101167</t>
  </si>
  <si>
    <t>P-1-N-210124-542</t>
  </si>
  <si>
    <t>BAB’IN SIGNATURE MEDIUM STERILIZED 12 KG</t>
  </si>
  <si>
    <t>بابين سيجنتشرميديم ستريليزد 12 كجم</t>
  </si>
  <si>
    <t>MAFE2024322</t>
  </si>
  <si>
    <t>P-1-N-210124-543</t>
  </si>
  <si>
    <t>BAB’IN SIGNATURE GIANT BREED ADULT 12 KG</t>
  </si>
  <si>
    <t>بابين سيجنتشرجاينت بريد ادلت 12 كجم</t>
  </si>
  <si>
    <t>MAFE2024321</t>
  </si>
  <si>
    <t>101180</t>
  </si>
  <si>
    <t>P-1-N-210124-544</t>
  </si>
  <si>
    <t>BAB’IN SIGNATURE MINI SENIOR 2 KG</t>
  </si>
  <si>
    <t>بابين سيجنتشر ميني سينيور 2 كجم</t>
  </si>
  <si>
    <t>MAFE2024320</t>
  </si>
  <si>
    <t>101183</t>
  </si>
  <si>
    <t>P-1-N-210124-545</t>
  </si>
  <si>
    <t>BAB’IN SIGNATURE MINI SENIOR 6 KG</t>
  </si>
  <si>
    <t>بابين سيجنتشر ميني سينيور 6 كجم</t>
  </si>
  <si>
    <t>MAFE2024319</t>
  </si>
  <si>
    <t>P-1-N-300124-692</t>
  </si>
  <si>
    <t>P-1-N-300124-694</t>
  </si>
  <si>
    <t>FOM-2024-6730-FEB-2024-59196 -C-0041-80004</t>
  </si>
  <si>
    <t>P-1-N-300124-695</t>
  </si>
  <si>
    <t>FOM-2024-6730-FEB-2024-59183 -C-0041-79991</t>
  </si>
  <si>
    <t>P-1-N-310124-714</t>
  </si>
  <si>
    <t>BAB’IN CLASSIC CROC 18 KG</t>
  </si>
  <si>
    <t>بابين كلاسيك كروك 18 كجم</t>
  </si>
  <si>
    <t>MAFE2024543</t>
  </si>
  <si>
    <t>101120</t>
  </si>
  <si>
    <t>P-1-N-310124-715</t>
  </si>
  <si>
    <t>BAB’IN SIGNATURE MAXI JUNIOR 12 KG</t>
  </si>
  <si>
    <t>بابين سيجنتشر ماكسي جونيور 12 كجم</t>
  </si>
  <si>
    <t>MAFE2024545</t>
  </si>
  <si>
    <t>101170</t>
  </si>
  <si>
    <t>P-1-N-310124-716</t>
  </si>
  <si>
    <t>BAB’IN SIGNATURE MAXI ADULT 12 KG</t>
  </si>
  <si>
    <t>بابين سيجنتشر ماكسي ادلت 12 كجم</t>
  </si>
  <si>
    <t>MAFE2024546</t>
  </si>
  <si>
    <t>101185</t>
  </si>
  <si>
    <t>P-1-N-310124-717</t>
  </si>
  <si>
    <t>BAB’IN SIGNATURE SENIOR MEDIUM &amp; MAXI 3 KG</t>
  </si>
  <si>
    <t>بابين سيجنتشر سينيور ميديم وماكسي 3 كجم</t>
  </si>
  <si>
    <t>MAFE2024547</t>
  </si>
  <si>
    <t>101190</t>
  </si>
  <si>
    <t>P-1-N-310124-718</t>
  </si>
  <si>
    <t>BAB’IN SIGNATURE SENIOR MEDIUM &amp; MAXI 12 KG</t>
  </si>
  <si>
    <t>بابين سيجنتشر سينيور ميديم وماكسي 12 كجم</t>
  </si>
  <si>
    <t>MAFE2024548</t>
  </si>
  <si>
    <t>P-1-N-310124-719</t>
  </si>
  <si>
    <t>BAB’IN SIGNATURE MAXI STERILIZED 12 KG</t>
  </si>
  <si>
    <t>بابين سيجنتشر ماكسي ستريليزد 12 كجم</t>
  </si>
  <si>
    <t>MAFE2024549</t>
  </si>
  <si>
    <t>101210</t>
  </si>
  <si>
    <t>P-1-N-310124-720</t>
  </si>
  <si>
    <t>BAB’IN SIGNATURE ADULTE DUCK 3 KG</t>
  </si>
  <si>
    <t>بابين سيجنتشر ادلت بالبط 3 كجم</t>
  </si>
  <si>
    <t>MAFE2024550</t>
  </si>
  <si>
    <t>101215</t>
  </si>
  <si>
    <t>P-1-N-310124-721</t>
  </si>
  <si>
    <t>BAB’IN SIGNATURE ADULTE DUCK 12 KG</t>
  </si>
  <si>
    <t>بابين سيجنتشر ادلت بالبط 12 كجم</t>
  </si>
  <si>
    <t>MAFE2024531</t>
  </si>
  <si>
    <t>P-1-N-040224-763</t>
  </si>
  <si>
    <t>Delicious Dinners Pouch Chicken CIJ/ Chicken And Turkey CIJ /Chicken And Liver CIJ /Chicken And Beef CIJ 40x100g</t>
  </si>
  <si>
    <t>عشاء لذيذ كيس الدجاج قطع في الجيلي/ الدجاج والديك الرومي قطع في الجيلي/ الدجاج والكبد قطع في الجيلي/ الدجاج و لحم البقر قطع في الجيلي 40 ×100 جم</t>
  </si>
  <si>
    <t>MAFE2024597</t>
  </si>
  <si>
    <t>P-1-N-040224-777</t>
  </si>
  <si>
    <t>BAB’IN SIGNATURE GRAIN FREE JUNIOR CHICKEN 3 KG</t>
  </si>
  <si>
    <t>بابين سيجنتشر خالي من الحبوب جونيور بالدجاج 3 كجم</t>
  </si>
  <si>
    <t>MAFE2024599</t>
  </si>
  <si>
    <t>P-1-N-040224-778</t>
  </si>
  <si>
    <t>BAB’IN SIGNATURE GRAIN FREE JUNIOR CHICKEN 12 KG</t>
  </si>
  <si>
    <t>بابين سيجنتشر خالي من الحبوب جونيور بالدجاج 12 كجم</t>
  </si>
  <si>
    <t>MAFE2024600</t>
  </si>
  <si>
    <t>P-1-N-040224-779</t>
  </si>
  <si>
    <t>BAB’IN SIGNATURE GRAIN FREE MEDIUM ADULT CHICKEN 3 KG</t>
  </si>
  <si>
    <t>بابين سيجنتشر خالي من الحبوب ميديم ادلت بالدجاج 3 كجم</t>
  </si>
  <si>
    <t>MAFE2024601</t>
  </si>
  <si>
    <t>P-1-N-040224-780</t>
  </si>
  <si>
    <t>BAB’IN SIGNATURE GRAIN FREE MEDIUM ADULT CHICKEN 12 KG</t>
  </si>
  <si>
    <t>بابين سيجنتشر خالي من الحبوب ميديم ادلت بالدجاج 12 كجم</t>
  </si>
  <si>
    <t>MAFE2024602</t>
  </si>
  <si>
    <t>P-1-N-040224-781</t>
  </si>
  <si>
    <t>BAB’IN SIGNATURE GRAIN FREE ADULT DUCK 3 KG</t>
  </si>
  <si>
    <t>بابين سيجنتشر خالي من الحبوب ادلت بالبط 3 كجم</t>
  </si>
  <si>
    <t>MAFE2024603</t>
  </si>
  <si>
    <t>P-1-N-040224-782</t>
  </si>
  <si>
    <t>BAB’IN SIGNATURE GRAIN FREE ADULT DUCK 12 KG</t>
  </si>
  <si>
    <t>بابين سيجنتشر خالي من الحبوب ادلت بالبط 12 كجم</t>
  </si>
  <si>
    <t>MAFE2024604</t>
  </si>
  <si>
    <t>P-1-N-040224-783</t>
  </si>
  <si>
    <t>BAB’IN SIGNATURE GRAIN FREE MINI ADULT CHICKEN 2 KG</t>
  </si>
  <si>
    <t>بابين سيجنتشر خالي من الحبوب ميني ادلت بالدجاج 2 كجم</t>
  </si>
  <si>
    <t>MAFE2024605</t>
  </si>
  <si>
    <t>P-1-N-040224-784</t>
  </si>
  <si>
    <t>BAB’IN SIGNATURE GRAIN FREE MINI ADULT CHICKEN 6 KG</t>
  </si>
  <si>
    <t>بابين سيجنتشر خالي من الحبوب ميني ادلت بالدجاج 6 كجم</t>
  </si>
  <si>
    <t>MAFE2024606</t>
  </si>
  <si>
    <t>P-1-N-040224-785</t>
  </si>
  <si>
    <t>BAB’IN SIGNATURE GRAIN FREE MAXI ADULT CHICKEN 12 KG</t>
  </si>
  <si>
    <t>بابين سيجنتشر خالي من الحبوب ماكسي ادلت بالدجاج 12 كجم</t>
  </si>
  <si>
    <t>MAFE2024607</t>
  </si>
  <si>
    <t>P-1-N-050224-801</t>
  </si>
  <si>
    <t>P-1-N-050224-802</t>
  </si>
  <si>
    <t>P-1-N-050224-803</t>
  </si>
  <si>
    <t>P-1-N-050224-804</t>
  </si>
  <si>
    <t>Tuna with Prawn</t>
  </si>
  <si>
    <t>P-1-N-050224-808</t>
  </si>
  <si>
    <t>BAB’IN LAB JUNIOR SKIN &amp; COAT CARE SALMON 2 KG</t>
  </si>
  <si>
    <t>بابين لاب جونيور سكين اند كوت كير بالسلمون 2 كجم</t>
  </si>
  <si>
    <t>MAFE2024652</t>
  </si>
  <si>
    <t>P-1-N-050224-809</t>
  </si>
  <si>
    <t>BAB’IN LAB JUNIOR SKIN &amp; COAT CARE SALMON 12 KG</t>
  </si>
  <si>
    <t>بابين لاب جونيور سكين اند كوت كير بالسلمون 12 كجم</t>
  </si>
  <si>
    <t>MAFE2024654</t>
  </si>
  <si>
    <t>P-1-N-050224-810</t>
  </si>
  <si>
    <t>BAB’IN LAB MINI ADULT DIGESTIVE CARE CHICKEN 2 KG</t>
  </si>
  <si>
    <t>بابين لاب ميني ادلت دايجستف كير بالدجاج 2 كجم</t>
  </si>
  <si>
    <t>MAFE2024655</t>
  </si>
  <si>
    <t>P-1-N-050224-811</t>
  </si>
  <si>
    <t>BAB’IN LAB MINI ADULT DIGESTIVE CARE CHICKEN 6 KG</t>
  </si>
  <si>
    <t>بابين لاب ميني ادلت دايجستف كير بالدجاج 6 كجم</t>
  </si>
  <si>
    <t>MAFE2024656</t>
  </si>
  <si>
    <t>P-1-N-050224-812</t>
  </si>
  <si>
    <t>BAB’IN LAB MEDIUM &amp; MAXI ADULT DIGESTIVE CARE CHICKEN 12 KG</t>
  </si>
  <si>
    <t>بابين لاب ميديم وماكسي ادلت دايجستف كير بالدجاج 12 كجم</t>
  </si>
  <si>
    <t>MAFE2024657</t>
  </si>
  <si>
    <t>P-1-N-050224-813</t>
  </si>
  <si>
    <t>BAB’IN LAB MEDIUM &amp; MAXI ADULT SKIN &amp; COAT CARE SALMON 12 KG</t>
  </si>
  <si>
    <t>بابين لاب ميديم وماكسي ادلت سكين اند كوت كير بالسلمون 12 كجم</t>
  </si>
  <si>
    <t>MAFE2024658</t>
  </si>
  <si>
    <t>P-1-N-050224-814</t>
  </si>
  <si>
    <t>BAB’IN LAB ADULT LOW FAT LAMB 2 KG</t>
  </si>
  <si>
    <t>بابين لاب ادلت لحم ضأن قليل الدسم 2 كجم</t>
  </si>
  <si>
    <t>MAFE2024718</t>
  </si>
  <si>
    <t>P-1-N-050224-815</t>
  </si>
  <si>
    <t>BAB’IN LAB ADULT LOW FAT LAMB 12 KG</t>
  </si>
  <si>
    <t>بابين لاب ادلت لحم ضأن قليل الدسم 12 كجم</t>
  </si>
  <si>
    <t>MAFE2024719</t>
  </si>
  <si>
    <t>P-1-N-050224-816</t>
  </si>
  <si>
    <t>BAB’IN LAB ADULT WEIGHT LOSS 2 KG</t>
  </si>
  <si>
    <t>بابين لاب ادلت ويت لوس 2 كجم</t>
  </si>
  <si>
    <t>MAFE2024720</t>
  </si>
  <si>
    <t>P-1-N-050224-817</t>
  </si>
  <si>
    <t>BAB’IN LAB ADULT WEIGHT LOSS 12 KG</t>
  </si>
  <si>
    <t>بابين لاب ادلت ويت لوس 12 كجم</t>
  </si>
  <si>
    <t>MAFE2024721</t>
  </si>
  <si>
    <t>P-1-N-050224-818</t>
  </si>
  <si>
    <t>BAB’IN LAB ADULT RENAL 2 KG</t>
  </si>
  <si>
    <t>بابين لاب ادلت رينال 2 كجم</t>
  </si>
  <si>
    <t>MAFE2024723</t>
  </si>
  <si>
    <t>P-1-N-050224-819</t>
  </si>
  <si>
    <t>MAFE2024722</t>
  </si>
  <si>
    <t>P-1-N-050224-820</t>
  </si>
  <si>
    <t>BAB’IN LAB ADULT RENAL 10 KG</t>
  </si>
  <si>
    <t>بابين لاب ادلت رينال 10 كجم</t>
  </si>
  <si>
    <t>MAFE2024724</t>
  </si>
  <si>
    <t>P-1-N-050224-821</t>
  </si>
  <si>
    <t>BAB’IN LAB ADULT HYPOALLERGENIC 2 KG</t>
  </si>
  <si>
    <t>بابين لاب ادلت هيبوالرجينيك 2 كجم</t>
  </si>
  <si>
    <t>MAFE2024727</t>
  </si>
  <si>
    <t>P-1-N-050224-822</t>
  </si>
  <si>
    <t>BAB’IN LAB ADULT HYPOALLERGENIC 10 KG</t>
  </si>
  <si>
    <t>بابين لاب ادلت هيبوالرجينيك 10 كجم</t>
  </si>
  <si>
    <t>MAFE2024725</t>
  </si>
  <si>
    <t>P-1-N-050224-823</t>
  </si>
  <si>
    <t>BAB’IN LAB ADULT JOINT CARE 12 KG</t>
  </si>
  <si>
    <t>بابين لاب ادلت جوينت كير 12 كجم</t>
  </si>
  <si>
    <t>MAFE2024726</t>
  </si>
  <si>
    <t>P-1-N-050224-824</t>
  </si>
  <si>
    <t>BAB’IN LAB MINI ADULT SKIN &amp; COAT CARE SALMON 2 KG</t>
  </si>
  <si>
    <t>بابين لاب ميني ادلت سكين اند كوت كير بالسلمون 2 كجم</t>
  </si>
  <si>
    <t>MAFE2024728</t>
  </si>
  <si>
    <t>P-1-N-050224-825</t>
  </si>
  <si>
    <t>BAB’IN LAB MINI ADULT SKIN &amp; COAT CARE SALMON 6 KG</t>
  </si>
  <si>
    <t>بابين لاب ميني ادلت سكين اند كوت كير بالسلمون 6 كجم</t>
  </si>
  <si>
    <t>MAFE2024731</t>
  </si>
  <si>
    <t>P-1-N-060224-835</t>
  </si>
  <si>
    <t>P-1-N-060224-837</t>
  </si>
  <si>
    <t>P-1-N-060224-838</t>
  </si>
  <si>
    <t>P-1-N-060224-845</t>
  </si>
  <si>
    <t>101700</t>
  </si>
  <si>
    <t>P-1-N-080224-887</t>
  </si>
  <si>
    <t>BAB’IN SIGNATURE KITTEN CHICKEN 1.5 KG</t>
  </si>
  <si>
    <t>بابين سيجنتشر كيتن دجاج 1.5 كجم</t>
  </si>
  <si>
    <t>101703</t>
  </si>
  <si>
    <t>P-1-N-080224-888</t>
  </si>
  <si>
    <t>BAB’IN SIGNATURE KITTEN CHICKEN 3 KG</t>
  </si>
  <si>
    <t>بابين سيجنتشر كيتن دجاج 3 كجم</t>
  </si>
  <si>
    <t>101710</t>
  </si>
  <si>
    <t>P-1-N-080224-889</t>
  </si>
  <si>
    <t>BAB’IN SIGNATURE KITTEN SALMON 1.5 KG</t>
  </si>
  <si>
    <t>بابين سيجنتشر كيتن سمك السالمون 1.5 كجم</t>
  </si>
  <si>
    <t>101713</t>
  </si>
  <si>
    <t>P-1-N-080224-890</t>
  </si>
  <si>
    <t>BAB’IN SIGNATURE KITTEN SALMON 3 KG</t>
  </si>
  <si>
    <t>بابين سيجنتشر كيتن سمك السالمون 3 كجم</t>
  </si>
  <si>
    <t>101720</t>
  </si>
  <si>
    <t>P-1-N-080224-891</t>
  </si>
  <si>
    <t>BAB’IN SIGNATURE ADULT NEUTERED CAT CHICKEN 1.5 KG</t>
  </si>
  <si>
    <t>بابين سيجنتشر ادلت نيوترد كات دجاج 1.5 كجم</t>
  </si>
  <si>
    <t>101723</t>
  </si>
  <si>
    <t>P-1-N-080224-892</t>
  </si>
  <si>
    <t>BAB’IN SIGNATURE ADULT NEUTERED CAT CHICKEN 3 KG</t>
  </si>
  <si>
    <t>بابين سيجنتشر ادلت نيوترد كات دجاج 3 كجم</t>
  </si>
  <si>
    <t>101726</t>
  </si>
  <si>
    <t>P-1-N-080224-893</t>
  </si>
  <si>
    <t>BAB’IN SIGNATURE ADULT NEUTERED CAT CHICKEN 6 KG</t>
  </si>
  <si>
    <t>بابين سيجنتشر ادلت نيوترد كات دجاج 6 كجم</t>
  </si>
  <si>
    <t>101730</t>
  </si>
  <si>
    <t>P-1-N-080224-894</t>
  </si>
  <si>
    <t>BAB’IN SIGNATURE ADULT NEUTERED CAT SALMON 1.5 KG</t>
  </si>
  <si>
    <t>بابين سيجنتشر ادلت نيوترد كات سمك السالمون 1.5 كجم</t>
  </si>
  <si>
    <t>101733</t>
  </si>
  <si>
    <t>P-1-N-080224-895</t>
  </si>
  <si>
    <t>BAB’IN SIGNATURE ADULT NEUTERED CAT SALMON 3 KG</t>
  </si>
  <si>
    <t>بابين سيجنتشر ادلت نيوترد كات سمك السالمون 3 كجم</t>
  </si>
  <si>
    <t>101736</t>
  </si>
  <si>
    <t>P-1-N-080224-896</t>
  </si>
  <si>
    <t>BAB’IN SIGNATURE ADULT NEUTERED CAT SALMON 6 KG</t>
  </si>
  <si>
    <t>بابين سيجنتشر ادلت نيوترد كات سمك السالمون 6 كجم</t>
  </si>
  <si>
    <t>101740</t>
  </si>
  <si>
    <t>P-1-N-080224-897</t>
  </si>
  <si>
    <t>BAB’IN SIGNATURE ADULT NEUTERED CAT DUCK 1.5 KG</t>
  </si>
  <si>
    <t>بابين سيجنتشر ادلت نيوترد كات بط 1.5 كجم</t>
  </si>
  <si>
    <t>101743</t>
  </si>
  <si>
    <t>P-1-N-080224-898</t>
  </si>
  <si>
    <t>BAB’IN SIGNATURE ADULT NEUTERED CAT DUCK 3 KG</t>
  </si>
  <si>
    <t>بابين سيجنتشر ادلت نيوترد كات بط 3 كجم</t>
  </si>
  <si>
    <t>101746</t>
  </si>
  <si>
    <t>P-1-N-080224-899</t>
  </si>
  <si>
    <t>BAB’IN SIGNATURE ADULT NEUTERED CAT DUCK 6 KG</t>
  </si>
  <si>
    <t>بابين سيجنتشر ادلت نيوترد كات بط 6 كجم</t>
  </si>
  <si>
    <t>101750</t>
  </si>
  <si>
    <t>P-1-N-080224-900</t>
  </si>
  <si>
    <t>BAB’IN SIGNATURE SENIOR NEUTERED CAT 1.5 KG</t>
  </si>
  <si>
    <t>بابين سيجنتشر سنيور نيوترد كات 1.5 كجم</t>
  </si>
  <si>
    <t>101753</t>
  </si>
  <si>
    <t>P-1-N-080224-902</t>
  </si>
  <si>
    <t>BAB’IN SIGNATURE SENIOR NEUTERED CAT 3 KG</t>
  </si>
  <si>
    <t>بابين سيجنتشر سنيور نيوترد كات 3 كجم</t>
  </si>
  <si>
    <t>MAFE2024737</t>
  </si>
  <si>
    <t>101770</t>
  </si>
  <si>
    <t>P-1-N-080224-903</t>
  </si>
  <si>
    <t>BAB’IN SIGNATURE ADULT NEUTERED CAT GRAIN FREE CHICKEN 1.5 KG</t>
  </si>
  <si>
    <t>بابين سيجنتشر ادلت نيوترد كات دجاج خالي من الحبوب 1.5 كجم</t>
  </si>
  <si>
    <t>MAFE2024734</t>
  </si>
  <si>
    <t>101773</t>
  </si>
  <si>
    <t>P-1-N-080224-904</t>
  </si>
  <si>
    <t>BAB’IN SIGNATURE ADULT NEUTERED CAT GRAIN FREE CHICKEN 3 KG</t>
  </si>
  <si>
    <t>بابين سيجنتشر ادلت نيوترد كات دجاج خالي من الحبوب 3 كجم</t>
  </si>
  <si>
    <t>MAFE2024738</t>
  </si>
  <si>
    <t>101776</t>
  </si>
  <si>
    <t>P-1-N-080224-905</t>
  </si>
  <si>
    <t>BAB’IN SIGNATURE ADULT NEUTERED CAT GRAIN FREE CHICKEN 6 KG</t>
  </si>
  <si>
    <t>بابين سيجنتشر ادلت نيوترد كات دجاج خالي من الحبوب 6 كجم</t>
  </si>
  <si>
    <t>MAFE2024735</t>
  </si>
  <si>
    <t>P-1-N-080224-906</t>
  </si>
  <si>
    <t>BAB’IN SIGNATURE ADULT NEUTERED CAT GRAIN FREE SALMON 1.5 KG</t>
  </si>
  <si>
    <t>بابين سيجنتشر ادلت نيوترد كات سمك السالمون خالي من الحبوب 1.5 كجم</t>
  </si>
  <si>
    <t>MAFE2024742</t>
  </si>
  <si>
    <t>101783</t>
  </si>
  <si>
    <t>P-1-N-080224-907</t>
  </si>
  <si>
    <t>BAB’IN SIGNATURE ADULT NEUTERED CAT GRAIN FREE SALMON 3 KG</t>
  </si>
  <si>
    <t>بابين سيجنتشر ادلت نيوترد كات سمك السالمون خالي من الحبوب 3 كجم</t>
  </si>
  <si>
    <t>MAFE2024739</t>
  </si>
  <si>
    <t>101786</t>
  </si>
  <si>
    <t>P-1-N-080224-908</t>
  </si>
  <si>
    <t>BAB’IN SIGNATURE ADULT NEUTERED CAT GRAIN FREE SALMON 6 KG</t>
  </si>
  <si>
    <t>بابين سيجنتشر ادلت نيوترد كات سمك السالمون خالي من الحبوب 6 كجم</t>
  </si>
  <si>
    <t>MAFE2024736</t>
  </si>
  <si>
    <t>P-1-N-080224-909</t>
  </si>
  <si>
    <t>BAB’IN SIGNATURE ADULT NEUTERED CAT GRAIN FREE LARGE BREED 3 KG</t>
  </si>
  <si>
    <t>بابين سيجنتشر ادلت نيوترد كات لارج بريد خالي من الحبوب 3 كجم</t>
  </si>
  <si>
    <t>MAFE2024743</t>
  </si>
  <si>
    <t>P-1-N-080224-910</t>
  </si>
  <si>
    <t>BAB’IN SIGNATURE ADULT NEUTERED CAT GRAIN FREE LARGE BREED 6 KG</t>
  </si>
  <si>
    <t>بابين سيجنتشر ادلت نيوترد كات لارج بريد خالي من الحبوب 6 كجم</t>
  </si>
  <si>
    <t>MAFE2024740</t>
  </si>
  <si>
    <t>P-1-N-110224-929</t>
  </si>
  <si>
    <t>BAB'IN CLASSIC ADULT CAT SALMON 3 KG</t>
  </si>
  <si>
    <t>بابين كلاسيك ادلت كات سمك السالمون 3 كجم</t>
  </si>
  <si>
    <t>MAFE2024844</t>
  </si>
  <si>
    <t>P-1-N-110224-930</t>
  </si>
  <si>
    <t>P-1-N-110224-931</t>
  </si>
  <si>
    <t>BAB'IN CLASSIC ADULT CAT SALMON 14 KG</t>
  </si>
  <si>
    <t>بابين كلاسيك ادلت كات سمك السالمون 14 كجم</t>
  </si>
  <si>
    <t>MAFE2024741</t>
  </si>
  <si>
    <t>P-1-N-110224-932</t>
  </si>
  <si>
    <t>BAB'IN LAB ADULT CAT SKIN &amp; COAT 1.5 KG</t>
  </si>
  <si>
    <t>بابين لاب ادلت كات سكين اند كوت 1.5 كجم</t>
  </si>
  <si>
    <t>MAFE2024747</t>
  </si>
  <si>
    <t>P-1-N-110224-933</t>
  </si>
  <si>
    <t>BAB'IN LAB ADULT CAT SKIN &amp; COAT 3 KG</t>
  </si>
  <si>
    <t>بابين لاب ادلت كات سكين اند كوت 3 كجم</t>
  </si>
  <si>
    <t>MAFE2024756</t>
  </si>
  <si>
    <t>P-1-N-110224-934</t>
  </si>
  <si>
    <t>BAB'IN LAB ADULT CAT HAIRBALL 1.5 KG</t>
  </si>
  <si>
    <t>بابين لاب ادلت كات هيربول 1.5 كجم</t>
  </si>
  <si>
    <t>MAFE2024757</t>
  </si>
  <si>
    <t>P-1-N-110224-935</t>
  </si>
  <si>
    <t>BAB'IN LAB ADULT CAT HAIRBALL 3 KG</t>
  </si>
  <si>
    <t>بابين لاب ادلت كات هيربول 3 كجم</t>
  </si>
  <si>
    <t>MAFE2024758</t>
  </si>
  <si>
    <t>P-1-N-110224-936</t>
  </si>
  <si>
    <t>BAB'IN LAB ADULT CAT URINARY 1.5 KG</t>
  </si>
  <si>
    <t>بابين لاب ادلت كات يوريناري 1.5 كجم</t>
  </si>
  <si>
    <t>MAFE2024759</t>
  </si>
  <si>
    <t>P-1-N-110224-937</t>
  </si>
  <si>
    <t>BAB'IN LAB ADULT CAT URINARY 3 KG</t>
  </si>
  <si>
    <t>بابين لاب ادلت كات يوريناري 3 كجم</t>
  </si>
  <si>
    <t>MAFE2024760</t>
  </si>
  <si>
    <t>P-1-N-110224-938</t>
  </si>
  <si>
    <t>BAB'IN LAB ADULT CAT DIGESTION 1.5 KG</t>
  </si>
  <si>
    <t>بابين لاب ادلت كات دايجسشن 1.5 كجم</t>
  </si>
  <si>
    <t>MAFE2024761</t>
  </si>
  <si>
    <t>P-1-N-110224-939</t>
  </si>
  <si>
    <t>BAB'IN LAB ADULT CAT DIGESTION 3 KG</t>
  </si>
  <si>
    <t>بابين لاب ادلت كات دايجسشن 3 كجم</t>
  </si>
  <si>
    <t>MAFE2024744</t>
  </si>
  <si>
    <t>P-1-N-110224-940</t>
  </si>
  <si>
    <t>BAB'IN LAB ADULT CAT WEIGHT LOSS 1.5 KG</t>
  </si>
  <si>
    <t>بابين لاب ادلت كات ويت لوس 1.5 كجم</t>
  </si>
  <si>
    <t>MAFE2024762</t>
  </si>
  <si>
    <t>P-1-N-110224-941</t>
  </si>
  <si>
    <t>BAB'IN LAB ADULT CAT WEIGHT LOSS 3 KG</t>
  </si>
  <si>
    <t>بابين لاب ادلت كات ويت لوس 3 كجم</t>
  </si>
  <si>
    <t>MAFE2024745</t>
  </si>
  <si>
    <t>0231001</t>
  </si>
  <si>
    <t>P-1-N-130224-993</t>
  </si>
  <si>
    <t>FORZA10 Maintenance Cat STERILIZED Chicken 1 KG</t>
  </si>
  <si>
    <t>فورزا 10 ماينتنانس كات ستريليزد دجاج 1 كجم</t>
  </si>
  <si>
    <t xml:space="preserve">FOM-2024-5415-FEB-2024-59145 -C-0041-79953
</t>
  </si>
  <si>
    <t>شركة سانيبيت</t>
  </si>
  <si>
    <t>25-2-2029</t>
  </si>
  <si>
    <t>0231350</t>
  </si>
  <si>
    <t>P-1-N-130224-994</t>
  </si>
  <si>
    <t>FORZA10 Maintenance Cat STERILIZED Chicken 350G</t>
  </si>
  <si>
    <t>فورزا 10 ماينتنانس كات ستريليزد دجاج 350 جم</t>
  </si>
  <si>
    <t xml:space="preserve">FOM-2024-5415-FEB-2024-59146 -C-0041-79954
</t>
  </si>
  <si>
    <t>21-2-2029</t>
  </si>
  <si>
    <t>0232001</t>
  </si>
  <si>
    <t>P-1-N-130224-995</t>
  </si>
  <si>
    <t>FORZA10 Maintenance Cat STERILIZED Salmon 1 KG</t>
  </si>
  <si>
    <t>فورزا 10 ماينتنانس كات ستريليزد سمك السالمون 1 كجم</t>
  </si>
  <si>
    <t xml:space="preserve">FOM-2024-5415-FEB-2024-59147 -C-0041-79955
</t>
  </si>
  <si>
    <t>232350</t>
  </si>
  <si>
    <t>P-1-N-130224-996</t>
  </si>
  <si>
    <t>FORZA10 Maintenance Cat STERILIZED Salmon 350G</t>
  </si>
  <si>
    <t>فورزا 10 ماينتنانس كات ستريليزد سمك السالمون 350 جم</t>
  </si>
  <si>
    <t xml:space="preserve">FOM-2024-5415-FEB-2024-59148 -C-0041-79956
</t>
  </si>
  <si>
    <t>0233001</t>
  </si>
  <si>
    <t>P-1-N-130224-997</t>
  </si>
  <si>
    <t xml:space="preserve">FORZA10 Maintenance Cat ADULT Duck 1 KG
</t>
  </si>
  <si>
    <t>فورزا 10 ماينتنانس كات ادلت بط 1 كجم</t>
  </si>
  <si>
    <t xml:space="preserve">FOM-2024-5415-FEB-2024-59149 -C-0041-79957
</t>
  </si>
  <si>
    <t>0233350</t>
  </si>
  <si>
    <t>P-1-N-130224-998</t>
  </si>
  <si>
    <t>FORZA10 Maintenance Cat ADULT Duck 350G</t>
  </si>
  <si>
    <t>فورزا 10 ماينتنانس كات ادلت بط 350 جم</t>
  </si>
  <si>
    <t xml:space="preserve">FOM-2024-5415-FEB-2024-59150 -C-0041-79958
</t>
  </si>
  <si>
    <t>0106102</t>
  </si>
  <si>
    <t>P-1-N-140224-1035</t>
  </si>
  <si>
    <t>FORZA10 Mini Adult Maintenance Fish 2kg</t>
  </si>
  <si>
    <t>فورزا 10 ميني ادلت ماينتنانس سمك 2 كجم</t>
  </si>
  <si>
    <t xml:space="preserve">FOM-2024-5415-FEB-2024-59157 -C-0041-79965
</t>
  </si>
  <si>
    <t>P-1-N-140224-1036</t>
  </si>
  <si>
    <t>FORZA10 Mini Adult Maintenance Fish 4kg</t>
  </si>
  <si>
    <t>فورزا 10 ميني ادلت ماينتنانس سمك 4 كجم</t>
  </si>
  <si>
    <t xml:space="preserve">FOM-2024-5415-FEB-2024-59158 -C-0041-79966
</t>
  </si>
  <si>
    <t>0106002</t>
  </si>
  <si>
    <t>P-1-N-140224-1037</t>
  </si>
  <si>
    <t>FORZA10 Medium Adult Maintenance Fish 2kg</t>
  </si>
  <si>
    <t>فورزا 10 ميديم ادلت ماينتنانس سمك 2 كجم</t>
  </si>
  <si>
    <t xml:space="preserve">FOM-2024-5415-FEB-2024-59159 -C-0041-79967
</t>
  </si>
  <si>
    <t>P-1-N-140224-1038</t>
  </si>
  <si>
    <t>FORZA10 Medium Adult Maintenance Fish 12kg</t>
  </si>
  <si>
    <t>فورزا 10 ميديم ادلت ماينتنانس سمك 12 كجم</t>
  </si>
  <si>
    <t xml:space="preserve">FOM-2024-5415-FEB-2024-59160 -C-0041-79968
</t>
  </si>
  <si>
    <t>P-1-N-140224-1039</t>
  </si>
  <si>
    <t>FORZA10 Maxi Adult Maintenance Fish 12kg</t>
  </si>
  <si>
    <t>فورزا 10 ماكسي ادلت ماينتنانس سمك 12 كجم</t>
  </si>
  <si>
    <t xml:space="preserve">FOM-2024-5415-FEB-2024-59161 -C-0041-79969
</t>
  </si>
  <si>
    <t>111002</t>
  </si>
  <si>
    <t>P-1-N-140224-1040</t>
  </si>
  <si>
    <t>FORZA10 Medium Adult Maintenance Venison &amp; Potatoes 2kg</t>
  </si>
  <si>
    <t>فورزا 10 ميديم ادلت ماينتنانس لحم الغزال والبطاطس 2 كجم</t>
  </si>
  <si>
    <t xml:space="preserve">FOM-2024-5415-FEB-2024-59162 -C-0041-79970
</t>
  </si>
  <si>
    <t>P-1-N-140224-1041</t>
  </si>
  <si>
    <t>FORZA10 Medium Adult Maintenance Venison &amp; Potatoes 12kg</t>
  </si>
  <si>
    <t>فورزا 10 ميديم ادلت ماينتنانس لحم الغزال والبطاطس 12 كجم</t>
  </si>
  <si>
    <t xml:space="preserve">FOM-2024-5415-FEB-2024-59163 -C-0041-79971
</t>
  </si>
  <si>
    <t>P-1-N-140224-1042</t>
  </si>
  <si>
    <t>FORZA10 Maxi Adult Maintenance Venison &amp; Potatoes 12kg</t>
  </si>
  <si>
    <t>فورزا 10 ماكسي ادلت ماينتنانس لحم الغزال والبطاطس 12 كجم</t>
  </si>
  <si>
    <t xml:space="preserve">FOM-2024-5415-FEB-2024-59164 -C-0041-79972
</t>
  </si>
  <si>
    <t>117002</t>
  </si>
  <si>
    <t>P-1-N-140224-1043</t>
  </si>
  <si>
    <t>FORZA10 Mini Adult Maintenance Venison &amp; Potatoes 2kg</t>
  </si>
  <si>
    <t>فورزا 10 ميني ادلت ماينتنانس لحم الغزال والبطاطس 2 كجم</t>
  </si>
  <si>
    <t xml:space="preserve">FOM-2024-5415-FEB-2024-59165 -C-0041-79973
</t>
  </si>
  <si>
    <t>118002</t>
  </si>
  <si>
    <t>P-1-N-140224-1044</t>
  </si>
  <si>
    <t>FORZA10 Mini Adult Maintenance Chicken &amp; Potatoes 2kg</t>
  </si>
  <si>
    <t>فورزا 10 ميني ادلت ماينتنانس الدجاج والبطاطس 2 كجم</t>
  </si>
  <si>
    <t xml:space="preserve">FOM-2024-5415-FEB-2024-59166 -C-0041-79974
</t>
  </si>
  <si>
    <t>P-1-N-140224-1045</t>
  </si>
  <si>
    <t>FORZA10 Medium Adult Maintenance Chicken &amp; Potatoes 12kg</t>
  </si>
  <si>
    <t>فورزا 10 ميديم ادلت ماينتنانس الدجاج والبطاطس 12 كجم</t>
  </si>
  <si>
    <t xml:space="preserve">FOM-2024-5415-FEB-2024-59167 -C-0041-79975
</t>
  </si>
  <si>
    <t>P-1-N-140224-1046</t>
  </si>
  <si>
    <t>FORZA10 All Breeds Maintenance Fish &amp; Rice 2kg</t>
  </si>
  <si>
    <t>فورزا 10 ماينتنانس جميع السلالات السمك والأرز 2 كجم</t>
  </si>
  <si>
    <t xml:space="preserve">FOM-2024-5415-FEB-2024-59168 -C-0041-79976
</t>
  </si>
  <si>
    <t>P-1-N-140224-1047</t>
  </si>
  <si>
    <t>FORZA10 All Breeds Maintenance Fish &amp; Rice 12kg</t>
  </si>
  <si>
    <t>فورزا 10 ماينتنانس جميع السلالات السمك والأرز 12 كجم</t>
  </si>
  <si>
    <t xml:space="preserve">FOM-2024-5415-FEB-2024-59169 -C-0041-79977
</t>
  </si>
  <si>
    <t>P-1-N-140224-1048</t>
  </si>
  <si>
    <t>FORZA10 Light All Breeds Maintenance Tuna &amp; Rice 12kg</t>
  </si>
  <si>
    <t>فورزا 10 ماينتنانس لايت جميع السلالات السمك والأرز 12 كجم</t>
  </si>
  <si>
    <t xml:space="preserve">FOM-2024-5415-FEB-2024-59170 -C-0041-79978
</t>
  </si>
  <si>
    <t>0116002</t>
  </si>
  <si>
    <t>P-1-N-200224-1172</t>
  </si>
  <si>
    <t>FORZA10 Mini Adult Maintenance Lamb &amp; Rice SM 2kg</t>
  </si>
  <si>
    <t>فورزا 10 ميني ادلت ماينتنانس لحم الضأن والأرز 2 كجم</t>
  </si>
  <si>
    <t>MAFE2024980</t>
  </si>
  <si>
    <t>P-1-N-200224-1173</t>
  </si>
  <si>
    <t>FORZA10 Medium Adult Maintenance Lamb &amp; Rice 12kg</t>
  </si>
  <si>
    <t>فورزا 10 ميديم ادلت ماينتنانس لحم الضأن والأرز 12 كجم</t>
  </si>
  <si>
    <t>MAFE2024981</t>
  </si>
  <si>
    <t>0102012</t>
  </si>
  <si>
    <t>P-1-N-200224-1175</t>
  </si>
  <si>
    <t>FORZA10 Puppy Junior Fish 2kg</t>
  </si>
  <si>
    <t>فورزا 10 بابي جونيور سمك 2 كجم</t>
  </si>
  <si>
    <t>MAFE2024982</t>
  </si>
  <si>
    <t>P-1-N-200224-1176</t>
  </si>
  <si>
    <t>FORZA10 Puppy Junior Fish 12kg</t>
  </si>
  <si>
    <t>فورزا 10 بابي جونيور سمك 12 كجم</t>
  </si>
  <si>
    <t>MAFE2024983</t>
  </si>
  <si>
    <t>0115002</t>
  </si>
  <si>
    <t>P-1-N-200224-1177</t>
  </si>
  <si>
    <t>FORZA10 Puppy Junior Chicken &amp; Potatoes 2kg</t>
  </si>
  <si>
    <t>فورزا 10 بابي جونيور الدجاج والبطاطس 2 كجم</t>
  </si>
  <si>
    <t>MAFE2024984</t>
  </si>
  <si>
    <t>P-1-N-200224-1178</t>
  </si>
  <si>
    <t>FORZA10 Puppy Junior Chicken &amp; Potatoes 12kg</t>
  </si>
  <si>
    <t>فورزا 10 بابي جونيور الدجاج والبطاطس 12 كجم</t>
  </si>
  <si>
    <t>MAFE2024985</t>
  </si>
  <si>
    <t>482880</t>
  </si>
  <si>
    <t>P-1-N-260224-1331</t>
  </si>
  <si>
    <t>ZOLUX CHICKEN FILLETS 70G</t>
  </si>
  <si>
    <t>زولكس فيليه دجاج 70 جم</t>
  </si>
  <si>
    <t>MAFE20241100</t>
  </si>
  <si>
    <t>482889</t>
  </si>
  <si>
    <t>P-1-N-260224-1332</t>
  </si>
  <si>
    <t>ZOLUX DUCK FILLETS 70G</t>
  </si>
  <si>
    <t>زولكس فيليه البط 70 جم</t>
  </si>
  <si>
    <t>MAFE20241099</t>
  </si>
  <si>
    <t>P-1-N-260224-1333</t>
  </si>
  <si>
    <t>ZOLUX CHEWING STICKS WITH CHICKEN X10 85G</t>
  </si>
  <si>
    <t>زولكس تشوينج ستيكس بالدجاج ×10 85 جم</t>
  </si>
  <si>
    <t>MAFE20241098</t>
  </si>
  <si>
    <t>482776</t>
  </si>
  <si>
    <t>P-1-N-260224-1334</t>
  </si>
  <si>
    <t>ZOLUX CHEWING DRUM STICKS WITH CHICKEN X7 70G</t>
  </si>
  <si>
    <t>زولكس تشوينج درام ستيكس بالدجاج ×7 70 جم</t>
  </si>
  <si>
    <t>MAFE20241097</t>
  </si>
  <si>
    <t>P-1-N-260224-1335</t>
  </si>
  <si>
    <t>ZOLUX CHEWING BONES WITH CHICKEN X7 90G</t>
  </si>
  <si>
    <t>زولكس تشوينج بونز بالدجاج ×7 90 جم</t>
  </si>
  <si>
    <t>MAFE20241096</t>
  </si>
  <si>
    <t>482886</t>
  </si>
  <si>
    <t>P-1-N-260224-1337</t>
  </si>
  <si>
    <t>ZOLUX CHICKEN SAUSAGES 100G</t>
  </si>
  <si>
    <t>زولكس نقانق دجاج 100 جم</t>
  </si>
  <si>
    <t>MAFE20241095</t>
  </si>
  <si>
    <t>482887</t>
  </si>
  <si>
    <t>P-1-N-260224-1338</t>
  </si>
  <si>
    <t>ZOLUX CHICKEN SANDWICH 100G</t>
  </si>
  <si>
    <t>زولكس ساندوتش دجاج 100 جم</t>
  </si>
  <si>
    <t>MAFE20241094</t>
  </si>
  <si>
    <t>482888</t>
  </si>
  <si>
    <t>P-1-N-260224-1340</t>
  </si>
  <si>
    <t>ZOLUX CHICKEN SUSHI 100G</t>
  </si>
  <si>
    <t>زولكس سوشي دجاج 100 جم</t>
  </si>
  <si>
    <t>MAFE20241093</t>
  </si>
  <si>
    <t>AALI25</t>
  </si>
  <si>
    <t>P-1-N-170324-1827</t>
  </si>
  <si>
    <t>PRINCE TRAINER 20kg</t>
  </si>
  <si>
    <t>برنس ترينير20كج</t>
  </si>
  <si>
    <t xml:space="preserve">FOM-2024-6730-FEB-2024-59193 -C-0041-80001
</t>
  </si>
  <si>
    <t>P-1-N-170324-1831</t>
  </si>
  <si>
    <t>PRINCE MINI 2kg</t>
  </si>
  <si>
    <t>برنس ميني 2 كج</t>
  </si>
  <si>
    <t>MAFE20241727</t>
  </si>
  <si>
    <t>P-1-N-190324-1881</t>
  </si>
  <si>
    <t>Princess Sterilized 20 KG</t>
  </si>
  <si>
    <t>P-1-N-210324-1955</t>
  </si>
  <si>
    <t>Princess Kitten 2kg</t>
  </si>
  <si>
    <t>برنسيس للقطط الصغيرة 2 كج</t>
  </si>
  <si>
    <t>MAFE20241616</t>
  </si>
  <si>
    <t>P-1-N-210324-1956</t>
  </si>
  <si>
    <t>Princess Temptation 2kg</t>
  </si>
  <si>
    <t>برنسيس تيمتاشن للقطط البالغة 2 كج</t>
  </si>
  <si>
    <t>MAFE20241632</t>
  </si>
  <si>
    <t>P-1-N-210324-1958</t>
  </si>
  <si>
    <t>PRINCE TRAINER 2kg</t>
  </si>
  <si>
    <t>برنس ترينير 2كج</t>
  </si>
  <si>
    <t>MAFE20241617</t>
  </si>
  <si>
    <t>P-1-N-210324-1959</t>
  </si>
  <si>
    <t>PRINCE MINI 20kg</t>
  </si>
  <si>
    <t>برنس ميني 20 كج</t>
  </si>
  <si>
    <t>FOM-2024-6730-FEB-2024-59205 -C-0041-80013</t>
  </si>
  <si>
    <t>P-1-N-210324-1961</t>
  </si>
  <si>
    <t>Dr. Clauder’s Best Choice Mini Adult Lamm&amp;Reis 400g</t>
  </si>
  <si>
    <t>دكتور كلاودر أفضل خيار ميني الكبار بلحم الضأن والأرز 400 جم</t>
  </si>
  <si>
    <t>MAFE20241630</t>
  </si>
  <si>
    <t>P-1-N-210324-1963</t>
  </si>
  <si>
    <t>Dr. Clauder’s Wildlife Ente 350g</t>
  </si>
  <si>
    <t>دكتور كلاودر وايلد لايف بط 350 جم</t>
  </si>
  <si>
    <t>P-1-N-210324-1968</t>
  </si>
  <si>
    <t>Sanal Cat Multi Vitamin Salmon, e 100g</t>
  </si>
  <si>
    <t>ﺳﻨﺎل ﻓﻴﺘﺎﻣﻴﻨﺎت ﻣﺘﻌﺪدة 100 ﺟﺮام</t>
  </si>
  <si>
    <t>MAFE20241623</t>
  </si>
  <si>
    <t>P-1-N-210324-1970</t>
  </si>
  <si>
    <t>ﺳﻨﺎل ﻓﻴﺘﺎﻣﻴﻨﺎت ﻣﺘﻌﺪدة ﺳﺎﻟﻤﻮن 100 ﺟﻢ</t>
  </si>
  <si>
    <t>MAFE20241628</t>
  </si>
  <si>
    <t>P-1-N-210324-1971</t>
  </si>
  <si>
    <t>Dr. Clauder’s Wildlife Lamm 350g</t>
  </si>
  <si>
    <t>دكتور كلاودر وايلد لايف لحم ضأن 350 جم</t>
  </si>
  <si>
    <t>MAFE20241627</t>
  </si>
  <si>
    <t>21430040</t>
  </si>
  <si>
    <t>P-1-N-210324-1972</t>
  </si>
  <si>
    <t>Dr. Clauder’s Best Choice Mini Adult 400g</t>
  </si>
  <si>
    <t>دكتور كلاودر أفضل خيار ميني الكبار 400 جم</t>
  </si>
  <si>
    <t>MAFE20241626</t>
  </si>
  <si>
    <t>P-1-N-210324-1973</t>
  </si>
  <si>
    <t>Dr. Clauder’s Best Choice Mini Junior Lachs 400g</t>
  </si>
  <si>
    <t>دكتور كلاودر أفضل خيار ميني جونيور بسمك السلمون 400 جم</t>
  </si>
  <si>
    <t>MAFE20241625</t>
  </si>
  <si>
    <t>P-1-N-210324-1974</t>
  </si>
  <si>
    <t>Dr. Clauder’s Best Choice Mini Ente &amp; Kartoffel 400g</t>
  </si>
  <si>
    <t>دكتور كلاودر أفضل خيار ميني بط وبطاطس 400 جم</t>
  </si>
  <si>
    <t>MAFE20241624</t>
  </si>
  <si>
    <t>P-1-N-210324-1975</t>
  </si>
  <si>
    <t>Dr. Clauder’s WorkOut Snack mit Rind 100g</t>
  </si>
  <si>
    <t>دكتور كلاودر ورك اوت وجبة خفيفة بلحم بقري 100 جم</t>
  </si>
  <si>
    <t>MAFE20241622</t>
  </si>
  <si>
    <t>23620100</t>
  </si>
  <si>
    <t>P-1-N-210324-1976</t>
  </si>
  <si>
    <t>Dr. Clauder’s WorkOut Snack mit Käse 100g</t>
  </si>
  <si>
    <t>دكتور كلاودر ورك اوت وجبة خفيفة بالجبن 100 جم</t>
  </si>
  <si>
    <t>MAFE20241546</t>
  </si>
  <si>
    <t>P-1-N-210324-1977</t>
  </si>
  <si>
    <t>Dr. Clauder’s WorkOut Snack mit Huhn 100g</t>
  </si>
  <si>
    <t>دكتور كلاودر ورك اوت وجبة خفيفة بالدجاج 100 جم</t>
  </si>
  <si>
    <t>MAFE20241621</t>
  </si>
  <si>
    <t>P-1-N-210324-1978</t>
  </si>
  <si>
    <t>Dr. Clauder’s WorkOut Snack Energy Power Fresh 100g</t>
  </si>
  <si>
    <t>دكتور كلاودر ورك اوت وجبة خفيفة انرجي باور فريش 100 جم</t>
  </si>
  <si>
    <t>MAFE20241538</t>
  </si>
  <si>
    <t>P-1-N-210324-1979</t>
  </si>
  <si>
    <t>Dr. Clauder’s WorkOut Snack mit Lamm 100g</t>
  </si>
  <si>
    <t>دكتور كلاودر ورك اوت وجبة خفيفة بلحم الضأن 100 جم</t>
  </si>
  <si>
    <t>MAFE20241544</t>
  </si>
  <si>
    <t>P-1-N-210324-1980</t>
  </si>
  <si>
    <t>Dr. Clauder’s WorkOut Snack Multivitamin 100g</t>
  </si>
  <si>
    <t>دكتور كلاودر ورك اوت وجبة خفيفة مع الفيتامينات المتعددة 100 جم</t>
  </si>
  <si>
    <t>MAFE20241541</t>
  </si>
  <si>
    <t>P-1-N-210324-1981</t>
  </si>
  <si>
    <t>Dr. Clauder’s WorkOut Snack mit Lachs 100g</t>
  </si>
  <si>
    <t>دكتور كلاودر ورك اوت وجبة خفيفة بسمك السالمون 100 جم</t>
  </si>
  <si>
    <t>MAFE20241543</t>
  </si>
  <si>
    <t>P-1-N-210324-1982</t>
  </si>
  <si>
    <t>Dr. Clauder’s SnackIT Geflügellebercreme 75g</t>
  </si>
  <si>
    <t>دكتور كلاودر سناك ايت كريمة كبد الدواجن 75 جم</t>
  </si>
  <si>
    <t>MAFE20241540</t>
  </si>
  <si>
    <t>P-1-N-210324-1983</t>
  </si>
  <si>
    <t>Dr. Clauder’s SnackIT Lachscreme 75g</t>
  </si>
  <si>
    <t>دكتور كلاودر سناك ايت كريمة سمك السلمون 75 جم</t>
  </si>
  <si>
    <t>MAFE20241537</t>
  </si>
  <si>
    <t>P-1-N-210324-1984</t>
  </si>
  <si>
    <t>Dr. Clauder’s F&amp;C Hündin &amp; Welpenemulsion 150g</t>
  </si>
  <si>
    <t>دكتور كلاودر إف آند سي مستحلب للكلاب والجراء 150 جم</t>
  </si>
  <si>
    <t>MAFE20241539</t>
  </si>
  <si>
    <t>P-1-N-210324-1985</t>
  </si>
  <si>
    <t>MAFE20241536</t>
  </si>
  <si>
    <t>P-1-N-210324-1986</t>
  </si>
  <si>
    <t>Dr. Clauder’s SnackIT Light Anti-Hairball paste 100g</t>
  </si>
  <si>
    <t>دكتور كلاودر سناك ايت لايت انتي هيربول بست 100 جم</t>
  </si>
  <si>
    <t>MAFE20241534</t>
  </si>
  <si>
    <t>P-1-N-210324-1987</t>
  </si>
  <si>
    <t>Dr. Clauder’s SnackIT Light Käsecreme 100g</t>
  </si>
  <si>
    <t>دكتور كلاودر سناك ايت لايت جبنة كريمة 100 جم</t>
  </si>
  <si>
    <t>MAFE20241535</t>
  </si>
  <si>
    <t>P-1-N-210324-1988</t>
  </si>
  <si>
    <t>Dr. Clauder’s SnackIT Light Multivitamin 100g</t>
  </si>
  <si>
    <t>دكتور كلاودر سناك ايت لايت متعدد الفيتامينات 100 جم</t>
  </si>
  <si>
    <t>MAFE20241533</t>
  </si>
  <si>
    <t>P-1-N-210324-1989</t>
  </si>
  <si>
    <t>Dr. Clauder’s SnackIT Light Lachscreme 100g</t>
  </si>
  <si>
    <t>دكتور كلاودر سناك ايت لايت كريمة السلمون 100 جم</t>
  </si>
  <si>
    <t>MAFE20241532</t>
  </si>
  <si>
    <t>P-1-N-210324-1990</t>
  </si>
  <si>
    <t>DC F&amp;C Anti Hairball paste 100g</t>
  </si>
  <si>
    <t>دكتور كلاودر إف آند سي انتي هيربول بست مع التورين 100 جم</t>
  </si>
  <si>
    <t>MAFE20241531</t>
  </si>
  <si>
    <t>P-1-N-210324-1991</t>
  </si>
  <si>
    <t>Dr. Clauder’s F&amp;C Fell Plus Serum 100ml</t>
  </si>
  <si>
    <t>دكتور كلاودر إف آند سي فيل بلس سيروم 100 مل</t>
  </si>
  <si>
    <t>MAFE20241530</t>
  </si>
  <si>
    <t>P-1-N-210324-1992</t>
  </si>
  <si>
    <t>Dr. Clauder’s F&amp;C Fell Aktiv Lachs Röllchen 100g</t>
  </si>
  <si>
    <t>دكتور كلاودر إف آند سي فيل أكتيف لفات السلمون 100 جم</t>
  </si>
  <si>
    <t>MAFE20241529</t>
  </si>
  <si>
    <t>P-1-N-210324-1993</t>
  </si>
  <si>
    <t>Dr. Clauder’s F&amp;C ImmunAktiv Cat Mint Röllchen 100g</t>
  </si>
  <si>
    <t>دكتور كلاودر إف آند سي اميونأكتيف كات لفات النعناع 100 جم</t>
  </si>
  <si>
    <t>MAFE20241528</t>
  </si>
  <si>
    <t>P-1-N-240324-2016</t>
  </si>
  <si>
    <t>Zesty Paws Allergy &amp; Immune Bites Lamb 315mL</t>
  </si>
  <si>
    <t>زيستي باوز اليرجي اند إميون بايتس لحم ضأن 315 مل</t>
  </si>
  <si>
    <t>MAFE20241672</t>
  </si>
  <si>
    <t>شركة زيستي باوز ذات المسؤولية المحدودة</t>
  </si>
  <si>
    <t>P-1-N-240324-2018</t>
  </si>
  <si>
    <t>Zesty Paws Skin &amp; Coat Bites Chicken 315mL</t>
  </si>
  <si>
    <t>زيستي باوز سكين اند كوت بايتس الدجاج 315 مل</t>
  </si>
  <si>
    <t>MAFE20241669</t>
  </si>
  <si>
    <t>P-1-N-240324-2019</t>
  </si>
  <si>
    <t>Zesty Paws Probiotic Bites Chicken 315mL</t>
  </si>
  <si>
    <t>زيستي باوز بروبيوتيك بايتس الدجاج 315 مل</t>
  </si>
  <si>
    <t>MAFE20241671</t>
  </si>
  <si>
    <t>P-1-N-240324-2020</t>
  </si>
  <si>
    <t>Zesty Paws Probiotic Bites Pumpkin 315mL</t>
  </si>
  <si>
    <t>زيستي باوز بروبيوتيك بايتس اليقطين 315 مل</t>
  </si>
  <si>
    <t>MAFE20241670</t>
  </si>
  <si>
    <t>P-1-N-240324-2021</t>
  </si>
  <si>
    <t>Zesty Paws Wild Alaskan Salmon Oil 237mL</t>
  </si>
  <si>
    <t>زيستي باوز زيت سلمون ألاسكا البري 237 مل</t>
  </si>
  <si>
    <t>MAFE20241667</t>
  </si>
  <si>
    <t>P-1-N-240324-2022</t>
  </si>
  <si>
    <t>Zesty Paws Wild Alaskan Salmon Oil 473mL</t>
  </si>
  <si>
    <t>زيستي باوز زيت سلمون ألاسكا البري 473 مل</t>
  </si>
  <si>
    <t>MAFE20241666</t>
  </si>
  <si>
    <t>P-1-N-240324-2023</t>
  </si>
  <si>
    <t>Zesty Paws Wild Alaskan Salmon Oil 946mL</t>
  </si>
  <si>
    <t>زيستي باوز زيت سلمون ألاسكا البري 946 مل</t>
  </si>
  <si>
    <t>MAFE20241668</t>
  </si>
  <si>
    <t>Zesty Paws Skin &amp; Coat Bites Bacon 315mL</t>
  </si>
  <si>
    <t>زيستي باوز سكين اند كوت بايتس بيكون 315 مل</t>
  </si>
  <si>
    <t>MAFE20241755</t>
  </si>
  <si>
    <t>P-1-N-270324-2163</t>
  </si>
  <si>
    <t>FORZA10 Adult Medium Monodiet Lamb 1.5kg</t>
  </si>
  <si>
    <t>فورزا 10 ادلت ميديم مونوديت لحم ضأن 1.5 كجم</t>
  </si>
  <si>
    <t xml:space="preserve">FOM-2024-5415-FEB-2024-59176 -C-0041-79984
</t>
  </si>
  <si>
    <t>P-1-N-270324-2164</t>
  </si>
  <si>
    <t>FORZA10 Adult Medium Monodiet Venison/Potatoes 1.5kg</t>
  </si>
  <si>
    <t>فورزا 10 ادلت ميديم مونوديت لحم الغزال/البطاطا 1.5 كجم</t>
  </si>
  <si>
    <t>MAFE20241737</t>
  </si>
  <si>
    <t>P-1-N-040424-2297</t>
  </si>
  <si>
    <t>معتمد أولي</t>
  </si>
  <si>
    <t>Sanal skin &amp; Coat bites, e 75g</t>
  </si>
  <si>
    <t>سنال لدعم الجلد و الفراء 75 جرام</t>
  </si>
  <si>
    <t>103115</t>
  </si>
  <si>
    <t>P-1-N-080424-2365</t>
  </si>
  <si>
    <t>Forza10 Adult Medium Monodiet Fish 1.5kg</t>
  </si>
  <si>
    <t>فورزا10 ادلت ميديوم مونو دايت سمك 1.5كغ</t>
  </si>
  <si>
    <t xml:space="preserve">FOM-2024-5415-FEB-2024-59171 -C-0041-79979
</t>
  </si>
  <si>
    <t>0110115</t>
  </si>
  <si>
    <t>P-1-N-080424-2366</t>
  </si>
  <si>
    <t>Forza10 Adult Medium Monodiet Vension/Potatoes 1.5kg</t>
  </si>
  <si>
    <t>فورزا10 ادلت ميديوم مونو دايت غزال وبطاطس 1.5كغ</t>
  </si>
  <si>
    <t>MAFE20241857</t>
  </si>
  <si>
    <t>0116115</t>
  </si>
  <si>
    <t>P-1-N-080424-2367</t>
  </si>
  <si>
    <t>Forza10 Adult Medium Monodiet Lamb 1.5kg</t>
  </si>
  <si>
    <t>فورزا10 ادلت ميديوم مونو دايت لحم الضأن 1.5كغ</t>
  </si>
  <si>
    <t>MAFE20241856</t>
  </si>
  <si>
    <t>0101115</t>
  </si>
  <si>
    <t>P-1-N-080424-2368</t>
  </si>
  <si>
    <t>Forza10 Adult Mini Monodiet Fish 1.5kg</t>
  </si>
  <si>
    <t>فورزا10 ادلت ميني مونو دايت سمك 1.5كغ</t>
  </si>
  <si>
    <t>MAFE20241855</t>
  </si>
  <si>
    <t>P-1-N-120720-1901</t>
  </si>
  <si>
    <t>ابلاوز دجاج مع سلمون اضافي للقطه البالغه 7.5 كغم</t>
  </si>
  <si>
    <t>P-1-N-160720-1969</t>
  </si>
  <si>
    <t>Applaws Cat Chicken with Lamb 7.5kg</t>
  </si>
  <si>
    <t>ابلاوز دجاج مع لحم الضأن للقطط 7.5 كجم</t>
  </si>
  <si>
    <t>P-1-N-180820-2289</t>
  </si>
  <si>
    <t>بوتشرز طبيعي وصحي للكلاب مع لحم الغنم والرز باتي 390 جم</t>
  </si>
  <si>
    <t>KC836</t>
  </si>
  <si>
    <t>P-1-N-070920-2663</t>
  </si>
  <si>
    <t>Kitcat Purr Puree Tuna &amp; Salmon 4*15g</t>
  </si>
  <si>
    <t>كت كات بور بوري تونا و سالمون 15جرام *4</t>
  </si>
  <si>
    <t>MAFE20201197</t>
  </si>
  <si>
    <t>KC843</t>
  </si>
  <si>
    <t>P-1-N-070920-2664</t>
  </si>
  <si>
    <t>Kitcat Purr Puree Tuna &amp; fiber (Hairball) 4*15g</t>
  </si>
  <si>
    <t>كت كات بور بوري تونا و الياف (كرات الشعر) 15جرام *4</t>
  </si>
  <si>
    <t>MAFE20201196</t>
  </si>
  <si>
    <t>KC850</t>
  </si>
  <si>
    <t>P-1-N-070920-2665</t>
  </si>
  <si>
    <t>Kitcat Purr Puree Tuna &amp; Smoked fish 4*15g</t>
  </si>
  <si>
    <t>كت كات بور بوري تونا و سمك مدخن 15جرام *4</t>
  </si>
  <si>
    <t>MAFE20201195</t>
  </si>
  <si>
    <t>KC867</t>
  </si>
  <si>
    <t>P-1-N-070920-2666</t>
  </si>
  <si>
    <t>Kitcat Purr Puree Tuna &amp; Scallop 4*15g</t>
  </si>
  <si>
    <t>كت كات بور بوري تونا و محار 15جرام *4</t>
  </si>
  <si>
    <t>MAFE20201194</t>
  </si>
  <si>
    <t>KC874</t>
  </si>
  <si>
    <t>P-1-N-070920-2667</t>
  </si>
  <si>
    <t>Kitcat Purr Puree Chicken &amp; Salmon 4*15g</t>
  </si>
  <si>
    <t>كت كات بور بوري دجاج و سالمون 15جرام *4</t>
  </si>
  <si>
    <t>MAFE20201193</t>
  </si>
  <si>
    <t>KC881</t>
  </si>
  <si>
    <t>P-1-N-070920-2668</t>
  </si>
  <si>
    <t>Kitcat Purr Puree Chicken &amp; fiber (Hairball) 4*15g</t>
  </si>
  <si>
    <t>كت كات بور بوري دجاج و الياف (كرة الشعر) 15جرام *4</t>
  </si>
  <si>
    <t>MAFE20201192</t>
  </si>
  <si>
    <t>KC898</t>
  </si>
  <si>
    <t>P-1-N-070920-2669</t>
  </si>
  <si>
    <t>Kitcat Purr Puree Chicken &amp; Smoked fish 4*15g</t>
  </si>
  <si>
    <t>كت كات بور بوري دجاج و سمك مدخن 15جرام *4</t>
  </si>
  <si>
    <t>MAFE20201191</t>
  </si>
  <si>
    <t>KC904</t>
  </si>
  <si>
    <t>P-1-N-070920-2670</t>
  </si>
  <si>
    <t>Kitcat Purr Puree Chicken &amp; Scallop 4*15g</t>
  </si>
  <si>
    <t>كت كات بور بوري دجاج و محار 15جرام *4</t>
  </si>
  <si>
    <t>MAFE20201190</t>
  </si>
  <si>
    <t>KC3222</t>
  </si>
  <si>
    <t>P-1-N-070920-2671</t>
  </si>
  <si>
    <t>Kit cat Purr Puree Skin &amp; Coat (Chicken &amp; Fish oil) 4*15g</t>
  </si>
  <si>
    <t>كت كات بور بوري بلاس الجلد والفرو (دجاج و زيت السمك) 15جرام *4</t>
  </si>
  <si>
    <t>MAFE20201189</t>
  </si>
  <si>
    <t>KC3215</t>
  </si>
  <si>
    <t>P-1-N-070920-2672</t>
  </si>
  <si>
    <t>Kit cat Purr Puree Urinary care (Chicken &amp; cranberry) 4*15g</t>
  </si>
  <si>
    <t>كت كات بور بوري بلاس العناية البولية (دجاج و توت بري) 15جرام *4</t>
  </si>
  <si>
    <t>MAFE20201188</t>
  </si>
  <si>
    <t>KC3246</t>
  </si>
  <si>
    <t>P-1-N-070920-2673</t>
  </si>
  <si>
    <t>Kit cat Purr Puree Joint care (Chicken &amp; Glucosamine) 4*15g</t>
  </si>
  <si>
    <t>كت كات بور بوري بلاس العناية بالمفصل (دجاج و الجلوكوزامين) 15جرام *4</t>
  </si>
  <si>
    <t>MAFE20201187</t>
  </si>
  <si>
    <t>KC3239</t>
  </si>
  <si>
    <t>P-1-N-070920-2674</t>
  </si>
  <si>
    <t>Kit cat Purr Puree Collagen care (Chicken &amp; Collagen) 4*15g</t>
  </si>
  <si>
    <t>كت كات بور بوري بلاس العناية بالكولاجين (دجاج و كولاجين) 15جرام *4</t>
  </si>
  <si>
    <t>MAFE20201186</t>
  </si>
  <si>
    <t>KC3253</t>
  </si>
  <si>
    <t>P-1-N-070920-2675</t>
  </si>
  <si>
    <t>Kit cat Purr Puree Urinary care (Tuna &amp; cranberry) 4*15g</t>
  </si>
  <si>
    <t>كت كات بور بوري بلاس العناية البولية (تونا و توت بري) 15جرام *4</t>
  </si>
  <si>
    <t>MAFE20201185</t>
  </si>
  <si>
    <t>KC3277</t>
  </si>
  <si>
    <t>P-1-N-070920-2676</t>
  </si>
  <si>
    <t>Kit cat Purr Puree Collagen care (Tuna &amp; Collagen) 4*15g</t>
  </si>
  <si>
    <t>كت كات بور بوري بلاس العناية بالكولاجين (تونا و كولاجين) 15جرام *4</t>
  </si>
  <si>
    <t>MAFE20201184</t>
  </si>
  <si>
    <t>P-1-N-070920-2678</t>
  </si>
  <si>
    <t>كت كات كيتي كرانش كات نكهة لحم الضأن 60 جرام</t>
  </si>
  <si>
    <t>MAFE20201180</t>
  </si>
  <si>
    <t>P-1-N-070920-2679</t>
  </si>
  <si>
    <t>كت كات كيتي كرانش كات نكهة التونا 60 جرام</t>
  </si>
  <si>
    <t>MAFE20201179</t>
  </si>
  <si>
    <t>P-1-N-070920-2680</t>
  </si>
  <si>
    <t>كت كات كيتي كرانش كات نكهة الدجاج 60 جرام</t>
  </si>
  <si>
    <t>MAFE20201178</t>
  </si>
  <si>
    <t>P-1-N-070920-2681</t>
  </si>
  <si>
    <t>كت كات كيتي كرانش كات نكهة المأكولات البحرية 60 جرام</t>
  </si>
  <si>
    <t>MAFE20201152</t>
  </si>
  <si>
    <t>P-1-N-070920-2682</t>
  </si>
  <si>
    <t>كت كات بور بوري بلاس الجلد والفرو (تونا و زيت السمك) 15جرام *4</t>
  </si>
  <si>
    <t>MAFE20201177</t>
  </si>
  <si>
    <t>KC9613</t>
  </si>
  <si>
    <t>P-1-N-070920-2684</t>
  </si>
  <si>
    <t>Kitcat Kittycrunch cat Beef Flavor 60G</t>
  </si>
  <si>
    <t>كت كات كيتي كرانش كات نكهة اللحم البقري 60 جرام</t>
  </si>
  <si>
    <t>MAFE20201175</t>
  </si>
  <si>
    <t>KC9620</t>
  </si>
  <si>
    <t>P-1-N-070920-2685</t>
  </si>
  <si>
    <t>Kitcat kittycrunch cat Salmon Flavor 60 G</t>
  </si>
  <si>
    <t>كت كات كيتي كرنش كات نكهة السالمون 60 جرام</t>
  </si>
  <si>
    <t>MAFE20201174</t>
  </si>
  <si>
    <t>KC7045</t>
  </si>
  <si>
    <t>P-1-N-070920-2686</t>
  </si>
  <si>
    <t>Kitcat Breath Bites Chicken Flavor 60G</t>
  </si>
  <si>
    <t>كت كات بريث بايتس نكهة الدجاج 60 جرام</t>
  </si>
  <si>
    <t>MAFE20201173</t>
  </si>
  <si>
    <t>KC7052</t>
  </si>
  <si>
    <t>P-1-N-070920-2687</t>
  </si>
  <si>
    <t>Kitcat Breath Bites Beef Flavor 60G</t>
  </si>
  <si>
    <t>كت كات بريث بايتس نكهة اللحم البقري 60 جرام</t>
  </si>
  <si>
    <t>MAFE20201172</t>
  </si>
  <si>
    <t>KC7069</t>
  </si>
  <si>
    <t>P-1-N-070920-2688</t>
  </si>
  <si>
    <t>كت كات بريث بايتس نكهة لحم الخروف 60 جرام</t>
  </si>
  <si>
    <t>MAFE20201171</t>
  </si>
  <si>
    <t>KC7076</t>
  </si>
  <si>
    <t>P-1-N-070920-2689</t>
  </si>
  <si>
    <t>Kitcat Breath Bites Salmon Flavor 60G</t>
  </si>
  <si>
    <t>كت كات بريث بايتس نكهة السالمون 60 جرام</t>
  </si>
  <si>
    <t>MAFE20201170</t>
  </si>
  <si>
    <t>KC7090</t>
  </si>
  <si>
    <t>P-1-N-070920-2690</t>
  </si>
  <si>
    <t>Kitcat Breath Bites Tuna Flavor 60G</t>
  </si>
  <si>
    <t>كت كات بريث بايتس نكهة التونا 60 جرام</t>
  </si>
  <si>
    <t>MAFE20201169</t>
  </si>
  <si>
    <t>KC7083</t>
  </si>
  <si>
    <t>P-1-N-070920-2691</t>
  </si>
  <si>
    <t>Kitcat Breath Bites Seafood Flavor 60G</t>
  </si>
  <si>
    <t>كت كات بريث بايتس نكهة مأكولات بحرية 60 جرام</t>
  </si>
  <si>
    <t>MAFE20201168</t>
  </si>
  <si>
    <t>kc2265</t>
  </si>
  <si>
    <t>P-1-N-080920-2749</t>
  </si>
  <si>
    <t>كت كات شرائح الدجاج منزوع العظم و جبنة مع حليب الماعز 70 جرام</t>
  </si>
  <si>
    <t>MAFE20201282</t>
  </si>
  <si>
    <t>KC2272</t>
  </si>
  <si>
    <t>P-1-N-080920-2750</t>
  </si>
  <si>
    <t>كت كات شرائح الدجاج منزوع العظم و سلطعون مع حليب الماعز 70 جرام</t>
  </si>
  <si>
    <t>MAFE20201281</t>
  </si>
  <si>
    <t>KC2234</t>
  </si>
  <si>
    <t>P-1-N-080920-2751</t>
  </si>
  <si>
    <t>كت كات شرائح الدجاج منزوع العظم و سالمون مع حليب الماعز 70 جرام</t>
  </si>
  <si>
    <t>MAFE20201280</t>
  </si>
  <si>
    <t>KC2241</t>
  </si>
  <si>
    <t>P-1-N-080920-2752</t>
  </si>
  <si>
    <t>كت كات شرائح الدجاج منزوع العظم و صغار السمك مع حليب الماعز 70 جرام</t>
  </si>
  <si>
    <t>MAFE20201279</t>
  </si>
  <si>
    <t>KC2258</t>
  </si>
  <si>
    <t>P-1-N-080920-2753</t>
  </si>
  <si>
    <t>كت كات شرائح الدجاج منزوع العظم و رقائق سمك مدخن مع حليب الماعز 70 جرام</t>
  </si>
  <si>
    <t>MAFE20201310</t>
  </si>
  <si>
    <t>KC2289</t>
  </si>
  <si>
    <t>P-1-N-080920-2754</t>
  </si>
  <si>
    <t>كت كات شرائح الدجاج منزوع العظم و جمبري مع حليب الماعز 70 جرام</t>
  </si>
  <si>
    <t>MAFE20201278</t>
  </si>
  <si>
    <t>KC2319</t>
  </si>
  <si>
    <t>P-1-N-080920-2755</t>
  </si>
  <si>
    <t>كت كات رقائق تونا لحم ابيض و رقائق سمك مدخن مع حليب ماعز 70 جرام</t>
  </si>
  <si>
    <t>MAFE20201277</t>
  </si>
  <si>
    <t>KC2326</t>
  </si>
  <si>
    <t>P-1-N-080920-2756</t>
  </si>
  <si>
    <t>كت كات رقائق تونا لحم ابيض و الجبنة مع حليب الماعز 70 جرام</t>
  </si>
  <si>
    <t>MAFE20201275</t>
  </si>
  <si>
    <t>KC2333</t>
  </si>
  <si>
    <t>P-1-N-080920-2757</t>
  </si>
  <si>
    <t>كت كات رقائق تونا لحم ابيض و السلطعون مع حليب الماعز 70 جرام</t>
  </si>
  <si>
    <t>MAFE20201274</t>
  </si>
  <si>
    <t>P-1-N-080920-2758</t>
  </si>
  <si>
    <t>كت كات رقائق تونا لحم ابيض و السالمون مع حليب الماعز 70 جرام</t>
  </si>
  <si>
    <t>MAFE20201273</t>
  </si>
  <si>
    <t>KC2340</t>
  </si>
  <si>
    <t>P-1-N-080920-2759</t>
  </si>
  <si>
    <t>كت كات رقائق تونا لحم ابيض و جمبري مع حليب الماعز 70 جرام</t>
  </si>
  <si>
    <t>MAFE20201267</t>
  </si>
  <si>
    <t>KC2302</t>
  </si>
  <si>
    <t>P-1-N-080920-2760</t>
  </si>
  <si>
    <t>Kitcat white meat tuna flakes &amp; Whitebait with Goat milk 70g</t>
  </si>
  <si>
    <t>كت كات رقائق تونا لحم ابيض و صغارالسمك مع حليب الماعز 70 جرام</t>
  </si>
  <si>
    <t>MAFE20201266</t>
  </si>
  <si>
    <t>KC2166</t>
  </si>
  <si>
    <t>P-1-N-120920-2851</t>
  </si>
  <si>
    <t>كت كات دجاج منزوع العظم و السلمون 80 جرام</t>
  </si>
  <si>
    <t>MAFE20201265</t>
  </si>
  <si>
    <t>KC2180</t>
  </si>
  <si>
    <t>P-1-N-120920-2852</t>
  </si>
  <si>
    <t>كت كات دجاج منزوع العظم و مأكولات بحرية 80 جرام</t>
  </si>
  <si>
    <t>MAFE20201264</t>
  </si>
  <si>
    <t>KC2203</t>
  </si>
  <si>
    <t>P-1-N-120920-2853</t>
  </si>
  <si>
    <t>كت كات تونا و سمك الانشوفة 80 جرام</t>
  </si>
  <si>
    <t>MAFE20201309</t>
  </si>
  <si>
    <t>KC2197</t>
  </si>
  <si>
    <t>P-1-N-120920-2854</t>
  </si>
  <si>
    <t>كت كات تونا كلاسيكي منزوع العظم 80 جرام</t>
  </si>
  <si>
    <t>MAFE20201258</t>
  </si>
  <si>
    <t>KC2263</t>
  </si>
  <si>
    <t>P-1-N-120920-2855</t>
  </si>
  <si>
    <t>كت كات تونا منزوع العظم و السلطعون 80 جرام</t>
  </si>
  <si>
    <t>MAFE20201263</t>
  </si>
  <si>
    <t>KC2249</t>
  </si>
  <si>
    <t>P-1-N-120920-2856</t>
  </si>
  <si>
    <t>كت كات تونا منزوع العظم و محار 80 جرام</t>
  </si>
  <si>
    <t>MAFE20201262</t>
  </si>
  <si>
    <t>KC2270</t>
  </si>
  <si>
    <t>P-1-N-120920-2857</t>
  </si>
  <si>
    <t>كت كات تونا منزوع العظم و سالمون 80 جرام</t>
  </si>
  <si>
    <t>MAFE20201261</t>
  </si>
  <si>
    <t>KC2256</t>
  </si>
  <si>
    <t>P-1-N-120920-2858</t>
  </si>
  <si>
    <t>كت كات تونا منزوع العظم و الدجاج 80 جرام</t>
  </si>
  <si>
    <t>MAFE20201260</t>
  </si>
  <si>
    <t>KC2218</t>
  </si>
  <si>
    <t>P-1-N-120920-2859</t>
  </si>
  <si>
    <t>كت كات دجاج منزوع العظم و لحم بقري 80 جرام</t>
  </si>
  <si>
    <t>MAFE20201236</t>
  </si>
  <si>
    <t>KC2225</t>
  </si>
  <si>
    <t>P-1-N-120920-2860</t>
  </si>
  <si>
    <t>كت كات دجاج منزوع العظم و لحم الضأن 80 جرام</t>
  </si>
  <si>
    <t>MAFE20201235</t>
  </si>
  <si>
    <t>KC2232</t>
  </si>
  <si>
    <t>P-1-N-120920-2861</t>
  </si>
  <si>
    <t>كت كات دجاج منزوع العظم و جمبري 80 جرام</t>
  </si>
  <si>
    <t>MAFE20201259</t>
  </si>
  <si>
    <t>KC2201</t>
  </si>
  <si>
    <t>P-1-N-120920-2862</t>
  </si>
  <si>
    <t>كت كات دجاج كلاسيكي منزوع العظم 80 جرام</t>
  </si>
  <si>
    <t>MAFE20201234</t>
  </si>
  <si>
    <t>KC9286</t>
  </si>
  <si>
    <t>P-1-N-120920-2864</t>
  </si>
  <si>
    <t>Kitcat Pick of the ocean 1.20 KG</t>
  </si>
  <si>
    <t>كت كات اختيار المحيط 1.20 كيلو</t>
  </si>
  <si>
    <t>MAFE20201232</t>
  </si>
  <si>
    <t>KC9279</t>
  </si>
  <si>
    <t>P-1-N-120920-2865</t>
  </si>
  <si>
    <t>Kitcat fillet "O" flakes 1.20 KG</t>
  </si>
  <si>
    <t>كت كات رقائق الفيليه 1.20 كيلو</t>
  </si>
  <si>
    <t>MAFE20201231</t>
  </si>
  <si>
    <t>KC9293</t>
  </si>
  <si>
    <t>P-1-N-120920-2866</t>
  </si>
  <si>
    <t xml:space="preserve">FOM-2024-5403-FEB-2024-49847 -C-0041-70644
</t>
  </si>
  <si>
    <t>كت كات سمك صغير متنوع 1.20 كيلو</t>
  </si>
  <si>
    <t>MAFE20201230</t>
  </si>
  <si>
    <t>KC9248</t>
  </si>
  <si>
    <t>P-1-N-120920-2867</t>
  </si>
  <si>
    <t>Kitcat chicken cuisine 1.20 KG</t>
  </si>
  <si>
    <t>كت كات طبق الدجاج 1.20 كيلو</t>
  </si>
  <si>
    <t>MAFE20201229</t>
  </si>
  <si>
    <t>KC9262</t>
  </si>
  <si>
    <t>P-1-N-120920-2868</t>
  </si>
  <si>
    <t>Kitcat signature salmon 1.20 KG</t>
  </si>
  <si>
    <t>كت كات سمك السلمون المميز 1.20 كيلو</t>
  </si>
  <si>
    <t>MAFE20201227</t>
  </si>
  <si>
    <t>KC3200</t>
  </si>
  <si>
    <t>P-1-N-041020-3342</t>
  </si>
  <si>
    <t>مرق التونا كلاسيكي 70 جرام</t>
  </si>
  <si>
    <t>MAFE20201665</t>
  </si>
  <si>
    <t>KC3132</t>
  </si>
  <si>
    <t>P-1-N-041020-3343</t>
  </si>
  <si>
    <t>مرق الدجاج و اللحم البقري 70 جرام</t>
  </si>
  <si>
    <t>MAFE20201649</t>
  </si>
  <si>
    <t>KC3118</t>
  </si>
  <si>
    <t>P-1-N-041020-3344</t>
  </si>
  <si>
    <t>مرق الدجاج و بيض السمان 70 جرام</t>
  </si>
  <si>
    <t>MAFE20201648</t>
  </si>
  <si>
    <t>KC3125</t>
  </si>
  <si>
    <t>P-1-N-041020-3345</t>
  </si>
  <si>
    <t>مرق</t>
  </si>
  <si>
    <t>MAFE20201647</t>
  </si>
  <si>
    <t>KC3095</t>
  </si>
  <si>
    <t>P-1-N-041020-3346</t>
  </si>
  <si>
    <t>مرق الدجاج و السمك الصغير 70 جرام</t>
  </si>
  <si>
    <t>MAFE20201646</t>
  </si>
  <si>
    <t>KC3149</t>
  </si>
  <si>
    <t>P-1-N-041020-3347</t>
  </si>
  <si>
    <t>مرق الدجاج الكلاسيكي 70 جرام</t>
  </si>
  <si>
    <t>MAFE20201645</t>
  </si>
  <si>
    <t>KC3156</t>
  </si>
  <si>
    <t>P-1-N-041020-3348</t>
  </si>
  <si>
    <t>مرق التونا و السمك الصغير 70 جرام</t>
  </si>
  <si>
    <t>MAFE20201644</t>
  </si>
  <si>
    <t>KC3194</t>
  </si>
  <si>
    <t>P-1-N-041020-3349</t>
  </si>
  <si>
    <t>مرق التونا و اللحم البقري 70 جرام</t>
  </si>
  <si>
    <t>MAFE20201643</t>
  </si>
  <si>
    <t>KC3163</t>
  </si>
  <si>
    <t>P-1-N-041020-3350</t>
  </si>
  <si>
    <t>مرق التونا و الدجاج 70 جرام</t>
  </si>
  <si>
    <t>MAFE20201642</t>
  </si>
  <si>
    <t>KC3187</t>
  </si>
  <si>
    <t>P-1-N-041020-3351</t>
  </si>
  <si>
    <t>مرق التونا و السلمون 70 جرام</t>
  </si>
  <si>
    <t>MAFE20201641</t>
  </si>
  <si>
    <t>KC3101</t>
  </si>
  <si>
    <t>P-1-N-041020-3353</t>
  </si>
  <si>
    <t>مرق الدجاج و التونا الوثابة 70 جرام</t>
  </si>
  <si>
    <t>MAFE20201640</t>
  </si>
  <si>
    <t>KC3170</t>
  </si>
  <si>
    <t>P-1-N-041020-3354</t>
  </si>
  <si>
    <t>مرق التونا وبيض السمان 70 جرام</t>
  </si>
  <si>
    <t>MAFE20201639</t>
  </si>
  <si>
    <t>KC9422</t>
  </si>
  <si>
    <t>P-1-N-291220-5176</t>
  </si>
  <si>
    <t>Kit Cat Chicken Cuisine 5kg</t>
  </si>
  <si>
    <t>كيت كات دجاج كويسين 5 كجم</t>
  </si>
  <si>
    <t>MAFE20202569</t>
  </si>
  <si>
    <t>KC9415</t>
  </si>
  <si>
    <t>P-1-N-291220-5177</t>
  </si>
  <si>
    <t>Kit Cat Classic 32 5kg</t>
  </si>
  <si>
    <t>كيت كات كلاسيك 32 5 كجم</t>
  </si>
  <si>
    <t>MAFE20202568</t>
  </si>
  <si>
    <t>KC9477</t>
  </si>
  <si>
    <t>P-1-N-291220-5178</t>
  </si>
  <si>
    <t>Kit Cat Classic 32 15kg</t>
  </si>
  <si>
    <t>كيت كات كلاسيك 32 15 كجم</t>
  </si>
  <si>
    <t>MAFE20202567</t>
  </si>
  <si>
    <t>KC9453</t>
  </si>
  <si>
    <t>P-1-N-291220-5179</t>
  </si>
  <si>
    <t>Kit Cat Fillet ‘O’ Flakes 5kg</t>
  </si>
  <si>
    <t>كيت كات فيليه 'او' فلاكس 5 كجم</t>
  </si>
  <si>
    <t>MAFE20202566</t>
  </si>
  <si>
    <t>KC9446</t>
  </si>
  <si>
    <t>P-1-N-291220-5181</t>
  </si>
  <si>
    <t>Kit Cat Mini Fish Medley 5kg</t>
  </si>
  <si>
    <t>كيت كات ميني فيش ميدلي 5 كجم</t>
  </si>
  <si>
    <t>MAFE20202565</t>
  </si>
  <si>
    <t>KC9484</t>
  </si>
  <si>
    <t>P-1-N-291220-5183</t>
  </si>
  <si>
    <t>Kit Cat Pick of the Ocean 15kg</t>
  </si>
  <si>
    <t>كيت كات بيك اوف ذا اوشن 15 كجم</t>
  </si>
  <si>
    <t>MAFE20202563</t>
  </si>
  <si>
    <t>KC9361</t>
  </si>
  <si>
    <t>P-1-N-291220-5184</t>
  </si>
  <si>
    <t>Kit Cat Dry Food - Kittens &amp; Pregnant Cat 1.2kg</t>
  </si>
  <si>
    <t>كيت كات طعام جاف - للقطط الصغيرة والقطط الحامل 1.2 كجم</t>
  </si>
  <si>
    <t>MAFE2021396</t>
  </si>
  <si>
    <t>KC9521</t>
  </si>
  <si>
    <t>P-1-N-291220-5185</t>
  </si>
  <si>
    <t>Kit Cat Dry Food - Kittens &amp; Pregnant Cat 5kg</t>
  </si>
  <si>
    <t>كيت</t>
  </si>
  <si>
    <t>MAFE20202562</t>
  </si>
  <si>
    <t>KC2521</t>
  </si>
  <si>
    <t>P-1-N-190121-247</t>
  </si>
  <si>
    <t>Kitcat Milk for Kittens 250ml</t>
  </si>
  <si>
    <t>MAFE2021192</t>
  </si>
  <si>
    <t>KC426</t>
  </si>
  <si>
    <t>P-1-N-100221-609</t>
  </si>
  <si>
    <t>كيت كات موس للقطط الصغيرة 400 جم</t>
  </si>
  <si>
    <t>MAFE2021562</t>
  </si>
  <si>
    <t>KC419</t>
  </si>
  <si>
    <t>P-1-N-100221-610</t>
  </si>
  <si>
    <t>كيت كات اتلانتيك تونة مع الكابوريا 400 جم</t>
  </si>
  <si>
    <t>MAFE2021561</t>
  </si>
  <si>
    <t>KC433</t>
  </si>
  <si>
    <t>P-1-N-100221-611</t>
  </si>
  <si>
    <t>كيت كات تونة مع الماكريل 400 جم</t>
  </si>
  <si>
    <t>MAFE2021560</t>
  </si>
  <si>
    <t>KC440</t>
  </si>
  <si>
    <t>P-1-N-100221-612</t>
  </si>
  <si>
    <t>كيت كات تونة مع الروبيان 400 جم</t>
  </si>
  <si>
    <t>MAFE2021559</t>
  </si>
  <si>
    <t>KC464</t>
  </si>
  <si>
    <t>P-1-N-100221-614</t>
  </si>
  <si>
    <t>كيت كات تونة مع سمك وايتبيت 400 جم</t>
  </si>
  <si>
    <t>MAFE2021557</t>
  </si>
  <si>
    <t>KC2494</t>
  </si>
  <si>
    <t>P-1-N-100221-615</t>
  </si>
  <si>
    <t>كيت كات موس للقطط الصغيرة مع التونة 80 جم</t>
  </si>
  <si>
    <t>MAFE2021556</t>
  </si>
  <si>
    <t>KC2487</t>
  </si>
  <si>
    <t>P-1-N-100221-616</t>
  </si>
  <si>
    <t>MAFE2021555</t>
  </si>
  <si>
    <t>KC2500</t>
  </si>
  <si>
    <t>P-1-N-100221-617</t>
  </si>
  <si>
    <t>Kit Cat Tuna Mousse &amp; Chicken Toppers 80g</t>
  </si>
  <si>
    <t>كيت كات موس التونة و دجاج توبرز 80 جم</t>
  </si>
  <si>
    <t>MAFE2021554</t>
  </si>
  <si>
    <t>KC2517</t>
  </si>
  <si>
    <t>P-1-N-100221-618</t>
  </si>
  <si>
    <t>كيت كات موس الدجاج و تونة توبرز 80 جم</t>
  </si>
  <si>
    <t>MAFE2021553</t>
  </si>
  <si>
    <t>KC2210</t>
  </si>
  <si>
    <t>P-1-N-040321-1093</t>
  </si>
  <si>
    <t>كيت كات ديبوند تونة و روبيان توبرز 80 جم</t>
  </si>
  <si>
    <t>MAFE2021705</t>
  </si>
  <si>
    <t>kc449</t>
  </si>
  <si>
    <t>P-1-N-280321-1527</t>
  </si>
  <si>
    <t>كيت كات تونة مع السلمون 400 جم</t>
  </si>
  <si>
    <t>MAFE2021960</t>
  </si>
  <si>
    <t>KC3071</t>
  </si>
  <si>
    <t>P-1-N-180521-2697</t>
  </si>
  <si>
    <t>كيت كات ديبوند كيتن رقائق التونة مع أسبيك 80 جم</t>
  </si>
  <si>
    <t>MAFE20211666</t>
  </si>
  <si>
    <t>KC3088</t>
  </si>
  <si>
    <t>P-1-N-180521-2698</t>
  </si>
  <si>
    <t>كيت كات ديبوند كيتن رقائق الدجاج مع أسبيك 80 جم</t>
  </si>
  <si>
    <t>MAFE20211644</t>
  </si>
  <si>
    <t>15193</t>
  </si>
  <si>
    <t>P-1-N-060721-4181</t>
  </si>
  <si>
    <t>Beaphar Lactol Kitten Milk 500g</t>
  </si>
  <si>
    <t>بيفار لاكتول حليب القطط الصغيرة 5 جم..</t>
  </si>
  <si>
    <t>MAFE20212461</t>
  </si>
  <si>
    <t>KC4709</t>
  </si>
  <si>
    <t>P-1-N-011121-7311</t>
  </si>
  <si>
    <t>Kit Cat Complete Cuisine - Chicken &amp; Chia Seed 150g</t>
  </si>
  <si>
    <t>كيت كات كوزين كامل - دجاج وبذورالشيا 150 ﺟﻢ</t>
  </si>
  <si>
    <t>MAFE20214063</t>
  </si>
  <si>
    <t>KC4808</t>
  </si>
  <si>
    <t>P-1-N-081121-7511</t>
  </si>
  <si>
    <t>Kit Cat Complete Cuisine - Chicken &amp; Salmon 150g</t>
  </si>
  <si>
    <t>كيت كات كوزين كامل - دجاج وسلمون 150 جم</t>
  </si>
  <si>
    <t>MAFE20214148</t>
  </si>
  <si>
    <t>KC4723</t>
  </si>
  <si>
    <t>P-1-N-081121-7512</t>
  </si>
  <si>
    <t>Kit Cat Complete Cuisine - Chicken &amp; Skipjack 150g</t>
  </si>
  <si>
    <t>كيت كات كوزين كامل - دجاج وسكيبجاك 150 جم</t>
  </si>
  <si>
    <t>MAFE20214144</t>
  </si>
  <si>
    <t>KC5096</t>
  </si>
  <si>
    <t>P-1-N-081121-7513</t>
  </si>
  <si>
    <t>Kit Cat Complete Cuisine - Chicken Classic 150g</t>
  </si>
  <si>
    <t>MAFE20214134</t>
  </si>
  <si>
    <t>KC4778</t>
  </si>
  <si>
    <t>P-1-N-081121-7516</t>
  </si>
  <si>
    <t>Kit Cat Complete Cuisine - Tuna &amp; Chicken 150g</t>
  </si>
  <si>
    <t>كيت كات كوزين كامل - تونا ودجاج 150 جم</t>
  </si>
  <si>
    <t>MAFE20214143</t>
  </si>
  <si>
    <t>KC4754</t>
  </si>
  <si>
    <t>P-1-N-081121-7517</t>
  </si>
  <si>
    <t>Kit Cat Complete Cuisine - Tuna &amp; Goji Berry 150g</t>
  </si>
  <si>
    <t>كيت كات كوزين كامل - تونا وغوجي بيري 150 جم</t>
  </si>
  <si>
    <t>MAFE20214139</t>
  </si>
  <si>
    <t>KC5768</t>
  </si>
  <si>
    <t>P-1-N-081121-7518</t>
  </si>
  <si>
    <t>Kit Cat Complete Cuisine - Tuna &amp; Salmon 150g</t>
  </si>
  <si>
    <t>كيت كات كوزين كامل – تونا وسلمون 150 جم</t>
  </si>
  <si>
    <t>MAFE20214142</t>
  </si>
  <si>
    <t>KC4792</t>
  </si>
  <si>
    <t>P-1-N-081121-7519</t>
  </si>
  <si>
    <t>Kit Cat Complete Cuisine - Tuna &amp; Whitebait 150g</t>
  </si>
  <si>
    <t>كيت كات كوزين كامل – تونا و ايت بيت 150 جم</t>
  </si>
  <si>
    <t>MAFE20214141</t>
  </si>
  <si>
    <t>KC4730</t>
  </si>
  <si>
    <t>P-1-N-081121-7522</t>
  </si>
  <si>
    <t>Kit Cat Complete Cuisine -Chicken &amp; Whitebait 150g</t>
  </si>
  <si>
    <t>كيت كات كوزين كامل - دجاج ووايت بيت 150 جم</t>
  </si>
  <si>
    <t>MAFE20214133</t>
  </si>
  <si>
    <t>KC4693</t>
  </si>
  <si>
    <t>P-1-N-081121-7523</t>
  </si>
  <si>
    <t>Kit Cat Complete Cuisine-Chicken &amp; Goji Berry 150g</t>
  </si>
  <si>
    <t>كيت كات كوزين كامل - دجاج وغوجي بيري 150 جم</t>
  </si>
  <si>
    <t>MAFE20214137</t>
  </si>
  <si>
    <t>KC5775</t>
  </si>
  <si>
    <t>P-1-N-150522-2936</t>
  </si>
  <si>
    <t>Kit Cat Complete Cuisine Kitten Recipe Chicken 150g</t>
  </si>
  <si>
    <t>كيت كات كوزين كامل كتن وصفة الدجاج في المرق 150 جم</t>
  </si>
  <si>
    <t>KC4747</t>
  </si>
  <si>
    <t>P-1-N-150522-2937</t>
  </si>
  <si>
    <t>Kit Cat Complete Cuisine Kitten Recipe Tuna 150g</t>
  </si>
  <si>
    <t>كيت كات كوزين كامل كتن وصفة التونا في المرق 150 جم</t>
  </si>
  <si>
    <t>MAFE20221668</t>
  </si>
  <si>
    <t>KC5607</t>
  </si>
  <si>
    <t>P-1-N-150822-4725</t>
  </si>
  <si>
    <t>Kit Cat Cat Stick - Chicken &amp; Wild Berries 15g</t>
  </si>
  <si>
    <t>كيت كات دجاج مع التوت البري 15 جم</t>
  </si>
  <si>
    <t>MAFE20222543</t>
  </si>
  <si>
    <t>KC5621</t>
  </si>
  <si>
    <t>P-1-N-150822-4726</t>
  </si>
  <si>
    <t>Kit Cat Cat Stick - Chicken &amp; Salmon 15g</t>
  </si>
  <si>
    <t>كيت كات دجاج وسلمون 15 جم</t>
  </si>
  <si>
    <t>MAFE20222539</t>
  </si>
  <si>
    <t>KC5669</t>
  </si>
  <si>
    <t>P-1-N-150822-4727</t>
  </si>
  <si>
    <t>Kit Cat Cat Stick - Chicken , Duck &amp; Cranberries 15g</t>
  </si>
  <si>
    <t>كيت كات دجاج مع بط و كرز 15 جم</t>
  </si>
  <si>
    <t>MAFE20222538</t>
  </si>
  <si>
    <t>KC5638</t>
  </si>
  <si>
    <t>P-1-N-150822-4728</t>
  </si>
  <si>
    <t>Kit Cat Cat Stick - Atlantic Salmon 15g</t>
  </si>
  <si>
    <t>كيت كات وصفة السلمون الاطلسي 15 جم</t>
  </si>
  <si>
    <t>MAFE20222531</t>
  </si>
  <si>
    <t>KC5645</t>
  </si>
  <si>
    <t>P-1-N-150822-4730</t>
  </si>
  <si>
    <t>Kit Cat Cat Stick - Salmon &amp; Tuna 15g</t>
  </si>
  <si>
    <t>كيت كات سلمون وتونة 15 جم</t>
  </si>
  <si>
    <t>MAFE20222535</t>
  </si>
  <si>
    <t>KC5676</t>
  </si>
  <si>
    <t>P-1-N-150822-4731</t>
  </si>
  <si>
    <t>Kit Cat Cat Stick - Salmon &amp; Scallop 15g</t>
  </si>
  <si>
    <t>كيت كات السلمون والاسكالوب 15 جم</t>
  </si>
  <si>
    <t>MAFE20222530</t>
  </si>
  <si>
    <t>kc7618</t>
  </si>
  <si>
    <t>P-1-N-180822-4857</t>
  </si>
  <si>
    <t>Kit Cat Purrfect Pockets Chicken &amp; Cheese 60g</t>
  </si>
  <si>
    <t>كيت كات برفكت باكتس دجاج وجبن 60 ﺟﻢ</t>
  </si>
  <si>
    <t>MAFE20222679</t>
  </si>
  <si>
    <t>kc7601</t>
  </si>
  <si>
    <t>P-1-N-180822-4859</t>
  </si>
  <si>
    <t>Kit Cat Purrfect Pockets Hairball Control 60g</t>
  </si>
  <si>
    <t>كيت كات برفكت باكتس للتحكم في كرة الشعر 60 ﺟﻢ</t>
  </si>
  <si>
    <t>MAFE20222695</t>
  </si>
  <si>
    <t>kc7625</t>
  </si>
  <si>
    <t>P-1-N-180822-4860</t>
  </si>
  <si>
    <t>Kit Cat Purrfect Pockets Salmon 60g</t>
  </si>
  <si>
    <t>كيت كات برفكت باكتس سلمون 60 ﺟﻢ</t>
  </si>
  <si>
    <t>MAFE20222694</t>
  </si>
  <si>
    <t>kc7649</t>
  </si>
  <si>
    <t>P-1-N-180822-4861</t>
  </si>
  <si>
    <t>Kit Cat Purrfect Pockets Sensitive Care 60g</t>
  </si>
  <si>
    <t>كيت كات برفكت باكتس للعناية الحساسة 60 ﺟﻢ</t>
  </si>
  <si>
    <t>MAFE20222701</t>
  </si>
  <si>
    <t>kc7632</t>
  </si>
  <si>
    <t>P-1-N-180822-4862</t>
  </si>
  <si>
    <t>Kit Cat Purrfect Pockets Skin &amp; Coat Care 60g</t>
  </si>
  <si>
    <t>كيت كات برفكت باكتس العناية بالجلد والمعطف 60 ﺟﻢ</t>
  </si>
  <si>
    <t>MAFE20222700</t>
  </si>
  <si>
    <t>kc7854</t>
  </si>
  <si>
    <t>P-1-N-210822-4880</t>
  </si>
  <si>
    <t>Kit Cat Freeze Dried Yogurt Yums 10g - Original</t>
  </si>
  <si>
    <t>كيت كات فريز درايد يوغرت يمس 10 جرام - أصلي</t>
  </si>
  <si>
    <t>MAFE20223135</t>
  </si>
  <si>
    <t>شركة تيانجين رانوفا للحيوانات الأليفة المحدودة</t>
  </si>
  <si>
    <t>kc7847</t>
  </si>
  <si>
    <t>P-1-N-210822-4881</t>
  </si>
  <si>
    <t>Kit Cat Freeze Dried Yogurt Yums 10g - Blueberry</t>
  </si>
  <si>
    <t>كيت كات فريز درايد يوغرت يمس 10 جرام - توت</t>
  </si>
  <si>
    <t>MAFE20223134</t>
  </si>
  <si>
    <t>kc7861</t>
  </si>
  <si>
    <t>P-1-N-210822-4882</t>
  </si>
  <si>
    <t>Kit Cat Freeze Dried Yogurt Yums 10g - Cranberry</t>
  </si>
  <si>
    <t>كيت كات فريز درايد يوغرت يمس 10 جرام - توت بري</t>
  </si>
  <si>
    <t>MAFE20223133</t>
  </si>
  <si>
    <t>kc7878</t>
  </si>
  <si>
    <t>P-1-N-210822-4883</t>
  </si>
  <si>
    <t>Kit Cat Freeze Dried Yogurt Yums 10g - Pumpkin</t>
  </si>
  <si>
    <t>كيت كات فريز درايد يوغرت يمس 10 جرام - يقطين</t>
  </si>
  <si>
    <t>MAFE20223131</t>
  </si>
  <si>
    <t>kc7885</t>
  </si>
  <si>
    <t>P-1-N-210822-4884</t>
  </si>
  <si>
    <t>Kit Cat Freeze Dried Yogurt Yums 10g - Strawberry</t>
  </si>
  <si>
    <t>كيت كات فريز درايد يوغرت يمس 10 جرام - فراولة</t>
  </si>
  <si>
    <t>MAFE20223130</t>
  </si>
  <si>
    <t>kc7892</t>
  </si>
  <si>
    <t>P-1-N-210822-4886</t>
  </si>
  <si>
    <t>Kit Cat Freeze Dried Yogurt Yums 10g - Apple</t>
  </si>
  <si>
    <t>كيت كات فريز درايد يوغرت يمس 10 جرام - تفاح</t>
  </si>
  <si>
    <t>MAFE20223132</t>
  </si>
  <si>
    <t>kc7908</t>
  </si>
  <si>
    <t>P-1-N-210822-4887</t>
  </si>
  <si>
    <t>Kit Cat Freeze Dried Yogurt Yums 10g - Egg yolk</t>
  </si>
  <si>
    <t>كيت كات فريز درايد يوغرت يمس 10 جرام - صفار البيض</t>
  </si>
  <si>
    <t>MAFE20223129</t>
  </si>
  <si>
    <t>kc7915</t>
  </si>
  <si>
    <t>P-1-N-210822-4888</t>
  </si>
  <si>
    <t>Kit Cat Freeze Dried Yogurt Yums 10g - Cheese</t>
  </si>
  <si>
    <t>كيت كات فريز درايد يوغرت يمس 10 جرام - جبن</t>
  </si>
  <si>
    <t>MAFE20223128</t>
  </si>
  <si>
    <t>KC7922</t>
  </si>
  <si>
    <t>P-1-N-230123-477</t>
  </si>
  <si>
    <t>Kit Cat Cranberry Crisps - Chicken Flavor 20g</t>
  </si>
  <si>
    <t>كت كات كرانبيري كريسبس - نكهة الدجاج 20 جم</t>
  </si>
  <si>
    <t>MAFE2023356</t>
  </si>
  <si>
    <t>KC7939</t>
  </si>
  <si>
    <t>P-1-N-230123-478</t>
  </si>
  <si>
    <t>Kit Cat Cranberry Crisps - Beef Flavor 20g</t>
  </si>
  <si>
    <t>كت كات كرانبيري كريسبس - نكهة اللحم البقري 20 جم</t>
  </si>
  <si>
    <t>MAFE2023355</t>
  </si>
  <si>
    <t>KC7946</t>
  </si>
  <si>
    <t>P-1-N-230123-479</t>
  </si>
  <si>
    <t>Kit Cat Cranberry Crisps - Lamb Flavor 20g</t>
  </si>
  <si>
    <t>كت كات كرانبيري كريسبس - نكهة لحم الضأن 20 جم</t>
  </si>
  <si>
    <t>MAFE2023354</t>
  </si>
  <si>
    <t>KC7977</t>
  </si>
  <si>
    <t>P-1-N-230123-480</t>
  </si>
  <si>
    <t>Kit Cat Cranberry Crisps - Salmon Flavor 20g</t>
  </si>
  <si>
    <t>كت كات كرانبيري كريسبس - نكهة السلمون 20 جم</t>
  </si>
  <si>
    <t>MAFE2023353</t>
  </si>
  <si>
    <t>KC7953</t>
  </si>
  <si>
    <t>P-1-N-230123-481</t>
  </si>
  <si>
    <t>Kit Cat Cranberry Crisps - Seafood Flavor 20g</t>
  </si>
  <si>
    <t>كت كات كرانبيري كريسبس - نكهة المأكولات البحرية 20 جم</t>
  </si>
  <si>
    <t>MAFE2023352</t>
  </si>
  <si>
    <t>KC7960</t>
  </si>
  <si>
    <t>P-1-N-230123-482</t>
  </si>
  <si>
    <t>Kit Cat Cranberry Crisps - Tuna Flavor 20g</t>
  </si>
  <si>
    <t>كت كات كرانبيري كريسبس - نكهة التونة 20 جم</t>
  </si>
  <si>
    <t>MAFE2023351</t>
  </si>
  <si>
    <t>P-1-N-160424-2415</t>
  </si>
  <si>
    <t>P-1-N-160424-2416</t>
  </si>
  <si>
    <t>P-1-N-160424-2417</t>
  </si>
  <si>
    <t>P-1-N-160424-2418</t>
  </si>
  <si>
    <t>P-1-N-160424-2420</t>
  </si>
  <si>
    <t>P-1-N-160424-2424</t>
  </si>
  <si>
    <t>P-1-N-160424-2425</t>
  </si>
  <si>
    <t>P-1-N-160424-2426</t>
  </si>
  <si>
    <t>P-1-N-160424-2427</t>
  </si>
  <si>
    <t>P-1-N-160424-2428</t>
  </si>
  <si>
    <t>P-1-N-160424-2429</t>
  </si>
  <si>
    <t>P-1-N-160424-2442</t>
  </si>
  <si>
    <t>Garden Bites dental Sticks S 420g</t>
  </si>
  <si>
    <t>جاردن بايتس دنتال ستيكس صغير 240ج</t>
  </si>
  <si>
    <t>MAFE20242009</t>
  </si>
  <si>
    <t>"لاروي جروب إن في	"</t>
  </si>
  <si>
    <t>P-1-N-160424-2443</t>
  </si>
  <si>
    <t xml:space="preserve">Garden Bites dental Sticks S 3.24KG
</t>
  </si>
  <si>
    <t xml:space="preserve">جاردن بايتس دنتال ستيكس صغير 3.24 كج
</t>
  </si>
  <si>
    <t>MAFE20242084</t>
  </si>
  <si>
    <t xml:space="preserve">لاروي جروب إن في	</t>
  </si>
  <si>
    <t>P-1-N-170424-2460</t>
  </si>
  <si>
    <t xml:space="preserve">Garden Bites dental Sticks L 420G
</t>
  </si>
  <si>
    <t xml:space="preserve">جاردن بايتس دنتال ستيكس كبير 420ج
</t>
  </si>
  <si>
    <t>MAFE20242024</t>
  </si>
  <si>
    <t>P-1-N-170424-2461</t>
  </si>
  <si>
    <t xml:space="preserve">Garden Bites dental Sticks L 3.60KG
</t>
  </si>
  <si>
    <t xml:space="preserve">جاردن بايتس دنتال ستيكس كبير 3.6كج
</t>
  </si>
  <si>
    <t>MAFE20242085</t>
  </si>
  <si>
    <t>P-1-N-170424-2462</t>
  </si>
  <si>
    <t xml:space="preserve">Garden Bites Veggie Friends S 270g
</t>
  </si>
  <si>
    <t xml:space="preserve">جاردن بايتس فيجي فريندز صغير 270ج
</t>
  </si>
  <si>
    <t>MAFE20242023</t>
  </si>
  <si>
    <t>P-1-N-170424-2463</t>
  </si>
  <si>
    <t xml:space="preserve">Garden Bites Veggie Friends L 270g
</t>
  </si>
  <si>
    <t xml:space="preserve">جاردن بايتس فيجي فريندز كبير 270 ج
</t>
  </si>
  <si>
    <t>MAFE20242022</t>
  </si>
  <si>
    <t>P-1-N-170424-2464</t>
  </si>
  <si>
    <t xml:space="preserve">Garden Bites toby toothbrush S 500g
</t>
  </si>
  <si>
    <t xml:space="preserve">جاردن بايتس توبي توثبرش صغير 500ج
</t>
  </si>
  <si>
    <t>MAFE20242021</t>
  </si>
  <si>
    <t>P-1-N-170424-2465</t>
  </si>
  <si>
    <t xml:space="preserve">Garden Bites toby toothbrush L500g
</t>
  </si>
  <si>
    <t xml:space="preserve">جاردن بايتس توبي توثبرش كبير 500ج
</t>
  </si>
  <si>
    <t>MAFE20242018</t>
  </si>
  <si>
    <t>P-1-N-170424-2467</t>
  </si>
  <si>
    <t xml:space="preserve">Garden Bites Fruity friends S 270g
</t>
  </si>
  <si>
    <t xml:space="preserve">جاردن بايتس فروتي فريندز صغير 270ج
</t>
  </si>
  <si>
    <t>MAFE20242087</t>
  </si>
  <si>
    <t>P-1-N-170424-2469</t>
  </si>
  <si>
    <t xml:space="preserve">Garden Bites Fruity friends L 270g
</t>
  </si>
  <si>
    <t xml:space="preserve">جاردن بايتس فروتي فريندز كبير 270ج
</t>
  </si>
  <si>
    <t>MAFE20242062</t>
  </si>
  <si>
    <t>P-1-N-170424-2471</t>
  </si>
  <si>
    <t xml:space="preserve">Garden Bites Fruity Tonya toothpaste S 270g
</t>
  </si>
  <si>
    <t xml:space="preserve">جاردن بايتس فروتي تونيا توثبيست صغير 270ج
</t>
  </si>
  <si>
    <t>MAFE20242063</t>
  </si>
  <si>
    <t>P-1-N-170424-2472</t>
  </si>
  <si>
    <t>Garden Bites Fruity Tonya toothpaste L 270g</t>
  </si>
  <si>
    <t xml:space="preserve">جاردن بايتس فروتي تونيا توثبيست كبير 270ج
</t>
  </si>
  <si>
    <t>MAFE20242064</t>
  </si>
  <si>
    <t>P-1-N-170424-2483</t>
  </si>
  <si>
    <t xml:space="preserve">Garden Bites Fruity dental Swirls S230g
</t>
  </si>
  <si>
    <t xml:space="preserve">جاردن بايتس دينتال سويرلز صغير 230ج
</t>
  </si>
  <si>
    <t>MAFE20242065</t>
  </si>
  <si>
    <t>P-1-N-170424-2484</t>
  </si>
  <si>
    <t xml:space="preserve">Garden Bites Fruity dental Swirls L 270g
</t>
  </si>
  <si>
    <t xml:space="preserve">جاردن بايتس فروتي دينتال سويرلز كبير 270ج
</t>
  </si>
  <si>
    <t>MAFE20242086</t>
  </si>
  <si>
    <t>P-1-N-170424-2490</t>
  </si>
  <si>
    <t xml:space="preserve">Garden Bites Fruity friends S 2.7kg
</t>
  </si>
  <si>
    <t xml:space="preserve">جاردن بايتس فروتي فريندز صغير 2.7كج
</t>
  </si>
  <si>
    <t>P-1-N-180424-2503</t>
  </si>
  <si>
    <t xml:space="preserve">Garden Bites Fruity friends L 1.62kg
</t>
  </si>
  <si>
    <t xml:space="preserve">جاردن بايتس فروتي فريندز كبير 1.62كج
</t>
  </si>
  <si>
    <t>MAFE20242091</t>
  </si>
  <si>
    <t>P-1-N-220424-2567</t>
  </si>
  <si>
    <t xml:space="preserve">Top 10 Multi Vitamin Tablets for cats 180 Tab
</t>
  </si>
  <si>
    <t xml:space="preserve">توب 10 مالتي فيتامين للقطط 180 قرص
</t>
  </si>
  <si>
    <t>MAFE20242092</t>
  </si>
  <si>
    <t>P-1-N-220424-2568</t>
  </si>
  <si>
    <t xml:space="preserve">Top 10 Multi Vitamin Tablets for dogs 180 tab
</t>
  </si>
  <si>
    <t xml:space="preserve">توب 10 مالتي فيتامين للكلاب 180 قرص
</t>
  </si>
  <si>
    <t>MAFE20242095</t>
  </si>
  <si>
    <t>P-1-N-220424-2569</t>
  </si>
  <si>
    <t xml:space="preserve">Calming Cat treats 35G
</t>
  </si>
  <si>
    <t xml:space="preserve">كالمينغ كات تريتس 35 جرام
</t>
  </si>
  <si>
    <t>MAFE20242017</t>
  </si>
  <si>
    <t>P-1-N-220424-2571</t>
  </si>
  <si>
    <t xml:space="preserve">beaphar Vitamin B6/B12 50ml
</t>
  </si>
  <si>
    <t xml:space="preserve">بیافار فیتامین ب 6 / ب12 50مل
</t>
  </si>
  <si>
    <t>MAFE20242068</t>
  </si>
  <si>
    <t>P-1-N-220424-2578</t>
  </si>
  <si>
    <t xml:space="preserve">Beaphar Multi-Vit Vinka 50ml
</t>
  </si>
  <si>
    <t xml:space="preserve">بيافار ملتي فيت فينكا 50مل
</t>
  </si>
  <si>
    <t>MAFE20242069</t>
  </si>
  <si>
    <t>P-1-N-290424-2710</t>
  </si>
  <si>
    <t xml:space="preserve">Beaphar Laveta super multi-vitamin + Carnitine 50ml
</t>
  </si>
  <si>
    <t xml:space="preserve">بيفار لافيتا سوبر مالتي فيتامين +كارنتين 50مل
</t>
  </si>
  <si>
    <t>P-1-N-290424-2711</t>
  </si>
  <si>
    <t xml:space="preserve">beaphar junior paste 100g
</t>
  </si>
  <si>
    <t xml:space="preserve">بيفار جونيور بست 100جم
</t>
  </si>
  <si>
    <t>P-1-N-010524-2748</t>
  </si>
  <si>
    <t xml:space="preserve">BAB’IN SIGNATURE KITTEN CHICKEN 1.5 KG
</t>
  </si>
  <si>
    <t xml:space="preserve">بابين سيجنتشر كيتن دجاج 1.5 كجم
</t>
  </si>
  <si>
    <t>P-1-N-060524-2810</t>
  </si>
  <si>
    <t>Beaphar Multi-Vitamin Paste 100g</t>
  </si>
  <si>
    <t>P-1-N-060524-2812</t>
  </si>
  <si>
    <t>Beaphar Poultary Paste 100g</t>
  </si>
  <si>
    <t>Calming Cat treats 35G</t>
  </si>
  <si>
    <t xml:space="preserve">FOM-2024-5932-FEB-2024-43274 -C-0041-64071
</t>
  </si>
  <si>
    <t>28-4-2029</t>
  </si>
  <si>
    <t xml:space="preserve">FEB-2024-43276 
</t>
  </si>
  <si>
    <t xml:space="preserve">مكتمل </t>
  </si>
  <si>
    <t>Beaphar Multi-Vit Vinka 50ml</t>
  </si>
  <si>
    <t xml:space="preserve">بيافار ملتي فيت فينكا 50مل
</t>
  </si>
  <si>
    <t>FOM-2024-5932-FEB-2024-43276 -C-0041-64073</t>
  </si>
  <si>
    <t>30/4/2029</t>
  </si>
  <si>
    <t xml:space="preserve">2025-372523
</t>
  </si>
  <si>
    <t>PRINCE TRAINER 4kg - 2kg</t>
  </si>
  <si>
    <t>برنس ترينير 4 كج- 2 كج</t>
  </si>
  <si>
    <t>FOM-2024-6730-FEB-2024-59204 -C-0041-80012</t>
  </si>
  <si>
    <t>P-1-N-130524-2926</t>
  </si>
  <si>
    <t>Josicat Chicken in jelly 400g</t>
  </si>
  <si>
    <t xml:space="preserve">جوسي كات دجاج بالجيلي 400ج </t>
  </si>
  <si>
    <t>MAFE20242247</t>
  </si>
  <si>
    <t>جوسيرا بيت فود</t>
  </si>
  <si>
    <t>P-1-N-130524-2927</t>
  </si>
  <si>
    <t>Josicat beef in jelly 400g</t>
  </si>
  <si>
    <t xml:space="preserve">جوسي كات لحم بالجيلي 400ج </t>
  </si>
  <si>
    <t>MAFE20242248</t>
  </si>
  <si>
    <t xml:space="preserve">جوسيرا بيت فود </t>
  </si>
  <si>
    <t>P-1-N-160524-2995</t>
  </si>
  <si>
    <t xml:space="preserve">جديد
</t>
  </si>
  <si>
    <t>P-1-N-260524-3274</t>
  </si>
  <si>
    <t xml:space="preserve">FEB-2024-49844 
</t>
  </si>
  <si>
    <t>زولكس مكافات كريمية بالدجاج و الجبن للكلاب 14ج</t>
  </si>
  <si>
    <t>FOM-2024-5403-FEB-2024-49844 -C-0041-70641</t>
  </si>
  <si>
    <t xml:space="preserve">يانتاي هوس بت فود تك كو
</t>
  </si>
  <si>
    <t>21/8/2029</t>
  </si>
  <si>
    <t>P-1-N-260524-3275</t>
  </si>
  <si>
    <t xml:space="preserve">FEB-2024-49845 
</t>
  </si>
  <si>
    <t>زولكس مكافات كريمية بالبط للكلاب 14ج</t>
  </si>
  <si>
    <t xml:space="preserve">FOM-2024-5403-FEB-2024-49845 -C-0041-70642
</t>
  </si>
  <si>
    <t>P-1-N-260524-3276</t>
  </si>
  <si>
    <t xml:space="preserve">FEB-2024-49846 
</t>
  </si>
  <si>
    <t>زولكس مكافات كريمية بالدجاج للكلاب 14ج</t>
  </si>
  <si>
    <t>FOM-2024-5403-FEB-2024-49846 -C-0041-70643</t>
  </si>
  <si>
    <t>P-1-N-260524-3277</t>
  </si>
  <si>
    <t xml:space="preserve">FEB-2024-49847 
</t>
  </si>
  <si>
    <t>زولكس مكافات كريمية بالدجاج و السلمون للكلاب 14ج</t>
  </si>
  <si>
    <t xml:space="preserve">FOM-2024-5403-FEB-2024-49847 -C-0041-70644
</t>
  </si>
  <si>
    <t>P-1-N-260524-3278</t>
  </si>
  <si>
    <t xml:space="preserve">FEB-2024-49848 
</t>
  </si>
  <si>
    <t>زولكس مكافات كريمية بالتونة للقطط 14ج</t>
  </si>
  <si>
    <t xml:space="preserve">FOM-2024-5403-FEB-2024-49848 -C-0041-70645
</t>
  </si>
  <si>
    <t>P-1-N-260524-3279</t>
  </si>
  <si>
    <t xml:space="preserve">FEB-2024-49849 
</t>
  </si>
  <si>
    <t>زولكس مكافات كريمية بالدجاج للقطط 14ج</t>
  </si>
  <si>
    <t xml:space="preserve">FOM-2024-5403-FEB-2024-49849 -C-0041-70646
</t>
  </si>
  <si>
    <t>P-1-N-260524-3280</t>
  </si>
  <si>
    <t xml:space="preserve">FEB-2024-49850 
</t>
  </si>
  <si>
    <t>زولكس مكافات كريمية بالتونة و الجمبري للقطط 14ج</t>
  </si>
  <si>
    <t xml:space="preserve">FOM-2024-5403-FEB-2024-49850 -C-0041-70647
</t>
  </si>
  <si>
    <t>P-1-N-260524-3281</t>
  </si>
  <si>
    <t xml:space="preserve">FEB-2024-49851 
</t>
  </si>
  <si>
    <t>زولكس مكافات كريمية بالتونة و السالمون للقطط 14ج</t>
  </si>
  <si>
    <t xml:space="preserve">FOM-2024-5403-FEB-2024-49851 -C-0041-70648
</t>
  </si>
  <si>
    <t>P-1-N-260524-3282</t>
  </si>
  <si>
    <t xml:space="preserve">FEB-2024-49852 
</t>
  </si>
  <si>
    <t>Zolux cat creamy stick tuna crab 14g</t>
  </si>
  <si>
    <t>زولكس مكافات كريمية بالتونة و السلطعون للقطط 14ج</t>
  </si>
  <si>
    <t xml:space="preserve">FOM-2024-5403-FEB-2024-49852 -C-0041-70649
</t>
  </si>
  <si>
    <t>P-1-N-260524-3283</t>
  </si>
  <si>
    <t xml:space="preserve">FEB-2024-49853 
</t>
  </si>
  <si>
    <t>Zolux cat creamy stick chicken crab 14g</t>
  </si>
  <si>
    <t>زولكس مكافات كريمية بالدجاج والسلطعون للقطط 14ج</t>
  </si>
  <si>
    <t xml:space="preserve">FOM-2024-5403-FEB-2024-49853 -C-0041-70650
</t>
  </si>
  <si>
    <t>654943</t>
  </si>
  <si>
    <t>P-1-N-050624-3486</t>
  </si>
  <si>
    <t xml:space="preserve">تمت طباعة الشهادة </t>
  </si>
  <si>
    <t xml:space="preserve">PUUR Pauze Snack Muesli Parrot Fruit 750g
</t>
  </si>
  <si>
    <t>بيور باوز وجبة خفيفة متنوعة من الفاكهة للببغاء750ج</t>
  </si>
  <si>
    <t>FOM-2024-6990-FEB-2024-56437 -C-0041-77244</t>
  </si>
  <si>
    <t>654944</t>
  </si>
  <si>
    <t>P-1-N-050624-3487</t>
  </si>
  <si>
    <t xml:space="preserve">PUUR Pauze Snack Muesli Parrot Nuts 750g
</t>
  </si>
  <si>
    <t>بيور باوز وجبة خفيفة متنوعة من المكسرات للببغاء 750جم</t>
  </si>
  <si>
    <t>FOM-2024-6990-FEB-2024-56436 -C-0041-77243</t>
  </si>
  <si>
    <t>P-1-N-100624-3540</t>
  </si>
  <si>
    <t>Indigo Moon Blended Tuna Recipe in Gravy 85g</t>
  </si>
  <si>
    <t>إنديجو مون وصفة التونة المخلوطة في المرق 85 جم</t>
  </si>
  <si>
    <t>FOM-2024-6220-FEB-2024-58707 -C-0041-79515</t>
  </si>
  <si>
    <t>شركة سونجكلا كانينج العامة المحدودة</t>
  </si>
  <si>
    <t>30-6-2029</t>
  </si>
  <si>
    <t>P-1-N-100624-3541</t>
  </si>
  <si>
    <t xml:space="preserve">FOM-2024-6220-FEB-2024-58709 -C-0041-79517
</t>
  </si>
  <si>
    <t>إنديجو مون وصفة الماكريل والتونة في المرق 85 جم</t>
  </si>
  <si>
    <t xml:space="preserve">FOM-2024-6220-FEB-2024-58712 -C-0041-79520
</t>
  </si>
  <si>
    <t>P-1-N-100624-3543</t>
  </si>
  <si>
    <t>Indigo Moon Pate with chicken &amp; coconut oil 85g</t>
  </si>
  <si>
    <t>إنديجو مون دجاج مع زيت جوز الهند باتيه  85 جم</t>
  </si>
  <si>
    <t xml:space="preserve">FOM-2024-6220-FEB-2024-58713 -C-0041-79521
</t>
  </si>
  <si>
    <t>P-1-N-100624-3544</t>
  </si>
  <si>
    <t>Indigo Moon Pate with liver chicken &amp; coconut oil 85g</t>
  </si>
  <si>
    <t>إنديجو مون كبد الدجاج مع زيت جوز الهند باتيه 85 جم</t>
  </si>
  <si>
    <t xml:space="preserve">FOM-2024-6220-FEB-2024-58708 -C-0041-79516
</t>
  </si>
  <si>
    <t>P-1-N-100624-3545</t>
  </si>
  <si>
    <t>Indigo Moon Pate with salmon &amp; coconut oil 85g</t>
  </si>
  <si>
    <t>إنديجو مون سالمون مع زيت جوز الهند باتيه 85 جم</t>
  </si>
  <si>
    <t xml:space="preserve">FOM-2024-6220-FEB-2024-58709 -C-0041-79517
</t>
  </si>
  <si>
    <t>P-1-N-100624-3546</t>
  </si>
  <si>
    <t>Indigo Moon Sardine &amp; Tuna Recipe in Gravy 85g</t>
  </si>
  <si>
    <t>إنديجو مون وصفة السردين والتونة في المرق 85 جم</t>
  </si>
  <si>
    <t xml:space="preserve">FOM-2024-6220-FEB-2024-58710 -C-0041-79518
</t>
  </si>
  <si>
    <t>P-1-N-100624-3547</t>
  </si>
  <si>
    <t>Indigo Moon with Tuna &amp; Shrimp in Gravy 85g</t>
  </si>
  <si>
    <t>إنديجو مون مع التونا والروبيان في المرق 85 جم</t>
  </si>
  <si>
    <t xml:space="preserve">FOM-2024-6220-FEB-2024-58711 -C-0041-79519
</t>
  </si>
  <si>
    <t xml:space="preserve">P-1-N-100624-3549	</t>
  </si>
  <si>
    <t xml:space="preserve">FOM-2024-6230-FEB-2024-59713 -C-0041-80521
</t>
  </si>
  <si>
    <t xml:space="preserve">P-1-N-100624-3550        </t>
  </si>
  <si>
    <t xml:space="preserve">Indigo Moon Sardine &amp; Tuna Recipe in Gravy 85g
</t>
  </si>
  <si>
    <t xml:space="preserve">FOM-2024-6230-FEB-2024-59714 -C-0041-80522
</t>
  </si>
  <si>
    <t xml:space="preserve">P-1-N-100624-3551	</t>
  </si>
  <si>
    <t xml:space="preserve">Indigo Moon Blended Tuna Recipe in Gravy 85g
</t>
  </si>
  <si>
    <t xml:space="preserve">FOM-2024-6230-FEB-2024-59715 -C-0041-80523
</t>
  </si>
  <si>
    <t xml:space="preserve">P-1-N-100624-3552	</t>
  </si>
  <si>
    <t xml:space="preserve">Indigo Moon Mackerel &amp; Tuna Recipe in Gravy 85g
</t>
  </si>
  <si>
    <t xml:space="preserve">إنديجو مون وصفة الماكريل والتونة في المرق 85 جم
</t>
  </si>
  <si>
    <t xml:space="preserve">FOM-2024-6230-FEB-2024-59716 -C-0041-80524
</t>
  </si>
  <si>
    <t>P-1-N-240624-3738</t>
  </si>
  <si>
    <t>كيت كات كتن ميلك ربليسر 200 جم</t>
  </si>
  <si>
    <t>FOM-2024-5665-FEB-2024-59805 -C-0041-80613</t>
  </si>
  <si>
    <t>P-1-N-300624-3923</t>
  </si>
  <si>
    <t xml:space="preserve">VitaliDog 75g
</t>
  </si>
  <si>
    <t xml:space="preserve">فيتالي دوج 75 جم
</t>
  </si>
  <si>
    <t>مار كيميا فيت المحدودة</t>
  </si>
  <si>
    <t>P-1-N-100724-4272</t>
  </si>
  <si>
    <t>FORZA10 PUPPY MONODIET FISH 1.5kg</t>
  </si>
  <si>
    <t xml:space="preserve">فورزا 10 مونودايت للجراء بالسمك 1.5 كغ
</t>
  </si>
  <si>
    <t xml:space="preserve">FOM-2024-5415-FEB-2024-59178 -C-0041-79986
</t>
  </si>
  <si>
    <t xml:space="preserve">شركة سانيبيت	</t>
  </si>
  <si>
    <t>30-7-2029</t>
  </si>
  <si>
    <t>P-1-N-100724-4273</t>
  </si>
  <si>
    <t>FORZA10 CUT MONODIET FISH 1.5kg</t>
  </si>
  <si>
    <t xml:space="preserve">فورزا 10 مونودايت للقطط بالسمك 1.5 كغ
</t>
  </si>
  <si>
    <t xml:space="preserve">FOM-2024-5415-FEB-2024-59177 -C-0041-79985
</t>
  </si>
  <si>
    <t>P-1-N-180724-4487</t>
  </si>
  <si>
    <t>Dr.Clauder's Tuna mousse with spinach flavor 90g</t>
  </si>
  <si>
    <t>دكتور كلاودر كريمة التونة بنكهة السبانخ 90 جم</t>
  </si>
  <si>
    <t xml:space="preserve">FOM-2024-6257-FEB-2024-59799 -C-0041-80607
</t>
  </si>
  <si>
    <t>مؤسسة اي تيل المحدودة</t>
  </si>
  <si>
    <t>P-1-N-180724-4488</t>
  </si>
  <si>
    <t>Dr.Clauder's Chicken breast in broth (For kitten) 70g</t>
  </si>
  <si>
    <t>دكتور كلاودر صدر الدجاج في المرق للقطط الصغيرة 70 جم</t>
  </si>
  <si>
    <t xml:space="preserve">FOM-2024-6257-FEB-2024-59790 -C-0041-80598
</t>
  </si>
  <si>
    <t>P-1-N-180724-4489</t>
  </si>
  <si>
    <t>Dr.Clauder's Tuna in broth (For kitten) 70g</t>
  </si>
  <si>
    <t>دكتور كلاودر تونة في المرق للقطط الصغيرة 70 جم</t>
  </si>
  <si>
    <t xml:space="preserve">FOM-2024-6257-FEB-2024-59791 -C-0041-80599
</t>
  </si>
  <si>
    <t>P-1-N-180724-4490</t>
  </si>
  <si>
    <t>Dr.Clauder's Chicken breast with shrimp in broth 70g</t>
  </si>
  <si>
    <t>دكتور كلاودر صدر الدجاج مع الربيان في المرق 70 جم</t>
  </si>
  <si>
    <t xml:space="preserve">FOM-2024-6257-FEB-2024-59792 -C-0041-80600
</t>
  </si>
  <si>
    <t>P-1-N-180724-4491</t>
  </si>
  <si>
    <t>Dr.Clauder's Chicken breast with salmon in broth 70g</t>
  </si>
  <si>
    <t>دكتور كلاودر صدر الدجاج مع السالمون في المرق 70 جم</t>
  </si>
  <si>
    <t xml:space="preserve">FOM-2024-6257-FEB-2024-59793 -C-0041-80601
</t>
  </si>
  <si>
    <t>P-1-N-180724-4492</t>
  </si>
  <si>
    <t>Dr.Clauder's Chicken breast with chicken liver in broth 70g</t>
  </si>
  <si>
    <t>دكتور كلاودر صدر الدجاج مع كبدة الدجاج في المرق 70 جم</t>
  </si>
  <si>
    <t xml:space="preserve">FOM-2024-6257-FEB-2024-59794 -C-0041-80602
</t>
  </si>
  <si>
    <t>P-1-N-180724-4493</t>
  </si>
  <si>
    <t>Dr.Clauder's Tuna with shrimp in broth 70g</t>
  </si>
  <si>
    <t>دكتور كلاودر تونة مع الربيان في المرق 70 جم</t>
  </si>
  <si>
    <t xml:space="preserve">FOM-2024-6257-FEB-2024-59795 -C-0041-80603
</t>
  </si>
  <si>
    <t>P-1-N-180724-4494</t>
  </si>
  <si>
    <t>Dr.Clauder's Tuna with salmon in broth 70g</t>
  </si>
  <si>
    <t>دكتور كلاودر تونة مع السالمون في المرق 70جم</t>
  </si>
  <si>
    <t xml:space="preserve">FOM-2024-6257-FEB-2024-59796 -C-0041-80604
</t>
  </si>
  <si>
    <t>P-1-N-180724-4495</t>
  </si>
  <si>
    <t>Dr.Claudert s Tuna with chicken breast in broth 70g</t>
  </si>
  <si>
    <t>دكتور كلاودر تونة مع صدر الدجاج في المرق 70جم</t>
  </si>
  <si>
    <t xml:space="preserve">FOM-2024-6257-FEB-2024-59797 -C-0041-80605
</t>
  </si>
  <si>
    <t>P-1-N-180724-4496</t>
  </si>
  <si>
    <t>Dr.Clauder's Chicken breast in broth 70g</t>
  </si>
  <si>
    <t>دكتور كلاودر صدر دجاج في المرق 70جم</t>
  </si>
  <si>
    <t xml:space="preserve">FOM-2024-6257-FEB-2024-59798 -C-0041-80606
</t>
  </si>
  <si>
    <t>P-1-N-210724-4533</t>
  </si>
  <si>
    <t>Dr.Clauder's Tuna fillet 70g</t>
  </si>
  <si>
    <t>دكتور كلاودر فيليه التونة 70جم</t>
  </si>
  <si>
    <t xml:space="preserve">  FOM-2024-6257-FEB-2024-59777 -C-0041-80585
</t>
  </si>
  <si>
    <t>P-1-N-210724-4534</t>
  </si>
  <si>
    <t>Dr.Clauder's Salmon fillet 30g</t>
  </si>
  <si>
    <t>دكتور كلاودر فيليه سمك السالمون 30جم</t>
  </si>
  <si>
    <t xml:space="preserve">FOM-2024-6257-FEB-2024-59778 -C-0041-80586
</t>
  </si>
  <si>
    <t>P-1-N-210724-4535</t>
  </si>
  <si>
    <t>Dr.Clauder's Mackerel fillet 30g</t>
  </si>
  <si>
    <t>دكتور كلاودر فيليه سمك الماكريل 30جم</t>
  </si>
  <si>
    <t xml:space="preserve">FOM-2024-6257-FEB-2024-59779 -C-0041-80587
</t>
  </si>
  <si>
    <t>P-1-N-210724-4536</t>
  </si>
  <si>
    <t>Dr.Clauder's Chicken breast fillet 30g</t>
  </si>
  <si>
    <t>دكتور كلاودر فيليه الدجاج 30جم</t>
  </si>
  <si>
    <t xml:space="preserve">FOM-2024-6257-FEB-2024-59780 -C-0041-80588
</t>
  </si>
  <si>
    <t>P-1-N-210724-4537</t>
  </si>
  <si>
    <t>Dr.Clauder's Tuna and salmon mousse with carrot 90g</t>
  </si>
  <si>
    <t>دكتور كلاودر كريمة التونة و السالمون مع الجزر 90ج</t>
  </si>
  <si>
    <t xml:space="preserve">FOM-2024-6257-FEB-2024-59781 -C-0041-80589
</t>
  </si>
  <si>
    <t>P-1-N-210724-4548</t>
  </si>
  <si>
    <t xml:space="preserve">FEB-2024-59789 
</t>
  </si>
  <si>
    <t>Dr.Clauder's Tuna in broth 30g</t>
  </si>
  <si>
    <t>دكتور كلاودر تونة 30جم</t>
  </si>
  <si>
    <t>FOM-2024-6257-FEB-2024-59789 -C-0041-80597</t>
  </si>
  <si>
    <t>P-1-N-210724-4538</t>
  </si>
  <si>
    <t>Dr.Clauder's Tuna and chicken mousse with pumpkin 90g</t>
  </si>
  <si>
    <t>دكتور كلاودر كريمة التونة و الدجاج مع الياقطين 90ج</t>
  </si>
  <si>
    <t>FOM-2024-6257-FEB-2024-59782 -C-0041-80590</t>
  </si>
  <si>
    <t>P-1-N-210724-4539</t>
  </si>
  <si>
    <t xml:space="preserve">  FEB-2024-44868 
</t>
  </si>
  <si>
    <t>Dr.Clauder's Mackerel mousse with aloe vera 90g</t>
  </si>
  <si>
    <t>دكتور كلاودر كريمة الماكريل مع االصبار 90ج</t>
  </si>
  <si>
    <t>FOM-2024-5840-FEB-2024-44868 -C-0041-65665</t>
  </si>
  <si>
    <t>P-1-N-210724-4540</t>
  </si>
  <si>
    <t xml:space="preserve">FEB-2024-59783 
</t>
  </si>
  <si>
    <t>Dr.Clauder's Tuna, rice flavor in jelly 100g</t>
  </si>
  <si>
    <t>دكتور كلودر تونة بنكهة الأرز بالجيلي 100 جرام</t>
  </si>
  <si>
    <t>FOM-2024-6257-FEB-2024-59783 -C-0041-80591</t>
  </si>
  <si>
    <t>P-1-N-210724-4541</t>
  </si>
  <si>
    <t xml:space="preserve">FEB-2024-59784 
</t>
  </si>
  <si>
    <t>Dr.Clauder's Chicken breast, rice flavor topping beef in jelly 100g</t>
  </si>
  <si>
    <t>دكتور كلودر صدر الدجاج بنكهة الأرز مغطاة باللحم البقري بالجيلي 100 جرام</t>
  </si>
  <si>
    <t xml:space="preserve">FOM-2024-6257-FEB-2024-59784 -C-0041-80592
</t>
  </si>
  <si>
    <t>P-1-N-210724-4542</t>
  </si>
  <si>
    <t xml:space="preserve">FEB-2024-59785 
</t>
  </si>
  <si>
    <t>Dr.Clauder's Tuna light meat, rice flavor topping shrimp in jelly 100g</t>
  </si>
  <si>
    <t>دكتور كلودر لحم تونة خفيف بنكهة الأرز مغطى بالروبيان بالجيلي 100 جرام</t>
  </si>
  <si>
    <t xml:space="preserve">FOM-2024-6257-FEB-2024-59785 -C-0041-80593
</t>
  </si>
  <si>
    <t>P-1-N-210724-4543</t>
  </si>
  <si>
    <t xml:space="preserve">FEB-2024-59786 
</t>
  </si>
  <si>
    <t>Dr.Clauder's Tuna, rice flavor topping chicken in jelly 100g</t>
  </si>
  <si>
    <t>دكتور كلودر تونة بنكهة الأرز مغطاة بالدجاج بالجيلي 100 ج</t>
  </si>
  <si>
    <t>FOM-2024-6257-FEB-2024-59786 -C-0041-80594</t>
  </si>
  <si>
    <t>P-1-N-210724-4544</t>
  </si>
  <si>
    <t xml:space="preserve">FEB-2024-59787 
</t>
  </si>
  <si>
    <t>Dr.Clauder's Chicken breast, rice flavor in jelly 100g</t>
  </si>
  <si>
    <t>دكتور كلودر صدر دجاج بنكهة الأرز بالجيلي 100ج</t>
  </si>
  <si>
    <t>FOM-2024-6257-FEB-2024-59787 -C-0041-80595</t>
  </si>
  <si>
    <t>P-1-N-210724-4545</t>
  </si>
  <si>
    <t>رفض</t>
  </si>
  <si>
    <t>Dr.Clauder's Salmon mousse, seaweed flavor 15g</t>
  </si>
  <si>
    <t>دكتور كلاودر كريمة السالمون بنكهة الأعشاب البحرية 15ج</t>
  </si>
  <si>
    <t>P-1-N-210724-4546</t>
  </si>
  <si>
    <t>Dr.Clauder's Chicken mousse, parsley flavor 15g</t>
  </si>
  <si>
    <t>دكتور كلاودر كريمة الدجاج بنكهة البقدونس 15ج</t>
  </si>
  <si>
    <t>FOM-2024-6257-FEB-2024-59788 -C-0041-80596</t>
  </si>
  <si>
    <t>P-1-N-210724-4555</t>
  </si>
  <si>
    <t>Kit Cat Complete Cuisine Pure Chicken Classic In Broth 70g</t>
  </si>
  <si>
    <t>كت كات كومبليت كوزين بيور - دجاج كلاسيكي في المرق 70 غ</t>
  </si>
  <si>
    <t>FOM-2024-5894-FEB-2024-39702 -C-0041-60499</t>
  </si>
  <si>
    <t>P-1-N-210724-4557</t>
  </si>
  <si>
    <t xml:space="preserve">FEB-2024-39703 
</t>
  </si>
  <si>
    <t>Kit Cat Complete Cuisine Pure Chicken &amp; Salmon In Broth 70g</t>
  </si>
  <si>
    <t>كت كات كومبليت كوزين بيور - دجاج وسلمون في المرق 70 غ</t>
  </si>
  <si>
    <t>FOM-2024-5894-FEB-2024-39703 -C-0041-60500</t>
  </si>
  <si>
    <t>P-1-N-210724-4559</t>
  </si>
  <si>
    <t xml:space="preserve">  FEB-2024-39704 </t>
  </si>
  <si>
    <t>Kit Cat Complete Cuisine Pure Kitten Chicken In Broth 70g</t>
  </si>
  <si>
    <t>كت كات كومبليت كوزين بيور - وصفة للقطط الصغيرة - دجاج في المرق 70 غ</t>
  </si>
  <si>
    <t>FOM-2024-5894-FEB-2024-39704 -C-0041-60501</t>
  </si>
  <si>
    <t>P-1-N-210724-4560</t>
  </si>
  <si>
    <t>FEB-2024-39705</t>
  </si>
  <si>
    <t>Kit Cat Complete Cuisine Pure Tuna Classic In Broth 70g</t>
  </si>
  <si>
    <t>كت كات كومبليت كوزين بيور – تونة كلاسيك في المرق 70 غ</t>
  </si>
  <si>
    <t>FOM-2024-5894-FEB-2024-39705 -C-0041-60502</t>
  </si>
  <si>
    <t>P-1-N-210724-4564</t>
  </si>
  <si>
    <t xml:space="preserve">FEB-2024-39707 </t>
  </si>
  <si>
    <t>Kit Cat Complete Cuisine Pure Kitten Tuna In Broth 70g</t>
  </si>
  <si>
    <t>كت كات كومبليت كوزين بيور- وصفة للقطط الصغيرة - تونة في المرق 70 غ</t>
  </si>
  <si>
    <t>FOM-2024-5894-FEB-2024-39707 -C-0041-60504</t>
  </si>
  <si>
    <t>P-1-N-210724-4563</t>
  </si>
  <si>
    <t xml:space="preserve">FEB-2024-39706 </t>
  </si>
  <si>
    <t>Kit Cat Complete Cuisine Pure Tuna &amp; Salmon In Broth 70g</t>
  </si>
  <si>
    <t>كت كات كومبليت كوزين بيور – تونة مع سالمون في المرق 70 غ</t>
  </si>
  <si>
    <t>FOM-2024-5894-FEB-2024-39706 -C-0041-60503</t>
  </si>
  <si>
    <t>P-1-N-210724-4565</t>
  </si>
  <si>
    <r>
      <rPr>
        <rFont val="Cairo, sans-serif"/>
        <color rgb="FF878787"/>
        <sz val="12.0"/>
      </rPr>
      <t>FEB-2024-39708</t>
    </r>
  </si>
  <si>
    <t>Kit Cat Complete Cuisine Pure Tuna &amp; Chicken In Broth 70g</t>
  </si>
  <si>
    <t>كت كات كومبليت كوزين بيور – تونة مع دجاج في المرق 70 غ</t>
  </si>
  <si>
    <t>FOM-2024-5894-FEB-2024-39708 -C-0041-60505</t>
  </si>
  <si>
    <t>fish meal 65% (50kg)</t>
  </si>
  <si>
    <t>مسحوق سمك 65% (50 كيلو جرام )</t>
  </si>
  <si>
    <t>RFM2024308</t>
  </si>
  <si>
    <t>P-1-N-300724-4780</t>
  </si>
  <si>
    <t xml:space="preserve">FEB-2024-55344 </t>
  </si>
  <si>
    <t xml:space="preserve">ZUPREEM NUTBLEND 907G </t>
  </si>
  <si>
    <t>زوبريم نوتبلند 907جم</t>
  </si>
  <si>
    <t>FOM-2024-7157-FEB-2024-55344 -C-0041-76151</t>
  </si>
  <si>
    <t>P-1-N-050824-4875</t>
  </si>
  <si>
    <t xml:space="preserve">Applaws Tuna with crab 60 gram
</t>
  </si>
  <si>
    <t>ابلاوز تونة مع السلطعون البحري في المرق 60 جرام</t>
  </si>
  <si>
    <t>FOM-2024-5636-FEB-2024-41462 -C-0041-62259</t>
  </si>
  <si>
    <t>P-1-N-060824-4896</t>
  </si>
  <si>
    <t xml:space="preserve">رفض </t>
  </si>
  <si>
    <t xml:space="preserve">أم بي أم برودكتس ليمتد	</t>
  </si>
  <si>
    <t>P-1-N-060824-4899</t>
  </si>
  <si>
    <t>Applaws Sardine with Mackerel 60g</t>
  </si>
  <si>
    <t xml:space="preserve"> P-1-N-120824-4990</t>
  </si>
  <si>
    <t>Applaws chicken with Duck 60 gram</t>
  </si>
  <si>
    <t>ابلاوز صدور الدجاج مع البط 60 جرام</t>
  </si>
  <si>
    <t>P-1-N-120824-4997</t>
  </si>
  <si>
    <t>Applaws kitten chicken 70g</t>
  </si>
  <si>
    <t>أبلاوز دجاج للقطط الصغيرة في الجيلي 70غ</t>
  </si>
  <si>
    <t>P-1-N-120824-4998</t>
  </si>
  <si>
    <t>Applaws kitten Tuna 70g</t>
  </si>
  <si>
    <t>أبلاوز فيليه التونة للقطط الصغيرة في الجيلي 70غ</t>
  </si>
  <si>
    <t>P-1-N-120824-4999</t>
  </si>
  <si>
    <t>Vitalicat Paste 100mL</t>
  </si>
  <si>
    <t>فيتاليكات بايست 100 مل</t>
  </si>
  <si>
    <t>P-1-N-140824-5067</t>
  </si>
  <si>
    <t xml:space="preserve">FEP-2024-80865
</t>
  </si>
  <si>
    <t>SOLID GOLD INDIGO MOON CHICKEN GRAIN FREE 2.72KG</t>
  </si>
  <si>
    <t>سولید جولد اندیجو مون بالدجاج خالي من الحبوب 2.72كغ</t>
  </si>
  <si>
    <t>FOM-2024-0902-FEP-2024-80865-C-22548-0678</t>
  </si>
  <si>
    <t>P-1-N-140824-5066</t>
  </si>
  <si>
    <t xml:space="preserve">FEP-2024-80864
</t>
  </si>
  <si>
    <t>SOLID GOLD INDIGO MOON CHICKEN GRAIN FREE 1.36KG</t>
  </si>
  <si>
    <t>سولید جولد اندیجو مون بالدجاج خالي من الحبوب 1.36كغ</t>
  </si>
  <si>
    <t xml:space="preserve">FOM-2024-0902-FEP-2024-80864-C-22548-0680
</t>
  </si>
  <si>
    <t>P-1-N-140824-5065</t>
  </si>
  <si>
    <t xml:space="preserve">FEP-2024-80863
</t>
  </si>
  <si>
    <t>SOLID GOLD FIT AS A FIDDLE POLLOCK GRAIN FREE 5.44KG</t>
  </si>
  <si>
    <t>سولید جولد فیت از ا فیدل بسمك البلوق خالي من الحبوب 5.44كغ</t>
  </si>
  <si>
    <t>FOM-2024-0902-FEP-2024-80863-C-22548-0684</t>
  </si>
  <si>
    <t>P-1-N-140824-5064</t>
  </si>
  <si>
    <t>SOLID GOLD FIT AS A FIDDLE POLLOCK GRAIN FREE 2.72KG</t>
  </si>
  <si>
    <t>سولید جولد فیت از ا فیدل بسمك البلوق خالي من الحبوب 2.72كغ</t>
  </si>
  <si>
    <t>P-1-N-140824-5062</t>
  </si>
  <si>
    <t>SOLID GOLD FIT AND FABULOUS CHICKEN GRAIN FREE 374G</t>
  </si>
  <si>
    <t>سولید جولد فیت اند فابیلس بالدجاج خالي من الحبوب 374غ</t>
  </si>
  <si>
    <t>P-1-N-140824-5057</t>
  </si>
  <si>
    <t>1026SRE-A</t>
  </si>
  <si>
    <t>Applaws Tuna with crab in broth 70g</t>
  </si>
  <si>
    <t>ابلاوز تونة مع السلطعون البحري في المرق 70 جرام</t>
  </si>
  <si>
    <t>P-1-N-140824-5055</t>
  </si>
  <si>
    <t>Applaws Chicken breast in broth 60g</t>
  </si>
  <si>
    <t>أبلاوز صدور الدجاج في المرق 60 غ</t>
  </si>
  <si>
    <t>P-1-N-130824-5041</t>
  </si>
  <si>
    <t>Applaws Chicken Breast with Tuna fillet in broth 70g</t>
  </si>
  <si>
    <t>أبلاوز صدر دجاج مع فيليه تونة في المرق 70 غ</t>
  </si>
  <si>
    <t>P-1-N-130824-5039</t>
  </si>
  <si>
    <t>Applaws Chicken breast in broth 70</t>
  </si>
  <si>
    <t>أبلاوز صدور الدجاج في المرق 70 غ</t>
  </si>
  <si>
    <t>P-1-N-130824-5037</t>
  </si>
  <si>
    <t>Applaws Tuna Fillet in Broth 70g</t>
  </si>
  <si>
    <t>أبلاوز فيليه التونة في المرق 70 غ</t>
  </si>
  <si>
    <t>P-1-N-130824-5036</t>
  </si>
  <si>
    <t>Dermacat Paste 100mL</t>
  </si>
  <si>
    <t>ديرماكات بايست 100 مل</t>
  </si>
  <si>
    <t>P-1-N-130824-5035</t>
  </si>
  <si>
    <t>Bio Puppy 200g</t>
  </si>
  <si>
    <t>بيو بوبي 200 جم</t>
  </si>
  <si>
    <t>P-1-N-130824-5034</t>
  </si>
  <si>
    <t>Bio Kitten 200g</t>
  </si>
  <si>
    <t>بيو كيتن 200 جم</t>
  </si>
  <si>
    <t>P-1-N-130824-5032</t>
  </si>
  <si>
    <t>بيو كيتن الجرو الحيوي معجون ديرماكات 100 مل</t>
  </si>
  <si>
    <t>P-1-N-130824-5030</t>
  </si>
  <si>
    <t>Catimalt Plus Soft Paste 100mL</t>
  </si>
  <si>
    <t>كاتيمالت بلس سوفت بايست 100 مل</t>
  </si>
  <si>
    <t>P-1-N-130824-5029</t>
  </si>
  <si>
    <t>Catimalt Plus Soft Paste 25mL</t>
  </si>
  <si>
    <t>كاتيمالت بلس سوفت بايست 25 مل</t>
  </si>
  <si>
    <t>P-1-N-130824-5028</t>
  </si>
  <si>
    <t>Calming Cat Paste 100mL</t>
  </si>
  <si>
    <t>كالمينج كات بايست 100 مل</t>
  </si>
  <si>
    <t>P-1-N-130824-5027</t>
  </si>
  <si>
    <t>Felilysine Gel 100mL</t>
  </si>
  <si>
    <t>فيليليسين جل 100 مل</t>
  </si>
  <si>
    <t>P-1-N-130824-5026</t>
  </si>
  <si>
    <t>Vitalicat Junior Paste 100mL</t>
  </si>
  <si>
    <t>فيتاليكات جونيور بايست 100 مل</t>
  </si>
  <si>
    <t>P-1-N-130824-5025</t>
  </si>
  <si>
    <t>Silycumin 67.5g</t>
  </si>
  <si>
    <t>سيليكومين 67.5 جم</t>
  </si>
  <si>
    <t>P-1-N-130824-5024</t>
  </si>
  <si>
    <t>Silycumin 50g</t>
  </si>
  <si>
    <t>سيليكومين 50 جم</t>
  </si>
  <si>
    <t>P-1-N-130824-5023</t>
  </si>
  <si>
    <t>D-Kaltabs 126g</t>
  </si>
  <si>
    <t>د- كلتابس 126 جم</t>
  </si>
  <si>
    <t>P-1-N-130824-5022</t>
  </si>
  <si>
    <t>Biodermdog 37.5g</t>
  </si>
  <si>
    <t>بيوديرمدوج 37.5 جم</t>
  </si>
  <si>
    <t>P-1-N-130824-5020</t>
  </si>
  <si>
    <t>Dermadog 0,5 Small Breed 30g</t>
  </si>
  <si>
    <t>ديرمادوج 0,5 سلالة صغيرة 30 جم</t>
  </si>
  <si>
    <t>P-1-N-130824-5018</t>
  </si>
  <si>
    <t>Dermadog 1.5 75g</t>
  </si>
  <si>
    <t>ديرمادوج 1.5 75 جم</t>
  </si>
  <si>
    <t>P-1-N-130824-5017</t>
  </si>
  <si>
    <t>Vitalidog Junior Paste 100mL</t>
  </si>
  <si>
    <t>فيتاليدوج جونيوربايست 100 مل</t>
  </si>
  <si>
    <t>P-1-N-130824-5016</t>
  </si>
  <si>
    <t>Vitalidog Paste 100mL</t>
  </si>
  <si>
    <t>فيتاليدوج بايست 100 مل</t>
  </si>
  <si>
    <t>P-1-N-140824-5068</t>
  </si>
  <si>
    <t xml:space="preserve">FEP-2024-80866
</t>
  </si>
  <si>
    <t>SOLID GOLD INDIGO MOON CHICKEN GRAIN FREE 5.44KG</t>
  </si>
  <si>
    <t>سولید جولد اندیجو مون بالدجاج خالي من الحبوب 5.44كغ</t>
  </si>
  <si>
    <t xml:space="preserve">FOM-2024-0902-FEP-2024-80866-C-22548-0677
</t>
  </si>
  <si>
    <t>P-1-N-140824-5069</t>
  </si>
  <si>
    <t xml:space="preserve">FEP-2024-80868
</t>
  </si>
  <si>
    <t>SOLID GOLD KATZ N FLOCKEN LAMB 1.81KG</t>
  </si>
  <si>
    <t>سوليد جولد كاتز ان فلوكين بلحم الضأن 1.81كغ</t>
  </si>
  <si>
    <t xml:space="preserve">FOM-2024-0902-FEP-2024-80868-C-22548-0676
</t>
  </si>
  <si>
    <t>P-1-N-140824-5070</t>
  </si>
  <si>
    <t xml:space="preserve">FEP-2024-80869
</t>
  </si>
  <si>
    <t>SOLID GOLD KATZ N FLOCKEN LAMB 5.44KG</t>
  </si>
  <si>
    <t>سوليد جولد كاتز ان فلوكين بلحم الضأن 5.44كغ</t>
  </si>
  <si>
    <t xml:space="preserve">FOM-2024-0902-FEP-2024-80869-C-22548-0682
</t>
  </si>
  <si>
    <t>P-1-N-140824-5071</t>
  </si>
  <si>
    <t>SOLID GOLD LET’S STAY IN SALMON 5.44KG</t>
  </si>
  <si>
    <t>سوليد جولد ليتس ستاي إن سالمون
5.44</t>
  </si>
  <si>
    <t xml:space="preserve">FOM-2024-0902-FEP-2024-80871-C-22548-0687
</t>
  </si>
  <si>
    <t>P-1-N-140824-5072</t>
  </si>
  <si>
    <t xml:space="preserve">FEP-2024-80870
</t>
  </si>
  <si>
    <t>SOLID GOLD LET’S STAY IN SALMON 1.36KG</t>
  </si>
  <si>
    <t>سوليد جولد ليتس ستاي إن سالمون 1.36كغ</t>
  </si>
  <si>
    <t>FOM-2024-0902-FEP-2024-80870-C-22548-0683</t>
  </si>
  <si>
    <t>P-1-N-140824-5073</t>
  </si>
  <si>
    <t xml:space="preserve">FEP-2024-80872
</t>
  </si>
  <si>
    <t>SOLID GOLD NB BARKING AT THE MOON BEEF 4.99KG</t>
  </si>
  <si>
    <t>سوليد جولد ان بي باركينق ات ذا مون باللحم البقري 4.99كغ</t>
  </si>
  <si>
    <t>FOM-2024-0902-FEP-2024-80872-C-22548-0675</t>
  </si>
  <si>
    <t>FEP-2024-80874</t>
  </si>
  <si>
    <t>SOLID GOLD NB HUND N FLOCKEN LAMB 1.81KG</t>
  </si>
  <si>
    <t>سولید جولد ان بي ھند ان فلوكین بلحم الضأن 1.81كغ</t>
  </si>
  <si>
    <t>FOM-2024-0902-FEP-2024-80874-C-22548-0674</t>
  </si>
  <si>
    <t>P-1-N-140824-5076</t>
  </si>
  <si>
    <t>SOLID GOLD NB HUND N FLOCKEN LAMB 10.89KG</t>
  </si>
  <si>
    <t>سولید جولد ان بي ھند ان فلوكین بلحم الضأن 10.89كغ</t>
  </si>
  <si>
    <t>P-1-N-140824-5078</t>
  </si>
  <si>
    <t xml:space="preserve">FEP-2024-80878
</t>
  </si>
  <si>
    <t>SOLID GOLD NB WOLF KING BISON 4.99KG</t>
  </si>
  <si>
    <t>سولید جولد ان بي وولف كینق بایسون 4.99كغ</t>
  </si>
  <si>
    <t>FOM-2024-0902-FEP-2024-80878-C-22548-0690</t>
  </si>
  <si>
    <t>P-1-N-140824-5079</t>
  </si>
  <si>
    <t xml:space="preserve">FEP-2024-80879
</t>
  </si>
  <si>
    <t>SOLID GOLD NB WOLF KING BISON 9.98KG</t>
  </si>
  <si>
    <t>سولید جولد ان بي وولف كینق بایسون 9.98كغ</t>
  </si>
  <si>
    <t>FOM-2024-0902-FEP-2024-80879-C-22548-0691</t>
  </si>
  <si>
    <t>P-1-N-140824-5080</t>
  </si>
  <si>
    <t>FEP-2024-80880</t>
  </si>
  <si>
    <t>SOLID GOLD STAR CHASER CHICKEN LOAF 374G</t>
  </si>
  <si>
    <t>سوليد جولد ستار تشيسر بالدجاج 374غ</t>
  </si>
  <si>
    <t>FOM-2024-0902-FEP-2024-80880-C-22548-0692</t>
  </si>
  <si>
    <t>P-1-N-140824-5082</t>
  </si>
  <si>
    <t>Applaws Chicken Breast with Pumpkin 70G</t>
  </si>
  <si>
    <t>ابلاوز صدور الدجاج مع القرع في المرق 70 جرام</t>
  </si>
  <si>
    <t>P-1-N-140824-5085</t>
  </si>
  <si>
    <t xml:space="preserve">FEP-2024-80884
</t>
  </si>
  <si>
    <t>SOLID GOLD WINGED TIGER WITH QUAIL 1.36KG</t>
  </si>
  <si>
    <t>سوليد جولد وينجد تايجر بالسمان 1.36كغ</t>
  </si>
  <si>
    <t xml:space="preserve">FOM-2024-0902-FEP-2024-80884-C-22548-0694
</t>
  </si>
  <si>
    <t>P-1-N-140824-5086</t>
  </si>
  <si>
    <t>SOLID GOLD SUN DANCER CHICKEN LOAF 374G</t>
  </si>
  <si>
    <t>سوليد جولد سن دانسر بالدجاج 374غ</t>
  </si>
  <si>
    <t xml:space="preserve">FOM-2024-0902-FEP-2024-80882-C-22548-0693
</t>
  </si>
  <si>
    <t>P-1-N-140824-5087</t>
  </si>
  <si>
    <t>Applaws chicken breast with beef In jelly 70g</t>
  </si>
  <si>
    <t>أبلاوز صدر دجاج مع لحم بقري في الجيلي 70 غ</t>
  </si>
  <si>
    <t>P-1-N-140824-5088</t>
  </si>
  <si>
    <t>8253SML-A</t>
  </si>
  <si>
    <t>Applaws chicken breast with lamp in Jelly 70g</t>
  </si>
  <si>
    <t>أبلاوز صدر دجاج مع لحم غنم في الجيلي 70 غ</t>
  </si>
  <si>
    <t>P-1-N-140824-5089</t>
  </si>
  <si>
    <t>Applaws Tuna Fillet in jelly 70g</t>
  </si>
  <si>
    <t>أبلاوز فيليه التونة في الجيلي 70 غ</t>
  </si>
  <si>
    <t>P-1-N-140824-5090</t>
  </si>
  <si>
    <t>Applaws tuna fillet with mackerel in jelly 70g</t>
  </si>
  <si>
    <t>أبلاوز فيليه تونة مع بالماكريل في الجيلي 70 غ</t>
  </si>
  <si>
    <t>P-1-N-140824-5092</t>
  </si>
  <si>
    <t>Applaws tuna fillet with salmon in jelly 70g</t>
  </si>
  <si>
    <t>أبلاوز فيليه تونة مع سمك السلمون في الجيلي 70 غ</t>
  </si>
  <si>
    <t>P-1-N-150824-5116</t>
  </si>
  <si>
    <t xml:space="preserve">FEP-2024-80887
</t>
  </si>
  <si>
    <t>SOLID GOLD NB WEE BIT BISON 1.7KG</t>
  </si>
  <si>
    <t>سولید جولد ان بي وي بیت بایسون 1.7كغ</t>
  </si>
  <si>
    <t>FOM-2024-0902-FEP-2024-80887-C-22548-0695</t>
  </si>
  <si>
    <t>P-1-N-150824-5117</t>
  </si>
  <si>
    <t xml:space="preserve">FEP-2024-80889
</t>
  </si>
  <si>
    <t>SOLID GOLD NB WEE BIT BISON 9.98KG</t>
  </si>
  <si>
    <t>سوليد جولد ان بي وي بيت بايسون 9.98كغ</t>
  </si>
  <si>
    <t>FOM-2024-0902-FEP-2024-80889-C-22548-0697</t>
  </si>
  <si>
    <t xml:space="preserve">FEP-2024-80849
</t>
  </si>
  <si>
    <t>SOLID GOLD NB HUND N FLOCKEN LAMB 1.7KG</t>
  </si>
  <si>
    <t>سولید جولد ان بي ھند ان فلوكین بلحم الضأن 1.7كغ</t>
  </si>
  <si>
    <t>FOM-2024-5981-FEP-2024-80849-C-22548-0686</t>
  </si>
  <si>
    <t>FOM-2024-0902-FEP-2024-80890-C-22548-0698</t>
  </si>
  <si>
    <t>P-1-N-150824-5119</t>
  </si>
  <si>
    <t>FEP-2024-80890</t>
  </si>
  <si>
    <t>SOLID GOLD NB HUND N FLOCKEN LAMB 9.98KG</t>
  </si>
  <si>
    <t>سولید جولد ان بي ھند ان فلوكین بلحم الضأن 9.98كغ</t>
  </si>
  <si>
    <t>FOM-2024-0902-FEP-2024-80891-C-22548-0699</t>
  </si>
  <si>
    <t>P-1-N-190824-5182</t>
  </si>
  <si>
    <t>Yowup Yogurt SKIN AND HAIR DOG 115g</t>
  </si>
  <si>
    <t>P-1-N-190824-5183</t>
  </si>
  <si>
    <t>Yowup Yogurt ARTICULAR DOG 115g</t>
  </si>
  <si>
    <t>P-1-N-190824-5184</t>
  </si>
  <si>
    <t>Yowup Yogurt SKIN AND HAIR CAT 85g</t>
  </si>
  <si>
    <t>P-1-N-190824-5187</t>
  </si>
  <si>
    <t>Applaws Tuna Fillet with Anchovy &amp; Seaweed in broth 70g</t>
  </si>
  <si>
    <t>P-1-N-190824-5190</t>
  </si>
  <si>
    <t>Applaws Tuna Fillet with sea bream in broth 70G</t>
  </si>
  <si>
    <t>أبلاوز فيليه تونة مع سمك الدنيس في المرق 70 غ</t>
  </si>
  <si>
    <t>P-1-N-200824-5196</t>
  </si>
  <si>
    <t>Immune Cat Paste 100ml</t>
  </si>
  <si>
    <t>اميون كات بايست 100 مل</t>
  </si>
  <si>
    <t>P-1-N-200824-5197</t>
  </si>
  <si>
    <t>Hairball Control 45g</t>
  </si>
  <si>
    <t>هيربول كونترول 45 جم</t>
  </si>
  <si>
    <t>P-1-N-200824-5208</t>
  </si>
  <si>
    <t>Natural Code Chicken and vegetables 85g</t>
  </si>
  <si>
    <t>ناتشرال كود الدجاج والخضروات 85 غ</t>
  </si>
  <si>
    <t>P-1-N-200824-5207</t>
  </si>
  <si>
    <t>Natural Code Chicken with beef 85g</t>
  </si>
  <si>
    <t>ناتشرال كود الدجاج واللحم البقري 85 غ</t>
  </si>
  <si>
    <t>P-1-N-200824-5210</t>
  </si>
  <si>
    <t>Natural code tuna slices 85g</t>
  </si>
  <si>
    <t>ناتشرال كود شرائح التونة 85 غ</t>
  </si>
  <si>
    <t>P-1-N-200824-5206</t>
  </si>
  <si>
    <t>Natural Code Chicken with Tuna 85g</t>
  </si>
  <si>
    <t>ناتشرال كود الدجاج والتونا 85 غ</t>
  </si>
  <si>
    <t>P-1-N-200824-5205</t>
  </si>
  <si>
    <t>Natural Code Chicken with Shrimps 85g</t>
  </si>
  <si>
    <t>ناتشرال كود الدجاج والجمبري 85 غ</t>
  </si>
  <si>
    <t>P-1-N-200824-5204</t>
  </si>
  <si>
    <t>Natural Code Chicken and Salmon 85g</t>
  </si>
  <si>
    <t>ناتشرال كود الدجاج والسالمون 85 غ</t>
  </si>
  <si>
    <t>P-1-N-200824-5203</t>
  </si>
  <si>
    <t>Natural Code chicken fillets 85g</t>
  </si>
  <si>
    <t>ناتشرال كود فيليه الدجاج 85 غ</t>
  </si>
  <si>
    <t>P-1-N-200824-5209</t>
  </si>
  <si>
    <t>Natural Code Chicken with beef and vegetables 90g</t>
  </si>
  <si>
    <t>ناتشرال كود– دجاج ولحم البقر و الخضراوات 90 غ</t>
  </si>
  <si>
    <t>P-1-N-200824-5211</t>
  </si>
  <si>
    <t>Natural code tuna with beef liver in jelly 85g</t>
  </si>
  <si>
    <t>ناتشرال كود سوفت جيلي تونة وكبد البقر 85غ</t>
  </si>
  <si>
    <t>P-1-N-210824-5232</t>
  </si>
  <si>
    <t>1008SRE-A</t>
  </si>
  <si>
    <t>Applaws Tuna fillet with prawn in broth 70g</t>
  </si>
  <si>
    <t>أبلاوز فيليه تونة مع الربيان في المرق 70 غ</t>
  </si>
  <si>
    <t xml:space="preserve">2024-251203
</t>
  </si>
  <si>
    <t>YOWUP112</t>
  </si>
  <si>
    <t xml:space="preserve">ﻳﻮ اب زﺑﺎدي ارﺗﻴﻜﻮﻻر  ﻟﻠﻜﻼب 115غ
</t>
  </si>
  <si>
    <t>FEM-2024-7656-FEP-2024-80659-C-22548-0552</t>
  </si>
  <si>
    <t>.أﻟﻤﻴﻨﺘﺎﺳﻴﻮن واي ﻧﻮﺗﺮﻳﺴﻴﻮن ﻓﺎﻣﻴﻠﻴﺎر اس ال</t>
  </si>
  <si>
    <t>28/8/2029</t>
  </si>
  <si>
    <t>2024-251073</t>
  </si>
  <si>
    <t>YOWUP111</t>
  </si>
  <si>
    <t>يو اب زبادي للجلد و الشعر للكلاب 115غ</t>
  </si>
  <si>
    <t>FEM-2024-7654-FEP-2024-80658-C-22548-0553</t>
  </si>
  <si>
    <t>ألمينتاسيون واي نوتريسيون فاميليار اس ال.</t>
  </si>
  <si>
    <t>2024-253261</t>
  </si>
  <si>
    <t>YOWUP211</t>
  </si>
  <si>
    <t xml:space="preserve">Yowup Yogurt SKIN AND HAIR CAT </t>
  </si>
  <si>
    <t>يو اب زبادي للجلد و الشعر للقطط</t>
  </si>
  <si>
    <t>2024-253384</t>
  </si>
  <si>
    <t>FOM-2024-1642-FEP-2024-80748-C-22548-0586</t>
  </si>
  <si>
    <t>2024-253397</t>
  </si>
  <si>
    <t>FOM-2024-1642-FEP-2024-80752-C-22548-0593</t>
  </si>
  <si>
    <t>2024-253410</t>
  </si>
  <si>
    <r>
      <rPr>
        <rFont val="Cairo, sans-serif"/>
        <color rgb="FF878787"/>
        <sz val="12.0"/>
      </rPr>
      <t>FOM-2024-1642-FEP-2024-80758-C-22548-0599</t>
    </r>
  </si>
  <si>
    <t>إرفاق شهادة بيان مكونات للمنتج موضح به التحليل و المكونات</t>
  </si>
  <si>
    <t>2024-255074</t>
  </si>
  <si>
    <t xml:space="preserve">عاد الي مقدم الطلب </t>
  </si>
  <si>
    <t>أبلاوز صدور الدجاج مجففة مجمدة 10 غ</t>
  </si>
  <si>
    <t>2024-255102</t>
  </si>
  <si>
    <t>أبلاوز فيليه التونا مجففة مجمدة 10 غ</t>
  </si>
  <si>
    <t xml:space="preserve">جب إرفاق بطاقة المنتج بشكل صحيح كما هو موضح في دليل تسجيل المنتجات العلفية </t>
  </si>
  <si>
    <t>2024-255120</t>
  </si>
  <si>
    <t>2024-255136</t>
  </si>
  <si>
    <t>2024-257277</t>
  </si>
  <si>
    <t>1003SRE-A</t>
  </si>
  <si>
    <t>2024-257302</t>
  </si>
  <si>
    <t>1002SRE-A</t>
  </si>
  <si>
    <t>Applaws Chicken breast in broth 70g</t>
  </si>
  <si>
    <t>2024-257328</t>
  </si>
  <si>
    <t>يجب إرفاق بيان مكونات المنتج</t>
  </si>
  <si>
    <t>2024-257436</t>
  </si>
  <si>
    <t>يجب إرفاق بطاقة التعبئة بشكل كامل</t>
  </si>
  <si>
    <t>2024-257467</t>
  </si>
  <si>
    <t>2024-257476</t>
  </si>
  <si>
    <t>1010SRE-A</t>
  </si>
  <si>
    <t>FOM-2024-1642-FEP-2024-80892-C-22548-0700</t>
  </si>
  <si>
    <t xml:space="preserve">اسم المنتج في النظام الالكتروني و البطاقة مختلف عن اسم المنتج في شهادة حرية البيع </t>
  </si>
  <si>
    <t>2024-257493</t>
  </si>
  <si>
    <t>اسم المنتج في النظام الالكتروني و البطاقة مختلف عن اسم المنتج في شهادة حرية البيع</t>
  </si>
  <si>
    <t>2024-257501</t>
  </si>
  <si>
    <t>أبلاوز فيليه تونة مع عشب البحر وسمك الانشوفة في المرق 70غ</t>
  </si>
  <si>
    <t>2024-257512</t>
  </si>
  <si>
    <t>8251SML-A</t>
  </si>
  <si>
    <t>Applaws chicken breast with chicken liver in jelly 70g</t>
  </si>
  <si>
    <t>أبلاوز صدور الدجاج مع الكبد في الجيلي 70 غ</t>
  </si>
  <si>
    <t>2024-257527</t>
  </si>
  <si>
    <t>FOM-2024-1642-FEP-2024-80898-C-22548-0707</t>
  </si>
  <si>
    <t>SOLID GOLD FIT AS A FIDDLE POLLOCK GRAIN FREE 3Kg,</t>
  </si>
  <si>
    <t>سولید جولد فیت از ا فیدل بسمك البلوق خالي من الحبوب 3 كغ</t>
  </si>
  <si>
    <t>FOM-2024-0902-FEP-2024-80798-C-22548-0607</t>
  </si>
  <si>
    <t>سولید جولد فیت اند فابیلس بالدجاج خالي من الحبوب 374 غ</t>
  </si>
  <si>
    <t>FOM-2024-0902-FEP-2024-80797-C-22548-0608</t>
  </si>
  <si>
    <t>2024-252386</t>
  </si>
  <si>
    <t>Vitalicat 75g</t>
  </si>
  <si>
    <t>فيتاليكات 75غ</t>
  </si>
  <si>
    <t>FOM-2024-7301-FEP-2024-80696-C-22548-0558</t>
  </si>
  <si>
    <t>31/08/29</t>
  </si>
  <si>
    <t>2024-252389</t>
  </si>
  <si>
    <t>Dermacat 0.3 23g</t>
  </si>
  <si>
    <t xml:space="preserve"> 23 غ ديرماكات 0.3</t>
  </si>
  <si>
    <t>FOM-2024-7301-FEP-2024-80699-C-22548-0559</t>
  </si>
  <si>
    <t>2024-252403</t>
  </si>
  <si>
    <t>Biodermcat 30g</t>
  </si>
  <si>
    <t>بيوديرمكات 30غ</t>
  </si>
  <si>
    <t>FOM-2024-7301-FEP-2024-80700-C-22548-0560</t>
  </si>
  <si>
    <t>2024-253329</t>
  </si>
  <si>
    <t xml:space="preserve">Vitalidog Paste 100Ml
</t>
  </si>
  <si>
    <t>فيتاليدوج بايست 100مل</t>
  </si>
  <si>
    <t>FOM-2024-7301-FEP-2024-80730-C-22548-0562</t>
  </si>
  <si>
    <t>2024-253316</t>
  </si>
  <si>
    <t>Vitalicat Paste 100Ml</t>
  </si>
  <si>
    <t>فيتاليكات بايست 100مل</t>
  </si>
  <si>
    <t>FOM-2024-7301-FEP-2024-80729-C-22548-0563</t>
  </si>
  <si>
    <t>2024-253333</t>
  </si>
  <si>
    <t>Vitalidog Junior Paste 100ml</t>
  </si>
  <si>
    <t>فيتاليدوج جونيوربايست 100مل</t>
  </si>
  <si>
    <t>FOM-2024-7301-FEP-2024-80731-C-22548-0564</t>
  </si>
  <si>
    <t>2024-253335</t>
  </si>
  <si>
    <t>Dermadog 1.5 75G</t>
  </si>
  <si>
    <t>ديرمادوج 1.5 75غ</t>
  </si>
  <si>
    <t>FOM-2024-7301-FEP-2024-80733-C-22548-0565</t>
  </si>
  <si>
    <t>2024-253341</t>
  </si>
  <si>
    <t>FEP-2024-80734</t>
  </si>
  <si>
    <t>Dermadog 0,5 Small Breed 30G</t>
  </si>
  <si>
    <t>ديرمادوج 0,5 سلالة صغيرة 30غ</t>
  </si>
  <si>
    <t>FOM-2024-7301-FEP-2024-80734-C-22548-0571</t>
  </si>
  <si>
    <t>2024-252383</t>
  </si>
  <si>
    <t>FEP-2024-80695</t>
  </si>
  <si>
    <t>Vitalicat 30G</t>
  </si>
  <si>
    <t>فيتاليكات 30غ</t>
  </si>
  <si>
    <t>FOM-2024-7301-FEP-2024-80695-C-22548-0572</t>
  </si>
  <si>
    <t>2024-253413</t>
  </si>
  <si>
    <t>FEP-2024-80757</t>
  </si>
  <si>
    <t>Synbioflora Tab for Small Breed Dogs 30G</t>
  </si>
  <si>
    <t>سينبيوفلورا تاب للكلاب من السلالات الصغيرة 30غ</t>
  </si>
  <si>
    <t>FOM-2024-7301-FEP-2024-80757-C-22548-0601</t>
  </si>
  <si>
    <t>2024-253409</t>
  </si>
  <si>
    <t>FEP-2024-80755</t>
  </si>
  <si>
    <t>Synbioflora Tab for Cats 30G</t>
  </si>
  <si>
    <t>سينبيوفلورا تاب للقطط 30غ</t>
  </si>
  <si>
    <t>FOM-2024-7301-FEP-2024-80755-C-22548-0602</t>
  </si>
  <si>
    <t>2024-253359</t>
  </si>
  <si>
    <t>FEP-2024-80739</t>
  </si>
  <si>
    <t>Silycumin 50G</t>
  </si>
  <si>
    <t>سيليكومين 50غ</t>
  </si>
  <si>
    <t>FOM-2024-7301-FEP-2024-80739-C-22548-0619</t>
  </si>
  <si>
    <t>2024-253408</t>
  </si>
  <si>
    <t>FEP-2024-80754</t>
  </si>
  <si>
    <t>Hairball Control 45G</t>
  </si>
  <si>
    <t>هيربول كونترول 45غ</t>
  </si>
  <si>
    <t>FOM-2024-7301-FEP-2024-80754-C-22548-0620</t>
  </si>
  <si>
    <t>2024-253405</t>
  </si>
  <si>
    <t>FEP-2024-80753</t>
  </si>
  <si>
    <t xml:space="preserve">Immune Cat Paste 100Ml
 </t>
  </si>
  <si>
    <t>FOM-2024-7301-FEP-2024-80753-C-22548-0621</t>
  </si>
  <si>
    <t>2024-253364</t>
  </si>
  <si>
    <t>FEP-2024-80741</t>
  </si>
  <si>
    <t>Silycumin 68G</t>
  </si>
  <si>
    <t>سيليكومين 68غ</t>
  </si>
  <si>
    <t>FOM-2024-7301-FEP-2024-80741-C-22548-0623</t>
  </si>
  <si>
    <t>2024-253401</t>
  </si>
  <si>
    <t>FEP-2024-80751</t>
  </si>
  <si>
    <t>Dermacat Paste 100Ml</t>
  </si>
  <si>
    <t>ديرماكات بايست 100مل</t>
  </si>
  <si>
    <t>FOM-2024-7301-FEP-2024-80751-C-22548-0624</t>
  </si>
  <si>
    <t>2024-253394</t>
  </si>
  <si>
    <t>FEP-2024-80749</t>
  </si>
  <si>
    <t>Bio Kitten 200G</t>
  </si>
  <si>
    <t>بيو كيتن 200غ</t>
  </si>
  <si>
    <t>FOM-2024-7301-FEP-2024-80749-C-22548-0625</t>
  </si>
  <si>
    <t>2024-253375</t>
  </si>
  <si>
    <t>FEP-2024-80744</t>
  </si>
  <si>
    <t>Calming Cat Paste 100Ml</t>
  </si>
  <si>
    <t>كالمينج كات بايست 100مل</t>
  </si>
  <si>
    <t>FOM-2024-7301-FEP-2024-80744-C-22548-0627</t>
  </si>
  <si>
    <t>2024-253379</t>
  </si>
  <si>
    <t>FEP-2024-80844</t>
  </si>
  <si>
    <t>Catimalt Plus Soft Paste 25g</t>
  </si>
  <si>
    <t>كاتيمالت بلس سوفت بايست 25غ</t>
  </si>
  <si>
    <t>FOM-2024-7301-FEP-2024-80844-C-22548-0628</t>
  </si>
  <si>
    <t>2024-253349</t>
  </si>
  <si>
    <t>FEP-2024-80735</t>
  </si>
  <si>
    <t>Biodermdog 38g</t>
  </si>
  <si>
    <t>بيوديرمدوج 38غ</t>
  </si>
  <si>
    <t>FOM-2024-7301-FEP-2024-80735-C-22548-0629</t>
  </si>
  <si>
    <t>2024-253368</t>
  </si>
  <si>
    <t>FEP-2024-80742</t>
  </si>
  <si>
    <t>Vitalicat Junior Paste 100ml</t>
  </si>
  <si>
    <t>فيتاليكات جونيور بايست 100مل</t>
  </si>
  <si>
    <t>FOM-2024-0796-FEP-2024-80742-C-22548-0630</t>
  </si>
  <si>
    <t>2024-253390</t>
  </si>
  <si>
    <t>FEP-2024-80747</t>
  </si>
  <si>
    <t>Vitalidog Small Breed 30g</t>
  </si>
  <si>
    <t>فيتاليدوج سلالة صغيرة 30غ</t>
  </si>
  <si>
    <t>FOM-2024-7301-FEP-2024-80747-C-22548-0626</t>
  </si>
  <si>
    <t>2024-261401</t>
  </si>
  <si>
    <t>ناتشرال كود دجاج ولحم البقر و الخضراوات 90 غ</t>
  </si>
  <si>
    <t>2024-266683</t>
  </si>
  <si>
    <t>2024-261546</t>
  </si>
  <si>
    <t>FOM-2024-0466-FEP-2024-80997-C-22548-0748</t>
  </si>
  <si>
    <t>2024-261559</t>
  </si>
  <si>
    <t>FOM-2024-0466-FEP-2024-80998-C-22548-0753</t>
  </si>
  <si>
    <t>2024-261573</t>
  </si>
  <si>
    <t>FOM-2024-0466-FEP-2024-80999-C-22548-0749</t>
  </si>
  <si>
    <t>2024-264574</t>
  </si>
  <si>
    <t>FOM-2024-0466-FEP-2024-81096-C-22548-0752</t>
  </si>
  <si>
    <t>2024-266645</t>
  </si>
  <si>
    <t>FOM-2024-0466-FEP-2024-81098-C-22548-0750</t>
  </si>
  <si>
    <t>2024-266664</t>
  </si>
  <si>
    <t>FOM-2024-0466-FEP-2024-81099-C-22548-0751</t>
  </si>
  <si>
    <t>المنتج يحتوى على ادعاءات غير تغذوية</t>
  </si>
  <si>
    <t>2024-276961</t>
  </si>
  <si>
    <t xml:space="preserve">مرفوض </t>
  </si>
  <si>
    <t>D-Kaltabs (Calcium Tablets for Dogs and Cats) 84 Tabs</t>
  </si>
  <si>
    <t>D-Kaltabs Cat (Calcium Tablets for Cats) 60 Tabs</t>
  </si>
  <si>
    <t xml:space="preserve"> المنتج يحتوى على ادعاءات غير تغذوية</t>
  </si>
  <si>
    <t>2024-277760</t>
  </si>
  <si>
    <t>Felilysine (L-Lysine Tablet for Cats) 90 Tabs</t>
  </si>
  <si>
    <t>فيليليسين (اقراص ال- ليسين للقطط)</t>
  </si>
  <si>
    <t>2024-278742</t>
  </si>
  <si>
    <t>Bio Urinamin 40 Tabs (Urinary Tract Health Support)</t>
  </si>
  <si>
    <t>بيو-يورينامين</t>
  </si>
  <si>
    <t>FEM-2024-9783-FEP-2024-81322-C-22548-0972</t>
  </si>
  <si>
    <t>25/9/2029</t>
  </si>
  <si>
    <t xml:space="preserve">تصحيح الاخطاء الاملائية في البطاقة واعادة الصياغة لتكون مفهمومة و واضحة ### كتابة درجة حرارة التخزين رقما على البطاقة </t>
  </si>
  <si>
    <t>2024-253396</t>
  </si>
  <si>
    <t>Bio Puppy (Puppy Milk Replacer) 200 g</t>
  </si>
  <si>
    <t>بايو بوبي</t>
  </si>
  <si>
    <t>2024-277818</t>
  </si>
  <si>
    <t>Felilysine Gel (L-Lysine Gel for Cats)</t>
  </si>
  <si>
    <t>فيليليسين (جيل ال- ليسين للقطط)</t>
  </si>
  <si>
    <t>FEM-2024-9718-FEP-2024-81304-C-22548-0970</t>
  </si>
  <si>
    <t xml:space="preserve">ارفاق بطاقة المنتج في بلد الانتاج وخطاب من الشركة من المنتجة يفيد ان المنتج ليس دواء </t>
  </si>
  <si>
    <t>2024-278010</t>
  </si>
  <si>
    <t xml:space="preserve">تحت الاجراء </t>
  </si>
  <si>
    <t>CatiMalt Plus (Hairball Control for Cats) 100 ml</t>
  </si>
  <si>
    <t>كاتي ميلت بلس</t>
  </si>
  <si>
    <t>2024-278099</t>
  </si>
  <si>
    <t>Multimix (vitamin and mineral mix powder) 50 g</t>
  </si>
  <si>
    <t>مالتي ميكس</t>
  </si>
  <si>
    <t>FEM-2024-9748-FEP-2024-81313-C-22548-0971</t>
  </si>
  <si>
    <t>2024-278760</t>
  </si>
  <si>
    <t>Breed Vit E</t>
  </si>
  <si>
    <t>برید فیت ھ</t>
  </si>
  <si>
    <t>FOM-2024-7301-FEP-2024-81324-C-22548-0915</t>
  </si>
  <si>
    <t>23/9/2029</t>
  </si>
  <si>
    <t>2024-278776</t>
  </si>
  <si>
    <t>Bird Vita Fix</t>
  </si>
  <si>
    <t>FEM-2024-9784-FEP-2024-81325-C-22548-0914</t>
  </si>
  <si>
    <t>2024-278799</t>
  </si>
  <si>
    <t>Yeast Stock</t>
  </si>
  <si>
    <t>FEM-2024-9785-FEP-2024-81326-C-22548-0913</t>
  </si>
  <si>
    <t>2024-287738</t>
  </si>
  <si>
    <t>Flora Control</t>
  </si>
  <si>
    <t>فلورا كونترول</t>
  </si>
  <si>
    <t xml:space="preserve">FEM-2024-10143-FEP-2024-81476-C-22548-1087
</t>
  </si>
  <si>
    <t>2024-278812</t>
  </si>
  <si>
    <t>Calsi Bird</t>
  </si>
  <si>
    <t>كالسى بیرد</t>
  </si>
  <si>
    <t>FEM-2024-9788-FEP-2024-81328-C-22548-0911</t>
  </si>
  <si>
    <t>Bio Avivitaminasol</t>
  </si>
  <si>
    <t>بيو أفيفيتاميناسول</t>
  </si>
  <si>
    <t>2024-293243</t>
  </si>
  <si>
    <t>D-Kaltabs Cat</t>
  </si>
  <si>
    <t xml:space="preserve">د/كالتس للقطط </t>
  </si>
  <si>
    <t>2024-293366</t>
  </si>
  <si>
    <t>D-Kaltabs</t>
  </si>
  <si>
    <t xml:space="preserve">د/كالتبس </t>
  </si>
  <si>
    <t>14/10/2029</t>
  </si>
  <si>
    <t>2024-293415</t>
  </si>
  <si>
    <t>Felilysine</t>
  </si>
  <si>
    <t>فيليليسين</t>
  </si>
  <si>
    <t>FEM-2024-10313-FEP-2024-81610-C-22548-1270</t>
  </si>
  <si>
    <t xml:space="preserve">FSC not clear </t>
  </si>
  <si>
    <t>Butcher's Delicious Dinners meat in jelly</t>
  </si>
  <si>
    <t>Butcher's Delicious Dinners fish in jelly</t>
  </si>
  <si>
    <t>2024-306569</t>
  </si>
  <si>
    <t>FEM-2024-10775-FEP-2024-81928-C-22548-1327</t>
  </si>
  <si>
    <t>تشامبيون بيت فود هولدينق لنس</t>
  </si>
  <si>
    <t>19/10/2029</t>
  </si>
  <si>
    <t>2024-306624</t>
  </si>
  <si>
    <t>ACANA Adult Large Breed Dog Food</t>
  </si>
  <si>
    <t>اكانا ادولت دوق ريسبي للكلاب</t>
  </si>
  <si>
    <t>FEM-2024-10776-FEP-2024-82188-C-22548-1354</t>
  </si>
  <si>
    <t>2024-306641</t>
  </si>
  <si>
    <t>اكانا ادولت لارج برييد ريسبي للكلاب</t>
  </si>
  <si>
    <t>FEM-2024-10779-FEP-2024-81932-C-22548-1328</t>
  </si>
  <si>
    <t>2024-306654</t>
  </si>
  <si>
    <t>اكانا ادولت سمول برييد ريسبي للكلاب</t>
  </si>
  <si>
    <t>FEM-2024-10780-FEP-2024-81933-C-22548-1321</t>
  </si>
  <si>
    <t>2024-306660</t>
  </si>
  <si>
    <t>ACANA Classics Prairie Poultry Recipe Dog Food</t>
  </si>
  <si>
    <t>اكانا بونتيفول كاتش للقطط</t>
  </si>
  <si>
    <t>FEM-2024-10781-FEP-2024-81934-C-22548-1326</t>
  </si>
  <si>
    <t>no coa ,no Free sale</t>
  </si>
  <si>
    <t>ACANA Classics Wild Coast Recipe Dog Food</t>
  </si>
  <si>
    <t>اكانا برايوري بولتري ريسبي للكلاب</t>
  </si>
  <si>
    <t>2024-306709</t>
  </si>
  <si>
    <t>ACANA Free-Run Duck Dog Food</t>
  </si>
  <si>
    <t>اكانا سنقل فري – رن داك ريسبي للكلاب</t>
  </si>
  <si>
    <t xml:space="preserve">FEM-2024-10785-FEP-2024-81938-C-22548-1322
</t>
  </si>
  <si>
    <t>2024-306725</t>
  </si>
  <si>
    <t>ACANA GRASS-FED LAMB DOG Food</t>
  </si>
  <si>
    <t>FEM-2024-10786-FEP-2024-81939-C-22548-1355</t>
  </si>
  <si>
    <t>2024-306749</t>
  </si>
  <si>
    <t>اكانا سنقل قراس- فيد لامب ريسبي للكلاب</t>
  </si>
  <si>
    <t>FEM-2024-10787-FEP-2024-81940-C-22548-1323</t>
  </si>
  <si>
    <t>2024-306770</t>
  </si>
  <si>
    <t>ACANA Highest Protein Grasslands Dog Food</t>
  </si>
  <si>
    <t>اكانا هايست بروتين قراسلاندس للقطط</t>
  </si>
  <si>
    <t xml:space="preserve">FEM-2024-10791-FEP-2024-81943-C-22548-1324
</t>
  </si>
  <si>
    <t>2024-306775</t>
  </si>
  <si>
    <t>اكانا هايست بروتين قراسلاندس ريسبي للكلاب</t>
  </si>
  <si>
    <t>FEM-2024-10792-FEP-2024-81945-C-22548-1325</t>
  </si>
  <si>
    <t>2024-306797</t>
  </si>
  <si>
    <t>ACANA Highest Protein Kitten Cat Food</t>
  </si>
  <si>
    <t>اكانا هايست بروتين اندور كات للقطط</t>
  </si>
  <si>
    <t>FEM-2024-10793-FEP-2024-81946-C-22548-1349</t>
  </si>
  <si>
    <t>2024-306802</t>
  </si>
  <si>
    <t>اكانا هايست بروتين كيتن للقطط</t>
  </si>
  <si>
    <t>FEM-2024-10794-FEP-2024-81947-C-22548-1329</t>
  </si>
  <si>
    <t>2024-306815</t>
  </si>
  <si>
    <t>ACANA Highest Protein Pacifica Dog Food</t>
  </si>
  <si>
    <t>اكانا هايست بروتين باسيفك ريسبي للقطط</t>
  </si>
  <si>
    <t>FEM-2024-10796-FEP-2024-81948-C-22548-1330</t>
  </si>
  <si>
    <t>2024-306828</t>
  </si>
  <si>
    <t>اكانا هايست بروتين باسيفك للقطط</t>
  </si>
  <si>
    <t>FEM-2024-10797-FEP-2024-81949-C-22548-1331</t>
  </si>
  <si>
    <t>2024-306840</t>
  </si>
  <si>
    <t>ACANA Highest Protein Wild Prairie Dog Food</t>
  </si>
  <si>
    <t xml:space="preserve">اكانا هايست بروتين وايلد بريري  للكلاب </t>
  </si>
  <si>
    <t>FEM-2024-10799-FEP-2024-81950-C-22548-1332</t>
  </si>
  <si>
    <t>2024-306884</t>
  </si>
  <si>
    <t>اكانا هايست بروتين وايلد بريري ريسبي للكلاب</t>
  </si>
  <si>
    <t xml:space="preserve">FEM-2024-10803-FEP-2024-81954-C-22548-1333
</t>
  </si>
  <si>
    <t>2024-306924</t>
  </si>
  <si>
    <t>ACANA Kitten First Feast Cat Food 1.8</t>
  </si>
  <si>
    <t>اكانا هومستد هارفس للقطط</t>
  </si>
  <si>
    <t xml:space="preserve">FEM-2024-10807-FEP-2024-81959-C-22548-1677
</t>
  </si>
  <si>
    <t>2024-306941</t>
  </si>
  <si>
    <t>اكانا فيرست فاست كيتن للقطط</t>
  </si>
  <si>
    <t>FEM-2024-10808-FEP-2024-81963-C-22548-1336</t>
  </si>
  <si>
    <t>2024-306980</t>
  </si>
  <si>
    <t>اكانا لايت فيت ريسبي للكلاب</t>
  </si>
  <si>
    <t>FEM-2024-10809-FEP-2024-82184-C-22548-1348</t>
  </si>
  <si>
    <t>2024-306988</t>
  </si>
  <si>
    <t>ACANA Puppy Large Breed Dog Food</t>
  </si>
  <si>
    <t>اكانا بابي ريسبي للكلاب</t>
  </si>
  <si>
    <t>FEM-2024-10810-FEP-2024-82183-C-22548-1347</t>
  </si>
  <si>
    <t>2024-307000</t>
  </si>
  <si>
    <t>اكانا بابي لارج برييد ريسبي للكلاب</t>
  </si>
  <si>
    <t>FEM-2024-10811-FEP-2024-81966-C-22548-1335</t>
  </si>
  <si>
    <t>2024-308863</t>
  </si>
  <si>
    <t>اكانا سينيور ريسبي للكلاب</t>
  </si>
  <si>
    <t>FEM-2024-10834-FEP-2024-82001-C-22548-1344</t>
  </si>
  <si>
    <t>2024-309241</t>
  </si>
  <si>
    <t>ACANA Singles Grass-Fed Lamb Recipe Dog Food</t>
  </si>
  <si>
    <t>FEM-2024-10857-FEP-2024-82024-C-22548-1366</t>
  </si>
  <si>
    <t>2024-308891</t>
  </si>
  <si>
    <t>اكانا سبورت اند اجيليتي ريسبي للكلاب</t>
  </si>
  <si>
    <t>FEM-2024-10835-FEP-2024-82004-C-22548-1367</t>
  </si>
  <si>
    <t>2024-308910</t>
  </si>
  <si>
    <t>اكانا اندور انتري للقطط</t>
  </si>
  <si>
    <t>FEM-2024-10836-FEP-2024-82005-C-22548-1361</t>
  </si>
  <si>
    <t>2024-308924</t>
  </si>
  <si>
    <t>ORIJEN Fit &amp; Trim Cat Food 1 kg</t>
  </si>
  <si>
    <t>اوريجن فت اند ترم للقطط</t>
  </si>
  <si>
    <t>FEM-2024-10837-FEP-2024-82006-C-22548-1405</t>
  </si>
  <si>
    <t>20-10-2029</t>
  </si>
  <si>
    <t>2024-308941</t>
  </si>
  <si>
    <t>اوريجن فت اند ترم للكلاب</t>
  </si>
  <si>
    <t>FEM-2024-10838-FEP-2024-82007-C-22548-1403</t>
  </si>
  <si>
    <t>2024-308947</t>
  </si>
  <si>
    <t>اوريجن قاردين 8 للقطط</t>
  </si>
  <si>
    <t>FEM-2024-10839-FEP-2024-82008-C-22548-1401</t>
  </si>
  <si>
    <t>2024-308992</t>
  </si>
  <si>
    <t>اوريجن كيتن للقطط</t>
  </si>
  <si>
    <t xml:space="preserve">FEM-2024-10840-FEP-2024-82009-C-22548-1598
</t>
  </si>
  <si>
    <t>2024-309010</t>
  </si>
  <si>
    <t>ORIJEN Large Breed Adult Dog Food</t>
  </si>
  <si>
    <t>اوريجن لارج برييد ادولت للكلاب</t>
  </si>
  <si>
    <t>FEM-2024-10841-FEP-2024-82010-C-22548-1362</t>
  </si>
  <si>
    <t xml:space="preserve">تشامبيون بيت فود هولدينق انس
</t>
  </si>
  <si>
    <t>2024-309022</t>
  </si>
  <si>
    <t>اوريجن اوريجنال للقطط</t>
  </si>
  <si>
    <t>FEM-2024-10842-FEP-2024-82011-C-22548-1396</t>
  </si>
  <si>
    <t>2024-309064</t>
  </si>
  <si>
    <t>اوريجن اوريجنال للكلاب</t>
  </si>
  <si>
    <t>FEM-2024-10843-FEP-2024-82012-C-22548-1398</t>
  </si>
  <si>
    <t>2024-309078</t>
  </si>
  <si>
    <t>اوريجن بابي للكلاب</t>
  </si>
  <si>
    <t>FEM-2024-10845-FEP-2024-82014-C-22548-1390</t>
  </si>
  <si>
    <t>2024-309084</t>
  </si>
  <si>
    <t>اوريجن بابي لارج للكلاب</t>
  </si>
  <si>
    <t>FEM-2024-10848-FEP-2024-82017-C-22548-1404</t>
  </si>
  <si>
    <t>2024-309090</t>
  </si>
  <si>
    <t>اوريجن سينيور للكلاب</t>
  </si>
  <si>
    <t>FEM-2024-10849-FEP-2024-82018-C-22548-1399</t>
  </si>
  <si>
    <t>2024-309095</t>
  </si>
  <si>
    <t>اوريجن سيكس فيش للقطط</t>
  </si>
  <si>
    <t>FEM-2024-10850-FEP-2024-82019-C-22548-1388</t>
  </si>
  <si>
    <t>2024-309108</t>
  </si>
  <si>
    <t>اوريجن سيكس فيش للكلاب</t>
  </si>
  <si>
    <t>FEM-2024-10851-FEP-2024-82020-C-22548-1394</t>
  </si>
  <si>
    <t>2024-309201</t>
  </si>
  <si>
    <t>اوريجن سمول برييد للكلاب</t>
  </si>
  <si>
    <t xml:space="preserve">FEM-2024-10854-FEP-2024-82021-C-22548-1397
</t>
  </si>
  <si>
    <t>2024-309212</t>
  </si>
  <si>
    <t>ORIJEN Small Breed Marine Fish Dog Food 1.8 kg</t>
  </si>
  <si>
    <t>اوريجن سمول برييد ادولت مارين فيش</t>
  </si>
  <si>
    <t>FEM-2024-10855-FEP-2024-82022-C-22548-1406</t>
  </si>
  <si>
    <t>2024-309222</t>
  </si>
  <si>
    <t>ORIJEN Small Breed Puppy Dog Food 4.5 kg</t>
  </si>
  <si>
    <t>اوريجن بابي سمول برييد للكلاب</t>
  </si>
  <si>
    <t>FEM-2024-10856-FEP-2024-82023-C-22548-1407</t>
  </si>
  <si>
    <t>2024-312067</t>
  </si>
  <si>
    <t>Dr.Clauder's Trainee snack deer 80g</t>
  </si>
  <si>
    <t>د. كلاودر تريني سناك لحم الغزال</t>
  </si>
  <si>
    <t>FOM-2024-0474-FEP-2024-82092-C-22548-1365</t>
  </si>
  <si>
    <t>2024-312087</t>
  </si>
  <si>
    <t>Dr.Clauder's Trainee snack horse 80g</t>
  </si>
  <si>
    <t>د. كلاودر تريني سناك لحم الحصان</t>
  </si>
  <si>
    <t>FOM-2024-0474-FEP-2024-82094-C-22548-1360</t>
  </si>
  <si>
    <t>2024-312099</t>
  </si>
  <si>
    <t>Dr.Clauder's Trainee snack duck 80g</t>
  </si>
  <si>
    <t>د. كلاودر تريني سناك لحم البط</t>
  </si>
  <si>
    <t>FOM-2024-0474-FEP-2024-82096-C-22548-1363</t>
  </si>
  <si>
    <t>2024-312104</t>
  </si>
  <si>
    <t>Dr.Clauder's Trainee snack rabbit 80g</t>
  </si>
  <si>
    <t>د. كلاودر تريني سناك لحم الارانب</t>
  </si>
  <si>
    <t>FOM-2024-0474-FEP-2024-82097-C-22548-1364</t>
  </si>
  <si>
    <t>2024-312109</t>
  </si>
  <si>
    <t>Dr.Clauder's Trainee snack cheese 80g</t>
  </si>
  <si>
    <t>د. كلاودر تريني سناك جبن</t>
  </si>
  <si>
    <t>FOM-2024-0474-FEP-2024-82098-C-22548-1370</t>
  </si>
  <si>
    <t>2024-312112</t>
  </si>
  <si>
    <t>Dr.Clauder's Trainee snack Goat 80g</t>
  </si>
  <si>
    <t>د. كلاودر تريني سناك لحم الماعز</t>
  </si>
  <si>
    <t>FOM-2024-0474-FEP-2024-82099-C-22548-1369</t>
  </si>
  <si>
    <t>2024-312585</t>
  </si>
  <si>
    <t>اينابا كاب ديش ديلايت دجاج مع التونة ريسبي</t>
  </si>
  <si>
    <t>FEM-2024-11026-FEP-2024-82228-C-22548-1440</t>
  </si>
  <si>
    <t xml:space="preserve">شركة تاي اينابا للأغذية المحدودة
</t>
  </si>
  <si>
    <t>21-10-2029</t>
  </si>
  <si>
    <t>2024-312605</t>
  </si>
  <si>
    <t>اينابا كاب ديش ديلايت دجاج مع التونة ولسالمون ريسبي</t>
  </si>
  <si>
    <t>FEM-2024-11027-FEP-2024-82227-C-22548-1425</t>
  </si>
  <si>
    <t>2024-312617</t>
  </si>
  <si>
    <t>اينابا كاب ديش ديلايت دجاج مع التونة والاسكالوب ريسبي</t>
  </si>
  <si>
    <t>FEM-2024-11029-FEP-2024-82226-C-22548-1424</t>
  </si>
  <si>
    <t>2024-312626</t>
  </si>
  <si>
    <t>اينابا كاب ديش ديلايت دجاج ريسبي</t>
  </si>
  <si>
    <t>FEM-2024-11030-FEP-2024-82225-C-22548-1423</t>
  </si>
  <si>
    <t>2024-312633</t>
  </si>
  <si>
    <t>اينابا كاب ديش ديلايت دجاج مع الاسكالوب ريسبي</t>
  </si>
  <si>
    <t>FEM-2024-11031-FEP-2024-82224-C-22548-1422</t>
  </si>
  <si>
    <t>2024-312643</t>
  </si>
  <si>
    <t>اينابا كاب ديش ديلايت دجاج مع الجبن ريسبي</t>
  </si>
  <si>
    <t>FEM-2024-11032-FEP-2024-82223-C-22548-1421</t>
  </si>
  <si>
    <t>2024-312647</t>
  </si>
  <si>
    <t>اينابا كاب ديش ديلايت دجاج مع بونيتو فليكس ريسبي</t>
  </si>
  <si>
    <t>FEM-2024-11033-FEP-2024-82222-C-22548-1420</t>
  </si>
  <si>
    <t>2024-312651</t>
  </si>
  <si>
    <t>اينابا كاب ديش ديلايت دجاج مع السالمون ريسبي</t>
  </si>
  <si>
    <t>FEM-2024-11034-FEP-2024-82221-C-22548-1419</t>
  </si>
  <si>
    <t>2024-330246</t>
  </si>
  <si>
    <t>ويلنس كور 95% ديك رومي مع كالي</t>
  </si>
  <si>
    <t>FEM-2024-14516-FEP-2024-82534-C-22548-1633</t>
  </si>
  <si>
    <t xml:space="preserve">ولبت بلجيكا بي في
</t>
  </si>
  <si>
    <t>2024-330277</t>
  </si>
  <si>
    <t>ويلنس كور 95% لحم الضأن مع القرع</t>
  </si>
  <si>
    <t xml:space="preserve">FEM-2024-14517-FEP-2024-82535-C-22548-2007
</t>
  </si>
  <si>
    <t>2024-330299</t>
  </si>
  <si>
    <t>ويلنس كور 95% لحم بقري مع بروكلي</t>
  </si>
  <si>
    <t xml:space="preserve">FEM-2024-14519-FEP-2024-82537-C-22548-2008
</t>
  </si>
  <si>
    <t>2024-330316</t>
  </si>
  <si>
    <t>ويلنس كور 95% ديك رومي مع لحم الماعز</t>
  </si>
  <si>
    <t>FEM-2024-14521-FEP-2024-82776-C-22548-2009</t>
  </si>
  <si>
    <t>2024-330324</t>
  </si>
  <si>
    <t>ويلنس كور 95% دجاج وبط مع الجزر</t>
  </si>
  <si>
    <t xml:space="preserve">FEM-2024-14522-FEP-2024-82540-C-22548-2010
</t>
  </si>
  <si>
    <t>2024-330334</t>
  </si>
  <si>
    <t>ويلنس كور 95% بابي اورجنال</t>
  </si>
  <si>
    <t>2024-346683</t>
  </si>
  <si>
    <t>ويلنس كور 98 % لحم بقري</t>
  </si>
  <si>
    <t xml:space="preserve">FEM-2024-15178-FEP-2024-82877-C-22548-1842
</t>
  </si>
  <si>
    <t>2024-346711</t>
  </si>
  <si>
    <t>ويلنس كور 98 % ديك الرومي</t>
  </si>
  <si>
    <t>FEM-2024-15179-FEP-2024-82879-C-22548-1845</t>
  </si>
  <si>
    <t>2024-346720</t>
  </si>
  <si>
    <t>ويلنس كور 98 % دجاج مع السالمون</t>
  </si>
  <si>
    <t>FEM-2024-15183-FEP-2024-82882-C-22548-1847</t>
  </si>
  <si>
    <t xml:space="preserve">يحتوي علي الخنزير </t>
  </si>
  <si>
    <t>2024-346733</t>
  </si>
  <si>
    <t>WEL WC CORE 98% Ckn/Wild Boar12/85g</t>
  </si>
  <si>
    <t>ويلنس كور 98 % دجاج مع الخنزير البري</t>
  </si>
  <si>
    <t>2024-346809</t>
  </si>
  <si>
    <t>ويلنس كور بيرلي باتيه وصفة الدجاج</t>
  </si>
  <si>
    <t xml:space="preserve">FEM-2024-15196-FEP-2024-82888-C-22548-1846
</t>
  </si>
  <si>
    <t xml:space="preserve">23/11/2029
</t>
  </si>
  <si>
    <t>2024-346825</t>
  </si>
  <si>
    <t>Wellness core purely pate adult chicken &amp; turkey</t>
  </si>
  <si>
    <t>ويلنس كور بيرلي باتيه وصفة الدجاج مع الديك الرومي</t>
  </si>
  <si>
    <t>FEM-2024-15197-FEP-2024-82889-C-22548-1848</t>
  </si>
  <si>
    <t>2024-346831</t>
  </si>
  <si>
    <t>ويلنس كور بيرلي باتيه وصفة الدجاج مع اللحم البقري</t>
  </si>
  <si>
    <t xml:space="preserve">FEM-2024-15198-FEP-2024-82890-C-22548-1855
</t>
  </si>
  <si>
    <t>2024-346837</t>
  </si>
  <si>
    <t>Wellness core purely pate adult Duck &amp; Chicken</t>
  </si>
  <si>
    <t>ويلنس كور بيرلي باتيه البط مع الدجاج</t>
  </si>
  <si>
    <t>FEM-2024-15199-FEP-2024-82891-C-22548-1854</t>
  </si>
  <si>
    <t>2024-346845</t>
  </si>
  <si>
    <t>ويلنس كور بيرلي باتيه دجاج مع التونة للقطط الصغيرة</t>
  </si>
  <si>
    <t>FEM-2024-15200-FEP-2024-82892-C-22548-1853</t>
  </si>
  <si>
    <t>2024-341003</t>
  </si>
  <si>
    <t>ويلنس كور تندر كاتس مع التونة في المرق</t>
  </si>
  <si>
    <t xml:space="preserve">FEM-2024-14927-FEP-2024-82797-C-22548-1802
</t>
  </si>
  <si>
    <t>سي باك</t>
  </si>
  <si>
    <t>19-11-2029</t>
  </si>
  <si>
    <t>2024-339892</t>
  </si>
  <si>
    <t>ويلنس كور سيغنتشر سيليكتس اللحم البقري و الدجاج في الصوص</t>
  </si>
  <si>
    <t>FEM-2024-14879-FEP-2024-82724-C-22548-1762</t>
  </si>
  <si>
    <t>2024-339955</t>
  </si>
  <si>
    <t>ويلنس كور سيغنتشر سيليكتس التونة مع الجمبري في المرق</t>
  </si>
  <si>
    <t>FEM-2024-14883-FEP-2024-82729-C-22548-1761</t>
  </si>
  <si>
    <t>2024-341489</t>
  </si>
  <si>
    <t>ويلنس كور تندر كاتس مع الدجاج و السلمون في المرق</t>
  </si>
  <si>
    <t>FEM-2024-14959-FEP-2024-82798-C-22548-1801</t>
  </si>
  <si>
    <t>2024-341501</t>
  </si>
  <si>
    <t>ويلنس كور تندر كاتس مع الديك الرومي و البط في المرق</t>
  </si>
  <si>
    <t>FEM-2024-14962-FEP-2024-82800-C-22548-1826</t>
  </si>
  <si>
    <t>23-11-2029</t>
  </si>
  <si>
    <t>2024-341523</t>
  </si>
  <si>
    <t>ويلنس كور تندر كاتس مع الدجاج و كبد الدجاج في المرق</t>
  </si>
  <si>
    <t xml:space="preserve">FEM-2024-14965-FEP-2024-82801-C-22548-1800
</t>
  </si>
  <si>
    <t>2024-343330</t>
  </si>
  <si>
    <t xml:space="preserve">ويلنس كور سمول برييد سافوري ميدليز بنكهة الدجاج، البط، البازلاء والجزر </t>
  </si>
  <si>
    <t>FEM-2024-15022-FEP-2024-82807-C-22548-1815</t>
  </si>
  <si>
    <t>2024-343359</t>
  </si>
  <si>
    <t>ويلنس كور سمول برييد سافوري ميدليز بنكهة الدجاج، الديك الرومي، الجزر والفاصولياء الخضراء</t>
  </si>
  <si>
    <t>FEM-2024-15023-FEP-2024-82808-C-22548-1814</t>
  </si>
  <si>
    <t>2024-343379</t>
  </si>
  <si>
    <t>ويلنس كور سمول برييد سافوري ميدليز بنكهة لحم الضأن والغزال والبطاطا الحلوة البيضاء والجزر</t>
  </si>
  <si>
    <t>FEM-2024-15025-FEP-2024-82809-C-22548-1813</t>
  </si>
  <si>
    <t>19-11-2030</t>
  </si>
  <si>
    <t>2024-343410</t>
  </si>
  <si>
    <t>ويلنس كور سمول برييد سافوري ميدليز بنكهة الدجاج، اللحم البقري، الفاصولياء الخضراء والفلفل الأحمر</t>
  </si>
  <si>
    <t>FEM-2024-15027-FEP-2024-82811-C-22548-1812</t>
  </si>
  <si>
    <t>19-11-2031</t>
  </si>
  <si>
    <t>2024-339974</t>
  </si>
  <si>
    <t>ويلنس كور سيغنتشر سيليكتس الدجاج المبشور مع كبد الدجاج في الصوص</t>
  </si>
  <si>
    <t>FEM-2024-14887-FEP-2024-82730-C-22548-1859</t>
  </si>
  <si>
    <t>19-11-2032</t>
  </si>
  <si>
    <t>2024-340000</t>
  </si>
  <si>
    <t>ويلنس كور سيغنتشر سيليكتس الدجاج المبشور مع الديك الرومي في الصوص</t>
  </si>
  <si>
    <t>FEM-2024-14894-FEP-2024-82733-C-22548-1858</t>
  </si>
  <si>
    <t>2024-341532</t>
  </si>
  <si>
    <t>ويلنس كور تندر كاتس مع الدجاج والديك الرومي في المرق</t>
  </si>
  <si>
    <t xml:space="preserve">FEM-2024-14966-FEP-2024-82802-C-22548-1799
</t>
  </si>
  <si>
    <t>2024-341544</t>
  </si>
  <si>
    <t>ويلنس كور تندر كاتس مع السلمون و التونة في المرق</t>
  </si>
  <si>
    <t xml:space="preserve">FEM-2024-14967-FEP-2024-82803-C-22548-1797
</t>
  </si>
  <si>
    <t xml:space="preserve">جوسي دوج اجيلو سبورت </t>
  </si>
  <si>
    <t xml:space="preserve">FOM-2024-6397-FEB-2024-49516 -C-0041-70313
</t>
  </si>
  <si>
    <t>JosiDog Active</t>
  </si>
  <si>
    <t>جوزيدوج اكتيف</t>
  </si>
  <si>
    <t>FOM-2024-6397-FEB-2024-49500 -C-0041-70297</t>
  </si>
  <si>
    <t>2024-356398</t>
  </si>
  <si>
    <t>زولكس اجنحة الدجاج</t>
  </si>
  <si>
    <t>2024-360361</t>
  </si>
  <si>
    <t>اينابا ديش ديلايت سيلكي بروث دجاج ريسبي</t>
  </si>
  <si>
    <t>FEM-2024-15741-FEP-2024-83146-C-22548-2041</t>
  </si>
  <si>
    <t>2024-360401</t>
  </si>
  <si>
    <t>اينابا ديش ديلايت سيلكي بروث دجاج مع الجبن ريسبي</t>
  </si>
  <si>
    <t>FEM-2024-15745-FEP-2024-83147-C-22548-2040</t>
  </si>
  <si>
    <t>2024-360412</t>
  </si>
  <si>
    <t>اينابا ديش ديلايت سيلكي بروث دجاج مع السالمون ريسبي</t>
  </si>
  <si>
    <t>FEM-2024-15746-FEP-2024-83148-C-22548-2039</t>
  </si>
  <si>
    <t>2024-360561</t>
  </si>
  <si>
    <t>اينابا ديش ديلايت ديليكيت فليكس دجاج وسالمون ريسبي</t>
  </si>
  <si>
    <t>FEM-2024-15753-FEP-2024-83153-C-22548-2043</t>
  </si>
  <si>
    <t>2024-360581</t>
  </si>
  <si>
    <t>اينابا ديش ديلايت ديليكيت فليكس دجاج وجبن ريسبي</t>
  </si>
  <si>
    <t>FEM-2024-15754-FEP-2024-83154-C-22548-2028</t>
  </si>
  <si>
    <t>2024-360592</t>
  </si>
  <si>
    <t>اينابا ديش ديلايت ديليكيت فليكس دجاج والتونة ريسبي</t>
  </si>
  <si>
    <t>FEM-2024-15755-FEP-2024-83155-C-22548-2026</t>
  </si>
  <si>
    <t>2024-360604</t>
  </si>
  <si>
    <t>اينابا ديش ديلايت ديليكيت فليكس دجاج ريسبي</t>
  </si>
  <si>
    <t>FEM-2024-15756-FEP-2024-83156-C-22548-2030</t>
  </si>
  <si>
    <t>2024-360481</t>
  </si>
  <si>
    <t>اينابا ديش ديلايت سيلكي بروث دجاج مع تونة ريسبي</t>
  </si>
  <si>
    <t>FEM-2024-15749-FEP-2024-83152-C-22548-2029</t>
  </si>
  <si>
    <t>2024-360613</t>
  </si>
  <si>
    <t>اينابا ديش ديلايت ديليكيت فليكس دجاج وتونة وسالمون ريسبي</t>
  </si>
  <si>
    <t>FEM-2024-15757-FEP-2024-83157-C-22548-2037</t>
  </si>
  <si>
    <t>2024-360630</t>
  </si>
  <si>
    <t>اينابا ديش ديلايت ديليكيت فليكس دجاج وتونة و إسكالوب ريسبي</t>
  </si>
  <si>
    <t>FEM-2024-15758-FEP-2024-83158-C-22548-2042</t>
  </si>
  <si>
    <t>2024-360428</t>
  </si>
  <si>
    <t>اينابا ديش ديلايت سيلكي بروث دجاج مع التونة والسالمون ريسبي</t>
  </si>
  <si>
    <t>FEM-2024-15747-FEP-2024-83149-C-22548-2036</t>
  </si>
  <si>
    <t>2024-360468</t>
  </si>
  <si>
    <t>اينابا ديش ديلايت سيلكي بروث دجاج مع التونة و إسكالوب ريسبي</t>
  </si>
  <si>
    <t>FEM-2024-15748-FEP-2024-83151-C-22548-2033</t>
  </si>
  <si>
    <t>2024-370596</t>
  </si>
  <si>
    <t>كيت كات ساڤوري سوب دجاج 50 جم</t>
  </si>
  <si>
    <t>FEM-2024-16082-FEP-2024-83395-C-22548-2103</t>
  </si>
  <si>
    <t>2024-370608</t>
  </si>
  <si>
    <t>كيت كات ساڤوري سوب تونة 50 جم</t>
  </si>
  <si>
    <t>FEM-2024-16083-FEP-2024-83396-C-22548-2105</t>
  </si>
  <si>
    <t>2024-370618</t>
  </si>
  <si>
    <t>كيت كات ساڤوري سوب سالمون 50 جم</t>
  </si>
  <si>
    <t>FEM-2024-16086-FEP-2024-83398-C-22548-2106</t>
  </si>
  <si>
    <t>2024-370630</t>
  </si>
  <si>
    <t>كيت كات ساڤوري سوب ماكولات بحرية 50 جم</t>
  </si>
  <si>
    <t>FEM-2024-16088-FEP-2024-83402-C-22548-2108</t>
  </si>
  <si>
    <t>2024-370636</t>
  </si>
  <si>
    <t>كيت كات قوت ميلك 50 جم</t>
  </si>
  <si>
    <t>FEM-2024-16089-FEP-2024-83405-C-22548-2107</t>
  </si>
  <si>
    <t>2024-370699</t>
  </si>
  <si>
    <t>كيت كات كتن قوت ميلك 50 جم</t>
  </si>
  <si>
    <t>2024-371365</t>
  </si>
  <si>
    <t>ويمزيز رايس بون</t>
  </si>
  <si>
    <t>FEM-2024-16103-FEP-2024-83426-C-22548-2224</t>
  </si>
  <si>
    <t>ويلنس بيت كومبني نل</t>
  </si>
  <si>
    <t>2024-371592</t>
  </si>
  <si>
    <t>ويمزيز ستيكس - صغير</t>
  </si>
  <si>
    <t>2024-371619</t>
  </si>
  <si>
    <t>ويمزيز ستيكس - متوسط</t>
  </si>
  <si>
    <t xml:space="preserve">FEM-2024-16108-FEP-2024-83430-C-22548-2215
</t>
  </si>
  <si>
    <t>2024-371642</t>
  </si>
  <si>
    <t>ويمزيز ستيكس - كبير</t>
  </si>
  <si>
    <t xml:space="preserve">FEM-2024-16109-FEP-2024-83431-C-22548-2216
</t>
  </si>
  <si>
    <t>2024-371662</t>
  </si>
  <si>
    <t>ويمزيز أليغيتور( متوسط )</t>
  </si>
  <si>
    <t>FEM-2024-16110-FEP-2024-83432-C-22548-2217</t>
  </si>
  <si>
    <t>2024-371672</t>
  </si>
  <si>
    <t>ويمزيز أليغيتور- صغير 360 غ</t>
  </si>
  <si>
    <t xml:space="preserve">FEM-2024-16111-FEP-2024-83433-C-22548-2218
</t>
  </si>
  <si>
    <t>2024-371685</t>
  </si>
  <si>
    <t>ويمزيز ستيكس - صغير جدا</t>
  </si>
  <si>
    <t>FEM-2024-16112-FEP-2024-83434-C-22548-2225</t>
  </si>
  <si>
    <t>2024-371710</t>
  </si>
  <si>
    <t>ويمزيز توثبروش- صغير جدا</t>
  </si>
  <si>
    <t>FEM-2024-16113-FEP-2024-83435-C-22548-2219</t>
  </si>
  <si>
    <t>2024-371728</t>
  </si>
  <si>
    <t>ويمزيز توثبروش- صغير</t>
  </si>
  <si>
    <t xml:space="preserve">FEM-2024-16114-FEP-2024-83436-C-22548-2220
</t>
  </si>
  <si>
    <t>2024-371738</t>
  </si>
  <si>
    <t>ويمزيز توثبروش- متوسط</t>
  </si>
  <si>
    <t>FEM-2024-16115-FEP-2024-83437-C-22548-2222</t>
  </si>
  <si>
    <t>2024-371751</t>
  </si>
  <si>
    <t>ويمزيز توثبروش- كبير</t>
  </si>
  <si>
    <t>FEM-2024-16116-FEP-2024-83438-C-22548-2223</t>
  </si>
  <si>
    <t>2024-372268</t>
  </si>
  <si>
    <t>سنال دوغ دينتال ستيكس – متوسط</t>
  </si>
  <si>
    <t>FEM-24-16125-FEP-2024-83444-C-22548-2207</t>
  </si>
  <si>
    <t>2024-372287</t>
  </si>
  <si>
    <t>سنال دوغ دينتال ستيكس – صغير</t>
  </si>
  <si>
    <t>FEM-24-16126-FEP-2024-83445-C-22548-2201</t>
  </si>
  <si>
    <t>2024-372303</t>
  </si>
  <si>
    <t>سنال دوج ميني هارتس</t>
  </si>
  <si>
    <t>FEM-24-16127-FEP-2024-83446-C-22548-2178</t>
  </si>
  <si>
    <t>2024-372322</t>
  </si>
  <si>
    <t>سنال دوج ترينرز ديو هارتس</t>
  </si>
  <si>
    <t>FEM-24-16129-FEP-2024-83447-C-22548-2175</t>
  </si>
  <si>
    <t>2024-413482</t>
  </si>
  <si>
    <t>2024-376027</t>
  </si>
  <si>
    <t>كيت كات ديلي سابليمنت جل - هيربول</t>
  </si>
  <si>
    <t xml:space="preserve">FEM-24-17209-FEP-2024-84304-C-22548-2654
</t>
  </si>
  <si>
    <t>2024-376081</t>
  </si>
  <si>
    <t>كيت كات ديلي سابليمنت جل - مالتي فيتامين</t>
  </si>
  <si>
    <t xml:space="preserve">FEM-24-16261-FEP-2024-83588-C-22548-2243
</t>
  </si>
  <si>
    <t xml:space="preserve">ITEM NAME IN FSC NOT MATCHING </t>
  </si>
  <si>
    <t>2024-376105</t>
  </si>
  <si>
    <t>كيت كات ديلي سابليمنت جل - سكين آند كوت</t>
  </si>
  <si>
    <t xml:space="preserve">FEM-24-16262-FEP-2024-83589-C-22548-0040
</t>
  </si>
  <si>
    <t>2024-376121</t>
  </si>
  <si>
    <t>كيت كات ديلي سابليمنت جل - يوريناري كير</t>
  </si>
  <si>
    <t>FEM-24-16263-FEP-2024-83590-C-22548-2244</t>
  </si>
  <si>
    <t>2024-376139</t>
  </si>
  <si>
    <t>كيت كات ديلي سابليمنت جل - وييت جين</t>
  </si>
  <si>
    <t xml:space="preserve">FEM-24-16264-FEP-2024-83591-C-22548-0039
</t>
  </si>
  <si>
    <t>2024-376170</t>
  </si>
  <si>
    <t>كيت كات كيتن ميلك ريبلايسر</t>
  </si>
  <si>
    <t xml:space="preserve">FEM-24-16265-FEP-2024-83593-C-22548-2241
</t>
  </si>
  <si>
    <t>تعليق الموظف:  المكون(yeast)ذكر نوع الخميرة مع الرقم المرجعي لها حسب اللوائح والمواصفات الخاصة بالاعلاف.## المكون( extracted linseed)نامل تزويدنا بالملف العلمي والرقم المرجعي حسب اللوائح والمواصفات الخاصة بالاعلاف</t>
  </si>
  <si>
    <t>2024-393876</t>
  </si>
  <si>
    <t xml:space="preserve">رفض الطلب </t>
  </si>
  <si>
    <t>جوسيرا فوهلن وستوتي</t>
  </si>
  <si>
    <t>2024-393918</t>
  </si>
  <si>
    <t>جوسيرا جوكر- مينيرال</t>
  </si>
  <si>
    <t>FEM-24-16624-FEP-2024-83887-C-22548-2457</t>
  </si>
  <si>
    <t>2025-12303</t>
  </si>
  <si>
    <t xml:space="preserve">جوسيرا جوكر- مينيرال </t>
  </si>
  <si>
    <t>FEM-25-0224-FEP-2025-0241-C-22548-0242</t>
  </si>
  <si>
    <t>2025-12323</t>
  </si>
  <si>
    <t>FEM-25-0225-FEP-2025-0242-C-22548-0241</t>
  </si>
  <si>
    <t>2024-393939</t>
  </si>
  <si>
    <t>جوسيرا كراوت وروبن ماش</t>
  </si>
  <si>
    <t>2025-12338</t>
  </si>
  <si>
    <t>FEM-25-0226-FEP-2025-0243-C-22548-0240</t>
  </si>
  <si>
    <t>2024-393954</t>
  </si>
  <si>
    <t>جوسيرا كراوت وروبن إينرجي</t>
  </si>
  <si>
    <t>FEM-24-16893-FEP-2024-84051-C-22548-2557</t>
  </si>
  <si>
    <t>2024-402113</t>
  </si>
  <si>
    <t>جوسيرا كراوت وروبن مينيرال</t>
  </si>
  <si>
    <t>2024-402170</t>
  </si>
  <si>
    <t>جوسيرا وولد ويس</t>
  </si>
  <si>
    <t>FEM-24-16894-FEP-2024-84053-C-22548-2533</t>
  </si>
  <si>
    <t>2024-402286</t>
  </si>
  <si>
    <t>جوسيرا هيلب إم في أو غاست ستركتور</t>
  </si>
  <si>
    <t xml:space="preserve">FEM-24-16900-FEP-2024-84059-C-22548-2558
</t>
  </si>
  <si>
    <t>تعليق الموظف:  المكونات( products from
 processing fruits (apple, grape))،(locust bean meal)،( magnesium fumarate)نامل  تزويدنا بالملف العلمي والرقم المرجعي حسب اللوائح والمواصفات الخاصة بالاعلاف</t>
  </si>
  <si>
    <t>2024-402314</t>
  </si>
  <si>
    <t>جوسيرا هيلب أمينو بالانسير</t>
  </si>
  <si>
    <t>2024-402592</t>
  </si>
  <si>
    <t>سي دي كامل هاند ريرينج فود بروتين بلس بي 21</t>
  </si>
  <si>
    <t xml:space="preserve">FEM-24-16917-FEP-2024-84355-C-22548-2565
</t>
  </si>
  <si>
    <t xml:space="preserve">FEM-24-16917-FEP-2024-84355-C-22548-2565
</t>
  </si>
  <si>
    <t>2024-402637</t>
  </si>
  <si>
    <t>سي دي كامل هاند ريرينج فود إنيرجي بلس بي 19</t>
  </si>
  <si>
    <t xml:space="preserve">FEM-24-16920-FEP-2024-84354-C-22548-2566
</t>
  </si>
  <si>
    <t>2024-415807</t>
  </si>
  <si>
    <t>دكتور كلاودر ستريبس سناك لحم البقر سمول</t>
  </si>
  <si>
    <t xml:space="preserve">FEM-24-17244-FEP-2024-84332-C-22548-2651
</t>
  </si>
  <si>
    <t>2024-415821</t>
  </si>
  <si>
    <t>دكتور كلاودر ستريبس سناك الدجاج سمول</t>
  </si>
  <si>
    <t xml:space="preserve">FEM-24-17245-FEP-2024-84333-C-22548-2649
</t>
  </si>
  <si>
    <t>2024-415828</t>
  </si>
  <si>
    <t>دكتور كلاودر ستريبس سناك بالبط سمول</t>
  </si>
  <si>
    <t xml:space="preserve">FEM-24-17246-FEP-2024-84334-C-22548-2647
</t>
  </si>
  <si>
    <t>2024-415839</t>
  </si>
  <si>
    <t>دكتور كلاودر ستريبس سناك لحم الضأن سمول</t>
  </si>
  <si>
    <t xml:space="preserve">FEM-24-17247-FEP-2024-84335-C-22548-2646
</t>
  </si>
  <si>
    <t>2024-415845</t>
  </si>
  <si>
    <t xml:space="preserve">عاد لمقدم الطلب </t>
  </si>
  <si>
    <t>دكتور كلاودر برو لايف – إمولشن بِتش آند باپي</t>
  </si>
  <si>
    <t xml:space="preserve">المكون (linseed) ليس من المدخلات العلفية ,
</t>
  </si>
  <si>
    <t>2024-415851</t>
  </si>
  <si>
    <t>دكتور كلاودر هاي برميوم اندور</t>
  </si>
  <si>
    <t>2024-406431</t>
  </si>
  <si>
    <t>جوسيرا ميت بارز باللحم البقري</t>
  </si>
  <si>
    <t xml:space="preserve">FEM-24-17046-FEP-2024-84169-C-22548-2567
</t>
  </si>
  <si>
    <t>2024-406441</t>
  </si>
  <si>
    <t>جوسيرا ميت بارز بالدجاج</t>
  </si>
  <si>
    <t xml:space="preserve">FEM-24-17047-FEP-2024-84170-C-22548-2582
</t>
  </si>
  <si>
    <t>2024-406464</t>
  </si>
  <si>
    <t>جوسيرا ميت بارز ديك رومي</t>
  </si>
  <si>
    <t xml:space="preserve">FEM-24-17049-FEP-2024-84171-C-22548-2581
</t>
  </si>
  <si>
    <t>2024-406474</t>
  </si>
  <si>
    <t>جوسيرا ميت تشانكس لحم بقري</t>
  </si>
  <si>
    <t xml:space="preserve">FEM-24-17050-FEP-2024-84172-C-22548-2580
</t>
  </si>
  <si>
    <t>2024-406491</t>
  </si>
  <si>
    <t>جوسيرا ميت تشانكس دجاج</t>
  </si>
  <si>
    <t xml:space="preserve">FEM-24-17052-FEP-2024-84173-C-22548-2579
</t>
  </si>
  <si>
    <t>2024-406497</t>
  </si>
  <si>
    <t>جوسيرا ميت تشانكس ديك رومي</t>
  </si>
  <si>
    <t xml:space="preserve">FEM-24-17053-FEP-2024-84174-C-22548-2578
</t>
  </si>
  <si>
    <t>2024-406508</t>
  </si>
  <si>
    <t>جوسيرا ميت بايتس ميني لحم بقري</t>
  </si>
  <si>
    <t xml:space="preserve">FEM-24-17054-FEP-2024-84176-C-22548-2577
</t>
  </si>
  <si>
    <t>2024-406529</t>
  </si>
  <si>
    <t>جوسيرا ميت بايتس ميني دجاج</t>
  </si>
  <si>
    <t xml:space="preserve">FEM-24-17055-FEP-2024-84177-C-22548-2576
</t>
  </si>
  <si>
    <t>2024-406563</t>
  </si>
  <si>
    <t>جوسيرا ميت بايتس ميني ديك رومي</t>
  </si>
  <si>
    <t xml:space="preserve">FEM-24-17056-FEP-2024-84179-C-22548-2573
</t>
  </si>
  <si>
    <t>2024-406575</t>
  </si>
  <si>
    <t>جوسيرا ميت هارتس لحم بقري</t>
  </si>
  <si>
    <t xml:space="preserve">FEM-24-17057-FEP-2024-84180-C-22548-2572
</t>
  </si>
  <si>
    <t>2024-406600</t>
  </si>
  <si>
    <t>جوسيرا ميت هارتس دجاج</t>
  </si>
  <si>
    <t xml:space="preserve">FEM-24-17058-FEP-2024-84181-C-22548-2569
</t>
  </si>
  <si>
    <t>2024-406611</t>
  </si>
  <si>
    <t>جوسيرا ميت هارتس الديك الرومي</t>
  </si>
  <si>
    <t xml:space="preserve">FEM-24-17059-FEP-2024-84184-C-22548-2571
</t>
  </si>
  <si>
    <t>2024-404647</t>
  </si>
  <si>
    <t>جوسي كات ميت ستيكس مع لحم البقر والضأن</t>
  </si>
  <si>
    <t xml:space="preserve">FEM-24-17011-FEP-2024-84115-C-22548-2549
</t>
  </si>
  <si>
    <t>2024-404683</t>
  </si>
  <si>
    <t>جوسي كات ميت ستيكس مع دجاج والبط</t>
  </si>
  <si>
    <t xml:space="preserve">FEM-24-17012-FEP-2024-84117-C-22548-2548
</t>
  </si>
  <si>
    <t>2024-404692</t>
  </si>
  <si>
    <t>جوسي كات ميت ستيكس مع سلمون والسمك المرقط</t>
  </si>
  <si>
    <t xml:space="preserve">FEM-24-17013-FEP-2024-84118-C-22548-2544
</t>
  </si>
  <si>
    <t>2024-404707</t>
  </si>
  <si>
    <t>جوسي دوج ميت ستيكس مع اللحم البقري</t>
  </si>
  <si>
    <t xml:space="preserve">FEM-24-17014-FEP-2024-84119-C-22548-2545
</t>
  </si>
  <si>
    <t>2024-404720</t>
  </si>
  <si>
    <t>جوسي دوج ميت ستيكس مع الحم الضأن</t>
  </si>
  <si>
    <t xml:space="preserve">FEM-24-17015-FEP-2024-84356-C-22548-2611
</t>
  </si>
  <si>
    <t>2024-404728</t>
  </si>
  <si>
    <t>جوسي دوج ميت ستيكس مع الدجاج</t>
  </si>
  <si>
    <t xml:space="preserve">FEM-24-17017-FEP-2024-84123-C-22548-2540
</t>
  </si>
  <si>
    <t>2025-5525</t>
  </si>
  <si>
    <t xml:space="preserve">WEL DD CORE SB 1.5 (3 items) hlthy ocean original  </t>
  </si>
  <si>
    <t xml:space="preserve">WEL DD CORE SB 5 ( 3 items) adult original , adult ocean , low fat </t>
  </si>
  <si>
    <t>2025-5708</t>
  </si>
  <si>
    <t>WEL DD CORE LB 2.75 10kg 10 kg puppy , puppy , original</t>
  </si>
  <si>
    <t>2025-5747</t>
  </si>
  <si>
    <t>WEL DD CORE PUPPY 1.5 KG 10 KG</t>
  </si>
  <si>
    <t>FEM-25-0107-FEP-2025-0116-C-22548-0172</t>
  </si>
  <si>
    <t>2025-5766</t>
  </si>
  <si>
    <t>FEM-25-0108-FEP-2025-0117-C-22548-0169</t>
  </si>
  <si>
    <t>2025-5811</t>
  </si>
  <si>
    <t>WEL DD CORE SENIOR ORIGINAL 1.8 &amp; 10KG</t>
  </si>
  <si>
    <t>FEM-25-0109-FEP-2025-0118-C-22548-0170</t>
  </si>
  <si>
    <t>2025-6358</t>
  </si>
  <si>
    <t>WEL DD CORE healthy weight 1.8 &amp; 10 KG</t>
  </si>
  <si>
    <t>2025-6385</t>
  </si>
  <si>
    <t>WEL DD ACTIVE LIFE 10KG</t>
  </si>
  <si>
    <t xml:space="preserve">FEM-25-0119-FEP-2025-0132-C-22548-0195
</t>
  </si>
  <si>
    <t>2025-8163</t>
  </si>
  <si>
    <t>WEL DC CORE Sterilised ( original + ocean + origina; + ocean ) 300g 1.75kg 1.75kg 4 kg</t>
  </si>
  <si>
    <t>2025-116684</t>
  </si>
  <si>
    <t xml:space="preserve">WEL DC CORE Sterilised ocean 300g/ 1.75kg </t>
  </si>
  <si>
    <t>2025-116850</t>
  </si>
  <si>
    <t>WEL DC CORE Sterilised</t>
  </si>
  <si>
    <t>2025-116961</t>
  </si>
  <si>
    <t>WEL DC CORE original Sterilised</t>
  </si>
  <si>
    <t>2025-117932</t>
  </si>
  <si>
    <t xml:space="preserve">WEL DC CORE  lamb 1.8kg , 10kg </t>
  </si>
  <si>
    <t>2025-8224</t>
  </si>
  <si>
    <t>WEL DC CORE Ocean 6/300g</t>
  </si>
  <si>
    <t>FEM-25-0153-FEP-2025-0147-C-22548-0232</t>
  </si>
  <si>
    <t>2025-8235</t>
  </si>
  <si>
    <t>WEL DC CORE Original 6/300g</t>
  </si>
  <si>
    <t xml:space="preserve">FEM-25-0154-FEP-2025-0149-C-22548-0215
</t>
  </si>
  <si>
    <t>2025-8266</t>
  </si>
  <si>
    <t>WEL DC CORE Kitten 6/300g</t>
  </si>
  <si>
    <t xml:space="preserve">FEM-25-0157-FEP-2025-0151-C-22548-0214
</t>
  </si>
  <si>
    <t>2025-8321</t>
  </si>
  <si>
    <t>WEL DC CORE Adult OriginaL (1.75KG +4 KG )</t>
  </si>
  <si>
    <t>FEM-25-0158-FEP-2025-0153-C-22548-0213</t>
  </si>
  <si>
    <t>2025-8367</t>
  </si>
  <si>
    <t>WEL DC CORE OCEAN (1.75KG +4 KG )</t>
  </si>
  <si>
    <t>FEM-25-0159-FEP-2025-0154-C-22548-0216</t>
  </si>
  <si>
    <t>2025-18532</t>
  </si>
  <si>
    <t xml:space="preserve">FEM-25-0407-FEP-2025-0401-C-22548-0318
</t>
  </si>
  <si>
    <t>2025-18473</t>
  </si>
  <si>
    <t xml:space="preserve">FEM-25-0404-FEP-2025-0398-C-22548-0315
</t>
  </si>
  <si>
    <t>2025-18511</t>
  </si>
  <si>
    <t xml:space="preserve">FEM-25-0405-FEP-2025-0399-C-22548-0316
</t>
  </si>
  <si>
    <t>2025-18517</t>
  </si>
  <si>
    <t>WEL DD CORE SB adult Original 5kg</t>
  </si>
  <si>
    <t>FEM-25-0406-FEP-2025-0400-C-22548-0317</t>
  </si>
  <si>
    <t>2025-18561</t>
  </si>
  <si>
    <t xml:space="preserve">WEL DD CORE LB Puppy 2.75kg 10kg </t>
  </si>
  <si>
    <t xml:space="preserve">FEM-25-0409-FEP-2025-0403-C-22548-0320
</t>
  </si>
  <si>
    <t>2025-18539</t>
  </si>
  <si>
    <t xml:space="preserve">FEM-25-0408-FEP-2025-0402-C-22548-0319
</t>
  </si>
  <si>
    <t>2025-20431</t>
  </si>
  <si>
    <t xml:space="preserve">FEM-25-0470-FEP-2025-0458-C-22548-0364
</t>
  </si>
  <si>
    <t>2024-257407</t>
  </si>
  <si>
    <t>FOM-2024-0902-FEP-2024-80877-C-22548-0689</t>
  </si>
  <si>
    <t>2024-257490</t>
  </si>
  <si>
    <t>SOLID GOLD LEAPNIG WATERS SALMON LOAF</t>
  </si>
  <si>
    <t>FOM-2024-0902-FEP-2024-80893-C-22548-0701</t>
  </si>
  <si>
    <t>2024-257381</t>
  </si>
  <si>
    <t>SOLID GOLD NB KATZ N FLOCKEN LAMB</t>
  </si>
  <si>
    <t>FOM-2024-0902-FEP-2024-80876-C-22548-0688</t>
  </si>
  <si>
    <t>2025-44881</t>
  </si>
  <si>
    <t>ENC1002</t>
  </si>
  <si>
    <t xml:space="preserve">FEM-25-1086-FEP-2025-1113-C-22548-0815
</t>
  </si>
  <si>
    <t>2025-44899</t>
  </si>
  <si>
    <t>ENC1003</t>
  </si>
  <si>
    <t xml:space="preserve">FEM-25-1087-FEP-2025-1114-C-22548-0814
</t>
  </si>
  <si>
    <t>2025-128620</t>
  </si>
  <si>
    <t>ENC1008</t>
  </si>
  <si>
    <t>2025-128651</t>
  </si>
  <si>
    <t>ENC1028</t>
  </si>
  <si>
    <t>2025-44943</t>
  </si>
  <si>
    <t>ENC8101</t>
  </si>
  <si>
    <t xml:space="preserve">FEM-25-1089-FEP-2025-1116-C-22548-0818
</t>
  </si>
  <si>
    <t>2025-44919</t>
  </si>
  <si>
    <t>ENC8108</t>
  </si>
  <si>
    <t xml:space="preserve">FEM-25-1088-FEP-2025-1115-C-22548-0813
</t>
  </si>
  <si>
    <t xml:space="preserve">artwork missing </t>
  </si>
  <si>
    <t xml:space="preserve">برينسيس بلس بريميوم كيتن طعام كامل للقطط 
</t>
  </si>
  <si>
    <t>2025-51211</t>
  </si>
  <si>
    <t xml:space="preserve">برينسيس بلس مينتينانس طعام كامل للقطط 
</t>
  </si>
  <si>
    <t xml:space="preserve">FEM-25-1217-FEP-2025-1223-C-22548-0888
</t>
  </si>
  <si>
    <t>2025-64459</t>
  </si>
  <si>
    <t>سي دي إيغفود كناري</t>
  </si>
  <si>
    <t xml:space="preserve">FEM-25-1472-FEP-2025-1466-C-22548-1265
</t>
  </si>
  <si>
    <t>2025-64402</t>
  </si>
  <si>
    <t>سي دي ريارينق فود بيانكو</t>
  </si>
  <si>
    <t xml:space="preserve">FEM-25-1469-FEP-2025-1460-C-22548-1047
</t>
  </si>
  <si>
    <t>2025-64493</t>
  </si>
  <si>
    <t>سي دي إيـﭭوير جروتي باركيت وباجي</t>
  </si>
  <si>
    <t xml:space="preserve">FEM-25-1474-FEP-2025-1468-C-22548-1049
</t>
  </si>
  <si>
    <t>2025-64383</t>
  </si>
  <si>
    <t xml:space="preserve">FEM-25-1468-FEP-2025-2154-C-22548-1252
</t>
  </si>
  <si>
    <t>2025-64420</t>
  </si>
  <si>
    <t xml:space="preserve">FEM-25-1470-FEP-2025-1462-C-22548-1048
</t>
  </si>
  <si>
    <t>2025-63169</t>
  </si>
  <si>
    <t xml:space="preserve">FEM-25-1424-FEP-2025-1438-C-22548-1039
</t>
  </si>
  <si>
    <t>2025-64438</t>
  </si>
  <si>
    <t xml:space="preserve">FEM-25-1471-FEP-2025-2152-C-22548-1250
</t>
  </si>
  <si>
    <t>2025-63137</t>
  </si>
  <si>
    <t xml:space="preserve">FEM-25-1423-FEP-2025-1437-C-22548-1037
</t>
  </si>
  <si>
    <t xml:space="preserve">FEM-25-1423-FEP-2025-1437-C-22548-1037
</t>
  </si>
  <si>
    <t>2025-63178</t>
  </si>
  <si>
    <t xml:space="preserve">FEM-25-1425-FEP-2025-2155-C-22548-1251
</t>
  </si>
  <si>
    <t>2025-63216</t>
  </si>
  <si>
    <t xml:space="preserve">FEM-25-1426-FEP-2025-1441-C-22548-1038
</t>
  </si>
  <si>
    <t>2025-63233</t>
  </si>
  <si>
    <t xml:space="preserve">FEM-25-1427-FEP-2025-1442-C-22548-1036
</t>
  </si>
  <si>
    <t>2025-63285</t>
  </si>
  <si>
    <t xml:space="preserve">FEM-25-1431-FEP-2025-1444-C-22548-1040
</t>
  </si>
  <si>
    <t>2025-34214</t>
  </si>
  <si>
    <t>ECHO Mini/Toy 1,5kg</t>
  </si>
  <si>
    <t xml:space="preserve">FEM-25-0847-FEP-2025-0879-C-22548-0621
</t>
  </si>
  <si>
    <t>2025-34253</t>
  </si>
  <si>
    <t xml:space="preserve">FEM-25-0848-FEP-2025-0880-C-22548-0623
</t>
  </si>
  <si>
    <t>2025-34301</t>
  </si>
  <si>
    <t xml:space="preserve">INTESTINAL Mini/Toy 1 ,5kg </t>
  </si>
  <si>
    <t xml:space="preserve">FEM-25-0849-FEP-2025-0881-C-22548-0622
</t>
  </si>
  <si>
    <t>Salmon Oil 430ml</t>
  </si>
  <si>
    <t>FOM-2024-5932-FEB-2024-44195 -C-0041-64992</t>
  </si>
  <si>
    <t>2025-73675</t>
  </si>
  <si>
    <t>Felyngo Salmon in gravy 75g</t>
  </si>
  <si>
    <t>سمك السلمون بمرق الصلصة</t>
  </si>
  <si>
    <t xml:space="preserve">FEM-25-1659-FEP-2025-1683-C-22548-1178
</t>
  </si>
  <si>
    <t>2025-75574</t>
  </si>
  <si>
    <t>Felyngo Tuna white meat in gravy 75g</t>
  </si>
  <si>
    <t>لحم التونة الأبيض بمرق الصلصة</t>
  </si>
  <si>
    <t xml:space="preserve">FEM-25-2443-FEP-2025-2358-C-22548-1930
</t>
  </si>
  <si>
    <t>2025-73702</t>
  </si>
  <si>
    <t>Felyn go Tuna Mackerel flakes and pumpkin in jelly 75g</t>
  </si>
  <si>
    <t>رقائق الماكريل و الياقطين في الجيلي</t>
  </si>
  <si>
    <t xml:space="preserve">FEM-25-1660-FEP-2025-2359-C-22548-1412
</t>
  </si>
  <si>
    <t>2025-75587</t>
  </si>
  <si>
    <t>Chicken in gravy 75g</t>
  </si>
  <si>
    <t>دجاج بمرق الصلصة</t>
  </si>
  <si>
    <t xml:space="preserve">FEM-25-1659-FEP-2025-1683-C-22548-1178
</t>
  </si>
  <si>
    <t>2025-73750</t>
  </si>
  <si>
    <t>Chicken and pumpkin with vegetable soup 75</t>
  </si>
  <si>
    <t>حساء الدجاج و اليقطين مع الخضار</t>
  </si>
  <si>
    <t xml:space="preserve">FEM-25-1664-FEP-2025-2360-C-22548-1413
</t>
  </si>
  <si>
    <t>2025-75597</t>
  </si>
  <si>
    <t>TUNA WITH PUMPKIN IN GRAVY</t>
  </si>
  <si>
    <t>حساء التونة مع اليقطين</t>
  </si>
  <si>
    <t xml:space="preserve">FEM-25-2442-FEP-2025-2357-C-22548-1409
</t>
  </si>
  <si>
    <t>2025-75606</t>
  </si>
  <si>
    <t>TUNA WITH RICE IN JELLY</t>
  </si>
  <si>
    <t>تونة مع الأرز بالجيلي</t>
  </si>
  <si>
    <t xml:space="preserve">FEM-25-1739-FEP-2025-1756-C-22548-1177
</t>
  </si>
  <si>
    <t>missing artwork</t>
  </si>
  <si>
    <t>Tuna white meat and Rice with Pumpkin in Broth</t>
  </si>
  <si>
    <t>Tuna white meat and Rice in Fish broth</t>
  </si>
  <si>
    <t>Tuna white meat, Seabream and Rice in Fish broth</t>
  </si>
  <si>
    <t>Chicken with Seabream and Rice in Chicken broth</t>
  </si>
  <si>
    <t>2025-73720</t>
  </si>
  <si>
    <t>Felyngo Chicken and Rice with Spinach in Jelly</t>
  </si>
  <si>
    <t>الدجاج والأرز مع السبانخ بالجيلي</t>
  </si>
  <si>
    <t>2025-74007</t>
  </si>
  <si>
    <t>Chicken with Beef in Jelly</t>
  </si>
  <si>
    <t>الدجاج مع لحم البقر بالجيلي</t>
  </si>
  <si>
    <t xml:space="preserve">FEM-25-1668-FEP-2025-1691-C-22548-1142
</t>
  </si>
  <si>
    <t>2025-74030</t>
  </si>
  <si>
    <t>Chicken and Rice with Pumpkin in Jelly 75g</t>
  </si>
  <si>
    <t>الدجاج وارز مع اليقطين بالجيلي</t>
  </si>
  <si>
    <t xml:space="preserve">FEM-25-2440-FEP-2025-2355-C-22548-1411
</t>
  </si>
  <si>
    <t>2025-74056</t>
  </si>
  <si>
    <t>الدجاج والأرز مع البسلة الخضراء بالجيلي</t>
  </si>
  <si>
    <t xml:space="preserve">FEM-25-2438-FEP-2025-2354-C-22548-1410
</t>
  </si>
  <si>
    <t>Salmon and Rice in Solution</t>
  </si>
  <si>
    <t>2025-74090</t>
  </si>
  <si>
    <t>Tuna Whole Meat with Surimi in Jelly 75g</t>
  </si>
  <si>
    <t>لحم التونة بالسوريمي بالجيلي</t>
  </si>
  <si>
    <t xml:space="preserve">FEM-25-1675-FEP-2025-1699-C-22548-1163
</t>
  </si>
  <si>
    <t>2025-74108</t>
  </si>
  <si>
    <t>صدر الدجاج مع الجبن</t>
  </si>
  <si>
    <t xml:space="preserve">FEM-25-2444-FEP-2025-2361-C-22548-1442
</t>
  </si>
  <si>
    <t>2025-74166</t>
  </si>
  <si>
    <t>Chicken Fillets 75g</t>
  </si>
  <si>
    <t>فيليه دجاج</t>
  </si>
  <si>
    <t xml:space="preserve">FEM-25-2445-FEP-2025-2362-C-22548-1444
</t>
  </si>
  <si>
    <t>2025-74176</t>
  </si>
  <si>
    <t>التونة و الدجاج بمرق الصلصة</t>
  </si>
  <si>
    <t xml:space="preserve">FEM-25-1679-FEP-2025-2363-C-22548-1443
</t>
  </si>
  <si>
    <t>2025-74190</t>
  </si>
  <si>
    <t>Chicken Breast with Pumpkin 75g</t>
  </si>
  <si>
    <t>صدر الدجاج مع اليقطين</t>
  </si>
  <si>
    <t xml:space="preserve">FEM-25-1680-FEP-2025-2365-C-22548-1445
</t>
  </si>
  <si>
    <t>2025-74209</t>
  </si>
  <si>
    <t>Tuna with Shrimp 75g</t>
  </si>
  <si>
    <t>تونة مع الجمبري</t>
  </si>
  <si>
    <t xml:space="preserve">FEM-25-1681-FEP-2025-2380-C-22548-1466
</t>
  </si>
  <si>
    <t>2025-74220</t>
  </si>
  <si>
    <t>تونة و دجاج</t>
  </si>
  <si>
    <t>2025-74226</t>
  </si>
  <si>
    <t>فيليه الدجاج مع سوريمي</t>
  </si>
  <si>
    <t xml:space="preserve">FEM-25-1683-FEP-2025-2382-C-22548-1468
</t>
  </si>
  <si>
    <t>Chicken Breast with Vegetables</t>
  </si>
  <si>
    <t>Chicken Breast with Salmon and Vegetables</t>
  </si>
  <si>
    <t>Chicken Breast with Beef Liver &amp; Vegetables</t>
  </si>
  <si>
    <t>Chicken &amp; Beef with Baby Corn &amp; Broccoli</t>
  </si>
  <si>
    <t>Tuna Fillets with Cheese</t>
  </si>
  <si>
    <t>Tuna Fillets with Prawn</t>
  </si>
  <si>
    <t>2025-74246</t>
  </si>
  <si>
    <t>سمك التونة للقطط الصغيرة بالجيلي</t>
  </si>
  <si>
    <t>artwork missing</t>
  </si>
  <si>
    <t>Felyngo Kitten Chicken in Jelly</t>
  </si>
  <si>
    <t>2025-74284</t>
  </si>
  <si>
    <t>Felyngo Tuna with rice in jelly 75g</t>
  </si>
  <si>
    <t>تونة مع رز بالجيلي</t>
  </si>
  <si>
    <t xml:space="preserve">FEM-25-1686-FEP-2025-1710-C-22548-1164
</t>
  </si>
  <si>
    <t>2025-74293</t>
  </si>
  <si>
    <t>Felyngo Tuna soup with papaya</t>
  </si>
  <si>
    <t>حساء التونة مع البابايا</t>
  </si>
  <si>
    <t>Kit Cat Tuna &amp; Chicken 80g</t>
  </si>
  <si>
    <t>كت كات تونا مع الدجاج</t>
  </si>
  <si>
    <t xml:space="preserve">FEM-25-1915-FEP-2025-1888-C-22548-1303
</t>
  </si>
  <si>
    <t>Kit Cat Classic Tuna 80g</t>
  </si>
  <si>
    <t>كت كات كلاسيك تونا</t>
  </si>
  <si>
    <t>Kit Cat Tuna &amp; Salmon 80g</t>
  </si>
  <si>
    <t>كت كات دجاج مع السالمون</t>
  </si>
  <si>
    <t>2025-84453</t>
  </si>
  <si>
    <t>Kit Cat Tuna &amp; Egg Yolk 80g</t>
  </si>
  <si>
    <t>كت كات تونا مع صفار البيض</t>
  </si>
  <si>
    <t xml:space="preserve">FEM-25-1912-FEP-2025-1886-C-22548-1336
</t>
  </si>
  <si>
    <t>2025-84527</t>
  </si>
  <si>
    <t>كت كات تونا مع قلب الدجاج</t>
  </si>
  <si>
    <t>Kit Cat Classic Chicken 80g</t>
  </si>
  <si>
    <t>كت كات دجاج كلاسيك</t>
  </si>
  <si>
    <t>2025-84561</t>
  </si>
  <si>
    <t>كت كات دجاج مع صفار البيض</t>
  </si>
  <si>
    <t xml:space="preserve">FEM-25-1917-FEP-2025-1893-C-22548-1302
</t>
  </si>
  <si>
    <t>2025-86054</t>
  </si>
  <si>
    <t>كت كات دجاج مع قلب الدجاج</t>
  </si>
  <si>
    <t xml:space="preserve">FEM-25-1954-FEP-2025-1930-C-22548-1475
</t>
  </si>
  <si>
    <t>Kit Cat Chicken &amp; Whitebait 80g</t>
  </si>
  <si>
    <t>كت كات دجاج مع ووايتبيت</t>
  </si>
  <si>
    <t>Kit Cat Chicken &amp; Salmon 80g</t>
  </si>
  <si>
    <t>2025-84600</t>
  </si>
  <si>
    <t>كت كات بور بوري سالمون ميكس</t>
  </si>
  <si>
    <t xml:space="preserve">FEM-25-1918-FEP-2025-1894-C-22548-1335
</t>
  </si>
  <si>
    <t>2025-84613</t>
  </si>
  <si>
    <t>كت كات بور بوري تونا ميكس</t>
  </si>
  <si>
    <t xml:space="preserve">FEM-25-1921-FEP-2025-1897-C-22548-1334
</t>
  </si>
  <si>
    <t>2025-84636</t>
  </si>
  <si>
    <t>كت كات بور بوري صفار البيض ميكس</t>
  </si>
  <si>
    <t xml:space="preserve">FEM-25-1923-FEP-2025-1899-C-22548-1322
</t>
  </si>
  <si>
    <t>2025-84644</t>
  </si>
  <si>
    <t>كت كات بور بوري حليب الماعز ميكس</t>
  </si>
  <si>
    <t xml:space="preserve">FEM-25-1925-FEP-2025-1901-C-22548-1321
</t>
  </si>
  <si>
    <t>2025-84650</t>
  </si>
  <si>
    <t>كت كات بور بوري الدجاج ميكس</t>
  </si>
  <si>
    <t xml:space="preserve">FEM-25-1926-FEP-2025-1902-C-22548-1318
</t>
  </si>
  <si>
    <t>2025-84667</t>
  </si>
  <si>
    <t>كت كات بور بوري متنوع ميكس</t>
  </si>
  <si>
    <t xml:space="preserve">FEM-25-1927-FEP-2025-1903-C-22548-1319
</t>
  </si>
  <si>
    <t>2025-84672</t>
  </si>
  <si>
    <t>كت كات بور بوري تونا و فايبر ( هيربول )</t>
  </si>
  <si>
    <t xml:space="preserve">FEM-25-1929-FEP-2025-1904-C-22548-1315
</t>
  </si>
  <si>
    <t>2025-84682</t>
  </si>
  <si>
    <t>كت كات بور بوري تونا مع حليب الماعز</t>
  </si>
  <si>
    <t xml:space="preserve">FEM-25-1930-FEP-2025-1905-C-22548-1314
</t>
  </si>
  <si>
    <t>2025-84696</t>
  </si>
  <si>
    <t>كت كات بور بوري دجاج و السالمون</t>
  </si>
  <si>
    <t xml:space="preserve">FEM-25-1932-FEP-2025-1906-C-22548-1313
</t>
  </si>
  <si>
    <t>2025-84709</t>
  </si>
  <si>
    <t>كت كات بور بوري دجاج و حليب الماعز</t>
  </si>
  <si>
    <t xml:space="preserve">FEM-25-1934-FEP-2025-1907-C-22548-1309
</t>
  </si>
  <si>
    <t>2025-84722</t>
  </si>
  <si>
    <t>كت كات بور بوري تونا وصفار البيض</t>
  </si>
  <si>
    <t xml:space="preserve">FEM-25-1935-FEP-2025-1908-C-22548-1306
</t>
  </si>
  <si>
    <t>2025-84730</t>
  </si>
  <si>
    <t>كت كات بور بوري دجاج وصفار البيض</t>
  </si>
  <si>
    <t xml:space="preserve">FEM-25-1936-FEP-2025-1910-C-22548-1308
</t>
  </si>
  <si>
    <t>2025-84738</t>
  </si>
  <si>
    <t>كت كات بور بوري تونا وسالمون</t>
  </si>
  <si>
    <t xml:space="preserve">FEM-25-1937-FEP-2025-1911-C-22548-1337
</t>
  </si>
  <si>
    <t>2025-84751</t>
  </si>
  <si>
    <t>كت كات بور بوري سالمون</t>
  </si>
  <si>
    <t xml:space="preserve">FEM-25-1938-FEP-2025-1912-C-22548-1307
</t>
  </si>
  <si>
    <t>2025-84822</t>
  </si>
  <si>
    <t>كت كات بور بوري سالمون و فايبر ( هيربول )</t>
  </si>
  <si>
    <t xml:space="preserve">FEM-25-1939-FEP-2025-1914-C-22548-1310
</t>
  </si>
  <si>
    <t>2025-84830</t>
  </si>
  <si>
    <t>كت كات بور بوري سالمون و حليب الماعز</t>
  </si>
  <si>
    <t xml:space="preserve">FEM-25-1940-FEP-2025-1915-C-22548-1305
</t>
  </si>
  <si>
    <t>2025-84836</t>
  </si>
  <si>
    <t>كت كات بور بوري سالمون و صفار البيض</t>
  </si>
  <si>
    <t xml:space="preserve">FEM-25-1941-FEP-2025-1916-C-22548-1304
</t>
  </si>
  <si>
    <t>2025-89400</t>
  </si>
  <si>
    <t>اكانا بريميوم باتيه لحم بقر</t>
  </si>
  <si>
    <t xml:space="preserve">FEM-25-2059-FEP-2025-1997-C-22548-1401
</t>
  </si>
  <si>
    <t>2025-89420</t>
  </si>
  <si>
    <t>اكانا بريميوم باتيه الدجاج</t>
  </si>
  <si>
    <t xml:space="preserve">FEM-25-2060-FEP-2025-2000-C-22548-1400
</t>
  </si>
  <si>
    <t>2025-89429</t>
  </si>
  <si>
    <t>اكانا بريميوم باتيه الدجاج مع السمك للكيتن</t>
  </si>
  <si>
    <t xml:space="preserve">FEM-25-2063-FEP-2025-2002-C-22548-1399
</t>
  </si>
  <si>
    <t>2025-89453</t>
  </si>
  <si>
    <t>اكانا بريميوم باتيه لحم الضأن</t>
  </si>
  <si>
    <t>FEM-25-2066-FEP-2025-2005-C-22548-1398</t>
  </si>
  <si>
    <t>2025-89465</t>
  </si>
  <si>
    <t>كانا بريميوم باتيه سالمون مع الدجاج</t>
  </si>
  <si>
    <t xml:space="preserve">FEM-25-2068-FEP-2025-2007-C-22548-1616
</t>
  </si>
  <si>
    <t>2025-89482</t>
  </si>
  <si>
    <t>اكانا بريميوم باتيه تونة مع الدجاج</t>
  </si>
  <si>
    <t xml:space="preserve">FEM-25-2071-FEP-2025-2009-C-22548-1438
</t>
  </si>
  <si>
    <t>2025-104929</t>
  </si>
  <si>
    <t xml:space="preserve">اعادة الطلب </t>
  </si>
  <si>
    <t>جاردن بايتس فيجي باديز سمول</t>
  </si>
  <si>
    <t xml:space="preserve">FEM-25-2419-FEP-2025-3077-C-22548-1733
</t>
  </si>
  <si>
    <t>2025-105199</t>
  </si>
  <si>
    <t>جاردن بايتس فيجي باديز ميديم</t>
  </si>
  <si>
    <t xml:space="preserve">FEM-25-2421-FEP-2025-2337-C-22548-1574
</t>
  </si>
  <si>
    <t>2025-105224</t>
  </si>
  <si>
    <t>جاردن بايتس تريبل فيجن ستيكس سمول</t>
  </si>
  <si>
    <t xml:space="preserve">FEM-25-2425-FEP-2025-3076-C-22548-1734
</t>
  </si>
  <si>
    <t>2025-105240</t>
  </si>
  <si>
    <t>جاردن بايتس تريبل فيغان ستيكس ميديم</t>
  </si>
  <si>
    <t xml:space="preserve">FEM-25-2426-FEP-2025-2339-C-22548-1573
</t>
  </si>
  <si>
    <t>2025-105261</t>
  </si>
  <si>
    <t>جاردن بايتس تريبل فيغان ستيكس اكس لارج</t>
  </si>
  <si>
    <t xml:space="preserve">FEM-25-2427-FEP-2025-2340-C-22548-1572
</t>
  </si>
  <si>
    <t>2025-105291</t>
  </si>
  <si>
    <t>Garden Bites veggie buddies S - 6cm - 15g  2.7kg - display mixed colors</t>
  </si>
  <si>
    <t>جاردن بايتس فيجي بديز سمول ديسبلاي</t>
  </si>
  <si>
    <t xml:space="preserve">FEM-25-2429-FEP-2025-2342-C-22548-1575
</t>
  </si>
  <si>
    <t>2025-105313</t>
  </si>
  <si>
    <t>جاردن بايتس فيجي بديز ميديم ديسبلاي</t>
  </si>
  <si>
    <t xml:space="preserve">FEM-25-2430-FEP-2025-2347-C-22548-1577
</t>
  </si>
  <si>
    <t>2025-105322</t>
  </si>
  <si>
    <t>جاردن بايتس فيجي بديز لارج ديسبلاي</t>
  </si>
  <si>
    <t xml:space="preserve">FEM-25-2431-FEP-2025-2344-C-22548-1576
</t>
  </si>
  <si>
    <t>2025-105620</t>
  </si>
  <si>
    <t>Garden Bites triple vegan sticks ( 3.15kg , 2.7kg , 3.24kg )</t>
  </si>
  <si>
    <t>جاردن بايتس تريبل فيغان ستيكس - ديسبلاي</t>
  </si>
  <si>
    <t xml:space="preserve">FEM-25-2434-FEP-2025-2349-C-22548-1586
</t>
  </si>
  <si>
    <t>2025-106631</t>
  </si>
  <si>
    <t>جاردن بايتس فروتي فريندز ميديم</t>
  </si>
  <si>
    <t xml:space="preserve">FEM-25-2465-FEP-2025-2378-C-22548-1609
</t>
  </si>
  <si>
    <t>2025-106603</t>
  </si>
  <si>
    <t>جاردن بايتس دنتال تويسترس إكس لارج</t>
  </si>
  <si>
    <t xml:space="preserve">FEM-25-2519-FEP-2025-2414-C-22548-1610
</t>
  </si>
  <si>
    <t>2025-108366</t>
  </si>
  <si>
    <t>جاردن بايتس دنتال ستيكس إكس</t>
  </si>
  <si>
    <t xml:space="preserve">FEM-25-2521-FEP-2025-2415-C-22548-1587
</t>
  </si>
  <si>
    <t>2025-119841</t>
  </si>
  <si>
    <t>ويلنيس كور ريوارد بلس كالمينج دك ريسيبي</t>
  </si>
  <si>
    <t xml:space="preserve">FEM-25-2792-FEP-2025-2689-C-22548-1797
</t>
  </si>
  <si>
    <t>2025-119865</t>
  </si>
  <si>
    <t>ويلنيس كور ريوارد بلس دايجستشن سبورت كريل ريسيبي</t>
  </si>
  <si>
    <t xml:space="preserve">FEM-25-2793-FEP-2025-2690-C-22548-1798
</t>
  </si>
  <si>
    <t>2025-119886</t>
  </si>
  <si>
    <t>ويلنيس كور ريوارد بلس موبيليتي سبورت تركي ريسيبي</t>
  </si>
  <si>
    <t xml:space="preserve">FEM-25-2794-FEP-2025-2691-C-22548-1820
</t>
  </si>
  <si>
    <t>2025-119894</t>
  </si>
  <si>
    <t>ويلنيس كور ريوارد بلس سكين أند كوت سبورت سالمون ريسيبي</t>
  </si>
  <si>
    <t xml:space="preserve">FEM-25-2795-FEP-2025-2692-C-22548-1819
</t>
  </si>
  <si>
    <t>2025-119905</t>
  </si>
  <si>
    <t>ويلنيس كور تراينينج تريتس تشيكن ريسيبي فلافورد وذ بيريز</t>
  </si>
  <si>
    <t xml:space="preserve">FEM-25-2796-FEP-2025-2693-C-22548-1818
</t>
  </si>
  <si>
    <t>2025-119925</t>
  </si>
  <si>
    <t>ويلنيس كور بوبي ترينرز تشيكن ريسيبي وذ كاروّتس</t>
  </si>
  <si>
    <t xml:space="preserve">FEM-25-2797-FEP-2025-2694-C-22548-1817
</t>
  </si>
  <si>
    <t>2025-119943</t>
  </si>
  <si>
    <t>ويلنيس كور تراينينج تريتس لامب ريسيبي فلافورد وذ أبلز</t>
  </si>
  <si>
    <t xml:space="preserve">FEM-25-2798-FEP-2025-2695-C-22548-1816
</t>
  </si>
  <si>
    <t>2025-129713</t>
  </si>
  <si>
    <t>أبلاوز فيليه التونة مع الأعشاب البحرية في المرق</t>
  </si>
  <si>
    <t xml:space="preserve">FEM-25-3044-FEP-2025-2924-C-22548-2068
</t>
  </si>
  <si>
    <t>2025-131126</t>
  </si>
  <si>
    <t>أبلاوز صدور الدجاج في المرق</t>
  </si>
  <si>
    <t xml:space="preserve">FOM-2024-1642-FEP-2024-80862-C-22548-0681
</t>
  </si>
  <si>
    <t>2025-131131</t>
  </si>
  <si>
    <t>أبلاوز فيليه التونة</t>
  </si>
  <si>
    <t xml:space="preserve">FEM-25-3059-FEP-2025-3600-C-22548-2038
</t>
  </si>
  <si>
    <t>2025-131137</t>
  </si>
  <si>
    <t>أبلاوز سمك البحر في المرق</t>
  </si>
  <si>
    <t xml:space="preserve">FEM-25-3060-FEP-2025-2933-C-22548-1903
</t>
  </si>
  <si>
    <t>2025-131142</t>
  </si>
  <si>
    <t>أبلاوز فيليه التونة مع الجبن في المرق</t>
  </si>
  <si>
    <t xml:space="preserve">FEM-25-3674-FEP-2025-2934-C-22548-2036
</t>
  </si>
  <si>
    <t>2025-131154</t>
  </si>
  <si>
    <t>أبلاوز صدور الدجاج مع البط في المرق</t>
  </si>
  <si>
    <t xml:space="preserve">FEM-25-3062-FEP-2025-2935-C-22548-1904
</t>
  </si>
  <si>
    <t>2025-141883</t>
  </si>
  <si>
    <t>أبلاوز تريت تونة لوين</t>
  </si>
  <si>
    <t xml:space="preserve">FEM-25-3192-FEP-2025-3094-C-22548-1975
</t>
  </si>
  <si>
    <t>2025-142378</t>
  </si>
  <si>
    <t>أبلاوز تريت ماكريل لوين</t>
  </si>
  <si>
    <t xml:space="preserve">FEM-25-3198-FEP-2025-3103-C-22548-1974
</t>
  </si>
  <si>
    <t>2025-142399</t>
  </si>
  <si>
    <t>أبلاوز تريت سالمون لوين</t>
  </si>
  <si>
    <t xml:space="preserve">FEM-25-3200-FEP-2025-3104-C-22548-1994
</t>
  </si>
  <si>
    <t xml:space="preserve">FEM-2024-10794-FEP-2024-81947-C-22548-1329
</t>
  </si>
  <si>
    <t xml:space="preserve">FEM-2024-10799-FEP-2024-81950-C-22548-1332
</t>
  </si>
  <si>
    <t xml:space="preserve">FEM-2024-10791-FEP-2024-81943-C-22548-1324
</t>
  </si>
  <si>
    <t>2025-143225</t>
  </si>
  <si>
    <t>ENC8125</t>
  </si>
  <si>
    <t>إنكور صدر الدجاج مع البط</t>
  </si>
  <si>
    <t xml:space="preserve">FEM-25-3204-FEP-2025-3107-C-22548-1993
</t>
  </si>
  <si>
    <t>2025-143235</t>
  </si>
  <si>
    <t>ENC1005</t>
  </si>
  <si>
    <t>إنكور صدر الدجاج مع سمك المحيط</t>
  </si>
  <si>
    <t xml:space="preserve">FEM-25-3205-FEP-2025-3601-C-22548-2035
</t>
  </si>
  <si>
    <t xml:space="preserve">ناتشرال كود الدجاج واللحم البقري
</t>
  </si>
  <si>
    <t xml:space="preserve">FOM-2024-0466-FEP-2024-80997-C-22548-0748
</t>
  </si>
  <si>
    <t xml:space="preserve">ناتشرال كود الدجاج والتونا
</t>
  </si>
  <si>
    <t xml:space="preserve">FOM-2024-0466-FEP-2024-80999-C-22548-0749
</t>
  </si>
  <si>
    <t xml:space="preserve">ناتشرال كود الدجاج والسالمون
</t>
  </si>
  <si>
    <t xml:space="preserve">FOM-2024-0466-FEP-2024-81098-C-22548-0750
</t>
  </si>
  <si>
    <t xml:space="preserve">ناتشرال كود فيليه الدجاج
</t>
  </si>
  <si>
    <t xml:space="preserve">ناتشرال كود الدجاج والجمبري
</t>
  </si>
  <si>
    <t xml:space="preserve">FOM-2024-0466-FEP-2024-81096-C-22548-0752
</t>
  </si>
  <si>
    <t xml:space="preserve">ناتشرال كود الدجاج والخضروات
</t>
  </si>
  <si>
    <t xml:space="preserve">FOM-2024-0466-FEP-2024-81100-C-22548-0754
</t>
  </si>
  <si>
    <t xml:space="preserve">ناتشرال كود - الديك الرومي والبطاطا
</t>
  </si>
  <si>
    <t xml:space="preserve">FEM-25-0345-FEP-2025-0741-C-22548-0312
</t>
  </si>
  <si>
    <t xml:space="preserve">NATURAL CODE CHICKEN, BEEF AND VEGETABLES
</t>
  </si>
  <si>
    <t xml:space="preserve">ناتشرال كود دجاج ولحم البقر و الخضراوات
</t>
  </si>
  <si>
    <t xml:space="preserve">FEM-25-0346-FEP-2025-0740-C-22548-0314
</t>
  </si>
  <si>
    <t xml:space="preserve">NATURAL CODE CHICKEN WITH TUNA
</t>
  </si>
  <si>
    <t xml:space="preserve">FEM-25-0315-FEP-2025-0348-C-22548-0321
</t>
  </si>
  <si>
    <t>NATURAL CODE CHICKEN WITH BEEF</t>
  </si>
  <si>
    <t xml:space="preserve">FEM-25-0316-FEP-2025-0349-C-22548-0322
</t>
  </si>
  <si>
    <t xml:space="preserve">ناتشرال كود شرائح التونة
</t>
  </si>
  <si>
    <t xml:space="preserve">FEM-25-0317-FEP-2025-0350-C-22548-0323
</t>
  </si>
  <si>
    <t xml:space="preserve">ناتشرال كود ستيريل 01 تونة وكوسة
</t>
  </si>
  <si>
    <t xml:space="preserve">FEM-25-0339-FEP-2025-0354-C-22548-0324
</t>
  </si>
  <si>
    <t xml:space="preserve">ناتشرال كود دجاج بطاطس وضأن
</t>
  </si>
  <si>
    <t xml:space="preserve">FEM-25-0318-FEP-2025-0351-C-22548-0325
</t>
  </si>
  <si>
    <t xml:space="preserve">ناتشرال كود دجاج لحم بقري وخضار
</t>
  </si>
  <si>
    <t xml:space="preserve">FEM-25-0319-FEP-2025-0352-C-22548-0326
</t>
  </si>
  <si>
    <t xml:space="preserve">ناتشرال كود تونا ويقطين
</t>
  </si>
  <si>
    <t xml:space="preserve">FEM-25-0334-FEP-2025-0353-C-22548-0327
</t>
  </si>
  <si>
    <t xml:space="preserve">ناتشرال كود ستيريل 02 تونة ونبتة القطيفة
</t>
  </si>
  <si>
    <t xml:space="preserve">FEM-25-0338-FEP-2025-0355-C-22548-0328
</t>
  </si>
  <si>
    <t xml:space="preserve">ناتشرال كود ستيريل 03 تونة و طحالب
</t>
  </si>
  <si>
    <t xml:space="preserve">FEM-25-0337-FEP-2025-0356-C-22548-0329
</t>
  </si>
  <si>
    <t xml:space="preserve">ناتشرال كود ستيريل 04 تونة و طحالب
</t>
  </si>
  <si>
    <t xml:space="preserve">FEM-25-0336-FEP-2025-0357-C-22548-0332
</t>
  </si>
  <si>
    <t>2025-152873</t>
  </si>
  <si>
    <t xml:space="preserve">FEM-25-3873-FEP-2025-3833-C-22548-2207
</t>
  </si>
  <si>
    <t>2025-152818</t>
  </si>
  <si>
    <t xml:space="preserve">FEM-25-3408-FEP-2025-3310-C-22548-2189
</t>
  </si>
  <si>
    <t>2025-152890</t>
  </si>
  <si>
    <t xml:space="preserve">
FEM-25-3876-FEP-2025-3839-C-22548-2206</t>
  </si>
  <si>
    <t>2025-152922</t>
  </si>
  <si>
    <t xml:space="preserve">
FEM-25-3875-FEP-2025-3838-C-22548-2205</t>
  </si>
  <si>
    <t>2025-152946</t>
  </si>
  <si>
    <t>FEM-25-3874-FEP-2025-3837-C-22548-2204</t>
  </si>
  <si>
    <t>2025-152959</t>
  </si>
  <si>
    <t xml:space="preserve">
FEM-25-3414-FEP-2025-3317-C-22548-2190</t>
  </si>
  <si>
    <t>2025-153115</t>
  </si>
  <si>
    <t>FEM-25-3421-FEP-2025-3326-C-22548-2191</t>
  </si>
  <si>
    <t>2025-153126</t>
  </si>
  <si>
    <t>FEM-25-3424-FEP-2025-3327-C-22548-2193</t>
  </si>
  <si>
    <t>2025-153151</t>
  </si>
  <si>
    <t>FEM-25-3425-FEP-2025-3330-C-22548-2194</t>
  </si>
  <si>
    <t>2025-153168</t>
  </si>
  <si>
    <t>FEM-25-3426-FEP-2025-3331-C-22548-2192</t>
  </si>
  <si>
    <t>2025-153195</t>
  </si>
  <si>
    <t xml:space="preserve">
FEM-25-3427-FEP-2025-3332-C-22548-2069</t>
  </si>
  <si>
    <t>2025-153210</t>
  </si>
  <si>
    <t>FEM-25-3429-FEP-2025-3333-C-22548-1887</t>
  </si>
  <si>
    <t>2025-157883</t>
  </si>
  <si>
    <t>FEM-25-3534-FEP-2025-3443-C-22548-2960</t>
  </si>
  <si>
    <t>2025-157942</t>
  </si>
  <si>
    <t xml:space="preserve">FEM-25-3536-FEP-2025-3445-C-22548-2959
</t>
  </si>
  <si>
    <t>2025-157949</t>
  </si>
  <si>
    <t>FEM-25-3538-FEP-2025-3447-C-22548-2958</t>
  </si>
  <si>
    <t>2025-158117</t>
  </si>
  <si>
    <t xml:space="preserve">FEM-25-3545-FEP-2025-3455-C-22548-2957
</t>
  </si>
  <si>
    <t>2025-158130</t>
  </si>
  <si>
    <t>تحت الاجراء</t>
  </si>
  <si>
    <t>2025-158143</t>
  </si>
  <si>
    <t xml:space="preserve">FEM-25-3547-FEP-2025-3458-C-22548-2956
</t>
  </si>
  <si>
    <t>2025-158160</t>
  </si>
  <si>
    <t xml:space="preserve">FEM-25-3550-FEP-2025-3460-C-22548-2955
</t>
  </si>
  <si>
    <t>2025-159083</t>
  </si>
  <si>
    <t xml:space="preserve">FEM-25-3575-FEP-2025-3488-C-22548-2311
</t>
  </si>
  <si>
    <t>2025-159103</t>
  </si>
  <si>
    <t xml:space="preserve">FEM-25-3576-FEP-2025-3489-C-22548-2310
</t>
  </si>
  <si>
    <t>2025-159163</t>
  </si>
  <si>
    <t xml:space="preserve">FEM-25-3578-FEP-2025-3491-C-22548-2309
</t>
  </si>
  <si>
    <t>2025-159185</t>
  </si>
  <si>
    <t xml:space="preserve">FEM-25-3579-FEP-2025-3492-C-22548-2308
</t>
  </si>
  <si>
    <t>2025-159217</t>
  </si>
  <si>
    <t xml:space="preserve">FEM-25-3580-FEP-2025-3493-C-22548-2307
</t>
  </si>
  <si>
    <t>2025-159273</t>
  </si>
  <si>
    <t xml:space="preserve">FEM-25-3582-FEP-2025-3495-C-22548-2312
</t>
  </si>
  <si>
    <t xml:space="preserve">2025-16429
</t>
  </si>
  <si>
    <t xml:space="preserve">ناتشرال كود ستيريل 05 تونة و سمك القاروص
</t>
  </si>
  <si>
    <t xml:space="preserve">FEM-25-0335-FEP-2025-0358-C-22548-0333
</t>
  </si>
  <si>
    <t xml:space="preserve">2025-16481
</t>
  </si>
  <si>
    <t xml:space="preserve">ناتشرال كود - لحم الضأن والبطاطا
</t>
  </si>
  <si>
    <t xml:space="preserve">FEM-25-0343-FEP-2025-0404-C-22548-0334
</t>
  </si>
  <si>
    <t xml:space="preserve">2025-16485
</t>
  </si>
  <si>
    <t xml:space="preserve">ناتشرال كود - لحم البقر و الخضراوات
</t>
  </si>
  <si>
    <t xml:space="preserve">FEM-25-0344-FEP-2025-0405-C-22548-0335
</t>
  </si>
  <si>
    <t xml:space="preserve">2025-16494
</t>
  </si>
  <si>
    <t xml:space="preserve">ناتشرال كود دجاج وهليون
</t>
  </si>
  <si>
    <t xml:space="preserve">FEM-25-0347-FEP-2025-0444-C-22548-0336
</t>
  </si>
  <si>
    <t xml:space="preserve">2025-20146
</t>
  </si>
  <si>
    <t>NATURAL CODE CHICKEN AND VEGET ABLES</t>
  </si>
  <si>
    <t xml:space="preserve">FEM-25-0459-FEP-2025-0440-C-22548-0373
</t>
  </si>
  <si>
    <t xml:space="preserve">2025-20143
</t>
  </si>
  <si>
    <t xml:space="preserve">FEM-25-0459-FEP-2025-0440-C-22548-0373
</t>
  </si>
  <si>
    <t xml:space="preserve">  ناتشرال كود التونة والجمبري
</t>
  </si>
  <si>
    <t xml:space="preserve">FEM-25-0458-FEP-2025-0442-C-22548-0374
</t>
  </si>
  <si>
    <t xml:space="preserve">2025-20139
</t>
  </si>
  <si>
    <t xml:space="preserve">ناتشرال كود تونة ولحم بقري
</t>
  </si>
  <si>
    <t xml:space="preserve">FEM-25-0457-FEP-2025-0842-C-22548-0381
</t>
  </si>
  <si>
    <t xml:space="preserve">2025-25778
</t>
  </si>
  <si>
    <t xml:space="preserve">NATURAL CODE CHICKEN FILLETS
</t>
  </si>
  <si>
    <t xml:space="preserve">FEM-25-0657-FEP-2025-0680-C-22548-0494
</t>
  </si>
  <si>
    <t xml:space="preserve">2025-25781
</t>
  </si>
  <si>
    <t xml:space="preserve">NATURAL CODE CHICKEN WITH SHRIMPS
</t>
  </si>
  <si>
    <t xml:space="preserve">FEM-25-0658-FEP-2025-0681-C-22548-0497
</t>
  </si>
  <si>
    <t xml:space="preserve">2025-25783
</t>
  </si>
  <si>
    <t xml:space="preserve">NATURAL CODE CHICKEN AND SALMON
</t>
  </si>
  <si>
    <t xml:space="preserve">ناتشرال كود الدجاج والسالمون
</t>
  </si>
  <si>
    <t xml:space="preserve">FEM-25-0659-FEP-2025-0682-C-22548-0498
</t>
  </si>
  <si>
    <t xml:space="preserve">2025-25784
</t>
  </si>
  <si>
    <t xml:space="preserve">NATURAL CODE CHICKEN
</t>
  </si>
  <si>
    <t xml:space="preserve">ناتشرال كود دجاج
</t>
  </si>
  <si>
    <t xml:space="preserve">FEM-25-0660-FEP-2025-0685-C-22548-0499
</t>
  </si>
  <si>
    <t xml:space="preserve">2025-25785
</t>
  </si>
  <si>
    <t xml:space="preserve">FEM-25-0662-FEP-2025-0687-C-22548-0500
</t>
  </si>
  <si>
    <t xml:space="preserve">2025-25273
</t>
  </si>
  <si>
    <t xml:space="preserve">ناتشرال كود التونة والكيوي في الجيلي
</t>
  </si>
  <si>
    <t xml:space="preserve">FEM-25-0629-FEP-2025-0643-C-22548-0526
</t>
  </si>
  <si>
    <t xml:space="preserve">2025-25269
</t>
  </si>
  <si>
    <t xml:space="preserve">ناتشرال كود الدجاج والسردين في الجيلي
</t>
  </si>
  <si>
    <t xml:space="preserve">FEM-25-0627-FEP-2025-0645-C-22548-0527
</t>
  </si>
  <si>
    <t xml:space="preserve">2025-27001
</t>
  </si>
  <si>
    <t xml:space="preserve">ناتشرال كود تونة الألوة فيرا
</t>
  </si>
  <si>
    <t xml:space="preserve">FEM-25-0691-FEP-2025-0709-C-22548-0528
</t>
  </si>
  <si>
    <t xml:space="preserve">2025-27002
</t>
  </si>
  <si>
    <t xml:space="preserve">ناتشرال كود تونة وسالمون
</t>
  </si>
  <si>
    <t xml:space="preserve">FEM-25-0692-FEP-2025-0710-C-22548-0529
</t>
  </si>
  <si>
    <t xml:space="preserve">2025-27003
</t>
  </si>
  <si>
    <t xml:space="preserve">ناتشرال كود تونة وسمك صغير
</t>
  </si>
  <si>
    <t xml:space="preserve">FEM-25-0693-FEP-2025-0711-C-22548-0530
</t>
  </si>
  <si>
    <t xml:space="preserve">2025-25271
</t>
  </si>
  <si>
    <t xml:space="preserve">ناتشرال كود التونة والبابايا في الجيلي
</t>
  </si>
  <si>
    <t xml:space="preserve">FEM-25-0628-FEP-2025-0644-C-22548-0532
</t>
  </si>
  <si>
    <t xml:space="preserve">2025-25264
</t>
  </si>
  <si>
    <t xml:space="preserve">ناتشرال كود التونة والسوريمي في الجيلي
</t>
  </si>
  <si>
    <t xml:space="preserve">FEM-25-0626-FEP-2025-0647-C-22548-0533
</t>
  </si>
  <si>
    <t xml:space="preserve">2025-31519
</t>
  </si>
  <si>
    <t xml:space="preserve">ناتشرال كود تونا ودجاج بايبي كتن
</t>
  </si>
  <si>
    <t xml:space="preserve">FEM-25-0803-FEP-2025-0818-C-22548-0626
</t>
  </si>
  <si>
    <t xml:space="preserve">2025-31521
</t>
  </si>
  <si>
    <t xml:space="preserve">ناتشرال كود تونا كتن
</t>
  </si>
  <si>
    <t xml:space="preserve">FEM-25-0804-FEP-2025-0819-C-22548-0631
</t>
  </si>
  <si>
    <t xml:space="preserve">2025-31522
</t>
  </si>
  <si>
    <t xml:space="preserve">ناتشرال كود دجاج كتن
</t>
  </si>
  <si>
    <t xml:space="preserve">FEM-25-0805-FEP-2025-0820-C-22548-0633
</t>
  </si>
  <si>
    <t xml:space="preserve">2025-31595
</t>
  </si>
  <si>
    <t xml:space="preserve">ناتشرال كود تونا وسردين
</t>
  </si>
  <si>
    <t xml:space="preserve">FEM-25-0810-FEP-2025-0825-C-22548-0637
</t>
  </si>
  <si>
    <t xml:space="preserve">2025-31530
</t>
  </si>
  <si>
    <t xml:space="preserve">NATURAL CODE TUNA WITH BEEF LIVER IN JELLY
</t>
  </si>
  <si>
    <t xml:space="preserve">ناتشرال كود تونة وكبد البقر في الجيلي
</t>
  </si>
  <si>
    <t xml:space="preserve">FEM-25-0808-FEP-2025-0823-C-22548-0638
</t>
  </si>
  <si>
    <t xml:space="preserve">2025-31527
</t>
  </si>
  <si>
    <t xml:space="preserve">NATURAL CODE TUNA WITH LAMB AND POTATOES IN JELLY
</t>
  </si>
  <si>
    <t xml:space="preserve">ناتشرال كود تونة ولحم الضأن والبطاطس في الجيلي
</t>
  </si>
  <si>
    <t xml:space="preserve">FEM-25-0807-FEP-2025-0822-C-22548-0639
</t>
  </si>
  <si>
    <t xml:space="preserve">2025-31524
</t>
  </si>
  <si>
    <t xml:space="preserve">FEM-25-0806-FEP-2025-0821-C-22548-0640
</t>
  </si>
  <si>
    <t xml:space="preserve">2025-25913
</t>
  </si>
  <si>
    <t xml:space="preserve">ناتشرال كود التونة والألوة فيرا
</t>
  </si>
  <si>
    <t xml:space="preserve">FEM-25-0669-FEP-2025-1162-C-22548-0713
</t>
  </si>
  <si>
    <t xml:space="preserve">2025-25977
</t>
  </si>
  <si>
    <t xml:space="preserve">ناتشرال كود التونة والسمك الصغير
</t>
  </si>
  <si>
    <t xml:space="preserve">FEM-25-0671-FEP-2025-1161-C-22548-0714
</t>
  </si>
  <si>
    <t xml:space="preserve">2025-25262
</t>
  </si>
  <si>
    <t xml:space="preserve">ناتشرال كود الدجاج والديك الرومي في الجيلي
</t>
  </si>
  <si>
    <t xml:space="preserve">FEM-25-0625-FEP-2025-0648-C-22548-0750
</t>
  </si>
  <si>
    <t xml:space="preserve">2025-72066
</t>
  </si>
  <si>
    <t xml:space="preserve">ناتشرال كود تونة
</t>
  </si>
  <si>
    <t xml:space="preserve">FEM-25-1629-FEP-2025-1809-C-22548-1084
</t>
  </si>
  <si>
    <t xml:space="preserve">2025-72072
</t>
  </si>
  <si>
    <t xml:space="preserve">ناتشرال كود سمك الدنيس وخضار
</t>
  </si>
  <si>
    <t xml:space="preserve">FEM-25-1630-FEP-2025-1808-C-22548-1085
</t>
  </si>
  <si>
    <t xml:space="preserve">2025-72073
</t>
  </si>
  <si>
    <t xml:space="preserve">ناتشرال كود تونة وسمك الدنيس
</t>
  </si>
  <si>
    <t xml:space="preserve">FEM-25-1631-FEP-2025-1629-C-22548-1086
</t>
  </si>
  <si>
    <t xml:space="preserve">2025-86648
</t>
  </si>
  <si>
    <t xml:space="preserve">ناتشرال كود دجاج وامارانث وجزر في الجيلي
</t>
  </si>
  <si>
    <t xml:space="preserve">FEM-25-1962-FEP-2025-1947-C-22548-1358
</t>
  </si>
  <si>
    <t xml:space="preserve">2025-86651
</t>
  </si>
  <si>
    <t xml:space="preserve">FEM-25-1963-FEP-2025-1948-C-22548-1359
</t>
  </si>
  <si>
    <t xml:space="preserve">2025-86656
</t>
  </si>
  <si>
    <t xml:space="preserve">ناتشرال كود تونة مع التوت الازرق والارز البني
</t>
  </si>
  <si>
    <t xml:space="preserve">FEM-25-1965-FEP-2025-1950-C-22548-1362
</t>
  </si>
  <si>
    <t xml:space="preserve">2025-86653
</t>
  </si>
  <si>
    <t xml:space="preserve">ناتشرال كود تونة مع بذور الكتان والارز البني
</t>
  </si>
  <si>
    <t xml:space="preserve">FEM-25-1964-FEP-2025-1949-C-22548-1361
</t>
  </si>
  <si>
    <t xml:space="preserve">2025-86660
</t>
  </si>
  <si>
    <t xml:space="preserve">ناتشرال كود تونة مع الكينوا والارز البني
</t>
  </si>
  <si>
    <t xml:space="preserve">FEM-25-1966-FEP-2025-1951-C-22548-1363
</t>
  </si>
  <si>
    <t xml:space="preserve">2025-86662
</t>
  </si>
  <si>
    <t>ناتشرال كود تونة مع اليقطين والأرز البني</t>
  </si>
  <si>
    <t>FEM-25-1967-FEP-2025-1985-C-22548-1364</t>
  </si>
  <si>
    <t>2025-169078</t>
  </si>
  <si>
    <t>Felyngo Chicken and Rice with Spinach in Jelly 75g</t>
  </si>
  <si>
    <t>فيلان جو الدجاج والأرز مع السبانخ بالجيلي</t>
  </si>
  <si>
    <t xml:space="preserve">FEM-25-3728-FEP-2025-3681-C-22548-2611
</t>
  </si>
  <si>
    <t>2025-169104</t>
  </si>
  <si>
    <t>Felyngo Tuna soup with papaya 75g</t>
  </si>
  <si>
    <t>فيلان جو حساء التونة مع البابايا</t>
  </si>
  <si>
    <t xml:space="preserve">FEM-25-3729-FEP-2025-3682-C-22548-2610
</t>
  </si>
  <si>
    <t>2025-169113</t>
  </si>
  <si>
    <t>Felyngo Kitten Chicken in Jelly 75g</t>
  </si>
  <si>
    <t>فيلان جو صدر الدجاج للقطط الصغيرة</t>
  </si>
  <si>
    <t xml:space="preserve">FEM-25-3731-FEP-2025-3684-C-22548-2609
</t>
  </si>
  <si>
    <t>2025-171831</t>
  </si>
  <si>
    <t xml:space="preserve">FOM-2024-1423-FEP-2025-3732-C-22548-2358
</t>
  </si>
  <si>
    <t>2025-172960</t>
  </si>
  <si>
    <t xml:space="preserve">FEM-25-3800-FEP-2025-3741-C-22548-2359
</t>
  </si>
  <si>
    <t xml:space="preserve">برستيج ببغاء فواكه ميجا 15 كجم
</t>
  </si>
  <si>
    <t xml:space="preserve">FOM-2024-7202-FEB-2024-40121 -C-0041-60918
</t>
  </si>
  <si>
    <t>2025-179775</t>
  </si>
  <si>
    <t>زولكس يوميز مكافآت طرية للقطط بنكهة لحم الضأن</t>
  </si>
  <si>
    <t>2025-179837</t>
  </si>
  <si>
    <t>زولكس يوميز مكافآت طرية للقطط بنكهة الديك الرومي مع الكبدة</t>
  </si>
  <si>
    <t>2025-179850</t>
  </si>
  <si>
    <t>زولكس يوميز مكافآت طرية للكلاب بنكهة الدجاج</t>
  </si>
  <si>
    <t xml:space="preserve">FEM-25-3892-FEP-2025-3867-C-22548-2503
</t>
  </si>
  <si>
    <t>2025-179878</t>
  </si>
  <si>
    <t>زولكس يوميز مكافآت طرية للقطط بنكهة السلمون المرقط</t>
  </si>
  <si>
    <t xml:space="preserve">FEM-25-3894-FEP-2025-3870-C-22548-2993
</t>
  </si>
  <si>
    <t>2025-179890</t>
  </si>
  <si>
    <t>زولكس يوميز مكافآت طرية للكلاب بنكهة لحم الضأن</t>
  </si>
  <si>
    <t xml:space="preserve">FEM-25-3895-FEP-2025-3871-C-22548-2502
</t>
  </si>
  <si>
    <t>2025-179903</t>
  </si>
  <si>
    <t>زولكس يوميز مكافآت طرية للكلاب بنكهة اللحم البقري</t>
  </si>
  <si>
    <t xml:space="preserve">FEM-25-3897-FEP-2025-3873-C-22548-2501
</t>
  </si>
  <si>
    <t>2025-199033</t>
  </si>
  <si>
    <t>كت كات معلبات دجاج كتن في الجيلي</t>
  </si>
  <si>
    <t xml:space="preserve">FEM-25-4255-FEP-2025-4237-C-22548-2732
</t>
  </si>
  <si>
    <t>2025-199067</t>
  </si>
  <si>
    <t>كت كات معلبات تونا كتن في الجيلي</t>
  </si>
  <si>
    <t xml:space="preserve">FEM-25-4257-FEP-2025-4239-C-22548-2855
</t>
  </si>
  <si>
    <t>2025-199084</t>
  </si>
  <si>
    <t>كت كات دجاج منزوع العظم و لحم بقري</t>
  </si>
  <si>
    <t xml:space="preserve">FEM-25-4258-FEP-2025-4240-C-22548-2983
</t>
  </si>
  <si>
    <t>2025-199117</t>
  </si>
  <si>
    <t>كت كات دجاج كلاسيكي منزوع العظم</t>
  </si>
  <si>
    <t xml:space="preserve">FEM-25-4260-FEP-2025-4243-C-22548-2984
</t>
  </si>
  <si>
    <t>2025-199151</t>
  </si>
  <si>
    <t>كت كات تونا كلاسيك منزوع العظم</t>
  </si>
  <si>
    <t xml:space="preserve">FEM-25-4261-FEP-2025-4244-C-22548-2994
</t>
  </si>
  <si>
    <t>2025-199189</t>
  </si>
  <si>
    <t>كت كات دجاج منزوع العظم و السلمون</t>
  </si>
  <si>
    <t xml:space="preserve">FEM-25-4263-FEP-2025-4245-C-22548-3004
</t>
  </si>
  <si>
    <t>2025-199197</t>
  </si>
  <si>
    <t>كت كات تونا منزوع العظم و دجاج</t>
  </si>
  <si>
    <t xml:space="preserve">FEM-25-4264-FEP-2025-4246-C-22548-2886
</t>
  </si>
  <si>
    <t>2025-199208</t>
  </si>
  <si>
    <t>كت كات تونا منزوع العظم و سالمون</t>
  </si>
  <si>
    <t>2025-199267</t>
  </si>
  <si>
    <t>كت كات تونا منزوع العظم و جمبري</t>
  </si>
  <si>
    <t>2025-199279</t>
  </si>
  <si>
    <t>كت كات تونا منزوع العظم وصغار السمك</t>
  </si>
  <si>
    <t xml:space="preserve">FEM-25-4267-FEP-2025-4250-C-22548-2852
</t>
  </si>
  <si>
    <t>2025-206287</t>
  </si>
  <si>
    <t>ACANA Adult Dog Food 6 17 kg</t>
  </si>
  <si>
    <t xml:space="preserve">FEM-25-4417-FEP-2025-4423-C-22548-2995
</t>
  </si>
  <si>
    <t>2025-206451</t>
  </si>
  <si>
    <t xml:space="preserve">FEM-25-4429-FEP-2025-4433-C-22548-3000
</t>
  </si>
  <si>
    <t>2025-206672</t>
  </si>
  <si>
    <t xml:space="preserve">FEM-25-4430-FEP-2025-4436-C-22548-2992
</t>
  </si>
  <si>
    <t>2025-206725</t>
  </si>
  <si>
    <t xml:space="preserve">FEM-25-4434-FEP-2025-4439-C-22548-3001
</t>
  </si>
  <si>
    <t>2025-206755</t>
  </si>
  <si>
    <t xml:space="preserve">FEM-25-4435-FEP-2025-4441-C-22548-3002
</t>
  </si>
  <si>
    <t>2025-206811</t>
  </si>
  <si>
    <t xml:space="preserve">FEM-25-4436-FEP-2025-4442-C-22548-2854
</t>
  </si>
  <si>
    <t>FEM-2024-10807-FEP-2024-81959-C-22548-1677</t>
  </si>
  <si>
    <t>2025-206866</t>
  </si>
  <si>
    <t>2025-208803</t>
  </si>
  <si>
    <t xml:space="preserve">FEM-25-4449-FEP-2025-4458-C-22548-2841
</t>
  </si>
  <si>
    <t>2025-208947</t>
  </si>
  <si>
    <t xml:space="preserve">FEM-25-4452-FEP-2025-4461-C-22548-2880
</t>
  </si>
  <si>
    <t>2025-209000</t>
  </si>
  <si>
    <t xml:space="preserve">FEM-25-4453-FEP-2025-4462-C-22548-2840
</t>
  </si>
  <si>
    <t>2025-209121</t>
  </si>
  <si>
    <t xml:space="preserve">FEM-25-4455-FEP-2025-4912-C-22548-2853
</t>
  </si>
  <si>
    <t>2025-209143</t>
  </si>
  <si>
    <t xml:space="preserve">FEM-25-4457-FEP-2025-4467-C-22548-2842
</t>
  </si>
  <si>
    <t>2025-209163</t>
  </si>
  <si>
    <t xml:space="preserve">FEM-25-4461-FEP-2025-4472-C-22548-2843
</t>
  </si>
  <si>
    <t>2025-209204</t>
  </si>
  <si>
    <t xml:space="preserve">FEM-25-4462-FEP-2025-4474-C-22548-3003
</t>
  </si>
  <si>
    <t>2025-212305</t>
  </si>
  <si>
    <t xml:space="preserve">FEM-25-4535-FEP-2025-4543-C-22548-2865
</t>
  </si>
  <si>
    <t>2025-212309</t>
  </si>
  <si>
    <t>2025-212316</t>
  </si>
  <si>
    <t xml:space="preserve">FEM-25-4537-FEP-2025-4545-C-22548-2991
</t>
  </si>
  <si>
    <t>2025-212320</t>
  </si>
  <si>
    <t xml:space="preserve">FEM-25-4538-FEP-2024-82011-C-22548-2887
</t>
  </si>
  <si>
    <t>2025-212323</t>
  </si>
  <si>
    <t xml:space="preserve">FEM-25-4539-FEP-2025-4546-C-22548-2859
</t>
  </si>
  <si>
    <t>2025-212324</t>
  </si>
  <si>
    <t xml:space="preserve">FEM-25-4540-FEP-2025-4547-C-22548-2872
</t>
  </si>
  <si>
    <t>2025-212329</t>
  </si>
  <si>
    <t xml:space="preserve">FEM-25-4541-FEP-2025-4549-C-22548-2882
</t>
  </si>
  <si>
    <t>2025-215196</t>
  </si>
  <si>
    <t xml:space="preserve">FEM-25-4599-FEP-2025-4599-C-22548-2939
</t>
  </si>
  <si>
    <t>2025-215227</t>
  </si>
  <si>
    <t xml:space="preserve">FEM-25-4600-FEP-2025-4602-C-22548-2940
</t>
  </si>
  <si>
    <t>2025-215257</t>
  </si>
  <si>
    <t xml:space="preserve">FEM-25-4601-FEP-2025-4603-C-22548-2941
</t>
  </si>
  <si>
    <t>2025-225960</t>
  </si>
  <si>
    <t xml:space="preserve">FEM-25-4775-FEP-2025-4730-C-22548-3086
</t>
  </si>
  <si>
    <t>2025-226322</t>
  </si>
  <si>
    <t xml:space="preserve">FEM-25-4782-FEP-2025-4734-C-22548-3082
</t>
  </si>
  <si>
    <t>2025-226624</t>
  </si>
  <si>
    <t xml:space="preserve">FEM-25-4793-FEP-2025-4740-C-22548-3084
</t>
  </si>
  <si>
    <t>2025-226930</t>
  </si>
  <si>
    <t xml:space="preserve">FEM-25-4811-FEP-2025-4742-C-22548-3083
</t>
  </si>
  <si>
    <t>2025-227505</t>
  </si>
  <si>
    <t xml:space="preserve">FEM-25-4835-FEP-2025-4750-C-22548-3085
</t>
  </si>
  <si>
    <t>2025-227530</t>
  </si>
  <si>
    <t xml:space="preserve">FEM-25-4837-FEP-2025-4752-C-22548-3087
</t>
  </si>
  <si>
    <t>2025-227565</t>
  </si>
  <si>
    <t xml:space="preserve">FEM-25-4839-FEP-2025-4754-C-22548-3088
</t>
  </si>
  <si>
    <t>2025-227594</t>
  </si>
  <si>
    <t xml:space="preserve">FEM-25-4840-FEP-2025-4755-C-22548-3763
</t>
  </si>
  <si>
    <t>2025-227608</t>
  </si>
  <si>
    <t xml:space="preserve">FEM-25-4841-FEP-2025-4756-C-22548-3089
</t>
  </si>
  <si>
    <t>2025-227622</t>
  </si>
  <si>
    <t xml:space="preserve">FEM-25-4842-FEP-2025-4757-C-22548-3090
</t>
  </si>
  <si>
    <t>2025-227628</t>
  </si>
  <si>
    <t xml:space="preserve">FEM-25-4843-FEP-2025-4758-C-22548-3776
</t>
  </si>
  <si>
    <t>2025-227646</t>
  </si>
  <si>
    <t xml:space="preserve">FEM-25-4844-FEP-2025-4759-C-22548-3081
</t>
  </si>
  <si>
    <t>2025-232374</t>
  </si>
  <si>
    <t>FEM-25-4882-FEP-2025-4795-C-22548-3102</t>
  </si>
  <si>
    <t>2025-232415</t>
  </si>
  <si>
    <t>FEM-25-4883-FEP-2025-4796-C-22548-3103</t>
  </si>
  <si>
    <t>2025-235542</t>
  </si>
  <si>
    <t>2025-399822</t>
  </si>
  <si>
    <t>2025-235420</t>
  </si>
  <si>
    <t>2025-399920</t>
  </si>
  <si>
    <t xml:space="preserve">يجب ارفاق شهادة حرية بيع صادرة من الجهة الرقابية في بلد الانتاج مؤرخة ومختومة
</t>
  </si>
  <si>
    <t>2025-235575</t>
  </si>
  <si>
    <t>2025-399882</t>
  </si>
  <si>
    <t xml:space="preserve">still under process </t>
  </si>
  <si>
    <t>2025-235611</t>
  </si>
  <si>
    <t>2025-235635</t>
  </si>
  <si>
    <t>2025-342897</t>
  </si>
  <si>
    <t>2025-350682</t>
  </si>
  <si>
    <t>2025-350856</t>
  </si>
  <si>
    <t>2025-350880</t>
  </si>
  <si>
    <t>2025-350905</t>
  </si>
  <si>
    <t>2025-350977</t>
  </si>
  <si>
    <t>2025-351017</t>
  </si>
  <si>
    <t>2025-351050</t>
  </si>
  <si>
    <t>2025-351212</t>
  </si>
  <si>
    <t>2025-351271</t>
  </si>
  <si>
    <t>2025-351241</t>
  </si>
  <si>
    <t>2025-351310</t>
  </si>
  <si>
    <t>2025-351330</t>
  </si>
  <si>
    <t>2025-362100</t>
  </si>
  <si>
    <t>كاتيديا سيجنتشر لحم بقري</t>
  </si>
  <si>
    <t>2025-362151</t>
  </si>
  <si>
    <t>كاتيديا سيجنتشر الدجاج</t>
  </si>
  <si>
    <t>2025-362172</t>
  </si>
  <si>
    <t>كاتيديا سيجنتشر البط</t>
  </si>
  <si>
    <t>2025-362219</t>
  </si>
  <si>
    <t>كاتيديا سيجنتشر حليب الماعز للام و القطط الصغيرة</t>
  </si>
  <si>
    <t>2025-362249</t>
  </si>
  <si>
    <t>كاتيديا سيجنتشر لحم الضان</t>
  </si>
  <si>
    <t>2025-362311</t>
  </si>
  <si>
    <t>كاتيديا سيجنتشر السالمون</t>
  </si>
  <si>
    <t>2025-377435</t>
  </si>
  <si>
    <t>كيت كات مكمل بودرة العناية البولية</t>
  </si>
  <si>
    <t>2025-377456</t>
  </si>
  <si>
    <t>كيت كات مكمل بودرة بروبيوتيك</t>
  </si>
  <si>
    <t>2025-377472</t>
  </si>
  <si>
    <t>كيت كات مكمل بودرة تورين</t>
  </si>
  <si>
    <t>2025-377494</t>
  </si>
  <si>
    <t>كيت كات مكمل بودرة إل-لايسين</t>
  </si>
  <si>
    <t>2025-377516</t>
  </si>
  <si>
    <t>كيت كات مكمل بودرة لزيادة الوزن</t>
  </si>
  <si>
    <t>2025-377527</t>
  </si>
  <si>
    <t>كيت كات مكمل بودرة لصحة الجلد والفراء</t>
  </si>
  <si>
    <t>2025-377550</t>
  </si>
  <si>
    <t>كيت كات مكمل بودرة للوقاية من كرات الشعر</t>
  </si>
  <si>
    <t>2025-377568</t>
  </si>
  <si>
    <t>كيت كات مكمل بودرة للعناية بصحة الاسنان</t>
  </si>
  <si>
    <t>2025-377584</t>
  </si>
  <si>
    <t>كيت كات مكمل لإزالة تصبغات الدموع</t>
  </si>
  <si>
    <t xml:space="preserve">الرجوع الى دليل تسجيل المنتجات العلفية والالتزام بما ورد به </t>
  </si>
  <si>
    <t>2025-389097</t>
  </si>
  <si>
    <t>زولكس نوتريميل عصي للارانب القزمية بالجزر</t>
  </si>
  <si>
    <t xml:space="preserve">الغرض من الاستخدام باللغة الانجليزية ادعاء غير تغذوي
</t>
  </si>
  <si>
    <t>2025-389189</t>
  </si>
  <si>
    <t>زولكس نوتريميل عصي للارانب القزمية بالشمندر</t>
  </si>
  <si>
    <t>2025-389374</t>
  </si>
  <si>
    <t>زولكس نوتريميل عصي للارانب القزمية بالخضراوات</t>
  </si>
  <si>
    <t>2025-389391</t>
  </si>
  <si>
    <t>زولكس نوتريميل عصي للخنزير الغيني برتقال</t>
  </si>
  <si>
    <t xml:space="preserve">الغرض من الاستخدام باللغة الانجليزية ادعاء غير تغذوي *** </t>
  </si>
  <si>
    <t>2025-389557</t>
  </si>
  <si>
    <t>زولكس نوتريميل عصي للخنزير الغيني التوت البري</t>
  </si>
  <si>
    <t>2025-389825</t>
  </si>
  <si>
    <t>زولكس نوتريميل عصي للهامستر</t>
  </si>
  <si>
    <t>2025-389846</t>
  </si>
  <si>
    <t>زولكس نوتريميل عصي للقوارض</t>
  </si>
  <si>
    <t>2025-389863</t>
  </si>
  <si>
    <t>زولكس نوتريميل عصي للشنشيلا</t>
  </si>
  <si>
    <t>2025-389623</t>
  </si>
  <si>
    <t>زولكس نوتريميل عصي للكناري</t>
  </si>
  <si>
    <t>2025-389643</t>
  </si>
  <si>
    <t>زولكس نوتريميل عصي طيور الزيبرا و الاسوائية</t>
  </si>
  <si>
    <t>2025-389660</t>
  </si>
  <si>
    <t>زولكس نوتريميل عصي للبراكيت و الببغاوات</t>
  </si>
  <si>
    <t>2025-389673</t>
  </si>
  <si>
    <t>زولكس نوتريميل عصي للبراكيت الكبيرة</t>
  </si>
  <si>
    <t>2025-404012</t>
  </si>
  <si>
    <t>Felyn Go Raw Arctic Char with Broccoli for kittens 90g</t>
  </si>
  <si>
    <t xml:space="preserve">FEM-25-6193-FEP-2025-6191-C-22548-4025
</t>
  </si>
  <si>
    <t>2025-404078</t>
  </si>
  <si>
    <t>Felyn Go Raw Salmon &amp; Cod Roe with Spinach for kittens 90g</t>
  </si>
  <si>
    <t xml:space="preserve">FEM-25-6194-FEP-2025-6193-C-22548-4020
</t>
  </si>
  <si>
    <t>2025-404115</t>
  </si>
  <si>
    <t xml:space="preserve">FEM-25-6195-FEP-2025-6194-C-22548-4021
</t>
  </si>
  <si>
    <t>2025-404137</t>
  </si>
  <si>
    <t xml:space="preserve">FEM-25-6196-FEP-2025-6196-C-22548-4022
</t>
  </si>
  <si>
    <t>2025-404162</t>
  </si>
  <si>
    <t xml:space="preserve">FEM-25-6197-FEP-2025-6197-C-22548-4023
</t>
  </si>
  <si>
    <t>2025-404192</t>
  </si>
  <si>
    <t xml:space="preserve">FEM-25-6198-FEP-2025-6198-C-22548-4024
</t>
  </si>
  <si>
    <t>2025-450430</t>
  </si>
  <si>
    <t>FEM-25-6635-FEP-2025-6777-C-22548-4326</t>
  </si>
  <si>
    <t>2025-451385</t>
  </si>
  <si>
    <t>2025-451386</t>
  </si>
  <si>
    <t>2025-459527</t>
  </si>
  <si>
    <t xml:space="preserve">FEM-25-6748-FEP-2025-6914-C-22548-4420
</t>
  </si>
  <si>
    <t>2025-465606</t>
  </si>
  <si>
    <t xml:space="preserve">FEM-25-6771-FEP-2025-6942-C-22548-4445
</t>
  </si>
  <si>
    <t>2025-465914</t>
  </si>
  <si>
    <t xml:space="preserve">FEM-25-6777-FEP-2025-6945-C-22548-4435
</t>
  </si>
  <si>
    <t>2025-468975</t>
  </si>
  <si>
    <t>2025-469376</t>
  </si>
  <si>
    <t>2025-473188</t>
  </si>
  <si>
    <t xml:space="preserve">FEM-25-6847-FEP-2025-8063-C-22548-4593
</t>
  </si>
  <si>
    <t>2025-473558</t>
  </si>
  <si>
    <t>2025-473871</t>
  </si>
  <si>
    <t xml:space="preserve">FEM-25-6855-FEP-2025-8064-C-22548-4594
</t>
  </si>
  <si>
    <t>2025-473939</t>
  </si>
  <si>
    <t xml:space="preserve">FEM-25-6856-FEP-2025-8065-C-22548-4595
</t>
  </si>
  <si>
    <t>2025-473999</t>
  </si>
  <si>
    <t xml:space="preserve">FEM-25-6860-FEP-2025-8066-C-22548-4596
</t>
  </si>
  <si>
    <t>2025-476574</t>
  </si>
  <si>
    <t xml:space="preserve">FEM-25-6876-FEP-2025-8073-C-22548-4598
</t>
  </si>
  <si>
    <t>2025-477755</t>
  </si>
  <si>
    <t xml:space="preserve">FEM-25-6888-FEP-2025-8083-C-22548-4587
</t>
  </si>
  <si>
    <t>2025-477861</t>
  </si>
  <si>
    <t xml:space="preserve">FEM-25-6891-FEP-2025-8067-C-22548-4597
</t>
  </si>
  <si>
    <t>2025-477950</t>
  </si>
  <si>
    <t xml:space="preserve">FEM-25-6895-FEP-2025-8082-C-22548-4588
</t>
  </si>
  <si>
    <t>ممنوع من الاستخدام الخنزير ومشتقاته كاملة</t>
  </si>
  <si>
    <t>2025-480190</t>
  </si>
  <si>
    <t>2025-480342</t>
  </si>
  <si>
    <t>2025-480563</t>
  </si>
  <si>
    <t xml:space="preserve">FEM-25-6920-FEP-2025-8061-C-22548-4586
</t>
  </si>
  <si>
    <t>2025-480623</t>
  </si>
  <si>
    <t xml:space="preserve">FEM-25-6922-FEP-2025-8080-C-22548-4589
</t>
  </si>
  <si>
    <t>2025-480908</t>
  </si>
  <si>
    <t xml:space="preserve">FEM-25-6925-FEP-2025-8074-C-22548-4599
</t>
  </si>
  <si>
    <t>2025-481115</t>
  </si>
  <si>
    <t xml:space="preserve">FEM-25-6928-FEP-2025-8076-C-22548-4600
</t>
  </si>
  <si>
    <t>2025-481235</t>
  </si>
  <si>
    <t xml:space="preserve">FEM-25-6930-FEP-2025-8078-C-22548-4590
</t>
  </si>
  <si>
    <t>2025-481314</t>
  </si>
  <si>
    <t xml:space="preserve">FEM-25-6932-FEP-2025-8062-C-22548-4592
</t>
  </si>
  <si>
    <t>2025-485714</t>
  </si>
  <si>
    <t>2025-489761</t>
  </si>
  <si>
    <t>2025-490256</t>
  </si>
  <si>
    <t>2025-490304</t>
  </si>
  <si>
    <t>2025-490421</t>
  </si>
  <si>
    <t>2025-490538</t>
  </si>
  <si>
    <t>2025-494325</t>
  </si>
  <si>
    <t>2025-494390</t>
  </si>
  <si>
    <t>2025-496592</t>
  </si>
  <si>
    <t>2025-496742</t>
  </si>
  <si>
    <t>2025-500988</t>
  </si>
  <si>
    <t>2025-501096</t>
  </si>
  <si>
    <t>2025-501354</t>
  </si>
  <si>
    <t>2025-501391</t>
  </si>
  <si>
    <t>2025-501467</t>
  </si>
  <si>
    <t>2025-501641</t>
  </si>
  <si>
    <t>2025-501672</t>
  </si>
  <si>
    <t>2025-501686</t>
  </si>
  <si>
    <t>2025-510668</t>
  </si>
  <si>
    <t>2025-511073</t>
  </si>
  <si>
    <t>2025-511154</t>
  </si>
  <si>
    <t>2025-511213</t>
  </si>
  <si>
    <t>2025-511304</t>
  </si>
  <si>
    <t>2025-511311</t>
  </si>
  <si>
    <t>2025-514798</t>
  </si>
  <si>
    <t>2025-515648</t>
  </si>
  <si>
    <t>2025-515678</t>
  </si>
  <si>
    <t>2025-515705</t>
  </si>
  <si>
    <t>FEM-25-7539-FEP-2025-8451-C-22548-4882</t>
  </si>
  <si>
    <t>AH-4075</t>
  </si>
  <si>
    <t>2025-576252</t>
  </si>
  <si>
    <t>AH-4068</t>
  </si>
  <si>
    <t>2025-576189</t>
  </si>
  <si>
    <t>FEM-25-7544-FEP-2025-7763-C-22548-4853</t>
  </si>
  <si>
    <t>AH-4310</t>
  </si>
  <si>
    <t>2025-590366</t>
  </si>
  <si>
    <t>2025-598875</t>
  </si>
  <si>
    <t>2025-598303</t>
  </si>
  <si>
    <t>AH-4327</t>
  </si>
  <si>
    <t>Absolute Holistic Dental Chew Milk</t>
  </si>
  <si>
    <t>2025-590473</t>
  </si>
  <si>
    <t>2025-598374</t>
  </si>
  <si>
    <t>2025-598906</t>
  </si>
  <si>
    <t>2025-602064</t>
  </si>
  <si>
    <t>2025-602236</t>
  </si>
  <si>
    <t>2025-602090</t>
  </si>
  <si>
    <t>2025-602159</t>
  </si>
  <si>
    <t>2025-602142</t>
  </si>
  <si>
    <t>2025-602250</t>
  </si>
  <si>
    <t>2025-598780</t>
  </si>
  <si>
    <t>2025-601982</t>
  </si>
  <si>
    <t>2025-598749</t>
  </si>
  <si>
    <t>2025-602018</t>
  </si>
  <si>
    <t>AH-4334-AH-2811</t>
  </si>
  <si>
    <t>2025-604718</t>
  </si>
  <si>
    <t>2025-601466</t>
  </si>
  <si>
    <t>2025-590061</t>
  </si>
  <si>
    <t>2025-589914</t>
  </si>
  <si>
    <t xml:space="preserve">أبسولوت هوليستيك ميتي لوف لحم الضأن 
</t>
  </si>
  <si>
    <t xml:space="preserve">FEM-25-8246-FEP-2025-8566-C-22548-5334
</t>
  </si>
  <si>
    <t>2025-584309</t>
  </si>
  <si>
    <t xml:space="preserve">أبسولوت هوليستيك ميتي لوف سالمون 
</t>
  </si>
  <si>
    <t xml:space="preserve">FEM-25-8245-FEP-2025-8565-C-22548-5335
</t>
  </si>
  <si>
    <t>2025-584256</t>
  </si>
  <si>
    <t>2025-589957</t>
  </si>
  <si>
    <t>2025-590039</t>
  </si>
  <si>
    <t xml:space="preserve">أبسولوت هوليستيك دجاج مفروم ولحم الضأن 
</t>
  </si>
  <si>
    <t xml:space="preserve">FEM-25-8225-FEP-2025-8537-C-22548-5384
</t>
  </si>
  <si>
    <t>2025-581189</t>
  </si>
  <si>
    <t xml:space="preserve">أبسولوت هوليستيك دجاج مفروم ولحم بقر
</t>
  </si>
  <si>
    <t xml:space="preserve">FEM-25-8226-FEP-2025-8539-C-22548-5385
</t>
  </si>
  <si>
    <t>2025-581228</t>
  </si>
  <si>
    <t>AH-3863</t>
  </si>
  <si>
    <t>2025-576341</t>
  </si>
  <si>
    <t xml:space="preserve">أبسولوت هوليستيك دجاج مفروم وسالمون 
</t>
  </si>
  <si>
    <t xml:space="preserve">FEM-25-8227-FEP-2025-8540-C-22548-5381
</t>
  </si>
  <si>
    <t>2025-581245</t>
  </si>
  <si>
    <t xml:space="preserve">أبسولوت هولستيك دجاج مفروم و الإسكالوب
</t>
  </si>
  <si>
    <t xml:space="preserve">FEM-25-8223-FEP-2025-9274-C-22548-5382
</t>
  </si>
  <si>
    <t>2025-581092</t>
  </si>
  <si>
    <t xml:space="preserve">أبسولوت هوليستيك دجاج مفروم وسمك سكيبجاك
</t>
  </si>
  <si>
    <t xml:space="preserve">FEM-25-8228-FEP-2025-8541-C-22548-5380
</t>
  </si>
  <si>
    <t>2025-581288</t>
  </si>
  <si>
    <t>AH-3870</t>
  </si>
  <si>
    <t>2025-576365</t>
  </si>
  <si>
    <t xml:space="preserve">أبسولوت هوليستيك دجاج مفروم كلاسيك 
</t>
  </si>
  <si>
    <t xml:space="preserve">FEM-25-8224-FEP-2025-8536-C-22548-5383
</t>
  </si>
  <si>
    <t>2025-581161</t>
  </si>
  <si>
    <t xml:space="preserve">أبسولوت هوليستيك تونة اللحم الأبيض والأنشوفة
</t>
  </si>
  <si>
    <t xml:space="preserve">FEM-25-8811-FEP-2025-8556-C-22548-5389
</t>
  </si>
  <si>
    <t>2025-583539</t>
  </si>
  <si>
    <t xml:space="preserve">أبسولوت هوليستيك تونة اللحم الأبيض وعصا السلطعون
</t>
  </si>
  <si>
    <t xml:space="preserve">FEM-25-8243-FEP-2025-8561-C-22548-5386
</t>
  </si>
  <si>
    <t>2025-583733</t>
  </si>
  <si>
    <t xml:space="preserve">أبسولوت هوليستيك تونة اللحم الأبيض والإسكالوب
</t>
  </si>
  <si>
    <t xml:space="preserve">FEM-25-8242-FEP-2025-9277-C-22548-5387
</t>
  </si>
  <si>
    <t>2025-583650</t>
  </si>
  <si>
    <t xml:space="preserve">أبسولوت هوليستيك تونة اللحم الأبيض وسمك الوايت بيت
</t>
  </si>
  <si>
    <t xml:space="preserve">FEM-25-8240-FEP-2025-8559-C-22548-5388
</t>
  </si>
  <si>
    <t>2025-583603</t>
  </si>
  <si>
    <t xml:space="preserve">أبسولوت هوليستيك تونة اللحم الأبيض كلاسيك
</t>
  </si>
  <si>
    <t xml:space="preserve">FEM-25-8229-FEP-2025-8542-C-22548-5379
</t>
  </si>
  <si>
    <t>2025-581328</t>
  </si>
  <si>
    <t>FEM-25-7542-FEP-2025-8449-C-22548-4881</t>
  </si>
  <si>
    <t>FEM-25-7531-FEP-2025-8450-C-22548-4883</t>
  </si>
  <si>
    <t>FEM-25-4417-FEP-2025-4423-C-22548-2995</t>
  </si>
  <si>
    <t>FEM-25-4429-FEP-2025-4433-C-22548-3000</t>
  </si>
  <si>
    <t>FEM-25-4457-FEP-2025-4467-C-22548-2842</t>
  </si>
  <si>
    <t>FEM-2024-10785-FEP-2024-81938-C-22548-1322</t>
  </si>
  <si>
    <t>FEM-25-4449-FEP-2025-4458-C-22548-2841</t>
  </si>
  <si>
    <t>FEM-2024-10791-FEP-2024-81943-C-22548-1324</t>
  </si>
  <si>
    <t>FEM-25-4452-FEP-2025-4461-C-22548-2880</t>
  </si>
  <si>
    <t>FEM-25-4453-FEP-2025-4462-C-22548-2840</t>
  </si>
  <si>
    <t>FEM-25-4455-FEP-2025-4912-C-22548-2853</t>
  </si>
  <si>
    <t>اكانا هايست بروتين وايلد بريري للكلاب</t>
  </si>
  <si>
    <t>FEM-2024-10803-FEP-2024-81954-C-22548-1333</t>
  </si>
  <si>
    <t>FEM-25-4461-FEP-2025-4472-C-22548-2843</t>
  </si>
  <si>
    <t>FEM-25-4430-FEP-2025-4436-C-22548-2992</t>
  </si>
  <si>
    <t>FEM-25-2059-FEP-2025-1997-C-22548-1401</t>
  </si>
  <si>
    <t>FEM-25-2060-FEP-2025-2000-C-22548-1400</t>
  </si>
  <si>
    <t>FEM-25-2063-FEP-2025-2002-C-22548-1399</t>
  </si>
  <si>
    <t>FEM-25-2068-FEP-2025-2007-C-22548-1616</t>
  </si>
  <si>
    <t>FEM-25-2071-FEP-2025-2009-C-22548-1438</t>
  </si>
  <si>
    <t>FEM-25-4434-FEP-2025-4439-C-22548-3001</t>
  </si>
  <si>
    <t>FEM-25-4435-FEP-2025-4441-C-22548-3002</t>
  </si>
  <si>
    <t>FEM-25-4436-FEP-2025-4442-C-22548-2854</t>
  </si>
  <si>
    <t>Alffy’s Diner Tasty Salmon 100 g</t>
  </si>
  <si>
    <t>المكون (potassium citrate) ليس من المدخلات العلفية</t>
  </si>
  <si>
    <t>FOM-2024-6779-FEB-2024-57220 -C-0041-78027</t>
  </si>
  <si>
    <t>FOM-2024-6779-FEB-2024-57219 -C-0041-78026</t>
  </si>
  <si>
    <t>FOM-2024-6779-FEB-2024-57211 -C-0041-78018</t>
  </si>
  <si>
    <t>FOM-2024-6779-FEB-2024-57210 -C-0041-78017</t>
  </si>
  <si>
    <t>FOM-2024-6779-FEB-2024-57212 -C-0041-78019</t>
  </si>
  <si>
    <t>FOM-2024-6779-FEB-2024-57223 -C-0041-78030</t>
  </si>
  <si>
    <t>FOM-2024-6779-FEB-2024-57222 -C-0041-78029</t>
  </si>
  <si>
    <t>FOM-2024-6779-FEB-2024-57224 -C-0041-78031</t>
  </si>
  <si>
    <t>FOM-2024-6779-FEB-2024-57214 -C-0041-78021</t>
  </si>
  <si>
    <t>FOM-2024-6779-FEB-2024-57213 -C-0041-78020</t>
  </si>
  <si>
    <t>FOM-2024-6779-FEB-2024-57215 -C-0041-78022</t>
  </si>
  <si>
    <t>Applaws Adult Small &amp; Medium Breed Dog Food 15 kg</t>
  </si>
  <si>
    <t>FOM-2024-1642-FEP-2024-80862-C-22548-0681</t>
  </si>
  <si>
    <t>FEM-25-3062-FEP-2025-2935-C-22548-1904</t>
  </si>
  <si>
    <t>FEM-25-3060-FEP-2025-2933-C-22548-1903</t>
  </si>
  <si>
    <t>FEM-25-3044-FEP-2025-2924-C-22548-2068</t>
  </si>
  <si>
    <t>FEM-25-3059-FEP-2025-3600-C-22548-2038</t>
  </si>
  <si>
    <t>FEM-25-3674-FEP-2025-2934-C-22548-2036</t>
  </si>
  <si>
    <t>عاد لمقدم الطلب</t>
  </si>
  <si>
    <t>FOM-2024-1642-FEP-2024-80758-C-22548-0599</t>
  </si>
  <si>
    <t>FOM-2024-6779-FEB-2024-57217 -C-0041-78024</t>
  </si>
  <si>
    <t>FOM-2024-6779-FEB-2024-57216 -C-0041-78023</t>
  </si>
  <si>
    <t>FOM-2024-6779-FEB-2024-57218 -C-0041-78025</t>
  </si>
  <si>
    <t>FOM-2024-6779-FEB-2024-57208 -C-0041-78015</t>
  </si>
  <si>
    <t>FOM-2024-6779-FEB-2024-57207 -C-0041-78014</t>
  </si>
  <si>
    <t>FOM-2024-6779-FEB-2024-57209 -C-0041-78016</t>
  </si>
  <si>
    <t>FEM-25-3198-FEP-2025-3103-C-22548-1974</t>
  </si>
  <si>
    <t>FEM-25-3200-FEP-2025-3104-C-22548-1994</t>
  </si>
  <si>
    <t>FEM-25-3192-FEP-2025-3094-C-22548-1975</t>
  </si>
  <si>
    <t>2025-598187</t>
  </si>
  <si>
    <t>2025-597868</t>
  </si>
  <si>
    <t>beaphar junior paste 100g</t>
  </si>
  <si>
    <t>بيفار جونيور بست 100جم</t>
  </si>
  <si>
    <t>Beaphar Laveta super multi-vitamin + Carnitine 50ml</t>
  </si>
  <si>
    <t>بيفار لافيتا سوبر مالتي فيتامين +كارنتين 50مل</t>
  </si>
  <si>
    <t>بيافار ملتي فيت فينكا 50مل</t>
  </si>
  <si>
    <t>beaphar Vitamin B6/B12 50ml</t>
  </si>
  <si>
    <t>بیافار فیتامین ب 6 / ب12 50مل</t>
  </si>
  <si>
    <t>Beef with Vegetables for Dogs 156 g</t>
  </si>
  <si>
    <t>2025-597709</t>
  </si>
  <si>
    <t>2025-593841</t>
  </si>
  <si>
    <t>2025-593339</t>
  </si>
  <si>
    <t>تصحيح الاخطاء الاملائية في البطاقة واعادة الصياغة لتكون مفهمومة و واضحة ### كتابة درجة حرارة التخزين رقما على البطاقة</t>
  </si>
  <si>
    <t>FOM-2024-6775-FEB-2024-41240 -C-0041-62037</t>
  </si>
  <si>
    <t>FOM-2024-6775-FEB-2024-41223 -C-0041-62020</t>
  </si>
  <si>
    <t>FOM-2024-6775-FEB-2024-41222 -C-0041-62019</t>
  </si>
  <si>
    <t>FOM-2024-6775-FEB-2024-41241 -C-0041-62038</t>
  </si>
  <si>
    <t>FOM-2024-6775-FEB-2024-41236 -C-0041-62033</t>
  </si>
  <si>
    <t>FOM-2024-6775-FEB-2024-41242 -C-0041-62039</t>
  </si>
  <si>
    <t>FOM-2024-6775-FEB-2024-41245 -C-0041-62042</t>
  </si>
  <si>
    <t>FOM-2024-6775-FEB-2024-41244 -C-0041-62041</t>
  </si>
  <si>
    <t>FOM-2024-6775-FEB-2024-41243 -C-0041-62040</t>
  </si>
  <si>
    <t>FOM-2024-5932-FEB-2024-43274 -C-0041-64071</t>
  </si>
  <si>
    <t>ارفاق بطاقة المنتج في بلد الانتاج وخطاب من الشركة من المنتجة يفيد ان المنتج ليس دواء</t>
  </si>
  <si>
    <t>CatiMalt Plus 100 ml</t>
  </si>
  <si>
    <t>2025-593791</t>
  </si>
  <si>
    <t>FEM-24-16920-FEP-2024-84354-C-22548-2566</t>
  </si>
  <si>
    <t>FEM-24-16917-FEP-2024-84355-C-22548-2565</t>
  </si>
  <si>
    <t>FEM-25-1468-FEP-2025-2154-C-22548-1252</t>
  </si>
  <si>
    <t>FEM-25-1431-FEP-2025-1444-C-22548-1040</t>
  </si>
  <si>
    <t>FEM-25-1474-FEP-2025-1468-C-22548-1049</t>
  </si>
  <si>
    <t>FEM-25-1470-FEP-2025-1462-C-22548-1048</t>
  </si>
  <si>
    <t>FEM-25-1472-FEP-2025-1466-C-22548-1265</t>
  </si>
  <si>
    <t>FEM-25-1427-FEP-2025-1442-C-22548-1036</t>
  </si>
  <si>
    <t>FEM-25-1425-FEP-2025-2155-C-22548-1251</t>
  </si>
  <si>
    <t>FEM-25-1423-FEP-2025-1437-C-22548-1037</t>
  </si>
  <si>
    <t>FEM-25-1426-FEP-2025-1441-C-22548-1038</t>
  </si>
  <si>
    <t>FOM-2024-1423-FEP-2025-3732-C-22548-2358</t>
  </si>
  <si>
    <t>FEM-25-3800-FEP-2025-3741-C-22548-2359</t>
  </si>
  <si>
    <t>FEM-25-1424-FEP-2025-1438-C-22548-1039</t>
  </si>
  <si>
    <t>FEM-25-1469-FEP-2025-1460-C-22548-1047</t>
  </si>
  <si>
    <t>FEM-25-1471-FEP-2025-2152-C-22548-1250</t>
  </si>
  <si>
    <t>Chew Drumsticks with Chicken ×7 70 g</t>
  </si>
  <si>
    <t>Chicken &amp; Rice with Pineapple 75 g</t>
  </si>
  <si>
    <t>FEM-25-1664-FEP-2025-2360-C-22548-1413</t>
  </si>
  <si>
    <t>FEM-25-2438-FEP-2025-2354-C-22548-1410</t>
  </si>
  <si>
    <t>FEM-25-2440-FEP-2025-2355-C-22548-1411</t>
  </si>
  <si>
    <t>FEM-25-2444-FEP-2025-2361-C-22548-1442</t>
  </si>
  <si>
    <t>FEM-25-1680-FEP-2025-2365-C-22548-1445</t>
  </si>
  <si>
    <t>FEM-25-2445-FEP-2025-2362-C-22548-1444</t>
  </si>
  <si>
    <t>FEM-25-1683-FEP-2025-2382-C-22548-1468</t>
  </si>
  <si>
    <t>FEM-25-1659-FEP-2025-1683-C-22548-1178</t>
  </si>
  <si>
    <t>FEM-25-1668-FEP-2025-1691-C-22548-1142</t>
  </si>
  <si>
    <t>FEM-25-7506-FEP-2025-7716-C-22548-4879</t>
  </si>
  <si>
    <t>FEM-25-7488-FEP-2025-7713-C-22548-4877</t>
  </si>
  <si>
    <t>المكون (linseed) ليس من المدخلات العلفية ,</t>
  </si>
  <si>
    <t>FEM-24-17244-FEP-2024-84332-C-22548-2651</t>
  </si>
  <si>
    <t>FEM-24-17245-FEP-2024-84333-C-22548-2649</t>
  </si>
  <si>
    <t>FEM-24-17246-FEP-2024-84334-C-22548-2647</t>
  </si>
  <si>
    <t>FEM-24-17247-FEP-2024-84335-C-22548-2646</t>
  </si>
  <si>
    <t>DEEP MINERAL</t>
  </si>
  <si>
    <t>2025-593858</t>
  </si>
  <si>
    <t>23 غ ديرماكات 0.3</t>
  </si>
  <si>
    <t>FEM-25-0848-FEP-2025-0880-C-22548-0623</t>
  </si>
  <si>
    <t>د/كالتبس</t>
  </si>
  <si>
    <t>د/كالتس للقطط</t>
  </si>
  <si>
    <t>FEM-25-3550-FEP-2025-3460-C-22548-2955</t>
  </si>
  <si>
    <t>FEM-25-3578-FEP-2025-3491-C-22548-2309</t>
  </si>
  <si>
    <t>FEM-25-3576-FEP-2025-3489-C-22548-2310</t>
  </si>
  <si>
    <t>Dr clauder Best Selection Adult No 1 85g 200g</t>
  </si>
  <si>
    <t>FEM-25-3873-FEP-2025-3833-C-22548-2207</t>
  </si>
  <si>
    <t>Dr clauder Best Selection Adult No 2 85g 200g</t>
  </si>
  <si>
    <t>FEM-25-3876-FEP-2025-3839-C-22548-2206</t>
  </si>
  <si>
    <t>FEM-25-3875-FEP-2025-3838-C-22548-2205</t>
  </si>
  <si>
    <t>FEM-25-3414-FEP-2025-3317-C-22548-2190</t>
  </si>
  <si>
    <t>FEM-25-3408-FEP-2025-3310-C-22548-2189</t>
  </si>
  <si>
    <t>FEM-25-3427-FEP-2025-3332-C-22548-2069</t>
  </si>
  <si>
    <t>FEM-25-3547-FEP-2025-3458-C-22548-2956</t>
  </si>
  <si>
    <t>FEM-25-3545-FEP-2025-3455-C-22548-2957</t>
  </si>
  <si>
    <t>FEM-25-3546-FEP-2025-3457-C-22548-4792</t>
  </si>
  <si>
    <t>FEM-25-3536-FEP-2025-3445-C-22548-2959</t>
  </si>
  <si>
    <t>FEM-25-3580-FEP-2025-3493-C-22548-2307</t>
  </si>
  <si>
    <t>FEM-25-3579-FEP-2025-3492-C-22548-2308</t>
  </si>
  <si>
    <t>FEM-25-3582-FEP-2025-3495-C-22548-2312</t>
  </si>
  <si>
    <t>FEM-25-3575-FEP-2025-3488-C-22548-2311</t>
  </si>
  <si>
    <t>FOM-2024-6257-FEB-2024-59780 -C-0041-80588</t>
  </si>
  <si>
    <t>FOM-2024-6257-FEB-2024-59790 -C-0041-80598</t>
  </si>
  <si>
    <t>FOM-2024-6257-FEB-2024-59798 -C-0041-80606</t>
  </si>
  <si>
    <t>FOM-2024-6257-FEB-2024-59794 -C-0041-80602</t>
  </si>
  <si>
    <t>FOM-2024-6257-FEB-2024-59793 -C-0041-80601</t>
  </si>
  <si>
    <t>FOM-2024-6257-FEB-2024-59792 -C-0041-80600</t>
  </si>
  <si>
    <t>FOM-2024-6257-FEB-2024-59784 -C-0041-80592</t>
  </si>
  <si>
    <t>FOM-2024-6257-FEB-2024-59779 -C-0041-80587</t>
  </si>
  <si>
    <t>FOM-2024-6257-FEB-2024-59778 -C-0041-80586</t>
  </si>
  <si>
    <t>FOM-2024-6257-FEB-2024-59781 -C-0041-80589</t>
  </si>
  <si>
    <t>FOM-2024-6257-FEB-2024-59777 -C-0041-80585</t>
  </si>
  <si>
    <t>FOM-2024-6257-FEB-2024-59791 -C-0041-80599</t>
  </si>
  <si>
    <t>FOM-2024-6257-FEB-2024-59785 -C-0041-80593</t>
  </si>
  <si>
    <t>FOM-2024-6257-FEB-2024-59799 -C-0041-80607</t>
  </si>
  <si>
    <t>FOM-2024-6257-FEB-2024-59796 -C-0041-80604</t>
  </si>
  <si>
    <t>FOM-2024-6257-FEB-2024-59795 -C-0041-80603</t>
  </si>
  <si>
    <t>FOM-2024-6257-FEB-2024-59797 -C-0041-80605</t>
  </si>
  <si>
    <t>FEM-25-0847-FEP-2025-0879-C-22548-0621</t>
  </si>
  <si>
    <t>FEM-25-1086-FEP-2025-1113-C-22548-0815</t>
  </si>
  <si>
    <t>FEM-25-1089-FEP-2025-1116-C-22548-0818</t>
  </si>
  <si>
    <t>FEM-25-3204-FEP-2025-3107-C-22548-1993</t>
  </si>
  <si>
    <t>FEM-25-1087-FEP-2025-1114-C-22548-0814</t>
  </si>
  <si>
    <t>FEM-25-1088-FEP-2025-1115-C-22548-0813</t>
  </si>
  <si>
    <t>FEM-25-3205-FEP-2025-3601-C-22548-2035</t>
  </si>
  <si>
    <t>2025-597775</t>
  </si>
  <si>
    <t>MAFE2023598</t>
  </si>
  <si>
    <t>FEM-25-4775-FEP-2025-4730-C-22548-3086</t>
  </si>
  <si>
    <t>FEM-25-4782-FEP-2025-4734-C-22548-3082</t>
  </si>
  <si>
    <t>FEM-25-4793-FEP-2025-4740-C-22548-3084</t>
  </si>
  <si>
    <t>FEM-25-4811-FEP-2025-4742-C-22548-3083</t>
  </si>
  <si>
    <t>FEM-25-4835-FEP-2025-4750-C-22548-3085</t>
  </si>
  <si>
    <t>FEM-25-4837-FEP-2025-4752-C-22548-3087</t>
  </si>
  <si>
    <t>FEM-25-4839-FEP-2025-4754-C-22548-3088</t>
  </si>
  <si>
    <t>FEM-25-4841-FEP-2025-4756-C-22548-3089</t>
  </si>
  <si>
    <t>FEM-25-4840-FEP-2025-4755-C-22548-3763</t>
  </si>
  <si>
    <t>FEM-25-4842-FEP-2025-4757-C-22548-3090</t>
  </si>
  <si>
    <t>FEM-25-4843-FEP-2025-4758-C-22548-3776</t>
  </si>
  <si>
    <t>FEM-25-4844-FEP-2025-4759-C-22548-3081</t>
  </si>
  <si>
    <t>FEM-25-6196-FEP-2025-6196-C-22548-4022</t>
  </si>
  <si>
    <t>FEM-25-6193-FEP-2025-6191-C-22548-4025</t>
  </si>
  <si>
    <t>FEM-25-6197-FEP-2025-6197-C-22548-4023</t>
  </si>
  <si>
    <t>FEM-25-6198-FEP-2025-6198-C-22548-4024</t>
  </si>
  <si>
    <t>FEM-25-6195-FEP-2025-6194-C-22548-4021</t>
  </si>
  <si>
    <t>FEM-25-6194-FEP-2025-6193-C-22548-4020</t>
  </si>
  <si>
    <t>يجب ارفاق شهادة حرية بيع صادرة من الجهة الرقابية في بلد الانتاج مؤرخة ومختومة</t>
  </si>
  <si>
    <t>FEM-25-1660-FEP-2025-2359-C-22548-1412</t>
  </si>
  <si>
    <t>FEM-25-3728-FEP-2025-3681-C-22548-2611</t>
  </si>
  <si>
    <t>FEM-25-3731-FEP-2025-3684-C-22548-2609</t>
  </si>
  <si>
    <t>FEM-25-3729-FEP-2025-3682-C-22548-2610</t>
  </si>
  <si>
    <t>FEM-25-2443-FEP-2025-2358-C-22548-1930</t>
  </si>
  <si>
    <t>FEM-25-1686-FEP-2025-1710-C-22548-1164</t>
  </si>
  <si>
    <t>FEM-25-0459-FEP-2025-0440-C-22548-0373</t>
  </si>
  <si>
    <t>ناتشرال كود التونة والجمبري</t>
  </si>
  <si>
    <t>FEM-25-0458-FEP-2025-0442-C-22548-0374</t>
  </si>
  <si>
    <t>2025-20143</t>
  </si>
  <si>
    <t>FEM-25-1964-FEP-2025-1949-C-22548-1361</t>
  </si>
  <si>
    <t>ناتشرال كود تونة مع التوت الازرق والارز البني</t>
  </si>
  <si>
    <t>FEM-25-1965-FEP-2025-1950-C-22548-1362</t>
  </si>
  <si>
    <t>2025-86656</t>
  </si>
  <si>
    <t>FEM-2024-10143-FEP-2024-81476-C-22548-1087</t>
  </si>
  <si>
    <t>FOM-2024-5403-FEB-2024-49847 -C-0041-70644</t>
  </si>
  <si>
    <t>FOM-2024-6220-FEB-2024-58709 -C-0041-79517</t>
  </si>
  <si>
    <t>FOM-2024-6220-FEB-2024-58712 -C-0041-79520</t>
  </si>
  <si>
    <t>Forza Active VetDiet Dermo Dog - Can - gr 390</t>
  </si>
  <si>
    <t>أكتيوِت ديرمو للكلاب</t>
  </si>
  <si>
    <t xml:space="preserve">FEM-25-7277-FEP-2025-7528-C-22548-5350
</t>
  </si>
  <si>
    <t>Forza Active VetDiet Hypoallergenic Dog Fish - multipack 12 pouch x 100gr / HYPOALLERGENIC Actiwet DOG (Fish) - multipack 12 pouch</t>
  </si>
  <si>
    <t>FEM-25-7166-FEP-2025-7417-C-22548-4718</t>
  </si>
  <si>
    <t>Forza Active VetDiet Hypoallergenic Dog Lamb - multipack 12 pouch x 100gr / HYPOALLERGENIC Actiwet DOG (Lamb) - multipack 12 pouch</t>
  </si>
  <si>
    <t>FEM-25-7167-FEP-2025-7418-C-22548-4719</t>
  </si>
  <si>
    <t>Forza Active VetDiet Intestinal Colon Dog Fish - Can - gr 390 / INTESTINAL COLON DOG (Fish)</t>
  </si>
  <si>
    <t>FEM-25-7169-FEP-2025-7423-C-22548-4720</t>
  </si>
  <si>
    <t>Forza Active VetDiet Intestinal Dog - Can - gr 390</t>
  </si>
  <si>
    <t xml:space="preserve">أكتيوِت للكلاب لدعم الجهاز الهضمي
</t>
  </si>
  <si>
    <t xml:space="preserve">FEM-25-7276-FEP-2025-7527-C-22548-5351
</t>
  </si>
  <si>
    <t>Forza Active VetDiet Renal Dog - Can - gr 390 / RENAL Actiwet DOG (Lamb)</t>
  </si>
  <si>
    <t>FEM-25-7170-FEP-2025-7425-C-22548-4721</t>
  </si>
  <si>
    <t>Forza INTESTINAL Actiwet DOG - multipack 12 pouch / Active VetDiet Intestinal Dog - multipack 12 pouch x 100gr</t>
  </si>
  <si>
    <t>FEM-25-7160-FEP-2025-7411-C-22548-4717</t>
  </si>
  <si>
    <t>FOM-2024-5415-FEB-2024-59171 -C-0041-79979</t>
  </si>
  <si>
    <t>FOM-2024-5415-FEB-2024-59176 -C-0041-79984</t>
  </si>
  <si>
    <t>FOM-2024-5415-FEB-2024-59169 -C-0041-79977</t>
  </si>
  <si>
    <t>FOM-2024-5415-FEB-2024-59168 -C-0041-79976</t>
  </si>
  <si>
    <t>فورزا 10 مونودايت للقطط بالسمك 1.5 كغ</t>
  </si>
  <si>
    <t>FOM-2024-5415-FEB-2024-59177 -C-0041-79985</t>
  </si>
  <si>
    <t>FOM-2024-5415-FEB-2024-59170 -C-0041-79978</t>
  </si>
  <si>
    <t>FORZA10 Maintenance Cat ADULT Duck 1 KG</t>
  </si>
  <si>
    <t>FOM-2024-5415-FEB-2024-59149 -C-0041-79957</t>
  </si>
  <si>
    <t>FOM-2024-5415-FEB-2024-59150 -C-0041-79958</t>
  </si>
  <si>
    <t>FOM-2024-5415-FEB-2024-59145 -C-0041-79953</t>
  </si>
  <si>
    <t>FOM-2024-5415-FEB-2024-59146 -C-0041-79954</t>
  </si>
  <si>
    <t>FOM-2024-5415-FEB-2024-59147 -C-0041-79955</t>
  </si>
  <si>
    <t>FOM-2024-5415-FEB-2024-59148 -C-0041-79956</t>
  </si>
  <si>
    <t>FOM-2024-5415-FEB-2024-59161 -C-0041-79969</t>
  </si>
  <si>
    <t>FOM-2024-5415-FEB-2024-59164 -C-0041-79972</t>
  </si>
  <si>
    <t>FOM-2024-5415-FEB-2024-59167 -C-0041-79975</t>
  </si>
  <si>
    <t>FOM-2024-5415-FEB-2024-59160 -C-0041-79968</t>
  </si>
  <si>
    <t>FOM-2024-5415-FEB-2024-59159 -C-0041-79967</t>
  </si>
  <si>
    <t>FOM-2024-5415-FEB-2024-59163 -C-0041-79971</t>
  </si>
  <si>
    <t>FOM-2024-5415-FEB-2024-59162 -C-0041-79970</t>
  </si>
  <si>
    <t>FOM-2024-5415-FEB-2024-59166 -C-0041-79974</t>
  </si>
  <si>
    <t>FOM-2024-5415-FEB-2024-59157 -C-0041-79965</t>
  </si>
  <si>
    <t>FOM-2024-5415-FEB-2024-59158 -C-0041-79966</t>
  </si>
  <si>
    <t>FOM-2024-5415-FEB-2024-59165 -C-0041-79973</t>
  </si>
  <si>
    <t>فورزا 10 مونودايت للجراء بالسمك 1.5 كغ</t>
  </si>
  <si>
    <t>FOM-2024-5415-FEB-2024-59178 -C-0041-79986</t>
  </si>
  <si>
    <t>Garden Bites dental Sticks L 3.60KG</t>
  </si>
  <si>
    <t>جاردن بايتس دنتال ستيكس كبير 3.6كج</t>
  </si>
  <si>
    <t>Garden Bites dental Sticks L 420G</t>
  </si>
  <si>
    <t>جاردن بايتس دنتال ستيكس كبير 420ج</t>
  </si>
  <si>
    <t>Garden Bites dental Sticks S 3.24KG</t>
  </si>
  <si>
    <t>جاردن بايتس دنتال ستيكس صغير 3.24 كج</t>
  </si>
  <si>
    <t>FEM-25-2519-FEP-2025-2414-C-22548-1610</t>
  </si>
  <si>
    <t>Garden Bites Fruity dental Swirls L 270g</t>
  </si>
  <si>
    <t>جاردن بايتس فروتي دينتال سويرلز كبير 270ج</t>
  </si>
  <si>
    <t>Garden Bites Fruity dental Swirls S230g</t>
  </si>
  <si>
    <t>جاردن بايتس دينتال سويرلز صغير 230ج</t>
  </si>
  <si>
    <t>Garden Bites Fruity friends L 1.62kg</t>
  </si>
  <si>
    <t>جاردن بايتس فروتي فريندز كبير 1.62كج</t>
  </si>
  <si>
    <t>Garden Bites Fruity friends L 270g</t>
  </si>
  <si>
    <t>جاردن بايتس فروتي فريندز كبير 270ج</t>
  </si>
  <si>
    <t>Garden Bites Fruity friends S 2.7kg</t>
  </si>
  <si>
    <t>جاردن بايتس فروتي فريندز صغير 2.7كج</t>
  </si>
  <si>
    <t>Garden Bites Fruity friends S 270g</t>
  </si>
  <si>
    <t>جاردن بايتس فروتي فريندز صغير 270ج</t>
  </si>
  <si>
    <t>جاردن بايتس فروتي تونيا توثبيست كبير 270ج</t>
  </si>
  <si>
    <t>Garden Bites Fruity Tonya toothpaste S 270g</t>
  </si>
  <si>
    <t>جاردن بايتس فروتي تونيا توثبيست صغير 270ج</t>
  </si>
  <si>
    <t>Garden Bites toby toothbrush L500g</t>
  </si>
  <si>
    <t>جاردن بايتس توبي توثبرش كبير 500ج</t>
  </si>
  <si>
    <t>Garden Bites toby toothbrush S 500g</t>
  </si>
  <si>
    <t>جاردن بايتس توبي توثبرش صغير 500ج</t>
  </si>
  <si>
    <t>FEM-25-2426-FEP-2025-2339-C-22548-1573</t>
  </si>
  <si>
    <t>FEM-25-2425-FEP-2025-3076-C-22548-1734</t>
  </si>
  <si>
    <t>FEM-25-2427-FEP-2025-2340-C-22548-1572</t>
  </si>
  <si>
    <t>FEM-25-2431-FEP-2025-2344-C-22548-1576</t>
  </si>
  <si>
    <t>FEM-25-2430-FEP-2025-2347-C-22548-1577</t>
  </si>
  <si>
    <t>FEM-25-2421-FEP-2025-2337-C-22548-1574</t>
  </si>
  <si>
    <t>FEM-25-2429-FEP-2025-2342-C-22548-1575</t>
  </si>
  <si>
    <t>FEM-25-2419-FEP-2025-3077-C-22548-1733</t>
  </si>
  <si>
    <t>Garden Bites Veggie Friends L 270g</t>
  </si>
  <si>
    <t>جاردن بايتس فيجي فريندز كبير 270 ج</t>
  </si>
  <si>
    <t>Garden Bites Veggie Friends S 270g</t>
  </si>
  <si>
    <t>جاردن بايتس فيجي فريندز صغير 270ج</t>
  </si>
  <si>
    <t>Healthy Bites Hairball Remedy for Kittens &amp; Adult Cats 65 g</t>
  </si>
  <si>
    <t>Immune Cat Paste 100Ml</t>
  </si>
  <si>
    <t>FOM-2024-6230-FEB-2024-59715 -C-0041-80523</t>
  </si>
  <si>
    <t>P-1-N-100624-3551</t>
  </si>
  <si>
    <t>Indigo Moon Mackerel &amp; Tuna Recipe in Gravy 85g</t>
  </si>
  <si>
    <t>FOM-2024-6230-FEB-2024-59716 -C-0041-80524</t>
  </si>
  <si>
    <t>P-1-N-100624-3552</t>
  </si>
  <si>
    <t>إنديجو مون دجاج مع زيت جوز الهند باتيه 85 جم</t>
  </si>
  <si>
    <t>FOM-2024-6220-FEB-2024-58713 -C-0041-79521</t>
  </si>
  <si>
    <t>FOM-2024-6220-FEB-2024-58708 -C-0041-79516</t>
  </si>
  <si>
    <t>FOM-2024-6220-FEB-2024-58710 -C-0041-79518</t>
  </si>
  <si>
    <t>FOM-2024-6230-FEB-2024-59714 -C-0041-80522</t>
  </si>
  <si>
    <t>P-1-N-100624-3550</t>
  </si>
  <si>
    <t>FOM-2024-6220-FEB-2024-58711 -C-0041-79519</t>
  </si>
  <si>
    <t>FOM-2024-6230-FEB-2024-59713 -C-0041-80521</t>
  </si>
  <si>
    <t>P-1-N-100624-3549</t>
  </si>
  <si>
    <t>FEM-25-6638-FEP-2025-6780-C-22548-4343</t>
  </si>
  <si>
    <t>FEM-25-6748-FEP-2025-6914-C-22548-4420</t>
  </si>
  <si>
    <t>FEM-25-6771-FEP-2025-6942-C-22548-4445</t>
  </si>
  <si>
    <t>FEM-25-6777-FEP-2025-6945-C-22548-4435</t>
  </si>
  <si>
    <t>Instinct LID Wet (Cat) Rabbit - 3 oz. Cans</t>
  </si>
  <si>
    <t>FEM-25-7691-FEP-2025-7955-C-22548-4994</t>
  </si>
  <si>
    <t>2025-533573</t>
  </si>
  <si>
    <t xml:space="preserve">إنستينكت إل آي دي ويت ارنب 
</t>
  </si>
  <si>
    <t xml:space="preserve">FEM-25-7691-FEP-2025-7955-C-22548-4994
</t>
  </si>
  <si>
    <t>FEM-25-6810-FEP-2025-8102-C-22548-4619</t>
  </si>
  <si>
    <t>FEM-25-6847-FEP-2025-8063-C-22548-4593</t>
  </si>
  <si>
    <t>FEM-25-6851-FEP-2025-8104-C-22548-4620</t>
  </si>
  <si>
    <t>FEM-25-6855-FEP-2025-8064-C-22548-4594</t>
  </si>
  <si>
    <t>FEM-25-6856-FEP-2025-8065-C-22548-4595</t>
  </si>
  <si>
    <t>FEM-25-6860-FEP-2025-8066-C-22548-4596</t>
  </si>
  <si>
    <t>FEM-25-6876-FEP-2025-8073-C-22548-4598</t>
  </si>
  <si>
    <t>FEM-25-6888-FEP-2025-8083-C-22548-4587</t>
  </si>
  <si>
    <t>FEM-25-6891-FEP-2025-8067-C-22548-4597</t>
  </si>
  <si>
    <t>FEM-25-6895-FEP-2025-8082-C-22548-4588</t>
  </si>
  <si>
    <t>FEM-25-6916-FEP-2025-8079-C-22548-4591</t>
  </si>
  <si>
    <t>FEM-25-6920-FEP-2025-8061-C-22548-4586</t>
  </si>
  <si>
    <t>FEM-25-6922-FEP-2025-8080-C-22548-4589</t>
  </si>
  <si>
    <t>FEM-25-6925-FEP-2025-8074-C-22548-4599</t>
  </si>
  <si>
    <t>FEM-25-8208-FEP-2025-7814-C-22548-4908</t>
  </si>
  <si>
    <t>2025-514642</t>
  </si>
  <si>
    <t>FEM-25-8157-FEP-2025-7818-C-22548-4910</t>
  </si>
  <si>
    <t>2025-514647</t>
  </si>
  <si>
    <t>FEM-25-7915-FEP-2025-8180-C-22548-4706</t>
  </si>
  <si>
    <t>FEM-25-6635-FEP-2025-7952-C-22548-4993</t>
  </si>
  <si>
    <t>2025-533509</t>
  </si>
  <si>
    <t>FEM-25-7535-FEP-2025-7935-C-22548-4852</t>
  </si>
  <si>
    <t>2025-514651</t>
  </si>
  <si>
    <t>FEM-25-7688-FEP-2025-7948-C-22548-4992</t>
  </si>
  <si>
    <t>2025-533189</t>
  </si>
  <si>
    <t>Instinct Raw Inspired Kibble (Cat) Chicken - 5 lb.</t>
  </si>
  <si>
    <t>FEM-25-8296-FEP-2025-7945-C-22548-5004</t>
  </si>
  <si>
    <t>2025-533174</t>
  </si>
  <si>
    <t>FEM-25-7681-FEP-2025-7937-C-22548-4850</t>
  </si>
  <si>
    <t>2025-514649</t>
  </si>
  <si>
    <t>FEM-25-8156-FEP-2025-7939-C-22548-4875</t>
  </si>
  <si>
    <t>2025-514648</t>
  </si>
  <si>
    <t>FEM-25-7684-FEP-2025-7941-C-22548-4989</t>
  </si>
  <si>
    <t>2025-533083</t>
  </si>
  <si>
    <t>FEM-25-8207-FEP-2025-7817-C-22548-4909</t>
  </si>
  <si>
    <t>2025-514644</t>
  </si>
  <si>
    <t>FEM-25-6928-FEP-2025-8076-C-22548-4600</t>
  </si>
  <si>
    <t>FEM-25-6930-FEP-2025-8078-C-22548-4590</t>
  </si>
  <si>
    <t>FEM-25-7693-FEP-2025-7957-C-22548-4995</t>
  </si>
  <si>
    <t>2025-533780</t>
  </si>
  <si>
    <t>FEM-25-6932-FEP-2025-8062-C-22548-4592</t>
  </si>
  <si>
    <t>FEM-25-7293-FEP-2025-7542-C-22548-4761</t>
  </si>
  <si>
    <t>2025-495187</t>
  </si>
  <si>
    <t>FEM-25-7294-FEP-2025-7543-C-22548-4759</t>
  </si>
  <si>
    <t>2025-495186</t>
  </si>
  <si>
    <t>FEM-25-7295-FEP-2025-7544-C-22548-4760</t>
  </si>
  <si>
    <t>2025-495184</t>
  </si>
  <si>
    <t>FEM-25-7296-FEP-2025-7545-C-22548-4752</t>
  </si>
  <si>
    <t>2025-495183</t>
  </si>
  <si>
    <t>Instinct Wet Flaked (Cat) Variety Pack - 3 oz. Cans</t>
  </si>
  <si>
    <t>FEM-25-7297-FEP-2025-7546-C-22548-4772</t>
  </si>
  <si>
    <t>2025-495182</t>
  </si>
  <si>
    <t>FEM-25-7424-FEP-2025-7673-C-22548-4753</t>
  </si>
  <si>
    <t>2025-495181</t>
  </si>
  <si>
    <t>FEM-25-7425-FEP-2025-7675-C-22548-4754</t>
  </si>
  <si>
    <t>2025-495180</t>
  </si>
  <si>
    <t>FEM-25-7426-FEP-2025-7676-C-22548-4755</t>
  </si>
  <si>
    <t>2025-495178</t>
  </si>
  <si>
    <t>FEM-25-7427-FEP-2025-7677-C-22548-4756</t>
  </si>
  <si>
    <t>2025-495177</t>
  </si>
  <si>
    <t>FEM-25-7428-FEP-2025-7678-C-22548-4757</t>
  </si>
  <si>
    <t>2025-495176</t>
  </si>
  <si>
    <t>FEM-25-7429-FEP-2025-7679-C-22548-4758</t>
  </si>
  <si>
    <t>2025-495175</t>
  </si>
  <si>
    <t>FEM-25-7430-FEP-2025-7680-C-22548-4751</t>
  </si>
  <si>
    <t>2025-495174</t>
  </si>
  <si>
    <t>Instinct Wet Original (Cat) Chicken - CHINA - 3 oz. Cans</t>
  </si>
  <si>
    <t>FEM-25-7445-FEP-2025-7686-C-22548-4872</t>
  </si>
  <si>
    <t>2025-509063</t>
  </si>
  <si>
    <t>Instinct Wet Original (Cat) Chicken - CHINA - 5.5 oz. Cans</t>
  </si>
  <si>
    <t>FEM-25-7444-FEP-2025-7687-C-22548-4873</t>
  </si>
  <si>
    <t>2025-509065</t>
  </si>
  <si>
    <t>FEM-25-7436-FEP-2025-7949-C-22548-4851</t>
  </si>
  <si>
    <t>2025-508405</t>
  </si>
  <si>
    <t>FEM-25-7438-FEP-2025-7950-C-22548-4848</t>
  </si>
  <si>
    <t>2025-508404</t>
  </si>
  <si>
    <t>FEM-25-7435-FEP-2025-8331-C-22548-4846</t>
  </si>
  <si>
    <t>2025-508403</t>
  </si>
  <si>
    <t>FEM-25-7443-FEP-2025-7688-C-22548-4874</t>
  </si>
  <si>
    <t>2025-509067</t>
  </si>
  <si>
    <t>FEM-25-7434-FEP-2025-7951-C-22548-4847</t>
  </si>
  <si>
    <t>2025-508402</t>
  </si>
  <si>
    <t>INTESTINAL Mini/Toy 1 ,5kg</t>
  </si>
  <si>
    <t>FEM-25-0849-FEP-2025-0881-C-22548-0622</t>
  </si>
  <si>
    <t>FEM-25-4462-FEP-2025-4474-C-22548-3003</t>
  </si>
  <si>
    <t>تعليق الموظف: المكون(yeast)ذكر نوع الخميرة مع الرقم المرجعي لها حسب اللوائح والمواصفات الخاصة بالاعلاف.## المكون( extracted linseed)نامل تزويدنا بالملف العلمي والرقم المرجعي حسب اللوائح والمواصفات الخاصة بالاعلاف</t>
  </si>
  <si>
    <t>تعليق الموظف: المكونات( products from
 processing fruits (apple, grape))،(locust bean meal)،( magnesium fumarate)نامل تزويدنا بالملف العلمي والرقم المرجعي حسب اللوائح والمواصفات الخاصة بالاعلاف</t>
  </si>
  <si>
    <t>FEM-24-16900-FEP-2024-84059-C-22548-2558</t>
  </si>
  <si>
    <t>FEM-24-17046-FEP-2024-84169-C-22548-2567</t>
  </si>
  <si>
    <t>FEM-24-17047-FEP-2024-84170-C-22548-2582</t>
  </si>
  <si>
    <t>Josera Meat Bars Turkey 40g</t>
  </si>
  <si>
    <t>FEM-24-17049-FEP-2024-84171-C-22548-2581</t>
  </si>
  <si>
    <t>FEM-24-17054-FEP-2024-84176-C-22548-2577</t>
  </si>
  <si>
    <t>FEM-24-17055-FEP-2024-84177-C-22548-2576</t>
  </si>
  <si>
    <t>FEM-24-17056-FEP-2024-84179-C-22548-2573</t>
  </si>
  <si>
    <t>FEM-24-17050-FEP-2024-84172-C-22548-2580</t>
  </si>
  <si>
    <t>FEM-24-17052-FEP-2024-84173-C-22548-2579</t>
  </si>
  <si>
    <t>FEM-24-17053-FEP-2024-84174-C-22548-2578</t>
  </si>
  <si>
    <t>FEM-24-17057-FEP-2024-84180-C-22548-2572</t>
  </si>
  <si>
    <t>FEM-24-17058-FEP-2024-84181-C-22548-2569</t>
  </si>
  <si>
    <t>FEM-24-17059-FEP-2024-84184-C-22548-2571</t>
  </si>
  <si>
    <t>جوسي كات لحم بالجيلي 400ج</t>
  </si>
  <si>
    <t>جوسي كات دجاج بالجيلي 400ج</t>
  </si>
  <si>
    <t>FEM-24-17011-FEP-2024-84115-C-22548-2549</t>
  </si>
  <si>
    <t>FEM-24-17012-FEP-2024-84117-C-22548-2548</t>
  </si>
  <si>
    <t>FEM-24-17013-FEP-2024-84118-C-22548-2544</t>
  </si>
  <si>
    <t>2024-360508</t>
  </si>
  <si>
    <t>جوسي دوج اجيلو سبورت</t>
  </si>
  <si>
    <t>FOM-2024-6397-FEB-2024-49516 -C-0041-70313</t>
  </si>
  <si>
    <t>2024-360318</t>
  </si>
  <si>
    <t>FEM-24-17014-FEP-2024-84119-C-22548-2545</t>
  </si>
  <si>
    <t>FEM-24-17017-FEP-2024-84123-C-22548-2540</t>
  </si>
  <si>
    <t>FEM-24-17015-FEP-2024-84356-C-22548-2611</t>
  </si>
  <si>
    <t>FEM-25-1954-FEP-2025-1930-C-22548-1475</t>
  </si>
  <si>
    <t>FEM-25-1917-FEP-2025-1893-C-22548-1302</t>
  </si>
  <si>
    <t>FEM-24-17209-FEP-2024-84304-C-22548-2654</t>
  </si>
  <si>
    <t>FEM-24-16261-FEP-2024-83588-C-22548-2243</t>
  </si>
  <si>
    <t>ITEM NAME IN FSC NOT MATCHING</t>
  </si>
  <si>
    <t>FEM-24-16262-FEP-2024-83589-C-22548-0040</t>
  </si>
  <si>
    <t>FEM-24-16264-FEP-2024-83591-C-22548-0039</t>
  </si>
  <si>
    <t>FEM-25-4258-FEP-2025-4240-C-22548-2983</t>
  </si>
  <si>
    <t>FEM-25-4263-FEP-2025-4245-C-22548-3004</t>
  </si>
  <si>
    <t>FEM-25-4260-FEP-2025-4243-C-22548-2984</t>
  </si>
  <si>
    <t>FEM-25-4261-FEP-2025-4244-C-22548-2994</t>
  </si>
  <si>
    <t>FEM-25-4255-FEP-2025-4237-C-22548-2732</t>
  </si>
  <si>
    <t>FEM-25-4257-FEP-2025-4239-C-22548-2855</t>
  </si>
  <si>
    <t>FEM-25-4264-FEP-2025-4246-C-22548-2886</t>
  </si>
  <si>
    <t xml:space="preserve">FEM-25-8217-FEP-2025-8525-C-22548-5332
</t>
  </si>
  <si>
    <t>2025-580226</t>
  </si>
  <si>
    <t xml:space="preserve">FEM-25-8218-FEP-2025-8529-C-22548-5333
</t>
  </si>
  <si>
    <t>2025-580270</t>
  </si>
  <si>
    <t>FEM-25-4267-FEP-2025-4250-C-22548-2852</t>
  </si>
  <si>
    <t>FEM-24-16265-FEP-2024-83593-C-22548-2241</t>
  </si>
  <si>
    <t>Kit Cat Milk for Cats 250 ml</t>
  </si>
  <si>
    <t>Kit Cat Peak of the Ocean 5 kg</t>
  </si>
  <si>
    <t>FEM-25-1936-FEP-2025-1910-C-22548-1308</t>
  </si>
  <si>
    <t>FEM-25-1934-FEP-2025-1907-C-22548-1309</t>
  </si>
  <si>
    <t>FEM-25-1932-FEP-2025-1906-C-22548-1313</t>
  </si>
  <si>
    <t>FEM-25-1926-FEP-2025-1902-C-22548-1318</t>
  </si>
  <si>
    <t>FEM-25-1923-FEP-2025-1899-C-22548-1322</t>
  </si>
  <si>
    <t>FEM-25-1925-FEP-2025-1901-C-22548-1321</t>
  </si>
  <si>
    <t>FEM-25-1941-FEP-2025-1916-C-22548-1304</t>
  </si>
  <si>
    <t>FEM-25-1939-FEP-2025-1914-C-22548-1310</t>
  </si>
  <si>
    <t>FEM-25-1940-FEP-2025-1915-C-22548-1305</t>
  </si>
  <si>
    <t>FEM-25-1938-FEP-2025-1912-C-22548-1307</t>
  </si>
  <si>
    <t>FEM-25-1918-FEP-2025-1894-C-22548-1335</t>
  </si>
  <si>
    <t>FEM-25-1935-FEP-2025-1908-C-22548-1306</t>
  </si>
  <si>
    <t>FEM-25-1929-FEP-2025-1904-C-22548-1315</t>
  </si>
  <si>
    <t>FEM-25-1930-FEP-2025-1905-C-22548-1314</t>
  </si>
  <si>
    <t>FEM-25-1937-FEP-2025-1911-C-22548-1337</t>
  </si>
  <si>
    <t>FEM-25-1921-FEP-2025-1897-C-22548-1334</t>
  </si>
  <si>
    <t>FEM-25-1927-FEP-2025-1903-C-22548-1319</t>
  </si>
  <si>
    <t>FEM-25-1915-FEP-2025-1888-C-22548-1303</t>
  </si>
  <si>
    <t>FEM-25-1912-FEP-2025-1886-C-22548-1336</t>
  </si>
  <si>
    <t>FOM-2024-6397-FEB-2024-49543 -C-0041-70340</t>
  </si>
  <si>
    <t>Marinis 60g</t>
  </si>
  <si>
    <t>2025-86662</t>
  </si>
  <si>
    <t>NATURAL CODE BEEF AND VEGETABLES</t>
  </si>
  <si>
    <t>ناتشرال كود - لحم البقر و الخضراوات</t>
  </si>
  <si>
    <t>FEM-25-0344-FEP-2025-0405-C-22548-0335</t>
  </si>
  <si>
    <t>2025-16485</t>
  </si>
  <si>
    <t>NATURAL CODE CHICKEN</t>
  </si>
  <si>
    <t>ناتشرال كود دجاج</t>
  </si>
  <si>
    <t>FEM-25-0660-FEP-2025-0685-C-22548-0499</t>
  </si>
  <si>
    <t>2025-25784</t>
  </si>
  <si>
    <t>ناتشرال كود دجاج وهليون</t>
  </si>
  <si>
    <t>FEM-25-0347-FEP-2025-0444-C-22548-0336</t>
  </si>
  <si>
    <t>2025-16494</t>
  </si>
  <si>
    <t>Natural Code Chicken and Salmon</t>
  </si>
  <si>
    <t>ناتشرال كود الدجاج والسالمون</t>
  </si>
  <si>
    <t>NATURAL CODE CHICKEN AND SALMON</t>
  </si>
  <si>
    <t>FEM-25-0659-FEP-2025-0682-C-22548-0498</t>
  </si>
  <si>
    <t>2025-25783</t>
  </si>
  <si>
    <t>NATURAL CODE CHICKEN AND SARDINES IN JELLY</t>
  </si>
  <si>
    <t>ناتشرال كود الدجاج والسردين في الجيلي</t>
  </si>
  <si>
    <t>FEM-25-0627-FEP-2025-0645-C-22548-0527</t>
  </si>
  <si>
    <t>2025-25269</t>
  </si>
  <si>
    <t>NATURAL CODE CHICKEN AND TURKEY IN JELLY</t>
  </si>
  <si>
    <t>ناتشرال كود الدجاج والديك الرومي في الجيلي</t>
  </si>
  <si>
    <t>FEM-25-0625-FEP-2025-0648-C-22548-0750</t>
  </si>
  <si>
    <t>2025-25262</t>
  </si>
  <si>
    <t>ناتشرال كود الدجاج والخضروات</t>
  </si>
  <si>
    <t>2025-20146</t>
  </si>
  <si>
    <t>Natural Code Chicken and vegetables</t>
  </si>
  <si>
    <t>FOM-2024-0466-FEP-2024-81100-C-22548-0754</t>
  </si>
  <si>
    <t>Natural Code chicken fillets</t>
  </si>
  <si>
    <t>ناتشرال كود فيليه الدجاج</t>
  </si>
  <si>
    <t>NATURAL CODE CHICKEN FILLETS</t>
  </si>
  <si>
    <t>FEM-25-0657-FEP-2025-0680-C-22548-0494</t>
  </si>
  <si>
    <t>2025-25778</t>
  </si>
  <si>
    <t>NATURAL CODE CHICKEN FOR KIT TEN</t>
  </si>
  <si>
    <t>ناتشرال كود دجاج كتن</t>
  </si>
  <si>
    <t>FEM-25-0805-FEP-2025-0820-C-22548-0633</t>
  </si>
  <si>
    <t>2025-31522</t>
  </si>
  <si>
    <t>ناتشرال كود دجاج بطاطس وضأن</t>
  </si>
  <si>
    <t>FEM-25-0318-FEP-2025-0351-C-22548-0325</t>
  </si>
  <si>
    <t>2025-15574</t>
  </si>
  <si>
    <t>ناتشرال كود الدجاج واللحم البقري</t>
  </si>
  <si>
    <t>FEM-25-0316-FEP-2025-0349-C-22548-0322</t>
  </si>
  <si>
    <t>2025-15571</t>
  </si>
  <si>
    <t>NATURAL CODE CHICKEN WITH BEEF AND VEGETABLES</t>
  </si>
  <si>
    <t>ناتشرال كود دجاج لحم بقري وخضار</t>
  </si>
  <si>
    <t>FEM-25-0319-FEP-2025-0352-C-22548-0326</t>
  </si>
  <si>
    <t>2025-15576</t>
  </si>
  <si>
    <t>Natural Code Chicken with Shrimps</t>
  </si>
  <si>
    <t>ناتشرال كود الدجاج والجمبري</t>
  </si>
  <si>
    <t>NATURAL CODE CHICKEN WITH SHRIMPS</t>
  </si>
  <si>
    <t>FEM-25-0658-FEP-2025-0681-C-22548-0497</t>
  </si>
  <si>
    <t>2025-25781</t>
  </si>
  <si>
    <t>Natural Code Chicken with Tuna</t>
  </si>
  <si>
    <t>ناتشرال كود الدجاج والتونا</t>
  </si>
  <si>
    <t>NATURAL CODE CHICKEN WITH TUNA</t>
  </si>
  <si>
    <t>FEM-25-0315-FEP-2025-0348-C-22548-0321</t>
  </si>
  <si>
    <t>2025-15567</t>
  </si>
  <si>
    <t>NATURAL CODE CHICKEN, AMARANTH AND CARROTS IN JE.</t>
  </si>
  <si>
    <t>ناتشرال كود دجاج وامارانث وجزر في الجيلي</t>
  </si>
  <si>
    <t>FEM-25-1962-FEP-2025-1947-C-22548-1358</t>
  </si>
  <si>
    <t>2025-86648</t>
  </si>
  <si>
    <t>NATURAL CODE CHICKEN, BEEF AND VEGETABLES</t>
  </si>
  <si>
    <t>ناتشرال كود دجاج ولحم البقر و الخضراوات</t>
  </si>
  <si>
    <t>FEM-25-0346-FEP-2025-0740-C-22548-0314</t>
  </si>
  <si>
    <t>2025-16491</t>
  </si>
  <si>
    <t>NATURAL CODE KIT TEN BABY TUNA AND CHICKEN</t>
  </si>
  <si>
    <t>ناتشرال كود تونا ودجاج بايبي كتن</t>
  </si>
  <si>
    <t>FEM-25-0803-FEP-2025-0818-C-22548-0626</t>
  </si>
  <si>
    <t>2025-31519</t>
  </si>
  <si>
    <t>ناتشرال كود - لحم الضأن والبطاطا</t>
  </si>
  <si>
    <t>FEM-25-0343-FEP-2025-0404-C-22548-0334</t>
  </si>
  <si>
    <t>2025-16481</t>
  </si>
  <si>
    <t>NATURAL CODE POUCH SEA BREAM WITH VEGETABLES</t>
  </si>
  <si>
    <t>ناتشرال كود سمك الدنيس وخضار</t>
  </si>
  <si>
    <t>FEM-25-1630-FEP-2025-1808-C-22548-1085</t>
  </si>
  <si>
    <t>2025-72072</t>
  </si>
  <si>
    <t>NATURAL CODE POUCH TUNA</t>
  </si>
  <si>
    <t>ناتشرال كود تونة</t>
  </si>
  <si>
    <t>FEM-25-1629-FEP-2025-1809-C-22548-1084</t>
  </si>
  <si>
    <t>2025-72066</t>
  </si>
  <si>
    <t>NATURAL CODE POUCH TUNA WITH SALMON</t>
  </si>
  <si>
    <t>ناتشرال كود تونة وسالمون</t>
  </si>
  <si>
    <t>FEM-25-1963-FEP-2025-1948-C-22548-1359</t>
  </si>
  <si>
    <t>2025-86651</t>
  </si>
  <si>
    <t>NATURAL CODE POUCH TUNA WITH SEA BREAM</t>
  </si>
  <si>
    <t>ناتشرال كود تونة وسمك الدنيس</t>
  </si>
  <si>
    <t>FEM-25-1631-FEP-2025-1629-C-22548-1086</t>
  </si>
  <si>
    <t>2025-72073</t>
  </si>
  <si>
    <t>ناتشرال كود ستيريل 03 تونة و طحالب</t>
  </si>
  <si>
    <t>FEM-25-0337-FEP-2025-0356-C-22548-0329</t>
  </si>
  <si>
    <t>2025-16437</t>
  </si>
  <si>
    <t>ناتشرال كود ستيريل 05 تونة و سمك القاروص</t>
  </si>
  <si>
    <t>FEM-25-0335-FEP-2025-0358-C-22548-0333</t>
  </si>
  <si>
    <t>2025-16429</t>
  </si>
  <si>
    <t>NATURAL CODE STERIL 01 TUNA AND ZUCCHINI</t>
  </si>
  <si>
    <t>ناتشرال كود ستيريل 01 تونة وكوسة</t>
  </si>
  <si>
    <t>FEM-25-0339-FEP-2025-0354-C-22548-0324</t>
  </si>
  <si>
    <t>2025-16440</t>
  </si>
  <si>
    <t>ناتشرال كود ستيريل 02 تونة ونبتة القطيفة</t>
  </si>
  <si>
    <t>FEM-25-0338-FEP-2025-0355-C-22548-0328</t>
  </si>
  <si>
    <t>2025-16439</t>
  </si>
  <si>
    <t>ناتشرال كود ستيريل 04 تونة و طحالب</t>
  </si>
  <si>
    <t>FEM-25-0336-FEP-2025-0357-C-22548-0332</t>
  </si>
  <si>
    <t>2025-16434</t>
  </si>
  <si>
    <t>NATURAL CODE STERILCAT TUNA WITH BLUEBERRIES AND BROWN RICE</t>
  </si>
  <si>
    <t>NATURAL CODE STERILCAT TUNA WITH FLAXSEED AND BROWN RICE</t>
  </si>
  <si>
    <t>ناتشرال كود تونة مع بذور الكتان والارز البني</t>
  </si>
  <si>
    <t>2025-86653</t>
  </si>
  <si>
    <t>NATURAL CODE STERILCAT TUNA WITH QUINOA AND BROWN RICE</t>
  </si>
  <si>
    <t>ناتشرال كود تونة مع الكينوا والارز البني</t>
  </si>
  <si>
    <t>FEM-25-1966-FEP-2025-1951-C-22548-1363</t>
  </si>
  <si>
    <t>2025-86660</t>
  </si>
  <si>
    <t>NATURAL CODE TUNA AND ALOE</t>
  </si>
  <si>
    <t>ناتشرال كود تونة الألوة فيرا</t>
  </si>
  <si>
    <t>FEM-25-0691-FEP-2025-0709-C-22548-0528</t>
  </si>
  <si>
    <t>2025-27001</t>
  </si>
  <si>
    <t>ناتشرال كود التونة والألوة فيرا</t>
  </si>
  <si>
    <t>FEM-25-0669-FEP-2025-1162-C-22548-0713</t>
  </si>
  <si>
    <t>2025-25913</t>
  </si>
  <si>
    <t>NATURAL CODE TUNA AND BEEF</t>
  </si>
  <si>
    <t>ناتشرال كود تونة ولحم بقري</t>
  </si>
  <si>
    <t>FEM-25-0457-FEP-2025-0842-C-22548-0381</t>
  </si>
  <si>
    <t>2025-20139</t>
  </si>
  <si>
    <t>NATURAL CODE TUNA AND KIWI IN JELLY</t>
  </si>
  <si>
    <t>ناتشرال كود التونة والكيوي في الجيلي</t>
  </si>
  <si>
    <t>FEM-25-0629-FEP-2025-0643-C-22548-0526</t>
  </si>
  <si>
    <t>2025-25273</t>
  </si>
  <si>
    <t>NATURAL CODE TUNA AND PAPAYA IN JELLY</t>
  </si>
  <si>
    <t>ناتشرال كود التونة والبابايا في الجيلي</t>
  </si>
  <si>
    <t>FEM-25-0628-FEP-2025-0644-C-22548-0532</t>
  </si>
  <si>
    <t>2025-25271</t>
  </si>
  <si>
    <t>NATURAL CODE TUNA AND SALMON</t>
  </si>
  <si>
    <t>FEM-25-0692-FEP-2025-0710-C-22548-0529</t>
  </si>
  <si>
    <t>2025-27002</t>
  </si>
  <si>
    <t>NATURAL CODE TUNA AND SURIMI IN JELLY</t>
  </si>
  <si>
    <t>ناتشرال كود التونة والسوريمي في الجيلي</t>
  </si>
  <si>
    <t>FEM-25-0626-FEP-2025-0647-C-22548-0533</t>
  </si>
  <si>
    <t>2025-25264</t>
  </si>
  <si>
    <t>NATURAL CODE TUNA AND WHITEBAIT</t>
  </si>
  <si>
    <t>ناتشرال كود تونة وسمك صغير</t>
  </si>
  <si>
    <t>FEM-25-0693-FEP-2025-0711-C-22548-0530</t>
  </si>
  <si>
    <t>2025-27003</t>
  </si>
  <si>
    <t>ناتشرال كود التونة والسمك الصغير</t>
  </si>
  <si>
    <t>FEM-25-0671-FEP-2025-1161-C-22548-0714</t>
  </si>
  <si>
    <t>2025-25977</t>
  </si>
  <si>
    <t>NATURAL CODE TUNA FOR KIT TEN</t>
  </si>
  <si>
    <t>ناتشرال كود تونا كتن</t>
  </si>
  <si>
    <t>FEM-25-0804-FEP-2025-0819-C-22548-0631</t>
  </si>
  <si>
    <t>2025-31521</t>
  </si>
  <si>
    <t>FEM-25-0806-FEP-2025-0821-C-22548-0640</t>
  </si>
  <si>
    <t>2025-31524</t>
  </si>
  <si>
    <t>NATURAL CODE TUNA SLICES</t>
  </si>
  <si>
    <t>ناتشرال كود شرائح التونة</t>
  </si>
  <si>
    <t>FEM-25-0317-FEP-2025-0350-C-22548-0323</t>
  </si>
  <si>
    <t>2025-15572</t>
  </si>
  <si>
    <t>NATURAL CODE TUNA WITH BEEF LIVER IN JELLY</t>
  </si>
  <si>
    <t>ناتشرال كود تونة وكبد البقر في الجيلي</t>
  </si>
  <si>
    <t>FEM-25-0808-FEP-2025-0823-C-22548-0638</t>
  </si>
  <si>
    <t>2025-31530</t>
  </si>
  <si>
    <t>NATURAL CODE TUNA WITH LAMB AND POTATOES IN JELLY</t>
  </si>
  <si>
    <t>ناتشرال كود تونة ولحم الضأن والبطاطس في الجيلي</t>
  </si>
  <si>
    <t>FEM-25-0807-FEP-2025-0822-C-22548-0639</t>
  </si>
  <si>
    <t>2025-31527</t>
  </si>
  <si>
    <t>NATURAL CODE TUNA WITH PUMPKIN</t>
  </si>
  <si>
    <t>ناتشرال كود تونا ويقطين</t>
  </si>
  <si>
    <t>FEM-25-0334-FEP-2025-0353-C-22548-0327</t>
  </si>
  <si>
    <t>2025-16287</t>
  </si>
  <si>
    <t>FEM-25-0662-FEP-2025-0687-C-22548-0500</t>
  </si>
  <si>
    <t>2025-25785</t>
  </si>
  <si>
    <t>NATURAL CODE TUNA WITH SARDINES</t>
  </si>
  <si>
    <t>ناتشرال كود تونا وسردين</t>
  </si>
  <si>
    <t>FEM-25-0810-FEP-2025-0825-C-22548-0637</t>
  </si>
  <si>
    <t>2025-31595</t>
  </si>
  <si>
    <t>NATURAL CODE TURKEY AND POTATOES</t>
  </si>
  <si>
    <t>ناتشرال كود - الديك الرومي والبطاطا</t>
  </si>
  <si>
    <t>FEM-25-0345-FEP-2025-0741-C-22548-0312</t>
  </si>
  <si>
    <t>2025-16486</t>
  </si>
  <si>
    <t>Naturel 60g</t>
  </si>
  <si>
    <t>Nutri Meal Food for Small Parrots 2.5 kg</t>
  </si>
  <si>
    <t>FOM-2024-0637-FEP-2025-8376-C-22548-5222</t>
  </si>
  <si>
    <t>2025-569644</t>
  </si>
  <si>
    <t>FEM-25-8079-FEP-2025-8360-C-22548-5221</t>
  </si>
  <si>
    <t>2025-568863</t>
  </si>
  <si>
    <t>FOM-2024-0637-FEP-2025-8377-C-22548-5226</t>
  </si>
  <si>
    <t>2025-569705</t>
  </si>
  <si>
    <t>الغرض من الاستخدام باللغة الانجليزية ادعاء غير تغذوي ***</t>
  </si>
  <si>
    <t>FOM-2024-0637-FEP-2025-8378-C-22548-5227</t>
  </si>
  <si>
    <t>2025-569747</t>
  </si>
  <si>
    <t>FOM-2024-0637-FEP-2025-8381-C-22548-5206</t>
  </si>
  <si>
    <t>2025-569848</t>
  </si>
  <si>
    <t>FOM-2024-0637-FEP-2025-8382-C-22548-5231</t>
  </si>
  <si>
    <t>2025-569880</t>
  </si>
  <si>
    <t>FEM-25-4535-FEP-2025-4543-C-22548-2865</t>
  </si>
  <si>
    <t>FEM-2024-10840-FEP-2024-82009-C-22548-1598</t>
  </si>
  <si>
    <t>FEM-25-4537-FEP-2025-4545-C-22548-2991</t>
  </si>
  <si>
    <t>FEM-25-4538-FEP-2024-82011-C-22548-2887</t>
  </si>
  <si>
    <t>FEM-25-4539-FEP-2025-4546-C-22548-2859</t>
  </si>
  <si>
    <t>FEM-25-4540-FEP-2025-4547-C-22548-2872</t>
  </si>
  <si>
    <t>FEM-25-4541-FEP-2025-4549-C-22548-2882</t>
  </si>
  <si>
    <t>FEM-25-4599-FEP-2025-4599-C-22548-2939</t>
  </si>
  <si>
    <t>FEM-25-4600-FEP-2025-4602-C-22548-2940</t>
  </si>
  <si>
    <t>FEM-2024-10854-FEP-2024-82021-C-22548-1397</t>
  </si>
  <si>
    <t>FEM-25-4601-FEP-2025-4603-C-22548-2941</t>
  </si>
  <si>
    <t>2025-597988</t>
  </si>
  <si>
    <t>FOM-2024-6397-FEB-2024-49545 -C-0041-70342</t>
  </si>
  <si>
    <t>FOM-2024-7202-FEB-2024-40121 -C-0041-60918</t>
  </si>
  <si>
    <t>2025-190729</t>
  </si>
  <si>
    <t>FOM-2024-6730-FEB-2024-59193 -C-0041-80001</t>
  </si>
  <si>
    <t>2025-372523</t>
  </si>
  <si>
    <t>FOM-2024-6911-FEB-2024-51509 -C-0041-72306</t>
  </si>
  <si>
    <t>FOM-2024-6911-FEB-2024-39582 -C-0041-60379</t>
  </si>
  <si>
    <t>PRINCESS EXCELLENCE CHICKEN &amp; TUNA TOPPING SQUID RING 70g</t>
  </si>
  <si>
    <t>برينسيس بلس بريميوم كيتن طعام كامل للقطط</t>
  </si>
  <si>
    <t>2025-51196</t>
  </si>
  <si>
    <t>برينسيس بلس مينتينانس طعام كامل للقطط</t>
  </si>
  <si>
    <t>FEM-25-1217-FEP-2025-1223-C-22548-0888</t>
  </si>
  <si>
    <t>Profine Adult Dog Food with Chicken &amp; Potatoes 15 kg</t>
  </si>
  <si>
    <t>PUUR Pauze Snack Muesli Parrot Fruit 750g</t>
  </si>
  <si>
    <t>PUUR Pauze Snack Muesli Parrot Nuts 750g</t>
  </si>
  <si>
    <t>Salmon Oil Paste 100 g</t>
  </si>
  <si>
    <t>Sanal Soft Stick with Salmon &amp; Trout 15 g</t>
  </si>
  <si>
    <t>Sanal Top Mix 240 g</t>
  </si>
  <si>
    <t>Schesir NS Dry Food with Lamb 2.24 kg</t>
  </si>
  <si>
    <t>Schesir NS Dry Food with Tuna 1.4 kg</t>
  </si>
  <si>
    <t>Schesir NS Dry Food with Tuna 2.24 kg</t>
  </si>
  <si>
    <t>فضلا مراجعة إدارة تصنيف المنتجات *** في حال تم تصنيف المنتج علفي *** فضلا إرفاق قرار التصنيف في المستندات و الملاحظات لتتم عملية إكمال التسجيل</t>
  </si>
  <si>
    <t>pork (heart, meat, liver,lung) يحتوي على لحم خنزير وكبد وقلب ورئة</t>
  </si>
  <si>
    <t>SensiCat 400g / 60 g</t>
  </si>
  <si>
    <t>Sensicat 60g</t>
  </si>
  <si>
    <t>2024-255187</t>
  </si>
  <si>
    <t>2024-255195</t>
  </si>
  <si>
    <t>FOM-2024-0902-FEP-2024-80864-C-22548-0680</t>
  </si>
  <si>
    <t>FOM-2024-0902-FEP-2024-80866-C-22548-0677</t>
  </si>
  <si>
    <t>FOM-2024-0902-FEP-2024-80868-C-22548-0676</t>
  </si>
  <si>
    <t>FOM-2024-0902-FEP-2024-80869-C-22548-0682</t>
  </si>
  <si>
    <t>سوليد جولد ليتس ستاي إن سالمون 5.44</t>
  </si>
  <si>
    <t>FOM-2024-0902-FEP-2024-80871-C-22548-0687</t>
  </si>
  <si>
    <t>FOM-2024-5981-FEB-2024-58688 -C-0041-79496</t>
  </si>
  <si>
    <t>FOM-2024-5981-FEP-2024-80849-C-22548-0686 / FOM-2024-0902-FEP-2024-80890-C-22548-0698</t>
  </si>
  <si>
    <t>2024-257166</t>
  </si>
  <si>
    <t>2024-257378</t>
  </si>
  <si>
    <t>FOM-2024-0902-FEP-2024-80882-C-22548-0693</t>
  </si>
  <si>
    <t>FOM-2024-0902-FEP-2024-80884-C-22548-0694</t>
  </si>
  <si>
    <t>2025-597895</t>
  </si>
  <si>
    <t>Tiki Cat Aloha Friends Wet Cat Food with Tuna &amp; Pumpkin 85 g</t>
  </si>
  <si>
    <t>Top 10 Multi Vitamin Tablets for cats 180 Tab</t>
  </si>
  <si>
    <t>توب 10 مالتي فيتامين للقطط 180 قرص</t>
  </si>
  <si>
    <t>Top 10 Multi Vitamin Tablets for dogs 180 tab</t>
  </si>
  <si>
    <t>توب 10 مالتي فيتامين للكلاب 180 قرص</t>
  </si>
  <si>
    <t>FEM-25-1679-FEP-2025-2363-C-22548-1443</t>
  </si>
  <si>
    <t>FEM-25-1675-FEP-2025-1699-C-22548-1163</t>
  </si>
  <si>
    <t>FEM-25-2442-FEP-2025-2357-C-22548-1409</t>
  </si>
  <si>
    <t>FEM-25-1739-FEP-2025-1756-C-22548-1177</t>
  </si>
  <si>
    <t>FEM-25-1681-FEP-2025-2380-C-22548-1466</t>
  </si>
  <si>
    <t>Vet IQ 2 in 1 Dental Care Paste 70 g</t>
  </si>
  <si>
    <t>FOM-2024-7307-FEB-2024-41831 -C-0041-62628</t>
  </si>
  <si>
    <t>Vitalidog Paste 100Ml</t>
  </si>
  <si>
    <t>FEM-25-0157-FEP-2025-0151-C-22548-0214</t>
  </si>
  <si>
    <t>FEM-25-0154-FEP-2025-0149-C-22548-0215</t>
  </si>
  <si>
    <t>WEL DC CORE Sterilised ocean 300g/ 1.75kg</t>
  </si>
  <si>
    <t>FEM-25-0119-FEP-2025-0132-C-22548-0195</t>
  </si>
  <si>
    <t>FEM-25-0470-FEP-2025-0458-C-22548-0364</t>
  </si>
  <si>
    <t>FEM-25-0409-FEP-2025-0403-C-22548-0320</t>
  </si>
  <si>
    <t>WEL DD CORE SB 1.5 (3 items) hlthy ocean original</t>
  </si>
  <si>
    <t>WEL DD CORE SB 5 ( 3 items) adult original , adult ocean , low fat</t>
  </si>
  <si>
    <t>FEM-25-0408-FEP-2025-0402-C-22548-0319</t>
  </si>
  <si>
    <t>FEM-25-0404-FEP-2025-0398-C-22548-0315</t>
  </si>
  <si>
    <t>FEM-25-0407-FEP-2025-0401-C-22548-0318</t>
  </si>
  <si>
    <t>FEM-25-0405-FEP-2025-0399-C-22548-0316</t>
  </si>
  <si>
    <t>FEM-2024-15178-FEP-2024-82877-C-22548-1842</t>
  </si>
  <si>
    <t>يحتوي علي الخنزير</t>
  </si>
  <si>
    <t>FEM-2024-14519-FEP-2024-82537-C-22548-2008</t>
  </si>
  <si>
    <t>FEM-2024-14522-FEP-2024-82540-C-22548-2010</t>
  </si>
  <si>
    <t>FEM-2024-14517-FEP-2024-82535-C-22548-2007</t>
  </si>
  <si>
    <t>FEM-25-2797-FEP-2025-2694-C-22548-1817</t>
  </si>
  <si>
    <t>FEM-2024-15196-FEP-2024-82888-C-22548-1846</t>
  </si>
  <si>
    <t>FEM-2024-15198-FEP-2024-82890-C-22548-1855</t>
  </si>
  <si>
    <t>FEM-25-2792-FEP-2025-2689-C-22548-1797</t>
  </si>
  <si>
    <t>FEM-25-2793-FEP-2025-2690-C-22548-1798</t>
  </si>
  <si>
    <t>FEM-25-2794-FEP-2025-2691-C-22548-1820</t>
  </si>
  <si>
    <t>FEM-25-2795-FEP-2025-2692-C-22548-1819</t>
  </si>
  <si>
    <t>ويلنس كور سمول برييد سافوري ميدليز بنكهة الدجاج، البط، البازلاء والجزر</t>
  </si>
  <si>
    <t>FEM-2024-14965-FEP-2024-82801-C-22548-1800</t>
  </si>
  <si>
    <t>FEM-2024-14966-FEP-2024-82802-C-22548-1799</t>
  </si>
  <si>
    <t>FEM-2024-14967-FEP-2024-82803-C-22548-1797</t>
  </si>
  <si>
    <t>FEM-2024-14927-FEP-2024-82797-C-22548-1802</t>
  </si>
  <si>
    <t>FEM-25-2796-FEP-2025-2693-C-22548-1818</t>
  </si>
  <si>
    <t>FEM-25-2798-FEP-2025-2695-C-22548-1816</t>
  </si>
  <si>
    <t>FEM-2024-16111-FEP-2024-83433-C-22548-2218</t>
  </si>
  <si>
    <t>FEM-2024-16109-FEP-2024-83431-C-22548-2216</t>
  </si>
  <si>
    <t>FEM-2024-16108-FEP-2024-83430-C-22548-2215</t>
  </si>
  <si>
    <t>FEM-2024-16114-FEP-2024-83436-C-22548-2220</t>
  </si>
  <si>
    <t>Whole Meat Tuna &amp; Chicken with Shrimp and Rice in Soft Jelly 100 g</t>
  </si>
  <si>
    <t>ﻳﻮ اب زﺑﺎدي ارﺗﻴﻜﻮﻻر ﻟﻠﻜﻼب 115غ</t>
  </si>
  <si>
    <t>2024-251203</t>
  </si>
  <si>
    <t>Yowup Yogurt SKIN AND HAIR CAT</t>
  </si>
  <si>
    <t>P-1-N-250324-2074</t>
  </si>
  <si>
    <t>FOM-2024-5403-FEB-2024-49849 -C-0041-70646</t>
  </si>
  <si>
    <t>FOM-2024-5403-FEB-2024-49853 -C-0041-70650</t>
  </si>
  <si>
    <t>FOM-2024-5403-FEB-2024-49848 -C-0041-70645</t>
  </si>
  <si>
    <t>FOM-2024-5403-FEB-2024-49852 -C-0041-70649</t>
  </si>
  <si>
    <t>FOM-2024-5403-FEB-2024-49851 -C-0041-70648</t>
  </si>
  <si>
    <t>FOM-2024-5403-FEB-2024-49850 -C-0041-70647</t>
  </si>
  <si>
    <t xml:space="preserve">زولكس كريم تريت للقطط - دجاج ×3 - تونة/سلمون ×2 - تونة/سلطعون ×2 
</t>
  </si>
  <si>
    <t xml:space="preserve">FEM-25-7482-FEP-2025-7712-C-22548-5378
</t>
  </si>
  <si>
    <t xml:space="preserve">زولكس كريم تريت للقطط - تونة مع سلطعون ×7 
</t>
  </si>
  <si>
    <t>FEM-25-7504-FEP-2025-7715-C-22548-4880</t>
  </si>
  <si>
    <t xml:space="preserve">زولكس كريم تريت للكلاب - دجاج ×3 - بط ×2 - دجاج مع سلمون ×2
</t>
  </si>
  <si>
    <t xml:space="preserve">FEM-25-7480-FEP-2025-7711-C-22548-4878
</t>
  </si>
  <si>
    <t>FOM-2024-5403-FEB-2024-49845 -C-0041-70642</t>
  </si>
  <si>
    <t>FEM-25-3895-FEP-2025-3871-C-22548-2502</t>
  </si>
  <si>
    <t>FEM-25-3894-FEP-2025-3870-C-22548-2993</t>
  </si>
  <si>
    <t>FEM-25-3897-FEP-2025-3873-C-22548-2501</t>
  </si>
  <si>
    <t>FEM-25-3892-FEP-2025-3867-C-22548-2503</t>
  </si>
  <si>
    <t>ZUPREEM NUTBLEND 907G</t>
  </si>
  <si>
    <t>FOM-2024-7157-FEB-2024-55343 -C-0041-76150</t>
  </si>
  <si>
    <t>Annaual Leaves Plans</t>
  </si>
  <si>
    <t>Ibrahim</t>
  </si>
  <si>
    <t>Saud</t>
  </si>
  <si>
    <t>Suliman</t>
  </si>
  <si>
    <t>Fawzan</t>
  </si>
  <si>
    <t>Jan</t>
  </si>
  <si>
    <t>Feb</t>
  </si>
  <si>
    <t>Mar</t>
  </si>
  <si>
    <t>Apr</t>
  </si>
  <si>
    <t>May</t>
  </si>
  <si>
    <t>2 Weeks</t>
  </si>
  <si>
    <t>Jun</t>
  </si>
  <si>
    <t>Jul</t>
  </si>
  <si>
    <t>Aug</t>
  </si>
  <si>
    <t>Sep</t>
  </si>
  <si>
    <t>Oct</t>
  </si>
  <si>
    <t>Nov</t>
  </si>
  <si>
    <t>Dec</t>
  </si>
  <si>
    <t>Brand</t>
  </si>
  <si>
    <t>Sub Brand</t>
  </si>
  <si>
    <t>Link</t>
  </si>
  <si>
    <t>MPM Products</t>
  </si>
  <si>
    <t>https://docs.google.com/document/d/1CAEs_Bra2lUmBW7JsqbMPeEFIqjwy6SI/edit?usp=drive_link&amp;ouid=118373453344914741700&amp;rtpof=true&amp;sd=true</t>
  </si>
  <si>
    <t>https://docs.google.com/document/d/1asYod4GU7-UlD9xnm5eTxsK7-CBtJQ2s/edit?usp=drive_link&amp;ouid=110836157500343643234&amp;rtpof=true&amp;sd=true</t>
  </si>
  <si>
    <t>IPN</t>
  </si>
  <si>
    <t>Barking Heads Meowing Heads</t>
  </si>
  <si>
    <t>https://docs.google.com/document/d/1dQthGQrrnX4Svn4lGBsvNyX-_OAg2Vaj/edit?usp=drive_link&amp;ouid=110836157500343643234&amp;rtpof=true&amp;sd=true</t>
  </si>
  <si>
    <t>Harringtons</t>
  </si>
  <si>
    <t>Champion Petfoods</t>
  </si>
  <si>
    <t>Acana</t>
  </si>
  <si>
    <t>https://docs.google.com/document/d/1oP06zbdP998iKMP0KZgQfC_jleu3F9VC/edit?usp=drive_link&amp;ouid=110836157500343643234&amp;rtpof=true&amp;sd=true</t>
  </si>
  <si>
    <t>Orijen</t>
  </si>
  <si>
    <t>Compana Pet Brands</t>
  </si>
  <si>
    <t>Vet's Best</t>
  </si>
  <si>
    <t>Nutri-vet</t>
  </si>
  <si>
    <t>Simple Solution</t>
  </si>
  <si>
    <t>https://docs.google.com/document/d/1wcevesNvacX2wcOl0bNADh3ZBf-YrIdT/edit?usp=drive_link&amp;ouid=110836157500343643234&amp;rtpof=true&amp;sd=true</t>
  </si>
  <si>
    <t>Dr.Clauders</t>
  </si>
  <si>
    <t>https://docs.google.com/document/d/1MftKdLDxaa2o9BOgcCw7QURPfDBnATh7/edit?usp=drive_link&amp;ouid=110836157500343643234&amp;rtpof=true&amp;sd=true</t>
  </si>
  <si>
    <t>https://docs.google.com/document/d/1_69ciXvHNt4PfkIB5JoK5ETJno0OeGgy/edit?usp=drive_link&amp;ouid=110836157500343643234&amp;rtpof=true&amp;sd=true</t>
  </si>
  <si>
    <t>https://docs.google.com/document/d/1aw1EQQiFECRsboxAcwyh5E_ezPbLb4uH/edit?usp=drive_link&amp;ouid=110836157500343643234&amp;rtpof=true&amp;sd=true</t>
  </si>
  <si>
    <t>Bavaro</t>
  </si>
  <si>
    <t>https://docs.google.com/document/d/1canVfwDCqxjpOGatB1gvz1unnDq8djb0/edit?usp=drive_link&amp;ouid=110836157500343643234&amp;rtpof=true&amp;sd=true</t>
  </si>
  <si>
    <t>Witte Molen</t>
  </si>
  <si>
    <t>https://docs.google.com/document/d/1h_eOaOmDIjzljcLUS6OOiMjxoLoVt9TX/edit?usp=drive_link&amp;ouid=110836157500343643234&amp;rtpof=true&amp;sd=true</t>
  </si>
  <si>
    <t>I Love Happy Cats</t>
  </si>
  <si>
    <t>Lindo cat</t>
  </si>
  <si>
    <t>Signor Gatto</t>
  </si>
  <si>
    <t>https://docs.google.com/document/d/1SrZsy8_20DFjP3oGJE5IDF07I-GV0735/edit?usp=drive_link&amp;ouid=110836157500343643234&amp;rtpof=true&amp;sd=true</t>
  </si>
  <si>
    <t>My Family</t>
  </si>
  <si>
    <t>https://docs.google.com/document/d/17XMmWpOQS7V1hFayTs4M9qO24p7Dushe/edit?usp=drive_link&amp;ouid=110836157500343643234&amp;rtpof=true&amp;sd=true</t>
  </si>
  <si>
    <t>Nasta Petfood</t>
  </si>
  <si>
    <t>Babin</t>
  </si>
  <si>
    <t>https://docs.google.com/document/d/1KfuBMxWiKexEPRM67TKZFB1E6WlE1u9m/edit?usp=drive_link&amp;ouid=110836157500343643234&amp;rtpof=true&amp;sd=true</t>
  </si>
  <si>
    <t>Pet Nutrition House Ltd</t>
  </si>
  <si>
    <t>Prince</t>
  </si>
  <si>
    <t>https://docs.google.com/document/d/10ueEvoH9mq5C2rn0AP17DCmF_XcD13xL/edit?usp=drive_link&amp;ouid=110836157500343643234&amp;rtpof=true&amp;sd=true</t>
  </si>
  <si>
    <t>Purina Pro plan</t>
  </si>
  <si>
    <t>Purina Pro Plan</t>
  </si>
  <si>
    <t>https://docs.google.com/document/d/1Athc4Txu4zYIMHb8Cp7LBC9ACAGZdwOE/edit?usp=drive_link&amp;ouid=110836157500343643234&amp;rtpof=true&amp;sd=true</t>
  </si>
  <si>
    <t>https://docs.google.com/document/d/1PqHG8iqVSi3ugnOW-l7lB4Kk3vUuOFhj/edit?usp=drive_link&amp;ouid=110836157500343643234&amp;rtpof=true&amp;sd=true</t>
  </si>
  <si>
    <t>H&amp;H Group</t>
  </si>
  <si>
    <t>Solid Gold</t>
  </si>
  <si>
    <t>https://docs.google.com/document/d/15SqP-lalyydY2SXKolo8i_ayEma6-v6j/edit?usp=drive_link&amp;ouid=110836157500343643234&amp;rtpof=true&amp;sd=true</t>
  </si>
  <si>
    <t>Zesty Paws</t>
  </si>
  <si>
    <t>https://docs.google.com/document/d/1kE-H4aP6-5ICcngyzSL4l8-kmldub6qs/edit?usp=drive_link&amp;ouid=110836157500343643234&amp;rtpof=true&amp;sd=true</t>
  </si>
  <si>
    <t>Wellness Pet Company</t>
  </si>
  <si>
    <t>Core</t>
  </si>
  <si>
    <t>Whimzees</t>
  </si>
  <si>
    <t>https://docs.google.com/document/d/1AdB5oGYDySRuj6F_ambJQu9J8XeBWdj-/edit?usp=drive_link&amp;ouid=110836157500343643234&amp;rtpof=true&amp;sd=true</t>
  </si>
  <si>
    <t>https://docs.google.com/document/d/1x5XRp_uZg_OcwpbCxfgvcD2Na_Jsdnz4/edit?usp=drive_link&amp;ouid=110836157500343643234&amp;rtpof=true&amp;sd=true</t>
  </si>
  <si>
    <t>Bio Pet Active</t>
  </si>
  <si>
    <t>https://docs.google.com/document/d/1p3xg5yOBIQfRyGWGTH_l5XScT0M1qmE-/edit?usp=drive_link&amp;ouid=110836157500343643234&amp;rtpof=true&amp;sd=true</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</si>
</sst>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m&quot;/&quot;d&quot;/&quot;yy"/>
    <numFmt numFmtId="165" formatCode="mm/dd/yyyy"/>
    <numFmt numFmtId="166" formatCode="d/m/yy"/>
    <numFmt numFmtId="167" formatCode="m/d/yyyy"/>
    <numFmt numFmtId="168" formatCode="dd/mm/yyyy"/>
    <numFmt numFmtId="169" formatCode="mm/dd/yy"/>
    <numFmt numFmtId="170" formatCode="M/d/yyyy"/>
    <numFmt numFmtId="171" formatCode="m-d-yy"/>
    <numFmt numFmtId="172" formatCode="d-m-yyyy"/>
    <numFmt numFmtId="173" formatCode="d/m"/>
    <numFmt numFmtId="174" formatCode="dd/MM/yyyy"/>
    <numFmt numFmtId="175" formatCode="d/m/yyyy"/>
    <numFmt numFmtId="176" formatCode="d-m-yy"/>
    <numFmt numFmtId="177" formatCode="d-m"/>
    <numFmt numFmtId="178" formatCode="dd&quot;/&quot;mm&quot;/&quot;yy"/>
    <numFmt numFmtId="179" formatCode="d-mmm-yyyy"/>
    <numFmt numFmtId="180" formatCode="m-d-yyyy"/>
    <numFmt numFmtId="181" formatCode="#,##0;(#,##0)"/>
    <numFmt numFmtId="182" formatCode="mm-dd-yyyy"/>
    <numFmt numFmtId="183" formatCode="mmm-d"/>
    <numFmt numFmtId="184" formatCode="dd-mm-yyyy"/>
    <numFmt numFmtId="185" formatCode="d mmmm"/>
    <numFmt numFmtId="186" formatCode="[$$]#,##0.00"/>
  </numFmts>
  <fonts count="56">
    <font>
      <sz val="10.0"/>
      <color rgb="FF000000"/>
      <name val="Arial"/>
      <scheme val="minor"/>
    </font>
    <font>
      <b/>
      <sz val="12.0"/>
      <color rgb="FFF3F3F3"/>
      <name val="Arial"/>
    </font>
    <font>
      <b/>
      <sz val="12.0"/>
      <color rgb="FFFFFFFF"/>
      <name val="Arial"/>
    </font>
    <font>
      <b/>
      <sz val="12.0"/>
      <color theme="0"/>
      <name val="Arial"/>
    </font>
    <font>
      <color theme="1"/>
      <name val="Arial"/>
      <scheme val="minor"/>
    </font>
    <font>
      <b/>
      <sz val="10.0"/>
      <color rgb="FF000000"/>
      <name val="Arial"/>
    </font>
    <font>
      <sz val="10.0"/>
      <color rgb="FF000000"/>
      <name val="Arial"/>
    </font>
    <font>
      <b/>
      <color rgb="FF000000"/>
      <name val="Arial"/>
    </font>
    <font>
      <color rgb="FF9C0006"/>
      <name val="Arial"/>
    </font>
    <font>
      <sz val="10.0"/>
      <color theme="1"/>
      <name val="Arial"/>
    </font>
    <font>
      <b/>
      <sz val="11.0"/>
      <color rgb="FFFFFFFF"/>
      <name val="Arial"/>
    </font>
    <font>
      <b/>
      <sz val="11.0"/>
      <color rgb="FFFFFFFF"/>
      <name val="&quot;Aptos Narrow&quot;"/>
    </font>
    <font>
      <sz val="11.0"/>
      <color theme="1"/>
      <name val="Arial"/>
      <scheme val="minor"/>
    </font>
    <font>
      <color rgb="FF000000"/>
      <name val="Calibri"/>
    </font>
    <font>
      <sz val="10.0"/>
      <color rgb="FF000000"/>
      <name val="&quot;Aptos Narrow&quot;"/>
    </font>
    <font>
      <sz val="10.0"/>
      <color rgb="FF000000"/>
      <name val="Calibri"/>
    </font>
    <font>
      <color theme="1"/>
      <name val="Calibri"/>
    </font>
    <font>
      <sz val="11.0"/>
      <color rgb="FF000000"/>
      <name val="&quot;Aptos Narrow&quot;"/>
    </font>
    <font>
      <sz val="11.0"/>
      <color theme="1"/>
      <name val="Calibri"/>
    </font>
    <font>
      <color rgb="FF333333"/>
      <name val="Tahoma"/>
    </font>
    <font>
      <sz val="12.0"/>
      <color rgb="FF212529"/>
      <name val="Cairo"/>
    </font>
    <font>
      <sz val="11.0"/>
      <color rgb="FF393D47"/>
      <name val="Tahoma"/>
    </font>
    <font>
      <b/>
      <sz val="16.0"/>
      <color theme="1"/>
      <name val="Arial"/>
    </font>
    <font>
      <color theme="1"/>
      <name val="Arial"/>
    </font>
    <font>
      <b/>
      <sz val="10.0"/>
      <color theme="1"/>
      <name val="Arial"/>
    </font>
    <font>
      <strike/>
      <sz val="10.0"/>
      <color theme="1"/>
      <name val="Arial"/>
    </font>
    <font>
      <b/>
      <strike/>
      <sz val="10.0"/>
      <color theme="1"/>
      <name val="Arial"/>
    </font>
    <font>
      <sz val="10.0"/>
      <color rgb="FF000000"/>
      <name val="Nunito"/>
    </font>
    <font>
      <sz val="10.0"/>
      <color theme="1"/>
      <name val="Nunito"/>
    </font>
    <font>
      <strike/>
      <sz val="10.0"/>
      <color theme="1"/>
      <name val="Nunito"/>
    </font>
    <font>
      <sz val="10.0"/>
      <color rgb="FF202124"/>
      <name val="Arial"/>
    </font>
    <font>
      <sz val="9.0"/>
      <color rgb="FF202124"/>
      <name val="Roboto"/>
    </font>
    <font>
      <b/>
      <color rgb="FFFFFFFF"/>
      <name val="Verdana"/>
    </font>
    <font>
      <b/>
      <color theme="1"/>
      <name val="Arial"/>
    </font>
    <font>
      <color theme="1"/>
      <name val="Verdana"/>
    </font>
    <font>
      <b/>
      <color rgb="FFF3F3F3"/>
      <name val="Verdana"/>
    </font>
    <font>
      <b/>
      <color theme="0"/>
      <name val="Verdana"/>
    </font>
    <font>
      <b/>
      <color theme="1"/>
      <name val="Arial"/>
      <scheme val="minor"/>
    </font>
    <font>
      <color rgb="FFFF0000"/>
      <name val="Arial"/>
    </font>
    <font>
      <color rgb="FF000000"/>
      <name val="Arial"/>
      <scheme val="minor"/>
    </font>
    <font>
      <b/>
      <sz val="11.0"/>
      <color theme="1"/>
      <name val="Arial"/>
    </font>
    <font>
      <b/>
      <sz val="11.0"/>
      <color theme="1"/>
      <name val="Aptos Narrow"/>
    </font>
    <font>
      <sz val="11.0"/>
      <color theme="1"/>
      <name val="Aptos Narrow"/>
    </font>
    <font>
      <sz val="11.0"/>
      <color theme="1"/>
      <name val="Arial"/>
    </font>
    <font>
      <sz val="11.0"/>
      <color rgb="FF878787"/>
      <name val="Cairo"/>
    </font>
    <font>
      <sz val="12.0"/>
      <color rgb="FF000000"/>
      <name val="Cairo"/>
    </font>
    <font>
      <sz val="12.0"/>
      <color rgb="FF333333"/>
      <name val="Tahoma"/>
    </font>
    <font>
      <sz val="12.0"/>
      <color rgb="FF333333"/>
      <name val="Trebuchet MS"/>
    </font>
    <font/>
    <font>
      <sz val="12.0"/>
      <color theme="1"/>
      <name val="Roboto"/>
    </font>
    <font>
      <sz val="12.0"/>
      <color rgb="FF212529"/>
      <name val="Roboto"/>
    </font>
    <font>
      <b/>
      <sz val="12.0"/>
      <color theme="1"/>
      <name val="Aptos Narrow"/>
    </font>
    <font>
      <color theme="1"/>
      <name val="Aptos Narrow"/>
    </font>
    <font>
      <b/>
      <sz val="17.0"/>
      <color theme="1"/>
      <name val="Arial"/>
      <scheme val="minor"/>
    </font>
    <font>
      <u/>
      <color rgb="FF0000FF"/>
    </font>
    <font>
      <u/>
      <color rgb="FF0000FF"/>
    </font>
  </fonts>
  <fills count="22">
    <fill>
      <patternFill patternType="none"/>
    </fill>
    <fill>
      <patternFill patternType="lightGray"/>
    </fill>
    <fill>
      <patternFill patternType="solid">
        <fgColor rgb="FF9FC5E8"/>
        <bgColor rgb="FF9FC5E8"/>
      </patternFill>
    </fill>
    <fill>
      <patternFill patternType="solid">
        <fgColor rgb="FFF6B26B"/>
        <bgColor rgb="FFF6B26B"/>
      </patternFill>
    </fill>
    <fill>
      <patternFill patternType="solid">
        <fgColor rgb="FFF8F2EB"/>
        <bgColor rgb="FFF8F2EB"/>
      </patternFill>
    </fill>
    <fill>
      <patternFill patternType="solid">
        <fgColor rgb="FF674EA7"/>
        <bgColor rgb="FF674EA7"/>
      </patternFill>
    </fill>
    <fill>
      <patternFill patternType="solid">
        <fgColor rgb="FF00FFFF"/>
        <bgColor rgb="FF00FFFF"/>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E6B8AF"/>
        <bgColor rgb="FFE6B8AF"/>
      </patternFill>
    </fill>
    <fill>
      <patternFill patternType="solid">
        <fgColor theme="0"/>
        <bgColor theme="0"/>
      </patternFill>
    </fill>
    <fill>
      <patternFill patternType="solid">
        <fgColor rgb="FF0000FF"/>
        <bgColor rgb="FF0000FF"/>
      </patternFill>
    </fill>
    <fill>
      <patternFill patternType="solid">
        <fgColor rgb="FFFFFF00"/>
        <bgColor rgb="FFFFFF00"/>
      </patternFill>
    </fill>
    <fill>
      <patternFill patternType="solid">
        <fgColor rgb="FFFFF2CC"/>
        <bgColor rgb="FFFFF2CC"/>
      </patternFill>
    </fill>
    <fill>
      <patternFill patternType="solid">
        <fgColor rgb="FF434343"/>
        <bgColor rgb="FF434343"/>
      </patternFill>
    </fill>
    <fill>
      <patternFill patternType="solid">
        <fgColor rgb="FFF2F6F0"/>
        <bgColor rgb="FFF2F6F0"/>
      </patternFill>
    </fill>
    <fill>
      <patternFill patternType="solid">
        <fgColor rgb="FF6AA84F"/>
        <bgColor rgb="FF6AA84F"/>
      </patternFill>
    </fill>
    <fill>
      <patternFill patternType="solid">
        <fgColor rgb="FF93C47D"/>
        <bgColor rgb="FF93C47D"/>
      </patternFill>
    </fill>
    <fill>
      <patternFill patternType="solid">
        <fgColor rgb="FF4EA72E"/>
        <bgColor rgb="FF4EA72E"/>
      </patternFill>
    </fill>
    <fill>
      <patternFill patternType="solid">
        <fgColor rgb="FF0F9ED5"/>
        <bgColor rgb="FF0F9ED5"/>
      </patternFill>
    </fill>
    <fill>
      <patternFill patternType="solid">
        <fgColor rgb="FFC9DAF8"/>
        <bgColor rgb="FFC9DAF8"/>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right/>
      <top/>
      <bottom/>
    </border>
    <border>
      <left style="medium">
        <color rgb="FF674EA7"/>
      </left>
      <right style="medium">
        <color rgb="FF674EA7"/>
      </right>
      <top style="medium">
        <color rgb="FF674EA7"/>
      </top>
      <bottom style="medium">
        <color rgb="FF674EA7"/>
      </bottom>
    </border>
    <border>
      <left style="medium">
        <color rgb="FF6AA84F"/>
      </left>
      <right style="medium">
        <color rgb="FF6AA84F"/>
      </right>
      <top style="medium">
        <color rgb="FF6AA84F"/>
      </top>
      <bottom style="medium">
        <color rgb="FF6AA84F"/>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3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2" numFmtId="1" xfId="0" applyAlignment="1" applyBorder="1" applyFont="1" applyNumberFormat="1">
      <alignment horizontal="center" readingOrder="0" shrinkToFit="0" vertical="center" wrapText="1"/>
    </xf>
    <xf borderId="1" fillId="2" fontId="2" numFmtId="0" xfId="0" applyAlignment="1" applyBorder="1" applyFont="1">
      <alignment horizontal="left" readingOrder="0" shrinkToFit="0" vertical="center" wrapText="1"/>
    </xf>
    <xf borderId="0" fillId="2" fontId="4" numFmtId="0" xfId="0" applyFont="1"/>
    <xf borderId="1" fillId="3" fontId="5" numFmtId="0" xfId="0" applyAlignment="1" applyBorder="1" applyFill="1" applyFont="1">
      <alignment horizontal="center" vertical="center"/>
    </xf>
    <xf borderId="1" fillId="3" fontId="6" numFmtId="0" xfId="0" applyAlignment="1" applyBorder="1" applyFont="1">
      <alignment horizontal="center" vertical="center"/>
    </xf>
    <xf borderId="1" fillId="3" fontId="7" numFmtId="164" xfId="0" applyAlignment="1" applyBorder="1" applyFont="1" applyNumberFormat="1">
      <alignment horizontal="center" readingOrder="0" shrinkToFit="0" wrapText="0"/>
    </xf>
    <xf quotePrefix="1" borderId="1" fillId="3" fontId="6" numFmtId="0" xfId="0" applyAlignment="1" applyBorder="1" applyFont="1">
      <alignment horizontal="center" vertical="center"/>
    </xf>
    <xf borderId="1" fillId="3" fontId="7" numFmtId="0" xfId="0" applyAlignment="1" applyBorder="1" applyFont="1">
      <alignment horizontal="center" readingOrder="0" shrinkToFit="0" wrapText="0"/>
    </xf>
    <xf borderId="1" fillId="3" fontId="8" numFmtId="0" xfId="0" applyAlignment="1" applyBorder="1" applyFont="1">
      <alignment horizontal="center" readingOrder="0" shrinkToFit="0" wrapText="0"/>
    </xf>
    <xf borderId="1" fillId="3" fontId="6" numFmtId="0" xfId="0" applyAlignment="1" applyBorder="1" applyFont="1">
      <alignment horizontal="center" readingOrder="0" vertical="center"/>
    </xf>
    <xf borderId="0" fillId="3" fontId="4" numFmtId="0" xfId="0" applyFont="1"/>
    <xf borderId="1" fillId="4" fontId="5" numFmtId="0" xfId="0" applyAlignment="1" applyBorder="1" applyFill="1" applyFont="1">
      <alignment horizontal="center" vertical="center"/>
    </xf>
    <xf borderId="1" fillId="4" fontId="6" numFmtId="0" xfId="0" applyAlignment="1" applyBorder="1" applyFont="1">
      <alignment horizontal="center" vertical="center"/>
    </xf>
    <xf borderId="1" fillId="4" fontId="6" numFmtId="0" xfId="0" applyAlignment="1" applyBorder="1" applyFont="1">
      <alignment horizontal="center" readingOrder="0" vertical="center"/>
    </xf>
    <xf borderId="2" fillId="4" fontId="7" numFmtId="165" xfId="0" applyAlignment="1" applyBorder="1" applyFont="1" applyNumberFormat="1">
      <alignment horizontal="center" readingOrder="0" shrinkToFit="0" wrapText="0"/>
    </xf>
    <xf quotePrefix="1" borderId="1" fillId="4" fontId="6" numFmtId="0" xfId="0" applyAlignment="1" applyBorder="1" applyFont="1">
      <alignment horizontal="center" vertical="center"/>
    </xf>
    <xf borderId="2" fillId="4" fontId="7" numFmtId="0" xfId="0" applyAlignment="1" applyBorder="1" applyFont="1">
      <alignment horizontal="center" readingOrder="0" shrinkToFit="0" wrapText="0"/>
    </xf>
    <xf borderId="1" fillId="4" fontId="8" numFmtId="0" xfId="0" applyAlignment="1" applyBorder="1" applyFont="1">
      <alignment horizontal="center" readingOrder="0" shrinkToFit="0" wrapText="0"/>
    </xf>
    <xf borderId="1" fillId="4" fontId="5" numFmtId="0" xfId="0" applyAlignment="1" applyBorder="1" applyFont="1">
      <alignment horizontal="center" readingOrder="0" vertical="center"/>
    </xf>
    <xf borderId="0" fillId="4" fontId="4" numFmtId="0" xfId="0" applyFont="1"/>
    <xf borderId="2" fillId="3" fontId="7" numFmtId="166" xfId="0" applyAlignment="1" applyBorder="1" applyFont="1" applyNumberFormat="1">
      <alignment horizontal="center" readingOrder="0" shrinkToFit="0" wrapText="0"/>
    </xf>
    <xf borderId="2" fillId="3" fontId="7" numFmtId="0" xfId="0" applyAlignment="1" applyBorder="1" applyFont="1">
      <alignment horizontal="center" readingOrder="0" shrinkToFit="0" wrapText="0"/>
    </xf>
    <xf borderId="2" fillId="4" fontId="7" numFmtId="166" xfId="0" applyAlignment="1" applyBorder="1" applyFont="1" applyNumberFormat="1">
      <alignment horizontal="center" readingOrder="0" shrinkToFit="0" wrapText="0"/>
    </xf>
    <xf borderId="2" fillId="3" fontId="7" numFmtId="167" xfId="0" applyAlignment="1" applyBorder="1" applyFont="1" applyNumberFormat="1">
      <alignment horizontal="center" readingOrder="0" shrinkToFit="0" wrapText="0"/>
    </xf>
    <xf borderId="2" fillId="4" fontId="7" numFmtId="167" xfId="0" applyAlignment="1" applyBorder="1" applyFont="1" applyNumberFormat="1">
      <alignment horizontal="center" readingOrder="0" shrinkToFit="0" wrapText="0"/>
    </xf>
    <xf borderId="2" fillId="3" fontId="7" numFmtId="165" xfId="0" applyAlignment="1" applyBorder="1" applyFont="1" applyNumberFormat="1">
      <alignment horizontal="center" readingOrder="0" shrinkToFit="0" wrapText="0"/>
    </xf>
    <xf borderId="1" fillId="3" fontId="5" numFmtId="0" xfId="0" applyAlignment="1" applyBorder="1" applyFont="1">
      <alignment horizontal="center" readingOrder="0" vertical="center"/>
    </xf>
    <xf borderId="2" fillId="3" fontId="7" numFmtId="168" xfId="0" applyAlignment="1" applyBorder="1" applyFont="1" applyNumberFormat="1">
      <alignment horizontal="center" readingOrder="0" shrinkToFit="0" wrapText="0"/>
    </xf>
    <xf borderId="2" fillId="3" fontId="7" numFmtId="0" xfId="0" applyAlignment="1" applyBorder="1" applyFont="1">
      <alignment horizontal="center" shrinkToFit="0" wrapText="0"/>
    </xf>
    <xf borderId="2" fillId="4" fontId="7" numFmtId="168" xfId="0" applyAlignment="1" applyBorder="1" applyFont="1" applyNumberFormat="1">
      <alignment horizontal="center" readingOrder="0" shrinkToFit="0" wrapText="0"/>
    </xf>
    <xf borderId="2" fillId="4" fontId="7" numFmtId="169" xfId="0" applyAlignment="1" applyBorder="1" applyFont="1" applyNumberFormat="1">
      <alignment horizontal="center" readingOrder="0" shrinkToFit="0" wrapText="0"/>
    </xf>
    <xf borderId="2" fillId="3" fontId="7" numFmtId="169" xfId="0" applyAlignment="1" applyBorder="1" applyFont="1" applyNumberFormat="1">
      <alignment horizontal="center" readingOrder="0" shrinkToFit="0" wrapText="0"/>
    </xf>
    <xf borderId="2" fillId="4" fontId="7" numFmtId="0" xfId="0" applyAlignment="1" applyBorder="1" applyFont="1">
      <alignment horizontal="center" shrinkToFit="0" wrapText="0"/>
    </xf>
    <xf borderId="1" fillId="4" fontId="9" numFmtId="0" xfId="0" applyAlignment="1" applyBorder="1" applyFont="1">
      <alignment horizontal="center"/>
    </xf>
    <xf borderId="1" fillId="4" fontId="9" numFmtId="0" xfId="0" applyAlignment="1" applyBorder="1" applyFont="1">
      <alignment horizontal="center" readingOrder="0"/>
    </xf>
    <xf borderId="1" fillId="3" fontId="6" numFmtId="1" xfId="0" applyAlignment="1" applyBorder="1" applyFont="1" applyNumberFormat="1">
      <alignment horizontal="center" vertical="center"/>
    </xf>
    <xf borderId="2" fillId="3" fontId="7" numFmtId="170" xfId="0" applyAlignment="1" applyBorder="1" applyFont="1" applyNumberFormat="1">
      <alignment horizontal="center" readingOrder="0" shrinkToFit="0" wrapText="0"/>
    </xf>
    <xf borderId="2" fillId="4" fontId="7" numFmtId="170" xfId="0" applyAlignment="1" applyBorder="1" applyFont="1" applyNumberFormat="1">
      <alignment horizontal="center" readingOrder="0" shrinkToFit="0" wrapText="0"/>
    </xf>
    <xf borderId="1" fillId="3" fontId="6" numFmtId="171" xfId="0" applyAlignment="1" applyBorder="1" applyFont="1" applyNumberFormat="1">
      <alignment horizontal="center" readingOrder="0" vertical="center"/>
    </xf>
    <xf borderId="1" fillId="4" fontId="6" numFmtId="171" xfId="0" applyAlignment="1" applyBorder="1" applyFont="1" applyNumberFormat="1">
      <alignment horizontal="center" readingOrder="0" vertical="center"/>
    </xf>
    <xf borderId="1" fillId="3" fontId="6" numFmtId="172" xfId="0" applyAlignment="1" applyBorder="1" applyFont="1" applyNumberFormat="1">
      <alignment horizontal="center" readingOrder="0" vertical="center"/>
    </xf>
    <xf borderId="1" fillId="4" fontId="6" numFmtId="173" xfId="0" applyAlignment="1" applyBorder="1" applyFont="1" applyNumberFormat="1">
      <alignment horizontal="center" readingOrder="0" vertical="center"/>
    </xf>
    <xf borderId="1" fillId="4" fontId="6" numFmtId="170" xfId="0" applyAlignment="1" applyBorder="1" applyFont="1" applyNumberFormat="1">
      <alignment horizontal="center" readingOrder="0" vertical="center"/>
    </xf>
    <xf borderId="1" fillId="3" fontId="6" numFmtId="174" xfId="0" applyAlignment="1" applyBorder="1" applyFont="1" applyNumberFormat="1">
      <alignment horizontal="center" readingOrder="0" vertical="center"/>
    </xf>
    <xf borderId="1" fillId="3" fontId="6" numFmtId="175" xfId="0" applyAlignment="1" applyBorder="1" applyFont="1" applyNumberFormat="1">
      <alignment horizontal="center" readingOrder="0" vertical="center"/>
    </xf>
    <xf borderId="1" fillId="4" fontId="6" numFmtId="166" xfId="0" applyAlignment="1" applyBorder="1" applyFont="1" applyNumberFormat="1">
      <alignment horizontal="center" readingOrder="0" vertical="center"/>
    </xf>
    <xf borderId="1" fillId="3" fontId="6" numFmtId="173" xfId="0" applyAlignment="1" applyBorder="1" applyFont="1" applyNumberFormat="1">
      <alignment horizontal="center" readingOrder="0" vertical="center"/>
    </xf>
    <xf borderId="1" fillId="3" fontId="6" numFmtId="170" xfId="0" applyAlignment="1" applyBorder="1" applyFont="1" applyNumberFormat="1">
      <alignment horizontal="center" readingOrder="0" vertical="center"/>
    </xf>
    <xf borderId="1" fillId="3" fontId="6" numFmtId="176" xfId="0" applyAlignment="1" applyBorder="1" applyFont="1" applyNumberFormat="1">
      <alignment horizontal="center" readingOrder="0" vertical="center"/>
    </xf>
    <xf borderId="1" fillId="4" fontId="6" numFmtId="175" xfId="0" applyAlignment="1" applyBorder="1" applyFont="1" applyNumberFormat="1">
      <alignment horizontal="center" readingOrder="0" vertical="center"/>
    </xf>
    <xf borderId="1" fillId="3" fontId="6" numFmtId="166" xfId="0" applyAlignment="1" applyBorder="1" applyFont="1" applyNumberFormat="1">
      <alignment horizontal="center" readingOrder="0" vertical="center"/>
    </xf>
    <xf borderId="1" fillId="4" fontId="6" numFmtId="176" xfId="0" applyAlignment="1" applyBorder="1" applyFont="1" applyNumberFormat="1">
      <alignment horizontal="center" readingOrder="0" vertical="center"/>
    </xf>
    <xf borderId="1" fillId="4" fontId="6" numFmtId="168" xfId="0" applyAlignment="1" applyBorder="1" applyFont="1" applyNumberFormat="1">
      <alignment horizontal="center" readingOrder="0" vertical="center"/>
    </xf>
    <xf borderId="1" fillId="3" fontId="6" numFmtId="168" xfId="0" applyAlignment="1" applyBorder="1" applyFont="1" applyNumberFormat="1">
      <alignment horizontal="center" readingOrder="0" vertical="center"/>
    </xf>
    <xf borderId="1" fillId="4" fontId="6" numFmtId="1" xfId="0" applyAlignment="1" applyBorder="1" applyFont="1" applyNumberFormat="1">
      <alignment horizontal="center" readingOrder="0" vertical="center"/>
    </xf>
    <xf borderId="1" fillId="3" fontId="6" numFmtId="1" xfId="0" applyAlignment="1" applyBorder="1" applyFont="1" applyNumberFormat="1">
      <alignment horizontal="center" readingOrder="0" vertical="center"/>
    </xf>
    <xf quotePrefix="1" borderId="1" fillId="4" fontId="6" numFmtId="0" xfId="0" applyAlignment="1" applyBorder="1" applyFont="1">
      <alignment horizontal="center" readingOrder="0" vertical="center"/>
    </xf>
    <xf quotePrefix="1" borderId="1" fillId="3" fontId="6" numFmtId="0" xfId="0" applyAlignment="1" applyBorder="1" applyFont="1">
      <alignment horizontal="center" readingOrder="0" vertical="center"/>
    </xf>
    <xf borderId="1" fillId="3" fontId="6" numFmtId="177" xfId="0" applyAlignment="1" applyBorder="1" applyFont="1" applyNumberFormat="1">
      <alignment horizontal="center" readingOrder="0" vertical="center"/>
    </xf>
    <xf borderId="1" fillId="3" fontId="6" numFmtId="170" xfId="0" applyAlignment="1" applyBorder="1" applyFont="1" applyNumberFormat="1">
      <alignment horizontal="center" vertical="center"/>
    </xf>
    <xf borderId="1" fillId="4" fontId="6" numFmtId="170" xfId="0" applyAlignment="1" applyBorder="1" applyFont="1" applyNumberFormat="1">
      <alignment horizontal="center" vertical="center"/>
    </xf>
    <xf borderId="0" fillId="5" fontId="10" numFmtId="0" xfId="0" applyAlignment="1" applyFill="1" applyFont="1">
      <alignment horizontal="center" readingOrder="0" shrinkToFit="0" vertical="center" wrapText="1"/>
    </xf>
    <xf borderId="3" fillId="5" fontId="10" numFmtId="0" xfId="0" applyAlignment="1" applyBorder="1" applyFont="1">
      <alignment horizontal="center" readingOrder="0" shrinkToFit="0" wrapText="1"/>
    </xf>
    <xf borderId="3" fillId="5" fontId="10" numFmtId="0" xfId="0" applyAlignment="1" applyBorder="1" applyFont="1">
      <alignment horizontal="center" shrinkToFit="0" wrapText="1"/>
    </xf>
    <xf borderId="3" fillId="5" fontId="10" numFmtId="0" xfId="0" applyAlignment="1" applyBorder="1" applyFont="1">
      <alignment horizontal="left" shrinkToFit="0" wrapText="1"/>
    </xf>
    <xf borderId="3" fillId="5" fontId="11" numFmtId="0" xfId="0" applyAlignment="1" applyBorder="1" applyFont="1">
      <alignment horizontal="center" readingOrder="0" shrinkToFit="0" vertical="center" wrapText="1"/>
    </xf>
    <xf borderId="3" fillId="5" fontId="10" numFmtId="0" xfId="0" applyAlignment="1" applyBorder="1" applyFont="1">
      <alignment horizontal="center" readingOrder="0" shrinkToFit="0" vertical="center" wrapText="1"/>
    </xf>
    <xf borderId="4" fillId="5" fontId="10" numFmtId="0" xfId="0" applyAlignment="1" applyBorder="1" applyFont="1">
      <alignment horizontal="center" readingOrder="0" shrinkToFit="0" vertical="center" wrapText="1"/>
    </xf>
    <xf borderId="0" fillId="0" fontId="12" numFmtId="0" xfId="0" applyFont="1"/>
    <xf borderId="1" fillId="0" fontId="13" numFmtId="0" xfId="0" applyAlignment="1" applyBorder="1" applyFont="1">
      <alignment horizontal="center" readingOrder="0" shrinkToFit="0" wrapText="0"/>
    </xf>
    <xf borderId="1" fillId="0" fontId="13" numFmtId="0" xfId="0" applyAlignment="1" applyBorder="1" applyFont="1">
      <alignment horizontal="left" readingOrder="0" shrinkToFit="0" wrapText="0"/>
    </xf>
    <xf borderId="1" fillId="0" fontId="13" numFmtId="174" xfId="0" applyAlignment="1" applyBorder="1" applyFont="1" applyNumberFormat="1">
      <alignment horizontal="center" readingOrder="0" shrinkToFit="0" wrapText="0"/>
    </xf>
    <xf borderId="1" fillId="0" fontId="4" numFmtId="0" xfId="0" applyBorder="1" applyFont="1"/>
    <xf borderId="1" fillId="0" fontId="13" numFmtId="0" xfId="0" applyAlignment="1" applyBorder="1" applyFont="1">
      <alignment horizontal="center" readingOrder="0" shrinkToFit="0" wrapText="0"/>
    </xf>
    <xf borderId="1" fillId="0" fontId="14" numFmtId="0" xfId="0" applyAlignment="1" applyBorder="1" applyFont="1">
      <alignment horizontal="left" readingOrder="0" shrinkToFit="0" wrapText="0"/>
    </xf>
    <xf borderId="1" fillId="6" fontId="13" numFmtId="0" xfId="0" applyAlignment="1" applyBorder="1" applyFill="1" applyFont="1">
      <alignment horizontal="left" readingOrder="0" shrinkToFit="0" wrapText="0"/>
    </xf>
    <xf borderId="1" fillId="0" fontId="6" numFmtId="0" xfId="0" applyAlignment="1" applyBorder="1" applyFont="1">
      <alignment horizontal="left" readingOrder="0" shrinkToFit="0" wrapText="0"/>
    </xf>
    <xf borderId="1" fillId="0" fontId="15" numFmtId="0" xfId="0" applyAlignment="1" applyBorder="1" applyFont="1">
      <alignment horizontal="left" readingOrder="0" shrinkToFit="0" wrapText="0"/>
    </xf>
    <xf borderId="1" fillId="0" fontId="16" numFmtId="0" xfId="0" applyAlignment="1" applyBorder="1" applyFont="1">
      <alignment horizontal="left" vertical="bottom"/>
    </xf>
    <xf borderId="1" fillId="7" fontId="13" numFmtId="0" xfId="0" applyAlignment="1" applyBorder="1" applyFill="1" applyFont="1">
      <alignment horizontal="left" readingOrder="0" shrinkToFit="0" wrapText="0"/>
    </xf>
    <xf borderId="1" fillId="8" fontId="13" numFmtId="0" xfId="0" applyAlignment="1" applyBorder="1" applyFill="1" applyFont="1">
      <alignment horizontal="left" readingOrder="0" shrinkToFit="0" wrapText="0"/>
    </xf>
    <xf borderId="1" fillId="0" fontId="17" numFmtId="0" xfId="0" applyAlignment="1" applyBorder="1" applyFont="1">
      <alignment horizontal="center" shrinkToFit="0" vertical="bottom" wrapText="0"/>
    </xf>
    <xf borderId="1" fillId="0" fontId="13" numFmtId="168" xfId="0" applyAlignment="1" applyBorder="1" applyFont="1" applyNumberFormat="1">
      <alignment horizontal="center" readingOrder="0" shrinkToFit="0" wrapText="0"/>
    </xf>
    <xf borderId="1" fillId="0" fontId="18" numFmtId="0" xfId="0" applyAlignment="1" applyBorder="1" applyFont="1">
      <alignment vertical="bottom"/>
    </xf>
    <xf borderId="1" fillId="0" fontId="17" numFmtId="0" xfId="0" applyAlignment="1" applyBorder="1" applyFont="1">
      <alignment horizontal="center" shrinkToFit="0" vertical="bottom" wrapText="0"/>
    </xf>
    <xf borderId="1" fillId="0" fontId="16" numFmtId="0" xfId="0" applyAlignment="1" applyBorder="1" applyFont="1">
      <alignment horizontal="center" vertical="bottom"/>
    </xf>
    <xf borderId="1" fillId="0" fontId="4" numFmtId="0" xfId="0" applyAlignment="1" applyBorder="1" applyFont="1">
      <alignment readingOrder="0"/>
    </xf>
    <xf borderId="0" fillId="9" fontId="19" numFmtId="0" xfId="0" applyAlignment="1" applyFill="1" applyFont="1">
      <alignment horizontal="left" vertical="bottom"/>
    </xf>
    <xf borderId="0" fillId="9" fontId="20" numFmtId="0" xfId="0" applyAlignment="1" applyFont="1">
      <alignment readingOrder="0"/>
    </xf>
    <xf borderId="0" fillId="9" fontId="21" numFmtId="0" xfId="0" applyAlignment="1" applyFont="1">
      <alignment horizontal="center" readingOrder="0"/>
    </xf>
    <xf borderId="3" fillId="0" fontId="12" numFmtId="174" xfId="0" applyBorder="1" applyFont="1" applyNumberFormat="1"/>
    <xf borderId="3" fillId="0" fontId="12" numFmtId="0" xfId="0" applyAlignment="1" applyBorder="1" applyFont="1">
      <alignment readingOrder="0"/>
    </xf>
    <xf borderId="3" fillId="0" fontId="12" numFmtId="0" xfId="0" applyBorder="1" applyFont="1"/>
    <xf borderId="0" fillId="0" fontId="12" numFmtId="0" xfId="0" applyAlignment="1" applyFont="1">
      <alignment readingOrder="0"/>
    </xf>
    <xf borderId="0" fillId="0" fontId="12" numFmtId="174" xfId="0" applyFont="1" applyNumberFormat="1"/>
    <xf borderId="0" fillId="0" fontId="12" numFmtId="174" xfId="0" applyAlignment="1" applyFont="1" applyNumberFormat="1">
      <alignment horizontal="center"/>
    </xf>
    <xf borderId="0" fillId="0" fontId="12" numFmtId="0" xfId="0" applyAlignment="1" applyFont="1">
      <alignment horizontal="center" readingOrder="0"/>
    </xf>
    <xf borderId="0" fillId="0" fontId="4" numFmtId="0" xfId="0" applyAlignment="1" applyFont="1">
      <alignment readingOrder="0"/>
    </xf>
    <xf borderId="1" fillId="6" fontId="22" numFmtId="0" xfId="0" applyAlignment="1" applyBorder="1" applyFont="1">
      <alignment horizontal="center" vertical="bottom"/>
    </xf>
    <xf borderId="1" fillId="0" fontId="23" numFmtId="0" xfId="0" applyAlignment="1" applyBorder="1" applyFont="1">
      <alignment horizontal="center" vertical="bottom"/>
    </xf>
    <xf borderId="1" fillId="0" fontId="23" numFmtId="0" xfId="0" applyAlignment="1" applyBorder="1" applyFont="1">
      <alignment horizontal="center" readingOrder="0" vertical="bottom"/>
    </xf>
    <xf borderId="1" fillId="0" fontId="23" numFmtId="0" xfId="0" applyAlignment="1" applyBorder="1" applyFont="1">
      <alignment vertical="bottom"/>
    </xf>
    <xf borderId="1" fillId="0" fontId="24" numFmtId="0" xfId="0" applyBorder="1" applyFont="1"/>
    <xf borderId="1" fillId="0" fontId="24" numFmtId="0" xfId="0" applyAlignment="1" applyBorder="1" applyFont="1">
      <alignment horizontal="center"/>
    </xf>
    <xf borderId="0" fillId="0" fontId="24" numFmtId="0" xfId="0" applyAlignment="1" applyFont="1">
      <alignment horizontal="center"/>
    </xf>
    <xf borderId="0" fillId="0" fontId="24" numFmtId="0" xfId="0" applyFont="1"/>
    <xf borderId="1" fillId="10" fontId="25" numFmtId="0" xfId="0" applyBorder="1" applyFill="1" applyFont="1"/>
    <xf borderId="1" fillId="10" fontId="25" numFmtId="0" xfId="0" applyAlignment="1" applyBorder="1" applyFont="1">
      <alignment horizontal="center"/>
    </xf>
    <xf borderId="0" fillId="0" fontId="9" numFmtId="0" xfId="0" applyAlignment="1" applyFont="1">
      <alignment horizontal="center"/>
    </xf>
    <xf borderId="5" fillId="10" fontId="25" numFmtId="0" xfId="0" applyBorder="1" applyFont="1"/>
    <xf borderId="1" fillId="10" fontId="24" numFmtId="0" xfId="0" applyBorder="1" applyFont="1"/>
    <xf borderId="1" fillId="10" fontId="9" numFmtId="0" xfId="0" applyAlignment="1" applyBorder="1" applyFont="1">
      <alignment horizontal="center"/>
    </xf>
    <xf borderId="1" fillId="10" fontId="26" numFmtId="0" xfId="0" applyBorder="1" applyFont="1"/>
    <xf borderId="1" fillId="0" fontId="9" numFmtId="0" xfId="0" applyBorder="1" applyFont="1"/>
    <xf borderId="1" fillId="0" fontId="9" numFmtId="0" xfId="0" applyAlignment="1" applyBorder="1" applyFont="1">
      <alignment horizontal="center"/>
    </xf>
    <xf borderId="1" fillId="11" fontId="9" numFmtId="0" xfId="0" applyAlignment="1" applyBorder="1" applyFill="1" applyFont="1">
      <alignment horizontal="center"/>
    </xf>
    <xf borderId="1" fillId="0" fontId="25" numFmtId="0" xfId="0" applyBorder="1" applyFont="1"/>
    <xf borderId="1" fillId="0" fontId="25" numFmtId="0" xfId="0" applyAlignment="1" applyBorder="1" applyFont="1">
      <alignment horizontal="center"/>
    </xf>
    <xf borderId="1" fillId="11" fontId="25" numFmtId="0" xfId="0" applyAlignment="1" applyBorder="1" applyFont="1">
      <alignment horizontal="center"/>
    </xf>
    <xf borderId="1" fillId="9" fontId="25" numFmtId="0" xfId="0" applyAlignment="1" applyBorder="1" applyFont="1">
      <alignment horizontal="center"/>
    </xf>
    <xf borderId="1" fillId="0" fontId="9" numFmtId="0" xfId="0" applyAlignment="1" applyBorder="1" applyFont="1">
      <alignment horizontal="left"/>
    </xf>
    <xf borderId="1" fillId="0" fontId="25" numFmtId="0" xfId="0" applyAlignment="1" applyBorder="1" applyFont="1">
      <alignment horizontal="center" readingOrder="0"/>
    </xf>
    <xf borderId="1" fillId="9" fontId="27" numFmtId="0" xfId="0" applyAlignment="1" applyBorder="1" applyFont="1">
      <alignment horizontal="left"/>
    </xf>
    <xf borderId="1" fillId="0" fontId="28" numFmtId="0" xfId="0" applyAlignment="1" applyBorder="1" applyFont="1">
      <alignment vertical="center"/>
    </xf>
    <xf borderId="1" fillId="0" fontId="29" numFmtId="0" xfId="0" applyAlignment="1" applyBorder="1" applyFont="1">
      <alignment vertical="center"/>
    </xf>
    <xf borderId="1" fillId="9" fontId="30" numFmtId="0" xfId="0" applyBorder="1" applyFont="1"/>
    <xf borderId="1" fillId="11" fontId="31" numFmtId="0" xfId="0" applyBorder="1" applyFont="1"/>
    <xf borderId="0" fillId="0" fontId="4" numFmtId="178" xfId="0" applyFont="1" applyNumberFormat="1"/>
    <xf borderId="0" fillId="0" fontId="4" numFmtId="0" xfId="0" applyFont="1"/>
    <xf borderId="0" fillId="0" fontId="4" numFmtId="10" xfId="0" applyFont="1" applyNumberFormat="1"/>
    <xf borderId="0" fillId="0" fontId="4" numFmtId="10" xfId="0" applyAlignment="1" applyFont="1" applyNumberFormat="1">
      <alignment readingOrder="0"/>
    </xf>
    <xf borderId="0" fillId="0" fontId="4" numFmtId="2" xfId="0" applyFont="1" applyNumberFormat="1"/>
    <xf borderId="0" fillId="0" fontId="4" numFmtId="168" xfId="0" applyFont="1" applyNumberFormat="1"/>
    <xf borderId="0" fillId="0" fontId="4" numFmtId="169" xfId="0" applyFont="1" applyNumberFormat="1"/>
    <xf borderId="0" fillId="0" fontId="4" numFmtId="166" xfId="0" applyFont="1" applyNumberFormat="1"/>
    <xf borderId="0" fillId="0" fontId="4" numFmtId="170" xfId="0" applyFont="1" applyNumberFormat="1"/>
    <xf borderId="0" fillId="0" fontId="4" numFmtId="175" xfId="0" applyFont="1" applyNumberFormat="1"/>
    <xf borderId="0" fillId="0" fontId="4" numFmtId="49" xfId="0" applyFont="1" applyNumberFormat="1"/>
    <xf borderId="0" fillId="0" fontId="4" numFmtId="179" xfId="0" applyFont="1" applyNumberFormat="1"/>
    <xf borderId="0" fillId="0" fontId="4" numFmtId="165" xfId="0" applyFont="1" applyNumberFormat="1"/>
    <xf borderId="0" fillId="0" fontId="4" numFmtId="180" xfId="0" applyFont="1" applyNumberFormat="1"/>
    <xf borderId="0" fillId="0" fontId="4" numFmtId="167" xfId="0" applyFont="1" applyNumberFormat="1"/>
    <xf borderId="0" fillId="12" fontId="32" numFmtId="0" xfId="0" applyAlignment="1" applyFill="1" applyFont="1">
      <alignment horizontal="center" shrinkToFit="0" wrapText="1"/>
    </xf>
    <xf borderId="0" fillId="12" fontId="32" numFmtId="181" xfId="0" applyAlignment="1" applyFont="1" applyNumberFormat="1">
      <alignment horizontal="center" shrinkToFit="0" wrapText="1"/>
    </xf>
    <xf borderId="0" fillId="0" fontId="33" numFmtId="0" xfId="0" applyFont="1"/>
    <xf borderId="0" fillId="0" fontId="23" numFmtId="0" xfId="0" applyFont="1"/>
    <xf borderId="6" fillId="0" fontId="34" numFmtId="0" xfId="0" applyAlignment="1" applyBorder="1" applyFont="1">
      <alignment horizontal="center" vertical="bottom"/>
    </xf>
    <xf borderId="6" fillId="0" fontId="34" numFmtId="182" xfId="0" applyAlignment="1" applyBorder="1" applyFont="1" applyNumberFormat="1">
      <alignment horizontal="center" vertical="bottom"/>
    </xf>
    <xf borderId="6" fillId="0" fontId="18" numFmtId="0" xfId="0" applyAlignment="1" applyBorder="1" applyFont="1">
      <alignment horizontal="center" vertical="bottom"/>
    </xf>
    <xf borderId="6" fillId="0" fontId="23" numFmtId="0" xfId="0" applyAlignment="1" applyBorder="1" applyFont="1">
      <alignment vertical="bottom"/>
    </xf>
    <xf borderId="6" fillId="0" fontId="34" numFmtId="181" xfId="0" applyAlignment="1" applyBorder="1" applyFont="1" applyNumberFormat="1">
      <alignment horizontal="center" vertical="bottom"/>
    </xf>
    <xf borderId="0" fillId="0" fontId="23" numFmtId="0" xfId="0" applyAlignment="1" applyFont="1">
      <alignment vertical="bottom"/>
    </xf>
    <xf borderId="6" fillId="9" fontId="34" numFmtId="0" xfId="0" applyAlignment="1" applyBorder="1" applyFont="1">
      <alignment horizontal="center" vertical="bottom"/>
    </xf>
    <xf borderId="6" fillId="0" fontId="23" numFmtId="181" xfId="0" applyAlignment="1" applyBorder="1" applyFont="1" applyNumberFormat="1">
      <alignment vertical="bottom"/>
    </xf>
    <xf borderId="6" fillId="0" fontId="23" numFmtId="182" xfId="0" applyAlignment="1" applyBorder="1" applyFont="1" applyNumberFormat="1">
      <alignment vertical="bottom"/>
    </xf>
    <xf borderId="6" fillId="0" fontId="34" numFmtId="180" xfId="0" applyAlignment="1" applyBorder="1" applyFont="1" applyNumberFormat="1">
      <alignment horizontal="center" vertical="bottom"/>
    </xf>
    <xf borderId="6" fillId="13" fontId="34" numFmtId="0" xfId="0" applyAlignment="1" applyBorder="1" applyFill="1" applyFont="1">
      <alignment horizontal="center" vertical="bottom"/>
    </xf>
    <xf borderId="6" fillId="13" fontId="23" numFmtId="0" xfId="0" applyAlignment="1" applyBorder="1" applyFont="1">
      <alignment vertical="bottom"/>
    </xf>
    <xf borderId="6" fillId="13" fontId="34" numFmtId="181" xfId="0" applyAlignment="1" applyBorder="1" applyFont="1" applyNumberFormat="1">
      <alignment horizontal="center" vertical="bottom"/>
    </xf>
    <xf borderId="0" fillId="13" fontId="23" numFmtId="0" xfId="0" applyAlignment="1" applyFont="1">
      <alignment vertical="bottom"/>
    </xf>
    <xf borderId="6" fillId="13" fontId="34" numFmtId="182" xfId="0" applyAlignment="1" applyBorder="1" applyFont="1" applyNumberFormat="1">
      <alignment horizontal="center" vertical="bottom"/>
    </xf>
    <xf borderId="6" fillId="0" fontId="34" numFmtId="183" xfId="0" applyAlignment="1" applyBorder="1" applyFont="1" applyNumberFormat="1">
      <alignment horizontal="center" vertical="bottom"/>
    </xf>
    <xf borderId="6" fillId="0" fontId="34" numFmtId="172" xfId="0" applyAlignment="1" applyBorder="1" applyFont="1" applyNumberFormat="1">
      <alignment horizontal="center" readingOrder="0" vertical="bottom"/>
    </xf>
    <xf borderId="6" fillId="0" fontId="34" numFmtId="49" xfId="0" applyAlignment="1" applyBorder="1" applyFont="1" applyNumberFormat="1">
      <alignment horizontal="center" vertical="bottom"/>
    </xf>
    <xf borderId="6" fillId="0" fontId="34" numFmtId="0" xfId="0" applyAlignment="1" applyBorder="1" applyFont="1">
      <alignment horizontal="center" readingOrder="0" vertical="bottom"/>
    </xf>
    <xf borderId="0" fillId="9" fontId="34" numFmtId="0" xfId="0" applyAlignment="1" applyFont="1">
      <alignment horizontal="center" vertical="bottom"/>
    </xf>
    <xf borderId="6" fillId="0" fontId="23" numFmtId="0" xfId="0" applyAlignment="1" applyBorder="1" applyFont="1">
      <alignment horizontal="center" readingOrder="0" vertical="bottom"/>
    </xf>
    <xf borderId="6" fillId="0" fontId="23" numFmtId="0" xfId="0" applyAlignment="1" applyBorder="1" applyFont="1">
      <alignment readingOrder="0" vertical="bottom"/>
    </xf>
    <xf borderId="6" fillId="0" fontId="34" numFmtId="174" xfId="0" applyAlignment="1" applyBorder="1" applyFont="1" applyNumberFormat="1">
      <alignment horizontal="center" vertical="bottom"/>
    </xf>
    <xf borderId="6" fillId="0" fontId="34" numFmtId="181" xfId="0" applyAlignment="1" applyBorder="1" applyFont="1" applyNumberFormat="1">
      <alignment horizontal="center" readingOrder="0" vertical="bottom"/>
    </xf>
    <xf borderId="6" fillId="8" fontId="34" numFmtId="0" xfId="0" applyAlignment="1" applyBorder="1" applyFont="1">
      <alignment horizontal="center" vertical="bottom"/>
    </xf>
    <xf borderId="6" fillId="0" fontId="34" numFmtId="174" xfId="0" applyAlignment="1" applyBorder="1" applyFont="1" applyNumberFormat="1">
      <alignment horizontal="center" readingOrder="0" vertical="bottom"/>
    </xf>
    <xf borderId="6" fillId="0" fontId="23" numFmtId="181" xfId="0" applyAlignment="1" applyBorder="1" applyFont="1" applyNumberFormat="1">
      <alignment readingOrder="0" vertical="bottom"/>
    </xf>
    <xf borderId="0" fillId="0" fontId="23" numFmtId="0" xfId="0" applyAlignment="1" applyFont="1">
      <alignment readingOrder="0" vertical="bottom"/>
    </xf>
    <xf borderId="6" fillId="0" fontId="34" numFmtId="168" xfId="0" applyAlignment="1" applyBorder="1" applyFont="1" applyNumberFormat="1">
      <alignment horizontal="center" readingOrder="0" vertical="bottom"/>
    </xf>
    <xf borderId="6" fillId="0" fontId="34" numFmtId="184" xfId="0" applyAlignment="1" applyBorder="1" applyFont="1" applyNumberFormat="1">
      <alignment horizontal="center" readingOrder="0" vertical="bottom"/>
    </xf>
    <xf borderId="6" fillId="14" fontId="34" numFmtId="0" xfId="0" applyAlignment="1" applyBorder="1" applyFill="1" applyFont="1">
      <alignment horizontal="center" vertical="bottom"/>
    </xf>
    <xf borderId="6" fillId="14" fontId="34" numFmtId="184" xfId="0" applyAlignment="1" applyBorder="1" applyFont="1" applyNumberFormat="1">
      <alignment horizontal="center" readingOrder="0" vertical="bottom"/>
    </xf>
    <xf borderId="6" fillId="14" fontId="34" numFmtId="0" xfId="0" applyAlignment="1" applyBorder="1" applyFont="1">
      <alignment horizontal="center" readingOrder="0" vertical="bottom"/>
    </xf>
    <xf borderId="6" fillId="14" fontId="23" numFmtId="0" xfId="0" applyAlignment="1" applyBorder="1" applyFont="1">
      <alignment vertical="bottom"/>
    </xf>
    <xf borderId="6" fillId="14" fontId="23" numFmtId="181" xfId="0" applyAlignment="1" applyBorder="1" applyFont="1" applyNumberFormat="1">
      <alignment vertical="bottom"/>
    </xf>
    <xf borderId="6" fillId="14" fontId="34" numFmtId="181" xfId="0" applyAlignment="1" applyBorder="1" applyFont="1" applyNumberFormat="1">
      <alignment horizontal="center" vertical="bottom"/>
    </xf>
    <xf borderId="0" fillId="14" fontId="23" numFmtId="0" xfId="0" applyAlignment="1" applyFont="1">
      <alignment readingOrder="0" vertical="bottom"/>
    </xf>
    <xf borderId="0" fillId="0" fontId="4" numFmtId="0" xfId="0" applyAlignment="1" applyFont="1">
      <alignment horizontal="center"/>
    </xf>
    <xf borderId="7" fillId="15" fontId="35" numFmtId="0" xfId="0" applyAlignment="1" applyBorder="1" applyFill="1" applyFont="1">
      <alignment horizontal="center" readingOrder="0" shrinkToFit="0" vertical="center" wrapText="1"/>
    </xf>
    <xf borderId="7" fillId="15" fontId="36" numFmtId="0" xfId="0" applyAlignment="1" applyBorder="1" applyFont="1">
      <alignment horizontal="center" shrinkToFit="0" vertical="center" wrapText="1"/>
    </xf>
    <xf borderId="7" fillId="15" fontId="3" numFmtId="0" xfId="0" applyAlignment="1" applyBorder="1" applyFont="1">
      <alignment horizontal="center" shrinkToFit="0" vertical="center" wrapText="1"/>
    </xf>
    <xf borderId="7" fillId="15" fontId="36" numFmtId="181" xfId="0" applyAlignment="1" applyBorder="1" applyFont="1" applyNumberFormat="1">
      <alignment horizontal="center" readingOrder="0" shrinkToFit="0" vertical="center" wrapText="1"/>
    </xf>
    <xf borderId="7" fillId="15" fontId="35" numFmtId="181" xfId="0" applyAlignment="1" applyBorder="1" applyFont="1" applyNumberFormat="1">
      <alignment horizontal="center" readingOrder="0" shrinkToFit="0" vertical="center" wrapText="1"/>
    </xf>
    <xf borderId="7" fillId="15" fontId="1" numFmtId="0" xfId="0" applyAlignment="1" applyBorder="1" applyFont="1">
      <alignment horizontal="center" readingOrder="0" shrinkToFit="0" vertical="center" wrapText="1"/>
    </xf>
    <xf borderId="7" fillId="15" fontId="3"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1"/>
    </xf>
    <xf borderId="7" fillId="0" fontId="4" numFmtId="0" xfId="0" applyAlignment="1" applyBorder="1" applyFont="1">
      <alignment horizontal="center" vertical="center"/>
    </xf>
    <xf borderId="7" fillId="0" fontId="34" numFmtId="0" xfId="0" applyAlignment="1" applyBorder="1" applyFont="1">
      <alignment horizontal="center" vertical="center"/>
    </xf>
    <xf borderId="7" fillId="0" fontId="23" numFmtId="0" xfId="0" applyAlignment="1" applyBorder="1" applyFont="1">
      <alignment horizontal="center" vertical="center"/>
    </xf>
    <xf borderId="7" fillId="0" fontId="34" numFmtId="182" xfId="0" applyAlignment="1" applyBorder="1" applyFont="1" applyNumberFormat="1">
      <alignment horizontal="center" vertical="center"/>
    </xf>
    <xf borderId="7" fillId="0" fontId="18" numFmtId="0" xfId="0" applyAlignment="1" applyBorder="1" applyFont="1">
      <alignment horizontal="center" vertical="center"/>
    </xf>
    <xf borderId="7" fillId="0" fontId="34" numFmtId="181" xfId="0" applyAlignment="1" applyBorder="1" applyFont="1" applyNumberFormat="1">
      <alignment horizontal="center" vertical="center"/>
    </xf>
    <xf borderId="7" fillId="0" fontId="23" numFmtId="0" xfId="0" applyAlignment="1" applyBorder="1" applyFont="1">
      <alignment horizontal="center" readingOrder="0" vertical="center"/>
    </xf>
    <xf borderId="7" fillId="0" fontId="37" numFmtId="0" xfId="0" applyAlignment="1" applyBorder="1" applyFont="1">
      <alignment horizontal="center" vertical="center"/>
    </xf>
    <xf borderId="7" fillId="0" fontId="34" numFmtId="0" xfId="0" applyAlignment="1" applyBorder="1" applyFont="1">
      <alignment horizontal="center" readingOrder="0" vertical="center"/>
    </xf>
    <xf borderId="7" fillId="0" fontId="34" numFmtId="181" xfId="0" applyAlignment="1" applyBorder="1" applyFont="1" applyNumberFormat="1">
      <alignment horizontal="center" readingOrder="0" vertical="center"/>
    </xf>
    <xf borderId="7" fillId="0" fontId="23" numFmtId="181" xfId="0" applyAlignment="1" applyBorder="1" applyFont="1" applyNumberFormat="1">
      <alignment horizontal="center" vertical="center"/>
    </xf>
    <xf borderId="7" fillId="0" fontId="34" numFmtId="185" xfId="0" applyAlignment="1" applyBorder="1" applyFont="1" applyNumberFormat="1">
      <alignment horizontal="center" readingOrder="0" vertical="center"/>
    </xf>
    <xf borderId="7" fillId="0" fontId="23" numFmtId="182" xfId="0" applyAlignment="1" applyBorder="1" applyFont="1" applyNumberFormat="1">
      <alignment horizontal="center" vertical="center"/>
    </xf>
    <xf borderId="7" fillId="0" fontId="34" numFmtId="180" xfId="0" applyAlignment="1" applyBorder="1" applyFont="1" applyNumberFormat="1">
      <alignment horizontal="center" vertical="center"/>
    </xf>
    <xf borderId="7" fillId="0" fontId="34" numFmtId="183" xfId="0" applyAlignment="1" applyBorder="1" applyFont="1" applyNumberFormat="1">
      <alignment horizontal="center" vertical="center"/>
    </xf>
    <xf borderId="7" fillId="0" fontId="34" numFmtId="172" xfId="0" applyAlignment="1" applyBorder="1" applyFont="1" applyNumberFormat="1">
      <alignment horizontal="center" readingOrder="0" vertical="center"/>
    </xf>
    <xf borderId="7" fillId="0" fontId="34" numFmtId="184" xfId="0" applyAlignment="1" applyBorder="1" applyFont="1" applyNumberFormat="1">
      <alignment horizontal="center" readingOrder="0" vertical="center"/>
    </xf>
    <xf borderId="7" fillId="0" fontId="34" numFmtId="49" xfId="0" applyAlignment="1" applyBorder="1" applyFont="1" applyNumberFormat="1">
      <alignment horizontal="center" vertical="center"/>
    </xf>
    <xf borderId="7" fillId="0" fontId="34" numFmtId="174" xfId="0" applyAlignment="1" applyBorder="1" applyFont="1" applyNumberFormat="1">
      <alignment horizontal="center" vertical="center"/>
    </xf>
    <xf borderId="7" fillId="0" fontId="23" numFmtId="184" xfId="0" applyAlignment="1" applyBorder="1" applyFont="1" applyNumberFormat="1">
      <alignment horizontal="center" readingOrder="0" vertical="center"/>
    </xf>
    <xf borderId="7" fillId="0" fontId="34" numFmtId="174" xfId="0" applyAlignment="1" applyBorder="1" applyFont="1" applyNumberFormat="1">
      <alignment horizontal="center" readingOrder="0" vertical="center"/>
    </xf>
    <xf borderId="7" fillId="0" fontId="23" numFmtId="181" xfId="0" applyAlignment="1" applyBorder="1" applyFont="1" applyNumberFormat="1">
      <alignment horizontal="center" readingOrder="0" vertical="center"/>
    </xf>
    <xf borderId="7" fillId="0" fontId="23" numFmtId="172" xfId="0" applyAlignment="1" applyBorder="1" applyFont="1" applyNumberFormat="1">
      <alignment horizontal="center" readingOrder="0" vertical="center"/>
    </xf>
    <xf borderId="7" fillId="0" fontId="34" numFmtId="168" xfId="0" applyAlignment="1" applyBorder="1" applyFont="1" applyNumberFormat="1">
      <alignment horizontal="center" readingOrder="0" vertical="center"/>
    </xf>
    <xf borderId="7" fillId="0" fontId="4" numFmtId="0" xfId="0" applyAlignment="1" applyBorder="1" applyFont="1">
      <alignment horizontal="center" readingOrder="0" vertical="center"/>
    </xf>
    <xf borderId="7" fillId="0" fontId="38" numFmtId="0" xfId="0" applyAlignment="1" applyBorder="1" applyFont="1">
      <alignment horizontal="center" readingOrder="0" vertical="center"/>
    </xf>
    <xf borderId="7" fillId="0" fontId="34" numFmtId="49" xfId="0" applyAlignment="1" applyBorder="1" applyFont="1" applyNumberFormat="1">
      <alignment horizontal="center" readingOrder="0" vertical="center"/>
    </xf>
    <xf borderId="7" fillId="0" fontId="23" numFmtId="186" xfId="0" applyAlignment="1" applyBorder="1" applyFont="1" applyNumberFormat="1">
      <alignment horizontal="center" readingOrder="0" vertical="center"/>
    </xf>
    <xf borderId="7" fillId="0" fontId="23" numFmtId="186" xfId="0" applyAlignment="1" applyBorder="1" applyFont="1" applyNumberFormat="1">
      <alignment horizontal="center" vertical="center"/>
    </xf>
    <xf borderId="7" fillId="13" fontId="34" numFmtId="0" xfId="0" applyAlignment="1" applyBorder="1" applyFont="1">
      <alignment horizontal="center" readingOrder="0" vertical="center"/>
    </xf>
    <xf borderId="0" fillId="0" fontId="37" numFmtId="0" xfId="0" applyAlignment="1" applyFont="1">
      <alignment horizontal="center" readingOrder="0" vertical="center"/>
    </xf>
    <xf borderId="0" fillId="0" fontId="37" numFmtId="0" xfId="0" applyAlignment="1" applyFont="1">
      <alignment horizontal="center" readingOrder="0" shrinkToFit="0" vertical="center" wrapText="1"/>
    </xf>
    <xf borderId="0" fillId="0" fontId="4" numFmtId="0" xfId="0" applyAlignment="1" applyFont="1">
      <alignment horizontal="center" vertical="center"/>
    </xf>
    <xf borderId="0" fillId="0" fontId="4" numFmtId="0" xfId="0" applyAlignment="1" applyFont="1">
      <alignment horizontal="center" readingOrder="0" vertical="center"/>
    </xf>
    <xf borderId="0" fillId="0" fontId="39" numFmtId="0" xfId="0" applyAlignment="1" applyFont="1">
      <alignment horizontal="center"/>
    </xf>
    <xf borderId="0" fillId="0" fontId="4" numFmtId="0" xfId="0" applyAlignment="1" applyFont="1">
      <alignment horizontal="center" readingOrder="0"/>
    </xf>
    <xf borderId="1" fillId="0" fontId="40" numFmtId="0" xfId="0" applyAlignment="1" applyBorder="1" applyFont="1">
      <alignment shrinkToFit="0" vertical="bottom" wrapText="0"/>
    </xf>
    <xf borderId="1" fillId="0" fontId="41" numFmtId="49" xfId="0" applyAlignment="1" applyBorder="1" applyFont="1" applyNumberFormat="1">
      <alignment horizontal="right" shrinkToFit="0" vertical="bottom" wrapText="0"/>
    </xf>
    <xf borderId="1" fillId="0" fontId="41" numFmtId="0" xfId="0" applyAlignment="1" applyBorder="1" applyFont="1">
      <alignment shrinkToFit="0" vertical="bottom" wrapText="0"/>
    </xf>
    <xf borderId="1" fillId="0" fontId="42" numFmtId="0" xfId="0" applyAlignment="1" applyBorder="1" applyFont="1">
      <alignment vertical="bottom"/>
    </xf>
    <xf borderId="0" fillId="0" fontId="42" numFmtId="0" xfId="0" applyAlignment="1" applyFont="1">
      <alignment vertical="bottom"/>
    </xf>
    <xf borderId="1" fillId="0" fontId="42" numFmtId="0" xfId="0" applyAlignment="1" applyBorder="1" applyFont="1">
      <alignment horizontal="right" shrinkToFit="0" vertical="bottom" wrapText="0"/>
    </xf>
    <xf borderId="1" fillId="0" fontId="42" numFmtId="49" xfId="0" applyAlignment="1" applyBorder="1" applyFont="1" applyNumberFormat="1">
      <alignment horizontal="right" shrinkToFit="0" vertical="bottom" wrapText="0"/>
    </xf>
    <xf borderId="1" fillId="0" fontId="42" numFmtId="0" xfId="0" applyAlignment="1" applyBorder="1" applyFont="1">
      <alignment shrinkToFit="0" vertical="bottom" wrapText="0"/>
    </xf>
    <xf borderId="1" fillId="0" fontId="43" numFmtId="0" xfId="0" applyAlignment="1" applyBorder="1" applyFont="1">
      <alignment shrinkToFit="0" vertical="bottom" wrapText="0"/>
    </xf>
    <xf borderId="1" fillId="0" fontId="42" numFmtId="49" xfId="0" applyAlignment="1" applyBorder="1" applyFont="1" applyNumberFormat="1">
      <alignment vertical="bottom"/>
    </xf>
    <xf borderId="1" fillId="0" fontId="43" numFmtId="0" xfId="0" applyAlignment="1" applyBorder="1" applyFont="1">
      <alignment horizontal="right" shrinkToFit="0" vertical="bottom" wrapText="0"/>
    </xf>
    <xf borderId="1" fillId="13" fontId="42" numFmtId="0" xfId="0" applyAlignment="1" applyBorder="1" applyFont="1">
      <alignment horizontal="right" shrinkToFit="0" vertical="bottom" wrapText="0"/>
    </xf>
    <xf borderId="1" fillId="13" fontId="42" numFmtId="49" xfId="0" applyAlignment="1" applyBorder="1" applyFont="1" applyNumberFormat="1">
      <alignment horizontal="right" shrinkToFit="0" vertical="bottom" wrapText="0"/>
    </xf>
    <xf borderId="1" fillId="13" fontId="42" numFmtId="0" xfId="0" applyAlignment="1" applyBorder="1" applyFont="1">
      <alignment shrinkToFit="0" vertical="bottom" wrapText="0"/>
    </xf>
    <xf borderId="1" fillId="13" fontId="42" numFmtId="0" xfId="0" applyAlignment="1" applyBorder="1" applyFont="1">
      <alignment vertical="bottom"/>
    </xf>
    <xf borderId="1" fillId="13" fontId="43" numFmtId="0" xfId="0" applyAlignment="1" applyBorder="1" applyFont="1">
      <alignment shrinkToFit="0" vertical="bottom" wrapText="0"/>
    </xf>
    <xf borderId="0" fillId="13" fontId="42" numFmtId="0" xfId="0" applyAlignment="1" applyFont="1">
      <alignment vertical="bottom"/>
    </xf>
    <xf borderId="1" fillId="0" fontId="43" numFmtId="49" xfId="0" applyAlignment="1" applyBorder="1" applyFont="1" applyNumberFormat="1">
      <alignment horizontal="right" shrinkToFit="0" vertical="bottom" wrapText="0"/>
    </xf>
    <xf borderId="0" fillId="0" fontId="44" numFmtId="0" xfId="0" applyAlignment="1" applyFont="1">
      <alignment shrinkToFit="0" vertical="bottom" wrapText="1"/>
    </xf>
    <xf borderId="2" fillId="0" fontId="18" numFmtId="0" xfId="0" applyAlignment="1" applyBorder="1" applyFont="1">
      <alignment vertical="bottom"/>
    </xf>
    <xf borderId="2" fillId="0" fontId="42" numFmtId="0" xfId="0" applyAlignment="1" applyBorder="1" applyFont="1">
      <alignment vertical="bottom"/>
    </xf>
    <xf borderId="0" fillId="0" fontId="43" numFmtId="0" xfId="0" applyAlignment="1" applyFont="1">
      <alignment vertical="bottom"/>
    </xf>
    <xf borderId="0" fillId="0" fontId="45" numFmtId="0" xfId="0" applyAlignment="1" applyFont="1">
      <alignment shrinkToFit="0" vertical="bottom" wrapText="1"/>
    </xf>
    <xf borderId="0" fillId="0" fontId="42" numFmtId="0" xfId="0" applyAlignment="1" applyFont="1">
      <alignment horizontal="right" vertical="bottom"/>
    </xf>
    <xf borderId="0" fillId="9" fontId="46" numFmtId="0" xfId="0" applyAlignment="1" applyFont="1">
      <alignment vertical="bottom"/>
    </xf>
    <xf quotePrefix="1" borderId="0" fillId="0" fontId="42" numFmtId="49" xfId="0" applyAlignment="1" applyFont="1" applyNumberFormat="1">
      <alignment horizontal="right" vertical="bottom"/>
    </xf>
    <xf quotePrefix="1" borderId="1" fillId="0" fontId="42" numFmtId="49" xfId="0" applyAlignment="1" applyBorder="1" applyFont="1" applyNumberFormat="1">
      <alignment horizontal="right" shrinkToFit="0" vertical="bottom" wrapText="0"/>
    </xf>
    <xf borderId="0" fillId="0" fontId="42" numFmtId="49" xfId="0" applyAlignment="1" applyFont="1" applyNumberFormat="1">
      <alignment horizontal="right" vertical="bottom"/>
    </xf>
    <xf borderId="1" fillId="16" fontId="42" numFmtId="0" xfId="0" applyAlignment="1" applyBorder="1" applyFill="1" applyFont="1">
      <alignment vertical="top"/>
    </xf>
    <xf borderId="1" fillId="9" fontId="42" numFmtId="0" xfId="0" applyAlignment="1" applyBorder="1" applyFont="1">
      <alignment vertical="bottom"/>
    </xf>
    <xf borderId="1" fillId="9" fontId="46" numFmtId="0" xfId="0" applyAlignment="1" applyBorder="1" applyFont="1">
      <alignment horizontal="right" vertical="bottom"/>
    </xf>
    <xf borderId="1" fillId="0" fontId="18" numFmtId="0" xfId="0" applyAlignment="1" applyBorder="1" applyFont="1">
      <alignment horizontal="right" vertical="bottom"/>
    </xf>
    <xf borderId="0" fillId="0" fontId="43" numFmtId="165" xfId="0" applyAlignment="1" applyFont="1" applyNumberFormat="1">
      <alignment horizontal="right" vertical="bottom"/>
    </xf>
    <xf borderId="1" fillId="0" fontId="42" numFmtId="0" xfId="0" applyAlignment="1" applyBorder="1" applyFont="1">
      <alignment horizontal="right" vertical="bottom"/>
    </xf>
    <xf borderId="8" fillId="0" fontId="18" numFmtId="0" xfId="0" applyAlignment="1" applyBorder="1" applyFont="1">
      <alignment horizontal="right" vertical="bottom"/>
    </xf>
    <xf borderId="0" fillId="0" fontId="43" numFmtId="180" xfId="0" applyAlignment="1" applyFont="1" applyNumberFormat="1">
      <alignment horizontal="right" vertical="bottom"/>
    </xf>
    <xf borderId="1" fillId="9" fontId="18" numFmtId="0" xfId="0" applyAlignment="1" applyBorder="1" applyFont="1">
      <alignment horizontal="right" vertical="bottom"/>
    </xf>
    <xf borderId="1" fillId="9" fontId="18" numFmtId="0" xfId="0" applyAlignment="1" applyBorder="1" applyFont="1">
      <alignment vertical="bottom"/>
    </xf>
    <xf borderId="0" fillId="0" fontId="42" numFmtId="165" xfId="0" applyAlignment="1" applyFont="1" applyNumberFormat="1">
      <alignment horizontal="right" vertical="bottom"/>
    </xf>
    <xf borderId="0" fillId="0" fontId="43" numFmtId="167" xfId="0" applyAlignment="1" applyFont="1" applyNumberFormat="1">
      <alignment horizontal="right" vertical="bottom"/>
    </xf>
    <xf borderId="1" fillId="0" fontId="42" numFmtId="0" xfId="0" applyAlignment="1" applyBorder="1" applyFont="1">
      <alignment horizontal="center" shrinkToFit="0" vertical="bottom" wrapText="0"/>
    </xf>
    <xf borderId="1" fillId="9" fontId="47" numFmtId="0" xfId="0" applyAlignment="1" applyBorder="1" applyFont="1">
      <alignment horizontal="right" vertical="bottom"/>
    </xf>
    <xf borderId="0" fillId="0" fontId="42" numFmtId="49" xfId="0" applyAlignment="1" applyFont="1" applyNumberFormat="1">
      <alignment vertical="bottom"/>
    </xf>
    <xf borderId="1" fillId="0" fontId="18" numFmtId="165" xfId="0" applyAlignment="1" applyBorder="1" applyFont="1" applyNumberFormat="1">
      <alignment vertical="bottom"/>
    </xf>
    <xf borderId="0" fillId="0" fontId="43" numFmtId="49" xfId="0" applyAlignment="1" applyFont="1" applyNumberFormat="1">
      <alignment horizontal="right" shrinkToFit="0" vertical="bottom" wrapText="0"/>
    </xf>
    <xf borderId="1" fillId="0" fontId="43" numFmtId="0" xfId="0" applyAlignment="1" applyBorder="1" applyFont="1">
      <alignment vertical="bottom"/>
    </xf>
    <xf borderId="0" fillId="0" fontId="43" numFmtId="49" xfId="0" applyAlignment="1" applyFont="1" applyNumberFormat="1">
      <alignment horizontal="right" vertical="bottom"/>
    </xf>
    <xf borderId="0" fillId="0" fontId="42" numFmtId="49" xfId="0" applyAlignment="1" applyFont="1" applyNumberFormat="1">
      <alignment horizontal="right" shrinkToFit="0" vertical="bottom" wrapText="0"/>
    </xf>
    <xf borderId="0" fillId="8" fontId="43" numFmtId="49" xfId="0" applyAlignment="1" applyFont="1" applyNumberFormat="1">
      <alignment horizontal="right" shrinkToFit="0" vertical="bottom" wrapText="0"/>
    </xf>
    <xf borderId="1" fillId="13" fontId="18" numFmtId="0" xfId="0" applyAlignment="1" applyBorder="1" applyFont="1">
      <alignment vertical="bottom"/>
    </xf>
    <xf borderId="1" fillId="7" fontId="18" numFmtId="0" xfId="0" applyAlignment="1" applyBorder="1" applyFont="1">
      <alignment vertical="bottom"/>
    </xf>
    <xf borderId="1" fillId="17" fontId="18" numFmtId="0" xfId="0" applyAlignment="1" applyBorder="1" applyFill="1" applyFont="1">
      <alignment vertical="bottom"/>
    </xf>
    <xf borderId="1" fillId="18" fontId="18" numFmtId="0" xfId="0" applyAlignment="1" applyBorder="1" applyFill="1" applyFont="1">
      <alignment vertical="bottom"/>
    </xf>
    <xf borderId="0" fillId="0" fontId="43" numFmtId="49" xfId="0" applyAlignment="1" applyFont="1" applyNumberFormat="1">
      <alignment horizontal="right" shrinkToFit="0" vertical="bottom" wrapText="1"/>
    </xf>
    <xf borderId="1" fillId="19" fontId="18" numFmtId="0" xfId="0" applyAlignment="1" applyBorder="1" applyFill="1" applyFont="1">
      <alignment vertical="bottom"/>
    </xf>
    <xf borderId="0" fillId="13" fontId="18" numFmtId="0" xfId="0" applyAlignment="1" applyFont="1">
      <alignment vertical="bottom"/>
    </xf>
    <xf borderId="9" fillId="0" fontId="18" numFmtId="0" xfId="0" applyAlignment="1" applyBorder="1" applyFont="1">
      <alignment vertical="bottom"/>
    </xf>
    <xf borderId="0" fillId="9" fontId="42" numFmtId="0" xfId="0" applyAlignment="1" applyFont="1">
      <alignment vertical="bottom"/>
    </xf>
    <xf borderId="2" fillId="0" fontId="48" numFmtId="0" xfId="0" applyBorder="1" applyFont="1"/>
    <xf borderId="1" fillId="9" fontId="46" numFmtId="0" xfId="0" applyAlignment="1" applyBorder="1" applyFont="1">
      <alignment vertical="bottom"/>
    </xf>
    <xf borderId="10" fillId="0" fontId="48" numFmtId="0" xfId="0" applyBorder="1" applyFont="1"/>
    <xf borderId="9" fillId="0" fontId="43" numFmtId="0" xfId="0" applyAlignment="1" applyBorder="1" applyFont="1">
      <alignment shrinkToFit="0" vertical="bottom" wrapText="0"/>
    </xf>
    <xf borderId="0" fillId="0" fontId="49" numFmtId="0" xfId="0" applyAlignment="1" applyFont="1">
      <alignment vertical="bottom"/>
    </xf>
    <xf borderId="0" fillId="0" fontId="50" numFmtId="0" xfId="0" applyAlignment="1" applyFont="1">
      <alignment vertical="bottom"/>
    </xf>
    <xf borderId="1" fillId="8" fontId="18" numFmtId="0" xfId="0" applyAlignment="1" applyBorder="1" applyFont="1">
      <alignment vertical="bottom"/>
    </xf>
    <xf borderId="9" fillId="0" fontId="42" numFmtId="0" xfId="0" applyAlignment="1" applyBorder="1" applyFont="1">
      <alignment vertical="bottom"/>
    </xf>
    <xf borderId="1" fillId="9" fontId="43" numFmtId="0" xfId="0" applyAlignment="1" applyBorder="1" applyFont="1">
      <alignment shrinkToFit="0" vertical="bottom" wrapText="0"/>
    </xf>
    <xf borderId="0" fillId="8" fontId="42" numFmtId="0" xfId="0" applyAlignment="1" applyFont="1">
      <alignment vertical="bottom"/>
    </xf>
    <xf borderId="0" fillId="8" fontId="42" numFmtId="49" xfId="0" applyAlignment="1" applyFont="1" applyNumberFormat="1">
      <alignment vertical="bottom"/>
    </xf>
    <xf borderId="1" fillId="8" fontId="42" numFmtId="0" xfId="0" applyAlignment="1" applyBorder="1" applyFont="1">
      <alignment vertical="bottom"/>
    </xf>
    <xf borderId="1" fillId="9" fontId="43" numFmtId="0" xfId="0" applyAlignment="1" applyBorder="1" applyFont="1">
      <alignment vertical="bottom"/>
    </xf>
    <xf borderId="1" fillId="20" fontId="51" numFmtId="0" xfId="0" applyAlignment="1" applyBorder="1" applyFill="1" applyFont="1">
      <alignment horizontal="center" vertical="bottom"/>
    </xf>
    <xf borderId="1" fillId="0" fontId="52" numFmtId="0" xfId="0" applyAlignment="1" applyBorder="1" applyFont="1">
      <alignment horizontal="center" vertical="bottom"/>
    </xf>
    <xf borderId="1" fillId="0" fontId="16" numFmtId="0" xfId="0" applyAlignment="1" applyBorder="1" applyFont="1">
      <alignment horizontal="center" vertical="bottom"/>
    </xf>
    <xf borderId="1" fillId="0" fontId="42" numFmtId="0" xfId="0" applyAlignment="1" applyBorder="1" applyFont="1">
      <alignment horizontal="center" vertical="bottom"/>
    </xf>
    <xf borderId="1" fillId="0" fontId="52" numFmtId="0" xfId="0" applyAlignment="1" applyBorder="1" applyFont="1">
      <alignment vertical="bottom"/>
    </xf>
    <xf borderId="1" fillId="0" fontId="18" numFmtId="0" xfId="0" applyAlignment="1" applyBorder="1" applyFont="1">
      <alignment horizontal="center" vertical="bottom"/>
    </xf>
    <xf borderId="1" fillId="9" fontId="52" numFmtId="0" xfId="0" applyAlignment="1" applyBorder="1" applyFont="1">
      <alignment horizontal="center" vertical="bottom"/>
    </xf>
    <xf borderId="1" fillId="0" fontId="43" numFmtId="0" xfId="0" applyAlignment="1" applyBorder="1" applyFont="1">
      <alignment horizontal="center" vertical="bottom"/>
    </xf>
    <xf borderId="0" fillId="21" fontId="53" numFmtId="0" xfId="0" applyAlignment="1" applyFill="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horizontal="center" vertical="center"/>
    </xf>
    <xf borderId="1" fillId="14" fontId="4" numFmtId="0" xfId="0" applyAlignment="1" applyBorder="1" applyFont="1">
      <alignment horizontal="center" readingOrder="0" vertical="center"/>
    </xf>
    <xf borderId="0" fillId="0" fontId="4" numFmtId="0" xfId="0" applyAlignment="1" applyFont="1">
      <alignment readingOrder="0"/>
    </xf>
    <xf borderId="1" fillId="0" fontId="4" numFmtId="0" xfId="0" applyAlignment="1" applyBorder="1" applyFont="1">
      <alignment readingOrder="0"/>
    </xf>
    <xf borderId="9" fillId="0" fontId="4" numFmtId="0" xfId="0" applyAlignment="1" applyBorder="1" applyFont="1">
      <alignment horizontal="center" readingOrder="0" shrinkToFit="0" wrapText="1"/>
    </xf>
    <xf borderId="1" fillId="0" fontId="54" numFmtId="0" xfId="0" applyAlignment="1" applyBorder="1" applyFont="1">
      <alignment readingOrder="0"/>
    </xf>
    <xf borderId="1" fillId="0" fontId="4" numFmtId="0" xfId="0" applyAlignment="1" applyBorder="1" applyFont="1">
      <alignment horizontal="center" readingOrder="0" shrinkToFit="0" wrapText="1"/>
    </xf>
    <xf borderId="1" fillId="0" fontId="55" numFmtId="0" xfId="0" applyAlignment="1" applyBorder="1" applyFont="1">
      <alignment readingOrder="0"/>
    </xf>
  </cellXfs>
  <cellStyles count="1">
    <cellStyle xfId="0" name="Normal" builtinId="0"/>
  </cellStyles>
  <dxfs count="4">
    <dxf>
      <font/>
      <fill>
        <patternFill patternType="none"/>
      </fill>
      <border/>
    </dxf>
    <dxf>
      <font/>
      <fill>
        <patternFill patternType="solid">
          <fgColor rgb="FFB7E1CD"/>
          <bgColor rgb="FFB7E1CD"/>
        </patternFill>
      </fill>
      <border/>
    </dxf>
    <dxf>
      <font>
        <color rgb="FFFF0000"/>
      </font>
      <fill>
        <patternFill patternType="solid">
          <fgColor rgb="FFB7E1CD"/>
          <bgColor rgb="FFB7E1CD"/>
        </patternFill>
      </fill>
      <border/>
    </dxf>
    <dxf>
      <font>
        <color rgb="FF34A853"/>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4B222"/>
                </a:solidFill>
                <a:latin typeface="+mn-lt"/>
              </a:defRPr>
            </a:pPr>
            <a:r>
              <a:rPr b="1">
                <a:solidFill>
                  <a:srgbClr val="74B222"/>
                </a:solidFill>
                <a:latin typeface="+mn-lt"/>
              </a:rPr>
              <a:t>Total Shipment</a:t>
            </a:r>
          </a:p>
        </c:rich>
      </c:tx>
      <c:layout>
        <c:manualLayout>
          <c:xMode val="edge"/>
          <c:yMode val="edge"/>
          <c:x val="0.03091666666666667"/>
          <c:y val="0.5216981132075471"/>
        </c:manualLayout>
      </c:layout>
      <c:overlay val="0"/>
    </c:title>
    <c:plotArea>
      <c:layout/>
      <c:doughnutChart>
        <c:varyColors val="1"/>
        <c:ser>
          <c:idx val="0"/>
          <c:order val="0"/>
          <c:dPt>
            <c:idx val="0"/>
            <c:spPr>
              <a:solidFill>
                <a:srgbClr val="74B222"/>
              </a:solidFill>
            </c:spPr>
          </c:dPt>
          <c:dLbls>
            <c:dLbl>
              <c:idx val="0"/>
              <c:txPr>
                <a:bodyPr/>
                <a:lstStyle/>
                <a:p>
                  <a:pPr lvl="0">
                    <a:defRPr b="1">
                      <a:solidFill>
                        <a:srgbClr val="FFFFFF"/>
                      </a:solidFill>
                    </a:defRPr>
                  </a:pPr>
                </a:p>
              </c:txPr>
              <c:showLegendKey val="0"/>
              <c:showVal val="1"/>
              <c:showCatName val="0"/>
              <c:showSerName val="0"/>
              <c:showPercent val="0"/>
              <c:showBubbleSize val="0"/>
            </c:dLbl>
            <c:dLbl>
              <c:idx val="1"/>
              <c:tx>
                <c:rich>
                  <a:bodyPr/>
                  <a:lstStyle/>
                  <a:p>
                    <a:pPr lvl="0">
                      <a:defRPr b="0">
                        <a:solidFill>
                          <a:srgbClr val="000000"/>
                        </a:solidFill>
                        <a:latin typeface="+mn-lt"/>
                      </a:defRPr>
                    </a:pPr>
                    <a:r>
                      <a:rPr b="0">
                        <a:solidFill>
                          <a:srgbClr val="000000"/>
                        </a:solidFill>
                        <a:latin typeface="+mn-lt"/>
                      </a:rPr>
                      <a:t> </a:t>
                    </a:r>
                  </a:p>
                </c:rich>
              </c:tx>
              <c:showLegendKey val="0"/>
              <c:showVal val="1"/>
              <c:showCatName val="0"/>
              <c:showSerName val="0"/>
              <c:showPercent val="0"/>
              <c:showBubbleSize val="0"/>
            </c:dLbl>
            <c:showLegendKey val="0"/>
            <c:showVal val="1"/>
            <c:showCatName val="0"/>
            <c:showSerName val="0"/>
            <c:showPercent val="0"/>
            <c:showBubbleSize val="0"/>
            <c:showLeaderLines val="1"/>
          </c:dLbls>
          <c:cat>
            <c:strRef>
              <c:f>Dashboard!$I$1:$J$1</c:f>
            </c:strRef>
          </c:cat>
          <c:val>
            <c:numRef>
              <c:f>Dashboard!$I$1:$J$1</c:f>
              <c:numCache/>
            </c:numRef>
          </c:val>
        </c:ser>
        <c:dLbls>
          <c:showLegendKey val="0"/>
          <c:showVal val="0"/>
          <c:showCatName val="0"/>
          <c:showSerName val="0"/>
          <c:showPercent val="0"/>
          <c:showBubbleSize val="0"/>
        </c:dLbls>
        <c:holeSize val="75"/>
      </c:doughnutChart>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4B222"/>
                </a:solidFill>
                <a:latin typeface="+mn-lt"/>
              </a:defRPr>
            </a:pPr>
            <a:r>
              <a:rPr b="1">
                <a:solidFill>
                  <a:srgbClr val="74B222"/>
                </a:solidFill>
                <a:latin typeface="+mn-lt"/>
              </a:rPr>
              <a:t>Last 3 Months </a:t>
            </a:r>
          </a:p>
        </c:rich>
      </c:tx>
      <c:layout>
        <c:manualLayout>
          <c:xMode val="edge"/>
          <c:yMode val="edge"/>
          <c:x val="0.03425000000000001"/>
          <c:y val="0.5216981132075472"/>
        </c:manualLayout>
      </c:layout>
      <c:overlay val="0"/>
    </c:title>
    <c:plotArea>
      <c:layout/>
      <c:doughnutChart>
        <c:varyColors val="1"/>
        <c:ser>
          <c:idx val="0"/>
          <c:order val="0"/>
          <c:dPt>
            <c:idx val="0"/>
          </c:dPt>
          <c:dLbls>
            <c:showLegendKey val="0"/>
            <c:showVal val="0"/>
            <c:showCatName val="1"/>
            <c:showSerName val="0"/>
            <c:showPercent val="0"/>
            <c:showBubbleSize val="0"/>
            <c:showLeaderLines val="1"/>
          </c:dLbls>
          <c:cat>
            <c:strRef>
              <c:f>Dashboard!$I$2:$J$2</c:f>
            </c:strRef>
          </c:cat>
          <c:val>
            <c:numRef>
              <c:f>Dashboard!$I$2:$J$2</c:f>
              <c:numCache/>
            </c:numRef>
          </c:val>
        </c:ser>
        <c:dLbls>
          <c:showLegendKey val="0"/>
          <c:showVal val="0"/>
          <c:showCatName val="0"/>
          <c:showSerName val="0"/>
          <c:showPercent val="0"/>
          <c:showBubbleSize val="0"/>
        </c:dLbls>
        <c:holeSize val="75"/>
      </c:doughnutChart>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74B222"/>
                </a:solidFill>
                <a:latin typeface="+mn-lt"/>
              </a:defRPr>
            </a:pPr>
            <a:r>
              <a:rPr b="1" sz="1800">
                <a:solidFill>
                  <a:srgbClr val="74B222"/>
                </a:solidFill>
                <a:latin typeface="+mn-lt"/>
              </a:rPr>
              <a:t>Shipments Ready in a Week</a:t>
            </a:r>
          </a:p>
        </c:rich>
      </c:tx>
      <c:layout>
        <c:manualLayout>
          <c:xMode val="edge"/>
          <c:yMode val="edge"/>
          <c:x val="-0.012416666666666666"/>
          <c:y val="0.5136118598382748"/>
        </c:manualLayout>
      </c:layout>
      <c:overlay val="0"/>
    </c:title>
    <c:plotArea>
      <c:layout/>
      <c:doughnutChart>
        <c:varyColors val="1"/>
        <c:ser>
          <c:idx val="0"/>
          <c:order val="0"/>
          <c:dPt>
            <c:idx val="0"/>
            <c:spPr>
              <a:solidFill>
                <a:srgbClr val="74B222"/>
              </a:solidFill>
              <a:ln cmpd="sng" w="9525">
                <a:solidFill>
                  <a:srgbClr val="FFFFFF"/>
                </a:solidFill>
              </a:ln>
            </c:spPr>
          </c:dPt>
          <c:dLbls>
            <c:dLbl>
              <c:idx val="0"/>
              <c:txPr>
                <a:bodyPr/>
                <a:lstStyle/>
                <a:p>
                  <a:pPr lvl="0">
                    <a:defRPr b="1" sz="1200">
                      <a:solidFill>
                        <a:srgbClr val="FFFFFF"/>
                      </a:solidFill>
                      <a:latin typeface="+mn-lt"/>
                    </a:defRPr>
                  </a:pPr>
                </a:p>
              </c:txPr>
              <c:showLegendKey val="0"/>
              <c:showVal val="0"/>
              <c:showCatName val="1"/>
              <c:showSerName val="0"/>
              <c:showPercent val="0"/>
              <c:showBubbleSize val="0"/>
            </c:dLbl>
            <c:dLbl>
              <c:idx val="1"/>
              <c:tx>
                <c:rich>
                  <a:bodyPr/>
                  <a:lstStyle/>
                  <a:p>
                    <a:pPr lvl="0">
                      <a:defRPr b="1" sz="1000">
                        <a:solidFill>
                          <a:srgbClr val="000000"/>
                        </a:solidFill>
                        <a:latin typeface="+mn-lt"/>
                      </a:defRPr>
                    </a:pPr>
                    <a:r>
                      <a:rPr b="1" sz="1000">
                        <a:solidFill>
                          <a:srgbClr val="000000"/>
                        </a:solidFill>
                        <a:latin typeface="+mn-lt"/>
                      </a:rPr>
                      <a:t> </a:t>
                    </a:r>
                  </a:p>
                </c:rich>
              </c:tx>
              <c:showLegendKey val="0"/>
              <c:showVal val="0"/>
              <c:showCatName val="1"/>
              <c:showSerName val="0"/>
              <c:showPercent val="0"/>
              <c:showBubbleSize val="0"/>
            </c:dLbl>
            <c:showLegendKey val="0"/>
            <c:showVal val="0"/>
            <c:showCatName val="1"/>
            <c:showSerName val="0"/>
            <c:showPercent val="0"/>
            <c:showBubbleSize val="0"/>
            <c:showLeaderLines val="1"/>
          </c:dLbls>
          <c:cat>
            <c:strRef>
              <c:f>Dashboard!$H$5:$I$5</c:f>
            </c:strRef>
          </c:cat>
          <c:val>
            <c:numRef>
              <c:f>Dashboard!$H$5:$I$5</c:f>
              <c:numCache/>
            </c:numRef>
          </c:val>
        </c:ser>
        <c:dLbls>
          <c:showLegendKey val="0"/>
          <c:showVal val="0"/>
          <c:showCatName val="0"/>
          <c:showSerName val="0"/>
          <c:showPercent val="0"/>
          <c:showBubbleSize val="0"/>
        </c:dLbls>
        <c:holeSize val="75"/>
      </c:doughnutChart>
    </c:plotArea>
    <c:plotVisOnly val="1"/>
  </c:chart>
  <c:spPr>
    <a:solidFill>
      <a:srgbClr val="FFFFFF"/>
    </a:solidFill>
  </c:spPr>
</c:chartSpace>
</file>

<file path=xl/documenttasks/documenttask1.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Chart3.png"/><Relationship Id="rId4" Type="http://schemas.openxmlformats.org/officeDocument/2006/relationships/chart" Target="../charts/chart3.xml"/><Relationship Id="rId5" Type="http://schemas.openxmlformats.org/officeDocument/2006/relationships/image" Target="../media/Chart5.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676275</xdr:colOff>
      <xdr:row>23</xdr:row>
      <xdr:rowOff>142875</xdr:rowOff>
    </xdr:from>
    <xdr:ext cx="7381875" cy="4371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7429500" cy="4371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23</xdr:row>
      <xdr:rowOff>38100</xdr:rowOff>
    </xdr:from>
    <xdr:ext cx="7429500" cy="4371975"/>
    <xdr:pic>
      <xdr:nvPicPr>
        <xdr:cNvPr id="1580123982"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685800</xdr:colOff>
      <xdr:row>0</xdr:row>
      <xdr:rowOff>0</xdr:rowOff>
    </xdr:from>
    <xdr:ext cx="7429500" cy="45910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342900</xdr:colOff>
      <xdr:row>9</xdr:row>
      <xdr:rowOff>19050</xdr:rowOff>
    </xdr:from>
    <xdr:ext cx="6962775" cy="7277100"/>
    <xdr:pic>
      <xdr:nvPicPr>
        <xdr:cNvPr id="1766154554"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342900</xdr:colOff>
      <xdr:row>0</xdr:row>
      <xdr:rowOff>19050</xdr:rowOff>
    </xdr:from>
    <xdr:ext cx="7296150" cy="173355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mobarak@ppte.sa" id="{c8826cb8-2025-461c-a04a-7f04b2a88dae}" userId="m.mobarak@ppte.sa" providerId="google-sheets"/>
  <x18tc:person displayName="Moayad Alosaimi" id="{30597cc9-0952-45e1-9f9d-357ccf332e4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3F3F3"/>
      </a:lt1>
      <a:dk2>
        <a:srgbClr val="000000"/>
      </a:dk2>
      <a:lt2>
        <a:srgbClr val="F3F3F3"/>
      </a:lt2>
      <a:accent1>
        <a:srgbClr val="34A853"/>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2-06-14T07:49:08.00" personId="{30597cc9-0952-45e1-9f9d-357ccf332e41}" id="{0bc447aa-bf7d-42c1-b7e3-36199aa0a0c2}" done="1">
    <x18tc:text xml:space="preserve">@m.mobarak@ppte.sa Please cross check it</x18tc:text>
    <x18tc:mentions>
      <x18tc:mention mentionpersonId="{c8826cb8-2025-461c-a04a-7f04b2a88dae}" mentionId="{72b78443-172a-4d35-8d5a-921592f1236b}" startIndex="0" length="1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hyperlink" Target="https://docs.google.com/document/d/1x5XRp_uZg_OcwpbCxfgvcD2Na_Jsdnz4/edit?usp=drive_link&amp;ouid=110836157500343643234&amp;rtpof=true&amp;sd=true" TargetMode="External"/><Relationship Id="rId11" Type="http://schemas.openxmlformats.org/officeDocument/2006/relationships/hyperlink" Target="https://docs.google.com/document/d/1SrZsy8_20DFjP3oGJE5IDF07I-GV0735/edit?usp=drive_link&amp;ouid=110836157500343643234&amp;rtpof=true&amp;sd=true" TargetMode="External"/><Relationship Id="rId22" Type="http://schemas.openxmlformats.org/officeDocument/2006/relationships/drawing" Target="../drawings/drawing15.xml"/><Relationship Id="rId10" Type="http://schemas.openxmlformats.org/officeDocument/2006/relationships/hyperlink" Target="https://docs.google.com/document/d/1h_eOaOmDIjzljcLUS6OOiMjxoLoVt9TX/edit?usp=drive_link&amp;ouid=110836157500343643234&amp;rtpof=true&amp;sd=true" TargetMode="External"/><Relationship Id="rId21" Type="http://schemas.openxmlformats.org/officeDocument/2006/relationships/hyperlink" Target="https://docs.google.com/document/d/1p3xg5yOBIQfRyGWGTH_l5XScT0M1qmE-/edit?usp=drive_link&amp;ouid=110836157500343643234&amp;rtpof=true&amp;sd=true" TargetMode="External"/><Relationship Id="rId13" Type="http://schemas.openxmlformats.org/officeDocument/2006/relationships/hyperlink" Target="https://docs.google.com/document/d/1KfuBMxWiKexEPRM67TKZFB1E6WlE1u9m/edit?usp=drive_link&amp;ouid=110836157500343643234&amp;rtpof=true&amp;sd=true" TargetMode="External"/><Relationship Id="rId12" Type="http://schemas.openxmlformats.org/officeDocument/2006/relationships/hyperlink" Target="https://docs.google.com/document/d/17XMmWpOQS7V1hFayTs4M9qO24p7Dushe/edit?usp=drive_link&amp;ouid=110836157500343643234&amp;rtpof=true&amp;sd=true" TargetMode="External"/><Relationship Id="rId1" Type="http://schemas.openxmlformats.org/officeDocument/2006/relationships/hyperlink" Target="https://docs.google.com/document/d/1CAEs_Bra2lUmBW7JsqbMPeEFIqjwy6SI/edit?usp=drive_link&amp;ouid=118373453344914741700&amp;rtpof=true&amp;sd=true" TargetMode="External"/><Relationship Id="rId2" Type="http://schemas.openxmlformats.org/officeDocument/2006/relationships/hyperlink" Target="https://docs.google.com/document/d/1asYod4GU7-UlD9xnm5eTxsK7-CBtJQ2s/edit?usp=drive_link&amp;ouid=110836157500343643234&amp;rtpof=true&amp;sd=true" TargetMode="External"/><Relationship Id="rId3" Type="http://schemas.openxmlformats.org/officeDocument/2006/relationships/hyperlink" Target="https://docs.google.com/document/d/1dQthGQrrnX4Svn4lGBsvNyX-_OAg2Vaj/edit?usp=drive_link&amp;ouid=110836157500343643234&amp;rtpof=true&amp;sd=true" TargetMode="External"/><Relationship Id="rId4" Type="http://schemas.openxmlformats.org/officeDocument/2006/relationships/hyperlink" Target="https://docs.google.com/document/d/1oP06zbdP998iKMP0KZgQfC_jleu3F9VC/edit?usp=drive_link&amp;ouid=110836157500343643234&amp;rtpof=true&amp;sd=true" TargetMode="External"/><Relationship Id="rId9" Type="http://schemas.openxmlformats.org/officeDocument/2006/relationships/hyperlink" Target="https://docs.google.com/document/d/1canVfwDCqxjpOGatB1gvz1unnDq8djb0/edit?usp=drive_link&amp;ouid=110836157500343643234&amp;rtpof=true&amp;sd=true" TargetMode="External"/><Relationship Id="rId15" Type="http://schemas.openxmlformats.org/officeDocument/2006/relationships/hyperlink" Target="https://docs.google.com/document/d/1Athc4Txu4zYIMHb8Cp7LBC9ACAGZdwOE/edit?usp=drive_link&amp;ouid=110836157500343643234&amp;rtpof=true&amp;sd=true" TargetMode="External"/><Relationship Id="rId14" Type="http://schemas.openxmlformats.org/officeDocument/2006/relationships/hyperlink" Target="https://docs.google.com/document/d/10ueEvoH9mq5C2rn0AP17DCmF_XcD13xL/edit?usp=drive_link&amp;ouid=110836157500343643234&amp;rtpof=true&amp;sd=true" TargetMode="External"/><Relationship Id="rId17" Type="http://schemas.openxmlformats.org/officeDocument/2006/relationships/hyperlink" Target="https://docs.google.com/document/d/15SqP-lalyydY2SXKolo8i_ayEma6-v6j/edit?usp=drive_link&amp;ouid=110836157500343643234&amp;rtpof=true&amp;sd=true" TargetMode="External"/><Relationship Id="rId16" Type="http://schemas.openxmlformats.org/officeDocument/2006/relationships/hyperlink" Target="https://docs.google.com/document/d/1PqHG8iqVSi3ugnOW-l7lB4Kk3vUuOFhj/edit?usp=drive_link&amp;ouid=110836157500343643234&amp;rtpof=true&amp;sd=true" TargetMode="External"/><Relationship Id="rId5" Type="http://schemas.openxmlformats.org/officeDocument/2006/relationships/hyperlink" Target="https://docs.google.com/document/d/1wcevesNvacX2wcOl0bNADh3ZBf-YrIdT/edit?usp=drive_link&amp;ouid=110836157500343643234&amp;rtpof=true&amp;sd=true" TargetMode="External"/><Relationship Id="rId19" Type="http://schemas.openxmlformats.org/officeDocument/2006/relationships/hyperlink" Target="https://docs.google.com/document/d/1AdB5oGYDySRuj6F_ambJQu9J8XeBWdj-/edit?usp=drive_link&amp;ouid=110836157500343643234&amp;rtpof=true&amp;sd=true" TargetMode="External"/><Relationship Id="rId6" Type="http://schemas.openxmlformats.org/officeDocument/2006/relationships/hyperlink" Target="https://docs.google.com/document/d/1MftKdLDxaa2o9BOgcCw7QURPfDBnATh7/edit?usp=drive_link&amp;ouid=110836157500343643234&amp;rtpof=true&amp;sd=true" TargetMode="External"/><Relationship Id="rId18" Type="http://schemas.openxmlformats.org/officeDocument/2006/relationships/hyperlink" Target="https://docs.google.com/document/d/1kE-H4aP6-5ICcngyzSL4l8-kmldub6qs/edit?usp=drive_link&amp;ouid=110836157500343643234&amp;rtpof=true&amp;sd=true" TargetMode="External"/><Relationship Id="rId7" Type="http://schemas.openxmlformats.org/officeDocument/2006/relationships/hyperlink" Target="https://docs.google.com/document/d/1_69ciXvHNt4PfkIB5JoK5ETJno0OeGgy/edit?usp=drive_link&amp;ouid=110836157500343643234&amp;rtpof=true&amp;sd=true" TargetMode="External"/><Relationship Id="rId8" Type="http://schemas.openxmlformats.org/officeDocument/2006/relationships/hyperlink" Target="https://docs.google.com/document/d/1aw1EQQiFECRsboxAcwyh5E_ezPbLb4uH/edit?usp=drive_link&amp;ouid=110836157500343643234&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25"/>
    <col customWidth="1" min="2" max="3" width="14.25"/>
    <col customWidth="1" min="4" max="4" width="10.63"/>
    <col customWidth="1" min="5" max="5" width="88.63"/>
    <col customWidth="1" min="6" max="6" width="19.0"/>
    <col customWidth="1" min="7" max="7" width="19.5"/>
    <col customWidth="1" min="8" max="8" width="12.63"/>
    <col customWidth="1" hidden="1" min="9" max="9" width="12.5"/>
    <col customWidth="1" hidden="1" min="10" max="10" width="19.13"/>
    <col customWidth="1" min="11" max="11" width="12.5"/>
    <col customWidth="1" min="12" max="12" width="11.0"/>
    <col customWidth="1" min="13" max="13" width="12.5"/>
    <col customWidth="1" hidden="1" min="14" max="14" width="12.0"/>
    <col customWidth="1" min="15" max="15" width="14.38"/>
    <col customWidth="1" min="16" max="16" width="16.75"/>
    <col customWidth="1" min="17" max="17" width="15.63"/>
    <col customWidth="1" min="18" max="19" width="10.63"/>
    <col customWidth="1" min="20" max="20" width="18.13"/>
    <col customWidth="1" min="21" max="22" width="14.38"/>
    <col customWidth="1" min="23" max="23" width="18.13"/>
    <col customWidth="1" min="24" max="24" width="56.63"/>
    <col customWidth="1" min="25" max="25" width="31.88"/>
  </cols>
  <sheetData>
    <row r="1">
      <c r="A1" s="1" t="s">
        <v>0</v>
      </c>
      <c r="B1" s="2" t="s">
        <v>1</v>
      </c>
      <c r="C1" s="2" t="s">
        <v>2</v>
      </c>
      <c r="D1" s="3" t="s">
        <v>3</v>
      </c>
      <c r="E1" s="4" t="s">
        <v>4</v>
      </c>
      <c r="F1" s="2" t="s">
        <v>5</v>
      </c>
      <c r="G1" s="2" t="s">
        <v>6</v>
      </c>
      <c r="H1" s="3" t="s">
        <v>7</v>
      </c>
      <c r="I1" s="2" t="s">
        <v>8</v>
      </c>
      <c r="J1" s="2" t="s">
        <v>9</v>
      </c>
      <c r="K1" s="3" t="s">
        <v>10</v>
      </c>
      <c r="L1" s="4" t="s">
        <v>11</v>
      </c>
      <c r="M1" s="2" t="s">
        <v>12</v>
      </c>
      <c r="N1" s="4" t="s">
        <v>13</v>
      </c>
      <c r="O1" s="5" t="s">
        <v>14</v>
      </c>
      <c r="P1" s="4" t="s">
        <v>15</v>
      </c>
      <c r="Q1" s="2" t="s">
        <v>16</v>
      </c>
      <c r="R1" s="2" t="s">
        <v>17</v>
      </c>
      <c r="S1" s="2" t="s">
        <v>18</v>
      </c>
      <c r="T1" s="2" t="s">
        <v>19</v>
      </c>
      <c r="U1" s="2" t="s">
        <v>20</v>
      </c>
      <c r="V1" s="2" t="s">
        <v>21</v>
      </c>
      <c r="W1" s="4" t="s">
        <v>22</v>
      </c>
      <c r="X1" s="3" t="s">
        <v>23</v>
      </c>
      <c r="Y1" s="6" t="s">
        <v>24</v>
      </c>
      <c r="Z1" s="7"/>
      <c r="AA1" s="7"/>
      <c r="AB1" s="7"/>
      <c r="AC1" s="7"/>
      <c r="AD1" s="7"/>
      <c r="AE1" s="7"/>
      <c r="AF1" s="7"/>
      <c r="AG1" s="7"/>
      <c r="AH1" s="7"/>
      <c r="AI1" s="7"/>
    </row>
    <row r="2" ht="15.75" hidden="1" customHeight="1">
      <c r="A2" s="8">
        <v>1.0</v>
      </c>
      <c r="B2" s="9" t="str">
        <f>IFERROR(__xludf.DUMMYFUNCTION("INDEX(IMPORTRANGE(""https://docs.google.com/spreadsheets/d/1S7deMHO2waboU9dywpXeKIDfCmjiuAc0HUIsFpaXQq8/edit?gid=0#gid=0"", ""Tracking Shipments - PPTCO!o:o""), MATCH(D2, IMPORTRANGE(""https://docs.google.com/spreadsheets/d/1S7deMHO2waboU9dywpXeKIDfCmjiuA"&amp;"c0HUIsFpaXQq8/edit?gid=0#gid=0"", ""Tracking Shipments - PPTCO!p:p""), 0))"),"PPT-73")</f>
        <v>PPT-73</v>
      </c>
      <c r="C2" s="9"/>
      <c r="D2" s="9">
        <v>284599.0</v>
      </c>
      <c r="E2" s="8" t="s">
        <v>25</v>
      </c>
      <c r="F2" s="9" t="s">
        <v>26</v>
      </c>
      <c r="G2" s="9" t="s">
        <v>27</v>
      </c>
      <c r="H2" s="8" t="s">
        <v>28</v>
      </c>
      <c r="I2" s="9"/>
      <c r="J2" s="9"/>
      <c r="K2" s="9" t="s">
        <v>28</v>
      </c>
      <c r="L2" s="8" t="s">
        <v>29</v>
      </c>
      <c r="M2" s="10">
        <v>45225.0</v>
      </c>
      <c r="N2" s="11" t="s">
        <v>30</v>
      </c>
      <c r="O2" s="8" t="s">
        <v>31</v>
      </c>
      <c r="P2" s="9" t="s">
        <v>32</v>
      </c>
      <c r="Q2" s="8" t="s">
        <v>31</v>
      </c>
      <c r="R2" s="12" t="s">
        <v>33</v>
      </c>
      <c r="S2" s="13" t="str">
        <f t="shared" ref="S2:S185" si="1">IFERROR(IF(DATEDIF(M2,R2,"d")=0,"",DATEDIF(M2,R2,"d")),"")</f>
        <v/>
      </c>
      <c r="T2" s="14" t="s">
        <v>34</v>
      </c>
      <c r="U2" s="8"/>
      <c r="V2" s="8"/>
      <c r="W2" s="14" t="s">
        <v>28</v>
      </c>
      <c r="X2" s="8"/>
      <c r="Y2" s="9" t="s">
        <v>35</v>
      </c>
      <c r="Z2" s="15"/>
      <c r="AA2" s="15"/>
      <c r="AB2" s="15"/>
      <c r="AC2" s="15"/>
      <c r="AD2" s="15"/>
      <c r="AE2" s="15"/>
      <c r="AF2" s="15"/>
      <c r="AG2" s="15"/>
      <c r="AH2" s="15"/>
      <c r="AI2" s="15"/>
    </row>
    <row r="3" ht="15.75" hidden="1" customHeight="1">
      <c r="A3" s="16">
        <v>2.0</v>
      </c>
      <c r="B3" s="17" t="str">
        <f>IFERROR(__xludf.DUMMYFUNCTION("INDEX(IMPORTRANGE(""https://docs.google.com/spreadsheets/d/1S7deMHO2waboU9dywpXeKIDfCmjiuAc0HUIsFpaXQq8/edit?gid=0#gid=0"", ""Tracking Shipments - PPTCO!o:o""), MATCH(D3, IMPORTRANGE(""https://docs.google.com/spreadsheets/d/1S7deMHO2waboU9dywpXeKIDfCmjiuA"&amp;"c0HUIsFpaXQq8/edit?gid=0#gid=0"", ""Tracking Shipments - PPTCO!p:p""), 0))"),"PPT-29")</f>
        <v>PPT-29</v>
      </c>
      <c r="C3" s="17"/>
      <c r="D3" s="17">
        <v>105972.0</v>
      </c>
      <c r="E3" s="16" t="s">
        <v>36</v>
      </c>
      <c r="F3" s="18" t="s">
        <v>37</v>
      </c>
      <c r="G3" s="17" t="s">
        <v>27</v>
      </c>
      <c r="H3" s="16" t="s">
        <v>28</v>
      </c>
      <c r="I3" s="17"/>
      <c r="J3" s="17"/>
      <c r="K3" s="17" t="s">
        <v>28</v>
      </c>
      <c r="L3" s="16" t="s">
        <v>29</v>
      </c>
      <c r="M3" s="19">
        <v>45236.0</v>
      </c>
      <c r="N3" s="20" t="s">
        <v>30</v>
      </c>
      <c r="O3" s="16">
        <v>361.0</v>
      </c>
      <c r="P3" s="17">
        <v>403.0</v>
      </c>
      <c r="Q3" s="16">
        <v>362.0</v>
      </c>
      <c r="R3" s="21" t="s">
        <v>33</v>
      </c>
      <c r="S3" s="22" t="str">
        <f t="shared" si="1"/>
        <v/>
      </c>
      <c r="T3" s="18" t="s">
        <v>38</v>
      </c>
      <c r="U3" s="16"/>
      <c r="V3" s="16"/>
      <c r="W3" s="23" t="s">
        <v>28</v>
      </c>
      <c r="X3" s="16"/>
      <c r="Y3" s="17" t="s">
        <v>35</v>
      </c>
      <c r="Z3" s="24"/>
      <c r="AA3" s="24"/>
      <c r="AB3" s="24"/>
      <c r="AC3" s="24"/>
      <c r="AD3" s="24"/>
      <c r="AE3" s="24"/>
      <c r="AF3" s="24"/>
      <c r="AG3" s="24"/>
      <c r="AH3" s="24"/>
      <c r="AI3" s="24"/>
    </row>
    <row r="4" ht="15.75" hidden="1" customHeight="1">
      <c r="A4" s="8">
        <v>3.0</v>
      </c>
      <c r="B4" s="9" t="str">
        <f>IFERROR(__xludf.DUMMYFUNCTION("INDEX(IMPORTRANGE(""https://docs.google.com/spreadsheets/d/1S7deMHO2waboU9dywpXeKIDfCmjiuAc0HUIsFpaXQq8/edit?gid=0#gid=0"", ""Tracking Shipments - PPTCO!o:o""), MATCH(D4, IMPORTRANGE(""https://docs.google.com/spreadsheets/d/1S7deMHO2waboU9dywpXeKIDfCmjiuA"&amp;"c0HUIsFpaXQq8/edit?gid=0#gid=0"", ""Tracking Shipments - PPTCO!p:p""), 0))"),"PUUR ")</f>
        <v>PUUR </v>
      </c>
      <c r="C4" s="9"/>
      <c r="D4" s="9">
        <v>300854.0</v>
      </c>
      <c r="E4" s="8" t="s">
        <v>39</v>
      </c>
      <c r="F4" s="9" t="s">
        <v>40</v>
      </c>
      <c r="G4" s="9" t="s">
        <v>27</v>
      </c>
      <c r="H4" s="8" t="s">
        <v>28</v>
      </c>
      <c r="I4" s="9"/>
      <c r="J4" s="9"/>
      <c r="K4" s="9" t="s">
        <v>28</v>
      </c>
      <c r="L4" s="8" t="s">
        <v>29</v>
      </c>
      <c r="M4" s="25">
        <v>45229.0</v>
      </c>
      <c r="N4" s="9">
        <v>212023.0</v>
      </c>
      <c r="O4" s="8">
        <v>359.0</v>
      </c>
      <c r="P4" s="9">
        <v>401.0</v>
      </c>
      <c r="Q4" s="8">
        <v>360.0</v>
      </c>
      <c r="R4" s="26" t="s">
        <v>33</v>
      </c>
      <c r="S4" s="13" t="str">
        <f t="shared" si="1"/>
        <v/>
      </c>
      <c r="T4" s="9"/>
      <c r="U4" s="8"/>
      <c r="V4" s="8"/>
      <c r="W4" s="14" t="s">
        <v>28</v>
      </c>
      <c r="X4" s="8"/>
      <c r="Y4" s="9" t="s">
        <v>35</v>
      </c>
      <c r="Z4" s="15"/>
      <c r="AA4" s="15"/>
      <c r="AB4" s="15"/>
      <c r="AC4" s="15"/>
      <c r="AD4" s="15"/>
      <c r="AE4" s="15"/>
      <c r="AF4" s="15"/>
      <c r="AG4" s="15"/>
      <c r="AH4" s="15"/>
      <c r="AI4" s="15"/>
    </row>
    <row r="5" ht="15.75" hidden="1" customHeight="1">
      <c r="A5" s="16">
        <v>4.0</v>
      </c>
      <c r="B5" s="17" t="str">
        <f>IFERROR(__xludf.DUMMYFUNCTION("INDEX(IMPORTRANGE(""https://docs.google.com/spreadsheets/d/1S7deMHO2waboU9dywpXeKIDfCmjiuAc0HUIsFpaXQq8/edit?gid=0#gid=0"", ""Tracking Shipments - PPTCO!o:o""), MATCH(D5, IMPORTRANGE(""https://docs.google.com/spreadsheets/d/1S7deMHO2waboU9dywpXeKIDfCmjiuA"&amp;"c0HUIsFpaXQq8/edit?gid=0#gid=0"", ""Tracking Shipments - PPTCO!p:p""), 0))"),"PPT-39")</f>
        <v>PPT-39</v>
      </c>
      <c r="C5" s="17"/>
      <c r="D5" s="17">
        <v>90377.0</v>
      </c>
      <c r="E5" s="16" t="s">
        <v>41</v>
      </c>
      <c r="F5" s="18" t="s">
        <v>37</v>
      </c>
      <c r="G5" s="17" t="s">
        <v>27</v>
      </c>
      <c r="H5" s="16" t="s">
        <v>28</v>
      </c>
      <c r="I5" s="17"/>
      <c r="J5" s="17"/>
      <c r="K5" s="17" t="s">
        <v>28</v>
      </c>
      <c r="L5" s="16" t="s">
        <v>29</v>
      </c>
      <c r="M5" s="19">
        <v>45200.0</v>
      </c>
      <c r="N5" s="17">
        <v>212023.0</v>
      </c>
      <c r="O5" s="16">
        <v>360.0</v>
      </c>
      <c r="P5" s="17">
        <v>400.0</v>
      </c>
      <c r="Q5" s="16">
        <v>361.0</v>
      </c>
      <c r="R5" s="21" t="s">
        <v>33</v>
      </c>
      <c r="S5" s="22" t="str">
        <f t="shared" si="1"/>
        <v/>
      </c>
      <c r="T5" s="17"/>
      <c r="U5" s="16"/>
      <c r="V5" s="16"/>
      <c r="W5" s="18"/>
      <c r="X5" s="16"/>
      <c r="Y5" s="17" t="s">
        <v>35</v>
      </c>
      <c r="Z5" s="24"/>
      <c r="AA5" s="24"/>
      <c r="AB5" s="24"/>
      <c r="AC5" s="24"/>
      <c r="AD5" s="24"/>
      <c r="AE5" s="24"/>
      <c r="AF5" s="24"/>
      <c r="AG5" s="24"/>
      <c r="AH5" s="24"/>
      <c r="AI5" s="24"/>
    </row>
    <row r="6" ht="15.75" hidden="1" customHeight="1">
      <c r="A6" s="8">
        <v>5.0</v>
      </c>
      <c r="B6" s="9" t="str">
        <f>IFERROR(__xludf.DUMMYFUNCTION("INDEX(IMPORTRANGE(""https://docs.google.com/spreadsheets/d/1S7deMHO2waboU9dywpXeKIDfCmjiuAc0HUIsFpaXQq8/edit?gid=0#gid=0"", ""Tracking Shipments - PPTCO!o:o""), MATCH(D6, IMPORTRANGE(""https://docs.google.com/spreadsheets/d/1S7deMHO2waboU9dywpXeKIDfCmjiuA"&amp;"c0HUIsFpaXQq8/edit?gid=0#gid=0"", ""Tracking Shipments - PPTCO!p:p""), 0))"),"PPT-51")</f>
        <v>PPT-51</v>
      </c>
      <c r="C6" s="9"/>
      <c r="D6" s="9">
        <v>101368.0</v>
      </c>
      <c r="E6" s="8" t="s">
        <v>42</v>
      </c>
      <c r="F6" s="9" t="s">
        <v>43</v>
      </c>
      <c r="G6" s="9" t="s">
        <v>27</v>
      </c>
      <c r="H6" s="8" t="s">
        <v>28</v>
      </c>
      <c r="I6" s="9"/>
      <c r="J6" s="9"/>
      <c r="K6" s="9" t="s">
        <v>28</v>
      </c>
      <c r="L6" s="8" t="s">
        <v>29</v>
      </c>
      <c r="M6" s="25">
        <v>45225.0</v>
      </c>
      <c r="N6" s="11" t="s">
        <v>30</v>
      </c>
      <c r="O6" s="8">
        <v>347.0</v>
      </c>
      <c r="P6" s="9">
        <v>388.0</v>
      </c>
      <c r="Q6" s="8">
        <v>347.0</v>
      </c>
      <c r="R6" s="26" t="s">
        <v>33</v>
      </c>
      <c r="S6" s="13" t="str">
        <f t="shared" si="1"/>
        <v/>
      </c>
      <c r="T6" s="9"/>
      <c r="U6" s="8"/>
      <c r="V6" s="8"/>
      <c r="W6" s="8"/>
      <c r="X6" s="8"/>
      <c r="Y6" s="9" t="s">
        <v>35</v>
      </c>
      <c r="Z6" s="15"/>
      <c r="AA6" s="15"/>
      <c r="AB6" s="15"/>
      <c r="AC6" s="15"/>
      <c r="AD6" s="15"/>
      <c r="AE6" s="15"/>
      <c r="AF6" s="15"/>
      <c r="AG6" s="15"/>
      <c r="AH6" s="15"/>
      <c r="AI6" s="15"/>
    </row>
    <row r="7" ht="15.75" hidden="1" customHeight="1">
      <c r="A7" s="16">
        <v>6.0</v>
      </c>
      <c r="B7" s="17" t="str">
        <f>IFERROR(__xludf.DUMMYFUNCTION("INDEX(IMPORTRANGE(""https://docs.google.com/spreadsheets/d/1S7deMHO2waboU9dywpXeKIDfCmjiuAc0HUIsFpaXQq8/edit?gid=0#gid=0"", ""Tracking Shipments - PPTCO!o:o""), MATCH(D7, IMPORTRANGE(""https://docs.google.com/spreadsheets/d/1S7deMHO2waboU9dywpXeKIDfCmjiuA"&amp;"c0HUIsFpaXQq8/edit?gid=0#gid=0"", ""Tracking Shipments - PPTCO!p:p""), 0))"),"PPT-51")</f>
        <v>PPT-51</v>
      </c>
      <c r="C7" s="17"/>
      <c r="D7" s="17">
        <v>101362.0</v>
      </c>
      <c r="E7" s="16" t="s">
        <v>44</v>
      </c>
      <c r="F7" s="18" t="s">
        <v>43</v>
      </c>
      <c r="G7" s="17" t="s">
        <v>27</v>
      </c>
      <c r="H7" s="16" t="s">
        <v>28</v>
      </c>
      <c r="I7" s="17"/>
      <c r="J7" s="17"/>
      <c r="K7" s="17" t="s">
        <v>28</v>
      </c>
      <c r="L7" s="16" t="s">
        <v>29</v>
      </c>
      <c r="M7" s="27">
        <v>45225.0</v>
      </c>
      <c r="N7" s="20" t="s">
        <v>30</v>
      </c>
      <c r="O7" s="16">
        <v>346.0</v>
      </c>
      <c r="P7" s="17">
        <v>387.0</v>
      </c>
      <c r="Q7" s="16">
        <v>359.0</v>
      </c>
      <c r="R7" s="21" t="s">
        <v>33</v>
      </c>
      <c r="S7" s="22" t="str">
        <f t="shared" si="1"/>
        <v/>
      </c>
      <c r="T7" s="17"/>
      <c r="U7" s="16"/>
      <c r="V7" s="16"/>
      <c r="W7" s="18"/>
      <c r="X7" s="16"/>
      <c r="Y7" s="17" t="s">
        <v>35</v>
      </c>
      <c r="Z7" s="24"/>
      <c r="AA7" s="24"/>
      <c r="AB7" s="24"/>
      <c r="AC7" s="24"/>
      <c r="AD7" s="24"/>
      <c r="AE7" s="24"/>
      <c r="AF7" s="24"/>
      <c r="AG7" s="24"/>
      <c r="AH7" s="24"/>
      <c r="AI7" s="24"/>
    </row>
    <row r="8" ht="15.75" hidden="1" customHeight="1">
      <c r="A8" s="8">
        <v>7.0</v>
      </c>
      <c r="B8" s="9" t="str">
        <f>IFERROR(__xludf.DUMMYFUNCTION("INDEX(IMPORTRANGE(""https://docs.google.com/spreadsheets/d/1S7deMHO2waboU9dywpXeKIDfCmjiuAc0HUIsFpaXQq8/edit?gid=0#gid=0"", ""Tracking Shipments - PPTCO!o:o""), MATCH(D8, IMPORTRANGE(""https://docs.google.com/spreadsheets/d/1S7deMHO2waboU9dywpXeKIDfCmjiuA"&amp;"c0HUIsFpaXQq8/edit?gid=0#gid=0"", ""Tracking Shipments - PPTCO!p:p""), 0))"),"PUUR ")</f>
        <v>PUUR </v>
      </c>
      <c r="C8" s="9"/>
      <c r="D8" s="9">
        <v>306682.0</v>
      </c>
      <c r="E8" s="8" t="s">
        <v>39</v>
      </c>
      <c r="F8" s="9" t="s">
        <v>40</v>
      </c>
      <c r="G8" s="9" t="s">
        <v>27</v>
      </c>
      <c r="H8" s="8" t="s">
        <v>28</v>
      </c>
      <c r="I8" s="9"/>
      <c r="J8" s="9"/>
      <c r="K8" s="9" t="s">
        <v>28</v>
      </c>
      <c r="L8" s="8" t="s">
        <v>29</v>
      </c>
      <c r="M8" s="28">
        <v>45241.0</v>
      </c>
      <c r="N8" s="9">
        <v>212023.0</v>
      </c>
      <c r="O8" s="8" t="s">
        <v>45</v>
      </c>
      <c r="P8" s="9" t="s">
        <v>46</v>
      </c>
      <c r="Q8" s="8" t="s">
        <v>47</v>
      </c>
      <c r="R8" s="26" t="s">
        <v>33</v>
      </c>
      <c r="S8" s="13" t="str">
        <f t="shared" si="1"/>
        <v/>
      </c>
      <c r="T8" s="9"/>
      <c r="U8" s="8"/>
      <c r="V8" s="8"/>
      <c r="W8" s="14" t="s">
        <v>28</v>
      </c>
      <c r="X8" s="8"/>
      <c r="Y8" s="9" t="s">
        <v>35</v>
      </c>
      <c r="Z8" s="15"/>
      <c r="AA8" s="15"/>
      <c r="AB8" s="15"/>
      <c r="AC8" s="15"/>
      <c r="AD8" s="15"/>
      <c r="AE8" s="15"/>
      <c r="AF8" s="15"/>
      <c r="AG8" s="15"/>
      <c r="AH8" s="15"/>
      <c r="AI8" s="15"/>
    </row>
    <row r="9" ht="15.75" hidden="1" customHeight="1">
      <c r="A9" s="16">
        <v>8.0</v>
      </c>
      <c r="B9" s="17" t="str">
        <f>IFERROR(__xludf.DUMMYFUNCTION("INDEX(IMPORTRANGE(""https://docs.google.com/spreadsheets/d/1S7deMHO2waboU9dywpXeKIDfCmjiuAc0HUIsFpaXQq8/edit?gid=0#gid=0"", ""Tracking Shipments - PPTCO!o:o""), MATCH(D9, IMPORTRANGE(""https://docs.google.com/spreadsheets/d/1S7deMHO2waboU9dywpXeKIDfCmjiuA"&amp;"c0HUIsFpaXQq8/edit?gid=0#gid=0"", ""Tracking Shipments - PPTCO!p:p""), 0))"),"N/A")</f>
        <v>N/A</v>
      </c>
      <c r="C9" s="17"/>
      <c r="D9" s="17">
        <v>104096.0</v>
      </c>
      <c r="E9" s="16" t="s">
        <v>48</v>
      </c>
      <c r="F9" s="18" t="s">
        <v>49</v>
      </c>
      <c r="G9" s="17" t="s">
        <v>27</v>
      </c>
      <c r="H9" s="16" t="s">
        <v>28</v>
      </c>
      <c r="I9" s="17"/>
      <c r="J9" s="17"/>
      <c r="K9" s="17" t="s">
        <v>28</v>
      </c>
      <c r="L9" s="16" t="s">
        <v>29</v>
      </c>
      <c r="M9" s="19">
        <v>45238.0</v>
      </c>
      <c r="N9" s="17">
        <v>212023.0</v>
      </c>
      <c r="O9" s="16" t="s">
        <v>50</v>
      </c>
      <c r="P9" s="17" t="s">
        <v>51</v>
      </c>
      <c r="Q9" s="16" t="s">
        <v>52</v>
      </c>
      <c r="R9" s="21" t="s">
        <v>33</v>
      </c>
      <c r="S9" s="22" t="str">
        <f t="shared" si="1"/>
        <v/>
      </c>
      <c r="T9" s="17"/>
      <c r="U9" s="16"/>
      <c r="V9" s="16"/>
      <c r="W9" s="23" t="s">
        <v>28</v>
      </c>
      <c r="X9" s="16"/>
      <c r="Y9" s="17" t="s">
        <v>35</v>
      </c>
      <c r="Z9" s="24"/>
      <c r="AA9" s="24"/>
      <c r="AB9" s="24"/>
      <c r="AC9" s="24"/>
      <c r="AD9" s="24"/>
      <c r="AE9" s="24"/>
      <c r="AF9" s="24"/>
      <c r="AG9" s="24"/>
      <c r="AH9" s="24"/>
      <c r="AI9" s="24"/>
    </row>
    <row r="10" ht="15.75" hidden="1" customHeight="1">
      <c r="A10" s="8">
        <v>9.0</v>
      </c>
      <c r="B10" s="9" t="str">
        <f>IFERROR(__xludf.DUMMYFUNCTION("INDEX(IMPORTRANGE(""https://docs.google.com/spreadsheets/d/1S7deMHO2waboU9dywpXeKIDfCmjiuAc0HUIsFpaXQq8/edit?gid=0#gid=0"", ""Tracking Shipments - PPTCO!o:o""), MATCH(D10, IMPORTRANGE(""https://docs.google.com/spreadsheets/d/1S7deMHO2waboU9dywpXeKIDfCmjiu"&amp;"Ac0HUIsFpaXQq8/edit?gid=0#gid=0"", ""Tracking Shipments - PPTCO!p:p""), 0))"),"PPT-58")</f>
        <v>PPT-58</v>
      </c>
      <c r="C10" s="9"/>
      <c r="D10" s="9">
        <v>106546.0</v>
      </c>
      <c r="E10" s="8" t="s">
        <v>53</v>
      </c>
      <c r="F10" s="9" t="s">
        <v>37</v>
      </c>
      <c r="G10" s="9" t="s">
        <v>27</v>
      </c>
      <c r="H10" s="8" t="s">
        <v>28</v>
      </c>
      <c r="I10" s="9"/>
      <c r="J10" s="9"/>
      <c r="K10" s="9" t="s">
        <v>28</v>
      </c>
      <c r="L10" s="8" t="s">
        <v>29</v>
      </c>
      <c r="M10" s="28">
        <v>45241.0</v>
      </c>
      <c r="N10" s="9">
        <v>212023.0</v>
      </c>
      <c r="O10" s="8">
        <v>362.0</v>
      </c>
      <c r="P10" s="9">
        <v>407.0</v>
      </c>
      <c r="Q10" s="8">
        <v>363.0</v>
      </c>
      <c r="R10" s="26" t="s">
        <v>33</v>
      </c>
      <c r="S10" s="13" t="str">
        <f t="shared" si="1"/>
        <v/>
      </c>
      <c r="T10" s="9"/>
      <c r="U10" s="8"/>
      <c r="V10" s="8"/>
      <c r="W10" s="14" t="s">
        <v>28</v>
      </c>
      <c r="X10" s="8"/>
      <c r="Y10" s="9" t="s">
        <v>35</v>
      </c>
      <c r="Z10" s="15"/>
      <c r="AA10" s="15"/>
      <c r="AB10" s="15"/>
      <c r="AC10" s="15"/>
      <c r="AD10" s="15"/>
      <c r="AE10" s="15"/>
      <c r="AF10" s="15"/>
      <c r="AG10" s="15"/>
      <c r="AH10" s="15"/>
      <c r="AI10" s="15"/>
    </row>
    <row r="11" ht="15.75" hidden="1" customHeight="1">
      <c r="A11" s="16">
        <v>10.0</v>
      </c>
      <c r="B11" s="17" t="str">
        <f>IFERROR(__xludf.DUMMYFUNCTION("INDEX(IMPORTRANGE(""https://docs.google.com/spreadsheets/d/1S7deMHO2waboU9dywpXeKIDfCmjiuAc0HUIsFpaXQq8/edit?gid=0#gid=0"", ""Tracking Shipments - PPTCO!o:o""), MATCH(D11, IMPORTRANGE(""https://docs.google.com/spreadsheets/d/1S7deMHO2waboU9dywpXeKIDfCmjiu"&amp;"Ac0HUIsFpaXQq8/edit?gid=0#gid=0"", ""Tracking Shipments - PPTCO!p:p""), 0))"),"SA001-2023")</f>
        <v>SA001-2023</v>
      </c>
      <c r="C11" s="17"/>
      <c r="D11" s="17">
        <v>115808.0</v>
      </c>
      <c r="E11" s="16" t="s">
        <v>54</v>
      </c>
      <c r="F11" s="18" t="s">
        <v>54</v>
      </c>
      <c r="G11" s="17" t="s">
        <v>27</v>
      </c>
      <c r="H11" s="16" t="s">
        <v>28</v>
      </c>
      <c r="I11" s="17"/>
      <c r="J11" s="17"/>
      <c r="K11" s="17" t="s">
        <v>28</v>
      </c>
      <c r="L11" s="16" t="s">
        <v>29</v>
      </c>
      <c r="M11" s="29">
        <v>45270.0</v>
      </c>
      <c r="N11" s="17">
        <v>232023.0</v>
      </c>
      <c r="O11" s="16" t="s">
        <v>55</v>
      </c>
      <c r="P11" s="17" t="s">
        <v>56</v>
      </c>
      <c r="Q11" s="16" t="s">
        <v>57</v>
      </c>
      <c r="R11" s="21" t="s">
        <v>33</v>
      </c>
      <c r="S11" s="22" t="str">
        <f t="shared" si="1"/>
        <v/>
      </c>
      <c r="T11" s="17"/>
      <c r="U11" s="16"/>
      <c r="V11" s="16"/>
      <c r="W11" s="18" t="s">
        <v>28</v>
      </c>
      <c r="X11" s="16"/>
      <c r="Y11" s="17" t="s">
        <v>35</v>
      </c>
      <c r="Z11" s="24"/>
      <c r="AA11" s="24"/>
      <c r="AB11" s="24"/>
      <c r="AC11" s="24"/>
      <c r="AD11" s="24"/>
      <c r="AE11" s="24"/>
      <c r="AF11" s="24"/>
      <c r="AG11" s="24"/>
      <c r="AH11" s="24"/>
      <c r="AI11" s="24"/>
    </row>
    <row r="12" ht="15.75" hidden="1" customHeight="1">
      <c r="A12" s="8">
        <v>11.0</v>
      </c>
      <c r="B12" s="9" t="str">
        <f>IFERROR(__xludf.DUMMYFUNCTION("INDEX(IMPORTRANGE(""https://docs.google.com/spreadsheets/d/1S7deMHO2waboU9dywpXeKIDfCmjiuAc0HUIsFpaXQq8/edit?gid=0#gid=0"", ""Tracking Shipments - PPTCO!o:o""), MATCH(D12, IMPORTRANGE(""https://docs.google.com/spreadsheets/d/1S7deMHO2waboU9dywpXeKIDfCmjiu"&amp;"Ac0HUIsFpaXQq8/edit?gid=0#gid=0"", ""Tracking Shipments - PPTCO!p:p""), 0))"),"PPT-78")</f>
        <v>PPT-78</v>
      </c>
      <c r="C12" s="9"/>
      <c r="D12" s="9">
        <v>115809.0</v>
      </c>
      <c r="E12" s="8" t="s">
        <v>58</v>
      </c>
      <c r="F12" s="9" t="s">
        <v>59</v>
      </c>
      <c r="G12" s="9" t="s">
        <v>27</v>
      </c>
      <c r="H12" s="8" t="s">
        <v>28</v>
      </c>
      <c r="I12" s="9"/>
      <c r="J12" s="9"/>
      <c r="K12" s="9" t="s">
        <v>28</v>
      </c>
      <c r="L12" s="8" t="s">
        <v>29</v>
      </c>
      <c r="M12" s="30">
        <v>45265.0</v>
      </c>
      <c r="N12" s="9">
        <v>232023.0</v>
      </c>
      <c r="O12" s="8">
        <v>370.0</v>
      </c>
      <c r="P12" s="9">
        <v>417.0</v>
      </c>
      <c r="Q12" s="8">
        <v>371.0</v>
      </c>
      <c r="R12" s="26" t="s">
        <v>33</v>
      </c>
      <c r="S12" s="13" t="str">
        <f t="shared" si="1"/>
        <v/>
      </c>
      <c r="T12" s="9"/>
      <c r="U12" s="8"/>
      <c r="V12" s="8"/>
      <c r="W12" s="8"/>
      <c r="X12" s="8"/>
      <c r="Y12" s="9" t="s">
        <v>35</v>
      </c>
      <c r="Z12" s="15"/>
      <c r="AA12" s="15"/>
      <c r="AB12" s="15"/>
      <c r="AC12" s="15"/>
      <c r="AD12" s="15"/>
      <c r="AE12" s="15"/>
      <c r="AF12" s="15"/>
      <c r="AG12" s="15"/>
      <c r="AH12" s="15"/>
      <c r="AI12" s="15"/>
    </row>
    <row r="13" ht="15.75" hidden="1" customHeight="1">
      <c r="A13" s="16">
        <v>12.0</v>
      </c>
      <c r="B13" s="17" t="str">
        <f>IFERROR(__xludf.DUMMYFUNCTION("INDEX(IMPORTRANGE(""https://docs.google.com/spreadsheets/d/1S7deMHO2waboU9dywpXeKIDfCmjiuAc0HUIsFpaXQq8/edit?gid=0#gid=0"", ""Tracking Shipments - PPTCO!o:o""), MATCH(D13, IMPORTRANGE(""https://docs.google.com/spreadsheets/d/1S7deMHO2waboU9dywpXeKIDfCmjiu"&amp;"Ac0HUIsFpaXQq8/edit?gid=0#gid=0"", ""Tracking Shipments - PPTCO!p:p""), 0))"),"PPT-75")</f>
        <v>PPT-75</v>
      </c>
      <c r="C13" s="17"/>
      <c r="D13" s="17">
        <v>108588.0</v>
      </c>
      <c r="E13" s="16" t="s">
        <v>60</v>
      </c>
      <c r="F13" s="18" t="s">
        <v>43</v>
      </c>
      <c r="G13" s="17" t="s">
        <v>27</v>
      </c>
      <c r="H13" s="16" t="s">
        <v>28</v>
      </c>
      <c r="I13" s="17"/>
      <c r="J13" s="17"/>
      <c r="K13" s="17" t="s">
        <v>28</v>
      </c>
      <c r="L13" s="16" t="s">
        <v>29</v>
      </c>
      <c r="M13" s="27">
        <v>45248.0</v>
      </c>
      <c r="N13" s="17">
        <v>212023.0</v>
      </c>
      <c r="O13" s="16">
        <v>367.0</v>
      </c>
      <c r="P13" s="17">
        <v>414.0</v>
      </c>
      <c r="Q13" s="16">
        <v>368.0</v>
      </c>
      <c r="R13" s="21" t="s">
        <v>33</v>
      </c>
      <c r="S13" s="22" t="str">
        <f t="shared" si="1"/>
        <v/>
      </c>
      <c r="T13" s="17"/>
      <c r="U13" s="16"/>
      <c r="V13" s="16"/>
      <c r="W13" s="18" t="s">
        <v>28</v>
      </c>
      <c r="X13" s="16" t="s">
        <v>61</v>
      </c>
      <c r="Y13" s="17" t="s">
        <v>35</v>
      </c>
      <c r="Z13" s="24"/>
      <c r="AA13" s="24"/>
      <c r="AB13" s="24"/>
      <c r="AC13" s="24"/>
      <c r="AD13" s="24"/>
      <c r="AE13" s="24"/>
      <c r="AF13" s="24"/>
      <c r="AG13" s="24"/>
      <c r="AH13" s="24"/>
      <c r="AI13" s="24"/>
    </row>
    <row r="14" ht="15.75" hidden="1" customHeight="1">
      <c r="A14" s="8">
        <v>13.0</v>
      </c>
      <c r="B14" s="9" t="str">
        <f>IFERROR(__xludf.DUMMYFUNCTION("INDEX(IMPORTRANGE(""https://docs.google.com/spreadsheets/d/1S7deMHO2waboU9dywpXeKIDfCmjiuAc0HUIsFpaXQq8/edit?gid=0#gid=0"", ""Tracking Shipments - PPTCO!o:o""), MATCH(D14, IMPORTRANGE(""https://docs.google.com/spreadsheets/d/1S7deMHO2waboU9dywpXeKIDfCmjiu"&amp;"Ac0HUIsFpaXQq8/edit?gid=0#gid=0"", ""Tracking Shipments - PPTCO!p:p""), 0))"),"N/A")</f>
        <v>N/A</v>
      </c>
      <c r="C14" s="9"/>
      <c r="D14" s="9">
        <v>108586.0</v>
      </c>
      <c r="E14" s="8" t="s">
        <v>62</v>
      </c>
      <c r="F14" s="9" t="s">
        <v>43</v>
      </c>
      <c r="G14" s="9" t="s">
        <v>27</v>
      </c>
      <c r="H14" s="8" t="s">
        <v>28</v>
      </c>
      <c r="I14" s="9"/>
      <c r="J14" s="9"/>
      <c r="K14" s="9" t="s">
        <v>28</v>
      </c>
      <c r="L14" s="8" t="s">
        <v>29</v>
      </c>
      <c r="M14" s="28">
        <v>44907.0</v>
      </c>
      <c r="N14" s="9">
        <v>212023.0</v>
      </c>
      <c r="O14" s="8">
        <v>368.0</v>
      </c>
      <c r="P14" s="9">
        <v>413.0</v>
      </c>
      <c r="Q14" s="8">
        <v>369.0</v>
      </c>
      <c r="R14" s="26" t="s">
        <v>33</v>
      </c>
      <c r="S14" s="13" t="str">
        <f t="shared" si="1"/>
        <v/>
      </c>
      <c r="T14" s="9"/>
      <c r="U14" s="8"/>
      <c r="V14" s="8"/>
      <c r="W14" s="14" t="s">
        <v>28</v>
      </c>
      <c r="X14" s="8" t="s">
        <v>61</v>
      </c>
      <c r="Y14" s="9" t="s">
        <v>35</v>
      </c>
      <c r="Z14" s="15"/>
      <c r="AA14" s="15"/>
      <c r="AB14" s="15"/>
      <c r="AC14" s="15"/>
      <c r="AD14" s="15"/>
      <c r="AE14" s="15"/>
      <c r="AF14" s="15"/>
      <c r="AG14" s="15"/>
      <c r="AH14" s="15"/>
      <c r="AI14" s="15"/>
    </row>
    <row r="15" ht="15.75" hidden="1" customHeight="1">
      <c r="A15" s="16">
        <v>14.0</v>
      </c>
      <c r="B15" s="17" t="str">
        <f>IFERROR(__xludf.DUMMYFUNCTION("INDEX(IMPORTRANGE(""https://docs.google.com/spreadsheets/d/1S7deMHO2waboU9dywpXeKIDfCmjiuAc0HUIsFpaXQq8/edit?gid=0#gid=0"", ""Tracking Shipments - PPTCO!o:o""), MATCH(D15, IMPORTRANGE(""https://docs.google.com/spreadsheets/d/1S7deMHO2waboU9dywpXeKIDfCmjiu"&amp;"Ac0HUIsFpaXQq8/edit?gid=0#gid=0"", ""Tracking Shipments - PPTCO!p:p""), 0))"),"PPT-83")</f>
        <v>PPT-83</v>
      </c>
      <c r="C15" s="17"/>
      <c r="D15" s="17">
        <v>341926.0</v>
      </c>
      <c r="E15" s="16" t="s">
        <v>63</v>
      </c>
      <c r="F15" s="18" t="s">
        <v>40</v>
      </c>
      <c r="G15" s="17" t="s">
        <v>27</v>
      </c>
      <c r="H15" s="16" t="s">
        <v>28</v>
      </c>
      <c r="I15" s="17"/>
      <c r="J15" s="17"/>
      <c r="K15" s="17" t="s">
        <v>28</v>
      </c>
      <c r="L15" s="16" t="s">
        <v>29</v>
      </c>
      <c r="M15" s="29">
        <v>45270.0</v>
      </c>
      <c r="N15" s="17">
        <v>232023.0</v>
      </c>
      <c r="O15" s="16" t="s">
        <v>64</v>
      </c>
      <c r="P15" s="17" t="s">
        <v>65</v>
      </c>
      <c r="Q15" s="16" t="s">
        <v>66</v>
      </c>
      <c r="R15" s="21" t="s">
        <v>33</v>
      </c>
      <c r="S15" s="22" t="str">
        <f t="shared" si="1"/>
        <v/>
      </c>
      <c r="T15" s="17"/>
      <c r="U15" s="16"/>
      <c r="V15" s="16"/>
      <c r="W15" s="23" t="s">
        <v>28</v>
      </c>
      <c r="X15" s="16"/>
      <c r="Y15" s="17" t="s">
        <v>35</v>
      </c>
      <c r="Z15" s="24"/>
      <c r="AA15" s="24"/>
      <c r="AB15" s="24"/>
      <c r="AC15" s="24"/>
      <c r="AD15" s="24"/>
      <c r="AE15" s="24"/>
      <c r="AF15" s="24"/>
      <c r="AG15" s="24"/>
      <c r="AH15" s="24"/>
      <c r="AI15" s="24"/>
    </row>
    <row r="16" ht="15.75" hidden="1" customHeight="1">
      <c r="A16" s="8">
        <v>15.0</v>
      </c>
      <c r="B16" s="9" t="str">
        <f>IFERROR(__xludf.DUMMYFUNCTION("INDEX(IMPORTRANGE(""https://docs.google.com/spreadsheets/d/1S7deMHO2waboU9dywpXeKIDfCmjiuAc0HUIsFpaXQq8/edit?gid=0#gid=0"", ""Tracking Shipments - PPTCO!o:o""), MATCH(D16, IMPORTRANGE(""https://docs.google.com/spreadsheets/d/1S7deMHO2waboU9dywpXeKIDfCmjiu"&amp;"Ac0HUIsFpaXQq8/edit?gid=0#gid=0"", ""Tracking Shipments - PPTCO!p:p""), 0))"),"N/A")</f>
        <v>N/A</v>
      </c>
      <c r="C16" s="9"/>
      <c r="D16" s="9">
        <v>117571.0</v>
      </c>
      <c r="E16" s="8" t="s">
        <v>67</v>
      </c>
      <c r="F16" s="9" t="s">
        <v>68</v>
      </c>
      <c r="G16" s="9" t="s">
        <v>27</v>
      </c>
      <c r="H16" s="8" t="s">
        <v>28</v>
      </c>
      <c r="I16" s="9"/>
      <c r="J16" s="9"/>
      <c r="K16" s="9" t="s">
        <v>28</v>
      </c>
      <c r="L16" s="8" t="s">
        <v>29</v>
      </c>
      <c r="M16" s="25">
        <v>45273.0</v>
      </c>
      <c r="N16" s="9">
        <v>232023.0</v>
      </c>
      <c r="O16" s="8" t="s">
        <v>69</v>
      </c>
      <c r="P16" s="9" t="s">
        <v>70</v>
      </c>
      <c r="Q16" s="8" t="s">
        <v>71</v>
      </c>
      <c r="R16" s="26" t="s">
        <v>33</v>
      </c>
      <c r="S16" s="13" t="str">
        <f t="shared" si="1"/>
        <v/>
      </c>
      <c r="T16" s="9"/>
      <c r="U16" s="8"/>
      <c r="V16" s="8"/>
      <c r="W16" s="14"/>
      <c r="X16" s="8"/>
      <c r="Y16" s="9" t="s">
        <v>35</v>
      </c>
      <c r="Z16" s="15"/>
      <c r="AA16" s="15"/>
      <c r="AB16" s="15"/>
      <c r="AC16" s="15"/>
      <c r="AD16" s="15"/>
      <c r="AE16" s="15"/>
      <c r="AF16" s="15"/>
      <c r="AG16" s="15"/>
      <c r="AH16" s="15"/>
      <c r="AI16" s="15"/>
    </row>
    <row r="17" ht="15.75" hidden="1" customHeight="1">
      <c r="A17" s="16">
        <v>16.0</v>
      </c>
      <c r="B17" s="17" t="str">
        <f>IFERROR(__xludf.DUMMYFUNCTION("INDEX(IMPORTRANGE(""https://docs.google.com/spreadsheets/d/1S7deMHO2waboU9dywpXeKIDfCmjiuAc0HUIsFpaXQq8/edit?gid=0#gid=0"", ""Tracking Shipments - PPTCO!o:o""), MATCH(D17, IMPORTRANGE(""https://docs.google.com/spreadsheets/d/1S7deMHO2waboU9dywpXeKIDfCmjiu"&amp;"Ac0HUIsFpaXQq8/edit?gid=0#gid=0"", ""Tracking Shipments - PPTCO!p:p""), 0))"),"PPT-39")</f>
        <v>PPT-39</v>
      </c>
      <c r="C17" s="17"/>
      <c r="D17" s="17">
        <v>119664.0</v>
      </c>
      <c r="E17" s="16" t="s">
        <v>72</v>
      </c>
      <c r="F17" s="18" t="s">
        <v>37</v>
      </c>
      <c r="G17" s="17" t="s">
        <v>27</v>
      </c>
      <c r="H17" s="16" t="s">
        <v>28</v>
      </c>
      <c r="I17" s="17"/>
      <c r="J17" s="17"/>
      <c r="K17" s="17" t="s">
        <v>28</v>
      </c>
      <c r="L17" s="16" t="s">
        <v>29</v>
      </c>
      <c r="M17" s="27">
        <v>45281.0</v>
      </c>
      <c r="N17" s="17">
        <v>242023.0</v>
      </c>
      <c r="O17" s="16">
        <v>385.0</v>
      </c>
      <c r="P17" s="17">
        <v>431.0</v>
      </c>
      <c r="Q17" s="16">
        <v>386.0</v>
      </c>
      <c r="R17" s="21" t="s">
        <v>33</v>
      </c>
      <c r="S17" s="22" t="str">
        <f t="shared" si="1"/>
        <v/>
      </c>
      <c r="T17" s="17"/>
      <c r="U17" s="16"/>
      <c r="V17" s="16"/>
      <c r="W17" s="18" t="s">
        <v>28</v>
      </c>
      <c r="X17" s="16"/>
      <c r="Y17" s="17" t="s">
        <v>35</v>
      </c>
      <c r="Z17" s="24"/>
      <c r="AA17" s="24"/>
      <c r="AB17" s="24"/>
      <c r="AC17" s="24"/>
      <c r="AD17" s="24"/>
      <c r="AE17" s="24"/>
      <c r="AF17" s="24"/>
      <c r="AG17" s="24"/>
      <c r="AH17" s="24"/>
      <c r="AI17" s="24"/>
    </row>
    <row r="18" ht="15.75" hidden="1" customHeight="1">
      <c r="A18" s="8">
        <v>17.0</v>
      </c>
      <c r="B18" s="9" t="str">
        <f>IFERROR(__xludf.DUMMYFUNCTION("INDEX(IMPORTRANGE(""https://docs.google.com/spreadsheets/d/1S7deMHO2waboU9dywpXeKIDfCmjiuAc0HUIsFpaXQq8/edit?gid=0#gid=0"", ""Tracking Shipments - PPTCO!o:o""), MATCH(D18, IMPORTRANGE(""https://docs.google.com/spreadsheets/d/1S7deMHO2waboU9dywpXeKIDfCmjiu"&amp;"Ac0HUIsFpaXQq8/edit?gid=0#gid=0"", ""Tracking Shipments - PPTCO!p:p""), 0))"),"PPT-34")</f>
        <v>PPT-34</v>
      </c>
      <c r="C18" s="9"/>
      <c r="D18" s="9">
        <v>120610.0</v>
      </c>
      <c r="E18" s="8" t="s">
        <v>73</v>
      </c>
      <c r="F18" s="9" t="s">
        <v>37</v>
      </c>
      <c r="G18" s="9" t="s">
        <v>27</v>
      </c>
      <c r="H18" s="8" t="s">
        <v>28</v>
      </c>
      <c r="I18" s="9"/>
      <c r="J18" s="9"/>
      <c r="K18" s="9" t="s">
        <v>28</v>
      </c>
      <c r="L18" s="8" t="s">
        <v>29</v>
      </c>
      <c r="M18" s="25">
        <v>45280.0</v>
      </c>
      <c r="N18" s="9">
        <v>242023.0</v>
      </c>
      <c r="O18" s="8">
        <v>383.0</v>
      </c>
      <c r="P18" s="9">
        <v>426.0</v>
      </c>
      <c r="Q18" s="8">
        <v>384.0</v>
      </c>
      <c r="R18" s="26" t="s">
        <v>33</v>
      </c>
      <c r="S18" s="13" t="str">
        <f t="shared" si="1"/>
        <v/>
      </c>
      <c r="T18" s="9"/>
      <c r="U18" s="8"/>
      <c r="V18" s="8"/>
      <c r="W18" s="31" t="s">
        <v>28</v>
      </c>
      <c r="X18" s="8"/>
      <c r="Y18" s="9" t="s">
        <v>35</v>
      </c>
      <c r="Z18" s="15"/>
      <c r="AA18" s="15"/>
      <c r="AB18" s="15"/>
      <c r="AC18" s="15"/>
      <c r="AD18" s="15"/>
      <c r="AE18" s="15"/>
      <c r="AF18" s="15"/>
      <c r="AG18" s="15"/>
      <c r="AH18" s="15"/>
      <c r="AI18" s="15"/>
    </row>
    <row r="19" ht="28.5" hidden="1" customHeight="1">
      <c r="A19" s="16">
        <v>18.0</v>
      </c>
      <c r="B19" s="17" t="str">
        <f>IFERROR(__xludf.DUMMYFUNCTION("INDEX(IMPORTRANGE(""https://docs.google.com/spreadsheets/d/1S7deMHO2waboU9dywpXeKIDfCmjiuAc0HUIsFpaXQq8/edit?gid=0#gid=0"", ""Tracking Shipments - PPTCO!o:o""), MATCH(D19, IMPORTRANGE(""https://docs.google.com/spreadsheets/d/1S7deMHO2waboU9dywpXeKIDfCmjiu"&amp;"Ac0HUIsFpaXQq8/edit?gid=0#gid=0"", ""Tracking Shipments - PPTCO!p:p""), 0))"),"N/A")</f>
        <v>N/A</v>
      </c>
      <c r="C19" s="17"/>
      <c r="D19" s="17">
        <v>117571.0</v>
      </c>
      <c r="E19" s="16" t="s">
        <v>74</v>
      </c>
      <c r="F19" s="18" t="s">
        <v>68</v>
      </c>
      <c r="G19" s="17" t="s">
        <v>27</v>
      </c>
      <c r="H19" s="16" t="s">
        <v>28</v>
      </c>
      <c r="I19" s="17"/>
      <c r="J19" s="17"/>
      <c r="K19" s="17" t="s">
        <v>28</v>
      </c>
      <c r="L19" s="16" t="s">
        <v>29</v>
      </c>
      <c r="M19" s="27">
        <v>45273.0</v>
      </c>
      <c r="N19" s="17">
        <v>242023.0</v>
      </c>
      <c r="O19" s="16" t="s">
        <v>75</v>
      </c>
      <c r="P19" s="17" t="s">
        <v>76</v>
      </c>
      <c r="Q19" s="16" t="s">
        <v>77</v>
      </c>
      <c r="R19" s="21" t="s">
        <v>33</v>
      </c>
      <c r="S19" s="22" t="str">
        <f t="shared" si="1"/>
        <v/>
      </c>
      <c r="T19" s="17"/>
      <c r="U19" s="16"/>
      <c r="V19" s="16"/>
      <c r="W19" s="18" t="s">
        <v>28</v>
      </c>
      <c r="X19" s="16"/>
      <c r="Y19" s="17" t="s">
        <v>35</v>
      </c>
      <c r="Z19" s="24"/>
      <c r="AA19" s="24"/>
      <c r="AB19" s="24"/>
      <c r="AC19" s="24"/>
      <c r="AD19" s="24"/>
      <c r="AE19" s="24"/>
      <c r="AF19" s="24"/>
      <c r="AG19" s="24"/>
      <c r="AH19" s="24"/>
      <c r="AI19" s="24"/>
    </row>
    <row r="20" ht="15.75" hidden="1" customHeight="1">
      <c r="A20" s="8">
        <v>19.0</v>
      </c>
      <c r="B20" s="9" t="str">
        <f>IFERROR(__xludf.DUMMYFUNCTION("INDEX(IMPORTRANGE(""https://docs.google.com/spreadsheets/d/1S7deMHO2waboU9dywpXeKIDfCmjiuAc0HUIsFpaXQq8/edit?gid=0#gid=0"", ""Tracking Shipments - PPTCO!o:o""), MATCH(D20, IMPORTRANGE(""https://docs.google.com/spreadsheets/d/1S7deMHO2waboU9dywpXeKIDfCmjiu"&amp;"Ac0HUIsFpaXQq8/edit?gid=0#gid=0"", ""Tracking Shipments - PPTCO!p:p""), 0))"),"PPT-39")</f>
        <v>PPT-39</v>
      </c>
      <c r="C20" s="9"/>
      <c r="D20" s="9">
        <v>124051.0</v>
      </c>
      <c r="E20" s="8" t="s">
        <v>78</v>
      </c>
      <c r="F20" s="9" t="s">
        <v>37</v>
      </c>
      <c r="G20" s="9" t="s">
        <v>27</v>
      </c>
      <c r="H20" s="8" t="s">
        <v>28</v>
      </c>
      <c r="I20" s="9"/>
      <c r="J20" s="9"/>
      <c r="K20" s="9" t="s">
        <v>28</v>
      </c>
      <c r="L20" s="8" t="s">
        <v>29</v>
      </c>
      <c r="M20" s="30">
        <v>45293.0</v>
      </c>
      <c r="N20" s="9">
        <v>242023.0</v>
      </c>
      <c r="O20" s="8">
        <v>394.0</v>
      </c>
      <c r="P20" s="9">
        <v>439.0</v>
      </c>
      <c r="Q20" s="8">
        <v>395.0</v>
      </c>
      <c r="R20" s="26" t="s">
        <v>33</v>
      </c>
      <c r="S20" s="13" t="str">
        <f t="shared" si="1"/>
        <v/>
      </c>
      <c r="T20" s="9"/>
      <c r="U20" s="8"/>
      <c r="V20" s="8"/>
      <c r="W20" s="14" t="s">
        <v>28</v>
      </c>
      <c r="X20" s="8"/>
      <c r="Y20" s="9" t="s">
        <v>35</v>
      </c>
      <c r="Z20" s="15"/>
      <c r="AA20" s="15"/>
      <c r="AB20" s="15"/>
      <c r="AC20" s="15"/>
      <c r="AD20" s="15"/>
      <c r="AE20" s="15"/>
      <c r="AF20" s="15"/>
      <c r="AG20" s="15"/>
      <c r="AH20" s="15"/>
      <c r="AI20" s="15"/>
    </row>
    <row r="21" ht="15.75" hidden="1" customHeight="1">
      <c r="A21" s="16">
        <v>20.0</v>
      </c>
      <c r="B21" s="17" t="str">
        <f>IFERROR(__xludf.DUMMYFUNCTION("INDEX(IMPORTRANGE(""https://docs.google.com/spreadsheets/d/1S7deMHO2waboU9dywpXeKIDfCmjiuAc0HUIsFpaXQq8/edit?gid=0#gid=0"", ""Tracking Shipments - PPTCO!o:o""), MATCH(D21, IMPORTRANGE(""https://docs.google.com/spreadsheets/d/1S7deMHO2waboU9dywpXeKIDfCmjiu"&amp;"Ac0HUIsFpaXQq8/edit?gid=0#gid=0"", ""Tracking Shipments - PPTCO!p:p""), 0))"),"PPT-35")</f>
        <v>PPT-35</v>
      </c>
      <c r="C21" s="17"/>
      <c r="D21" s="17">
        <v>124042.0</v>
      </c>
      <c r="E21" s="16" t="s">
        <v>79</v>
      </c>
      <c r="F21" s="18" t="s">
        <v>37</v>
      </c>
      <c r="G21" s="17" t="s">
        <v>27</v>
      </c>
      <c r="H21" s="16" t="s">
        <v>28</v>
      </c>
      <c r="I21" s="17"/>
      <c r="J21" s="17"/>
      <c r="K21" s="17" t="s">
        <v>28</v>
      </c>
      <c r="L21" s="16" t="s">
        <v>29</v>
      </c>
      <c r="M21" s="19">
        <v>45293.0</v>
      </c>
      <c r="N21" s="17">
        <v>242023.0</v>
      </c>
      <c r="O21" s="16">
        <v>395.0</v>
      </c>
      <c r="P21" s="17">
        <v>440.0</v>
      </c>
      <c r="Q21" s="16">
        <v>396.0</v>
      </c>
      <c r="R21" s="21" t="s">
        <v>33</v>
      </c>
      <c r="S21" s="22" t="str">
        <f t="shared" si="1"/>
        <v/>
      </c>
      <c r="T21" s="17"/>
      <c r="U21" s="16"/>
      <c r="V21" s="16"/>
      <c r="W21" s="23" t="s">
        <v>28</v>
      </c>
      <c r="X21" s="16"/>
      <c r="Y21" s="17" t="s">
        <v>35</v>
      </c>
      <c r="Z21" s="24"/>
      <c r="AA21" s="24"/>
      <c r="AB21" s="24"/>
      <c r="AC21" s="24"/>
      <c r="AD21" s="24"/>
      <c r="AE21" s="24"/>
      <c r="AF21" s="24"/>
      <c r="AG21" s="24"/>
      <c r="AH21" s="24"/>
      <c r="AI21" s="24"/>
    </row>
    <row r="22" ht="15.75" hidden="1" customHeight="1">
      <c r="A22" s="8">
        <v>21.0</v>
      </c>
      <c r="B22" s="9" t="str">
        <f>IFERROR(__xludf.DUMMYFUNCTION("INDEX(IMPORTRANGE(""https://docs.google.com/spreadsheets/d/1S7deMHO2waboU9dywpXeKIDfCmjiuAc0HUIsFpaXQq8/edit?gid=0#gid=0"", ""Tracking Shipments - PPTCO!o:o""), MATCH(D22, IMPORTRANGE(""https://docs.google.com/spreadsheets/d/1S7deMHO2waboU9dywpXeKIDfCmjiu"&amp;"Ac0HUIsFpaXQq8/edit?gid=0#gid=0"", ""Tracking Shipments - PPTCO!p:p""), 0))"),"PPT-71")</f>
        <v>PPT-71</v>
      </c>
      <c r="C22" s="9"/>
      <c r="D22" s="9">
        <v>349863.0</v>
      </c>
      <c r="E22" s="8" t="s">
        <v>80</v>
      </c>
      <c r="F22" s="9" t="s">
        <v>81</v>
      </c>
      <c r="G22" s="9" t="s">
        <v>27</v>
      </c>
      <c r="H22" s="8" t="s">
        <v>28</v>
      </c>
      <c r="I22" s="9"/>
      <c r="J22" s="9"/>
      <c r="K22" s="9" t="s">
        <v>28</v>
      </c>
      <c r="L22" s="8" t="s">
        <v>29</v>
      </c>
      <c r="M22" s="25">
        <v>45278.0</v>
      </c>
      <c r="N22" s="9">
        <v>242023.0</v>
      </c>
      <c r="O22" s="8" t="s">
        <v>82</v>
      </c>
      <c r="P22" s="9" t="s">
        <v>83</v>
      </c>
      <c r="Q22" s="8" t="s">
        <v>84</v>
      </c>
      <c r="R22" s="26" t="s">
        <v>33</v>
      </c>
      <c r="S22" s="13" t="str">
        <f t="shared" si="1"/>
        <v/>
      </c>
      <c r="T22" s="9"/>
      <c r="U22" s="8"/>
      <c r="V22" s="8"/>
      <c r="W22" s="14" t="s">
        <v>28</v>
      </c>
      <c r="X22" s="8"/>
      <c r="Y22" s="9" t="s">
        <v>35</v>
      </c>
      <c r="Z22" s="15"/>
      <c r="AA22" s="15"/>
      <c r="AB22" s="15"/>
      <c r="AC22" s="15"/>
      <c r="AD22" s="15"/>
      <c r="AE22" s="15"/>
      <c r="AF22" s="15"/>
      <c r="AG22" s="15"/>
      <c r="AH22" s="15"/>
      <c r="AI22" s="15"/>
    </row>
    <row r="23" ht="15.75" hidden="1" customHeight="1">
      <c r="A23" s="16">
        <v>22.0</v>
      </c>
      <c r="B23" s="17" t="str">
        <f>IFERROR(__xludf.DUMMYFUNCTION("INDEX(IMPORTRANGE(""https://docs.google.com/spreadsheets/d/1S7deMHO2waboU9dywpXeKIDfCmjiuAc0HUIsFpaXQq8/edit?gid=0#gid=0"", ""Tracking Shipments - PPTCO!o:o""), MATCH(D23, IMPORTRANGE(""https://docs.google.com/spreadsheets/d/1S7deMHO2waboU9dywpXeKIDfCmjiu"&amp;"Ac0HUIsFpaXQq8/edit?gid=0#gid=0"", ""Tracking Shipments - PPTCO!p:p""), 0))"),"PPT-71")</f>
        <v>PPT-71</v>
      </c>
      <c r="C23" s="17"/>
      <c r="D23" s="17">
        <v>353778.0</v>
      </c>
      <c r="E23" s="16" t="s">
        <v>85</v>
      </c>
      <c r="F23" s="18" t="s">
        <v>81</v>
      </c>
      <c r="G23" s="17" t="s">
        <v>27</v>
      </c>
      <c r="H23" s="16" t="s">
        <v>28</v>
      </c>
      <c r="I23" s="17"/>
      <c r="J23" s="17"/>
      <c r="K23" s="17" t="s">
        <v>28</v>
      </c>
      <c r="L23" s="16" t="s">
        <v>29</v>
      </c>
      <c r="M23" s="27">
        <v>45291.0</v>
      </c>
      <c r="N23" s="17">
        <v>242023.0</v>
      </c>
      <c r="O23" s="16" t="s">
        <v>86</v>
      </c>
      <c r="P23" s="17" t="s">
        <v>87</v>
      </c>
      <c r="Q23" s="16" t="s">
        <v>88</v>
      </c>
      <c r="R23" s="21" t="s">
        <v>33</v>
      </c>
      <c r="S23" s="22" t="str">
        <f t="shared" si="1"/>
        <v/>
      </c>
      <c r="T23" s="17"/>
      <c r="U23" s="16"/>
      <c r="V23" s="16"/>
      <c r="W23" s="18" t="s">
        <v>28</v>
      </c>
      <c r="X23" s="16"/>
      <c r="Y23" s="17" t="s">
        <v>35</v>
      </c>
      <c r="Z23" s="24"/>
      <c r="AA23" s="24"/>
      <c r="AB23" s="24"/>
      <c r="AC23" s="24"/>
      <c r="AD23" s="24"/>
      <c r="AE23" s="24"/>
      <c r="AF23" s="24"/>
      <c r="AG23" s="24"/>
      <c r="AH23" s="24"/>
      <c r="AI23" s="24"/>
    </row>
    <row r="24" ht="15.75" hidden="1" customHeight="1">
      <c r="A24" s="8">
        <v>23.0</v>
      </c>
      <c r="B24" s="9" t="str">
        <f>IFERROR(__xludf.DUMMYFUNCTION("INDEX(IMPORTRANGE(""https://docs.google.com/spreadsheets/d/1S7deMHO2waboU9dywpXeKIDfCmjiuAc0HUIsFpaXQq8/edit?gid=0#gid=0"", ""Tracking Shipments - PPTCO!o:o""), MATCH(D24, IMPORTRANGE(""https://docs.google.com/spreadsheets/d/1S7deMHO2waboU9dywpXeKIDfCmjiu"&amp;"Ac0HUIsFpaXQq8/edit?gid=0#gid=0"", ""Tracking Shipments - PPTCO!p:p""), 0))"),"PPT-65")</f>
        <v>PPT-65</v>
      </c>
      <c r="C24" s="9"/>
      <c r="D24" s="9">
        <v>657.0</v>
      </c>
      <c r="E24" s="8" t="s">
        <v>89</v>
      </c>
      <c r="F24" s="9" t="s">
        <v>90</v>
      </c>
      <c r="G24" s="9" t="s">
        <v>27</v>
      </c>
      <c r="H24" s="8" t="s">
        <v>28</v>
      </c>
      <c r="I24" s="9"/>
      <c r="J24" s="9"/>
      <c r="K24" s="9" t="s">
        <v>28</v>
      </c>
      <c r="L24" s="8" t="s">
        <v>29</v>
      </c>
      <c r="M24" s="32">
        <v>45300.0</v>
      </c>
      <c r="N24" s="9">
        <v>242023.0</v>
      </c>
      <c r="O24" s="31">
        <v>4.0</v>
      </c>
      <c r="P24" s="14">
        <v>2.0</v>
      </c>
      <c r="Q24" s="31">
        <v>10.0</v>
      </c>
      <c r="R24" s="32">
        <v>45328.0</v>
      </c>
      <c r="S24" s="13">
        <f t="shared" si="1"/>
        <v>28</v>
      </c>
      <c r="T24" s="9"/>
      <c r="U24" s="31"/>
      <c r="V24" s="31"/>
      <c r="W24" s="31" t="s">
        <v>28</v>
      </c>
      <c r="X24" s="8"/>
      <c r="Y24" s="9" t="s">
        <v>35</v>
      </c>
      <c r="Z24" s="15"/>
      <c r="AA24" s="15"/>
      <c r="AB24" s="15"/>
      <c r="AC24" s="15"/>
      <c r="AD24" s="15"/>
      <c r="AE24" s="15"/>
      <c r="AF24" s="15"/>
      <c r="AG24" s="15"/>
      <c r="AH24" s="15"/>
      <c r="AI24" s="15"/>
    </row>
    <row r="25" ht="15.75" hidden="1" customHeight="1">
      <c r="A25" s="16">
        <v>24.0</v>
      </c>
      <c r="B25" s="17" t="str">
        <f>IFERROR(__xludf.DUMMYFUNCTION("INDEX(IMPORTRANGE(""https://docs.google.com/spreadsheets/d/1S7deMHO2waboU9dywpXeKIDfCmjiuAc0HUIsFpaXQq8/edit?gid=0#gid=0"", ""Tracking Shipments - PPTCO!o:o""), MATCH(D25, IMPORTRANGE(""https://docs.google.com/spreadsheets/d/1S7deMHO2waboU9dywpXeKIDfCmjiu"&amp;"Ac0HUIsFpaXQq8/edit?gid=0#gid=0"", ""Tracking Shipments - PPTCO!p:p""), 0))"),"#N/A")</f>
        <v>#N/A</v>
      </c>
      <c r="C25" s="17"/>
      <c r="D25" s="17">
        <v>236554.0</v>
      </c>
      <c r="E25" s="16" t="s">
        <v>91</v>
      </c>
      <c r="F25" s="18" t="s">
        <v>92</v>
      </c>
      <c r="G25" s="17" t="s">
        <v>27</v>
      </c>
      <c r="H25" s="16" t="s">
        <v>28</v>
      </c>
      <c r="I25" s="17"/>
      <c r="J25" s="17"/>
      <c r="K25" s="17" t="s">
        <v>28</v>
      </c>
      <c r="L25" s="16" t="s">
        <v>29</v>
      </c>
      <c r="M25" s="27">
        <v>45277.0</v>
      </c>
      <c r="N25" s="17"/>
      <c r="O25" s="16">
        <v>384.0</v>
      </c>
      <c r="P25" s="17">
        <v>438.0</v>
      </c>
      <c r="Q25" s="16">
        <v>385.0</v>
      </c>
      <c r="R25" s="21" t="s">
        <v>33</v>
      </c>
      <c r="S25" s="22" t="str">
        <f t="shared" si="1"/>
        <v/>
      </c>
      <c r="T25" s="17"/>
      <c r="U25" s="16"/>
      <c r="V25" s="16"/>
      <c r="W25" s="18" t="s">
        <v>28</v>
      </c>
      <c r="X25" s="16"/>
      <c r="Y25" s="17" t="s">
        <v>35</v>
      </c>
      <c r="Z25" s="24"/>
      <c r="AA25" s="24"/>
      <c r="AB25" s="24"/>
      <c r="AC25" s="24"/>
      <c r="AD25" s="24"/>
      <c r="AE25" s="24"/>
      <c r="AF25" s="24"/>
      <c r="AG25" s="24"/>
      <c r="AH25" s="24"/>
      <c r="AI25" s="24"/>
    </row>
    <row r="26" ht="15.75" hidden="1" customHeight="1">
      <c r="A26" s="8">
        <v>25.0</v>
      </c>
      <c r="B26" s="9" t="str">
        <f>IFERROR(__xludf.DUMMYFUNCTION("INDEX(IMPORTRANGE(""https://docs.google.com/spreadsheets/d/1S7deMHO2waboU9dywpXeKIDfCmjiuAc0HUIsFpaXQq8/edit?gid=0#gid=0"", ""Tracking Shipments - PPTCO!o:o""), MATCH(D26, IMPORTRANGE(""https://docs.google.com/spreadsheets/d/1S7deMHO2waboU9dywpXeKIDfCmjiu"&amp;"Ac0HUIsFpaXQq8/edit?gid=0#gid=0"", ""Tracking Shipments - PPTCO!p:p""), 0))"),"#N/A")</f>
        <v>#N/A</v>
      </c>
      <c r="C26" s="9"/>
      <c r="D26" s="9"/>
      <c r="E26" s="8" t="s">
        <v>93</v>
      </c>
      <c r="F26" s="9" t="s">
        <v>40</v>
      </c>
      <c r="G26" s="9" t="s">
        <v>27</v>
      </c>
      <c r="H26" s="8" t="s">
        <v>28</v>
      </c>
      <c r="I26" s="9"/>
      <c r="J26" s="9"/>
      <c r="K26" s="9"/>
      <c r="L26" s="8"/>
      <c r="M26" s="33"/>
      <c r="N26" s="9"/>
      <c r="O26" s="31" t="s">
        <v>94</v>
      </c>
      <c r="P26" s="14" t="s">
        <v>95</v>
      </c>
      <c r="Q26" s="31" t="s">
        <v>96</v>
      </c>
      <c r="R26" s="33"/>
      <c r="S26" s="13" t="str">
        <f t="shared" si="1"/>
        <v/>
      </c>
      <c r="T26" s="9"/>
      <c r="U26" s="8"/>
      <c r="V26" s="8"/>
      <c r="W26" s="14"/>
      <c r="X26" s="8"/>
      <c r="Y26" s="9" t="s">
        <v>35</v>
      </c>
      <c r="Z26" s="15"/>
      <c r="AA26" s="15"/>
      <c r="AB26" s="15"/>
      <c r="AC26" s="15"/>
      <c r="AD26" s="15"/>
      <c r="AE26" s="15"/>
      <c r="AF26" s="15"/>
      <c r="AG26" s="15"/>
      <c r="AH26" s="15"/>
      <c r="AI26" s="15"/>
    </row>
    <row r="27" ht="15.75" hidden="1" customHeight="1">
      <c r="A27" s="16">
        <v>26.0</v>
      </c>
      <c r="B27" s="17" t="str">
        <f>IFERROR(__xludf.DUMMYFUNCTION("INDEX(IMPORTRANGE(""https://docs.google.com/spreadsheets/d/1S7deMHO2waboU9dywpXeKIDfCmjiuAc0HUIsFpaXQq8/edit?gid=0#gid=0"", ""Tracking Shipments - PPTCO!o:o""), MATCH(D27, IMPORTRANGE(""https://docs.google.com/spreadsheets/d/1S7deMHO2waboU9dywpXeKIDfCmjiu"&amp;"Ac0HUIsFpaXQq8/edit?gid=0#gid=0"", ""Tracking Shipments - PPTCO!p:p""), 0))"),"#N/A")</f>
        <v>#N/A</v>
      </c>
      <c r="C27" s="17"/>
      <c r="D27" s="17">
        <v>2702.0</v>
      </c>
      <c r="E27" s="16" t="s">
        <v>97</v>
      </c>
      <c r="F27" s="18" t="s">
        <v>37</v>
      </c>
      <c r="G27" s="17" t="s">
        <v>27</v>
      </c>
      <c r="H27" s="16" t="s">
        <v>28</v>
      </c>
      <c r="I27" s="17"/>
      <c r="J27" s="17"/>
      <c r="K27" s="17" t="s">
        <v>28</v>
      </c>
      <c r="L27" s="16" t="s">
        <v>29</v>
      </c>
      <c r="M27" s="34">
        <v>45302.0</v>
      </c>
      <c r="N27" s="20" t="s">
        <v>98</v>
      </c>
      <c r="O27" s="16">
        <v>16.0</v>
      </c>
      <c r="P27" s="17">
        <v>7.0</v>
      </c>
      <c r="Q27" s="16">
        <v>2.0</v>
      </c>
      <c r="R27" s="35">
        <v>45328.0</v>
      </c>
      <c r="S27" s="22">
        <f t="shared" si="1"/>
        <v>26</v>
      </c>
      <c r="T27" s="17"/>
      <c r="U27" s="16"/>
      <c r="V27" s="16"/>
      <c r="W27" s="16"/>
      <c r="X27" s="16"/>
      <c r="Y27" s="17" t="s">
        <v>35</v>
      </c>
      <c r="Z27" s="24"/>
      <c r="AA27" s="24"/>
      <c r="AB27" s="24"/>
      <c r="AC27" s="24"/>
      <c r="AD27" s="24"/>
      <c r="AE27" s="24"/>
      <c r="AF27" s="24"/>
      <c r="AG27" s="24"/>
      <c r="AH27" s="24"/>
      <c r="AI27" s="24"/>
    </row>
    <row r="28" ht="15.75" hidden="1" customHeight="1">
      <c r="A28" s="8">
        <v>27.0</v>
      </c>
      <c r="B28" s="9" t="str">
        <f>IFERROR(__xludf.DUMMYFUNCTION("INDEX(IMPORTRANGE(""https://docs.google.com/spreadsheets/d/1S7deMHO2waboU9dywpXeKIDfCmjiuAc0HUIsFpaXQq8/edit?gid=0#gid=0"", ""Tracking Shipments - PPTCO!o:o""), MATCH(D28, IMPORTRANGE(""https://docs.google.com/spreadsheets/d/1S7deMHO2waboU9dywpXeKIDfCmjiu"&amp;"Ac0HUIsFpaXQq8/edit?gid=0#gid=0"", ""Tracking Shipments - PPTCO!p:p""), 0))"),"PPT-67")</f>
        <v>PPT-67</v>
      </c>
      <c r="C28" s="9"/>
      <c r="D28" s="9">
        <v>15674.0</v>
      </c>
      <c r="E28" s="8" t="s">
        <v>99</v>
      </c>
      <c r="F28" s="9" t="s">
        <v>100</v>
      </c>
      <c r="G28" s="9" t="s">
        <v>27</v>
      </c>
      <c r="H28" s="8" t="s">
        <v>28</v>
      </c>
      <c r="I28" s="9"/>
      <c r="J28" s="9"/>
      <c r="K28" s="9" t="s">
        <v>28</v>
      </c>
      <c r="L28" s="8" t="s">
        <v>29</v>
      </c>
      <c r="M28" s="30">
        <v>45325.0</v>
      </c>
      <c r="N28" s="11" t="s">
        <v>98</v>
      </c>
      <c r="O28" s="8">
        <v>22.0</v>
      </c>
      <c r="P28" s="9">
        <v>23.0</v>
      </c>
      <c r="Q28" s="8">
        <v>21.0</v>
      </c>
      <c r="R28" s="36">
        <v>45329.0</v>
      </c>
      <c r="S28" s="13">
        <f t="shared" si="1"/>
        <v>4</v>
      </c>
      <c r="T28" s="9"/>
      <c r="U28" s="8"/>
      <c r="V28" s="8"/>
      <c r="W28" s="14"/>
      <c r="X28" s="8"/>
      <c r="Y28" s="9" t="s">
        <v>35</v>
      </c>
      <c r="Z28" s="15"/>
      <c r="AA28" s="15"/>
      <c r="AB28" s="15"/>
      <c r="AC28" s="15"/>
      <c r="AD28" s="15"/>
      <c r="AE28" s="15"/>
      <c r="AF28" s="15"/>
      <c r="AG28" s="15"/>
      <c r="AH28" s="15"/>
      <c r="AI28" s="15"/>
    </row>
    <row r="29" ht="15.75" hidden="1" customHeight="1">
      <c r="A29" s="16">
        <v>28.0</v>
      </c>
      <c r="B29" s="17" t="str">
        <f>IFERROR(__xludf.DUMMYFUNCTION("INDEX(IMPORTRANGE(""https://docs.google.com/spreadsheets/d/1S7deMHO2waboU9dywpXeKIDfCmjiuAc0HUIsFpaXQq8/edit?gid=0#gid=0"", ""Tracking Shipments - PPTCO!o:o""), MATCH(D29, IMPORTRANGE(""https://docs.google.com/spreadsheets/d/1S7deMHO2waboU9dywpXeKIDfCmjiu"&amp;"Ac0HUIsFpaXQq8/edit?gid=0#gid=0"", ""Tracking Shipments - PPTCO!p:p""), 0))"),"PPT-67")</f>
        <v>PPT-67</v>
      </c>
      <c r="C29" s="17"/>
      <c r="D29" s="17">
        <v>15129.0</v>
      </c>
      <c r="E29" s="16" t="s">
        <v>101</v>
      </c>
      <c r="F29" s="18" t="s">
        <v>100</v>
      </c>
      <c r="G29" s="17" t="s">
        <v>27</v>
      </c>
      <c r="H29" s="16" t="s">
        <v>28</v>
      </c>
      <c r="I29" s="17"/>
      <c r="J29" s="17"/>
      <c r="K29" s="17" t="s">
        <v>28</v>
      </c>
      <c r="L29" s="16" t="s">
        <v>29</v>
      </c>
      <c r="M29" s="19">
        <v>45325.0</v>
      </c>
      <c r="N29" s="20" t="s">
        <v>98</v>
      </c>
      <c r="O29" s="16" t="s">
        <v>102</v>
      </c>
      <c r="P29" s="17" t="s">
        <v>102</v>
      </c>
      <c r="Q29" s="16" t="s">
        <v>103</v>
      </c>
      <c r="R29" s="35">
        <v>45329.0</v>
      </c>
      <c r="S29" s="22">
        <f t="shared" si="1"/>
        <v>4</v>
      </c>
      <c r="T29" s="17"/>
      <c r="U29" s="16"/>
      <c r="V29" s="16"/>
      <c r="W29" s="18"/>
      <c r="X29" s="16"/>
      <c r="Y29" s="17" t="s">
        <v>35</v>
      </c>
      <c r="Z29" s="24"/>
      <c r="AA29" s="24"/>
      <c r="AB29" s="24"/>
      <c r="AC29" s="24"/>
      <c r="AD29" s="24"/>
      <c r="AE29" s="24"/>
      <c r="AF29" s="24"/>
      <c r="AG29" s="24"/>
      <c r="AH29" s="24"/>
      <c r="AI29" s="24"/>
    </row>
    <row r="30" ht="15.75" hidden="1" customHeight="1">
      <c r="A30" s="8">
        <v>29.0</v>
      </c>
      <c r="B30" s="9" t="str">
        <f>IFERROR(__xludf.DUMMYFUNCTION("INDEX(IMPORTRANGE(""https://docs.google.com/spreadsheets/d/1S7deMHO2waboU9dywpXeKIDfCmjiuAc0HUIsFpaXQq8/edit?gid=0#gid=0"", ""Tracking Shipments - PPTCO!o:o""), MATCH(D30, IMPORTRANGE(""https://docs.google.com/spreadsheets/d/1S7deMHO2waboU9dywpXeKIDfCmjiu"&amp;"Ac0HUIsFpaXQq8/edit?gid=0#gid=0"", ""Tracking Shipments - PPTCO!p:p""), 0))"),"PPT-80")</f>
        <v>PPT-80</v>
      </c>
      <c r="C30" s="9"/>
      <c r="D30" s="9">
        <v>10114.0</v>
      </c>
      <c r="E30" s="8" t="s">
        <v>104</v>
      </c>
      <c r="F30" s="9" t="s">
        <v>105</v>
      </c>
      <c r="G30" s="9" t="s">
        <v>27</v>
      </c>
      <c r="H30" s="8" t="s">
        <v>28</v>
      </c>
      <c r="I30" s="9"/>
      <c r="J30" s="9"/>
      <c r="K30" s="9" t="s">
        <v>28</v>
      </c>
      <c r="L30" s="8" t="s">
        <v>29</v>
      </c>
      <c r="M30" s="25">
        <v>45309.0</v>
      </c>
      <c r="N30" s="11" t="s">
        <v>98</v>
      </c>
      <c r="O30" s="8">
        <v>3.0</v>
      </c>
      <c r="P30" s="9">
        <v>12.0</v>
      </c>
      <c r="Q30" s="8">
        <v>14.0</v>
      </c>
      <c r="R30" s="36">
        <v>45328.0</v>
      </c>
      <c r="S30" s="13">
        <f t="shared" si="1"/>
        <v>19</v>
      </c>
      <c r="T30" s="9"/>
      <c r="U30" s="8"/>
      <c r="V30" s="8"/>
      <c r="W30" s="8"/>
      <c r="X30" s="8"/>
      <c r="Y30" s="9" t="s">
        <v>35</v>
      </c>
      <c r="Z30" s="15"/>
      <c r="AA30" s="15"/>
      <c r="AB30" s="15"/>
      <c r="AC30" s="15"/>
      <c r="AD30" s="15"/>
      <c r="AE30" s="15"/>
      <c r="AF30" s="15"/>
      <c r="AG30" s="15"/>
      <c r="AH30" s="15"/>
      <c r="AI30" s="15"/>
    </row>
    <row r="31" ht="15.75" hidden="1" customHeight="1">
      <c r="A31" s="16">
        <v>30.0</v>
      </c>
      <c r="B31" s="17" t="str">
        <f>IFERROR(__xludf.DUMMYFUNCTION("INDEX(IMPORTRANGE(""https://docs.google.com/spreadsheets/d/1S7deMHO2waboU9dywpXeKIDfCmjiuAc0HUIsFpaXQq8/edit?gid=0#gid=0"", ""Tracking Shipments - PPTCO!o:o""), MATCH(D31, IMPORTRANGE(""https://docs.google.com/spreadsheets/d/1S7deMHO2waboU9dywpXeKIDfCmjiu"&amp;"Ac0HUIsFpaXQq8/edit?gid=0#gid=0"", ""Tracking Shipments - PPTCO!p:p""), 0))"),"PPT-83")</f>
        <v>PPT-83</v>
      </c>
      <c r="C31" s="17"/>
      <c r="D31" s="17">
        <v>15125.0</v>
      </c>
      <c r="E31" s="16" t="s">
        <v>106</v>
      </c>
      <c r="F31" s="18" t="s">
        <v>40</v>
      </c>
      <c r="G31" s="17" t="s">
        <v>27</v>
      </c>
      <c r="H31" s="16" t="s">
        <v>28</v>
      </c>
      <c r="I31" s="17"/>
      <c r="J31" s="17"/>
      <c r="K31" s="17" t="s">
        <v>28</v>
      </c>
      <c r="L31" s="16" t="s">
        <v>29</v>
      </c>
      <c r="M31" s="19">
        <v>45325.0</v>
      </c>
      <c r="N31" s="20" t="s">
        <v>98</v>
      </c>
      <c r="O31" s="16" t="s">
        <v>107</v>
      </c>
      <c r="P31" s="17" t="s">
        <v>108</v>
      </c>
      <c r="Q31" s="16" t="s">
        <v>109</v>
      </c>
      <c r="R31" s="35">
        <v>45328.0</v>
      </c>
      <c r="S31" s="22">
        <f t="shared" si="1"/>
        <v>3</v>
      </c>
      <c r="T31" s="17"/>
      <c r="U31" s="16"/>
      <c r="V31" s="16"/>
      <c r="W31" s="18"/>
      <c r="X31" s="16"/>
      <c r="Y31" s="17" t="s">
        <v>35</v>
      </c>
      <c r="Z31" s="24"/>
      <c r="AA31" s="24"/>
      <c r="AB31" s="24"/>
      <c r="AC31" s="24"/>
      <c r="AD31" s="24"/>
      <c r="AE31" s="24"/>
      <c r="AF31" s="24"/>
      <c r="AG31" s="24"/>
      <c r="AH31" s="24"/>
      <c r="AI31" s="24"/>
    </row>
    <row r="32" ht="15.75" hidden="1" customHeight="1">
      <c r="A32" s="8">
        <v>31.0</v>
      </c>
      <c r="B32" s="9" t="str">
        <f>IFERROR(__xludf.DUMMYFUNCTION("INDEX(IMPORTRANGE(""https://docs.google.com/spreadsheets/d/1S7deMHO2waboU9dywpXeKIDfCmjiuAc0HUIsFpaXQq8/edit?gid=0#gid=0"", ""Tracking Shipments - PPTCO!o:o""), MATCH(D32, IMPORTRANGE(""https://docs.google.com/spreadsheets/d/1S7deMHO2waboU9dywpXeKIDfCmjiu"&amp;"Ac0HUIsFpaXQq8/edit?gid=0#gid=0"", ""Tracking Shipments - PPTCO!p:p""), 0))"),"PPT-80")</f>
        <v>PPT-80</v>
      </c>
      <c r="C32" s="9"/>
      <c r="D32" s="9">
        <v>10121.0</v>
      </c>
      <c r="E32" s="8" t="s">
        <v>110</v>
      </c>
      <c r="F32" s="9" t="s">
        <v>105</v>
      </c>
      <c r="G32" s="9" t="s">
        <v>27</v>
      </c>
      <c r="H32" s="8" t="s">
        <v>28</v>
      </c>
      <c r="I32" s="9"/>
      <c r="J32" s="9"/>
      <c r="K32" s="9" t="s">
        <v>28</v>
      </c>
      <c r="L32" s="8" t="s">
        <v>29</v>
      </c>
      <c r="M32" s="25">
        <v>45309.0</v>
      </c>
      <c r="N32" s="11" t="s">
        <v>98</v>
      </c>
      <c r="O32" s="8" t="s">
        <v>111</v>
      </c>
      <c r="P32" s="9" t="s">
        <v>112</v>
      </c>
      <c r="Q32" s="8" t="s">
        <v>113</v>
      </c>
      <c r="R32" s="36">
        <v>45328.0</v>
      </c>
      <c r="S32" s="13">
        <f t="shared" si="1"/>
        <v>19</v>
      </c>
      <c r="T32" s="9"/>
      <c r="U32" s="8"/>
      <c r="V32" s="8"/>
      <c r="W32" s="14"/>
      <c r="X32" s="8"/>
      <c r="Y32" s="9" t="s">
        <v>35</v>
      </c>
      <c r="Z32" s="15"/>
      <c r="AA32" s="15"/>
      <c r="AB32" s="15"/>
      <c r="AC32" s="15"/>
      <c r="AD32" s="15"/>
      <c r="AE32" s="15"/>
      <c r="AF32" s="15"/>
      <c r="AG32" s="15"/>
      <c r="AH32" s="15"/>
      <c r="AI32" s="15"/>
    </row>
    <row r="33" ht="15.75" hidden="1" customHeight="1">
      <c r="A33" s="16">
        <v>32.0</v>
      </c>
      <c r="B33" s="17" t="str">
        <f>IFERROR(__xludf.DUMMYFUNCTION("INDEX(IMPORTRANGE(""https://docs.google.com/spreadsheets/d/1S7deMHO2waboU9dywpXeKIDfCmjiuAc0HUIsFpaXQq8/edit?gid=0#gid=0"", ""Tracking Shipments - PPTCO!o:o""), MATCH(D33, IMPORTRANGE(""https://docs.google.com/spreadsheets/d/1S7deMHO2waboU9dywpXeKIDfCmjiu"&amp;"Ac0HUIsFpaXQq8/edit?gid=0#gid=0"", ""Tracking Shipments - PPTCO!p:p""), 0))"),"PPT-30")</f>
        <v>PPT-30</v>
      </c>
      <c r="C33" s="17"/>
      <c r="D33" s="17">
        <v>2675.0</v>
      </c>
      <c r="E33" s="16" t="s">
        <v>114</v>
      </c>
      <c r="F33" s="18" t="s">
        <v>37</v>
      </c>
      <c r="G33" s="17" t="s">
        <v>27</v>
      </c>
      <c r="H33" s="16" t="s">
        <v>28</v>
      </c>
      <c r="I33" s="17"/>
      <c r="J33" s="17"/>
      <c r="K33" s="17" t="s">
        <v>28</v>
      </c>
      <c r="L33" s="16" t="s">
        <v>29</v>
      </c>
      <c r="M33" s="27">
        <v>45314.0</v>
      </c>
      <c r="N33" s="20" t="s">
        <v>98</v>
      </c>
      <c r="O33" s="16">
        <v>2.0</v>
      </c>
      <c r="P33" s="17">
        <v>1.0</v>
      </c>
      <c r="Q33" s="23">
        <v>1.0</v>
      </c>
      <c r="R33" s="35">
        <v>45325.0</v>
      </c>
      <c r="S33" s="22">
        <f t="shared" si="1"/>
        <v>11</v>
      </c>
      <c r="T33" s="17"/>
      <c r="U33" s="16"/>
      <c r="V33" s="16"/>
      <c r="W33" s="16"/>
      <c r="X33" s="16"/>
      <c r="Y33" s="17" t="s">
        <v>35</v>
      </c>
      <c r="Z33" s="24"/>
      <c r="AA33" s="24"/>
      <c r="AB33" s="24"/>
      <c r="AC33" s="24"/>
      <c r="AD33" s="24"/>
      <c r="AE33" s="24"/>
      <c r="AF33" s="24"/>
      <c r="AG33" s="24"/>
      <c r="AH33" s="24"/>
      <c r="AI33" s="24"/>
    </row>
    <row r="34" ht="15.75" hidden="1" customHeight="1">
      <c r="A34" s="8">
        <v>33.0</v>
      </c>
      <c r="B34" s="9" t="str">
        <f>IFERROR(__xludf.DUMMYFUNCTION("INDEX(IMPORTRANGE(""https://docs.google.com/spreadsheets/d/1S7deMHO2waboU9dywpXeKIDfCmjiuAc0HUIsFpaXQq8/edit?gid=0#gid=0"", ""Tracking Shipments - PPTCO!o:o""), MATCH(D34, IMPORTRANGE(""https://docs.google.com/spreadsheets/d/1S7deMHO2waboU9dywpXeKIDfCmjiu"&amp;"Ac0HUIsFpaXQq8/edit?gid=0#gid=0"", ""Tracking Shipments - PPTCO!p:p""), 0))"),"PPT-30")</f>
        <v>PPT-30</v>
      </c>
      <c r="C34" s="9"/>
      <c r="D34" s="9">
        <v>2718.0</v>
      </c>
      <c r="E34" s="8" t="s">
        <v>115</v>
      </c>
      <c r="F34" s="9" t="s">
        <v>37</v>
      </c>
      <c r="G34" s="9" t="s">
        <v>27</v>
      </c>
      <c r="H34" s="8" t="s">
        <v>28</v>
      </c>
      <c r="I34" s="9"/>
      <c r="J34" s="9"/>
      <c r="K34" s="9" t="s">
        <v>28</v>
      </c>
      <c r="L34" s="8" t="s">
        <v>29</v>
      </c>
      <c r="M34" s="25">
        <v>45316.0</v>
      </c>
      <c r="N34" s="11" t="s">
        <v>98</v>
      </c>
      <c r="O34" s="8">
        <v>17.0</v>
      </c>
      <c r="P34" s="9">
        <v>9.0</v>
      </c>
      <c r="Q34" s="8">
        <v>4.0</v>
      </c>
      <c r="R34" s="36">
        <v>45328.0</v>
      </c>
      <c r="S34" s="13">
        <f t="shared" si="1"/>
        <v>12</v>
      </c>
      <c r="T34" s="9"/>
      <c r="U34" s="8"/>
      <c r="V34" s="8"/>
      <c r="W34" s="14"/>
      <c r="X34" s="8"/>
      <c r="Y34" s="9" t="s">
        <v>35</v>
      </c>
      <c r="Z34" s="15"/>
      <c r="AA34" s="15"/>
      <c r="AB34" s="15"/>
      <c r="AC34" s="15"/>
      <c r="AD34" s="15"/>
      <c r="AE34" s="15"/>
      <c r="AF34" s="15"/>
      <c r="AG34" s="15"/>
      <c r="AH34" s="15"/>
      <c r="AI34" s="15"/>
    </row>
    <row r="35" ht="15.75" hidden="1" customHeight="1">
      <c r="A35" s="16">
        <v>34.0</v>
      </c>
      <c r="B35" s="17" t="str">
        <f>IFERROR(__xludf.DUMMYFUNCTION("INDEX(IMPORTRANGE(""https://docs.google.com/spreadsheets/d/1S7deMHO2waboU9dywpXeKIDfCmjiuAc0HUIsFpaXQq8/edit?gid=0#gid=0"", ""Tracking Shipments - PPTCO!o:o""), MATCH(D35, IMPORTRANGE(""https://docs.google.com/spreadsheets/d/1S7deMHO2waboU9dywpXeKIDfCmjiu"&amp;"Ac0HUIsFpaXQq8/edit?gid=0#gid=0"", ""Tracking Shipments - PPTCO!p:p""), 0))"),"#N/A")</f>
        <v>#N/A</v>
      </c>
      <c r="C35" s="17"/>
      <c r="D35" s="17">
        <v>8092.0</v>
      </c>
      <c r="E35" s="16" t="s">
        <v>116</v>
      </c>
      <c r="F35" s="18" t="s">
        <v>37</v>
      </c>
      <c r="G35" s="17" t="s">
        <v>27</v>
      </c>
      <c r="H35" s="16" t="s">
        <v>28</v>
      </c>
      <c r="I35" s="17"/>
      <c r="J35" s="17"/>
      <c r="K35" s="17" t="s">
        <v>28</v>
      </c>
      <c r="L35" s="16" t="s">
        <v>29</v>
      </c>
      <c r="M35" s="27">
        <v>45316.0</v>
      </c>
      <c r="N35" s="20" t="s">
        <v>98</v>
      </c>
      <c r="O35" s="16">
        <v>23.0</v>
      </c>
      <c r="P35" s="17">
        <v>15.0</v>
      </c>
      <c r="Q35" s="16">
        <v>15.0</v>
      </c>
      <c r="R35" s="35">
        <v>45328.0</v>
      </c>
      <c r="S35" s="22">
        <f t="shared" si="1"/>
        <v>12</v>
      </c>
      <c r="T35" s="17"/>
      <c r="U35" s="16"/>
      <c r="V35" s="16"/>
      <c r="W35" s="18"/>
      <c r="X35" s="16"/>
      <c r="Y35" s="17" t="s">
        <v>35</v>
      </c>
      <c r="Z35" s="24"/>
      <c r="AA35" s="24"/>
      <c r="AB35" s="24"/>
      <c r="AC35" s="24"/>
      <c r="AD35" s="24"/>
      <c r="AE35" s="24"/>
      <c r="AF35" s="24"/>
      <c r="AG35" s="24"/>
      <c r="AH35" s="24"/>
      <c r="AI35" s="24"/>
    </row>
    <row r="36" ht="15.75" hidden="1" customHeight="1">
      <c r="A36" s="8">
        <v>35.0</v>
      </c>
      <c r="B36" s="9" t="str">
        <f>IFERROR(__xludf.DUMMYFUNCTION("INDEX(IMPORTRANGE(""https://docs.google.com/spreadsheets/d/1S7deMHO2waboU9dywpXeKIDfCmjiuAc0HUIsFpaXQq8/edit?gid=0#gid=0"", ""Tracking Shipments - PPTCO!o:o""), MATCH(D36, IMPORTRANGE(""https://docs.google.com/spreadsheets/d/1S7deMHO2waboU9dywpXeKIDfCmjiu"&amp;"Ac0HUIsFpaXQq8/edit?gid=0#gid=0"", ""Tracking Shipments - PPTCO!p:p""), 0))"),"PPT-89")</f>
        <v>PPT-89</v>
      </c>
      <c r="C36" s="9"/>
      <c r="D36" s="9">
        <v>8076.0</v>
      </c>
      <c r="E36" s="8" t="s">
        <v>117</v>
      </c>
      <c r="F36" s="9" t="s">
        <v>37</v>
      </c>
      <c r="G36" s="9" t="s">
        <v>27</v>
      </c>
      <c r="H36" s="8" t="s">
        <v>28</v>
      </c>
      <c r="I36" s="9"/>
      <c r="J36" s="9"/>
      <c r="K36" s="9" t="s">
        <v>28</v>
      </c>
      <c r="L36" s="8" t="s">
        <v>29</v>
      </c>
      <c r="M36" s="25">
        <v>45319.0</v>
      </c>
      <c r="N36" s="11" t="s">
        <v>98</v>
      </c>
      <c r="O36" s="8">
        <v>18.0</v>
      </c>
      <c r="P36" s="9">
        <v>10.0</v>
      </c>
      <c r="Q36" s="8">
        <v>8.0</v>
      </c>
      <c r="R36" s="36">
        <v>45328.0</v>
      </c>
      <c r="S36" s="13">
        <f t="shared" si="1"/>
        <v>9</v>
      </c>
      <c r="T36" s="9"/>
      <c r="U36" s="8"/>
      <c r="V36" s="8"/>
      <c r="W36" s="8"/>
      <c r="X36" s="8"/>
      <c r="Y36" s="9" t="s">
        <v>35</v>
      </c>
      <c r="Z36" s="15"/>
      <c r="AA36" s="15"/>
      <c r="AB36" s="15"/>
      <c r="AC36" s="15"/>
      <c r="AD36" s="15"/>
      <c r="AE36" s="15"/>
      <c r="AF36" s="15"/>
      <c r="AG36" s="15"/>
      <c r="AH36" s="15"/>
      <c r="AI36" s="15"/>
    </row>
    <row r="37" ht="15.75" hidden="1" customHeight="1">
      <c r="A37" s="16">
        <v>36.0</v>
      </c>
      <c r="B37" s="17" t="str">
        <f>IFERROR(__xludf.DUMMYFUNCTION("INDEX(IMPORTRANGE(""https://docs.google.com/spreadsheets/d/1S7deMHO2waboU9dywpXeKIDfCmjiuAc0HUIsFpaXQq8/edit?gid=0#gid=0"", ""Tracking Shipments - PPTCO!o:o""), MATCH(D37, IMPORTRANGE(""https://docs.google.com/spreadsheets/d/1S7deMHO2waboU9dywpXeKIDfCmjiu"&amp;"Ac0HUIsFpaXQq8/edit?gid=0#gid=0"", ""Tracking Shipments - PPTCO!p:p""), 0))"),"#N/A")</f>
        <v>#N/A</v>
      </c>
      <c r="C37" s="17"/>
      <c r="D37" s="17">
        <v>8103.0</v>
      </c>
      <c r="E37" s="16" t="s">
        <v>118</v>
      </c>
      <c r="F37" s="18" t="s">
        <v>37</v>
      </c>
      <c r="G37" s="17" t="s">
        <v>27</v>
      </c>
      <c r="H37" s="16" t="s">
        <v>28</v>
      </c>
      <c r="I37" s="17"/>
      <c r="J37" s="17"/>
      <c r="K37" s="17" t="s">
        <v>28</v>
      </c>
      <c r="L37" s="16" t="s">
        <v>29</v>
      </c>
      <c r="M37" s="27">
        <v>45321.0</v>
      </c>
      <c r="N37" s="20" t="s">
        <v>98</v>
      </c>
      <c r="O37" s="16">
        <v>19.0</v>
      </c>
      <c r="P37" s="17">
        <v>11.0</v>
      </c>
      <c r="Q37" s="16">
        <v>9.0</v>
      </c>
      <c r="R37" s="35">
        <v>45328.0</v>
      </c>
      <c r="S37" s="22">
        <f t="shared" si="1"/>
        <v>7</v>
      </c>
      <c r="T37" s="17"/>
      <c r="U37" s="16"/>
      <c r="V37" s="16"/>
      <c r="W37" s="18"/>
      <c r="X37" s="16"/>
      <c r="Y37" s="17" t="s">
        <v>35</v>
      </c>
      <c r="Z37" s="24"/>
      <c r="AA37" s="24"/>
      <c r="AB37" s="24"/>
      <c r="AC37" s="24"/>
      <c r="AD37" s="24"/>
      <c r="AE37" s="24"/>
      <c r="AF37" s="24"/>
      <c r="AG37" s="24"/>
      <c r="AH37" s="24"/>
      <c r="AI37" s="24"/>
    </row>
    <row r="38" ht="15.75" hidden="1" customHeight="1">
      <c r="A38" s="8">
        <v>37.0</v>
      </c>
      <c r="B38" s="9" t="str">
        <f>IFERROR(__xludf.DUMMYFUNCTION("INDEX(IMPORTRANGE(""https://docs.google.com/spreadsheets/d/1S7deMHO2waboU9dywpXeKIDfCmjiuAc0HUIsFpaXQq8/edit?gid=0#gid=0"", ""Tracking Shipments - PPTCO!o:o""), MATCH(D38, IMPORTRANGE(""https://docs.google.com/spreadsheets/d/1S7deMHO2waboU9dywpXeKIDfCmjiu"&amp;"Ac0HUIsFpaXQq8/edit?gid=0#gid=0"", ""Tracking Shipments - PPTCO!p:p""), 0))"),"PPT-81")</f>
        <v>PPT-81</v>
      </c>
      <c r="C38" s="9"/>
      <c r="D38" s="9">
        <v>8328.0</v>
      </c>
      <c r="E38" s="8" t="s">
        <v>119</v>
      </c>
      <c r="F38" s="9" t="s">
        <v>43</v>
      </c>
      <c r="G38" s="9" t="s">
        <v>27</v>
      </c>
      <c r="H38" s="8" t="s">
        <v>28</v>
      </c>
      <c r="I38" s="9"/>
      <c r="J38" s="9"/>
      <c r="K38" s="9" t="s">
        <v>28</v>
      </c>
      <c r="L38" s="8" t="s">
        <v>29</v>
      </c>
      <c r="M38" s="25">
        <v>45321.0</v>
      </c>
      <c r="N38" s="11" t="s">
        <v>98</v>
      </c>
      <c r="O38" s="8">
        <v>6.0</v>
      </c>
      <c r="P38" s="9">
        <v>8.0</v>
      </c>
      <c r="Q38" s="8">
        <v>13.0</v>
      </c>
      <c r="R38" s="36">
        <v>45328.0</v>
      </c>
      <c r="S38" s="13">
        <f t="shared" si="1"/>
        <v>7</v>
      </c>
      <c r="T38" s="9"/>
      <c r="U38" s="8"/>
      <c r="V38" s="8"/>
      <c r="W38" s="14"/>
      <c r="X38" s="8"/>
      <c r="Y38" s="9" t="s">
        <v>35</v>
      </c>
      <c r="Z38" s="15"/>
      <c r="AA38" s="15"/>
      <c r="AB38" s="15"/>
      <c r="AC38" s="15"/>
      <c r="AD38" s="15"/>
      <c r="AE38" s="15"/>
      <c r="AF38" s="15"/>
      <c r="AG38" s="15"/>
      <c r="AH38" s="15"/>
      <c r="AI38" s="15"/>
    </row>
    <row r="39" ht="15.75" hidden="1" customHeight="1">
      <c r="A39" s="16">
        <v>38.0</v>
      </c>
      <c r="B39" s="17" t="str">
        <f>IFERROR(__xludf.DUMMYFUNCTION("INDEX(IMPORTRANGE(""https://docs.google.com/spreadsheets/d/1S7deMHO2waboU9dywpXeKIDfCmjiuAc0HUIsFpaXQq8/edit?gid=0#gid=0"", ""Tracking Shipments - PPTCO!o:o""), MATCH(D39, IMPORTRANGE(""https://docs.google.com/spreadsheets/d/1S7deMHO2waboU9dywpXeKIDfCmjiu"&amp;"Ac0HUIsFpaXQq8/edit?gid=0#gid=0"", ""Tracking Shipments - PPTCO!p:p""), 0))"),"#N/A")</f>
        <v>#N/A</v>
      </c>
      <c r="C39" s="17"/>
      <c r="D39" s="17">
        <v>9629.0</v>
      </c>
      <c r="E39" s="16" t="s">
        <v>120</v>
      </c>
      <c r="F39" s="18" t="s">
        <v>105</v>
      </c>
      <c r="G39" s="17" t="s">
        <v>27</v>
      </c>
      <c r="H39" s="16" t="s">
        <v>28</v>
      </c>
      <c r="I39" s="17"/>
      <c r="J39" s="17"/>
      <c r="K39" s="17" t="s">
        <v>28</v>
      </c>
      <c r="L39" s="16" t="s">
        <v>29</v>
      </c>
      <c r="M39" s="19">
        <v>45324.0</v>
      </c>
      <c r="N39" s="20" t="s">
        <v>98</v>
      </c>
      <c r="O39" s="16">
        <v>9.0</v>
      </c>
      <c r="P39" s="17">
        <v>6.0</v>
      </c>
      <c r="Q39" s="16">
        <v>3.0</v>
      </c>
      <c r="R39" s="35">
        <v>45328.0</v>
      </c>
      <c r="S39" s="22">
        <f t="shared" si="1"/>
        <v>4</v>
      </c>
      <c r="T39" s="17"/>
      <c r="U39" s="16"/>
      <c r="V39" s="16"/>
      <c r="W39" s="16"/>
      <c r="X39" s="16"/>
      <c r="Y39" s="17" t="s">
        <v>35</v>
      </c>
      <c r="Z39" s="24"/>
      <c r="AA39" s="24"/>
      <c r="AB39" s="24"/>
      <c r="AC39" s="24"/>
      <c r="AD39" s="24"/>
      <c r="AE39" s="24"/>
      <c r="AF39" s="24"/>
      <c r="AG39" s="24"/>
      <c r="AH39" s="24"/>
      <c r="AI39" s="24"/>
    </row>
    <row r="40" ht="15.75" hidden="1" customHeight="1">
      <c r="A40" s="8">
        <v>39.0</v>
      </c>
      <c r="B40" s="9" t="str">
        <f>IFERROR(__xludf.DUMMYFUNCTION("INDEX(IMPORTRANGE(""https://docs.google.com/spreadsheets/d/1S7deMHO2waboU9dywpXeKIDfCmjiuAc0HUIsFpaXQq8/edit?gid=0#gid=0"", ""Tracking Shipments - PPTCO!o:o""), MATCH(D40, IMPORTRANGE(""https://docs.google.com/spreadsheets/d/1S7deMHO2waboU9dywpXeKIDfCmjiu"&amp;"Ac0HUIsFpaXQq8/edit?gid=0#gid=0"", ""Tracking Shipments - PPTCO!p:p""), 0))"),"PPT-41")</f>
        <v>PPT-41</v>
      </c>
      <c r="C40" s="9"/>
      <c r="D40" s="9">
        <v>10947.0</v>
      </c>
      <c r="E40" s="8" t="s">
        <v>121</v>
      </c>
      <c r="F40" s="9" t="s">
        <v>122</v>
      </c>
      <c r="G40" s="9" t="s">
        <v>27</v>
      </c>
      <c r="H40" s="8" t="s">
        <v>28</v>
      </c>
      <c r="I40" s="9"/>
      <c r="J40" s="9"/>
      <c r="K40" s="9" t="s">
        <v>28</v>
      </c>
      <c r="L40" s="8" t="s">
        <v>29</v>
      </c>
      <c r="M40" s="25">
        <v>45311.0</v>
      </c>
      <c r="N40" s="11" t="s">
        <v>98</v>
      </c>
      <c r="O40" s="8" t="s">
        <v>123</v>
      </c>
      <c r="P40" s="9" t="s">
        <v>124</v>
      </c>
      <c r="Q40" s="8" t="s">
        <v>125</v>
      </c>
      <c r="R40" s="36">
        <v>45329.0</v>
      </c>
      <c r="S40" s="13">
        <f t="shared" si="1"/>
        <v>18</v>
      </c>
      <c r="T40" s="9"/>
      <c r="U40" s="8"/>
      <c r="V40" s="8"/>
      <c r="W40" s="14"/>
      <c r="X40" s="8"/>
      <c r="Y40" s="9" t="s">
        <v>35</v>
      </c>
      <c r="Z40" s="15"/>
      <c r="AA40" s="15"/>
      <c r="AB40" s="15"/>
      <c r="AC40" s="15"/>
      <c r="AD40" s="15"/>
      <c r="AE40" s="15"/>
      <c r="AF40" s="15"/>
      <c r="AG40" s="15"/>
      <c r="AH40" s="15"/>
      <c r="AI40" s="15"/>
    </row>
    <row r="41" ht="15.75" hidden="1" customHeight="1">
      <c r="A41" s="16">
        <v>40.0</v>
      </c>
      <c r="B41" s="17" t="str">
        <f>IFERROR(__xludf.DUMMYFUNCTION("INDEX(IMPORTRANGE(""https://docs.google.com/spreadsheets/d/1S7deMHO2waboU9dywpXeKIDfCmjiuAc0HUIsFpaXQq8/edit?gid=0#gid=0"", ""Tracking Shipments - PPTCO!o:o""), MATCH(D41, IMPORTRANGE(""https://docs.google.com/spreadsheets/d/1S7deMHO2waboU9dywpXeKIDfCmjiu"&amp;"Ac0HUIsFpaXQq8/edit?gid=0#gid=0"", ""Tracking Shipments - PPTCO!p:p""), 0))"),"PPT-81")</f>
        <v>PPT-81</v>
      </c>
      <c r="C41" s="17"/>
      <c r="D41" s="17">
        <v>8378.0</v>
      </c>
      <c r="E41" s="16" t="s">
        <v>126</v>
      </c>
      <c r="F41" s="18" t="s">
        <v>43</v>
      </c>
      <c r="G41" s="17" t="s">
        <v>27</v>
      </c>
      <c r="H41" s="16" t="s">
        <v>28</v>
      </c>
      <c r="I41" s="17"/>
      <c r="J41" s="17"/>
      <c r="K41" s="17" t="s">
        <v>28</v>
      </c>
      <c r="L41" s="16" t="s">
        <v>29</v>
      </c>
      <c r="M41" s="27">
        <v>45321.0</v>
      </c>
      <c r="N41" s="20" t="s">
        <v>98</v>
      </c>
      <c r="O41" s="16">
        <v>1.0</v>
      </c>
      <c r="P41" s="17">
        <v>16.0</v>
      </c>
      <c r="Q41" s="16">
        <v>16.0</v>
      </c>
      <c r="R41" s="35">
        <v>45329.0</v>
      </c>
      <c r="S41" s="22">
        <f t="shared" si="1"/>
        <v>8</v>
      </c>
      <c r="T41" s="17"/>
      <c r="U41" s="16"/>
      <c r="V41" s="16"/>
      <c r="W41" s="18"/>
      <c r="X41" s="16"/>
      <c r="Y41" s="17" t="s">
        <v>35</v>
      </c>
      <c r="Z41" s="24"/>
      <c r="AA41" s="24"/>
      <c r="AB41" s="24"/>
      <c r="AC41" s="24"/>
      <c r="AD41" s="24"/>
      <c r="AE41" s="24"/>
      <c r="AF41" s="24"/>
      <c r="AG41" s="24"/>
      <c r="AH41" s="24"/>
      <c r="AI41" s="24"/>
    </row>
    <row r="42" ht="15.75" hidden="1" customHeight="1">
      <c r="A42" s="8">
        <v>41.0</v>
      </c>
      <c r="B42" s="9" t="str">
        <f>IFERROR(__xludf.DUMMYFUNCTION("INDEX(IMPORTRANGE(""https://docs.google.com/spreadsheets/d/1S7deMHO2waboU9dywpXeKIDfCmjiuAc0HUIsFpaXQq8/edit?gid=0#gid=0"", ""Tracking Shipments - PPTCO!o:o""), MATCH(D42, IMPORTRANGE(""https://docs.google.com/spreadsheets/d/1S7deMHO2waboU9dywpXeKIDfCmjiu"&amp;"Ac0HUIsFpaXQq8/edit?gid=0#gid=0"", ""Tracking Shipments - PPTCO!p:p""), 0))"),"PPT-79")</f>
        <v>PPT-79</v>
      </c>
      <c r="C42" s="9"/>
      <c r="D42" s="9">
        <v>7846.0</v>
      </c>
      <c r="E42" s="8" t="s">
        <v>127</v>
      </c>
      <c r="F42" s="9" t="s">
        <v>54</v>
      </c>
      <c r="G42" s="9" t="s">
        <v>27</v>
      </c>
      <c r="H42" s="8" t="s">
        <v>28</v>
      </c>
      <c r="I42" s="9"/>
      <c r="J42" s="9"/>
      <c r="K42" s="9" t="s">
        <v>28</v>
      </c>
      <c r="L42" s="8" t="s">
        <v>29</v>
      </c>
      <c r="M42" s="25">
        <v>45321.0</v>
      </c>
      <c r="N42" s="11" t="s">
        <v>98</v>
      </c>
      <c r="O42" s="8">
        <v>5.0</v>
      </c>
      <c r="P42" s="9">
        <v>24.0</v>
      </c>
      <c r="Q42" s="8">
        <v>20.0</v>
      </c>
      <c r="R42" s="36">
        <v>45329.0</v>
      </c>
      <c r="S42" s="13">
        <f t="shared" si="1"/>
        <v>8</v>
      </c>
      <c r="T42" s="9"/>
      <c r="U42" s="8"/>
      <c r="V42" s="8"/>
      <c r="W42" s="8"/>
      <c r="X42" s="8"/>
      <c r="Y42" s="9" t="s">
        <v>35</v>
      </c>
      <c r="Z42" s="15"/>
      <c r="AA42" s="15"/>
      <c r="AB42" s="15"/>
      <c r="AC42" s="15"/>
      <c r="AD42" s="15"/>
      <c r="AE42" s="15"/>
      <c r="AF42" s="15"/>
      <c r="AG42" s="15"/>
      <c r="AH42" s="15"/>
      <c r="AI42" s="15"/>
    </row>
    <row r="43" ht="15.75" hidden="1" customHeight="1">
      <c r="A43" s="16">
        <v>42.0</v>
      </c>
      <c r="B43" s="17" t="str">
        <f>IFERROR(__xludf.DUMMYFUNCTION("INDEX(IMPORTRANGE(""https://docs.google.com/spreadsheets/d/1S7deMHO2waboU9dywpXeKIDfCmjiuAc0HUIsFpaXQq8/edit?gid=0#gid=0"", ""Tracking Shipments - PPTCO!o:o""), MATCH(D43, IMPORTRANGE(""https://docs.google.com/spreadsheets/d/1S7deMHO2waboU9dywpXeKIDfCmjiu"&amp;"Ac0HUIsFpaXQq8/edit?gid=0#gid=0"", ""Tracking Shipments - PPTCO!p:p""), 0))"),"PPT-33")</f>
        <v>PPT-33</v>
      </c>
      <c r="C43" s="17"/>
      <c r="D43" s="17">
        <v>9916.0</v>
      </c>
      <c r="E43" s="16" t="s">
        <v>128</v>
      </c>
      <c r="F43" s="18" t="s">
        <v>37</v>
      </c>
      <c r="G43" s="17" t="s">
        <v>27</v>
      </c>
      <c r="H43" s="16" t="s">
        <v>28</v>
      </c>
      <c r="I43" s="17"/>
      <c r="J43" s="17"/>
      <c r="K43" s="17" t="s">
        <v>28</v>
      </c>
      <c r="L43" s="16" t="s">
        <v>29</v>
      </c>
      <c r="M43" s="19">
        <v>45330.0</v>
      </c>
      <c r="N43" s="20" t="s">
        <v>98</v>
      </c>
      <c r="O43" s="16">
        <v>25.0</v>
      </c>
      <c r="P43" s="17">
        <v>26.0</v>
      </c>
      <c r="Q43" s="16">
        <v>25.0</v>
      </c>
      <c r="R43" s="35">
        <v>45333.0</v>
      </c>
      <c r="S43" s="22">
        <f t="shared" si="1"/>
        <v>3</v>
      </c>
      <c r="T43" s="17"/>
      <c r="U43" s="16"/>
      <c r="V43" s="16"/>
      <c r="W43" s="18"/>
      <c r="X43" s="16"/>
      <c r="Y43" s="17" t="s">
        <v>35</v>
      </c>
      <c r="Z43" s="24"/>
      <c r="AA43" s="24"/>
      <c r="AB43" s="24"/>
      <c r="AC43" s="24"/>
      <c r="AD43" s="24"/>
      <c r="AE43" s="24"/>
      <c r="AF43" s="24"/>
      <c r="AG43" s="24"/>
      <c r="AH43" s="24"/>
      <c r="AI43" s="24"/>
    </row>
    <row r="44" ht="15.75" hidden="1" customHeight="1">
      <c r="A44" s="8">
        <v>43.0</v>
      </c>
      <c r="B44" s="9" t="str">
        <f>IFERROR(__xludf.DUMMYFUNCTION("INDEX(IMPORTRANGE(""https://docs.google.com/spreadsheets/d/1S7deMHO2waboU9dywpXeKIDfCmjiuAc0HUIsFpaXQq8/edit?gid=0#gid=0"", ""Tracking Shipments - PPTCO!o:o""), MATCH(D44, IMPORTRANGE(""https://docs.google.com/spreadsheets/d/1S7deMHO2waboU9dywpXeKIDfCmjiu"&amp;"Ac0HUIsFpaXQq8/edit?gid=0#gid=0"", ""Tracking Shipments - PPTCO!p:p""), 0))"),"PPT-33")</f>
        <v>PPT-33</v>
      </c>
      <c r="C44" s="9"/>
      <c r="D44" s="9">
        <v>9920.0</v>
      </c>
      <c r="E44" s="8" t="s">
        <v>129</v>
      </c>
      <c r="F44" s="9" t="s">
        <v>37</v>
      </c>
      <c r="G44" s="9" t="s">
        <v>27</v>
      </c>
      <c r="H44" s="8" t="s">
        <v>28</v>
      </c>
      <c r="I44" s="9"/>
      <c r="J44" s="9"/>
      <c r="K44" s="9" t="s">
        <v>28</v>
      </c>
      <c r="L44" s="8" t="s">
        <v>29</v>
      </c>
      <c r="M44" s="30">
        <v>45329.0</v>
      </c>
      <c r="N44" s="11" t="s">
        <v>98</v>
      </c>
      <c r="O44" s="8">
        <v>24.0</v>
      </c>
      <c r="P44" s="9">
        <v>25.0</v>
      </c>
      <c r="Q44" s="8">
        <v>24.0</v>
      </c>
      <c r="R44" s="36">
        <v>45333.0</v>
      </c>
      <c r="S44" s="13">
        <f t="shared" si="1"/>
        <v>4</v>
      </c>
      <c r="T44" s="9"/>
      <c r="U44" s="8"/>
      <c r="V44" s="8"/>
      <c r="W44" s="14"/>
      <c r="X44" s="8"/>
      <c r="Y44" s="9" t="s">
        <v>35</v>
      </c>
      <c r="Z44" s="15"/>
      <c r="AA44" s="15"/>
      <c r="AB44" s="15"/>
      <c r="AC44" s="15"/>
      <c r="AD44" s="15"/>
      <c r="AE44" s="15"/>
      <c r="AF44" s="15"/>
      <c r="AG44" s="15"/>
      <c r="AH44" s="15"/>
      <c r="AI44" s="15"/>
    </row>
    <row r="45" ht="15.75" hidden="1" customHeight="1">
      <c r="A45" s="16">
        <v>44.0</v>
      </c>
      <c r="B45" s="17" t="str">
        <f>IFERROR(__xludf.DUMMYFUNCTION("INDEX(IMPORTRANGE(""https://docs.google.com/spreadsheets/d/1S7deMHO2waboU9dywpXeKIDfCmjiuAc0HUIsFpaXQq8/edit?gid=0#gid=0"", ""Tracking Shipments - PPTCO!o:o""), MATCH(D45, IMPORTRANGE(""https://docs.google.com/spreadsheets/d/1S7deMHO2waboU9dywpXeKIDfCmjiu"&amp;"Ac0HUIsFpaXQq8/edit?gid=0#gid=0"", ""Tracking Shipments - PPTCO!p:p""), 0))"),"PPT-81")</f>
        <v>PPT-81</v>
      </c>
      <c r="C45" s="17"/>
      <c r="D45" s="17">
        <v>13657.0</v>
      </c>
      <c r="E45" s="16" t="s">
        <v>130</v>
      </c>
      <c r="F45" s="18" t="s">
        <v>43</v>
      </c>
      <c r="G45" s="17" t="s">
        <v>27</v>
      </c>
      <c r="H45" s="16" t="s">
        <v>28</v>
      </c>
      <c r="I45" s="17"/>
      <c r="J45" s="17"/>
      <c r="K45" s="17" t="s">
        <v>28</v>
      </c>
      <c r="L45" s="16" t="s">
        <v>29</v>
      </c>
      <c r="M45" s="27">
        <v>45335.0</v>
      </c>
      <c r="N45" s="17"/>
      <c r="O45" s="16">
        <v>26.0</v>
      </c>
      <c r="P45" s="17">
        <v>70.0</v>
      </c>
      <c r="Q45" s="16">
        <v>29.0</v>
      </c>
      <c r="R45" s="27">
        <v>45336.0</v>
      </c>
      <c r="S45" s="22">
        <f t="shared" si="1"/>
        <v>1</v>
      </c>
      <c r="T45" s="17"/>
      <c r="U45" s="16"/>
      <c r="V45" s="16"/>
      <c r="W45" s="16"/>
      <c r="X45" s="16"/>
      <c r="Y45" s="17" t="s">
        <v>35</v>
      </c>
      <c r="Z45" s="24"/>
      <c r="AA45" s="24"/>
      <c r="AB45" s="24"/>
      <c r="AC45" s="24"/>
      <c r="AD45" s="24"/>
      <c r="AE45" s="24"/>
      <c r="AF45" s="24"/>
      <c r="AG45" s="24"/>
      <c r="AH45" s="24"/>
      <c r="AI45" s="24"/>
    </row>
    <row r="46" ht="15.75" hidden="1" customHeight="1">
      <c r="A46" s="8">
        <v>45.0</v>
      </c>
      <c r="B46" s="9" t="str">
        <f>IFERROR(__xludf.DUMMYFUNCTION("INDEX(IMPORTRANGE(""https://docs.google.com/spreadsheets/d/1S7deMHO2waboU9dywpXeKIDfCmjiuAc0HUIsFpaXQq8/edit?gid=0#gid=0"", ""Tracking Shipments - PPTCO!o:o""), MATCH(D46, IMPORTRANGE(""https://docs.google.com/spreadsheets/d/1S7deMHO2waboU9dywpXeKIDfCmjiu"&amp;"Ac0HUIsFpaXQq8/edit?gid=0#gid=0"", ""Tracking Shipments - PPTCO!p:p""), 0))"),"INNOVATION-CONTAINER#1")</f>
        <v>INNOVATION-CONTAINER#1</v>
      </c>
      <c r="C46" s="9"/>
      <c r="D46" s="9">
        <v>5146.0</v>
      </c>
      <c r="E46" s="8" t="s">
        <v>131</v>
      </c>
      <c r="F46" s="9" t="s">
        <v>43</v>
      </c>
      <c r="G46" s="9" t="s">
        <v>27</v>
      </c>
      <c r="H46" s="8" t="s">
        <v>28</v>
      </c>
      <c r="I46" s="9"/>
      <c r="J46" s="9"/>
      <c r="K46" s="9"/>
      <c r="L46" s="8" t="s">
        <v>29</v>
      </c>
      <c r="M46" s="25">
        <v>45307.0</v>
      </c>
      <c r="N46" s="9"/>
      <c r="O46" s="31">
        <v>30.0</v>
      </c>
      <c r="P46" s="14">
        <v>36.0</v>
      </c>
      <c r="Q46" s="31">
        <v>47.0</v>
      </c>
      <c r="R46" s="36">
        <v>45361.0</v>
      </c>
      <c r="S46" s="13">
        <f t="shared" si="1"/>
        <v>54</v>
      </c>
      <c r="T46" s="9"/>
      <c r="U46" s="31"/>
      <c r="V46" s="31"/>
      <c r="W46" s="14"/>
      <c r="X46" s="8"/>
      <c r="Y46" s="9" t="s">
        <v>35</v>
      </c>
      <c r="Z46" s="15"/>
      <c r="AA46" s="15"/>
      <c r="AB46" s="15"/>
      <c r="AC46" s="15"/>
      <c r="AD46" s="15"/>
      <c r="AE46" s="15"/>
      <c r="AF46" s="15"/>
      <c r="AG46" s="15"/>
      <c r="AH46" s="15"/>
      <c r="AI46" s="15"/>
    </row>
    <row r="47" ht="15.75" hidden="1" customHeight="1">
      <c r="A47" s="16">
        <v>46.0</v>
      </c>
      <c r="B47" s="17" t="str">
        <f>IFERROR(__xludf.DUMMYFUNCTION("INDEX(IMPORTRANGE(""https://docs.google.com/spreadsheets/d/1S7deMHO2waboU9dywpXeKIDfCmjiuAc0HUIsFpaXQq8/edit?gid=0#gid=0"", ""Tracking Shipments - PPTCO!o:o""), MATCH(D47, IMPORTRANGE(""https://docs.google.com/spreadsheets/d/1S7deMHO2waboU9dywpXeKIDfCmjiu"&amp;"Ac0HUIsFpaXQq8/edit?gid=0#gid=0"", ""Tracking Shipments - PPTCO!p:p""), 0))"),"INNOVATION-CONTAINER#2")</f>
        <v>INNOVATION-CONTAINER#2</v>
      </c>
      <c r="C47" s="17"/>
      <c r="D47" s="17">
        <v>5161.0</v>
      </c>
      <c r="E47" s="16" t="s">
        <v>132</v>
      </c>
      <c r="F47" s="18" t="s">
        <v>43</v>
      </c>
      <c r="G47" s="17" t="s">
        <v>27</v>
      </c>
      <c r="H47" s="16" t="s">
        <v>28</v>
      </c>
      <c r="I47" s="17"/>
      <c r="J47" s="17"/>
      <c r="K47" s="17"/>
      <c r="L47" s="16" t="s">
        <v>29</v>
      </c>
      <c r="M47" s="27">
        <v>45308.0</v>
      </c>
      <c r="N47" s="17"/>
      <c r="O47" s="23">
        <v>31.0</v>
      </c>
      <c r="P47" s="18">
        <v>37.0</v>
      </c>
      <c r="Q47" s="23">
        <v>46.0</v>
      </c>
      <c r="R47" s="35">
        <v>45360.0</v>
      </c>
      <c r="S47" s="22">
        <f t="shared" si="1"/>
        <v>52</v>
      </c>
      <c r="T47" s="17"/>
      <c r="U47" s="23"/>
      <c r="V47" s="23"/>
      <c r="W47" s="18"/>
      <c r="X47" s="16"/>
      <c r="Y47" s="17" t="s">
        <v>35</v>
      </c>
      <c r="Z47" s="24"/>
      <c r="AA47" s="24"/>
      <c r="AB47" s="24"/>
      <c r="AC47" s="24"/>
      <c r="AD47" s="24"/>
      <c r="AE47" s="24"/>
      <c r="AF47" s="24"/>
      <c r="AG47" s="24"/>
      <c r="AH47" s="24"/>
      <c r="AI47" s="24"/>
    </row>
    <row r="48" ht="15.75" hidden="1" customHeight="1">
      <c r="A48" s="8">
        <v>47.0</v>
      </c>
      <c r="B48" s="9" t="str">
        <f>IFERROR(__xludf.DUMMYFUNCTION("INDEX(IMPORTRANGE(""https://docs.google.com/spreadsheets/d/1S7deMHO2waboU9dywpXeKIDfCmjiuAc0HUIsFpaXQq8/edit?gid=0#gid=0"", ""Tracking Shipments - PPTCO!o:o""), MATCH(D48, IMPORTRANGE(""https://docs.google.com/spreadsheets/d/1S7deMHO2waboU9dywpXeKIDfCmjiu"&amp;"Ac0HUIsFpaXQq8/edit?gid=0#gid=0"", ""Tracking Shipments - PPTCO!p:p""), 0))"),"PPT-84 &amp; PPT-96 &amp; PPT-71")</f>
        <v>PPT-84 &amp; PPT-96 &amp; PPT-71</v>
      </c>
      <c r="C48" s="9"/>
      <c r="D48" s="9">
        <v>39995.0</v>
      </c>
      <c r="E48" s="8" t="s">
        <v>133</v>
      </c>
      <c r="F48" s="9" t="s">
        <v>81</v>
      </c>
      <c r="G48" s="9" t="s">
        <v>27</v>
      </c>
      <c r="H48" s="8" t="s">
        <v>28</v>
      </c>
      <c r="I48" s="9"/>
      <c r="J48" s="9"/>
      <c r="K48" s="9" t="s">
        <v>28</v>
      </c>
      <c r="L48" s="8" t="s">
        <v>29</v>
      </c>
      <c r="M48" s="30">
        <v>45353.0</v>
      </c>
      <c r="N48" s="9">
        <v>222024.0</v>
      </c>
      <c r="O48" s="8" t="s">
        <v>134</v>
      </c>
      <c r="P48" s="9" t="s">
        <v>135</v>
      </c>
      <c r="Q48" s="8" t="s">
        <v>136</v>
      </c>
      <c r="R48" s="36">
        <v>45357.0</v>
      </c>
      <c r="S48" s="13">
        <f t="shared" si="1"/>
        <v>4</v>
      </c>
      <c r="T48" s="9"/>
      <c r="U48" s="8"/>
      <c r="V48" s="8"/>
      <c r="W48" s="8"/>
      <c r="X48" s="8"/>
      <c r="Y48" s="9" t="s">
        <v>35</v>
      </c>
      <c r="Z48" s="15"/>
      <c r="AA48" s="15"/>
      <c r="AB48" s="15"/>
      <c r="AC48" s="15"/>
      <c r="AD48" s="15"/>
      <c r="AE48" s="15"/>
      <c r="AF48" s="15"/>
      <c r="AG48" s="15"/>
      <c r="AH48" s="15"/>
      <c r="AI48" s="15"/>
    </row>
    <row r="49" ht="15.75" hidden="1" customHeight="1">
      <c r="A49" s="16">
        <v>48.0</v>
      </c>
      <c r="B49" s="17" t="str">
        <f>IFERROR(__xludf.DUMMYFUNCTION("INDEX(IMPORTRANGE(""https://docs.google.com/spreadsheets/d/1S7deMHO2waboU9dywpXeKIDfCmjiuAc0HUIsFpaXQq8/edit?gid=0#gid=0"", ""Tracking Shipments - PPTCO!o:o""), MATCH(D49, IMPORTRANGE(""https://docs.google.com/spreadsheets/d/1S7deMHO2waboU9dywpXeKIDfCmjiu"&amp;"Ac0HUIsFpaXQq8/edit?gid=0#gid=0"", ""Tracking Shipments - PPTCO!p:p""), 0))"),"PPT-82")</f>
        <v>PPT-82</v>
      </c>
      <c r="C49" s="17"/>
      <c r="D49" s="17">
        <v>39905.0</v>
      </c>
      <c r="E49" s="16" t="s">
        <v>137</v>
      </c>
      <c r="F49" s="18" t="s">
        <v>59</v>
      </c>
      <c r="G49" s="17" t="s">
        <v>27</v>
      </c>
      <c r="H49" s="16" t="s">
        <v>28</v>
      </c>
      <c r="I49" s="17"/>
      <c r="J49" s="17"/>
      <c r="K49" s="17" t="s">
        <v>28</v>
      </c>
      <c r="L49" s="16" t="s">
        <v>29</v>
      </c>
      <c r="M49" s="19">
        <v>45353.0</v>
      </c>
      <c r="N49" s="17">
        <v>222024.0</v>
      </c>
      <c r="O49" s="16">
        <v>44.0</v>
      </c>
      <c r="P49" s="17">
        <v>238.0</v>
      </c>
      <c r="Q49" s="16">
        <v>48.0</v>
      </c>
      <c r="R49" s="35">
        <v>45361.0</v>
      </c>
      <c r="S49" s="22">
        <f t="shared" si="1"/>
        <v>8</v>
      </c>
      <c r="T49" s="17"/>
      <c r="U49" s="16"/>
      <c r="V49" s="16"/>
      <c r="W49" s="18"/>
      <c r="X49" s="16"/>
      <c r="Y49" s="17" t="s">
        <v>35</v>
      </c>
      <c r="Z49" s="24"/>
      <c r="AA49" s="24"/>
      <c r="AB49" s="24"/>
      <c r="AC49" s="24"/>
      <c r="AD49" s="24"/>
      <c r="AE49" s="24"/>
      <c r="AF49" s="24"/>
      <c r="AG49" s="24"/>
      <c r="AH49" s="24"/>
      <c r="AI49" s="24"/>
    </row>
    <row r="50" ht="15.75" hidden="1" customHeight="1">
      <c r="A50" s="8">
        <v>49.0</v>
      </c>
      <c r="B50" s="9" t="str">
        <f>IFERROR(__xludf.DUMMYFUNCTION("INDEX(IMPORTRANGE(""https://docs.google.com/spreadsheets/d/1S7deMHO2waboU9dywpXeKIDfCmjiuAc0HUIsFpaXQq8/edit?gid=0#gid=0"", ""Tracking Shipments - PPTCO!o:o""), MATCH(D50, IMPORTRANGE(""https://docs.google.com/spreadsheets/d/1S7deMHO2waboU9dywpXeKIDfCmjiu"&amp;"Ac0HUIsFpaXQq8/edit?gid=0#gid=0"", ""Tracking Shipments - PPTCO!p:p""), 0))"),"PPT-71
PPT-84
PPT-96")</f>
        <v>PPT-71
PPT-84
PPT-96</v>
      </c>
      <c r="C50" s="9"/>
      <c r="D50" s="9">
        <v>47366.0</v>
      </c>
      <c r="E50" s="8" t="s">
        <v>138</v>
      </c>
      <c r="F50" s="9" t="s">
        <v>81</v>
      </c>
      <c r="G50" s="9" t="s">
        <v>27</v>
      </c>
      <c r="H50" s="8" t="s">
        <v>28</v>
      </c>
      <c r="I50" s="9"/>
      <c r="J50" s="9"/>
      <c r="K50" s="9" t="s">
        <v>28</v>
      </c>
      <c r="L50" s="8" t="s">
        <v>29</v>
      </c>
      <c r="M50" s="30">
        <v>45362.0</v>
      </c>
      <c r="N50" s="9"/>
      <c r="O50" s="8" t="s">
        <v>139</v>
      </c>
      <c r="P50" s="14" t="s">
        <v>140</v>
      </c>
      <c r="Q50" s="31" t="s">
        <v>141</v>
      </c>
      <c r="R50" s="25">
        <v>45364.0</v>
      </c>
      <c r="S50" s="13">
        <f t="shared" si="1"/>
        <v>2</v>
      </c>
      <c r="T50" s="9"/>
      <c r="U50" s="31"/>
      <c r="V50" s="31"/>
      <c r="W50" s="14"/>
      <c r="X50" s="8"/>
      <c r="Y50" s="9" t="s">
        <v>35</v>
      </c>
      <c r="Z50" s="15"/>
      <c r="AA50" s="15"/>
      <c r="AB50" s="15"/>
      <c r="AC50" s="15"/>
      <c r="AD50" s="15"/>
      <c r="AE50" s="15"/>
      <c r="AF50" s="15"/>
      <c r="AG50" s="15"/>
      <c r="AH50" s="15"/>
      <c r="AI50" s="15"/>
    </row>
    <row r="51" ht="15.75" hidden="1" customHeight="1">
      <c r="A51" s="16">
        <v>50.0</v>
      </c>
      <c r="B51" s="17" t="str">
        <f>IFERROR(__xludf.DUMMYFUNCTION("INDEX(IMPORTRANGE(""https://docs.google.com/spreadsheets/d/1S7deMHO2waboU9dywpXeKIDfCmjiuAc0HUIsFpaXQq8/edit?gid=0#gid=0"", ""Tracking Shipments - PPTCO!o:o""), MATCH(D51, IMPORTRANGE(""https://docs.google.com/spreadsheets/d/1S7deMHO2waboU9dywpXeKIDfCmjiu"&amp;"Ac0HUIsFpaXQq8/edit?gid=0#gid=0"", ""Tracking Shipments - PPTCO!p:p""), 0))"),"#N/A")</f>
        <v>#N/A</v>
      </c>
      <c r="C51" s="17"/>
      <c r="D51" s="17">
        <v>47021.0</v>
      </c>
      <c r="E51" s="16" t="s">
        <v>142</v>
      </c>
      <c r="F51" s="18" t="s">
        <v>143</v>
      </c>
      <c r="G51" s="17" t="s">
        <v>144</v>
      </c>
      <c r="H51" s="16" t="s">
        <v>28</v>
      </c>
      <c r="I51" s="17"/>
      <c r="J51" s="17"/>
      <c r="K51" s="17" t="s">
        <v>28</v>
      </c>
      <c r="L51" s="16" t="s">
        <v>29</v>
      </c>
      <c r="M51" s="19">
        <v>45362.0</v>
      </c>
      <c r="N51" s="17"/>
      <c r="O51" s="16" t="s">
        <v>145</v>
      </c>
      <c r="P51" s="18" t="s">
        <v>146</v>
      </c>
      <c r="Q51" s="23" t="s">
        <v>147</v>
      </c>
      <c r="R51" s="27">
        <v>45365.0</v>
      </c>
      <c r="S51" s="22">
        <f t="shared" si="1"/>
        <v>3</v>
      </c>
      <c r="T51" s="17"/>
      <c r="U51" s="23"/>
      <c r="V51" s="23"/>
      <c r="W51" s="16"/>
      <c r="X51" s="16"/>
      <c r="Y51" s="17" t="s">
        <v>35</v>
      </c>
      <c r="Z51" s="24"/>
      <c r="AA51" s="24"/>
      <c r="AB51" s="24"/>
      <c r="AC51" s="24"/>
      <c r="AD51" s="24"/>
      <c r="AE51" s="24"/>
      <c r="AF51" s="24"/>
      <c r="AG51" s="24"/>
      <c r="AH51" s="24"/>
      <c r="AI51" s="24"/>
    </row>
    <row r="52" ht="15.75" hidden="1" customHeight="1">
      <c r="A52" s="8">
        <v>51.0</v>
      </c>
      <c r="B52" s="14" t="s">
        <v>148</v>
      </c>
      <c r="C52" s="9"/>
      <c r="D52" s="9">
        <v>31259.0</v>
      </c>
      <c r="E52" s="8" t="s">
        <v>149</v>
      </c>
      <c r="F52" s="9" t="s">
        <v>68</v>
      </c>
      <c r="G52" s="9" t="s">
        <v>150</v>
      </c>
      <c r="H52" s="8" t="s">
        <v>28</v>
      </c>
      <c r="I52" s="9"/>
      <c r="J52" s="9"/>
      <c r="K52" s="9" t="s">
        <v>28</v>
      </c>
      <c r="L52" s="8" t="s">
        <v>29</v>
      </c>
      <c r="M52" s="25">
        <v>45378.0</v>
      </c>
      <c r="N52" s="9">
        <v>32024.0</v>
      </c>
      <c r="O52" s="8" t="s">
        <v>151</v>
      </c>
      <c r="P52" s="14" t="s">
        <v>152</v>
      </c>
      <c r="Q52" s="14" t="s">
        <v>153</v>
      </c>
      <c r="R52" s="25">
        <v>45397.0</v>
      </c>
      <c r="S52" s="13">
        <f t="shared" si="1"/>
        <v>19</v>
      </c>
      <c r="T52" s="9"/>
      <c r="U52" s="14"/>
      <c r="V52" s="14"/>
      <c r="W52" s="14"/>
      <c r="X52" s="8"/>
      <c r="Y52" s="9" t="s">
        <v>35</v>
      </c>
      <c r="Z52" s="15"/>
      <c r="AA52" s="15"/>
      <c r="AB52" s="15"/>
      <c r="AC52" s="15"/>
      <c r="AD52" s="15"/>
      <c r="AE52" s="15"/>
      <c r="AF52" s="15"/>
      <c r="AG52" s="15"/>
      <c r="AH52" s="15"/>
      <c r="AI52" s="15"/>
    </row>
    <row r="53" ht="15.75" hidden="1" customHeight="1">
      <c r="A53" s="16">
        <v>52.0</v>
      </c>
      <c r="B53" s="17" t="str">
        <f>IFERROR(__xludf.DUMMYFUNCTION("INDEX(IMPORTRANGE(""https://docs.google.com/spreadsheets/d/1S7deMHO2waboU9dywpXeKIDfCmjiuAc0HUIsFpaXQq8/edit?gid=0#gid=0"", ""Tracking Shipments - PPTCO!o:o""), MATCH(D53, IMPORTRANGE(""https://docs.google.com/spreadsheets/d/1S7deMHO2waboU9dywpXeKIDfCmjiu"&amp;"Ac0HUIsFpaXQq8/edit?gid=0#gid=0"", ""Tracking Shipments - PPTCO!p:p""), 0))"),"PPT-41")</f>
        <v>PPT-41</v>
      </c>
      <c r="C53" s="17"/>
      <c r="D53" s="17">
        <v>63465.0</v>
      </c>
      <c r="E53" s="16" t="s">
        <v>154</v>
      </c>
      <c r="F53" s="18" t="s">
        <v>122</v>
      </c>
      <c r="G53" s="17" t="s">
        <v>144</v>
      </c>
      <c r="H53" s="16" t="s">
        <v>28</v>
      </c>
      <c r="I53" s="17"/>
      <c r="J53" s="17"/>
      <c r="K53" s="17" t="s">
        <v>28</v>
      </c>
      <c r="L53" s="16" t="s">
        <v>29</v>
      </c>
      <c r="M53" s="19">
        <v>45383.0</v>
      </c>
      <c r="N53" s="17"/>
      <c r="O53" s="16" t="s">
        <v>155</v>
      </c>
      <c r="P53" s="18" t="s">
        <v>156</v>
      </c>
      <c r="Q53" s="23" t="s">
        <v>157</v>
      </c>
      <c r="R53" s="35">
        <v>45388.0</v>
      </c>
      <c r="S53" s="22">
        <f t="shared" si="1"/>
        <v>5</v>
      </c>
      <c r="T53" s="17"/>
      <c r="U53" s="23"/>
      <c r="V53" s="23"/>
      <c r="W53" s="18"/>
      <c r="X53" s="16"/>
      <c r="Y53" s="16" t="s">
        <v>35</v>
      </c>
      <c r="Z53" s="24"/>
      <c r="AA53" s="24"/>
      <c r="AB53" s="24"/>
      <c r="AC53" s="24"/>
      <c r="AD53" s="24"/>
      <c r="AE53" s="24"/>
      <c r="AF53" s="24"/>
      <c r="AG53" s="24"/>
      <c r="AH53" s="24"/>
      <c r="AI53" s="24"/>
    </row>
    <row r="54" ht="15.75" hidden="1" customHeight="1">
      <c r="A54" s="8">
        <v>53.0</v>
      </c>
      <c r="B54" s="14" t="s">
        <v>148</v>
      </c>
      <c r="C54" s="9"/>
      <c r="D54" s="9">
        <v>30059.0</v>
      </c>
      <c r="E54" s="8" t="s">
        <v>158</v>
      </c>
      <c r="F54" s="9" t="s">
        <v>37</v>
      </c>
      <c r="G54" s="9" t="s">
        <v>144</v>
      </c>
      <c r="H54" s="8" t="s">
        <v>28</v>
      </c>
      <c r="I54" s="9"/>
      <c r="J54" s="9"/>
      <c r="K54" s="9" t="s">
        <v>28</v>
      </c>
      <c r="L54" s="8" t="s">
        <v>29</v>
      </c>
      <c r="M54" s="30">
        <v>45386.0</v>
      </c>
      <c r="N54" s="9"/>
      <c r="O54" s="8">
        <v>102.0</v>
      </c>
      <c r="P54" s="14">
        <v>371.0</v>
      </c>
      <c r="Q54" s="31">
        <v>84.0</v>
      </c>
      <c r="R54" s="25">
        <v>45403.0</v>
      </c>
      <c r="S54" s="13">
        <f t="shared" si="1"/>
        <v>17</v>
      </c>
      <c r="T54" s="9"/>
      <c r="U54" s="31"/>
      <c r="V54" s="31"/>
      <c r="W54" s="8"/>
      <c r="X54" s="8"/>
      <c r="Y54" s="9" t="s">
        <v>35</v>
      </c>
      <c r="Z54" s="15"/>
      <c r="AA54" s="15"/>
      <c r="AB54" s="15"/>
      <c r="AC54" s="15"/>
      <c r="AD54" s="15"/>
      <c r="AE54" s="15"/>
      <c r="AF54" s="15"/>
      <c r="AG54" s="15"/>
      <c r="AH54" s="15"/>
      <c r="AI54" s="15"/>
    </row>
    <row r="55" ht="15.75" hidden="1" customHeight="1">
      <c r="A55" s="16">
        <v>54.0</v>
      </c>
      <c r="B55" s="17" t="str">
        <f>IFERROR(__xludf.DUMMYFUNCTION("INDEX(IMPORTRANGE(""https://docs.google.com/spreadsheets/d/1S7deMHO2waboU9dywpXeKIDfCmjiuAc0HUIsFpaXQq8/edit?gid=0#gid=0"", ""Tracking Shipments - PPTCO!o:o""), MATCH(D55, IMPORTRANGE(""https://docs.google.com/spreadsheets/d/1S7deMHO2waboU9dywpXeKIDfCmjiu"&amp;"Ac0HUIsFpaXQq8/edit?gid=0#gid=0"", ""Tracking Shipments - PPTCO!p:p""), 0))"),"#N/A")</f>
        <v>#N/A</v>
      </c>
      <c r="C55" s="17"/>
      <c r="D55" s="17">
        <v>53936.0</v>
      </c>
      <c r="E55" s="16" t="s">
        <v>159</v>
      </c>
      <c r="F55" s="18" t="s">
        <v>26</v>
      </c>
      <c r="G55" s="17" t="s">
        <v>150</v>
      </c>
      <c r="H55" s="16" t="s">
        <v>28</v>
      </c>
      <c r="I55" s="17"/>
      <c r="J55" s="17"/>
      <c r="K55" s="17" t="s">
        <v>28</v>
      </c>
      <c r="L55" s="16" t="s">
        <v>29</v>
      </c>
      <c r="M55" s="27">
        <v>45377.0</v>
      </c>
      <c r="N55" s="17">
        <v>32024.0</v>
      </c>
      <c r="O55" s="16" t="s">
        <v>160</v>
      </c>
      <c r="P55" s="18" t="s">
        <v>161</v>
      </c>
      <c r="Q55" s="23" t="s">
        <v>162</v>
      </c>
      <c r="R55" s="27">
        <v>45411.0</v>
      </c>
      <c r="S55" s="22">
        <f t="shared" si="1"/>
        <v>34</v>
      </c>
      <c r="T55" s="17"/>
      <c r="U55" s="23"/>
      <c r="V55" s="23"/>
      <c r="W55" s="18" t="s">
        <v>28</v>
      </c>
      <c r="X55" s="16"/>
      <c r="Y55" s="17" t="s">
        <v>35</v>
      </c>
      <c r="Z55" s="24"/>
      <c r="AA55" s="24"/>
      <c r="AB55" s="24"/>
      <c r="AC55" s="24"/>
      <c r="AD55" s="24"/>
      <c r="AE55" s="24"/>
      <c r="AF55" s="24"/>
      <c r="AG55" s="24"/>
      <c r="AH55" s="24"/>
      <c r="AI55" s="24"/>
    </row>
    <row r="56" ht="15.75" hidden="1" customHeight="1">
      <c r="A56" s="8">
        <v>55.0</v>
      </c>
      <c r="B56" s="9" t="str">
        <f>IFERROR(__xludf.DUMMYFUNCTION("INDEX(IMPORTRANGE(""https://docs.google.com/spreadsheets/d/1S7deMHO2waboU9dywpXeKIDfCmjiuAc0HUIsFpaXQq8/edit?gid=0#gid=0"", ""Tracking Shipments - PPTCO!o:o""), MATCH(D56, IMPORTRANGE(""https://docs.google.com/spreadsheets/d/1S7deMHO2waboU9dywpXeKIDfCmjiu"&amp;"Ac0HUIsFpaXQq8/edit?gid=0#gid=0"", ""Tracking Shipments - PPTCO!p:p""), 0))"),"PPT-80")</f>
        <v>PPT-80</v>
      </c>
      <c r="C56" s="9"/>
      <c r="D56" s="9">
        <v>56524.0</v>
      </c>
      <c r="E56" s="8" t="s">
        <v>163</v>
      </c>
      <c r="F56" s="9" t="s">
        <v>105</v>
      </c>
      <c r="G56" s="9" t="s">
        <v>144</v>
      </c>
      <c r="H56" s="8" t="s">
        <v>28</v>
      </c>
      <c r="I56" s="9"/>
      <c r="J56" s="9"/>
      <c r="K56" s="9" t="s">
        <v>28</v>
      </c>
      <c r="L56" s="8" t="s">
        <v>29</v>
      </c>
      <c r="M56" s="25">
        <v>45377.0</v>
      </c>
      <c r="N56" s="9"/>
      <c r="O56" s="8">
        <v>70.0</v>
      </c>
      <c r="P56" s="14">
        <v>82.0</v>
      </c>
      <c r="Q56" s="31">
        <v>58.0</v>
      </c>
      <c r="R56" s="25">
        <v>45378.0</v>
      </c>
      <c r="S56" s="13">
        <f t="shared" si="1"/>
        <v>1</v>
      </c>
      <c r="T56" s="9"/>
      <c r="U56" s="31"/>
      <c r="V56" s="31"/>
      <c r="W56" s="14"/>
      <c r="X56" s="8"/>
      <c r="Y56" s="9" t="s">
        <v>35</v>
      </c>
      <c r="Z56" s="15"/>
      <c r="AA56" s="15"/>
      <c r="AB56" s="15"/>
      <c r="AC56" s="15"/>
      <c r="AD56" s="15"/>
      <c r="AE56" s="15"/>
      <c r="AF56" s="15"/>
      <c r="AG56" s="15"/>
      <c r="AH56" s="15"/>
      <c r="AI56" s="15"/>
    </row>
    <row r="57" ht="15.75" hidden="1" customHeight="1">
      <c r="A57" s="16">
        <v>56.0</v>
      </c>
      <c r="B57" s="17" t="str">
        <f>IFERROR(__xludf.DUMMYFUNCTION("INDEX(IMPORTRANGE(""https://docs.google.com/spreadsheets/d/1S7deMHO2waboU9dywpXeKIDfCmjiuAc0HUIsFpaXQq8/edit?gid=0#gid=0"", ""Tracking Shipments - PPTCO!o:o""), MATCH(D57, IMPORTRANGE(""https://docs.google.com/spreadsheets/d/1S7deMHO2waboU9dywpXeKIDfCmjiu"&amp;"Ac0HUIsFpaXQq8/edit?gid=0#gid=0"", ""Tracking Shipments - PPTCO!p:p""), 0))"),"#N/A")</f>
        <v>#N/A</v>
      </c>
      <c r="C57" s="17"/>
      <c r="D57" s="17">
        <v>56600.0</v>
      </c>
      <c r="E57" s="16" t="s">
        <v>164</v>
      </c>
      <c r="F57" s="18" t="s">
        <v>81</v>
      </c>
      <c r="G57" s="17" t="s">
        <v>150</v>
      </c>
      <c r="H57" s="16" t="s">
        <v>28</v>
      </c>
      <c r="I57" s="17"/>
      <c r="J57" s="17"/>
      <c r="K57" s="17" t="s">
        <v>28</v>
      </c>
      <c r="L57" s="16" t="s">
        <v>29</v>
      </c>
      <c r="M57" s="27">
        <v>45378.0</v>
      </c>
      <c r="N57" s="17"/>
      <c r="O57" s="16" t="s">
        <v>165</v>
      </c>
      <c r="P57" s="18" t="s">
        <v>166</v>
      </c>
      <c r="Q57" s="23" t="s">
        <v>167</v>
      </c>
      <c r="R57" s="27">
        <v>45399.0</v>
      </c>
      <c r="S57" s="22">
        <f t="shared" si="1"/>
        <v>21</v>
      </c>
      <c r="T57" s="17"/>
      <c r="U57" s="23"/>
      <c r="V57" s="23"/>
      <c r="W57" s="16"/>
      <c r="X57" s="16"/>
      <c r="Y57" s="17" t="s">
        <v>35</v>
      </c>
      <c r="Z57" s="24"/>
      <c r="AA57" s="24"/>
      <c r="AB57" s="24"/>
      <c r="AC57" s="24"/>
      <c r="AD57" s="24"/>
      <c r="AE57" s="24"/>
      <c r="AF57" s="24"/>
      <c r="AG57" s="24"/>
      <c r="AH57" s="24"/>
      <c r="AI57" s="24"/>
    </row>
    <row r="58" ht="15.75" hidden="1" customHeight="1">
      <c r="A58" s="8">
        <v>57.0</v>
      </c>
      <c r="B58" s="9" t="str">
        <f>IFERROR(__xludf.DUMMYFUNCTION("INDEX(IMPORTRANGE(""https://docs.google.com/spreadsheets/d/1S7deMHO2waboU9dywpXeKIDfCmjiuAc0HUIsFpaXQq8/edit?gid=0#gid=0"", ""Tracking Shipments - PPTCO!o:o""), MATCH(D58, IMPORTRANGE(""https://docs.google.com/spreadsheets/d/1S7deMHO2waboU9dywpXeKIDfCmjiu"&amp;"Ac0HUIsFpaXQq8/edit?gid=0#gid=0"", ""Tracking Shipments - PPTCO!p:p""), 0))"),"#N/A")</f>
        <v>#N/A</v>
      </c>
      <c r="C58" s="9"/>
      <c r="D58" s="9"/>
      <c r="E58" s="14" t="s">
        <v>168</v>
      </c>
      <c r="F58" s="9" t="s">
        <v>169</v>
      </c>
      <c r="G58" s="9"/>
      <c r="H58" s="9"/>
      <c r="I58" s="9"/>
      <c r="J58" s="9"/>
      <c r="K58" s="9"/>
      <c r="L58" s="9"/>
      <c r="M58" s="33"/>
      <c r="N58" s="9"/>
      <c r="O58" s="14">
        <v>28.0</v>
      </c>
      <c r="P58" s="14" t="s">
        <v>170</v>
      </c>
      <c r="Q58" s="14" t="s">
        <v>170</v>
      </c>
      <c r="R58" s="33"/>
      <c r="S58" s="13" t="str">
        <f t="shared" si="1"/>
        <v/>
      </c>
      <c r="T58" s="9"/>
      <c r="U58" s="9"/>
      <c r="V58" s="9"/>
      <c r="W58" s="14"/>
      <c r="X58" s="14" t="s">
        <v>171</v>
      </c>
      <c r="Y58" s="14" t="s">
        <v>172</v>
      </c>
      <c r="Z58" s="15"/>
      <c r="AA58" s="15"/>
      <c r="AB58" s="15"/>
      <c r="AC58" s="15"/>
      <c r="AD58" s="15"/>
      <c r="AE58" s="15"/>
      <c r="AF58" s="15"/>
      <c r="AG58" s="15"/>
      <c r="AH58" s="15"/>
      <c r="AI58" s="15"/>
    </row>
    <row r="59" ht="15.75" hidden="1" customHeight="1">
      <c r="A59" s="16">
        <v>58.0</v>
      </c>
      <c r="B59" s="17" t="str">
        <f>IFERROR(__xludf.DUMMYFUNCTION("INDEX(IMPORTRANGE(""https://docs.google.com/spreadsheets/d/1S7deMHO2waboU9dywpXeKIDfCmjiuAc0HUIsFpaXQq8/edit?gid=0#gid=0"", ""Tracking Shipments - PPTCO!o:o""), MATCH(D59, IMPORTRANGE(""https://docs.google.com/spreadsheets/d/1S7deMHO2waboU9dywpXeKIDfCmjiu"&amp;"Ac0HUIsFpaXQq8/edit?gid=0#gid=0"", ""Tracking Shipments - PPTCO!p:p""), 0))"),"#N/A")</f>
        <v>#N/A</v>
      </c>
      <c r="C59" s="17"/>
      <c r="D59" s="17"/>
      <c r="E59" s="17" t="s">
        <v>173</v>
      </c>
      <c r="F59" s="18" t="s">
        <v>40</v>
      </c>
      <c r="G59" s="17"/>
      <c r="H59" s="17"/>
      <c r="I59" s="17"/>
      <c r="J59" s="17"/>
      <c r="K59" s="17"/>
      <c r="L59" s="17"/>
      <c r="M59" s="37"/>
      <c r="N59" s="17"/>
      <c r="O59" s="17" t="s">
        <v>174</v>
      </c>
      <c r="P59" s="18" t="s">
        <v>170</v>
      </c>
      <c r="Q59" s="18" t="s">
        <v>170</v>
      </c>
      <c r="R59" s="37"/>
      <c r="S59" s="22" t="str">
        <f t="shared" si="1"/>
        <v/>
      </c>
      <c r="T59" s="17"/>
      <c r="U59" s="17"/>
      <c r="V59" s="17"/>
      <c r="W59" s="18"/>
      <c r="X59" s="18" t="s">
        <v>175</v>
      </c>
      <c r="Y59" s="18" t="s">
        <v>35</v>
      </c>
      <c r="Z59" s="24"/>
      <c r="AA59" s="24"/>
      <c r="AB59" s="24"/>
      <c r="AC59" s="24"/>
      <c r="AD59" s="24"/>
      <c r="AE59" s="24"/>
      <c r="AF59" s="24"/>
      <c r="AG59" s="24"/>
      <c r="AH59" s="24"/>
      <c r="AI59" s="24"/>
    </row>
    <row r="60" ht="15.75" hidden="1" customHeight="1">
      <c r="A60" s="8">
        <v>76.0</v>
      </c>
      <c r="B60" s="14" t="s">
        <v>148</v>
      </c>
      <c r="C60" s="9"/>
      <c r="D60" s="9">
        <v>38039.0</v>
      </c>
      <c r="E60" s="9" t="s">
        <v>176</v>
      </c>
      <c r="F60" s="9" t="s">
        <v>68</v>
      </c>
      <c r="G60" s="9" t="s">
        <v>177</v>
      </c>
      <c r="H60" s="9" t="s">
        <v>150</v>
      </c>
      <c r="I60" s="9"/>
      <c r="J60" s="9"/>
      <c r="K60" s="9" t="s">
        <v>150</v>
      </c>
      <c r="L60" s="9" t="s">
        <v>29</v>
      </c>
      <c r="M60" s="25">
        <v>45398.0</v>
      </c>
      <c r="N60" s="9">
        <v>32024.0</v>
      </c>
      <c r="O60" s="9" t="s">
        <v>178</v>
      </c>
      <c r="P60" s="9" t="s">
        <v>179</v>
      </c>
      <c r="Q60" s="9" t="s">
        <v>180</v>
      </c>
      <c r="R60" s="25">
        <v>45411.0</v>
      </c>
      <c r="S60" s="13">
        <f t="shared" si="1"/>
        <v>13</v>
      </c>
      <c r="T60" s="9" t="s">
        <v>181</v>
      </c>
      <c r="U60" s="9"/>
      <c r="V60" s="9"/>
      <c r="W60" s="8"/>
      <c r="X60" s="9"/>
      <c r="Y60" s="14" t="s">
        <v>35</v>
      </c>
      <c r="Z60" s="15"/>
      <c r="AA60" s="15"/>
      <c r="AB60" s="15"/>
      <c r="AC60" s="15"/>
      <c r="AD60" s="15"/>
      <c r="AE60" s="15"/>
      <c r="AF60" s="15"/>
      <c r="AG60" s="15"/>
      <c r="AH60" s="15"/>
      <c r="AI60" s="15"/>
    </row>
    <row r="61" ht="15.75" hidden="1" customHeight="1">
      <c r="A61" s="16">
        <v>59.0</v>
      </c>
      <c r="B61" s="17" t="str">
        <f>IFERROR(__xludf.DUMMYFUNCTION("INDEX(IMPORTRANGE(""https://docs.google.com/spreadsheets/d/1S7deMHO2waboU9dywpXeKIDfCmjiuAc0HUIsFpaXQq8/edit?gid=0#gid=0"", ""Tracking Shipments - PPTCO!o:o""), MATCH(D61, IMPORTRANGE(""https://docs.google.com/spreadsheets/d/1S7deMHO2waboU9dywpXeKIDfCmjiu"&amp;"Ac0HUIsFpaXQq8/edit?gid=0#gid=0"", ""Tracking Shipments - PPTCO!p:p""), 0))"),"#N/A")</f>
        <v>#N/A</v>
      </c>
      <c r="C61" s="17"/>
      <c r="D61" s="17"/>
      <c r="E61" s="17" t="s">
        <v>182</v>
      </c>
      <c r="F61" s="18" t="s">
        <v>169</v>
      </c>
      <c r="G61" s="17"/>
      <c r="H61" s="17"/>
      <c r="I61" s="17"/>
      <c r="J61" s="17"/>
      <c r="K61" s="17"/>
      <c r="L61" s="17"/>
      <c r="M61" s="37"/>
      <c r="N61" s="17"/>
      <c r="O61" s="17">
        <v>68.0</v>
      </c>
      <c r="P61" s="18" t="s">
        <v>170</v>
      </c>
      <c r="Q61" s="18" t="s">
        <v>170</v>
      </c>
      <c r="R61" s="37"/>
      <c r="S61" s="22" t="str">
        <f t="shared" si="1"/>
        <v/>
      </c>
      <c r="T61" s="17"/>
      <c r="U61" s="17"/>
      <c r="V61" s="17"/>
      <c r="W61" s="18"/>
      <c r="X61" s="17" t="s">
        <v>183</v>
      </c>
      <c r="Y61" s="18" t="s">
        <v>172</v>
      </c>
      <c r="Z61" s="24"/>
      <c r="AA61" s="24"/>
      <c r="AB61" s="24"/>
      <c r="AC61" s="24"/>
      <c r="AD61" s="24"/>
      <c r="AE61" s="24"/>
      <c r="AF61" s="24"/>
      <c r="AG61" s="24"/>
      <c r="AH61" s="24"/>
      <c r="AI61" s="24"/>
    </row>
    <row r="62" ht="15.75" hidden="1" customHeight="1">
      <c r="A62" s="8">
        <v>60.0</v>
      </c>
      <c r="B62" s="9" t="str">
        <f>IFERROR(__xludf.DUMMYFUNCTION("INDEX(IMPORTRANGE(""https://docs.google.com/spreadsheets/d/1S7deMHO2waboU9dywpXeKIDfCmjiuAc0HUIsFpaXQq8/edit?gid=0#gid=0"", ""Tracking Shipments - PPTCO!o:o""), MATCH(D62, IMPORTRANGE(""https://docs.google.com/spreadsheets/d/1S7deMHO2waboU9dywpXeKIDfCmjiu"&amp;"Ac0HUIsFpaXQq8/edit?gid=0#gid=0"", ""Tracking Shipments - PPTCO!p:p""), 0))"),"#N/A")</f>
        <v>#N/A</v>
      </c>
      <c r="C62" s="9"/>
      <c r="D62" s="9"/>
      <c r="E62" s="9" t="s">
        <v>184</v>
      </c>
      <c r="F62" s="9" t="s">
        <v>169</v>
      </c>
      <c r="G62" s="9"/>
      <c r="H62" s="9"/>
      <c r="I62" s="9"/>
      <c r="J62" s="9"/>
      <c r="K62" s="9"/>
      <c r="L62" s="9"/>
      <c r="M62" s="33"/>
      <c r="N62" s="9"/>
      <c r="O62" s="9">
        <v>69.0</v>
      </c>
      <c r="P62" s="14" t="s">
        <v>170</v>
      </c>
      <c r="Q62" s="14" t="s">
        <v>170</v>
      </c>
      <c r="R62" s="33"/>
      <c r="S62" s="13" t="str">
        <f t="shared" si="1"/>
        <v/>
      </c>
      <c r="T62" s="9"/>
      <c r="U62" s="9"/>
      <c r="V62" s="9"/>
      <c r="W62" s="8"/>
      <c r="X62" s="9" t="s">
        <v>183</v>
      </c>
      <c r="Y62" s="14" t="s">
        <v>172</v>
      </c>
      <c r="Z62" s="15"/>
      <c r="AA62" s="15"/>
      <c r="AB62" s="15"/>
      <c r="AC62" s="15"/>
      <c r="AD62" s="15"/>
      <c r="AE62" s="15"/>
      <c r="AF62" s="15"/>
      <c r="AG62" s="15"/>
      <c r="AH62" s="15"/>
      <c r="AI62" s="15"/>
    </row>
    <row r="63" ht="15.75" hidden="1" customHeight="1">
      <c r="A63" s="16">
        <v>62.0</v>
      </c>
      <c r="B63" s="17" t="str">
        <f>IFERROR(__xludf.DUMMYFUNCTION("INDEX(IMPORTRANGE(""https://docs.google.com/spreadsheets/d/1S7deMHO2waboU9dywpXeKIDfCmjiuAc0HUIsFpaXQq8/edit?gid=0#gid=0"", ""Tracking Shipments - PPTCO!o:o""), MATCH(D63, IMPORTRANGE(""https://docs.google.com/spreadsheets/d/1S7deMHO2waboU9dywpXeKIDfCmjiu"&amp;"Ac0HUIsFpaXQq8/edit?gid=0#gid=0"", ""Tracking Shipments - PPTCO!p:p""), 0))"),"PPT-84, PPT-96")</f>
        <v>PPT-84, PPT-96</v>
      </c>
      <c r="C63" s="38"/>
      <c r="D63" s="38">
        <v>63709.0</v>
      </c>
      <c r="E63" s="16" t="s">
        <v>185</v>
      </c>
      <c r="F63" s="18" t="s">
        <v>81</v>
      </c>
      <c r="G63" s="38" t="s">
        <v>150</v>
      </c>
      <c r="H63" s="16" t="s">
        <v>150</v>
      </c>
      <c r="I63" s="38"/>
      <c r="J63" s="38"/>
      <c r="K63" s="38" t="s">
        <v>150</v>
      </c>
      <c r="L63" s="16" t="s">
        <v>29</v>
      </c>
      <c r="M63" s="19">
        <v>45389.0</v>
      </c>
      <c r="N63" s="38">
        <v>32024.0</v>
      </c>
      <c r="O63" s="16" t="s">
        <v>186</v>
      </c>
      <c r="P63" s="39" t="s">
        <v>187</v>
      </c>
      <c r="Q63" s="23" t="s">
        <v>188</v>
      </c>
      <c r="R63" s="27">
        <v>45399.0</v>
      </c>
      <c r="S63" s="22">
        <f t="shared" si="1"/>
        <v>10</v>
      </c>
      <c r="T63" s="38"/>
      <c r="U63" s="23"/>
      <c r="V63" s="23"/>
      <c r="W63" s="16"/>
      <c r="X63" s="16"/>
      <c r="Y63" s="39" t="s">
        <v>35</v>
      </c>
      <c r="Z63" s="24"/>
      <c r="AA63" s="24"/>
      <c r="AB63" s="24"/>
      <c r="AC63" s="24"/>
      <c r="AD63" s="24"/>
      <c r="AE63" s="24"/>
      <c r="AF63" s="24"/>
      <c r="AG63" s="24"/>
      <c r="AH63" s="24"/>
      <c r="AI63" s="24"/>
    </row>
    <row r="64" ht="15.75" hidden="1" customHeight="1">
      <c r="A64" s="8">
        <v>63.0</v>
      </c>
      <c r="B64" s="9" t="str">
        <f>IFERROR(__xludf.DUMMYFUNCTION("INDEX(IMPORTRANGE(""https://docs.google.com/spreadsheets/d/1S7deMHO2waboU9dywpXeKIDfCmjiuAc0HUIsFpaXQq8/edit?gid=0#gid=0"", ""Tracking Shipments - PPTCO!o:o""), MATCH(D64, IMPORTRANGE(""https://docs.google.com/spreadsheets/d/1S7deMHO2waboU9dywpXeKIDfCmjiu"&amp;"Ac0HUIsFpaXQq8/edit?gid=0#gid=0"", ""Tracking Shipments - PPTCO!p:p""), 0))"),"PPT-94")</f>
        <v>PPT-94</v>
      </c>
      <c r="C64" s="9"/>
      <c r="D64" s="9">
        <v>34288.0</v>
      </c>
      <c r="E64" s="8" t="s">
        <v>189</v>
      </c>
      <c r="F64" s="9" t="s">
        <v>43</v>
      </c>
      <c r="G64" s="9" t="s">
        <v>150</v>
      </c>
      <c r="H64" s="8" t="s">
        <v>150</v>
      </c>
      <c r="I64" s="9"/>
      <c r="J64" s="9"/>
      <c r="K64" s="9" t="s">
        <v>150</v>
      </c>
      <c r="L64" s="8" t="s">
        <v>29</v>
      </c>
      <c r="M64" s="25">
        <v>45397.0</v>
      </c>
      <c r="N64" s="9">
        <v>32024.0</v>
      </c>
      <c r="O64" s="8">
        <v>90.0</v>
      </c>
      <c r="P64" s="14">
        <v>69.0</v>
      </c>
      <c r="Q64" s="31">
        <v>98.0</v>
      </c>
      <c r="R64" s="25">
        <v>45405.0</v>
      </c>
      <c r="S64" s="13">
        <f t="shared" si="1"/>
        <v>8</v>
      </c>
      <c r="T64" s="9"/>
      <c r="U64" s="31"/>
      <c r="V64" s="31"/>
      <c r="W64" s="14" t="s">
        <v>28</v>
      </c>
      <c r="X64" s="8"/>
      <c r="Y64" s="9" t="s">
        <v>35</v>
      </c>
      <c r="Z64" s="15"/>
      <c r="AA64" s="15"/>
      <c r="AB64" s="15"/>
      <c r="AC64" s="15"/>
      <c r="AD64" s="15"/>
      <c r="AE64" s="15"/>
      <c r="AF64" s="15"/>
      <c r="AG64" s="15"/>
      <c r="AH64" s="15"/>
      <c r="AI64" s="15"/>
    </row>
    <row r="65" ht="15.75" hidden="1" customHeight="1">
      <c r="A65" s="16">
        <v>64.0</v>
      </c>
      <c r="B65" s="17" t="str">
        <f>IFERROR(__xludf.DUMMYFUNCTION("INDEX(IMPORTRANGE(""https://docs.google.com/spreadsheets/d/1S7deMHO2waboU9dywpXeKIDfCmjiuAc0HUIsFpaXQq8/edit?gid=0#gid=0"", ""Tracking Shipments - PPTCO!o:o""), MATCH(D65, IMPORTRANGE(""https://docs.google.com/spreadsheets/d/1S7deMHO2waboU9dywpXeKIDfCmjiu"&amp;"Ac0HUIsFpaXQq8/edit?gid=0#gid=0"", ""Tracking Shipments - PPTCO!p:p""), 0))"),"PPT-94")</f>
        <v>PPT-94</v>
      </c>
      <c r="C65" s="38"/>
      <c r="D65" s="38">
        <v>34293.0</v>
      </c>
      <c r="E65" s="16" t="s">
        <v>190</v>
      </c>
      <c r="F65" s="18" t="s">
        <v>43</v>
      </c>
      <c r="G65" s="38" t="s">
        <v>150</v>
      </c>
      <c r="H65" s="16" t="s">
        <v>150</v>
      </c>
      <c r="I65" s="38"/>
      <c r="J65" s="38"/>
      <c r="K65" s="38" t="s">
        <v>150</v>
      </c>
      <c r="L65" s="16" t="s">
        <v>29</v>
      </c>
      <c r="M65" s="27">
        <v>45397.0</v>
      </c>
      <c r="N65" s="38">
        <v>32024.0</v>
      </c>
      <c r="O65" s="16">
        <v>88.0</v>
      </c>
      <c r="P65" s="39">
        <v>65.0</v>
      </c>
      <c r="Q65" s="23">
        <v>100.0</v>
      </c>
      <c r="R65" s="27">
        <v>45405.0</v>
      </c>
      <c r="S65" s="22">
        <f t="shared" si="1"/>
        <v>8</v>
      </c>
      <c r="T65" s="38"/>
      <c r="U65" s="23"/>
      <c r="V65" s="23"/>
      <c r="W65" s="18" t="s">
        <v>28</v>
      </c>
      <c r="X65" s="16"/>
      <c r="Y65" s="38" t="s">
        <v>35</v>
      </c>
      <c r="Z65" s="24"/>
      <c r="AA65" s="24"/>
      <c r="AB65" s="24"/>
      <c r="AC65" s="24"/>
      <c r="AD65" s="24"/>
      <c r="AE65" s="24"/>
      <c r="AF65" s="24"/>
      <c r="AG65" s="24"/>
      <c r="AH65" s="24"/>
      <c r="AI65" s="24"/>
    </row>
    <row r="66" ht="15.75" hidden="1" customHeight="1">
      <c r="A66" s="8">
        <v>65.0</v>
      </c>
      <c r="B66" s="9" t="str">
        <f>IFERROR(__xludf.DUMMYFUNCTION("INDEX(IMPORTRANGE(""https://docs.google.com/spreadsheets/d/1S7deMHO2waboU9dywpXeKIDfCmjiuAc0HUIsFpaXQq8/edit?gid=0#gid=0"", ""Tracking Shipments - PPTCO!o:o""), MATCH(D66, IMPORTRANGE(""https://docs.google.com/spreadsheets/d/1S7deMHO2waboU9dywpXeKIDfCmjiu"&amp;"Ac0HUIsFpaXQq8/edit?gid=0#gid=0"", ""Tracking Shipments - PPTCO!p:p""), 0))"),"PPT-94")</f>
        <v>PPT-94</v>
      </c>
      <c r="C66" s="9"/>
      <c r="D66" s="9">
        <v>34297.0</v>
      </c>
      <c r="E66" s="8" t="s">
        <v>191</v>
      </c>
      <c r="F66" s="9" t="s">
        <v>43</v>
      </c>
      <c r="G66" s="9" t="s">
        <v>150</v>
      </c>
      <c r="H66" s="8" t="s">
        <v>150</v>
      </c>
      <c r="I66" s="9"/>
      <c r="J66" s="9"/>
      <c r="K66" s="9" t="s">
        <v>150</v>
      </c>
      <c r="L66" s="8" t="s">
        <v>29</v>
      </c>
      <c r="M66" s="25">
        <v>45397.0</v>
      </c>
      <c r="N66" s="9">
        <v>32024.0</v>
      </c>
      <c r="O66" s="8">
        <v>87.0</v>
      </c>
      <c r="P66" s="14">
        <v>67.0</v>
      </c>
      <c r="Q66" s="31">
        <v>101.0</v>
      </c>
      <c r="R66" s="25">
        <v>45405.0</v>
      </c>
      <c r="S66" s="13">
        <f t="shared" si="1"/>
        <v>8</v>
      </c>
      <c r="T66" s="9"/>
      <c r="U66" s="31"/>
      <c r="V66" s="31"/>
      <c r="W66" s="31" t="s">
        <v>28</v>
      </c>
      <c r="X66" s="8"/>
      <c r="Y66" s="9" t="s">
        <v>35</v>
      </c>
      <c r="Z66" s="15"/>
      <c r="AA66" s="15"/>
      <c r="AB66" s="15"/>
      <c r="AC66" s="15"/>
      <c r="AD66" s="15"/>
      <c r="AE66" s="15"/>
      <c r="AF66" s="15"/>
      <c r="AG66" s="15"/>
      <c r="AH66" s="15"/>
      <c r="AI66" s="15"/>
    </row>
    <row r="67" ht="15.75" hidden="1" customHeight="1">
      <c r="A67" s="16">
        <v>66.0</v>
      </c>
      <c r="B67" s="17" t="str">
        <f>IFERROR(__xludf.DUMMYFUNCTION("INDEX(IMPORTRANGE(""https://docs.google.com/spreadsheets/d/1S7deMHO2waboU9dywpXeKIDfCmjiuAc0HUIsFpaXQq8/edit?gid=0#gid=0"", ""Tracking Shipments - PPTCO!o:o""), MATCH(D67, IMPORTRANGE(""https://docs.google.com/spreadsheets/d/1S7deMHO2waboU9dywpXeKIDfCmjiu"&amp;"Ac0HUIsFpaXQq8/edit?gid=0#gid=0"", ""Tracking Shipments - PPTCO!p:p""), 0))"),"PPT-94")</f>
        <v>PPT-94</v>
      </c>
      <c r="C67" s="38"/>
      <c r="D67" s="38">
        <v>34291.0</v>
      </c>
      <c r="E67" s="16" t="s">
        <v>192</v>
      </c>
      <c r="F67" s="18" t="s">
        <v>43</v>
      </c>
      <c r="G67" s="38" t="s">
        <v>150</v>
      </c>
      <c r="H67" s="16" t="s">
        <v>150</v>
      </c>
      <c r="I67" s="38"/>
      <c r="J67" s="38"/>
      <c r="K67" s="38" t="s">
        <v>150</v>
      </c>
      <c r="L67" s="16" t="s">
        <v>29</v>
      </c>
      <c r="M67" s="27">
        <v>45397.0</v>
      </c>
      <c r="N67" s="38">
        <v>32024.0</v>
      </c>
      <c r="O67" s="16">
        <v>89.0</v>
      </c>
      <c r="P67" s="39">
        <v>368.0</v>
      </c>
      <c r="Q67" s="23">
        <v>102.0</v>
      </c>
      <c r="R67" s="27">
        <v>45410.0</v>
      </c>
      <c r="S67" s="22">
        <f t="shared" si="1"/>
        <v>13</v>
      </c>
      <c r="T67" s="38"/>
      <c r="U67" s="23"/>
      <c r="V67" s="23"/>
      <c r="W67" s="18" t="s">
        <v>28</v>
      </c>
      <c r="X67" s="16"/>
      <c r="Y67" s="38" t="s">
        <v>35</v>
      </c>
      <c r="Z67" s="24"/>
      <c r="AA67" s="24"/>
      <c r="AB67" s="24"/>
      <c r="AC67" s="24"/>
      <c r="AD67" s="24"/>
      <c r="AE67" s="24"/>
      <c r="AF67" s="24"/>
      <c r="AG67" s="24"/>
      <c r="AH67" s="24"/>
      <c r="AI67" s="24"/>
    </row>
    <row r="68" ht="15.75" hidden="1" customHeight="1">
      <c r="A68" s="8">
        <v>67.0</v>
      </c>
      <c r="B68" s="9" t="str">
        <f>IFERROR(__xludf.DUMMYFUNCTION("INDEX(IMPORTRANGE(""https://docs.google.com/spreadsheets/d/1S7deMHO2waboU9dywpXeKIDfCmjiuAc0HUIsFpaXQq8/edit?gid=0#gid=0"", ""Tracking Shipments - PPTCO!o:o""), MATCH(D68, IMPORTRANGE(""https://docs.google.com/spreadsheets/d/1S7deMHO2waboU9dywpXeKIDfCmjiu"&amp;"Ac0HUIsFpaXQq8/edit?gid=0#gid=0"", ""Tracking Shipments - PPTCO!p:p""), 0))"),"#N/A")</f>
        <v>#N/A</v>
      </c>
      <c r="C68" s="9"/>
      <c r="D68" s="9">
        <v>34716.0</v>
      </c>
      <c r="E68" s="8" t="s">
        <v>193</v>
      </c>
      <c r="F68" s="9" t="s">
        <v>37</v>
      </c>
      <c r="G68" s="9" t="s">
        <v>150</v>
      </c>
      <c r="H68" s="8" t="s">
        <v>150</v>
      </c>
      <c r="I68" s="9"/>
      <c r="J68" s="9"/>
      <c r="K68" s="9" t="s">
        <v>150</v>
      </c>
      <c r="L68" s="8" t="s">
        <v>29</v>
      </c>
      <c r="M68" s="25">
        <v>45397.0</v>
      </c>
      <c r="N68" s="9"/>
      <c r="O68" s="8">
        <v>107.0</v>
      </c>
      <c r="P68" s="14">
        <v>389.0</v>
      </c>
      <c r="Q68" s="31">
        <v>99.0</v>
      </c>
      <c r="R68" s="25">
        <v>45405.0</v>
      </c>
      <c r="S68" s="13">
        <f t="shared" si="1"/>
        <v>8</v>
      </c>
      <c r="T68" s="9"/>
      <c r="U68" s="31"/>
      <c r="V68" s="31"/>
      <c r="W68" s="14"/>
      <c r="X68" s="8"/>
      <c r="Y68" s="9" t="s">
        <v>35</v>
      </c>
      <c r="Z68" s="15"/>
      <c r="AA68" s="15"/>
      <c r="AB68" s="15"/>
      <c r="AC68" s="15"/>
      <c r="AD68" s="15"/>
      <c r="AE68" s="15"/>
      <c r="AF68" s="15"/>
      <c r="AG68" s="15"/>
      <c r="AH68" s="15"/>
      <c r="AI68" s="15"/>
    </row>
    <row r="69" ht="15.75" hidden="1" customHeight="1">
      <c r="A69" s="16">
        <v>61.0</v>
      </c>
      <c r="B69" s="17" t="str">
        <f>IFERROR(__xludf.DUMMYFUNCTION("INDEX(IMPORTRANGE(""https://docs.google.com/spreadsheets/d/1S7deMHO2waboU9dywpXeKIDfCmjiuAc0HUIsFpaXQq8/edit?gid=0#gid=0"", ""Tracking Shipments - PPTCO!o:o""), MATCH(D69, IMPORTRANGE(""https://docs.google.com/spreadsheets/d/1S7deMHO2waboU9dywpXeKIDfCmjiu"&amp;"Ac0HUIsFpaXQq8/edit?gid=0#gid=0"", ""Tracking Shipments - PPTCO!p:p""), 0))"),"#N/A")</f>
        <v>#N/A</v>
      </c>
      <c r="C69" s="17"/>
      <c r="D69" s="17"/>
      <c r="E69" s="17" t="s">
        <v>194</v>
      </c>
      <c r="F69" s="18" t="s">
        <v>169</v>
      </c>
      <c r="G69" s="17"/>
      <c r="H69" s="17"/>
      <c r="I69" s="17"/>
      <c r="J69" s="17"/>
      <c r="K69" s="17"/>
      <c r="L69" s="17"/>
      <c r="M69" s="37"/>
      <c r="N69" s="17"/>
      <c r="O69" s="17">
        <v>29.0</v>
      </c>
      <c r="P69" s="18" t="s">
        <v>170</v>
      </c>
      <c r="Q69" s="18" t="s">
        <v>170</v>
      </c>
      <c r="R69" s="37"/>
      <c r="S69" s="22" t="str">
        <f t="shared" si="1"/>
        <v/>
      </c>
      <c r="T69" s="17"/>
      <c r="U69" s="17"/>
      <c r="V69" s="17"/>
      <c r="W69" s="18"/>
      <c r="X69" s="18" t="s">
        <v>195</v>
      </c>
      <c r="Y69" s="18" t="s">
        <v>35</v>
      </c>
      <c r="Z69" s="24"/>
      <c r="AA69" s="24"/>
      <c r="AB69" s="24"/>
      <c r="AC69" s="24"/>
      <c r="AD69" s="24"/>
      <c r="AE69" s="24"/>
      <c r="AF69" s="24"/>
      <c r="AG69" s="24"/>
      <c r="AH69" s="24"/>
      <c r="AI69" s="24"/>
    </row>
    <row r="70" ht="15.75" hidden="1" customHeight="1">
      <c r="A70" s="8">
        <v>69.0</v>
      </c>
      <c r="B70" s="9" t="str">
        <f>IFERROR(__xludf.DUMMYFUNCTION("INDEX(IMPORTRANGE(""https://docs.google.com/spreadsheets/d/1S7deMHO2waboU9dywpXeKIDfCmjiuAc0HUIsFpaXQq8/edit?gid=0#gid=0"", ""Tracking Shipments - PPTCO!o:o""), MATCH(D70, IMPORTRANGE(""https://docs.google.com/spreadsheets/d/1S7deMHO2waboU9dywpXeKIDfCmjiu"&amp;"Ac0HUIsFpaXQq8/edit?gid=0#gid=0"", ""Tracking Shipments - PPTCO!p:p""), 0))"),"PPT-104")</f>
        <v>PPT-104</v>
      </c>
      <c r="C70" s="9"/>
      <c r="D70" s="9">
        <v>67338.0</v>
      </c>
      <c r="E70" s="8" t="s">
        <v>196</v>
      </c>
      <c r="F70" s="9" t="s">
        <v>26</v>
      </c>
      <c r="G70" s="9" t="s">
        <v>150</v>
      </c>
      <c r="H70" s="8" t="s">
        <v>150</v>
      </c>
      <c r="I70" s="9"/>
      <c r="J70" s="9"/>
      <c r="K70" s="9" t="s">
        <v>150</v>
      </c>
      <c r="L70" s="8" t="s">
        <v>29</v>
      </c>
      <c r="M70" s="25">
        <v>45399.0</v>
      </c>
      <c r="N70" s="9">
        <v>32024.0</v>
      </c>
      <c r="O70" s="8" t="s">
        <v>197</v>
      </c>
      <c r="P70" s="14" t="s">
        <v>198</v>
      </c>
      <c r="Q70" s="31" t="s">
        <v>199</v>
      </c>
      <c r="R70" s="25">
        <v>45412.0</v>
      </c>
      <c r="S70" s="13">
        <f t="shared" si="1"/>
        <v>13</v>
      </c>
      <c r="T70" s="9"/>
      <c r="U70" s="31"/>
      <c r="V70" s="31"/>
      <c r="W70" s="14"/>
      <c r="X70" s="8"/>
      <c r="Y70" s="14" t="s">
        <v>35</v>
      </c>
      <c r="Z70" s="15"/>
      <c r="AA70" s="15"/>
      <c r="AB70" s="15"/>
      <c r="AC70" s="15"/>
      <c r="AD70" s="15"/>
      <c r="AE70" s="15"/>
      <c r="AF70" s="15"/>
      <c r="AG70" s="15"/>
      <c r="AH70" s="15"/>
      <c r="AI70" s="15"/>
    </row>
    <row r="71" ht="15.75" hidden="1" customHeight="1">
      <c r="A71" s="16">
        <v>68.0</v>
      </c>
      <c r="B71" s="17" t="str">
        <f>IFERROR(__xludf.DUMMYFUNCTION("INDEX(IMPORTRANGE(""https://docs.google.com/spreadsheets/d/1S7deMHO2waboU9dywpXeKIDfCmjiuAc0HUIsFpaXQq8/edit?gid=0#gid=0"", ""Tracking Shipments - PPTCO!o:o""), MATCH(D71, IMPORTRANGE(""https://docs.google.com/spreadsheets/d/1S7deMHO2waboU9dywpXeKIDfCmjiu"&amp;"Ac0HUIsFpaXQq8/edit?gid=0#gid=0"", ""Tracking Shipments - PPTCO!p:p""), 0))"),"#N/A")</f>
        <v>#N/A</v>
      </c>
      <c r="C71" s="38"/>
      <c r="D71" s="38">
        <v>34701.0</v>
      </c>
      <c r="E71" s="16" t="s">
        <v>200</v>
      </c>
      <c r="F71" s="18" t="s">
        <v>43</v>
      </c>
      <c r="G71" s="18" t="s">
        <v>177</v>
      </c>
      <c r="H71" s="16" t="s">
        <v>150</v>
      </c>
      <c r="I71" s="38"/>
      <c r="J71" s="38"/>
      <c r="K71" s="38" t="s">
        <v>150</v>
      </c>
      <c r="L71" s="16" t="s">
        <v>29</v>
      </c>
      <c r="M71" s="27">
        <v>45398.0</v>
      </c>
      <c r="N71" s="39">
        <v>52024.0</v>
      </c>
      <c r="O71" s="18" t="s">
        <v>201</v>
      </c>
      <c r="P71" s="39" t="s">
        <v>202</v>
      </c>
      <c r="Q71" s="39" t="s">
        <v>203</v>
      </c>
      <c r="R71" s="35">
        <v>45483.0</v>
      </c>
      <c r="S71" s="22">
        <f t="shared" si="1"/>
        <v>85</v>
      </c>
      <c r="T71" s="39" t="s">
        <v>38</v>
      </c>
      <c r="U71" s="39"/>
      <c r="V71" s="39"/>
      <c r="W71" s="18"/>
      <c r="X71" s="16"/>
      <c r="Y71" s="39" t="s">
        <v>35</v>
      </c>
      <c r="Z71" s="24"/>
      <c r="AA71" s="24"/>
      <c r="AB71" s="24"/>
      <c r="AC71" s="24"/>
      <c r="AD71" s="24"/>
      <c r="AE71" s="24"/>
      <c r="AF71" s="24"/>
      <c r="AG71" s="24"/>
      <c r="AH71" s="24"/>
      <c r="AI71" s="24"/>
    </row>
    <row r="72" ht="15.75" hidden="1" customHeight="1">
      <c r="A72" s="8">
        <v>70.0</v>
      </c>
      <c r="B72" s="9" t="str">
        <f>IFERROR(__xludf.DUMMYFUNCTION("INDEX(IMPORTRANGE(""https://docs.google.com/spreadsheets/d/1S7deMHO2waboU9dywpXeKIDfCmjiuAc0HUIsFpaXQq8/edit?gid=0#gid=0"", ""Tracking Shipments - PPTCO!o:o""), MATCH(D72, IMPORTRANGE(""https://docs.google.com/spreadsheets/d/1S7deMHO2waboU9dywpXeKIDfCmjiu"&amp;"Ac0HUIsFpaXQq8/edit?gid=0#gid=0"", ""Tracking Shipments - PPTCO!p:p""), 0))"),"#N/A")</f>
        <v>#N/A</v>
      </c>
      <c r="C72" s="9"/>
      <c r="D72" s="9"/>
      <c r="E72" s="9" t="s">
        <v>204</v>
      </c>
      <c r="F72" s="9" t="s">
        <v>81</v>
      </c>
      <c r="G72" s="9"/>
      <c r="H72" s="9"/>
      <c r="I72" s="9"/>
      <c r="J72" s="9"/>
      <c r="K72" s="9"/>
      <c r="L72" s="9"/>
      <c r="M72" s="33"/>
      <c r="N72" s="9"/>
      <c r="O72" s="40" t="s">
        <v>205</v>
      </c>
      <c r="P72" s="14" t="s">
        <v>170</v>
      </c>
      <c r="Q72" s="14" t="s">
        <v>170</v>
      </c>
      <c r="R72" s="33"/>
      <c r="S72" s="13" t="str">
        <f t="shared" si="1"/>
        <v/>
      </c>
      <c r="T72" s="9"/>
      <c r="U72" s="9"/>
      <c r="V72" s="9"/>
      <c r="W72" s="14"/>
      <c r="X72" s="9" t="s">
        <v>183</v>
      </c>
      <c r="Y72" s="14" t="s">
        <v>35</v>
      </c>
      <c r="Z72" s="15"/>
      <c r="AA72" s="15"/>
      <c r="AB72" s="15"/>
      <c r="AC72" s="15"/>
      <c r="AD72" s="15"/>
      <c r="AE72" s="15"/>
      <c r="AF72" s="15"/>
      <c r="AG72" s="15"/>
      <c r="AH72" s="15"/>
      <c r="AI72" s="15"/>
    </row>
    <row r="73" ht="15.75" hidden="1" customHeight="1">
      <c r="A73" s="16">
        <v>71.0</v>
      </c>
      <c r="B73" s="17" t="str">
        <f>IFERROR(__xludf.DUMMYFUNCTION("INDEX(IMPORTRANGE(""https://docs.google.com/spreadsheets/d/1S7deMHO2waboU9dywpXeKIDfCmjiuAc0HUIsFpaXQq8/edit?gid=0#gid=0"", ""Tracking Shipments - PPTCO!o:o""), MATCH(D73, IMPORTRANGE(""https://docs.google.com/spreadsheets/d/1S7deMHO2waboU9dywpXeKIDfCmjiu"&amp;"Ac0HUIsFpaXQq8/edit?gid=0#gid=0"", ""Tracking Shipments - PPTCO!p:p""), 0))"),"#N/A")</f>
        <v>#N/A</v>
      </c>
      <c r="C73" s="17"/>
      <c r="D73" s="17"/>
      <c r="E73" s="17" t="s">
        <v>206</v>
      </c>
      <c r="F73" s="18" t="s">
        <v>100</v>
      </c>
      <c r="G73" s="17"/>
      <c r="H73" s="17"/>
      <c r="I73" s="17"/>
      <c r="J73" s="17"/>
      <c r="K73" s="17"/>
      <c r="L73" s="17"/>
      <c r="M73" s="37"/>
      <c r="N73" s="17"/>
      <c r="O73" s="17" t="s">
        <v>207</v>
      </c>
      <c r="P73" s="18" t="s">
        <v>170</v>
      </c>
      <c r="Q73" s="18" t="s">
        <v>170</v>
      </c>
      <c r="R73" s="37"/>
      <c r="S73" s="22" t="str">
        <f t="shared" si="1"/>
        <v/>
      </c>
      <c r="T73" s="17"/>
      <c r="U73" s="17"/>
      <c r="V73" s="17"/>
      <c r="W73" s="16"/>
      <c r="X73" s="18" t="s">
        <v>208</v>
      </c>
      <c r="Y73" s="18" t="s">
        <v>35</v>
      </c>
      <c r="Z73" s="24"/>
      <c r="AA73" s="24"/>
      <c r="AB73" s="24"/>
      <c r="AC73" s="24"/>
      <c r="AD73" s="24"/>
      <c r="AE73" s="24"/>
      <c r="AF73" s="24"/>
      <c r="AG73" s="24"/>
      <c r="AH73" s="24"/>
      <c r="AI73" s="24"/>
    </row>
    <row r="74" ht="15.75" hidden="1" customHeight="1">
      <c r="A74" s="8">
        <v>72.0</v>
      </c>
      <c r="B74" s="9" t="str">
        <f>IFERROR(__xludf.DUMMYFUNCTION("INDEX(IMPORTRANGE(""https://docs.google.com/spreadsheets/d/1S7deMHO2waboU9dywpXeKIDfCmjiuAc0HUIsFpaXQq8/edit?gid=0#gid=0"", ""Tracking Shipments - PPTCO!o:o""), MATCH(D74, IMPORTRANGE(""https://docs.google.com/spreadsheets/d/1S7deMHO2waboU9dywpXeKIDfCmjiu"&amp;"Ac0HUIsFpaXQq8/edit?gid=0#gid=0"", ""Tracking Shipments - PPTCO!p:p""), 0))"),"#N/A")</f>
        <v>#N/A</v>
      </c>
      <c r="C74" s="9"/>
      <c r="D74" s="9"/>
      <c r="E74" s="9" t="s">
        <v>209</v>
      </c>
      <c r="F74" s="9" t="s">
        <v>169</v>
      </c>
      <c r="G74" s="9"/>
      <c r="H74" s="9"/>
      <c r="I74" s="9"/>
      <c r="J74" s="9"/>
      <c r="K74" s="9"/>
      <c r="L74" s="9"/>
      <c r="M74" s="33"/>
      <c r="N74" s="9"/>
      <c r="O74" s="9">
        <v>54.0</v>
      </c>
      <c r="P74" s="14" t="s">
        <v>170</v>
      </c>
      <c r="Q74" s="14" t="s">
        <v>170</v>
      </c>
      <c r="R74" s="33"/>
      <c r="S74" s="13" t="str">
        <f t="shared" si="1"/>
        <v/>
      </c>
      <c r="T74" s="9"/>
      <c r="U74" s="9"/>
      <c r="V74" s="9"/>
      <c r="W74" s="14"/>
      <c r="X74" s="9" t="s">
        <v>183</v>
      </c>
      <c r="Y74" s="14" t="s">
        <v>35</v>
      </c>
      <c r="Z74" s="15"/>
      <c r="AA74" s="15"/>
      <c r="AB74" s="15"/>
      <c r="AC74" s="15"/>
      <c r="AD74" s="15"/>
      <c r="AE74" s="15"/>
      <c r="AF74" s="15"/>
      <c r="AG74" s="15"/>
      <c r="AH74" s="15"/>
      <c r="AI74" s="15"/>
    </row>
    <row r="75" ht="15.75" hidden="1" customHeight="1">
      <c r="A75" s="16">
        <v>73.0</v>
      </c>
      <c r="B75" s="17" t="str">
        <f>IFERROR(__xludf.DUMMYFUNCTION("INDEX(IMPORTRANGE(""https://docs.google.com/spreadsheets/d/1S7deMHO2waboU9dywpXeKIDfCmjiuAc0HUIsFpaXQq8/edit?gid=0#gid=0"", ""Tracking Shipments - PPTCO!o:o""), MATCH(D75, IMPORTRANGE(""https://docs.google.com/spreadsheets/d/1S7deMHO2waboU9dywpXeKIDfCmjiu"&amp;"Ac0HUIsFpaXQq8/edit?gid=0#gid=0"", ""Tracking Shipments - PPTCO!p:p""), 0))"),"#N/A")</f>
        <v>#N/A</v>
      </c>
      <c r="C75" s="17"/>
      <c r="D75" s="17"/>
      <c r="E75" s="17" t="s">
        <v>105</v>
      </c>
      <c r="F75" s="18" t="s">
        <v>105</v>
      </c>
      <c r="G75" s="17"/>
      <c r="H75" s="17"/>
      <c r="I75" s="17"/>
      <c r="J75" s="17"/>
      <c r="K75" s="17"/>
      <c r="L75" s="17"/>
      <c r="M75" s="37"/>
      <c r="N75" s="17"/>
      <c r="O75" s="17">
        <v>45.0</v>
      </c>
      <c r="P75" s="18" t="s">
        <v>170</v>
      </c>
      <c r="Q75" s="18" t="s">
        <v>170</v>
      </c>
      <c r="R75" s="37"/>
      <c r="S75" s="22" t="str">
        <f t="shared" si="1"/>
        <v/>
      </c>
      <c r="T75" s="17"/>
      <c r="U75" s="17"/>
      <c r="V75" s="17"/>
      <c r="W75" s="18"/>
      <c r="X75" s="18" t="s">
        <v>208</v>
      </c>
      <c r="Y75" s="18" t="s">
        <v>35</v>
      </c>
      <c r="Z75" s="24"/>
      <c r="AA75" s="24"/>
      <c r="AB75" s="24"/>
      <c r="AC75" s="24"/>
      <c r="AD75" s="24"/>
      <c r="AE75" s="24"/>
      <c r="AF75" s="24"/>
      <c r="AG75" s="24"/>
      <c r="AH75" s="24"/>
      <c r="AI75" s="24"/>
    </row>
    <row r="76" ht="15.75" hidden="1" customHeight="1">
      <c r="A76" s="8">
        <v>75.0</v>
      </c>
      <c r="B76" s="9" t="str">
        <f>IFERROR(__xludf.DUMMYFUNCTION("INDEX(IMPORTRANGE(""https://docs.google.com/spreadsheets/d/1S7deMHO2waboU9dywpXeKIDfCmjiuAc0HUIsFpaXQq8/edit?gid=0#gid=0"", ""Tracking Shipments - PPTCO!o:o""), MATCH(D76, IMPORTRANGE(""https://docs.google.com/spreadsheets/d/1S7deMHO2waboU9dywpXeKIDfCmjiu"&amp;"Ac0HUIsFpaXQq8/edit?gid=0#gid=0"", ""Tracking Shipments - PPTCO!p:p""), 0))"),"PPT-94")</f>
        <v>PPT-94</v>
      </c>
      <c r="C76" s="9"/>
      <c r="D76" s="9">
        <v>38310.0</v>
      </c>
      <c r="E76" s="9" t="s">
        <v>210</v>
      </c>
      <c r="F76" s="9" t="s">
        <v>43</v>
      </c>
      <c r="G76" s="9" t="s">
        <v>177</v>
      </c>
      <c r="H76" s="9" t="s">
        <v>150</v>
      </c>
      <c r="I76" s="9"/>
      <c r="J76" s="9"/>
      <c r="K76" s="9" t="s">
        <v>150</v>
      </c>
      <c r="L76" s="9" t="s">
        <v>29</v>
      </c>
      <c r="M76" s="25">
        <v>45407.0</v>
      </c>
      <c r="N76" s="14" t="s">
        <v>211</v>
      </c>
      <c r="O76" s="9" t="s">
        <v>212</v>
      </c>
      <c r="P76" s="9" t="s">
        <v>213</v>
      </c>
      <c r="Q76" s="9" t="s">
        <v>214</v>
      </c>
      <c r="R76" s="25">
        <v>45411.0</v>
      </c>
      <c r="S76" s="13">
        <f t="shared" si="1"/>
        <v>4</v>
      </c>
      <c r="T76" s="9" t="s">
        <v>181</v>
      </c>
      <c r="U76" s="9"/>
      <c r="V76" s="9"/>
      <c r="W76" s="14"/>
      <c r="X76" s="14"/>
      <c r="Y76" s="14" t="s">
        <v>35</v>
      </c>
      <c r="Z76" s="15"/>
      <c r="AA76" s="15"/>
      <c r="AB76" s="15"/>
      <c r="AC76" s="15"/>
      <c r="AD76" s="15"/>
      <c r="AE76" s="15"/>
      <c r="AF76" s="15"/>
      <c r="AG76" s="15"/>
      <c r="AH76" s="15"/>
      <c r="AI76" s="15"/>
    </row>
    <row r="77" ht="15.75" hidden="1" customHeight="1">
      <c r="A77" s="16">
        <v>77.0</v>
      </c>
      <c r="B77" s="17" t="str">
        <f>IFERROR(__xludf.DUMMYFUNCTION("INDEX(IMPORTRANGE(""https://docs.google.com/spreadsheets/d/1S7deMHO2waboU9dywpXeKIDfCmjiuAc0HUIsFpaXQq8/edit?gid=0#gid=0"", ""Tracking Shipments - PPTCO!o:o""), MATCH(D77, IMPORTRANGE(""https://docs.google.com/spreadsheets/d/1S7deMHO2waboU9dywpXeKIDfCmjiu"&amp;"Ac0HUIsFpaXQq8/edit?gid=0#gid=0"", ""Tracking Shipments - PPTCO!p:p""), 0))"),"PPT-92")</f>
        <v>PPT-92</v>
      </c>
      <c r="C77" s="17"/>
      <c r="D77" s="17">
        <v>38031.0</v>
      </c>
      <c r="E77" s="17" t="s">
        <v>215</v>
      </c>
      <c r="F77" s="18" t="s">
        <v>37</v>
      </c>
      <c r="G77" s="17" t="s">
        <v>150</v>
      </c>
      <c r="H77" s="17" t="s">
        <v>150</v>
      </c>
      <c r="I77" s="17"/>
      <c r="J77" s="17"/>
      <c r="K77" s="17" t="s">
        <v>150</v>
      </c>
      <c r="L77" s="17" t="s">
        <v>29</v>
      </c>
      <c r="M77" s="27">
        <v>45405.0</v>
      </c>
      <c r="N77" s="17">
        <v>32024.0</v>
      </c>
      <c r="O77" s="17">
        <v>114.0</v>
      </c>
      <c r="P77" s="18">
        <v>409.0</v>
      </c>
      <c r="Q77" s="18">
        <v>104.0</v>
      </c>
      <c r="R77" s="27">
        <v>45411.0</v>
      </c>
      <c r="S77" s="22">
        <f t="shared" si="1"/>
        <v>6</v>
      </c>
      <c r="T77" s="17"/>
      <c r="U77" s="18"/>
      <c r="V77" s="18"/>
      <c r="W77" s="16"/>
      <c r="X77" s="17"/>
      <c r="Y77" s="18" t="s">
        <v>35</v>
      </c>
      <c r="Z77" s="24"/>
      <c r="AA77" s="24"/>
      <c r="AB77" s="24"/>
      <c r="AC77" s="24"/>
      <c r="AD77" s="24"/>
      <c r="AE77" s="24"/>
      <c r="AF77" s="24"/>
      <c r="AG77" s="24"/>
      <c r="AH77" s="24"/>
      <c r="AI77" s="24"/>
    </row>
    <row r="78" ht="15.75" hidden="1" customHeight="1">
      <c r="A78" s="8">
        <v>78.0</v>
      </c>
      <c r="B78" s="9" t="str">
        <f>IFERROR(__xludf.DUMMYFUNCTION("INDEX(IMPORTRANGE(""https://docs.google.com/spreadsheets/d/1S7deMHO2waboU9dywpXeKIDfCmjiuAc0HUIsFpaXQq8/edit?gid=0#gid=0"", ""Tracking Shipments - PPTCO!o:o""), MATCH(D78, IMPORTRANGE(""https://docs.google.com/spreadsheets/d/1S7deMHO2waboU9dywpXeKIDfCmjiu"&amp;"Ac0HUIsFpaXQq8/edit?gid=0#gid=0"", ""Tracking Shipments - PPTCO!p:p""), 0))"),"PPT-13")</f>
        <v>PPT-13</v>
      </c>
      <c r="C78" s="9"/>
      <c r="D78" s="9">
        <v>38443.0</v>
      </c>
      <c r="E78" s="9" t="s">
        <v>216</v>
      </c>
      <c r="F78" s="9" t="s">
        <v>37</v>
      </c>
      <c r="G78" s="9" t="s">
        <v>177</v>
      </c>
      <c r="H78" s="9" t="s">
        <v>150</v>
      </c>
      <c r="I78" s="9"/>
      <c r="J78" s="9"/>
      <c r="K78" s="9" t="s">
        <v>150</v>
      </c>
      <c r="L78" s="9" t="s">
        <v>29</v>
      </c>
      <c r="M78" s="25">
        <v>45409.0</v>
      </c>
      <c r="N78" s="14">
        <v>42024.0</v>
      </c>
      <c r="O78" s="9">
        <v>151.0</v>
      </c>
      <c r="P78" s="9">
        <v>567.0</v>
      </c>
      <c r="Q78" s="14">
        <v>184.0</v>
      </c>
      <c r="R78" s="36">
        <v>45447.0</v>
      </c>
      <c r="S78" s="13">
        <f t="shared" si="1"/>
        <v>38</v>
      </c>
      <c r="T78" s="9" t="s">
        <v>181</v>
      </c>
      <c r="U78" s="14"/>
      <c r="V78" s="14"/>
      <c r="W78" s="14"/>
      <c r="X78" s="9"/>
      <c r="Y78" s="14" t="s">
        <v>35</v>
      </c>
      <c r="Z78" s="15"/>
      <c r="AA78" s="15"/>
      <c r="AB78" s="15"/>
      <c r="AC78" s="15"/>
      <c r="AD78" s="15"/>
      <c r="AE78" s="15"/>
      <c r="AF78" s="15"/>
      <c r="AG78" s="15"/>
      <c r="AH78" s="15"/>
      <c r="AI78" s="15"/>
    </row>
    <row r="79" ht="15.75" hidden="1" customHeight="1">
      <c r="A79" s="16">
        <v>79.0</v>
      </c>
      <c r="B79" s="18" t="s">
        <v>148</v>
      </c>
      <c r="C79" s="17"/>
      <c r="D79" s="17">
        <v>73552.0</v>
      </c>
      <c r="E79" s="17" t="s">
        <v>217</v>
      </c>
      <c r="F79" s="18" t="s">
        <v>81</v>
      </c>
      <c r="G79" s="17" t="s">
        <v>144</v>
      </c>
      <c r="H79" s="17" t="s">
        <v>150</v>
      </c>
      <c r="I79" s="17"/>
      <c r="J79" s="17"/>
      <c r="K79" s="17" t="s">
        <v>150</v>
      </c>
      <c r="L79" s="17" t="s">
        <v>29</v>
      </c>
      <c r="M79" s="27">
        <v>45402.0</v>
      </c>
      <c r="N79" s="17">
        <v>32024.0</v>
      </c>
      <c r="O79" s="17" t="s">
        <v>218</v>
      </c>
      <c r="P79" s="17" t="s">
        <v>219</v>
      </c>
      <c r="Q79" s="17" t="s">
        <v>220</v>
      </c>
      <c r="R79" s="27">
        <v>45405.0</v>
      </c>
      <c r="S79" s="22">
        <f t="shared" si="1"/>
        <v>3</v>
      </c>
      <c r="T79" s="17"/>
      <c r="U79" s="17"/>
      <c r="V79" s="17"/>
      <c r="W79" s="18"/>
      <c r="X79" s="17"/>
      <c r="Y79" s="17" t="s">
        <v>35</v>
      </c>
      <c r="Z79" s="24"/>
      <c r="AA79" s="24"/>
      <c r="AB79" s="24"/>
      <c r="AC79" s="24"/>
      <c r="AD79" s="24"/>
      <c r="AE79" s="24"/>
      <c r="AF79" s="24"/>
      <c r="AG79" s="24"/>
      <c r="AH79" s="24"/>
      <c r="AI79" s="24"/>
    </row>
    <row r="80" ht="15.75" hidden="1" customHeight="1">
      <c r="A80" s="8">
        <v>80.0</v>
      </c>
      <c r="B80" s="9" t="str">
        <f>IFERROR(__xludf.DUMMYFUNCTION("INDEX(IMPORTRANGE(""https://docs.google.com/spreadsheets/d/1S7deMHO2waboU9dywpXeKIDfCmjiuAc0HUIsFpaXQq8/edit?gid=0#gid=0"", ""Tracking Shipments - PPTCO!o:o""), MATCH(D80, IMPORTRANGE(""https://docs.google.com/spreadsheets/d/1S7deMHO2waboU9dywpXeKIDfCmjiu"&amp;"Ac0HUIsFpaXQq8/edit?gid=0#gid=0"", ""Tracking Shipments - PPTCO!p:p""), 0))"),"PPT-101")</f>
        <v>PPT-101</v>
      </c>
      <c r="C80" s="9"/>
      <c r="D80" s="9">
        <v>73677.0</v>
      </c>
      <c r="E80" s="9" t="s">
        <v>221</v>
      </c>
      <c r="F80" s="9" t="s">
        <v>222</v>
      </c>
      <c r="G80" s="9" t="s">
        <v>177</v>
      </c>
      <c r="H80" s="9" t="s">
        <v>150</v>
      </c>
      <c r="I80" s="9"/>
      <c r="J80" s="9"/>
      <c r="K80" s="9" t="s">
        <v>150</v>
      </c>
      <c r="L80" s="9" t="s">
        <v>29</v>
      </c>
      <c r="M80" s="25">
        <v>45399.0</v>
      </c>
      <c r="N80" s="14">
        <v>52024.0</v>
      </c>
      <c r="O80" s="14" t="s">
        <v>223</v>
      </c>
      <c r="P80" s="14" t="s">
        <v>224</v>
      </c>
      <c r="Q80" s="14" t="s">
        <v>225</v>
      </c>
      <c r="R80" s="36">
        <v>45482.0</v>
      </c>
      <c r="S80" s="13">
        <f t="shared" si="1"/>
        <v>83</v>
      </c>
      <c r="T80" s="9" t="s">
        <v>38</v>
      </c>
      <c r="U80" s="9"/>
      <c r="V80" s="9"/>
      <c r="W80" s="31" t="s">
        <v>28</v>
      </c>
      <c r="X80" s="9"/>
      <c r="Y80" s="14" t="s">
        <v>35</v>
      </c>
      <c r="Z80" s="15"/>
      <c r="AA80" s="15"/>
      <c r="AB80" s="15"/>
      <c r="AC80" s="15"/>
      <c r="AD80" s="15"/>
      <c r="AE80" s="15"/>
      <c r="AF80" s="15"/>
      <c r="AG80" s="15"/>
      <c r="AH80" s="15"/>
      <c r="AI80" s="15"/>
    </row>
    <row r="81" ht="15.75" hidden="1" customHeight="1">
      <c r="A81" s="16">
        <v>81.0</v>
      </c>
      <c r="B81" s="17" t="str">
        <f>IFERROR(__xludf.DUMMYFUNCTION("INDEX(IMPORTRANGE(""https://docs.google.com/spreadsheets/d/1S7deMHO2waboU9dywpXeKIDfCmjiuAc0HUIsFpaXQq8/edit?gid=0#gid=0"", ""Tracking Shipments - PPTCO!o:o""), MATCH(D81, IMPORTRANGE(""https://docs.google.com/spreadsheets/d/1S7deMHO2waboU9dywpXeKIDfCmjiu"&amp;"Ac0HUIsFpaXQq8/edit?gid=0#gid=0"", ""Tracking Shipments - PPTCO!p:p""), 0))"),"PPT-104")</f>
        <v>PPT-104</v>
      </c>
      <c r="C81" s="17"/>
      <c r="D81" s="17">
        <v>74595.0</v>
      </c>
      <c r="E81" s="17" t="s">
        <v>226</v>
      </c>
      <c r="F81" s="18" t="s">
        <v>26</v>
      </c>
      <c r="G81" s="17" t="s">
        <v>177</v>
      </c>
      <c r="H81" s="17" t="s">
        <v>150</v>
      </c>
      <c r="I81" s="17"/>
      <c r="J81" s="17"/>
      <c r="K81" s="17" t="s">
        <v>150</v>
      </c>
      <c r="L81" s="17" t="s">
        <v>29</v>
      </c>
      <c r="M81" s="27">
        <v>45402.0</v>
      </c>
      <c r="N81" s="18">
        <v>42024.0</v>
      </c>
      <c r="O81" s="17" t="s">
        <v>227</v>
      </c>
      <c r="P81" s="17" t="s">
        <v>228</v>
      </c>
      <c r="Q81" s="17" t="s">
        <v>229</v>
      </c>
      <c r="R81" s="35">
        <v>45413.0</v>
      </c>
      <c r="S81" s="22">
        <f t="shared" si="1"/>
        <v>11</v>
      </c>
      <c r="T81" s="18" t="s">
        <v>38</v>
      </c>
      <c r="U81" s="17"/>
      <c r="V81" s="17"/>
      <c r="W81" s="18"/>
      <c r="X81" s="17"/>
      <c r="Y81" s="18" t="s">
        <v>35</v>
      </c>
      <c r="Z81" s="24"/>
      <c r="AA81" s="24"/>
      <c r="AB81" s="24"/>
      <c r="AC81" s="24"/>
      <c r="AD81" s="24"/>
      <c r="AE81" s="24"/>
      <c r="AF81" s="24"/>
      <c r="AG81" s="24"/>
      <c r="AH81" s="24"/>
      <c r="AI81" s="24"/>
    </row>
    <row r="82" ht="15.75" hidden="1" customHeight="1">
      <c r="A82" s="8">
        <v>82.0</v>
      </c>
      <c r="B82" s="9" t="str">
        <f>IFERROR(__xludf.DUMMYFUNCTION("INDEX(IMPORTRANGE(""https://docs.google.com/spreadsheets/d/1S7deMHO2waboU9dywpXeKIDfCmjiuAc0HUIsFpaXQq8/edit?gid=0#gid=0"", ""Tracking Shipments - PPTCO!o:o""), MATCH(D82, IMPORTRANGE(""https://docs.google.com/spreadsheets/d/1S7deMHO2waboU9dywpXeKIDfCmjiu"&amp;"Ac0HUIsFpaXQq8/edit?gid=0#gid=0"", ""Tracking Shipments - PPTCO!p:p""), 0))"),"PPT-104")</f>
        <v>PPT-104</v>
      </c>
      <c r="C82" s="9"/>
      <c r="D82" s="9">
        <v>79477.0</v>
      </c>
      <c r="E82" s="9" t="s">
        <v>230</v>
      </c>
      <c r="F82" s="9" t="s">
        <v>26</v>
      </c>
      <c r="G82" s="9" t="s">
        <v>177</v>
      </c>
      <c r="H82" s="9" t="s">
        <v>150</v>
      </c>
      <c r="I82" s="9"/>
      <c r="J82" s="9"/>
      <c r="K82" s="9" t="s">
        <v>150</v>
      </c>
      <c r="L82" s="9" t="s">
        <v>29</v>
      </c>
      <c r="M82" s="25">
        <v>45407.0</v>
      </c>
      <c r="N82" s="14">
        <v>42024.0</v>
      </c>
      <c r="O82" s="9" t="s">
        <v>231</v>
      </c>
      <c r="P82" s="9" t="s">
        <v>232</v>
      </c>
      <c r="Q82" s="9" t="s">
        <v>233</v>
      </c>
      <c r="R82" s="36">
        <v>45414.0</v>
      </c>
      <c r="S82" s="13">
        <f t="shared" si="1"/>
        <v>7</v>
      </c>
      <c r="T82" s="14" t="s">
        <v>38</v>
      </c>
      <c r="U82" s="9"/>
      <c r="V82" s="9"/>
      <c r="W82" s="8"/>
      <c r="X82" s="9"/>
      <c r="Y82" s="14" t="s">
        <v>35</v>
      </c>
      <c r="Z82" s="15"/>
      <c r="AA82" s="15"/>
      <c r="AB82" s="15"/>
      <c r="AC82" s="15"/>
      <c r="AD82" s="15"/>
      <c r="AE82" s="15"/>
      <c r="AF82" s="15"/>
      <c r="AG82" s="15"/>
      <c r="AH82" s="15"/>
      <c r="AI82" s="15"/>
    </row>
    <row r="83" ht="15.75" hidden="1" customHeight="1">
      <c r="A83" s="16">
        <v>83.0</v>
      </c>
      <c r="B83" s="17" t="str">
        <f>IFERROR(__xludf.DUMMYFUNCTION("INDEX(IMPORTRANGE(""https://docs.google.com/spreadsheets/d/1S7deMHO2waboU9dywpXeKIDfCmjiuAc0HUIsFpaXQq8/edit?gid=0#gid=0"", ""Tracking Shipments - PPTCO!o:o""), MATCH(D83, IMPORTRANGE(""https://docs.google.com/spreadsheets/d/1S7deMHO2waboU9dywpXeKIDfCmjiu"&amp;"Ac0HUIsFpaXQq8/edit?gid=0#gid=0"", ""Tracking Shipments - PPTCO!p:p""), 0))"),"N/A")</f>
        <v>N/A</v>
      </c>
      <c r="C83" s="17"/>
      <c r="D83" s="17">
        <v>79899.0</v>
      </c>
      <c r="E83" s="17" t="s">
        <v>234</v>
      </c>
      <c r="F83" s="18" t="s">
        <v>100</v>
      </c>
      <c r="G83" s="17" t="s">
        <v>177</v>
      </c>
      <c r="H83" s="17" t="s">
        <v>150</v>
      </c>
      <c r="I83" s="17"/>
      <c r="J83" s="17"/>
      <c r="K83" s="17" t="s">
        <v>150</v>
      </c>
      <c r="L83" s="17" t="s">
        <v>29</v>
      </c>
      <c r="M83" s="27">
        <v>45406.0</v>
      </c>
      <c r="N83" s="18">
        <v>52024.0</v>
      </c>
      <c r="O83" s="17">
        <v>130.0</v>
      </c>
      <c r="P83" s="17">
        <v>501.0</v>
      </c>
      <c r="Q83" s="17">
        <v>130.0</v>
      </c>
      <c r="R83" s="35">
        <v>45417.0</v>
      </c>
      <c r="S83" s="22">
        <f t="shared" si="1"/>
        <v>11</v>
      </c>
      <c r="T83" s="17" t="s">
        <v>235</v>
      </c>
      <c r="U83" s="17"/>
      <c r="V83" s="17"/>
      <c r="W83" s="18" t="s">
        <v>28</v>
      </c>
      <c r="X83" s="17"/>
      <c r="Y83" s="18" t="s">
        <v>35</v>
      </c>
      <c r="Z83" s="24"/>
      <c r="AA83" s="24"/>
      <c r="AB83" s="24"/>
      <c r="AC83" s="24"/>
      <c r="AD83" s="24"/>
      <c r="AE83" s="24"/>
      <c r="AF83" s="24"/>
      <c r="AG83" s="24"/>
      <c r="AH83" s="24"/>
      <c r="AI83" s="24"/>
    </row>
    <row r="84" ht="15.75" hidden="1" customHeight="1">
      <c r="A84" s="8">
        <v>84.0</v>
      </c>
      <c r="B84" s="9" t="str">
        <f>IFERROR(__xludf.DUMMYFUNCTION("INDEX(IMPORTRANGE(""https://docs.google.com/spreadsheets/d/1S7deMHO2waboU9dywpXeKIDfCmjiuAc0HUIsFpaXQq8/edit?gid=0#gid=0"", ""Tracking Shipments - PPTCO!o:o""), MATCH(D84, IMPORTRANGE(""https://docs.google.com/spreadsheets/d/1S7deMHO2waboU9dywpXeKIDfCmjiu"&amp;"Ac0HUIsFpaXQq8/edit?gid=0#gid=0"", ""Tracking Shipments - PPTCO!p:p""), 0))"),"PPT-104")</f>
        <v>PPT-104</v>
      </c>
      <c r="C84" s="9"/>
      <c r="D84" s="9">
        <v>79407.0</v>
      </c>
      <c r="E84" s="9" t="s">
        <v>236</v>
      </c>
      <c r="F84" s="9" t="s">
        <v>26</v>
      </c>
      <c r="G84" s="9" t="s">
        <v>177</v>
      </c>
      <c r="H84" s="9" t="s">
        <v>150</v>
      </c>
      <c r="I84" s="9"/>
      <c r="J84" s="9"/>
      <c r="K84" s="9" t="s">
        <v>150</v>
      </c>
      <c r="L84" s="9" t="s">
        <v>29</v>
      </c>
      <c r="M84" s="25">
        <v>45408.0</v>
      </c>
      <c r="N84" s="14">
        <v>42024.0</v>
      </c>
      <c r="O84" s="9" t="s">
        <v>237</v>
      </c>
      <c r="P84" s="9" t="s">
        <v>238</v>
      </c>
      <c r="Q84" s="9" t="s">
        <v>239</v>
      </c>
      <c r="R84" s="36">
        <v>45417.0</v>
      </c>
      <c r="S84" s="13">
        <f t="shared" si="1"/>
        <v>9</v>
      </c>
      <c r="T84" s="14" t="s">
        <v>38</v>
      </c>
      <c r="U84" s="9"/>
      <c r="V84" s="9"/>
      <c r="W84" s="14"/>
      <c r="X84" s="9"/>
      <c r="Y84" s="14" t="s">
        <v>35</v>
      </c>
      <c r="Z84" s="15"/>
      <c r="AA84" s="15"/>
      <c r="AB84" s="15"/>
      <c r="AC84" s="15"/>
      <c r="AD84" s="15"/>
      <c r="AE84" s="15"/>
      <c r="AF84" s="15"/>
      <c r="AG84" s="15"/>
      <c r="AH84" s="15"/>
      <c r="AI84" s="15"/>
    </row>
    <row r="85" ht="15.75" hidden="1" customHeight="1">
      <c r="A85" s="16">
        <v>85.0</v>
      </c>
      <c r="B85" s="17" t="str">
        <f>IFERROR(__xludf.DUMMYFUNCTION("INDEX(IMPORTRANGE(""https://docs.google.com/spreadsheets/d/1S7deMHO2waboU9dywpXeKIDfCmjiuAc0HUIsFpaXQq8/edit?gid=0#gid=0"", ""Tracking Shipments - PPTCO!o:o""), MATCH(D85, IMPORTRANGE(""https://docs.google.com/spreadsheets/d/1S7deMHO2waboU9dywpXeKIDfCmjiu"&amp;"Ac0HUIsFpaXQq8/edit?gid=0#gid=0"", ""Tracking Shipments - PPTCO!p:p""), 0))"),"PPT-83")</f>
        <v>PPT-83</v>
      </c>
      <c r="C85" s="17"/>
      <c r="D85" s="17">
        <v>79755.0</v>
      </c>
      <c r="E85" s="17" t="s">
        <v>240</v>
      </c>
      <c r="F85" s="18" t="s">
        <v>40</v>
      </c>
      <c r="G85" s="17" t="s">
        <v>241</v>
      </c>
      <c r="H85" s="17" t="s">
        <v>150</v>
      </c>
      <c r="I85" s="17"/>
      <c r="J85" s="17"/>
      <c r="K85" s="17" t="s">
        <v>150</v>
      </c>
      <c r="L85" s="17" t="s">
        <v>29</v>
      </c>
      <c r="M85" s="27">
        <v>45409.0</v>
      </c>
      <c r="N85" s="18">
        <v>52024.0</v>
      </c>
      <c r="O85" s="17" t="s">
        <v>242</v>
      </c>
      <c r="P85" s="17" t="s">
        <v>243</v>
      </c>
      <c r="Q85" s="17" t="s">
        <v>244</v>
      </c>
      <c r="R85" s="35">
        <v>45414.0</v>
      </c>
      <c r="S85" s="22">
        <f t="shared" si="1"/>
        <v>5</v>
      </c>
      <c r="T85" s="17" t="s">
        <v>181</v>
      </c>
      <c r="U85" s="17"/>
      <c r="V85" s="17"/>
      <c r="W85" s="18"/>
      <c r="X85" s="17"/>
      <c r="Y85" s="18" t="s">
        <v>35</v>
      </c>
      <c r="Z85" s="24"/>
      <c r="AA85" s="24"/>
      <c r="AB85" s="24"/>
      <c r="AC85" s="24"/>
      <c r="AD85" s="24"/>
      <c r="AE85" s="24"/>
      <c r="AF85" s="24"/>
      <c r="AG85" s="24"/>
      <c r="AH85" s="24"/>
      <c r="AI85" s="24"/>
    </row>
    <row r="86" ht="15.75" hidden="1" customHeight="1">
      <c r="A86" s="8">
        <v>86.0</v>
      </c>
      <c r="B86" s="14" t="s">
        <v>148</v>
      </c>
      <c r="C86" s="9"/>
      <c r="D86" s="9">
        <v>82456.0</v>
      </c>
      <c r="E86" s="9" t="s">
        <v>245</v>
      </c>
      <c r="F86" s="9" t="s">
        <v>40</v>
      </c>
      <c r="G86" s="9" t="s">
        <v>241</v>
      </c>
      <c r="H86" s="9" t="s">
        <v>150</v>
      </c>
      <c r="I86" s="9"/>
      <c r="J86" s="9"/>
      <c r="K86" s="9" t="s">
        <v>150</v>
      </c>
      <c r="L86" s="9" t="s">
        <v>29</v>
      </c>
      <c r="M86" s="41">
        <v>45409.0</v>
      </c>
      <c r="N86" s="14">
        <v>102024.0</v>
      </c>
      <c r="O86" s="14">
        <v>277.0</v>
      </c>
      <c r="P86" s="14">
        <v>1547.0</v>
      </c>
      <c r="Q86" s="14">
        <v>266.0</v>
      </c>
      <c r="R86" s="41">
        <v>45532.0</v>
      </c>
      <c r="S86" s="13">
        <f t="shared" si="1"/>
        <v>123</v>
      </c>
      <c r="T86" s="9" t="s">
        <v>181</v>
      </c>
      <c r="U86" s="14"/>
      <c r="V86" s="9"/>
      <c r="W86" s="8"/>
      <c r="X86" s="14" t="s">
        <v>246</v>
      </c>
      <c r="Y86" s="14" t="s">
        <v>35</v>
      </c>
      <c r="Z86" s="15"/>
      <c r="AA86" s="15"/>
      <c r="AB86" s="15"/>
      <c r="AC86" s="15"/>
      <c r="AD86" s="15"/>
      <c r="AE86" s="15"/>
      <c r="AF86" s="15"/>
      <c r="AG86" s="15"/>
      <c r="AH86" s="15"/>
      <c r="AI86" s="15"/>
    </row>
    <row r="87" ht="15.75" hidden="1" customHeight="1">
      <c r="A87" s="16">
        <v>87.0</v>
      </c>
      <c r="B87" s="17" t="str">
        <f>IFERROR(__xludf.DUMMYFUNCTION("INDEX(IMPORTRANGE(""https://docs.google.com/spreadsheets/d/1S7deMHO2waboU9dywpXeKIDfCmjiuAc0HUIsFpaXQq8/edit?gid=0#gid=0"", ""Tracking Shipments - PPTCO!o:o""), MATCH(D87, IMPORTRANGE(""https://docs.google.com/spreadsheets/d/1S7deMHO2waboU9dywpXeKIDfCmjiu"&amp;"Ac0HUIsFpaXQq8/edit?gid=0#gid=0"", ""Tracking Shipments - PPTCO!p:p""), 0))"),"PPT-116")</f>
        <v>PPT-116</v>
      </c>
      <c r="C87" s="17"/>
      <c r="D87" s="17">
        <v>81492.0</v>
      </c>
      <c r="E87" s="17" t="s">
        <v>247</v>
      </c>
      <c r="F87" s="18" t="s">
        <v>40</v>
      </c>
      <c r="G87" s="17" t="s">
        <v>177</v>
      </c>
      <c r="H87" s="17" t="s">
        <v>150</v>
      </c>
      <c r="I87" s="17"/>
      <c r="J87" s="17"/>
      <c r="K87" s="17" t="s">
        <v>150</v>
      </c>
      <c r="L87" s="17" t="s">
        <v>29</v>
      </c>
      <c r="M87" s="27">
        <v>45409.0</v>
      </c>
      <c r="N87" s="18">
        <v>42024.0</v>
      </c>
      <c r="O87" s="17" t="s">
        <v>248</v>
      </c>
      <c r="P87" s="17" t="s">
        <v>249</v>
      </c>
      <c r="Q87" s="17" t="s">
        <v>250</v>
      </c>
      <c r="R87" s="35">
        <v>45417.0</v>
      </c>
      <c r="S87" s="22">
        <f t="shared" si="1"/>
        <v>8</v>
      </c>
      <c r="T87" s="17" t="s">
        <v>38</v>
      </c>
      <c r="U87" s="17"/>
      <c r="V87" s="17"/>
      <c r="W87" s="16"/>
      <c r="X87" s="17"/>
      <c r="Y87" s="18" t="s">
        <v>35</v>
      </c>
      <c r="Z87" s="24"/>
      <c r="AA87" s="24"/>
      <c r="AB87" s="24"/>
      <c r="AC87" s="24"/>
      <c r="AD87" s="24"/>
      <c r="AE87" s="24"/>
      <c r="AF87" s="24"/>
      <c r="AG87" s="24"/>
      <c r="AH87" s="24"/>
      <c r="AI87" s="24"/>
    </row>
    <row r="88" ht="15.75" hidden="1" customHeight="1">
      <c r="A88" s="8">
        <v>88.0</v>
      </c>
      <c r="B88" s="14" t="s">
        <v>148</v>
      </c>
      <c r="C88" s="9"/>
      <c r="D88" s="9">
        <v>82091.0</v>
      </c>
      <c r="E88" s="9" t="s">
        <v>251</v>
      </c>
      <c r="F88" s="9" t="s">
        <v>105</v>
      </c>
      <c r="G88" s="9" t="s">
        <v>252</v>
      </c>
      <c r="H88" s="9" t="s">
        <v>150</v>
      </c>
      <c r="I88" s="9"/>
      <c r="J88" s="9"/>
      <c r="K88" s="9" t="s">
        <v>150</v>
      </c>
      <c r="L88" s="9" t="s">
        <v>29</v>
      </c>
      <c r="M88" s="30">
        <v>45414.0</v>
      </c>
      <c r="N88" s="14">
        <v>42024.0</v>
      </c>
      <c r="O88" s="9">
        <v>142.0</v>
      </c>
      <c r="P88" s="9">
        <v>510.0</v>
      </c>
      <c r="Q88" s="9" t="s">
        <v>253</v>
      </c>
      <c r="R88" s="36">
        <v>45420.0</v>
      </c>
      <c r="S88" s="13">
        <f t="shared" si="1"/>
        <v>6</v>
      </c>
      <c r="T88" s="9" t="s">
        <v>181</v>
      </c>
      <c r="U88" s="9"/>
      <c r="V88" s="9"/>
      <c r="W88" s="14"/>
      <c r="X88" s="9" t="s">
        <v>254</v>
      </c>
      <c r="Y88" s="14" t="s">
        <v>35</v>
      </c>
      <c r="Z88" s="15"/>
      <c r="AA88" s="15"/>
      <c r="AB88" s="15"/>
      <c r="AC88" s="15"/>
      <c r="AD88" s="15"/>
      <c r="AE88" s="15"/>
      <c r="AF88" s="15"/>
      <c r="AG88" s="15"/>
      <c r="AH88" s="15"/>
      <c r="AI88" s="15"/>
    </row>
    <row r="89" ht="15.75" hidden="1" customHeight="1">
      <c r="A89" s="16">
        <v>89.0</v>
      </c>
      <c r="B89" s="18" t="s">
        <v>148</v>
      </c>
      <c r="C89" s="17"/>
      <c r="D89" s="17">
        <v>82094.0</v>
      </c>
      <c r="E89" s="17" t="s">
        <v>255</v>
      </c>
      <c r="F89" s="18" t="s">
        <v>105</v>
      </c>
      <c r="G89" s="17" t="s">
        <v>252</v>
      </c>
      <c r="H89" s="17" t="s">
        <v>150</v>
      </c>
      <c r="I89" s="17"/>
      <c r="J89" s="17"/>
      <c r="K89" s="17" t="s">
        <v>150</v>
      </c>
      <c r="L89" s="17" t="s">
        <v>29</v>
      </c>
      <c r="M89" s="19">
        <v>45416.0</v>
      </c>
      <c r="N89" s="18">
        <v>42024.0</v>
      </c>
      <c r="O89" s="17">
        <v>143.0</v>
      </c>
      <c r="P89" s="17">
        <v>511.0</v>
      </c>
      <c r="Q89" s="17" t="s">
        <v>256</v>
      </c>
      <c r="R89" s="35">
        <v>45420.0</v>
      </c>
      <c r="S89" s="22">
        <f t="shared" si="1"/>
        <v>4</v>
      </c>
      <c r="T89" s="17" t="s">
        <v>181</v>
      </c>
      <c r="U89" s="17"/>
      <c r="V89" s="17"/>
      <c r="W89" s="18"/>
      <c r="X89" s="17" t="s">
        <v>257</v>
      </c>
      <c r="Y89" s="18" t="s">
        <v>35</v>
      </c>
      <c r="Z89" s="24"/>
      <c r="AA89" s="24"/>
      <c r="AB89" s="24"/>
      <c r="AC89" s="24"/>
      <c r="AD89" s="24"/>
      <c r="AE89" s="24"/>
      <c r="AF89" s="24"/>
      <c r="AG89" s="24"/>
      <c r="AH89" s="24"/>
      <c r="AI89" s="24"/>
    </row>
    <row r="90" ht="15.75" hidden="1" customHeight="1">
      <c r="A90" s="8">
        <v>90.0</v>
      </c>
      <c r="B90" s="9" t="str">
        <f>IFERROR(__xludf.DUMMYFUNCTION("INDEX(IMPORTRANGE(""https://docs.google.com/spreadsheets/d/1S7deMHO2waboU9dywpXeKIDfCmjiuAc0HUIsFpaXQq8/edit?gid=0#gid=0"", ""Tracking Shipments - PPTCO!o:o""), MATCH(D90, IMPORTRANGE(""https://docs.google.com/spreadsheets/d/1S7deMHO2waboU9dywpXeKIDfCmjiu"&amp;"Ac0HUIsFpaXQq8/edit?gid=0#gid=0"", ""Tracking Shipments - PPTCO!p:p""), 0))"),"PPT-110")</f>
        <v>PPT-110</v>
      </c>
      <c r="C90" s="9"/>
      <c r="D90" s="9">
        <v>84491.0</v>
      </c>
      <c r="E90" s="9" t="s">
        <v>258</v>
      </c>
      <c r="F90" s="9" t="s">
        <v>259</v>
      </c>
      <c r="G90" s="9" t="s">
        <v>177</v>
      </c>
      <c r="H90" s="9" t="s">
        <v>150</v>
      </c>
      <c r="I90" s="9"/>
      <c r="J90" s="9"/>
      <c r="K90" s="9" t="s">
        <v>150</v>
      </c>
      <c r="L90" s="9" t="s">
        <v>29</v>
      </c>
      <c r="M90" s="25">
        <v>45410.0</v>
      </c>
      <c r="N90" s="14">
        <v>52024.0</v>
      </c>
      <c r="O90" s="14">
        <v>199.0</v>
      </c>
      <c r="P90" s="14">
        <v>1007.0</v>
      </c>
      <c r="Q90" s="14">
        <v>205.0</v>
      </c>
      <c r="R90" s="36">
        <v>45483.0</v>
      </c>
      <c r="S90" s="13">
        <f t="shared" si="1"/>
        <v>73</v>
      </c>
      <c r="T90" s="9" t="s">
        <v>38</v>
      </c>
      <c r="U90" s="9"/>
      <c r="V90" s="9"/>
      <c r="W90" s="14"/>
      <c r="X90" s="9"/>
      <c r="Y90" s="14" t="s">
        <v>35</v>
      </c>
      <c r="Z90" s="15"/>
      <c r="AA90" s="15"/>
      <c r="AB90" s="15"/>
      <c r="AC90" s="15"/>
      <c r="AD90" s="15"/>
      <c r="AE90" s="15"/>
      <c r="AF90" s="15"/>
      <c r="AG90" s="15"/>
      <c r="AH90" s="15"/>
      <c r="AI90" s="15"/>
    </row>
    <row r="91" ht="15.75" hidden="1" customHeight="1">
      <c r="A91" s="16">
        <v>91.0</v>
      </c>
      <c r="B91" s="18" t="s">
        <v>148</v>
      </c>
      <c r="C91" s="17"/>
      <c r="D91" s="17">
        <v>44045.0</v>
      </c>
      <c r="E91" s="17" t="s">
        <v>260</v>
      </c>
      <c r="F91" s="18" t="s">
        <v>68</v>
      </c>
      <c r="G91" s="17" t="s">
        <v>177</v>
      </c>
      <c r="H91" s="17" t="s">
        <v>150</v>
      </c>
      <c r="I91" s="17"/>
      <c r="J91" s="17"/>
      <c r="K91" s="17" t="s">
        <v>150</v>
      </c>
      <c r="L91" s="17" t="s">
        <v>29</v>
      </c>
      <c r="M91" s="19">
        <v>45423.0</v>
      </c>
      <c r="N91" s="17"/>
      <c r="O91" s="18" t="s">
        <v>261</v>
      </c>
      <c r="P91" s="18" t="s">
        <v>262</v>
      </c>
      <c r="Q91" s="18" t="s">
        <v>263</v>
      </c>
      <c r="R91" s="27">
        <v>45456.0</v>
      </c>
      <c r="S91" s="22">
        <f t="shared" si="1"/>
        <v>33</v>
      </c>
      <c r="T91" s="17" t="s">
        <v>38</v>
      </c>
      <c r="U91" s="18"/>
      <c r="V91" s="18"/>
      <c r="W91" s="18"/>
      <c r="X91" s="17"/>
      <c r="Y91" s="18" t="s">
        <v>35</v>
      </c>
      <c r="Z91" s="24"/>
      <c r="AA91" s="24"/>
      <c r="AB91" s="24"/>
      <c r="AC91" s="24"/>
      <c r="AD91" s="24"/>
      <c r="AE91" s="24"/>
      <c r="AF91" s="24"/>
      <c r="AG91" s="24"/>
      <c r="AH91" s="24"/>
      <c r="AI91" s="24"/>
    </row>
    <row r="92" ht="15.75" hidden="1" customHeight="1">
      <c r="A92" s="8">
        <v>92.0</v>
      </c>
      <c r="B92" s="14" t="s">
        <v>148</v>
      </c>
      <c r="C92" s="9"/>
      <c r="D92" s="9">
        <v>85259.0</v>
      </c>
      <c r="E92" s="9" t="s">
        <v>264</v>
      </c>
      <c r="F92" s="9" t="s">
        <v>81</v>
      </c>
      <c r="G92" s="9" t="s">
        <v>241</v>
      </c>
      <c r="H92" s="9" t="s">
        <v>150</v>
      </c>
      <c r="I92" s="9"/>
      <c r="J92" s="9"/>
      <c r="K92" s="9" t="s">
        <v>150</v>
      </c>
      <c r="L92" s="9" t="s">
        <v>29</v>
      </c>
      <c r="M92" s="30">
        <v>45413.0</v>
      </c>
      <c r="N92" s="14">
        <v>42024.0</v>
      </c>
      <c r="O92" s="9">
        <v>144.0</v>
      </c>
      <c r="P92" s="9">
        <v>512.0</v>
      </c>
      <c r="Q92" s="9">
        <v>139.0</v>
      </c>
      <c r="R92" s="36">
        <v>45417.0</v>
      </c>
      <c r="S92" s="13">
        <f t="shared" si="1"/>
        <v>4</v>
      </c>
      <c r="T92" s="9" t="s">
        <v>38</v>
      </c>
      <c r="U92" s="9"/>
      <c r="V92" s="9"/>
      <c r="W92" s="14"/>
      <c r="X92" s="9"/>
      <c r="Y92" s="14" t="s">
        <v>172</v>
      </c>
      <c r="Z92" s="15"/>
      <c r="AA92" s="15"/>
      <c r="AB92" s="15"/>
      <c r="AC92" s="15"/>
      <c r="AD92" s="15"/>
      <c r="AE92" s="15"/>
      <c r="AF92" s="15"/>
      <c r="AG92" s="15"/>
      <c r="AH92" s="15"/>
      <c r="AI92" s="15"/>
    </row>
    <row r="93" ht="15.75" hidden="1" customHeight="1">
      <c r="A93" s="16">
        <v>93.0</v>
      </c>
      <c r="B93" s="17" t="str">
        <f>IFERROR(__xludf.DUMMYFUNCTION("INDEX(IMPORTRANGE(""https://docs.google.com/spreadsheets/d/1S7deMHO2waboU9dywpXeKIDfCmjiuAc0HUIsFpaXQq8/edit?gid=0#gid=0"", ""Tracking Shipments - PPTCO!o:o""), MATCH(D93, IMPORTRANGE(""https://docs.google.com/spreadsheets/d/1S7deMHO2waboU9dywpXeKIDfCmjiu"&amp;"Ac0HUIsFpaXQq8/edit?gid=0#gid=0"", ""Tracking Shipments - PPTCO!p:p""), 0))"),"N/A")</f>
        <v>N/A</v>
      </c>
      <c r="C93" s="17"/>
      <c r="D93" s="17">
        <v>44528.0</v>
      </c>
      <c r="E93" s="17" t="s">
        <v>265</v>
      </c>
      <c r="F93" s="18" t="s">
        <v>266</v>
      </c>
      <c r="G93" s="17" t="s">
        <v>241</v>
      </c>
      <c r="H93" s="17" t="s">
        <v>150</v>
      </c>
      <c r="I93" s="17"/>
      <c r="J93" s="17"/>
      <c r="K93" s="17" t="s">
        <v>150</v>
      </c>
      <c r="L93" s="17" t="s">
        <v>29</v>
      </c>
      <c r="M93" s="19">
        <v>45421.0</v>
      </c>
      <c r="N93" s="18">
        <v>72024.0</v>
      </c>
      <c r="O93" s="18">
        <v>230.0</v>
      </c>
      <c r="P93" s="18">
        <v>1174.0</v>
      </c>
      <c r="Q93" s="18">
        <v>233.0</v>
      </c>
      <c r="R93" s="27">
        <v>45498.0</v>
      </c>
      <c r="S93" s="22">
        <f t="shared" si="1"/>
        <v>77</v>
      </c>
      <c r="T93" s="17" t="s">
        <v>38</v>
      </c>
      <c r="U93" s="17"/>
      <c r="V93" s="17"/>
      <c r="W93" s="23" t="s">
        <v>28</v>
      </c>
      <c r="X93" s="17"/>
      <c r="Y93" s="18" t="s">
        <v>172</v>
      </c>
      <c r="Z93" s="24"/>
      <c r="AA93" s="24"/>
      <c r="AB93" s="24"/>
      <c r="AC93" s="24"/>
      <c r="AD93" s="24"/>
      <c r="AE93" s="24"/>
      <c r="AF93" s="24"/>
      <c r="AG93" s="24"/>
      <c r="AH93" s="24"/>
      <c r="AI93" s="24"/>
    </row>
    <row r="94" ht="15.75" hidden="1" customHeight="1">
      <c r="A94" s="8">
        <v>94.0</v>
      </c>
      <c r="B94" s="9" t="str">
        <f>IFERROR(__xludf.DUMMYFUNCTION("INDEX(IMPORTRANGE(""https://docs.google.com/spreadsheets/d/1S7deMHO2waboU9dywpXeKIDfCmjiuAc0HUIsFpaXQq8/edit?gid=0#gid=0"", ""Tracking Shipments - PPTCO!o:o""), MATCH(D94, IMPORTRANGE(""https://docs.google.com/spreadsheets/d/1S7deMHO2waboU9dywpXeKIDfCmjiu"&amp;"Ac0HUIsFpaXQq8/edit?gid=0#gid=0"", ""Tracking Shipments - PPTCO!p:p""), 0))"),"N/A")</f>
        <v>N/A</v>
      </c>
      <c r="C94" s="9"/>
      <c r="D94" s="9">
        <v>41260.0</v>
      </c>
      <c r="E94" s="9" t="s">
        <v>267</v>
      </c>
      <c r="F94" s="9" t="s">
        <v>49</v>
      </c>
      <c r="G94" s="9" t="s">
        <v>252</v>
      </c>
      <c r="H94" s="9" t="s">
        <v>150</v>
      </c>
      <c r="I94" s="9"/>
      <c r="J94" s="9"/>
      <c r="K94" s="9" t="s">
        <v>150</v>
      </c>
      <c r="L94" s="9" t="s">
        <v>29</v>
      </c>
      <c r="M94" s="30">
        <v>45420.0</v>
      </c>
      <c r="N94" s="14">
        <v>42024.0</v>
      </c>
      <c r="O94" s="9">
        <v>159.0</v>
      </c>
      <c r="P94" s="9">
        <v>600.0</v>
      </c>
      <c r="Q94" s="9">
        <v>161.0</v>
      </c>
      <c r="R94" s="25">
        <v>45431.0</v>
      </c>
      <c r="S94" s="13">
        <f t="shared" si="1"/>
        <v>11</v>
      </c>
      <c r="T94" s="9" t="s">
        <v>181</v>
      </c>
      <c r="U94" s="9"/>
      <c r="V94" s="9"/>
      <c r="W94" s="8"/>
      <c r="X94" s="9" t="s">
        <v>268</v>
      </c>
      <c r="Y94" s="14" t="s">
        <v>35</v>
      </c>
      <c r="Z94" s="15"/>
      <c r="AA94" s="15"/>
      <c r="AB94" s="15"/>
      <c r="AC94" s="15"/>
      <c r="AD94" s="15"/>
      <c r="AE94" s="15"/>
      <c r="AF94" s="15"/>
      <c r="AG94" s="15"/>
      <c r="AH94" s="15"/>
      <c r="AI94" s="15"/>
    </row>
    <row r="95" ht="15.75" hidden="1" customHeight="1">
      <c r="A95" s="16">
        <v>95.0</v>
      </c>
      <c r="B95" s="17" t="str">
        <f>IFERROR(__xludf.DUMMYFUNCTION("INDEX(IMPORTRANGE(""https://docs.google.com/spreadsheets/d/1S7deMHO2waboU9dywpXeKIDfCmjiuAc0HUIsFpaXQq8/edit?gid=0#gid=0"", ""Tracking Shipments - PPTCO!o:o""), MATCH(D95, IMPORTRANGE(""https://docs.google.com/spreadsheets/d/1S7deMHO2waboU9dywpXeKIDfCmjiu"&amp;"Ac0HUIsFpaXQq8/edit?gid=0#gid=0"", ""Tracking Shipments - PPTCO!p:p""), 0))"),"N/A")</f>
        <v>N/A</v>
      </c>
      <c r="C95" s="17"/>
      <c r="D95" s="17">
        <v>45014.0</v>
      </c>
      <c r="E95" s="17" t="s">
        <v>269</v>
      </c>
      <c r="F95" s="18" t="s">
        <v>49</v>
      </c>
      <c r="G95" s="17" t="s">
        <v>252</v>
      </c>
      <c r="H95" s="17" t="s">
        <v>150</v>
      </c>
      <c r="I95" s="17"/>
      <c r="J95" s="17"/>
      <c r="K95" s="17" t="s">
        <v>150</v>
      </c>
      <c r="L95" s="17" t="s">
        <v>29</v>
      </c>
      <c r="M95" s="27">
        <v>45426.0</v>
      </c>
      <c r="N95" s="18">
        <v>42024.0</v>
      </c>
      <c r="O95" s="17">
        <v>145.0</v>
      </c>
      <c r="P95" s="17">
        <v>513.0</v>
      </c>
      <c r="Q95" s="17">
        <v>160.0</v>
      </c>
      <c r="R95" s="27">
        <v>45431.0</v>
      </c>
      <c r="S95" s="22">
        <f t="shared" si="1"/>
        <v>5</v>
      </c>
      <c r="T95" s="17" t="s">
        <v>181</v>
      </c>
      <c r="U95" s="17"/>
      <c r="V95" s="17"/>
      <c r="W95" s="18"/>
      <c r="X95" s="17" t="s">
        <v>270</v>
      </c>
      <c r="Y95" s="18" t="s">
        <v>35</v>
      </c>
      <c r="Z95" s="24"/>
      <c r="AA95" s="24"/>
      <c r="AB95" s="24"/>
      <c r="AC95" s="24"/>
      <c r="AD95" s="24"/>
      <c r="AE95" s="24"/>
      <c r="AF95" s="24"/>
      <c r="AG95" s="24"/>
      <c r="AH95" s="24"/>
      <c r="AI95" s="24"/>
    </row>
    <row r="96" ht="15.75" hidden="1" customHeight="1">
      <c r="A96" s="8">
        <v>96.0</v>
      </c>
      <c r="B96" s="9" t="str">
        <f>IFERROR(__xludf.DUMMYFUNCTION("INDEX(IMPORTRANGE(""https://docs.google.com/spreadsheets/d/1S7deMHO2waboU9dywpXeKIDfCmjiuAc0HUIsFpaXQq8/edit?gid=0#gid=0"", ""Tracking Shipments - PPTCO!o:o""), MATCH(D96, IMPORTRANGE(""https://docs.google.com/spreadsheets/d/1S7deMHO2waboU9dywpXeKIDfCmjiu"&amp;"Ac0HUIsFpaXQq8/edit?gid=0#gid=0"", ""Tracking Shipments - PPTCO!p:p""), 0))"),"PPT-104")</f>
        <v>PPT-104</v>
      </c>
      <c r="C96" s="9"/>
      <c r="D96" s="9">
        <v>86208.0</v>
      </c>
      <c r="E96" s="9" t="s">
        <v>271</v>
      </c>
      <c r="F96" s="9" t="s">
        <v>26</v>
      </c>
      <c r="G96" s="9" t="s">
        <v>177</v>
      </c>
      <c r="H96" s="9" t="s">
        <v>150</v>
      </c>
      <c r="I96" s="9"/>
      <c r="J96" s="9"/>
      <c r="K96" s="9" t="s">
        <v>150</v>
      </c>
      <c r="L96" s="9" t="s">
        <v>29</v>
      </c>
      <c r="M96" s="30">
        <v>45416.0</v>
      </c>
      <c r="N96" s="14">
        <v>42024.0</v>
      </c>
      <c r="O96" s="9" t="s">
        <v>256</v>
      </c>
      <c r="P96" s="9" t="s">
        <v>272</v>
      </c>
      <c r="Q96" s="9" t="s">
        <v>273</v>
      </c>
      <c r="R96" s="36">
        <v>45417.0</v>
      </c>
      <c r="S96" s="13">
        <f t="shared" si="1"/>
        <v>1</v>
      </c>
      <c r="T96" s="9" t="s">
        <v>38</v>
      </c>
      <c r="U96" s="9"/>
      <c r="V96" s="9"/>
      <c r="W96" s="8"/>
      <c r="X96" s="9"/>
      <c r="Y96" s="14" t="s">
        <v>35</v>
      </c>
      <c r="Z96" s="15"/>
      <c r="AA96" s="15"/>
      <c r="AB96" s="15"/>
      <c r="AC96" s="15"/>
      <c r="AD96" s="15"/>
      <c r="AE96" s="15"/>
      <c r="AF96" s="15"/>
      <c r="AG96" s="15"/>
      <c r="AH96" s="15"/>
      <c r="AI96" s="15"/>
    </row>
    <row r="97" ht="15.75" hidden="1" customHeight="1">
      <c r="A97" s="16">
        <v>97.0</v>
      </c>
      <c r="B97" s="17" t="str">
        <f>IFERROR(__xludf.DUMMYFUNCTION("INDEX(IMPORTRANGE(""https://docs.google.com/spreadsheets/d/1S7deMHO2waboU9dywpXeKIDfCmjiuAc0HUIsFpaXQq8/edit?gid=0#gid=0"", ""Tracking Shipments - PPTCO!o:o""), MATCH(D97, IMPORTRANGE(""https://docs.google.com/spreadsheets/d/1S7deMHO2waboU9dywpXeKIDfCmjiu"&amp;"Ac0HUIsFpaXQq8/edit?gid=0#gid=0"", ""Tracking Shipments - PPTCO!p:p""), 0))"),"PPT-116")</f>
        <v>PPT-116</v>
      </c>
      <c r="C97" s="17"/>
      <c r="D97" s="17">
        <v>87652.0</v>
      </c>
      <c r="E97" s="17" t="s">
        <v>274</v>
      </c>
      <c r="F97" s="18" t="s">
        <v>40</v>
      </c>
      <c r="G97" s="17" t="s">
        <v>177</v>
      </c>
      <c r="H97" s="17" t="s">
        <v>150</v>
      </c>
      <c r="I97" s="17"/>
      <c r="J97" s="17"/>
      <c r="K97" s="17" t="s">
        <v>150</v>
      </c>
      <c r="L97" s="17" t="s">
        <v>29</v>
      </c>
      <c r="M97" s="19">
        <v>45420.0</v>
      </c>
      <c r="N97" s="18">
        <v>42024.0</v>
      </c>
      <c r="O97" s="17" t="s">
        <v>275</v>
      </c>
      <c r="P97" s="17" t="s">
        <v>276</v>
      </c>
      <c r="Q97" s="17" t="s">
        <v>277</v>
      </c>
      <c r="R97" s="27">
        <v>45426.0</v>
      </c>
      <c r="S97" s="22">
        <f t="shared" si="1"/>
        <v>6</v>
      </c>
      <c r="T97" s="17" t="s">
        <v>181</v>
      </c>
      <c r="U97" s="17"/>
      <c r="V97" s="17"/>
      <c r="W97" s="18"/>
      <c r="X97" s="17"/>
      <c r="Y97" s="18" t="s">
        <v>35</v>
      </c>
      <c r="Z97" s="24"/>
      <c r="AA97" s="24"/>
      <c r="AB97" s="24"/>
      <c r="AC97" s="24"/>
      <c r="AD97" s="24"/>
      <c r="AE97" s="24"/>
      <c r="AF97" s="24"/>
      <c r="AG97" s="24"/>
      <c r="AH97" s="24"/>
      <c r="AI97" s="24"/>
    </row>
    <row r="98" ht="15.75" hidden="1" customHeight="1">
      <c r="A98" s="8">
        <v>98.0</v>
      </c>
      <c r="B98" s="9" t="str">
        <f>IFERROR(__xludf.DUMMYFUNCTION("INDEX(IMPORTRANGE(""https://docs.google.com/spreadsheets/d/1S7deMHO2waboU9dywpXeKIDfCmjiuAc0HUIsFpaXQq8/edit?gid=0#gid=0"", ""Tracking Shipments - PPTCO!o:o""), MATCH(D98, IMPORTRANGE(""https://docs.google.com/spreadsheets/d/1S7deMHO2waboU9dywpXeKIDfCmjiu"&amp;"Ac0HUIsFpaXQq8/edit?gid=0#gid=0"", ""Tracking Shipments - PPTCO!p:p""), 0))"),"PPT-112")</f>
        <v>PPT-112</v>
      </c>
      <c r="C98" s="9"/>
      <c r="D98" s="9">
        <v>90732.0</v>
      </c>
      <c r="E98" s="9" t="s">
        <v>278</v>
      </c>
      <c r="F98" s="9" t="s">
        <v>81</v>
      </c>
      <c r="G98" s="9" t="s">
        <v>241</v>
      </c>
      <c r="H98" s="9" t="s">
        <v>150</v>
      </c>
      <c r="I98" s="9"/>
      <c r="J98" s="9"/>
      <c r="K98" s="9" t="s">
        <v>150</v>
      </c>
      <c r="L98" s="9" t="s">
        <v>29</v>
      </c>
      <c r="M98" s="25">
        <v>45426.0</v>
      </c>
      <c r="N98" s="14">
        <v>52024.0</v>
      </c>
      <c r="O98" s="9" t="s">
        <v>279</v>
      </c>
      <c r="P98" s="9" t="s">
        <v>280</v>
      </c>
      <c r="Q98" s="9" t="s">
        <v>281</v>
      </c>
      <c r="R98" s="25">
        <v>45428.0</v>
      </c>
      <c r="S98" s="13">
        <f t="shared" si="1"/>
        <v>2</v>
      </c>
      <c r="T98" s="9" t="s">
        <v>181</v>
      </c>
      <c r="U98" s="9"/>
      <c r="V98" s="9"/>
      <c r="W98" s="14"/>
      <c r="X98" s="9"/>
      <c r="Y98" s="14" t="s">
        <v>35</v>
      </c>
      <c r="Z98" s="15"/>
      <c r="AA98" s="15"/>
      <c r="AB98" s="15"/>
      <c r="AC98" s="15"/>
      <c r="AD98" s="15"/>
      <c r="AE98" s="15"/>
      <c r="AF98" s="15"/>
      <c r="AG98" s="15"/>
      <c r="AH98" s="15"/>
      <c r="AI98" s="15"/>
    </row>
    <row r="99" ht="15.75" hidden="1" customHeight="1">
      <c r="A99" s="16">
        <v>99.0</v>
      </c>
      <c r="B99" s="17" t="str">
        <f>IFERROR(__xludf.DUMMYFUNCTION("INDEX(IMPORTRANGE(""https://docs.google.com/spreadsheets/d/1S7deMHO2waboU9dywpXeKIDfCmjiuAc0HUIsFpaXQq8/edit?gid=0#gid=0"", ""Tracking Shipments - PPTCO!o:o""), MATCH(D99, IMPORTRANGE(""https://docs.google.com/spreadsheets/d/1S7deMHO2waboU9dywpXeKIDfCmjiu"&amp;"Ac0HUIsFpaXQq8/edit?gid=0#gid=0"", ""Tracking Shipments - PPTCO!p:p""), 0))"),"N/A")</f>
        <v>N/A</v>
      </c>
      <c r="C99" s="17"/>
      <c r="D99" s="17">
        <v>47452.0</v>
      </c>
      <c r="E99" s="17" t="s">
        <v>282</v>
      </c>
      <c r="F99" s="18" t="s">
        <v>68</v>
      </c>
      <c r="G99" s="17" t="s">
        <v>177</v>
      </c>
      <c r="H99" s="17" t="s">
        <v>150</v>
      </c>
      <c r="I99" s="17"/>
      <c r="J99" s="17"/>
      <c r="K99" s="17" t="s">
        <v>150</v>
      </c>
      <c r="L99" s="17" t="s">
        <v>29</v>
      </c>
      <c r="M99" s="27">
        <v>45431.0</v>
      </c>
      <c r="N99" s="18">
        <v>52024.0</v>
      </c>
      <c r="O99" s="18" t="s">
        <v>283</v>
      </c>
      <c r="P99" s="18" t="s">
        <v>284</v>
      </c>
      <c r="Q99" s="18" t="s">
        <v>285</v>
      </c>
      <c r="R99" s="27">
        <v>45456.0</v>
      </c>
      <c r="S99" s="22">
        <f t="shared" si="1"/>
        <v>25</v>
      </c>
      <c r="T99" s="18" t="s">
        <v>38</v>
      </c>
      <c r="U99" s="18"/>
      <c r="V99" s="18"/>
      <c r="W99" s="18"/>
      <c r="X99" s="17"/>
      <c r="Y99" s="18" t="s">
        <v>35</v>
      </c>
      <c r="Z99" s="24"/>
      <c r="AA99" s="24"/>
      <c r="AB99" s="24"/>
      <c r="AC99" s="24"/>
      <c r="AD99" s="24"/>
      <c r="AE99" s="24"/>
      <c r="AF99" s="24"/>
      <c r="AG99" s="24"/>
      <c r="AH99" s="24"/>
      <c r="AI99" s="24"/>
    </row>
    <row r="100" ht="18.75" hidden="1" customHeight="1">
      <c r="A100" s="8">
        <v>100.0</v>
      </c>
      <c r="B100" s="9">
        <f>IFERROR(__xludf.DUMMYFUNCTION("INDEX(IMPORTRANGE(""https://docs.google.com/spreadsheets/d/1S7deMHO2waboU9dywpXeKIDfCmjiuAc0HUIsFpaXQq8/edit?gid=0#gid=0"", ""Tracking Shipments - PPTCO!o:o""), MATCH(D100, IMPORTRANGE(""https://docs.google.com/spreadsheets/d/1S7deMHO2waboU9dywpXeKIDfCmji"&amp;"uAc0HUIsFpaXQq8/edit?gid=0#gid=0"", ""Tracking Shipments - PPTCO!p:p""), 0))"),2400005.0)</f>
        <v>2400005</v>
      </c>
      <c r="C100" s="9"/>
      <c r="D100" s="9">
        <v>97123.0</v>
      </c>
      <c r="E100" s="9" t="s">
        <v>286</v>
      </c>
      <c r="F100" s="9" t="s">
        <v>81</v>
      </c>
      <c r="G100" s="9" t="s">
        <v>252</v>
      </c>
      <c r="H100" s="9" t="s">
        <v>150</v>
      </c>
      <c r="I100" s="9"/>
      <c r="J100" s="9"/>
      <c r="K100" s="9" t="s">
        <v>150</v>
      </c>
      <c r="L100" s="9" t="s">
        <v>29</v>
      </c>
      <c r="M100" s="25">
        <v>45432.0</v>
      </c>
      <c r="N100" s="14">
        <v>52024.0</v>
      </c>
      <c r="O100" s="14" t="s">
        <v>287</v>
      </c>
      <c r="P100" s="14" t="s">
        <v>288</v>
      </c>
      <c r="Q100" s="14" t="s">
        <v>289</v>
      </c>
      <c r="R100" s="36">
        <v>45445.0</v>
      </c>
      <c r="S100" s="13">
        <f t="shared" si="1"/>
        <v>13</v>
      </c>
      <c r="T100" s="9" t="s">
        <v>181</v>
      </c>
      <c r="U100" s="14"/>
      <c r="V100" s="14"/>
      <c r="W100" s="8"/>
      <c r="X100" s="9"/>
      <c r="Y100" s="14" t="s">
        <v>35</v>
      </c>
      <c r="Z100" s="15"/>
      <c r="AA100" s="15"/>
      <c r="AB100" s="15"/>
      <c r="AC100" s="15"/>
      <c r="AD100" s="15"/>
      <c r="AE100" s="15"/>
      <c r="AF100" s="15"/>
      <c r="AG100" s="15"/>
      <c r="AH100" s="15"/>
      <c r="AI100" s="15"/>
    </row>
    <row r="101" ht="15.75" hidden="1" customHeight="1">
      <c r="A101" s="16">
        <v>101.0</v>
      </c>
      <c r="B101" s="17" t="str">
        <f>IFERROR(__xludf.DUMMYFUNCTION("INDEX(IMPORTRANGE(""https://docs.google.com/spreadsheets/d/1S7deMHO2waboU9dywpXeKIDfCmjiuAc0HUIsFpaXQq8/edit?gid=0#gid=0"", ""Tracking Shipments - PPTCO!o:o""), MATCH(D101, IMPORTRANGE(""https://docs.google.com/spreadsheets/d/1S7deMHO2waboU9dywpXeKIDfCmji"&amp;"uAc0HUIsFpaXQq8/edit?gid=0#gid=0"", ""Tracking Shipments - PPTCO!p:p""), 0))"),"PPT-101")</f>
        <v>PPT-101</v>
      </c>
      <c r="C101" s="18"/>
      <c r="D101" s="18">
        <v>100465.0</v>
      </c>
      <c r="E101" s="18" t="s">
        <v>290</v>
      </c>
      <c r="F101" s="18" t="s">
        <v>222</v>
      </c>
      <c r="G101" s="17" t="s">
        <v>177</v>
      </c>
      <c r="H101" s="17" t="s">
        <v>150</v>
      </c>
      <c r="I101" s="17"/>
      <c r="J101" s="17"/>
      <c r="K101" s="17" t="s">
        <v>150</v>
      </c>
      <c r="L101" s="17" t="s">
        <v>29</v>
      </c>
      <c r="M101" s="27">
        <v>45437.0</v>
      </c>
      <c r="N101" s="18">
        <v>52024.0</v>
      </c>
      <c r="O101" s="18" t="s">
        <v>291</v>
      </c>
      <c r="P101" s="18" t="s">
        <v>292</v>
      </c>
      <c r="Q101" s="18" t="s">
        <v>293</v>
      </c>
      <c r="R101" s="35">
        <v>45476.0</v>
      </c>
      <c r="S101" s="22">
        <f t="shared" si="1"/>
        <v>39</v>
      </c>
      <c r="T101" s="18" t="s">
        <v>38</v>
      </c>
      <c r="U101" s="18"/>
      <c r="V101" s="18"/>
      <c r="W101" s="18" t="s">
        <v>28</v>
      </c>
      <c r="X101" s="17"/>
      <c r="Y101" s="18" t="s">
        <v>35</v>
      </c>
      <c r="Z101" s="24"/>
      <c r="AA101" s="24"/>
      <c r="AB101" s="24"/>
      <c r="AC101" s="24"/>
      <c r="AD101" s="24"/>
      <c r="AE101" s="24"/>
      <c r="AF101" s="24"/>
      <c r="AG101" s="24"/>
      <c r="AH101" s="24"/>
      <c r="AI101" s="24"/>
    </row>
    <row r="102" ht="15.75" hidden="1" customHeight="1">
      <c r="A102" s="8">
        <v>102.0</v>
      </c>
      <c r="B102" s="9" t="str">
        <f>IFERROR(__xludf.DUMMYFUNCTION("INDEX(IMPORTRANGE(""https://docs.google.com/spreadsheets/d/1S7deMHO2waboU9dywpXeKIDfCmjiuAc0HUIsFpaXQq8/edit?gid=0#gid=0"", ""Tracking Shipments - PPTCO!o:o""), MATCH(D102, IMPORTRANGE(""https://docs.google.com/spreadsheets/d/1S7deMHO2waboU9dywpXeKIDfCmji"&amp;"uAc0HUIsFpaXQq8/edit?gid=0#gid=0"", ""Tracking Shipments - PPTCO!p:p""), 0))"),"PPT-116")</f>
        <v>PPT-116</v>
      </c>
      <c r="C102" s="9"/>
      <c r="D102" s="9">
        <v>100404.0</v>
      </c>
      <c r="E102" s="9" t="s">
        <v>294</v>
      </c>
      <c r="F102" s="9" t="s">
        <v>40</v>
      </c>
      <c r="G102" s="9" t="s">
        <v>177</v>
      </c>
      <c r="H102" s="9" t="s">
        <v>150</v>
      </c>
      <c r="I102" s="9"/>
      <c r="J102" s="9"/>
      <c r="K102" s="9" t="s">
        <v>150</v>
      </c>
      <c r="L102" s="9" t="s">
        <v>29</v>
      </c>
      <c r="M102" s="25">
        <v>45438.0</v>
      </c>
      <c r="N102" s="9">
        <v>42024.0</v>
      </c>
      <c r="O102" s="9" t="s">
        <v>295</v>
      </c>
      <c r="P102" s="9" t="s">
        <v>296</v>
      </c>
      <c r="Q102" s="9" t="s">
        <v>297</v>
      </c>
      <c r="R102" s="36">
        <v>45449.0</v>
      </c>
      <c r="S102" s="13">
        <f t="shared" si="1"/>
        <v>11</v>
      </c>
      <c r="T102" s="9" t="s">
        <v>181</v>
      </c>
      <c r="U102" s="9"/>
      <c r="V102" s="9"/>
      <c r="W102" s="14"/>
      <c r="X102" s="14" t="s">
        <v>298</v>
      </c>
      <c r="Y102" s="14" t="s">
        <v>172</v>
      </c>
      <c r="Z102" s="15"/>
      <c r="AA102" s="15"/>
      <c r="AB102" s="15"/>
      <c r="AC102" s="15"/>
      <c r="AD102" s="15"/>
      <c r="AE102" s="15"/>
      <c r="AF102" s="15"/>
      <c r="AG102" s="15"/>
      <c r="AH102" s="15"/>
      <c r="AI102" s="15"/>
    </row>
    <row r="103" ht="15.75" hidden="1" customHeight="1">
      <c r="A103" s="16">
        <v>103.0</v>
      </c>
      <c r="B103" s="17" t="str">
        <f>IFERROR(__xludf.DUMMYFUNCTION("INDEX(IMPORTRANGE(""https://docs.google.com/spreadsheets/d/1S7deMHO2waboU9dywpXeKIDfCmjiuAc0HUIsFpaXQq8/edit?gid=0#gid=0"", ""Tracking Shipments - PPTCO!o:o""), MATCH(D103, IMPORTRANGE(""https://docs.google.com/spreadsheets/d/1S7deMHO2waboU9dywpXeKIDfCmji"&amp;"uAc0HUIsFpaXQq8/edit?gid=0#gid=0"", ""Tracking Shipments - PPTCO!p:p""), 0))"),"PPT-41")</f>
        <v>PPT-41</v>
      </c>
      <c r="C103" s="17"/>
      <c r="D103" s="17">
        <v>102480.0</v>
      </c>
      <c r="E103" s="17" t="s">
        <v>299</v>
      </c>
      <c r="F103" s="18" t="s">
        <v>122</v>
      </c>
      <c r="G103" s="17" t="s">
        <v>252</v>
      </c>
      <c r="H103" s="17" t="s">
        <v>150</v>
      </c>
      <c r="I103" s="17"/>
      <c r="J103" s="17"/>
      <c r="K103" s="17" t="s">
        <v>150</v>
      </c>
      <c r="L103" s="17" t="s">
        <v>29</v>
      </c>
      <c r="M103" s="27">
        <v>45435.0</v>
      </c>
      <c r="N103" s="17">
        <v>42024.0</v>
      </c>
      <c r="O103" s="17" t="s">
        <v>300</v>
      </c>
      <c r="P103" s="17" t="s">
        <v>301</v>
      </c>
      <c r="Q103" s="17" t="s">
        <v>302</v>
      </c>
      <c r="R103" s="27">
        <v>45439.0</v>
      </c>
      <c r="S103" s="22">
        <f t="shared" si="1"/>
        <v>4</v>
      </c>
      <c r="T103" s="17" t="s">
        <v>181</v>
      </c>
      <c r="U103" s="17"/>
      <c r="V103" s="17"/>
      <c r="W103" s="16"/>
      <c r="X103" s="18" t="s">
        <v>303</v>
      </c>
      <c r="Y103" s="18" t="s">
        <v>172</v>
      </c>
      <c r="Z103" s="24"/>
      <c r="AA103" s="24"/>
      <c r="AB103" s="24"/>
      <c r="AC103" s="24"/>
      <c r="AD103" s="24"/>
      <c r="AE103" s="24"/>
      <c r="AF103" s="24"/>
      <c r="AG103" s="24"/>
      <c r="AH103" s="24"/>
      <c r="AI103" s="24"/>
    </row>
    <row r="104" ht="15.75" hidden="1" customHeight="1">
      <c r="A104" s="8">
        <v>104.0</v>
      </c>
      <c r="B104" s="14" t="s">
        <v>148</v>
      </c>
      <c r="C104" s="14"/>
      <c r="D104" s="14">
        <v>52339.0</v>
      </c>
      <c r="E104" s="9" t="s">
        <v>304</v>
      </c>
      <c r="F104" s="9" t="s">
        <v>169</v>
      </c>
      <c r="G104" s="9" t="s">
        <v>241</v>
      </c>
      <c r="H104" s="9" t="s">
        <v>150</v>
      </c>
      <c r="I104" s="9"/>
      <c r="J104" s="9"/>
      <c r="K104" s="9" t="s">
        <v>150</v>
      </c>
      <c r="L104" s="9" t="s">
        <v>29</v>
      </c>
      <c r="M104" s="30">
        <v>45446.0</v>
      </c>
      <c r="N104" s="14">
        <v>52024.0</v>
      </c>
      <c r="O104" s="14">
        <v>28.0</v>
      </c>
      <c r="P104" s="14">
        <v>879.0</v>
      </c>
      <c r="Q104" s="14">
        <v>185.0</v>
      </c>
      <c r="R104" s="36">
        <v>45448.0</v>
      </c>
      <c r="S104" s="13">
        <f t="shared" si="1"/>
        <v>2</v>
      </c>
      <c r="T104" s="14" t="s">
        <v>38</v>
      </c>
      <c r="U104" s="14"/>
      <c r="V104" s="14"/>
      <c r="W104" s="14" t="s">
        <v>28</v>
      </c>
      <c r="X104" s="9"/>
      <c r="Y104" s="14" t="s">
        <v>35</v>
      </c>
      <c r="Z104" s="15"/>
      <c r="AA104" s="15"/>
      <c r="AB104" s="15"/>
      <c r="AC104" s="15"/>
      <c r="AD104" s="15"/>
      <c r="AE104" s="15"/>
      <c r="AF104" s="15"/>
      <c r="AG104" s="15"/>
      <c r="AH104" s="15"/>
      <c r="AI104" s="15"/>
    </row>
    <row r="105" ht="15.75" hidden="1" customHeight="1">
      <c r="A105" s="16">
        <v>105.0</v>
      </c>
      <c r="B105" s="17" t="str">
        <f>IFERROR(__xludf.DUMMYFUNCTION("INDEX(IMPORTRANGE(""https://docs.google.com/spreadsheets/d/1S7deMHO2waboU9dywpXeKIDfCmjiuAc0HUIsFpaXQq8/edit?gid=0#gid=0"", ""Tracking Shipments - PPTCO!o:o""), MATCH(D105, IMPORTRANGE(""https://docs.google.com/spreadsheets/d/1S7deMHO2waboU9dywpXeKIDfCmji"&amp;"uAc0HUIsFpaXQq8/edit?gid=0#gid=0"", ""Tracking Shipments - PPTCO!p:p""), 0))"),"PPT-117")</f>
        <v>PPT-117</v>
      </c>
      <c r="C105" s="18"/>
      <c r="D105" s="18">
        <v>48234.0</v>
      </c>
      <c r="E105" s="17" t="s">
        <v>305</v>
      </c>
      <c r="F105" s="18" t="s">
        <v>59</v>
      </c>
      <c r="G105" s="18" t="s">
        <v>177</v>
      </c>
      <c r="H105" s="17" t="s">
        <v>150</v>
      </c>
      <c r="I105" s="17"/>
      <c r="J105" s="17"/>
      <c r="K105" s="17" t="s">
        <v>150</v>
      </c>
      <c r="L105" s="17" t="s">
        <v>29</v>
      </c>
      <c r="M105" s="27">
        <v>45440.0</v>
      </c>
      <c r="N105" s="18">
        <v>52024.0</v>
      </c>
      <c r="O105" s="18">
        <v>190.0</v>
      </c>
      <c r="P105" s="18">
        <v>897.0</v>
      </c>
      <c r="Q105" s="18">
        <v>188.0</v>
      </c>
      <c r="R105" s="35">
        <v>45455.0</v>
      </c>
      <c r="S105" s="22">
        <f t="shared" si="1"/>
        <v>15</v>
      </c>
      <c r="T105" s="18" t="s">
        <v>38</v>
      </c>
      <c r="U105" s="18"/>
      <c r="V105" s="18"/>
      <c r="W105" s="18" t="s">
        <v>181</v>
      </c>
      <c r="X105" s="17"/>
      <c r="Y105" s="18" t="s">
        <v>35</v>
      </c>
      <c r="Z105" s="24"/>
      <c r="AA105" s="24"/>
      <c r="AB105" s="24"/>
      <c r="AC105" s="24"/>
      <c r="AD105" s="24"/>
      <c r="AE105" s="24"/>
      <c r="AF105" s="24"/>
      <c r="AG105" s="24"/>
      <c r="AH105" s="24"/>
      <c r="AI105" s="24"/>
    </row>
    <row r="106" ht="15.75" hidden="1" customHeight="1">
      <c r="A106" s="8">
        <v>106.0</v>
      </c>
      <c r="B106" s="9" t="str">
        <f>IFERROR(__xludf.DUMMYFUNCTION("INDEX(IMPORTRANGE(""https://docs.google.com/spreadsheets/d/1S7deMHO2waboU9dywpXeKIDfCmjiuAc0HUIsFpaXQq8/edit?gid=0#gid=0"", ""Tracking Shipments - PPTCO!o:o""), MATCH(D106, IMPORTRANGE(""https://docs.google.com/spreadsheets/d/1S7deMHO2waboU9dywpXeKIDfCmji"&amp;"uAc0HUIsFpaXQq8/edit?gid=0#gid=0"", ""Tracking Shipments - PPTCO!p:p""), 0))"),"PPT-105")</f>
        <v>PPT-105</v>
      </c>
      <c r="C106" s="14"/>
      <c r="D106" s="14">
        <v>55130.0</v>
      </c>
      <c r="E106" s="14" t="s">
        <v>306</v>
      </c>
      <c r="F106" s="9" t="s">
        <v>37</v>
      </c>
      <c r="G106" s="14" t="s">
        <v>177</v>
      </c>
      <c r="H106" s="14" t="s">
        <v>150</v>
      </c>
      <c r="I106" s="9"/>
      <c r="J106" s="9"/>
      <c r="K106" s="9" t="s">
        <v>150</v>
      </c>
      <c r="L106" s="14" t="s">
        <v>29</v>
      </c>
      <c r="M106" s="30">
        <v>45446.0</v>
      </c>
      <c r="N106" s="14">
        <v>52024.0</v>
      </c>
      <c r="O106" s="14">
        <v>191.0</v>
      </c>
      <c r="P106" s="14">
        <v>924.0</v>
      </c>
      <c r="Q106" s="14">
        <v>196.0</v>
      </c>
      <c r="R106" s="25">
        <v>45468.0</v>
      </c>
      <c r="S106" s="13">
        <f t="shared" si="1"/>
        <v>22</v>
      </c>
      <c r="T106" s="14" t="s">
        <v>181</v>
      </c>
      <c r="U106" s="14"/>
      <c r="V106" s="14"/>
      <c r="W106" s="14" t="s">
        <v>181</v>
      </c>
      <c r="X106" s="14"/>
      <c r="Y106" s="14" t="s">
        <v>35</v>
      </c>
      <c r="Z106" s="15"/>
      <c r="AA106" s="15"/>
      <c r="AB106" s="15"/>
      <c r="AC106" s="15"/>
      <c r="AD106" s="15"/>
      <c r="AE106" s="15"/>
      <c r="AF106" s="15"/>
      <c r="AG106" s="15"/>
      <c r="AH106" s="15"/>
      <c r="AI106" s="15"/>
    </row>
    <row r="107" ht="15.75" hidden="1" customHeight="1">
      <c r="A107" s="16">
        <v>107.0</v>
      </c>
      <c r="B107" s="17" t="str">
        <f>IFERROR(__xludf.DUMMYFUNCTION("INDEX(IMPORTRANGE(""https://docs.google.com/spreadsheets/d/1S7deMHO2waboU9dywpXeKIDfCmjiuAc0HUIsFpaXQq8/edit?gid=0#gid=0"", ""Tracking Shipments - PPTCO!o:o""), MATCH(D107, IMPORTRANGE(""https://docs.google.com/spreadsheets/d/1S7deMHO2waboU9dywpXeKIDfCmji"&amp;"uAc0HUIsFpaXQq8/edit?gid=0#gid=0"", ""Tracking Shipments - PPTCO!p:p""), 0))"),"GARDEN BITES")</f>
        <v>GARDEN BITES</v>
      </c>
      <c r="C107" s="18"/>
      <c r="D107" s="18">
        <v>56726.0</v>
      </c>
      <c r="E107" s="18" t="s">
        <v>307</v>
      </c>
      <c r="F107" s="18" t="s">
        <v>40</v>
      </c>
      <c r="G107" s="18" t="s">
        <v>177</v>
      </c>
      <c r="H107" s="18" t="s">
        <v>150</v>
      </c>
      <c r="I107" s="17"/>
      <c r="J107" s="17"/>
      <c r="K107" s="17" t="s">
        <v>150</v>
      </c>
      <c r="L107" s="18" t="s">
        <v>29</v>
      </c>
      <c r="M107" s="19">
        <v>45446.0</v>
      </c>
      <c r="N107" s="18">
        <v>52024.0</v>
      </c>
      <c r="O107" s="18">
        <v>202.0</v>
      </c>
      <c r="P107" s="18">
        <v>1015.0</v>
      </c>
      <c r="Q107" s="18">
        <v>200.0</v>
      </c>
      <c r="R107" s="42">
        <v>45479.0</v>
      </c>
      <c r="S107" s="22">
        <f t="shared" si="1"/>
        <v>33</v>
      </c>
      <c r="T107" s="18" t="s">
        <v>38</v>
      </c>
      <c r="U107" s="18"/>
      <c r="V107" s="18"/>
      <c r="W107" s="16"/>
      <c r="X107" s="18" t="s">
        <v>308</v>
      </c>
      <c r="Y107" s="18" t="s">
        <v>35</v>
      </c>
      <c r="Z107" s="24"/>
      <c r="AA107" s="24"/>
      <c r="AB107" s="24"/>
      <c r="AC107" s="24"/>
      <c r="AD107" s="24"/>
      <c r="AE107" s="24"/>
      <c r="AF107" s="24"/>
      <c r="AG107" s="24"/>
      <c r="AH107" s="24"/>
      <c r="AI107" s="24"/>
    </row>
    <row r="108" ht="15.75" hidden="1" customHeight="1">
      <c r="A108" s="8">
        <v>108.0</v>
      </c>
      <c r="B108" s="9" t="str">
        <f>IFERROR(__xludf.DUMMYFUNCTION("INDEX(IMPORTRANGE(""https://docs.google.com/spreadsheets/d/1S7deMHO2waboU9dywpXeKIDfCmjiuAc0HUIsFpaXQq8/edit?gid=0#gid=0"", ""Tracking Shipments - PPTCO!o:o""), MATCH(D108, IMPORTRANGE(""https://docs.google.com/spreadsheets/d/1S7deMHO2waboU9dywpXeKIDfCmji"&amp;"uAc0HUIsFpaXQq8/edit?gid=0#gid=0"", ""Tracking Shipments - PPTCO!p:p""), 0))"),"PPT-98")</f>
        <v>PPT-98</v>
      </c>
      <c r="C108" s="14"/>
      <c r="D108" s="14">
        <v>57232.0</v>
      </c>
      <c r="E108" s="14" t="s">
        <v>309</v>
      </c>
      <c r="F108" s="9" t="s">
        <v>169</v>
      </c>
      <c r="G108" s="14" t="s">
        <v>177</v>
      </c>
      <c r="H108" s="14" t="s">
        <v>150</v>
      </c>
      <c r="I108" s="9"/>
      <c r="J108" s="9"/>
      <c r="K108" s="9" t="s">
        <v>150</v>
      </c>
      <c r="L108" s="14" t="s">
        <v>29</v>
      </c>
      <c r="M108" s="30">
        <v>45451.0</v>
      </c>
      <c r="N108" s="14">
        <v>52024.0</v>
      </c>
      <c r="O108" s="14">
        <v>193.0</v>
      </c>
      <c r="P108" s="14">
        <v>909.0</v>
      </c>
      <c r="Q108" s="14">
        <v>195.0</v>
      </c>
      <c r="R108" s="25">
        <v>45465.0</v>
      </c>
      <c r="S108" s="13">
        <f t="shared" si="1"/>
        <v>14</v>
      </c>
      <c r="T108" s="14" t="s">
        <v>38</v>
      </c>
      <c r="U108" s="14"/>
      <c r="V108" s="14"/>
      <c r="W108" s="14"/>
      <c r="X108" s="14"/>
      <c r="Y108" s="14" t="s">
        <v>35</v>
      </c>
      <c r="Z108" s="15"/>
      <c r="AA108" s="15"/>
      <c r="AB108" s="15"/>
      <c r="AC108" s="15"/>
      <c r="AD108" s="15"/>
      <c r="AE108" s="15"/>
      <c r="AF108" s="15"/>
      <c r="AG108" s="15"/>
      <c r="AH108" s="15"/>
      <c r="AI108" s="15"/>
    </row>
    <row r="109" ht="15.75" hidden="1" customHeight="1">
      <c r="A109" s="16">
        <v>109.0</v>
      </c>
      <c r="B109" s="17" t="str">
        <f>IFERROR(__xludf.DUMMYFUNCTION("INDEX(IMPORTRANGE(""https://docs.google.com/spreadsheets/d/1S7deMHO2waboU9dywpXeKIDfCmjiuAc0HUIsFpaXQq8/edit?gid=0#gid=0"", ""Tracking Shipments - PPTCO!o:o""), MATCH(D109, IMPORTRANGE(""https://docs.google.com/spreadsheets/d/1S7deMHO2waboU9dywpXeKIDfCmji"&amp;"uAc0HUIsFpaXQq8/edit?gid=0#gid=0"", ""Tracking Shipments - PPTCO!p:p""), 0))"),"PPT-111")</f>
        <v>PPT-111</v>
      </c>
      <c r="C109" s="18"/>
      <c r="D109" s="18">
        <v>57019.0</v>
      </c>
      <c r="E109" s="18" t="s">
        <v>310</v>
      </c>
      <c r="F109" s="18" t="s">
        <v>54</v>
      </c>
      <c r="G109" s="18" t="s">
        <v>177</v>
      </c>
      <c r="H109" s="18" t="s">
        <v>150</v>
      </c>
      <c r="I109" s="17"/>
      <c r="J109" s="17"/>
      <c r="K109" s="17" t="s">
        <v>150</v>
      </c>
      <c r="L109" s="18"/>
      <c r="M109" s="27">
        <v>45458.0</v>
      </c>
      <c r="N109" s="18">
        <v>52024.0</v>
      </c>
      <c r="O109" s="18">
        <v>192.0</v>
      </c>
      <c r="P109" s="18">
        <v>1004.0</v>
      </c>
      <c r="Q109" s="18">
        <v>197.0</v>
      </c>
      <c r="R109" s="27">
        <v>45470.0</v>
      </c>
      <c r="S109" s="22">
        <f t="shared" si="1"/>
        <v>12</v>
      </c>
      <c r="T109" s="18" t="s">
        <v>38</v>
      </c>
      <c r="U109" s="18"/>
      <c r="V109" s="18"/>
      <c r="W109" s="18" t="s">
        <v>181</v>
      </c>
      <c r="X109" s="18"/>
      <c r="Y109" s="18" t="s">
        <v>35</v>
      </c>
      <c r="Z109" s="24"/>
      <c r="AA109" s="24"/>
      <c r="AB109" s="24"/>
      <c r="AC109" s="24"/>
      <c r="AD109" s="24"/>
      <c r="AE109" s="24"/>
      <c r="AF109" s="24"/>
      <c r="AG109" s="24"/>
      <c r="AH109" s="24"/>
      <c r="AI109" s="24"/>
    </row>
    <row r="110" ht="15.75" hidden="1" customHeight="1">
      <c r="A110" s="8">
        <v>110.0</v>
      </c>
      <c r="B110" s="9" t="str">
        <f>IFERROR(__xludf.DUMMYFUNCTION("INDEX(IMPORTRANGE(""https://docs.google.com/spreadsheets/d/1S7deMHO2waboU9dywpXeKIDfCmjiuAc0HUIsFpaXQq8/edit?gid=0#gid=0"", ""Tracking Shipments - PPTCO!o:o""), MATCH(D110, IMPORTRANGE(""https://docs.google.com/spreadsheets/d/1S7deMHO2waboU9dywpXeKIDfCmji"&amp;"uAc0HUIsFpaXQq8/edit?gid=0#gid=0"", ""Tracking Shipments - PPTCO!p:p""), 0))"),"SOLID GOLD")</f>
        <v>SOLID GOLD</v>
      </c>
      <c r="C110" s="9"/>
      <c r="D110" s="9">
        <v>115103.0</v>
      </c>
      <c r="E110" s="9" t="s">
        <v>311</v>
      </c>
      <c r="F110" s="9" t="s">
        <v>312</v>
      </c>
      <c r="G110" s="9" t="s">
        <v>177</v>
      </c>
      <c r="H110" s="9" t="s">
        <v>150</v>
      </c>
      <c r="I110" s="9"/>
      <c r="J110" s="9"/>
      <c r="K110" s="9" t="s">
        <v>150</v>
      </c>
      <c r="L110" s="9" t="s">
        <v>29</v>
      </c>
      <c r="M110" s="30">
        <v>45451.0</v>
      </c>
      <c r="N110" s="14">
        <v>102024.0</v>
      </c>
      <c r="O110" s="9">
        <v>254.0</v>
      </c>
      <c r="P110" s="9">
        <v>1311.0</v>
      </c>
      <c r="Q110" s="9">
        <v>260.0</v>
      </c>
      <c r="R110" s="41">
        <v>45516.0</v>
      </c>
      <c r="S110" s="13">
        <f t="shared" si="1"/>
        <v>65</v>
      </c>
      <c r="T110" s="9" t="s">
        <v>38</v>
      </c>
      <c r="U110" s="9"/>
      <c r="V110" s="9"/>
      <c r="W110" s="8"/>
      <c r="X110" s="14" t="s">
        <v>246</v>
      </c>
      <c r="Y110" s="14" t="s">
        <v>35</v>
      </c>
      <c r="Z110" s="15"/>
      <c r="AA110" s="15"/>
      <c r="AB110" s="15"/>
      <c r="AC110" s="15"/>
      <c r="AD110" s="15"/>
      <c r="AE110" s="15"/>
      <c r="AF110" s="15"/>
      <c r="AG110" s="15"/>
      <c r="AH110" s="15"/>
      <c r="AI110" s="15"/>
    </row>
    <row r="111" ht="15.75" hidden="1" customHeight="1">
      <c r="A111" s="16">
        <v>111.0</v>
      </c>
      <c r="B111" s="17" t="str">
        <f>IFERROR(__xludf.DUMMYFUNCTION("INDEX(IMPORTRANGE(""https://docs.google.com/spreadsheets/d/1S7deMHO2waboU9dywpXeKIDfCmjiuAc0HUIsFpaXQq8/edit?gid=0#gid=0"", ""Tracking Shipments - PPTCO!o:o""), MATCH(D111, IMPORTRANGE(""https://docs.google.com/spreadsheets/d/1S7deMHO2waboU9dywpXeKIDfCmji"&amp;"uAc0HUIsFpaXQq8/edit?gid=0#gid=0"", ""Tracking Shipments - PPTCO!p:p""), 0))"),"#N/A")</f>
        <v>#N/A</v>
      </c>
      <c r="C111" s="18"/>
      <c r="D111" s="18">
        <v>58081.0</v>
      </c>
      <c r="E111" s="18" t="s">
        <v>313</v>
      </c>
      <c r="F111" s="18" t="s">
        <v>266</v>
      </c>
      <c r="G111" s="18" t="s">
        <v>241</v>
      </c>
      <c r="H111" s="18" t="s">
        <v>150</v>
      </c>
      <c r="I111" s="17"/>
      <c r="J111" s="17"/>
      <c r="K111" s="17" t="s">
        <v>150</v>
      </c>
      <c r="L111" s="18" t="s">
        <v>29</v>
      </c>
      <c r="M111" s="19">
        <v>45449.0</v>
      </c>
      <c r="N111" s="18">
        <v>72024.0</v>
      </c>
      <c r="O111" s="18" t="s">
        <v>314</v>
      </c>
      <c r="P111" s="18" t="s">
        <v>315</v>
      </c>
      <c r="Q111" s="18" t="s">
        <v>316</v>
      </c>
      <c r="R111" s="27">
        <v>45498.0</v>
      </c>
      <c r="S111" s="22">
        <f t="shared" si="1"/>
        <v>49</v>
      </c>
      <c r="T111" s="18" t="s">
        <v>181</v>
      </c>
      <c r="U111" s="18"/>
      <c r="V111" s="18"/>
      <c r="W111" s="18" t="s">
        <v>28</v>
      </c>
      <c r="X111" s="18"/>
      <c r="Y111" s="18" t="s">
        <v>172</v>
      </c>
      <c r="Z111" s="24"/>
      <c r="AA111" s="24"/>
      <c r="AB111" s="24"/>
      <c r="AC111" s="24"/>
      <c r="AD111" s="24"/>
      <c r="AE111" s="24"/>
      <c r="AF111" s="24"/>
      <c r="AG111" s="24"/>
      <c r="AH111" s="24"/>
      <c r="AI111" s="24"/>
    </row>
    <row r="112" ht="15.75" hidden="1" customHeight="1">
      <c r="A112" s="8">
        <v>112.0</v>
      </c>
      <c r="B112" s="14" t="s">
        <v>148</v>
      </c>
      <c r="C112" s="14"/>
      <c r="D112" s="14">
        <v>113739.0</v>
      </c>
      <c r="E112" s="14" t="s">
        <v>317</v>
      </c>
      <c r="F112" s="9" t="s">
        <v>318</v>
      </c>
      <c r="G112" s="14" t="s">
        <v>241</v>
      </c>
      <c r="H112" s="14" t="s">
        <v>150</v>
      </c>
      <c r="I112" s="9"/>
      <c r="J112" s="9"/>
      <c r="K112" s="9" t="s">
        <v>150</v>
      </c>
      <c r="L112" s="14" t="s">
        <v>29</v>
      </c>
      <c r="M112" s="30">
        <v>45453.0</v>
      </c>
      <c r="N112" s="14">
        <v>52024.0</v>
      </c>
      <c r="O112" s="14">
        <v>203.0</v>
      </c>
      <c r="P112" s="14">
        <v>1098.0</v>
      </c>
      <c r="Q112" s="14">
        <v>208.0</v>
      </c>
      <c r="R112" s="25">
        <v>45488.0</v>
      </c>
      <c r="S112" s="13">
        <f t="shared" si="1"/>
        <v>35</v>
      </c>
      <c r="T112" s="14" t="s">
        <v>181</v>
      </c>
      <c r="U112" s="14"/>
      <c r="V112" s="14"/>
      <c r="W112" s="14" t="s">
        <v>28</v>
      </c>
      <c r="X112" s="14"/>
      <c r="Y112" s="14" t="s">
        <v>172</v>
      </c>
      <c r="Z112" s="15"/>
      <c r="AA112" s="15"/>
      <c r="AB112" s="15"/>
      <c r="AC112" s="15"/>
      <c r="AD112" s="15"/>
      <c r="AE112" s="15"/>
      <c r="AF112" s="15"/>
      <c r="AG112" s="15"/>
      <c r="AH112" s="15"/>
      <c r="AI112" s="15"/>
    </row>
    <row r="113" ht="15.75" hidden="1" customHeight="1">
      <c r="A113" s="16">
        <v>113.0</v>
      </c>
      <c r="B113" s="17" t="str">
        <f>IFERROR(__xludf.DUMMYFUNCTION("INDEX(IMPORTRANGE(""https://docs.google.com/spreadsheets/d/1S7deMHO2waboU9dywpXeKIDfCmjiuAc0HUIsFpaXQq8/edit?gid=0#gid=0"", ""Tracking Shipments - PPTCO!o:o""), MATCH(D113, IMPORTRANGE(""https://docs.google.com/spreadsheets/d/1S7deMHO2waboU9dywpXeKIDfCmji"&amp;"uAc0HUIsFpaXQq8/edit?gid=0#gid=0"", ""Tracking Shipments - PPTCO!p:p""), 0))"),"PPT-115")</f>
        <v>PPT-115</v>
      </c>
      <c r="C113" s="18"/>
      <c r="D113" s="18">
        <v>122204.0</v>
      </c>
      <c r="E113" s="18" t="s">
        <v>319</v>
      </c>
      <c r="F113" s="18" t="s">
        <v>59</v>
      </c>
      <c r="G113" s="18" t="s">
        <v>177</v>
      </c>
      <c r="H113" s="18" t="s">
        <v>150</v>
      </c>
      <c r="I113" s="17"/>
      <c r="J113" s="17"/>
      <c r="K113" s="17" t="s">
        <v>150</v>
      </c>
      <c r="L113" s="18" t="s">
        <v>29</v>
      </c>
      <c r="M113" s="27">
        <v>45463.0</v>
      </c>
      <c r="N113" s="18">
        <v>72024.0</v>
      </c>
      <c r="O113" s="18">
        <v>235.0</v>
      </c>
      <c r="P113" s="18">
        <v>1173.0</v>
      </c>
      <c r="Q113" s="18">
        <v>229.0</v>
      </c>
      <c r="R113" s="27">
        <v>45497.0</v>
      </c>
      <c r="S113" s="22">
        <f t="shared" si="1"/>
        <v>34</v>
      </c>
      <c r="T113" s="18" t="s">
        <v>38</v>
      </c>
      <c r="U113" s="18"/>
      <c r="V113" s="18"/>
      <c r="W113" s="23" t="s">
        <v>28</v>
      </c>
      <c r="X113" s="18"/>
      <c r="Y113" s="18" t="s">
        <v>172</v>
      </c>
      <c r="Z113" s="24"/>
      <c r="AA113" s="24"/>
      <c r="AB113" s="24"/>
      <c r="AC113" s="24"/>
      <c r="AD113" s="24"/>
      <c r="AE113" s="24"/>
      <c r="AF113" s="24"/>
      <c r="AG113" s="24"/>
      <c r="AH113" s="24"/>
      <c r="AI113" s="24"/>
    </row>
    <row r="114" ht="15.75" hidden="1" customHeight="1">
      <c r="A114" s="8">
        <v>114.0</v>
      </c>
      <c r="B114" s="9" t="str">
        <f>IFERROR(__xludf.DUMMYFUNCTION("INDEX(IMPORTRANGE(""https://docs.google.com/spreadsheets/d/1S7deMHO2waboU9dywpXeKIDfCmjiuAc0HUIsFpaXQq8/edit?gid=0#gid=0"", ""Tracking Shipments - PPTCO!o:o""), MATCH(D114, IMPORTRANGE(""https://docs.google.com/spreadsheets/d/1S7deMHO2waboU9dywpXeKIDfCmji"&amp;"uAc0HUIsFpaXQq8/edit?gid=0#gid=0"", ""Tracking Shipments - PPTCO!p:p""), 0))"),"PPT-94")</f>
        <v>PPT-94</v>
      </c>
      <c r="C114" s="9"/>
      <c r="D114" s="9">
        <v>61360.0</v>
      </c>
      <c r="E114" s="9" t="s">
        <v>320</v>
      </c>
      <c r="F114" s="9" t="s">
        <v>43</v>
      </c>
      <c r="G114" s="9" t="s">
        <v>177</v>
      </c>
      <c r="H114" s="9" t="s">
        <v>150</v>
      </c>
      <c r="I114" s="9"/>
      <c r="J114" s="9"/>
      <c r="K114" s="9" t="s">
        <v>150</v>
      </c>
      <c r="L114" s="9" t="s">
        <v>29</v>
      </c>
      <c r="M114" s="25">
        <v>45465.0</v>
      </c>
      <c r="N114" s="14" t="s">
        <v>211</v>
      </c>
      <c r="O114" s="9">
        <v>204.0</v>
      </c>
      <c r="P114" s="9">
        <v>1099.0</v>
      </c>
      <c r="Q114" s="9">
        <v>212.0</v>
      </c>
      <c r="R114" s="25">
        <v>45488.0</v>
      </c>
      <c r="S114" s="13">
        <f t="shared" si="1"/>
        <v>23</v>
      </c>
      <c r="T114" s="9" t="s">
        <v>38</v>
      </c>
      <c r="U114" s="9"/>
      <c r="V114" s="9"/>
      <c r="W114" s="14"/>
      <c r="X114" s="14"/>
      <c r="Y114" s="14" t="s">
        <v>35</v>
      </c>
      <c r="Z114" s="15"/>
      <c r="AA114" s="15"/>
      <c r="AB114" s="15"/>
      <c r="AC114" s="15"/>
      <c r="AD114" s="15"/>
      <c r="AE114" s="15"/>
      <c r="AF114" s="15"/>
      <c r="AG114" s="15"/>
      <c r="AH114" s="15"/>
      <c r="AI114" s="15"/>
    </row>
    <row r="115" ht="15.75" hidden="1" customHeight="1">
      <c r="A115" s="16">
        <v>115.0</v>
      </c>
      <c r="B115" s="17" t="str">
        <f>IFERROR(__xludf.DUMMYFUNCTION("INDEX(IMPORTRANGE(""https://docs.google.com/spreadsheets/d/1S7deMHO2waboU9dywpXeKIDfCmjiuAc0HUIsFpaXQq8/edit?gid=0#gid=0"", ""Tracking Shipments - PPTCO!o:o""), MATCH(D115, IMPORTRANGE(""https://docs.google.com/spreadsheets/d/1S7deMHO2waboU9dywpXeKIDfCmji"&amp;"uAc0HUIsFpaXQq8/edit?gid=0#gid=0"", ""Tracking Shipments - PPTCO!p:p""), 0))"),"PPT-91")</f>
        <v>PPT-91</v>
      </c>
      <c r="C115" s="18"/>
      <c r="D115" s="18">
        <v>63971.0</v>
      </c>
      <c r="E115" s="18" t="s">
        <v>321</v>
      </c>
      <c r="F115" s="18" t="s">
        <v>37</v>
      </c>
      <c r="G115" s="18" t="s">
        <v>177</v>
      </c>
      <c r="H115" s="18" t="s">
        <v>150</v>
      </c>
      <c r="I115" s="17"/>
      <c r="J115" s="17"/>
      <c r="K115" s="17" t="s">
        <v>150</v>
      </c>
      <c r="L115" s="18" t="s">
        <v>29</v>
      </c>
      <c r="M115" s="27">
        <v>45470.0</v>
      </c>
      <c r="N115" s="18">
        <v>72024.0</v>
      </c>
      <c r="O115" s="18">
        <v>205.0</v>
      </c>
      <c r="P115" s="18">
        <v>1100.0</v>
      </c>
      <c r="Q115" s="18">
        <v>209.0</v>
      </c>
      <c r="R115" s="27">
        <v>45488.0</v>
      </c>
      <c r="S115" s="22">
        <f t="shared" si="1"/>
        <v>18</v>
      </c>
      <c r="T115" s="18" t="s">
        <v>38</v>
      </c>
      <c r="U115" s="18"/>
      <c r="V115" s="18"/>
      <c r="W115" s="18" t="s">
        <v>28</v>
      </c>
      <c r="X115" s="18"/>
      <c r="Y115" s="18" t="s">
        <v>172</v>
      </c>
      <c r="Z115" s="24"/>
      <c r="AA115" s="24"/>
      <c r="AB115" s="24"/>
      <c r="AC115" s="24"/>
      <c r="AD115" s="24"/>
      <c r="AE115" s="24"/>
      <c r="AF115" s="24"/>
      <c r="AG115" s="24"/>
      <c r="AH115" s="24"/>
      <c r="AI115" s="24"/>
    </row>
    <row r="116" ht="15.75" hidden="1" customHeight="1">
      <c r="A116" s="8">
        <v>116.0</v>
      </c>
      <c r="B116" s="14" t="s">
        <v>148</v>
      </c>
      <c r="C116" s="14"/>
      <c r="D116" s="14">
        <v>127815.0</v>
      </c>
      <c r="E116" s="14" t="s">
        <v>322</v>
      </c>
      <c r="F116" s="9" t="s">
        <v>105</v>
      </c>
      <c r="G116" s="14" t="s">
        <v>177</v>
      </c>
      <c r="H116" s="14" t="s">
        <v>150</v>
      </c>
      <c r="I116" s="9"/>
      <c r="J116" s="9"/>
      <c r="K116" s="9" t="s">
        <v>150</v>
      </c>
      <c r="L116" s="14" t="s">
        <v>29</v>
      </c>
      <c r="M116" s="30">
        <v>45479.0</v>
      </c>
      <c r="N116" s="14">
        <v>72024.0</v>
      </c>
      <c r="O116" s="14">
        <v>234.0</v>
      </c>
      <c r="P116" s="14">
        <v>1166.0</v>
      </c>
      <c r="Q116" s="14">
        <v>239.0</v>
      </c>
      <c r="R116" s="25">
        <v>45502.0</v>
      </c>
      <c r="S116" s="13">
        <f t="shared" si="1"/>
        <v>23</v>
      </c>
      <c r="T116" s="14" t="s">
        <v>38</v>
      </c>
      <c r="U116" s="14"/>
      <c r="V116" s="14"/>
      <c r="W116" s="31" t="s">
        <v>28</v>
      </c>
      <c r="X116" s="14"/>
      <c r="Y116" s="14" t="s">
        <v>172</v>
      </c>
      <c r="Z116" s="15"/>
      <c r="AA116" s="15"/>
      <c r="AB116" s="15"/>
      <c r="AC116" s="15"/>
      <c r="AD116" s="15"/>
      <c r="AE116" s="15"/>
      <c r="AF116" s="15"/>
      <c r="AG116" s="15"/>
      <c r="AH116" s="15"/>
      <c r="AI116" s="15"/>
    </row>
    <row r="117" ht="15.75" hidden="1" customHeight="1">
      <c r="A117" s="16">
        <v>117.0</v>
      </c>
      <c r="B117" s="17" t="str">
        <f>IFERROR(__xludf.DUMMYFUNCTION("INDEX(IMPORTRANGE(""https://docs.google.com/spreadsheets/d/1S7deMHO2waboU9dywpXeKIDfCmjiuAc0HUIsFpaXQq8/edit?gid=0#gid=0"", ""Tracking Shipments - PPTCO!o:o""), MATCH(D117, IMPORTRANGE(""https://docs.google.com/spreadsheets/d/1S7deMHO2waboU9dywpXeKIDfCmji"&amp;"uAc0HUIsFpaXQq8/edit?gid=0#gid=0"", ""Tracking Shipments - PPTCO!p:p""), 0))"),"N/A")</f>
        <v>N/A</v>
      </c>
      <c r="C117" s="18"/>
      <c r="D117" s="18">
        <v>62273.0</v>
      </c>
      <c r="E117" s="18" t="s">
        <v>323</v>
      </c>
      <c r="F117" s="18" t="s">
        <v>266</v>
      </c>
      <c r="G117" s="18" t="s">
        <v>241</v>
      </c>
      <c r="H117" s="18" t="s">
        <v>150</v>
      </c>
      <c r="I117" s="17"/>
      <c r="J117" s="17"/>
      <c r="K117" s="17" t="s">
        <v>150</v>
      </c>
      <c r="L117" s="18" t="s">
        <v>29</v>
      </c>
      <c r="M117" s="27">
        <v>45467.0</v>
      </c>
      <c r="N117" s="18">
        <v>72024.0</v>
      </c>
      <c r="O117" s="18" t="s">
        <v>316</v>
      </c>
      <c r="P117" s="18" t="s">
        <v>324</v>
      </c>
      <c r="Q117" s="18" t="s">
        <v>325</v>
      </c>
      <c r="R117" s="27">
        <v>45498.0</v>
      </c>
      <c r="S117" s="22">
        <f t="shared" si="1"/>
        <v>31</v>
      </c>
      <c r="T117" s="18" t="s">
        <v>181</v>
      </c>
      <c r="U117" s="18"/>
      <c r="V117" s="18"/>
      <c r="W117" s="18" t="s">
        <v>28</v>
      </c>
      <c r="X117" s="18"/>
      <c r="Y117" s="18" t="s">
        <v>172</v>
      </c>
      <c r="Z117" s="24"/>
      <c r="AA117" s="24"/>
      <c r="AB117" s="24"/>
      <c r="AC117" s="24"/>
      <c r="AD117" s="24"/>
      <c r="AE117" s="24"/>
      <c r="AF117" s="24"/>
      <c r="AG117" s="24"/>
      <c r="AH117" s="24"/>
      <c r="AI117" s="24"/>
    </row>
    <row r="118" ht="15.75" hidden="1" customHeight="1">
      <c r="A118" s="8">
        <v>118.0</v>
      </c>
      <c r="B118" s="9" t="str">
        <f>IFERROR(__xludf.DUMMYFUNCTION("INDEX(IMPORTRANGE(""https://docs.google.com/spreadsheets/d/1S7deMHO2waboU9dywpXeKIDfCmjiuAc0HUIsFpaXQq8/edit?gid=0#gid=0"", ""Tracking Shipments - PPTCO!o:o""), MATCH(D118, IMPORTRANGE(""https://docs.google.com/spreadsheets/d/1S7deMHO2waboU9dywpXeKIDfCmji"&amp;"uAc0HUIsFpaXQq8/edit?gid=0#gid=0"", ""Tracking Shipments - PPTCO!p:p""), 0))"),"PPT-118")</f>
        <v>PPT-118</v>
      </c>
      <c r="C118" s="14"/>
      <c r="D118" s="14">
        <v>128973.0</v>
      </c>
      <c r="E118" s="14" t="s">
        <v>326</v>
      </c>
      <c r="F118" s="9" t="s">
        <v>169</v>
      </c>
      <c r="G118" s="14" t="s">
        <v>177</v>
      </c>
      <c r="H118" s="14" t="s">
        <v>28</v>
      </c>
      <c r="I118" s="9"/>
      <c r="J118" s="9"/>
      <c r="K118" s="9" t="s">
        <v>150</v>
      </c>
      <c r="L118" s="14" t="s">
        <v>29</v>
      </c>
      <c r="M118" s="25">
        <v>45469.0</v>
      </c>
      <c r="N118" s="14">
        <v>72024.0</v>
      </c>
      <c r="O118" s="14">
        <v>206.0</v>
      </c>
      <c r="P118" s="14">
        <v>1101.0</v>
      </c>
      <c r="Q118" s="14">
        <v>213.0</v>
      </c>
      <c r="R118" s="25">
        <v>45488.0</v>
      </c>
      <c r="S118" s="13">
        <f t="shared" si="1"/>
        <v>19</v>
      </c>
      <c r="T118" s="14" t="s">
        <v>38</v>
      </c>
      <c r="U118" s="14"/>
      <c r="V118" s="14"/>
      <c r="W118" s="14" t="s">
        <v>28</v>
      </c>
      <c r="X118" s="14"/>
      <c r="Y118" s="14" t="s">
        <v>172</v>
      </c>
      <c r="Z118" s="15"/>
      <c r="AA118" s="15"/>
      <c r="AB118" s="15"/>
      <c r="AC118" s="15"/>
      <c r="AD118" s="15"/>
      <c r="AE118" s="15"/>
      <c r="AF118" s="15"/>
      <c r="AG118" s="15"/>
      <c r="AH118" s="15"/>
      <c r="AI118" s="15"/>
    </row>
    <row r="119" ht="15.75" hidden="1" customHeight="1">
      <c r="A119" s="16">
        <v>119.0</v>
      </c>
      <c r="B119" s="17" t="str">
        <f>IFERROR(__xludf.DUMMYFUNCTION("INDEX(IMPORTRANGE(""https://docs.google.com/spreadsheets/d/1S7deMHO2waboU9dywpXeKIDfCmjiuAc0HUIsFpaXQq8/edit?gid=0#gid=0"", ""Tracking Shipments - PPTCO!o:o""), MATCH(D119, IMPORTRANGE(""https://docs.google.com/spreadsheets/d/1S7deMHO2waboU9dywpXeKIDfCmji"&amp;"uAc0HUIsFpaXQq8/edit?gid=0#gid=0"", ""Tracking Shipments - PPTCO!p:p""), 0))"),"PPT-90")</f>
        <v>PPT-90</v>
      </c>
      <c r="C119" s="18"/>
      <c r="D119" s="18">
        <v>62274.0</v>
      </c>
      <c r="E119" s="18" t="s">
        <v>327</v>
      </c>
      <c r="F119" s="18" t="s">
        <v>37</v>
      </c>
      <c r="G119" s="18" t="s">
        <v>177</v>
      </c>
      <c r="H119" s="18" t="s">
        <v>150</v>
      </c>
      <c r="I119" s="17"/>
      <c r="J119" s="17"/>
      <c r="K119" s="17" t="s">
        <v>150</v>
      </c>
      <c r="L119" s="18" t="s">
        <v>29</v>
      </c>
      <c r="M119" s="27">
        <v>45470.0</v>
      </c>
      <c r="N119" s="18">
        <v>72024.0</v>
      </c>
      <c r="O119" s="18">
        <v>207.0</v>
      </c>
      <c r="P119" s="18">
        <v>1102.0</v>
      </c>
      <c r="Q119" s="18">
        <v>210.0</v>
      </c>
      <c r="R119" s="27">
        <v>45488.0</v>
      </c>
      <c r="S119" s="22">
        <f t="shared" si="1"/>
        <v>18</v>
      </c>
      <c r="T119" s="18" t="s">
        <v>38</v>
      </c>
      <c r="U119" s="18"/>
      <c r="V119" s="18"/>
      <c r="W119" s="23" t="s">
        <v>28</v>
      </c>
      <c r="X119" s="18"/>
      <c r="Y119" s="18" t="s">
        <v>35</v>
      </c>
      <c r="Z119" s="24"/>
      <c r="AA119" s="24"/>
      <c r="AB119" s="24"/>
      <c r="AC119" s="24"/>
      <c r="AD119" s="24"/>
      <c r="AE119" s="24"/>
      <c r="AF119" s="24"/>
      <c r="AG119" s="24"/>
      <c r="AH119" s="24"/>
      <c r="AI119" s="24"/>
    </row>
    <row r="120" ht="15.75" hidden="1" customHeight="1">
      <c r="A120" s="8">
        <v>120.0</v>
      </c>
      <c r="B120" s="9" t="str">
        <f>IFERROR(__xludf.DUMMYFUNCTION("INDEX(IMPORTRANGE(""https://docs.google.com/spreadsheets/d/1S7deMHO2waboU9dywpXeKIDfCmjiuAc0HUIsFpaXQq8/edit?gid=0#gid=0"", ""Tracking Shipments - PPTCO!o:o""), MATCH(D120, IMPORTRANGE(""https://docs.google.com/spreadsheets/d/1S7deMHO2waboU9dywpXeKIDfCmji"&amp;"uAc0HUIsFpaXQq8/edit?gid=0#gid=0"", ""Tracking Shipments - PPTCO!p:p""), 0))"),"PPT-141")</f>
        <v>PPT-141</v>
      </c>
      <c r="C120" s="14"/>
      <c r="D120" s="14">
        <v>129892.0</v>
      </c>
      <c r="E120" s="14" t="s">
        <v>328</v>
      </c>
      <c r="F120" s="9" t="s">
        <v>143</v>
      </c>
      <c r="G120" s="14" t="s">
        <v>177</v>
      </c>
      <c r="H120" s="14" t="s">
        <v>150</v>
      </c>
      <c r="I120" s="9"/>
      <c r="J120" s="9"/>
      <c r="K120" s="9" t="s">
        <v>150</v>
      </c>
      <c r="L120" s="14" t="s">
        <v>29</v>
      </c>
      <c r="M120" s="25">
        <v>45472.0</v>
      </c>
      <c r="N120" s="14">
        <v>72024.0</v>
      </c>
      <c r="O120" s="14">
        <v>233.0</v>
      </c>
      <c r="P120" s="14">
        <v>1165.0</v>
      </c>
      <c r="Q120" s="14">
        <v>219.0</v>
      </c>
      <c r="R120" s="25">
        <v>45496.0</v>
      </c>
      <c r="S120" s="13">
        <f t="shared" si="1"/>
        <v>24</v>
      </c>
      <c r="T120" s="14" t="s">
        <v>38</v>
      </c>
      <c r="U120" s="14"/>
      <c r="V120" s="14"/>
      <c r="W120" s="14" t="s">
        <v>28</v>
      </c>
      <c r="X120" s="14"/>
      <c r="Y120" s="14" t="s">
        <v>35</v>
      </c>
      <c r="Z120" s="15"/>
      <c r="AA120" s="15"/>
      <c r="AB120" s="15"/>
      <c r="AC120" s="15"/>
      <c r="AD120" s="15"/>
      <c r="AE120" s="15"/>
      <c r="AF120" s="15"/>
      <c r="AG120" s="15"/>
      <c r="AH120" s="15"/>
      <c r="AI120" s="15"/>
    </row>
    <row r="121" ht="15.75" hidden="1" customHeight="1">
      <c r="A121" s="16">
        <v>121.0</v>
      </c>
      <c r="B121" s="17" t="str">
        <f>IFERROR(__xludf.DUMMYFUNCTION("INDEX(IMPORTRANGE(""https://docs.google.com/spreadsheets/d/1S7deMHO2waboU9dywpXeKIDfCmjiuAc0HUIsFpaXQq8/edit?gid=0#gid=0"", ""Tracking Shipments - PPTCO!o:o""), MATCH(D121, IMPORTRANGE(""https://docs.google.com/spreadsheets/d/1S7deMHO2waboU9dywpXeKIDfCmji"&amp;"uAc0HUIsFpaXQq8/edit?gid=0#gid=0"", ""Tracking Shipments - PPTCO!p:p""), 0))"),"N/A")</f>
        <v>N/A</v>
      </c>
      <c r="C121" s="17"/>
      <c r="D121" s="17">
        <v>65291.0</v>
      </c>
      <c r="E121" s="17" t="s">
        <v>329</v>
      </c>
      <c r="F121" s="18" t="s">
        <v>68</v>
      </c>
      <c r="G121" s="17" t="s">
        <v>177</v>
      </c>
      <c r="H121" s="17" t="s">
        <v>150</v>
      </c>
      <c r="I121" s="17"/>
      <c r="J121" s="17"/>
      <c r="K121" s="17" t="s">
        <v>150</v>
      </c>
      <c r="L121" s="17" t="s">
        <v>29</v>
      </c>
      <c r="M121" s="27">
        <v>45472.0</v>
      </c>
      <c r="N121" s="18">
        <v>52024.0</v>
      </c>
      <c r="O121" s="17" t="s">
        <v>330</v>
      </c>
      <c r="P121" s="17" t="s">
        <v>331</v>
      </c>
      <c r="Q121" s="17" t="s">
        <v>332</v>
      </c>
      <c r="R121" s="27">
        <v>45496.0</v>
      </c>
      <c r="S121" s="22">
        <f t="shared" si="1"/>
        <v>24</v>
      </c>
      <c r="T121" s="17" t="s">
        <v>38</v>
      </c>
      <c r="U121" s="17"/>
      <c r="V121" s="17"/>
      <c r="W121" s="18"/>
      <c r="X121" s="18"/>
      <c r="Y121" s="18" t="s">
        <v>172</v>
      </c>
      <c r="Z121" s="24"/>
      <c r="AA121" s="24"/>
      <c r="AB121" s="24"/>
      <c r="AC121" s="24"/>
      <c r="AD121" s="24"/>
      <c r="AE121" s="24"/>
      <c r="AF121" s="24"/>
      <c r="AG121" s="24"/>
      <c r="AH121" s="24"/>
      <c r="AI121" s="24"/>
    </row>
    <row r="122" ht="15.75" hidden="1" customHeight="1">
      <c r="A122" s="8">
        <v>122.0</v>
      </c>
      <c r="B122" s="9" t="str">
        <f>IFERROR(__xludf.DUMMYFUNCTION("INDEX(IMPORTRANGE(""https://docs.google.com/spreadsheets/d/1S7deMHO2waboU9dywpXeKIDfCmjiuAc0HUIsFpaXQq8/edit?gid=0#gid=0"", ""Tracking Shipments - PPTCO!o:o""), MATCH(D122, IMPORTRANGE(""https://docs.google.com/spreadsheets/d/1S7deMHO2waboU9dywpXeKIDfCmji"&amp;"uAc0HUIsFpaXQq8/edit?gid=0#gid=0"", ""Tracking Shipments - PPTCO!p:p""), 0))"),"PPT-100")</f>
        <v>PPT-100</v>
      </c>
      <c r="C122" s="14"/>
      <c r="D122" s="14">
        <v>70478.0</v>
      </c>
      <c r="E122" s="14" t="s">
        <v>333</v>
      </c>
      <c r="F122" s="9" t="s">
        <v>318</v>
      </c>
      <c r="G122" s="14" t="s">
        <v>241</v>
      </c>
      <c r="H122" s="14" t="s">
        <v>150</v>
      </c>
      <c r="I122" s="14"/>
      <c r="J122" s="14"/>
      <c r="K122" s="14" t="s">
        <v>150</v>
      </c>
      <c r="L122" s="14" t="s">
        <v>334</v>
      </c>
      <c r="M122" s="25">
        <v>45396.0</v>
      </c>
      <c r="N122" s="14">
        <v>52024.0</v>
      </c>
      <c r="O122" s="14">
        <v>86.0</v>
      </c>
      <c r="P122" s="14">
        <v>364.0</v>
      </c>
      <c r="Q122" s="14">
        <v>77.0</v>
      </c>
      <c r="R122" s="25">
        <v>45400.0</v>
      </c>
      <c r="S122" s="13">
        <f t="shared" si="1"/>
        <v>4</v>
      </c>
      <c r="T122" s="14" t="s">
        <v>181</v>
      </c>
      <c r="U122" s="14"/>
      <c r="V122" s="14"/>
      <c r="W122" s="31" t="s">
        <v>28</v>
      </c>
      <c r="X122" s="14"/>
      <c r="Y122" s="14" t="s">
        <v>35</v>
      </c>
      <c r="Z122" s="15"/>
      <c r="AA122" s="15"/>
      <c r="AB122" s="15"/>
      <c r="AC122" s="15"/>
      <c r="AD122" s="15"/>
      <c r="AE122" s="15"/>
      <c r="AF122" s="15"/>
      <c r="AG122" s="15"/>
      <c r="AH122" s="15"/>
      <c r="AI122" s="15"/>
    </row>
    <row r="123" ht="15.75" hidden="1" customHeight="1">
      <c r="A123" s="16">
        <v>123.0</v>
      </c>
      <c r="B123" s="18" t="s">
        <v>148</v>
      </c>
      <c r="C123" s="17"/>
      <c r="D123" s="17">
        <v>65210.0</v>
      </c>
      <c r="E123" s="17" t="s">
        <v>335</v>
      </c>
      <c r="F123" s="18" t="s">
        <v>40</v>
      </c>
      <c r="G123" s="17" t="s">
        <v>177</v>
      </c>
      <c r="H123" s="17" t="s">
        <v>150</v>
      </c>
      <c r="I123" s="17"/>
      <c r="J123" s="17"/>
      <c r="K123" s="17" t="s">
        <v>150</v>
      </c>
      <c r="L123" s="17" t="s">
        <v>29</v>
      </c>
      <c r="M123" s="27">
        <v>45493.0</v>
      </c>
      <c r="N123" s="18">
        <v>102024.0</v>
      </c>
      <c r="O123" s="18" t="s">
        <v>336</v>
      </c>
      <c r="P123" s="18" t="s">
        <v>337</v>
      </c>
      <c r="Q123" s="18" t="s">
        <v>338</v>
      </c>
      <c r="R123" s="42">
        <v>45532.0</v>
      </c>
      <c r="S123" s="22">
        <f t="shared" si="1"/>
        <v>39</v>
      </c>
      <c r="T123" s="17" t="s">
        <v>38</v>
      </c>
      <c r="U123" s="17"/>
      <c r="V123" s="17" t="s">
        <v>339</v>
      </c>
      <c r="W123" s="18"/>
      <c r="X123" s="18" t="s">
        <v>246</v>
      </c>
      <c r="Y123" s="18" t="s">
        <v>35</v>
      </c>
      <c r="Z123" s="24"/>
      <c r="AA123" s="24"/>
      <c r="AB123" s="24"/>
      <c r="AC123" s="24"/>
      <c r="AD123" s="24"/>
      <c r="AE123" s="24"/>
      <c r="AF123" s="24"/>
      <c r="AG123" s="24"/>
      <c r="AH123" s="24"/>
      <c r="AI123" s="24"/>
    </row>
    <row r="124" ht="15.75" hidden="1" customHeight="1">
      <c r="A124" s="8">
        <v>124.0</v>
      </c>
      <c r="B124" s="9" t="str">
        <f>IFERROR(__xludf.DUMMYFUNCTION("INDEX(IMPORTRANGE(""https://docs.google.com/spreadsheets/d/1S7deMHO2waboU9dywpXeKIDfCmjiuAc0HUIsFpaXQq8/edit?gid=0#gid=0"", ""Tracking Shipments - PPTCO!o:o""), MATCH(D124, IMPORTRANGE(""https://docs.google.com/spreadsheets/d/1S7deMHO2waboU9dywpXeKIDfCmji"&amp;"uAc0HUIsFpaXQq8/edit?gid=0#gid=0"", ""Tracking Shipments - PPTCO!p:p""), 0))"),"N/A")</f>
        <v>N/A</v>
      </c>
      <c r="C124" s="14"/>
      <c r="D124" s="14">
        <v>64197.0</v>
      </c>
      <c r="E124" s="9" t="s">
        <v>340</v>
      </c>
      <c r="F124" s="9" t="s">
        <v>40</v>
      </c>
      <c r="G124" s="9" t="s">
        <v>177</v>
      </c>
      <c r="H124" s="9" t="s">
        <v>150</v>
      </c>
      <c r="I124" s="9"/>
      <c r="J124" s="9"/>
      <c r="K124" s="9" t="s">
        <v>150</v>
      </c>
      <c r="L124" s="9" t="s">
        <v>29</v>
      </c>
      <c r="M124" s="30">
        <v>45476.0</v>
      </c>
      <c r="N124" s="14">
        <v>102024.0</v>
      </c>
      <c r="O124" s="14">
        <v>281.0</v>
      </c>
      <c r="P124" s="14">
        <v>1564.0</v>
      </c>
      <c r="Q124" s="14">
        <v>265.0</v>
      </c>
      <c r="R124" s="41">
        <v>45531.0</v>
      </c>
      <c r="S124" s="13">
        <f t="shared" si="1"/>
        <v>55</v>
      </c>
      <c r="T124" s="9" t="s">
        <v>38</v>
      </c>
      <c r="U124" s="9"/>
      <c r="V124" s="9"/>
      <c r="W124" s="14"/>
      <c r="X124" s="14" t="s">
        <v>246</v>
      </c>
      <c r="Y124" s="14" t="s">
        <v>35</v>
      </c>
      <c r="Z124" s="15"/>
      <c r="AA124" s="15"/>
      <c r="AB124" s="15"/>
      <c r="AC124" s="15"/>
      <c r="AD124" s="15"/>
      <c r="AE124" s="15"/>
      <c r="AF124" s="15"/>
      <c r="AG124" s="15"/>
      <c r="AH124" s="15"/>
      <c r="AI124" s="15"/>
    </row>
    <row r="125" ht="15.75" hidden="1" customHeight="1">
      <c r="A125" s="16">
        <v>125.0</v>
      </c>
      <c r="B125" s="17" t="str">
        <f>IFERROR(__xludf.DUMMYFUNCTION("INDEX(IMPORTRANGE(""https://docs.google.com/spreadsheets/d/1S7deMHO2waboU9dywpXeKIDfCmjiuAc0HUIsFpaXQq8/edit?gid=0#gid=0"", ""Tracking Shipments - PPTCO!o:o""), MATCH(D125, IMPORTRANGE(""https://docs.google.com/spreadsheets/d/1S7deMHO2waboU9dywpXeKIDfCmji"&amp;"uAc0HUIsFpaXQq8/edit?gid=0#gid=0"", ""Tracking Shipments - PPTCO!p:p""), 0))"),"PPT-99")</f>
        <v>PPT-99</v>
      </c>
      <c r="C125" s="17"/>
      <c r="D125" s="17">
        <v>134510.0</v>
      </c>
      <c r="E125" s="17" t="s">
        <v>341</v>
      </c>
      <c r="F125" s="18" t="s">
        <v>26</v>
      </c>
      <c r="G125" s="17" t="s">
        <v>177</v>
      </c>
      <c r="H125" s="17" t="s">
        <v>150</v>
      </c>
      <c r="I125" s="17"/>
      <c r="J125" s="17"/>
      <c r="K125" s="17" t="s">
        <v>150</v>
      </c>
      <c r="L125" s="17" t="s">
        <v>29</v>
      </c>
      <c r="M125" s="19">
        <v>45477.0</v>
      </c>
      <c r="N125" s="17">
        <v>82024.0</v>
      </c>
      <c r="O125" s="17">
        <v>211.0</v>
      </c>
      <c r="P125" s="17">
        <v>1106.0</v>
      </c>
      <c r="Q125" s="17">
        <v>211.0</v>
      </c>
      <c r="R125" s="27">
        <v>45488.0</v>
      </c>
      <c r="S125" s="22">
        <f t="shared" si="1"/>
        <v>11</v>
      </c>
      <c r="T125" s="17" t="s">
        <v>38</v>
      </c>
      <c r="U125" s="17"/>
      <c r="V125" s="17"/>
      <c r="W125" s="23" t="s">
        <v>181</v>
      </c>
      <c r="X125" s="18"/>
      <c r="Y125" s="18" t="s">
        <v>35</v>
      </c>
      <c r="Z125" s="24"/>
      <c r="AA125" s="24"/>
      <c r="AB125" s="24"/>
      <c r="AC125" s="24"/>
      <c r="AD125" s="24"/>
      <c r="AE125" s="24"/>
      <c r="AF125" s="24"/>
      <c r="AG125" s="24"/>
      <c r="AH125" s="24"/>
      <c r="AI125" s="24"/>
    </row>
    <row r="126" ht="15.75" hidden="1" customHeight="1">
      <c r="A126" s="31">
        <v>126.0</v>
      </c>
      <c r="B126" s="9" t="str">
        <f>IFERROR(__xludf.DUMMYFUNCTION("INDEX(IMPORTRANGE(""https://docs.google.com/spreadsheets/d/1S7deMHO2waboU9dywpXeKIDfCmjiuAc0HUIsFpaXQq8/edit?gid=0#gid=0"", ""Tracking Shipments - PPTCO!o:o""), MATCH(D126, IMPORTRANGE(""https://docs.google.com/spreadsheets/d/1S7deMHO2waboU9dywpXeKIDfCmji"&amp;"uAc0HUIsFpaXQq8/edit?gid=0#gid=0"", ""Tracking Shipments - PPTCO!p:p""), 0))"),"2400046, 2400047")</f>
        <v>2400046, 2400047</v>
      </c>
      <c r="C126" s="14"/>
      <c r="D126" s="14">
        <v>142137.0</v>
      </c>
      <c r="E126" s="14" t="s">
        <v>342</v>
      </c>
      <c r="F126" s="9" t="s">
        <v>100</v>
      </c>
      <c r="G126" s="14" t="s">
        <v>177</v>
      </c>
      <c r="H126" s="14" t="s">
        <v>150</v>
      </c>
      <c r="I126" s="14"/>
      <c r="J126" s="14"/>
      <c r="K126" s="14" t="s">
        <v>150</v>
      </c>
      <c r="L126" s="14" t="s">
        <v>334</v>
      </c>
      <c r="M126" s="25">
        <v>45488.0</v>
      </c>
      <c r="N126" s="14">
        <v>72024.0</v>
      </c>
      <c r="O126" s="14" t="s">
        <v>343</v>
      </c>
      <c r="P126" s="14" t="s">
        <v>344</v>
      </c>
      <c r="Q126" s="14" t="s">
        <v>345</v>
      </c>
      <c r="R126" s="25">
        <v>45497.0</v>
      </c>
      <c r="S126" s="13">
        <f t="shared" si="1"/>
        <v>9</v>
      </c>
      <c r="T126" s="14" t="s">
        <v>235</v>
      </c>
      <c r="U126" s="14" t="s">
        <v>346</v>
      </c>
      <c r="V126" s="14"/>
      <c r="W126" s="14" t="s">
        <v>28</v>
      </c>
      <c r="X126" s="14"/>
      <c r="Y126" s="14" t="s">
        <v>35</v>
      </c>
      <c r="Z126" s="15"/>
      <c r="AA126" s="15"/>
      <c r="AB126" s="15"/>
      <c r="AC126" s="15"/>
      <c r="AD126" s="15"/>
      <c r="AE126" s="15"/>
      <c r="AF126" s="15"/>
      <c r="AG126" s="15"/>
      <c r="AH126" s="15"/>
      <c r="AI126" s="15"/>
    </row>
    <row r="127" ht="15.75" hidden="1" customHeight="1">
      <c r="A127" s="16">
        <v>127.0</v>
      </c>
      <c r="B127" s="17" t="str">
        <f>IFERROR(__xludf.DUMMYFUNCTION("INDEX(IMPORTRANGE(""https://docs.google.com/spreadsheets/d/1S7deMHO2waboU9dywpXeKIDfCmjiuAc0HUIsFpaXQq8/edit?gid=0#gid=0"", ""Tracking Shipments - PPTCO!o:o""), MATCH(D127, IMPORTRANGE(""https://docs.google.com/spreadsheets/d/1S7deMHO2waboU9dywpXeKIDfCmji"&amp;"uAc0HUIsFpaXQq8/edit?gid=0#gid=0"", ""Tracking Shipments - PPTCO!p:p""), 0))"),"PPT-133")</f>
        <v>PPT-133</v>
      </c>
      <c r="C127" s="17"/>
      <c r="D127" s="17">
        <v>72250.0</v>
      </c>
      <c r="E127" s="17" t="s">
        <v>347</v>
      </c>
      <c r="F127" s="18" t="s">
        <v>37</v>
      </c>
      <c r="G127" s="17" t="s">
        <v>177</v>
      </c>
      <c r="H127" s="17" t="s">
        <v>150</v>
      </c>
      <c r="I127" s="17"/>
      <c r="J127" s="17"/>
      <c r="K127" s="17" t="s">
        <v>150</v>
      </c>
      <c r="L127" s="17" t="s">
        <v>334</v>
      </c>
      <c r="M127" s="27">
        <v>45494.0</v>
      </c>
      <c r="N127" s="18">
        <v>92024.0</v>
      </c>
      <c r="O127" s="17">
        <v>212.0</v>
      </c>
      <c r="P127" s="17">
        <v>1109.0</v>
      </c>
      <c r="Q127" s="17">
        <v>258.0</v>
      </c>
      <c r="R127" s="42">
        <v>45514.0</v>
      </c>
      <c r="S127" s="22">
        <f t="shared" si="1"/>
        <v>20</v>
      </c>
      <c r="T127" s="17" t="s">
        <v>38</v>
      </c>
      <c r="U127" s="17" t="s">
        <v>348</v>
      </c>
      <c r="V127" s="17"/>
      <c r="W127" s="18"/>
      <c r="X127" s="18"/>
      <c r="Y127" s="18" t="s">
        <v>35</v>
      </c>
      <c r="Z127" s="24"/>
      <c r="AA127" s="24"/>
      <c r="AB127" s="24"/>
      <c r="AC127" s="24"/>
      <c r="AD127" s="24"/>
      <c r="AE127" s="24"/>
      <c r="AF127" s="24"/>
      <c r="AG127" s="24"/>
      <c r="AH127" s="24"/>
      <c r="AI127" s="24"/>
    </row>
    <row r="128" ht="15.75" hidden="1" customHeight="1">
      <c r="A128" s="8">
        <v>128.0</v>
      </c>
      <c r="B128" s="14" t="s">
        <v>148</v>
      </c>
      <c r="C128" s="9"/>
      <c r="D128" s="9">
        <v>142143.0</v>
      </c>
      <c r="E128" s="9" t="s">
        <v>349</v>
      </c>
      <c r="F128" s="9" t="s">
        <v>350</v>
      </c>
      <c r="G128" s="9" t="s">
        <v>177</v>
      </c>
      <c r="H128" s="9" t="s">
        <v>150</v>
      </c>
      <c r="I128" s="9"/>
      <c r="J128" s="9"/>
      <c r="K128" s="9" t="s">
        <v>150</v>
      </c>
      <c r="L128" s="9" t="s">
        <v>334</v>
      </c>
      <c r="M128" s="25">
        <v>45486.0</v>
      </c>
      <c r="N128" s="14">
        <v>112024.0</v>
      </c>
      <c r="O128" s="9" t="s">
        <v>351</v>
      </c>
      <c r="P128" s="9" t="s">
        <v>352</v>
      </c>
      <c r="Q128" s="9" t="s">
        <v>353</v>
      </c>
      <c r="R128" s="41">
        <v>45509.0</v>
      </c>
      <c r="S128" s="13">
        <f t="shared" si="1"/>
        <v>23</v>
      </c>
      <c r="T128" s="9" t="s">
        <v>38</v>
      </c>
      <c r="U128" s="9" t="s">
        <v>354</v>
      </c>
      <c r="V128" s="9"/>
      <c r="W128" s="8"/>
      <c r="X128" s="14"/>
      <c r="Y128" s="14" t="s">
        <v>35</v>
      </c>
      <c r="Z128" s="15"/>
      <c r="AA128" s="15"/>
      <c r="AB128" s="15"/>
      <c r="AC128" s="15"/>
      <c r="AD128" s="15"/>
      <c r="AE128" s="15"/>
      <c r="AF128" s="15"/>
      <c r="AG128" s="15"/>
      <c r="AH128" s="15"/>
      <c r="AI128" s="15"/>
    </row>
    <row r="129" ht="15.75" hidden="1" customHeight="1">
      <c r="A129" s="16">
        <v>129.0</v>
      </c>
      <c r="B129" s="17" t="str">
        <f>IFERROR(__xludf.DUMMYFUNCTION("INDEX(IMPORTRANGE(""https://docs.google.com/spreadsheets/d/1S7deMHO2waboU9dywpXeKIDfCmjiuAc0HUIsFpaXQq8/edit?gid=0#gid=0"", ""Tracking Shipments - PPTCO!o:o""), MATCH(D129, IMPORTRANGE(""https://docs.google.com/spreadsheets/d/1S7deMHO2waboU9dywpXeKIDfCmji"&amp;"uAc0HUIsFpaXQq8/edit?gid=0#gid=0"", ""Tracking Shipments - PPTCO!p:p""), 0))"),"#N/A")</f>
        <v>#N/A</v>
      </c>
      <c r="C129" s="18"/>
      <c r="D129" s="18">
        <v>69016.0</v>
      </c>
      <c r="E129" s="18" t="s">
        <v>355</v>
      </c>
      <c r="F129" s="18" t="s">
        <v>37</v>
      </c>
      <c r="G129" s="18" t="s">
        <v>177</v>
      </c>
      <c r="H129" s="18" t="s">
        <v>150</v>
      </c>
      <c r="I129" s="18"/>
      <c r="J129" s="18"/>
      <c r="K129" s="18" t="s">
        <v>150</v>
      </c>
      <c r="L129" s="18" t="s">
        <v>334</v>
      </c>
      <c r="M129" s="19">
        <v>45484.0</v>
      </c>
      <c r="N129" s="18">
        <v>72024.0</v>
      </c>
      <c r="O129" s="18">
        <v>219.0</v>
      </c>
      <c r="P129" s="18">
        <v>1130.0</v>
      </c>
      <c r="Q129" s="18">
        <v>214.0</v>
      </c>
      <c r="R129" s="27">
        <v>45496.0</v>
      </c>
      <c r="S129" s="22">
        <f t="shared" si="1"/>
        <v>12</v>
      </c>
      <c r="T129" s="18" t="s">
        <v>235</v>
      </c>
      <c r="U129" s="18" t="s">
        <v>348</v>
      </c>
      <c r="V129" s="18"/>
      <c r="W129" s="18"/>
      <c r="X129" s="18"/>
      <c r="Y129" s="18" t="s">
        <v>35</v>
      </c>
      <c r="Z129" s="24"/>
      <c r="AA129" s="24"/>
      <c r="AB129" s="24"/>
      <c r="AC129" s="24"/>
      <c r="AD129" s="24"/>
      <c r="AE129" s="24"/>
      <c r="AF129" s="24"/>
      <c r="AG129" s="24"/>
      <c r="AH129" s="24"/>
      <c r="AI129" s="24"/>
    </row>
    <row r="130" ht="15.75" hidden="1" customHeight="1">
      <c r="A130" s="8">
        <v>130.0</v>
      </c>
      <c r="B130" s="9" t="str">
        <f>IFERROR(__xludf.DUMMYFUNCTION("INDEX(IMPORTRANGE(""https://docs.google.com/spreadsheets/d/1S7deMHO2waboU9dywpXeKIDfCmjiuAc0HUIsFpaXQq8/edit?gid=0#gid=0"", ""Tracking Shipments - PPTCO!o:o""), MATCH(D130, IMPORTRANGE(""https://docs.google.com/spreadsheets/d/1S7deMHO2waboU9dywpXeKIDfCmji"&amp;"uAc0HUIsFpaXQq8/edit?gid=0#gid=0"", ""Tracking Shipments - PPTCO!p:p""), 0))"),"PPT-108")</f>
        <v>PPT-108</v>
      </c>
      <c r="C130" s="9"/>
      <c r="D130" s="9">
        <v>72352.0</v>
      </c>
      <c r="E130" s="9" t="s">
        <v>356</v>
      </c>
      <c r="F130" s="9" t="s">
        <v>37</v>
      </c>
      <c r="G130" s="9" t="s">
        <v>177</v>
      </c>
      <c r="H130" s="9" t="s">
        <v>150</v>
      </c>
      <c r="I130" s="9"/>
      <c r="J130" s="9"/>
      <c r="K130" s="9" t="s">
        <v>150</v>
      </c>
      <c r="L130" s="9" t="s">
        <v>334</v>
      </c>
      <c r="M130" s="25">
        <v>45487.0</v>
      </c>
      <c r="N130" s="9">
        <v>82024.0</v>
      </c>
      <c r="O130" s="9">
        <v>220.0</v>
      </c>
      <c r="P130" s="9">
        <v>1141.0</v>
      </c>
      <c r="Q130" s="9">
        <v>215.0</v>
      </c>
      <c r="R130" s="25">
        <v>45496.0</v>
      </c>
      <c r="S130" s="13">
        <f t="shared" si="1"/>
        <v>9</v>
      </c>
      <c r="T130" s="9" t="s">
        <v>235</v>
      </c>
      <c r="U130" s="9">
        <v>45604.0</v>
      </c>
      <c r="V130" s="9"/>
      <c r="W130" s="14" t="s">
        <v>181</v>
      </c>
      <c r="X130" s="14"/>
      <c r="Y130" s="14" t="s">
        <v>172</v>
      </c>
      <c r="Z130" s="15"/>
      <c r="AA130" s="15"/>
      <c r="AB130" s="15"/>
      <c r="AC130" s="15"/>
      <c r="AD130" s="15"/>
      <c r="AE130" s="15"/>
      <c r="AF130" s="15"/>
      <c r="AG130" s="15"/>
      <c r="AH130" s="15"/>
      <c r="AI130" s="15"/>
    </row>
    <row r="131" ht="15.75" hidden="1" customHeight="1">
      <c r="A131" s="16">
        <v>131.0</v>
      </c>
      <c r="B131" s="17" t="str">
        <f>IFERROR(__xludf.DUMMYFUNCTION("INDEX(IMPORTRANGE(""https://docs.google.com/spreadsheets/d/1S7deMHO2waboU9dywpXeKIDfCmjiuAc0HUIsFpaXQq8/edit?gid=0#gid=0"", ""Tracking Shipments - PPTCO!o:o""), MATCH(D131, IMPORTRANGE(""https://docs.google.com/spreadsheets/d/1S7deMHO2waboU9dywpXeKIDfCmji"&amp;"uAc0HUIsFpaXQq8/edit?gid=0#gid=0"", ""Tracking Shipments - PPTCO!p:p""), 0))"),"PPT-136")</f>
        <v>PPT-136</v>
      </c>
      <c r="C131" s="17"/>
      <c r="D131" s="17">
        <v>145638.0</v>
      </c>
      <c r="E131" s="17" t="s">
        <v>357</v>
      </c>
      <c r="F131" s="18" t="s">
        <v>40</v>
      </c>
      <c r="G131" s="17" t="s">
        <v>177</v>
      </c>
      <c r="H131" s="17" t="s">
        <v>150</v>
      </c>
      <c r="I131" s="17"/>
      <c r="J131" s="17"/>
      <c r="K131" s="17" t="s">
        <v>150</v>
      </c>
      <c r="L131" s="17" t="s">
        <v>334</v>
      </c>
      <c r="M131" s="27">
        <v>45490.0</v>
      </c>
      <c r="N131" s="18">
        <v>112024.0</v>
      </c>
      <c r="O131" s="17" t="s">
        <v>358</v>
      </c>
      <c r="P131" s="17" t="s">
        <v>359</v>
      </c>
      <c r="Q131" s="17" t="s">
        <v>360</v>
      </c>
      <c r="R131" s="42">
        <v>45496.0</v>
      </c>
      <c r="S131" s="22">
        <f t="shared" si="1"/>
        <v>6</v>
      </c>
      <c r="T131" s="17" t="s">
        <v>38</v>
      </c>
      <c r="U131" s="17" t="s">
        <v>348</v>
      </c>
      <c r="V131" s="17"/>
      <c r="W131" s="16"/>
      <c r="X131" s="18"/>
      <c r="Y131" s="18" t="s">
        <v>35</v>
      </c>
      <c r="Z131" s="24"/>
      <c r="AA131" s="24"/>
      <c r="AB131" s="24"/>
      <c r="AC131" s="24"/>
      <c r="AD131" s="24"/>
      <c r="AE131" s="24"/>
      <c r="AF131" s="24"/>
      <c r="AG131" s="24"/>
      <c r="AH131" s="24"/>
      <c r="AI131" s="24"/>
    </row>
    <row r="132" ht="15.75" hidden="1" customHeight="1">
      <c r="A132" s="8">
        <v>132.0</v>
      </c>
      <c r="B132" s="9" t="str">
        <f>IFERROR(__xludf.DUMMYFUNCTION("INDEX(IMPORTRANGE(""https://docs.google.com/spreadsheets/d/1S7deMHO2waboU9dywpXeKIDfCmjiuAc0HUIsFpaXQq8/edit?gid=0#gid=0"", ""Tracking Shipments - PPTCO!o:o""), MATCH(D132, IMPORTRANGE(""https://docs.google.com/spreadsheets/d/1S7deMHO2waboU9dywpXeKIDfCmji"&amp;"uAc0HUIsFpaXQq8/edit?gid=0#gid=0"", ""Tracking Shipments - PPTCO!p:p""), 0))"),"PPT-135")</f>
        <v>PPT-135</v>
      </c>
      <c r="C132" s="9"/>
      <c r="D132" s="9">
        <v>146959.0</v>
      </c>
      <c r="E132" s="9" t="s">
        <v>361</v>
      </c>
      <c r="F132" s="9" t="s">
        <v>26</v>
      </c>
      <c r="G132" s="9" t="s">
        <v>177</v>
      </c>
      <c r="H132" s="9" t="s">
        <v>150</v>
      </c>
      <c r="I132" s="9"/>
      <c r="J132" s="9"/>
      <c r="K132" s="9" t="s">
        <v>150</v>
      </c>
      <c r="L132" s="9" t="s">
        <v>334</v>
      </c>
      <c r="M132" s="25">
        <v>45491.0</v>
      </c>
      <c r="N132" s="9">
        <v>82024.0</v>
      </c>
      <c r="O132" s="9" t="s">
        <v>362</v>
      </c>
      <c r="P132" s="9" t="s">
        <v>363</v>
      </c>
      <c r="Q132" s="9" t="s">
        <v>364</v>
      </c>
      <c r="R132" s="25">
        <v>45497.0</v>
      </c>
      <c r="S132" s="13">
        <f t="shared" si="1"/>
        <v>6</v>
      </c>
      <c r="T132" s="9" t="s">
        <v>38</v>
      </c>
      <c r="U132" s="9" t="s">
        <v>348</v>
      </c>
      <c r="V132" s="9"/>
      <c r="W132" s="14" t="s">
        <v>28</v>
      </c>
      <c r="X132" s="14"/>
      <c r="Y132" s="14" t="s">
        <v>172</v>
      </c>
      <c r="Z132" s="15"/>
      <c r="AA132" s="15"/>
      <c r="AB132" s="15"/>
      <c r="AC132" s="15"/>
      <c r="AD132" s="15"/>
      <c r="AE132" s="15"/>
      <c r="AF132" s="15"/>
      <c r="AG132" s="15"/>
      <c r="AH132" s="15"/>
      <c r="AI132" s="15"/>
    </row>
    <row r="133" ht="15.75" hidden="1" customHeight="1">
      <c r="A133" s="16">
        <v>133.0</v>
      </c>
      <c r="B133" s="17" t="str">
        <f>IFERROR(__xludf.DUMMYFUNCTION("INDEX(IMPORTRANGE(""https://docs.google.com/spreadsheets/d/1S7deMHO2waboU9dywpXeKIDfCmjiuAc0HUIsFpaXQq8/edit?gid=0#gid=0"", ""Tracking Shipments - PPTCO!o:o""), MATCH(D133, IMPORTRANGE(""https://docs.google.com/spreadsheets/d/1S7deMHO2waboU9dywpXeKIDfCmji"&amp;"uAc0HUIsFpaXQq8/edit?gid=0#gid=0"", ""Tracking Shipments - PPTCO!p:p""), 0))"),"PPT-135")</f>
        <v>PPT-135</v>
      </c>
      <c r="C133" s="17"/>
      <c r="D133" s="17">
        <v>152034.0</v>
      </c>
      <c r="E133" s="17" t="s">
        <v>365</v>
      </c>
      <c r="F133" s="18" t="s">
        <v>26</v>
      </c>
      <c r="G133" s="17" t="s">
        <v>177</v>
      </c>
      <c r="H133" s="17" t="s">
        <v>150</v>
      </c>
      <c r="I133" s="17"/>
      <c r="J133" s="17"/>
      <c r="K133" s="17" t="s">
        <v>150</v>
      </c>
      <c r="L133" s="17" t="s">
        <v>334</v>
      </c>
      <c r="M133" s="27">
        <v>45498.0</v>
      </c>
      <c r="N133" s="17">
        <v>82024.0</v>
      </c>
      <c r="O133" s="17" t="s">
        <v>366</v>
      </c>
      <c r="P133" s="17" t="s">
        <v>367</v>
      </c>
      <c r="Q133" s="17" t="s">
        <v>368</v>
      </c>
      <c r="R133" s="35">
        <v>45509.0</v>
      </c>
      <c r="S133" s="22">
        <f t="shared" si="1"/>
        <v>11</v>
      </c>
      <c r="T133" s="17" t="s">
        <v>38</v>
      </c>
      <c r="U133" s="17" t="s">
        <v>354</v>
      </c>
      <c r="V133" s="17"/>
      <c r="W133" s="18" t="s">
        <v>28</v>
      </c>
      <c r="X133" s="18"/>
      <c r="Y133" s="18" t="s">
        <v>172</v>
      </c>
      <c r="Z133" s="24"/>
      <c r="AA133" s="24"/>
      <c r="AB133" s="24"/>
      <c r="AC133" s="24"/>
      <c r="AD133" s="24"/>
      <c r="AE133" s="24"/>
      <c r="AF133" s="24"/>
      <c r="AG133" s="24"/>
      <c r="AH133" s="24"/>
      <c r="AI133" s="24"/>
    </row>
    <row r="134" ht="15.75" hidden="1" customHeight="1">
      <c r="A134" s="8">
        <v>134.0</v>
      </c>
      <c r="B134" s="9" t="str">
        <f>IFERROR(__xludf.DUMMYFUNCTION("INDEX(IMPORTRANGE(""https://docs.google.com/spreadsheets/d/1S7deMHO2waboU9dywpXeKIDfCmjiuAc0HUIsFpaXQq8/edit?gid=0#gid=0"", ""Tracking Shipments - PPTCO!o:o""), MATCH(D134, IMPORTRANGE(""https://docs.google.com/spreadsheets/d/1S7deMHO2waboU9dywpXeKIDfCmji"&amp;"uAc0HUIsFpaXQq8/edit?gid=0#gid=0"", ""Tracking Shipments - PPTCO!p:p""), 0))"),"#N/A")</f>
        <v>#N/A</v>
      </c>
      <c r="C134" s="9"/>
      <c r="D134" s="9">
        <v>70594.0</v>
      </c>
      <c r="E134" s="9" t="s">
        <v>369</v>
      </c>
      <c r="F134" s="9" t="s">
        <v>43</v>
      </c>
      <c r="G134" s="9" t="s">
        <v>177</v>
      </c>
      <c r="H134" s="9" t="s">
        <v>150</v>
      </c>
      <c r="I134" s="9"/>
      <c r="J134" s="9"/>
      <c r="K134" s="9" t="s">
        <v>150</v>
      </c>
      <c r="L134" s="9" t="s">
        <v>334</v>
      </c>
      <c r="M134" s="25">
        <v>45495.0</v>
      </c>
      <c r="N134" s="9">
        <v>82024.0</v>
      </c>
      <c r="O134" s="9">
        <v>243.0</v>
      </c>
      <c r="P134" s="9">
        <v>1308.0</v>
      </c>
      <c r="Q134" s="9">
        <v>252.0</v>
      </c>
      <c r="R134" s="36">
        <v>45510.0</v>
      </c>
      <c r="S134" s="13">
        <f t="shared" si="1"/>
        <v>15</v>
      </c>
      <c r="T134" s="14" t="s">
        <v>38</v>
      </c>
      <c r="U134" s="9">
        <v>45604.0</v>
      </c>
      <c r="V134" s="9"/>
      <c r="W134" s="31" t="s">
        <v>181</v>
      </c>
      <c r="X134" s="14"/>
      <c r="Y134" s="14" t="s">
        <v>172</v>
      </c>
      <c r="Z134" s="15"/>
      <c r="AA134" s="15"/>
      <c r="AB134" s="15"/>
      <c r="AC134" s="15"/>
      <c r="AD134" s="15"/>
      <c r="AE134" s="15"/>
      <c r="AF134" s="15"/>
      <c r="AG134" s="15"/>
      <c r="AH134" s="15"/>
      <c r="AI134" s="15"/>
    </row>
    <row r="135" ht="15.75" hidden="1" customHeight="1">
      <c r="A135" s="16">
        <v>135.0</v>
      </c>
      <c r="B135" s="17" t="str">
        <f>IFERROR(__xludf.DUMMYFUNCTION("INDEX(IMPORTRANGE(""https://docs.google.com/spreadsheets/d/1S7deMHO2waboU9dywpXeKIDfCmjiuAc0HUIsFpaXQq8/edit?gid=0#gid=0"", ""Tracking Shipments - PPTCO!o:o""), MATCH(D135, IMPORTRANGE(""https://docs.google.com/spreadsheets/d/1S7deMHO2waboU9dywpXeKIDfCmji"&amp;"uAc0HUIsFpaXQq8/edit?gid=0#gid=0"", ""Tracking Shipments - PPTCO!p:p""), 0))"),"PPT-107")</f>
        <v>PPT-107</v>
      </c>
      <c r="C135" s="18"/>
      <c r="D135" s="18">
        <v>72983.0</v>
      </c>
      <c r="E135" s="18" t="s">
        <v>370</v>
      </c>
      <c r="F135" s="18" t="s">
        <v>37</v>
      </c>
      <c r="G135" s="18" t="s">
        <v>177</v>
      </c>
      <c r="H135" s="18" t="s">
        <v>150</v>
      </c>
      <c r="I135" s="18"/>
      <c r="J135" s="18"/>
      <c r="K135" s="18" t="s">
        <v>150</v>
      </c>
      <c r="L135" s="18" t="s">
        <v>29</v>
      </c>
      <c r="M135" s="19">
        <v>45507.0</v>
      </c>
      <c r="N135" s="18">
        <v>72024.0</v>
      </c>
      <c r="O135" s="18">
        <v>244.0</v>
      </c>
      <c r="P135" s="18">
        <v>1316.0</v>
      </c>
      <c r="Q135" s="18">
        <v>255.0</v>
      </c>
      <c r="R135" s="35">
        <v>45512.0</v>
      </c>
      <c r="S135" s="22">
        <f t="shared" si="1"/>
        <v>5</v>
      </c>
      <c r="T135" s="18"/>
      <c r="U135" s="18"/>
      <c r="V135" s="18"/>
      <c r="W135" s="18"/>
      <c r="X135" s="18"/>
      <c r="Y135" s="18" t="s">
        <v>35</v>
      </c>
      <c r="Z135" s="24"/>
      <c r="AA135" s="24"/>
      <c r="AB135" s="24"/>
      <c r="AC135" s="24"/>
      <c r="AD135" s="24"/>
      <c r="AE135" s="24"/>
      <c r="AF135" s="24"/>
      <c r="AG135" s="24"/>
      <c r="AH135" s="24"/>
      <c r="AI135" s="24"/>
    </row>
    <row r="136" ht="15.75" hidden="1" customHeight="1">
      <c r="A136" s="8">
        <v>136.0</v>
      </c>
      <c r="B136" s="9" t="str">
        <f>IFERROR(__xludf.DUMMYFUNCTION("INDEX(IMPORTRANGE(""https://docs.google.com/spreadsheets/d/1S7deMHO2waboU9dywpXeKIDfCmjiuAc0HUIsFpaXQq8/edit?gid=0#gid=0"", ""Tracking Shipments - PPTCO!o:o""), MATCH(D136, IMPORTRANGE(""https://docs.google.com/spreadsheets/d/1S7deMHO2waboU9dywpXeKIDfCmji"&amp;"uAc0HUIsFpaXQq8/edit?gid=0#gid=0"", ""Tracking Shipments - PPTCO!p:p""), 0))"),"PPT-105")</f>
        <v>PPT-105</v>
      </c>
      <c r="C136" s="9"/>
      <c r="D136" s="9">
        <v>73207.0</v>
      </c>
      <c r="E136" s="9" t="s">
        <v>371</v>
      </c>
      <c r="F136" s="9" t="s">
        <v>37</v>
      </c>
      <c r="G136" s="9" t="s">
        <v>177</v>
      </c>
      <c r="H136" s="9" t="s">
        <v>150</v>
      </c>
      <c r="I136" s="9"/>
      <c r="J136" s="9"/>
      <c r="K136" s="9" t="s">
        <v>150</v>
      </c>
      <c r="L136" s="9" t="s">
        <v>29</v>
      </c>
      <c r="M136" s="30">
        <v>45508.0</v>
      </c>
      <c r="N136" s="9">
        <v>82024.0</v>
      </c>
      <c r="O136" s="9">
        <v>245.0</v>
      </c>
      <c r="P136" s="9">
        <v>1309.0</v>
      </c>
      <c r="Q136" s="9">
        <v>254.0</v>
      </c>
      <c r="R136" s="36">
        <v>45511.0</v>
      </c>
      <c r="S136" s="13">
        <f t="shared" si="1"/>
        <v>3</v>
      </c>
      <c r="T136" s="14" t="s">
        <v>38</v>
      </c>
      <c r="U136" s="43">
        <v>45360.0</v>
      </c>
      <c r="V136" s="43">
        <v>45360.0</v>
      </c>
      <c r="W136" s="14" t="s">
        <v>181</v>
      </c>
      <c r="X136" s="14"/>
      <c r="Y136" s="14" t="s">
        <v>172</v>
      </c>
      <c r="Z136" s="15"/>
      <c r="AA136" s="15"/>
      <c r="AB136" s="15"/>
      <c r="AC136" s="15"/>
      <c r="AD136" s="15"/>
      <c r="AE136" s="15"/>
      <c r="AF136" s="15"/>
      <c r="AG136" s="15"/>
      <c r="AH136" s="15"/>
      <c r="AI136" s="15"/>
    </row>
    <row r="137" ht="15.75" hidden="1" customHeight="1">
      <c r="A137" s="16">
        <v>137.0</v>
      </c>
      <c r="B137" s="17" t="str">
        <f>IFERROR(__xludf.DUMMYFUNCTION("INDEX(IMPORTRANGE(""https://docs.google.com/spreadsheets/d/1S7deMHO2waboU9dywpXeKIDfCmjiuAc0HUIsFpaXQq8/edit?gid=0#gid=0"", ""Tracking Shipments - PPTCO!o:o""), MATCH(D137, IMPORTRANGE(""https://docs.google.com/spreadsheets/d/1S7deMHO2waboU9dywpXeKIDfCmji"&amp;"uAc0HUIsFpaXQq8/edit?gid=0#gid=0"", ""Tracking Shipments - PPTCO!p:p""), 0))"),"PPT-93")</f>
        <v>PPT-93</v>
      </c>
      <c r="C137" s="17"/>
      <c r="D137" s="17">
        <v>73226.0</v>
      </c>
      <c r="E137" s="17" t="s">
        <v>372</v>
      </c>
      <c r="F137" s="18" t="s">
        <v>37</v>
      </c>
      <c r="G137" s="17" t="s">
        <v>177</v>
      </c>
      <c r="H137" s="17" t="s">
        <v>150</v>
      </c>
      <c r="I137" s="17"/>
      <c r="J137" s="17"/>
      <c r="K137" s="17" t="s">
        <v>150</v>
      </c>
      <c r="L137" s="17" t="s">
        <v>334</v>
      </c>
      <c r="M137" s="27">
        <v>45500.0</v>
      </c>
      <c r="N137" s="17">
        <v>82024.0</v>
      </c>
      <c r="O137" s="17">
        <v>246.0</v>
      </c>
      <c r="P137" s="17">
        <v>1310.0</v>
      </c>
      <c r="Q137" s="17">
        <v>253.0</v>
      </c>
      <c r="R137" s="35">
        <v>45510.0</v>
      </c>
      <c r="S137" s="22">
        <f t="shared" si="1"/>
        <v>10</v>
      </c>
      <c r="T137" s="18" t="s">
        <v>38</v>
      </c>
      <c r="U137" s="17" t="s">
        <v>354</v>
      </c>
      <c r="V137" s="44">
        <v>45360.0</v>
      </c>
      <c r="W137" s="23" t="s">
        <v>181</v>
      </c>
      <c r="X137" s="18"/>
      <c r="Y137" s="18" t="s">
        <v>172</v>
      </c>
      <c r="Z137" s="24"/>
      <c r="AA137" s="24"/>
      <c r="AB137" s="24"/>
      <c r="AC137" s="24"/>
      <c r="AD137" s="24"/>
      <c r="AE137" s="24"/>
      <c r="AF137" s="24"/>
      <c r="AG137" s="24"/>
      <c r="AH137" s="24"/>
      <c r="AI137" s="24"/>
    </row>
    <row r="138" ht="15.75" hidden="1" customHeight="1">
      <c r="A138" s="8">
        <v>138.0</v>
      </c>
      <c r="B138" s="9" t="str">
        <f>IFERROR(__xludf.DUMMYFUNCTION("INDEX(IMPORTRANGE(""https://docs.google.com/spreadsheets/d/1S7deMHO2waboU9dywpXeKIDfCmjiuAc0HUIsFpaXQq8/edit?gid=0#gid=0"", ""Tracking Shipments - PPTCO!o:o""), MATCH(D138, IMPORTRANGE(""https://docs.google.com/spreadsheets/d/1S7deMHO2waboU9dywpXeKIDfCmji"&amp;"uAc0HUIsFpaXQq8/edit?gid=0#gid=0"", ""Tracking Shipments - PPTCO!p:p""), 0))"),"PPT-135")</f>
        <v>PPT-135</v>
      </c>
      <c r="C138" s="9"/>
      <c r="D138" s="9">
        <v>155885.0</v>
      </c>
      <c r="E138" s="9" t="s">
        <v>373</v>
      </c>
      <c r="F138" s="9" t="s">
        <v>26</v>
      </c>
      <c r="G138" s="9" t="s">
        <v>177</v>
      </c>
      <c r="H138" s="9" t="s">
        <v>150</v>
      </c>
      <c r="I138" s="9"/>
      <c r="J138" s="9"/>
      <c r="K138" s="9" t="s">
        <v>150</v>
      </c>
      <c r="L138" s="9" t="s">
        <v>334</v>
      </c>
      <c r="M138" s="25">
        <v>45503.0</v>
      </c>
      <c r="N138" s="9">
        <v>82024.0</v>
      </c>
      <c r="O138" s="9" t="s">
        <v>374</v>
      </c>
      <c r="P138" s="9" t="s">
        <v>375</v>
      </c>
      <c r="Q138" s="9" t="s">
        <v>376</v>
      </c>
      <c r="R138" s="36">
        <v>45509.0</v>
      </c>
      <c r="S138" s="13">
        <f t="shared" si="1"/>
        <v>6</v>
      </c>
      <c r="T138" s="14" t="s">
        <v>38</v>
      </c>
      <c r="U138" s="9">
        <v>45604.0</v>
      </c>
      <c r="V138" s="43">
        <v>45360.0</v>
      </c>
      <c r="W138" s="14" t="s">
        <v>28</v>
      </c>
      <c r="X138" s="14"/>
      <c r="Y138" s="14" t="s">
        <v>172</v>
      </c>
      <c r="Z138" s="15"/>
      <c r="AA138" s="15"/>
      <c r="AB138" s="15"/>
      <c r="AC138" s="15"/>
      <c r="AD138" s="15"/>
      <c r="AE138" s="15"/>
      <c r="AF138" s="15"/>
      <c r="AG138" s="15"/>
      <c r="AH138" s="15"/>
      <c r="AI138" s="15"/>
    </row>
    <row r="139" ht="15.75" hidden="1" customHeight="1">
      <c r="A139" s="16">
        <v>139.0</v>
      </c>
      <c r="B139" s="18" t="s">
        <v>148</v>
      </c>
      <c r="C139" s="17"/>
      <c r="D139" s="17">
        <v>155043.0</v>
      </c>
      <c r="E139" s="17" t="s">
        <v>377</v>
      </c>
      <c r="F139" s="18" t="s">
        <v>378</v>
      </c>
      <c r="G139" s="17" t="s">
        <v>177</v>
      </c>
      <c r="H139" s="17" t="s">
        <v>150</v>
      </c>
      <c r="I139" s="17"/>
      <c r="J139" s="17"/>
      <c r="K139" s="17" t="s">
        <v>150</v>
      </c>
      <c r="L139" s="17" t="s">
        <v>334</v>
      </c>
      <c r="M139" s="27">
        <v>45504.0</v>
      </c>
      <c r="N139" s="18">
        <v>92024.0</v>
      </c>
      <c r="O139" s="18">
        <v>282.0</v>
      </c>
      <c r="P139" s="18">
        <v>1569.0</v>
      </c>
      <c r="Q139" s="18">
        <v>277.0</v>
      </c>
      <c r="R139" s="42">
        <v>45532.0</v>
      </c>
      <c r="S139" s="22">
        <f t="shared" si="1"/>
        <v>28</v>
      </c>
      <c r="T139" s="18" t="s">
        <v>38</v>
      </c>
      <c r="U139" s="17">
        <v>45604.0</v>
      </c>
      <c r="V139" s="18" t="s">
        <v>379</v>
      </c>
      <c r="W139" s="18"/>
      <c r="X139" s="18"/>
      <c r="Y139" s="18" t="s">
        <v>35</v>
      </c>
      <c r="Z139" s="24"/>
      <c r="AA139" s="24"/>
      <c r="AB139" s="24"/>
      <c r="AC139" s="24"/>
      <c r="AD139" s="24"/>
      <c r="AE139" s="24"/>
      <c r="AF139" s="24"/>
      <c r="AG139" s="24"/>
      <c r="AH139" s="24"/>
      <c r="AI139" s="24"/>
    </row>
    <row r="140" ht="15.75" hidden="1" customHeight="1">
      <c r="A140" s="8">
        <v>140.0</v>
      </c>
      <c r="B140" s="9" t="str">
        <f>IFERROR(__xludf.DUMMYFUNCTION("INDEX(IMPORTRANGE(""https://docs.google.com/spreadsheets/d/1S7deMHO2waboU9dywpXeKIDfCmjiuAc0HUIsFpaXQq8/edit?gid=0#gid=0"", ""Tracking Shipments - PPTCO!o:o""), MATCH(D140, IMPORTRANGE(""https://docs.google.com/spreadsheets/d/1S7deMHO2waboU9dywpXeKIDfCmji"&amp;"uAc0HUIsFpaXQq8/edit?gid=0#gid=0"", ""Tracking Shipments - PPTCO!p:p""), 0))"),"PPT-131")</f>
        <v>PPT-131</v>
      </c>
      <c r="C140" s="9"/>
      <c r="D140" s="9">
        <v>73138.0</v>
      </c>
      <c r="E140" s="9" t="s">
        <v>380</v>
      </c>
      <c r="F140" s="9" t="s">
        <v>43</v>
      </c>
      <c r="G140" s="9" t="s">
        <v>177</v>
      </c>
      <c r="H140" s="9" t="s">
        <v>150</v>
      </c>
      <c r="I140" s="9"/>
      <c r="J140" s="9"/>
      <c r="K140" s="9" t="s">
        <v>150</v>
      </c>
      <c r="L140" s="9" t="s">
        <v>334</v>
      </c>
      <c r="M140" s="30">
        <v>45507.0</v>
      </c>
      <c r="N140" s="9">
        <v>82024.0</v>
      </c>
      <c r="O140" s="9" t="s">
        <v>381</v>
      </c>
      <c r="P140" s="9" t="s">
        <v>382</v>
      </c>
      <c r="Q140" s="9" t="s">
        <v>383</v>
      </c>
      <c r="R140" s="36">
        <v>45514.0</v>
      </c>
      <c r="S140" s="13">
        <f t="shared" si="1"/>
        <v>7</v>
      </c>
      <c r="T140" s="14" t="s">
        <v>38</v>
      </c>
      <c r="U140" s="9">
        <v>45604.0</v>
      </c>
      <c r="V140" s="43">
        <v>45360.0</v>
      </c>
      <c r="W140" s="31" t="s">
        <v>181</v>
      </c>
      <c r="X140" s="14"/>
      <c r="Y140" s="14" t="s">
        <v>172</v>
      </c>
      <c r="Z140" s="15"/>
      <c r="AA140" s="15"/>
      <c r="AB140" s="15"/>
      <c r="AC140" s="15"/>
      <c r="AD140" s="15"/>
      <c r="AE140" s="15"/>
      <c r="AF140" s="15"/>
      <c r="AG140" s="15"/>
      <c r="AH140" s="15"/>
      <c r="AI140" s="15"/>
    </row>
    <row r="141" ht="15.75" hidden="1" customHeight="1">
      <c r="A141" s="16">
        <v>141.0</v>
      </c>
      <c r="B141" s="17" t="str">
        <f>IFERROR(__xludf.DUMMYFUNCTION("INDEX(IMPORTRANGE(""https://docs.google.com/spreadsheets/d/1S7deMHO2waboU9dywpXeKIDfCmjiuAc0HUIsFpaXQq8/edit?gid=0#gid=0"", ""Tracking Shipments - PPTCO!o:o""), MATCH(D141, IMPORTRANGE(""https://docs.google.com/spreadsheets/d/1S7deMHO2waboU9dywpXeKIDfCmji"&amp;"uAc0HUIsFpaXQq8/edit?gid=0#gid=0"", ""Tracking Shipments - PPTCO!p:p""), 0))"),"PPT-133")</f>
        <v>PPT-133</v>
      </c>
      <c r="C141" s="17"/>
      <c r="D141" s="17">
        <v>77706.0</v>
      </c>
      <c r="E141" s="17" t="s">
        <v>384</v>
      </c>
      <c r="F141" s="18" t="s">
        <v>37</v>
      </c>
      <c r="G141" s="17" t="s">
        <v>177</v>
      </c>
      <c r="H141" s="17" t="s">
        <v>150</v>
      </c>
      <c r="I141" s="17"/>
      <c r="J141" s="17"/>
      <c r="K141" s="17" t="s">
        <v>150</v>
      </c>
      <c r="L141" s="18" t="s">
        <v>334</v>
      </c>
      <c r="M141" s="27">
        <v>45517.0</v>
      </c>
      <c r="N141" s="18">
        <v>92024.0</v>
      </c>
      <c r="O141" s="17">
        <v>255.0</v>
      </c>
      <c r="P141" s="17">
        <v>1307.0</v>
      </c>
      <c r="Q141" s="18">
        <v>262.0</v>
      </c>
      <c r="R141" s="42">
        <v>45526.0</v>
      </c>
      <c r="S141" s="22">
        <f t="shared" si="1"/>
        <v>9</v>
      </c>
      <c r="T141" s="18" t="s">
        <v>38</v>
      </c>
      <c r="U141" s="17">
        <v>45604.0</v>
      </c>
      <c r="V141" s="18" t="s">
        <v>379</v>
      </c>
      <c r="W141" s="18"/>
      <c r="X141" s="18"/>
      <c r="Y141" s="18" t="s">
        <v>172</v>
      </c>
      <c r="Z141" s="24"/>
      <c r="AA141" s="24"/>
      <c r="AB141" s="24"/>
      <c r="AC141" s="24"/>
      <c r="AD141" s="24"/>
      <c r="AE141" s="24"/>
      <c r="AF141" s="24"/>
      <c r="AG141" s="24"/>
      <c r="AH141" s="24"/>
      <c r="AI141" s="24"/>
    </row>
    <row r="142" ht="15.75" hidden="1" customHeight="1">
      <c r="A142" s="8">
        <v>142.0</v>
      </c>
      <c r="B142" s="14" t="s">
        <v>148</v>
      </c>
      <c r="C142" s="9"/>
      <c r="D142" s="9">
        <v>157452.0</v>
      </c>
      <c r="E142" s="9" t="s">
        <v>385</v>
      </c>
      <c r="F142" s="9" t="s">
        <v>40</v>
      </c>
      <c r="G142" s="9" t="s">
        <v>177</v>
      </c>
      <c r="H142" s="9" t="s">
        <v>150</v>
      </c>
      <c r="I142" s="9"/>
      <c r="J142" s="9"/>
      <c r="K142" s="9" t="s">
        <v>150</v>
      </c>
      <c r="L142" s="9" t="s">
        <v>334</v>
      </c>
      <c r="M142" s="25">
        <v>45504.0</v>
      </c>
      <c r="N142" s="14">
        <v>102024.0</v>
      </c>
      <c r="O142" s="14">
        <v>278.0</v>
      </c>
      <c r="P142" s="14">
        <v>1560.0</v>
      </c>
      <c r="Q142" s="14">
        <v>264.0</v>
      </c>
      <c r="R142" s="41">
        <v>45531.0</v>
      </c>
      <c r="S142" s="13">
        <f t="shared" si="1"/>
        <v>27</v>
      </c>
      <c r="T142" s="14" t="s">
        <v>38</v>
      </c>
      <c r="U142" s="9">
        <v>45604.0</v>
      </c>
      <c r="V142" s="14" t="s">
        <v>379</v>
      </c>
      <c r="W142" s="14"/>
      <c r="X142" s="14"/>
      <c r="Y142" s="14" t="s">
        <v>35</v>
      </c>
      <c r="Z142" s="15"/>
      <c r="AA142" s="15"/>
      <c r="AB142" s="15"/>
      <c r="AC142" s="15"/>
      <c r="AD142" s="15"/>
      <c r="AE142" s="15"/>
      <c r="AF142" s="15"/>
      <c r="AG142" s="15"/>
      <c r="AH142" s="15"/>
      <c r="AI142" s="15"/>
    </row>
    <row r="143" ht="15.75" hidden="1" customHeight="1">
      <c r="A143" s="16">
        <v>143.0</v>
      </c>
      <c r="B143" s="17" t="str">
        <f>IFERROR(__xludf.DUMMYFUNCTION("INDEX(IMPORTRANGE(""https://docs.google.com/spreadsheets/d/1S7deMHO2waboU9dywpXeKIDfCmjiuAc0HUIsFpaXQq8/edit?gid=0#gid=0"", ""Tracking Shipments - PPTCO!o:o""), MATCH(D143, IMPORTRANGE(""https://docs.google.com/spreadsheets/d/1S7deMHO2waboU9dywpXeKIDfCmji"&amp;"uAc0HUIsFpaXQq8/edit?gid=0#gid=0"", ""Tracking Shipments - PPTCO!p:p""), 0))"),"PPT-124")</f>
        <v>PPT-124</v>
      </c>
      <c r="C143" s="17"/>
      <c r="D143" s="17">
        <v>160356.0</v>
      </c>
      <c r="E143" s="17" t="s">
        <v>386</v>
      </c>
      <c r="F143" s="18" t="s">
        <v>387</v>
      </c>
      <c r="G143" s="17" t="s">
        <v>177</v>
      </c>
      <c r="H143" s="17" t="s">
        <v>150</v>
      </c>
      <c r="I143" s="17"/>
      <c r="J143" s="17"/>
      <c r="K143" s="17" t="s">
        <v>150</v>
      </c>
      <c r="L143" s="17" t="s">
        <v>334</v>
      </c>
      <c r="M143" s="19">
        <v>45507.0</v>
      </c>
      <c r="N143" s="17">
        <v>82024.0</v>
      </c>
      <c r="O143" s="17">
        <v>256.0</v>
      </c>
      <c r="P143" s="17">
        <v>1368.0</v>
      </c>
      <c r="Q143" s="17">
        <v>259.0</v>
      </c>
      <c r="R143" s="35">
        <v>45515.0</v>
      </c>
      <c r="S143" s="22">
        <f t="shared" si="1"/>
        <v>8</v>
      </c>
      <c r="T143" s="18" t="s">
        <v>38</v>
      </c>
      <c r="U143" s="17">
        <v>45604.0</v>
      </c>
      <c r="V143" s="44">
        <v>45360.0</v>
      </c>
      <c r="W143" s="23" t="s">
        <v>181</v>
      </c>
      <c r="X143" s="18"/>
      <c r="Y143" s="18" t="s">
        <v>172</v>
      </c>
      <c r="Z143" s="24"/>
      <c r="AA143" s="24"/>
      <c r="AB143" s="24"/>
      <c r="AC143" s="24"/>
      <c r="AD143" s="24"/>
      <c r="AE143" s="24"/>
      <c r="AF143" s="24"/>
      <c r="AG143" s="24"/>
      <c r="AH143" s="24"/>
      <c r="AI143" s="24"/>
    </row>
    <row r="144" ht="15.75" hidden="1" customHeight="1">
      <c r="A144" s="8">
        <v>144.0</v>
      </c>
      <c r="B144" s="9">
        <f>IFERROR(__xludf.DUMMYFUNCTION("INDEX(IMPORTRANGE(""https://docs.google.com/spreadsheets/d/1S7deMHO2waboU9dywpXeKIDfCmjiuAc0HUIsFpaXQq8/edit?gid=0#gid=0"", ""Tracking Shipments - PPTCO!o:o""), MATCH(D144, IMPORTRANGE(""https://docs.google.com/spreadsheets/d/1S7deMHO2waboU9dywpXeKIDfCmji"&amp;"uAc0HUIsFpaXQq8/edit?gid=0#gid=0"", ""Tracking Shipments - PPTCO!p:p""), 0))"),2400007.0)</f>
        <v>2400007</v>
      </c>
      <c r="C144" s="9"/>
      <c r="D144" s="9">
        <v>83073.0</v>
      </c>
      <c r="E144" s="9" t="s">
        <v>388</v>
      </c>
      <c r="F144" s="9" t="s">
        <v>169</v>
      </c>
      <c r="G144" s="9" t="s">
        <v>177</v>
      </c>
      <c r="H144" s="9" t="s">
        <v>150</v>
      </c>
      <c r="I144" s="9"/>
      <c r="J144" s="9"/>
      <c r="K144" s="9" t="s">
        <v>150</v>
      </c>
      <c r="L144" s="14" t="s">
        <v>334</v>
      </c>
      <c r="M144" s="30">
        <v>45514.0</v>
      </c>
      <c r="N144" s="14">
        <v>92024.0</v>
      </c>
      <c r="O144" s="14">
        <v>257.0</v>
      </c>
      <c r="P144" s="14">
        <v>1450.0</v>
      </c>
      <c r="Q144" s="14">
        <v>269.0</v>
      </c>
      <c r="R144" s="41">
        <v>45532.0</v>
      </c>
      <c r="S144" s="13">
        <f t="shared" si="1"/>
        <v>18</v>
      </c>
      <c r="T144" s="14" t="s">
        <v>38</v>
      </c>
      <c r="U144" s="14" t="s">
        <v>389</v>
      </c>
      <c r="V144" s="43">
        <v>45360.0</v>
      </c>
      <c r="W144" s="14"/>
      <c r="X144" s="14"/>
      <c r="Y144" s="14" t="s">
        <v>35</v>
      </c>
      <c r="Z144" s="15"/>
      <c r="AA144" s="15"/>
      <c r="AB144" s="15"/>
      <c r="AC144" s="15"/>
      <c r="AD144" s="15"/>
      <c r="AE144" s="15"/>
      <c r="AF144" s="15"/>
      <c r="AG144" s="15"/>
      <c r="AH144" s="15"/>
      <c r="AI144" s="15"/>
    </row>
    <row r="145" ht="15.75" hidden="1" customHeight="1">
      <c r="A145" s="16">
        <v>145.0</v>
      </c>
      <c r="B145" s="18" t="s">
        <v>148</v>
      </c>
      <c r="C145" s="17"/>
      <c r="D145" s="17">
        <v>164254.0</v>
      </c>
      <c r="E145" s="17" t="s">
        <v>390</v>
      </c>
      <c r="F145" s="18" t="s">
        <v>100</v>
      </c>
      <c r="G145" s="17" t="s">
        <v>177</v>
      </c>
      <c r="H145" s="17" t="s">
        <v>150</v>
      </c>
      <c r="I145" s="17"/>
      <c r="J145" s="17"/>
      <c r="K145" s="17" t="s">
        <v>150</v>
      </c>
      <c r="L145" s="18" t="s">
        <v>334</v>
      </c>
      <c r="M145" s="19">
        <v>45511.0</v>
      </c>
      <c r="N145" s="18">
        <v>92024.0</v>
      </c>
      <c r="O145" s="18">
        <v>258.0</v>
      </c>
      <c r="P145" s="18">
        <v>1452.0</v>
      </c>
      <c r="Q145" s="18">
        <v>261.0</v>
      </c>
      <c r="R145" s="42">
        <v>45525.0</v>
      </c>
      <c r="S145" s="22">
        <f t="shared" si="1"/>
        <v>14</v>
      </c>
      <c r="T145" s="18" t="s">
        <v>38</v>
      </c>
      <c r="U145" s="18" t="s">
        <v>391</v>
      </c>
      <c r="V145" s="18" t="s">
        <v>392</v>
      </c>
      <c r="W145" s="18"/>
      <c r="X145" s="18"/>
      <c r="Y145" s="18" t="s">
        <v>35</v>
      </c>
      <c r="Z145" s="24"/>
      <c r="AA145" s="24"/>
      <c r="AB145" s="24"/>
      <c r="AC145" s="24"/>
      <c r="AD145" s="24"/>
      <c r="AE145" s="24"/>
      <c r="AF145" s="24"/>
      <c r="AG145" s="24"/>
      <c r="AH145" s="24"/>
      <c r="AI145" s="24"/>
    </row>
    <row r="146" ht="15.75" hidden="1" customHeight="1">
      <c r="A146" s="8">
        <v>146.0</v>
      </c>
      <c r="B146" s="14" t="s">
        <v>148</v>
      </c>
      <c r="C146" s="9"/>
      <c r="D146" s="9">
        <v>85495.0</v>
      </c>
      <c r="E146" s="9" t="s">
        <v>393</v>
      </c>
      <c r="F146" s="9" t="s">
        <v>40</v>
      </c>
      <c r="G146" s="9" t="s">
        <v>177</v>
      </c>
      <c r="H146" s="9" t="s">
        <v>150</v>
      </c>
      <c r="I146" s="9"/>
      <c r="J146" s="9"/>
      <c r="K146" s="9" t="s">
        <v>150</v>
      </c>
      <c r="L146" s="14" t="s">
        <v>29</v>
      </c>
      <c r="M146" s="25">
        <v>45544.0</v>
      </c>
      <c r="N146" s="14">
        <v>102024.0</v>
      </c>
      <c r="O146" s="14" t="s">
        <v>394</v>
      </c>
      <c r="P146" s="14" t="s">
        <v>395</v>
      </c>
      <c r="Q146" s="14" t="s">
        <v>396</v>
      </c>
      <c r="R146" s="41">
        <v>45587.0</v>
      </c>
      <c r="S146" s="13">
        <f t="shared" si="1"/>
        <v>43</v>
      </c>
      <c r="T146" s="14" t="s">
        <v>235</v>
      </c>
      <c r="U146" s="45">
        <v>45544.0</v>
      </c>
      <c r="V146" s="9"/>
      <c r="W146" s="8"/>
      <c r="X146" s="14"/>
      <c r="Y146" s="14" t="s">
        <v>35</v>
      </c>
      <c r="Z146" s="15"/>
      <c r="AA146" s="15"/>
      <c r="AB146" s="15"/>
      <c r="AC146" s="15"/>
      <c r="AD146" s="15"/>
      <c r="AE146" s="15"/>
      <c r="AF146" s="15"/>
      <c r="AG146" s="15"/>
      <c r="AH146" s="15"/>
      <c r="AI146" s="15"/>
    </row>
    <row r="147" ht="15.75" hidden="1" customHeight="1">
      <c r="A147" s="16">
        <v>147.0</v>
      </c>
      <c r="B147" s="17" t="str">
        <f>IFERROR(__xludf.DUMMYFUNCTION("INDEX(IMPORTRANGE(""https://docs.google.com/spreadsheets/d/1S7deMHO2waboU9dywpXeKIDfCmjiuAc0HUIsFpaXQq8/edit?gid=0#gid=0"", ""Tracking Shipments - PPTCO!o:o""), MATCH(D147, IMPORTRANGE(""https://docs.google.com/spreadsheets/d/1S7deMHO2waboU9dywpXeKIDfCmji"&amp;"uAc0HUIsFpaXQq8/edit?gid=0#gid=0"", ""Tracking Shipments - PPTCO!p:p""), 0))"),"PPT-130")</f>
        <v>PPT-130</v>
      </c>
      <c r="C147" s="17"/>
      <c r="D147" s="17">
        <v>86352.0</v>
      </c>
      <c r="E147" s="17" t="s">
        <v>397</v>
      </c>
      <c r="F147" s="18" t="s">
        <v>43</v>
      </c>
      <c r="G147" s="17" t="s">
        <v>177</v>
      </c>
      <c r="H147" s="17" t="s">
        <v>150</v>
      </c>
      <c r="I147" s="17"/>
      <c r="J147" s="17"/>
      <c r="K147" s="17" t="s">
        <v>150</v>
      </c>
      <c r="L147" s="18" t="s">
        <v>334</v>
      </c>
      <c r="M147" s="27">
        <v>45522.0</v>
      </c>
      <c r="N147" s="17"/>
      <c r="O147" s="18" t="s">
        <v>398</v>
      </c>
      <c r="P147" s="18" t="s">
        <v>399</v>
      </c>
      <c r="Q147" s="18" t="s">
        <v>400</v>
      </c>
      <c r="R147" s="27">
        <v>45538.0</v>
      </c>
      <c r="S147" s="22">
        <f t="shared" si="1"/>
        <v>16</v>
      </c>
      <c r="T147" s="18" t="s">
        <v>38</v>
      </c>
      <c r="U147" s="18" t="s">
        <v>389</v>
      </c>
      <c r="V147" s="44">
        <v>45360.0</v>
      </c>
      <c r="W147" s="18"/>
      <c r="X147" s="18"/>
      <c r="Y147" s="18" t="s">
        <v>35</v>
      </c>
      <c r="Z147" s="24"/>
      <c r="AA147" s="24"/>
      <c r="AB147" s="24"/>
      <c r="AC147" s="24"/>
      <c r="AD147" s="24"/>
      <c r="AE147" s="24"/>
      <c r="AF147" s="24"/>
      <c r="AG147" s="24"/>
      <c r="AH147" s="24"/>
      <c r="AI147" s="24"/>
    </row>
    <row r="148" ht="15.75" hidden="1" customHeight="1">
      <c r="A148" s="8">
        <v>148.0</v>
      </c>
      <c r="B148" s="9">
        <f>IFERROR(__xludf.DUMMYFUNCTION("INDEX(IMPORTRANGE(""https://docs.google.com/spreadsheets/d/1S7deMHO2waboU9dywpXeKIDfCmjiuAc0HUIsFpaXQq8/edit?gid=0#gid=0"", ""Tracking Shipments - PPTCO!o:o""), MATCH(D148, IMPORTRANGE(""https://docs.google.com/spreadsheets/d/1S7deMHO2waboU9dywpXeKIDfCmji"&amp;"uAc0HUIsFpaXQq8/edit?gid=0#gid=0"", ""Tracking Shipments - PPTCO!p:p""), 0))"),2400004.0)</f>
        <v>2400004</v>
      </c>
      <c r="C148" s="9"/>
      <c r="D148" s="9">
        <v>86009.0</v>
      </c>
      <c r="E148" s="9" t="s">
        <v>401</v>
      </c>
      <c r="F148" s="9" t="s">
        <v>81</v>
      </c>
      <c r="G148" s="9" t="s">
        <v>177</v>
      </c>
      <c r="H148" s="9" t="s">
        <v>150</v>
      </c>
      <c r="I148" s="9"/>
      <c r="J148" s="9"/>
      <c r="K148" s="9" t="s">
        <v>150</v>
      </c>
      <c r="L148" s="14" t="s">
        <v>334</v>
      </c>
      <c r="M148" s="25">
        <v>45522.0</v>
      </c>
      <c r="N148" s="14">
        <v>92024.0</v>
      </c>
      <c r="O148" s="14" t="s">
        <v>402</v>
      </c>
      <c r="P148" s="14" t="s">
        <v>403</v>
      </c>
      <c r="Q148" s="14" t="s">
        <v>404</v>
      </c>
      <c r="R148" s="41">
        <v>45533.0</v>
      </c>
      <c r="S148" s="13">
        <f t="shared" si="1"/>
        <v>11</v>
      </c>
      <c r="T148" s="9"/>
      <c r="U148" s="9"/>
      <c r="V148" s="9"/>
      <c r="W148" s="14"/>
      <c r="X148" s="14"/>
      <c r="Y148" s="14" t="s">
        <v>35</v>
      </c>
      <c r="Z148" s="15"/>
      <c r="AA148" s="15"/>
      <c r="AB148" s="15"/>
      <c r="AC148" s="15"/>
      <c r="AD148" s="15"/>
      <c r="AE148" s="15"/>
      <c r="AF148" s="15"/>
      <c r="AG148" s="15"/>
      <c r="AH148" s="15"/>
      <c r="AI148" s="15"/>
    </row>
    <row r="149" ht="15.75" hidden="1" customHeight="1">
      <c r="A149" s="16">
        <v>149.0</v>
      </c>
      <c r="B149" s="17" t="str">
        <f>IFERROR(__xludf.DUMMYFUNCTION("INDEX(IMPORTRANGE(""https://docs.google.com/spreadsheets/d/1S7deMHO2waboU9dywpXeKIDfCmjiuAc0HUIsFpaXQq8/edit?gid=0#gid=0"", ""Tracking Shipments - PPTCO!o:o""), MATCH(D149, IMPORTRANGE(""https://docs.google.com/spreadsheets/d/1S7deMHO2waboU9dywpXeKIDfCmji"&amp;"uAc0HUIsFpaXQq8/edit?gid=0#gid=0"", ""Tracking Shipments - PPTCO!p:p""), 0))"),"PPT-130")</f>
        <v>PPT-130</v>
      </c>
      <c r="C149" s="17"/>
      <c r="D149" s="17">
        <v>81261.0</v>
      </c>
      <c r="E149" s="17" t="s">
        <v>405</v>
      </c>
      <c r="F149" s="18" t="s">
        <v>43</v>
      </c>
      <c r="G149" s="17" t="s">
        <v>177</v>
      </c>
      <c r="H149" s="17" t="s">
        <v>150</v>
      </c>
      <c r="I149" s="17"/>
      <c r="J149" s="17"/>
      <c r="K149" s="17" t="s">
        <v>150</v>
      </c>
      <c r="L149" s="18" t="s">
        <v>334</v>
      </c>
      <c r="M149" s="27">
        <v>45524.0</v>
      </c>
      <c r="N149" s="17"/>
      <c r="O149" s="18" t="s">
        <v>406</v>
      </c>
      <c r="P149" s="18" t="s">
        <v>407</v>
      </c>
      <c r="Q149" s="18" t="s">
        <v>408</v>
      </c>
      <c r="R149" s="42">
        <v>45538.0</v>
      </c>
      <c r="S149" s="22">
        <f t="shared" si="1"/>
        <v>14</v>
      </c>
      <c r="T149" s="18" t="s">
        <v>38</v>
      </c>
      <c r="U149" s="18" t="s">
        <v>389</v>
      </c>
      <c r="V149" s="44">
        <v>45360.0</v>
      </c>
      <c r="W149" s="16"/>
      <c r="X149" s="18"/>
      <c r="Y149" s="18" t="s">
        <v>35</v>
      </c>
      <c r="Z149" s="24"/>
      <c r="AA149" s="24"/>
      <c r="AB149" s="24"/>
      <c r="AC149" s="24"/>
      <c r="AD149" s="24"/>
      <c r="AE149" s="24"/>
      <c r="AF149" s="24"/>
      <c r="AG149" s="24"/>
      <c r="AH149" s="24"/>
      <c r="AI149" s="24"/>
    </row>
    <row r="150" ht="15.75" hidden="1" customHeight="1">
      <c r="A150" s="8">
        <v>150.0</v>
      </c>
      <c r="B150" s="9">
        <f>IFERROR(__xludf.DUMMYFUNCTION("INDEX(IMPORTRANGE(""https://docs.google.com/spreadsheets/d/1S7deMHO2waboU9dywpXeKIDfCmjiuAc0HUIsFpaXQq8/edit?gid=0#gid=0"", ""Tracking Shipments - PPTCO!o:o""), MATCH(D150, IMPORTRANGE(""https://docs.google.com/spreadsheets/d/1S7deMHO2waboU9dywpXeKIDfCmji"&amp;"uAc0HUIsFpaXQq8/edit?gid=0#gid=0"", ""Tracking Shipments - PPTCO!p:p""), 0))"),2400004.0)</f>
        <v>2400004</v>
      </c>
      <c r="C150" s="9"/>
      <c r="D150" s="9">
        <v>86058.0</v>
      </c>
      <c r="E150" s="9" t="s">
        <v>409</v>
      </c>
      <c r="F150" s="9" t="s">
        <v>81</v>
      </c>
      <c r="G150" s="9" t="s">
        <v>177</v>
      </c>
      <c r="H150" s="9" t="s">
        <v>150</v>
      </c>
      <c r="I150" s="9"/>
      <c r="J150" s="9"/>
      <c r="K150" s="9" t="s">
        <v>150</v>
      </c>
      <c r="L150" s="14" t="s">
        <v>334</v>
      </c>
      <c r="M150" s="25">
        <v>45522.0</v>
      </c>
      <c r="N150" s="14">
        <v>92024.0</v>
      </c>
      <c r="O150" s="14">
        <v>264.0</v>
      </c>
      <c r="P150" s="14">
        <v>1544.0</v>
      </c>
      <c r="Q150" s="14">
        <v>263.0</v>
      </c>
      <c r="R150" s="41">
        <v>45531.0</v>
      </c>
      <c r="S150" s="13">
        <f t="shared" si="1"/>
        <v>9</v>
      </c>
      <c r="T150" s="14" t="s">
        <v>38</v>
      </c>
      <c r="U150" s="9"/>
      <c r="V150" s="14" t="s">
        <v>410</v>
      </c>
      <c r="W150" s="14"/>
      <c r="X150" s="14"/>
      <c r="Y150" s="14" t="s">
        <v>35</v>
      </c>
      <c r="Z150" s="15"/>
      <c r="AA150" s="15"/>
      <c r="AB150" s="15"/>
      <c r="AC150" s="15"/>
      <c r="AD150" s="15"/>
      <c r="AE150" s="15"/>
      <c r="AF150" s="15"/>
      <c r="AG150" s="15"/>
      <c r="AH150" s="15"/>
      <c r="AI150" s="15"/>
    </row>
    <row r="151" ht="15.75" hidden="1" customHeight="1">
      <c r="A151" s="16">
        <v>151.0</v>
      </c>
      <c r="B151" s="18" t="s">
        <v>148</v>
      </c>
      <c r="C151" s="17"/>
      <c r="D151" s="17">
        <v>169166.0</v>
      </c>
      <c r="E151" s="17" t="s">
        <v>411</v>
      </c>
      <c r="F151" s="18" t="s">
        <v>350</v>
      </c>
      <c r="G151" s="17" t="s">
        <v>177</v>
      </c>
      <c r="H151" s="17" t="s">
        <v>150</v>
      </c>
      <c r="I151" s="17"/>
      <c r="J151" s="17"/>
      <c r="K151" s="17" t="s">
        <v>150</v>
      </c>
      <c r="L151" s="18" t="s">
        <v>334</v>
      </c>
      <c r="M151" s="27">
        <v>45517.0</v>
      </c>
      <c r="N151" s="18">
        <v>112024.0</v>
      </c>
      <c r="O151" s="18">
        <v>330.0</v>
      </c>
      <c r="P151" s="18">
        <v>1799.0</v>
      </c>
      <c r="Q151" s="18">
        <v>307.0</v>
      </c>
      <c r="R151" s="42">
        <v>45577.0</v>
      </c>
      <c r="S151" s="22">
        <f t="shared" si="1"/>
        <v>60</v>
      </c>
      <c r="T151" s="18" t="s">
        <v>38</v>
      </c>
      <c r="U151" s="18" t="s">
        <v>391</v>
      </c>
      <c r="V151" s="18" t="s">
        <v>392</v>
      </c>
      <c r="W151" s="18"/>
      <c r="X151" s="18"/>
      <c r="Y151" s="18" t="s">
        <v>35</v>
      </c>
      <c r="Z151" s="24"/>
      <c r="AA151" s="24"/>
      <c r="AB151" s="24"/>
      <c r="AC151" s="24"/>
      <c r="AD151" s="24"/>
      <c r="AE151" s="24"/>
      <c r="AF151" s="24"/>
      <c r="AG151" s="24"/>
      <c r="AH151" s="24"/>
      <c r="AI151" s="24"/>
    </row>
    <row r="152" ht="15.75" hidden="1" customHeight="1">
      <c r="A152" s="8">
        <v>152.0</v>
      </c>
      <c r="B152" s="9" t="str">
        <f>IFERROR(__xludf.DUMMYFUNCTION("INDEX(IMPORTRANGE(""https://docs.google.com/spreadsheets/d/1S7deMHO2waboU9dywpXeKIDfCmjiuAc0HUIsFpaXQq8/edit?gid=0#gid=0"", ""Tracking Shipments - PPTCO!o:o""), MATCH(D152, IMPORTRANGE(""https://docs.google.com/spreadsheets/d/1S7deMHO2waboU9dywpXeKIDfCmji"&amp;"uAc0HUIsFpaXQq8/edit?gid=0#gid=0"", ""Tracking Shipments - PPTCO!p:p""), 0))"),"PPT-144")</f>
        <v>PPT-144</v>
      </c>
      <c r="C152" s="9"/>
      <c r="D152" s="9">
        <v>169704.0</v>
      </c>
      <c r="E152" s="9" t="s">
        <v>412</v>
      </c>
      <c r="F152" s="9" t="s">
        <v>413</v>
      </c>
      <c r="G152" s="9" t="s">
        <v>177</v>
      </c>
      <c r="H152" s="9" t="s">
        <v>150</v>
      </c>
      <c r="I152" s="9"/>
      <c r="J152" s="9"/>
      <c r="K152" s="9" t="s">
        <v>150</v>
      </c>
      <c r="L152" s="14" t="s">
        <v>334</v>
      </c>
      <c r="M152" s="25">
        <v>45523.0</v>
      </c>
      <c r="N152" s="14">
        <v>112024.0</v>
      </c>
      <c r="O152" s="14" t="s">
        <v>414</v>
      </c>
      <c r="P152" s="14" t="s">
        <v>415</v>
      </c>
      <c r="Q152" s="14" t="s">
        <v>416</v>
      </c>
      <c r="R152" s="41">
        <v>45600.0</v>
      </c>
      <c r="S152" s="13">
        <f t="shared" si="1"/>
        <v>77</v>
      </c>
      <c r="T152" s="14" t="s">
        <v>38</v>
      </c>
      <c r="U152" s="14" t="s">
        <v>389</v>
      </c>
      <c r="V152" s="43">
        <v>45360.0</v>
      </c>
      <c r="W152" s="8"/>
      <c r="X152" s="14"/>
      <c r="Y152" s="14" t="s">
        <v>35</v>
      </c>
      <c r="Z152" s="15"/>
      <c r="AA152" s="15"/>
      <c r="AB152" s="15"/>
      <c r="AC152" s="15"/>
      <c r="AD152" s="15"/>
      <c r="AE152" s="15"/>
      <c r="AF152" s="15"/>
      <c r="AG152" s="15"/>
      <c r="AH152" s="15"/>
      <c r="AI152" s="15"/>
    </row>
    <row r="153" ht="15.75" hidden="1" customHeight="1">
      <c r="A153" s="16">
        <v>153.0</v>
      </c>
      <c r="B153" s="18" t="s">
        <v>148</v>
      </c>
      <c r="C153" s="18"/>
      <c r="D153" s="18">
        <v>173216.0</v>
      </c>
      <c r="E153" s="18" t="s">
        <v>417</v>
      </c>
      <c r="F153" s="18" t="s">
        <v>92</v>
      </c>
      <c r="G153" s="18" t="s">
        <v>241</v>
      </c>
      <c r="H153" s="18" t="s">
        <v>150</v>
      </c>
      <c r="I153" s="17"/>
      <c r="J153" s="17"/>
      <c r="K153" s="17" t="s">
        <v>150</v>
      </c>
      <c r="L153" s="18" t="s">
        <v>334</v>
      </c>
      <c r="M153" s="27">
        <v>45523.0</v>
      </c>
      <c r="N153" s="18"/>
      <c r="O153" s="18" t="s">
        <v>418</v>
      </c>
      <c r="P153" s="18" t="s">
        <v>419</v>
      </c>
      <c r="Q153" s="18" t="s">
        <v>420</v>
      </c>
      <c r="R153" s="42">
        <v>45573.0</v>
      </c>
      <c r="S153" s="22">
        <f t="shared" si="1"/>
        <v>50</v>
      </c>
      <c r="T153" s="18" t="s">
        <v>38</v>
      </c>
      <c r="U153" s="18"/>
      <c r="V153" s="18"/>
      <c r="W153" s="18"/>
      <c r="X153" s="18"/>
      <c r="Y153" s="18" t="s">
        <v>35</v>
      </c>
      <c r="Z153" s="24"/>
      <c r="AA153" s="24"/>
      <c r="AB153" s="24"/>
      <c r="AC153" s="24"/>
      <c r="AD153" s="24"/>
      <c r="AE153" s="24"/>
      <c r="AF153" s="24"/>
      <c r="AG153" s="24"/>
      <c r="AH153" s="24"/>
      <c r="AI153" s="24"/>
    </row>
    <row r="154" ht="15.75" hidden="1" customHeight="1">
      <c r="A154" s="8">
        <v>154.0</v>
      </c>
      <c r="B154" s="14" t="s">
        <v>148</v>
      </c>
      <c r="C154" s="14"/>
      <c r="D154" s="14">
        <v>175150.0</v>
      </c>
      <c r="E154" s="14" t="s">
        <v>421</v>
      </c>
      <c r="F154" s="9" t="s">
        <v>122</v>
      </c>
      <c r="G154" s="14" t="s">
        <v>177</v>
      </c>
      <c r="H154" s="14" t="s">
        <v>150</v>
      </c>
      <c r="I154" s="9"/>
      <c r="J154" s="9"/>
      <c r="K154" s="9" t="s">
        <v>150</v>
      </c>
      <c r="L154" s="14" t="s">
        <v>334</v>
      </c>
      <c r="M154" s="25">
        <v>45526.0</v>
      </c>
      <c r="N154" s="14">
        <v>92024.0</v>
      </c>
      <c r="O154" s="14" t="s">
        <v>422</v>
      </c>
      <c r="P154" s="14" t="s">
        <v>423</v>
      </c>
      <c r="Q154" s="14" t="s">
        <v>424</v>
      </c>
      <c r="R154" s="41">
        <v>45532.0</v>
      </c>
      <c r="S154" s="13">
        <f t="shared" si="1"/>
        <v>6</v>
      </c>
      <c r="T154" s="14" t="s">
        <v>38</v>
      </c>
      <c r="U154" s="14" t="s">
        <v>389</v>
      </c>
      <c r="V154" s="43">
        <v>45360.0</v>
      </c>
      <c r="W154" s="14"/>
      <c r="X154" s="14"/>
      <c r="Y154" s="14" t="s">
        <v>35</v>
      </c>
      <c r="Z154" s="15"/>
      <c r="AA154" s="15"/>
      <c r="AB154" s="15"/>
      <c r="AC154" s="15"/>
      <c r="AD154" s="15"/>
      <c r="AE154" s="15"/>
      <c r="AF154" s="15"/>
      <c r="AG154" s="15"/>
      <c r="AH154" s="15"/>
      <c r="AI154" s="15"/>
    </row>
    <row r="155" ht="15.75" hidden="1" customHeight="1">
      <c r="A155" s="16">
        <v>155.0</v>
      </c>
      <c r="B155" s="17" t="str">
        <f>IFERROR(__xludf.DUMMYFUNCTION("INDEX(IMPORTRANGE(""https://docs.google.com/spreadsheets/d/1S7deMHO2waboU9dywpXeKIDfCmjiuAc0HUIsFpaXQq8/edit?gid=0#gid=0"", ""Tracking Shipments - PPTCO!o:o""), MATCH(D155, IMPORTRANGE(""https://docs.google.com/spreadsheets/d/1S7deMHO2waboU9dywpXeKIDfCmji"&amp;"uAc0HUIsFpaXQq8/edit?gid=0#gid=0"", ""Tracking Shipments - PPTCO!p:p""), 0))"),"PPT-148")</f>
        <v>PPT-148</v>
      </c>
      <c r="C155" s="18"/>
      <c r="D155" s="18">
        <v>91290.0</v>
      </c>
      <c r="E155" s="18" t="s">
        <v>425</v>
      </c>
      <c r="F155" s="18" t="s">
        <v>37</v>
      </c>
      <c r="G155" s="18" t="s">
        <v>177</v>
      </c>
      <c r="H155" s="18" t="s">
        <v>150</v>
      </c>
      <c r="I155" s="17"/>
      <c r="J155" s="17"/>
      <c r="K155" s="17" t="s">
        <v>150</v>
      </c>
      <c r="L155" s="18" t="s">
        <v>334</v>
      </c>
      <c r="M155" s="46">
        <v>45542.0</v>
      </c>
      <c r="N155" s="18">
        <v>102024.0</v>
      </c>
      <c r="O155" s="18">
        <v>273.0</v>
      </c>
      <c r="P155" s="18">
        <v>1660.0</v>
      </c>
      <c r="Q155" s="18">
        <v>291.0</v>
      </c>
      <c r="R155" s="42">
        <v>45564.0</v>
      </c>
      <c r="S155" s="22">
        <f t="shared" si="1"/>
        <v>22</v>
      </c>
      <c r="T155" s="18" t="s">
        <v>181</v>
      </c>
      <c r="U155" s="18"/>
      <c r="V155" s="18"/>
      <c r="W155" s="16"/>
      <c r="X155" s="18"/>
      <c r="Y155" s="18" t="s">
        <v>35</v>
      </c>
      <c r="Z155" s="24"/>
      <c r="AA155" s="24"/>
      <c r="AB155" s="24"/>
      <c r="AC155" s="24"/>
      <c r="AD155" s="24"/>
      <c r="AE155" s="24"/>
      <c r="AF155" s="24"/>
      <c r="AG155" s="24"/>
      <c r="AH155" s="24"/>
      <c r="AI155" s="24"/>
    </row>
    <row r="156" ht="15.75" hidden="1" customHeight="1">
      <c r="A156" s="8">
        <v>156.0</v>
      </c>
      <c r="B156" s="9" t="str">
        <f>IFERROR(__xludf.DUMMYFUNCTION("INDEX(IMPORTRANGE(""https://docs.google.com/spreadsheets/d/1S7deMHO2waboU9dywpXeKIDfCmjiuAc0HUIsFpaXQq8/edit?gid=0#gid=0"", ""Tracking Shipments - PPTCO!o:o""), MATCH(D156, IMPORTRANGE(""https://docs.google.com/spreadsheets/d/1S7deMHO2waboU9dywpXeKIDfCmji"&amp;"uAc0HUIsFpaXQq8/edit?gid=0#gid=0"", ""Tracking Shipments - PPTCO!p:p""), 0))"),"PPT-136")</f>
        <v>PPT-136</v>
      </c>
      <c r="C156" s="14"/>
      <c r="D156" s="14">
        <v>176895.0</v>
      </c>
      <c r="E156" s="14" t="s">
        <v>426</v>
      </c>
      <c r="F156" s="9" t="s">
        <v>40</v>
      </c>
      <c r="G156" s="14" t="s">
        <v>177</v>
      </c>
      <c r="H156" s="14" t="s">
        <v>150</v>
      </c>
      <c r="I156" s="9"/>
      <c r="J156" s="9"/>
      <c r="K156" s="9" t="s">
        <v>150</v>
      </c>
      <c r="L156" s="14" t="s">
        <v>334</v>
      </c>
      <c r="M156" s="25">
        <v>45526.0</v>
      </c>
      <c r="N156" s="14">
        <v>112024.0</v>
      </c>
      <c r="O156" s="14" t="s">
        <v>427</v>
      </c>
      <c r="P156" s="14" t="s">
        <v>428</v>
      </c>
      <c r="Q156" s="14" t="s">
        <v>429</v>
      </c>
      <c r="R156" s="41">
        <v>45532.0</v>
      </c>
      <c r="S156" s="13">
        <f t="shared" si="1"/>
        <v>6</v>
      </c>
      <c r="T156" s="14" t="s">
        <v>38</v>
      </c>
      <c r="U156" s="14" t="s">
        <v>389</v>
      </c>
      <c r="V156" s="43">
        <v>45360.0</v>
      </c>
      <c r="W156" s="14"/>
      <c r="X156" s="14"/>
      <c r="Y156" s="14" t="s">
        <v>35</v>
      </c>
      <c r="Z156" s="15"/>
      <c r="AA156" s="15"/>
      <c r="AB156" s="15"/>
      <c r="AC156" s="15"/>
      <c r="AD156" s="15"/>
      <c r="AE156" s="15"/>
      <c r="AF156" s="15"/>
      <c r="AG156" s="15"/>
      <c r="AH156" s="15"/>
      <c r="AI156" s="15"/>
    </row>
    <row r="157" ht="15.75" hidden="1" customHeight="1">
      <c r="A157" s="16">
        <v>157.0</v>
      </c>
      <c r="B157" s="17" t="str">
        <f>IFERROR(__xludf.DUMMYFUNCTION("INDEX(IMPORTRANGE(""https://docs.google.com/spreadsheets/d/1S7deMHO2waboU9dywpXeKIDfCmjiuAc0HUIsFpaXQq8/edit?gid=0#gid=0"", ""Tracking Shipments - PPTCO!o:o""), MATCH(D157, IMPORTRANGE(""https://docs.google.com/spreadsheets/d/1S7deMHO2waboU9dywpXeKIDfCmji"&amp;"uAc0HUIsFpaXQq8/edit?gid=0#gid=0"", ""Tracking Shipments - PPTCO!p:p""), 0))"),"#N/A")</f>
        <v>#N/A</v>
      </c>
      <c r="C157" s="18"/>
      <c r="D157" s="18"/>
      <c r="E157" s="18" t="s">
        <v>430</v>
      </c>
      <c r="F157" s="18" t="s">
        <v>169</v>
      </c>
      <c r="G157" s="18" t="s">
        <v>177</v>
      </c>
      <c r="H157" s="18" t="s">
        <v>150</v>
      </c>
      <c r="I157" s="17"/>
      <c r="J157" s="17"/>
      <c r="K157" s="17" t="s">
        <v>150</v>
      </c>
      <c r="L157" s="18" t="s">
        <v>334</v>
      </c>
      <c r="M157" s="27">
        <v>45523.0</v>
      </c>
      <c r="N157" s="18">
        <v>112024.0</v>
      </c>
      <c r="O157" s="18">
        <v>276.0</v>
      </c>
      <c r="P157" s="18">
        <v>1587.0</v>
      </c>
      <c r="Q157" s="18">
        <v>286.0</v>
      </c>
      <c r="R157" s="47">
        <v>45551.0</v>
      </c>
      <c r="S157" s="22">
        <f t="shared" si="1"/>
        <v>28</v>
      </c>
      <c r="T157" s="18" t="s">
        <v>181</v>
      </c>
      <c r="U157" s="18"/>
      <c r="V157" s="18"/>
      <c r="W157" s="18"/>
      <c r="X157" s="18"/>
      <c r="Y157" s="18" t="s">
        <v>35</v>
      </c>
      <c r="Z157" s="24"/>
      <c r="AA157" s="24"/>
      <c r="AB157" s="24"/>
      <c r="AC157" s="24"/>
      <c r="AD157" s="24"/>
      <c r="AE157" s="24"/>
      <c r="AF157" s="24"/>
      <c r="AG157" s="24"/>
      <c r="AH157" s="24"/>
      <c r="AI157" s="24"/>
    </row>
    <row r="158" ht="15.75" hidden="1" customHeight="1">
      <c r="A158" s="8">
        <v>158.0</v>
      </c>
      <c r="B158" s="9" t="str">
        <f>IFERROR(__xludf.DUMMYFUNCTION("INDEX(IMPORTRANGE(""https://docs.google.com/spreadsheets/d/1S7deMHO2waboU9dywpXeKIDfCmjiuAc0HUIsFpaXQq8/edit?gid=0#gid=0"", ""Tracking Shipments - PPTCO!o:o""), MATCH(D158, IMPORTRANGE(""https://docs.google.com/spreadsheets/d/1S7deMHO2waboU9dywpXeKIDfCmji"&amp;"uAc0HUIsFpaXQq8/edit?gid=0#gid=0"", ""Tracking Shipments - PPTCO!p:p""), 0))"),"FORZA 10")</f>
        <v>FORZA 10</v>
      </c>
      <c r="C158" s="14"/>
      <c r="D158" s="14">
        <v>89710.0</v>
      </c>
      <c r="E158" s="14" t="s">
        <v>431</v>
      </c>
      <c r="F158" s="9" t="s">
        <v>432</v>
      </c>
      <c r="G158" s="14" t="s">
        <v>177</v>
      </c>
      <c r="H158" s="14" t="s">
        <v>150</v>
      </c>
      <c r="I158" s="14"/>
      <c r="J158" s="14"/>
      <c r="K158" s="14" t="s">
        <v>150</v>
      </c>
      <c r="L158" s="14" t="s">
        <v>433</v>
      </c>
      <c r="M158" s="48">
        <v>45536.0</v>
      </c>
      <c r="N158" s="14">
        <v>92024.0</v>
      </c>
      <c r="O158" s="14" t="s">
        <v>434</v>
      </c>
      <c r="P158" s="14" t="s">
        <v>435</v>
      </c>
      <c r="Q158" s="14" t="s">
        <v>434</v>
      </c>
      <c r="R158" s="49">
        <v>45552.0</v>
      </c>
      <c r="S158" s="13">
        <f t="shared" si="1"/>
        <v>16</v>
      </c>
      <c r="T158" s="14" t="s">
        <v>38</v>
      </c>
      <c r="U158" s="43">
        <v>45331.0</v>
      </c>
      <c r="V158" s="43">
        <v>45331.0</v>
      </c>
      <c r="W158" s="8"/>
      <c r="X158" s="14"/>
      <c r="Y158" s="14" t="s">
        <v>35</v>
      </c>
      <c r="Z158" s="15"/>
      <c r="AA158" s="15"/>
      <c r="AB158" s="15"/>
      <c r="AC158" s="15"/>
      <c r="AD158" s="15"/>
      <c r="AE158" s="15"/>
      <c r="AF158" s="15"/>
      <c r="AG158" s="15"/>
      <c r="AH158" s="15"/>
      <c r="AI158" s="15"/>
    </row>
    <row r="159" ht="15.75" hidden="1" customHeight="1">
      <c r="A159" s="16">
        <v>159.0</v>
      </c>
      <c r="B159" s="18" t="s">
        <v>148</v>
      </c>
      <c r="C159" s="18"/>
      <c r="D159" s="18">
        <v>183789.0</v>
      </c>
      <c r="E159" s="18" t="s">
        <v>436</v>
      </c>
      <c r="F159" s="18" t="s">
        <v>350</v>
      </c>
      <c r="G159" s="18" t="s">
        <v>177</v>
      </c>
      <c r="H159" s="18" t="s">
        <v>150</v>
      </c>
      <c r="I159" s="18"/>
      <c r="J159" s="18"/>
      <c r="K159" s="18" t="s">
        <v>150</v>
      </c>
      <c r="L159" s="18" t="s">
        <v>334</v>
      </c>
      <c r="M159" s="50">
        <v>45559.0</v>
      </c>
      <c r="N159" s="18">
        <v>112024.0</v>
      </c>
      <c r="O159" s="18" t="s">
        <v>437</v>
      </c>
      <c r="P159" s="18" t="s">
        <v>438</v>
      </c>
      <c r="Q159" s="18" t="s">
        <v>439</v>
      </c>
      <c r="R159" s="47">
        <v>45608.0</v>
      </c>
      <c r="S159" s="22">
        <f t="shared" si="1"/>
        <v>49</v>
      </c>
      <c r="T159" s="18" t="s">
        <v>235</v>
      </c>
      <c r="U159" s="18"/>
      <c r="V159" s="18"/>
      <c r="W159" s="18"/>
      <c r="X159" s="18"/>
      <c r="Y159" s="18" t="s">
        <v>35</v>
      </c>
      <c r="Z159" s="24"/>
      <c r="AA159" s="24"/>
      <c r="AB159" s="24"/>
      <c r="AC159" s="24"/>
      <c r="AD159" s="24"/>
      <c r="AE159" s="24"/>
      <c r="AF159" s="24"/>
      <c r="AG159" s="24"/>
      <c r="AH159" s="24"/>
      <c r="AI159" s="24"/>
    </row>
    <row r="160" ht="15.75" hidden="1" customHeight="1">
      <c r="A160" s="8">
        <v>160.0</v>
      </c>
      <c r="B160" s="14" t="s">
        <v>148</v>
      </c>
      <c r="C160" s="14"/>
      <c r="D160" s="14">
        <v>190069.0</v>
      </c>
      <c r="E160" s="14" t="s">
        <v>440</v>
      </c>
      <c r="F160" s="9" t="s">
        <v>222</v>
      </c>
      <c r="G160" s="14" t="s">
        <v>177</v>
      </c>
      <c r="H160" s="14" t="s">
        <v>150</v>
      </c>
      <c r="I160" s="9"/>
      <c r="J160" s="9"/>
      <c r="K160" s="9" t="s">
        <v>150</v>
      </c>
      <c r="L160" s="14" t="s">
        <v>334</v>
      </c>
      <c r="M160" s="51">
        <v>45560.0</v>
      </c>
      <c r="N160" s="14">
        <v>92024.0</v>
      </c>
      <c r="O160" s="14">
        <v>290.0</v>
      </c>
      <c r="P160" s="14">
        <v>1687.0</v>
      </c>
      <c r="Q160" s="14">
        <v>290.0</v>
      </c>
      <c r="R160" s="52">
        <v>45561.0</v>
      </c>
      <c r="S160" s="13">
        <f t="shared" si="1"/>
        <v>1</v>
      </c>
      <c r="T160" s="14" t="s">
        <v>38</v>
      </c>
      <c r="U160" s="53">
        <v>45550.0</v>
      </c>
      <c r="V160" s="53">
        <v>45550.0</v>
      </c>
      <c r="W160" s="14"/>
      <c r="X160" s="14"/>
      <c r="Y160" s="14" t="s">
        <v>35</v>
      </c>
      <c r="Z160" s="15"/>
      <c r="AA160" s="15"/>
      <c r="AB160" s="15"/>
      <c r="AC160" s="15"/>
      <c r="AD160" s="15"/>
      <c r="AE160" s="15"/>
      <c r="AF160" s="15"/>
      <c r="AG160" s="15"/>
      <c r="AH160" s="15"/>
      <c r="AI160" s="15"/>
    </row>
    <row r="161" ht="15.75" hidden="1" customHeight="1">
      <c r="A161" s="16">
        <v>161.0</v>
      </c>
      <c r="B161" s="17" t="str">
        <f>IFERROR(__xludf.DUMMYFUNCTION("INDEX(IMPORTRANGE(""https://docs.google.com/spreadsheets/d/1S7deMHO2waboU9dywpXeKIDfCmjiuAc0HUIsFpaXQq8/edit?gid=0#gid=0"", ""Tracking Shipments - PPTCO!o:o""), MATCH(D161, IMPORTRANGE(""https://docs.google.com/spreadsheets/d/1S7deMHO2waboU9dywpXeKIDfCmji"&amp;"uAc0HUIsFpaXQq8/edit?gid=0#gid=0"", ""Tracking Shipments - PPTCO!p:p""), 0))"),"#N/A")</f>
        <v>#N/A</v>
      </c>
      <c r="C161" s="18"/>
      <c r="D161" s="18">
        <v>99477.0</v>
      </c>
      <c r="E161" s="18" t="s">
        <v>441</v>
      </c>
      <c r="F161" s="18" t="s">
        <v>68</v>
      </c>
      <c r="G161" s="18" t="s">
        <v>177</v>
      </c>
      <c r="H161" s="18" t="s">
        <v>150</v>
      </c>
      <c r="I161" s="18"/>
      <c r="J161" s="18"/>
      <c r="K161" s="18" t="s">
        <v>150</v>
      </c>
      <c r="L161" s="18" t="s">
        <v>334</v>
      </c>
      <c r="M161" s="46">
        <v>45560.0</v>
      </c>
      <c r="N161" s="18">
        <v>92024.0</v>
      </c>
      <c r="O161" s="18" t="s">
        <v>442</v>
      </c>
      <c r="P161" s="18" t="s">
        <v>443</v>
      </c>
      <c r="Q161" s="18" t="s">
        <v>444</v>
      </c>
      <c r="R161" s="47">
        <v>45567.0</v>
      </c>
      <c r="S161" s="22">
        <f t="shared" si="1"/>
        <v>7</v>
      </c>
      <c r="T161" s="18"/>
      <c r="U161" s="18"/>
      <c r="V161" s="18"/>
      <c r="W161" s="16"/>
      <c r="X161" s="18"/>
      <c r="Y161" s="18" t="s">
        <v>35</v>
      </c>
      <c r="Z161" s="24"/>
      <c r="AA161" s="24"/>
      <c r="AB161" s="24"/>
      <c r="AC161" s="24"/>
      <c r="AD161" s="24"/>
      <c r="AE161" s="24"/>
      <c r="AF161" s="24"/>
      <c r="AG161" s="24"/>
      <c r="AH161" s="24"/>
      <c r="AI161" s="24"/>
    </row>
    <row r="162" ht="15.75" hidden="1" customHeight="1">
      <c r="A162" s="8">
        <v>162.0</v>
      </c>
      <c r="B162" s="9">
        <f>IFERROR(__xludf.DUMMYFUNCTION("INDEX(IMPORTRANGE(""https://docs.google.com/spreadsheets/d/1S7deMHO2waboU9dywpXeKIDfCmjiuAc0HUIsFpaXQq8/edit?gid=0#gid=0"", ""Tracking Shipments - PPTCO!o:o""), MATCH(D162, IMPORTRANGE(""https://docs.google.com/spreadsheets/d/1S7deMHO2waboU9dywpXeKIDfCmji"&amp;"uAc0HUIsFpaXQq8/edit?gid=0#gid=0"", ""Tracking Shipments - PPTCO!p:p""), 0))"),2400004.0)</f>
        <v>2400004</v>
      </c>
      <c r="C162" s="14"/>
      <c r="D162" s="14">
        <v>99216.0</v>
      </c>
      <c r="E162" s="14" t="s">
        <v>445</v>
      </c>
      <c r="F162" s="9" t="s">
        <v>81</v>
      </c>
      <c r="G162" s="14" t="s">
        <v>177</v>
      </c>
      <c r="H162" s="14" t="s">
        <v>150</v>
      </c>
      <c r="I162" s="14"/>
      <c r="J162" s="14"/>
      <c r="K162" s="14" t="s">
        <v>150</v>
      </c>
      <c r="L162" s="51">
        <v>45559.0</v>
      </c>
      <c r="M162" s="51">
        <v>45564.0</v>
      </c>
      <c r="N162" s="14">
        <v>92024.0</v>
      </c>
      <c r="O162" s="14" t="s">
        <v>446</v>
      </c>
      <c r="P162" s="14" t="s">
        <v>447</v>
      </c>
      <c r="Q162" s="14" t="s">
        <v>448</v>
      </c>
      <c r="R162" s="52">
        <v>45565.0</v>
      </c>
      <c r="S162" s="13">
        <f t="shared" si="1"/>
        <v>1</v>
      </c>
      <c r="T162" s="14" t="s">
        <v>235</v>
      </c>
      <c r="U162" s="14"/>
      <c r="V162" s="14"/>
      <c r="W162" s="14"/>
      <c r="X162" s="14"/>
      <c r="Y162" s="14" t="s">
        <v>35</v>
      </c>
      <c r="Z162" s="15"/>
      <c r="AA162" s="15"/>
      <c r="AB162" s="15"/>
      <c r="AC162" s="15"/>
      <c r="AD162" s="15"/>
      <c r="AE162" s="15"/>
      <c r="AF162" s="15"/>
      <c r="AG162" s="15"/>
      <c r="AH162" s="15"/>
      <c r="AI162" s="15"/>
    </row>
    <row r="163" ht="15.75" hidden="1" customHeight="1">
      <c r="A163" s="16">
        <v>163.0</v>
      </c>
      <c r="B163" s="18" t="s">
        <v>148</v>
      </c>
      <c r="C163" s="18"/>
      <c r="D163" s="18">
        <v>190057.0</v>
      </c>
      <c r="E163" s="18" t="s">
        <v>449</v>
      </c>
      <c r="F163" s="18" t="s">
        <v>105</v>
      </c>
      <c r="G163" s="18" t="s">
        <v>177</v>
      </c>
      <c r="H163" s="18" t="s">
        <v>150</v>
      </c>
      <c r="I163" s="18"/>
      <c r="J163" s="18"/>
      <c r="K163" s="18" t="s">
        <v>150</v>
      </c>
      <c r="L163" s="18" t="s">
        <v>334</v>
      </c>
      <c r="M163" s="46">
        <v>45560.0</v>
      </c>
      <c r="N163" s="18">
        <v>112024.0</v>
      </c>
      <c r="O163" s="18" t="s">
        <v>450</v>
      </c>
      <c r="P163" s="18" t="s">
        <v>451</v>
      </c>
      <c r="Q163" s="18" t="s">
        <v>452</v>
      </c>
      <c r="R163" s="54">
        <v>45577.0</v>
      </c>
      <c r="S163" s="22">
        <f t="shared" si="1"/>
        <v>17</v>
      </c>
      <c r="T163" s="18" t="s">
        <v>181</v>
      </c>
      <c r="U163" s="18"/>
      <c r="V163" s="18"/>
      <c r="W163" s="18"/>
      <c r="X163" s="18"/>
      <c r="Y163" s="18" t="s">
        <v>35</v>
      </c>
      <c r="Z163" s="24"/>
      <c r="AA163" s="24"/>
      <c r="AB163" s="24"/>
      <c r="AC163" s="24"/>
      <c r="AD163" s="24"/>
      <c r="AE163" s="24"/>
      <c r="AF163" s="24"/>
      <c r="AG163" s="24"/>
      <c r="AH163" s="24"/>
      <c r="AI163" s="24"/>
    </row>
    <row r="164" ht="15.75" hidden="1" customHeight="1">
      <c r="A164" s="8">
        <v>164.0</v>
      </c>
      <c r="B164" s="9" t="str">
        <f>IFERROR(__xludf.DUMMYFUNCTION("INDEX(IMPORTRANGE(""https://docs.google.com/spreadsheets/d/1S7deMHO2waboU9dywpXeKIDfCmjiuAc0HUIsFpaXQq8/edit?gid=0#gid=0"", ""Tracking Shipments - PPTCO!o:o""), MATCH(D164, IMPORTRANGE(""https://docs.google.com/spreadsheets/d/1S7deMHO2waboU9dywpXeKIDfCmji"&amp;"uAc0HUIsFpaXQq8/edit?gid=0#gid=0"", ""Tracking Shipments - PPTCO!p:p""), 0))"),"PPT-138")</f>
        <v>PPT-138</v>
      </c>
      <c r="C164" s="14"/>
      <c r="D164" s="14">
        <v>99226.0</v>
      </c>
      <c r="E164" s="14" t="s">
        <v>453</v>
      </c>
      <c r="F164" s="9" t="s">
        <v>37</v>
      </c>
      <c r="G164" s="14" t="s">
        <v>177</v>
      </c>
      <c r="H164" s="14" t="s">
        <v>150</v>
      </c>
      <c r="I164" s="14"/>
      <c r="J164" s="14"/>
      <c r="K164" s="14" t="s">
        <v>150</v>
      </c>
      <c r="L164" s="14" t="s">
        <v>334</v>
      </c>
      <c r="M164" s="55">
        <v>45573.0</v>
      </c>
      <c r="N164" s="14"/>
      <c r="O164" s="14">
        <v>304.0</v>
      </c>
      <c r="P164" s="14">
        <v>1792.0</v>
      </c>
      <c r="Q164" s="14">
        <v>308.0</v>
      </c>
      <c r="R164" s="49">
        <v>45577.0</v>
      </c>
      <c r="S164" s="13">
        <f t="shared" si="1"/>
        <v>4</v>
      </c>
      <c r="T164" s="14"/>
      <c r="U164" s="14"/>
      <c r="V164" s="14"/>
      <c r="W164" s="8"/>
      <c r="X164" s="14"/>
      <c r="Y164" s="14" t="s">
        <v>35</v>
      </c>
      <c r="Z164" s="15"/>
      <c r="AA164" s="15"/>
      <c r="AB164" s="15"/>
      <c r="AC164" s="15"/>
      <c r="AD164" s="15"/>
      <c r="AE164" s="15"/>
      <c r="AF164" s="15"/>
      <c r="AG164" s="15"/>
      <c r="AH164" s="15"/>
      <c r="AI164" s="15"/>
    </row>
    <row r="165" ht="15.75" hidden="1" customHeight="1">
      <c r="A165" s="16">
        <v>165.0</v>
      </c>
      <c r="B165" s="18" t="s">
        <v>148</v>
      </c>
      <c r="C165" s="18"/>
      <c r="D165" s="18">
        <v>194697.0</v>
      </c>
      <c r="E165" s="18" t="s">
        <v>454</v>
      </c>
      <c r="F165" s="18" t="s">
        <v>350</v>
      </c>
      <c r="G165" s="18" t="s">
        <v>177</v>
      </c>
      <c r="H165" s="18" t="s">
        <v>150</v>
      </c>
      <c r="I165" s="18"/>
      <c r="J165" s="18"/>
      <c r="K165" s="18" t="s">
        <v>150</v>
      </c>
      <c r="L165" s="18" t="s">
        <v>334</v>
      </c>
      <c r="M165" s="46">
        <v>45560.0</v>
      </c>
      <c r="N165" s="18">
        <v>112024.0</v>
      </c>
      <c r="O165" s="18">
        <v>351.0</v>
      </c>
      <c r="P165" s="18">
        <v>1976.0</v>
      </c>
      <c r="Q165" s="18">
        <v>357.0</v>
      </c>
      <c r="R165" s="47">
        <v>45607.0</v>
      </c>
      <c r="S165" s="22">
        <f t="shared" si="1"/>
        <v>47</v>
      </c>
      <c r="T165" s="18" t="s">
        <v>38</v>
      </c>
      <c r="U165" s="56">
        <v>45546.0</v>
      </c>
      <c r="V165" s="18"/>
      <c r="W165" s="18"/>
      <c r="X165" s="18"/>
      <c r="Y165" s="18" t="s">
        <v>35</v>
      </c>
      <c r="Z165" s="24"/>
      <c r="AA165" s="24"/>
      <c r="AB165" s="24"/>
      <c r="AC165" s="24"/>
      <c r="AD165" s="24"/>
      <c r="AE165" s="24"/>
      <c r="AF165" s="24"/>
      <c r="AG165" s="24"/>
      <c r="AH165" s="24"/>
      <c r="AI165" s="24"/>
    </row>
    <row r="166" ht="15.75" hidden="1" customHeight="1">
      <c r="A166" s="8">
        <v>166.0</v>
      </c>
      <c r="B166" s="9" t="str">
        <f>IFERROR(__xludf.DUMMYFUNCTION("INDEX(IMPORTRANGE(""https://docs.google.com/spreadsheets/d/1S7deMHO2waboU9dywpXeKIDfCmjiuAc0HUIsFpaXQq8/edit?gid=0#gid=0"", ""Tracking Shipments - PPTCO!o:o""), MATCH(D166, IMPORTRANGE(""https://docs.google.com/spreadsheets/d/1S7deMHO2waboU9dywpXeKIDfCmji"&amp;"uAc0HUIsFpaXQq8/edit?gid=0#gid=0"", ""Tracking Shipments - PPTCO!p:p""), 0))"),"C00009083")</f>
        <v>C00009083</v>
      </c>
      <c r="C166" s="14"/>
      <c r="D166" s="14">
        <v>196520.0</v>
      </c>
      <c r="E166" s="14" t="s">
        <v>455</v>
      </c>
      <c r="F166" s="9" t="s">
        <v>312</v>
      </c>
      <c r="G166" s="14" t="s">
        <v>177</v>
      </c>
      <c r="H166" s="14" t="s">
        <v>150</v>
      </c>
      <c r="I166" s="14"/>
      <c r="J166" s="14"/>
      <c r="K166" s="14" t="s">
        <v>150</v>
      </c>
      <c r="L166" s="14" t="s">
        <v>29</v>
      </c>
      <c r="M166" s="51">
        <v>45549.0</v>
      </c>
      <c r="N166" s="14">
        <v>102024.0</v>
      </c>
      <c r="O166" s="14">
        <v>336.0</v>
      </c>
      <c r="P166" s="14">
        <v>1829.0</v>
      </c>
      <c r="Q166" s="14">
        <v>320.0</v>
      </c>
      <c r="R166" s="49">
        <v>45585.0</v>
      </c>
      <c r="S166" s="13">
        <f t="shared" si="1"/>
        <v>36</v>
      </c>
      <c r="T166" s="14" t="s">
        <v>38</v>
      </c>
      <c r="U166" s="14"/>
      <c r="V166" s="14"/>
      <c r="W166" s="14"/>
      <c r="X166" s="14" t="s">
        <v>456</v>
      </c>
      <c r="Y166" s="14" t="s">
        <v>35</v>
      </c>
      <c r="Z166" s="15"/>
      <c r="AA166" s="15"/>
      <c r="AB166" s="15"/>
      <c r="AC166" s="15"/>
      <c r="AD166" s="15"/>
      <c r="AE166" s="15"/>
      <c r="AF166" s="15"/>
      <c r="AG166" s="15"/>
      <c r="AH166" s="15"/>
      <c r="AI166" s="15"/>
    </row>
    <row r="167" ht="15.75" hidden="1" customHeight="1">
      <c r="A167" s="16">
        <v>167.0</v>
      </c>
      <c r="B167" s="17" t="str">
        <f>IFERROR(__xludf.DUMMYFUNCTION("INDEX(IMPORTRANGE(""https://docs.google.com/spreadsheets/d/1S7deMHO2waboU9dywpXeKIDfCmjiuAc0HUIsFpaXQq8/edit?gid=0#gid=0"", ""Tracking Shipments - PPTCO!o:o""), MATCH(D167, IMPORTRANGE(""https://docs.google.com/spreadsheets/d/1S7deMHO2waboU9dywpXeKIDfCmji"&amp;"uAc0HUIsFpaXQq8/edit?gid=0#gid=0"", ""Tracking Shipments - PPTCO!p:p""), 0))"),"PPT-143")</f>
        <v>PPT-143</v>
      </c>
      <c r="C167" s="18"/>
      <c r="D167" s="18">
        <v>100987.0</v>
      </c>
      <c r="E167" s="18" t="s">
        <v>457</v>
      </c>
      <c r="F167" s="18" t="s">
        <v>169</v>
      </c>
      <c r="G167" s="18" t="s">
        <v>177</v>
      </c>
      <c r="H167" s="18" t="s">
        <v>150</v>
      </c>
      <c r="I167" s="18"/>
      <c r="J167" s="18"/>
      <c r="K167" s="18" t="s">
        <v>150</v>
      </c>
      <c r="L167" s="18" t="s">
        <v>29</v>
      </c>
      <c r="M167" s="50">
        <v>45561.0</v>
      </c>
      <c r="N167" s="18">
        <v>122024.0</v>
      </c>
      <c r="O167" s="18">
        <v>355.0</v>
      </c>
      <c r="P167" s="18">
        <v>1974.0</v>
      </c>
      <c r="Q167" s="18">
        <v>358.0</v>
      </c>
      <c r="R167" s="47">
        <v>45607.0</v>
      </c>
      <c r="S167" s="22">
        <f t="shared" si="1"/>
        <v>46</v>
      </c>
      <c r="T167" s="18" t="s">
        <v>38</v>
      </c>
      <c r="U167" s="18"/>
      <c r="V167" s="18"/>
      <c r="W167" s="16"/>
      <c r="X167" s="18"/>
      <c r="Y167" s="18" t="s">
        <v>35</v>
      </c>
      <c r="Z167" s="24"/>
      <c r="AA167" s="24"/>
      <c r="AB167" s="24"/>
      <c r="AC167" s="24"/>
      <c r="AD167" s="24"/>
      <c r="AE167" s="24"/>
      <c r="AF167" s="24"/>
      <c r="AG167" s="24"/>
      <c r="AH167" s="24"/>
      <c r="AI167" s="24"/>
    </row>
    <row r="168" ht="15.75" hidden="1" customHeight="1">
      <c r="A168" s="8">
        <v>168.0</v>
      </c>
      <c r="B168" s="9" t="str">
        <f>IFERROR(__xludf.DUMMYFUNCTION("INDEX(IMPORTRANGE(""https://docs.google.com/spreadsheets/d/1S7deMHO2waboU9dywpXeKIDfCmjiuAc0HUIsFpaXQq8/edit?gid=0#gid=0"", ""Tracking Shipments - PPTCO!o:o""), MATCH(D168, IMPORTRANGE(""https://docs.google.com/spreadsheets/d/1S7deMHO2waboU9dywpXeKIDfCmji"&amp;"uAc0HUIsFpaXQq8/edit?gid=0#gid=0"", ""Tracking Shipments - PPTCO!p:p""), 0))"),"PPT-121")</f>
        <v>PPT-121</v>
      </c>
      <c r="C168" s="14"/>
      <c r="D168" s="14">
        <v>100999.0</v>
      </c>
      <c r="E168" s="14" t="s">
        <v>458</v>
      </c>
      <c r="F168" s="9" t="s">
        <v>169</v>
      </c>
      <c r="G168" s="14" t="s">
        <v>177</v>
      </c>
      <c r="H168" s="14" t="s">
        <v>150</v>
      </c>
      <c r="I168" s="14"/>
      <c r="J168" s="14"/>
      <c r="K168" s="14" t="s">
        <v>150</v>
      </c>
      <c r="L168" s="14" t="s">
        <v>334</v>
      </c>
      <c r="M168" s="49">
        <v>45566.0</v>
      </c>
      <c r="N168" s="14">
        <v>102024.0</v>
      </c>
      <c r="O168" s="14">
        <v>305.0</v>
      </c>
      <c r="P168" s="14">
        <v>1797.0</v>
      </c>
      <c r="Q168" s="14">
        <v>319.0</v>
      </c>
      <c r="R168" s="52">
        <v>45582.0</v>
      </c>
      <c r="S168" s="13">
        <f t="shared" si="1"/>
        <v>16</v>
      </c>
      <c r="T168" s="14" t="s">
        <v>38</v>
      </c>
      <c r="U168" s="14"/>
      <c r="V168" s="14"/>
      <c r="W168" s="14"/>
      <c r="X168" s="14"/>
      <c r="Y168" s="14" t="s">
        <v>35</v>
      </c>
      <c r="Z168" s="15"/>
      <c r="AA168" s="15"/>
      <c r="AB168" s="15"/>
      <c r="AC168" s="15"/>
      <c r="AD168" s="15"/>
      <c r="AE168" s="15"/>
      <c r="AF168" s="15"/>
      <c r="AG168" s="15"/>
      <c r="AH168" s="15"/>
      <c r="AI168" s="15"/>
    </row>
    <row r="169" ht="15.75" hidden="1" customHeight="1">
      <c r="A169" s="16">
        <v>169.0</v>
      </c>
      <c r="B169" s="17">
        <f>IFERROR(__xludf.DUMMYFUNCTION("INDEX(IMPORTRANGE(""https://docs.google.com/spreadsheets/d/1S7deMHO2waboU9dywpXeKIDfCmjiuAc0HUIsFpaXQq8/edit?gid=0#gid=0"", ""Tracking Shipments - PPTCO!o:o""), MATCH(D169, IMPORTRANGE(""https://docs.google.com/spreadsheets/d/1S7deMHO2waboU9dywpXeKIDfCmji"&amp;"uAc0HUIsFpaXQq8/edit?gid=0#gid=0"", ""Tracking Shipments - PPTCO!p:p""), 0))"),2400005.0)</f>
        <v>2400005</v>
      </c>
      <c r="C169" s="18"/>
      <c r="D169" s="18">
        <v>199280.0</v>
      </c>
      <c r="E169" s="18" t="s">
        <v>459</v>
      </c>
      <c r="F169" s="18" t="s">
        <v>81</v>
      </c>
      <c r="G169" s="18" t="s">
        <v>241</v>
      </c>
      <c r="H169" s="18" t="s">
        <v>150</v>
      </c>
      <c r="I169" s="18"/>
      <c r="J169" s="18"/>
      <c r="K169" s="18" t="s">
        <v>150</v>
      </c>
      <c r="L169" s="46">
        <v>45553.0</v>
      </c>
      <c r="M169" s="50">
        <v>45556.0</v>
      </c>
      <c r="N169" s="18">
        <v>112024.0</v>
      </c>
      <c r="O169" s="18" t="s">
        <v>460</v>
      </c>
      <c r="P169" s="18" t="s">
        <v>461</v>
      </c>
      <c r="Q169" s="18" t="s">
        <v>462</v>
      </c>
      <c r="R169" s="47">
        <v>45572.0</v>
      </c>
      <c r="S169" s="22">
        <f t="shared" si="1"/>
        <v>16</v>
      </c>
      <c r="T169" s="18"/>
      <c r="U169" s="18"/>
      <c r="V169" s="18"/>
      <c r="W169" s="18"/>
      <c r="X169" s="18"/>
      <c r="Y169" s="18" t="s">
        <v>35</v>
      </c>
      <c r="Z169" s="24"/>
      <c r="AA169" s="24"/>
      <c r="AB169" s="24"/>
      <c r="AC169" s="24"/>
      <c r="AD169" s="24"/>
      <c r="AE169" s="24"/>
      <c r="AF169" s="24"/>
      <c r="AG169" s="24"/>
      <c r="AH169" s="24"/>
      <c r="AI169" s="24"/>
    </row>
    <row r="170" ht="15.75" hidden="1" customHeight="1">
      <c r="A170" s="8">
        <v>170.0</v>
      </c>
      <c r="B170" s="9" t="str">
        <f>IFERROR(__xludf.DUMMYFUNCTION("INDEX(IMPORTRANGE(""https://docs.google.com/spreadsheets/d/1S7deMHO2waboU9dywpXeKIDfCmjiuAc0HUIsFpaXQq8/edit?gid=0#gid=0"", ""Tracking Shipments - PPTCO!o:o""), MATCH(D170, IMPORTRANGE(""https://docs.google.com/spreadsheets/d/1S7deMHO2waboU9dywpXeKIDfCmji"&amp;"uAc0HUIsFpaXQq8/edit?gid=0#gid=0"", ""Tracking Shipments - PPTCO!p:p""), 0))"),"PPT-142")</f>
        <v>PPT-142</v>
      </c>
      <c r="C170" s="14"/>
      <c r="D170" s="14">
        <v>200448.0</v>
      </c>
      <c r="E170" s="14" t="s">
        <v>463</v>
      </c>
      <c r="F170" s="9" t="s">
        <v>464</v>
      </c>
      <c r="G170" s="14" t="s">
        <v>177</v>
      </c>
      <c r="H170" s="14" t="s">
        <v>150</v>
      </c>
      <c r="I170" s="14"/>
      <c r="J170" s="14"/>
      <c r="K170" s="14" t="s">
        <v>150</v>
      </c>
      <c r="L170" s="14" t="s">
        <v>334</v>
      </c>
      <c r="M170" s="55">
        <v>45573.0</v>
      </c>
      <c r="N170" s="14">
        <v>112024.0</v>
      </c>
      <c r="O170" s="14" t="s">
        <v>465</v>
      </c>
      <c r="P170" s="14" t="s">
        <v>466</v>
      </c>
      <c r="Q170" s="14" t="s">
        <v>467</v>
      </c>
      <c r="R170" s="52">
        <v>45603.0</v>
      </c>
      <c r="S170" s="13">
        <f t="shared" si="1"/>
        <v>30</v>
      </c>
      <c r="T170" s="14" t="s">
        <v>38</v>
      </c>
      <c r="U170" s="14"/>
      <c r="V170" s="14"/>
      <c r="W170" s="8"/>
      <c r="X170" s="14"/>
      <c r="Y170" s="14" t="s">
        <v>35</v>
      </c>
      <c r="Z170" s="15"/>
      <c r="AA170" s="15"/>
      <c r="AB170" s="15"/>
      <c r="AC170" s="15"/>
      <c r="AD170" s="15"/>
      <c r="AE170" s="15"/>
      <c r="AF170" s="15"/>
      <c r="AG170" s="15"/>
      <c r="AH170" s="15"/>
      <c r="AI170" s="15"/>
    </row>
    <row r="171" ht="15.75" hidden="1" customHeight="1">
      <c r="A171" s="16">
        <v>171.0</v>
      </c>
      <c r="B171" s="17" t="str">
        <f>IFERROR(__xludf.DUMMYFUNCTION("INDEX(IMPORTRANGE(""https://docs.google.com/spreadsheets/d/1S7deMHO2waboU9dywpXeKIDfCmjiuAc0HUIsFpaXQq8/edit?gid=0#gid=0"", ""Tracking Shipments - PPTCO!o:o""), MATCH(D171, IMPORTRANGE(""https://docs.google.com/spreadsheets/d/1S7deMHO2waboU9dywpXeKIDfCmji"&amp;"uAc0HUIsFpaXQq8/edit?gid=0#gid=0"", ""Tracking Shipments - PPTCO!p:p""), 0))"),"PPT-136")</f>
        <v>PPT-136</v>
      </c>
      <c r="C171" s="18"/>
      <c r="D171" s="18">
        <v>200352.0</v>
      </c>
      <c r="E171" s="18" t="s">
        <v>468</v>
      </c>
      <c r="F171" s="18" t="s">
        <v>40</v>
      </c>
      <c r="G171" s="18" t="s">
        <v>177</v>
      </c>
      <c r="H171" s="18" t="s">
        <v>150</v>
      </c>
      <c r="I171" s="18"/>
      <c r="J171" s="18"/>
      <c r="K171" s="18" t="s">
        <v>150</v>
      </c>
      <c r="L171" s="18" t="s">
        <v>29</v>
      </c>
      <c r="M171" s="57">
        <v>45565.0</v>
      </c>
      <c r="N171" s="18">
        <v>112024.0</v>
      </c>
      <c r="O171" s="18" t="s">
        <v>469</v>
      </c>
      <c r="P171" s="18" t="s">
        <v>470</v>
      </c>
      <c r="Q171" s="18" t="s">
        <v>471</v>
      </c>
      <c r="R171" s="47">
        <v>45607.0</v>
      </c>
      <c r="S171" s="22">
        <f t="shared" si="1"/>
        <v>42</v>
      </c>
      <c r="T171" s="18" t="s">
        <v>38</v>
      </c>
      <c r="U171" s="18"/>
      <c r="V171" s="18"/>
      <c r="W171" s="18"/>
      <c r="X171" s="18"/>
      <c r="Y171" s="18" t="s">
        <v>35</v>
      </c>
      <c r="Z171" s="24"/>
      <c r="AA171" s="24"/>
      <c r="AB171" s="24"/>
      <c r="AC171" s="24"/>
      <c r="AD171" s="24"/>
      <c r="AE171" s="24"/>
      <c r="AF171" s="24"/>
      <c r="AG171" s="24"/>
      <c r="AH171" s="24"/>
      <c r="AI171" s="24"/>
    </row>
    <row r="172" ht="15.75" hidden="1" customHeight="1">
      <c r="A172" s="8">
        <v>172.0</v>
      </c>
      <c r="B172" s="9" t="str">
        <f>IFERROR(__xludf.DUMMYFUNCTION("INDEX(IMPORTRANGE(""https://docs.google.com/spreadsheets/d/1S7deMHO2waboU9dywpXeKIDfCmjiuAc0HUIsFpaXQq8/edit?gid=0#gid=0"", ""Tracking Shipments - PPTCO!o:o""), MATCH(D172, IMPORTRANGE(""https://docs.google.com/spreadsheets/d/1S7deMHO2waboU9dywpXeKIDfCmji"&amp;"uAc0HUIsFpaXQq8/edit?gid=0#gid=0"", ""Tracking Shipments - PPTCO!p:p""), 0))"),"#N/A")</f>
        <v>#N/A</v>
      </c>
      <c r="C172" s="14"/>
      <c r="D172" s="14"/>
      <c r="E172" s="14" t="s">
        <v>472</v>
      </c>
      <c r="F172" s="9" t="s">
        <v>473</v>
      </c>
      <c r="G172" s="14" t="s">
        <v>241</v>
      </c>
      <c r="H172" s="14" t="s">
        <v>150</v>
      </c>
      <c r="I172" s="14"/>
      <c r="J172" s="14"/>
      <c r="K172" s="14" t="s">
        <v>150</v>
      </c>
      <c r="L172" s="14" t="s">
        <v>334</v>
      </c>
      <c r="M172" s="51">
        <v>45554.0</v>
      </c>
      <c r="N172" s="14">
        <v>112024.0</v>
      </c>
      <c r="O172" s="14" t="s">
        <v>474</v>
      </c>
      <c r="P172" s="14" t="s">
        <v>475</v>
      </c>
      <c r="Q172" s="14" t="s">
        <v>476</v>
      </c>
      <c r="R172" s="52">
        <v>45593.0</v>
      </c>
      <c r="S172" s="13">
        <f t="shared" si="1"/>
        <v>39</v>
      </c>
      <c r="T172" s="14" t="s">
        <v>181</v>
      </c>
      <c r="U172" s="14"/>
      <c r="V172" s="14"/>
      <c r="W172" s="14"/>
      <c r="X172" s="14"/>
      <c r="Y172" s="14" t="s">
        <v>35</v>
      </c>
      <c r="Z172" s="15"/>
      <c r="AA172" s="15"/>
      <c r="AB172" s="15"/>
      <c r="AC172" s="15"/>
      <c r="AD172" s="15"/>
      <c r="AE172" s="15"/>
      <c r="AF172" s="15"/>
      <c r="AG172" s="15"/>
      <c r="AH172" s="15"/>
      <c r="AI172" s="15"/>
    </row>
    <row r="173" ht="15.75" hidden="1" customHeight="1">
      <c r="A173" s="16">
        <v>173.0</v>
      </c>
      <c r="B173" s="17" t="str">
        <f>IFERROR(__xludf.DUMMYFUNCTION("INDEX(IMPORTRANGE(""https://docs.google.com/spreadsheets/d/1S7deMHO2waboU9dywpXeKIDfCmjiuAc0HUIsFpaXQq8/edit?gid=0#gid=0"", ""Tracking Shipments - PPTCO!o:o""), MATCH(D173, IMPORTRANGE(""https://docs.google.com/spreadsheets/d/1S7deMHO2waboU9dywpXeKIDfCmji"&amp;"uAc0HUIsFpaXQq8/edit?gid=0#gid=0"", ""Tracking Shipments - PPTCO!p:p""), 0))"),"PPT-124")</f>
        <v>PPT-124</v>
      </c>
      <c r="C173" s="18"/>
      <c r="D173" s="18">
        <v>208296.0</v>
      </c>
      <c r="E173" s="18" t="s">
        <v>477</v>
      </c>
      <c r="F173" s="18" t="s">
        <v>387</v>
      </c>
      <c r="G173" s="18" t="s">
        <v>177</v>
      </c>
      <c r="H173" s="18" t="s">
        <v>150</v>
      </c>
      <c r="I173" s="18"/>
      <c r="J173" s="18"/>
      <c r="K173" s="18" t="s">
        <v>150</v>
      </c>
      <c r="L173" s="46">
        <v>45560.0</v>
      </c>
      <c r="M173" s="57">
        <v>45570.0</v>
      </c>
      <c r="N173" s="18"/>
      <c r="O173" s="18">
        <v>308.0</v>
      </c>
      <c r="P173" s="18">
        <v>1795.0</v>
      </c>
      <c r="Q173" s="18">
        <v>325.0</v>
      </c>
      <c r="R173" s="47">
        <v>45586.0</v>
      </c>
      <c r="S173" s="22">
        <f t="shared" si="1"/>
        <v>16</v>
      </c>
      <c r="T173" s="18" t="s">
        <v>38</v>
      </c>
      <c r="U173" s="18"/>
      <c r="V173" s="18"/>
      <c r="W173" s="16"/>
      <c r="X173" s="18"/>
      <c r="Y173" s="18" t="s">
        <v>35</v>
      </c>
      <c r="Z173" s="24"/>
      <c r="AA173" s="24"/>
      <c r="AB173" s="24"/>
      <c r="AC173" s="24"/>
      <c r="AD173" s="24"/>
      <c r="AE173" s="24"/>
      <c r="AF173" s="24"/>
      <c r="AG173" s="24"/>
      <c r="AH173" s="24"/>
      <c r="AI173" s="24"/>
    </row>
    <row r="174" ht="15.75" hidden="1" customHeight="1">
      <c r="A174" s="8">
        <v>174.0</v>
      </c>
      <c r="B174" s="9" t="str">
        <f>IFERROR(__xludf.DUMMYFUNCTION("INDEX(IMPORTRANGE(""https://docs.google.com/spreadsheets/d/1S7deMHO2waboU9dywpXeKIDfCmjiuAc0HUIsFpaXQq8/edit?gid=0#gid=0"", ""Tracking Shipments - PPTCO!o:o""), MATCH(D174, IMPORTRANGE(""https://docs.google.com/spreadsheets/d/1S7deMHO2waboU9dywpXeKIDfCmji"&amp;"uAc0HUIsFpaXQq8/edit?gid=0#gid=0"", ""Tracking Shipments - PPTCO!p:p""), 0))"),"PPT-124")</f>
        <v>PPT-124</v>
      </c>
      <c r="C174" s="14"/>
      <c r="D174" s="14">
        <v>212093.0</v>
      </c>
      <c r="E174" s="14" t="s">
        <v>478</v>
      </c>
      <c r="F174" s="9" t="s">
        <v>387</v>
      </c>
      <c r="G174" s="14" t="s">
        <v>177</v>
      </c>
      <c r="H174" s="14" t="s">
        <v>150</v>
      </c>
      <c r="I174" s="14"/>
      <c r="J174" s="14"/>
      <c r="K174" s="14" t="s">
        <v>150</v>
      </c>
      <c r="L174" s="14" t="s">
        <v>29</v>
      </c>
      <c r="M174" s="58">
        <v>45572.0</v>
      </c>
      <c r="N174" s="14"/>
      <c r="O174" s="14">
        <v>309.0</v>
      </c>
      <c r="P174" s="14">
        <v>1796.0</v>
      </c>
      <c r="Q174" s="14">
        <v>324.0</v>
      </c>
      <c r="R174" s="52">
        <v>45586.0</v>
      </c>
      <c r="S174" s="13">
        <f t="shared" si="1"/>
        <v>14</v>
      </c>
      <c r="T174" s="14" t="s">
        <v>38</v>
      </c>
      <c r="U174" s="14"/>
      <c r="V174" s="14"/>
      <c r="W174" s="14"/>
      <c r="X174" s="14"/>
      <c r="Y174" s="14" t="s">
        <v>35</v>
      </c>
      <c r="Z174" s="15"/>
      <c r="AA174" s="15"/>
      <c r="AB174" s="15"/>
      <c r="AC174" s="15"/>
      <c r="AD174" s="15"/>
      <c r="AE174" s="15"/>
      <c r="AF174" s="15"/>
      <c r="AG174" s="15"/>
      <c r="AH174" s="15"/>
      <c r="AI174" s="15"/>
    </row>
    <row r="175" ht="15.75" hidden="1" customHeight="1">
      <c r="A175" s="16">
        <v>175.0</v>
      </c>
      <c r="B175" s="17" t="str">
        <f>IFERROR(__xludf.DUMMYFUNCTION("INDEX(IMPORTRANGE(""https://docs.google.com/spreadsheets/d/1S7deMHO2waboU9dywpXeKIDfCmjiuAc0HUIsFpaXQq8/edit?gid=0#gid=0"", ""Tracking Shipments - PPTCO!o:o""), MATCH(D175, IMPORTRANGE(""https://docs.google.com/spreadsheets/d/1S7deMHO2waboU9dywpXeKIDfCmji"&amp;"uAc0HUIsFpaXQq8/edit?gid=0#gid=0"", ""Tracking Shipments - PPTCO!p:p""), 0))"),"PPT-150")</f>
        <v>PPT-150</v>
      </c>
      <c r="C175" s="18"/>
      <c r="D175" s="18">
        <v>209803.0</v>
      </c>
      <c r="E175" s="18" t="s">
        <v>479</v>
      </c>
      <c r="F175" s="18" t="s">
        <v>143</v>
      </c>
      <c r="G175" s="18" t="s">
        <v>177</v>
      </c>
      <c r="H175" s="18" t="s">
        <v>150</v>
      </c>
      <c r="I175" s="18"/>
      <c r="J175" s="18"/>
      <c r="K175" s="18" t="s">
        <v>150</v>
      </c>
      <c r="L175" s="18" t="s">
        <v>29</v>
      </c>
      <c r="M175" s="57">
        <v>45574.0</v>
      </c>
      <c r="N175" s="18">
        <v>112024.0</v>
      </c>
      <c r="O175" s="18" t="s">
        <v>480</v>
      </c>
      <c r="P175" s="18" t="s">
        <v>481</v>
      </c>
      <c r="Q175" s="18" t="s">
        <v>469</v>
      </c>
      <c r="R175" s="47">
        <v>45602.0</v>
      </c>
      <c r="S175" s="22">
        <f t="shared" si="1"/>
        <v>28</v>
      </c>
      <c r="T175" s="18" t="s">
        <v>181</v>
      </c>
      <c r="U175" s="18"/>
      <c r="V175" s="18"/>
      <c r="W175" s="18"/>
      <c r="X175" s="18"/>
      <c r="Y175" s="18" t="s">
        <v>35</v>
      </c>
      <c r="Z175" s="24"/>
      <c r="AA175" s="24"/>
      <c r="AB175" s="24"/>
      <c r="AC175" s="24"/>
      <c r="AD175" s="24"/>
      <c r="AE175" s="24"/>
      <c r="AF175" s="24"/>
      <c r="AG175" s="24"/>
      <c r="AH175" s="24"/>
      <c r="AI175" s="24"/>
    </row>
    <row r="176" ht="15.75" hidden="1" customHeight="1">
      <c r="A176" s="8">
        <v>176.0</v>
      </c>
      <c r="B176" s="9" t="str">
        <f>IFERROR(__xludf.DUMMYFUNCTION("INDEX(IMPORTRANGE(""https://docs.google.com/spreadsheets/d/1S7deMHO2waboU9dywpXeKIDfCmjiuAc0HUIsFpaXQq8/edit?gid=0#gid=0"", ""Tracking Shipments - PPTCO!o:o""), MATCH(D176, IMPORTRANGE(""https://docs.google.com/spreadsheets/d/1S7deMHO2waboU9dywpXeKIDfCmji"&amp;"uAc0HUIsFpaXQq8/edit?gid=0#gid=0"", ""Tracking Shipments - PPTCO!p:p""), 0))"),"PPT-163")</f>
        <v>PPT-163</v>
      </c>
      <c r="C176" s="14"/>
      <c r="D176" s="14">
        <v>211480.0</v>
      </c>
      <c r="E176" s="14" t="s">
        <v>482</v>
      </c>
      <c r="F176" s="9" t="s">
        <v>105</v>
      </c>
      <c r="G176" s="14" t="s">
        <v>177</v>
      </c>
      <c r="H176" s="14" t="s">
        <v>150</v>
      </c>
      <c r="I176" s="14"/>
      <c r="J176" s="14"/>
      <c r="K176" s="14" t="s">
        <v>150</v>
      </c>
      <c r="L176" s="14" t="s">
        <v>29</v>
      </c>
      <c r="M176" s="55">
        <v>45573.0</v>
      </c>
      <c r="N176" s="14">
        <v>112024.0</v>
      </c>
      <c r="O176" s="14" t="s">
        <v>483</v>
      </c>
      <c r="P176" s="14" t="s">
        <v>484</v>
      </c>
      <c r="Q176" s="14" t="s">
        <v>485</v>
      </c>
      <c r="R176" s="52">
        <v>45594.0</v>
      </c>
      <c r="S176" s="13">
        <f t="shared" si="1"/>
        <v>21</v>
      </c>
      <c r="T176" s="14" t="s">
        <v>181</v>
      </c>
      <c r="U176" s="14"/>
      <c r="V176" s="14"/>
      <c r="W176" s="8"/>
      <c r="X176" s="14"/>
      <c r="Y176" s="14" t="s">
        <v>35</v>
      </c>
      <c r="Z176" s="15"/>
      <c r="AA176" s="15"/>
      <c r="AB176" s="15"/>
      <c r="AC176" s="15"/>
      <c r="AD176" s="15"/>
      <c r="AE176" s="15"/>
      <c r="AF176" s="15"/>
      <c r="AG176" s="15"/>
      <c r="AH176" s="15"/>
      <c r="AI176" s="15"/>
    </row>
    <row r="177" ht="15.75" hidden="1" customHeight="1">
      <c r="A177" s="16">
        <v>177.0</v>
      </c>
      <c r="B177" s="17" t="str">
        <f>IFERROR(__xludf.DUMMYFUNCTION("INDEX(IMPORTRANGE(""https://docs.google.com/spreadsheets/d/1S7deMHO2waboU9dywpXeKIDfCmjiuAc0HUIsFpaXQq8/edit?gid=0#gid=0"", ""Tracking Shipments - PPTCO!o:o""), MATCH(D177, IMPORTRANGE(""https://docs.google.com/spreadsheets/d/1S7deMHO2waboU9dywpXeKIDfCmji"&amp;"uAc0HUIsFpaXQq8/edit?gid=0#gid=0"", ""Tracking Shipments - PPTCO!p:p""), 0))"),"PPT-163")</f>
        <v>PPT-163</v>
      </c>
      <c r="C177" s="18"/>
      <c r="D177" s="18">
        <v>209781.0</v>
      </c>
      <c r="E177" s="18" t="s">
        <v>486</v>
      </c>
      <c r="F177" s="18" t="s">
        <v>105</v>
      </c>
      <c r="G177" s="18" t="s">
        <v>177</v>
      </c>
      <c r="H177" s="18" t="s">
        <v>150</v>
      </c>
      <c r="I177" s="18"/>
      <c r="J177" s="18"/>
      <c r="K177" s="18" t="s">
        <v>150</v>
      </c>
      <c r="L177" s="18" t="s">
        <v>29</v>
      </c>
      <c r="M177" s="57">
        <v>45573.0</v>
      </c>
      <c r="N177" s="18">
        <v>112024.0</v>
      </c>
      <c r="O177" s="18" t="s">
        <v>487</v>
      </c>
      <c r="P177" s="18" t="s">
        <v>488</v>
      </c>
      <c r="Q177" s="18" t="s">
        <v>489</v>
      </c>
      <c r="R177" s="47">
        <v>45581.0</v>
      </c>
      <c r="S177" s="22">
        <f t="shared" si="1"/>
        <v>8</v>
      </c>
      <c r="T177" s="18" t="s">
        <v>181</v>
      </c>
      <c r="U177" s="18"/>
      <c r="V177" s="18"/>
      <c r="W177" s="18"/>
      <c r="X177" s="18"/>
      <c r="Y177" s="18" t="s">
        <v>35</v>
      </c>
      <c r="Z177" s="24"/>
      <c r="AA177" s="24"/>
      <c r="AB177" s="24"/>
      <c r="AC177" s="24"/>
      <c r="AD177" s="24"/>
      <c r="AE177" s="24"/>
      <c r="AF177" s="24"/>
      <c r="AG177" s="24"/>
      <c r="AH177" s="24"/>
      <c r="AI177" s="24"/>
    </row>
    <row r="178" ht="15.75" hidden="1" customHeight="1">
      <c r="A178" s="8">
        <v>178.0</v>
      </c>
      <c r="B178" s="14" t="s">
        <v>148</v>
      </c>
      <c r="C178" s="14"/>
      <c r="D178" s="14">
        <v>109849.0</v>
      </c>
      <c r="E178" s="14" t="s">
        <v>490</v>
      </c>
      <c r="F178" s="9" t="s">
        <v>68</v>
      </c>
      <c r="G178" s="14" t="s">
        <v>177</v>
      </c>
      <c r="H178" s="14" t="s">
        <v>150</v>
      </c>
      <c r="I178" s="14"/>
      <c r="J178" s="14"/>
      <c r="K178" s="14" t="s">
        <v>150</v>
      </c>
      <c r="L178" s="14" t="s">
        <v>29</v>
      </c>
      <c r="M178" s="49">
        <v>45578.0</v>
      </c>
      <c r="N178" s="14"/>
      <c r="O178" s="14" t="s">
        <v>491</v>
      </c>
      <c r="P178" s="14" t="s">
        <v>492</v>
      </c>
      <c r="Q178" s="14" t="s">
        <v>493</v>
      </c>
      <c r="R178" s="49">
        <v>45594.0</v>
      </c>
      <c r="S178" s="13">
        <f t="shared" si="1"/>
        <v>16</v>
      </c>
      <c r="T178" s="14" t="s">
        <v>181</v>
      </c>
      <c r="U178" s="14"/>
      <c r="V178" s="14"/>
      <c r="W178" s="14"/>
      <c r="X178" s="14"/>
      <c r="Y178" s="14" t="s">
        <v>35</v>
      </c>
      <c r="Z178" s="15"/>
      <c r="AA178" s="15"/>
      <c r="AB178" s="15"/>
      <c r="AC178" s="15"/>
      <c r="AD178" s="15"/>
      <c r="AE178" s="15"/>
      <c r="AF178" s="15"/>
      <c r="AG178" s="15"/>
      <c r="AH178" s="15"/>
      <c r="AI178" s="15"/>
    </row>
    <row r="179" ht="15.75" hidden="1" customHeight="1">
      <c r="A179" s="16">
        <v>179.0</v>
      </c>
      <c r="B179" s="17" t="str">
        <f>IFERROR(__xludf.DUMMYFUNCTION("INDEX(IMPORTRANGE(""https://docs.google.com/spreadsheets/d/1S7deMHO2waboU9dywpXeKIDfCmjiuAc0HUIsFpaXQq8/edit?gid=0#gid=0"", ""Tracking Shipments - PPTCO!o:o""), MATCH(D179, IMPORTRANGE(""https://docs.google.com/spreadsheets/d/1S7deMHO2waboU9dywpXeKIDfCmji"&amp;"uAc0HUIsFpaXQq8/edit?gid=0#gid=0"", ""Tracking Shipments - PPTCO!p:p""), 0))"),"#N/A")</f>
        <v>#N/A</v>
      </c>
      <c r="C179" s="18"/>
      <c r="D179" s="18"/>
      <c r="E179" s="18" t="s">
        <v>494</v>
      </c>
      <c r="F179" s="18" t="s">
        <v>473</v>
      </c>
      <c r="G179" s="18" t="s">
        <v>241</v>
      </c>
      <c r="H179" s="18" t="s">
        <v>150</v>
      </c>
      <c r="I179" s="18"/>
      <c r="J179" s="18"/>
      <c r="K179" s="18" t="s">
        <v>150</v>
      </c>
      <c r="L179" s="18" t="s">
        <v>29</v>
      </c>
      <c r="M179" s="54">
        <v>45579.0</v>
      </c>
      <c r="N179" s="18">
        <v>112024.0</v>
      </c>
      <c r="O179" s="18" t="s">
        <v>495</v>
      </c>
      <c r="P179" s="18" t="s">
        <v>496</v>
      </c>
      <c r="Q179" s="18" t="s">
        <v>497</v>
      </c>
      <c r="R179" s="47">
        <v>45593.0</v>
      </c>
      <c r="S179" s="22">
        <f t="shared" si="1"/>
        <v>14</v>
      </c>
      <c r="T179" s="18" t="s">
        <v>34</v>
      </c>
      <c r="U179" s="18"/>
      <c r="V179" s="18"/>
      <c r="W179" s="16"/>
      <c r="X179" s="18"/>
      <c r="Y179" s="18" t="s">
        <v>35</v>
      </c>
      <c r="Z179" s="24"/>
      <c r="AA179" s="24"/>
      <c r="AB179" s="24"/>
      <c r="AC179" s="24"/>
      <c r="AD179" s="24"/>
      <c r="AE179" s="24"/>
      <c r="AF179" s="24"/>
      <c r="AG179" s="24"/>
      <c r="AH179" s="24"/>
      <c r="AI179" s="24"/>
    </row>
    <row r="180" ht="15.75" hidden="1" customHeight="1">
      <c r="A180" s="8">
        <v>180.0</v>
      </c>
      <c r="B180" s="9" t="str">
        <f>IFERROR(__xludf.DUMMYFUNCTION("INDEX(IMPORTRANGE(""https://docs.google.com/spreadsheets/d/1S7deMHO2waboU9dywpXeKIDfCmjiuAc0HUIsFpaXQq8/edit?gid=0#gid=0"", ""Tracking Shipments - PPTCO!o:o""), MATCH(D180, IMPORTRANGE(""https://docs.google.com/spreadsheets/d/1S7deMHO2waboU9dywpXeKIDfCmji"&amp;"uAc0HUIsFpaXQq8/edit?gid=0#gid=0"", ""Tracking Shipments - PPTCO!p:p""), 0))"),"PPT-136")</f>
        <v>PPT-136</v>
      </c>
      <c r="C180" s="14"/>
      <c r="D180" s="14">
        <v>217053.0</v>
      </c>
      <c r="E180" s="14" t="s">
        <v>498</v>
      </c>
      <c r="F180" s="9" t="s">
        <v>40</v>
      </c>
      <c r="G180" s="14" t="s">
        <v>177</v>
      </c>
      <c r="H180" s="14" t="s">
        <v>150</v>
      </c>
      <c r="I180" s="14"/>
      <c r="J180" s="14"/>
      <c r="K180" s="14" t="s">
        <v>150</v>
      </c>
      <c r="L180" s="14" t="s">
        <v>29</v>
      </c>
      <c r="M180" s="58">
        <v>45574.0</v>
      </c>
      <c r="N180" s="14">
        <v>112024.0</v>
      </c>
      <c r="O180" s="14">
        <v>328.0</v>
      </c>
      <c r="P180" s="14">
        <v>1786.0</v>
      </c>
      <c r="Q180" s="14">
        <v>311.0</v>
      </c>
      <c r="R180" s="52">
        <v>45578.0</v>
      </c>
      <c r="S180" s="13">
        <f t="shared" si="1"/>
        <v>4</v>
      </c>
      <c r="T180" s="14"/>
      <c r="U180" s="14"/>
      <c r="V180" s="14"/>
      <c r="W180" s="14"/>
      <c r="X180" s="14"/>
      <c r="Y180" s="14" t="s">
        <v>35</v>
      </c>
      <c r="Z180" s="15"/>
      <c r="AA180" s="15"/>
      <c r="AB180" s="15"/>
      <c r="AC180" s="15"/>
      <c r="AD180" s="15"/>
      <c r="AE180" s="15"/>
      <c r="AF180" s="15"/>
      <c r="AG180" s="15"/>
      <c r="AH180" s="15"/>
      <c r="AI180" s="15"/>
    </row>
    <row r="181" ht="15.75" hidden="1" customHeight="1">
      <c r="A181" s="16">
        <v>181.0</v>
      </c>
      <c r="B181" s="17" t="str">
        <f>IFERROR(__xludf.DUMMYFUNCTION("INDEX(IMPORTRANGE(""https://docs.google.com/spreadsheets/d/1S7deMHO2waboU9dywpXeKIDfCmjiuAc0HUIsFpaXQq8/edit?gid=0#gid=0"", ""Tracking Shipments - PPTCO!o:o""), MATCH(D181, IMPORTRANGE(""https://docs.google.com/spreadsheets/d/1S7deMHO2waboU9dywpXeKIDfCmji"&amp;"uAc0HUIsFpaXQq8/edit?gid=0#gid=0"", ""Tracking Shipments - PPTCO!p:p""), 0))"),"ZESTY")</f>
        <v>ZESTY</v>
      </c>
      <c r="C181" s="18"/>
      <c r="D181" s="18">
        <v>112412.0</v>
      </c>
      <c r="E181" s="18" t="s">
        <v>499</v>
      </c>
      <c r="F181" s="18" t="s">
        <v>312</v>
      </c>
      <c r="G181" s="18" t="s">
        <v>241</v>
      </c>
      <c r="H181" s="18" t="s">
        <v>150</v>
      </c>
      <c r="I181" s="18"/>
      <c r="J181" s="18"/>
      <c r="K181" s="18" t="s">
        <v>150</v>
      </c>
      <c r="L181" s="18" t="s">
        <v>29</v>
      </c>
      <c r="M181" s="54">
        <v>45575.0</v>
      </c>
      <c r="N181" s="18">
        <v>102024.0</v>
      </c>
      <c r="O181" s="18">
        <v>337.0</v>
      </c>
      <c r="P181" s="18">
        <v>1832.0</v>
      </c>
      <c r="Q181" s="18">
        <v>321.0</v>
      </c>
      <c r="R181" s="54">
        <v>45585.0</v>
      </c>
      <c r="S181" s="22">
        <f t="shared" si="1"/>
        <v>10</v>
      </c>
      <c r="T181" s="18" t="s">
        <v>38</v>
      </c>
      <c r="U181" s="18"/>
      <c r="V181" s="18"/>
      <c r="W181" s="18"/>
      <c r="X181" s="18"/>
      <c r="Y181" s="18" t="s">
        <v>35</v>
      </c>
      <c r="Z181" s="24"/>
      <c r="AA181" s="24"/>
      <c r="AB181" s="24"/>
      <c r="AC181" s="24"/>
      <c r="AD181" s="24"/>
      <c r="AE181" s="24"/>
      <c r="AF181" s="24"/>
      <c r="AG181" s="24"/>
      <c r="AH181" s="24"/>
      <c r="AI181" s="24"/>
    </row>
    <row r="182" ht="15.75" hidden="1" customHeight="1">
      <c r="A182" s="8">
        <v>182.0</v>
      </c>
      <c r="B182" s="9" t="str">
        <f>IFERROR(__xludf.DUMMYFUNCTION("INDEX(IMPORTRANGE(""https://docs.google.com/spreadsheets/d/1S7deMHO2waboU9dywpXeKIDfCmjiuAc0HUIsFpaXQq8/edit?gid=0#gid=0"", ""Tracking Shipments - PPTCO!o:o""), MATCH(D182, IMPORTRANGE(""https://docs.google.com/spreadsheets/d/1S7deMHO2waboU9dywpXeKIDfCmji"&amp;"uAc0HUIsFpaXQq8/edit?gid=0#gid=0"", ""Tracking Shipments - PPTCO!p:p""), 0))"),"PPT-139")</f>
        <v>PPT-139</v>
      </c>
      <c r="C182" s="14"/>
      <c r="D182" s="14">
        <v>217049.0</v>
      </c>
      <c r="E182" s="14" t="s">
        <v>500</v>
      </c>
      <c r="F182" s="9" t="s">
        <v>259</v>
      </c>
      <c r="G182" s="14" t="s">
        <v>177</v>
      </c>
      <c r="H182" s="14" t="s">
        <v>150</v>
      </c>
      <c r="I182" s="14"/>
      <c r="J182" s="14"/>
      <c r="K182" s="14" t="s">
        <v>150</v>
      </c>
      <c r="L182" s="14" t="s">
        <v>334</v>
      </c>
      <c r="M182" s="58">
        <v>45574.0</v>
      </c>
      <c r="N182" s="14">
        <v>102024.0</v>
      </c>
      <c r="O182" s="14">
        <v>338.0</v>
      </c>
      <c r="P182" s="14">
        <v>1830.0</v>
      </c>
      <c r="Q182" s="14">
        <v>326.0</v>
      </c>
      <c r="R182" s="52">
        <v>45586.0</v>
      </c>
      <c r="S182" s="13">
        <f t="shared" si="1"/>
        <v>12</v>
      </c>
      <c r="T182" s="14" t="s">
        <v>38</v>
      </c>
      <c r="U182" s="14"/>
      <c r="V182" s="14"/>
      <c r="W182" s="8"/>
      <c r="X182" s="14"/>
      <c r="Y182" s="14" t="s">
        <v>35</v>
      </c>
      <c r="Z182" s="15"/>
      <c r="AA182" s="15"/>
      <c r="AB182" s="15"/>
      <c r="AC182" s="15"/>
      <c r="AD182" s="15"/>
      <c r="AE182" s="15"/>
      <c r="AF182" s="15"/>
      <c r="AG182" s="15"/>
      <c r="AH182" s="15"/>
      <c r="AI182" s="15"/>
    </row>
    <row r="183" ht="15.75" hidden="1" customHeight="1">
      <c r="A183" s="16">
        <v>183.0</v>
      </c>
      <c r="B183" s="17" t="str">
        <f>IFERROR(__xludf.DUMMYFUNCTION("INDEX(IMPORTRANGE(""https://docs.google.com/spreadsheets/d/1S7deMHO2waboU9dywpXeKIDfCmjiuAc0HUIsFpaXQq8/edit?gid=0#gid=0"", ""Tracking Shipments - PPTCO!o:o""), MATCH(D183, IMPORTRANGE(""https://docs.google.com/spreadsheets/d/1S7deMHO2waboU9dywpXeKIDfCmji"&amp;"uAc0HUIsFpaXQq8/edit?gid=0#gid=0"", ""Tracking Shipments - PPTCO!p:p""), 0))"),"PPT-153")</f>
        <v>PPT-153</v>
      </c>
      <c r="C183" s="18"/>
      <c r="D183" s="18">
        <v>113886.0</v>
      </c>
      <c r="E183" s="18" t="s">
        <v>501</v>
      </c>
      <c r="F183" s="18" t="s">
        <v>54</v>
      </c>
      <c r="G183" s="18" t="s">
        <v>177</v>
      </c>
      <c r="H183" s="18" t="s">
        <v>150</v>
      </c>
      <c r="I183" s="18"/>
      <c r="J183" s="18"/>
      <c r="K183" s="18" t="s">
        <v>150</v>
      </c>
      <c r="L183" s="18" t="s">
        <v>29</v>
      </c>
      <c r="M183" s="54">
        <v>45584.0</v>
      </c>
      <c r="N183" s="18">
        <v>102024.0</v>
      </c>
      <c r="O183" s="18" t="s">
        <v>502</v>
      </c>
      <c r="P183" s="18" t="s">
        <v>503</v>
      </c>
      <c r="Q183" s="18" t="s">
        <v>504</v>
      </c>
      <c r="R183" s="54">
        <v>45585.0</v>
      </c>
      <c r="S183" s="22">
        <f t="shared" si="1"/>
        <v>1</v>
      </c>
      <c r="T183" s="18" t="s">
        <v>181</v>
      </c>
      <c r="U183" s="18"/>
      <c r="V183" s="18"/>
      <c r="W183" s="18"/>
      <c r="X183" s="18"/>
      <c r="Y183" s="18" t="s">
        <v>35</v>
      </c>
      <c r="Z183" s="24"/>
      <c r="AA183" s="24"/>
      <c r="AB183" s="24"/>
      <c r="AC183" s="24"/>
      <c r="AD183" s="24"/>
      <c r="AE183" s="24"/>
      <c r="AF183" s="24"/>
      <c r="AG183" s="24"/>
      <c r="AH183" s="24"/>
      <c r="AI183" s="24"/>
    </row>
    <row r="184" ht="15.75" hidden="1" customHeight="1">
      <c r="A184" s="8">
        <v>184.0</v>
      </c>
      <c r="B184" s="9" t="str">
        <f>IFERROR(__xludf.DUMMYFUNCTION("INDEX(IMPORTRANGE(""https://docs.google.com/spreadsheets/d/1S7deMHO2waboU9dywpXeKIDfCmjiuAc0HUIsFpaXQq8/edit?gid=0#gid=0"", ""Tracking Shipments - PPTCO!o:o""), MATCH(D184, IMPORTRANGE(""https://docs.google.com/spreadsheets/d/1S7deMHO2waboU9dywpXeKIDfCmji"&amp;"uAc0HUIsFpaXQq8/edit?gid=0#gid=0"", ""Tracking Shipments - PPTCO!p:p""), 0))"),"PPT-163")</f>
        <v>PPT-163</v>
      </c>
      <c r="C184" s="14"/>
      <c r="D184" s="14">
        <v>221979.0</v>
      </c>
      <c r="E184" s="14" t="s">
        <v>505</v>
      </c>
      <c r="F184" s="9" t="s">
        <v>105</v>
      </c>
      <c r="G184" s="14" t="s">
        <v>177</v>
      </c>
      <c r="H184" s="14" t="s">
        <v>150</v>
      </c>
      <c r="I184" s="14"/>
      <c r="J184" s="14"/>
      <c r="K184" s="14" t="s">
        <v>150</v>
      </c>
      <c r="L184" s="14" t="s">
        <v>29</v>
      </c>
      <c r="M184" s="49">
        <v>45581.0</v>
      </c>
      <c r="N184" s="14">
        <v>112024.0</v>
      </c>
      <c r="O184" s="14" t="s">
        <v>506</v>
      </c>
      <c r="P184" s="14" t="s">
        <v>507</v>
      </c>
      <c r="Q184" s="14" t="s">
        <v>508</v>
      </c>
      <c r="R184" s="52">
        <v>45600.0</v>
      </c>
      <c r="S184" s="13">
        <f t="shared" si="1"/>
        <v>19</v>
      </c>
      <c r="T184" s="14" t="s">
        <v>181</v>
      </c>
      <c r="U184" s="14"/>
      <c r="V184" s="14"/>
      <c r="W184" s="14"/>
      <c r="X184" s="14"/>
      <c r="Y184" s="14" t="s">
        <v>35</v>
      </c>
      <c r="Z184" s="15"/>
      <c r="AA184" s="15"/>
      <c r="AB184" s="15"/>
      <c r="AC184" s="15"/>
      <c r="AD184" s="15"/>
      <c r="AE184" s="15"/>
      <c r="AF184" s="15"/>
      <c r="AG184" s="15"/>
      <c r="AH184" s="15"/>
      <c r="AI184" s="15"/>
    </row>
    <row r="185" ht="15.75" hidden="1" customHeight="1">
      <c r="A185" s="16">
        <v>185.0</v>
      </c>
      <c r="B185" s="17" t="str">
        <f>IFERROR(__xludf.DUMMYFUNCTION("INDEX(IMPORTRANGE(""https://docs.google.com/spreadsheets/d/1S7deMHO2waboU9dywpXeKIDfCmjiuAc0HUIsFpaXQq8/edit?gid=0#gid=0"", ""Tracking Shipments - PPTCO!o:o""), MATCH(D185, IMPORTRANGE(""https://docs.google.com/spreadsheets/d/1S7deMHO2waboU9dywpXeKIDfCmji"&amp;"uAc0HUIsFpaXQq8/edit?gid=0#gid=0"", ""Tracking Shipments - PPTCO!p:p""), 0))"),"PPT-137")</f>
        <v>PPT-137</v>
      </c>
      <c r="C185" s="18"/>
      <c r="D185" s="18">
        <v>122062.0</v>
      </c>
      <c r="E185" s="18" t="s">
        <v>509</v>
      </c>
      <c r="F185" s="18" t="s">
        <v>37</v>
      </c>
      <c r="G185" s="18" t="s">
        <v>177</v>
      </c>
      <c r="H185" s="18" t="s">
        <v>150</v>
      </c>
      <c r="I185" s="18"/>
      <c r="J185" s="18"/>
      <c r="K185" s="18" t="s">
        <v>150</v>
      </c>
      <c r="L185" s="46">
        <v>45612.0</v>
      </c>
      <c r="M185" s="54">
        <v>45615.0</v>
      </c>
      <c r="N185" s="18">
        <v>122024.0</v>
      </c>
      <c r="O185" s="18">
        <v>345.0</v>
      </c>
      <c r="P185" s="18">
        <v>2071.0</v>
      </c>
      <c r="Q185" s="18">
        <v>376.0</v>
      </c>
      <c r="R185" s="47">
        <v>45616.0</v>
      </c>
      <c r="S185" s="22">
        <f t="shared" si="1"/>
        <v>1</v>
      </c>
      <c r="T185" s="18"/>
      <c r="U185" s="18"/>
      <c r="V185" s="18"/>
      <c r="W185" s="16"/>
      <c r="X185" s="18"/>
      <c r="Y185" s="18" t="s">
        <v>35</v>
      </c>
      <c r="Z185" s="24"/>
      <c r="AA185" s="24"/>
      <c r="AB185" s="24"/>
      <c r="AC185" s="24"/>
      <c r="AD185" s="24"/>
      <c r="AE185" s="24"/>
      <c r="AF185" s="24"/>
      <c r="AG185" s="24"/>
      <c r="AH185" s="24"/>
      <c r="AI185" s="24"/>
    </row>
    <row r="186" ht="15.75" hidden="1" customHeight="1">
      <c r="A186" s="8">
        <v>186.0</v>
      </c>
      <c r="B186" s="9" t="str">
        <f>IFERROR(__xludf.DUMMYFUNCTION("INDEX(IMPORTRANGE(""https://docs.google.com/spreadsheets/d/1S7deMHO2waboU9dywpXeKIDfCmjiuAc0HUIsFpaXQq8/edit?gid=0#gid=0"", ""Tracking Shipments - PPTCO!o:o""), MATCH(D186, IMPORTRANGE(""https://docs.google.com/spreadsheets/d/1S7deMHO2waboU9dywpXeKIDfCmji"&amp;"uAc0HUIsFpaXQq8/edit?gid=0#gid=0"", ""Tracking Shipments - PPTCO!p:p""), 0))"),"PPT-146")</f>
        <v>PPT-146</v>
      </c>
      <c r="C186" s="14"/>
      <c r="D186" s="14">
        <v>126319.0</v>
      </c>
      <c r="E186" s="14" t="s">
        <v>510</v>
      </c>
      <c r="F186" s="14" t="s">
        <v>37</v>
      </c>
      <c r="G186" s="14" t="s">
        <v>177</v>
      </c>
      <c r="H186" s="14" t="s">
        <v>150</v>
      </c>
      <c r="I186" s="14"/>
      <c r="J186" s="14"/>
      <c r="K186" s="14" t="s">
        <v>150</v>
      </c>
      <c r="L186" s="51">
        <v>45621.0</v>
      </c>
      <c r="M186" s="49">
        <v>45622.0</v>
      </c>
      <c r="N186" s="14">
        <v>122024.0</v>
      </c>
      <c r="O186" s="14">
        <v>356.0</v>
      </c>
      <c r="P186" s="14">
        <v>2140.0</v>
      </c>
      <c r="Q186" s="14">
        <v>385.0</v>
      </c>
      <c r="R186" s="52">
        <v>45622.0</v>
      </c>
      <c r="S186" s="13">
        <v>0.0</v>
      </c>
      <c r="T186" s="14"/>
      <c r="U186" s="14"/>
      <c r="V186" s="14"/>
      <c r="W186" s="14"/>
      <c r="X186" s="14"/>
      <c r="Y186" s="14" t="s">
        <v>35</v>
      </c>
      <c r="Z186" s="15"/>
      <c r="AA186" s="15"/>
      <c r="AB186" s="15"/>
      <c r="AC186" s="15"/>
      <c r="AD186" s="15"/>
      <c r="AE186" s="15"/>
      <c r="AF186" s="15"/>
      <c r="AG186" s="15"/>
      <c r="AH186" s="15"/>
      <c r="AI186" s="15"/>
    </row>
    <row r="187" ht="15.75" hidden="1" customHeight="1">
      <c r="A187" s="16">
        <v>187.0</v>
      </c>
      <c r="B187" s="17" t="str">
        <f>IFERROR(__xludf.DUMMYFUNCTION("INDEX(IMPORTRANGE(""https://docs.google.com/spreadsheets/d/1S7deMHO2waboU9dywpXeKIDfCmjiuAc0HUIsFpaXQq8/edit?gid=0#gid=0"", ""Tracking Shipments - PPTCO!o:o""), MATCH(D187, IMPORTRANGE(""https://docs.google.com/spreadsheets/d/1S7deMHO2waboU9dywpXeKIDfCmji"&amp;"uAc0HUIsFpaXQq8/edit?gid=0#gid=0"", ""Tracking Shipments - PPTCO!p:p""), 0))"),"WETFOOD")</f>
        <v>WETFOOD</v>
      </c>
      <c r="C187" s="18" t="s">
        <v>511</v>
      </c>
      <c r="D187" s="18">
        <v>247863.0</v>
      </c>
      <c r="E187" s="18" t="s">
        <v>512</v>
      </c>
      <c r="F187" s="18" t="s">
        <v>26</v>
      </c>
      <c r="G187" s="18" t="s">
        <v>177</v>
      </c>
      <c r="H187" s="18" t="s">
        <v>150</v>
      </c>
      <c r="I187" s="18"/>
      <c r="J187" s="18"/>
      <c r="K187" s="18" t="s">
        <v>150</v>
      </c>
      <c r="L187" s="46">
        <v>45607.0</v>
      </c>
      <c r="M187" s="54">
        <v>45612.0</v>
      </c>
      <c r="N187" s="18"/>
      <c r="O187" s="59">
        <v>367.0</v>
      </c>
      <c r="P187" s="18">
        <v>2085.0</v>
      </c>
      <c r="Q187" s="18">
        <v>370.0</v>
      </c>
      <c r="R187" s="47">
        <v>45616.0</v>
      </c>
      <c r="S187" s="22">
        <f t="shared" ref="S187:S191" si="2">IFERROR(IF(DATEDIF(M187,R187,"d")=0,"",DATEDIF(M187,R187,"d")),"")</f>
        <v>4</v>
      </c>
      <c r="T187" s="18" t="s">
        <v>235</v>
      </c>
      <c r="U187" s="18"/>
      <c r="V187" s="18"/>
      <c r="W187" s="18"/>
      <c r="X187" s="18"/>
      <c r="Y187" s="18" t="s">
        <v>35</v>
      </c>
      <c r="Z187" s="24"/>
      <c r="AA187" s="24"/>
      <c r="AB187" s="24"/>
      <c r="AC187" s="24"/>
      <c r="AD187" s="24"/>
      <c r="AE187" s="24"/>
      <c r="AF187" s="24"/>
      <c r="AG187" s="24"/>
      <c r="AH187" s="24"/>
      <c r="AI187" s="24"/>
    </row>
    <row r="188" ht="15.75" hidden="1" customHeight="1">
      <c r="A188" s="8">
        <v>188.0</v>
      </c>
      <c r="B188" s="14" t="s">
        <v>148</v>
      </c>
      <c r="C188" s="14"/>
      <c r="D188" s="14">
        <v>249341.0</v>
      </c>
      <c r="E188" s="14" t="s">
        <v>513</v>
      </c>
      <c r="F188" s="14" t="s">
        <v>350</v>
      </c>
      <c r="G188" s="14" t="s">
        <v>177</v>
      </c>
      <c r="H188" s="14" t="s">
        <v>150</v>
      </c>
      <c r="I188" s="14"/>
      <c r="J188" s="14"/>
      <c r="K188" s="14" t="s">
        <v>150</v>
      </c>
      <c r="L188" s="51">
        <v>45609.0</v>
      </c>
      <c r="M188" s="49">
        <v>45612.0</v>
      </c>
      <c r="N188" s="14">
        <v>122024.0</v>
      </c>
      <c r="O188" s="14">
        <v>368.0</v>
      </c>
      <c r="P188" s="14">
        <v>2072.0</v>
      </c>
      <c r="Q188" s="14">
        <v>364.0</v>
      </c>
      <c r="R188" s="52">
        <v>45613.0</v>
      </c>
      <c r="S188" s="13">
        <f t="shared" si="2"/>
        <v>1</v>
      </c>
      <c r="T188" s="14" t="s">
        <v>235</v>
      </c>
      <c r="U188" s="14"/>
      <c r="V188" s="14"/>
      <c r="W188" s="8"/>
      <c r="X188" s="14"/>
      <c r="Y188" s="14" t="s">
        <v>35</v>
      </c>
      <c r="Z188" s="15"/>
      <c r="AA188" s="15"/>
      <c r="AB188" s="15"/>
      <c r="AC188" s="15"/>
      <c r="AD188" s="15"/>
      <c r="AE188" s="15"/>
      <c r="AF188" s="15"/>
      <c r="AG188" s="15"/>
      <c r="AH188" s="15"/>
      <c r="AI188" s="15"/>
    </row>
    <row r="189" ht="15.75" hidden="1" customHeight="1">
      <c r="A189" s="16">
        <v>189.0</v>
      </c>
      <c r="B189" s="17" t="str">
        <f>IFERROR(__xludf.DUMMYFUNCTION("INDEX(IMPORTRANGE(""https://docs.google.com/spreadsheets/d/1S7deMHO2waboU9dywpXeKIDfCmjiuAc0HUIsFpaXQq8/edit?gid=0#gid=0"", ""Tracking Shipments - PPTCO!o:o""), MATCH(D189, IMPORTRANGE(""https://docs.google.com/spreadsheets/d/1S7deMHO2waboU9dywpXeKIDfCmji"&amp;"uAc0HUIsFpaXQq8/edit?gid=0#gid=0"", ""Tracking Shipments - PPTCO!p:p""), 0))"),"PPT-163")</f>
        <v>PPT-163</v>
      </c>
      <c r="C189" s="18"/>
      <c r="D189" s="18">
        <v>245050.0</v>
      </c>
      <c r="E189" s="18" t="s">
        <v>514</v>
      </c>
      <c r="F189" s="18" t="s">
        <v>105</v>
      </c>
      <c r="G189" s="18" t="s">
        <v>177</v>
      </c>
      <c r="H189" s="18" t="s">
        <v>150</v>
      </c>
      <c r="I189" s="18"/>
      <c r="J189" s="18"/>
      <c r="K189" s="18" t="s">
        <v>150</v>
      </c>
      <c r="L189" s="46">
        <v>45610.0</v>
      </c>
      <c r="M189" s="54">
        <v>45612.0</v>
      </c>
      <c r="N189" s="18">
        <v>112024.0</v>
      </c>
      <c r="O189" s="18" t="s">
        <v>515</v>
      </c>
      <c r="P189" s="18" t="s">
        <v>516</v>
      </c>
      <c r="Q189" s="18" t="s">
        <v>517</v>
      </c>
      <c r="R189" s="47">
        <v>45616.0</v>
      </c>
      <c r="S189" s="22">
        <f t="shared" si="2"/>
        <v>4</v>
      </c>
      <c r="T189" s="18" t="s">
        <v>181</v>
      </c>
      <c r="U189" s="18"/>
      <c r="V189" s="18"/>
      <c r="W189" s="18"/>
      <c r="X189" s="18"/>
      <c r="Y189" s="18" t="s">
        <v>35</v>
      </c>
      <c r="Z189" s="24"/>
      <c r="AA189" s="24"/>
      <c r="AB189" s="24"/>
      <c r="AC189" s="24"/>
      <c r="AD189" s="24"/>
      <c r="AE189" s="24"/>
      <c r="AF189" s="24"/>
      <c r="AG189" s="24"/>
      <c r="AH189" s="24"/>
      <c r="AI189" s="24"/>
    </row>
    <row r="190" ht="15.75" hidden="1" customHeight="1">
      <c r="A190" s="8">
        <v>190.0</v>
      </c>
      <c r="B190" s="9" t="str">
        <f>IFERROR(__xludf.DUMMYFUNCTION("INDEX(IMPORTRANGE(""https://docs.google.com/spreadsheets/d/1S7deMHO2waboU9dywpXeKIDfCmjiuAc0HUIsFpaXQq8/edit?gid=0#gid=0"", ""Tracking Shipments - PPTCO!o:o""), MATCH(D190, IMPORTRANGE(""https://docs.google.com/spreadsheets/d/1S7deMHO2waboU9dywpXeKIDfCmji"&amp;"uAc0HUIsFpaXQq8/edit?gid=0#gid=0"", ""Tracking Shipments - PPTCO!p:p""), 0))"),"PPT-163")</f>
        <v>PPT-163</v>
      </c>
      <c r="C190" s="14"/>
      <c r="D190" s="14">
        <v>247758.0</v>
      </c>
      <c r="E190" s="14" t="s">
        <v>518</v>
      </c>
      <c r="F190" s="14" t="s">
        <v>105</v>
      </c>
      <c r="G190" s="14" t="s">
        <v>177</v>
      </c>
      <c r="H190" s="14" t="s">
        <v>150</v>
      </c>
      <c r="I190" s="14"/>
      <c r="J190" s="14"/>
      <c r="K190" s="14" t="s">
        <v>150</v>
      </c>
      <c r="L190" s="51">
        <v>45609.0</v>
      </c>
      <c r="M190" s="49">
        <v>45612.0</v>
      </c>
      <c r="N190" s="14">
        <v>112024.0</v>
      </c>
      <c r="O190" s="14" t="s">
        <v>519</v>
      </c>
      <c r="P190" s="14" t="s">
        <v>520</v>
      </c>
      <c r="Q190" s="14" t="s">
        <v>521</v>
      </c>
      <c r="R190" s="52">
        <v>45613.0</v>
      </c>
      <c r="S190" s="13">
        <f t="shared" si="2"/>
        <v>1</v>
      </c>
      <c r="T190" s="14" t="s">
        <v>181</v>
      </c>
      <c r="U190" s="14"/>
      <c r="V190" s="14"/>
      <c r="W190" s="14"/>
      <c r="X190" s="14"/>
      <c r="Y190" s="14" t="s">
        <v>35</v>
      </c>
      <c r="Z190" s="15"/>
      <c r="AA190" s="15"/>
      <c r="AB190" s="15"/>
      <c r="AC190" s="15"/>
      <c r="AD190" s="15"/>
      <c r="AE190" s="15"/>
      <c r="AF190" s="15"/>
      <c r="AG190" s="15"/>
      <c r="AH190" s="15"/>
      <c r="AI190" s="15"/>
    </row>
    <row r="191" ht="15.75" hidden="1" customHeight="1">
      <c r="A191" s="16">
        <v>191.0</v>
      </c>
      <c r="B191" s="17" t="str">
        <f>IFERROR(__xludf.DUMMYFUNCTION("INDEX(IMPORTRANGE(""https://docs.google.com/spreadsheets/d/1S7deMHO2waboU9dywpXeKIDfCmjiuAc0HUIsFpaXQq8/edit?gid=0#gid=0"", ""Tracking Shipments - PPTCO!o:o""), MATCH(D191, IMPORTRANGE(""https://docs.google.com/spreadsheets/d/1S7deMHO2waboU9dywpXeKIDfCmji"&amp;"uAc0HUIsFpaXQq8/edit?gid=0#gid=0"", ""Tracking Shipments - PPTCO!p:p""), 0))"),"PPT-165")</f>
        <v>PPT-165</v>
      </c>
      <c r="C191" s="18" t="s">
        <v>522</v>
      </c>
      <c r="D191" s="18">
        <v>257198.0</v>
      </c>
      <c r="E191" s="18" t="s">
        <v>523</v>
      </c>
      <c r="F191" s="18" t="s">
        <v>26</v>
      </c>
      <c r="G191" s="18" t="s">
        <v>177</v>
      </c>
      <c r="H191" s="18" t="s">
        <v>150</v>
      </c>
      <c r="I191" s="18"/>
      <c r="J191" s="18"/>
      <c r="K191" s="18" t="s">
        <v>150</v>
      </c>
      <c r="L191" s="46">
        <v>45619.0</v>
      </c>
      <c r="M191" s="54">
        <v>45622.0</v>
      </c>
      <c r="N191" s="18"/>
      <c r="O191" s="59" t="s">
        <v>524</v>
      </c>
      <c r="P191" s="18" t="s">
        <v>525</v>
      </c>
      <c r="Q191" s="18" t="s">
        <v>526</v>
      </c>
      <c r="R191" s="47">
        <v>45622.0</v>
      </c>
      <c r="S191" s="22" t="str">
        <f t="shared" si="2"/>
        <v/>
      </c>
      <c r="T191" s="18"/>
      <c r="U191" s="18"/>
      <c r="V191" s="18"/>
      <c r="W191" s="16"/>
      <c r="X191" s="18"/>
      <c r="Y191" s="18" t="s">
        <v>35</v>
      </c>
      <c r="Z191" s="24"/>
      <c r="AA191" s="24"/>
      <c r="AB191" s="24"/>
      <c r="AC191" s="24"/>
      <c r="AD191" s="24"/>
      <c r="AE191" s="24"/>
      <c r="AF191" s="24"/>
      <c r="AG191" s="24"/>
      <c r="AH191" s="24"/>
      <c r="AI191" s="24"/>
    </row>
    <row r="192" ht="15.75" hidden="1" customHeight="1">
      <c r="A192" s="31">
        <v>26.0</v>
      </c>
      <c r="B192" s="14" t="s">
        <v>148</v>
      </c>
      <c r="C192" s="14"/>
      <c r="D192" s="14">
        <v>130867.0</v>
      </c>
      <c r="E192" s="14" t="s">
        <v>527</v>
      </c>
      <c r="F192" s="14" t="s">
        <v>37</v>
      </c>
      <c r="G192" s="14" t="s">
        <v>177</v>
      </c>
      <c r="H192" s="14" t="s">
        <v>150</v>
      </c>
      <c r="I192" s="14"/>
      <c r="J192" s="14"/>
      <c r="K192" s="14" t="s">
        <v>150</v>
      </c>
      <c r="L192" s="51">
        <v>45619.0</v>
      </c>
      <c r="M192" s="49">
        <v>45622.0</v>
      </c>
      <c r="N192" s="14">
        <v>122024.0</v>
      </c>
      <c r="O192" s="14">
        <v>377.0</v>
      </c>
      <c r="P192" s="14">
        <v>2170.0</v>
      </c>
      <c r="Q192" s="14">
        <v>377.0</v>
      </c>
      <c r="R192" s="49">
        <v>45622.0</v>
      </c>
      <c r="S192" s="13">
        <v>0.0</v>
      </c>
      <c r="T192" s="14" t="s">
        <v>34</v>
      </c>
      <c r="U192" s="14"/>
      <c r="V192" s="14"/>
      <c r="W192" s="14"/>
      <c r="X192" s="14"/>
      <c r="Y192" s="14" t="s">
        <v>35</v>
      </c>
      <c r="Z192" s="15"/>
      <c r="AA192" s="15"/>
      <c r="AB192" s="15"/>
      <c r="AC192" s="15"/>
      <c r="AD192" s="15"/>
      <c r="AE192" s="15"/>
      <c r="AF192" s="15"/>
      <c r="AG192" s="15"/>
      <c r="AH192" s="15"/>
      <c r="AI192" s="15"/>
    </row>
    <row r="193" ht="15.75" hidden="1" customHeight="1">
      <c r="A193" s="16">
        <v>193.0</v>
      </c>
      <c r="B193" s="17" t="str">
        <f>IFERROR(__xludf.DUMMYFUNCTION("INDEX(IMPORTRANGE(""https://docs.google.com/spreadsheets/d/1S7deMHO2waboU9dywpXeKIDfCmjiuAc0HUIsFpaXQq8/edit?gid=0#gid=0"", ""Tracking Shipments - PPTCO!o:o""), MATCH(D193, IMPORTRANGE(""https://docs.google.com/spreadsheets/d/1S7deMHO2waboU9dywpXeKIDfCmji"&amp;"uAc0HUIsFpaXQq8/edit?gid=0#gid=0"", ""Tracking Shipments - PPTCO!p:p""), 0))"),"PPT-160")</f>
        <v>PPT-160</v>
      </c>
      <c r="C193" s="18"/>
      <c r="D193" s="18">
        <v>259128.0</v>
      </c>
      <c r="E193" s="18" t="s">
        <v>528</v>
      </c>
      <c r="F193" s="18" t="s">
        <v>222</v>
      </c>
      <c r="G193" s="18" t="s">
        <v>177</v>
      </c>
      <c r="H193" s="18" t="s">
        <v>150</v>
      </c>
      <c r="I193" s="18"/>
      <c r="J193" s="18"/>
      <c r="K193" s="18" t="s">
        <v>150</v>
      </c>
      <c r="L193" s="46">
        <v>45621.0</v>
      </c>
      <c r="M193" s="54">
        <v>45623.0</v>
      </c>
      <c r="N193" s="18">
        <v>122024.0</v>
      </c>
      <c r="O193" s="18" t="s">
        <v>529</v>
      </c>
      <c r="P193" s="18" t="s">
        <v>530</v>
      </c>
      <c r="Q193" s="18" t="s">
        <v>531</v>
      </c>
      <c r="R193" s="47">
        <v>45629.0</v>
      </c>
      <c r="S193" s="22">
        <f t="shared" ref="S193:S300" si="3">IFERROR(IF(DATEDIF(M193,R193,"d")=0,"",DATEDIF(M193,R193,"d")),"")</f>
        <v>6</v>
      </c>
      <c r="T193" s="18"/>
      <c r="U193" s="18"/>
      <c r="V193" s="18"/>
      <c r="W193" s="18"/>
      <c r="X193" s="18"/>
      <c r="Y193" s="18" t="s">
        <v>35</v>
      </c>
      <c r="Z193" s="24"/>
      <c r="AA193" s="24"/>
      <c r="AB193" s="24"/>
      <c r="AC193" s="24"/>
      <c r="AD193" s="24"/>
      <c r="AE193" s="24"/>
      <c r="AF193" s="24"/>
      <c r="AG193" s="24"/>
      <c r="AH193" s="24"/>
      <c r="AI193" s="24"/>
    </row>
    <row r="194" ht="15.75" hidden="1" customHeight="1">
      <c r="A194" s="8">
        <v>194.0</v>
      </c>
      <c r="B194" s="9" t="str">
        <f>IFERROR(__xludf.DUMMYFUNCTION("INDEX(IMPORTRANGE(""https://docs.google.com/spreadsheets/d/1S7deMHO2waboU9dywpXeKIDfCmjiuAc0HUIsFpaXQq8/edit?gid=0#gid=0"", ""Tracking Shipments - PPTCO!o:o""), MATCH(D194, IMPORTRANGE(""https://docs.google.com/spreadsheets/d/1S7deMHO2waboU9dywpXeKIDfCmji"&amp;"uAc0HUIsFpaXQq8/edit?gid=0#gid=0"", ""Tracking Shipments - PPTCO!p:p""), 0))"),"PPT-158")</f>
        <v>PPT-158</v>
      </c>
      <c r="C194" s="14" t="s">
        <v>532</v>
      </c>
      <c r="D194" s="14">
        <v>132263.0</v>
      </c>
      <c r="E194" s="14" t="s">
        <v>533</v>
      </c>
      <c r="F194" s="14" t="s">
        <v>81</v>
      </c>
      <c r="G194" s="14" t="s">
        <v>177</v>
      </c>
      <c r="H194" s="14" t="s">
        <v>150</v>
      </c>
      <c r="I194" s="14"/>
      <c r="J194" s="14"/>
      <c r="K194" s="14" t="s">
        <v>150</v>
      </c>
      <c r="L194" s="51">
        <v>45626.0</v>
      </c>
      <c r="M194" s="49">
        <v>45627.0</v>
      </c>
      <c r="N194" s="14"/>
      <c r="O194" s="60">
        <v>376.0</v>
      </c>
      <c r="P194" s="14">
        <v>2148.0</v>
      </c>
      <c r="Q194" s="14">
        <v>386.0</v>
      </c>
      <c r="R194" s="52">
        <v>45627.0</v>
      </c>
      <c r="S194" s="13" t="str">
        <f t="shared" si="3"/>
        <v/>
      </c>
      <c r="T194" s="14"/>
      <c r="U194" s="14"/>
      <c r="V194" s="14"/>
      <c r="W194" s="8"/>
      <c r="X194" s="14"/>
      <c r="Y194" s="14" t="s">
        <v>35</v>
      </c>
      <c r="Z194" s="15"/>
      <c r="AA194" s="15"/>
      <c r="AB194" s="15"/>
      <c r="AC194" s="15"/>
      <c r="AD194" s="15"/>
      <c r="AE194" s="15"/>
      <c r="AF194" s="15"/>
      <c r="AG194" s="15"/>
      <c r="AH194" s="15"/>
      <c r="AI194" s="15"/>
    </row>
    <row r="195" ht="15.75" hidden="1" customHeight="1">
      <c r="A195" s="16">
        <v>195.0</v>
      </c>
      <c r="B195" s="17" t="str">
        <f>IFERROR(__xludf.DUMMYFUNCTION("INDEX(IMPORTRANGE(""https://docs.google.com/spreadsheets/d/1S7deMHO2waboU9dywpXeKIDfCmjiuAc0HUIsFpaXQq8/edit?gid=0#gid=0"", ""Tracking Shipments - PPTCO!o:o""), MATCH(D195, IMPORTRANGE(""https://docs.google.com/spreadsheets/d/1S7deMHO2waboU9dywpXeKIDfCmji"&amp;"uAc0HUIsFpaXQq8/edit?gid=0#gid=0"", ""Tracking Shipments - PPTCO!p:p""), 0))"),"PPT-161")</f>
        <v>PPT-161</v>
      </c>
      <c r="C195" s="18" t="s">
        <v>534</v>
      </c>
      <c r="D195" s="18">
        <v>262562.0</v>
      </c>
      <c r="E195" s="18" t="s">
        <v>535</v>
      </c>
      <c r="F195" s="18" t="s">
        <v>536</v>
      </c>
      <c r="G195" s="18" t="s">
        <v>177</v>
      </c>
      <c r="H195" s="18" t="s">
        <v>150</v>
      </c>
      <c r="I195" s="18"/>
      <c r="J195" s="18"/>
      <c r="K195" s="18" t="s">
        <v>150</v>
      </c>
      <c r="L195" s="46">
        <v>45622.0</v>
      </c>
      <c r="M195" s="54">
        <v>45638.0</v>
      </c>
      <c r="N195" s="18"/>
      <c r="O195" s="59">
        <v>380.0</v>
      </c>
      <c r="P195" s="18">
        <v>2259.0</v>
      </c>
      <c r="Q195" s="18">
        <v>402.0</v>
      </c>
      <c r="R195" s="47">
        <v>45638.0</v>
      </c>
      <c r="S195" s="22" t="str">
        <f t="shared" si="3"/>
        <v/>
      </c>
      <c r="T195" s="18" t="s">
        <v>235</v>
      </c>
      <c r="U195" s="18"/>
      <c r="V195" s="18"/>
      <c r="W195" s="18"/>
      <c r="X195" s="18"/>
      <c r="Y195" s="18" t="s">
        <v>35</v>
      </c>
      <c r="Z195" s="24"/>
      <c r="AA195" s="24"/>
      <c r="AB195" s="24"/>
      <c r="AC195" s="24"/>
      <c r="AD195" s="24"/>
      <c r="AE195" s="24"/>
      <c r="AF195" s="24"/>
      <c r="AG195" s="24"/>
      <c r="AH195" s="24"/>
      <c r="AI195" s="24"/>
    </row>
    <row r="196" ht="15.75" hidden="1" customHeight="1">
      <c r="A196" s="8">
        <v>196.0</v>
      </c>
      <c r="B196" s="9" t="str">
        <f>IFERROR(__xludf.DUMMYFUNCTION("INDEX(IMPORTRANGE(""https://docs.google.com/spreadsheets/d/1S7deMHO2waboU9dywpXeKIDfCmjiuAc0HUIsFpaXQq8/edit?gid=0#gid=0"", ""Tracking Shipments - PPTCO!o:o""), MATCH(D196, IMPORTRANGE(""https://docs.google.com/spreadsheets/d/1S7deMHO2waboU9dywpXeKIDfCmji"&amp;"uAc0HUIsFpaXQq8/edit?gid=0#gid=0"", ""Tracking Shipments - PPTCO!p:p""), 0))"),"PPT-154")</f>
        <v>PPT-154</v>
      </c>
      <c r="C196" s="14" t="s">
        <v>537</v>
      </c>
      <c r="D196" s="14">
        <v>132519.0</v>
      </c>
      <c r="E196" s="14" t="s">
        <v>538</v>
      </c>
      <c r="F196" s="14" t="s">
        <v>37</v>
      </c>
      <c r="G196" s="14" t="s">
        <v>177</v>
      </c>
      <c r="H196" s="14" t="s">
        <v>150</v>
      </c>
      <c r="I196" s="14"/>
      <c r="J196" s="14"/>
      <c r="K196" s="14" t="s">
        <v>150</v>
      </c>
      <c r="L196" s="49">
        <v>45630.0</v>
      </c>
      <c r="M196" s="58">
        <v>45634.0</v>
      </c>
      <c r="N196" s="14"/>
      <c r="O196" s="60">
        <v>381.0</v>
      </c>
      <c r="P196" s="14">
        <v>2254.0</v>
      </c>
      <c r="Q196" s="14">
        <v>389.0</v>
      </c>
      <c r="R196" s="52">
        <v>45637.0</v>
      </c>
      <c r="S196" s="13">
        <f t="shared" si="3"/>
        <v>3</v>
      </c>
      <c r="T196" s="14"/>
      <c r="U196" s="14"/>
      <c r="V196" s="14"/>
      <c r="W196" s="14"/>
      <c r="X196" s="14"/>
      <c r="Y196" s="14" t="s">
        <v>35</v>
      </c>
      <c r="Z196" s="15"/>
      <c r="AA196" s="15"/>
      <c r="AB196" s="15"/>
      <c r="AC196" s="15"/>
      <c r="AD196" s="15"/>
      <c r="AE196" s="15"/>
      <c r="AF196" s="15"/>
      <c r="AG196" s="15"/>
      <c r="AH196" s="15"/>
      <c r="AI196" s="15"/>
    </row>
    <row r="197" ht="15.75" hidden="1" customHeight="1">
      <c r="A197" s="16">
        <v>197.0</v>
      </c>
      <c r="B197" s="17" t="str">
        <f>IFERROR(__xludf.DUMMYFUNCTION("INDEX(IMPORTRANGE(""https://docs.google.com/spreadsheets/d/1S7deMHO2waboU9dywpXeKIDfCmjiuAc0HUIsFpaXQq8/edit?gid=0#gid=0"", ""Tracking Shipments - PPTCO!o:o""), MATCH(D197, IMPORTRANGE(""https://docs.google.com/spreadsheets/d/1S7deMHO2waboU9dywpXeKIDfCmji"&amp;"uAc0HUIsFpaXQq8/edit?gid=0#gid=0"", ""Tracking Shipments - PPTCO!p:p""), 0))"),"PPT-146")</f>
        <v>PPT-146</v>
      </c>
      <c r="C197" s="18" t="s">
        <v>539</v>
      </c>
      <c r="D197" s="18">
        <v>135338.0</v>
      </c>
      <c r="E197" s="18" t="s">
        <v>540</v>
      </c>
      <c r="F197" s="18" t="s">
        <v>37</v>
      </c>
      <c r="G197" s="18" t="s">
        <v>177</v>
      </c>
      <c r="H197" s="18" t="s">
        <v>150</v>
      </c>
      <c r="I197" s="18"/>
      <c r="J197" s="18"/>
      <c r="K197" s="18" t="s">
        <v>150</v>
      </c>
      <c r="L197" s="54">
        <v>45634.0</v>
      </c>
      <c r="M197" s="54">
        <v>45641.0</v>
      </c>
      <c r="N197" s="18"/>
      <c r="O197" s="59">
        <v>382.0</v>
      </c>
      <c r="P197" s="18">
        <v>2255.0</v>
      </c>
      <c r="Q197" s="18">
        <v>403.0</v>
      </c>
      <c r="R197" s="54">
        <v>45641.0</v>
      </c>
      <c r="S197" s="22" t="str">
        <f t="shared" si="3"/>
        <v/>
      </c>
      <c r="T197" s="18"/>
      <c r="U197" s="18"/>
      <c r="V197" s="18"/>
      <c r="W197" s="16"/>
      <c r="X197" s="18"/>
      <c r="Y197" s="18" t="s">
        <v>35</v>
      </c>
      <c r="Z197" s="24"/>
      <c r="AA197" s="24"/>
      <c r="AB197" s="24"/>
      <c r="AC197" s="24"/>
      <c r="AD197" s="24"/>
      <c r="AE197" s="24"/>
      <c r="AF197" s="24"/>
      <c r="AG197" s="24"/>
      <c r="AH197" s="24"/>
      <c r="AI197" s="24"/>
    </row>
    <row r="198" ht="15.75" hidden="1" customHeight="1">
      <c r="A198" s="8">
        <v>198.0</v>
      </c>
      <c r="B198" s="9" t="str">
        <f>IFERROR(__xludf.DUMMYFUNCTION("INDEX(IMPORTRANGE(""https://docs.google.com/spreadsheets/d/1S7deMHO2waboU9dywpXeKIDfCmjiuAc0HUIsFpaXQq8/edit?gid=0#gid=0"", ""Tracking Shipments - PPTCO!o:o""), MATCH(D198, IMPORTRANGE(""https://docs.google.com/spreadsheets/d/1S7deMHO2waboU9dywpXeKIDfCmji"&amp;"uAc0HUIsFpaXQq8/edit?gid=0#gid=0"", ""Tracking Shipments - PPTCO!p:p""), 0))"),"PPT-165")</f>
        <v>PPT-165</v>
      </c>
      <c r="C198" s="14" t="s">
        <v>541</v>
      </c>
      <c r="D198" s="14">
        <v>269844.0</v>
      </c>
      <c r="E198" s="14" t="s">
        <v>542</v>
      </c>
      <c r="F198" s="14" t="s">
        <v>26</v>
      </c>
      <c r="G198" s="14" t="s">
        <v>177</v>
      </c>
      <c r="H198" s="14" t="s">
        <v>150</v>
      </c>
      <c r="I198" s="14"/>
      <c r="J198" s="14"/>
      <c r="K198" s="14" t="s">
        <v>150</v>
      </c>
      <c r="L198" s="49">
        <v>45631.0</v>
      </c>
      <c r="M198" s="58">
        <v>45634.0</v>
      </c>
      <c r="N198" s="14"/>
      <c r="O198" s="60" t="s">
        <v>543</v>
      </c>
      <c r="P198" s="14" t="s">
        <v>544</v>
      </c>
      <c r="Q198" s="14" t="s">
        <v>545</v>
      </c>
      <c r="R198" s="52">
        <v>45638.0</v>
      </c>
      <c r="S198" s="13">
        <f t="shared" si="3"/>
        <v>4</v>
      </c>
      <c r="T198" s="14"/>
      <c r="U198" s="14"/>
      <c r="V198" s="14"/>
      <c r="W198" s="14"/>
      <c r="X198" s="14"/>
      <c r="Y198" s="14" t="s">
        <v>35</v>
      </c>
      <c r="Z198" s="15"/>
      <c r="AA198" s="15"/>
      <c r="AB198" s="15"/>
      <c r="AC198" s="15"/>
      <c r="AD198" s="15"/>
      <c r="AE198" s="15"/>
      <c r="AF198" s="15"/>
      <c r="AG198" s="15"/>
      <c r="AH198" s="15"/>
      <c r="AI198" s="15"/>
    </row>
    <row r="199" ht="15.75" hidden="1" customHeight="1">
      <c r="A199" s="16">
        <v>199.0</v>
      </c>
      <c r="B199" s="17" t="str">
        <f>IFERROR(__xludf.DUMMYFUNCTION("INDEX(IMPORTRANGE(""https://docs.google.com/spreadsheets/d/1S7deMHO2waboU9dywpXeKIDfCmjiuAc0HUIsFpaXQq8/edit?gid=0#gid=0"", ""Tracking Shipments - PPTCO!o:o""), MATCH(D199, IMPORTRANGE(""https://docs.google.com/spreadsheets/d/1S7deMHO2waboU9dywpXeKIDfCmji"&amp;"uAc0HUIsFpaXQq8/edit?gid=0#gid=0"", ""Tracking Shipments - PPTCO!p:p""), 0))"),"PPT-163")</f>
        <v>PPT-163</v>
      </c>
      <c r="C199" s="18" t="s">
        <v>546</v>
      </c>
      <c r="D199" s="18">
        <v>270880.0</v>
      </c>
      <c r="E199" s="18" t="s">
        <v>547</v>
      </c>
      <c r="F199" s="18" t="s">
        <v>105</v>
      </c>
      <c r="G199" s="18" t="s">
        <v>177</v>
      </c>
      <c r="H199" s="18" t="s">
        <v>150</v>
      </c>
      <c r="I199" s="18"/>
      <c r="J199" s="18"/>
      <c r="K199" s="18" t="s">
        <v>150</v>
      </c>
      <c r="L199" s="54">
        <v>45635.0</v>
      </c>
      <c r="M199" s="54">
        <v>45638.0</v>
      </c>
      <c r="N199" s="18"/>
      <c r="O199" s="59" t="s">
        <v>548</v>
      </c>
      <c r="P199" s="18" t="s">
        <v>549</v>
      </c>
      <c r="Q199" s="18" t="s">
        <v>550</v>
      </c>
      <c r="R199" s="47">
        <v>45638.0</v>
      </c>
      <c r="S199" s="22" t="str">
        <f t="shared" si="3"/>
        <v/>
      </c>
      <c r="T199" s="18"/>
      <c r="U199" s="18"/>
      <c r="V199" s="18"/>
      <c r="W199" s="18"/>
      <c r="X199" s="18"/>
      <c r="Y199" s="18" t="s">
        <v>35</v>
      </c>
      <c r="Z199" s="24"/>
      <c r="AA199" s="24"/>
      <c r="AB199" s="24"/>
      <c r="AC199" s="24"/>
      <c r="AD199" s="24"/>
      <c r="AE199" s="24"/>
      <c r="AF199" s="24"/>
      <c r="AG199" s="24"/>
      <c r="AH199" s="24"/>
      <c r="AI199" s="24"/>
    </row>
    <row r="200" ht="13.5" hidden="1" customHeight="1">
      <c r="A200" s="8">
        <v>200.0</v>
      </c>
      <c r="B200" s="9" t="str">
        <f>IFERROR(__xludf.DUMMYFUNCTION("INDEX(IMPORTRANGE(""https://docs.google.com/spreadsheets/d/1S7deMHO2waboU9dywpXeKIDfCmjiuAc0HUIsFpaXQq8/edit?gid=0#gid=0"", ""Tracking Shipments - PPTCO!o:o""), MATCH(D200, IMPORTRANGE(""https://docs.google.com/spreadsheets/d/1S7deMHO2waboU9dywpXeKIDfCmji"&amp;"uAc0HUIsFpaXQq8/edit?gid=0#gid=0"", ""Tracking Shipments - PPTCO!p:p""), 0))"),"N/A")</f>
        <v>N/A</v>
      </c>
      <c r="C200" s="14" t="s">
        <v>551</v>
      </c>
      <c r="D200" s="14">
        <v>136138.0</v>
      </c>
      <c r="E200" s="14" t="s">
        <v>552</v>
      </c>
      <c r="F200" s="14" t="s">
        <v>68</v>
      </c>
      <c r="G200" s="14" t="s">
        <v>177</v>
      </c>
      <c r="H200" s="14" t="s">
        <v>150</v>
      </c>
      <c r="I200" s="14"/>
      <c r="J200" s="14"/>
      <c r="K200" s="14" t="s">
        <v>150</v>
      </c>
      <c r="L200" s="49">
        <v>45635.0</v>
      </c>
      <c r="M200" s="49">
        <v>45641.0</v>
      </c>
      <c r="N200" s="14"/>
      <c r="O200" s="60" t="s">
        <v>553</v>
      </c>
      <c r="P200" s="14" t="s">
        <v>554</v>
      </c>
      <c r="Q200" s="14" t="s">
        <v>555</v>
      </c>
      <c r="R200" s="52">
        <v>45642.0</v>
      </c>
      <c r="S200" s="13">
        <f t="shared" si="3"/>
        <v>1</v>
      </c>
      <c r="T200" s="14"/>
      <c r="U200" s="14"/>
      <c r="V200" s="14"/>
      <c r="W200" s="8"/>
      <c r="X200" s="14"/>
      <c r="Y200" s="14" t="s">
        <v>35</v>
      </c>
      <c r="Z200" s="15"/>
      <c r="AA200" s="15"/>
      <c r="AB200" s="15"/>
      <c r="AC200" s="15"/>
      <c r="AD200" s="15"/>
      <c r="AE200" s="15"/>
      <c r="AF200" s="15"/>
      <c r="AG200" s="15"/>
      <c r="AH200" s="15"/>
      <c r="AI200" s="15"/>
    </row>
    <row r="201" ht="13.5" hidden="1" customHeight="1">
      <c r="A201" s="16">
        <v>201.0</v>
      </c>
      <c r="B201" s="17" t="str">
        <f>IFERROR(__xludf.DUMMYFUNCTION("INDEX(IMPORTRANGE(""https://docs.google.com/spreadsheets/d/1S7deMHO2waboU9dywpXeKIDfCmjiuAc0HUIsFpaXQq8/edit?gid=0#gid=0"", ""Tracking Shipments - PPTCO!o:o""), MATCH(D201, IMPORTRANGE(""https://docs.google.com/spreadsheets/d/1S7deMHO2waboU9dywpXeKIDfCmji"&amp;"uAc0HUIsFpaXQq8/edit?gid=0#gid=0"", ""Tracking Shipments - PPTCO!p:p""), 0))"),"PPT-164")</f>
        <v>PPT-164</v>
      </c>
      <c r="C201" s="18" t="s">
        <v>556</v>
      </c>
      <c r="D201" s="18">
        <v>274043.0</v>
      </c>
      <c r="E201" s="18" t="s">
        <v>557</v>
      </c>
      <c r="F201" s="18" t="s">
        <v>81</v>
      </c>
      <c r="G201" s="18" t="s">
        <v>177</v>
      </c>
      <c r="H201" s="18" t="s">
        <v>150</v>
      </c>
      <c r="I201" s="18"/>
      <c r="J201" s="18"/>
      <c r="K201" s="18" t="s">
        <v>150</v>
      </c>
      <c r="L201" s="54">
        <v>45640.0</v>
      </c>
      <c r="M201" s="54">
        <v>45651.0</v>
      </c>
      <c r="N201" s="18"/>
      <c r="O201" s="59" t="s">
        <v>558</v>
      </c>
      <c r="P201" s="18" t="s">
        <v>559</v>
      </c>
      <c r="Q201" s="18" t="s">
        <v>560</v>
      </c>
      <c r="R201" s="47">
        <v>45693.0</v>
      </c>
      <c r="S201" s="22">
        <f t="shared" si="3"/>
        <v>42</v>
      </c>
      <c r="T201" s="18"/>
      <c r="U201" s="18"/>
      <c r="V201" s="18"/>
      <c r="W201" s="18"/>
      <c r="X201" s="18"/>
      <c r="Y201" s="18" t="s">
        <v>35</v>
      </c>
      <c r="Z201" s="24"/>
      <c r="AA201" s="24"/>
      <c r="AB201" s="24"/>
      <c r="AC201" s="24"/>
      <c r="AD201" s="24"/>
      <c r="AE201" s="24"/>
      <c r="AF201" s="24"/>
      <c r="AG201" s="24"/>
      <c r="AH201" s="24"/>
      <c r="AI201" s="24"/>
    </row>
    <row r="202" ht="15.0" hidden="1" customHeight="1">
      <c r="A202" s="8">
        <v>202.0</v>
      </c>
      <c r="B202" s="9" t="str">
        <f>IFERROR(__xludf.DUMMYFUNCTION("INDEX(IMPORTRANGE(""https://docs.google.com/spreadsheets/d/1S7deMHO2waboU9dywpXeKIDfCmjiuAc0HUIsFpaXQq8/edit?gid=0#gid=0"", ""Tracking Shipments - PPTCO!o:o""), MATCH(D202, IMPORTRANGE(""https://docs.google.com/spreadsheets/d/1S7deMHO2waboU9dywpXeKIDfCmji"&amp;"uAc0HUIsFpaXQq8/edit?gid=0#gid=0"", ""Tracking Shipments - PPTCO!p:p""), 0))"),"PPT-166")</f>
        <v>PPT-166</v>
      </c>
      <c r="C202" s="14" t="s">
        <v>561</v>
      </c>
      <c r="D202" s="14">
        <v>140707.0</v>
      </c>
      <c r="E202" s="14" t="s">
        <v>562</v>
      </c>
      <c r="F202" s="14" t="s">
        <v>49</v>
      </c>
      <c r="G202" s="14" t="s">
        <v>177</v>
      </c>
      <c r="H202" s="14" t="s">
        <v>150</v>
      </c>
      <c r="I202" s="14"/>
      <c r="J202" s="14"/>
      <c r="K202" s="14" t="s">
        <v>150</v>
      </c>
      <c r="L202" s="14" t="s">
        <v>563</v>
      </c>
      <c r="M202" s="49">
        <v>45670.0</v>
      </c>
      <c r="N202" s="14"/>
      <c r="O202" s="60">
        <v>398.0</v>
      </c>
      <c r="P202" s="14">
        <v>2382.0</v>
      </c>
      <c r="Q202" s="14">
        <v>1.0</v>
      </c>
      <c r="R202" s="52">
        <v>45676.0</v>
      </c>
      <c r="S202" s="13">
        <f t="shared" si="3"/>
        <v>6</v>
      </c>
      <c r="T202" s="14"/>
      <c r="U202" s="14"/>
      <c r="V202" s="14"/>
      <c r="W202" s="14"/>
      <c r="X202" s="14"/>
      <c r="Y202" s="14" t="s">
        <v>35</v>
      </c>
      <c r="Z202" s="15"/>
      <c r="AA202" s="15"/>
      <c r="AB202" s="15"/>
      <c r="AC202" s="15"/>
      <c r="AD202" s="15"/>
      <c r="AE202" s="15"/>
      <c r="AF202" s="15"/>
      <c r="AG202" s="15"/>
      <c r="AH202" s="15"/>
      <c r="AI202" s="15"/>
    </row>
    <row r="203" ht="15.0" hidden="1" customHeight="1">
      <c r="A203" s="16">
        <v>203.0</v>
      </c>
      <c r="B203" s="17" t="str">
        <f>IFERROR(__xludf.DUMMYFUNCTION("INDEX(IMPORTRANGE(""https://docs.google.com/spreadsheets/d/1S7deMHO2waboU9dywpXeKIDfCmjiuAc0HUIsFpaXQq8/edit?gid=0#gid=0"", ""Tracking Shipments - PPTCO!o:o""), MATCH(D203, IMPORTRANGE(""https://docs.google.com/spreadsheets/d/1S7deMHO2waboU9dywpXeKIDfCmji"&amp;"uAc0HUIsFpaXQq8/edit?gid=0#gid=0"", ""Tracking Shipments - PPTCO!p:p""), 0))"),"PPT-166")</f>
        <v>PPT-166</v>
      </c>
      <c r="C203" s="18" t="s">
        <v>564</v>
      </c>
      <c r="D203" s="18">
        <v>141196.0</v>
      </c>
      <c r="E203" s="18" t="s">
        <v>565</v>
      </c>
      <c r="F203" s="18" t="s">
        <v>49</v>
      </c>
      <c r="G203" s="18" t="s">
        <v>177</v>
      </c>
      <c r="H203" s="18" t="s">
        <v>150</v>
      </c>
      <c r="I203" s="18"/>
      <c r="J203" s="18"/>
      <c r="K203" s="18" t="s">
        <v>150</v>
      </c>
      <c r="L203" s="57">
        <v>45661.0</v>
      </c>
      <c r="M203" s="54">
        <v>45670.0</v>
      </c>
      <c r="N203" s="18"/>
      <c r="O203" s="59">
        <v>399.0</v>
      </c>
      <c r="P203" s="18">
        <v>2383.0</v>
      </c>
      <c r="Q203" s="18">
        <v>2.0</v>
      </c>
      <c r="R203" s="47">
        <v>45676.0</v>
      </c>
      <c r="S203" s="22">
        <f t="shared" si="3"/>
        <v>6</v>
      </c>
      <c r="T203" s="18"/>
      <c r="U203" s="18"/>
      <c r="V203" s="18"/>
      <c r="W203" s="16"/>
      <c r="X203" s="18"/>
      <c r="Y203" s="18" t="s">
        <v>35</v>
      </c>
      <c r="Z203" s="24"/>
      <c r="AA203" s="24"/>
      <c r="AB203" s="24"/>
      <c r="AC203" s="24"/>
      <c r="AD203" s="24"/>
      <c r="AE203" s="24"/>
      <c r="AF203" s="24"/>
      <c r="AG203" s="24"/>
      <c r="AH203" s="24"/>
      <c r="AI203" s="24"/>
    </row>
    <row r="204" ht="15.75" hidden="1" customHeight="1">
      <c r="A204" s="8">
        <v>204.0</v>
      </c>
      <c r="B204" s="9" t="str">
        <f>IFERROR(__xludf.DUMMYFUNCTION("INDEX(IMPORTRANGE(""https://docs.google.com/spreadsheets/d/1S7deMHO2waboU9dywpXeKIDfCmjiuAc0HUIsFpaXQq8/edit?gid=0#gid=0"", ""Tracking Shipments - PPTCO!o:o""), MATCH(D204, IMPORTRANGE(""https://docs.google.com/spreadsheets/d/1S7deMHO2waboU9dywpXeKIDfCmji"&amp;"uAc0HUIsFpaXQq8/edit?gid=0#gid=0"", ""Tracking Shipments - PPTCO!p:p""), 0))"),"PPT-165")</f>
        <v>PPT-165</v>
      </c>
      <c r="C204" s="14" t="s">
        <v>566</v>
      </c>
      <c r="D204" s="14">
        <v>283364.0</v>
      </c>
      <c r="E204" s="14" t="s">
        <v>567</v>
      </c>
      <c r="F204" s="14" t="s">
        <v>26</v>
      </c>
      <c r="G204" s="14" t="s">
        <v>177</v>
      </c>
      <c r="H204" s="14" t="s">
        <v>150</v>
      </c>
      <c r="I204" s="14"/>
      <c r="J204" s="14"/>
      <c r="K204" s="14" t="s">
        <v>150</v>
      </c>
      <c r="L204" s="49">
        <v>45644.0</v>
      </c>
      <c r="M204" s="49">
        <v>45651.0</v>
      </c>
      <c r="N204" s="14"/>
      <c r="O204" s="60">
        <v>400.0</v>
      </c>
      <c r="P204" s="14">
        <v>2294.0</v>
      </c>
      <c r="Q204" s="14">
        <v>407.0</v>
      </c>
      <c r="R204" s="52">
        <v>45652.0</v>
      </c>
      <c r="S204" s="13">
        <f t="shared" si="3"/>
        <v>1</v>
      </c>
      <c r="T204" s="14"/>
      <c r="U204" s="14"/>
      <c r="V204" s="14"/>
      <c r="W204" s="14"/>
      <c r="X204" s="14"/>
      <c r="Y204" s="14" t="s">
        <v>35</v>
      </c>
      <c r="Z204" s="15"/>
      <c r="AA204" s="15"/>
      <c r="AB204" s="15"/>
      <c r="AC204" s="15"/>
      <c r="AD204" s="15"/>
      <c r="AE204" s="15"/>
      <c r="AF204" s="15"/>
      <c r="AG204" s="15"/>
      <c r="AH204" s="15"/>
      <c r="AI204" s="15"/>
    </row>
    <row r="205" ht="15.75" hidden="1" customHeight="1">
      <c r="A205" s="16">
        <v>205.0</v>
      </c>
      <c r="B205" s="17" t="str">
        <f>IFERROR(__xludf.DUMMYFUNCTION("INDEX(IMPORTRANGE(""https://docs.google.com/spreadsheets/d/1S7deMHO2waboU9dywpXeKIDfCmjiuAc0HUIsFpaXQq8/edit?gid=0#gid=0"", ""Tracking Shipments - PPTCO!o:o""), MATCH(D205, IMPORTRANGE(""https://docs.google.com/spreadsheets/d/1S7deMHO2waboU9dywpXeKIDfCmji"&amp;"uAc0HUIsFpaXQq8/edit?gid=0#gid=0"", ""Tracking Shipments - PPTCO!p:p""), 0))"),"PPT-149")</f>
        <v>PPT-149</v>
      </c>
      <c r="C205" s="18" t="s">
        <v>568</v>
      </c>
      <c r="D205" s="18">
        <v>143896.0</v>
      </c>
      <c r="E205" s="18" t="s">
        <v>569</v>
      </c>
      <c r="F205" s="18" t="s">
        <v>37</v>
      </c>
      <c r="G205" s="18" t="s">
        <v>177</v>
      </c>
      <c r="H205" s="18" t="s">
        <v>150</v>
      </c>
      <c r="I205" s="18"/>
      <c r="J205" s="18"/>
      <c r="K205" s="18" t="s">
        <v>150</v>
      </c>
      <c r="L205" s="54">
        <v>45658.0</v>
      </c>
      <c r="M205" s="54">
        <v>45690.0</v>
      </c>
      <c r="N205" s="18"/>
      <c r="O205" s="59">
        <v>401.0</v>
      </c>
      <c r="P205" s="18">
        <v>10.0</v>
      </c>
      <c r="Q205" s="18">
        <v>14.0</v>
      </c>
      <c r="R205" s="47">
        <v>45690.0</v>
      </c>
      <c r="S205" s="22" t="str">
        <f t="shared" si="3"/>
        <v/>
      </c>
      <c r="T205" s="18"/>
      <c r="U205" s="18"/>
      <c r="V205" s="18"/>
      <c r="W205" s="18"/>
      <c r="X205" s="18"/>
      <c r="Y205" s="18" t="s">
        <v>35</v>
      </c>
      <c r="Z205" s="24"/>
      <c r="AA205" s="24"/>
      <c r="AB205" s="24"/>
      <c r="AC205" s="24"/>
      <c r="AD205" s="24"/>
      <c r="AE205" s="24"/>
      <c r="AF205" s="24"/>
      <c r="AG205" s="24"/>
      <c r="AH205" s="24"/>
      <c r="AI205" s="24"/>
    </row>
    <row r="206" ht="14.25" hidden="1" customHeight="1">
      <c r="A206" s="8">
        <v>206.0</v>
      </c>
      <c r="B206" s="9" t="str">
        <f>IFERROR(__xludf.DUMMYFUNCTION("INDEX(IMPORTRANGE(""https://docs.google.com/spreadsheets/d/1S7deMHO2waboU9dywpXeKIDfCmjiuAc0HUIsFpaXQq8/edit?gid=0#gid=0"", ""Tracking Shipments - PPTCO!o:o""), MATCH(D206, IMPORTRANGE(""https://docs.google.com/spreadsheets/d/1S7deMHO2waboU9dywpXeKIDfCmji"&amp;"uAc0HUIsFpaXQq8/edit?gid=0#gid=0"", ""Tracking Shipments - PPTCO!p:p""), 0))"),"PPT-175")</f>
        <v>PPT-175</v>
      </c>
      <c r="C206" s="14" t="s">
        <v>570</v>
      </c>
      <c r="D206" s="14">
        <v>290744.0</v>
      </c>
      <c r="E206" s="14" t="s">
        <v>571</v>
      </c>
      <c r="F206" s="14" t="s">
        <v>26</v>
      </c>
      <c r="G206" s="14" t="s">
        <v>177</v>
      </c>
      <c r="H206" s="14" t="s">
        <v>150</v>
      </c>
      <c r="I206" s="14"/>
      <c r="J206" s="14"/>
      <c r="K206" s="14" t="s">
        <v>150</v>
      </c>
      <c r="L206" s="49">
        <v>45658.0</v>
      </c>
      <c r="M206" s="49">
        <v>45670.0</v>
      </c>
      <c r="N206" s="14"/>
      <c r="O206" s="60" t="s">
        <v>572</v>
      </c>
      <c r="P206" s="14" t="s">
        <v>573</v>
      </c>
      <c r="Q206" s="14" t="s">
        <v>574</v>
      </c>
      <c r="R206" s="52">
        <v>45676.0</v>
      </c>
      <c r="S206" s="13">
        <f t="shared" si="3"/>
        <v>6</v>
      </c>
      <c r="T206" s="14"/>
      <c r="U206" s="14"/>
      <c r="V206" s="14"/>
      <c r="W206" s="8"/>
      <c r="X206" s="14"/>
      <c r="Y206" s="14" t="s">
        <v>35</v>
      </c>
      <c r="Z206" s="15"/>
      <c r="AA206" s="15"/>
      <c r="AB206" s="15"/>
      <c r="AC206" s="15"/>
      <c r="AD206" s="15"/>
      <c r="AE206" s="15"/>
      <c r="AF206" s="15"/>
      <c r="AG206" s="15"/>
      <c r="AH206" s="15"/>
      <c r="AI206" s="15"/>
    </row>
    <row r="207" ht="14.25" hidden="1" customHeight="1">
      <c r="A207" s="16">
        <v>207.0</v>
      </c>
      <c r="B207" s="17" t="str">
        <f>IFERROR(__xludf.DUMMYFUNCTION("INDEX(IMPORTRANGE(""https://docs.google.com/spreadsheets/d/1S7deMHO2waboU9dywpXeKIDfCmjiuAc0HUIsFpaXQq8/edit?gid=0#gid=0"", ""Tracking Shipments - PPTCO!o:o""), MATCH(D207, IMPORTRANGE(""https://docs.google.com/spreadsheets/d/1S7deMHO2waboU9dywpXeKIDfCmji"&amp;"uAc0HUIsFpaXQq8/edit?gid=0#gid=0"", ""Tracking Shipments - PPTCO!p:p""), 0))"),"PPT-163")</f>
        <v>PPT-163</v>
      </c>
      <c r="C207" s="18" t="s">
        <v>575</v>
      </c>
      <c r="D207" s="18">
        <v>289156.0</v>
      </c>
      <c r="E207" s="18" t="s">
        <v>576</v>
      </c>
      <c r="F207" s="18" t="s">
        <v>105</v>
      </c>
      <c r="G207" s="18" t="s">
        <v>177</v>
      </c>
      <c r="H207" s="18" t="s">
        <v>150</v>
      </c>
      <c r="I207" s="18"/>
      <c r="J207" s="18"/>
      <c r="K207" s="18" t="s">
        <v>150</v>
      </c>
      <c r="L207" s="54">
        <v>45651.0</v>
      </c>
      <c r="M207" s="54">
        <v>45673.0</v>
      </c>
      <c r="N207" s="18"/>
      <c r="O207" s="59" t="s">
        <v>577</v>
      </c>
      <c r="P207" s="18" t="s">
        <v>578</v>
      </c>
      <c r="Q207" s="18" t="s">
        <v>579</v>
      </c>
      <c r="R207" s="47">
        <v>45677.0</v>
      </c>
      <c r="S207" s="22">
        <f t="shared" si="3"/>
        <v>4</v>
      </c>
      <c r="T207" s="18"/>
      <c r="U207" s="18"/>
      <c r="V207" s="18"/>
      <c r="W207" s="18"/>
      <c r="X207" s="18"/>
      <c r="Y207" s="18" t="s">
        <v>35</v>
      </c>
      <c r="Z207" s="24"/>
      <c r="AA207" s="24"/>
      <c r="AB207" s="24"/>
      <c r="AC207" s="24"/>
      <c r="AD207" s="24"/>
      <c r="AE207" s="24"/>
      <c r="AF207" s="24"/>
      <c r="AG207" s="24"/>
      <c r="AH207" s="24"/>
      <c r="AI207" s="24"/>
    </row>
    <row r="208" ht="14.25" hidden="1" customHeight="1">
      <c r="A208" s="8">
        <v>208.0</v>
      </c>
      <c r="B208" s="9" t="str">
        <f>IFERROR(__xludf.DUMMYFUNCTION("INDEX(IMPORTRANGE(""https://docs.google.com/spreadsheets/d/1S7deMHO2waboU9dywpXeKIDfCmjiuAc0HUIsFpaXQq8/edit?gid=0#gid=0"", ""Tracking Shipments - PPTCO!o:o""), MATCH(D208, IMPORTRANGE(""https://docs.google.com/spreadsheets/d/1S7deMHO2waboU9dywpXeKIDfCmji"&amp;"uAc0HUIsFpaXQq8/edit?gid=0#gid=0"", ""Tracking Shipments - PPTCO!p:p""), 0))"),"PPT-158")</f>
        <v>PPT-158</v>
      </c>
      <c r="C208" s="14" t="s">
        <v>580</v>
      </c>
      <c r="D208" s="14">
        <v>145440.0</v>
      </c>
      <c r="E208" s="14" t="s">
        <v>581</v>
      </c>
      <c r="F208" s="14" t="s">
        <v>81</v>
      </c>
      <c r="G208" s="14" t="s">
        <v>177</v>
      </c>
      <c r="H208" s="14" t="s">
        <v>150</v>
      </c>
      <c r="I208" s="14"/>
      <c r="J208" s="14"/>
      <c r="K208" s="14" t="s">
        <v>150</v>
      </c>
      <c r="L208" s="58">
        <v>45659.0</v>
      </c>
      <c r="M208" s="49">
        <v>45670.0</v>
      </c>
      <c r="N208" s="14"/>
      <c r="O208" s="60" t="s">
        <v>582</v>
      </c>
      <c r="P208" s="14" t="s">
        <v>583</v>
      </c>
      <c r="Q208" s="14" t="s">
        <v>584</v>
      </c>
      <c r="R208" s="52">
        <v>45677.0</v>
      </c>
      <c r="S208" s="13">
        <f t="shared" si="3"/>
        <v>7</v>
      </c>
      <c r="T208" s="14"/>
      <c r="U208" s="14"/>
      <c r="V208" s="14"/>
      <c r="W208" s="14"/>
      <c r="X208" s="14"/>
      <c r="Y208" s="14" t="s">
        <v>35</v>
      </c>
      <c r="Z208" s="15"/>
      <c r="AA208" s="15"/>
      <c r="AB208" s="15"/>
      <c r="AC208" s="15"/>
      <c r="AD208" s="15"/>
      <c r="AE208" s="15"/>
      <c r="AF208" s="15"/>
      <c r="AG208" s="15"/>
      <c r="AH208" s="15"/>
      <c r="AI208" s="15"/>
    </row>
    <row r="209" ht="14.25" hidden="1" customHeight="1">
      <c r="A209" s="16">
        <v>209.0</v>
      </c>
      <c r="B209" s="17" t="str">
        <f>IFERROR(__xludf.DUMMYFUNCTION("INDEX(IMPORTRANGE(""https://docs.google.com/spreadsheets/d/1S7deMHO2waboU9dywpXeKIDfCmjiuAc0HUIsFpaXQq8/edit?gid=0#gid=0"", ""Tracking Shipments - PPTCO!o:o""), MATCH(D209, IMPORTRANGE(""https://docs.google.com/spreadsheets/d/1S7deMHO2waboU9dywpXeKIDfCmji"&amp;"uAc0HUIsFpaXQq8/edit?gid=0#gid=0"", ""Tracking Shipments - PPTCO!p:p""), 0))"),"PPT-172")</f>
        <v>PPT-172</v>
      </c>
      <c r="C209" s="18" t="s">
        <v>585</v>
      </c>
      <c r="D209" s="18">
        <v>299289.0</v>
      </c>
      <c r="E209" s="18" t="s">
        <v>586</v>
      </c>
      <c r="F209" s="18" t="s">
        <v>81</v>
      </c>
      <c r="G209" s="18" t="s">
        <v>177</v>
      </c>
      <c r="H209" s="18" t="s">
        <v>150</v>
      </c>
      <c r="I209" s="18"/>
      <c r="J209" s="18"/>
      <c r="K209" s="18" t="s">
        <v>150</v>
      </c>
      <c r="L209" s="57">
        <v>45661.0</v>
      </c>
      <c r="M209" s="54">
        <v>45692.0</v>
      </c>
      <c r="N209" s="18"/>
      <c r="O209" s="59">
        <v>17.0</v>
      </c>
      <c r="P209" s="18">
        <v>118.0</v>
      </c>
      <c r="Q209" s="18">
        <v>25.0</v>
      </c>
      <c r="R209" s="47">
        <v>45693.0</v>
      </c>
      <c r="S209" s="22">
        <f t="shared" si="3"/>
        <v>1</v>
      </c>
      <c r="T209" s="18"/>
      <c r="U209" s="18"/>
      <c r="V209" s="18"/>
      <c r="W209" s="16"/>
      <c r="X209" s="18"/>
      <c r="Y209" s="18" t="s">
        <v>35</v>
      </c>
      <c r="Z209" s="24"/>
      <c r="AA209" s="24"/>
      <c r="AB209" s="24"/>
      <c r="AC209" s="24"/>
      <c r="AD209" s="24"/>
      <c r="AE209" s="24"/>
      <c r="AF209" s="24"/>
      <c r="AG209" s="24"/>
      <c r="AH209" s="24"/>
      <c r="AI209" s="24"/>
    </row>
    <row r="210" ht="14.25" hidden="1" customHeight="1">
      <c r="A210" s="8">
        <v>210.0</v>
      </c>
      <c r="B210" s="9" t="str">
        <f>IFERROR(__xludf.DUMMYFUNCTION("INDEX(IMPORTRANGE(""https://docs.google.com/spreadsheets/d/1S7deMHO2waboU9dywpXeKIDfCmjiuAc0HUIsFpaXQq8/edit?gid=0#gid=0"", ""Tracking Shipments - PPTCO!o:o""), MATCH(D210, IMPORTRANGE(""https://docs.google.com/spreadsheets/d/1S7deMHO2waboU9dywpXeKIDfCmji"&amp;"uAc0HUIsFpaXQq8/edit?gid=0#gid=0"", ""Tracking Shipments - PPTCO!p:p""), 0))"),"PPT-171")</f>
        <v>PPT-171</v>
      </c>
      <c r="C210" s="14" t="s">
        <v>585</v>
      </c>
      <c r="D210" s="14">
        <v>144921.0</v>
      </c>
      <c r="E210" s="14" t="s">
        <v>587</v>
      </c>
      <c r="F210" s="14" t="s">
        <v>59</v>
      </c>
      <c r="G210" s="14" t="s">
        <v>177</v>
      </c>
      <c r="H210" s="14" t="s">
        <v>150</v>
      </c>
      <c r="I210" s="14"/>
      <c r="J210" s="14"/>
      <c r="K210" s="14" t="s">
        <v>150</v>
      </c>
      <c r="L210" s="58">
        <v>45661.0</v>
      </c>
      <c r="M210" s="49">
        <v>45690.0</v>
      </c>
      <c r="N210" s="14"/>
      <c r="O210" s="60">
        <v>18.0</v>
      </c>
      <c r="P210" s="14">
        <v>104.0</v>
      </c>
      <c r="Q210" s="14">
        <v>24.0</v>
      </c>
      <c r="R210" s="52">
        <v>45691.0</v>
      </c>
      <c r="S210" s="13">
        <f t="shared" si="3"/>
        <v>1</v>
      </c>
      <c r="T210" s="14"/>
      <c r="U210" s="14"/>
      <c r="V210" s="14"/>
      <c r="W210" s="14"/>
      <c r="X210" s="14"/>
      <c r="Y210" s="14" t="s">
        <v>35</v>
      </c>
      <c r="Z210" s="15"/>
      <c r="AA210" s="15"/>
      <c r="AB210" s="15"/>
      <c r="AC210" s="15"/>
      <c r="AD210" s="15"/>
      <c r="AE210" s="15"/>
      <c r="AF210" s="15"/>
      <c r="AG210" s="15"/>
      <c r="AH210" s="15"/>
      <c r="AI210" s="15"/>
    </row>
    <row r="211" ht="14.25" hidden="1" customHeight="1">
      <c r="A211" s="16">
        <v>211.0</v>
      </c>
      <c r="B211" s="17" t="str">
        <f>IFERROR(__xludf.DUMMYFUNCTION("INDEX(IMPORTRANGE(""https://docs.google.com/spreadsheets/d/1S7deMHO2waboU9dywpXeKIDfCmjiuAc0HUIsFpaXQq8/edit?gid=0#gid=0"", ""Tracking Shipments - PPTCO!o:o""), MATCH(D211, IMPORTRANGE(""https://docs.google.com/spreadsheets/d/1S7deMHO2waboU9dywpXeKIDfCmji"&amp;"uAc0HUIsFpaXQq8/edit?gid=0#gid=0"", ""Tracking Shipments - PPTCO!p:p""), 0))"),"PPT-175")</f>
        <v>PPT-175</v>
      </c>
      <c r="C211" s="18" t="s">
        <v>588</v>
      </c>
      <c r="D211" s="18">
        <v>4281.0</v>
      </c>
      <c r="E211" s="18" t="s">
        <v>589</v>
      </c>
      <c r="F211" s="18" t="s">
        <v>26</v>
      </c>
      <c r="G211" s="18" t="s">
        <v>177</v>
      </c>
      <c r="H211" s="18" t="s">
        <v>150</v>
      </c>
      <c r="I211" s="18"/>
      <c r="J211" s="18"/>
      <c r="K211" s="18" t="s">
        <v>150</v>
      </c>
      <c r="L211" s="54">
        <v>45668.0</v>
      </c>
      <c r="M211" s="54">
        <v>45670.0</v>
      </c>
      <c r="N211" s="18"/>
      <c r="O211" s="59" t="s">
        <v>590</v>
      </c>
      <c r="P211" s="18" t="s">
        <v>591</v>
      </c>
      <c r="Q211" s="18" t="s">
        <v>592</v>
      </c>
      <c r="R211" s="47">
        <v>45678.0</v>
      </c>
      <c r="S211" s="22">
        <f t="shared" si="3"/>
        <v>8</v>
      </c>
      <c r="T211" s="18"/>
      <c r="U211" s="18"/>
      <c r="V211" s="18"/>
      <c r="W211" s="18"/>
      <c r="X211" s="18"/>
      <c r="Y211" s="18" t="s">
        <v>35</v>
      </c>
      <c r="Z211" s="24"/>
      <c r="AA211" s="24"/>
      <c r="AB211" s="24"/>
      <c r="AC211" s="24"/>
      <c r="AD211" s="24"/>
      <c r="AE211" s="24"/>
      <c r="AF211" s="24"/>
      <c r="AG211" s="24"/>
      <c r="AH211" s="24"/>
      <c r="AI211" s="24"/>
    </row>
    <row r="212" ht="15.0" hidden="1" customHeight="1">
      <c r="A212" s="8">
        <v>212.0</v>
      </c>
      <c r="B212" s="9" t="str">
        <f>IFERROR(__xludf.DUMMYFUNCTION("INDEX(IMPORTRANGE(""https://docs.google.com/spreadsheets/d/1S7deMHO2waboU9dywpXeKIDfCmjiuAc0HUIsFpaXQq8/edit?gid=0#gid=0"", ""Tracking Shipments - PPTCO!o:o""), MATCH(D212, IMPORTRANGE(""https://docs.google.com/spreadsheets/d/1S7deMHO2waboU9dywpXeKIDfCmji"&amp;"uAc0HUIsFpaXQq8/edit?gid=0#gid=0"", ""Tracking Shipments - PPTCO!p:p""), 0))"),"PPT-173")</f>
        <v>PPT-173</v>
      </c>
      <c r="C212" s="14" t="s">
        <v>593</v>
      </c>
      <c r="D212" s="14">
        <v>2700.0</v>
      </c>
      <c r="E212" s="14" t="s">
        <v>594</v>
      </c>
      <c r="F212" s="14" t="s">
        <v>54</v>
      </c>
      <c r="G212" s="14" t="s">
        <v>177</v>
      </c>
      <c r="H212" s="14" t="s">
        <v>150</v>
      </c>
      <c r="I212" s="14"/>
      <c r="J212" s="14"/>
      <c r="K212" s="14" t="s">
        <v>150</v>
      </c>
      <c r="L212" s="49">
        <v>45673.0</v>
      </c>
      <c r="M212" s="49">
        <v>45694.0</v>
      </c>
      <c r="N212" s="14"/>
      <c r="O212" s="60" t="s">
        <v>595</v>
      </c>
      <c r="P212" s="14" t="s">
        <v>596</v>
      </c>
      <c r="Q212" s="14" t="s">
        <v>597</v>
      </c>
      <c r="R212" s="52">
        <v>45698.0</v>
      </c>
      <c r="S212" s="13">
        <f t="shared" si="3"/>
        <v>4</v>
      </c>
      <c r="T212" s="14"/>
      <c r="U212" s="14"/>
      <c r="V212" s="14"/>
      <c r="W212" s="8"/>
      <c r="X212" s="14"/>
      <c r="Y212" s="14" t="s">
        <v>35</v>
      </c>
      <c r="Z212" s="15"/>
      <c r="AA212" s="15"/>
      <c r="AB212" s="15"/>
      <c r="AC212" s="15"/>
      <c r="AD212" s="15"/>
      <c r="AE212" s="15"/>
      <c r="AF212" s="15"/>
      <c r="AG212" s="15"/>
      <c r="AH212" s="15"/>
      <c r="AI212" s="15"/>
    </row>
    <row r="213" ht="13.5" hidden="1" customHeight="1">
      <c r="A213" s="16">
        <v>213.0</v>
      </c>
      <c r="B213" s="17" t="str">
        <f>IFERROR(__xludf.DUMMYFUNCTION("INDEX(IMPORTRANGE(""https://docs.google.com/spreadsheets/d/1S7deMHO2waboU9dywpXeKIDfCmjiuAc0HUIsFpaXQq8/edit?gid=0#gid=0"", ""Tracking Shipments - PPTCO!o:o""), MATCH(D213, IMPORTRANGE(""https://docs.google.com/spreadsheets/d/1S7deMHO2waboU9dywpXeKIDfCmji"&amp;"uAc0HUIsFpaXQq8/edit?gid=0#gid=0"", ""Tracking Shipments - PPTCO!p:p""), 0))"),"PPT-146")</f>
        <v>PPT-146</v>
      </c>
      <c r="C213" s="18" t="s">
        <v>598</v>
      </c>
      <c r="D213" s="18">
        <v>3879.0</v>
      </c>
      <c r="E213" s="18" t="s">
        <v>599</v>
      </c>
      <c r="F213" s="18" t="s">
        <v>37</v>
      </c>
      <c r="G213" s="18" t="s">
        <v>177</v>
      </c>
      <c r="H213" s="18" t="s">
        <v>150</v>
      </c>
      <c r="I213" s="18"/>
      <c r="J213" s="18"/>
      <c r="K213" s="18" t="s">
        <v>150</v>
      </c>
      <c r="L213" s="54">
        <v>45685.0</v>
      </c>
      <c r="M213" s="54">
        <v>45694.0</v>
      </c>
      <c r="N213" s="18"/>
      <c r="O213" s="59">
        <v>33.0</v>
      </c>
      <c r="P213" s="18">
        <v>124.0</v>
      </c>
      <c r="Q213" s="18">
        <v>40.0</v>
      </c>
      <c r="R213" s="47">
        <v>45698.0</v>
      </c>
      <c r="S213" s="22">
        <f t="shared" si="3"/>
        <v>4</v>
      </c>
      <c r="T213" s="18"/>
      <c r="U213" s="18"/>
      <c r="V213" s="18"/>
      <c r="W213" s="18"/>
      <c r="X213" s="18"/>
      <c r="Y213" s="18" t="s">
        <v>35</v>
      </c>
      <c r="Z213" s="24"/>
      <c r="AA213" s="24"/>
      <c r="AB213" s="24"/>
      <c r="AC213" s="24"/>
      <c r="AD213" s="24"/>
      <c r="AE213" s="24"/>
      <c r="AF213" s="24"/>
      <c r="AG213" s="24"/>
      <c r="AH213" s="24"/>
      <c r="AI213" s="24"/>
    </row>
    <row r="214" ht="15.0" hidden="1" customHeight="1">
      <c r="A214" s="8">
        <v>214.0</v>
      </c>
      <c r="B214" s="9" t="str">
        <f>IFERROR(__xludf.DUMMYFUNCTION("INDEX(IMPORTRANGE(""https://docs.google.com/spreadsheets/d/1S7deMHO2waboU9dywpXeKIDfCmjiuAc0HUIsFpaXQq8/edit?gid=0#gid=0"", ""Tracking Shipments - PPTCO!o:o""), MATCH(D214, IMPORTRANGE(""https://docs.google.com/spreadsheets/d/1S7deMHO2waboU9dywpXeKIDfCmji"&amp;"uAc0HUIsFpaXQq8/edit?gid=0#gid=0"", ""Tracking Shipments - PPTCO!p:p""), 0))"),"PPT-158")</f>
        <v>PPT-158</v>
      </c>
      <c r="C214" s="14" t="s">
        <v>600</v>
      </c>
      <c r="D214" s="14">
        <v>4443.0</v>
      </c>
      <c r="E214" s="14" t="s">
        <v>601</v>
      </c>
      <c r="F214" s="14" t="s">
        <v>81</v>
      </c>
      <c r="G214" s="14" t="s">
        <v>177</v>
      </c>
      <c r="H214" s="14" t="s">
        <v>150</v>
      </c>
      <c r="I214" s="14"/>
      <c r="J214" s="14"/>
      <c r="K214" s="14" t="s">
        <v>150</v>
      </c>
      <c r="L214" s="49">
        <v>45680.0</v>
      </c>
      <c r="M214" s="49">
        <v>45697.0</v>
      </c>
      <c r="N214" s="14"/>
      <c r="O214" s="60" t="s">
        <v>602</v>
      </c>
      <c r="P214" s="14" t="s">
        <v>603</v>
      </c>
      <c r="Q214" s="14" t="s">
        <v>604</v>
      </c>
      <c r="R214" s="52">
        <v>45700.0</v>
      </c>
      <c r="S214" s="13">
        <f t="shared" si="3"/>
        <v>3</v>
      </c>
      <c r="T214" s="14"/>
      <c r="U214" s="14"/>
      <c r="V214" s="14"/>
      <c r="W214" s="14"/>
      <c r="X214" s="14"/>
      <c r="Y214" s="14" t="s">
        <v>35</v>
      </c>
      <c r="Z214" s="15"/>
      <c r="AA214" s="15"/>
      <c r="AB214" s="15"/>
      <c r="AC214" s="15"/>
      <c r="AD214" s="15"/>
      <c r="AE214" s="15"/>
      <c r="AF214" s="15"/>
      <c r="AG214" s="15"/>
      <c r="AH214" s="15"/>
      <c r="AI214" s="15"/>
    </row>
    <row r="215" ht="15.0" hidden="1" customHeight="1">
      <c r="A215" s="16">
        <v>215.0</v>
      </c>
      <c r="B215" s="17" t="str">
        <f>IFERROR(__xludf.DUMMYFUNCTION("INDEX(IMPORTRANGE(""https://docs.google.com/spreadsheets/d/1S7deMHO2waboU9dywpXeKIDfCmjiuAc0HUIsFpaXQq8/edit?gid=0#gid=0"", ""Tracking Shipments - PPTCO!o:o""), MATCH(D215, IMPORTRANGE(""https://docs.google.com/spreadsheets/d/1S7deMHO2waboU9dywpXeKIDfCmji"&amp;"uAc0HUIsFpaXQq8/edit?gid=0#gid=0"", ""Tracking Shipments - PPTCO!p:p""), 0))"),"PPT-175")</f>
        <v>PPT-175</v>
      </c>
      <c r="C215" s="18" t="s">
        <v>605</v>
      </c>
      <c r="D215" s="18">
        <v>9959.0</v>
      </c>
      <c r="E215" s="18" t="s">
        <v>606</v>
      </c>
      <c r="F215" s="18" t="s">
        <v>26</v>
      </c>
      <c r="G215" s="18" t="s">
        <v>177</v>
      </c>
      <c r="H215" s="18" t="s">
        <v>150</v>
      </c>
      <c r="I215" s="18"/>
      <c r="J215" s="18"/>
      <c r="K215" s="18" t="s">
        <v>150</v>
      </c>
      <c r="L215" s="54">
        <v>45678.0</v>
      </c>
      <c r="M215" s="54">
        <v>45686.0</v>
      </c>
      <c r="N215" s="18"/>
      <c r="O215" s="59" t="s">
        <v>607</v>
      </c>
      <c r="P215" s="18" t="s">
        <v>608</v>
      </c>
      <c r="Q215" s="18" t="s">
        <v>609</v>
      </c>
      <c r="R215" s="47">
        <v>45694.0</v>
      </c>
      <c r="S215" s="22">
        <f t="shared" si="3"/>
        <v>8</v>
      </c>
      <c r="T215" s="18"/>
      <c r="U215" s="18"/>
      <c r="V215" s="18"/>
      <c r="W215" s="16"/>
      <c r="X215" s="18"/>
      <c r="Y215" s="18" t="s">
        <v>35</v>
      </c>
      <c r="Z215" s="24"/>
      <c r="AA215" s="24"/>
      <c r="AB215" s="24"/>
      <c r="AC215" s="24"/>
      <c r="AD215" s="24"/>
      <c r="AE215" s="24"/>
      <c r="AF215" s="24"/>
      <c r="AG215" s="24"/>
      <c r="AH215" s="24"/>
      <c r="AI215" s="24"/>
    </row>
    <row r="216" ht="15.0" hidden="1" customHeight="1">
      <c r="A216" s="8">
        <v>216.0</v>
      </c>
      <c r="B216" s="9" t="str">
        <f>IFERROR(__xludf.DUMMYFUNCTION("INDEX(IMPORTRANGE(""https://docs.google.com/spreadsheets/d/1S7deMHO2waboU9dywpXeKIDfCmjiuAc0HUIsFpaXQq8/edit?gid=0#gid=0"", ""Tracking Shipments - PPTCO!o:o""), MATCH(D216, IMPORTRANGE(""https://docs.google.com/spreadsheets/d/1S7deMHO2waboU9dywpXeKIDfCmji"&amp;"uAc0HUIsFpaXQq8/edit?gid=0#gid=0"", ""Tracking Shipments - PPTCO!p:p""), 0))"),"PPT-195")</f>
        <v>PPT-195</v>
      </c>
      <c r="C216" s="14" t="s">
        <v>610</v>
      </c>
      <c r="D216" s="14">
        <v>6081.0</v>
      </c>
      <c r="E216" s="14" t="s">
        <v>611</v>
      </c>
      <c r="F216" s="14" t="s">
        <v>37</v>
      </c>
      <c r="G216" s="14" t="s">
        <v>177</v>
      </c>
      <c r="H216" s="14" t="s">
        <v>150</v>
      </c>
      <c r="I216" s="14"/>
      <c r="J216" s="14"/>
      <c r="K216" s="14" t="s">
        <v>150</v>
      </c>
      <c r="L216" s="49">
        <v>45683.0</v>
      </c>
      <c r="M216" s="49">
        <v>45690.0</v>
      </c>
      <c r="N216" s="14"/>
      <c r="O216" s="60">
        <v>19.0</v>
      </c>
      <c r="P216" s="14">
        <v>92.0</v>
      </c>
      <c r="Q216" s="14">
        <v>31.0</v>
      </c>
      <c r="R216" s="52">
        <v>45694.0</v>
      </c>
      <c r="S216" s="13">
        <f t="shared" si="3"/>
        <v>4</v>
      </c>
      <c r="T216" s="14"/>
      <c r="U216" s="14"/>
      <c r="V216" s="14"/>
      <c r="W216" s="14"/>
      <c r="X216" s="14"/>
      <c r="Y216" s="14" t="s">
        <v>35</v>
      </c>
      <c r="Z216" s="15"/>
      <c r="AA216" s="15"/>
      <c r="AB216" s="15"/>
      <c r="AC216" s="15"/>
      <c r="AD216" s="15"/>
      <c r="AE216" s="15"/>
      <c r="AF216" s="15"/>
      <c r="AG216" s="15"/>
      <c r="AH216" s="15"/>
      <c r="AI216" s="15"/>
    </row>
    <row r="217" ht="15.0" hidden="1" customHeight="1">
      <c r="A217" s="16">
        <v>217.0</v>
      </c>
      <c r="B217" s="17" t="str">
        <f>IFERROR(__xludf.DUMMYFUNCTION("INDEX(IMPORTRANGE(""https://docs.google.com/spreadsheets/d/1S7deMHO2waboU9dywpXeKIDfCmjiuAc0HUIsFpaXQq8/edit?gid=0#gid=0"", ""Tracking Shipments - PPTCO!o:o""), MATCH(D217, IMPORTRANGE(""https://docs.google.com/spreadsheets/d/1S7deMHO2waboU9dywpXeKIDfCmji"&amp;"uAc0HUIsFpaXQq8/edit?gid=0#gid=0"", ""Tracking Shipments - PPTCO!p:p""), 0))"),"PPT-164/OCEAN FISH")</f>
        <v>PPT-164/OCEAN FISH</v>
      </c>
      <c r="C217" s="18" t="s">
        <v>612</v>
      </c>
      <c r="D217" s="18">
        <v>15225.0</v>
      </c>
      <c r="E217" s="18" t="s">
        <v>613</v>
      </c>
      <c r="F217" s="18" t="s">
        <v>81</v>
      </c>
      <c r="G217" s="18" t="s">
        <v>177</v>
      </c>
      <c r="H217" s="18" t="s">
        <v>150</v>
      </c>
      <c r="I217" s="18"/>
      <c r="J217" s="18"/>
      <c r="K217" s="18" t="s">
        <v>150</v>
      </c>
      <c r="L217" s="54">
        <v>45678.0</v>
      </c>
      <c r="M217" s="54">
        <v>45697.0</v>
      </c>
      <c r="N217" s="18"/>
      <c r="O217" s="59" t="s">
        <v>614</v>
      </c>
      <c r="P217" s="18" t="s">
        <v>615</v>
      </c>
      <c r="Q217" s="18" t="s">
        <v>616</v>
      </c>
      <c r="R217" s="47">
        <v>45698.0</v>
      </c>
      <c r="S217" s="22">
        <f t="shared" si="3"/>
        <v>1</v>
      </c>
      <c r="T217" s="18"/>
      <c r="U217" s="18"/>
      <c r="V217" s="18"/>
      <c r="W217" s="18"/>
      <c r="X217" s="18"/>
      <c r="Y217" s="18" t="s">
        <v>35</v>
      </c>
      <c r="Z217" s="24"/>
      <c r="AA217" s="24"/>
      <c r="AB217" s="24"/>
      <c r="AC217" s="24"/>
      <c r="AD217" s="24"/>
      <c r="AE217" s="24"/>
      <c r="AF217" s="24"/>
      <c r="AG217" s="24"/>
      <c r="AH217" s="24"/>
      <c r="AI217" s="24"/>
    </row>
    <row r="218" ht="15.0" hidden="1" customHeight="1">
      <c r="A218" s="8">
        <v>218.0</v>
      </c>
      <c r="B218" s="9" t="str">
        <f>IFERROR(__xludf.DUMMYFUNCTION("INDEX(IMPORTRANGE(""https://docs.google.com/spreadsheets/d/1S7deMHO2waboU9dywpXeKIDfCmjiuAc0HUIsFpaXQq8/edit?gid=0#gid=0"", ""Tracking Shipments - PPTCO!o:o""), MATCH(D218, IMPORTRANGE(""https://docs.google.com/spreadsheets/d/1S7deMHO2waboU9dywpXeKIDfCmji"&amp;"uAc0HUIsFpaXQq8/edit?gid=0#gid=0"", ""Tracking Shipments - PPTCO!p:p""), 0))"),"PPT-146")</f>
        <v>PPT-146</v>
      </c>
      <c r="C218" s="14" t="s">
        <v>617</v>
      </c>
      <c r="D218" s="14">
        <v>8014.0</v>
      </c>
      <c r="E218" s="14" t="s">
        <v>618</v>
      </c>
      <c r="F218" s="14" t="s">
        <v>37</v>
      </c>
      <c r="G218" s="14" t="s">
        <v>177</v>
      </c>
      <c r="H218" s="14" t="s">
        <v>150</v>
      </c>
      <c r="I218" s="14"/>
      <c r="J218" s="14"/>
      <c r="K218" s="14" t="s">
        <v>150</v>
      </c>
      <c r="L218" s="49">
        <v>45686.0</v>
      </c>
      <c r="M218" s="49">
        <v>45691.0</v>
      </c>
      <c r="N218" s="14"/>
      <c r="O218" s="60">
        <v>34.0</v>
      </c>
      <c r="P218" s="14">
        <v>125.0</v>
      </c>
      <c r="Q218" s="14">
        <v>39.0</v>
      </c>
      <c r="R218" s="52">
        <v>45698.0</v>
      </c>
      <c r="S218" s="13">
        <f t="shared" si="3"/>
        <v>7</v>
      </c>
      <c r="T218" s="14"/>
      <c r="U218" s="14"/>
      <c r="V218" s="14"/>
      <c r="W218" s="8"/>
      <c r="X218" s="14"/>
      <c r="Y218" s="14" t="s">
        <v>35</v>
      </c>
      <c r="Z218" s="15"/>
      <c r="AA218" s="15"/>
      <c r="AB218" s="15"/>
      <c r="AC218" s="15"/>
      <c r="AD218" s="15"/>
      <c r="AE218" s="15"/>
      <c r="AF218" s="15"/>
      <c r="AG218" s="15"/>
      <c r="AH218" s="15"/>
      <c r="AI218" s="15"/>
    </row>
    <row r="219" ht="15.0" hidden="1" customHeight="1">
      <c r="A219" s="16">
        <v>219.0</v>
      </c>
      <c r="B219" s="18" t="s">
        <v>148</v>
      </c>
      <c r="C219" s="18" t="s">
        <v>619</v>
      </c>
      <c r="D219" s="18">
        <v>19556.0</v>
      </c>
      <c r="E219" s="18" t="s">
        <v>620</v>
      </c>
      <c r="F219" s="18" t="s">
        <v>122</v>
      </c>
      <c r="G219" s="18" t="s">
        <v>177</v>
      </c>
      <c r="H219" s="18" t="s">
        <v>150</v>
      </c>
      <c r="I219" s="18"/>
      <c r="J219" s="18"/>
      <c r="K219" s="18" t="s">
        <v>150</v>
      </c>
      <c r="L219" s="54">
        <v>45683.0</v>
      </c>
      <c r="M219" s="54">
        <v>45690.0</v>
      </c>
      <c r="N219" s="18"/>
      <c r="O219" s="59" t="s">
        <v>621</v>
      </c>
      <c r="P219" s="18" t="s">
        <v>622</v>
      </c>
      <c r="Q219" s="18" t="s">
        <v>623</v>
      </c>
      <c r="R219" s="47">
        <v>45691.0</v>
      </c>
      <c r="S219" s="22">
        <f t="shared" si="3"/>
        <v>1</v>
      </c>
      <c r="T219" s="18"/>
      <c r="U219" s="18"/>
      <c r="V219" s="18"/>
      <c r="W219" s="18"/>
      <c r="X219" s="18"/>
      <c r="Y219" s="18" t="s">
        <v>35</v>
      </c>
      <c r="Z219" s="24"/>
      <c r="AA219" s="24"/>
      <c r="AB219" s="24"/>
      <c r="AC219" s="24"/>
      <c r="AD219" s="24"/>
      <c r="AE219" s="24"/>
      <c r="AF219" s="24"/>
      <c r="AG219" s="24"/>
      <c r="AH219" s="24"/>
      <c r="AI219" s="24"/>
    </row>
    <row r="220" ht="15.0" hidden="1" customHeight="1">
      <c r="A220" s="8">
        <v>220.0</v>
      </c>
      <c r="B220" s="9" t="str">
        <f>IFERROR(__xludf.DUMMYFUNCTION("INDEX(IMPORTRANGE(""https://docs.google.com/spreadsheets/d/1S7deMHO2waboU9dywpXeKIDfCmjiuAc0HUIsFpaXQq8/edit?gid=0#gid=0"", ""Tracking Shipments - PPTCO!o:o""), MATCH(D220, IMPORTRANGE(""https://docs.google.com/spreadsheets/d/1S7deMHO2waboU9dywpXeKIDfCmji"&amp;"uAc0HUIsFpaXQq8/edit?gid=0#gid=0"", ""Tracking Shipments - PPTCO!p:p""), 0))"),"PPT-176, HORSE FEED")</f>
        <v>PPT-176, HORSE FEED</v>
      </c>
      <c r="C220" s="14" t="s">
        <v>624</v>
      </c>
      <c r="D220" s="14">
        <v>22229.0</v>
      </c>
      <c r="E220" s="14" t="s">
        <v>625</v>
      </c>
      <c r="F220" s="14" t="s">
        <v>26</v>
      </c>
      <c r="G220" s="14" t="s">
        <v>177</v>
      </c>
      <c r="H220" s="14" t="s">
        <v>150</v>
      </c>
      <c r="I220" s="14"/>
      <c r="J220" s="14"/>
      <c r="K220" s="14" t="s">
        <v>150</v>
      </c>
      <c r="L220" s="49">
        <v>45685.0</v>
      </c>
      <c r="M220" s="49">
        <v>45693.0</v>
      </c>
      <c r="N220" s="14"/>
      <c r="O220" s="60" t="s">
        <v>626</v>
      </c>
      <c r="P220" s="14" t="s">
        <v>627</v>
      </c>
      <c r="Q220" s="14" t="s">
        <v>628</v>
      </c>
      <c r="R220" s="52">
        <v>45700.0</v>
      </c>
      <c r="S220" s="13">
        <f t="shared" si="3"/>
        <v>7</v>
      </c>
      <c r="T220" s="14"/>
      <c r="U220" s="14"/>
      <c r="V220" s="14"/>
      <c r="W220" s="14"/>
      <c r="X220" s="14"/>
      <c r="Y220" s="14" t="s">
        <v>35</v>
      </c>
      <c r="Z220" s="15"/>
      <c r="AA220" s="15"/>
      <c r="AB220" s="15"/>
      <c r="AC220" s="15"/>
      <c r="AD220" s="15"/>
      <c r="AE220" s="15"/>
      <c r="AF220" s="15"/>
      <c r="AG220" s="15"/>
      <c r="AH220" s="15"/>
      <c r="AI220" s="15"/>
    </row>
    <row r="221" ht="15.75" hidden="1" customHeight="1">
      <c r="A221" s="16">
        <v>221.0</v>
      </c>
      <c r="B221" s="17" t="str">
        <f>IFERROR(__xludf.DUMMYFUNCTION("INDEX(IMPORTRANGE(""https://docs.google.com/spreadsheets/d/1S7deMHO2waboU9dywpXeKIDfCmjiuAc0HUIsFpaXQq8/edit?gid=0#gid=0"", ""Tracking Shipments - PPTCO!o:o""), MATCH(D221, IMPORTRANGE(""https://docs.google.com/spreadsheets/d/1S7deMHO2waboU9dywpXeKIDfCmji"&amp;"uAc0HUIsFpaXQq8/edit?gid=0#gid=0"", ""Tracking Shipments - PPTCO!p:p""), 0))"),"PPT-199")</f>
        <v>PPT-199</v>
      </c>
      <c r="C221" s="18" t="s">
        <v>629</v>
      </c>
      <c r="D221" s="18">
        <v>30071.0</v>
      </c>
      <c r="E221" s="18" t="s">
        <v>630</v>
      </c>
      <c r="F221" s="18" t="s">
        <v>169</v>
      </c>
      <c r="G221" s="18" t="s">
        <v>177</v>
      </c>
      <c r="H221" s="18" t="s">
        <v>150</v>
      </c>
      <c r="I221" s="18"/>
      <c r="J221" s="18"/>
      <c r="K221" s="18" t="s">
        <v>150</v>
      </c>
      <c r="L221" s="54">
        <v>45693.0</v>
      </c>
      <c r="M221" s="54">
        <v>45704.0</v>
      </c>
      <c r="N221" s="18"/>
      <c r="O221" s="59">
        <v>45.0</v>
      </c>
      <c r="P221" s="18">
        <v>218.0</v>
      </c>
      <c r="Q221" s="18">
        <v>53.0</v>
      </c>
      <c r="R221" s="47">
        <v>45715.0</v>
      </c>
      <c r="S221" s="22">
        <f t="shared" si="3"/>
        <v>11</v>
      </c>
      <c r="T221" s="18"/>
      <c r="U221" s="18"/>
      <c r="V221" s="18"/>
      <c r="W221" s="16"/>
      <c r="X221" s="18"/>
      <c r="Y221" s="18" t="s">
        <v>35</v>
      </c>
      <c r="Z221" s="24"/>
      <c r="AA221" s="24"/>
      <c r="AB221" s="24"/>
      <c r="AC221" s="24"/>
      <c r="AD221" s="24"/>
      <c r="AE221" s="24"/>
      <c r="AF221" s="24"/>
      <c r="AG221" s="24"/>
      <c r="AH221" s="24"/>
      <c r="AI221" s="24"/>
    </row>
    <row r="222" ht="14.25" hidden="1" customHeight="1">
      <c r="A222" s="8">
        <v>222.0</v>
      </c>
      <c r="B222" s="9" t="str">
        <f>IFERROR(__xludf.DUMMYFUNCTION("INDEX(IMPORTRANGE(""https://docs.google.com/spreadsheets/d/1S7deMHO2waboU9dywpXeKIDfCmjiuAc0HUIsFpaXQq8/edit?gid=0#gid=0"", ""Tracking Shipments - PPTCO!o:o""), MATCH(D222, IMPORTRANGE(""https://docs.google.com/spreadsheets/d/1S7deMHO2waboU9dywpXeKIDfCmji"&amp;"uAc0HUIsFpaXQq8/edit?gid=0#gid=0"", ""Tracking Shipments - PPTCO!p:p""), 0))"),"PPT-200")</f>
        <v>PPT-200</v>
      </c>
      <c r="C222" s="14" t="s">
        <v>631</v>
      </c>
      <c r="D222" s="14">
        <v>32812.0</v>
      </c>
      <c r="E222" s="14" t="s">
        <v>632</v>
      </c>
      <c r="F222" s="14" t="s">
        <v>169</v>
      </c>
      <c r="G222" s="14" t="s">
        <v>177</v>
      </c>
      <c r="H222" s="14" t="s">
        <v>150</v>
      </c>
      <c r="I222" s="14"/>
      <c r="J222" s="14"/>
      <c r="K222" s="14" t="s">
        <v>150</v>
      </c>
      <c r="L222" s="49">
        <v>45696.0</v>
      </c>
      <c r="M222" s="49">
        <v>45713.0</v>
      </c>
      <c r="N222" s="14"/>
      <c r="O222" s="60" t="s">
        <v>633</v>
      </c>
      <c r="P222" s="14" t="s">
        <v>634</v>
      </c>
      <c r="Q222" s="14" t="s">
        <v>152</v>
      </c>
      <c r="R222" s="52">
        <v>45713.0</v>
      </c>
      <c r="S222" s="13" t="str">
        <f t="shared" si="3"/>
        <v/>
      </c>
      <c r="T222" s="14"/>
      <c r="U222" s="14"/>
      <c r="V222" s="14"/>
      <c r="W222" s="14"/>
      <c r="X222" s="14"/>
      <c r="Y222" s="14" t="s">
        <v>35</v>
      </c>
      <c r="Z222" s="15"/>
      <c r="AA222" s="15"/>
      <c r="AB222" s="15"/>
      <c r="AC222" s="15"/>
      <c r="AD222" s="15"/>
      <c r="AE222" s="15"/>
      <c r="AF222" s="15"/>
      <c r="AG222" s="15"/>
      <c r="AH222" s="15"/>
      <c r="AI222" s="15"/>
    </row>
    <row r="223" ht="15.75" hidden="1" customHeight="1">
      <c r="A223" s="16">
        <v>223.0</v>
      </c>
      <c r="B223" s="17" t="str">
        <f>IFERROR(__xludf.DUMMYFUNCTION("INDEX(IMPORTRANGE(""https://docs.google.com/spreadsheets/d/1S7deMHO2waboU9dywpXeKIDfCmjiuAc0HUIsFpaXQq8/edit?gid=0#gid=0"", ""Tracking Shipments - PPTCO!o:o""), MATCH(D223, IMPORTRANGE(""https://docs.google.com/spreadsheets/d/1S7deMHO2waboU9dywpXeKIDfCmji"&amp;"uAc0HUIsFpaXQq8/edit?gid=0#gid=0"", ""Tracking Shipments - PPTCO!p:p""), 0))"),"PPT-181/
182")</f>
        <v>PPT-181/
182</v>
      </c>
      <c r="C223" s="18" t="s">
        <v>635</v>
      </c>
      <c r="D223" s="18">
        <v>34599.0</v>
      </c>
      <c r="E223" s="18" t="s">
        <v>636</v>
      </c>
      <c r="F223" s="18" t="s">
        <v>637</v>
      </c>
      <c r="G223" s="18" t="s">
        <v>177</v>
      </c>
      <c r="H223" s="18" t="s">
        <v>150</v>
      </c>
      <c r="I223" s="18"/>
      <c r="J223" s="18"/>
      <c r="K223" s="18" t="s">
        <v>150</v>
      </c>
      <c r="L223" s="54">
        <v>45694.0</v>
      </c>
      <c r="M223" s="47">
        <v>45726.0</v>
      </c>
      <c r="N223" s="18"/>
      <c r="O223" s="59">
        <v>48.0</v>
      </c>
      <c r="P223" s="18">
        <v>220.0</v>
      </c>
      <c r="Q223" s="18">
        <v>57.0</v>
      </c>
      <c r="R223" s="47">
        <v>45726.0</v>
      </c>
      <c r="S223" s="22" t="str">
        <f t="shared" si="3"/>
        <v/>
      </c>
      <c r="T223" s="18"/>
      <c r="U223" s="18"/>
      <c r="V223" s="18"/>
      <c r="W223" s="18"/>
      <c r="X223" s="18"/>
      <c r="Y223" s="18" t="s">
        <v>35</v>
      </c>
      <c r="Z223" s="24"/>
      <c r="AA223" s="24"/>
      <c r="AB223" s="24"/>
      <c r="AC223" s="24"/>
      <c r="AD223" s="24"/>
      <c r="AE223" s="24"/>
      <c r="AF223" s="24"/>
      <c r="AG223" s="24"/>
      <c r="AH223" s="24"/>
      <c r="AI223" s="24"/>
    </row>
    <row r="224" ht="15.75" hidden="1" customHeight="1">
      <c r="A224" s="8">
        <v>224.0</v>
      </c>
      <c r="B224" s="9" t="str">
        <f>IFERROR(__xludf.DUMMYFUNCTION("INDEX(IMPORTRANGE(""https://docs.google.com/spreadsheets/d/1S7deMHO2waboU9dywpXeKIDfCmjiuAc0HUIsFpaXQq8/edit?gid=0#gid=0"", ""Tracking Shipments - PPTCO!o:o""), MATCH(D224, IMPORTRANGE(""https://docs.google.com/spreadsheets/d/1S7deMHO2waboU9dywpXeKIDfCmji"&amp;"uAc0HUIsFpaXQq8/edit?gid=0#gid=0"", ""Tracking Shipments - PPTCO!p:p""), 0))"),"#N/A")</f>
        <v>#N/A</v>
      </c>
      <c r="C224" s="14" t="s">
        <v>638</v>
      </c>
      <c r="D224" s="14" t="s">
        <v>639</v>
      </c>
      <c r="E224" s="14" t="s">
        <v>640</v>
      </c>
      <c r="F224" s="14" t="s">
        <v>169</v>
      </c>
      <c r="G224" s="14" t="s">
        <v>177</v>
      </c>
      <c r="H224" s="14" t="s">
        <v>150</v>
      </c>
      <c r="I224" s="14"/>
      <c r="J224" s="14"/>
      <c r="K224" s="14" t="s">
        <v>150</v>
      </c>
      <c r="L224" s="49">
        <v>45714.0</v>
      </c>
      <c r="M224" s="49">
        <v>45724.0</v>
      </c>
      <c r="N224" s="14"/>
      <c r="O224" s="60">
        <v>52.0</v>
      </c>
      <c r="P224" s="14">
        <v>267.0</v>
      </c>
      <c r="Q224" s="14">
        <v>61.0</v>
      </c>
      <c r="R224" s="52">
        <v>45729.0</v>
      </c>
      <c r="S224" s="13">
        <f t="shared" si="3"/>
        <v>5</v>
      </c>
      <c r="T224" s="14"/>
      <c r="U224" s="14"/>
      <c r="V224" s="14"/>
      <c r="W224" s="8"/>
      <c r="X224" s="14"/>
      <c r="Y224" s="14" t="s">
        <v>35</v>
      </c>
      <c r="Z224" s="15"/>
      <c r="AA224" s="15"/>
      <c r="AB224" s="15"/>
      <c r="AC224" s="15"/>
      <c r="AD224" s="15"/>
      <c r="AE224" s="15"/>
      <c r="AF224" s="15"/>
      <c r="AG224" s="15"/>
      <c r="AH224" s="15"/>
      <c r="AI224" s="15"/>
    </row>
    <row r="225" ht="15.0" hidden="1" customHeight="1">
      <c r="A225" s="16">
        <v>225.0</v>
      </c>
      <c r="B225" s="17" t="str">
        <f>IFERROR(__xludf.DUMMYFUNCTION("INDEX(IMPORTRANGE(""https://docs.google.com/spreadsheets/d/1S7deMHO2waboU9dywpXeKIDfCmjiuAc0HUIsFpaXQq8/edit?gid=0#gid=0"", ""Tracking Shipments - PPTCO!o:o""), MATCH(D225, IMPORTRANGE(""https://docs.google.com/spreadsheets/d/1S7deMHO2waboU9dywpXeKIDfCmji"&amp;"uAc0HUIsFpaXQq8/edit?gid=0#gid=0"", ""Tracking Shipments - PPTCO!p:p""), 0))"),"PPT-176")</f>
        <v>PPT-176</v>
      </c>
      <c r="C225" s="18" t="s">
        <v>641</v>
      </c>
      <c r="D225" s="18">
        <v>41634.0</v>
      </c>
      <c r="E225" s="18" t="s">
        <v>642</v>
      </c>
      <c r="F225" s="18" t="s">
        <v>26</v>
      </c>
      <c r="G225" s="18" t="s">
        <v>177</v>
      </c>
      <c r="H225" s="18" t="s">
        <v>150</v>
      </c>
      <c r="I225" s="18"/>
      <c r="J225" s="18"/>
      <c r="K225" s="18" t="s">
        <v>150</v>
      </c>
      <c r="L225" s="54">
        <v>45703.0</v>
      </c>
      <c r="M225" s="54">
        <v>45705.0</v>
      </c>
      <c r="N225" s="18"/>
      <c r="O225" s="59" t="s">
        <v>643</v>
      </c>
      <c r="P225" s="18" t="s">
        <v>644</v>
      </c>
      <c r="Q225" s="18" t="s">
        <v>645</v>
      </c>
      <c r="R225" s="47">
        <v>45715.0</v>
      </c>
      <c r="S225" s="22">
        <f t="shared" si="3"/>
        <v>10</v>
      </c>
      <c r="T225" s="18"/>
      <c r="U225" s="18"/>
      <c r="V225" s="18"/>
      <c r="W225" s="18"/>
      <c r="X225" s="18"/>
      <c r="Y225" s="18" t="s">
        <v>35</v>
      </c>
      <c r="Z225" s="24"/>
      <c r="AA225" s="24"/>
      <c r="AB225" s="24"/>
      <c r="AC225" s="24"/>
      <c r="AD225" s="24"/>
      <c r="AE225" s="24"/>
      <c r="AF225" s="24"/>
      <c r="AG225" s="24"/>
      <c r="AH225" s="24"/>
      <c r="AI225" s="24"/>
    </row>
    <row r="226" ht="14.25" hidden="1" customHeight="1">
      <c r="A226" s="8">
        <v>226.0</v>
      </c>
      <c r="B226" s="9" t="str">
        <f>IFERROR(__xludf.DUMMYFUNCTION("INDEX(IMPORTRANGE(""https://docs.google.com/spreadsheets/d/1S7deMHO2waboU9dywpXeKIDfCmjiuAc0HUIsFpaXQq8/edit?gid=0#gid=0"", ""Tracking Shipments - PPTCO!o:o""), MATCH(D226, IMPORTRANGE(""https://docs.google.com/spreadsheets/d/1S7deMHO2waboU9dywpXeKIDfCmji"&amp;"uAc0HUIsFpaXQq8/edit?gid=0#gid=0"", ""Tracking Shipments - PPTCO!p:p""), 0))"),"PPT-177")</f>
        <v>PPT-177</v>
      </c>
      <c r="C226" s="14" t="s">
        <v>646</v>
      </c>
      <c r="D226" s="14">
        <v>49122.0</v>
      </c>
      <c r="E226" s="14" t="s">
        <v>647</v>
      </c>
      <c r="F226" s="14" t="s">
        <v>100</v>
      </c>
      <c r="G226" s="14" t="s">
        <v>252</v>
      </c>
      <c r="H226" s="14" t="s">
        <v>150</v>
      </c>
      <c r="I226" s="14"/>
      <c r="J226" s="14"/>
      <c r="K226" s="14" t="s">
        <v>150</v>
      </c>
      <c r="L226" s="49">
        <v>45708.0</v>
      </c>
      <c r="M226" s="49">
        <v>45708.0</v>
      </c>
      <c r="N226" s="14"/>
      <c r="O226" s="60" t="s">
        <v>648</v>
      </c>
      <c r="P226" s="14" t="s">
        <v>649</v>
      </c>
      <c r="Q226" s="14" t="s">
        <v>650</v>
      </c>
      <c r="R226" s="52">
        <v>45729.0</v>
      </c>
      <c r="S226" s="13">
        <f t="shared" si="3"/>
        <v>21</v>
      </c>
      <c r="T226" s="14"/>
      <c r="U226" s="14"/>
      <c r="V226" s="14"/>
      <c r="W226" s="14"/>
      <c r="X226" s="14"/>
      <c r="Y226" s="14" t="s">
        <v>35</v>
      </c>
      <c r="Z226" s="15"/>
      <c r="AA226" s="15"/>
      <c r="AB226" s="15"/>
      <c r="AC226" s="15"/>
      <c r="AD226" s="15"/>
      <c r="AE226" s="15"/>
      <c r="AF226" s="15"/>
      <c r="AG226" s="15"/>
      <c r="AH226" s="15"/>
      <c r="AI226" s="15"/>
    </row>
    <row r="227" ht="13.5" hidden="1" customHeight="1">
      <c r="A227" s="16">
        <v>227.0</v>
      </c>
      <c r="B227" s="17" t="str">
        <f>IFERROR(__xludf.DUMMYFUNCTION("INDEX(IMPORTRANGE(""https://docs.google.com/spreadsheets/d/1S7deMHO2waboU9dywpXeKIDfCmjiuAc0HUIsFpaXQq8/edit?gid=0#gid=0"", ""Tracking Shipments - PPTCO!o:o""), MATCH(D227, IMPORTRANGE(""https://docs.google.com/spreadsheets/d/1S7deMHO2waboU9dywpXeKIDfCmji"&amp;"uAc0HUIsFpaXQq8/edit?gid=0#gid=0"", ""Tracking Shipments - PPTCO!p:p""), 0))"),"PPT-170")</f>
        <v>PPT-170</v>
      </c>
      <c r="C227" s="18" t="s">
        <v>651</v>
      </c>
      <c r="D227" s="18">
        <v>57028.0</v>
      </c>
      <c r="E227" s="18" t="s">
        <v>652</v>
      </c>
      <c r="F227" s="18" t="s">
        <v>653</v>
      </c>
      <c r="G227" s="18" t="s">
        <v>177</v>
      </c>
      <c r="H227" s="18" t="s">
        <v>150</v>
      </c>
      <c r="I227" s="18"/>
      <c r="J227" s="18"/>
      <c r="K227" s="18" t="s">
        <v>150</v>
      </c>
      <c r="L227" s="54">
        <v>45713.0</v>
      </c>
      <c r="M227" s="54">
        <v>45725.0</v>
      </c>
      <c r="N227" s="18"/>
      <c r="O227" s="59">
        <v>56.0</v>
      </c>
      <c r="P227" s="18">
        <v>269.0</v>
      </c>
      <c r="Q227" s="18">
        <v>62.0</v>
      </c>
      <c r="R227" s="47">
        <v>45730.0</v>
      </c>
      <c r="S227" s="22">
        <f t="shared" si="3"/>
        <v>5</v>
      </c>
      <c r="T227" s="18"/>
      <c r="U227" s="18"/>
      <c r="V227" s="18"/>
      <c r="W227" s="16"/>
      <c r="X227" s="18"/>
      <c r="Y227" s="18" t="s">
        <v>35</v>
      </c>
      <c r="Z227" s="24"/>
      <c r="AA227" s="24"/>
      <c r="AB227" s="24"/>
      <c r="AC227" s="24"/>
      <c r="AD227" s="24"/>
      <c r="AE227" s="24"/>
      <c r="AF227" s="24"/>
      <c r="AG227" s="24"/>
      <c r="AH227" s="24"/>
      <c r="AI227" s="24"/>
    </row>
    <row r="228" ht="15.75" hidden="1" customHeight="1">
      <c r="A228" s="8">
        <v>228.0</v>
      </c>
      <c r="B228" s="9" t="str">
        <f>IFERROR(__xludf.DUMMYFUNCTION("INDEX(IMPORTRANGE(""https://docs.google.com/spreadsheets/d/1S7deMHO2waboU9dywpXeKIDfCmjiuAc0HUIsFpaXQq8/edit?gid=0#gid=0"", ""Tracking Shipments - PPTCO!o:o""), MATCH(D228, IMPORTRANGE(""https://docs.google.com/spreadsheets/d/1S7deMHO2waboU9dywpXeKIDfCmji"&amp;"uAc0HUIsFpaXQq8/edit?gid=0#gid=0"", ""Tracking Shipments - PPTCO!p:p""), 0))"),"PPT-178")</f>
        <v>PPT-178</v>
      </c>
      <c r="C228" s="14" t="s">
        <v>654</v>
      </c>
      <c r="D228" s="14">
        <v>59083.0</v>
      </c>
      <c r="E228" s="14" t="s">
        <v>655</v>
      </c>
      <c r="F228" s="14" t="s">
        <v>259</v>
      </c>
      <c r="G228" s="14" t="s">
        <v>177</v>
      </c>
      <c r="H228" s="14" t="s">
        <v>150</v>
      </c>
      <c r="I228" s="14"/>
      <c r="J228" s="14"/>
      <c r="K228" s="14" t="s">
        <v>150</v>
      </c>
      <c r="L228" s="49">
        <v>45713.0</v>
      </c>
      <c r="M228" s="49">
        <v>45725.0</v>
      </c>
      <c r="N228" s="14"/>
      <c r="O228" s="60">
        <v>57.0</v>
      </c>
      <c r="P228" s="14">
        <v>270.0</v>
      </c>
      <c r="Q228" s="14">
        <v>63.0</v>
      </c>
      <c r="R228" s="52">
        <v>45730.0</v>
      </c>
      <c r="S228" s="13">
        <f t="shared" si="3"/>
        <v>5</v>
      </c>
      <c r="T228" s="14"/>
      <c r="U228" s="14"/>
      <c r="V228" s="14"/>
      <c r="W228" s="14"/>
      <c r="X228" s="14"/>
      <c r="Y228" s="14" t="s">
        <v>35</v>
      </c>
      <c r="Z228" s="15"/>
      <c r="AA228" s="15"/>
      <c r="AB228" s="15"/>
      <c r="AC228" s="15"/>
      <c r="AD228" s="15"/>
      <c r="AE228" s="15"/>
      <c r="AF228" s="15"/>
      <c r="AG228" s="15"/>
      <c r="AH228" s="15"/>
      <c r="AI228" s="15"/>
    </row>
    <row r="229" ht="14.25" hidden="1" customHeight="1">
      <c r="A229" s="16">
        <v>229.0</v>
      </c>
      <c r="B229" s="18" t="s">
        <v>148</v>
      </c>
      <c r="C229" s="18" t="s">
        <v>656</v>
      </c>
      <c r="D229" s="18">
        <v>38037.0</v>
      </c>
      <c r="E229" s="18" t="s">
        <v>657</v>
      </c>
      <c r="F229" s="18" t="s">
        <v>68</v>
      </c>
      <c r="G229" s="18" t="s">
        <v>177</v>
      </c>
      <c r="H229" s="18" t="s">
        <v>150</v>
      </c>
      <c r="I229" s="18"/>
      <c r="J229" s="18"/>
      <c r="K229" s="18" t="s">
        <v>150</v>
      </c>
      <c r="L229" s="54">
        <v>45726.0</v>
      </c>
      <c r="M229" s="54">
        <v>45728.0</v>
      </c>
      <c r="N229" s="18"/>
      <c r="O229" s="59" t="s">
        <v>650</v>
      </c>
      <c r="P229" s="18" t="s">
        <v>658</v>
      </c>
      <c r="Q229" s="18" t="s">
        <v>659</v>
      </c>
      <c r="R229" s="47">
        <v>45736.0</v>
      </c>
      <c r="S229" s="22">
        <f t="shared" si="3"/>
        <v>8</v>
      </c>
      <c r="T229" s="18"/>
      <c r="U229" s="18"/>
      <c r="V229" s="18"/>
      <c r="W229" s="18"/>
      <c r="X229" s="18"/>
      <c r="Y229" s="18" t="s">
        <v>35</v>
      </c>
      <c r="Z229" s="24"/>
      <c r="AA229" s="24"/>
      <c r="AB229" s="24"/>
      <c r="AC229" s="24"/>
      <c r="AD229" s="24"/>
      <c r="AE229" s="24"/>
      <c r="AF229" s="24"/>
      <c r="AG229" s="24"/>
      <c r="AH229" s="24"/>
      <c r="AI229" s="24"/>
    </row>
    <row r="230" ht="15.75" hidden="1" customHeight="1">
      <c r="A230" s="8">
        <v>230.0</v>
      </c>
      <c r="B230" s="14" t="s">
        <v>148</v>
      </c>
      <c r="C230" s="14" t="s">
        <v>660</v>
      </c>
      <c r="D230" s="14">
        <v>67945.0</v>
      </c>
      <c r="E230" s="14" t="s">
        <v>661</v>
      </c>
      <c r="F230" s="14" t="s">
        <v>662</v>
      </c>
      <c r="G230" s="14" t="s">
        <v>663</v>
      </c>
      <c r="H230" s="14" t="s">
        <v>150</v>
      </c>
      <c r="I230" s="14"/>
      <c r="J230" s="14"/>
      <c r="K230" s="14" t="s">
        <v>150</v>
      </c>
      <c r="L230" s="49">
        <v>45720.0</v>
      </c>
      <c r="M230" s="49">
        <v>45722.0</v>
      </c>
      <c r="N230" s="14"/>
      <c r="O230" s="60">
        <v>63.0</v>
      </c>
      <c r="P230" s="14">
        <v>289.0</v>
      </c>
      <c r="Q230" s="14">
        <v>64.0</v>
      </c>
      <c r="R230" s="52">
        <v>45736.0</v>
      </c>
      <c r="S230" s="13">
        <f t="shared" si="3"/>
        <v>14</v>
      </c>
      <c r="T230" s="14"/>
      <c r="U230" s="14"/>
      <c r="V230" s="14"/>
      <c r="W230" s="8"/>
      <c r="X230" s="14"/>
      <c r="Y230" s="14" t="s">
        <v>35</v>
      </c>
      <c r="Z230" s="15"/>
      <c r="AA230" s="15"/>
      <c r="AB230" s="15"/>
      <c r="AC230" s="15"/>
      <c r="AD230" s="15"/>
      <c r="AE230" s="15"/>
      <c r="AF230" s="15"/>
      <c r="AG230" s="15"/>
      <c r="AH230" s="15"/>
      <c r="AI230" s="15"/>
    </row>
    <row r="231" ht="15.75" hidden="1" customHeight="1">
      <c r="A231" s="16">
        <v>231.0</v>
      </c>
      <c r="B231" s="17" t="str">
        <f>IFERROR(__xludf.DUMMYFUNCTION("INDEX(IMPORTRANGE(""https://docs.google.com/spreadsheets/d/1S7deMHO2waboU9dywpXeKIDfCmjiuAc0HUIsFpaXQq8/edit?gid=0#gid=0"", ""Tracking Shipments - PPTCO!o:o""), MATCH(D231, IMPORTRANGE(""https://docs.google.com/spreadsheets/d/1S7deMHO2waboU9dywpXeKIDfCmji"&amp;"uAc0HUIsFpaXQq8/edit?gid=0#gid=0"", ""Tracking Shipments - PPTCO!p:p""), 0))"),"PPT-174")</f>
        <v>PPT-174</v>
      </c>
      <c r="C231" s="18" t="s">
        <v>664</v>
      </c>
      <c r="D231" s="18">
        <v>39414.0</v>
      </c>
      <c r="E231" s="18" t="s">
        <v>665</v>
      </c>
      <c r="F231" s="18" t="s">
        <v>666</v>
      </c>
      <c r="G231" s="18" t="s">
        <v>177</v>
      </c>
      <c r="H231" s="18" t="s">
        <v>150</v>
      </c>
      <c r="I231" s="18"/>
      <c r="J231" s="18"/>
      <c r="K231" s="18" t="s">
        <v>150</v>
      </c>
      <c r="L231" s="54">
        <v>45734.0</v>
      </c>
      <c r="M231" s="54">
        <v>45736.0</v>
      </c>
      <c r="N231" s="18"/>
      <c r="O231" s="59">
        <v>67.0</v>
      </c>
      <c r="P231" s="18">
        <v>503.0</v>
      </c>
      <c r="Q231" s="18">
        <v>138.0</v>
      </c>
      <c r="R231" s="47">
        <v>45771.0</v>
      </c>
      <c r="S231" s="22">
        <f t="shared" si="3"/>
        <v>35</v>
      </c>
      <c r="T231" s="18"/>
      <c r="U231" s="18"/>
      <c r="V231" s="18"/>
      <c r="W231" s="18"/>
      <c r="X231" s="18"/>
      <c r="Y231" s="18" t="s">
        <v>35</v>
      </c>
      <c r="Z231" s="24"/>
      <c r="AA231" s="24"/>
      <c r="AB231" s="24"/>
      <c r="AC231" s="24"/>
      <c r="AD231" s="24"/>
      <c r="AE231" s="24"/>
      <c r="AF231" s="24"/>
      <c r="AG231" s="24"/>
      <c r="AH231" s="24"/>
      <c r="AI231" s="24"/>
    </row>
    <row r="232" ht="16.5" hidden="1" customHeight="1">
      <c r="A232" s="8">
        <v>232.0</v>
      </c>
      <c r="B232" s="9" t="str">
        <f>IFERROR(__xludf.DUMMYFUNCTION("INDEX(IMPORTRANGE(""https://docs.google.com/spreadsheets/d/1S7deMHO2waboU9dywpXeKIDfCmjiuAc0HUIsFpaXQq8/edit?gid=0#gid=0"", ""Tracking Shipments - PPTCO!o:o""), MATCH(D232, IMPORTRANGE(""https://docs.google.com/spreadsheets/d/1S7deMHO2waboU9dywpXeKIDfCmji"&amp;"uAc0HUIsFpaXQq8/edit?gid=0#gid=0"", ""Tracking Shipments - PPTCO!p:p""), 0))"),"PPT-174")</f>
        <v>PPT-174</v>
      </c>
      <c r="C232" s="14">
        <v>502.0</v>
      </c>
      <c r="D232" s="14">
        <v>39393.0</v>
      </c>
      <c r="E232" s="14" t="s">
        <v>667</v>
      </c>
      <c r="F232" s="14" t="s">
        <v>666</v>
      </c>
      <c r="G232" s="14" t="s">
        <v>177</v>
      </c>
      <c r="H232" s="14" t="s">
        <v>150</v>
      </c>
      <c r="I232" s="14"/>
      <c r="J232" s="14"/>
      <c r="K232" s="14" t="s">
        <v>150</v>
      </c>
      <c r="L232" s="49">
        <v>45734.0</v>
      </c>
      <c r="M232" s="49">
        <v>45736.0</v>
      </c>
      <c r="N232" s="14"/>
      <c r="O232" s="60">
        <v>66.0</v>
      </c>
      <c r="P232" s="14"/>
      <c r="Q232" s="14">
        <v>139.0</v>
      </c>
      <c r="R232" s="52"/>
      <c r="S232" s="13" t="str">
        <f t="shared" si="3"/>
        <v/>
      </c>
      <c r="T232" s="14"/>
      <c r="U232" s="14"/>
      <c r="V232" s="14"/>
      <c r="W232" s="14"/>
      <c r="X232" s="14"/>
      <c r="Y232" s="14" t="s">
        <v>35</v>
      </c>
      <c r="Z232" s="15"/>
      <c r="AA232" s="15"/>
      <c r="AB232" s="15"/>
      <c r="AC232" s="15"/>
      <c r="AD232" s="15"/>
      <c r="AE232" s="15"/>
      <c r="AF232" s="15"/>
      <c r="AG232" s="15"/>
      <c r="AH232" s="15"/>
      <c r="AI232" s="15"/>
    </row>
    <row r="233" ht="15.0" hidden="1" customHeight="1">
      <c r="A233" s="16">
        <v>233.0</v>
      </c>
      <c r="B233" s="18" t="s">
        <v>148</v>
      </c>
      <c r="C233" s="18" t="s">
        <v>668</v>
      </c>
      <c r="D233" s="18">
        <v>83341.0</v>
      </c>
      <c r="E233" s="18" t="s">
        <v>669</v>
      </c>
      <c r="F233" s="18" t="s">
        <v>312</v>
      </c>
      <c r="G233" s="18" t="s">
        <v>177</v>
      </c>
      <c r="H233" s="18" t="s">
        <v>150</v>
      </c>
      <c r="I233" s="18"/>
      <c r="J233" s="18"/>
      <c r="K233" s="18" t="s">
        <v>150</v>
      </c>
      <c r="L233" s="54">
        <v>45728.0</v>
      </c>
      <c r="M233" s="54">
        <v>45733.0</v>
      </c>
      <c r="N233" s="18"/>
      <c r="O233" s="59" t="s">
        <v>670</v>
      </c>
      <c r="P233" s="18" t="s">
        <v>671</v>
      </c>
      <c r="Q233" s="18" t="s">
        <v>672</v>
      </c>
      <c r="R233" s="47">
        <v>45736.0</v>
      </c>
      <c r="S233" s="22">
        <f t="shared" si="3"/>
        <v>3</v>
      </c>
      <c r="T233" s="18"/>
      <c r="U233" s="18"/>
      <c r="V233" s="18"/>
      <c r="W233" s="16"/>
      <c r="X233" s="18"/>
      <c r="Y233" s="18" t="s">
        <v>35</v>
      </c>
      <c r="Z233" s="24"/>
      <c r="AA233" s="24"/>
      <c r="AB233" s="24"/>
      <c r="AC233" s="24"/>
      <c r="AD233" s="24"/>
      <c r="AE233" s="24"/>
      <c r="AF233" s="24"/>
      <c r="AG233" s="24"/>
      <c r="AH233" s="24"/>
      <c r="AI233" s="24"/>
    </row>
    <row r="234" ht="15.75" hidden="1" customHeight="1">
      <c r="A234" s="8">
        <v>234.0</v>
      </c>
      <c r="B234" s="14" t="s">
        <v>148</v>
      </c>
      <c r="C234" s="14" t="s">
        <v>673</v>
      </c>
      <c r="D234" s="14">
        <v>46482.0</v>
      </c>
      <c r="E234" s="14" t="s">
        <v>674</v>
      </c>
      <c r="F234" s="14" t="s">
        <v>37</v>
      </c>
      <c r="G234" s="14" t="s">
        <v>177</v>
      </c>
      <c r="H234" s="14" t="s">
        <v>150</v>
      </c>
      <c r="I234" s="14"/>
      <c r="J234" s="14"/>
      <c r="K234" s="14" t="s">
        <v>150</v>
      </c>
      <c r="L234" s="49">
        <v>45736.0</v>
      </c>
      <c r="M234" s="49">
        <v>45739.0</v>
      </c>
      <c r="N234" s="14"/>
      <c r="O234" s="60">
        <v>68.0</v>
      </c>
      <c r="P234" s="14">
        <v>394.0</v>
      </c>
      <c r="Q234" s="14">
        <v>74.0</v>
      </c>
      <c r="R234" s="52">
        <v>45757.0</v>
      </c>
      <c r="S234" s="13">
        <f t="shared" si="3"/>
        <v>18</v>
      </c>
      <c r="T234" s="14"/>
      <c r="U234" s="14"/>
      <c r="V234" s="14"/>
      <c r="W234" s="14"/>
      <c r="X234" s="14"/>
      <c r="Y234" s="14" t="s">
        <v>35</v>
      </c>
      <c r="Z234" s="15"/>
      <c r="AA234" s="15"/>
      <c r="AB234" s="15"/>
      <c r="AC234" s="15"/>
      <c r="AD234" s="15"/>
      <c r="AE234" s="15"/>
      <c r="AF234" s="15"/>
      <c r="AG234" s="15"/>
      <c r="AH234" s="15"/>
      <c r="AI234" s="15"/>
    </row>
    <row r="235" ht="14.25" hidden="1" customHeight="1">
      <c r="A235" s="16">
        <v>235.0</v>
      </c>
      <c r="B235" s="18" t="s">
        <v>148</v>
      </c>
      <c r="C235" s="18" t="s">
        <v>675</v>
      </c>
      <c r="D235" s="18">
        <v>33260.0</v>
      </c>
      <c r="E235" s="18" t="s">
        <v>676</v>
      </c>
      <c r="F235" s="18" t="s">
        <v>68</v>
      </c>
      <c r="G235" s="18" t="s">
        <v>177</v>
      </c>
      <c r="H235" s="18" t="s">
        <v>150</v>
      </c>
      <c r="I235" s="18"/>
      <c r="J235" s="18"/>
      <c r="K235" s="18" t="s">
        <v>150</v>
      </c>
      <c r="L235" s="54">
        <v>45729.0</v>
      </c>
      <c r="M235" s="54">
        <v>45731.0</v>
      </c>
      <c r="N235" s="18"/>
      <c r="O235" s="59" t="s">
        <v>677</v>
      </c>
      <c r="P235" s="18" t="s">
        <v>678</v>
      </c>
      <c r="Q235" s="18" t="s">
        <v>679</v>
      </c>
      <c r="R235" s="47">
        <v>45736.0</v>
      </c>
      <c r="S235" s="22">
        <f t="shared" si="3"/>
        <v>5</v>
      </c>
      <c r="T235" s="18"/>
      <c r="U235" s="18"/>
      <c r="V235" s="18"/>
      <c r="W235" s="18"/>
      <c r="X235" s="18"/>
      <c r="Y235" s="18" t="s">
        <v>35</v>
      </c>
      <c r="Z235" s="24"/>
      <c r="AA235" s="24"/>
      <c r="AB235" s="24"/>
      <c r="AC235" s="24"/>
      <c r="AD235" s="24"/>
      <c r="AE235" s="24"/>
      <c r="AF235" s="24"/>
      <c r="AG235" s="24"/>
      <c r="AH235" s="24"/>
      <c r="AI235" s="24"/>
    </row>
    <row r="236" ht="15.75" hidden="1" customHeight="1">
      <c r="A236" s="8">
        <v>236.0</v>
      </c>
      <c r="B236" s="9" t="str">
        <f>IFERROR(__xludf.DUMMYFUNCTION("INDEX(IMPORTRANGE(""https://docs.google.com/spreadsheets/d/1S7deMHO2waboU9dywpXeKIDfCmjiuAc0HUIsFpaXQq8/edit?gid=0#gid=0"", ""Tracking Shipments - PPTCO!o:o""), MATCH(D236, IMPORTRANGE(""https://docs.google.com/spreadsheets/d/1S7deMHO2waboU9dywpXeKIDfCmji"&amp;"uAc0HUIsFpaXQq8/edit?gid=0#gid=0"", ""Tracking Shipments - PPTCO!p:p""), 0))"),"PPT-198")</f>
        <v>PPT-198</v>
      </c>
      <c r="C236" s="14" t="s">
        <v>680</v>
      </c>
      <c r="D236" s="14">
        <v>49941.0</v>
      </c>
      <c r="E236" s="14" t="s">
        <v>681</v>
      </c>
      <c r="F236" s="14" t="s">
        <v>222</v>
      </c>
      <c r="G236" s="14" t="s">
        <v>682</v>
      </c>
      <c r="H236" s="14" t="s">
        <v>150</v>
      </c>
      <c r="I236" s="14"/>
      <c r="J236" s="14"/>
      <c r="K236" s="14" t="s">
        <v>150</v>
      </c>
      <c r="L236" s="49">
        <v>45741.0</v>
      </c>
      <c r="M236" s="49">
        <v>45742.0</v>
      </c>
      <c r="N236" s="14"/>
      <c r="O236" s="60">
        <v>69.0</v>
      </c>
      <c r="P236" s="14">
        <v>344.0</v>
      </c>
      <c r="Q236" s="14">
        <v>72.0</v>
      </c>
      <c r="R236" s="52">
        <v>45754.0</v>
      </c>
      <c r="S236" s="13">
        <f t="shared" si="3"/>
        <v>12</v>
      </c>
      <c r="T236" s="14"/>
      <c r="U236" s="14"/>
      <c r="V236" s="14"/>
      <c r="W236" s="8"/>
      <c r="X236" s="14"/>
      <c r="Y236" s="14" t="s">
        <v>35</v>
      </c>
      <c r="Z236" s="15"/>
      <c r="AA236" s="15"/>
      <c r="AB236" s="15"/>
      <c r="AC236" s="15"/>
      <c r="AD236" s="15"/>
      <c r="AE236" s="15"/>
      <c r="AF236" s="15"/>
      <c r="AG236" s="15"/>
      <c r="AH236" s="15"/>
      <c r="AI236" s="15"/>
    </row>
    <row r="237" ht="15.0" hidden="1" customHeight="1">
      <c r="A237" s="16">
        <v>237.0</v>
      </c>
      <c r="B237" s="17" t="str">
        <f>IFERROR(__xludf.DUMMYFUNCTION("INDEX(IMPORTRANGE(""https://docs.google.com/spreadsheets/d/1S7deMHO2waboU9dywpXeKIDfCmjiuAc0HUIsFpaXQq8/edit?gid=0#gid=0"", ""Tracking Shipments - PPTCO!o:o""), MATCH(D237, IMPORTRANGE(""https://docs.google.com/spreadsheets/d/1S7deMHO2waboU9dywpXeKIDfCmji"&amp;"uAc0HUIsFpaXQq8/edit?gid=0#gid=0"", ""Tracking Shipments - PPTCO!p:p""), 0))"),"PPT-177")</f>
        <v>PPT-177</v>
      </c>
      <c r="C237" s="18" t="s">
        <v>683</v>
      </c>
      <c r="D237" s="18">
        <v>120099.0</v>
      </c>
      <c r="E237" s="18" t="s">
        <v>684</v>
      </c>
      <c r="F237" s="18" t="s">
        <v>100</v>
      </c>
      <c r="G237" s="18" t="s">
        <v>177</v>
      </c>
      <c r="H237" s="18" t="s">
        <v>150</v>
      </c>
      <c r="I237" s="18" t="s">
        <v>28</v>
      </c>
      <c r="J237" s="18"/>
      <c r="K237" s="18" t="s">
        <v>150</v>
      </c>
      <c r="L237" s="54">
        <v>45741.0</v>
      </c>
      <c r="M237" s="54">
        <v>45755.0</v>
      </c>
      <c r="N237" s="18"/>
      <c r="O237" s="59" t="s">
        <v>685</v>
      </c>
      <c r="P237" s="18" t="s">
        <v>686</v>
      </c>
      <c r="Q237" s="18" t="s">
        <v>687</v>
      </c>
      <c r="R237" s="47">
        <v>45761.0</v>
      </c>
      <c r="S237" s="22">
        <f t="shared" si="3"/>
        <v>6</v>
      </c>
      <c r="T237" s="18"/>
      <c r="U237" s="18"/>
      <c r="V237" s="18"/>
      <c r="W237" s="18"/>
      <c r="X237" s="18"/>
      <c r="Y237" s="18" t="s">
        <v>35</v>
      </c>
      <c r="Z237" s="24"/>
      <c r="AA237" s="24"/>
      <c r="AB237" s="24"/>
      <c r="AC237" s="24"/>
      <c r="AD237" s="24"/>
      <c r="AE237" s="24"/>
      <c r="AF237" s="24"/>
      <c r="AG237" s="24"/>
      <c r="AH237" s="24"/>
      <c r="AI237" s="24"/>
    </row>
    <row r="238" ht="15.75" hidden="1" customHeight="1">
      <c r="A238" s="8">
        <v>238.0</v>
      </c>
      <c r="B238" s="9" t="str">
        <f>IFERROR(__xludf.DUMMYFUNCTION("INDEX(IMPORTRANGE(""https://docs.google.com/spreadsheets/d/1S7deMHO2waboU9dywpXeKIDfCmjiuAc0HUIsFpaXQq8/edit?gid=0#gid=0"", ""Tracking Shipments - PPTCO!o:o""), MATCH(D238, IMPORTRANGE(""https://docs.google.com/spreadsheets/d/1S7deMHO2waboU9dywpXeKIDfCmji"&amp;"uAc0HUIsFpaXQq8/edit?gid=0#gid=0"", ""Tracking Shipments - PPTCO!p:p""), 0))"),"PPT-207")</f>
        <v>PPT-207</v>
      </c>
      <c r="C238" s="14" t="s">
        <v>688</v>
      </c>
      <c r="D238" s="14">
        <v>57126.0</v>
      </c>
      <c r="E238" s="14" t="s">
        <v>689</v>
      </c>
      <c r="F238" s="14" t="s">
        <v>37</v>
      </c>
      <c r="G238" s="14" t="s">
        <v>177</v>
      </c>
      <c r="H238" s="14" t="s">
        <v>150</v>
      </c>
      <c r="I238" s="14"/>
      <c r="J238" s="14"/>
      <c r="K238" s="14" t="s">
        <v>150</v>
      </c>
      <c r="L238" s="49">
        <v>45743.0</v>
      </c>
      <c r="M238" s="49">
        <v>45755.0</v>
      </c>
      <c r="N238" s="14"/>
      <c r="O238" s="60">
        <v>74.0</v>
      </c>
      <c r="P238" s="14">
        <v>395.0</v>
      </c>
      <c r="Q238" s="14">
        <v>73.0</v>
      </c>
      <c r="R238" s="52">
        <v>45757.0</v>
      </c>
      <c r="S238" s="13">
        <f t="shared" si="3"/>
        <v>2</v>
      </c>
      <c r="T238" s="14"/>
      <c r="U238" s="14"/>
      <c r="V238" s="14"/>
      <c r="W238" s="14"/>
      <c r="X238" s="14"/>
      <c r="Y238" s="14" t="s">
        <v>35</v>
      </c>
      <c r="Z238" s="15"/>
      <c r="AA238" s="15"/>
      <c r="AB238" s="15"/>
      <c r="AC238" s="15"/>
      <c r="AD238" s="15"/>
      <c r="AE238" s="15"/>
      <c r="AF238" s="15"/>
      <c r="AG238" s="15"/>
      <c r="AH238" s="15"/>
      <c r="AI238" s="15"/>
    </row>
    <row r="239" ht="12.75" hidden="1" customHeight="1">
      <c r="A239" s="16">
        <v>239.0</v>
      </c>
      <c r="B239" s="17" t="str">
        <f>IFERROR(__xludf.DUMMYFUNCTION("INDEX(IMPORTRANGE(""https://docs.google.com/spreadsheets/d/1S7deMHO2waboU9dywpXeKIDfCmjiuAc0HUIsFpaXQq8/edit?gid=0#gid=0"", ""Tracking Shipments - PPTCO!o:o""), MATCH(D239, IMPORTRANGE(""https://docs.google.com/spreadsheets/d/1S7deMHO2waboU9dywpXeKIDfCmji"&amp;"uAc0HUIsFpaXQq8/edit?gid=0#gid=0"", ""Tracking Shipments - PPTCO!p:p""), 0))"),"PPT-174")</f>
        <v>PPT-174</v>
      </c>
      <c r="C239" s="18" t="s">
        <v>690</v>
      </c>
      <c r="D239" s="18">
        <v>122535.0</v>
      </c>
      <c r="E239" s="18" t="s">
        <v>691</v>
      </c>
      <c r="F239" s="18" t="s">
        <v>666</v>
      </c>
      <c r="G239" s="18" t="s">
        <v>177</v>
      </c>
      <c r="H239" s="18" t="s">
        <v>150</v>
      </c>
      <c r="I239" s="18"/>
      <c r="J239" s="18"/>
      <c r="K239" s="18" t="s">
        <v>150</v>
      </c>
      <c r="L239" s="54">
        <v>45742.0</v>
      </c>
      <c r="M239" s="54">
        <v>45766.0</v>
      </c>
      <c r="N239" s="61" t="s">
        <v>692</v>
      </c>
      <c r="O239" s="59" t="s">
        <v>693</v>
      </c>
      <c r="P239" s="18" t="s">
        <v>694</v>
      </c>
      <c r="Q239" s="18" t="s">
        <v>695</v>
      </c>
      <c r="R239" s="54">
        <v>45764.0</v>
      </c>
      <c r="S239" s="22" t="str">
        <f t="shared" si="3"/>
        <v/>
      </c>
      <c r="T239" s="18"/>
      <c r="U239" s="18"/>
      <c r="V239" s="18"/>
      <c r="W239" s="16"/>
      <c r="X239" s="18"/>
      <c r="Y239" s="18" t="s">
        <v>35</v>
      </c>
      <c r="Z239" s="24"/>
      <c r="AA239" s="24"/>
      <c r="AB239" s="24"/>
      <c r="AC239" s="24"/>
      <c r="AD239" s="24"/>
      <c r="AE239" s="24"/>
      <c r="AF239" s="24"/>
      <c r="AG239" s="24"/>
      <c r="AH239" s="24"/>
      <c r="AI239" s="24"/>
    </row>
    <row r="240" ht="15.75" hidden="1" customHeight="1">
      <c r="A240" s="8">
        <v>240.0</v>
      </c>
      <c r="B240" s="9" t="str">
        <f>IFERROR(__xludf.DUMMYFUNCTION("INDEX(IMPORTRANGE(""https://docs.google.com/spreadsheets/d/1S7deMHO2waboU9dywpXeKIDfCmjiuAc0HUIsFpaXQq8/edit?gid=0#gid=0"", ""Tracking Shipments - PPTCO!o:o""), MATCH(D240, IMPORTRANGE(""https://docs.google.com/spreadsheets/d/1S7deMHO2waboU9dywpXeKIDfCmji"&amp;"uAc0HUIsFpaXQq8/edit?gid=0#gid=0"", ""Tracking Shipments - PPTCO!p:p""), 0))"),"PPT-208")</f>
        <v>PPT-208</v>
      </c>
      <c r="C240" s="14" t="s">
        <v>696</v>
      </c>
      <c r="D240" s="14">
        <v>130386.0</v>
      </c>
      <c r="E240" s="14" t="s">
        <v>697</v>
      </c>
      <c r="F240" s="14" t="s">
        <v>37</v>
      </c>
      <c r="G240" s="14" t="s">
        <v>177</v>
      </c>
      <c r="H240" s="14" t="s">
        <v>150</v>
      </c>
      <c r="I240" s="14" t="s">
        <v>150</v>
      </c>
      <c r="J240" s="14"/>
      <c r="K240" s="14" t="s">
        <v>150</v>
      </c>
      <c r="L240" s="49">
        <v>45754.0</v>
      </c>
      <c r="M240" s="49">
        <v>45759.0</v>
      </c>
      <c r="N240" s="14"/>
      <c r="O240" s="60">
        <v>97.0</v>
      </c>
      <c r="P240" s="14">
        <v>411.0</v>
      </c>
      <c r="Q240" s="14">
        <v>96.0</v>
      </c>
      <c r="R240" s="52">
        <v>45764.0</v>
      </c>
      <c r="S240" s="13">
        <f t="shared" si="3"/>
        <v>5</v>
      </c>
      <c r="T240" s="14"/>
      <c r="U240" s="14"/>
      <c r="V240" s="14"/>
      <c r="W240" s="14"/>
      <c r="X240" s="14"/>
      <c r="Y240" s="14" t="s">
        <v>35</v>
      </c>
      <c r="Z240" s="15"/>
      <c r="AA240" s="15"/>
      <c r="AB240" s="15"/>
      <c r="AC240" s="15"/>
      <c r="AD240" s="15"/>
      <c r="AE240" s="15"/>
      <c r="AF240" s="15"/>
      <c r="AG240" s="15"/>
      <c r="AH240" s="15"/>
      <c r="AI240" s="15"/>
    </row>
    <row r="241" ht="15.75" hidden="1" customHeight="1">
      <c r="A241" s="16">
        <v>241.0</v>
      </c>
      <c r="B241" s="17" t="str">
        <f>IFERROR(__xludf.DUMMYFUNCTION("INDEX(IMPORTRANGE(""https://docs.google.com/spreadsheets/d/1S7deMHO2waboU9dywpXeKIDfCmjiuAc0HUIsFpaXQq8/edit?gid=0#gid=0"", ""Tracking Shipments - PPTCO!o:o""), MATCH(D241, IMPORTRANGE(""https://docs.google.com/spreadsheets/d/1S7deMHO2waboU9dywpXeKIDfCmji"&amp;"uAc0HUIsFpaXQq8/edit?gid=0#gid=0"", ""Tracking Shipments - PPTCO!p:p""), 0))"),"PPT-177")</f>
        <v>PPT-177</v>
      </c>
      <c r="C241" s="18" t="s">
        <v>698</v>
      </c>
      <c r="D241" s="18">
        <v>140030.0</v>
      </c>
      <c r="E241" s="18" t="s">
        <v>699</v>
      </c>
      <c r="F241" s="18" t="s">
        <v>100</v>
      </c>
      <c r="G241" s="18" t="s">
        <v>177</v>
      </c>
      <c r="H241" s="18" t="s">
        <v>150</v>
      </c>
      <c r="I241" s="18" t="s">
        <v>150</v>
      </c>
      <c r="J241" s="18"/>
      <c r="K241" s="18" t="s">
        <v>150</v>
      </c>
      <c r="L241" s="54">
        <v>45752.0</v>
      </c>
      <c r="M241" s="54">
        <v>45762.0</v>
      </c>
      <c r="N241" s="18"/>
      <c r="O241" s="59">
        <v>102.0</v>
      </c>
      <c r="P241" s="18">
        <v>436.0</v>
      </c>
      <c r="Q241" s="18">
        <v>102.0</v>
      </c>
      <c r="R241" s="47">
        <v>45760.0</v>
      </c>
      <c r="S241" s="22" t="str">
        <f t="shared" si="3"/>
        <v/>
      </c>
      <c r="T241" s="18"/>
      <c r="U241" s="18"/>
      <c r="V241" s="18"/>
      <c r="W241" s="18"/>
      <c r="X241" s="18"/>
      <c r="Y241" s="18" t="s">
        <v>35</v>
      </c>
      <c r="Z241" s="24"/>
      <c r="AA241" s="24"/>
      <c r="AB241" s="24"/>
      <c r="AC241" s="24"/>
      <c r="AD241" s="24"/>
      <c r="AE241" s="24"/>
      <c r="AF241" s="24"/>
      <c r="AG241" s="24"/>
      <c r="AH241" s="24"/>
      <c r="AI241" s="24"/>
    </row>
    <row r="242" ht="15.75" hidden="1" customHeight="1">
      <c r="A242" s="8">
        <v>242.0</v>
      </c>
      <c r="B242" s="14" t="s">
        <v>148</v>
      </c>
      <c r="C242" s="14" t="s">
        <v>700</v>
      </c>
      <c r="D242" s="14">
        <v>130939.0</v>
      </c>
      <c r="E242" s="14" t="s">
        <v>701</v>
      </c>
      <c r="F242" s="14" t="s">
        <v>26</v>
      </c>
      <c r="G242" s="14" t="s">
        <v>702</v>
      </c>
      <c r="H242" s="14" t="s">
        <v>150</v>
      </c>
      <c r="I242" s="14"/>
      <c r="J242" s="14"/>
      <c r="K242" s="14" t="s">
        <v>150</v>
      </c>
      <c r="L242" s="49">
        <v>45761.0</v>
      </c>
      <c r="M242" s="49">
        <v>45761.0</v>
      </c>
      <c r="N242" s="62" t="s">
        <v>692</v>
      </c>
      <c r="O242" s="60">
        <v>117.0</v>
      </c>
      <c r="P242" s="14">
        <v>454.0</v>
      </c>
      <c r="Q242" s="14">
        <v>120.0</v>
      </c>
      <c r="R242" s="49">
        <v>45764.0</v>
      </c>
      <c r="S242" s="13">
        <f t="shared" si="3"/>
        <v>3</v>
      </c>
      <c r="T242" s="14"/>
      <c r="U242" s="14"/>
      <c r="V242" s="14"/>
      <c r="W242" s="8"/>
      <c r="X242" s="14"/>
      <c r="Y242" s="14" t="s">
        <v>35</v>
      </c>
      <c r="Z242" s="15"/>
      <c r="AA242" s="15"/>
      <c r="AB242" s="15"/>
      <c r="AC242" s="15"/>
      <c r="AD242" s="15"/>
      <c r="AE242" s="15"/>
      <c r="AF242" s="15"/>
      <c r="AG242" s="15"/>
      <c r="AH242" s="15"/>
      <c r="AI242" s="15"/>
    </row>
    <row r="243" ht="15.75" hidden="1" customHeight="1">
      <c r="A243" s="16">
        <v>243.0</v>
      </c>
      <c r="B243" s="17" t="str">
        <f>IFERROR(__xludf.DUMMYFUNCTION("INDEX(IMPORTRANGE(""https://docs.google.com/spreadsheets/d/1S7deMHO2waboU9dywpXeKIDfCmjiuAc0HUIsFpaXQq8/edit?gid=0#gid=0"", ""Tracking Shipments - PPTCO!o:o""), MATCH(D243, IMPORTRANGE(""https://docs.google.com/spreadsheets/d/1S7deMHO2waboU9dywpXeKIDfCmji"&amp;"uAc0HUIsFpaXQq8/edit?gid=0#gid=0"", ""Tracking Shipments - PPTCO!p:p""), 0))"),"PPT-168")</f>
        <v>PPT-168</v>
      </c>
      <c r="C243" s="18" t="s">
        <v>703</v>
      </c>
      <c r="D243" s="18">
        <v>130595.0</v>
      </c>
      <c r="E243" s="18" t="s">
        <v>704</v>
      </c>
      <c r="F243" s="18" t="s">
        <v>169</v>
      </c>
      <c r="G243" s="18" t="s">
        <v>702</v>
      </c>
      <c r="H243" s="18" t="s">
        <v>150</v>
      </c>
      <c r="I243" s="18"/>
      <c r="J243" s="18"/>
      <c r="K243" s="18" t="s">
        <v>150</v>
      </c>
      <c r="L243" s="54">
        <v>45760.0</v>
      </c>
      <c r="M243" s="54">
        <v>45761.0</v>
      </c>
      <c r="N243" s="61" t="s">
        <v>692</v>
      </c>
      <c r="O243" s="59">
        <v>118.0</v>
      </c>
      <c r="P243" s="18">
        <v>449.0</v>
      </c>
      <c r="Q243" s="18">
        <v>116.0</v>
      </c>
      <c r="R243" s="47">
        <v>45764.0</v>
      </c>
      <c r="S243" s="22">
        <f t="shared" si="3"/>
        <v>3</v>
      </c>
      <c r="T243" s="18"/>
      <c r="U243" s="18"/>
      <c r="V243" s="18"/>
      <c r="W243" s="18"/>
      <c r="X243" s="18"/>
      <c r="Y243" s="18" t="s">
        <v>35</v>
      </c>
      <c r="Z243" s="24"/>
      <c r="AA243" s="24"/>
      <c r="AB243" s="24"/>
      <c r="AC243" s="24"/>
      <c r="AD243" s="24"/>
      <c r="AE243" s="24"/>
      <c r="AF243" s="24"/>
      <c r="AG243" s="24"/>
      <c r="AH243" s="24"/>
      <c r="AI243" s="24"/>
    </row>
    <row r="244" ht="15.75" hidden="1" customHeight="1">
      <c r="A244" s="8">
        <v>244.0</v>
      </c>
      <c r="B244" s="14" t="s">
        <v>148</v>
      </c>
      <c r="C244" s="14" t="s">
        <v>705</v>
      </c>
      <c r="D244" s="14">
        <v>139944.0</v>
      </c>
      <c r="E244" s="14" t="s">
        <v>706</v>
      </c>
      <c r="F244" s="14" t="s">
        <v>26</v>
      </c>
      <c r="G244" s="14" t="s">
        <v>177</v>
      </c>
      <c r="H244" s="14" t="s">
        <v>150</v>
      </c>
      <c r="I244" s="14"/>
      <c r="J244" s="14"/>
      <c r="K244" s="14" t="s">
        <v>150</v>
      </c>
      <c r="L244" s="49">
        <v>45752.0</v>
      </c>
      <c r="M244" s="49">
        <v>45757.0</v>
      </c>
      <c r="N244" s="62" t="s">
        <v>692</v>
      </c>
      <c r="O244" s="60">
        <v>121.0</v>
      </c>
      <c r="P244" s="14">
        <v>453.0</v>
      </c>
      <c r="Q244" s="14">
        <v>119.0</v>
      </c>
      <c r="R244" s="52">
        <v>45764.0</v>
      </c>
      <c r="S244" s="13">
        <f t="shared" si="3"/>
        <v>7</v>
      </c>
      <c r="T244" s="14"/>
      <c r="U244" s="14"/>
      <c r="V244" s="14"/>
      <c r="W244" s="14"/>
      <c r="X244" s="14"/>
      <c r="Y244" s="14" t="s">
        <v>35</v>
      </c>
      <c r="Z244" s="15"/>
      <c r="AA244" s="15"/>
      <c r="AB244" s="15"/>
      <c r="AC244" s="15"/>
      <c r="AD244" s="15"/>
      <c r="AE244" s="15"/>
      <c r="AF244" s="15"/>
      <c r="AG244" s="15"/>
      <c r="AH244" s="15"/>
      <c r="AI244" s="15"/>
    </row>
    <row r="245" ht="15.75" hidden="1" customHeight="1">
      <c r="A245" s="16">
        <v>245.0</v>
      </c>
      <c r="B245" s="18" t="s">
        <v>148</v>
      </c>
      <c r="C245" s="18" t="s">
        <v>707</v>
      </c>
      <c r="D245" s="18">
        <v>139486.0</v>
      </c>
      <c r="E245" s="18" t="s">
        <v>708</v>
      </c>
      <c r="F245" s="18" t="s">
        <v>26</v>
      </c>
      <c r="G245" s="18" t="s">
        <v>702</v>
      </c>
      <c r="H245" s="18" t="s">
        <v>150</v>
      </c>
      <c r="I245" s="18" t="s">
        <v>150</v>
      </c>
      <c r="J245" s="18"/>
      <c r="K245" s="18" t="s">
        <v>150</v>
      </c>
      <c r="L245" s="54">
        <v>45756.0</v>
      </c>
      <c r="M245" s="54">
        <v>45756.0</v>
      </c>
      <c r="N245" s="61" t="s">
        <v>692</v>
      </c>
      <c r="O245" s="59">
        <v>122.0</v>
      </c>
      <c r="P245" s="18">
        <v>461.0</v>
      </c>
      <c r="Q245" s="18">
        <v>121.0</v>
      </c>
      <c r="R245" s="47">
        <v>45764.0</v>
      </c>
      <c r="S245" s="22">
        <f t="shared" si="3"/>
        <v>8</v>
      </c>
      <c r="T245" s="18"/>
      <c r="U245" s="18"/>
      <c r="V245" s="18"/>
      <c r="W245" s="16"/>
      <c r="X245" s="18"/>
      <c r="Y245" s="18" t="s">
        <v>35</v>
      </c>
      <c r="Z245" s="24"/>
      <c r="AA245" s="24"/>
      <c r="AB245" s="24"/>
      <c r="AC245" s="24"/>
      <c r="AD245" s="24"/>
      <c r="AE245" s="24"/>
      <c r="AF245" s="24"/>
      <c r="AG245" s="24"/>
      <c r="AH245" s="24"/>
      <c r="AI245" s="24"/>
    </row>
    <row r="246" ht="15.75" hidden="1" customHeight="1">
      <c r="A246" s="8">
        <v>246.0</v>
      </c>
      <c r="B246" s="9" t="str">
        <f>IFERROR(__xludf.DUMMYFUNCTION("INDEX(IMPORTRANGE(""https://docs.google.com/spreadsheets/d/1S7deMHO2waboU9dywpXeKIDfCmjiuAc0HUIsFpaXQq8/edit?gid=0#gid=0"", ""Tracking Shipments - PPTCO!o:o""), MATCH(D246, IMPORTRANGE(""https://docs.google.com/spreadsheets/d/1S7deMHO2waboU9dywpXeKIDfCmji"&amp;"uAc0HUIsFpaXQq8/edit?gid=0#gid=0"", ""Tracking Shipments - PPTCO!p:p""), 0))"),"PPT-187")</f>
        <v>PPT-187</v>
      </c>
      <c r="C246" s="14" t="s">
        <v>709</v>
      </c>
      <c r="D246" s="14">
        <v>63144.0</v>
      </c>
      <c r="E246" s="14" t="s">
        <v>710</v>
      </c>
      <c r="F246" s="14" t="s">
        <v>37</v>
      </c>
      <c r="G246" s="14" t="s">
        <v>682</v>
      </c>
      <c r="H246" s="14" t="s">
        <v>150</v>
      </c>
      <c r="I246" s="14" t="s">
        <v>150</v>
      </c>
      <c r="J246" s="14"/>
      <c r="K246" s="14" t="s">
        <v>150</v>
      </c>
      <c r="L246" s="49">
        <v>45761.0</v>
      </c>
      <c r="M246" s="49">
        <v>45756.0</v>
      </c>
      <c r="N246" s="14"/>
      <c r="O246" s="60">
        <v>98.0</v>
      </c>
      <c r="P246" s="14">
        <v>420.0</v>
      </c>
      <c r="Q246" s="14">
        <v>107.0</v>
      </c>
      <c r="R246" s="52">
        <v>45764.0</v>
      </c>
      <c r="S246" s="13">
        <f t="shared" si="3"/>
        <v>8</v>
      </c>
      <c r="T246" s="14"/>
      <c r="U246" s="14"/>
      <c r="V246" s="14"/>
      <c r="W246" s="14"/>
      <c r="X246" s="14"/>
      <c r="Y246" s="14" t="s">
        <v>35</v>
      </c>
      <c r="Z246" s="15"/>
      <c r="AA246" s="15"/>
      <c r="AB246" s="15"/>
      <c r="AC246" s="15"/>
      <c r="AD246" s="15"/>
      <c r="AE246" s="15"/>
      <c r="AF246" s="15"/>
      <c r="AG246" s="15"/>
      <c r="AH246" s="15"/>
      <c r="AI246" s="15"/>
    </row>
    <row r="247" ht="14.25" hidden="1" customHeight="1">
      <c r="A247" s="16">
        <v>247.0</v>
      </c>
      <c r="B247" s="17" t="str">
        <f>IFERROR(__xludf.DUMMYFUNCTION("INDEX(IMPORTRANGE(""https://docs.google.com/spreadsheets/d/1S7deMHO2waboU9dywpXeKIDfCmjiuAc0HUIsFpaXQq8/edit?gid=0#gid=0"", ""Tracking Shipments - PPTCO!o:o""), MATCH(D247, IMPORTRANGE(""https://docs.google.com/spreadsheets/d/1S7deMHO2waboU9dywpXeKIDfCmji"&amp;"uAc0HUIsFpaXQq8/edit?gid=0#gid=0"", ""Tracking Shipments - PPTCO!p:p""), 0))"),"PPT-213")</f>
        <v>PPT-213</v>
      </c>
      <c r="C247" s="18" t="s">
        <v>711</v>
      </c>
      <c r="D247" s="18">
        <v>145003.0</v>
      </c>
      <c r="E247" s="18" t="s">
        <v>712</v>
      </c>
      <c r="F247" s="18" t="s">
        <v>40</v>
      </c>
      <c r="G247" s="18" t="s">
        <v>702</v>
      </c>
      <c r="H247" s="18" t="s">
        <v>150</v>
      </c>
      <c r="I247" s="18" t="s">
        <v>150</v>
      </c>
      <c r="J247" s="18"/>
      <c r="K247" s="18" t="s">
        <v>150</v>
      </c>
      <c r="L247" s="54">
        <v>45760.0</v>
      </c>
      <c r="M247" s="54">
        <v>45760.0</v>
      </c>
      <c r="N247" s="61" t="s">
        <v>692</v>
      </c>
      <c r="O247" s="59" t="s">
        <v>713</v>
      </c>
      <c r="P247" s="18" t="s">
        <v>714</v>
      </c>
      <c r="Q247" s="18" t="s">
        <v>715</v>
      </c>
      <c r="R247" s="47">
        <v>45764.0</v>
      </c>
      <c r="S247" s="22">
        <f t="shared" si="3"/>
        <v>4</v>
      </c>
      <c r="T247" s="18"/>
      <c r="U247" s="18"/>
      <c r="V247" s="18"/>
      <c r="W247" s="18"/>
      <c r="X247" s="18"/>
      <c r="Y247" s="18" t="s">
        <v>35</v>
      </c>
      <c r="Z247" s="24"/>
      <c r="AA247" s="24"/>
      <c r="AB247" s="24"/>
      <c r="AC247" s="24"/>
      <c r="AD247" s="24"/>
      <c r="AE247" s="24"/>
      <c r="AF247" s="24"/>
      <c r="AG247" s="24"/>
      <c r="AH247" s="24"/>
      <c r="AI247" s="24"/>
    </row>
    <row r="248" ht="15.75" hidden="1" customHeight="1">
      <c r="A248" s="8">
        <v>248.0</v>
      </c>
      <c r="B248" s="9" t="str">
        <f>IFERROR(__xludf.DUMMYFUNCTION("INDEX(IMPORTRANGE(""https://docs.google.com/spreadsheets/d/1S7deMHO2waboU9dywpXeKIDfCmjiuAc0HUIsFpaXQq8/edit?gid=0#gid=0"", ""Tracking Shipments - PPTCO!o:o""), MATCH(D248, IMPORTRANGE(""https://docs.google.com/spreadsheets/d/1S7deMHO2waboU9dywpXeKIDfCmji"&amp;"uAc0HUIsFpaXQq8/edit?gid=0#gid=0"", ""Tracking Shipments - PPTCO!p:p""), 0))"),"PPT-190")</f>
        <v>PPT-190</v>
      </c>
      <c r="C248" s="14" t="s">
        <v>716</v>
      </c>
      <c r="D248" s="14">
        <v>65987.0</v>
      </c>
      <c r="E248" s="14" t="s">
        <v>717</v>
      </c>
      <c r="F248" s="14" t="s">
        <v>37</v>
      </c>
      <c r="G248" s="14" t="s">
        <v>682</v>
      </c>
      <c r="H248" s="14" t="s">
        <v>150</v>
      </c>
      <c r="I248" s="14" t="s">
        <v>150</v>
      </c>
      <c r="J248" s="14"/>
      <c r="K248" s="14" t="s">
        <v>150</v>
      </c>
      <c r="L248" s="49">
        <v>45756.0</v>
      </c>
      <c r="M248" s="49">
        <v>45756.0</v>
      </c>
      <c r="N248" s="14"/>
      <c r="O248" s="60">
        <v>101.0</v>
      </c>
      <c r="P248" s="14">
        <v>435.0</v>
      </c>
      <c r="Q248" s="14">
        <v>95.0</v>
      </c>
      <c r="R248" s="52">
        <v>45760.0</v>
      </c>
      <c r="S248" s="13">
        <f t="shared" si="3"/>
        <v>4</v>
      </c>
      <c r="T248" s="14"/>
      <c r="U248" s="14"/>
      <c r="V248" s="14"/>
      <c r="W248" s="8"/>
      <c r="X248" s="14"/>
      <c r="Y248" s="14" t="s">
        <v>35</v>
      </c>
      <c r="Z248" s="15"/>
      <c r="AA248" s="15"/>
      <c r="AB248" s="15"/>
      <c r="AC248" s="15"/>
      <c r="AD248" s="15"/>
      <c r="AE248" s="15"/>
      <c r="AF248" s="15"/>
      <c r="AG248" s="15"/>
      <c r="AH248" s="15"/>
      <c r="AI248" s="15"/>
    </row>
    <row r="249" ht="14.25" hidden="1" customHeight="1">
      <c r="A249" s="16">
        <v>249.0</v>
      </c>
      <c r="B249" s="18" t="s">
        <v>148</v>
      </c>
      <c r="C249" s="18" t="s">
        <v>718</v>
      </c>
      <c r="D249" s="18">
        <v>139531.0</v>
      </c>
      <c r="E249" s="18" t="s">
        <v>719</v>
      </c>
      <c r="F249" s="18" t="s">
        <v>26</v>
      </c>
      <c r="G249" s="18" t="s">
        <v>702</v>
      </c>
      <c r="H249" s="18" t="s">
        <v>150</v>
      </c>
      <c r="I249" s="18"/>
      <c r="J249" s="18"/>
      <c r="K249" s="18" t="s">
        <v>150</v>
      </c>
      <c r="L249" s="54">
        <v>45756.0</v>
      </c>
      <c r="M249" s="54">
        <v>45756.0</v>
      </c>
      <c r="N249" s="61" t="s">
        <v>692</v>
      </c>
      <c r="O249" s="59" t="s">
        <v>720</v>
      </c>
      <c r="P249" s="18" t="s">
        <v>721</v>
      </c>
      <c r="Q249" s="18" t="s">
        <v>722</v>
      </c>
      <c r="R249" s="47">
        <v>45764.0</v>
      </c>
      <c r="S249" s="22">
        <f t="shared" si="3"/>
        <v>8</v>
      </c>
      <c r="T249" s="18"/>
      <c r="U249" s="18"/>
      <c r="V249" s="18"/>
      <c r="W249" s="18"/>
      <c r="X249" s="18"/>
      <c r="Y249" s="18" t="s">
        <v>35</v>
      </c>
      <c r="Z249" s="24"/>
      <c r="AA249" s="24"/>
      <c r="AB249" s="24"/>
      <c r="AC249" s="24"/>
      <c r="AD249" s="24"/>
      <c r="AE249" s="24"/>
      <c r="AF249" s="24"/>
      <c r="AG249" s="24"/>
      <c r="AH249" s="24"/>
      <c r="AI249" s="24"/>
    </row>
    <row r="250" ht="13.5" hidden="1" customHeight="1">
      <c r="A250" s="8">
        <v>250.0</v>
      </c>
      <c r="B250" s="9" t="str">
        <f>IFERROR(__xludf.DUMMYFUNCTION("INDEX(IMPORTRANGE(""https://docs.google.com/spreadsheets/d/1S7deMHO2waboU9dywpXeKIDfCmjiuAc0HUIsFpaXQq8/edit?gid=0#gid=0"", ""Tracking Shipments - PPTCO!o:o""), MATCH(D250, IMPORTRANGE(""https://docs.google.com/spreadsheets/d/1S7deMHO2waboU9dywpXeKIDfCmji"&amp;"uAc0HUIsFpaXQq8/edit?gid=0#gid=0"", ""Tracking Shipments - PPTCO!p:p""), 0))"),"PPT-169")</f>
        <v>PPT-169</v>
      </c>
      <c r="C250" s="14" t="s">
        <v>723</v>
      </c>
      <c r="D250" s="14">
        <v>168902.0</v>
      </c>
      <c r="E250" s="14" t="s">
        <v>724</v>
      </c>
      <c r="F250" s="14" t="s">
        <v>725</v>
      </c>
      <c r="G250" s="14" t="s">
        <v>702</v>
      </c>
      <c r="H250" s="14" t="s">
        <v>150</v>
      </c>
      <c r="I250" s="14"/>
      <c r="J250" s="14"/>
      <c r="K250" s="14" t="s">
        <v>150</v>
      </c>
      <c r="L250" s="49">
        <v>45766.0</v>
      </c>
      <c r="M250" s="49">
        <v>45766.0</v>
      </c>
      <c r="N250" s="14"/>
      <c r="O250" s="14">
        <v>139.0</v>
      </c>
      <c r="P250" s="14">
        <v>527.0</v>
      </c>
      <c r="Q250" s="14">
        <v>146.0</v>
      </c>
      <c r="R250" s="52">
        <v>45776.0</v>
      </c>
      <c r="S250" s="13">
        <f t="shared" si="3"/>
        <v>10</v>
      </c>
      <c r="T250" s="14"/>
      <c r="U250" s="14"/>
      <c r="V250" s="14"/>
      <c r="W250" s="14"/>
      <c r="X250" s="14"/>
      <c r="Y250" s="14" t="s">
        <v>35</v>
      </c>
      <c r="Z250" s="15"/>
      <c r="AA250" s="15"/>
      <c r="AB250" s="15"/>
      <c r="AC250" s="15"/>
      <c r="AD250" s="15"/>
      <c r="AE250" s="15"/>
      <c r="AF250" s="15"/>
      <c r="AG250" s="15"/>
      <c r="AH250" s="15"/>
      <c r="AI250" s="15"/>
    </row>
    <row r="251" ht="13.5" hidden="1" customHeight="1">
      <c r="A251" s="16">
        <v>251.0</v>
      </c>
      <c r="B251" s="18" t="s">
        <v>148</v>
      </c>
      <c r="C251" s="18" t="s">
        <v>726</v>
      </c>
      <c r="D251" s="18">
        <v>153273.0</v>
      </c>
      <c r="E251" s="18" t="s">
        <v>727</v>
      </c>
      <c r="F251" s="18" t="s">
        <v>105</v>
      </c>
      <c r="G251" s="18" t="s">
        <v>702</v>
      </c>
      <c r="H251" s="18" t="s">
        <v>150</v>
      </c>
      <c r="I251" s="18"/>
      <c r="J251" s="18"/>
      <c r="K251" s="18" t="s">
        <v>150</v>
      </c>
      <c r="L251" s="54">
        <v>45757.0</v>
      </c>
      <c r="M251" s="54">
        <v>45758.0</v>
      </c>
      <c r="N251" s="18"/>
      <c r="O251" s="18" t="s">
        <v>728</v>
      </c>
      <c r="P251" s="18" t="s">
        <v>729</v>
      </c>
      <c r="Q251" s="18" t="s">
        <v>730</v>
      </c>
      <c r="R251" s="47">
        <v>45764.0</v>
      </c>
      <c r="S251" s="22">
        <f t="shared" si="3"/>
        <v>6</v>
      </c>
      <c r="T251" s="18"/>
      <c r="U251" s="18"/>
      <c r="V251" s="18"/>
      <c r="W251" s="18"/>
      <c r="X251" s="18"/>
      <c r="Y251" s="18" t="s">
        <v>35</v>
      </c>
      <c r="Z251" s="24"/>
      <c r="AA251" s="24"/>
      <c r="AB251" s="24"/>
      <c r="AC251" s="24"/>
      <c r="AD251" s="24"/>
      <c r="AE251" s="24"/>
      <c r="AF251" s="24"/>
      <c r="AG251" s="24"/>
      <c r="AH251" s="24"/>
      <c r="AI251" s="24"/>
    </row>
    <row r="252" ht="15.75" hidden="1" customHeight="1">
      <c r="A252" s="8">
        <v>252.0</v>
      </c>
      <c r="B252" s="9" t="str">
        <f>IFERROR(__xludf.DUMMYFUNCTION("INDEX(IMPORTRANGE(""https://docs.google.com/spreadsheets/d/1S7deMHO2waboU9dywpXeKIDfCmjiuAc0HUIsFpaXQq8/edit?gid=0#gid=0"", ""Tracking Shipments - PPTCO!o:o""), MATCH(D252, IMPORTRANGE(""https://docs.google.com/spreadsheets/d/1S7deMHO2waboU9dywpXeKIDfCmji"&amp;"uAc0HUIsFpaXQq8/edit?gid=0#gid=0"", ""Tracking Shipments - PPTCO!p:p""), 0))"),"PPT-194")</f>
        <v>PPT-194</v>
      </c>
      <c r="C252" s="14" t="s">
        <v>709</v>
      </c>
      <c r="D252" s="14">
        <v>64959.0</v>
      </c>
      <c r="E252" s="14" t="s">
        <v>731</v>
      </c>
      <c r="F252" s="14" t="s">
        <v>37</v>
      </c>
      <c r="G252" s="14" t="s">
        <v>682</v>
      </c>
      <c r="H252" s="14" t="s">
        <v>150</v>
      </c>
      <c r="I252" s="14"/>
      <c r="J252" s="14"/>
      <c r="K252" s="14" t="s">
        <v>150</v>
      </c>
      <c r="L252" s="49">
        <v>45755.0</v>
      </c>
      <c r="M252" s="49">
        <v>45756.0</v>
      </c>
      <c r="N252" s="14"/>
      <c r="O252" s="60">
        <v>99.0</v>
      </c>
      <c r="P252" s="14">
        <v>421.0</v>
      </c>
      <c r="Q252" s="14">
        <v>94.0</v>
      </c>
      <c r="R252" s="49">
        <v>45764.0</v>
      </c>
      <c r="S252" s="13">
        <f t="shared" si="3"/>
        <v>8</v>
      </c>
      <c r="T252" s="14"/>
      <c r="U252" s="14"/>
      <c r="V252" s="14"/>
      <c r="W252" s="8"/>
      <c r="X252" s="14"/>
      <c r="Y252" s="14" t="s">
        <v>35</v>
      </c>
      <c r="Z252" s="15"/>
      <c r="AA252" s="15"/>
      <c r="AB252" s="15"/>
      <c r="AC252" s="15"/>
      <c r="AD252" s="15"/>
      <c r="AE252" s="15"/>
      <c r="AF252" s="15"/>
      <c r="AG252" s="15"/>
      <c r="AH252" s="15"/>
      <c r="AI252" s="15"/>
    </row>
    <row r="253" ht="15.75" hidden="1" customHeight="1">
      <c r="A253" s="16">
        <v>253.0</v>
      </c>
      <c r="B253" s="17" t="str">
        <f>IFERROR(__xludf.DUMMYFUNCTION("INDEX(IMPORTRANGE(""https://docs.google.com/spreadsheets/d/1S7deMHO2waboU9dywpXeKIDfCmjiuAc0HUIsFpaXQq8/edit?gid=0#gid=0"", ""Tracking Shipments - PPTCO!o:o""), MATCH(D253, IMPORTRANGE(""https://docs.google.com/spreadsheets/d/1S7deMHO2waboU9dywpXeKIDfCmji"&amp;"uAc0HUIsFpaXQq8/edit?gid=0#gid=0"", ""Tracking Shipments - PPTCO!p:p""), 0))"),"PPT-200")</f>
        <v>PPT-200</v>
      </c>
      <c r="C253" s="18" t="s">
        <v>732</v>
      </c>
      <c r="D253" s="18">
        <v>130443.0</v>
      </c>
      <c r="E253" s="18" t="s">
        <v>733</v>
      </c>
      <c r="F253" s="18" t="s">
        <v>169</v>
      </c>
      <c r="G253" s="18" t="s">
        <v>702</v>
      </c>
      <c r="H253" s="18" t="s">
        <v>150</v>
      </c>
      <c r="I253" s="18"/>
      <c r="J253" s="18"/>
      <c r="K253" s="18" t="s">
        <v>150</v>
      </c>
      <c r="L253" s="54">
        <v>45761.0</v>
      </c>
      <c r="M253" s="54">
        <v>45761.0</v>
      </c>
      <c r="N253" s="18"/>
      <c r="O253" s="59">
        <v>131.0</v>
      </c>
      <c r="P253" s="18">
        <v>501.0</v>
      </c>
      <c r="Q253" s="18">
        <v>140.0</v>
      </c>
      <c r="R253" s="54">
        <v>45771.0</v>
      </c>
      <c r="S253" s="22">
        <f t="shared" si="3"/>
        <v>10</v>
      </c>
      <c r="T253" s="18"/>
      <c r="U253" s="18"/>
      <c r="V253" s="18"/>
      <c r="W253" s="18"/>
      <c r="X253" s="18"/>
      <c r="Y253" s="18" t="s">
        <v>35</v>
      </c>
      <c r="Z253" s="24"/>
      <c r="AA253" s="24"/>
      <c r="AB253" s="24"/>
      <c r="AC253" s="24"/>
      <c r="AD253" s="24"/>
      <c r="AE253" s="24"/>
      <c r="AF253" s="24"/>
      <c r="AG253" s="24"/>
      <c r="AH253" s="24"/>
      <c r="AI253" s="24"/>
    </row>
    <row r="254" ht="14.25" hidden="1" customHeight="1">
      <c r="A254" s="8">
        <v>254.0</v>
      </c>
      <c r="B254" s="9" t="str">
        <f>IFERROR(__xludf.DUMMYFUNCTION("INDEX(IMPORTRANGE(""https://docs.google.com/spreadsheets/d/1S7deMHO2waboU9dywpXeKIDfCmjiuAc0HUIsFpaXQq8/edit?gid=0#gid=0"", ""Tracking Shipments - PPTCO!o:o""), MATCH(D254, IMPORTRANGE(""https://docs.google.com/spreadsheets/d/1S7deMHO2waboU9dywpXeKIDfCmji"&amp;"uAc0HUIsFpaXQq8/edit?gid=0#gid=0"", ""Tracking Shipments - PPTCO!p:p""), 0))"),"#N/A")</f>
        <v>#N/A</v>
      </c>
      <c r="C254" s="14" t="s">
        <v>734</v>
      </c>
      <c r="D254" s="14">
        <v>150712.0</v>
      </c>
      <c r="E254" s="14" t="s">
        <v>735</v>
      </c>
      <c r="F254" s="14" t="s">
        <v>105</v>
      </c>
      <c r="G254" s="14" t="s">
        <v>702</v>
      </c>
      <c r="H254" s="14" t="s">
        <v>150</v>
      </c>
      <c r="I254" s="14"/>
      <c r="J254" s="14"/>
      <c r="K254" s="14" t="s">
        <v>150</v>
      </c>
      <c r="L254" s="49">
        <v>45757.0</v>
      </c>
      <c r="M254" s="49">
        <v>45759.0</v>
      </c>
      <c r="N254" s="14"/>
      <c r="O254" s="14" t="s">
        <v>736</v>
      </c>
      <c r="P254" s="14" t="s">
        <v>737</v>
      </c>
      <c r="Q254" s="14" t="s">
        <v>738</v>
      </c>
      <c r="R254" s="52">
        <v>45764.0</v>
      </c>
      <c r="S254" s="13">
        <f t="shared" si="3"/>
        <v>5</v>
      </c>
      <c r="T254" s="14"/>
      <c r="U254" s="14"/>
      <c r="V254" s="14"/>
      <c r="W254" s="14"/>
      <c r="X254" s="14"/>
      <c r="Y254" s="14" t="s">
        <v>35</v>
      </c>
      <c r="Z254" s="15"/>
      <c r="AA254" s="15"/>
      <c r="AB254" s="15"/>
      <c r="AC254" s="15"/>
      <c r="AD254" s="15"/>
      <c r="AE254" s="15"/>
      <c r="AF254" s="15"/>
      <c r="AG254" s="15"/>
      <c r="AH254" s="15"/>
      <c r="AI254" s="15"/>
    </row>
    <row r="255" ht="12.75" hidden="1" customHeight="1">
      <c r="A255" s="16">
        <v>255.0</v>
      </c>
      <c r="B255" s="18" t="s">
        <v>148</v>
      </c>
      <c r="C255" s="18" t="s">
        <v>739</v>
      </c>
      <c r="D255" s="18">
        <v>130365.0</v>
      </c>
      <c r="E255" s="18" t="s">
        <v>740</v>
      </c>
      <c r="F255" s="18" t="s">
        <v>105</v>
      </c>
      <c r="G255" s="18" t="s">
        <v>702</v>
      </c>
      <c r="H255" s="18" t="s">
        <v>150</v>
      </c>
      <c r="I255" s="18"/>
      <c r="J255" s="18"/>
      <c r="K255" s="18" t="s">
        <v>150</v>
      </c>
      <c r="L255" s="54">
        <v>45758.0</v>
      </c>
      <c r="M255" s="54">
        <v>45759.0</v>
      </c>
      <c r="N255" s="18"/>
      <c r="O255" s="59" t="s">
        <v>741</v>
      </c>
      <c r="P255" s="18" t="s">
        <v>742</v>
      </c>
      <c r="Q255" s="18" t="s">
        <v>743</v>
      </c>
      <c r="R255" s="47">
        <v>45764.0</v>
      </c>
      <c r="S255" s="22">
        <f t="shared" si="3"/>
        <v>5</v>
      </c>
      <c r="T255" s="18"/>
      <c r="U255" s="18"/>
      <c r="V255" s="18"/>
      <c r="W255" s="16"/>
      <c r="X255" s="18"/>
      <c r="Y255" s="18" t="s">
        <v>35</v>
      </c>
      <c r="Z255" s="24"/>
      <c r="AA255" s="24"/>
      <c r="AB255" s="24"/>
      <c r="AC255" s="24"/>
      <c r="AD255" s="24"/>
      <c r="AE255" s="24"/>
      <c r="AF255" s="24"/>
      <c r="AG255" s="24"/>
      <c r="AH255" s="24"/>
      <c r="AI255" s="24"/>
    </row>
    <row r="256" ht="15.75" hidden="1" customHeight="1">
      <c r="A256" s="8">
        <v>256.0</v>
      </c>
      <c r="B256" s="9" t="str">
        <f>IFERROR(__xludf.DUMMYFUNCTION("INDEX(IMPORTRANGE(""https://docs.google.com/spreadsheets/d/1S7deMHO2waboU9dywpXeKIDfCmjiuAc0HUIsFpaXQq8/edit?gid=0#gid=0"", ""Tracking Shipments - PPTCO!o:o""), MATCH(D256, IMPORTRANGE(""https://docs.google.com/spreadsheets/d/1S7deMHO2waboU9dywpXeKIDfCmji"&amp;"uAc0HUIsFpaXQq8/edit?gid=0#gid=0"", ""Tracking Shipments - PPTCO!p:p""), 0))"),"PPT-212")</f>
        <v>PPT-212</v>
      </c>
      <c r="C256" s="14" t="s">
        <v>744</v>
      </c>
      <c r="D256" s="14">
        <v>157100.0</v>
      </c>
      <c r="E256" s="14" t="s">
        <v>745</v>
      </c>
      <c r="F256" s="14" t="s">
        <v>40</v>
      </c>
      <c r="G256" s="14" t="s">
        <v>702</v>
      </c>
      <c r="H256" s="14" t="s">
        <v>150</v>
      </c>
      <c r="I256" s="14"/>
      <c r="J256" s="14"/>
      <c r="K256" s="14" t="s">
        <v>150</v>
      </c>
      <c r="L256" s="49">
        <v>45764.0</v>
      </c>
      <c r="M256" s="49">
        <v>45764.0</v>
      </c>
      <c r="N256" s="14"/>
      <c r="O256" s="60">
        <v>132.0</v>
      </c>
      <c r="P256" s="14">
        <v>500.0</v>
      </c>
      <c r="Q256" s="14">
        <v>137.0</v>
      </c>
      <c r="R256" s="52">
        <v>45771.0</v>
      </c>
      <c r="S256" s="13">
        <f t="shared" si="3"/>
        <v>7</v>
      </c>
      <c r="T256" s="14"/>
      <c r="U256" s="14"/>
      <c r="V256" s="14"/>
      <c r="W256" s="14"/>
      <c r="X256" s="14"/>
      <c r="Y256" s="14" t="s">
        <v>35</v>
      </c>
      <c r="Z256" s="15"/>
      <c r="AA256" s="15"/>
      <c r="AB256" s="15"/>
      <c r="AC256" s="15"/>
      <c r="AD256" s="15"/>
      <c r="AE256" s="15"/>
      <c r="AF256" s="15"/>
      <c r="AG256" s="15"/>
      <c r="AH256" s="15"/>
      <c r="AI256" s="15"/>
    </row>
    <row r="257" ht="14.25" hidden="1" customHeight="1">
      <c r="A257" s="16">
        <v>257.0</v>
      </c>
      <c r="B257" s="17" t="str">
        <f>IFERROR(__xludf.DUMMYFUNCTION("INDEX(IMPORTRANGE(""https://docs.google.com/spreadsheets/d/1S7deMHO2waboU9dywpXeKIDfCmjiuAc0HUIsFpaXQq8/edit?gid=0#gid=0"", ""Tracking Shipments - PPTCO!o:o""), MATCH(D257, IMPORTRANGE(""https://docs.google.com/spreadsheets/d/1S7deMHO2waboU9dywpXeKIDfCmji"&amp;"uAc0HUIsFpaXQq8/edit?gid=0#gid=0"", ""Tracking Shipments - PPTCO!p:p""), 0))"),"PPT-212")</f>
        <v>PPT-212</v>
      </c>
      <c r="C257" s="18" t="s">
        <v>746</v>
      </c>
      <c r="D257" s="18">
        <v>130435.0</v>
      </c>
      <c r="E257" s="18" t="s">
        <v>747</v>
      </c>
      <c r="F257" s="18" t="s">
        <v>40</v>
      </c>
      <c r="G257" s="18" t="s">
        <v>702</v>
      </c>
      <c r="H257" s="18" t="s">
        <v>150</v>
      </c>
      <c r="I257" s="18"/>
      <c r="J257" s="18"/>
      <c r="K257" s="18" t="s">
        <v>150</v>
      </c>
      <c r="L257" s="54">
        <v>45757.0</v>
      </c>
      <c r="M257" s="54">
        <v>45758.0</v>
      </c>
      <c r="N257" s="61" t="s">
        <v>692</v>
      </c>
      <c r="O257" s="59" t="s">
        <v>244</v>
      </c>
      <c r="P257" s="18" t="s">
        <v>748</v>
      </c>
      <c r="Q257" s="18" t="s">
        <v>749</v>
      </c>
      <c r="R257" s="47">
        <v>45764.0</v>
      </c>
      <c r="S257" s="22">
        <f t="shared" si="3"/>
        <v>6</v>
      </c>
      <c r="T257" s="18"/>
      <c r="U257" s="18"/>
      <c r="V257" s="18"/>
      <c r="W257" s="18"/>
      <c r="X257" s="18"/>
      <c r="Y257" s="18" t="s">
        <v>35</v>
      </c>
      <c r="Z257" s="24"/>
      <c r="AA257" s="24"/>
      <c r="AB257" s="24"/>
      <c r="AC257" s="24"/>
      <c r="AD257" s="24"/>
      <c r="AE257" s="24"/>
      <c r="AF257" s="24"/>
      <c r="AG257" s="24"/>
      <c r="AH257" s="24"/>
      <c r="AI257" s="24"/>
    </row>
    <row r="258" ht="15.75" hidden="1" customHeight="1">
      <c r="A258" s="8">
        <v>258.0</v>
      </c>
      <c r="B258" s="9" t="str">
        <f>IFERROR(__xludf.DUMMYFUNCTION("INDEX(IMPORTRANGE(""https://docs.google.com/spreadsheets/d/1S7deMHO2waboU9dywpXeKIDfCmjiuAc0HUIsFpaXQq8/edit?gid=0#gid=0"", ""Tracking Shipments - PPTCO!o:o""), MATCH(D258, IMPORTRANGE(""https://docs.google.com/spreadsheets/d/1S7deMHO2waboU9dywpXeKIDfCmji"&amp;"uAc0HUIsFpaXQq8/edit?gid=0#gid=0"", ""Tracking Shipments - PPTCO!p:p""), 0))"),"PPT-120")</f>
        <v>PPT-120</v>
      </c>
      <c r="C258" s="14" t="s">
        <v>750</v>
      </c>
      <c r="D258" s="14">
        <v>65872.0</v>
      </c>
      <c r="E258" s="14" t="s">
        <v>751</v>
      </c>
      <c r="F258" s="14" t="s">
        <v>312</v>
      </c>
      <c r="G258" s="14" t="s">
        <v>682</v>
      </c>
      <c r="H258" s="14" t="s">
        <v>150</v>
      </c>
      <c r="I258" s="14"/>
      <c r="J258" s="14"/>
      <c r="K258" s="14" t="s">
        <v>150</v>
      </c>
      <c r="L258" s="49">
        <v>45762.0</v>
      </c>
      <c r="M258" s="49">
        <v>45762.0</v>
      </c>
      <c r="N258" s="62" t="s">
        <v>692</v>
      </c>
      <c r="O258" s="60">
        <v>119.0</v>
      </c>
      <c r="P258" s="14">
        <v>451.0</v>
      </c>
      <c r="Q258" s="14">
        <v>117.0</v>
      </c>
      <c r="R258" s="52">
        <v>45764.0</v>
      </c>
      <c r="S258" s="13">
        <f t="shared" si="3"/>
        <v>2</v>
      </c>
      <c r="T258" s="14"/>
      <c r="U258" s="14"/>
      <c r="V258" s="14"/>
      <c r="W258" s="8"/>
      <c r="X258" s="14"/>
      <c r="Y258" s="14" t="s">
        <v>35</v>
      </c>
      <c r="Z258" s="15"/>
      <c r="AA258" s="15"/>
      <c r="AB258" s="15"/>
      <c r="AC258" s="15"/>
      <c r="AD258" s="15"/>
      <c r="AE258" s="15"/>
      <c r="AF258" s="15"/>
      <c r="AG258" s="15"/>
      <c r="AH258" s="15"/>
      <c r="AI258" s="15"/>
    </row>
    <row r="259" ht="15.75" hidden="1" customHeight="1">
      <c r="A259" s="16">
        <v>259.0</v>
      </c>
      <c r="B259" s="17" t="str">
        <f>IFERROR(__xludf.DUMMYFUNCTION("INDEX(IMPORTRANGE(""https://docs.google.com/spreadsheets/d/1S7deMHO2waboU9dywpXeKIDfCmjiuAc0HUIsFpaXQq8/edit?gid=0#gid=0"", ""Tracking Shipments - PPTCO!o:o""), MATCH(D259, IMPORTRANGE(""https://docs.google.com/spreadsheets/d/1S7deMHO2waboU9dywpXeKIDfCmji"&amp;"uAc0HUIsFpaXQq8/edit?gid=0#gid=0"", ""Tracking Shipments - PPTCO!p:p""), 0))"),"PPT-184")</f>
        <v>PPT-184</v>
      </c>
      <c r="C259" s="18" t="s">
        <v>752</v>
      </c>
      <c r="D259" s="18">
        <v>69054.0</v>
      </c>
      <c r="E259" s="18" t="s">
        <v>753</v>
      </c>
      <c r="F259" s="18" t="s">
        <v>37</v>
      </c>
      <c r="G259" s="18" t="s">
        <v>682</v>
      </c>
      <c r="H259" s="18" t="s">
        <v>150</v>
      </c>
      <c r="I259" s="18"/>
      <c r="J259" s="18"/>
      <c r="K259" s="18" t="s">
        <v>150</v>
      </c>
      <c r="L259" s="54">
        <v>45761.0</v>
      </c>
      <c r="M259" s="54">
        <v>45761.0</v>
      </c>
      <c r="N259" s="61" t="s">
        <v>692</v>
      </c>
      <c r="O259" s="59">
        <v>120.0</v>
      </c>
      <c r="P259" s="18">
        <v>452.0</v>
      </c>
      <c r="Q259" s="18">
        <v>118.0</v>
      </c>
      <c r="R259" s="47">
        <v>45764.0</v>
      </c>
      <c r="S259" s="22">
        <f t="shared" si="3"/>
        <v>3</v>
      </c>
      <c r="T259" s="18"/>
      <c r="U259" s="18"/>
      <c r="V259" s="18"/>
      <c r="W259" s="18"/>
      <c r="X259" s="18"/>
      <c r="Y259" s="18" t="s">
        <v>35</v>
      </c>
      <c r="Z259" s="24"/>
      <c r="AA259" s="24"/>
      <c r="AB259" s="24"/>
      <c r="AC259" s="24"/>
      <c r="AD259" s="24"/>
      <c r="AE259" s="24"/>
      <c r="AF259" s="24"/>
      <c r="AG259" s="24"/>
      <c r="AH259" s="24"/>
      <c r="AI259" s="24"/>
    </row>
    <row r="260" ht="15.75" hidden="1" customHeight="1">
      <c r="A260" s="8">
        <v>260.0</v>
      </c>
      <c r="B260" s="14" t="s">
        <v>148</v>
      </c>
      <c r="C260" s="14" t="s">
        <v>754</v>
      </c>
      <c r="D260" s="14">
        <v>65992.0</v>
      </c>
      <c r="E260" s="14" t="s">
        <v>755</v>
      </c>
      <c r="F260" s="14" t="s">
        <v>37</v>
      </c>
      <c r="G260" s="14" t="s">
        <v>682</v>
      </c>
      <c r="H260" s="14" t="s">
        <v>150</v>
      </c>
      <c r="I260" s="14"/>
      <c r="J260" s="14"/>
      <c r="K260" s="14" t="s">
        <v>150</v>
      </c>
      <c r="L260" s="49">
        <v>45757.0</v>
      </c>
      <c r="M260" s="49">
        <v>45762.0</v>
      </c>
      <c r="N260" s="14"/>
      <c r="O260" s="60">
        <v>100.0</v>
      </c>
      <c r="P260" s="14">
        <v>427.0</v>
      </c>
      <c r="Q260" s="14">
        <v>93.0</v>
      </c>
      <c r="R260" s="49">
        <v>45764.0</v>
      </c>
      <c r="S260" s="13">
        <f t="shared" si="3"/>
        <v>2</v>
      </c>
      <c r="T260" s="14"/>
      <c r="U260" s="14"/>
      <c r="V260" s="14"/>
      <c r="W260" s="14"/>
      <c r="X260" s="14"/>
      <c r="Y260" s="14" t="s">
        <v>35</v>
      </c>
      <c r="Z260" s="15"/>
      <c r="AA260" s="15"/>
      <c r="AB260" s="15"/>
      <c r="AC260" s="15"/>
      <c r="AD260" s="15"/>
      <c r="AE260" s="15"/>
      <c r="AF260" s="15"/>
      <c r="AG260" s="15"/>
      <c r="AH260" s="15"/>
      <c r="AI260" s="15"/>
    </row>
    <row r="261" ht="15.75" hidden="1" customHeight="1">
      <c r="A261" s="16">
        <v>261.0</v>
      </c>
      <c r="B261" s="17" t="str">
        <f>IFERROR(__xludf.DUMMYFUNCTION("INDEX(IMPORTRANGE(""https://docs.google.com/spreadsheets/d/1S7deMHO2waboU9dywpXeKIDfCmjiuAc0HUIsFpaXQq8/edit?gid=0#gid=0"", ""Tracking Shipments - PPTCO!o:o""), MATCH(D261, IMPORTRANGE(""https://docs.google.com/spreadsheets/d/1S7deMHO2waboU9dywpXeKIDfCmji"&amp;"uAc0HUIsFpaXQq8/edit?gid=0#gid=0"", ""Tracking Shipments - PPTCO!p:p""), 0))"),"PPT-190")</f>
        <v>PPT-190</v>
      </c>
      <c r="C261" s="18" t="s">
        <v>716</v>
      </c>
      <c r="D261" s="18">
        <v>65987.0</v>
      </c>
      <c r="E261" s="18" t="s">
        <v>717</v>
      </c>
      <c r="F261" s="18" t="s">
        <v>37</v>
      </c>
      <c r="G261" s="18" t="s">
        <v>682</v>
      </c>
      <c r="H261" s="18" t="s">
        <v>150</v>
      </c>
      <c r="I261" s="18"/>
      <c r="J261" s="18"/>
      <c r="K261" s="18" t="s">
        <v>150</v>
      </c>
      <c r="L261" s="54">
        <v>45756.0</v>
      </c>
      <c r="M261" s="54">
        <v>45756.0</v>
      </c>
      <c r="N261" s="18"/>
      <c r="O261" s="59">
        <v>101.0</v>
      </c>
      <c r="P261" s="18">
        <v>435.0</v>
      </c>
      <c r="Q261" s="18">
        <v>95.0</v>
      </c>
      <c r="R261" s="47">
        <v>45764.0</v>
      </c>
      <c r="S261" s="22">
        <f t="shared" si="3"/>
        <v>8</v>
      </c>
      <c r="T261" s="18"/>
      <c r="U261" s="18"/>
      <c r="V261" s="18"/>
      <c r="W261" s="16"/>
      <c r="X261" s="18"/>
      <c r="Y261" s="18" t="s">
        <v>35</v>
      </c>
      <c r="Z261" s="24"/>
      <c r="AA261" s="24"/>
      <c r="AB261" s="24"/>
      <c r="AC261" s="24"/>
      <c r="AD261" s="24"/>
      <c r="AE261" s="24"/>
      <c r="AF261" s="24"/>
      <c r="AG261" s="24"/>
      <c r="AH261" s="24"/>
      <c r="AI261" s="24"/>
    </row>
    <row r="262" ht="14.25" hidden="1" customHeight="1">
      <c r="A262" s="8">
        <v>262.0</v>
      </c>
      <c r="B262" s="14" t="s">
        <v>148</v>
      </c>
      <c r="C262" s="14" t="s">
        <v>756</v>
      </c>
      <c r="D262" s="14">
        <v>164764.0</v>
      </c>
      <c r="E262" s="14" t="s">
        <v>757</v>
      </c>
      <c r="F262" s="14" t="s">
        <v>105</v>
      </c>
      <c r="G262" s="14" t="s">
        <v>702</v>
      </c>
      <c r="H262" s="14" t="s">
        <v>150</v>
      </c>
      <c r="I262" s="14"/>
      <c r="J262" s="14"/>
      <c r="K262" s="14" t="s">
        <v>150</v>
      </c>
      <c r="L262" s="49">
        <v>45762.0</v>
      </c>
      <c r="M262" s="49">
        <v>45762.0</v>
      </c>
      <c r="N262" s="14"/>
      <c r="O262" s="60" t="s">
        <v>758</v>
      </c>
      <c r="P262" s="14" t="s">
        <v>759</v>
      </c>
      <c r="Q262" s="14" t="s">
        <v>760</v>
      </c>
      <c r="R262" s="52">
        <v>45764.0</v>
      </c>
      <c r="S262" s="13">
        <f t="shared" si="3"/>
        <v>2</v>
      </c>
      <c r="T262" s="14"/>
      <c r="U262" s="14"/>
      <c r="V262" s="14"/>
      <c r="W262" s="14"/>
      <c r="X262" s="14"/>
      <c r="Y262" s="14" t="s">
        <v>35</v>
      </c>
      <c r="Z262" s="15"/>
      <c r="AA262" s="15"/>
      <c r="AB262" s="15"/>
      <c r="AC262" s="15"/>
      <c r="AD262" s="15"/>
      <c r="AE262" s="15"/>
      <c r="AF262" s="15"/>
      <c r="AG262" s="15"/>
      <c r="AH262" s="15"/>
      <c r="AI262" s="15"/>
    </row>
    <row r="263" ht="12.75" hidden="1" customHeight="1">
      <c r="A263" s="16">
        <v>263.0</v>
      </c>
      <c r="B263" s="18" t="s">
        <v>148</v>
      </c>
      <c r="C263" s="18" t="s">
        <v>761</v>
      </c>
      <c r="D263" s="18">
        <v>164719.0</v>
      </c>
      <c r="E263" s="18" t="s">
        <v>762</v>
      </c>
      <c r="F263" s="18" t="s">
        <v>105</v>
      </c>
      <c r="G263" s="18" t="s">
        <v>702</v>
      </c>
      <c r="H263" s="18" t="s">
        <v>150</v>
      </c>
      <c r="I263" s="18"/>
      <c r="J263" s="18"/>
      <c r="K263" s="18" t="s">
        <v>150</v>
      </c>
      <c r="L263" s="54">
        <v>45763.0</v>
      </c>
      <c r="M263" s="54">
        <v>45763.0</v>
      </c>
      <c r="N263" s="18"/>
      <c r="O263" s="59" t="s">
        <v>763</v>
      </c>
      <c r="P263" s="18" t="s">
        <v>764</v>
      </c>
      <c r="Q263" s="18" t="s">
        <v>765</v>
      </c>
      <c r="R263" s="47">
        <v>45764.0</v>
      </c>
      <c r="S263" s="22">
        <f t="shared" si="3"/>
        <v>1</v>
      </c>
      <c r="T263" s="18"/>
      <c r="U263" s="18"/>
      <c r="V263" s="18"/>
      <c r="W263" s="18"/>
      <c r="X263" s="18"/>
      <c r="Y263" s="18" t="s">
        <v>35</v>
      </c>
      <c r="Z263" s="24"/>
      <c r="AA263" s="24"/>
      <c r="AB263" s="24"/>
      <c r="AC263" s="24"/>
      <c r="AD263" s="24"/>
      <c r="AE263" s="24"/>
      <c r="AF263" s="24"/>
      <c r="AG263" s="24"/>
      <c r="AH263" s="24"/>
      <c r="AI263" s="24"/>
    </row>
    <row r="264" ht="15.75" hidden="1" customHeight="1">
      <c r="A264" s="8">
        <v>264.0</v>
      </c>
      <c r="B264" s="9" t="str">
        <f>IFERROR(__xludf.DUMMYFUNCTION("INDEX(IMPORTRANGE(""https://docs.google.com/spreadsheets/d/1S7deMHO2waboU9dywpXeKIDfCmjiuAc0HUIsFpaXQq8/edit?gid=0#gid=0"", ""Tracking Shipments - PPTCO!o:o""), MATCH(D264, IMPORTRANGE(""https://docs.google.com/spreadsheets/d/1S7deMHO2waboU9dywpXeKIDfCmji"&amp;"uAc0HUIsFpaXQq8/edit?gid=0#gid=0"", ""Tracking Shipments - PPTCO!p:p""), 0))"),"PPT-210A 
")</f>
        <v>PPT-210A 
</v>
      </c>
      <c r="C264" s="14" t="s">
        <v>766</v>
      </c>
      <c r="D264" s="14">
        <v>154591.0</v>
      </c>
      <c r="E264" s="14" t="s">
        <v>767</v>
      </c>
      <c r="F264" s="14" t="s">
        <v>768</v>
      </c>
      <c r="G264" s="14" t="s">
        <v>702</v>
      </c>
      <c r="H264" s="14" t="s">
        <v>150</v>
      </c>
      <c r="I264" s="14"/>
      <c r="J264" s="14"/>
      <c r="K264" s="14" t="s">
        <v>150</v>
      </c>
      <c r="L264" s="49">
        <v>45762.0</v>
      </c>
      <c r="M264" s="49">
        <v>45762.0</v>
      </c>
      <c r="N264" s="14"/>
      <c r="O264" s="60">
        <v>133.0</v>
      </c>
      <c r="P264" s="14">
        <v>518.0</v>
      </c>
      <c r="Q264" s="14">
        <v>141.0</v>
      </c>
      <c r="R264" s="52">
        <v>45774.0</v>
      </c>
      <c r="S264" s="13">
        <f t="shared" si="3"/>
        <v>12</v>
      </c>
      <c r="T264" s="14"/>
      <c r="U264" s="14"/>
      <c r="V264" s="14"/>
      <c r="W264" s="8"/>
      <c r="X264" s="14"/>
      <c r="Y264" s="14" t="s">
        <v>35</v>
      </c>
      <c r="Z264" s="15"/>
      <c r="AA264" s="15"/>
      <c r="AB264" s="15"/>
      <c r="AC264" s="15"/>
      <c r="AD264" s="15"/>
      <c r="AE264" s="15"/>
      <c r="AF264" s="15"/>
      <c r="AG264" s="15"/>
      <c r="AH264" s="15"/>
      <c r="AI264" s="15"/>
    </row>
    <row r="265" ht="15.75" hidden="1" customHeight="1">
      <c r="A265" s="16">
        <v>265.0</v>
      </c>
      <c r="B265" s="17" t="str">
        <f>IFERROR(__xludf.DUMMYFUNCTION("INDEX(IMPORTRANGE(""https://docs.google.com/spreadsheets/d/1S7deMHO2waboU9dywpXeKIDfCmjiuAc0HUIsFpaXQq8/edit?gid=0#gid=0"", ""Tracking Shipments - PPTCO!o:o""), MATCH(D265, IMPORTRANGE(""https://docs.google.com/spreadsheets/d/1S7deMHO2waboU9dywpXeKIDfCmji"&amp;"uAc0HUIsFpaXQq8/edit?gid=0#gid=0"", ""Tracking Shipments - PPTCO!p:p""), 0))"),"PPT-210B 
")</f>
        <v>PPT-210B 
</v>
      </c>
      <c r="C265" s="18" t="s">
        <v>769</v>
      </c>
      <c r="D265" s="18">
        <v>155392.0</v>
      </c>
      <c r="E265" s="18" t="s">
        <v>770</v>
      </c>
      <c r="F265" s="18" t="s">
        <v>771</v>
      </c>
      <c r="G265" s="18" t="s">
        <v>702</v>
      </c>
      <c r="H265" s="18" t="s">
        <v>150</v>
      </c>
      <c r="I265" s="18"/>
      <c r="J265" s="18"/>
      <c r="K265" s="18" t="s">
        <v>150</v>
      </c>
      <c r="L265" s="54">
        <v>45761.0</v>
      </c>
      <c r="M265" s="54">
        <v>45761.0</v>
      </c>
      <c r="N265" s="18"/>
      <c r="O265" s="59">
        <v>134.0</v>
      </c>
      <c r="P265" s="18">
        <v>519.0</v>
      </c>
      <c r="Q265" s="18">
        <v>143.0</v>
      </c>
      <c r="R265" s="47">
        <v>45774.0</v>
      </c>
      <c r="S265" s="22">
        <f t="shared" si="3"/>
        <v>13</v>
      </c>
      <c r="T265" s="18"/>
      <c r="U265" s="18"/>
      <c r="V265" s="18"/>
      <c r="W265" s="18"/>
      <c r="X265" s="18"/>
      <c r="Y265" s="18" t="s">
        <v>35</v>
      </c>
      <c r="Z265" s="24"/>
      <c r="AA265" s="24"/>
      <c r="AB265" s="24"/>
      <c r="AC265" s="24"/>
      <c r="AD265" s="24"/>
      <c r="AE265" s="24"/>
      <c r="AF265" s="24"/>
      <c r="AG265" s="24"/>
      <c r="AH265" s="24"/>
      <c r="AI265" s="24"/>
    </row>
    <row r="266" ht="15.75" hidden="1" customHeight="1">
      <c r="A266" s="8">
        <v>266.0</v>
      </c>
      <c r="B266" s="9" t="str">
        <f>IFERROR(__xludf.DUMMYFUNCTION("INDEX(IMPORTRANGE(""https://docs.google.com/spreadsheets/d/1S7deMHO2waboU9dywpXeKIDfCmjiuAc0HUIsFpaXQq8/edit?gid=0#gid=0"", ""Tracking Shipments - PPTCO!o:o""), MATCH(D266, IMPORTRANGE(""https://docs.google.com/spreadsheets/d/1S7deMHO2waboU9dywpXeKIDfCmji"&amp;"uAc0HUIsFpaXQq8/edit?gid=0#gid=0"", ""Tracking Shipments - PPTCO!p:p""), 0))"),"PPT-210C 
")</f>
        <v>PPT-210C 
</v>
      </c>
      <c r="C266" s="14" t="s">
        <v>772</v>
      </c>
      <c r="D266" s="14">
        <v>155856.0</v>
      </c>
      <c r="E266" s="14" t="s">
        <v>773</v>
      </c>
      <c r="F266" s="14" t="s">
        <v>771</v>
      </c>
      <c r="G266" s="14" t="s">
        <v>702</v>
      </c>
      <c r="H266" s="14" t="s">
        <v>150</v>
      </c>
      <c r="I266" s="14"/>
      <c r="J266" s="14"/>
      <c r="K266" s="14" t="s">
        <v>150</v>
      </c>
      <c r="L266" s="49">
        <v>45764.0</v>
      </c>
      <c r="M266" s="49">
        <v>45764.0</v>
      </c>
      <c r="N266" s="14"/>
      <c r="O266" s="60">
        <v>135.0</v>
      </c>
      <c r="P266" s="14">
        <v>520.0</v>
      </c>
      <c r="Q266" s="14">
        <v>142.0</v>
      </c>
      <c r="R266" s="49">
        <v>45774.0</v>
      </c>
      <c r="S266" s="13">
        <f t="shared" si="3"/>
        <v>10</v>
      </c>
      <c r="T266" s="14"/>
      <c r="U266" s="14"/>
      <c r="V266" s="14"/>
      <c r="W266" s="14"/>
      <c r="X266" s="14"/>
      <c r="Y266" s="14" t="s">
        <v>35</v>
      </c>
      <c r="Z266" s="15"/>
      <c r="AA266" s="15"/>
      <c r="AB266" s="15"/>
      <c r="AC266" s="15"/>
      <c r="AD266" s="15"/>
      <c r="AE266" s="15"/>
      <c r="AF266" s="15"/>
      <c r="AG266" s="15"/>
      <c r="AH266" s="15"/>
      <c r="AI266" s="15"/>
    </row>
    <row r="267" ht="15.75" hidden="1" customHeight="1">
      <c r="A267" s="16">
        <v>267.0</v>
      </c>
      <c r="B267" s="17" t="str">
        <f>IFERROR(__xludf.DUMMYFUNCTION("INDEX(IMPORTRANGE(""https://docs.google.com/spreadsheets/d/1S7deMHO2waboU9dywpXeKIDfCmjiuAc0HUIsFpaXQq8/edit?gid=0#gid=0"", ""Tracking Shipments - PPTCO!o:o""), MATCH(D267, IMPORTRANGE(""https://docs.google.com/spreadsheets/d/1S7deMHO2waboU9dywpXeKIDfCmji"&amp;"uAc0HUIsFpaXQq8/edit?gid=0#gid=0"", ""Tracking Shipments - PPTCO!p:p""), 0))"),"PPT-216")</f>
        <v>PPT-216</v>
      </c>
      <c r="C267" s="18" t="s">
        <v>774</v>
      </c>
      <c r="D267" s="18">
        <v>159516.0</v>
      </c>
      <c r="E267" s="18" t="s">
        <v>775</v>
      </c>
      <c r="F267" s="18" t="s">
        <v>105</v>
      </c>
      <c r="G267" s="18" t="s">
        <v>702</v>
      </c>
      <c r="H267" s="18" t="s">
        <v>150</v>
      </c>
      <c r="I267" s="18"/>
      <c r="J267" s="18"/>
      <c r="K267" s="18" t="s">
        <v>150</v>
      </c>
      <c r="L267" s="54">
        <v>45763.0</v>
      </c>
      <c r="M267" s="54">
        <v>45764.0</v>
      </c>
      <c r="N267" s="61" t="s">
        <v>692</v>
      </c>
      <c r="O267" s="59">
        <v>130.0</v>
      </c>
      <c r="P267" s="18">
        <v>466.0</v>
      </c>
      <c r="Q267" s="18">
        <v>132.0</v>
      </c>
      <c r="R267" s="47">
        <v>45764.0</v>
      </c>
      <c r="S267" s="22" t="str">
        <f t="shared" si="3"/>
        <v/>
      </c>
      <c r="T267" s="18"/>
      <c r="U267" s="18"/>
      <c r="V267" s="18"/>
      <c r="W267" s="16"/>
      <c r="X267" s="18"/>
      <c r="Y267" s="18" t="s">
        <v>35</v>
      </c>
      <c r="Z267" s="24"/>
      <c r="AA267" s="24"/>
      <c r="AB267" s="24"/>
      <c r="AC267" s="24"/>
      <c r="AD267" s="24"/>
      <c r="AE267" s="24"/>
      <c r="AF267" s="24"/>
      <c r="AG267" s="24"/>
      <c r="AH267" s="24"/>
      <c r="AI267" s="24"/>
    </row>
    <row r="268" ht="15.75" hidden="1" customHeight="1">
      <c r="A268" s="8">
        <v>268.0</v>
      </c>
      <c r="B268" s="9" t="str">
        <f>IFERROR(__xludf.DUMMYFUNCTION("INDEX(IMPORTRANGE(""https://docs.google.com/spreadsheets/d/1S7deMHO2waboU9dywpXeKIDfCmjiuAc0HUIsFpaXQq8/edit?gid=0#gid=0"", ""Tracking Shipments - PPTCO!o:o""), MATCH(D268, IMPORTRANGE(""https://docs.google.com/spreadsheets/d/1S7deMHO2waboU9dywpXeKIDfCmji"&amp;"uAc0HUIsFpaXQq8/edit?gid=0#gid=0"", ""Tracking Shipments - PPTCO!p:p""), 0))"),"PPT-197")</f>
        <v>PPT-197</v>
      </c>
      <c r="C268" s="14" t="s">
        <v>776</v>
      </c>
      <c r="D268" s="14">
        <v>73792.0</v>
      </c>
      <c r="E268" s="14" t="s">
        <v>777</v>
      </c>
      <c r="F268" s="14" t="s">
        <v>37</v>
      </c>
      <c r="G268" s="14" t="s">
        <v>682</v>
      </c>
      <c r="H268" s="14" t="s">
        <v>150</v>
      </c>
      <c r="I268" s="14"/>
      <c r="J268" s="14"/>
      <c r="K268" s="14" t="s">
        <v>150</v>
      </c>
      <c r="L268" s="49">
        <v>45773.0</v>
      </c>
      <c r="M268" s="49">
        <v>45773.0</v>
      </c>
      <c r="N268" s="14"/>
      <c r="O268" s="60">
        <v>136.0</v>
      </c>
      <c r="P268" s="14">
        <v>521.0</v>
      </c>
      <c r="Q268" s="14">
        <v>144.0</v>
      </c>
      <c r="R268" s="52">
        <v>45775.0</v>
      </c>
      <c r="S268" s="13">
        <f t="shared" si="3"/>
        <v>2</v>
      </c>
      <c r="T268" s="14"/>
      <c r="U268" s="14"/>
      <c r="V268" s="14"/>
      <c r="W268" s="14"/>
      <c r="X268" s="14"/>
      <c r="Y268" s="14" t="s">
        <v>35</v>
      </c>
      <c r="Z268" s="15"/>
      <c r="AA268" s="15"/>
      <c r="AB268" s="15"/>
      <c r="AC268" s="15"/>
      <c r="AD268" s="15"/>
      <c r="AE268" s="15"/>
      <c r="AF268" s="15"/>
      <c r="AG268" s="15"/>
      <c r="AH268" s="15"/>
      <c r="AI268" s="15"/>
    </row>
    <row r="269" ht="15.75" hidden="1" customHeight="1">
      <c r="A269" s="16">
        <v>269.0</v>
      </c>
      <c r="B269" s="18" t="s">
        <v>148</v>
      </c>
      <c r="C269" s="18" t="s">
        <v>778</v>
      </c>
      <c r="D269" s="18">
        <v>186155.0</v>
      </c>
      <c r="E269" s="18" t="s">
        <v>779</v>
      </c>
      <c r="F269" s="18" t="s">
        <v>105</v>
      </c>
      <c r="G269" s="18" t="s">
        <v>702</v>
      </c>
      <c r="H269" s="18" t="s">
        <v>150</v>
      </c>
      <c r="I269" s="18"/>
      <c r="J269" s="18"/>
      <c r="K269" s="18" t="s">
        <v>150</v>
      </c>
      <c r="L269" s="54">
        <v>45775.0</v>
      </c>
      <c r="M269" s="54">
        <v>45775.0</v>
      </c>
      <c r="N269" s="18"/>
      <c r="O269" s="59">
        <v>137.0</v>
      </c>
      <c r="P269" s="18">
        <v>523.0</v>
      </c>
      <c r="Q269" s="18">
        <v>147.0</v>
      </c>
      <c r="R269" s="47">
        <v>45781.0</v>
      </c>
      <c r="S269" s="22">
        <f t="shared" si="3"/>
        <v>6</v>
      </c>
      <c r="T269" s="18"/>
      <c r="U269" s="18"/>
      <c r="V269" s="18"/>
      <c r="W269" s="18"/>
      <c r="X269" s="18"/>
      <c r="Y269" s="18" t="s">
        <v>35</v>
      </c>
      <c r="Z269" s="24"/>
      <c r="AA269" s="24"/>
      <c r="AB269" s="24"/>
      <c r="AC269" s="24"/>
      <c r="AD269" s="24"/>
      <c r="AE269" s="24"/>
      <c r="AF269" s="24"/>
      <c r="AG269" s="24"/>
      <c r="AH269" s="24"/>
      <c r="AI269" s="24"/>
    </row>
    <row r="270" ht="15.75" hidden="1" customHeight="1">
      <c r="A270" s="8">
        <v>270.0</v>
      </c>
      <c r="B270" s="9" t="str">
        <f>IFERROR(__xludf.DUMMYFUNCTION("INDEX(IMPORTRANGE(""https://docs.google.com/spreadsheets/d/1S7deMHO2waboU9dywpXeKIDfCmjiuAc0HUIsFpaXQq8/edit?gid=0#gid=0"", ""Tracking Shipments - PPTCO!o:o""), MATCH(D270, IMPORTRANGE(""https://docs.google.com/spreadsheets/d/1S7deMHO2waboU9dywpXeKIDfCmji"&amp;"uAc0HUIsFpaXQq8/edit?gid=0#gid=0"", ""Tracking Shipments - PPTCO!p:p""), 0))"),"PPT-224")</f>
        <v>PPT-224</v>
      </c>
      <c r="C270" s="14" t="s">
        <v>780</v>
      </c>
      <c r="D270" s="14">
        <v>186150.0</v>
      </c>
      <c r="E270" s="14" t="s">
        <v>781</v>
      </c>
      <c r="F270" s="14" t="s">
        <v>259</v>
      </c>
      <c r="G270" s="14" t="s">
        <v>702</v>
      </c>
      <c r="H270" s="14" t="s">
        <v>150</v>
      </c>
      <c r="I270" s="14"/>
      <c r="J270" s="14"/>
      <c r="K270" s="14" t="s">
        <v>150</v>
      </c>
      <c r="L270" s="49">
        <v>45775.0</v>
      </c>
      <c r="M270" s="49">
        <v>45775.0</v>
      </c>
      <c r="N270" s="14"/>
      <c r="O270" s="60">
        <v>138.0</v>
      </c>
      <c r="P270" s="14">
        <v>526.0</v>
      </c>
      <c r="Q270" s="14">
        <v>145.0</v>
      </c>
      <c r="R270" s="52">
        <v>45776.0</v>
      </c>
      <c r="S270" s="13">
        <f t="shared" si="3"/>
        <v>1</v>
      </c>
      <c r="T270" s="14"/>
      <c r="U270" s="14"/>
      <c r="V270" s="14"/>
      <c r="W270" s="8"/>
      <c r="X270" s="14"/>
      <c r="Y270" s="14" t="s">
        <v>35</v>
      </c>
      <c r="Z270" s="15"/>
      <c r="AA270" s="15"/>
      <c r="AB270" s="15"/>
      <c r="AC270" s="15"/>
      <c r="AD270" s="15"/>
      <c r="AE270" s="15"/>
      <c r="AF270" s="15"/>
      <c r="AG270" s="15"/>
      <c r="AH270" s="15"/>
      <c r="AI270" s="15"/>
    </row>
    <row r="271" ht="15.75" hidden="1" customHeight="1">
      <c r="A271" s="16">
        <v>271.0</v>
      </c>
      <c r="B271" s="17" t="str">
        <f>IFERROR(__xludf.DUMMYFUNCTION("INDEX(IMPORTRANGE(""https://docs.google.com/spreadsheets/d/1S7deMHO2waboU9dywpXeKIDfCmjiuAc0HUIsFpaXQq8/edit?gid=0#gid=0"", ""Tracking Shipments - PPTCO!o:o""), MATCH(D271, IMPORTRANGE(""https://docs.google.com/spreadsheets/d/1S7deMHO2waboU9dywpXeKIDfCmji"&amp;"uAc0HUIsFpaXQq8/edit?gid=0#gid=0"", ""Tracking Shipments - PPTCO!p:p""), 0))"),"#N/A")</f>
        <v>#N/A</v>
      </c>
      <c r="C271" s="18" t="s">
        <v>782</v>
      </c>
      <c r="D271" s="18">
        <v>195729.0</v>
      </c>
      <c r="E271" s="18" t="s">
        <v>783</v>
      </c>
      <c r="F271" s="18" t="s">
        <v>105</v>
      </c>
      <c r="G271" s="18" t="s">
        <v>702</v>
      </c>
      <c r="H271" s="18" t="s">
        <v>150</v>
      </c>
      <c r="I271" s="18"/>
      <c r="J271" s="18"/>
      <c r="K271" s="18" t="s">
        <v>150</v>
      </c>
      <c r="L271" s="54">
        <v>45776.0</v>
      </c>
      <c r="M271" s="54">
        <v>45776.0</v>
      </c>
      <c r="N271" s="18"/>
      <c r="O271" s="59" t="s">
        <v>273</v>
      </c>
      <c r="P271" s="18" t="s">
        <v>784</v>
      </c>
      <c r="Q271" s="18" t="s">
        <v>785</v>
      </c>
      <c r="R271" s="47">
        <v>45782.0</v>
      </c>
      <c r="S271" s="22">
        <f t="shared" si="3"/>
        <v>6</v>
      </c>
      <c r="T271" s="18"/>
      <c r="U271" s="18"/>
      <c r="V271" s="18"/>
      <c r="W271" s="18"/>
      <c r="X271" s="18"/>
      <c r="Y271" s="18" t="s">
        <v>35</v>
      </c>
      <c r="Z271" s="24"/>
      <c r="AA271" s="24"/>
      <c r="AB271" s="24"/>
      <c r="AC271" s="24"/>
      <c r="AD271" s="24"/>
      <c r="AE271" s="24"/>
      <c r="AF271" s="24"/>
      <c r="AG271" s="24"/>
      <c r="AH271" s="24"/>
      <c r="AI271" s="24"/>
    </row>
    <row r="272" ht="15.75" hidden="1" customHeight="1">
      <c r="A272" s="8">
        <v>272.0</v>
      </c>
      <c r="B272" s="9" t="str">
        <f>IFERROR(__xludf.DUMMYFUNCTION("INDEX(IMPORTRANGE(""https://docs.google.com/spreadsheets/d/1S7deMHO2waboU9dywpXeKIDfCmjiuAc0HUIsFpaXQq8/edit?gid=0#gid=0"", ""Tracking Shipments - PPTCO!o:o""), MATCH(D272, IMPORTRANGE(""https://docs.google.com/spreadsheets/d/1S7deMHO2waboU9dywpXeKIDfCmji"&amp;"uAc0HUIsFpaXQq8/edit?gid=0#gid=0"", ""Tracking Shipments - PPTCO!p:p""), 0))"),"PPT-213")</f>
        <v>PPT-213</v>
      </c>
      <c r="C272" s="14" t="s">
        <v>786</v>
      </c>
      <c r="D272" s="14">
        <v>195676.0</v>
      </c>
      <c r="E272" s="14" t="s">
        <v>787</v>
      </c>
      <c r="F272" s="14" t="s">
        <v>40</v>
      </c>
      <c r="G272" s="14" t="s">
        <v>702</v>
      </c>
      <c r="H272" s="14" t="s">
        <v>150</v>
      </c>
      <c r="I272" s="14"/>
      <c r="J272" s="14"/>
      <c r="K272" s="14" t="s">
        <v>150</v>
      </c>
      <c r="L272" s="49">
        <v>45778.0</v>
      </c>
      <c r="M272" s="49">
        <v>45778.0</v>
      </c>
      <c r="N272" s="14"/>
      <c r="O272" s="60">
        <v>154.0</v>
      </c>
      <c r="P272" s="14">
        <v>552.0</v>
      </c>
      <c r="Q272" s="14">
        <v>162.0</v>
      </c>
      <c r="R272" s="52">
        <v>45783.0</v>
      </c>
      <c r="S272" s="13">
        <f t="shared" si="3"/>
        <v>5</v>
      </c>
      <c r="T272" s="14"/>
      <c r="U272" s="14"/>
      <c r="V272" s="14"/>
      <c r="W272" s="14"/>
      <c r="X272" s="14"/>
      <c r="Y272" s="14" t="s">
        <v>35</v>
      </c>
      <c r="Z272" s="15"/>
      <c r="AA272" s="15"/>
      <c r="AB272" s="15"/>
      <c r="AC272" s="15"/>
      <c r="AD272" s="15"/>
      <c r="AE272" s="15"/>
      <c r="AF272" s="15"/>
      <c r="AG272" s="15"/>
      <c r="AH272" s="15"/>
      <c r="AI272" s="15"/>
    </row>
    <row r="273" ht="15.0" hidden="1" customHeight="1">
      <c r="A273" s="16">
        <v>273.0</v>
      </c>
      <c r="B273" s="17" t="str">
        <f>IFERROR(__xludf.DUMMYFUNCTION("INDEX(IMPORTRANGE(""https://docs.google.com/spreadsheets/d/1S7deMHO2waboU9dywpXeKIDfCmjiuAc0HUIsFpaXQq8/edit?gid=0#gid=0"", ""Tracking Shipments - PPTCO!o:o""), MATCH(D273, IMPORTRANGE(""https://docs.google.com/spreadsheets/d/1S7deMHO2waboU9dywpXeKIDfCmji"&amp;"uAc0HUIsFpaXQq8/edit?gid=0#gid=0"", ""Tracking Shipments - PPTCO!p:p""), 0))"),"PPT-136")</f>
        <v>PPT-136</v>
      </c>
      <c r="C273" s="18" t="s">
        <v>788</v>
      </c>
      <c r="D273" s="18">
        <v>200352.0</v>
      </c>
      <c r="E273" s="18" t="s">
        <v>789</v>
      </c>
      <c r="F273" s="18" t="s">
        <v>122</v>
      </c>
      <c r="G273" s="18" t="s">
        <v>702</v>
      </c>
      <c r="H273" s="18" t="s">
        <v>150</v>
      </c>
      <c r="I273" s="18"/>
      <c r="J273" s="18"/>
      <c r="K273" s="18" t="s">
        <v>150</v>
      </c>
      <c r="L273" s="54">
        <v>45777.0</v>
      </c>
      <c r="M273" s="54">
        <v>45777.0</v>
      </c>
      <c r="N273" s="18"/>
      <c r="O273" s="59" t="s">
        <v>790</v>
      </c>
      <c r="P273" s="18" t="s">
        <v>791</v>
      </c>
      <c r="Q273" s="18" t="s">
        <v>792</v>
      </c>
      <c r="R273" s="47">
        <v>45782.0</v>
      </c>
      <c r="S273" s="22">
        <f t="shared" si="3"/>
        <v>5</v>
      </c>
      <c r="T273" s="18"/>
      <c r="U273" s="18"/>
      <c r="V273" s="18"/>
      <c r="W273" s="16"/>
      <c r="X273" s="18"/>
      <c r="Y273" s="18" t="s">
        <v>35</v>
      </c>
      <c r="Z273" s="24"/>
      <c r="AA273" s="24"/>
      <c r="AB273" s="24"/>
      <c r="AC273" s="24"/>
      <c r="AD273" s="24"/>
      <c r="AE273" s="24"/>
      <c r="AF273" s="24"/>
      <c r="AG273" s="24"/>
      <c r="AH273" s="24"/>
      <c r="AI273" s="24"/>
    </row>
    <row r="274" ht="15.0" hidden="1" customHeight="1">
      <c r="A274" s="8">
        <v>274.0</v>
      </c>
      <c r="B274" s="9" t="str">
        <f>IFERROR(__xludf.DUMMYFUNCTION("INDEX(IMPORTRANGE(""https://docs.google.com/spreadsheets/d/1S7deMHO2waboU9dywpXeKIDfCmjiuAc0HUIsFpaXQq8/edit?gid=0#gid=0"", ""Tracking Shipments - PPTCO!o:o""), MATCH(D274, IMPORTRANGE(""https://docs.google.com/spreadsheets/d/1S7deMHO2waboU9dywpXeKIDfCmji"&amp;"uAc0HUIsFpaXQq8/edit?gid=0#gid=0"", ""Tracking Shipments - PPTCO!p:p""), 0))"),"PPT-233")</f>
        <v>PPT-233</v>
      </c>
      <c r="C274" s="14" t="s">
        <v>793</v>
      </c>
      <c r="D274" s="14">
        <v>202731.0</v>
      </c>
      <c r="E274" s="14" t="s">
        <v>794</v>
      </c>
      <c r="F274" s="14" t="s">
        <v>350</v>
      </c>
      <c r="G274" s="14" t="s">
        <v>702</v>
      </c>
      <c r="H274" s="14" t="s">
        <v>150</v>
      </c>
      <c r="I274" s="14"/>
      <c r="J274" s="14"/>
      <c r="K274" s="14" t="s">
        <v>150</v>
      </c>
      <c r="L274" s="49">
        <v>45778.0</v>
      </c>
      <c r="M274" s="49">
        <v>45780.0</v>
      </c>
      <c r="N274" s="14"/>
      <c r="O274" s="60" t="s">
        <v>795</v>
      </c>
      <c r="P274" s="14" t="s">
        <v>796</v>
      </c>
      <c r="Q274" s="14" t="s">
        <v>797</v>
      </c>
      <c r="R274" s="52">
        <v>45782.0</v>
      </c>
      <c r="S274" s="13">
        <f t="shared" si="3"/>
        <v>2</v>
      </c>
      <c r="T274" s="14"/>
      <c r="U274" s="14"/>
      <c r="V274" s="14"/>
      <c r="W274" s="14"/>
      <c r="X274" s="14"/>
      <c r="Y274" s="14" t="s">
        <v>35</v>
      </c>
      <c r="Z274" s="15"/>
      <c r="AA274" s="15"/>
      <c r="AB274" s="15"/>
      <c r="AC274" s="15"/>
      <c r="AD274" s="15"/>
      <c r="AE274" s="15"/>
      <c r="AF274" s="15"/>
      <c r="AG274" s="15"/>
      <c r="AH274" s="15"/>
      <c r="AI274" s="15"/>
    </row>
    <row r="275" ht="15.75" hidden="1" customHeight="1">
      <c r="A275" s="16">
        <v>275.0</v>
      </c>
      <c r="B275" s="18" t="s">
        <v>148</v>
      </c>
      <c r="C275" s="18" t="s">
        <v>798</v>
      </c>
      <c r="D275" s="18">
        <v>202983.0</v>
      </c>
      <c r="E275" s="18" t="s">
        <v>799</v>
      </c>
      <c r="F275" s="18" t="s">
        <v>105</v>
      </c>
      <c r="G275" s="18" t="s">
        <v>702</v>
      </c>
      <c r="H275" s="18" t="s">
        <v>150</v>
      </c>
      <c r="I275" s="18"/>
      <c r="J275" s="18"/>
      <c r="K275" s="18" t="s">
        <v>150</v>
      </c>
      <c r="L275" s="54">
        <v>45788.0</v>
      </c>
      <c r="M275" s="54">
        <v>45788.0</v>
      </c>
      <c r="N275" s="18"/>
      <c r="O275" s="59" t="s">
        <v>800</v>
      </c>
      <c r="P275" s="18" t="s">
        <v>801</v>
      </c>
      <c r="Q275" s="18" t="s">
        <v>802</v>
      </c>
      <c r="R275" s="47">
        <v>45789.0</v>
      </c>
      <c r="S275" s="22">
        <f t="shared" si="3"/>
        <v>1</v>
      </c>
      <c r="T275" s="18"/>
      <c r="U275" s="18"/>
      <c r="V275" s="18"/>
      <c r="W275" s="18"/>
      <c r="X275" s="18"/>
      <c r="Y275" s="18" t="s">
        <v>35</v>
      </c>
      <c r="Z275" s="24"/>
      <c r="AA275" s="24"/>
      <c r="AB275" s="24"/>
      <c r="AC275" s="24"/>
      <c r="AD275" s="24"/>
      <c r="AE275" s="24"/>
      <c r="AF275" s="24"/>
      <c r="AG275" s="24"/>
      <c r="AH275" s="24"/>
      <c r="AI275" s="24"/>
    </row>
    <row r="276" ht="16.5" hidden="1" customHeight="1">
      <c r="A276" s="8">
        <v>276.0</v>
      </c>
      <c r="B276" s="14" t="s">
        <v>148</v>
      </c>
      <c r="C276" s="14" t="s">
        <v>803</v>
      </c>
      <c r="D276" s="14">
        <v>203248.0</v>
      </c>
      <c r="E276" s="14" t="s">
        <v>804</v>
      </c>
      <c r="F276" s="14" t="s">
        <v>105</v>
      </c>
      <c r="G276" s="14" t="s">
        <v>702</v>
      </c>
      <c r="H276" s="14" t="s">
        <v>150</v>
      </c>
      <c r="I276" s="14"/>
      <c r="J276" s="14"/>
      <c r="K276" s="14" t="s">
        <v>150</v>
      </c>
      <c r="L276" s="49">
        <v>45787.0</v>
      </c>
      <c r="M276" s="49">
        <v>45787.0</v>
      </c>
      <c r="N276" s="14"/>
      <c r="O276" s="60" t="s">
        <v>805</v>
      </c>
      <c r="P276" s="14" t="s">
        <v>806</v>
      </c>
      <c r="Q276" s="14" t="s">
        <v>807</v>
      </c>
      <c r="R276" s="52">
        <v>45789.0</v>
      </c>
      <c r="S276" s="13">
        <f t="shared" si="3"/>
        <v>2</v>
      </c>
      <c r="T276" s="14"/>
      <c r="U276" s="14"/>
      <c r="V276" s="14"/>
      <c r="W276" s="8"/>
      <c r="X276" s="14"/>
      <c r="Y276" s="14" t="s">
        <v>35</v>
      </c>
      <c r="Z276" s="15"/>
      <c r="AA276" s="15"/>
      <c r="AB276" s="15"/>
      <c r="AC276" s="15"/>
      <c r="AD276" s="15"/>
      <c r="AE276" s="15"/>
      <c r="AF276" s="15"/>
      <c r="AG276" s="15"/>
      <c r="AH276" s="15"/>
      <c r="AI276" s="15"/>
    </row>
    <row r="277" ht="13.5" hidden="1" customHeight="1">
      <c r="A277" s="16">
        <v>277.0</v>
      </c>
      <c r="B277" s="18" t="s">
        <v>148</v>
      </c>
      <c r="C277" s="18" t="s">
        <v>808</v>
      </c>
      <c r="D277" s="18">
        <v>203968.0</v>
      </c>
      <c r="E277" s="18" t="s">
        <v>809</v>
      </c>
      <c r="F277" s="18" t="s">
        <v>105</v>
      </c>
      <c r="G277" s="18" t="s">
        <v>702</v>
      </c>
      <c r="H277" s="18" t="s">
        <v>150</v>
      </c>
      <c r="I277" s="18"/>
      <c r="J277" s="18"/>
      <c r="K277" s="18" t="s">
        <v>150</v>
      </c>
      <c r="L277" s="54">
        <v>45780.0</v>
      </c>
      <c r="M277" s="54">
        <v>45782.0</v>
      </c>
      <c r="N277" s="18"/>
      <c r="O277" s="59" t="s">
        <v>810</v>
      </c>
      <c r="P277" s="18" t="s">
        <v>811</v>
      </c>
      <c r="Q277" s="18" t="s">
        <v>812</v>
      </c>
      <c r="R277" s="47">
        <v>45783.0</v>
      </c>
      <c r="S277" s="22">
        <f t="shared" si="3"/>
        <v>1</v>
      </c>
      <c r="T277" s="18"/>
      <c r="U277" s="18"/>
      <c r="V277" s="18"/>
      <c r="W277" s="18"/>
      <c r="X277" s="18"/>
      <c r="Y277" s="18" t="s">
        <v>35</v>
      </c>
      <c r="Z277" s="24"/>
      <c r="AA277" s="24"/>
      <c r="AB277" s="24"/>
      <c r="AC277" s="24"/>
      <c r="AD277" s="24"/>
      <c r="AE277" s="24"/>
      <c r="AF277" s="24"/>
      <c r="AG277" s="24"/>
      <c r="AH277" s="24"/>
      <c r="AI277" s="24"/>
    </row>
    <row r="278" ht="15.75" hidden="1" customHeight="1">
      <c r="A278" s="8">
        <v>278.0</v>
      </c>
      <c r="B278" s="9" t="str">
        <f>IFERROR(__xludf.DUMMYFUNCTION("INDEX(IMPORTRANGE(""https://docs.google.com/spreadsheets/d/1S7deMHO2waboU9dywpXeKIDfCmjiuAc0HUIsFpaXQq8/edit?gid=0#gid=0"", ""Tracking Shipments - PPTCO!o:o""), MATCH(D278, IMPORTRANGE(""https://docs.google.com/spreadsheets/d/1S7deMHO2waboU9dywpXeKIDfCmji"&amp;"uAc0HUIsFpaXQq8/edit?gid=0#gid=0"", ""Tracking Shipments - PPTCO!p:p""), 0))"),"PPT-189")</f>
        <v>PPT-189</v>
      </c>
      <c r="C278" s="14" t="s">
        <v>813</v>
      </c>
      <c r="D278" s="14">
        <v>86166.0</v>
      </c>
      <c r="E278" s="14" t="s">
        <v>814</v>
      </c>
      <c r="F278" s="14" t="s">
        <v>37</v>
      </c>
      <c r="G278" s="14" t="s">
        <v>682</v>
      </c>
      <c r="H278" s="14" t="s">
        <v>150</v>
      </c>
      <c r="I278" s="14" t="s">
        <v>334</v>
      </c>
      <c r="J278" s="14" t="s">
        <v>334</v>
      </c>
      <c r="K278" s="14" t="s">
        <v>150</v>
      </c>
      <c r="L278" s="49">
        <v>45796.0</v>
      </c>
      <c r="M278" s="49">
        <v>45796.0</v>
      </c>
      <c r="N278" s="14"/>
      <c r="O278" s="60">
        <v>164.0</v>
      </c>
      <c r="P278" s="14">
        <v>608.0</v>
      </c>
      <c r="Q278" s="14">
        <v>177.0</v>
      </c>
      <c r="R278" s="49">
        <v>45798.0</v>
      </c>
      <c r="S278" s="13">
        <f t="shared" si="3"/>
        <v>2</v>
      </c>
      <c r="T278" s="14"/>
      <c r="U278" s="14"/>
      <c r="V278" s="14"/>
      <c r="W278" s="14"/>
      <c r="X278" s="14"/>
      <c r="Y278" s="14" t="s">
        <v>35</v>
      </c>
      <c r="Z278" s="15"/>
      <c r="AA278" s="15"/>
      <c r="AB278" s="15"/>
      <c r="AC278" s="15"/>
      <c r="AD278" s="15"/>
      <c r="AE278" s="15"/>
      <c r="AF278" s="15"/>
      <c r="AG278" s="15"/>
      <c r="AH278" s="15"/>
      <c r="AI278" s="15"/>
    </row>
    <row r="279" ht="15.75" hidden="1" customHeight="1">
      <c r="A279" s="16">
        <v>279.0</v>
      </c>
      <c r="B279" s="17">
        <f>IFERROR(__xludf.DUMMYFUNCTION("INDEX(IMPORTRANGE(""https://docs.google.com/spreadsheets/d/1S7deMHO2waboU9dywpXeKIDfCmjiuAc0HUIsFpaXQq8/edit?gid=0#gid=0"", ""Tracking Shipments - PPTCO!o:o""), MATCH(D279, IMPORTRANGE(""https://docs.google.com/spreadsheets/d/1S7deMHO2waboU9dywpXeKIDfCmji"&amp;"uAc0HUIsFpaXQq8/edit?gid=0#gid=0"", ""Tracking Shipments - PPTCO!p:p""), 0))"),10538.0)</f>
        <v>10538</v>
      </c>
      <c r="C279" s="18" t="s">
        <v>815</v>
      </c>
      <c r="D279" s="18">
        <v>209970.0</v>
      </c>
      <c r="E279" s="18" t="s">
        <v>816</v>
      </c>
      <c r="F279" s="18" t="s">
        <v>637</v>
      </c>
      <c r="G279" s="18" t="s">
        <v>702</v>
      </c>
      <c r="H279" s="18" t="s">
        <v>150</v>
      </c>
      <c r="I279" s="18"/>
      <c r="J279" s="18"/>
      <c r="K279" s="18" t="s">
        <v>150</v>
      </c>
      <c r="L279" s="54">
        <v>45789.0</v>
      </c>
      <c r="M279" s="54">
        <v>45789.0</v>
      </c>
      <c r="N279" s="18"/>
      <c r="O279" s="59">
        <v>165.0</v>
      </c>
      <c r="P279" s="18">
        <v>607.0</v>
      </c>
      <c r="Q279" s="18">
        <v>173.0</v>
      </c>
      <c r="R279" s="47">
        <v>45790.0</v>
      </c>
      <c r="S279" s="22">
        <f t="shared" si="3"/>
        <v>1</v>
      </c>
      <c r="T279" s="18"/>
      <c r="U279" s="18"/>
      <c r="V279" s="18"/>
      <c r="W279" s="16"/>
      <c r="X279" s="18"/>
      <c r="Y279" s="18" t="s">
        <v>35</v>
      </c>
      <c r="Z279" s="24"/>
      <c r="AA279" s="24"/>
      <c r="AB279" s="24"/>
      <c r="AC279" s="24"/>
      <c r="AD279" s="24"/>
      <c r="AE279" s="24"/>
      <c r="AF279" s="24"/>
      <c r="AG279" s="24"/>
      <c r="AH279" s="24"/>
      <c r="AI279" s="24"/>
    </row>
    <row r="280" ht="13.5" hidden="1" customHeight="1">
      <c r="A280" s="8">
        <v>280.0</v>
      </c>
      <c r="B280" s="9" t="str">
        <f>IFERROR(__xludf.DUMMYFUNCTION("INDEX(IMPORTRANGE(""https://docs.google.com/spreadsheets/d/1S7deMHO2waboU9dywpXeKIDfCmjiuAc0HUIsFpaXQq8/edit?gid=0#gid=0"", ""Tracking Shipments - PPTCO!o:o""), MATCH(D280, IMPORTRANGE(""https://docs.google.com/spreadsheets/d/1S7deMHO2waboU9dywpXeKIDfCmji"&amp;"uAc0HUIsFpaXQq8/edit?gid=0#gid=0"", ""Tracking Shipments - PPTCO!p:p""), 0))"),"PPT-174")</f>
        <v>PPT-174</v>
      </c>
      <c r="C280" s="14" t="s">
        <v>817</v>
      </c>
      <c r="D280" s="14">
        <v>86547.0</v>
      </c>
      <c r="E280" s="14" t="s">
        <v>818</v>
      </c>
      <c r="F280" s="14" t="s">
        <v>666</v>
      </c>
      <c r="G280" s="14" t="s">
        <v>177</v>
      </c>
      <c r="H280" s="14" t="s">
        <v>150</v>
      </c>
      <c r="I280" s="14"/>
      <c r="J280" s="14"/>
      <c r="K280" s="14" t="s">
        <v>150</v>
      </c>
      <c r="L280" s="14"/>
      <c r="M280" s="14"/>
      <c r="N280" s="14"/>
      <c r="O280" s="60" t="s">
        <v>819</v>
      </c>
      <c r="P280" s="14" t="s">
        <v>820</v>
      </c>
      <c r="Q280" s="14" t="s">
        <v>821</v>
      </c>
      <c r="R280" s="52"/>
      <c r="S280" s="13" t="str">
        <f t="shared" si="3"/>
        <v/>
      </c>
      <c r="T280" s="14"/>
      <c r="U280" s="14"/>
      <c r="V280" s="14"/>
      <c r="W280" s="14"/>
      <c r="X280" s="14"/>
      <c r="Y280" s="14" t="s">
        <v>35</v>
      </c>
      <c r="Z280" s="15"/>
      <c r="AA280" s="15"/>
      <c r="AB280" s="15"/>
      <c r="AC280" s="15"/>
      <c r="AD280" s="15"/>
      <c r="AE280" s="15"/>
      <c r="AF280" s="15"/>
      <c r="AG280" s="15"/>
      <c r="AH280" s="15"/>
      <c r="AI280" s="15"/>
    </row>
    <row r="281" ht="14.25" hidden="1" customHeight="1">
      <c r="A281" s="16">
        <v>281.0</v>
      </c>
      <c r="B281" s="17" t="str">
        <f>IFERROR(__xludf.DUMMYFUNCTION("INDEX(IMPORTRANGE(""https://docs.google.com/spreadsheets/d/1S7deMHO2waboU9dywpXeKIDfCmjiuAc0HUIsFpaXQq8/edit?gid=0#gid=0"", ""Tracking Shipments - PPTCO!o:o""), MATCH(D281, IMPORTRANGE(""https://docs.google.com/spreadsheets/d/1S7deMHO2waboU9dywpXeKIDfCmji"&amp;"uAc0HUIsFpaXQq8/edit?gid=0#gid=0"", ""Tracking Shipments - PPTCO!p:p""), 0))"),"PPT-225")</f>
        <v>PPT-225</v>
      </c>
      <c r="C281" s="18" t="s">
        <v>822</v>
      </c>
      <c r="D281" s="18">
        <v>86580.0</v>
      </c>
      <c r="E281" s="18" t="s">
        <v>823</v>
      </c>
      <c r="F281" s="18" t="s">
        <v>824</v>
      </c>
      <c r="G281" s="18" t="s">
        <v>682</v>
      </c>
      <c r="H281" s="18" t="s">
        <v>150</v>
      </c>
      <c r="I281" s="18" t="s">
        <v>334</v>
      </c>
      <c r="J281" s="18" t="s">
        <v>334</v>
      </c>
      <c r="K281" s="18" t="s">
        <v>150</v>
      </c>
      <c r="L281" s="54">
        <v>45793.0</v>
      </c>
      <c r="M281" s="54">
        <v>45793.0</v>
      </c>
      <c r="N281" s="18"/>
      <c r="O281" s="59">
        <v>170.0</v>
      </c>
      <c r="P281" s="18">
        <v>653.0</v>
      </c>
      <c r="Q281" s="18">
        <v>176.0</v>
      </c>
      <c r="R281" s="54">
        <v>45796.0</v>
      </c>
      <c r="S281" s="22">
        <f t="shared" si="3"/>
        <v>3</v>
      </c>
      <c r="T281" s="18"/>
      <c r="U281" s="18"/>
      <c r="V281" s="18"/>
      <c r="W281" s="18"/>
      <c r="X281" s="18"/>
      <c r="Y281" s="18" t="s">
        <v>35</v>
      </c>
      <c r="Z281" s="24"/>
      <c r="AA281" s="24"/>
      <c r="AB281" s="24"/>
      <c r="AC281" s="24"/>
      <c r="AD281" s="24"/>
      <c r="AE281" s="24"/>
      <c r="AF281" s="24"/>
      <c r="AG281" s="24"/>
      <c r="AH281" s="24"/>
      <c r="AI281" s="24"/>
    </row>
    <row r="282" ht="15.75" hidden="1" customHeight="1">
      <c r="A282" s="8">
        <v>282.0</v>
      </c>
      <c r="B282" s="9" t="str">
        <f>IFERROR(__xludf.DUMMYFUNCTION("INDEX(IMPORTRANGE(""https://docs.google.com/spreadsheets/d/1S7deMHO2waboU9dywpXeKIDfCmjiuAc0HUIsFpaXQq8/edit?gid=0#gid=0"", ""Tracking Shipments - PPTCO!o:o""), MATCH(D282, IMPORTRANGE(""https://docs.google.com/spreadsheets/d/1S7deMHO2waboU9dywpXeKIDfCmji"&amp;"uAc0HUIsFpaXQq8/edit?gid=0#gid=0"", ""Tracking Shipments - PPTCO!p:p""), 0))"),"PPT-185")</f>
        <v>PPT-185</v>
      </c>
      <c r="C282" s="14" t="s">
        <v>825</v>
      </c>
      <c r="D282" s="14">
        <v>86124.0</v>
      </c>
      <c r="E282" s="14" t="s">
        <v>826</v>
      </c>
      <c r="F282" s="14" t="s">
        <v>37</v>
      </c>
      <c r="G282" s="14" t="s">
        <v>682</v>
      </c>
      <c r="H282" s="14" t="s">
        <v>150</v>
      </c>
      <c r="I282" s="14" t="s">
        <v>334</v>
      </c>
      <c r="J282" s="14" t="s">
        <v>334</v>
      </c>
      <c r="K282" s="14" t="s">
        <v>150</v>
      </c>
      <c r="L282" s="49">
        <v>45796.0</v>
      </c>
      <c r="M282" s="49">
        <v>45796.0</v>
      </c>
      <c r="N282" s="14"/>
      <c r="O282" s="60">
        <v>166.0</v>
      </c>
      <c r="P282" s="14">
        <v>603.0</v>
      </c>
      <c r="Q282" s="14">
        <v>178.0</v>
      </c>
      <c r="R282" s="49">
        <v>45803.0</v>
      </c>
      <c r="S282" s="13">
        <f t="shared" si="3"/>
        <v>7</v>
      </c>
      <c r="T282" s="14"/>
      <c r="U282" s="14"/>
      <c r="V282" s="14"/>
      <c r="W282" s="8"/>
      <c r="X282" s="14"/>
      <c r="Y282" s="14" t="s">
        <v>35</v>
      </c>
      <c r="Z282" s="15"/>
      <c r="AA282" s="15"/>
      <c r="AB282" s="15"/>
      <c r="AC282" s="15"/>
      <c r="AD282" s="15"/>
      <c r="AE282" s="15"/>
      <c r="AF282" s="15"/>
      <c r="AG282" s="15"/>
      <c r="AH282" s="15"/>
      <c r="AI282" s="15"/>
    </row>
    <row r="283" ht="15.75" hidden="1" customHeight="1">
      <c r="A283" s="16">
        <v>283.0</v>
      </c>
      <c r="B283" s="17" t="str">
        <f>IFERROR(__xludf.DUMMYFUNCTION("INDEX(IMPORTRANGE(""https://docs.google.com/spreadsheets/d/1S7deMHO2waboU9dywpXeKIDfCmjiuAc0HUIsFpaXQq8/edit?gid=0#gid=0"", ""Tracking Shipments - PPTCO!o:o""), MATCH(D283, IMPORTRANGE(""https://docs.google.com/spreadsheets/d/1S7deMHO2waboU9dywpXeKIDfCmji"&amp;"uAc0HUIsFpaXQq8/edit?gid=0#gid=0"", ""Tracking Shipments - PPTCO!p:p""), 0))"),"PPT-196")</f>
        <v>PPT-196</v>
      </c>
      <c r="C283" s="18" t="s">
        <v>827</v>
      </c>
      <c r="D283" s="18">
        <v>89962.0</v>
      </c>
      <c r="E283" s="18" t="s">
        <v>828</v>
      </c>
      <c r="F283" s="18" t="s">
        <v>37</v>
      </c>
      <c r="G283" s="18" t="s">
        <v>682</v>
      </c>
      <c r="H283" s="18" t="s">
        <v>150</v>
      </c>
      <c r="I283" s="18"/>
      <c r="J283" s="18"/>
      <c r="K283" s="18" t="s">
        <v>150</v>
      </c>
      <c r="L283" s="54">
        <v>45789.0</v>
      </c>
      <c r="M283" s="54">
        <v>45789.0</v>
      </c>
      <c r="N283" s="18"/>
      <c r="O283" s="59">
        <v>169.0</v>
      </c>
      <c r="P283" s="18">
        <v>609.0</v>
      </c>
      <c r="Q283" s="18">
        <v>172.0</v>
      </c>
      <c r="R283" s="47">
        <v>45790.0</v>
      </c>
      <c r="S283" s="22">
        <f t="shared" si="3"/>
        <v>1</v>
      </c>
      <c r="T283" s="18"/>
      <c r="U283" s="18"/>
      <c r="V283" s="18"/>
      <c r="W283" s="18"/>
      <c r="X283" s="18"/>
      <c r="Y283" s="18" t="s">
        <v>35</v>
      </c>
      <c r="Z283" s="24"/>
      <c r="AA283" s="24"/>
      <c r="AB283" s="24"/>
      <c r="AC283" s="24"/>
      <c r="AD283" s="24"/>
      <c r="AE283" s="24"/>
      <c r="AF283" s="24"/>
      <c r="AG283" s="24"/>
      <c r="AH283" s="24"/>
      <c r="AI283" s="24"/>
    </row>
    <row r="284" ht="13.5" hidden="1" customHeight="1">
      <c r="A284" s="8">
        <v>284.0</v>
      </c>
      <c r="B284" s="9" t="str">
        <f>IFERROR(__xludf.DUMMYFUNCTION("INDEX(IMPORTRANGE(""https://docs.google.com/spreadsheets/d/1S7deMHO2waboU9dywpXeKIDfCmjiuAc0HUIsFpaXQq8/edit?gid=0#gid=0"", ""Tracking Shipments - PPTCO!o:o""), MATCH(D284, IMPORTRANGE(""https://docs.google.com/spreadsheets/d/1S7deMHO2waboU9dywpXeKIDfCmji"&amp;"uAc0HUIsFpaXQq8/edit?gid=0#gid=0"", ""Tracking Shipments - PPTCO!p:p""), 0))"),"PPT-186")</f>
        <v>PPT-186</v>
      </c>
      <c r="C284" s="14" t="s">
        <v>829</v>
      </c>
      <c r="D284" s="14">
        <v>90701.0</v>
      </c>
      <c r="E284" s="14" t="s">
        <v>830</v>
      </c>
      <c r="F284" s="14" t="s">
        <v>37</v>
      </c>
      <c r="G284" s="14" t="s">
        <v>682</v>
      </c>
      <c r="H284" s="14" t="s">
        <v>150</v>
      </c>
      <c r="I284" s="14" t="s">
        <v>334</v>
      </c>
      <c r="J284" s="14" t="s">
        <v>29</v>
      </c>
      <c r="K284" s="14" t="s">
        <v>150</v>
      </c>
      <c r="L284" s="49">
        <v>45803.0</v>
      </c>
      <c r="M284" s="49">
        <v>45804.0</v>
      </c>
      <c r="N284" s="14"/>
      <c r="O284" s="60">
        <v>171.0</v>
      </c>
      <c r="P284" s="14">
        <v>654.0</v>
      </c>
      <c r="Q284" s="14">
        <v>185.0</v>
      </c>
      <c r="R284" s="52">
        <v>45804.0</v>
      </c>
      <c r="S284" s="13" t="str">
        <f t="shared" si="3"/>
        <v/>
      </c>
      <c r="T284" s="14"/>
      <c r="U284" s="14"/>
      <c r="V284" s="14"/>
      <c r="W284" s="14"/>
      <c r="X284" s="14"/>
      <c r="Y284" s="14" t="s">
        <v>35</v>
      </c>
      <c r="Z284" s="15"/>
      <c r="AA284" s="15"/>
      <c r="AB284" s="15"/>
      <c r="AC284" s="15"/>
      <c r="AD284" s="15"/>
      <c r="AE284" s="15"/>
      <c r="AF284" s="15"/>
      <c r="AG284" s="15"/>
      <c r="AH284" s="15"/>
      <c r="AI284" s="15"/>
    </row>
    <row r="285" ht="15.75" hidden="1" customHeight="1">
      <c r="A285" s="16">
        <v>285.0</v>
      </c>
      <c r="B285" s="18" t="s">
        <v>148</v>
      </c>
      <c r="C285" s="18" t="s">
        <v>831</v>
      </c>
      <c r="D285" s="18">
        <v>90913.0</v>
      </c>
      <c r="E285" s="18" t="s">
        <v>832</v>
      </c>
      <c r="F285" s="18" t="s">
        <v>37</v>
      </c>
      <c r="G285" s="18" t="s">
        <v>682</v>
      </c>
      <c r="H285" s="18" t="s">
        <v>150</v>
      </c>
      <c r="I285" s="18" t="s">
        <v>334</v>
      </c>
      <c r="J285" s="18" t="s">
        <v>334</v>
      </c>
      <c r="K285" s="18" t="s">
        <v>150</v>
      </c>
      <c r="L285" s="54">
        <v>45801.0</v>
      </c>
      <c r="M285" s="54">
        <v>45801.0</v>
      </c>
      <c r="N285" s="18"/>
      <c r="O285" s="59">
        <v>172.0</v>
      </c>
      <c r="P285" s="18">
        <v>656.0</v>
      </c>
      <c r="Q285" s="18">
        <v>179.0</v>
      </c>
      <c r="R285" s="54">
        <v>45803.0</v>
      </c>
      <c r="S285" s="22">
        <f t="shared" si="3"/>
        <v>2</v>
      </c>
      <c r="T285" s="18"/>
      <c r="U285" s="18"/>
      <c r="V285" s="18"/>
      <c r="W285" s="16"/>
      <c r="X285" s="18"/>
      <c r="Y285" s="18" t="s">
        <v>172</v>
      </c>
      <c r="Z285" s="24"/>
      <c r="AA285" s="24"/>
      <c r="AB285" s="24"/>
      <c r="AC285" s="24"/>
      <c r="AD285" s="24"/>
      <c r="AE285" s="24"/>
      <c r="AF285" s="24"/>
      <c r="AG285" s="24"/>
      <c r="AH285" s="24"/>
      <c r="AI285" s="24"/>
    </row>
    <row r="286" ht="18.0" hidden="1" customHeight="1">
      <c r="A286" s="8">
        <v>286.0</v>
      </c>
      <c r="B286" s="9" t="str">
        <f>IFERROR(__xludf.DUMMYFUNCTION("INDEX(IMPORTRANGE(""https://docs.google.com/spreadsheets/d/1S7deMHO2waboU9dywpXeKIDfCmjiuAc0HUIsFpaXQq8/edit?gid=0#gid=0"", ""Tracking Shipments - PPTCO!o:o""), MATCH(D286, IMPORTRANGE(""https://docs.google.com/spreadsheets/d/1S7deMHO2waboU9dywpXeKIDfCmji"&amp;"uAc0HUIsFpaXQq8/edit?gid=0#gid=0"", ""Tracking Shipments - PPTCO!p:p""), 0))"),"PPT-185")</f>
        <v>PPT-185</v>
      </c>
      <c r="C286" s="14" t="s">
        <v>833</v>
      </c>
      <c r="D286" s="14">
        <v>94133.0</v>
      </c>
      <c r="E286" s="14" t="s">
        <v>834</v>
      </c>
      <c r="F286" s="14" t="s">
        <v>37</v>
      </c>
      <c r="G286" s="14" t="s">
        <v>682</v>
      </c>
      <c r="H286" s="14" t="s">
        <v>150</v>
      </c>
      <c r="I286" s="14" t="s">
        <v>334</v>
      </c>
      <c r="J286" s="14" t="s">
        <v>334</v>
      </c>
      <c r="K286" s="14" t="s">
        <v>150</v>
      </c>
      <c r="L286" s="49">
        <v>45797.0</v>
      </c>
      <c r="M286" s="49">
        <v>45798.0</v>
      </c>
      <c r="N286" s="14"/>
      <c r="O286" s="60">
        <v>173.0</v>
      </c>
      <c r="P286" s="14">
        <v>657.0</v>
      </c>
      <c r="Q286" s="14">
        <v>180.0</v>
      </c>
      <c r="R286" s="49">
        <v>45803.0</v>
      </c>
      <c r="S286" s="13">
        <f t="shared" si="3"/>
        <v>5</v>
      </c>
      <c r="T286" s="14"/>
      <c r="U286" s="14"/>
      <c r="V286" s="14"/>
      <c r="W286" s="14"/>
      <c r="X286" s="14"/>
      <c r="Y286" s="14" t="s">
        <v>172</v>
      </c>
      <c r="Z286" s="15"/>
      <c r="AA286" s="15"/>
      <c r="AB286" s="15"/>
      <c r="AC286" s="15"/>
      <c r="AD286" s="15"/>
      <c r="AE286" s="15"/>
      <c r="AF286" s="15"/>
      <c r="AG286" s="15"/>
      <c r="AH286" s="15"/>
      <c r="AI286" s="15"/>
    </row>
    <row r="287" ht="15.75" hidden="1" customHeight="1">
      <c r="A287" s="16">
        <v>287.0</v>
      </c>
      <c r="B287" s="17">
        <f>IFERROR(__xludf.DUMMYFUNCTION("INDEX(IMPORTRANGE(""https://docs.google.com/spreadsheets/d/1S7deMHO2waboU9dywpXeKIDfCmjiuAc0HUIsFpaXQq8/edit?gid=0#gid=0"", ""Tracking Shipments - PPTCO!o:o""), MATCH(D287, IMPORTRANGE(""https://docs.google.com/spreadsheets/d/1S7deMHO2waboU9dywpXeKIDfCmji"&amp;"uAc0HUIsFpaXQq8/edit?gid=0#gid=0"", ""Tracking Shipments - PPTCO!p:p""), 0))"),10537.0)</f>
        <v>10537</v>
      </c>
      <c r="C287" s="18" t="s">
        <v>835</v>
      </c>
      <c r="D287" s="18">
        <v>232917.0</v>
      </c>
      <c r="E287" s="18" t="s">
        <v>836</v>
      </c>
      <c r="F287" s="18" t="s">
        <v>637</v>
      </c>
      <c r="G287" s="18" t="s">
        <v>702</v>
      </c>
      <c r="H287" s="18" t="s">
        <v>150</v>
      </c>
      <c r="I287" s="18" t="s">
        <v>334</v>
      </c>
      <c r="J287" s="18" t="s">
        <v>334</v>
      </c>
      <c r="K287" s="18" t="s">
        <v>150</v>
      </c>
      <c r="L287" s="54">
        <v>45794.0</v>
      </c>
      <c r="M287" s="54">
        <v>45795.0</v>
      </c>
      <c r="N287" s="18"/>
      <c r="O287" s="59">
        <v>174.0</v>
      </c>
      <c r="P287" s="18">
        <v>723.0</v>
      </c>
      <c r="Q287" s="18">
        <v>184.0</v>
      </c>
      <c r="R287" s="47">
        <v>45804.0</v>
      </c>
      <c r="S287" s="22">
        <f t="shared" si="3"/>
        <v>9</v>
      </c>
      <c r="T287" s="18"/>
      <c r="U287" s="18"/>
      <c r="V287" s="18"/>
      <c r="W287" s="18"/>
      <c r="X287" s="18"/>
      <c r="Y287" s="18" t="s">
        <v>172</v>
      </c>
      <c r="Z287" s="24"/>
      <c r="AA287" s="24"/>
      <c r="AB287" s="24"/>
      <c r="AC287" s="24"/>
      <c r="AD287" s="24"/>
      <c r="AE287" s="24"/>
      <c r="AF287" s="24"/>
      <c r="AG287" s="24"/>
      <c r="AH287" s="24"/>
      <c r="AI287" s="24"/>
    </row>
    <row r="288" ht="15.75" hidden="1" customHeight="1">
      <c r="A288" s="8">
        <v>288.0</v>
      </c>
      <c r="B288" s="9" t="str">
        <f>IFERROR(__xludf.DUMMYFUNCTION("INDEX(IMPORTRANGE(""https://docs.google.com/spreadsheets/d/1S7deMHO2waboU9dywpXeKIDfCmjiuAc0HUIsFpaXQq8/edit?gid=0#gid=0"", ""Tracking Shipments - PPTCO!o:o""), MATCH(D288, IMPORTRANGE(""https://docs.google.com/spreadsheets/d/1S7deMHO2waboU9dywpXeKIDfCmji"&amp;"uAc0HUIsFpaXQq8/edit?gid=0#gid=0"", ""Tracking Shipments - PPTCO!p:p""), 0))"),"PPT-215")</f>
        <v>PPT-215</v>
      </c>
      <c r="C288" s="14" t="s">
        <v>837</v>
      </c>
      <c r="D288" s="14">
        <v>91355.0</v>
      </c>
      <c r="E288" s="14" t="s">
        <v>838</v>
      </c>
      <c r="F288" s="14" t="s">
        <v>40</v>
      </c>
      <c r="G288" s="14" t="s">
        <v>682</v>
      </c>
      <c r="H288" s="14" t="s">
        <v>150</v>
      </c>
      <c r="I288" s="14" t="s">
        <v>334</v>
      </c>
      <c r="J288" s="14" t="s">
        <v>334</v>
      </c>
      <c r="K288" s="14" t="s">
        <v>150</v>
      </c>
      <c r="L288" s="49">
        <v>45798.0</v>
      </c>
      <c r="M288" s="49">
        <v>45800.0</v>
      </c>
      <c r="N288" s="14"/>
      <c r="O288" s="60" t="s">
        <v>839</v>
      </c>
      <c r="P288" s="60" t="s">
        <v>840</v>
      </c>
      <c r="Q288" s="60" t="s">
        <v>839</v>
      </c>
      <c r="R288" s="52">
        <v>45804.0</v>
      </c>
      <c r="S288" s="13">
        <f t="shared" si="3"/>
        <v>4</v>
      </c>
      <c r="T288" s="14"/>
      <c r="U288" s="14"/>
      <c r="V288" s="14"/>
      <c r="W288" s="8"/>
      <c r="X288" s="14"/>
      <c r="Y288" s="14" t="s">
        <v>172</v>
      </c>
      <c r="Z288" s="15"/>
      <c r="AA288" s="15"/>
      <c r="AB288" s="15"/>
      <c r="AC288" s="15"/>
      <c r="AD288" s="15"/>
      <c r="AE288" s="15"/>
      <c r="AF288" s="15"/>
      <c r="AG288" s="15"/>
      <c r="AH288" s="15"/>
      <c r="AI288" s="15"/>
    </row>
    <row r="289" ht="15.75" hidden="1" customHeight="1">
      <c r="A289" s="16">
        <v>289.0</v>
      </c>
      <c r="B289" s="17" t="str">
        <f>IFERROR(__xludf.DUMMYFUNCTION("INDEX(IMPORTRANGE(""https://docs.google.com/spreadsheets/d/1S7deMHO2waboU9dywpXeKIDfCmjiuAc0HUIsFpaXQq8/edit?gid=0#gid=0"", ""Tracking Shipments - PPTCO!o:o""), MATCH(D289, IMPORTRANGE(""https://docs.google.com/spreadsheets/d/1S7deMHO2waboU9dywpXeKIDfCmji"&amp;"uAc0HUIsFpaXQq8/edit?gid=0#gid=0"", ""Tracking Shipments - PPTCO!p:p""), 0))"),"PPT-214")</f>
        <v>PPT-214</v>
      </c>
      <c r="C289" s="18" t="s">
        <v>841</v>
      </c>
      <c r="D289" s="18">
        <v>98159.0</v>
      </c>
      <c r="E289" s="18" t="s">
        <v>842</v>
      </c>
      <c r="F289" s="18" t="s">
        <v>40</v>
      </c>
      <c r="G289" s="18" t="s">
        <v>682</v>
      </c>
      <c r="H289" s="18" t="s">
        <v>150</v>
      </c>
      <c r="I289" s="18" t="s">
        <v>334</v>
      </c>
      <c r="J289" s="18" t="s">
        <v>334</v>
      </c>
      <c r="K289" s="18" t="s">
        <v>150</v>
      </c>
      <c r="L289" s="54">
        <v>45798.0</v>
      </c>
      <c r="M289" s="54">
        <v>45800.0</v>
      </c>
      <c r="N289" s="18"/>
      <c r="O289" s="59">
        <v>183.0</v>
      </c>
      <c r="P289" s="18">
        <v>729.0</v>
      </c>
      <c r="Q289" s="18">
        <v>186.0</v>
      </c>
      <c r="R289" s="47">
        <v>45804.0</v>
      </c>
      <c r="S289" s="22">
        <f t="shared" si="3"/>
        <v>4</v>
      </c>
      <c r="T289" s="18"/>
      <c r="U289" s="18"/>
      <c r="V289" s="18"/>
      <c r="W289" s="18"/>
      <c r="X289" s="18"/>
      <c r="Y289" s="18" t="s">
        <v>35</v>
      </c>
      <c r="Z289" s="24"/>
      <c r="AA289" s="24"/>
      <c r="AB289" s="24"/>
      <c r="AC289" s="24"/>
      <c r="AD289" s="24"/>
      <c r="AE289" s="24"/>
      <c r="AF289" s="24"/>
      <c r="AG289" s="24"/>
      <c r="AH289" s="24"/>
      <c r="AI289" s="24"/>
    </row>
    <row r="290" ht="14.25" hidden="1" customHeight="1">
      <c r="A290" s="8">
        <v>290.0</v>
      </c>
      <c r="B290" s="9" t="str">
        <f>IFERROR(__xludf.DUMMYFUNCTION("INDEX(IMPORTRANGE(""https://docs.google.com/spreadsheets/d/1S7deMHO2waboU9dywpXeKIDfCmjiuAc0HUIsFpaXQq8/edit?gid=0#gid=0"", ""Tracking Shipments - PPTCO!o:o""), MATCH(D290, IMPORTRANGE(""https://docs.google.com/spreadsheets/d/1S7deMHO2waboU9dywpXeKIDfCmji"&amp;"uAc0HUIsFpaXQq8/edit?gid=0#gid=0"", ""Tracking Shipments - PPTCO!p:p""), 0))"),"PPT-239")</f>
        <v>PPT-239</v>
      </c>
      <c r="C290" s="14" t="s">
        <v>843</v>
      </c>
      <c r="D290" s="14">
        <v>253230.0</v>
      </c>
      <c r="E290" s="14" t="s">
        <v>844</v>
      </c>
      <c r="F290" s="14" t="s">
        <v>81</v>
      </c>
      <c r="G290" s="14" t="s">
        <v>702</v>
      </c>
      <c r="H290" s="14" t="s">
        <v>150</v>
      </c>
      <c r="I290" s="14" t="s">
        <v>334</v>
      </c>
      <c r="J290" s="14" t="s">
        <v>29</v>
      </c>
      <c r="K290" s="14" t="s">
        <v>150</v>
      </c>
      <c r="L290" s="49">
        <v>45803.0</v>
      </c>
      <c r="M290" s="49">
        <v>45804.0</v>
      </c>
      <c r="N290" s="14"/>
      <c r="O290" s="60" t="s">
        <v>845</v>
      </c>
      <c r="P290" s="14" t="s">
        <v>846</v>
      </c>
      <c r="Q290" s="14" t="s">
        <v>847</v>
      </c>
      <c r="R290" s="52">
        <v>45805.0</v>
      </c>
      <c r="S290" s="13">
        <f t="shared" si="3"/>
        <v>1</v>
      </c>
      <c r="T290" s="14"/>
      <c r="U290" s="14"/>
      <c r="V290" s="14"/>
      <c r="W290" s="14"/>
      <c r="X290" s="14"/>
      <c r="Y290" s="14" t="s">
        <v>172</v>
      </c>
      <c r="Z290" s="15"/>
      <c r="AA290" s="15"/>
      <c r="AB290" s="15"/>
      <c r="AC290" s="15"/>
      <c r="AD290" s="15"/>
      <c r="AE290" s="15"/>
      <c r="AF290" s="15"/>
      <c r="AG290" s="15"/>
      <c r="AH290" s="15"/>
      <c r="AI290" s="15"/>
    </row>
    <row r="291" ht="14.25" hidden="1" customHeight="1">
      <c r="A291" s="16">
        <v>291.0</v>
      </c>
      <c r="B291" s="17" t="str">
        <f>IFERROR(__xludf.DUMMYFUNCTION("INDEX(IMPORTRANGE(""https://docs.google.com/spreadsheets/d/1S7deMHO2waboU9dywpXeKIDfCmjiuAc0HUIsFpaXQq8/edit?gid=0#gid=0"", ""Tracking Shipments - PPTCO!o:o""), MATCH(D291, IMPORTRANGE(""https://docs.google.com/spreadsheets/d/1S7deMHO2waboU9dywpXeKIDfCmji"&amp;"uAc0HUIsFpaXQq8/edit?gid=0#gid=0"", ""Tracking Shipments - PPTCO!p:p""), 0))"),"PPT-218")</f>
        <v>PPT-218</v>
      </c>
      <c r="C291" s="18" t="s">
        <v>848</v>
      </c>
      <c r="D291" s="18">
        <v>253960.0</v>
      </c>
      <c r="E291" s="18" t="s">
        <v>849</v>
      </c>
      <c r="F291" s="18" t="s">
        <v>81</v>
      </c>
      <c r="G291" s="18" t="s">
        <v>177</v>
      </c>
      <c r="H291" s="18" t="s">
        <v>150</v>
      </c>
      <c r="I291" s="18" t="s">
        <v>334</v>
      </c>
      <c r="J291" s="18" t="s">
        <v>334</v>
      </c>
      <c r="K291" s="18" t="s">
        <v>150</v>
      </c>
      <c r="L291" s="54">
        <v>45808.0</v>
      </c>
      <c r="M291" s="57">
        <v>45809.0</v>
      </c>
      <c r="N291" s="18"/>
      <c r="O291" s="59" t="s">
        <v>850</v>
      </c>
      <c r="P291" s="18" t="s">
        <v>851</v>
      </c>
      <c r="Q291" s="18" t="s">
        <v>852</v>
      </c>
      <c r="R291" s="47">
        <v>45818.0</v>
      </c>
      <c r="S291" s="22">
        <f t="shared" si="3"/>
        <v>9</v>
      </c>
      <c r="T291" s="18"/>
      <c r="U291" s="18"/>
      <c r="V291" s="18"/>
      <c r="W291" s="16"/>
      <c r="X291" s="18"/>
      <c r="Y291" s="18" t="s">
        <v>172</v>
      </c>
      <c r="Z291" s="24"/>
      <c r="AA291" s="24"/>
      <c r="AB291" s="24"/>
      <c r="AC291" s="24"/>
      <c r="AD291" s="24"/>
      <c r="AE291" s="24"/>
      <c r="AF291" s="24"/>
      <c r="AG291" s="24"/>
      <c r="AH291" s="24"/>
      <c r="AI291" s="24"/>
    </row>
    <row r="292" ht="15.75" hidden="1" customHeight="1">
      <c r="A292" s="8">
        <v>292.0</v>
      </c>
      <c r="B292" s="9" t="str">
        <f>IFERROR(__xludf.DUMMYFUNCTION("INDEX(IMPORTRANGE(""https://docs.google.com/spreadsheets/d/1S7deMHO2waboU9dywpXeKIDfCmjiuAc0HUIsFpaXQq8/edit?gid=0#gid=0"", ""Tracking Shipments - PPTCO!o:o""), MATCH(D292, IMPORTRANGE(""https://docs.google.com/spreadsheets/d/1S7deMHO2waboU9dywpXeKIDfCmji"&amp;"uAc0HUIsFpaXQq8/edit?gid=0#gid=0"", ""Tracking Shipments - PPTCO!p:p""), 0))"),"PPT-227")</f>
        <v>PPT-227</v>
      </c>
      <c r="C292" s="14" t="s">
        <v>853</v>
      </c>
      <c r="D292" s="14">
        <v>107429.0</v>
      </c>
      <c r="E292" s="14" t="s">
        <v>854</v>
      </c>
      <c r="F292" s="14" t="s">
        <v>653</v>
      </c>
      <c r="G292" s="14" t="s">
        <v>177</v>
      </c>
      <c r="H292" s="14" t="s">
        <v>150</v>
      </c>
      <c r="I292" s="14" t="s">
        <v>334</v>
      </c>
      <c r="J292" s="14" t="s">
        <v>29</v>
      </c>
      <c r="K292" s="14" t="s">
        <v>150</v>
      </c>
      <c r="L292" s="49">
        <v>45809.0</v>
      </c>
      <c r="M292" s="49">
        <v>45810.0</v>
      </c>
      <c r="N292" s="14"/>
      <c r="O292" s="60">
        <v>192.0</v>
      </c>
      <c r="P292" s="14">
        <v>773.0</v>
      </c>
      <c r="Q292" s="14">
        <v>206.0</v>
      </c>
      <c r="R292" s="52">
        <v>45818.0</v>
      </c>
      <c r="S292" s="13">
        <f t="shared" si="3"/>
        <v>8</v>
      </c>
      <c r="T292" s="14"/>
      <c r="U292" s="14"/>
      <c r="V292" s="14"/>
      <c r="W292" s="14"/>
      <c r="X292" s="14"/>
      <c r="Y292" s="14" t="s">
        <v>172</v>
      </c>
      <c r="Z292" s="15"/>
      <c r="AA292" s="15"/>
      <c r="AB292" s="15"/>
      <c r="AC292" s="15"/>
      <c r="AD292" s="15"/>
      <c r="AE292" s="15"/>
      <c r="AF292" s="15"/>
      <c r="AG292" s="15"/>
      <c r="AH292" s="15"/>
      <c r="AI292" s="15"/>
    </row>
    <row r="293" ht="15.75" hidden="1" customHeight="1">
      <c r="A293" s="16">
        <v>293.0</v>
      </c>
      <c r="B293" s="17" t="str">
        <f>IFERROR(__xludf.DUMMYFUNCTION("INDEX(IMPORTRANGE(""https://docs.google.com/spreadsheets/d/1S7deMHO2waboU9dywpXeKIDfCmjiuAc0HUIsFpaXQq8/edit?gid=0#gid=0"", ""Tracking Shipments - PPTCO!o:o""), MATCH(D293, IMPORTRANGE(""https://docs.google.com/spreadsheets/d/1S7deMHO2waboU9dywpXeKIDfCmji"&amp;"uAc0HUIsFpaXQq8/edit?gid=0#gid=0"", ""Tracking Shipments - PPTCO!p:p""), 0))"),"PPT-188")</f>
        <v>PPT-188</v>
      </c>
      <c r="C293" s="18" t="s">
        <v>855</v>
      </c>
      <c r="D293" s="18">
        <v>108924.0</v>
      </c>
      <c r="E293" s="18" t="s">
        <v>856</v>
      </c>
      <c r="F293" s="18" t="s">
        <v>37</v>
      </c>
      <c r="G293" s="18" t="s">
        <v>682</v>
      </c>
      <c r="H293" s="18" t="s">
        <v>150</v>
      </c>
      <c r="I293" s="18" t="s">
        <v>334</v>
      </c>
      <c r="J293" s="18"/>
      <c r="K293" s="18" t="s">
        <v>150</v>
      </c>
      <c r="L293" s="54">
        <v>45822.0</v>
      </c>
      <c r="M293" s="54">
        <v>45823.0</v>
      </c>
      <c r="N293" s="18"/>
      <c r="O293" s="59">
        <v>194.0</v>
      </c>
      <c r="P293" s="18">
        <v>784.0</v>
      </c>
      <c r="Q293" s="18">
        <v>218.0</v>
      </c>
      <c r="R293" s="47">
        <v>45825.0</v>
      </c>
      <c r="S293" s="22">
        <f t="shared" si="3"/>
        <v>2</v>
      </c>
      <c r="T293" s="18"/>
      <c r="U293" s="18"/>
      <c r="V293" s="18"/>
      <c r="W293" s="18"/>
      <c r="X293" s="18"/>
      <c r="Y293" s="18" t="s">
        <v>172</v>
      </c>
      <c r="Z293" s="24"/>
      <c r="AA293" s="24"/>
      <c r="AB293" s="24"/>
      <c r="AC293" s="24"/>
      <c r="AD293" s="24"/>
      <c r="AE293" s="24"/>
      <c r="AF293" s="24"/>
      <c r="AG293" s="24"/>
      <c r="AH293" s="24"/>
      <c r="AI293" s="24"/>
    </row>
    <row r="294" ht="15.75" hidden="1" customHeight="1">
      <c r="A294" s="8">
        <v>294.0</v>
      </c>
      <c r="B294" s="9" t="str">
        <f>IFERROR(__xludf.DUMMYFUNCTION("INDEX(IMPORTRANGE(""https://docs.google.com/spreadsheets/d/1S7deMHO2waboU9dywpXeKIDfCmjiuAc0HUIsFpaXQq8/edit?gid=0#gid=0"", ""Tracking Shipments - PPTCO!o:o""), MATCH(D294, IMPORTRANGE(""https://docs.google.com/spreadsheets/d/1S7deMHO2waboU9dywpXeKIDfCmji"&amp;"uAc0HUIsFpaXQq8/edit?gid=0#gid=0"", ""Tracking Shipments - PPTCO!p:p""), 0))"),"PPT-233")</f>
        <v>PPT-233</v>
      </c>
      <c r="C294" s="14" t="s">
        <v>857</v>
      </c>
      <c r="D294" s="14">
        <v>274100.0</v>
      </c>
      <c r="E294" s="14" t="s">
        <v>858</v>
      </c>
      <c r="F294" s="14" t="s">
        <v>350</v>
      </c>
      <c r="G294" s="14" t="s">
        <v>702</v>
      </c>
      <c r="H294" s="14" t="s">
        <v>150</v>
      </c>
      <c r="I294" s="14" t="s">
        <v>334</v>
      </c>
      <c r="J294" s="14"/>
      <c r="K294" s="14" t="s">
        <v>150</v>
      </c>
      <c r="L294" s="49">
        <v>45811.0</v>
      </c>
      <c r="M294" s="49">
        <v>45811.0</v>
      </c>
      <c r="N294" s="14"/>
      <c r="O294" s="60">
        <v>193.0</v>
      </c>
      <c r="P294" s="14">
        <v>785.0</v>
      </c>
      <c r="Q294" s="14">
        <v>205.0</v>
      </c>
      <c r="R294" s="52">
        <v>45818.0</v>
      </c>
      <c r="S294" s="13">
        <f t="shared" si="3"/>
        <v>7</v>
      </c>
      <c r="T294" s="14"/>
      <c r="U294" s="14"/>
      <c r="V294" s="14"/>
      <c r="W294" s="8"/>
      <c r="X294" s="14"/>
      <c r="Y294" s="14" t="s">
        <v>172</v>
      </c>
      <c r="Z294" s="15"/>
      <c r="AA294" s="15"/>
      <c r="AB294" s="15"/>
      <c r="AC294" s="15"/>
      <c r="AD294" s="15"/>
      <c r="AE294" s="15"/>
      <c r="AF294" s="15"/>
      <c r="AG294" s="15"/>
      <c r="AH294" s="15"/>
      <c r="AI294" s="15"/>
    </row>
    <row r="295" ht="14.25" hidden="1" customHeight="1">
      <c r="A295" s="16">
        <v>295.0</v>
      </c>
      <c r="B295" s="17" t="str">
        <f>IFERROR(__xludf.DUMMYFUNCTION("INDEX(IMPORTRANGE(""https://docs.google.com/spreadsheets/d/1S7deMHO2waboU9dywpXeKIDfCmjiuAc0HUIsFpaXQq8/edit?gid=0#gid=0"", ""Tracking Shipments - PPTCO!o:o""), MATCH(D295, IMPORTRANGE(""https://docs.google.com/spreadsheets/d/1S7deMHO2waboU9dywpXeKIDfCmji"&amp;"uAc0HUIsFpaXQq8/edit?gid=0#gid=0"", ""Tracking Shipments - PPTCO!p:p""), 0))"),"PPT-206")</f>
        <v>PPT-206</v>
      </c>
      <c r="C295" s="18" t="s">
        <v>859</v>
      </c>
      <c r="D295" s="18">
        <v>281098.0</v>
      </c>
      <c r="E295" s="18" t="s">
        <v>860</v>
      </c>
      <c r="F295" s="18" t="s">
        <v>169</v>
      </c>
      <c r="G295" s="18" t="s">
        <v>702</v>
      </c>
      <c r="H295" s="18" t="s">
        <v>150</v>
      </c>
      <c r="I295" s="18" t="s">
        <v>334</v>
      </c>
      <c r="J295" s="18"/>
      <c r="K295" s="18" t="s">
        <v>150</v>
      </c>
      <c r="L295" s="54">
        <v>45818.0</v>
      </c>
      <c r="M295" s="54">
        <v>45818.0</v>
      </c>
      <c r="N295" s="18"/>
      <c r="O295" s="59" t="s">
        <v>861</v>
      </c>
      <c r="P295" s="18" t="s">
        <v>862</v>
      </c>
      <c r="Q295" s="18" t="s">
        <v>863</v>
      </c>
      <c r="R295" s="47">
        <v>45819.0</v>
      </c>
      <c r="S295" s="22">
        <f t="shared" si="3"/>
        <v>1</v>
      </c>
      <c r="T295" s="18"/>
      <c r="U295" s="18"/>
      <c r="V295" s="18"/>
      <c r="W295" s="18"/>
      <c r="X295" s="18"/>
      <c r="Y295" s="18" t="s">
        <v>172</v>
      </c>
      <c r="Z295" s="24"/>
      <c r="AA295" s="24"/>
      <c r="AB295" s="24"/>
      <c r="AC295" s="24"/>
      <c r="AD295" s="24"/>
      <c r="AE295" s="24"/>
      <c r="AF295" s="24"/>
      <c r="AG295" s="24"/>
      <c r="AH295" s="24"/>
      <c r="AI295" s="24"/>
    </row>
    <row r="296" ht="13.5" hidden="1" customHeight="1">
      <c r="A296" s="8">
        <v>296.0</v>
      </c>
      <c r="B296" s="9" t="str">
        <f>IFERROR(__xludf.DUMMYFUNCTION("INDEX(IMPORTRANGE(""https://docs.google.com/spreadsheets/d/1S7deMHO2waboU9dywpXeKIDfCmjiuAc0HUIsFpaXQq8/edit?gid=0#gid=0"", ""Tracking Shipments - PPTCO!o:o""), MATCH(D296, IMPORTRANGE(""https://docs.google.com/spreadsheets/d/1S7deMHO2waboU9dywpXeKIDfCmji"&amp;"uAc0HUIsFpaXQq8/edit?gid=0#gid=0"", ""Tracking Shipments - PPTCO!p:p""), 0))"),"PPT-256")</f>
        <v>PPT-256</v>
      </c>
      <c r="C296" s="14" t="s">
        <v>864</v>
      </c>
      <c r="D296" s="14">
        <v>288072.0</v>
      </c>
      <c r="E296" s="14" t="s">
        <v>865</v>
      </c>
      <c r="F296" s="14" t="s">
        <v>105</v>
      </c>
      <c r="G296" s="14" t="s">
        <v>702</v>
      </c>
      <c r="H296" s="14" t="s">
        <v>150</v>
      </c>
      <c r="I296" s="14" t="s">
        <v>334</v>
      </c>
      <c r="J296" s="14"/>
      <c r="K296" s="14" t="s">
        <v>150</v>
      </c>
      <c r="L296" s="49">
        <v>45822.0</v>
      </c>
      <c r="M296" s="49">
        <v>45822.0</v>
      </c>
      <c r="N296" s="14"/>
      <c r="O296" s="60" t="s">
        <v>866</v>
      </c>
      <c r="P296" s="14" t="s">
        <v>867</v>
      </c>
      <c r="Q296" s="14" t="s">
        <v>868</v>
      </c>
      <c r="R296" s="52">
        <v>45825.0</v>
      </c>
      <c r="S296" s="13">
        <f t="shared" si="3"/>
        <v>3</v>
      </c>
      <c r="T296" s="14"/>
      <c r="U296" s="14"/>
      <c r="V296" s="14"/>
      <c r="W296" s="14"/>
      <c r="X296" s="14"/>
      <c r="Y296" s="14" t="s">
        <v>172</v>
      </c>
      <c r="Z296" s="15"/>
      <c r="AA296" s="15"/>
      <c r="AB296" s="15"/>
      <c r="AC296" s="15"/>
      <c r="AD296" s="15"/>
      <c r="AE296" s="15"/>
      <c r="AF296" s="15"/>
      <c r="AG296" s="15"/>
      <c r="AH296" s="15"/>
      <c r="AI296" s="15"/>
    </row>
    <row r="297" ht="14.25" hidden="1" customHeight="1">
      <c r="A297" s="16">
        <v>297.0</v>
      </c>
      <c r="B297" s="17" t="str">
        <f>IFERROR(__xludf.DUMMYFUNCTION("INDEX(IMPORTRANGE(""https://docs.google.com/spreadsheets/d/1S7deMHO2waboU9dywpXeKIDfCmjiuAc0HUIsFpaXQq8/edit?gid=0#gid=0"", ""Tracking Shipments - PPTCO!o:o""), MATCH(D297, IMPORTRANGE(""https://docs.google.com/spreadsheets/d/1S7deMHO2waboU9dywpXeKIDfCmji"&amp;"uAc0HUIsFpaXQq8/edit?gid=0#gid=0"", ""Tracking Shipments - PPTCO!p:p""), 0))"),"TETRA 
PACK")</f>
        <v>TETRA 
PACK</v>
      </c>
      <c r="C297" s="18" t="s">
        <v>869</v>
      </c>
      <c r="D297" s="18">
        <v>291106.0</v>
      </c>
      <c r="E297" s="18" t="s">
        <v>870</v>
      </c>
      <c r="F297" s="18" t="s">
        <v>824</v>
      </c>
      <c r="G297" s="18" t="s">
        <v>702</v>
      </c>
      <c r="H297" s="18" t="s">
        <v>150</v>
      </c>
      <c r="I297" s="18" t="s">
        <v>334</v>
      </c>
      <c r="J297" s="18"/>
      <c r="K297" s="18" t="s">
        <v>150</v>
      </c>
      <c r="L297" s="54">
        <v>45822.0</v>
      </c>
      <c r="M297" s="54">
        <v>45824.0</v>
      </c>
      <c r="N297" s="18"/>
      <c r="O297" s="59" t="s">
        <v>871</v>
      </c>
      <c r="P297" s="18" t="s">
        <v>872</v>
      </c>
      <c r="Q297" s="18" t="s">
        <v>873</v>
      </c>
      <c r="R297" s="47">
        <v>45827.0</v>
      </c>
      <c r="S297" s="22">
        <f t="shared" si="3"/>
        <v>3</v>
      </c>
      <c r="T297" s="18"/>
      <c r="U297" s="18"/>
      <c r="V297" s="18"/>
      <c r="W297" s="16"/>
      <c r="X297" s="18"/>
      <c r="Y297" s="18" t="s">
        <v>172</v>
      </c>
      <c r="Z297" s="24"/>
      <c r="AA297" s="24"/>
      <c r="AB297" s="24"/>
      <c r="AC297" s="24"/>
      <c r="AD297" s="24"/>
      <c r="AE297" s="24"/>
      <c r="AF297" s="24"/>
      <c r="AG297" s="24"/>
      <c r="AH297" s="24"/>
      <c r="AI297" s="24"/>
    </row>
    <row r="298" ht="12.75" hidden="1" customHeight="1">
      <c r="A298" s="8">
        <v>298.0</v>
      </c>
      <c r="B298" s="9" t="str">
        <f>IFERROR(__xludf.DUMMYFUNCTION("INDEX(IMPORTRANGE(""https://docs.google.com/spreadsheets/d/1S7deMHO2waboU9dywpXeKIDfCmjiuAc0HUIsFpaXQq8/edit?gid=0#gid=0"", ""Tracking Shipments - PPTCO!o:o""), MATCH(D298, IMPORTRANGE(""https://docs.google.com/spreadsheets/d/1S7deMHO2waboU9dywpXeKIDfCmji"&amp;"uAc0HUIsFpaXQq8/edit?gid=0#gid=0"", ""Tracking Shipments - PPTCO!p:p""), 0))"),"PPT-243")</f>
        <v>PPT-243</v>
      </c>
      <c r="C298" s="14" t="s">
        <v>874</v>
      </c>
      <c r="D298" s="14">
        <v>302582.0</v>
      </c>
      <c r="E298" s="14" t="s">
        <v>875</v>
      </c>
      <c r="F298" s="14" t="s">
        <v>26</v>
      </c>
      <c r="G298" s="14" t="s">
        <v>702</v>
      </c>
      <c r="H298" s="14" t="s">
        <v>150</v>
      </c>
      <c r="I298" s="14" t="s">
        <v>334</v>
      </c>
      <c r="J298" s="14"/>
      <c r="K298" s="14" t="s">
        <v>150</v>
      </c>
      <c r="L298" s="49">
        <v>45832.0</v>
      </c>
      <c r="M298" s="49">
        <v>45833.0</v>
      </c>
      <c r="N298" s="14"/>
      <c r="O298" s="60" t="s">
        <v>876</v>
      </c>
      <c r="P298" s="14" t="s">
        <v>877</v>
      </c>
      <c r="Q298" s="14" t="s">
        <v>878</v>
      </c>
      <c r="R298" s="52">
        <v>45833.0</v>
      </c>
      <c r="S298" s="13" t="str">
        <f t="shared" si="3"/>
        <v/>
      </c>
      <c r="T298" s="14"/>
      <c r="U298" s="14"/>
      <c r="V298" s="14"/>
      <c r="W298" s="14"/>
      <c r="X298" s="14"/>
      <c r="Y298" s="14" t="s">
        <v>172</v>
      </c>
      <c r="Z298" s="15"/>
      <c r="AA298" s="15"/>
      <c r="AB298" s="15"/>
      <c r="AC298" s="15"/>
      <c r="AD298" s="15"/>
      <c r="AE298" s="15"/>
      <c r="AF298" s="15"/>
      <c r="AG298" s="15"/>
      <c r="AH298" s="15"/>
      <c r="AI298" s="15"/>
    </row>
    <row r="299" ht="15.0" hidden="1" customHeight="1">
      <c r="A299" s="16">
        <v>299.0</v>
      </c>
      <c r="B299" s="17" t="str">
        <f>IFERROR(__xludf.DUMMYFUNCTION("INDEX(IMPORTRANGE(""https://docs.google.com/spreadsheets/d/1S7deMHO2waboU9dywpXeKIDfCmjiuAc0HUIsFpaXQq8/edit?gid=0#gid=0"", ""Tracking Shipments - PPTCO!o:o""), MATCH(D299, IMPORTRANGE(""https://docs.google.com/spreadsheets/d/1S7deMHO2waboU9dywpXeKIDfCmji"&amp;"uAc0HUIsFpaXQq8/edit?gid=0#gid=0"", ""Tracking Shipments - PPTCO!p:p""), 0))"),"PPT-228")</f>
        <v>PPT-228</v>
      </c>
      <c r="C299" s="18" t="s">
        <v>879</v>
      </c>
      <c r="D299" s="18">
        <v>299225.0</v>
      </c>
      <c r="E299" s="18" t="s">
        <v>880</v>
      </c>
      <c r="F299" s="18" t="s">
        <v>59</v>
      </c>
      <c r="G299" s="18" t="s">
        <v>702</v>
      </c>
      <c r="H299" s="18" t="s">
        <v>150</v>
      </c>
      <c r="I299" s="18" t="s">
        <v>334</v>
      </c>
      <c r="J299" s="18"/>
      <c r="K299" s="18" t="s">
        <v>150</v>
      </c>
      <c r="L299" s="54">
        <v>45829.0</v>
      </c>
      <c r="M299" s="54">
        <v>45831.0</v>
      </c>
      <c r="N299" s="18"/>
      <c r="O299" s="59">
        <v>205.0</v>
      </c>
      <c r="P299" s="18">
        <v>848.0</v>
      </c>
      <c r="Q299" s="18">
        <v>235.0</v>
      </c>
      <c r="R299" s="47">
        <v>45833.0</v>
      </c>
      <c r="S299" s="22">
        <f t="shared" si="3"/>
        <v>2</v>
      </c>
      <c r="T299" s="18"/>
      <c r="U299" s="18"/>
      <c r="V299" s="18"/>
      <c r="W299" s="18"/>
      <c r="X299" s="18"/>
      <c r="Y299" s="18" t="s">
        <v>172</v>
      </c>
      <c r="Z299" s="24"/>
      <c r="AA299" s="24"/>
      <c r="AB299" s="24"/>
      <c r="AC299" s="24"/>
      <c r="AD299" s="24"/>
      <c r="AE299" s="24"/>
      <c r="AF299" s="24"/>
      <c r="AG299" s="24"/>
      <c r="AH299" s="24"/>
      <c r="AI299" s="24"/>
    </row>
    <row r="300" ht="15.0" hidden="1" customHeight="1">
      <c r="A300" s="8">
        <v>300.0</v>
      </c>
      <c r="B300" s="9" t="str">
        <f>IFERROR(__xludf.DUMMYFUNCTION("INDEX(IMPORTRANGE(""https://docs.google.com/spreadsheets/d/1S7deMHO2waboU9dywpXeKIDfCmjiuAc0HUIsFpaXQq8/edit?gid=0#gid=0"", ""Tracking Shipments - PPTCO!o:o""), MATCH(D300, IMPORTRANGE(""https://docs.google.com/spreadsheets/d/1S7deMHO2waboU9dywpXeKIDfCmji"&amp;"uAc0HUIsFpaXQq8/edit?gid=0#gid=0"", ""Tracking Shipments - PPTCO!p:p""), 0))"),"PPT-220")</f>
        <v>PPT-220</v>
      </c>
      <c r="C300" s="14" t="s">
        <v>881</v>
      </c>
      <c r="D300" s="14">
        <v>123570.0</v>
      </c>
      <c r="E300" s="14" t="s">
        <v>882</v>
      </c>
      <c r="F300" s="14" t="s">
        <v>54</v>
      </c>
      <c r="G300" s="14" t="s">
        <v>177</v>
      </c>
      <c r="H300" s="14" t="s">
        <v>150</v>
      </c>
      <c r="I300" s="14" t="s">
        <v>334</v>
      </c>
      <c r="J300" s="14"/>
      <c r="K300" s="14" t="s">
        <v>150</v>
      </c>
      <c r="L300" s="49">
        <v>45830.0</v>
      </c>
      <c r="M300" s="49">
        <v>45834.0</v>
      </c>
      <c r="N300" s="14"/>
      <c r="O300" s="60" t="s">
        <v>883</v>
      </c>
      <c r="P300" s="14" t="s">
        <v>884</v>
      </c>
      <c r="Q300" s="14" t="s">
        <v>885</v>
      </c>
      <c r="R300" s="52">
        <v>45833.0</v>
      </c>
      <c r="S300" s="13" t="str">
        <f t="shared" si="3"/>
        <v/>
      </c>
      <c r="T300" s="14"/>
      <c r="U300" s="14"/>
      <c r="V300" s="14"/>
      <c r="W300" s="8"/>
      <c r="X300" s="14"/>
      <c r="Y300" s="14" t="s">
        <v>172</v>
      </c>
      <c r="Z300" s="15"/>
      <c r="AA300" s="15"/>
      <c r="AB300" s="15"/>
      <c r="AC300" s="15"/>
      <c r="AD300" s="15"/>
      <c r="AE300" s="15"/>
      <c r="AF300" s="15"/>
      <c r="AG300" s="15"/>
      <c r="AH300" s="15"/>
      <c r="AI300" s="15"/>
    </row>
    <row r="301" ht="14.25" hidden="1" customHeight="1">
      <c r="A301" s="16">
        <v>301.0</v>
      </c>
      <c r="B301" s="18" t="s">
        <v>148</v>
      </c>
      <c r="C301" s="18" t="s">
        <v>886</v>
      </c>
      <c r="D301" s="18">
        <v>309219.0</v>
      </c>
      <c r="E301" s="18" t="s">
        <v>887</v>
      </c>
      <c r="F301" s="18" t="s">
        <v>100</v>
      </c>
      <c r="G301" s="18" t="s">
        <v>177</v>
      </c>
      <c r="H301" s="18" t="s">
        <v>150</v>
      </c>
      <c r="I301" s="18" t="s">
        <v>334</v>
      </c>
      <c r="J301" s="18"/>
      <c r="K301" s="18" t="s">
        <v>150</v>
      </c>
      <c r="L301" s="54">
        <v>45831.0</v>
      </c>
      <c r="M301" s="54">
        <v>45834.0</v>
      </c>
      <c r="N301" s="18"/>
      <c r="O301" s="59" t="s">
        <v>888</v>
      </c>
      <c r="P301" s="18" t="s">
        <v>889</v>
      </c>
      <c r="Q301" s="18" t="s">
        <v>890</v>
      </c>
      <c r="R301" s="47">
        <v>45840.0</v>
      </c>
      <c r="S301" s="18"/>
      <c r="T301" s="18"/>
      <c r="U301" s="18"/>
      <c r="V301" s="18"/>
      <c r="W301" s="18"/>
      <c r="X301" s="18"/>
      <c r="Y301" s="18" t="s">
        <v>172</v>
      </c>
      <c r="Z301" s="24"/>
      <c r="AA301" s="24"/>
      <c r="AB301" s="24"/>
      <c r="AC301" s="24"/>
      <c r="AD301" s="24"/>
      <c r="AE301" s="24"/>
      <c r="AF301" s="24"/>
      <c r="AG301" s="24"/>
      <c r="AH301" s="24"/>
      <c r="AI301" s="24"/>
    </row>
    <row r="302" ht="14.25" hidden="1" customHeight="1">
      <c r="A302" s="8">
        <v>302.0</v>
      </c>
      <c r="B302" s="9" t="str">
        <f>IFERROR(__xludf.DUMMYFUNCTION("INDEX(IMPORTRANGE(""https://docs.google.com/spreadsheets/d/1S7deMHO2waboU9dywpXeKIDfCmjiuAc0HUIsFpaXQq8/edit?gid=0#gid=0"", ""Tracking Shipments - PPTCO!o:o""), MATCH(D302, IMPORTRANGE(""https://docs.google.com/spreadsheets/d/1S7deMHO2waboU9dywpXeKIDfCmji"&amp;"uAc0HUIsFpaXQq8/edit?gid=0#gid=0"", ""Tracking Shipments - PPTCO!p:p""), 0))"),"PPT-256")</f>
        <v>PPT-256</v>
      </c>
      <c r="C302" s="14" t="s">
        <v>891</v>
      </c>
      <c r="D302" s="14">
        <v>321356.0</v>
      </c>
      <c r="E302" s="14" t="s">
        <v>892</v>
      </c>
      <c r="F302" s="14" t="s">
        <v>105</v>
      </c>
      <c r="G302" s="14" t="s">
        <v>702</v>
      </c>
      <c r="H302" s="14" t="s">
        <v>150</v>
      </c>
      <c r="I302" s="14"/>
      <c r="J302" s="14"/>
      <c r="K302" s="14" t="s">
        <v>150</v>
      </c>
      <c r="L302" s="49">
        <v>45848.0</v>
      </c>
      <c r="M302" s="49">
        <v>45846.0</v>
      </c>
      <c r="N302" s="14"/>
      <c r="O302" s="60" t="s">
        <v>893</v>
      </c>
      <c r="P302" s="14" t="s">
        <v>894</v>
      </c>
      <c r="Q302" s="14" t="s">
        <v>895</v>
      </c>
      <c r="R302" s="52">
        <v>45851.0</v>
      </c>
      <c r="S302" s="13">
        <f t="shared" ref="S302:S417" si="4">IFERROR(IF(DATEDIF(M302,R302,"d")=0,"",DATEDIF(M302,R302,"d")),"")</f>
        <v>5</v>
      </c>
      <c r="T302" s="14"/>
      <c r="U302" s="14"/>
      <c r="V302" s="14"/>
      <c r="W302" s="14"/>
      <c r="X302" s="14"/>
      <c r="Y302" s="14" t="s">
        <v>172</v>
      </c>
      <c r="Z302" s="15"/>
      <c r="AA302" s="15"/>
      <c r="AB302" s="15"/>
      <c r="AC302" s="15"/>
      <c r="AD302" s="15"/>
      <c r="AE302" s="15"/>
      <c r="AF302" s="15"/>
      <c r="AG302" s="15"/>
      <c r="AH302" s="15"/>
      <c r="AI302" s="15"/>
    </row>
    <row r="303" ht="15.0" hidden="1" customHeight="1">
      <c r="A303" s="16">
        <v>303.0</v>
      </c>
      <c r="B303" s="17" t="str">
        <f>IFERROR(__xludf.DUMMYFUNCTION("INDEX(IMPORTRANGE(""https://docs.google.com/spreadsheets/d/1S7deMHO2waboU9dywpXeKIDfCmjiuAc0HUIsFpaXQq8/edit?gid=0#gid=0"", ""Tracking Shipments - PPTCO!o:o""), MATCH(D303, IMPORTRANGE(""https://docs.google.com/spreadsheets/d/1S7deMHO2waboU9dywpXeKIDfCmji"&amp;"uAc0HUIsFpaXQq8/edit?gid=0#gid=0"", ""Tracking Shipments - PPTCO!p:p""), 0))"),"PPT-256")</f>
        <v>PPT-256</v>
      </c>
      <c r="C303" s="18" t="s">
        <v>896</v>
      </c>
      <c r="D303" s="18">
        <v>320101.0</v>
      </c>
      <c r="E303" s="18" t="s">
        <v>897</v>
      </c>
      <c r="F303" s="18" t="s">
        <v>105</v>
      </c>
      <c r="G303" s="18" t="s">
        <v>702</v>
      </c>
      <c r="H303" s="18" t="s">
        <v>150</v>
      </c>
      <c r="I303" s="18"/>
      <c r="J303" s="18"/>
      <c r="K303" s="18" t="s">
        <v>150</v>
      </c>
      <c r="L303" s="54">
        <v>45836.0</v>
      </c>
      <c r="M303" s="54">
        <v>45837.0</v>
      </c>
      <c r="N303" s="18"/>
      <c r="O303" s="59" t="s">
        <v>898</v>
      </c>
      <c r="P303" s="18" t="s">
        <v>899</v>
      </c>
      <c r="Q303" s="18" t="s">
        <v>900</v>
      </c>
      <c r="R303" s="47">
        <v>45851.0</v>
      </c>
      <c r="S303" s="22">
        <f t="shared" si="4"/>
        <v>14</v>
      </c>
      <c r="T303" s="18"/>
      <c r="U303" s="18"/>
      <c r="V303" s="18"/>
      <c r="W303" s="16"/>
      <c r="X303" s="18"/>
      <c r="Y303" s="18" t="s">
        <v>172</v>
      </c>
      <c r="Z303" s="24"/>
      <c r="AA303" s="24"/>
      <c r="AB303" s="24"/>
      <c r="AC303" s="24"/>
      <c r="AD303" s="24"/>
      <c r="AE303" s="24"/>
      <c r="AF303" s="24"/>
      <c r="AG303" s="24"/>
      <c r="AH303" s="24"/>
      <c r="AI303" s="24"/>
    </row>
    <row r="304" ht="14.25" hidden="1" customHeight="1">
      <c r="A304" s="8">
        <v>304.0</v>
      </c>
      <c r="B304" s="9" t="str">
        <f>IFERROR(__xludf.DUMMYFUNCTION("INDEX(IMPORTRANGE(""https://docs.google.com/spreadsheets/d/1S7deMHO2waboU9dywpXeKIDfCmjiuAc0HUIsFpaXQq8/edit?gid=0#gid=0"", ""Tracking Shipments - PPTCO!o:o""), MATCH(D304, IMPORTRANGE(""https://docs.google.com/spreadsheets/d/1S7deMHO2waboU9dywpXeKIDfCmji"&amp;"uAc0HUIsFpaXQq8/edit?gid=0#gid=0"", ""Tracking Shipments - PPTCO!p:p""), 0))"),"PPT-239")</f>
        <v>PPT-239</v>
      </c>
      <c r="C304" s="14" t="s">
        <v>901</v>
      </c>
      <c r="D304" s="14">
        <v>322444.0</v>
      </c>
      <c r="E304" s="14" t="s">
        <v>902</v>
      </c>
      <c r="F304" s="14" t="s">
        <v>81</v>
      </c>
      <c r="G304" s="14" t="s">
        <v>177</v>
      </c>
      <c r="H304" s="14" t="s">
        <v>150</v>
      </c>
      <c r="I304" s="14"/>
      <c r="J304" s="14"/>
      <c r="K304" s="14" t="s">
        <v>150</v>
      </c>
      <c r="L304" s="49">
        <v>45848.0</v>
      </c>
      <c r="M304" s="49">
        <v>45851.0</v>
      </c>
      <c r="N304" s="14"/>
      <c r="O304" s="60" t="s">
        <v>903</v>
      </c>
      <c r="P304" s="14" t="s">
        <v>904</v>
      </c>
      <c r="Q304" s="14" t="s">
        <v>905</v>
      </c>
      <c r="R304" s="52">
        <v>45851.0</v>
      </c>
      <c r="S304" s="13" t="str">
        <f t="shared" si="4"/>
        <v/>
      </c>
      <c r="T304" s="14"/>
      <c r="U304" s="14"/>
      <c r="V304" s="14"/>
      <c r="W304" s="14"/>
      <c r="X304" s="14"/>
      <c r="Y304" s="14" t="s">
        <v>172</v>
      </c>
      <c r="Z304" s="15"/>
      <c r="AA304" s="15"/>
      <c r="AB304" s="15"/>
      <c r="AC304" s="15"/>
      <c r="AD304" s="15"/>
      <c r="AE304" s="15"/>
      <c r="AF304" s="15"/>
      <c r="AG304" s="15"/>
      <c r="AH304" s="15"/>
      <c r="AI304" s="15"/>
    </row>
    <row r="305" ht="15.75" hidden="1" customHeight="1">
      <c r="A305" s="16">
        <v>305.0</v>
      </c>
      <c r="B305" s="18" t="s">
        <v>148</v>
      </c>
      <c r="C305" s="18" t="s">
        <v>148</v>
      </c>
      <c r="D305" s="18">
        <v>129773.0</v>
      </c>
      <c r="E305" s="18" t="s">
        <v>906</v>
      </c>
      <c r="F305" s="18" t="s">
        <v>92</v>
      </c>
      <c r="G305" s="18" t="s">
        <v>177</v>
      </c>
      <c r="H305" s="18" t="s">
        <v>150</v>
      </c>
      <c r="I305" s="18"/>
      <c r="J305" s="18"/>
      <c r="K305" s="18"/>
      <c r="L305" s="54">
        <v>45839.0</v>
      </c>
      <c r="M305" s="54">
        <v>45841.0</v>
      </c>
      <c r="N305" s="18"/>
      <c r="O305" s="59" t="s">
        <v>907</v>
      </c>
      <c r="P305" s="18" t="s">
        <v>908</v>
      </c>
      <c r="Q305" s="18" t="s">
        <v>467</v>
      </c>
      <c r="R305" s="47">
        <v>45939.0</v>
      </c>
      <c r="S305" s="22">
        <f t="shared" si="4"/>
        <v>98</v>
      </c>
      <c r="T305" s="18"/>
      <c r="U305" s="18"/>
      <c r="V305" s="18"/>
      <c r="W305" s="18"/>
      <c r="X305" s="18"/>
      <c r="Y305" s="18" t="s">
        <v>172</v>
      </c>
      <c r="Z305" s="24"/>
      <c r="AA305" s="24"/>
      <c r="AB305" s="24"/>
      <c r="AC305" s="24"/>
      <c r="AD305" s="24"/>
      <c r="AE305" s="24"/>
      <c r="AF305" s="24"/>
      <c r="AG305" s="24"/>
      <c r="AH305" s="24"/>
      <c r="AI305" s="24"/>
    </row>
    <row r="306" ht="14.25" hidden="1" customHeight="1">
      <c r="A306" s="8">
        <v>306.0</v>
      </c>
      <c r="B306" s="9" t="str">
        <f>IFERROR(__xludf.DUMMYFUNCTION("INDEX(IMPORTRANGE(""https://docs.google.com/spreadsheets/d/1S7deMHO2waboU9dywpXeKIDfCmjiuAc0HUIsFpaXQq8/edit?gid=0#gid=0"", ""Tracking Shipments - PPTCO!o:o""), MATCH(D306, IMPORTRANGE(""https://docs.google.com/spreadsheets/d/1S7deMHO2waboU9dywpXeKIDfCmji"&amp;"uAc0HUIsFpaXQq8/edit?gid=0#gid=0"", ""Tracking Shipments - PPTCO!p:p""), 0))"),"PPT-234")</f>
        <v>PPT-234</v>
      </c>
      <c r="C306" s="14" t="s">
        <v>909</v>
      </c>
      <c r="D306" s="14">
        <v>132555.0</v>
      </c>
      <c r="E306" s="14" t="s">
        <v>910</v>
      </c>
      <c r="F306" s="14" t="s">
        <v>824</v>
      </c>
      <c r="G306" s="14" t="s">
        <v>177</v>
      </c>
      <c r="H306" s="14" t="s">
        <v>150</v>
      </c>
      <c r="I306" s="14"/>
      <c r="J306" s="14"/>
      <c r="K306" s="14" t="s">
        <v>150</v>
      </c>
      <c r="L306" s="49">
        <v>45852.0</v>
      </c>
      <c r="M306" s="49">
        <v>45858.0</v>
      </c>
      <c r="N306" s="14"/>
      <c r="O306" s="60">
        <v>243.0</v>
      </c>
      <c r="P306" s="14">
        <v>1056.0</v>
      </c>
      <c r="Q306" s="14">
        <v>285.0</v>
      </c>
      <c r="R306" s="52">
        <v>45872.0</v>
      </c>
      <c r="S306" s="13">
        <f t="shared" si="4"/>
        <v>14</v>
      </c>
      <c r="T306" s="14"/>
      <c r="U306" s="14"/>
      <c r="V306" s="14"/>
      <c r="W306" s="8"/>
      <c r="X306" s="14"/>
      <c r="Y306" s="14" t="s">
        <v>172</v>
      </c>
      <c r="Z306" s="15"/>
      <c r="AA306" s="15"/>
      <c r="AB306" s="15"/>
      <c r="AC306" s="15"/>
      <c r="AD306" s="15"/>
      <c r="AE306" s="15"/>
      <c r="AF306" s="15"/>
      <c r="AG306" s="15"/>
      <c r="AH306" s="15"/>
      <c r="AI306" s="15"/>
    </row>
    <row r="307" ht="13.5" hidden="1" customHeight="1">
      <c r="A307" s="16">
        <v>307.0</v>
      </c>
      <c r="B307" s="17" t="str">
        <f>IFERROR(__xludf.DUMMYFUNCTION("INDEX(IMPORTRANGE(""https://docs.google.com/spreadsheets/d/1S7deMHO2waboU9dywpXeKIDfCmjiuAc0HUIsFpaXQq8/edit?gid=0#gid=0"", ""Tracking Shipments - PPTCO!o:o""), MATCH(D307, IMPORTRANGE(""https://docs.google.com/spreadsheets/d/1S7deMHO2waboU9dywpXeKIDfCmji"&amp;"uAc0HUIsFpaXQq8/edit?gid=0#gid=0"", ""Tracking Shipments - PPTCO!p:p""), 0))"),"MAY ORDER")</f>
        <v>MAY ORDER</v>
      </c>
      <c r="C307" s="18" t="s">
        <v>911</v>
      </c>
      <c r="D307" s="18">
        <v>328066.0</v>
      </c>
      <c r="E307" s="18" t="s">
        <v>912</v>
      </c>
      <c r="F307" s="18" t="s">
        <v>122</v>
      </c>
      <c r="G307" s="18" t="s">
        <v>702</v>
      </c>
      <c r="H307" s="18" t="s">
        <v>150</v>
      </c>
      <c r="I307" s="18"/>
      <c r="J307" s="18"/>
      <c r="K307" s="18" t="s">
        <v>150</v>
      </c>
      <c r="L307" s="54">
        <v>45861.0</v>
      </c>
      <c r="M307" s="54">
        <v>45861.0</v>
      </c>
      <c r="N307" s="18"/>
      <c r="O307" s="59" t="s">
        <v>913</v>
      </c>
      <c r="P307" s="18" t="s">
        <v>914</v>
      </c>
      <c r="Q307" s="18" t="s">
        <v>915</v>
      </c>
      <c r="R307" s="54">
        <v>45861.0</v>
      </c>
      <c r="S307" s="22" t="str">
        <f t="shared" si="4"/>
        <v/>
      </c>
      <c r="T307" s="18"/>
      <c r="U307" s="18"/>
      <c r="V307" s="18"/>
      <c r="W307" s="18"/>
      <c r="X307" s="18"/>
      <c r="Y307" s="18" t="s">
        <v>172</v>
      </c>
      <c r="Z307" s="24"/>
      <c r="AA307" s="24"/>
      <c r="AB307" s="24"/>
      <c r="AC307" s="24"/>
      <c r="AD307" s="24"/>
      <c r="AE307" s="24"/>
      <c r="AF307" s="24"/>
      <c r="AG307" s="24"/>
      <c r="AH307" s="24"/>
      <c r="AI307" s="24"/>
    </row>
    <row r="308" ht="14.25" hidden="1" customHeight="1">
      <c r="A308" s="8">
        <v>308.0</v>
      </c>
      <c r="B308" s="9" t="str">
        <f>IFERROR(__xludf.DUMMYFUNCTION("INDEX(IMPORTRANGE(""https://docs.google.com/spreadsheets/d/1S7deMHO2waboU9dywpXeKIDfCmjiuAc0HUIsFpaXQq8/edit?gid=0#gid=0"", ""Tracking Shipments - PPTCO!o:o""), MATCH(D308, IMPORTRANGE(""https://docs.google.com/spreadsheets/d/1S7deMHO2waboU9dywpXeKIDfCmji"&amp;"uAc0HUIsFpaXQq8/edit?gid=0#gid=0"", ""Tracking Shipments - PPTCO!p:p""), 0))"),"PPT-238")</f>
        <v>PPT-238</v>
      </c>
      <c r="C308" s="14" t="s">
        <v>916</v>
      </c>
      <c r="D308" s="14">
        <v>135723.0</v>
      </c>
      <c r="E308" s="14" t="s">
        <v>917</v>
      </c>
      <c r="F308" s="14" t="s">
        <v>54</v>
      </c>
      <c r="G308" s="14" t="s">
        <v>177</v>
      </c>
      <c r="H308" s="14" t="s">
        <v>150</v>
      </c>
      <c r="I308" s="14"/>
      <c r="J308" s="14"/>
      <c r="K308" s="14" t="s">
        <v>150</v>
      </c>
      <c r="L308" s="49">
        <v>45843.0</v>
      </c>
      <c r="M308" s="49">
        <v>45848.0</v>
      </c>
      <c r="N308" s="14"/>
      <c r="O308" s="60" t="s">
        <v>918</v>
      </c>
      <c r="P308" s="14" t="s">
        <v>919</v>
      </c>
      <c r="Q308" s="14" t="s">
        <v>920</v>
      </c>
      <c r="R308" s="52">
        <v>45851.0</v>
      </c>
      <c r="S308" s="13">
        <f t="shared" si="4"/>
        <v>3</v>
      </c>
      <c r="T308" s="14"/>
      <c r="U308" s="14"/>
      <c r="V308" s="14"/>
      <c r="W308" s="14"/>
      <c r="X308" s="14"/>
      <c r="Y308" s="14" t="s">
        <v>172</v>
      </c>
      <c r="Z308" s="15"/>
      <c r="AA308" s="15"/>
      <c r="AB308" s="15"/>
      <c r="AC308" s="15"/>
      <c r="AD308" s="15"/>
      <c r="AE308" s="15"/>
      <c r="AF308" s="15"/>
      <c r="AG308" s="15"/>
      <c r="AH308" s="15"/>
      <c r="AI308" s="15"/>
    </row>
    <row r="309" ht="15.75" hidden="1" customHeight="1">
      <c r="A309" s="16">
        <v>309.0</v>
      </c>
      <c r="B309" s="17" t="str">
        <f>IFERROR(__xludf.DUMMYFUNCTION("INDEX(IMPORTRANGE(""https://docs.google.com/spreadsheets/d/1S7deMHO2waboU9dywpXeKIDfCmjiuAc0HUIsFpaXQq8/edit?gid=0#gid=0"", ""Tracking Shipments - PPTCO!o:o""), MATCH(D309, IMPORTRANGE(""https://docs.google.com/spreadsheets/d/1S7deMHO2waboU9dywpXeKIDfCmji"&amp;"uAc0HUIsFpaXQq8/edit?gid=0#gid=0"", ""Tracking Shipments - PPTCO!p:p""), 0))"),"PPT-201")</f>
        <v>PPT-201</v>
      </c>
      <c r="C309" s="18" t="s">
        <v>921</v>
      </c>
      <c r="D309" s="18">
        <v>132454.0</v>
      </c>
      <c r="E309" s="18" t="s">
        <v>922</v>
      </c>
      <c r="F309" s="18" t="s">
        <v>143</v>
      </c>
      <c r="G309" s="18" t="s">
        <v>177</v>
      </c>
      <c r="H309" s="18" t="s">
        <v>150</v>
      </c>
      <c r="I309" s="18"/>
      <c r="J309" s="18"/>
      <c r="K309" s="18" t="s">
        <v>150</v>
      </c>
      <c r="L309" s="54">
        <v>45853.0</v>
      </c>
      <c r="M309" s="54">
        <v>45855.0</v>
      </c>
      <c r="N309" s="18"/>
      <c r="O309" s="59">
        <v>238.0</v>
      </c>
      <c r="P309" s="18">
        <v>1006.0</v>
      </c>
      <c r="Q309" s="18">
        <v>277.0</v>
      </c>
      <c r="R309" s="47">
        <v>45861.0</v>
      </c>
      <c r="S309" s="22">
        <f t="shared" si="4"/>
        <v>6</v>
      </c>
      <c r="T309" s="18"/>
      <c r="U309" s="18"/>
      <c r="V309" s="18"/>
      <c r="W309" s="16"/>
      <c r="X309" s="18"/>
      <c r="Y309" s="18" t="s">
        <v>172</v>
      </c>
      <c r="Z309" s="24"/>
      <c r="AA309" s="24"/>
      <c r="AB309" s="24"/>
      <c r="AC309" s="24"/>
      <c r="AD309" s="24"/>
      <c r="AE309" s="24"/>
      <c r="AF309" s="24"/>
      <c r="AG309" s="24"/>
      <c r="AH309" s="24"/>
      <c r="AI309" s="24"/>
    </row>
    <row r="310" ht="13.5" hidden="1" customHeight="1">
      <c r="A310" s="8">
        <v>310.0</v>
      </c>
      <c r="B310" s="9" t="str">
        <f>IFERROR(__xludf.DUMMYFUNCTION("INDEX(IMPORTRANGE(""https://docs.google.com/spreadsheets/d/1S7deMHO2waboU9dywpXeKIDfCmjiuAc0HUIsFpaXQq8/edit?gid=0#gid=0"", ""Tracking Shipments - PPTCO!o:o""), MATCH(D310, IMPORTRANGE(""https://docs.google.com/spreadsheets/d/1S7deMHO2waboU9dywpXeKIDfCmji"&amp;"uAc0HUIsFpaXQq8/edit?gid=0#gid=0"", ""Tracking Shipments - PPTCO!p:p""), 0))"),"PPT-202")</f>
        <v>PPT-202</v>
      </c>
      <c r="C310" s="14" t="s">
        <v>923</v>
      </c>
      <c r="D310" s="14">
        <v>333349.0</v>
      </c>
      <c r="E310" s="14" t="s">
        <v>924</v>
      </c>
      <c r="F310" s="14" t="s">
        <v>143</v>
      </c>
      <c r="G310" s="14" t="s">
        <v>177</v>
      </c>
      <c r="H310" s="14" t="s">
        <v>150</v>
      </c>
      <c r="I310" s="14"/>
      <c r="J310" s="14"/>
      <c r="K310" s="14" t="s">
        <v>150</v>
      </c>
      <c r="L310" s="49">
        <v>45848.0</v>
      </c>
      <c r="M310" s="49">
        <v>45851.0</v>
      </c>
      <c r="N310" s="14"/>
      <c r="O310" s="60" t="s">
        <v>925</v>
      </c>
      <c r="P310" s="14" t="s">
        <v>926</v>
      </c>
      <c r="Q310" s="14" t="s">
        <v>927</v>
      </c>
      <c r="R310" s="52">
        <v>45851.0</v>
      </c>
      <c r="S310" s="13" t="str">
        <f t="shared" si="4"/>
        <v/>
      </c>
      <c r="T310" s="14"/>
      <c r="U310" s="14"/>
      <c r="V310" s="14"/>
      <c r="W310" s="14"/>
      <c r="X310" s="14"/>
      <c r="Y310" s="14" t="s">
        <v>172</v>
      </c>
      <c r="Z310" s="15"/>
      <c r="AA310" s="15"/>
      <c r="AB310" s="15"/>
      <c r="AC310" s="15"/>
      <c r="AD310" s="15"/>
      <c r="AE310" s="15"/>
      <c r="AF310" s="15"/>
      <c r="AG310" s="15"/>
      <c r="AH310" s="15"/>
      <c r="AI310" s="15"/>
    </row>
    <row r="311" ht="15.0" hidden="1" customHeight="1">
      <c r="A311" s="16">
        <v>311.0</v>
      </c>
      <c r="B311" s="17" t="str">
        <f>IFERROR(__xludf.DUMMYFUNCTION("INDEX(IMPORTRANGE(""https://docs.google.com/spreadsheets/d/1S7deMHO2waboU9dywpXeKIDfCmjiuAc0HUIsFpaXQq8/edit?gid=0#gid=0"", ""Tracking Shipments - PPTCO!o:o""), MATCH(D311, IMPORTRANGE(""https://docs.google.com/spreadsheets/d/1S7deMHO2waboU9dywpXeKIDfCmji"&amp;"uAc0HUIsFpaXQq8/edit?gid=0#gid=0"", ""Tracking Shipments - PPTCO!p:p""), 0))"),"PPT-217")</f>
        <v>PPT-217</v>
      </c>
      <c r="C311" s="18" t="s">
        <v>928</v>
      </c>
      <c r="D311" s="18">
        <v>135729.0</v>
      </c>
      <c r="E311" s="18" t="s">
        <v>929</v>
      </c>
      <c r="F311" s="18" t="s">
        <v>81</v>
      </c>
      <c r="G311" s="18" t="s">
        <v>177</v>
      </c>
      <c r="H311" s="18" t="s">
        <v>150</v>
      </c>
      <c r="I311" s="18"/>
      <c r="J311" s="18"/>
      <c r="K311" s="18" t="s">
        <v>150</v>
      </c>
      <c r="L311" s="54">
        <v>45855.0</v>
      </c>
      <c r="M311" s="54">
        <v>45859.0</v>
      </c>
      <c r="N311" s="18"/>
      <c r="O311" s="59" t="s">
        <v>930</v>
      </c>
      <c r="P311" s="18" t="s">
        <v>931</v>
      </c>
      <c r="Q311" s="18" t="s">
        <v>932</v>
      </c>
      <c r="R311" s="47">
        <v>45861.0</v>
      </c>
      <c r="S311" s="22">
        <f t="shared" si="4"/>
        <v>2</v>
      </c>
      <c r="T311" s="18"/>
      <c r="U311" s="18"/>
      <c r="V311" s="18"/>
      <c r="W311" s="18"/>
      <c r="X311" s="18"/>
      <c r="Y311" s="18" t="s">
        <v>172</v>
      </c>
      <c r="Z311" s="24"/>
      <c r="AA311" s="24"/>
      <c r="AB311" s="24"/>
      <c r="AC311" s="24"/>
      <c r="AD311" s="24"/>
      <c r="AE311" s="24"/>
      <c r="AF311" s="24"/>
      <c r="AG311" s="24"/>
      <c r="AH311" s="24"/>
      <c r="AI311" s="24"/>
    </row>
    <row r="312" ht="13.5" hidden="1" customHeight="1">
      <c r="A312" s="8">
        <v>312.0</v>
      </c>
      <c r="B312" s="9" t="str">
        <f>IFERROR(__xludf.DUMMYFUNCTION("INDEX(IMPORTRANGE(""https://docs.google.com/spreadsheets/d/1S7deMHO2waboU9dywpXeKIDfCmjiuAc0HUIsFpaXQq8/edit?gid=0#gid=0"", ""Tracking Shipments - PPTCO!o:o""), MATCH(D312, IMPORTRANGE(""https://docs.google.com/spreadsheets/d/1S7deMHO2waboU9dywpXeKIDfCmji"&amp;"uAc0HUIsFpaXQq8/edit?gid=0#gid=0"", ""Tracking Shipments - PPTCO!p:p""), 0))"),"PPT-241")</f>
        <v>PPT-241</v>
      </c>
      <c r="C312" s="14" t="s">
        <v>933</v>
      </c>
      <c r="D312" s="14">
        <v>349161.0</v>
      </c>
      <c r="E312" s="14" t="s">
        <v>934</v>
      </c>
      <c r="F312" s="14" t="s">
        <v>81</v>
      </c>
      <c r="G312" s="14" t="s">
        <v>177</v>
      </c>
      <c r="H312" s="14" t="s">
        <v>150</v>
      </c>
      <c r="I312" s="14"/>
      <c r="J312" s="14"/>
      <c r="K312" s="14" t="s">
        <v>150</v>
      </c>
      <c r="L312" s="49">
        <v>45853.0</v>
      </c>
      <c r="M312" s="49">
        <v>45855.0</v>
      </c>
      <c r="N312" s="14"/>
      <c r="O312" s="60" t="s">
        <v>935</v>
      </c>
      <c r="P312" s="14" t="s">
        <v>936</v>
      </c>
      <c r="Q312" s="14" t="s">
        <v>937</v>
      </c>
      <c r="R312" s="52">
        <v>45860.0</v>
      </c>
      <c r="S312" s="13">
        <f t="shared" si="4"/>
        <v>5</v>
      </c>
      <c r="T312" s="14"/>
      <c r="U312" s="14"/>
      <c r="V312" s="14"/>
      <c r="W312" s="8"/>
      <c r="X312" s="14"/>
      <c r="Y312" s="14" t="s">
        <v>172</v>
      </c>
      <c r="Z312" s="15"/>
      <c r="AA312" s="15"/>
      <c r="AB312" s="15"/>
      <c r="AC312" s="15"/>
      <c r="AD312" s="15"/>
      <c r="AE312" s="15"/>
      <c r="AF312" s="15"/>
      <c r="AG312" s="15"/>
      <c r="AH312" s="15"/>
      <c r="AI312" s="15"/>
    </row>
    <row r="313" ht="15.0" hidden="1" customHeight="1">
      <c r="A313" s="16">
        <v>313.0</v>
      </c>
      <c r="B313" s="17" t="str">
        <f>IFERROR(__xludf.DUMMYFUNCTION("INDEX(IMPORTRANGE(""https://docs.google.com/spreadsheets/d/1S7deMHO2waboU9dywpXeKIDfCmjiuAc0HUIsFpaXQq8/edit?gid=0#gid=0"", ""Tracking Shipments - PPTCO!o:o""), MATCH(D313, IMPORTRANGE(""https://docs.google.com/spreadsheets/d/1S7deMHO2waboU9dywpXeKIDfCmji"&amp;"uAc0HUIsFpaXQq8/edit?gid=0#gid=0"", ""Tracking Shipments - PPTCO!p:p""), 0))"),"PPT-241")</f>
        <v>PPT-241</v>
      </c>
      <c r="C313" s="18" t="s">
        <v>938</v>
      </c>
      <c r="D313" s="18">
        <v>349174.0</v>
      </c>
      <c r="E313" s="18" t="s">
        <v>939</v>
      </c>
      <c r="F313" s="18" t="s">
        <v>81</v>
      </c>
      <c r="G313" s="18" t="s">
        <v>177</v>
      </c>
      <c r="H313" s="18" t="s">
        <v>150</v>
      </c>
      <c r="I313" s="18"/>
      <c r="J313" s="18"/>
      <c r="K313" s="18" t="s">
        <v>150</v>
      </c>
      <c r="L313" s="54">
        <v>45854.0</v>
      </c>
      <c r="M313" s="54">
        <v>45855.0</v>
      </c>
      <c r="N313" s="18"/>
      <c r="O313" s="59" t="s">
        <v>940</v>
      </c>
      <c r="P313" s="18" t="s">
        <v>941</v>
      </c>
      <c r="Q313" s="18" t="s">
        <v>942</v>
      </c>
      <c r="R313" s="47">
        <v>45860.0</v>
      </c>
      <c r="S313" s="22">
        <f t="shared" si="4"/>
        <v>5</v>
      </c>
      <c r="T313" s="18"/>
      <c r="U313" s="18"/>
      <c r="V313" s="18"/>
      <c r="W313" s="18"/>
      <c r="X313" s="18"/>
      <c r="Y313" s="18" t="s">
        <v>172</v>
      </c>
      <c r="Z313" s="24"/>
      <c r="AA313" s="24"/>
      <c r="AB313" s="24"/>
      <c r="AC313" s="24"/>
      <c r="AD313" s="24"/>
      <c r="AE313" s="24"/>
      <c r="AF313" s="24"/>
      <c r="AG313" s="24"/>
      <c r="AH313" s="24"/>
      <c r="AI313" s="24"/>
    </row>
    <row r="314" ht="15.75" hidden="1" customHeight="1">
      <c r="A314" s="8">
        <v>314.0</v>
      </c>
      <c r="B314" s="9" t="str">
        <f>IFERROR(__xludf.DUMMYFUNCTION("INDEX(IMPORTRANGE(""https://docs.google.com/spreadsheets/d/1S7deMHO2waboU9dywpXeKIDfCmjiuAc0HUIsFpaXQq8/edit?gid=0#gid=0"", ""Tracking Shipments - PPTCO!o:o""), MATCH(D314, IMPORTRANGE(""https://docs.google.com/spreadsheets/d/1S7deMHO2waboU9dywpXeKIDfCmji"&amp;"uAc0HUIsFpaXQq8/edit?gid=0#gid=0"", ""Tracking Shipments - PPTCO!p:p""), 0))"),"PPT-217")</f>
        <v>PPT-217</v>
      </c>
      <c r="C314" s="14" t="s">
        <v>943</v>
      </c>
      <c r="D314" s="14">
        <v>137867.0</v>
      </c>
      <c r="E314" s="14" t="s">
        <v>944</v>
      </c>
      <c r="F314" s="14" t="s">
        <v>81</v>
      </c>
      <c r="G314" s="14" t="s">
        <v>177</v>
      </c>
      <c r="H314" s="14" t="s">
        <v>150</v>
      </c>
      <c r="I314" s="14"/>
      <c r="J314" s="14"/>
      <c r="K314" s="14" t="s">
        <v>150</v>
      </c>
      <c r="L314" s="49">
        <v>45861.0</v>
      </c>
      <c r="M314" s="49">
        <v>45864.0</v>
      </c>
      <c r="N314" s="14"/>
      <c r="O314" s="60">
        <v>266.0</v>
      </c>
      <c r="P314" s="14">
        <v>1032.0</v>
      </c>
      <c r="Q314" s="14">
        <v>284.0</v>
      </c>
      <c r="R314" s="52">
        <v>45862.0</v>
      </c>
      <c r="S314" s="13" t="str">
        <f t="shared" si="4"/>
        <v/>
      </c>
      <c r="T314" s="14"/>
      <c r="U314" s="14"/>
      <c r="V314" s="14"/>
      <c r="W314" s="14"/>
      <c r="X314" s="14"/>
      <c r="Y314" s="14" t="s">
        <v>172</v>
      </c>
      <c r="Z314" s="15"/>
      <c r="AA314" s="15"/>
      <c r="AB314" s="15"/>
      <c r="AC314" s="15"/>
      <c r="AD314" s="15"/>
      <c r="AE314" s="15"/>
      <c r="AF314" s="15"/>
      <c r="AG314" s="15"/>
      <c r="AH314" s="15"/>
      <c r="AI314" s="15"/>
    </row>
    <row r="315" ht="15.75" hidden="1" customHeight="1">
      <c r="A315" s="16">
        <v>315.0</v>
      </c>
      <c r="B315" s="17" t="str">
        <f>IFERROR(__xludf.DUMMYFUNCTION("INDEX(IMPORTRANGE(""https://docs.google.com/spreadsheets/d/1S7deMHO2waboU9dywpXeKIDfCmjiuAc0HUIsFpaXQq8/edit?gid=0#gid=0"", ""Tracking Shipments - PPTCO!o:o""), MATCH(D315, IMPORTRANGE(""https://docs.google.com/spreadsheets/d/1S7deMHO2waboU9dywpXeKIDfCmji"&amp;"uAc0HUIsFpaXQq8/edit?gid=0#gid=0"", ""Tracking Shipments - PPTCO!p:p""), 0))"),"PPT-217")</f>
        <v>PPT-217</v>
      </c>
      <c r="C315" s="18" t="s">
        <v>945</v>
      </c>
      <c r="D315" s="18">
        <v>139833.0</v>
      </c>
      <c r="E315" s="18" t="s">
        <v>946</v>
      </c>
      <c r="F315" s="18" t="s">
        <v>81</v>
      </c>
      <c r="G315" s="18" t="s">
        <v>177</v>
      </c>
      <c r="H315" s="18" t="s">
        <v>150</v>
      </c>
      <c r="I315" s="18"/>
      <c r="J315" s="18"/>
      <c r="K315" s="18" t="s">
        <v>150</v>
      </c>
      <c r="L315" s="54">
        <v>45861.0</v>
      </c>
      <c r="M315" s="54">
        <v>45864.0</v>
      </c>
      <c r="N315" s="18"/>
      <c r="O315" s="59" t="s">
        <v>947</v>
      </c>
      <c r="P315" s="18" t="s">
        <v>948</v>
      </c>
      <c r="Q315" s="18" t="s">
        <v>949</v>
      </c>
      <c r="R315" s="47">
        <v>45862.0</v>
      </c>
      <c r="S315" s="22" t="str">
        <f t="shared" si="4"/>
        <v/>
      </c>
      <c r="T315" s="18"/>
      <c r="U315" s="18"/>
      <c r="V315" s="18"/>
      <c r="W315" s="16"/>
      <c r="X315" s="18"/>
      <c r="Y315" s="18" t="s">
        <v>172</v>
      </c>
      <c r="Z315" s="24"/>
      <c r="AA315" s="24"/>
      <c r="AB315" s="24"/>
      <c r="AC315" s="24"/>
      <c r="AD315" s="24"/>
      <c r="AE315" s="24"/>
      <c r="AF315" s="24"/>
      <c r="AG315" s="24"/>
      <c r="AH315" s="24"/>
      <c r="AI315" s="24"/>
    </row>
    <row r="316" ht="12.75" hidden="1" customHeight="1">
      <c r="A316" s="8">
        <v>316.0</v>
      </c>
      <c r="B316" s="14" t="s">
        <v>148</v>
      </c>
      <c r="C316" s="14" t="s">
        <v>950</v>
      </c>
      <c r="D316" s="14">
        <v>143974.0</v>
      </c>
      <c r="E316" s="14" t="s">
        <v>951</v>
      </c>
      <c r="F316" s="14" t="s">
        <v>824</v>
      </c>
      <c r="G316" s="14" t="s">
        <v>177</v>
      </c>
      <c r="H316" s="14" t="s">
        <v>150</v>
      </c>
      <c r="I316" s="14"/>
      <c r="J316" s="14"/>
      <c r="K316" s="14" t="s">
        <v>150</v>
      </c>
      <c r="L316" s="49">
        <v>45860.0</v>
      </c>
      <c r="M316" s="49">
        <v>45867.0</v>
      </c>
      <c r="N316" s="14"/>
      <c r="O316" s="60" t="s">
        <v>952</v>
      </c>
      <c r="P316" s="14" t="s">
        <v>953</v>
      </c>
      <c r="Q316" s="14" t="s">
        <v>336</v>
      </c>
      <c r="R316" s="52">
        <v>45862.0</v>
      </c>
      <c r="S316" s="13" t="str">
        <f t="shared" si="4"/>
        <v/>
      </c>
      <c r="T316" s="14"/>
      <c r="U316" s="14"/>
      <c r="V316" s="14"/>
      <c r="W316" s="14"/>
      <c r="X316" s="14"/>
      <c r="Y316" s="14" t="s">
        <v>172</v>
      </c>
      <c r="Z316" s="15"/>
      <c r="AA316" s="15"/>
      <c r="AB316" s="15"/>
      <c r="AC316" s="15"/>
      <c r="AD316" s="15"/>
      <c r="AE316" s="15"/>
      <c r="AF316" s="15"/>
      <c r="AG316" s="15"/>
      <c r="AH316" s="15"/>
      <c r="AI316" s="15"/>
    </row>
    <row r="317" ht="15.75" hidden="1" customHeight="1">
      <c r="A317" s="16">
        <v>317.0</v>
      </c>
      <c r="B317" s="17" t="str">
        <f>IFERROR(__xludf.DUMMYFUNCTION("INDEX(IMPORTRANGE(""https://docs.google.com/spreadsheets/d/1S7deMHO2waboU9dywpXeKIDfCmjiuAc0HUIsFpaXQq8/edit?gid=0#gid=0"", ""Tracking Shipments - PPTCO!o:o""), MATCH(D317, IMPORTRANGE(""https://docs.google.com/spreadsheets/d/1S7deMHO2waboU9dywpXeKIDfCmji"&amp;"uAc0HUIsFpaXQq8/edit?gid=0#gid=0"", ""Tracking Shipments - PPTCO!p:p""), 0))"),"PPT-233")</f>
        <v>PPT-233</v>
      </c>
      <c r="C317" s="18" t="s">
        <v>954</v>
      </c>
      <c r="D317" s="18">
        <v>374927.0</v>
      </c>
      <c r="E317" s="18" t="s">
        <v>955</v>
      </c>
      <c r="F317" s="18" t="s">
        <v>350</v>
      </c>
      <c r="G317" s="18" t="s">
        <v>702</v>
      </c>
      <c r="H317" s="18" t="s">
        <v>150</v>
      </c>
      <c r="I317" s="18"/>
      <c r="J317" s="18"/>
      <c r="K317" s="18" t="s">
        <v>150</v>
      </c>
      <c r="L317" s="54">
        <v>45866.0</v>
      </c>
      <c r="M317" s="54">
        <v>45871.0</v>
      </c>
      <c r="N317" s="18"/>
      <c r="O317" s="59" t="s">
        <v>956</v>
      </c>
      <c r="P317" s="18" t="s">
        <v>957</v>
      </c>
      <c r="Q317" s="18" t="s">
        <v>476</v>
      </c>
      <c r="R317" s="47">
        <v>45917.0</v>
      </c>
      <c r="S317" s="22">
        <f t="shared" si="4"/>
        <v>46</v>
      </c>
      <c r="T317" s="18"/>
      <c r="U317" s="18"/>
      <c r="V317" s="18"/>
      <c r="W317" s="18"/>
      <c r="X317" s="18"/>
      <c r="Y317" s="18" t="s">
        <v>172</v>
      </c>
      <c r="Z317" s="24"/>
      <c r="AA317" s="24"/>
      <c r="AB317" s="24"/>
      <c r="AC317" s="24"/>
      <c r="AD317" s="24"/>
      <c r="AE317" s="24"/>
      <c r="AF317" s="24"/>
      <c r="AG317" s="24"/>
      <c r="AH317" s="24"/>
      <c r="AI317" s="24"/>
    </row>
    <row r="318" ht="15.75" hidden="1" customHeight="1">
      <c r="A318" s="8">
        <v>318.0</v>
      </c>
      <c r="B318" s="9" t="str">
        <f>IFERROR(__xludf.DUMMYFUNCTION("INDEX(IMPORTRANGE(""https://docs.google.com/spreadsheets/d/1S7deMHO2waboU9dywpXeKIDfCmjiuAc0HUIsFpaXQq8/edit?gid=0#gid=0"", ""Tracking Shipments - PPTCO!o:o""), MATCH(D318, IMPORTRANGE(""https://docs.google.com/spreadsheets/d/1S7deMHO2waboU9dywpXeKIDfCmji"&amp;"uAc0HUIsFpaXQq8/edit?gid=0#gid=0"", ""Tracking Shipments - PPTCO!p:p""), 0))"),"PPT-232")</f>
        <v>PPT-232</v>
      </c>
      <c r="C318" s="14" t="s">
        <v>958</v>
      </c>
      <c r="D318" s="14">
        <v>372199.0</v>
      </c>
      <c r="E318" s="14" t="s">
        <v>959</v>
      </c>
      <c r="F318" s="14" t="s">
        <v>768</v>
      </c>
      <c r="G318" s="14" t="s">
        <v>177</v>
      </c>
      <c r="H318" s="14" t="s">
        <v>150</v>
      </c>
      <c r="I318" s="14"/>
      <c r="J318" s="14"/>
      <c r="K318" s="14" t="s">
        <v>150</v>
      </c>
      <c r="L318" s="49">
        <v>45867.0</v>
      </c>
      <c r="M318" s="49">
        <v>45882.0</v>
      </c>
      <c r="N318" s="14"/>
      <c r="O318" s="60">
        <v>290.0</v>
      </c>
      <c r="P318" s="14">
        <v>1101.0</v>
      </c>
      <c r="Q318" s="14">
        <v>290.0</v>
      </c>
      <c r="R318" s="52">
        <v>45883.0</v>
      </c>
      <c r="S318" s="13">
        <f t="shared" si="4"/>
        <v>1</v>
      </c>
      <c r="T318" s="14"/>
      <c r="U318" s="14"/>
      <c r="V318" s="14"/>
      <c r="W318" s="8"/>
      <c r="X318" s="14"/>
      <c r="Y318" s="14" t="s">
        <v>172</v>
      </c>
      <c r="Z318" s="15"/>
      <c r="AA318" s="15"/>
      <c r="AB318" s="15"/>
      <c r="AC318" s="15"/>
      <c r="AD318" s="15"/>
      <c r="AE318" s="15"/>
      <c r="AF318" s="15"/>
      <c r="AG318" s="15"/>
      <c r="AH318" s="15"/>
      <c r="AI318" s="15"/>
    </row>
    <row r="319" ht="15.75" hidden="1" customHeight="1">
      <c r="A319" s="16">
        <v>319.0</v>
      </c>
      <c r="B319" s="17" t="str">
        <f>IFERROR(__xludf.DUMMYFUNCTION("INDEX(IMPORTRANGE(""https://docs.google.com/spreadsheets/d/1S7deMHO2waboU9dywpXeKIDfCmjiuAc0HUIsFpaXQq8/edit?gid=0#gid=0"", ""Tracking Shipments - PPTCO!o:o""), MATCH(D319, IMPORTRANGE(""https://docs.google.com/spreadsheets/d/1S7deMHO2waboU9dywpXeKIDfCmji"&amp;"uAc0HUIsFpaXQq8/edit?gid=0#gid=0"", ""Tracking Shipments - PPTCO!p:p""), 0))"),"PPT-232")</f>
        <v>PPT-232</v>
      </c>
      <c r="C319" s="18" t="s">
        <v>960</v>
      </c>
      <c r="D319" s="18">
        <v>370203.0</v>
      </c>
      <c r="E319" s="18" t="s">
        <v>961</v>
      </c>
      <c r="F319" s="18" t="s">
        <v>768</v>
      </c>
      <c r="G319" s="18" t="s">
        <v>177</v>
      </c>
      <c r="H319" s="18" t="s">
        <v>150</v>
      </c>
      <c r="I319" s="18"/>
      <c r="J319" s="18"/>
      <c r="K319" s="18" t="s">
        <v>150</v>
      </c>
      <c r="L319" s="54">
        <v>45867.0</v>
      </c>
      <c r="M319" s="54">
        <v>45882.0</v>
      </c>
      <c r="N319" s="18"/>
      <c r="O319" s="59">
        <v>291.0</v>
      </c>
      <c r="P319" s="18">
        <v>1102.0</v>
      </c>
      <c r="Q319" s="18">
        <v>289.0</v>
      </c>
      <c r="R319" s="47">
        <v>45883.0</v>
      </c>
      <c r="S319" s="22">
        <f t="shared" si="4"/>
        <v>1</v>
      </c>
      <c r="T319" s="18"/>
      <c r="U319" s="18"/>
      <c r="V319" s="18"/>
      <c r="W319" s="18"/>
      <c r="X319" s="18"/>
      <c r="Y319" s="18" t="s">
        <v>35</v>
      </c>
      <c r="Z319" s="24"/>
      <c r="AA319" s="24"/>
      <c r="AB319" s="24"/>
      <c r="AC319" s="24"/>
      <c r="AD319" s="24"/>
      <c r="AE319" s="24"/>
      <c r="AF319" s="24"/>
      <c r="AG319" s="24"/>
      <c r="AH319" s="24"/>
      <c r="AI319" s="24"/>
    </row>
    <row r="320" ht="15.75" hidden="1" customHeight="1">
      <c r="A320" s="8">
        <v>320.0</v>
      </c>
      <c r="B320" s="9" t="str">
        <f>IFERROR(__xludf.DUMMYFUNCTION("INDEX(IMPORTRANGE(""https://docs.google.com/spreadsheets/d/1S7deMHO2waboU9dywpXeKIDfCmjiuAc0HUIsFpaXQq8/edit?gid=0#gid=0"", ""Tracking Shipments - PPTCO!o:o""), MATCH(D320, IMPORTRANGE(""https://docs.google.com/spreadsheets/d/1S7deMHO2waboU9dywpXeKIDfCmji"&amp;"uAc0HUIsFpaXQq8/edit?gid=0#gid=0"", ""Tracking Shipments - PPTCO!p:p""), 0))"),"PPT-232")</f>
        <v>PPT-232</v>
      </c>
      <c r="C320" s="14" t="s">
        <v>962</v>
      </c>
      <c r="D320" s="14">
        <v>370143.0</v>
      </c>
      <c r="E320" s="14" t="s">
        <v>963</v>
      </c>
      <c r="F320" s="14" t="s">
        <v>768</v>
      </c>
      <c r="G320" s="14" t="s">
        <v>177</v>
      </c>
      <c r="H320" s="14" t="s">
        <v>150</v>
      </c>
      <c r="I320" s="14"/>
      <c r="J320" s="14"/>
      <c r="K320" s="14" t="s">
        <v>150</v>
      </c>
      <c r="L320" s="49">
        <v>45867.0</v>
      </c>
      <c r="M320" s="49">
        <v>45882.0</v>
      </c>
      <c r="N320" s="14"/>
      <c r="O320" s="60">
        <v>292.0</v>
      </c>
      <c r="P320" s="14">
        <v>1103.0</v>
      </c>
      <c r="Q320" s="14">
        <v>292.0</v>
      </c>
      <c r="R320" s="52">
        <v>45883.0</v>
      </c>
      <c r="S320" s="13">
        <f t="shared" si="4"/>
        <v>1</v>
      </c>
      <c r="T320" s="14"/>
      <c r="U320" s="14"/>
      <c r="V320" s="14"/>
      <c r="W320" s="14"/>
      <c r="X320" s="14"/>
      <c r="Y320" s="14" t="s">
        <v>35</v>
      </c>
      <c r="Z320" s="15"/>
      <c r="AA320" s="15"/>
      <c r="AB320" s="15"/>
      <c r="AC320" s="15"/>
      <c r="AD320" s="15"/>
      <c r="AE320" s="15"/>
      <c r="AF320" s="15"/>
      <c r="AG320" s="15"/>
      <c r="AH320" s="15"/>
      <c r="AI320" s="15"/>
    </row>
    <row r="321" ht="15.75" hidden="1" customHeight="1">
      <c r="A321" s="16">
        <v>321.0</v>
      </c>
      <c r="B321" s="17" t="str">
        <f>IFERROR(__xludf.DUMMYFUNCTION("INDEX(IMPORTRANGE(""https://docs.google.com/spreadsheets/d/1S7deMHO2waboU9dywpXeKIDfCmjiuAc0HUIsFpaXQq8/edit?gid=0#gid=0"", ""Tracking Shipments - PPTCO!o:o""), MATCH(D321, IMPORTRANGE(""https://docs.google.com/spreadsheets/d/1S7deMHO2waboU9dywpXeKIDfCmji"&amp;"uAc0HUIsFpaXQq8/edit?gid=0#gid=0"", ""Tracking Shipments - PPTCO!p:p""), 0))"),"PPT-247")</f>
        <v>PPT-247</v>
      </c>
      <c r="C321" s="18" t="s">
        <v>964</v>
      </c>
      <c r="D321" s="18">
        <v>149200.0</v>
      </c>
      <c r="E321" s="18" t="s">
        <v>965</v>
      </c>
      <c r="F321" s="18" t="s">
        <v>966</v>
      </c>
      <c r="G321" s="18" t="s">
        <v>177</v>
      </c>
      <c r="H321" s="18" t="s">
        <v>150</v>
      </c>
      <c r="I321" s="18"/>
      <c r="J321" s="18"/>
      <c r="K321" s="18" t="s">
        <v>150</v>
      </c>
      <c r="L321" s="54">
        <v>45871.0</v>
      </c>
      <c r="M321" s="54">
        <v>45876.0</v>
      </c>
      <c r="N321" s="18"/>
      <c r="O321" s="59">
        <v>282.0</v>
      </c>
      <c r="P321" s="18">
        <v>1105.0</v>
      </c>
      <c r="Q321" s="18">
        <v>291.0</v>
      </c>
      <c r="R321" s="47">
        <v>45883.0</v>
      </c>
      <c r="S321" s="22">
        <f t="shared" si="4"/>
        <v>7</v>
      </c>
      <c r="T321" s="18"/>
      <c r="U321" s="18"/>
      <c r="V321" s="18"/>
      <c r="W321" s="16"/>
      <c r="X321" s="18"/>
      <c r="Y321" s="18" t="s">
        <v>35</v>
      </c>
      <c r="Z321" s="24"/>
      <c r="AA321" s="24"/>
      <c r="AB321" s="24"/>
      <c r="AC321" s="24"/>
      <c r="AD321" s="24"/>
      <c r="AE321" s="24"/>
      <c r="AF321" s="24"/>
      <c r="AG321" s="24"/>
      <c r="AH321" s="24"/>
      <c r="AI321" s="24"/>
    </row>
    <row r="322" ht="14.25" hidden="1" customHeight="1">
      <c r="A322" s="8">
        <v>322.0</v>
      </c>
      <c r="B322" s="9" t="str">
        <f>IFERROR(__xludf.DUMMYFUNCTION("INDEX(IMPORTRANGE(""https://docs.google.com/spreadsheets/d/1S7deMHO2waboU9dywpXeKIDfCmjiuAc0HUIsFpaXQq8/edit?gid=0#gid=0"", ""Tracking Shipments - PPTCO!o:o""), MATCH(D322, IMPORTRANGE(""https://docs.google.com/spreadsheets/d/1S7deMHO2waboU9dywpXeKIDfCmji"&amp;"uAc0HUIsFpaXQq8/edit?gid=0#gid=0"", ""Tracking Shipments - PPTCO!p:p""), 0))"),"PPT-234")</f>
        <v>PPT-234</v>
      </c>
      <c r="C322" s="14" t="s">
        <v>967</v>
      </c>
      <c r="D322" s="14">
        <v>149676.0</v>
      </c>
      <c r="E322" s="14" t="s">
        <v>968</v>
      </c>
      <c r="F322" s="14" t="s">
        <v>824</v>
      </c>
      <c r="G322" s="14" t="s">
        <v>177</v>
      </c>
      <c r="H322" s="14" t="s">
        <v>150</v>
      </c>
      <c r="I322" s="14"/>
      <c r="J322" s="14"/>
      <c r="K322" s="14" t="s">
        <v>150</v>
      </c>
      <c r="L322" s="49">
        <v>45867.0</v>
      </c>
      <c r="M322" s="49">
        <v>45876.0</v>
      </c>
      <c r="N322" s="14"/>
      <c r="O322" s="60">
        <v>268.0</v>
      </c>
      <c r="P322" s="14">
        <v>1090.0</v>
      </c>
      <c r="Q322" s="14">
        <v>288.0</v>
      </c>
      <c r="R322" s="52">
        <v>45876.0</v>
      </c>
      <c r="S322" s="13" t="str">
        <f t="shared" si="4"/>
        <v/>
      </c>
      <c r="T322" s="14"/>
      <c r="U322" s="14"/>
      <c r="V322" s="14"/>
      <c r="W322" s="14"/>
      <c r="X322" s="14"/>
      <c r="Y322" s="14" t="s">
        <v>35</v>
      </c>
      <c r="Z322" s="15"/>
      <c r="AA322" s="15"/>
      <c r="AB322" s="15"/>
      <c r="AC322" s="15"/>
      <c r="AD322" s="15"/>
      <c r="AE322" s="15"/>
      <c r="AF322" s="15"/>
      <c r="AG322" s="15"/>
      <c r="AH322" s="15"/>
      <c r="AI322" s="15"/>
    </row>
    <row r="323" ht="13.5" hidden="1" customHeight="1">
      <c r="A323" s="16">
        <v>323.0</v>
      </c>
      <c r="B323" s="17" t="str">
        <f>IFERROR(__xludf.DUMMYFUNCTION("INDEX(IMPORTRANGE(""https://docs.google.com/spreadsheets/d/1S7deMHO2waboU9dywpXeKIDfCmjiuAc0HUIsFpaXQq8/edit?gid=0#gid=0"", ""Tracking Shipments - PPTCO!o:o""), MATCH(D323, IMPORTRANGE(""https://docs.google.com/spreadsheets/d/1S7deMHO2waboU9dywpXeKIDfCmji"&amp;"uAc0HUIsFpaXQq8/edit?gid=0#gid=0"", ""Tracking Shipments - PPTCO!p:p""), 0))"),"PPT-234")</f>
        <v>PPT-234</v>
      </c>
      <c r="C323" s="18" t="s">
        <v>969</v>
      </c>
      <c r="D323" s="18">
        <v>149741.0</v>
      </c>
      <c r="E323" s="18" t="s">
        <v>970</v>
      </c>
      <c r="F323" s="18" t="s">
        <v>824</v>
      </c>
      <c r="G323" s="18" t="s">
        <v>177</v>
      </c>
      <c r="H323" s="18" t="s">
        <v>150</v>
      </c>
      <c r="I323" s="18"/>
      <c r="J323" s="18"/>
      <c r="K323" s="18" t="s">
        <v>150</v>
      </c>
      <c r="L323" s="54">
        <v>45869.0</v>
      </c>
      <c r="M323" s="54">
        <v>45880.0</v>
      </c>
      <c r="N323" s="18"/>
      <c r="O323" s="59">
        <v>269.0</v>
      </c>
      <c r="P323" s="18">
        <v>1091.0</v>
      </c>
      <c r="Q323" s="18">
        <v>287.0</v>
      </c>
      <c r="R323" s="47">
        <v>45876.0</v>
      </c>
      <c r="S323" s="22" t="str">
        <f t="shared" si="4"/>
        <v/>
      </c>
      <c r="T323" s="18"/>
      <c r="U323" s="18"/>
      <c r="V323" s="18"/>
      <c r="W323" s="18"/>
      <c r="X323" s="18"/>
      <c r="Y323" s="18" t="s">
        <v>35</v>
      </c>
      <c r="Z323" s="24"/>
      <c r="AA323" s="24"/>
      <c r="AB323" s="24"/>
      <c r="AC323" s="24"/>
      <c r="AD323" s="24"/>
      <c r="AE323" s="24"/>
      <c r="AF323" s="24"/>
      <c r="AG323" s="24"/>
      <c r="AH323" s="24"/>
      <c r="AI323" s="24"/>
    </row>
    <row r="324" ht="13.5" hidden="1" customHeight="1">
      <c r="A324" s="8">
        <v>324.0</v>
      </c>
      <c r="B324" s="9" t="str">
        <f>IFERROR(__xludf.DUMMYFUNCTION("INDEX(IMPORTRANGE(""https://docs.google.com/spreadsheets/d/1S7deMHO2waboU9dywpXeKIDfCmjiuAc0HUIsFpaXQq8/edit?gid=0#gid=0"", ""Tracking Shipments - PPTCO!o:o""), MATCH(D324, IMPORTRANGE(""https://docs.google.com/spreadsheets/d/1S7deMHO2waboU9dywpXeKIDfCmji"&amp;"uAc0HUIsFpaXQq8/edit?gid=0#gid=0"", ""Tracking Shipments - PPTCO!p:p""), 0))"),"PPT-234")</f>
        <v>PPT-234</v>
      </c>
      <c r="C324" s="14" t="s">
        <v>971</v>
      </c>
      <c r="D324" s="14">
        <v>149723.0</v>
      </c>
      <c r="E324" s="14" t="s">
        <v>972</v>
      </c>
      <c r="F324" s="14" t="s">
        <v>824</v>
      </c>
      <c r="G324" s="14" t="s">
        <v>177</v>
      </c>
      <c r="H324" s="14" t="s">
        <v>150</v>
      </c>
      <c r="I324" s="14"/>
      <c r="J324" s="14"/>
      <c r="K324" s="14" t="s">
        <v>150</v>
      </c>
      <c r="L324" s="49">
        <v>45872.0</v>
      </c>
      <c r="M324" s="49">
        <v>45876.0</v>
      </c>
      <c r="N324" s="14"/>
      <c r="O324" s="60">
        <v>267.0</v>
      </c>
      <c r="P324" s="14">
        <v>1089.0</v>
      </c>
      <c r="Q324" s="14">
        <v>268.0</v>
      </c>
      <c r="R324" s="52">
        <v>45876.0</v>
      </c>
      <c r="S324" s="13" t="str">
        <f t="shared" si="4"/>
        <v/>
      </c>
      <c r="T324" s="14"/>
      <c r="U324" s="14"/>
      <c r="V324" s="14"/>
      <c r="W324" s="8"/>
      <c r="X324" s="14"/>
      <c r="Y324" s="14" t="s">
        <v>35</v>
      </c>
      <c r="Z324" s="15"/>
      <c r="AA324" s="15"/>
      <c r="AB324" s="15"/>
      <c r="AC324" s="15"/>
      <c r="AD324" s="15"/>
      <c r="AE324" s="15"/>
      <c r="AF324" s="15"/>
      <c r="AG324" s="15"/>
      <c r="AH324" s="15"/>
      <c r="AI324" s="15"/>
    </row>
    <row r="325" ht="15.0" hidden="1" customHeight="1">
      <c r="A325" s="16">
        <v>325.0</v>
      </c>
      <c r="B325" s="17" t="str">
        <f>IFERROR(__xludf.DUMMYFUNCTION("INDEX(IMPORTRANGE(""https://docs.google.com/spreadsheets/d/1S7deMHO2waboU9dywpXeKIDfCmjiuAc0HUIsFpaXQq8/edit?gid=0#gid=0"", ""Tracking Shipments - PPTCO!o:o""), MATCH(D325, IMPORTRANGE(""https://docs.google.com/spreadsheets/d/1S7deMHO2waboU9dywpXeKIDfCmji"&amp;"uAc0HUIsFpaXQq8/edit?gid=0#gid=0"", ""Tracking Shipments - PPTCO!p:p""), 0))"),"PPT-226")</f>
        <v>PPT-226</v>
      </c>
      <c r="C325" s="18" t="s">
        <v>973</v>
      </c>
      <c r="D325" s="18">
        <v>382648.0</v>
      </c>
      <c r="E325" s="18" t="s">
        <v>974</v>
      </c>
      <c r="F325" s="18" t="s">
        <v>40</v>
      </c>
      <c r="G325" s="18" t="s">
        <v>177</v>
      </c>
      <c r="H325" s="18" t="s">
        <v>150</v>
      </c>
      <c r="I325" s="18"/>
      <c r="J325" s="18"/>
      <c r="K325" s="18" t="s">
        <v>150</v>
      </c>
      <c r="L325" s="54">
        <v>45873.0</v>
      </c>
      <c r="M325" s="54">
        <v>45876.0</v>
      </c>
      <c r="N325" s="18"/>
      <c r="O325" s="59" t="s">
        <v>975</v>
      </c>
      <c r="P325" s="18" t="s">
        <v>976</v>
      </c>
      <c r="Q325" s="18" t="s">
        <v>452</v>
      </c>
      <c r="R325" s="47">
        <v>45893.0</v>
      </c>
      <c r="S325" s="22">
        <f t="shared" si="4"/>
        <v>17</v>
      </c>
      <c r="T325" s="18"/>
      <c r="U325" s="18"/>
      <c r="V325" s="18"/>
      <c r="W325" s="18"/>
      <c r="X325" s="18"/>
      <c r="Y325" s="18" t="s">
        <v>35</v>
      </c>
      <c r="Z325" s="24"/>
      <c r="AA325" s="24"/>
      <c r="AB325" s="24"/>
      <c r="AC325" s="24"/>
      <c r="AD325" s="24"/>
      <c r="AE325" s="24"/>
      <c r="AF325" s="24"/>
      <c r="AG325" s="24"/>
      <c r="AH325" s="24"/>
      <c r="AI325" s="24"/>
    </row>
    <row r="326" ht="15.75" hidden="1" customHeight="1">
      <c r="A326" s="8">
        <v>326.0</v>
      </c>
      <c r="B326" s="9" t="str">
        <f>IFERROR(__xludf.DUMMYFUNCTION("INDEX(IMPORTRANGE(""https://docs.google.com/spreadsheets/d/1S7deMHO2waboU9dywpXeKIDfCmjiuAc0HUIsFpaXQq8/edit?gid=0#gid=0"", ""Tracking Shipments - PPTCO!o:o""), MATCH(D326, IMPORTRANGE(""https://docs.google.com/spreadsheets/d/1S7deMHO2waboU9dywpXeKIDfCmji"&amp;"uAc0HUIsFpaXQq8/edit?gid=0#gid=0"", ""Tracking Shipments - PPTCO!p:p""), 0))"),"PPT-258")</f>
        <v>PPT-258</v>
      </c>
      <c r="C326" s="14" t="s">
        <v>977</v>
      </c>
      <c r="D326" s="14">
        <v>393379.0</v>
      </c>
      <c r="E326" s="14" t="s">
        <v>978</v>
      </c>
      <c r="F326" s="14" t="s">
        <v>259</v>
      </c>
      <c r="G326" s="14" t="s">
        <v>702</v>
      </c>
      <c r="H326" s="14" t="s">
        <v>150</v>
      </c>
      <c r="I326" s="14"/>
      <c r="J326" s="14"/>
      <c r="K326" s="14" t="s">
        <v>150</v>
      </c>
      <c r="L326" s="49">
        <v>45872.0</v>
      </c>
      <c r="M326" s="49">
        <v>45880.0</v>
      </c>
      <c r="N326" s="14"/>
      <c r="O326" s="60">
        <v>281.0</v>
      </c>
      <c r="P326" s="14">
        <v>1111.0</v>
      </c>
      <c r="Q326" s="14">
        <v>295.0</v>
      </c>
      <c r="R326" s="52">
        <v>45883.0</v>
      </c>
      <c r="S326" s="13">
        <f t="shared" si="4"/>
        <v>3</v>
      </c>
      <c r="T326" s="14"/>
      <c r="U326" s="14"/>
      <c r="V326" s="14"/>
      <c r="W326" s="14"/>
      <c r="X326" s="14"/>
      <c r="Y326" s="14" t="s">
        <v>35</v>
      </c>
      <c r="Z326" s="15"/>
      <c r="AA326" s="15"/>
      <c r="AB326" s="15"/>
      <c r="AC326" s="15"/>
      <c r="AD326" s="15"/>
      <c r="AE326" s="15"/>
      <c r="AF326" s="15"/>
      <c r="AG326" s="15"/>
      <c r="AH326" s="15"/>
      <c r="AI326" s="15"/>
    </row>
    <row r="327" ht="14.25" hidden="1" customHeight="1">
      <c r="A327" s="16">
        <v>327.0</v>
      </c>
      <c r="B327" s="17" t="str">
        <f>IFERROR(__xludf.DUMMYFUNCTION("INDEX(IMPORTRANGE(""https://docs.google.com/spreadsheets/d/1S7deMHO2waboU9dywpXeKIDfCmjiuAc0HUIsFpaXQq8/edit?gid=0#gid=0"", ""Tracking Shipments - PPTCO!o:o""), MATCH(D327, IMPORTRANGE(""https://docs.google.com/spreadsheets/d/1S7deMHO2waboU9dywpXeKIDfCmji"&amp;"uAc0HUIsFpaXQq8/edit?gid=0#gid=0"", ""Tracking Shipments - PPTCO!p:p""), 0))"),"PPT-233")</f>
        <v>PPT-233</v>
      </c>
      <c r="C327" s="18" t="s">
        <v>979</v>
      </c>
      <c r="D327" s="18">
        <v>403593.0</v>
      </c>
      <c r="E327" s="18" t="s">
        <v>980</v>
      </c>
      <c r="F327" s="18" t="s">
        <v>350</v>
      </c>
      <c r="G327" s="18" t="s">
        <v>702</v>
      </c>
      <c r="H327" s="18" t="s">
        <v>150</v>
      </c>
      <c r="I327" s="18"/>
      <c r="J327" s="18"/>
      <c r="K327" s="18" t="s">
        <v>150</v>
      </c>
      <c r="L327" s="57">
        <v>45874.0</v>
      </c>
      <c r="M327" s="54">
        <v>45876.0</v>
      </c>
      <c r="N327" s="18"/>
      <c r="O327" s="59" t="s">
        <v>336</v>
      </c>
      <c r="P327" s="18" t="s">
        <v>981</v>
      </c>
      <c r="Q327" s="18" t="s">
        <v>497</v>
      </c>
      <c r="R327" s="47">
        <v>45917.0</v>
      </c>
      <c r="S327" s="22">
        <f t="shared" si="4"/>
        <v>41</v>
      </c>
      <c r="T327" s="18"/>
      <c r="U327" s="18"/>
      <c r="V327" s="18"/>
      <c r="W327" s="16"/>
      <c r="X327" s="18"/>
      <c r="Y327" s="18" t="s">
        <v>35</v>
      </c>
      <c r="Z327" s="24"/>
      <c r="AA327" s="24"/>
      <c r="AB327" s="24"/>
      <c r="AC327" s="24"/>
      <c r="AD327" s="24"/>
      <c r="AE327" s="24"/>
      <c r="AF327" s="24"/>
      <c r="AG327" s="24"/>
      <c r="AH327" s="24"/>
      <c r="AI327" s="24"/>
    </row>
    <row r="328" ht="15.75" hidden="1" customHeight="1">
      <c r="A328" s="8">
        <v>328.0</v>
      </c>
      <c r="B328" s="9" t="str">
        <f>IFERROR(__xludf.DUMMYFUNCTION("INDEX(IMPORTRANGE(""https://docs.google.com/spreadsheets/d/1S7deMHO2waboU9dywpXeKIDfCmjiuAc0HUIsFpaXQq8/edit?gid=0#gid=0"", ""Tracking Shipments - PPTCO!o:o""), MATCH(D328, IMPORTRANGE(""https://docs.google.com/spreadsheets/d/1S7deMHO2waboU9dywpXeKIDfCmji"&amp;"uAc0HUIsFpaXQq8/edit?gid=0#gid=0"", ""Tracking Shipments - PPTCO!p:p""), 0))"),"PPT-250")</f>
        <v>PPT-250</v>
      </c>
      <c r="C328" s="14" t="s">
        <v>982</v>
      </c>
      <c r="D328" s="14">
        <v>159084.0</v>
      </c>
      <c r="E328" s="14" t="s">
        <v>983</v>
      </c>
      <c r="F328" s="14" t="s">
        <v>169</v>
      </c>
      <c r="G328" s="14" t="s">
        <v>177</v>
      </c>
      <c r="H328" s="14" t="s">
        <v>150</v>
      </c>
      <c r="I328" s="14"/>
      <c r="J328" s="14"/>
      <c r="K328" s="14" t="s">
        <v>150</v>
      </c>
      <c r="L328" s="49">
        <v>45879.0</v>
      </c>
      <c r="M328" s="49">
        <v>45880.0</v>
      </c>
      <c r="N328" s="14"/>
      <c r="O328" s="60">
        <v>270.0</v>
      </c>
      <c r="P328" s="14">
        <v>1104.0</v>
      </c>
      <c r="Q328" s="14">
        <v>294.0</v>
      </c>
      <c r="R328" s="52">
        <v>45883.0</v>
      </c>
      <c r="S328" s="13">
        <f t="shared" si="4"/>
        <v>3</v>
      </c>
      <c r="T328" s="14"/>
      <c r="U328" s="14"/>
      <c r="V328" s="14"/>
      <c r="W328" s="14"/>
      <c r="X328" s="14"/>
      <c r="Y328" s="14" t="s">
        <v>35</v>
      </c>
      <c r="Z328" s="15"/>
      <c r="AA328" s="15"/>
      <c r="AB328" s="15"/>
      <c r="AC328" s="15"/>
      <c r="AD328" s="15"/>
      <c r="AE328" s="15"/>
      <c r="AF328" s="15"/>
      <c r="AG328" s="15"/>
      <c r="AH328" s="15"/>
      <c r="AI328" s="15"/>
    </row>
    <row r="329" ht="15.75" hidden="1" customHeight="1">
      <c r="A329" s="16">
        <v>329.0</v>
      </c>
      <c r="B329" s="17" t="str">
        <f>IFERROR(__xludf.DUMMYFUNCTION("INDEX(IMPORTRANGE(""https://docs.google.com/spreadsheets/d/1S7deMHO2waboU9dywpXeKIDfCmjiuAc0HUIsFpaXQq8/edit?gid=0#gid=0"", ""Tracking Shipments - PPTCO!o:o""), MATCH(D329, IMPORTRANGE(""https://docs.google.com/spreadsheets/d/1S7deMHO2waboU9dywpXeKIDfCmji"&amp;"uAc0HUIsFpaXQq8/edit?gid=0#gid=0"", ""Tracking Shipments - PPTCO!p:p""), 0))"),"PPT-249")</f>
        <v>PPT-249</v>
      </c>
      <c r="C329" s="18" t="s">
        <v>984</v>
      </c>
      <c r="D329" s="18">
        <v>398378.0</v>
      </c>
      <c r="E329" s="18" t="s">
        <v>985</v>
      </c>
      <c r="F329" s="18" t="s">
        <v>169</v>
      </c>
      <c r="G329" s="18" t="s">
        <v>177</v>
      </c>
      <c r="H329" s="18" t="s">
        <v>150</v>
      </c>
      <c r="I329" s="18"/>
      <c r="J329" s="18"/>
      <c r="K329" s="18" t="s">
        <v>150</v>
      </c>
      <c r="L329" s="54">
        <v>45879.0</v>
      </c>
      <c r="M329" s="54">
        <v>45882.0</v>
      </c>
      <c r="N329" s="18"/>
      <c r="O329" s="59">
        <v>271.0</v>
      </c>
      <c r="P329" s="18">
        <v>1112.0</v>
      </c>
      <c r="Q329" s="18">
        <v>293.0</v>
      </c>
      <c r="R329" s="47">
        <v>45883.0</v>
      </c>
      <c r="S329" s="22">
        <f t="shared" si="4"/>
        <v>1</v>
      </c>
      <c r="T329" s="18"/>
      <c r="U329" s="18"/>
      <c r="V329" s="18"/>
      <c r="W329" s="18"/>
      <c r="X329" s="18"/>
      <c r="Y329" s="18" t="s">
        <v>35</v>
      </c>
      <c r="Z329" s="24"/>
      <c r="AA329" s="24"/>
      <c r="AB329" s="24"/>
      <c r="AC329" s="24"/>
      <c r="AD329" s="24"/>
      <c r="AE329" s="24"/>
      <c r="AF329" s="24"/>
      <c r="AG329" s="24"/>
      <c r="AH329" s="24"/>
      <c r="AI329" s="24"/>
    </row>
    <row r="330" ht="14.25" hidden="1" customHeight="1">
      <c r="A330" s="8">
        <v>330.0</v>
      </c>
      <c r="B330" s="9" t="str">
        <f>IFERROR(__xludf.DUMMYFUNCTION("INDEX(IMPORTRANGE(""https://docs.google.com/spreadsheets/d/1S7deMHO2waboU9dywpXeKIDfCmjiuAc0HUIsFpaXQq8/edit?gid=0#gid=0"", ""Tracking Shipments - PPTCO!o:o""), MATCH(D330, IMPORTRANGE(""https://docs.google.com/spreadsheets/d/1S7deMHO2waboU9dywpXeKIDfCmji"&amp;"uAc0HUIsFpaXQq8/edit?gid=0#gid=0"", ""Tracking Shipments - PPTCO!p:p""), 0))"),"PPT-256")</f>
        <v>PPT-256</v>
      </c>
      <c r="C330" s="14" t="s">
        <v>986</v>
      </c>
      <c r="D330" s="14">
        <v>412173.0</v>
      </c>
      <c r="E330" s="14" t="s">
        <v>987</v>
      </c>
      <c r="F330" s="14" t="s">
        <v>105</v>
      </c>
      <c r="G330" s="14" t="s">
        <v>702</v>
      </c>
      <c r="H330" s="14" t="s">
        <v>150</v>
      </c>
      <c r="I330" s="14"/>
      <c r="J330" s="14"/>
      <c r="K330" s="14" t="s">
        <v>150</v>
      </c>
      <c r="L330" s="49">
        <v>45883.0</v>
      </c>
      <c r="M330" s="49">
        <v>45885.0</v>
      </c>
      <c r="N330" s="14"/>
      <c r="O330" s="60" t="s">
        <v>424</v>
      </c>
      <c r="P330" s="14" t="s">
        <v>988</v>
      </c>
      <c r="Q330" s="14" t="s">
        <v>989</v>
      </c>
      <c r="R330" s="52">
        <v>45893.0</v>
      </c>
      <c r="S330" s="13">
        <f t="shared" si="4"/>
        <v>8</v>
      </c>
      <c r="T330" s="14"/>
      <c r="U330" s="14"/>
      <c r="V330" s="14"/>
      <c r="W330" s="8"/>
      <c r="X330" s="14"/>
      <c r="Y330" s="14" t="s">
        <v>35</v>
      </c>
      <c r="Z330" s="15"/>
      <c r="AA330" s="15"/>
      <c r="AB330" s="15"/>
      <c r="AC330" s="15"/>
      <c r="AD330" s="15"/>
      <c r="AE330" s="15"/>
      <c r="AF330" s="15"/>
      <c r="AG330" s="15"/>
      <c r="AH330" s="15"/>
      <c r="AI330" s="15"/>
    </row>
    <row r="331" ht="13.5" hidden="1" customHeight="1">
      <c r="A331" s="16">
        <v>331.0</v>
      </c>
      <c r="B331" s="17" t="str">
        <f>IFERROR(__xludf.DUMMYFUNCTION("INDEX(IMPORTRANGE(""https://docs.google.com/spreadsheets/d/1S7deMHO2waboU9dywpXeKIDfCmjiuAc0HUIsFpaXQq8/edit?gid=0#gid=0"", ""Tracking Shipments - PPTCO!o:o""), MATCH(D331, IMPORTRANGE(""https://docs.google.com/spreadsheets/d/1S7deMHO2waboU9dywpXeKIDfCmji"&amp;"uAc0HUIsFpaXQq8/edit?gid=0#gid=0"", ""Tracking Shipments - PPTCO!p:p""), 0))"),"PPT-256")</f>
        <v>PPT-256</v>
      </c>
      <c r="C331" s="18" t="s">
        <v>990</v>
      </c>
      <c r="D331" s="18">
        <v>411943.0</v>
      </c>
      <c r="E331" s="18" t="s">
        <v>991</v>
      </c>
      <c r="F331" s="18" t="s">
        <v>105</v>
      </c>
      <c r="G331" s="18" t="s">
        <v>702</v>
      </c>
      <c r="H331" s="18" t="s">
        <v>150</v>
      </c>
      <c r="I331" s="18"/>
      <c r="J331" s="18"/>
      <c r="K331" s="18" t="s">
        <v>150</v>
      </c>
      <c r="L331" s="54">
        <v>45887.0</v>
      </c>
      <c r="M331" s="54">
        <v>45885.0</v>
      </c>
      <c r="N331" s="18"/>
      <c r="O331" s="59" t="s">
        <v>992</v>
      </c>
      <c r="P331" s="18" t="s">
        <v>993</v>
      </c>
      <c r="Q331" s="18" t="s">
        <v>994</v>
      </c>
      <c r="R331" s="47">
        <v>45893.0</v>
      </c>
      <c r="S331" s="22">
        <f t="shared" si="4"/>
        <v>8</v>
      </c>
      <c r="T331" s="18"/>
      <c r="U331" s="18"/>
      <c r="V331" s="18"/>
      <c r="W331" s="18"/>
      <c r="X331" s="18"/>
      <c r="Y331" s="18" t="s">
        <v>35</v>
      </c>
      <c r="Z331" s="24"/>
      <c r="AA331" s="24"/>
      <c r="AB331" s="24"/>
      <c r="AC331" s="24"/>
      <c r="AD331" s="24"/>
      <c r="AE331" s="24"/>
      <c r="AF331" s="24"/>
      <c r="AG331" s="24"/>
      <c r="AH331" s="24"/>
      <c r="AI331" s="24"/>
    </row>
    <row r="332" ht="14.25" hidden="1" customHeight="1">
      <c r="A332" s="8">
        <v>332.0</v>
      </c>
      <c r="B332" s="9" t="str">
        <f>IFERROR(__xludf.DUMMYFUNCTION("INDEX(IMPORTRANGE(""https://docs.google.com/spreadsheets/d/1S7deMHO2waboU9dywpXeKIDfCmjiuAc0HUIsFpaXQq8/edit?gid=0#gid=0"", ""Tracking Shipments - PPTCO!o:o""), MATCH(D332, IMPORTRANGE(""https://docs.google.com/spreadsheets/d/1S7deMHO2waboU9dywpXeKIDfCmji"&amp;"uAc0HUIsFpaXQq8/edit?gid=0#gid=0"", ""Tracking Shipments - PPTCO!p:p""), 0))"),"PPT-268")</f>
        <v>PPT-268</v>
      </c>
      <c r="C332" s="14" t="s">
        <v>995</v>
      </c>
      <c r="D332" s="14">
        <v>411013.0</v>
      </c>
      <c r="E332" s="14" t="s">
        <v>996</v>
      </c>
      <c r="F332" s="14" t="s">
        <v>40</v>
      </c>
      <c r="G332" s="14" t="s">
        <v>702</v>
      </c>
      <c r="H332" s="14" t="s">
        <v>150</v>
      </c>
      <c r="I332" s="14"/>
      <c r="J332" s="14"/>
      <c r="K332" s="14" t="s">
        <v>150</v>
      </c>
      <c r="L332" s="49">
        <v>45880.0</v>
      </c>
      <c r="M332" s="49">
        <v>45885.0</v>
      </c>
      <c r="N332" s="14"/>
      <c r="O332" s="60" t="s">
        <v>997</v>
      </c>
      <c r="P332" s="14" t="s">
        <v>998</v>
      </c>
      <c r="Q332" s="14" t="s">
        <v>999</v>
      </c>
      <c r="R332" s="52">
        <v>45897.0</v>
      </c>
      <c r="S332" s="13">
        <f t="shared" si="4"/>
        <v>12</v>
      </c>
      <c r="T332" s="14"/>
      <c r="U332" s="14"/>
      <c r="V332" s="14"/>
      <c r="W332" s="14"/>
      <c r="X332" s="14"/>
      <c r="Y332" s="14" t="s">
        <v>35</v>
      </c>
      <c r="Z332" s="15"/>
      <c r="AA332" s="15"/>
      <c r="AB332" s="15"/>
      <c r="AC332" s="15"/>
      <c r="AD332" s="15"/>
      <c r="AE332" s="15"/>
      <c r="AF332" s="15"/>
      <c r="AG332" s="15"/>
      <c r="AH332" s="15"/>
      <c r="AI332" s="15"/>
    </row>
    <row r="333" ht="15.75" hidden="1" customHeight="1">
      <c r="A333" s="16">
        <v>333.0</v>
      </c>
      <c r="B333" s="17" t="str">
        <f>IFERROR(__xludf.DUMMYFUNCTION("INDEX(IMPORTRANGE(""https://docs.google.com/spreadsheets/d/1S7deMHO2waboU9dywpXeKIDfCmjiuAc0HUIsFpaXQq8/edit?gid=0#gid=0"", ""Tracking Shipments - PPTCO!o:o""), MATCH(D333, IMPORTRANGE(""https://docs.google.com/spreadsheets/d/1S7deMHO2waboU9dywpXeKIDfCmji"&amp;"uAc0HUIsFpaXQq8/edit?gid=0#gid=0"", ""Tracking Shipments - PPTCO!p:p""), 0))"),"PPT-264")</f>
        <v>PPT-264</v>
      </c>
      <c r="C333" s="18" t="s">
        <v>1000</v>
      </c>
      <c r="D333" s="18">
        <v>170301.0</v>
      </c>
      <c r="E333" s="18" t="s">
        <v>1001</v>
      </c>
      <c r="F333" s="18" t="s">
        <v>59</v>
      </c>
      <c r="G333" s="18" t="s">
        <v>177</v>
      </c>
      <c r="H333" s="18" t="s">
        <v>150</v>
      </c>
      <c r="I333" s="18"/>
      <c r="J333" s="18"/>
      <c r="K333" s="18" t="s">
        <v>150</v>
      </c>
      <c r="L333" s="54">
        <v>45890.0</v>
      </c>
      <c r="M333" s="54">
        <v>45893.0</v>
      </c>
      <c r="N333" s="18"/>
      <c r="O333" s="59">
        <v>298.0</v>
      </c>
      <c r="P333" s="18">
        <v>1173.0</v>
      </c>
      <c r="Q333" s="18">
        <v>308.0</v>
      </c>
      <c r="R333" s="47">
        <v>45893.0</v>
      </c>
      <c r="S333" s="22" t="str">
        <f t="shared" si="4"/>
        <v/>
      </c>
      <c r="T333" s="18"/>
      <c r="U333" s="18"/>
      <c r="V333" s="18"/>
      <c r="W333" s="16"/>
      <c r="X333" s="18"/>
      <c r="Y333" s="18" t="s">
        <v>35</v>
      </c>
      <c r="Z333" s="24"/>
      <c r="AA333" s="24"/>
      <c r="AB333" s="24"/>
      <c r="AC333" s="24"/>
      <c r="AD333" s="24"/>
      <c r="AE333" s="24"/>
      <c r="AF333" s="24"/>
      <c r="AG333" s="24"/>
      <c r="AH333" s="24"/>
      <c r="AI333" s="24"/>
    </row>
    <row r="334" ht="12.75" hidden="1" customHeight="1">
      <c r="A334" s="8">
        <v>334.0</v>
      </c>
      <c r="B334" s="9" t="str">
        <f>IFERROR(__xludf.DUMMYFUNCTION("INDEX(IMPORTRANGE(""https://docs.google.com/spreadsheets/d/1S7deMHO2waboU9dywpXeKIDfCmjiuAc0HUIsFpaXQq8/edit?gid=0#gid=0"", ""Tracking Shipments - PPTCO!o:o""), MATCH(D334, IMPORTRANGE(""https://docs.google.com/spreadsheets/d/1S7deMHO2waboU9dywpXeKIDfCmji"&amp;"uAc0HUIsFpaXQq8/edit?gid=0#gid=0"", ""Tracking Shipments - PPTCO!p:p""), 0))"),"PPT-256")</f>
        <v>PPT-256</v>
      </c>
      <c r="C334" s="14" t="s">
        <v>1002</v>
      </c>
      <c r="D334" s="14">
        <v>430981.0</v>
      </c>
      <c r="E334" s="14" t="s">
        <v>1003</v>
      </c>
      <c r="F334" s="14" t="s">
        <v>105</v>
      </c>
      <c r="G334" s="14" t="s">
        <v>702</v>
      </c>
      <c r="H334" s="14" t="s">
        <v>150</v>
      </c>
      <c r="I334" s="14"/>
      <c r="J334" s="14"/>
      <c r="K334" s="14" t="s">
        <v>150</v>
      </c>
      <c r="L334" s="58">
        <v>45906.0</v>
      </c>
      <c r="M334" s="49">
        <v>45914.0</v>
      </c>
      <c r="N334" s="14"/>
      <c r="O334" s="60" t="s">
        <v>1004</v>
      </c>
      <c r="P334" s="14" t="s">
        <v>1005</v>
      </c>
      <c r="Q334" s="14" t="s">
        <v>1006</v>
      </c>
      <c r="R334" s="52">
        <v>45922.0</v>
      </c>
      <c r="S334" s="13">
        <f t="shared" si="4"/>
        <v>8</v>
      </c>
      <c r="T334" s="14"/>
      <c r="U334" s="14"/>
      <c r="V334" s="14"/>
      <c r="W334" s="14"/>
      <c r="X334" s="14"/>
      <c r="Y334" s="14" t="s">
        <v>35</v>
      </c>
      <c r="Z334" s="15"/>
      <c r="AA334" s="15"/>
      <c r="AB334" s="15"/>
      <c r="AC334" s="15"/>
      <c r="AD334" s="15"/>
      <c r="AE334" s="15"/>
      <c r="AF334" s="15"/>
      <c r="AG334" s="15"/>
      <c r="AH334" s="15"/>
      <c r="AI334" s="15"/>
    </row>
    <row r="335" ht="15.0" hidden="1" customHeight="1">
      <c r="A335" s="16">
        <v>335.0</v>
      </c>
      <c r="B335" s="17" t="str">
        <f>IFERROR(__xludf.DUMMYFUNCTION("INDEX(IMPORTRANGE(""https://docs.google.com/spreadsheets/d/1S7deMHO2waboU9dywpXeKIDfCmjiuAc0HUIsFpaXQq8/edit?gid=0#gid=0"", ""Tracking Shipments - PPTCO!o:o""), MATCH(D335, IMPORTRANGE(""https://docs.google.com/spreadsheets/d/1S7deMHO2waboU9dywpXeKIDfCmji"&amp;"uAc0HUIsFpaXQq8/edit?gid=0#gid=0"", ""Tracking Shipments - PPTCO!p:p""), 0))"),"PPT-256")</f>
        <v>PPT-256</v>
      </c>
      <c r="C335" s="18" t="s">
        <v>1007</v>
      </c>
      <c r="D335" s="18">
        <v>431206.0</v>
      </c>
      <c r="E335" s="18" t="s">
        <v>1008</v>
      </c>
      <c r="F335" s="18" t="s">
        <v>105</v>
      </c>
      <c r="G335" s="18" t="s">
        <v>702</v>
      </c>
      <c r="H335" s="18" t="s">
        <v>150</v>
      </c>
      <c r="I335" s="18"/>
      <c r="J335" s="18"/>
      <c r="K335" s="18" t="s">
        <v>150</v>
      </c>
      <c r="L335" s="57">
        <v>45894.0</v>
      </c>
      <c r="M335" s="57">
        <v>45895.0</v>
      </c>
      <c r="N335" s="18"/>
      <c r="O335" s="59" t="s">
        <v>1009</v>
      </c>
      <c r="P335" s="18" t="s">
        <v>1010</v>
      </c>
      <c r="Q335" s="18" t="s">
        <v>1011</v>
      </c>
      <c r="R335" s="47">
        <v>45910.0</v>
      </c>
      <c r="S335" s="22">
        <f t="shared" si="4"/>
        <v>15</v>
      </c>
      <c r="T335" s="18"/>
      <c r="U335" s="18"/>
      <c r="V335" s="18"/>
      <c r="W335" s="18"/>
      <c r="X335" s="18"/>
      <c r="Y335" s="18" t="s">
        <v>35</v>
      </c>
      <c r="Z335" s="24"/>
      <c r="AA335" s="24"/>
      <c r="AB335" s="24"/>
      <c r="AC335" s="24"/>
      <c r="AD335" s="24"/>
      <c r="AE335" s="24"/>
      <c r="AF335" s="24"/>
      <c r="AG335" s="24"/>
      <c r="AH335" s="24"/>
      <c r="AI335" s="24"/>
    </row>
    <row r="336" ht="15.75" hidden="1" customHeight="1">
      <c r="A336" s="8">
        <v>336.0</v>
      </c>
      <c r="B336" s="9" t="str">
        <f>IFERROR(__xludf.DUMMYFUNCTION("INDEX(IMPORTRANGE(""https://docs.google.com/spreadsheets/d/1S7deMHO2waboU9dywpXeKIDfCmjiuAc0HUIsFpaXQq8/edit?gid=0#gid=0"", ""Tracking Shipments - PPTCO!o:o""), MATCH(D336, IMPORTRANGE(""https://docs.google.com/spreadsheets/d/1S7deMHO2waboU9dywpXeKIDfCmji"&amp;"uAc0HUIsFpaXQq8/edit?gid=0#gid=0"", ""Tracking Shipments - PPTCO!p:p""), 0))"),"PPT-233")</f>
        <v>PPT-233</v>
      </c>
      <c r="C336" s="14" t="s">
        <v>1012</v>
      </c>
      <c r="D336" s="14">
        <v>435894.0</v>
      </c>
      <c r="E336" s="14" t="s">
        <v>1013</v>
      </c>
      <c r="F336" s="14" t="s">
        <v>350</v>
      </c>
      <c r="G336" s="14" t="s">
        <v>702</v>
      </c>
      <c r="H336" s="14" t="s">
        <v>150</v>
      </c>
      <c r="I336" s="14"/>
      <c r="J336" s="14"/>
      <c r="K336" s="14" t="s">
        <v>150</v>
      </c>
      <c r="L336" s="49">
        <v>45889.0</v>
      </c>
      <c r="M336" s="49">
        <v>45894.0</v>
      </c>
      <c r="N336" s="14"/>
      <c r="O336" s="60">
        <v>317.0</v>
      </c>
      <c r="P336" s="14">
        <v>1251.0</v>
      </c>
      <c r="Q336" s="14">
        <v>69.0</v>
      </c>
      <c r="R336" s="52">
        <v>46178.0</v>
      </c>
      <c r="S336" s="13">
        <f t="shared" si="4"/>
        <v>284</v>
      </c>
      <c r="T336" s="14"/>
      <c r="U336" s="14"/>
      <c r="V336" s="14"/>
      <c r="W336" s="8"/>
      <c r="X336" s="14"/>
      <c r="Y336" s="14" t="s">
        <v>35</v>
      </c>
      <c r="Z336" s="15"/>
      <c r="AA336" s="15"/>
      <c r="AB336" s="15"/>
      <c r="AC336" s="15"/>
      <c r="AD336" s="15"/>
      <c r="AE336" s="15"/>
      <c r="AF336" s="15"/>
      <c r="AG336" s="15"/>
      <c r="AH336" s="15"/>
      <c r="AI336" s="15"/>
    </row>
    <row r="337" ht="15.75" hidden="1" customHeight="1">
      <c r="A337" s="16">
        <v>337.0</v>
      </c>
      <c r="B337" s="18" t="s">
        <v>148</v>
      </c>
      <c r="C337" s="18" t="s">
        <v>1014</v>
      </c>
      <c r="D337" s="18">
        <v>436225.0</v>
      </c>
      <c r="E337" s="18" t="s">
        <v>1015</v>
      </c>
      <c r="F337" s="18" t="s">
        <v>100</v>
      </c>
      <c r="G337" s="18" t="s">
        <v>177</v>
      </c>
      <c r="H337" s="18" t="s">
        <v>150</v>
      </c>
      <c r="I337" s="18"/>
      <c r="J337" s="18"/>
      <c r="K337" s="18" t="s">
        <v>150</v>
      </c>
      <c r="L337" s="54">
        <v>45889.0</v>
      </c>
      <c r="M337" s="54">
        <v>45889.0</v>
      </c>
      <c r="N337" s="18"/>
      <c r="O337" s="59">
        <v>297.0</v>
      </c>
      <c r="P337" s="18">
        <v>1172.0</v>
      </c>
      <c r="Q337" s="18">
        <v>306.0</v>
      </c>
      <c r="R337" s="47">
        <v>45893.0</v>
      </c>
      <c r="S337" s="22">
        <f t="shared" si="4"/>
        <v>4</v>
      </c>
      <c r="T337" s="18"/>
      <c r="U337" s="18"/>
      <c r="V337" s="18"/>
      <c r="W337" s="18"/>
      <c r="X337" s="18"/>
      <c r="Y337" s="18" t="s">
        <v>172</v>
      </c>
      <c r="Z337" s="24"/>
      <c r="AA337" s="24"/>
      <c r="AB337" s="24"/>
      <c r="AC337" s="24"/>
      <c r="AD337" s="24"/>
      <c r="AE337" s="24"/>
      <c r="AF337" s="24"/>
      <c r="AG337" s="24"/>
      <c r="AH337" s="24"/>
      <c r="AI337" s="24"/>
    </row>
    <row r="338" ht="13.5" hidden="1" customHeight="1">
      <c r="A338" s="8">
        <v>338.0</v>
      </c>
      <c r="B338" s="9" t="str">
        <f>IFERROR(__xludf.DUMMYFUNCTION("INDEX(IMPORTRANGE(""https://docs.google.com/spreadsheets/d/1S7deMHO2waboU9dywpXeKIDfCmjiuAc0HUIsFpaXQq8/edit?gid=0#gid=0"", ""Tracking Shipments - PPTCO!o:o""), MATCH(D338, IMPORTRANGE(""https://docs.google.com/spreadsheets/d/1S7deMHO2waboU9dywpXeKIDfCmji"&amp;"uAc0HUIsFpaXQq8/edit?gid=0#gid=0"", ""Tracking Shipments - PPTCO!p:p""), 0))"),"PPT-269")</f>
        <v>PPT-269</v>
      </c>
      <c r="C338" s="14" t="s">
        <v>1016</v>
      </c>
      <c r="D338" s="14">
        <v>440077.0</v>
      </c>
      <c r="E338" s="14" t="s">
        <v>1017</v>
      </c>
      <c r="F338" s="14" t="s">
        <v>40</v>
      </c>
      <c r="G338" s="14" t="s">
        <v>702</v>
      </c>
      <c r="H338" s="14" t="s">
        <v>150</v>
      </c>
      <c r="I338" s="14"/>
      <c r="J338" s="14"/>
      <c r="K338" s="14" t="s">
        <v>150</v>
      </c>
      <c r="L338" s="58">
        <v>45896.0</v>
      </c>
      <c r="M338" s="49">
        <v>45897.0</v>
      </c>
      <c r="N338" s="14"/>
      <c r="O338" s="60" t="s">
        <v>671</v>
      </c>
      <c r="P338" s="14" t="s">
        <v>1018</v>
      </c>
      <c r="Q338" s="14" t="s">
        <v>1019</v>
      </c>
      <c r="R338" s="52">
        <v>45897.0</v>
      </c>
      <c r="S338" s="13" t="str">
        <f t="shared" si="4"/>
        <v/>
      </c>
      <c r="T338" s="14"/>
      <c r="U338" s="14"/>
      <c r="V338" s="14"/>
      <c r="W338" s="14"/>
      <c r="X338" s="14"/>
      <c r="Y338" s="14" t="s">
        <v>172</v>
      </c>
      <c r="Z338" s="15"/>
      <c r="AA338" s="15"/>
      <c r="AB338" s="15"/>
      <c r="AC338" s="15"/>
      <c r="AD338" s="15"/>
      <c r="AE338" s="15"/>
      <c r="AF338" s="15"/>
      <c r="AG338" s="15"/>
      <c r="AH338" s="15"/>
      <c r="AI338" s="15"/>
    </row>
    <row r="339" ht="14.25" hidden="1" customHeight="1">
      <c r="A339" s="16">
        <v>339.0</v>
      </c>
      <c r="B339" s="17" t="str">
        <f>IFERROR(__xludf.DUMMYFUNCTION("INDEX(IMPORTRANGE(""https://docs.google.com/spreadsheets/d/1S7deMHO2waboU9dywpXeKIDfCmjiuAc0HUIsFpaXQq8/edit?gid=0#gid=0"", ""Tracking Shipments - PPTCO!o:o""), MATCH(D339, IMPORTRANGE(""https://docs.google.com/spreadsheets/d/1S7deMHO2waboU9dywpXeKIDfCmji"&amp;"uAc0HUIsFpaXQq8/edit?gid=0#gid=0"", ""Tracking Shipments - PPTCO!p:p""), 0))"),"PPT-244")</f>
        <v>PPT-244</v>
      </c>
      <c r="C339" s="18" t="s">
        <v>1020</v>
      </c>
      <c r="D339" s="18">
        <v>440510.0</v>
      </c>
      <c r="E339" s="18" t="s">
        <v>1021</v>
      </c>
      <c r="F339" s="18" t="s">
        <v>26</v>
      </c>
      <c r="G339" s="18" t="s">
        <v>702</v>
      </c>
      <c r="H339" s="18" t="s">
        <v>150</v>
      </c>
      <c r="I339" s="18"/>
      <c r="J339" s="18"/>
      <c r="K339" s="18" t="s">
        <v>150</v>
      </c>
      <c r="L339" s="54">
        <v>45903.0</v>
      </c>
      <c r="M339" s="57">
        <v>45906.0</v>
      </c>
      <c r="N339" s="18"/>
      <c r="O339" s="59" t="s">
        <v>1022</v>
      </c>
      <c r="P339" s="18" t="s">
        <v>1023</v>
      </c>
      <c r="Q339" s="18" t="s">
        <v>1024</v>
      </c>
      <c r="R339" s="47">
        <v>45917.0</v>
      </c>
      <c r="S339" s="22">
        <f t="shared" si="4"/>
        <v>11</v>
      </c>
      <c r="T339" s="18"/>
      <c r="U339" s="18"/>
      <c r="V339" s="18"/>
      <c r="W339" s="16"/>
      <c r="X339" s="18"/>
      <c r="Y339" s="18" t="s">
        <v>172</v>
      </c>
      <c r="Z339" s="24"/>
      <c r="AA339" s="24"/>
      <c r="AB339" s="24"/>
      <c r="AC339" s="24"/>
      <c r="AD339" s="24"/>
      <c r="AE339" s="24"/>
      <c r="AF339" s="24"/>
      <c r="AG339" s="24"/>
      <c r="AH339" s="24"/>
      <c r="AI339" s="24"/>
    </row>
    <row r="340" ht="14.25" hidden="1" customHeight="1">
      <c r="A340" s="8">
        <v>340.0</v>
      </c>
      <c r="B340" s="9" t="str">
        <f>IFERROR(__xludf.DUMMYFUNCTION("INDEX(IMPORTRANGE(""https://docs.google.com/spreadsheets/d/1S7deMHO2waboU9dywpXeKIDfCmjiuAc0HUIsFpaXQq8/edit?gid=0#gid=0"", ""Tracking Shipments - PPTCO!o:o""), MATCH(D340, IMPORTRANGE(""https://docs.google.com/spreadsheets/d/1S7deMHO2waboU9dywpXeKIDfCmji"&amp;"uAc0HUIsFpaXQq8/edit?gid=0#gid=0"", ""Tracking Shipments - PPTCO!p:p""), 0))"),"PPT-244")</f>
        <v>PPT-244</v>
      </c>
      <c r="C340" s="14" t="s">
        <v>1025</v>
      </c>
      <c r="D340" s="14">
        <v>441169.0</v>
      </c>
      <c r="E340" s="14" t="s">
        <v>1026</v>
      </c>
      <c r="F340" s="14" t="s">
        <v>26</v>
      </c>
      <c r="G340" s="14" t="s">
        <v>702</v>
      </c>
      <c r="H340" s="14" t="s">
        <v>150</v>
      </c>
      <c r="I340" s="14"/>
      <c r="J340" s="14"/>
      <c r="K340" s="14" t="s">
        <v>150</v>
      </c>
      <c r="L340" s="58">
        <v>45908.0</v>
      </c>
      <c r="M340" s="49">
        <v>45910.0</v>
      </c>
      <c r="N340" s="14"/>
      <c r="O340" s="60" t="s">
        <v>1027</v>
      </c>
      <c r="P340" s="14" t="s">
        <v>1028</v>
      </c>
      <c r="Q340" s="14" t="s">
        <v>1029</v>
      </c>
      <c r="R340" s="52">
        <v>45910.0</v>
      </c>
      <c r="S340" s="13" t="str">
        <f t="shared" si="4"/>
        <v/>
      </c>
      <c r="T340" s="14"/>
      <c r="U340" s="14"/>
      <c r="V340" s="14"/>
      <c r="W340" s="14"/>
      <c r="X340" s="14"/>
      <c r="Y340" s="14" t="s">
        <v>172</v>
      </c>
      <c r="Z340" s="15"/>
      <c r="AA340" s="15"/>
      <c r="AB340" s="15"/>
      <c r="AC340" s="15"/>
      <c r="AD340" s="15"/>
      <c r="AE340" s="15"/>
      <c r="AF340" s="15"/>
      <c r="AG340" s="15"/>
      <c r="AH340" s="15"/>
      <c r="AI340" s="15"/>
    </row>
    <row r="341" ht="15.75" hidden="1" customHeight="1">
      <c r="A341" s="16">
        <v>341.0</v>
      </c>
      <c r="B341" s="17" t="str">
        <f>IFERROR(__xludf.DUMMYFUNCTION("INDEX(IMPORTRANGE(""https://docs.google.com/spreadsheets/d/1S7deMHO2waboU9dywpXeKIDfCmjiuAc0HUIsFpaXQq8/edit?gid=0#gid=0"", ""Tracking Shipments - PPTCO!o:o""), MATCH(D341, IMPORTRANGE(""https://docs.google.com/spreadsheets/d/1S7deMHO2waboU9dywpXeKIDfCmji"&amp;"uAc0HUIsFpaXQq8/edit?gid=0#gid=0"", ""Tracking Shipments - PPTCO!p:p""), 0))"),"PPT-251")</f>
        <v>PPT-251</v>
      </c>
      <c r="C341" s="18" t="s">
        <v>1030</v>
      </c>
      <c r="D341" s="18">
        <v>431903.0</v>
      </c>
      <c r="E341" s="18" t="s">
        <v>1031</v>
      </c>
      <c r="F341" s="18" t="s">
        <v>222</v>
      </c>
      <c r="G341" s="18" t="s">
        <v>702</v>
      </c>
      <c r="H341" s="18" t="s">
        <v>150</v>
      </c>
      <c r="I341" s="18"/>
      <c r="J341" s="18"/>
      <c r="K341" s="18" t="s">
        <v>150</v>
      </c>
      <c r="L341" s="54">
        <v>45889.0</v>
      </c>
      <c r="M341" s="47">
        <v>45893.0</v>
      </c>
      <c r="N341" s="18"/>
      <c r="O341" s="59">
        <v>299.0</v>
      </c>
      <c r="P341" s="18">
        <v>1180.0</v>
      </c>
      <c r="Q341" s="18">
        <v>307.0</v>
      </c>
      <c r="R341" s="47">
        <v>45893.0</v>
      </c>
      <c r="S341" s="22" t="str">
        <f t="shared" si="4"/>
        <v/>
      </c>
      <c r="T341" s="18"/>
      <c r="U341" s="18"/>
      <c r="V341" s="18"/>
      <c r="W341" s="18"/>
      <c r="X341" s="18"/>
      <c r="Y341" s="18" t="s">
        <v>172</v>
      </c>
      <c r="Z341" s="24"/>
      <c r="AA341" s="24"/>
      <c r="AB341" s="24"/>
      <c r="AC341" s="24"/>
      <c r="AD341" s="24"/>
      <c r="AE341" s="24"/>
      <c r="AF341" s="24"/>
      <c r="AG341" s="24"/>
      <c r="AH341" s="24"/>
      <c r="AI341" s="24"/>
    </row>
    <row r="342" ht="15.75" hidden="1" customHeight="1">
      <c r="A342" s="8">
        <v>342.0</v>
      </c>
      <c r="B342" s="14" t="s">
        <v>148</v>
      </c>
      <c r="C342" s="14" t="s">
        <v>1032</v>
      </c>
      <c r="D342" s="14">
        <v>441188.0</v>
      </c>
      <c r="E342" s="14" t="s">
        <v>1033</v>
      </c>
      <c r="F342" s="14" t="s">
        <v>824</v>
      </c>
      <c r="G342" s="14" t="s">
        <v>702</v>
      </c>
      <c r="H342" s="14" t="s">
        <v>150</v>
      </c>
      <c r="I342" s="14"/>
      <c r="J342" s="14"/>
      <c r="K342" s="14" t="s">
        <v>150</v>
      </c>
      <c r="L342" s="49">
        <v>45889.0</v>
      </c>
      <c r="M342" s="52">
        <v>45893.0</v>
      </c>
      <c r="N342" s="14"/>
      <c r="O342" s="60">
        <v>300.0</v>
      </c>
      <c r="P342" s="14">
        <v>1182.0</v>
      </c>
      <c r="Q342" s="14">
        <v>311.0</v>
      </c>
      <c r="R342" s="52">
        <v>45893.0</v>
      </c>
      <c r="S342" s="13" t="str">
        <f t="shared" si="4"/>
        <v/>
      </c>
      <c r="T342" s="14"/>
      <c r="U342" s="14"/>
      <c r="V342" s="14"/>
      <c r="W342" s="8"/>
      <c r="X342" s="14"/>
      <c r="Y342" s="14" t="s">
        <v>172</v>
      </c>
      <c r="Z342" s="15"/>
      <c r="AA342" s="15"/>
      <c r="AB342" s="15"/>
      <c r="AC342" s="15"/>
      <c r="AD342" s="15"/>
      <c r="AE342" s="15"/>
      <c r="AF342" s="15"/>
      <c r="AG342" s="15"/>
      <c r="AH342" s="15"/>
      <c r="AI342" s="15"/>
    </row>
    <row r="343" ht="15.75" hidden="1" customHeight="1">
      <c r="A343" s="16">
        <v>343.0</v>
      </c>
      <c r="B343" s="17" t="str">
        <f>IFERROR(__xludf.DUMMYFUNCTION("INDEX(IMPORTRANGE(""https://docs.google.com/spreadsheets/d/1S7deMHO2waboU9dywpXeKIDfCmjiuAc0HUIsFpaXQq8/edit?gid=0#gid=0"", ""Tracking Shipments - PPTCO!o:o""), MATCH(D343, IMPORTRANGE(""https://docs.google.com/spreadsheets/d/1S7deMHO2waboU9dywpXeKIDfCmji"&amp;"uAc0HUIsFpaXQq8/edit?gid=0#gid=0"", ""Tracking Shipments - PPTCO!p:p""), 0))"),"PPT-246")</f>
        <v>PPT-246</v>
      </c>
      <c r="C343" s="18" t="s">
        <v>1034</v>
      </c>
      <c r="D343" s="18">
        <v>178194.0</v>
      </c>
      <c r="E343" s="18" t="s">
        <v>1035</v>
      </c>
      <c r="F343" s="18" t="s">
        <v>169</v>
      </c>
      <c r="G343" s="18" t="s">
        <v>177</v>
      </c>
      <c r="H343" s="18" t="s">
        <v>150</v>
      </c>
      <c r="I343" s="18"/>
      <c r="J343" s="18"/>
      <c r="K343" s="18" t="s">
        <v>150</v>
      </c>
      <c r="L343" s="54">
        <v>45895.0</v>
      </c>
      <c r="M343" s="54">
        <v>45908.0</v>
      </c>
      <c r="N343" s="18"/>
      <c r="O343" s="59">
        <v>318.0</v>
      </c>
      <c r="P343" s="18">
        <v>1254.0</v>
      </c>
      <c r="Q343" s="18">
        <v>317.0</v>
      </c>
      <c r="R343" s="47">
        <v>45908.0</v>
      </c>
      <c r="S343" s="22" t="str">
        <f t="shared" si="4"/>
        <v/>
      </c>
      <c r="T343" s="18"/>
      <c r="U343" s="18"/>
      <c r="V343" s="18"/>
      <c r="W343" s="18"/>
      <c r="X343" s="18"/>
      <c r="Y343" s="18" t="s">
        <v>172</v>
      </c>
      <c r="Z343" s="24"/>
      <c r="AA343" s="24"/>
      <c r="AB343" s="24"/>
      <c r="AC343" s="24"/>
      <c r="AD343" s="24"/>
      <c r="AE343" s="24"/>
      <c r="AF343" s="24"/>
      <c r="AG343" s="24"/>
      <c r="AH343" s="24"/>
      <c r="AI343" s="24"/>
    </row>
    <row r="344" ht="15.75" hidden="1" customHeight="1">
      <c r="A344" s="8">
        <v>344.0</v>
      </c>
      <c r="B344" s="9" t="str">
        <f>IFERROR(__xludf.DUMMYFUNCTION("INDEX(IMPORTRANGE(""https://docs.google.com/spreadsheets/d/1S7deMHO2waboU9dywpXeKIDfCmjiuAc0HUIsFpaXQq8/edit?gid=0#gid=0"", ""Tracking Shipments - PPTCO!o:o""), MATCH(D344, IMPORTRANGE(""https://docs.google.com/spreadsheets/d/1S7deMHO2waboU9dywpXeKIDfCmji"&amp;"uAc0HUIsFpaXQq8/edit?gid=0#gid=0"", ""Tracking Shipments - PPTCO!p:p""), 0))"),"PPT-248")</f>
        <v>PPT-248</v>
      </c>
      <c r="C344" s="14" t="s">
        <v>1034</v>
      </c>
      <c r="D344" s="14">
        <v>180746.0</v>
      </c>
      <c r="E344" s="14" t="s">
        <v>1036</v>
      </c>
      <c r="F344" s="14" t="s">
        <v>169</v>
      </c>
      <c r="G344" s="14" t="s">
        <v>177</v>
      </c>
      <c r="H344" s="14" t="s">
        <v>150</v>
      </c>
      <c r="I344" s="14"/>
      <c r="J344" s="14"/>
      <c r="K344" s="14" t="s">
        <v>150</v>
      </c>
      <c r="L344" s="49">
        <v>45900.0</v>
      </c>
      <c r="M344" s="49">
        <v>45908.0</v>
      </c>
      <c r="N344" s="14"/>
      <c r="O344" s="60">
        <v>319.0</v>
      </c>
      <c r="P344" s="14">
        <v>1255.0</v>
      </c>
      <c r="Q344" s="14">
        <v>316.0</v>
      </c>
      <c r="R344" s="52">
        <v>45908.0</v>
      </c>
      <c r="S344" s="13" t="str">
        <f t="shared" si="4"/>
        <v/>
      </c>
      <c r="T344" s="14"/>
      <c r="U344" s="14"/>
      <c r="V344" s="14"/>
      <c r="W344" s="14"/>
      <c r="X344" s="14"/>
      <c r="Y344" s="14" t="s">
        <v>172</v>
      </c>
      <c r="Z344" s="15"/>
      <c r="AA344" s="15"/>
      <c r="AB344" s="15"/>
      <c r="AC344" s="15"/>
      <c r="AD344" s="15"/>
      <c r="AE344" s="15"/>
      <c r="AF344" s="15"/>
      <c r="AG344" s="15"/>
      <c r="AH344" s="15"/>
      <c r="AI344" s="15"/>
    </row>
    <row r="345" ht="15.75" hidden="1" customHeight="1">
      <c r="A345" s="16">
        <v>345.0</v>
      </c>
      <c r="B345" s="17" t="str">
        <f>IFERROR(__xludf.DUMMYFUNCTION("INDEX(IMPORTRANGE(""https://docs.google.com/spreadsheets/d/1S7deMHO2waboU9dywpXeKIDfCmjiuAc0HUIsFpaXQq8/edit?gid=0#gid=0"", ""Tracking Shipments - PPTCO!o:o""), MATCH(D345, IMPORTRANGE(""https://docs.google.com/spreadsheets/d/1S7deMHO2waboU9dywpXeKIDfCmji"&amp;"uAc0HUIsFpaXQq8/edit?gid=0#gid=0"", ""Tracking Shipments - PPTCO!p:p""), 0))"),"PPT-233")</f>
        <v>PPT-233</v>
      </c>
      <c r="C345" s="18" t="s">
        <v>1037</v>
      </c>
      <c r="D345" s="18">
        <v>454323.0</v>
      </c>
      <c r="E345" s="18" t="s">
        <v>1038</v>
      </c>
      <c r="F345" s="18" t="s">
        <v>350</v>
      </c>
      <c r="G345" s="18" t="s">
        <v>702</v>
      </c>
      <c r="H345" s="18" t="s">
        <v>150</v>
      </c>
      <c r="I345" s="18"/>
      <c r="J345" s="18"/>
      <c r="K345" s="18" t="s">
        <v>150</v>
      </c>
      <c r="L345" s="54">
        <v>45913.0</v>
      </c>
      <c r="M345" s="54">
        <v>45915.0</v>
      </c>
      <c r="N345" s="18"/>
      <c r="O345" s="59">
        <v>320.0</v>
      </c>
      <c r="P345" s="18">
        <v>1319.0</v>
      </c>
      <c r="Q345" s="18">
        <v>346.0</v>
      </c>
      <c r="R345" s="47">
        <v>45922.0</v>
      </c>
      <c r="S345" s="22">
        <f t="shared" si="4"/>
        <v>7</v>
      </c>
      <c r="T345" s="18"/>
      <c r="U345" s="18"/>
      <c r="V345" s="18"/>
      <c r="W345" s="16"/>
      <c r="X345" s="18"/>
      <c r="Y345" s="18" t="s">
        <v>172</v>
      </c>
      <c r="Z345" s="24"/>
      <c r="AA345" s="24"/>
      <c r="AB345" s="24"/>
      <c r="AC345" s="24"/>
      <c r="AD345" s="24"/>
      <c r="AE345" s="24"/>
      <c r="AF345" s="24"/>
      <c r="AG345" s="24"/>
      <c r="AH345" s="24"/>
      <c r="AI345" s="24"/>
    </row>
    <row r="346" ht="12.75" hidden="1" customHeight="1">
      <c r="A346" s="8">
        <v>346.0</v>
      </c>
      <c r="B346" s="9" t="str">
        <f>IFERROR(__xludf.DUMMYFUNCTION("INDEX(IMPORTRANGE(""https://docs.google.com/spreadsheets/d/1S7deMHO2waboU9dywpXeKIDfCmjiuAc0HUIsFpaXQq8/edit?gid=0#gid=0"", ""Tracking Shipments - PPTCO!o:o""), MATCH(D346, IMPORTRANGE(""https://docs.google.com/spreadsheets/d/1S7deMHO2waboU9dywpXeKIDfCmji"&amp;"uAc0HUIsFpaXQq8/edit?gid=0#gid=0"", ""Tracking Shipments - PPTCO!p:p""), 0))"),"PPT-134")</f>
        <v>PPT-134</v>
      </c>
      <c r="C346" s="14" t="s">
        <v>1039</v>
      </c>
      <c r="D346" s="14">
        <v>184301.0</v>
      </c>
      <c r="E346" s="14" t="s">
        <v>1040</v>
      </c>
      <c r="F346" s="14" t="s">
        <v>432</v>
      </c>
      <c r="G346" s="14" t="s">
        <v>682</v>
      </c>
      <c r="H346" s="14" t="s">
        <v>150</v>
      </c>
      <c r="I346" s="14"/>
      <c r="J346" s="14"/>
      <c r="K346" s="14" t="s">
        <v>150</v>
      </c>
      <c r="L346" s="58">
        <v>45907.0</v>
      </c>
      <c r="M346" s="58">
        <v>45907.0</v>
      </c>
      <c r="N346" s="14"/>
      <c r="O346" s="60" t="s">
        <v>1041</v>
      </c>
      <c r="P346" s="14" t="s">
        <v>1042</v>
      </c>
      <c r="Q346" s="14" t="s">
        <v>1043</v>
      </c>
      <c r="R346" s="52">
        <v>45911.0</v>
      </c>
      <c r="S346" s="13">
        <f t="shared" si="4"/>
        <v>4</v>
      </c>
      <c r="T346" s="14"/>
      <c r="U346" s="14"/>
      <c r="V346" s="14"/>
      <c r="W346" s="14"/>
      <c r="X346" s="14"/>
      <c r="Y346" s="14" t="s">
        <v>172</v>
      </c>
      <c r="Z346" s="15"/>
      <c r="AA346" s="15"/>
      <c r="AB346" s="15"/>
      <c r="AC346" s="15"/>
      <c r="AD346" s="15"/>
      <c r="AE346" s="15"/>
      <c r="AF346" s="15"/>
      <c r="AG346" s="15"/>
      <c r="AH346" s="15"/>
      <c r="AI346" s="15"/>
    </row>
    <row r="347" ht="14.25" hidden="1" customHeight="1">
      <c r="A347" s="16">
        <v>347.0</v>
      </c>
      <c r="B347" s="17" t="str">
        <f>IFERROR(__xludf.DUMMYFUNCTION("INDEX(IMPORTRANGE(""https://docs.google.com/spreadsheets/d/1S7deMHO2waboU9dywpXeKIDfCmjiuAc0HUIsFpaXQq8/edit?gid=0#gid=0"", ""Tracking Shipments - PPTCO!o:o""), MATCH(D347, IMPORTRANGE(""https://docs.google.com/spreadsheets/d/1S7deMHO2waboU9dywpXeKIDfCmji"&amp;"uAc0HUIsFpaXQq8/edit?gid=0#gid=0"", ""Tracking Shipments - PPTCO!p:p""), 0))"),"PPT-235")</f>
        <v>PPT-235</v>
      </c>
      <c r="C347" s="18" t="s">
        <v>1044</v>
      </c>
      <c r="D347" s="18">
        <v>190106.0</v>
      </c>
      <c r="E347" s="18" t="s">
        <v>1045</v>
      </c>
      <c r="F347" s="18" t="s">
        <v>37</v>
      </c>
      <c r="G347" s="18" t="s">
        <v>177</v>
      </c>
      <c r="H347" s="18" t="s">
        <v>150</v>
      </c>
      <c r="I347" s="18"/>
      <c r="J347" s="18"/>
      <c r="K347" s="18" t="s">
        <v>150</v>
      </c>
      <c r="L347" s="54">
        <v>45918.0</v>
      </c>
      <c r="M347" s="57">
        <v>45922.0</v>
      </c>
      <c r="N347" s="18"/>
      <c r="O347" s="59">
        <v>321.0</v>
      </c>
      <c r="P347" s="18">
        <v>1321.0</v>
      </c>
      <c r="Q347" s="18">
        <v>345.0</v>
      </c>
      <c r="R347" s="47">
        <v>45922.0</v>
      </c>
      <c r="S347" s="22" t="str">
        <f t="shared" si="4"/>
        <v/>
      </c>
      <c r="T347" s="18"/>
      <c r="U347" s="18"/>
      <c r="V347" s="18"/>
      <c r="W347" s="18"/>
      <c r="X347" s="18"/>
      <c r="Y347" s="18" t="s">
        <v>172</v>
      </c>
      <c r="Z347" s="24"/>
      <c r="AA347" s="24"/>
      <c r="AB347" s="24"/>
      <c r="AC347" s="24"/>
      <c r="AD347" s="24"/>
      <c r="AE347" s="24"/>
      <c r="AF347" s="24"/>
      <c r="AG347" s="24"/>
      <c r="AH347" s="24"/>
      <c r="AI347" s="24"/>
    </row>
    <row r="348" ht="15.75" hidden="1" customHeight="1">
      <c r="A348" s="8">
        <v>348.0</v>
      </c>
      <c r="B348" s="14" t="s">
        <v>148</v>
      </c>
      <c r="C348" s="14" t="s">
        <v>1046</v>
      </c>
      <c r="D348" s="14">
        <v>190531.0</v>
      </c>
      <c r="E348" s="14" t="s">
        <v>1047</v>
      </c>
      <c r="F348" s="14" t="s">
        <v>1048</v>
      </c>
      <c r="G348" s="14" t="s">
        <v>682</v>
      </c>
      <c r="H348" s="14" t="s">
        <v>150</v>
      </c>
      <c r="I348" s="14"/>
      <c r="J348" s="14"/>
      <c r="K348" s="14" t="s">
        <v>150</v>
      </c>
      <c r="L348" s="49">
        <v>45910.0</v>
      </c>
      <c r="M348" s="49">
        <v>45911.0</v>
      </c>
      <c r="N348" s="14"/>
      <c r="O348" s="60">
        <v>328.0</v>
      </c>
      <c r="P348" s="14">
        <v>1313.0</v>
      </c>
      <c r="Q348" s="14">
        <v>338.0</v>
      </c>
      <c r="R348" s="52">
        <v>45918.0</v>
      </c>
      <c r="S348" s="13">
        <f t="shared" si="4"/>
        <v>7</v>
      </c>
      <c r="T348" s="14"/>
      <c r="U348" s="14"/>
      <c r="V348" s="14"/>
      <c r="W348" s="8"/>
      <c r="X348" s="14"/>
      <c r="Y348" s="14" t="s">
        <v>172</v>
      </c>
      <c r="Z348" s="15"/>
      <c r="AA348" s="15"/>
      <c r="AB348" s="15"/>
      <c r="AC348" s="15"/>
      <c r="AD348" s="15"/>
      <c r="AE348" s="15"/>
      <c r="AF348" s="15"/>
      <c r="AG348" s="15"/>
      <c r="AH348" s="15"/>
      <c r="AI348" s="15"/>
    </row>
    <row r="349" ht="14.25" hidden="1" customHeight="1">
      <c r="A349" s="16">
        <v>349.0</v>
      </c>
      <c r="B349" s="17" t="str">
        <f>IFERROR(__xludf.DUMMYFUNCTION("INDEX(IMPORTRANGE(""https://docs.google.com/spreadsheets/d/1S7deMHO2waboU9dywpXeKIDfCmjiuAc0HUIsFpaXQq8/edit?gid=0#gid=0"", ""Tracking Shipments - PPTCO!o:o""), MATCH(D349, IMPORTRANGE(""https://docs.google.com/spreadsheets/d/1S7deMHO2waboU9dywpXeKIDfCmji"&amp;"uAc0HUIsFpaXQq8/edit?gid=0#gid=0"", ""Tracking Shipments - PPTCO!p:p""), 0))"),"PPT-235")</f>
        <v>PPT-235</v>
      </c>
      <c r="C349" s="18" t="s">
        <v>1049</v>
      </c>
      <c r="D349" s="18">
        <v>190268.0</v>
      </c>
      <c r="E349" s="18" t="s">
        <v>1050</v>
      </c>
      <c r="F349" s="18" t="s">
        <v>37</v>
      </c>
      <c r="G349" s="18" t="s">
        <v>177</v>
      </c>
      <c r="H349" s="18" t="s">
        <v>150</v>
      </c>
      <c r="I349" s="18"/>
      <c r="J349" s="18"/>
      <c r="K349" s="18" t="s">
        <v>150</v>
      </c>
      <c r="L349" s="54">
        <v>45918.0</v>
      </c>
      <c r="M349" s="57">
        <v>45922.0</v>
      </c>
      <c r="N349" s="18"/>
      <c r="O349" s="59">
        <v>322.0</v>
      </c>
      <c r="P349" s="18">
        <v>1320.0</v>
      </c>
      <c r="Q349" s="18">
        <v>344.0</v>
      </c>
      <c r="R349" s="47">
        <v>45922.0</v>
      </c>
      <c r="S349" s="22" t="str">
        <f t="shared" si="4"/>
        <v/>
      </c>
      <c r="T349" s="18"/>
      <c r="U349" s="18"/>
      <c r="V349" s="18"/>
      <c r="W349" s="18"/>
      <c r="X349" s="18"/>
      <c r="Y349" s="18" t="s">
        <v>172</v>
      </c>
      <c r="Z349" s="24"/>
      <c r="AA349" s="24"/>
      <c r="AB349" s="24"/>
      <c r="AC349" s="24"/>
      <c r="AD349" s="24"/>
      <c r="AE349" s="24"/>
      <c r="AF349" s="24"/>
      <c r="AG349" s="24"/>
      <c r="AH349" s="24"/>
      <c r="AI349" s="24"/>
    </row>
    <row r="350" ht="14.25" hidden="1" customHeight="1">
      <c r="A350" s="8">
        <v>350.0</v>
      </c>
      <c r="B350" s="9" t="str">
        <f>IFERROR(__xludf.DUMMYFUNCTION("INDEX(IMPORTRANGE(""https://docs.google.com/spreadsheets/d/1S7deMHO2waboU9dywpXeKIDfCmjiuAc0HUIsFpaXQq8/edit?gid=0#gid=0"", ""Tracking Shipments - PPTCO!o:o""), MATCH(D350, IMPORTRANGE(""https://docs.google.com/spreadsheets/d/1S7deMHO2waboU9dywpXeKIDfCmji"&amp;"uAc0HUIsFpaXQq8/edit?gid=0#gid=0"", ""Tracking Shipments - PPTCO!p:p""), 0))"),"PPT-211")</f>
        <v>PPT-211</v>
      </c>
      <c r="C350" s="14" t="s">
        <v>1051</v>
      </c>
      <c r="D350" s="14">
        <v>493665.0</v>
      </c>
      <c r="E350" s="14" t="s">
        <v>1052</v>
      </c>
      <c r="F350" s="14" t="s">
        <v>312</v>
      </c>
      <c r="G350" s="14" t="s">
        <v>177</v>
      </c>
      <c r="H350" s="14" t="s">
        <v>150</v>
      </c>
      <c r="I350" s="14"/>
      <c r="J350" s="14"/>
      <c r="K350" s="14" t="s">
        <v>150</v>
      </c>
      <c r="L350" s="49">
        <v>45924.0</v>
      </c>
      <c r="M350" s="49">
        <v>45930.0</v>
      </c>
      <c r="N350" s="14"/>
      <c r="O350" s="60">
        <v>329.0</v>
      </c>
      <c r="P350" s="14">
        <v>1361.0</v>
      </c>
      <c r="Q350" s="14">
        <v>347.0</v>
      </c>
      <c r="R350" s="52">
        <v>45932.0</v>
      </c>
      <c r="S350" s="13">
        <f t="shared" si="4"/>
        <v>2</v>
      </c>
      <c r="T350" s="14"/>
      <c r="U350" s="14"/>
      <c r="V350" s="14"/>
      <c r="W350" s="14"/>
      <c r="X350" s="14"/>
      <c r="Y350" s="14" t="s">
        <v>172</v>
      </c>
      <c r="Z350" s="15"/>
      <c r="AA350" s="15"/>
      <c r="AB350" s="15"/>
      <c r="AC350" s="15"/>
      <c r="AD350" s="15"/>
      <c r="AE350" s="15"/>
      <c r="AF350" s="15"/>
      <c r="AG350" s="15"/>
      <c r="AH350" s="15"/>
      <c r="AI350" s="15"/>
    </row>
    <row r="351" ht="15.75" hidden="1" customHeight="1">
      <c r="A351" s="16">
        <v>351.0</v>
      </c>
      <c r="B351" s="18" t="s">
        <v>148</v>
      </c>
      <c r="C351" s="18" t="s">
        <v>1053</v>
      </c>
      <c r="D351" s="18">
        <v>514182.0</v>
      </c>
      <c r="E351" s="18" t="s">
        <v>1054</v>
      </c>
      <c r="F351" s="18" t="s">
        <v>637</v>
      </c>
      <c r="G351" s="18" t="s">
        <v>702</v>
      </c>
      <c r="H351" s="18" t="s">
        <v>150</v>
      </c>
      <c r="I351" s="18"/>
      <c r="J351" s="18"/>
      <c r="K351" s="18" t="s">
        <v>150</v>
      </c>
      <c r="L351" s="54">
        <v>45927.0</v>
      </c>
      <c r="M351" s="57">
        <v>45928.0</v>
      </c>
      <c r="N351" s="18"/>
      <c r="O351" s="59">
        <v>330.0</v>
      </c>
      <c r="P351" s="18">
        <v>1362.0</v>
      </c>
      <c r="Q351" s="18">
        <v>348.0</v>
      </c>
      <c r="R351" s="47">
        <v>45936.0</v>
      </c>
      <c r="S351" s="22">
        <f t="shared" si="4"/>
        <v>8</v>
      </c>
      <c r="T351" s="18"/>
      <c r="U351" s="18"/>
      <c r="V351" s="18"/>
      <c r="W351" s="16"/>
      <c r="X351" s="18"/>
      <c r="Y351" s="18" t="s">
        <v>35</v>
      </c>
      <c r="Z351" s="24"/>
      <c r="AA351" s="24"/>
      <c r="AB351" s="24"/>
      <c r="AC351" s="24"/>
      <c r="AD351" s="24"/>
      <c r="AE351" s="24"/>
      <c r="AF351" s="24"/>
      <c r="AG351" s="24"/>
      <c r="AH351" s="24"/>
      <c r="AI351" s="24"/>
    </row>
    <row r="352" ht="15.75" hidden="1" customHeight="1">
      <c r="A352" s="8">
        <v>352.0</v>
      </c>
      <c r="B352" s="9" t="str">
        <f>IFERROR(__xludf.DUMMYFUNCTION("INDEX(IMPORTRANGE(""https://docs.google.com/spreadsheets/d/1S7deMHO2waboU9dywpXeKIDfCmjiuAc0HUIsFpaXQq8/edit?gid=0#gid=0"", ""Tracking Shipments - PPTCO!o:o""), MATCH(D352, IMPORTRANGE(""https://docs.google.com/spreadsheets/d/1S7deMHO2waboU9dywpXeKIDfCmji"&amp;"uAc0HUIsFpaXQq8/edit?gid=0#gid=0"", ""Tracking Shipments - PPTCO!p:p""), 0))"),"PPT-250")</f>
        <v>PPT-250</v>
      </c>
      <c r="C352" s="14" t="s">
        <v>1055</v>
      </c>
      <c r="D352" s="14">
        <v>205609.0</v>
      </c>
      <c r="E352" s="14" t="s">
        <v>1056</v>
      </c>
      <c r="F352" s="14" t="s">
        <v>768</v>
      </c>
      <c r="G352" s="14" t="s">
        <v>682</v>
      </c>
      <c r="H352" s="14" t="s">
        <v>150</v>
      </c>
      <c r="I352" s="14"/>
      <c r="J352" s="14"/>
      <c r="K352" s="14" t="s">
        <v>150</v>
      </c>
      <c r="L352" s="58">
        <v>45937.0</v>
      </c>
      <c r="M352" s="49">
        <v>45939.0</v>
      </c>
      <c r="N352" s="14"/>
      <c r="O352" s="60">
        <v>344.0</v>
      </c>
      <c r="P352" s="14">
        <v>1405.0</v>
      </c>
      <c r="Q352" s="14">
        <v>353.0</v>
      </c>
      <c r="R352" s="52">
        <v>45939.0</v>
      </c>
      <c r="S352" s="13" t="str">
        <f t="shared" si="4"/>
        <v/>
      </c>
      <c r="T352" s="14"/>
      <c r="U352" s="14"/>
      <c r="V352" s="14"/>
      <c r="W352" s="14"/>
      <c r="X352" s="14"/>
      <c r="Y352" s="14" t="s">
        <v>35</v>
      </c>
      <c r="Z352" s="15"/>
      <c r="AA352" s="15"/>
      <c r="AB352" s="15"/>
      <c r="AC352" s="15"/>
      <c r="AD352" s="15"/>
      <c r="AE352" s="15"/>
      <c r="AF352" s="15"/>
      <c r="AG352" s="15"/>
      <c r="AH352" s="15"/>
      <c r="AI352" s="15"/>
    </row>
    <row r="353" ht="15.75" hidden="1" customHeight="1">
      <c r="A353" s="16">
        <v>353.0</v>
      </c>
      <c r="B353" s="17" t="str">
        <f>IFERROR(__xludf.DUMMYFUNCTION("INDEX(IMPORTRANGE(""https://docs.google.com/spreadsheets/d/1S7deMHO2waboU9dywpXeKIDfCmjiuAc0HUIsFpaXQq8/edit?gid=0#gid=0"", ""Tracking Shipments - PPTCO!o:o""), MATCH(D353, IMPORTRANGE(""https://docs.google.com/spreadsheets/d/1S7deMHO2waboU9dywpXeKIDfCmji"&amp;"uAc0HUIsFpaXQq8/edit?gid=0#gid=0"", ""Tracking Shipments - PPTCO!p:p""), 0))"),"PPT-201")</f>
        <v>PPT-201</v>
      </c>
      <c r="C353" s="18" t="s">
        <v>1057</v>
      </c>
      <c r="D353" s="18">
        <v>208693.0</v>
      </c>
      <c r="E353" s="18" t="s">
        <v>1058</v>
      </c>
      <c r="F353" s="18" t="s">
        <v>143</v>
      </c>
      <c r="G353" s="18" t="s">
        <v>682</v>
      </c>
      <c r="H353" s="18" t="s">
        <v>150</v>
      </c>
      <c r="I353" s="18"/>
      <c r="J353" s="18"/>
      <c r="K353" s="18" t="s">
        <v>150</v>
      </c>
      <c r="L353" s="57">
        <v>45939.0</v>
      </c>
      <c r="M353" s="54">
        <v>45942.0</v>
      </c>
      <c r="N353" s="18"/>
      <c r="O353" s="59">
        <v>331.0</v>
      </c>
      <c r="P353" s="18">
        <v>1429.0</v>
      </c>
      <c r="Q353" s="18">
        <v>362.0</v>
      </c>
      <c r="R353" s="47">
        <v>45946.0</v>
      </c>
      <c r="S353" s="22">
        <f t="shared" si="4"/>
        <v>4</v>
      </c>
      <c r="T353" s="18"/>
      <c r="U353" s="18"/>
      <c r="V353" s="18"/>
      <c r="W353" s="18"/>
      <c r="X353" s="18"/>
      <c r="Y353" s="18" t="s">
        <v>35</v>
      </c>
      <c r="Z353" s="24"/>
      <c r="AA353" s="24"/>
      <c r="AB353" s="24"/>
      <c r="AC353" s="24"/>
      <c r="AD353" s="24"/>
      <c r="AE353" s="24"/>
      <c r="AF353" s="24"/>
      <c r="AG353" s="24"/>
      <c r="AH353" s="24"/>
      <c r="AI353" s="24"/>
    </row>
    <row r="354" ht="14.25" hidden="1" customHeight="1">
      <c r="A354" s="8">
        <v>354.0</v>
      </c>
      <c r="B354" s="14" t="s">
        <v>148</v>
      </c>
      <c r="C354" s="14" t="s">
        <v>1059</v>
      </c>
      <c r="D354" s="14">
        <v>538352.0</v>
      </c>
      <c r="E354" s="14" t="s">
        <v>1060</v>
      </c>
      <c r="F354" s="14" t="s">
        <v>122</v>
      </c>
      <c r="G354" s="14" t="s">
        <v>702</v>
      </c>
      <c r="H354" s="14" t="s">
        <v>150</v>
      </c>
      <c r="I354" s="14"/>
      <c r="J354" s="14"/>
      <c r="K354" s="14" t="s">
        <v>150</v>
      </c>
      <c r="L354" s="58">
        <v>45936.0</v>
      </c>
      <c r="M354" s="58">
        <v>45938.0</v>
      </c>
      <c r="N354" s="14"/>
      <c r="O354" s="60" t="s">
        <v>1061</v>
      </c>
      <c r="P354" s="14" t="s">
        <v>1062</v>
      </c>
      <c r="Q354" s="14" t="s">
        <v>1063</v>
      </c>
      <c r="R354" s="52">
        <v>45942.0</v>
      </c>
      <c r="S354" s="13">
        <f t="shared" si="4"/>
        <v>4</v>
      </c>
      <c r="T354" s="14"/>
      <c r="U354" s="14"/>
      <c r="V354" s="14"/>
      <c r="W354" s="8"/>
      <c r="X354" s="14"/>
      <c r="Y354" s="14" t="s">
        <v>35</v>
      </c>
      <c r="Z354" s="15"/>
      <c r="AA354" s="15"/>
      <c r="AB354" s="15"/>
      <c r="AC354" s="15"/>
      <c r="AD354" s="15"/>
      <c r="AE354" s="15"/>
      <c r="AF354" s="15"/>
      <c r="AG354" s="15"/>
      <c r="AH354" s="15"/>
      <c r="AI354" s="15"/>
    </row>
    <row r="355" ht="14.25" hidden="1" customHeight="1">
      <c r="A355" s="16">
        <v>355.0</v>
      </c>
      <c r="B355" s="17" t="str">
        <f>IFERROR(__xludf.DUMMYFUNCTION("INDEX(IMPORTRANGE(""https://docs.google.com/spreadsheets/d/1S7deMHO2waboU9dywpXeKIDfCmjiuAc0HUIsFpaXQq8/edit?gid=0#gid=0"", ""Tracking Shipments - PPTCO!o:o""), MATCH(D355, IMPORTRANGE(""https://docs.google.com/spreadsheets/d/1S7deMHO2waboU9dywpXeKIDfCmji"&amp;"uAc0HUIsFpaXQq8/edit?gid=0#gid=0"", ""Tracking Shipments - PPTCO!p:p""), 0))"),"PPT-240")</f>
        <v>PPT-240</v>
      </c>
      <c r="C355" s="18" t="s">
        <v>1064</v>
      </c>
      <c r="D355" s="18">
        <v>210237.0</v>
      </c>
      <c r="E355" s="18" t="s">
        <v>1065</v>
      </c>
      <c r="F355" s="18" t="s">
        <v>1066</v>
      </c>
      <c r="G355" s="18" t="s">
        <v>682</v>
      </c>
      <c r="H355" s="18" t="s">
        <v>150</v>
      </c>
      <c r="I355" s="18"/>
      <c r="J355" s="18"/>
      <c r="K355" s="18" t="s">
        <v>150</v>
      </c>
      <c r="L355" s="54">
        <v>45953.0</v>
      </c>
      <c r="M355" s="54">
        <v>45954.0</v>
      </c>
      <c r="N355" s="18"/>
      <c r="O355" s="59">
        <v>332.0</v>
      </c>
      <c r="P355" s="18">
        <v>1460.0</v>
      </c>
      <c r="Q355" s="18">
        <v>368.0</v>
      </c>
      <c r="R355" s="47">
        <v>45953.0</v>
      </c>
      <c r="S355" s="22" t="str">
        <f t="shared" si="4"/>
        <v/>
      </c>
      <c r="T355" s="18"/>
      <c r="U355" s="18"/>
      <c r="V355" s="18"/>
      <c r="W355" s="18"/>
      <c r="X355" s="18"/>
      <c r="Y355" s="18" t="s">
        <v>35</v>
      </c>
      <c r="Z355" s="24"/>
      <c r="AA355" s="24"/>
      <c r="AB355" s="24"/>
      <c r="AC355" s="24"/>
      <c r="AD355" s="24"/>
      <c r="AE355" s="24"/>
      <c r="AF355" s="24"/>
      <c r="AG355" s="24"/>
      <c r="AH355" s="24"/>
      <c r="AI355" s="24"/>
    </row>
    <row r="356" ht="15.75" hidden="1" customHeight="1">
      <c r="A356" s="8">
        <v>356.0</v>
      </c>
      <c r="B356" s="9" t="str">
        <f>IFERROR(__xludf.DUMMYFUNCTION("INDEX(IMPORTRANGE(""https://docs.google.com/spreadsheets/d/1S7deMHO2waboU9dywpXeKIDfCmjiuAc0HUIsFpaXQq8/edit?gid=0#gid=0"", ""Tracking Shipments - PPTCO!o:o""), MATCH(D356, IMPORTRANGE(""https://docs.google.com/spreadsheets/d/1S7deMHO2waboU9dywpXeKIDfCmji"&amp;"uAc0HUIsFpaXQq8/edit?gid=0#gid=0"", ""Tracking Shipments - PPTCO!p:p""), 0))"),"PPT-209")</f>
        <v>PPT-209</v>
      </c>
      <c r="C356" s="14" t="s">
        <v>1067</v>
      </c>
      <c r="D356" s="14">
        <v>540267.0</v>
      </c>
      <c r="E356" s="14" t="s">
        <v>1068</v>
      </c>
      <c r="F356" s="14" t="s">
        <v>1066</v>
      </c>
      <c r="G356" s="14" t="s">
        <v>682</v>
      </c>
      <c r="H356" s="14" t="s">
        <v>150</v>
      </c>
      <c r="I356" s="14"/>
      <c r="J356" s="14"/>
      <c r="K356" s="14" t="s">
        <v>150</v>
      </c>
      <c r="L356" s="58">
        <v>45939.0</v>
      </c>
      <c r="M356" s="49">
        <v>45940.0</v>
      </c>
      <c r="N356" s="14"/>
      <c r="O356" s="60">
        <v>338.0</v>
      </c>
      <c r="P356" s="14">
        <v>1404.0</v>
      </c>
      <c r="Q356" s="14">
        <v>354.0</v>
      </c>
      <c r="R356" s="52">
        <v>45939.0</v>
      </c>
      <c r="S356" s="13" t="str">
        <f t="shared" si="4"/>
        <v/>
      </c>
      <c r="T356" s="14"/>
      <c r="U356" s="14"/>
      <c r="V356" s="14"/>
      <c r="W356" s="14"/>
      <c r="X356" s="14"/>
      <c r="Y356" s="14" t="s">
        <v>35</v>
      </c>
      <c r="Z356" s="15"/>
      <c r="AA356" s="15"/>
      <c r="AB356" s="15"/>
      <c r="AC356" s="15"/>
      <c r="AD356" s="15"/>
      <c r="AE356" s="15"/>
      <c r="AF356" s="15"/>
      <c r="AG356" s="15"/>
      <c r="AH356" s="15"/>
      <c r="AI356" s="15"/>
    </row>
    <row r="357" ht="15.75" hidden="1" customHeight="1">
      <c r="A357" s="16">
        <v>357.0</v>
      </c>
      <c r="B357" s="17" t="str">
        <f>IFERROR(__xludf.DUMMYFUNCTION("INDEX(IMPORTRANGE(""https://docs.google.com/spreadsheets/d/1S7deMHO2waboU9dywpXeKIDfCmjiuAc0HUIsFpaXQq8/edit?gid=0#gid=0"", ""Tracking Shipments - PPTCO!o:o""), MATCH(D357, IMPORTRANGE(""https://docs.google.com/spreadsheets/d/1S7deMHO2waboU9dywpXeKIDfCmji"&amp;"uAc0HUIsFpaXQq8/edit?gid=0#gid=0"", ""Tracking Shipments - PPTCO!p:p""), 0))"),"PPT-254")</f>
        <v>PPT-254</v>
      </c>
      <c r="C357" s="18" t="s">
        <v>1069</v>
      </c>
      <c r="D357" s="18">
        <v>209945.0</v>
      </c>
      <c r="E357" s="18" t="s">
        <v>1070</v>
      </c>
      <c r="F357" s="18" t="s">
        <v>1066</v>
      </c>
      <c r="G357" s="18" t="s">
        <v>682</v>
      </c>
      <c r="H357" s="18" t="s">
        <v>150</v>
      </c>
      <c r="I357" s="18"/>
      <c r="J357" s="18"/>
      <c r="K357" s="18" t="s">
        <v>150</v>
      </c>
      <c r="L357" s="54">
        <v>45951.0</v>
      </c>
      <c r="M357" s="54">
        <v>45952.0</v>
      </c>
      <c r="N357" s="18"/>
      <c r="O357" s="59">
        <v>343.0</v>
      </c>
      <c r="P357" s="18">
        <v>1461.0</v>
      </c>
      <c r="Q357" s="18">
        <v>369.0</v>
      </c>
      <c r="R357" s="47">
        <v>45953.0</v>
      </c>
      <c r="S357" s="22">
        <f t="shared" si="4"/>
        <v>1</v>
      </c>
      <c r="T357" s="18"/>
      <c r="U357" s="18"/>
      <c r="V357" s="18"/>
      <c r="W357" s="16"/>
      <c r="X357" s="18"/>
      <c r="Y357" s="18" t="s">
        <v>35</v>
      </c>
      <c r="Z357" s="24"/>
      <c r="AA357" s="24"/>
      <c r="AB357" s="24"/>
      <c r="AC357" s="24"/>
      <c r="AD357" s="24"/>
      <c r="AE357" s="24"/>
      <c r="AF357" s="24"/>
      <c r="AG357" s="24"/>
      <c r="AH357" s="24"/>
      <c r="AI357" s="24"/>
    </row>
    <row r="358" ht="15.75" hidden="1" customHeight="1">
      <c r="A358" s="8">
        <v>358.0</v>
      </c>
      <c r="B358" s="9" t="str">
        <f>IFERROR(__xludf.DUMMYFUNCTION("INDEX(IMPORTRANGE(""https://docs.google.com/spreadsheets/d/1S7deMHO2waboU9dywpXeKIDfCmjiuAc0HUIsFpaXQq8/edit?gid=0#gid=0"", ""Tracking Shipments - PPTCO!o:o""), MATCH(D358, IMPORTRANGE(""https://docs.google.com/spreadsheets/d/1S7deMHO2waboU9dywpXeKIDfCmji"&amp;"uAc0HUIsFpaXQq8/edit?gid=0#gid=0"", ""Tracking Shipments - PPTCO!p:p""), 0))"),"PPT-263")</f>
        <v>PPT-263</v>
      </c>
      <c r="C358" s="14" t="s">
        <v>1071</v>
      </c>
      <c r="D358" s="14">
        <v>546840.0</v>
      </c>
      <c r="E358" s="14" t="s">
        <v>1072</v>
      </c>
      <c r="F358" s="14" t="s">
        <v>59</v>
      </c>
      <c r="G358" s="14" t="s">
        <v>702</v>
      </c>
      <c r="H358" s="14" t="s">
        <v>150</v>
      </c>
      <c r="I358" s="14"/>
      <c r="J358" s="14"/>
      <c r="K358" s="14" t="s">
        <v>150</v>
      </c>
      <c r="L358" s="49">
        <v>45941.0</v>
      </c>
      <c r="M358" s="49">
        <v>45942.0</v>
      </c>
      <c r="N358" s="14"/>
      <c r="O358" s="60">
        <v>345.0</v>
      </c>
      <c r="P358" s="14">
        <v>1428.0</v>
      </c>
      <c r="Q358" s="14">
        <v>363.0</v>
      </c>
      <c r="R358" s="52">
        <v>45946.0</v>
      </c>
      <c r="S358" s="13">
        <f t="shared" si="4"/>
        <v>4</v>
      </c>
      <c r="T358" s="14"/>
      <c r="U358" s="14"/>
      <c r="V358" s="14"/>
      <c r="W358" s="14"/>
      <c r="X358" s="14"/>
      <c r="Y358" s="14" t="s">
        <v>35</v>
      </c>
      <c r="Z358" s="15"/>
      <c r="AA358" s="15"/>
      <c r="AB358" s="15"/>
      <c r="AC358" s="15"/>
      <c r="AD358" s="15"/>
      <c r="AE358" s="15"/>
      <c r="AF358" s="15"/>
      <c r="AG358" s="15"/>
      <c r="AH358" s="15"/>
      <c r="AI358" s="15"/>
    </row>
    <row r="359" ht="15.0" hidden="1" customHeight="1">
      <c r="A359" s="16">
        <v>359.0</v>
      </c>
      <c r="B359" s="17" t="str">
        <f>IFERROR(__xludf.DUMMYFUNCTION("INDEX(IMPORTRANGE(""https://docs.google.com/spreadsheets/d/1S7deMHO2waboU9dywpXeKIDfCmjiuAc0HUIsFpaXQq8/edit?gid=0#gid=0"", ""Tracking Shipments - PPTCO!o:o""), MATCH(D359, IMPORTRANGE(""https://docs.google.com/spreadsheets/d/1S7deMHO2waboU9dywpXeKIDfCmji"&amp;"uAc0HUIsFpaXQq8/edit?gid=0#gid=0"", ""Tracking Shipments - PPTCO!p:p""), 0))"),"PPT-233")</f>
        <v>PPT-233</v>
      </c>
      <c r="C359" s="18" t="s">
        <v>1073</v>
      </c>
      <c r="D359" s="18">
        <v>556445.0</v>
      </c>
      <c r="E359" s="18" t="s">
        <v>1074</v>
      </c>
      <c r="F359" s="18" t="s">
        <v>350</v>
      </c>
      <c r="G359" s="18" t="s">
        <v>702</v>
      </c>
      <c r="H359" s="18" t="s">
        <v>150</v>
      </c>
      <c r="I359" s="18"/>
      <c r="J359" s="18"/>
      <c r="K359" s="18" t="s">
        <v>150</v>
      </c>
      <c r="L359" s="54">
        <v>45945.0</v>
      </c>
      <c r="M359" s="54">
        <v>45949.0</v>
      </c>
      <c r="N359" s="18"/>
      <c r="O359" s="59" t="s">
        <v>414</v>
      </c>
      <c r="P359" s="18" t="s">
        <v>1075</v>
      </c>
      <c r="Q359" s="18" t="s">
        <v>1076</v>
      </c>
      <c r="R359" s="47">
        <v>45953.0</v>
      </c>
      <c r="S359" s="22">
        <f t="shared" si="4"/>
        <v>4</v>
      </c>
      <c r="T359" s="18"/>
      <c r="U359" s="18"/>
      <c r="V359" s="18"/>
      <c r="W359" s="18"/>
      <c r="X359" s="18"/>
      <c r="Y359" s="18" t="s">
        <v>35</v>
      </c>
      <c r="Z359" s="24"/>
      <c r="AA359" s="24"/>
      <c r="AB359" s="24"/>
      <c r="AC359" s="24"/>
      <c r="AD359" s="24"/>
      <c r="AE359" s="24"/>
      <c r="AF359" s="24"/>
      <c r="AG359" s="24"/>
      <c r="AH359" s="24"/>
      <c r="AI359" s="24"/>
    </row>
    <row r="360" ht="15.75" hidden="1" customHeight="1">
      <c r="A360" s="8">
        <v>360.0</v>
      </c>
      <c r="B360" s="9" t="str">
        <f>IFERROR(__xludf.DUMMYFUNCTION("INDEX(IMPORTRANGE(""https://docs.google.com/spreadsheets/d/1S7deMHO2waboU9dywpXeKIDfCmjiuAc0HUIsFpaXQq8/edit?gid=0#gid=0"", ""Tracking Shipments - PPTCO!o:o""), MATCH(D360, IMPORTRANGE(""https://docs.google.com/spreadsheets/d/1S7deMHO2waboU9dywpXeKIDfCmji"&amp;"uAc0HUIsFpaXQq8/edit?gid=0#gid=0"", ""Tracking Shipments - PPTCO!p:p""), 0))"),"PPT-250")</f>
        <v>PPT-250</v>
      </c>
      <c r="C360" s="14" t="s">
        <v>1077</v>
      </c>
      <c r="D360" s="14">
        <v>222861.0</v>
      </c>
      <c r="E360" s="14" t="s">
        <v>1078</v>
      </c>
      <c r="F360" s="14" t="s">
        <v>768</v>
      </c>
      <c r="G360" s="14" t="s">
        <v>682</v>
      </c>
      <c r="H360" s="14" t="s">
        <v>150</v>
      </c>
      <c r="I360" s="14"/>
      <c r="J360" s="14"/>
      <c r="K360" s="14" t="s">
        <v>150</v>
      </c>
      <c r="L360" s="49">
        <v>45952.0</v>
      </c>
      <c r="M360" s="49">
        <v>45954.0</v>
      </c>
      <c r="N360" s="14"/>
      <c r="O360" s="60">
        <v>349.0</v>
      </c>
      <c r="P360" s="14">
        <v>1462.0</v>
      </c>
      <c r="Q360" s="14">
        <v>367.0</v>
      </c>
      <c r="R360" s="52">
        <v>45953.0</v>
      </c>
      <c r="S360" s="13" t="str">
        <f t="shared" si="4"/>
        <v/>
      </c>
      <c r="T360" s="14"/>
      <c r="U360" s="14"/>
      <c r="V360" s="14"/>
      <c r="W360" s="8"/>
      <c r="X360" s="14"/>
      <c r="Y360" s="14" t="s">
        <v>35</v>
      </c>
      <c r="Z360" s="15"/>
      <c r="AA360" s="15"/>
      <c r="AB360" s="15"/>
      <c r="AC360" s="15"/>
      <c r="AD360" s="15"/>
      <c r="AE360" s="15"/>
      <c r="AF360" s="15"/>
      <c r="AG360" s="15"/>
      <c r="AH360" s="15"/>
      <c r="AI360" s="15"/>
    </row>
    <row r="361" ht="12.75" hidden="1" customHeight="1">
      <c r="A361" s="16">
        <v>361.0</v>
      </c>
      <c r="B361" s="17" t="str">
        <f>IFERROR(__xludf.DUMMYFUNCTION("INDEX(IMPORTRANGE(""https://docs.google.com/spreadsheets/d/1S7deMHO2waboU9dywpXeKIDfCmjiuAc0HUIsFpaXQq8/edit?gid=0#gid=0"", ""Tracking Shipments - PPTCO!o:o""), MATCH(D361, IMPORTRANGE(""https://docs.google.com/spreadsheets/d/1S7deMHO2waboU9dywpXeKIDfCmji"&amp;"uAc0HUIsFpaXQq8/edit?gid=0#gid=0"", ""Tracking Shipments - PPTCO!p:p""), 0))"),"PPT-203")</f>
        <v>PPT-203</v>
      </c>
      <c r="C361" s="18" t="s">
        <v>1079</v>
      </c>
      <c r="D361" s="18">
        <v>568227.0</v>
      </c>
      <c r="E361" s="18" t="s">
        <v>1080</v>
      </c>
      <c r="F361" s="18" t="s">
        <v>143</v>
      </c>
      <c r="G361" s="18" t="s">
        <v>702</v>
      </c>
      <c r="H361" s="18" t="s">
        <v>150</v>
      </c>
      <c r="I361" s="18"/>
      <c r="J361" s="18"/>
      <c r="K361" s="18"/>
      <c r="L361" s="54">
        <v>45955.0</v>
      </c>
      <c r="M361" s="54">
        <v>45958.0</v>
      </c>
      <c r="N361" s="18"/>
      <c r="O361" s="59" t="s">
        <v>1081</v>
      </c>
      <c r="P361" s="18" t="s">
        <v>1082</v>
      </c>
      <c r="Q361" s="18" t="s">
        <v>1083</v>
      </c>
      <c r="R361" s="47">
        <v>45971.0</v>
      </c>
      <c r="S361" s="22">
        <f t="shared" si="4"/>
        <v>13</v>
      </c>
      <c r="T361" s="18"/>
      <c r="U361" s="18"/>
      <c r="V361" s="18"/>
      <c r="W361" s="18"/>
      <c r="X361" s="18"/>
      <c r="Y361" s="18" t="s">
        <v>35</v>
      </c>
      <c r="Z361" s="24"/>
      <c r="AA361" s="24"/>
      <c r="AB361" s="24"/>
      <c r="AC361" s="24"/>
      <c r="AD361" s="24"/>
      <c r="AE361" s="24"/>
      <c r="AF361" s="24"/>
      <c r="AG361" s="24"/>
      <c r="AH361" s="24"/>
      <c r="AI361" s="24"/>
    </row>
    <row r="362" ht="13.5" hidden="1" customHeight="1">
      <c r="A362" s="8">
        <v>362.0</v>
      </c>
      <c r="B362" s="14" t="s">
        <v>148</v>
      </c>
      <c r="C362" s="14" t="s">
        <v>1084</v>
      </c>
      <c r="D362" s="14">
        <v>225672.0</v>
      </c>
      <c r="E362" s="14" t="s">
        <v>1085</v>
      </c>
      <c r="F362" s="14" t="s">
        <v>824</v>
      </c>
      <c r="G362" s="14" t="s">
        <v>682</v>
      </c>
      <c r="H362" s="14" t="s">
        <v>150</v>
      </c>
      <c r="I362" s="14"/>
      <c r="J362" s="14"/>
      <c r="K362" s="14"/>
      <c r="L362" s="49">
        <v>45963.0</v>
      </c>
      <c r="M362" s="49">
        <v>45964.0</v>
      </c>
      <c r="N362" s="14"/>
      <c r="O362" s="60">
        <v>353.0</v>
      </c>
      <c r="P362" s="14">
        <v>1539.0</v>
      </c>
      <c r="Q362" s="14">
        <v>370.0</v>
      </c>
      <c r="R362" s="52">
        <v>45971.0</v>
      </c>
      <c r="S362" s="13">
        <f t="shared" si="4"/>
        <v>7</v>
      </c>
      <c r="T362" s="14"/>
      <c r="U362" s="14"/>
      <c r="V362" s="14"/>
      <c r="W362" s="14"/>
      <c r="X362" s="14"/>
      <c r="Y362" s="14" t="s">
        <v>35</v>
      </c>
      <c r="Z362" s="15"/>
      <c r="AA362" s="15"/>
      <c r="AB362" s="15"/>
      <c r="AC362" s="15"/>
      <c r="AD362" s="15"/>
      <c r="AE362" s="15"/>
      <c r="AF362" s="15"/>
      <c r="AG362" s="15"/>
      <c r="AH362" s="15"/>
      <c r="AI362" s="15"/>
    </row>
    <row r="363" ht="12.0" hidden="1" customHeight="1">
      <c r="A363" s="16">
        <v>363.0</v>
      </c>
      <c r="B363" s="17" t="str">
        <f>IFERROR(__xludf.DUMMYFUNCTION("INDEX(IMPORTRANGE(""https://docs.google.com/spreadsheets/d/1S7deMHO2waboU9dywpXeKIDfCmjiuAc0HUIsFpaXQq8/edit?gid=0#gid=0"", ""Tracking Shipments - PPTCO!o:o""), MATCH(D363, IMPORTRANGE(""https://docs.google.com/spreadsheets/d/1S7deMHO2waboU9dywpXeKIDfCmji"&amp;"uAc0HUIsFpaXQq8/edit?gid=0#gid=0"", ""Tracking Shipments - PPTCO!p:p""), 0))"),"PPT-259")</f>
        <v>PPT-259</v>
      </c>
      <c r="C363" s="18" t="s">
        <v>1086</v>
      </c>
      <c r="D363" s="18">
        <v>660385.0</v>
      </c>
      <c r="E363" s="18" t="s">
        <v>1087</v>
      </c>
      <c r="F363" s="18" t="s">
        <v>1066</v>
      </c>
      <c r="G363" s="18" t="s">
        <v>682</v>
      </c>
      <c r="H363" s="18" t="s">
        <v>150</v>
      </c>
      <c r="I363" s="18"/>
      <c r="J363" s="18"/>
      <c r="K363" s="18"/>
      <c r="L363" s="54">
        <v>45970.0</v>
      </c>
      <c r="M363" s="54">
        <v>45972.0</v>
      </c>
      <c r="N363" s="18"/>
      <c r="O363" s="59">
        <v>354.0</v>
      </c>
      <c r="P363" s="18">
        <v>1544.0</v>
      </c>
      <c r="Q363" s="18">
        <v>376.0</v>
      </c>
      <c r="R363" s="47">
        <v>45974.0</v>
      </c>
      <c r="S363" s="22">
        <f t="shared" si="4"/>
        <v>2</v>
      </c>
      <c r="T363" s="18"/>
      <c r="U363" s="18"/>
      <c r="V363" s="18"/>
      <c r="W363" s="16"/>
      <c r="X363" s="18"/>
      <c r="Y363" s="18" t="s">
        <v>35</v>
      </c>
      <c r="Z363" s="24"/>
      <c r="AA363" s="24"/>
      <c r="AB363" s="24"/>
      <c r="AC363" s="24"/>
      <c r="AD363" s="24"/>
      <c r="AE363" s="24"/>
      <c r="AF363" s="24"/>
      <c r="AG363" s="24"/>
      <c r="AH363" s="24"/>
      <c r="AI363" s="24"/>
    </row>
    <row r="364" ht="15.75" hidden="1" customHeight="1">
      <c r="A364" s="8">
        <v>364.0</v>
      </c>
      <c r="B364" s="9" t="str">
        <f>IFERROR(__xludf.DUMMYFUNCTION("INDEX(IMPORTRANGE(""https://docs.google.com/spreadsheets/d/1S7deMHO2waboU9dywpXeKIDfCmjiuAc0HUIsFpaXQq8/edit?gid=0#gid=0"", ""Tracking Shipments - PPTCO!o:o""), MATCH(D364, IMPORTRANGE(""https://docs.google.com/spreadsheets/d/1S7deMHO2waboU9dywpXeKIDfCmji"&amp;"uAc0HUIsFpaXQq8/edit?gid=0#gid=0"", ""Tracking Shipments - PPTCO!p:p""), 0))"),"PPT-236")</f>
        <v>PPT-236</v>
      </c>
      <c r="C364" s="14" t="s">
        <v>1088</v>
      </c>
      <c r="D364" s="14">
        <v>660424.0</v>
      </c>
      <c r="E364" s="14" t="s">
        <v>1089</v>
      </c>
      <c r="F364" s="14" t="s">
        <v>1066</v>
      </c>
      <c r="G364" s="14" t="s">
        <v>682</v>
      </c>
      <c r="H364" s="14" t="s">
        <v>150</v>
      </c>
      <c r="I364" s="14"/>
      <c r="J364" s="14"/>
      <c r="K364" s="14"/>
      <c r="L364" s="49">
        <v>45969.0</v>
      </c>
      <c r="M364" s="49">
        <v>45972.0</v>
      </c>
      <c r="N364" s="14"/>
      <c r="O364" s="60">
        <v>355.0</v>
      </c>
      <c r="P364" s="14">
        <v>1545.0</v>
      </c>
      <c r="Q364" s="14">
        <v>375.0</v>
      </c>
      <c r="R364" s="52">
        <v>45974.0</v>
      </c>
      <c r="S364" s="13">
        <f t="shared" si="4"/>
        <v>2</v>
      </c>
      <c r="T364" s="14"/>
      <c r="U364" s="14"/>
      <c r="V364" s="14"/>
      <c r="W364" s="14"/>
      <c r="X364" s="14"/>
      <c r="Y364" s="14" t="s">
        <v>35</v>
      </c>
      <c r="Z364" s="15"/>
      <c r="AA364" s="15"/>
      <c r="AB364" s="15"/>
      <c r="AC364" s="15"/>
      <c r="AD364" s="15"/>
      <c r="AE364" s="15"/>
      <c r="AF364" s="15"/>
      <c r="AG364" s="15"/>
      <c r="AH364" s="15"/>
      <c r="AI364" s="15"/>
    </row>
    <row r="365" ht="15.75" hidden="1" customHeight="1">
      <c r="A365" s="16">
        <v>365.0</v>
      </c>
      <c r="B365" s="17" t="str">
        <f>IFERROR(__xludf.DUMMYFUNCTION("INDEX(IMPORTRANGE(""https://docs.google.com/spreadsheets/d/1S7deMHO2waboU9dywpXeKIDfCmjiuAc0HUIsFpaXQq8/edit?gid=0#gid=0"", ""Tracking Shipments - PPTCO!o:o""), MATCH(D365, IMPORTRANGE(""https://docs.google.com/spreadsheets/d/1S7deMHO2waboU9dywpXeKIDfCmji"&amp;"uAc0HUIsFpaXQq8/edit?gid=0#gid=0"", ""Tracking Shipments - PPTCO!p:p""), 0))"),"PPT-260")</f>
        <v>PPT-260</v>
      </c>
      <c r="C365" s="18" t="s">
        <v>1090</v>
      </c>
      <c r="D365" s="18">
        <v>660436.0</v>
      </c>
      <c r="E365" s="18" t="s">
        <v>1091</v>
      </c>
      <c r="F365" s="18" t="s">
        <v>1066</v>
      </c>
      <c r="G365" s="18" t="s">
        <v>682</v>
      </c>
      <c r="H365" s="18" t="s">
        <v>150</v>
      </c>
      <c r="I365" s="18"/>
      <c r="J365" s="18"/>
      <c r="K365" s="18"/>
      <c r="L365" s="54">
        <v>45969.0</v>
      </c>
      <c r="M365" s="54">
        <v>45974.0</v>
      </c>
      <c r="N365" s="18"/>
      <c r="O365" s="59">
        <v>356.0</v>
      </c>
      <c r="P365" s="18">
        <v>1546.0</v>
      </c>
      <c r="Q365" s="18">
        <v>374.0</v>
      </c>
      <c r="R365" s="47">
        <v>45974.0</v>
      </c>
      <c r="S365" s="22" t="str">
        <f t="shared" si="4"/>
        <v/>
      </c>
      <c r="T365" s="18"/>
      <c r="U365" s="18"/>
      <c r="V365" s="18"/>
      <c r="W365" s="18"/>
      <c r="X365" s="18"/>
      <c r="Y365" s="18" t="s">
        <v>35</v>
      </c>
      <c r="Z365" s="24"/>
      <c r="AA365" s="24"/>
      <c r="AB365" s="24"/>
      <c r="AC365" s="24"/>
      <c r="AD365" s="24"/>
      <c r="AE365" s="24"/>
      <c r="AF365" s="24"/>
      <c r="AG365" s="24"/>
      <c r="AH365" s="24"/>
      <c r="AI365" s="24"/>
    </row>
    <row r="366" ht="15.75" hidden="1" customHeight="1">
      <c r="A366" s="8">
        <v>366.0</v>
      </c>
      <c r="B366" s="14" t="s">
        <v>148</v>
      </c>
      <c r="C366" s="14" t="s">
        <v>1092</v>
      </c>
      <c r="D366" s="14">
        <v>243740.0</v>
      </c>
      <c r="E366" s="14" t="s">
        <v>1093</v>
      </c>
      <c r="F366" s="14" t="s">
        <v>824</v>
      </c>
      <c r="G366" s="14" t="s">
        <v>682</v>
      </c>
      <c r="H366" s="14" t="s">
        <v>150</v>
      </c>
      <c r="I366" s="14"/>
      <c r="J366" s="14"/>
      <c r="K366" s="14" t="s">
        <v>150</v>
      </c>
      <c r="L366" s="49">
        <v>45985.0</v>
      </c>
      <c r="M366" s="49">
        <v>45986.0</v>
      </c>
      <c r="N366" s="14"/>
      <c r="O366" s="60">
        <v>357.0</v>
      </c>
      <c r="P366" s="14">
        <v>1616.0</v>
      </c>
      <c r="Q366" s="14">
        <v>377.0</v>
      </c>
      <c r="R366" s="49">
        <v>45992.0</v>
      </c>
      <c r="S366" s="13">
        <f t="shared" si="4"/>
        <v>6</v>
      </c>
      <c r="T366" s="14"/>
      <c r="U366" s="14"/>
      <c r="V366" s="14"/>
      <c r="W366" s="8"/>
      <c r="X366" s="14"/>
      <c r="Y366" s="14" t="s">
        <v>35</v>
      </c>
      <c r="Z366" s="15"/>
      <c r="AA366" s="15"/>
      <c r="AB366" s="15"/>
      <c r="AC366" s="15"/>
      <c r="AD366" s="15"/>
      <c r="AE366" s="15"/>
      <c r="AF366" s="15"/>
      <c r="AG366" s="15"/>
      <c r="AH366" s="15"/>
      <c r="AI366" s="15"/>
    </row>
    <row r="367" ht="15.75" hidden="1" customHeight="1">
      <c r="A367" s="16">
        <v>367.0</v>
      </c>
      <c r="B367" s="17">
        <f>IFERROR(__xludf.DUMMYFUNCTION("INDEX(IMPORTRANGE(""https://docs.google.com/spreadsheets/d/1S7deMHO2waboU9dywpXeKIDfCmjiuAc0HUIsFpaXQq8/edit?gid=0#gid=0"", ""Tracking Shipments - PPTCO!o:o""), MATCH(D367, IMPORTRANGE(""https://docs.google.com/spreadsheets/d/1S7deMHO2waboU9dywpXeKIDfCmji"&amp;"uAc0HUIsFpaXQq8/edit?gid=0#gid=0"", ""Tracking Shipments - PPTCO!p:p""), 0))"),43295.0)</f>
        <v>43295</v>
      </c>
      <c r="C367" s="18" t="s">
        <v>1094</v>
      </c>
      <c r="D367" s="18">
        <v>691123.0</v>
      </c>
      <c r="E367" s="18" t="s">
        <v>1095</v>
      </c>
      <c r="F367" s="18" t="s">
        <v>1048</v>
      </c>
      <c r="G367" s="18" t="s">
        <v>682</v>
      </c>
      <c r="H367" s="18" t="s">
        <v>150</v>
      </c>
      <c r="I367" s="18"/>
      <c r="J367" s="18"/>
      <c r="K367" s="18" t="s">
        <v>150</v>
      </c>
      <c r="L367" s="54">
        <v>45985.0</v>
      </c>
      <c r="M367" s="54">
        <v>45986.0</v>
      </c>
      <c r="N367" s="18"/>
      <c r="O367" s="59">
        <v>358.0</v>
      </c>
      <c r="P367" s="18">
        <v>1617.0</v>
      </c>
      <c r="Q367" s="18">
        <v>378.0</v>
      </c>
      <c r="R367" s="54">
        <v>45992.0</v>
      </c>
      <c r="S367" s="22">
        <f t="shared" si="4"/>
        <v>6</v>
      </c>
      <c r="T367" s="18"/>
      <c r="U367" s="18"/>
      <c r="V367" s="18"/>
      <c r="W367" s="18"/>
      <c r="X367" s="18"/>
      <c r="Y367" s="18" t="s">
        <v>35</v>
      </c>
      <c r="Z367" s="24"/>
      <c r="AA367" s="24"/>
      <c r="AB367" s="24"/>
      <c r="AC367" s="24"/>
      <c r="AD367" s="24"/>
      <c r="AE367" s="24"/>
      <c r="AF367" s="24"/>
      <c r="AG367" s="24"/>
      <c r="AH367" s="24"/>
      <c r="AI367" s="24"/>
    </row>
    <row r="368" ht="15.75" hidden="1" customHeight="1">
      <c r="A368" s="8">
        <v>368.0</v>
      </c>
      <c r="B368" s="9" t="str">
        <f>IFERROR(__xludf.DUMMYFUNCTION("INDEX(IMPORTRANGE(""https://docs.google.com/spreadsheets/d/1S7deMHO2waboU9dywpXeKIDfCmjiuAc0HUIsFpaXQq8/edit?gid=0#gid=0"", ""Tracking Shipments - PPTCO!o:o""), MATCH(D368, IMPORTRANGE(""https://docs.google.com/spreadsheets/d/1S7deMHO2waboU9dywpXeKIDfCmji"&amp;"uAc0HUIsFpaXQq8/edit?gid=0#gid=0"", ""Tracking Shipments - PPTCO!p:p""), 0))"),"PPT-259")</f>
        <v>PPT-259</v>
      </c>
      <c r="C368" s="14" t="s">
        <v>1096</v>
      </c>
      <c r="D368" s="14">
        <v>246171.0</v>
      </c>
      <c r="E368" s="14" t="s">
        <v>1097</v>
      </c>
      <c r="F368" s="14" t="s">
        <v>1066</v>
      </c>
      <c r="G368" s="14" t="s">
        <v>682</v>
      </c>
      <c r="H368" s="14" t="s">
        <v>150</v>
      </c>
      <c r="I368" s="14"/>
      <c r="J368" s="14"/>
      <c r="K368" s="14" t="s">
        <v>150</v>
      </c>
      <c r="L368" s="49">
        <v>45988.0</v>
      </c>
      <c r="M368" s="49">
        <v>45990.0</v>
      </c>
      <c r="N368" s="14"/>
      <c r="O368" s="60">
        <v>359.0</v>
      </c>
      <c r="P368" s="14">
        <v>1628.0</v>
      </c>
      <c r="Q368" s="14">
        <v>379.0</v>
      </c>
      <c r="R368" s="49">
        <v>45992.0</v>
      </c>
      <c r="S368" s="13">
        <f t="shared" si="4"/>
        <v>2</v>
      </c>
      <c r="T368" s="14"/>
      <c r="U368" s="14"/>
      <c r="V368" s="14"/>
      <c r="W368" s="14"/>
      <c r="X368" s="14"/>
      <c r="Y368" s="14" t="s">
        <v>35</v>
      </c>
      <c r="Z368" s="15"/>
      <c r="AA368" s="15"/>
      <c r="AB368" s="15"/>
      <c r="AC368" s="15"/>
      <c r="AD368" s="15"/>
      <c r="AE368" s="15"/>
      <c r="AF368" s="15"/>
      <c r="AG368" s="15"/>
      <c r="AH368" s="15"/>
      <c r="AI368" s="15"/>
    </row>
    <row r="369" ht="14.25" hidden="1" customHeight="1">
      <c r="A369" s="16">
        <v>369.0</v>
      </c>
      <c r="B369" s="17" t="str">
        <f>IFERROR(__xludf.DUMMYFUNCTION("INDEX(IMPORTRANGE(""https://docs.google.com/spreadsheets/d/1S7deMHO2waboU9dywpXeKIDfCmjiuAc0HUIsFpaXQq8/edit?gid=0#gid=0"", ""Tracking Shipments - PPTCO!o:o""), MATCH(D369, IMPORTRANGE(""https://docs.google.com/spreadsheets/d/1S7deMHO2waboU9dywpXeKIDfCmji"&amp;"uAc0HUIsFpaXQq8/edit?gid=0#gid=0"", ""Tracking Shipments - PPTCO!p:p""), 0))"),"PPT-256")</f>
        <v>PPT-256</v>
      </c>
      <c r="C369" s="18" t="s">
        <v>1098</v>
      </c>
      <c r="D369" s="18">
        <v>644380.0</v>
      </c>
      <c r="E369" s="18" t="s">
        <v>1099</v>
      </c>
      <c r="F369" s="18" t="s">
        <v>105</v>
      </c>
      <c r="G369" s="18" t="s">
        <v>702</v>
      </c>
      <c r="H369" s="18" t="s">
        <v>150</v>
      </c>
      <c r="I369" s="18"/>
      <c r="J369" s="18"/>
      <c r="K369" s="18" t="s">
        <v>150</v>
      </c>
      <c r="L369" s="54">
        <v>45988.0</v>
      </c>
      <c r="M369" s="54">
        <v>45992.0</v>
      </c>
      <c r="N369" s="18"/>
      <c r="O369" s="59" t="s">
        <v>1100</v>
      </c>
      <c r="P369" s="18" t="s">
        <v>1101</v>
      </c>
      <c r="Q369" s="18" t="s">
        <v>1102</v>
      </c>
      <c r="R369" s="54">
        <v>45992.0</v>
      </c>
      <c r="S369" s="22" t="str">
        <f t="shared" si="4"/>
        <v/>
      </c>
      <c r="T369" s="18"/>
      <c r="U369" s="18"/>
      <c r="V369" s="18"/>
      <c r="W369" s="16"/>
      <c r="X369" s="18"/>
      <c r="Y369" s="18" t="s">
        <v>35</v>
      </c>
      <c r="Z369" s="24"/>
      <c r="AA369" s="24"/>
      <c r="AB369" s="24"/>
      <c r="AC369" s="24"/>
      <c r="AD369" s="24"/>
      <c r="AE369" s="24"/>
      <c r="AF369" s="24"/>
      <c r="AG369" s="24"/>
      <c r="AH369" s="24"/>
      <c r="AI369" s="24"/>
    </row>
    <row r="370" ht="13.5" hidden="1" customHeight="1">
      <c r="A370" s="8">
        <v>370.0</v>
      </c>
      <c r="B370" s="9" t="str">
        <f>IFERROR(__xludf.DUMMYFUNCTION("INDEX(IMPORTRANGE(""https://docs.google.com/spreadsheets/d/1S7deMHO2waboU9dywpXeKIDfCmjiuAc0HUIsFpaXQq8/edit?gid=0#gid=0"", ""Tracking Shipments - PPTCO!o:o""), MATCH(D370, IMPORTRANGE(""https://docs.google.com/spreadsheets/d/1S7deMHO2waboU9dywpXeKIDfCmji"&amp;"uAc0HUIsFpaXQq8/edit?gid=0#gid=0"", ""Tracking Shipments - PPTCO!p:p""), 0))"),"PPT-256")</f>
        <v>PPT-256</v>
      </c>
      <c r="C370" s="14" t="s">
        <v>1103</v>
      </c>
      <c r="D370" s="14">
        <v>644398.0</v>
      </c>
      <c r="E370" s="14" t="s">
        <v>1104</v>
      </c>
      <c r="F370" s="14" t="s">
        <v>105</v>
      </c>
      <c r="G370" s="14" t="s">
        <v>702</v>
      </c>
      <c r="H370" s="14" t="s">
        <v>150</v>
      </c>
      <c r="I370" s="14"/>
      <c r="J370" s="14"/>
      <c r="K370" s="14" t="s">
        <v>150</v>
      </c>
      <c r="L370" s="49">
        <v>45990.0</v>
      </c>
      <c r="M370" s="49">
        <v>45992.0</v>
      </c>
      <c r="N370" s="14"/>
      <c r="O370" s="60" t="s">
        <v>1105</v>
      </c>
      <c r="P370" s="14" t="s">
        <v>1106</v>
      </c>
      <c r="Q370" s="14" t="s">
        <v>1107</v>
      </c>
      <c r="R370" s="49">
        <v>45992.0</v>
      </c>
      <c r="S370" s="13" t="str">
        <f t="shared" si="4"/>
        <v/>
      </c>
      <c r="T370" s="14"/>
      <c r="U370" s="14"/>
      <c r="V370" s="14"/>
      <c r="W370" s="14"/>
      <c r="X370" s="14"/>
      <c r="Y370" s="14" t="s">
        <v>35</v>
      </c>
      <c r="Z370" s="15"/>
      <c r="AA370" s="15"/>
      <c r="AB370" s="15"/>
      <c r="AC370" s="15"/>
      <c r="AD370" s="15"/>
      <c r="AE370" s="15"/>
      <c r="AF370" s="15"/>
      <c r="AG370" s="15"/>
      <c r="AH370" s="15"/>
      <c r="AI370" s="15"/>
    </row>
    <row r="371" ht="14.25" hidden="1" customHeight="1">
      <c r="A371" s="16">
        <v>371.0</v>
      </c>
      <c r="B371" s="17" t="str">
        <f>IFERROR(__xludf.DUMMYFUNCTION("INDEX(IMPORTRANGE(""https://docs.google.com/spreadsheets/d/1S7deMHO2waboU9dywpXeKIDfCmjiuAc0HUIsFpaXQq8/edit?gid=0#gid=0"", ""Tracking Shipments - PPTCO!o:o""), MATCH(D371, IMPORTRANGE(""https://docs.google.com/spreadsheets/d/1S7deMHO2waboU9dywpXeKIDfCmji"&amp;"uAc0HUIsFpaXQq8/edit?gid=0#gid=0"", ""Tracking Shipments - PPTCO!p:p""), 0))"),"PPT-285")</f>
        <v>PPT-285</v>
      </c>
      <c r="C371" s="18" t="s">
        <v>1108</v>
      </c>
      <c r="D371" s="18">
        <v>653070.0</v>
      </c>
      <c r="E371" s="18" t="s">
        <v>1109</v>
      </c>
      <c r="F371" s="18" t="s">
        <v>105</v>
      </c>
      <c r="G371" s="18" t="s">
        <v>1110</v>
      </c>
      <c r="H371" s="18" t="s">
        <v>150</v>
      </c>
      <c r="I371" s="18"/>
      <c r="J371" s="18"/>
      <c r="K371" s="18" t="s">
        <v>150</v>
      </c>
      <c r="L371" s="54">
        <v>45991.0</v>
      </c>
      <c r="M371" s="57">
        <v>45999.0</v>
      </c>
      <c r="N371" s="18"/>
      <c r="O371" s="59" t="s">
        <v>1111</v>
      </c>
      <c r="P371" s="18" t="s">
        <v>1112</v>
      </c>
      <c r="Q371" s="18" t="s">
        <v>1113</v>
      </c>
      <c r="R371" s="47">
        <v>45999.0</v>
      </c>
      <c r="S371" s="22" t="str">
        <f t="shared" si="4"/>
        <v/>
      </c>
      <c r="T371" s="18"/>
      <c r="U371" s="18"/>
      <c r="V371" s="18"/>
      <c r="W371" s="18"/>
      <c r="X371" s="18"/>
      <c r="Y371" s="18" t="s">
        <v>172</v>
      </c>
      <c r="Z371" s="24"/>
      <c r="AA371" s="24"/>
      <c r="AB371" s="24"/>
      <c r="AC371" s="24"/>
      <c r="AD371" s="24"/>
      <c r="AE371" s="24"/>
      <c r="AF371" s="24"/>
      <c r="AG371" s="24"/>
      <c r="AH371" s="24"/>
      <c r="AI371" s="24"/>
    </row>
    <row r="372" ht="15.75" hidden="1" customHeight="1">
      <c r="A372" s="8">
        <v>372.0</v>
      </c>
      <c r="B372" s="9" t="str">
        <f>IFERROR(__xludf.DUMMYFUNCTION("INDEX(IMPORTRANGE(""https://docs.google.com/spreadsheets/d/1S7deMHO2waboU9dywpXeKIDfCmjiuAc0HUIsFpaXQq8/edit?gid=0#gid=0"", ""Tracking Shipments - PPTCO!o:o""), MATCH(D372, IMPORTRANGE(""https://docs.google.com/spreadsheets/d/1S7deMHO2waboU9dywpXeKIDfCmji"&amp;"uAc0HUIsFpaXQq8/edit?gid=0#gid=0"", ""Tracking Shipments - PPTCO!p:p""), 0))"),"PPT-242")</f>
        <v>PPT-242</v>
      </c>
      <c r="C372" s="14" t="s">
        <v>1114</v>
      </c>
      <c r="D372" s="14">
        <v>251663.0</v>
      </c>
      <c r="E372" s="14" t="s">
        <v>1115</v>
      </c>
      <c r="F372" s="14" t="s">
        <v>1116</v>
      </c>
      <c r="G372" s="14" t="s">
        <v>682</v>
      </c>
      <c r="H372" s="14" t="s">
        <v>150</v>
      </c>
      <c r="I372" s="14"/>
      <c r="J372" s="14"/>
      <c r="K372" s="14" t="s">
        <v>150</v>
      </c>
      <c r="L372" s="49">
        <v>45992.0</v>
      </c>
      <c r="M372" s="58">
        <v>45993.0</v>
      </c>
      <c r="N372" s="14"/>
      <c r="O372" s="60">
        <v>376.0</v>
      </c>
      <c r="P372" s="14">
        <v>1672.0</v>
      </c>
      <c r="Q372" s="14">
        <v>405.0</v>
      </c>
      <c r="R372" s="52">
        <v>45999.0</v>
      </c>
      <c r="S372" s="13">
        <f t="shared" si="4"/>
        <v>6</v>
      </c>
      <c r="T372" s="14"/>
      <c r="U372" s="14"/>
      <c r="V372" s="14"/>
      <c r="W372" s="8"/>
      <c r="X372" s="14"/>
      <c r="Y372" s="14" t="s">
        <v>172</v>
      </c>
      <c r="Z372" s="15"/>
      <c r="AA372" s="15"/>
      <c r="AB372" s="15"/>
      <c r="AC372" s="15"/>
      <c r="AD372" s="15"/>
      <c r="AE372" s="15"/>
      <c r="AF372" s="15"/>
      <c r="AG372" s="15"/>
      <c r="AH372" s="15"/>
      <c r="AI372" s="15"/>
    </row>
    <row r="373" ht="13.5" hidden="1" customHeight="1">
      <c r="A373" s="16">
        <v>373.0</v>
      </c>
      <c r="B373" s="17" t="str">
        <f>IFERROR(__xludf.DUMMYFUNCTION("INDEX(IMPORTRANGE(""https://docs.google.com/spreadsheets/d/1S7deMHO2waboU9dywpXeKIDfCmjiuAc0HUIsFpaXQq8/edit?gid=0#gid=0"", ""Tracking Shipments - PPTCO!o:o""), MATCH(D373, IMPORTRANGE(""https://docs.google.com/spreadsheets/d/1S7deMHO2waboU9dywpXeKIDfCmji"&amp;"uAc0HUIsFpaXQq8/edit?gid=0#gid=0"", ""Tracking Shipments - PPTCO!p:p""), 0))"),"PPT-245")</f>
        <v>PPT-245</v>
      </c>
      <c r="C373" s="18" t="s">
        <v>1117</v>
      </c>
      <c r="D373" s="18">
        <v>705330.0</v>
      </c>
      <c r="E373" s="18" t="s">
        <v>1118</v>
      </c>
      <c r="F373" s="18" t="s">
        <v>81</v>
      </c>
      <c r="G373" s="18" t="s">
        <v>1110</v>
      </c>
      <c r="H373" s="18" t="s">
        <v>150</v>
      </c>
      <c r="I373" s="18"/>
      <c r="J373" s="18"/>
      <c r="K373" s="18" t="s">
        <v>150</v>
      </c>
      <c r="L373" s="57">
        <v>45994.0</v>
      </c>
      <c r="M373" s="18"/>
      <c r="N373" s="18"/>
      <c r="O373" s="59" t="s">
        <v>55</v>
      </c>
      <c r="P373" s="18" t="s">
        <v>1119</v>
      </c>
      <c r="Q373" s="18" t="s">
        <v>1120</v>
      </c>
      <c r="R373" s="47">
        <v>45999.0</v>
      </c>
      <c r="S373" s="22">
        <f t="shared" si="4"/>
        <v>45999</v>
      </c>
      <c r="T373" s="18"/>
      <c r="U373" s="18"/>
      <c r="V373" s="18"/>
      <c r="W373" s="18"/>
      <c r="X373" s="18"/>
      <c r="Y373" s="18" t="s">
        <v>172</v>
      </c>
      <c r="Z373" s="24"/>
      <c r="AA373" s="24"/>
      <c r="AB373" s="24"/>
      <c r="AC373" s="24"/>
      <c r="AD373" s="24"/>
      <c r="AE373" s="24"/>
      <c r="AF373" s="24"/>
      <c r="AG373" s="24"/>
      <c r="AH373" s="24"/>
      <c r="AI373" s="24"/>
    </row>
    <row r="374" ht="14.25" hidden="1" customHeight="1">
      <c r="A374" s="8">
        <v>374.0</v>
      </c>
      <c r="B374" s="9" t="str">
        <f>IFERROR(__xludf.DUMMYFUNCTION("INDEX(IMPORTRANGE(""https://docs.google.com/spreadsheets/d/1S7deMHO2waboU9dywpXeKIDfCmjiuAc0HUIsFpaXQq8/edit?gid=0#gid=0"", ""Tracking Shipments - PPTCO!o:o""), MATCH(D374, IMPORTRANGE(""https://docs.google.com/spreadsheets/d/1S7deMHO2waboU9dywpXeKIDfCmji"&amp;"uAc0HUIsFpaXQq8/edit?gid=0#gid=0"", ""Tracking Shipments - PPTCO!p:p""), 0))"),"PPT-277")</f>
        <v>PPT-277</v>
      </c>
      <c r="C374" s="14" t="s">
        <v>1121</v>
      </c>
      <c r="D374" s="14">
        <v>670153.0</v>
      </c>
      <c r="E374" s="14" t="s">
        <v>1122</v>
      </c>
      <c r="F374" s="14" t="s">
        <v>26</v>
      </c>
      <c r="G374" s="14" t="s">
        <v>702</v>
      </c>
      <c r="H374" s="14" t="s">
        <v>150</v>
      </c>
      <c r="I374" s="14"/>
      <c r="J374" s="14"/>
      <c r="K374" s="14" t="s">
        <v>150</v>
      </c>
      <c r="L374" s="58">
        <v>45995.0</v>
      </c>
      <c r="M374" s="58">
        <v>46000.0</v>
      </c>
      <c r="N374" s="14"/>
      <c r="O374" s="60" t="s">
        <v>1123</v>
      </c>
      <c r="P374" s="14" t="s">
        <v>1124</v>
      </c>
      <c r="Q374" s="14" t="s">
        <v>1125</v>
      </c>
      <c r="R374" s="52">
        <v>45999.0</v>
      </c>
      <c r="S374" s="13" t="str">
        <f t="shared" si="4"/>
        <v/>
      </c>
      <c r="T374" s="14"/>
      <c r="U374" s="14"/>
      <c r="V374" s="14"/>
      <c r="W374" s="14"/>
      <c r="X374" s="14"/>
      <c r="Y374" s="14" t="s">
        <v>172</v>
      </c>
      <c r="Z374" s="15"/>
      <c r="AA374" s="15"/>
      <c r="AB374" s="15"/>
      <c r="AC374" s="15"/>
      <c r="AD374" s="15"/>
      <c r="AE374" s="15"/>
      <c r="AF374" s="15"/>
      <c r="AG374" s="15"/>
      <c r="AH374" s="15"/>
      <c r="AI374" s="15"/>
    </row>
    <row r="375" ht="12.75" hidden="1" customHeight="1">
      <c r="A375" s="16">
        <v>375.0</v>
      </c>
      <c r="B375" s="17" t="str">
        <f>IFERROR(__xludf.DUMMYFUNCTION("INDEX(IMPORTRANGE(""https://docs.google.com/spreadsheets/d/1S7deMHO2waboU9dywpXeKIDfCmjiuAc0HUIsFpaXQq8/edit?gid=0#gid=0"", ""Tracking Shipments - PPTCO!o:o""), MATCH(D375, IMPORTRANGE(""https://docs.google.com/spreadsheets/d/1S7deMHO2waboU9dywpXeKIDfCmji"&amp;"uAc0HUIsFpaXQq8/edit?gid=0#gid=0"", ""Tracking Shipments - PPTCO!p:p""), 0))"),"PPT-285")</f>
        <v>PPT-285</v>
      </c>
      <c r="C375" s="18" t="s">
        <v>1126</v>
      </c>
      <c r="D375" s="18">
        <v>666532.0</v>
      </c>
      <c r="E375" s="18" t="s">
        <v>1127</v>
      </c>
      <c r="F375" s="18" t="s">
        <v>105</v>
      </c>
      <c r="G375" s="18" t="s">
        <v>1110</v>
      </c>
      <c r="H375" s="18" t="s">
        <v>150</v>
      </c>
      <c r="I375" s="18"/>
      <c r="J375" s="18"/>
      <c r="K375" s="18" t="s">
        <v>150</v>
      </c>
      <c r="L375" s="57">
        <v>45997.0</v>
      </c>
      <c r="M375" s="54">
        <v>46001.0</v>
      </c>
      <c r="N375" s="18"/>
      <c r="O375" s="59" t="s">
        <v>1128</v>
      </c>
      <c r="P375" s="18" t="s">
        <v>1129</v>
      </c>
      <c r="Q375" s="18" t="s">
        <v>1130</v>
      </c>
      <c r="R375" s="47">
        <v>45999.0</v>
      </c>
      <c r="S375" s="22" t="str">
        <f t="shared" si="4"/>
        <v/>
      </c>
      <c r="T375" s="18"/>
      <c r="U375" s="18"/>
      <c r="V375" s="18"/>
      <c r="W375" s="16"/>
      <c r="X375" s="18"/>
      <c r="Y375" s="18" t="s">
        <v>172</v>
      </c>
      <c r="Z375" s="24"/>
      <c r="AA375" s="24"/>
      <c r="AB375" s="24"/>
      <c r="AC375" s="24"/>
      <c r="AD375" s="24"/>
      <c r="AE375" s="24"/>
      <c r="AF375" s="24"/>
      <c r="AG375" s="24"/>
      <c r="AH375" s="24"/>
      <c r="AI375" s="24"/>
    </row>
    <row r="376" ht="15.75" hidden="1" customHeight="1">
      <c r="A376" s="8">
        <v>376.0</v>
      </c>
      <c r="B376" s="9" t="str">
        <f>IFERROR(__xludf.DUMMYFUNCTION("INDEX(IMPORTRANGE(""https://docs.google.com/spreadsheets/d/1S7deMHO2waboU9dywpXeKIDfCmjiuAc0HUIsFpaXQq8/edit?gid=0#gid=0"", ""Tracking Shipments - PPTCO!o:o""), MATCH(D376, IMPORTRANGE(""https://docs.google.com/spreadsheets/d/1S7deMHO2waboU9dywpXeKIDfCmji"&amp;"uAc0HUIsFpaXQq8/edit?gid=0#gid=0"", ""Tracking Shipments - PPTCO!p:p""), 0))"),"PPT-245")</f>
        <v>PPT-245</v>
      </c>
      <c r="C376" s="14" t="s">
        <v>1131</v>
      </c>
      <c r="D376" s="14">
        <v>751850.0</v>
      </c>
      <c r="E376" s="14" t="s">
        <v>1132</v>
      </c>
      <c r="F376" s="14" t="s">
        <v>81</v>
      </c>
      <c r="G376" s="14" t="s">
        <v>1110</v>
      </c>
      <c r="H376" s="14" t="s">
        <v>150</v>
      </c>
      <c r="I376" s="14"/>
      <c r="J376" s="14"/>
      <c r="K376" s="14" t="s">
        <v>150</v>
      </c>
      <c r="L376" s="49">
        <v>46009.0</v>
      </c>
      <c r="M376" s="49">
        <v>46014.0</v>
      </c>
      <c r="N376" s="14"/>
      <c r="O376" s="60">
        <v>386.0</v>
      </c>
      <c r="P376" s="14">
        <v>733.0</v>
      </c>
      <c r="Q376" s="14">
        <v>406.0</v>
      </c>
      <c r="R376" s="52">
        <v>46019.0</v>
      </c>
      <c r="S376" s="13">
        <f t="shared" si="4"/>
        <v>5</v>
      </c>
      <c r="T376" s="14"/>
      <c r="U376" s="14"/>
      <c r="V376" s="14"/>
      <c r="W376" s="14"/>
      <c r="X376" s="14"/>
      <c r="Y376" s="14" t="s">
        <v>172</v>
      </c>
      <c r="Z376" s="15"/>
      <c r="AA376" s="15"/>
      <c r="AB376" s="15"/>
      <c r="AC376" s="15"/>
      <c r="AD376" s="15"/>
      <c r="AE376" s="15"/>
      <c r="AF376" s="15"/>
      <c r="AG376" s="15"/>
      <c r="AH376" s="15"/>
      <c r="AI376" s="15"/>
    </row>
    <row r="377" ht="12.75" hidden="1" customHeight="1">
      <c r="A377" s="16">
        <v>377.0</v>
      </c>
      <c r="B377" s="17" t="str">
        <f>IFERROR(__xludf.DUMMYFUNCTION("INDEX(IMPORTRANGE(""https://docs.google.com/spreadsheets/d/1S7deMHO2waboU9dywpXeKIDfCmjiuAc0HUIsFpaXQq8/edit?gid=0#gid=0"", ""Tracking Shipments - PPTCO!o:o""), MATCH(D377, IMPORTRANGE(""https://docs.google.com/spreadsheets/d/1S7deMHO2waboU9dywpXeKIDfCmji"&amp;"uAc0HUIsFpaXQq8/edit?gid=0#gid=0"", ""Tracking Shipments - PPTCO!p:p""), 0))"),"PPT266-1,
PPT266-2,PPT266-3")</f>
        <v>PPT266-1,
PPT266-2,PPT266-3</v>
      </c>
      <c r="C377" s="18" t="s">
        <v>1133</v>
      </c>
      <c r="D377" s="18">
        <v>698468.0</v>
      </c>
      <c r="E377" s="18" t="s">
        <v>1134</v>
      </c>
      <c r="F377" s="18" t="s">
        <v>768</v>
      </c>
      <c r="G377" s="18" t="s">
        <v>1110</v>
      </c>
      <c r="H377" s="18" t="s">
        <v>150</v>
      </c>
      <c r="I377" s="18"/>
      <c r="J377" s="18"/>
      <c r="K377" s="18" t="s">
        <v>150</v>
      </c>
      <c r="L377" s="54">
        <v>46019.0</v>
      </c>
      <c r="M377" s="54">
        <v>46021.0</v>
      </c>
      <c r="N377" s="18"/>
      <c r="O377" s="59" t="s">
        <v>1135</v>
      </c>
      <c r="P377" s="18" t="s">
        <v>1136</v>
      </c>
      <c r="Q377" s="18" t="s">
        <v>1137</v>
      </c>
      <c r="R377" s="47">
        <v>46021.0</v>
      </c>
      <c r="S377" s="22" t="str">
        <f t="shared" si="4"/>
        <v/>
      </c>
      <c r="T377" s="18"/>
      <c r="U377" s="18"/>
      <c r="V377" s="18"/>
      <c r="W377" s="18"/>
      <c r="X377" s="18"/>
      <c r="Y377" s="18" t="s">
        <v>172</v>
      </c>
      <c r="Z377" s="24"/>
      <c r="AA377" s="24"/>
      <c r="AB377" s="24"/>
      <c r="AC377" s="24"/>
      <c r="AD377" s="24"/>
      <c r="AE377" s="24"/>
      <c r="AF377" s="24"/>
      <c r="AG377" s="24"/>
      <c r="AH377" s="24"/>
      <c r="AI377" s="24"/>
    </row>
    <row r="378" ht="15.75" hidden="1" customHeight="1">
      <c r="A378" s="8">
        <v>378.0</v>
      </c>
      <c r="B378" s="9" t="str">
        <f>IFERROR(__xludf.DUMMYFUNCTION("INDEX(IMPORTRANGE(""https://docs.google.com/spreadsheets/d/1S7deMHO2waboU9dywpXeKIDfCmjiuAc0HUIsFpaXQq8/edit?gid=0#gid=0"", ""Tracking Shipments - PPTCO!o:o""), MATCH(D378, IMPORTRANGE(""https://docs.google.com/spreadsheets/d/1S7deMHO2waboU9dywpXeKIDfCmji"&amp;"uAc0HUIsFpaXQq8/edit?gid=0#gid=0"", ""Tracking Shipments - PPTCO!p:p""), 0))"),"PPT-281")</f>
        <v>PPT-281</v>
      </c>
      <c r="C378" s="14" t="s">
        <v>1138</v>
      </c>
      <c r="D378" s="14">
        <v>756825.0</v>
      </c>
      <c r="E378" s="14" t="s">
        <v>1139</v>
      </c>
      <c r="F378" s="14" t="s">
        <v>169</v>
      </c>
      <c r="G378" s="14" t="s">
        <v>1110</v>
      </c>
      <c r="H378" s="14" t="s">
        <v>150</v>
      </c>
      <c r="I378" s="14"/>
      <c r="J378" s="14"/>
      <c r="K378" s="14" t="s">
        <v>150</v>
      </c>
      <c r="L378" s="49">
        <v>46012.0</v>
      </c>
      <c r="M378" s="49">
        <v>46020.0</v>
      </c>
      <c r="N378" s="14"/>
      <c r="O378" s="60">
        <v>390.0</v>
      </c>
      <c r="P378" s="14">
        <v>728.0</v>
      </c>
      <c r="Q378" s="14">
        <v>413.0</v>
      </c>
      <c r="R378" s="52">
        <v>46021.0</v>
      </c>
      <c r="S378" s="13">
        <f t="shared" si="4"/>
        <v>1</v>
      </c>
      <c r="T378" s="14"/>
      <c r="U378" s="14"/>
      <c r="V378" s="14"/>
      <c r="W378" s="8"/>
      <c r="X378" s="14"/>
      <c r="Y378" s="14" t="s">
        <v>172</v>
      </c>
      <c r="Z378" s="15"/>
      <c r="AA378" s="15"/>
      <c r="AB378" s="15"/>
      <c r="AC378" s="15"/>
      <c r="AD378" s="15"/>
      <c r="AE378" s="15"/>
      <c r="AF378" s="15"/>
      <c r="AG378" s="15"/>
      <c r="AH378" s="15"/>
      <c r="AI378" s="15"/>
    </row>
    <row r="379" ht="15.75" hidden="1" customHeight="1">
      <c r="A379" s="16">
        <v>379.0</v>
      </c>
      <c r="B379" s="17">
        <f>IFERROR(__xludf.DUMMYFUNCTION("INDEX(IMPORTRANGE(""https://docs.google.com/spreadsheets/d/1S7deMHO2waboU9dywpXeKIDfCmjiuAc0HUIsFpaXQq8/edit?gid=0#gid=0"", ""Tracking Shipments - PPTCO!o:o""), MATCH(D379, IMPORTRANGE(""https://docs.google.com/spreadsheets/d/1S7deMHO2waboU9dywpXeKIDfCmji"&amp;"uAc0HUIsFpaXQq8/edit?gid=0#gid=0"", ""Tracking Shipments - PPTCO!p:p""), 0))"),11159.0)</f>
        <v>11159</v>
      </c>
      <c r="C379" s="18" t="s">
        <v>1140</v>
      </c>
      <c r="D379" s="18">
        <v>701774.0</v>
      </c>
      <c r="E379" s="18" t="s">
        <v>1141</v>
      </c>
      <c r="F379" s="18" t="s">
        <v>637</v>
      </c>
      <c r="G379" s="18" t="s">
        <v>702</v>
      </c>
      <c r="H379" s="18" t="s">
        <v>150</v>
      </c>
      <c r="I379" s="18"/>
      <c r="J379" s="18"/>
      <c r="K379" s="18" t="s">
        <v>150</v>
      </c>
      <c r="L379" s="54">
        <v>46011.0</v>
      </c>
      <c r="M379" s="54">
        <v>46012.0</v>
      </c>
      <c r="N379" s="18"/>
      <c r="O379" s="59">
        <v>391.0</v>
      </c>
      <c r="P379" s="18">
        <v>727.0</v>
      </c>
      <c r="Q379" s="18">
        <v>407.0</v>
      </c>
      <c r="R379" s="47">
        <v>46020.0</v>
      </c>
      <c r="S379" s="22">
        <f t="shared" si="4"/>
        <v>8</v>
      </c>
      <c r="T379" s="18"/>
      <c r="U379" s="18"/>
      <c r="V379" s="18"/>
      <c r="W379" s="18"/>
      <c r="X379" s="18"/>
      <c r="Y379" s="18" t="s">
        <v>172</v>
      </c>
      <c r="Z379" s="24"/>
      <c r="AA379" s="24"/>
      <c r="AB379" s="24"/>
      <c r="AC379" s="24"/>
      <c r="AD379" s="24"/>
      <c r="AE379" s="24"/>
      <c r="AF379" s="24"/>
      <c r="AG379" s="24"/>
      <c r="AH379" s="24"/>
      <c r="AI379" s="24"/>
    </row>
    <row r="380" ht="15.75" hidden="1" customHeight="1">
      <c r="A380" s="8">
        <v>380.0</v>
      </c>
      <c r="B380" s="9" t="str">
        <f>IFERROR(__xludf.DUMMYFUNCTION("INDEX(IMPORTRANGE(""https://docs.google.com/spreadsheets/d/1S7deMHO2waboU9dywpXeKIDfCmjiuAc0HUIsFpaXQq8/edit?gid=0#gid=0"", ""Tracking Shipments - PPTCO!o:o""), MATCH(D380, IMPORTRANGE(""https://docs.google.com/spreadsheets/d/1S7deMHO2waboU9dywpXeKIDfCmji"&amp;"uAc0HUIsFpaXQq8/edit?gid=0#gid=0"", ""Tracking Shipments - PPTCO!p:p""), 0))"),"PPT-261")</f>
        <v>PPT-261</v>
      </c>
      <c r="C380" s="14" t="s">
        <v>1142</v>
      </c>
      <c r="D380" s="14">
        <v>759638.0</v>
      </c>
      <c r="E380" s="14" t="s">
        <v>1143</v>
      </c>
      <c r="F380" s="14" t="s">
        <v>1066</v>
      </c>
      <c r="G380" s="14" t="s">
        <v>682</v>
      </c>
      <c r="H380" s="14" t="s">
        <v>150</v>
      </c>
      <c r="I380" s="14"/>
      <c r="J380" s="14"/>
      <c r="K380" s="14" t="s">
        <v>150</v>
      </c>
      <c r="L380" s="49">
        <v>46013.0</v>
      </c>
      <c r="M380" s="49">
        <v>46014.0</v>
      </c>
      <c r="N380" s="14"/>
      <c r="O380" s="60">
        <v>392.0</v>
      </c>
      <c r="P380" s="14">
        <v>726.0</v>
      </c>
      <c r="Q380" s="14">
        <v>408.0</v>
      </c>
      <c r="R380" s="52">
        <v>46020.0</v>
      </c>
      <c r="S380" s="13">
        <f t="shared" si="4"/>
        <v>6</v>
      </c>
      <c r="T380" s="14"/>
      <c r="U380" s="14"/>
      <c r="V380" s="14"/>
      <c r="W380" s="14"/>
      <c r="X380" s="14"/>
      <c r="Y380" s="14" t="s">
        <v>172</v>
      </c>
      <c r="Z380" s="15"/>
      <c r="AA380" s="15"/>
      <c r="AB380" s="15"/>
      <c r="AC380" s="15"/>
      <c r="AD380" s="15"/>
      <c r="AE380" s="15"/>
      <c r="AF380" s="15"/>
      <c r="AG380" s="15"/>
      <c r="AH380" s="15"/>
      <c r="AI380" s="15"/>
    </row>
    <row r="381" ht="15.0" hidden="1" customHeight="1">
      <c r="A381" s="16">
        <v>381.0</v>
      </c>
      <c r="B381" s="17" t="str">
        <f>IFERROR(__xludf.DUMMYFUNCTION("INDEX(IMPORTRANGE(""https://docs.google.com/spreadsheets/d/1S7deMHO2waboU9dywpXeKIDfCmjiuAc0HUIsFpaXQq8/edit?gid=0#gid=0"", ""Tracking Shipments - PPTCO!o:o""), MATCH(D381, IMPORTRANGE(""https://docs.google.com/spreadsheets/d/1S7deMHO2waboU9dywpXeKIDfCmji"&amp;"uAc0HUIsFpaXQq8/edit?gid=0#gid=0"", ""Tracking Shipments - PPTCO!p:p""), 0))"),"PPT-270")</f>
        <v>PPT-270</v>
      </c>
      <c r="C381" s="18" t="s">
        <v>1144</v>
      </c>
      <c r="D381" s="18">
        <v>705663.0</v>
      </c>
      <c r="E381" s="18" t="s">
        <v>1145</v>
      </c>
      <c r="F381" s="18" t="s">
        <v>81</v>
      </c>
      <c r="G381" s="18" t="s">
        <v>1110</v>
      </c>
      <c r="H381" s="18" t="s">
        <v>150</v>
      </c>
      <c r="I381" s="18"/>
      <c r="J381" s="18"/>
      <c r="K381" s="18" t="s">
        <v>150</v>
      </c>
      <c r="L381" s="54">
        <v>46014.0</v>
      </c>
      <c r="M381" s="54">
        <v>46018.0</v>
      </c>
      <c r="N381" s="18"/>
      <c r="O381" s="59" t="s">
        <v>1146</v>
      </c>
      <c r="P381" s="18" t="s">
        <v>1147</v>
      </c>
      <c r="Q381" s="18" t="s">
        <v>1148</v>
      </c>
      <c r="R381" s="47">
        <v>46020.0</v>
      </c>
      <c r="S381" s="22">
        <f t="shared" si="4"/>
        <v>2</v>
      </c>
      <c r="T381" s="18"/>
      <c r="U381" s="18"/>
      <c r="V381" s="18"/>
      <c r="W381" s="16"/>
      <c r="X381" s="18"/>
      <c r="Y381" s="18" t="s">
        <v>172</v>
      </c>
      <c r="Z381" s="24"/>
      <c r="AA381" s="24"/>
      <c r="AB381" s="24"/>
      <c r="AC381" s="24"/>
      <c r="AD381" s="24"/>
      <c r="AE381" s="24"/>
      <c r="AF381" s="24"/>
      <c r="AG381" s="24"/>
      <c r="AH381" s="24"/>
      <c r="AI381" s="24"/>
    </row>
    <row r="382" ht="14.25" hidden="1" customHeight="1">
      <c r="A382" s="8">
        <v>382.0</v>
      </c>
      <c r="B382" s="9" t="str">
        <f>IFERROR(__xludf.DUMMYFUNCTION("INDEX(IMPORTRANGE(""https://docs.google.com/spreadsheets/d/1S7deMHO2waboU9dywpXeKIDfCmjiuAc0HUIsFpaXQq8/edit?gid=0#gid=0"", ""Tracking Shipments - PPTCO!o:o""), MATCH(D382, IMPORTRANGE(""https://docs.google.com/spreadsheets/d/1S7deMHO2waboU9dywpXeKIDfCmji"&amp;"uAc0HUIsFpaXQq8/edit?gid=0#gid=0"", ""Tracking Shipments - PPTCO!p:p""), 0))"),"PPT-294
PPT-285")</f>
        <v>PPT-294
PPT-285</v>
      </c>
      <c r="C382" s="14" t="s">
        <v>1149</v>
      </c>
      <c r="D382" s="14">
        <v>714283.0</v>
      </c>
      <c r="E382" s="14" t="s">
        <v>1150</v>
      </c>
      <c r="F382" s="14" t="s">
        <v>105</v>
      </c>
      <c r="G382" s="14" t="s">
        <v>1110</v>
      </c>
      <c r="H382" s="14" t="s">
        <v>150</v>
      </c>
      <c r="I382" s="14"/>
      <c r="J382" s="14"/>
      <c r="K382" s="14"/>
      <c r="L382" s="49">
        <v>46018.0</v>
      </c>
      <c r="M382" s="49">
        <v>46021.0</v>
      </c>
      <c r="N382" s="14"/>
      <c r="O382" s="60" t="s">
        <v>1151</v>
      </c>
      <c r="P382" s="14" t="s">
        <v>1152</v>
      </c>
      <c r="Q382" s="14" t="s">
        <v>1153</v>
      </c>
      <c r="R382" s="52">
        <v>46021.0</v>
      </c>
      <c r="S382" s="13" t="str">
        <f t="shared" si="4"/>
        <v/>
      </c>
      <c r="T382" s="14"/>
      <c r="U382" s="14"/>
      <c r="V382" s="14"/>
      <c r="W382" s="14"/>
      <c r="X382" s="14"/>
      <c r="Y382" s="14" t="s">
        <v>172</v>
      </c>
      <c r="Z382" s="15"/>
      <c r="AA382" s="15"/>
      <c r="AB382" s="15"/>
      <c r="AC382" s="15"/>
      <c r="AD382" s="15"/>
      <c r="AE382" s="15"/>
      <c r="AF382" s="15"/>
      <c r="AG382" s="15"/>
      <c r="AH382" s="15"/>
      <c r="AI382" s="15"/>
    </row>
    <row r="383" ht="12.0" hidden="1" customHeight="1">
      <c r="A383" s="16">
        <v>383.0</v>
      </c>
      <c r="B383" s="17" t="str">
        <f>IFERROR(__xludf.DUMMYFUNCTION("INDEX(IMPORTRANGE(""https://docs.google.com/spreadsheets/d/1S7deMHO2waboU9dywpXeKIDfCmjiuAc0HUIsFpaXQq8/edit?gid=0#gid=0"", ""Tracking Shipments - PPTCO!o:o""), MATCH(D383, IMPORTRANGE(""https://docs.google.com/spreadsheets/d/1S7deMHO2waboU9dywpXeKIDfCmji"&amp;"uAc0HUIsFpaXQq8/edit?gid=0#gid=0"", ""Tracking Shipments - PPTCO!p:p""), 0))"),"PPT-284")</f>
        <v>PPT-284</v>
      </c>
      <c r="C383" s="18" t="s">
        <v>1154</v>
      </c>
      <c r="D383" s="18">
        <v>11206.0</v>
      </c>
      <c r="E383" s="18" t="s">
        <v>1155</v>
      </c>
      <c r="F383" s="18" t="s">
        <v>666</v>
      </c>
      <c r="G383" s="18" t="s">
        <v>1110</v>
      </c>
      <c r="H383" s="18" t="s">
        <v>150</v>
      </c>
      <c r="I383" s="18"/>
      <c r="J383" s="18"/>
      <c r="K383" s="18" t="s">
        <v>150</v>
      </c>
      <c r="L383" s="54">
        <v>46036.0</v>
      </c>
      <c r="M383" s="54">
        <v>46047.0</v>
      </c>
      <c r="N383" s="18"/>
      <c r="O383" s="59" t="s">
        <v>1156</v>
      </c>
      <c r="P383" s="18" t="s">
        <v>1157</v>
      </c>
      <c r="Q383" s="18" t="s">
        <v>1158</v>
      </c>
      <c r="R383" s="47">
        <v>46048.0</v>
      </c>
      <c r="S383" s="22">
        <f t="shared" si="4"/>
        <v>1</v>
      </c>
      <c r="T383" s="18"/>
      <c r="U383" s="18"/>
      <c r="V383" s="18"/>
      <c r="W383" s="18"/>
      <c r="X383" s="18"/>
      <c r="Y383" s="18" t="s">
        <v>172</v>
      </c>
      <c r="Z383" s="24"/>
      <c r="AA383" s="24"/>
      <c r="AB383" s="24"/>
      <c r="AC383" s="24"/>
      <c r="AD383" s="24"/>
      <c r="AE383" s="24"/>
      <c r="AF383" s="24"/>
      <c r="AG383" s="24"/>
      <c r="AH383" s="24"/>
      <c r="AI383" s="24"/>
    </row>
    <row r="384" ht="14.25" hidden="1" customHeight="1">
      <c r="A384" s="8">
        <v>384.0</v>
      </c>
      <c r="B384" s="9" t="str">
        <f>IFERROR(__xludf.DUMMYFUNCTION("INDEX(IMPORTRANGE(""https://docs.google.com/spreadsheets/d/1S7deMHO2waboU9dywpXeKIDfCmjiuAc0HUIsFpaXQq8/edit?gid=0#gid=0"", ""Tracking Shipments - PPTCO!o:o""), MATCH(D384, IMPORTRANGE(""https://docs.google.com/spreadsheets/d/1S7deMHO2waboU9dywpXeKIDfCmji"&amp;"uAc0HUIsFpaXQq8/edit?gid=0#gid=0"", ""Tracking Shipments - PPTCO!p:p""), 0))"),"PPT-270")</f>
        <v>PPT-270</v>
      </c>
      <c r="C384" s="14" t="s">
        <v>1159</v>
      </c>
      <c r="D384" s="14">
        <v>23370.0</v>
      </c>
      <c r="E384" s="14" t="s">
        <v>1160</v>
      </c>
      <c r="F384" s="14" t="s">
        <v>81</v>
      </c>
      <c r="G384" s="14" t="s">
        <v>1110</v>
      </c>
      <c r="H384" s="14" t="s">
        <v>150</v>
      </c>
      <c r="I384" s="14"/>
      <c r="J384" s="14"/>
      <c r="K384" s="14" t="s">
        <v>150</v>
      </c>
      <c r="L384" s="49">
        <v>46039.0</v>
      </c>
      <c r="M384" s="49">
        <v>46047.0</v>
      </c>
      <c r="N384" s="14"/>
      <c r="O384" s="63">
        <v>46178.0</v>
      </c>
      <c r="P384" s="14" t="s">
        <v>1161</v>
      </c>
      <c r="Q384" s="63">
        <v>46241.0</v>
      </c>
      <c r="R384" s="52">
        <v>46048.0</v>
      </c>
      <c r="S384" s="13">
        <f t="shared" si="4"/>
        <v>1</v>
      </c>
      <c r="T384" s="14"/>
      <c r="U384" s="14"/>
      <c r="V384" s="14"/>
      <c r="W384" s="8"/>
      <c r="X384" s="14"/>
      <c r="Y384" s="14" t="s">
        <v>172</v>
      </c>
      <c r="Z384" s="15"/>
      <c r="AA384" s="15"/>
      <c r="AB384" s="15"/>
      <c r="AC384" s="15"/>
      <c r="AD384" s="15"/>
      <c r="AE384" s="15"/>
      <c r="AF384" s="15"/>
      <c r="AG384" s="15"/>
      <c r="AH384" s="15"/>
      <c r="AI384" s="15"/>
    </row>
    <row r="385" ht="15.75" hidden="1" customHeight="1">
      <c r="A385" s="16">
        <v>385.0</v>
      </c>
      <c r="B385" s="17" t="str">
        <f>IFERROR(__xludf.DUMMYFUNCTION("INDEX(IMPORTRANGE(""https://docs.google.com/spreadsheets/d/1S7deMHO2waboU9dywpXeKIDfCmjiuAc0HUIsFpaXQq8/edit?gid=0#gid=0"", ""Tracking Shipments - PPTCO!o:o""), MATCH(D385, IMPORTRANGE(""https://docs.google.com/spreadsheets/d/1S7deMHO2waboU9dywpXeKIDfCmji"&amp;"uAc0HUIsFpaXQq8/edit?gid=0#gid=0"", ""Tracking Shipments - PPTCO!p:p""), 0))"),"PPT-232")</f>
        <v>PPT-232</v>
      </c>
      <c r="C385" s="18" t="s">
        <v>1162</v>
      </c>
      <c r="D385" s="18">
        <v>23620.0</v>
      </c>
      <c r="E385" s="18" t="s">
        <v>1163</v>
      </c>
      <c r="F385" s="18" t="s">
        <v>768</v>
      </c>
      <c r="G385" s="18" t="s">
        <v>682</v>
      </c>
      <c r="H385" s="18" t="s">
        <v>150</v>
      </c>
      <c r="I385" s="18"/>
      <c r="J385" s="18"/>
      <c r="K385" s="18" t="s">
        <v>150</v>
      </c>
      <c r="L385" s="54">
        <v>46039.0</v>
      </c>
      <c r="M385" s="54">
        <v>46040.0</v>
      </c>
      <c r="N385" s="18"/>
      <c r="O385" s="59">
        <v>7.0</v>
      </c>
      <c r="P385" s="18">
        <v>20.0</v>
      </c>
      <c r="Q385" s="18">
        <v>2.0</v>
      </c>
      <c r="R385" s="47">
        <v>46048.0</v>
      </c>
      <c r="S385" s="22">
        <f t="shared" si="4"/>
        <v>8</v>
      </c>
      <c r="T385" s="18"/>
      <c r="U385" s="18"/>
      <c r="V385" s="18"/>
      <c r="W385" s="18"/>
      <c r="X385" s="18"/>
      <c r="Y385" s="18" t="s">
        <v>172</v>
      </c>
      <c r="Z385" s="24"/>
      <c r="AA385" s="24"/>
      <c r="AB385" s="24"/>
      <c r="AC385" s="24"/>
      <c r="AD385" s="24"/>
      <c r="AE385" s="24"/>
      <c r="AF385" s="24"/>
      <c r="AG385" s="24"/>
      <c r="AH385" s="24"/>
      <c r="AI385" s="24"/>
    </row>
    <row r="386" ht="14.25" hidden="1" customHeight="1">
      <c r="A386" s="8">
        <v>386.0</v>
      </c>
      <c r="B386" s="9" t="str">
        <f>IFERROR(__xludf.DUMMYFUNCTION("INDEX(IMPORTRANGE(""https://docs.google.com/spreadsheets/d/1S7deMHO2waboU9dywpXeKIDfCmjiuAc0HUIsFpaXQq8/edit?gid=0#gid=0"", ""Tracking Shipments - PPTCO!o:o""), MATCH(D386, IMPORTRANGE(""https://docs.google.com/spreadsheets/d/1S7deMHO2waboU9dywpXeKIDfCmji"&amp;"uAc0HUIsFpaXQq8/edit?gid=0#gid=0"", ""Tracking Shipments - PPTCO!p:p""), 0))"),"PPT-255")</f>
        <v>PPT-255</v>
      </c>
      <c r="C386" s="14" t="s">
        <v>1164</v>
      </c>
      <c r="D386" s="14">
        <v>26743.0</v>
      </c>
      <c r="E386" s="14" t="s">
        <v>1165</v>
      </c>
      <c r="F386" s="14" t="s">
        <v>105</v>
      </c>
      <c r="G386" s="14" t="s">
        <v>702</v>
      </c>
      <c r="H386" s="14" t="s">
        <v>150</v>
      </c>
      <c r="I386" s="14"/>
      <c r="J386" s="14"/>
      <c r="K386" s="14" t="s">
        <v>150</v>
      </c>
      <c r="L386" s="49">
        <v>46037.0</v>
      </c>
      <c r="M386" s="49">
        <v>46041.0</v>
      </c>
      <c r="N386" s="14"/>
      <c r="O386" s="60" t="s">
        <v>1166</v>
      </c>
      <c r="P386" s="14" t="s">
        <v>1167</v>
      </c>
      <c r="Q386" s="14" t="s">
        <v>1168</v>
      </c>
      <c r="R386" s="52">
        <v>46048.0</v>
      </c>
      <c r="S386" s="13">
        <f t="shared" si="4"/>
        <v>7</v>
      </c>
      <c r="T386" s="14"/>
      <c r="U386" s="14"/>
      <c r="V386" s="14"/>
      <c r="W386" s="14"/>
      <c r="X386" s="14"/>
      <c r="Y386" s="14" t="s">
        <v>172</v>
      </c>
      <c r="Z386" s="15"/>
      <c r="AA386" s="15"/>
      <c r="AB386" s="15"/>
      <c r="AC386" s="15"/>
      <c r="AD386" s="15"/>
      <c r="AE386" s="15"/>
      <c r="AF386" s="15"/>
      <c r="AG386" s="15"/>
      <c r="AH386" s="15"/>
      <c r="AI386" s="15"/>
    </row>
    <row r="387" ht="13.5" hidden="1" customHeight="1">
      <c r="A387" s="16">
        <v>387.0</v>
      </c>
      <c r="B387" s="17" t="str">
        <f>IFERROR(__xludf.DUMMYFUNCTION("INDEX(IMPORTRANGE(""https://docs.google.com/spreadsheets/d/1S7deMHO2waboU9dywpXeKIDfCmjiuAc0HUIsFpaXQq8/edit?gid=0#gid=0"", ""Tracking Shipments - PPTCO!o:o""), MATCH(D387, IMPORTRANGE(""https://docs.google.com/spreadsheets/d/1S7deMHO2waboU9dywpXeKIDfCmji"&amp;"uAc0HUIsFpaXQq8/edit?gid=0#gid=0"", ""Tracking Shipments - PPTCO!p:p""), 0))"),"PPT-255")</f>
        <v>PPT-255</v>
      </c>
      <c r="C387" s="18" t="s">
        <v>1169</v>
      </c>
      <c r="D387" s="18">
        <v>26641.0</v>
      </c>
      <c r="E387" s="18" t="s">
        <v>1170</v>
      </c>
      <c r="F387" s="18" t="s">
        <v>105</v>
      </c>
      <c r="G387" s="18" t="s">
        <v>702</v>
      </c>
      <c r="H387" s="18" t="s">
        <v>150</v>
      </c>
      <c r="I387" s="18"/>
      <c r="J387" s="18"/>
      <c r="K387" s="18" t="s">
        <v>150</v>
      </c>
      <c r="L387" s="54">
        <v>46039.0</v>
      </c>
      <c r="M387" s="54">
        <v>46041.0</v>
      </c>
      <c r="N387" s="18"/>
      <c r="O387" s="59" t="s">
        <v>1171</v>
      </c>
      <c r="P387" s="18" t="s">
        <v>1172</v>
      </c>
      <c r="Q387" s="18" t="s">
        <v>1173</v>
      </c>
      <c r="R387" s="47">
        <v>46048.0</v>
      </c>
      <c r="S387" s="22">
        <f t="shared" si="4"/>
        <v>7</v>
      </c>
      <c r="T387" s="18"/>
      <c r="U387" s="18"/>
      <c r="V387" s="18"/>
      <c r="W387" s="16"/>
      <c r="X387" s="18"/>
      <c r="Y387" s="18" t="s">
        <v>172</v>
      </c>
      <c r="Z387" s="24"/>
      <c r="AA387" s="24"/>
      <c r="AB387" s="24"/>
      <c r="AC387" s="24"/>
      <c r="AD387" s="24"/>
      <c r="AE387" s="24"/>
      <c r="AF387" s="24"/>
      <c r="AG387" s="24"/>
      <c r="AH387" s="24"/>
      <c r="AI387" s="24"/>
    </row>
    <row r="388" ht="12.0" hidden="1" customHeight="1">
      <c r="A388" s="8">
        <v>388.0</v>
      </c>
      <c r="B388" s="9" t="str">
        <f>IFERROR(__xludf.DUMMYFUNCTION("INDEX(IMPORTRANGE(""https://docs.google.com/spreadsheets/d/1S7deMHO2waboU9dywpXeKIDfCmjiuAc0HUIsFpaXQq8/edit?gid=0#gid=0"", ""Tracking Shipments - PPTCO!o:o""), MATCH(D388, IMPORTRANGE(""https://docs.google.com/spreadsheets/d/1S7deMHO2waboU9dywpXeKIDfCmji"&amp;"uAc0HUIsFpaXQq8/edit?gid=0#gid=0"", ""Tracking Shipments - PPTCO!p:p""), 0))"),"PPT-302")</f>
        <v>PPT-302</v>
      </c>
      <c r="C388" s="14" t="s">
        <v>1174</v>
      </c>
      <c r="D388" s="14">
        <v>57961.0</v>
      </c>
      <c r="E388" s="14" t="s">
        <v>1175</v>
      </c>
      <c r="F388" s="14" t="s">
        <v>105</v>
      </c>
      <c r="G388" s="14" t="s">
        <v>1110</v>
      </c>
      <c r="H388" s="14" t="s">
        <v>150</v>
      </c>
      <c r="I388" s="14"/>
      <c r="J388" s="14"/>
      <c r="K388" s="14"/>
      <c r="L388" s="58">
        <v>46053.0</v>
      </c>
      <c r="M388" s="49">
        <v>46060.0</v>
      </c>
      <c r="N388" s="14"/>
      <c r="O388" s="60" t="s">
        <v>621</v>
      </c>
      <c r="P388" s="14" t="s">
        <v>1176</v>
      </c>
      <c r="Q388" s="14" t="s">
        <v>1177</v>
      </c>
      <c r="R388" s="52">
        <v>46050.0</v>
      </c>
      <c r="S388" s="13" t="str">
        <f t="shared" si="4"/>
        <v/>
      </c>
      <c r="T388" s="14"/>
      <c r="U388" s="14"/>
      <c r="V388" s="14"/>
      <c r="W388" s="14"/>
      <c r="X388" s="14"/>
      <c r="Y388" s="14" t="s">
        <v>172</v>
      </c>
      <c r="Z388" s="15"/>
      <c r="AA388" s="15"/>
      <c r="AB388" s="15"/>
      <c r="AC388" s="15"/>
      <c r="AD388" s="15"/>
      <c r="AE388" s="15"/>
      <c r="AF388" s="15"/>
      <c r="AG388" s="15"/>
      <c r="AH388" s="15"/>
      <c r="AI388" s="15"/>
    </row>
    <row r="389" ht="12.0" hidden="1" customHeight="1">
      <c r="A389" s="16">
        <v>389.0</v>
      </c>
      <c r="B389" s="17" t="str">
        <f>IFERROR(__xludf.DUMMYFUNCTION("INDEX(IMPORTRANGE(""https://docs.google.com/spreadsheets/d/1S7deMHO2waboU9dywpXeKIDfCmjiuAc0HUIsFpaXQq8/edit?gid=0#gid=0"", ""Tracking Shipments - PPTCO!o:o""), MATCH(D389, IMPORTRANGE(""https://docs.google.com/spreadsheets/d/1S7deMHO2waboU9dywpXeKIDfCmji"&amp;"uAc0HUIsFpaXQq8/edit?gid=0#gid=0"", ""Tracking Shipments - PPTCO!p:p""), 0))"),"PPT-262")</f>
        <v>PPT-262</v>
      </c>
      <c r="C389" s="18" t="s">
        <v>1178</v>
      </c>
      <c r="D389" s="18">
        <v>23017.0</v>
      </c>
      <c r="E389" s="18" t="s">
        <v>1179</v>
      </c>
      <c r="F389" s="18" t="s">
        <v>1066</v>
      </c>
      <c r="G389" s="18" t="s">
        <v>1110</v>
      </c>
      <c r="H389" s="18" t="s">
        <v>150</v>
      </c>
      <c r="I389" s="18"/>
      <c r="J389" s="18"/>
      <c r="K389" s="18" t="s">
        <v>150</v>
      </c>
      <c r="L389" s="54">
        <v>46067.0</v>
      </c>
      <c r="M389" s="54">
        <v>46076.0</v>
      </c>
      <c r="N389" s="18"/>
      <c r="O389" s="59">
        <v>25.0</v>
      </c>
      <c r="P389" s="18">
        <v>64.0</v>
      </c>
      <c r="Q389" s="18">
        <v>26.0</v>
      </c>
      <c r="R389" s="47">
        <v>46064.0</v>
      </c>
      <c r="S389" s="22" t="str">
        <f t="shared" si="4"/>
        <v/>
      </c>
      <c r="T389" s="18"/>
      <c r="U389" s="18"/>
      <c r="V389" s="18"/>
      <c r="W389" s="18"/>
      <c r="X389" s="18"/>
      <c r="Y389" s="18" t="s">
        <v>35</v>
      </c>
      <c r="Z389" s="24"/>
      <c r="AA389" s="24"/>
      <c r="AB389" s="24"/>
      <c r="AC389" s="24"/>
      <c r="AD389" s="24"/>
      <c r="AE389" s="24"/>
      <c r="AF389" s="24"/>
      <c r="AG389" s="24"/>
      <c r="AH389" s="24"/>
      <c r="AI389" s="24"/>
    </row>
    <row r="390" ht="14.25" hidden="1" customHeight="1">
      <c r="A390" s="8">
        <v>390.0</v>
      </c>
      <c r="B390" s="9" t="str">
        <f>IFERROR(__xludf.DUMMYFUNCTION("INDEX(IMPORTRANGE(""https://docs.google.com/spreadsheets/d/1S7deMHO2waboU9dywpXeKIDfCmjiuAc0HUIsFpaXQq8/edit?gid=0#gid=0"", ""Tracking Shipments - PPTCO!o:o""), MATCH(D390, IMPORTRANGE(""https://docs.google.com/spreadsheets/d/1S7deMHO2waboU9dywpXeKIDfCmji"&amp;"uAc0HUIsFpaXQq8/edit?gid=0#gid=0"", ""Tracking Shipments - PPTCO!p:p""), 0))"),"PPT-277")</f>
        <v>PPT-277</v>
      </c>
      <c r="C390" s="14" t="s">
        <v>1180</v>
      </c>
      <c r="D390" s="14">
        <v>72026.0</v>
      </c>
      <c r="E390" s="14" t="s">
        <v>1181</v>
      </c>
      <c r="F390" s="14" t="s">
        <v>26</v>
      </c>
      <c r="G390" s="14" t="s">
        <v>1110</v>
      </c>
      <c r="H390" s="14" t="s">
        <v>150</v>
      </c>
      <c r="I390" s="14"/>
      <c r="J390" s="14"/>
      <c r="K390" s="14" t="s">
        <v>150</v>
      </c>
      <c r="L390" s="49">
        <v>46069.0</v>
      </c>
      <c r="M390" s="49">
        <v>46072.0</v>
      </c>
      <c r="N390" s="14"/>
      <c r="O390" s="60" t="s">
        <v>1182</v>
      </c>
      <c r="P390" s="14" t="s">
        <v>1183</v>
      </c>
      <c r="Q390" s="14" t="s">
        <v>1184</v>
      </c>
      <c r="R390" s="52">
        <v>46072.0</v>
      </c>
      <c r="S390" s="13" t="str">
        <f t="shared" si="4"/>
        <v/>
      </c>
      <c r="T390" s="14"/>
      <c r="U390" s="14"/>
      <c r="V390" s="14"/>
      <c r="W390" s="8"/>
      <c r="X390" s="14"/>
      <c r="Y390" s="14" t="s">
        <v>35</v>
      </c>
      <c r="Z390" s="15"/>
      <c r="AA390" s="15"/>
      <c r="AB390" s="15"/>
      <c r="AC390" s="15"/>
      <c r="AD390" s="15"/>
      <c r="AE390" s="15"/>
      <c r="AF390" s="15"/>
      <c r="AG390" s="15"/>
      <c r="AH390" s="15"/>
      <c r="AI390" s="15"/>
    </row>
    <row r="391" ht="13.5" hidden="1" customHeight="1">
      <c r="A391" s="16">
        <v>391.0</v>
      </c>
      <c r="B391" s="17" t="str">
        <f>IFERROR(__xludf.DUMMYFUNCTION("INDEX(IMPORTRANGE(""https://docs.google.com/spreadsheets/d/1S7deMHO2waboU9dywpXeKIDfCmjiuAc0HUIsFpaXQq8/edit?gid=0#gid=0"", ""Tracking Shipments - PPTCO!o:o""), MATCH(D391, IMPORTRANGE(""https://docs.google.com/spreadsheets/d/1S7deMHO2waboU9dywpXeKIDfCmji"&amp;"uAc0HUIsFpaXQq8/edit?gid=0#gid=0"", ""Tracking Shipments - PPTCO!p:p""), 0))"),"PPT-272")</f>
        <v>PPT-272</v>
      </c>
      <c r="C391" s="18" t="s">
        <v>1185</v>
      </c>
      <c r="D391" s="18">
        <v>86461.0</v>
      </c>
      <c r="E391" s="18" t="s">
        <v>1186</v>
      </c>
      <c r="F391" s="18" t="s">
        <v>1066</v>
      </c>
      <c r="G391" s="18" t="s">
        <v>1110</v>
      </c>
      <c r="H391" s="18" t="s">
        <v>150</v>
      </c>
      <c r="I391" s="18"/>
      <c r="J391" s="18"/>
      <c r="K391" s="18" t="s">
        <v>150</v>
      </c>
      <c r="L391" s="54">
        <v>46060.0</v>
      </c>
      <c r="M391" s="54">
        <v>46063.0</v>
      </c>
      <c r="N391" s="18"/>
      <c r="O391" s="59">
        <v>31.0</v>
      </c>
      <c r="P391" s="18">
        <v>65.0</v>
      </c>
      <c r="Q391" s="18">
        <v>28.0</v>
      </c>
      <c r="R391" s="47">
        <v>46064.0</v>
      </c>
      <c r="S391" s="22">
        <f t="shared" si="4"/>
        <v>1</v>
      </c>
      <c r="T391" s="18"/>
      <c r="U391" s="18"/>
      <c r="V391" s="18"/>
      <c r="W391" s="18"/>
      <c r="X391" s="18"/>
      <c r="Y391" s="18" t="s">
        <v>35</v>
      </c>
      <c r="Z391" s="24"/>
      <c r="AA391" s="24"/>
      <c r="AB391" s="24"/>
      <c r="AC391" s="24"/>
      <c r="AD391" s="24"/>
      <c r="AE391" s="24"/>
      <c r="AF391" s="24"/>
      <c r="AG391" s="24"/>
      <c r="AH391" s="24"/>
      <c r="AI391" s="24"/>
    </row>
    <row r="392" ht="15.0" hidden="1" customHeight="1">
      <c r="A392" s="8">
        <v>392.0</v>
      </c>
      <c r="B392" s="9" t="str">
        <f>IFERROR(__xludf.DUMMYFUNCTION("INDEX(IMPORTRANGE(""https://docs.google.com/spreadsheets/d/1S7deMHO2waboU9dywpXeKIDfCmjiuAc0HUIsFpaXQq8/edit?gid=0#gid=0"", ""Tracking Shipments - PPTCO!o:o""), MATCH(D392, IMPORTRANGE(""https://docs.google.com/spreadsheets/d/1S7deMHO2waboU9dywpXeKIDfCmji"&amp;"uAc0HUIsFpaXQq8/edit?gid=0#gid=0"", ""Tracking Shipments - PPTCO!p:p""), 0))"),"AMIR/CAT PLANET ")</f>
        <v>AMIR/CAT PLANET </v>
      </c>
      <c r="C392" s="14" t="s">
        <v>1187</v>
      </c>
      <c r="D392" s="14">
        <v>83262.0</v>
      </c>
      <c r="E392" s="14" t="s">
        <v>1188</v>
      </c>
      <c r="F392" s="14" t="s">
        <v>100</v>
      </c>
      <c r="G392" s="14" t="s">
        <v>1110</v>
      </c>
      <c r="H392" s="14" t="s">
        <v>150</v>
      </c>
      <c r="I392" s="14"/>
      <c r="J392" s="14"/>
      <c r="K392" s="14" t="s">
        <v>150</v>
      </c>
      <c r="L392" s="49">
        <v>46064.0</v>
      </c>
      <c r="M392" s="49">
        <v>46072.0</v>
      </c>
      <c r="N392" s="14"/>
      <c r="O392" s="60" t="s">
        <v>1189</v>
      </c>
      <c r="P392" s="14" t="s">
        <v>1190</v>
      </c>
      <c r="Q392" s="14" t="s">
        <v>1191</v>
      </c>
      <c r="R392" s="52">
        <v>46064.0</v>
      </c>
      <c r="S392" s="13" t="str">
        <f t="shared" si="4"/>
        <v/>
      </c>
      <c r="T392" s="14"/>
      <c r="U392" s="14"/>
      <c r="V392" s="14"/>
      <c r="W392" s="14"/>
      <c r="X392" s="14"/>
      <c r="Y392" s="14" t="s">
        <v>35</v>
      </c>
      <c r="Z392" s="15"/>
      <c r="AA392" s="15"/>
      <c r="AB392" s="15"/>
      <c r="AC392" s="15"/>
      <c r="AD392" s="15"/>
      <c r="AE392" s="15"/>
      <c r="AF392" s="15"/>
      <c r="AG392" s="15"/>
      <c r="AH392" s="15"/>
      <c r="AI392" s="15"/>
    </row>
    <row r="393" ht="15.75" hidden="1" customHeight="1">
      <c r="A393" s="16">
        <v>393.0</v>
      </c>
      <c r="B393" s="17" t="str">
        <f>IFERROR(__xludf.DUMMYFUNCTION("INDEX(IMPORTRANGE(""https://docs.google.com/spreadsheets/d/1S7deMHO2waboU9dywpXeKIDfCmjiuAc0HUIsFpaXQq8/edit?gid=0#gid=0"", ""Tracking Shipments - PPTCO!o:o""), MATCH(D393, IMPORTRANGE(""https://docs.google.com/spreadsheets/d/1S7deMHO2waboU9dywpXeKIDfCmji"&amp;"uAc0HUIsFpaXQq8/edit?gid=0#gid=0"", ""Tracking Shipments - PPTCO!p:p""), 0))"),"AMIR/CAT PLANET ")</f>
        <v>AMIR/CAT PLANET </v>
      </c>
      <c r="C393" s="18" t="s">
        <v>1192</v>
      </c>
      <c r="D393" s="18">
        <v>83378.0</v>
      </c>
      <c r="E393" s="18" t="s">
        <v>1193</v>
      </c>
      <c r="F393" s="18" t="s">
        <v>100</v>
      </c>
      <c r="G393" s="18" t="s">
        <v>1110</v>
      </c>
      <c r="H393" s="18" t="s">
        <v>150</v>
      </c>
      <c r="I393" s="18"/>
      <c r="J393" s="18"/>
      <c r="K393" s="18" t="s">
        <v>150</v>
      </c>
      <c r="L393" s="54">
        <v>46067.0</v>
      </c>
      <c r="M393" s="57">
        <v>46070.0</v>
      </c>
      <c r="N393" s="18"/>
      <c r="O393" s="59">
        <v>35.0</v>
      </c>
      <c r="P393" s="18">
        <v>112.0</v>
      </c>
      <c r="Q393" s="18">
        <v>41.0</v>
      </c>
      <c r="R393" s="47"/>
      <c r="S393" s="22" t="str">
        <f t="shared" si="4"/>
        <v/>
      </c>
      <c r="T393" s="18"/>
      <c r="U393" s="18"/>
      <c r="V393" s="18"/>
      <c r="W393" s="16"/>
      <c r="X393" s="18"/>
      <c r="Y393" s="18" t="s">
        <v>35</v>
      </c>
      <c r="Z393" s="24"/>
      <c r="AA393" s="24"/>
      <c r="AB393" s="24"/>
      <c r="AC393" s="24"/>
      <c r="AD393" s="24"/>
      <c r="AE393" s="24"/>
      <c r="AF393" s="24"/>
      <c r="AG393" s="24"/>
      <c r="AH393" s="24"/>
      <c r="AI393" s="24"/>
    </row>
    <row r="394" ht="15.75" hidden="1" customHeight="1">
      <c r="A394" s="8">
        <v>394.0</v>
      </c>
      <c r="B394" s="9" t="str">
        <f>IFERROR(__xludf.DUMMYFUNCTION("INDEX(IMPORTRANGE(""https://docs.google.com/spreadsheets/d/1S7deMHO2waboU9dywpXeKIDfCmjiuAc0HUIsFpaXQq8/edit?gid=0#gid=0"", ""Tracking Shipments - PPTCO!o:o""), MATCH(D394, IMPORTRANGE(""https://docs.google.com/spreadsheets/d/1S7deMHO2waboU9dywpXeKIDfCmji"&amp;"uAc0HUIsFpaXQq8/edit?gid=0#gid=0"", ""Tracking Shipments - PPTCO!p:p""), 0))"),"PPT-237")</f>
        <v>PPT-237</v>
      </c>
      <c r="C394" s="14" t="s">
        <v>1194</v>
      </c>
      <c r="D394" s="14">
        <v>105434.0</v>
      </c>
      <c r="E394" s="14" t="s">
        <v>1195</v>
      </c>
      <c r="F394" s="14" t="s">
        <v>1066</v>
      </c>
      <c r="G394" s="14" t="s">
        <v>1110</v>
      </c>
      <c r="H394" s="14" t="s">
        <v>150</v>
      </c>
      <c r="I394" s="14"/>
      <c r="J394" s="14"/>
      <c r="K394" s="14" t="s">
        <v>150</v>
      </c>
      <c r="L394" s="49">
        <v>46065.0</v>
      </c>
      <c r="M394" s="49">
        <v>46071.0</v>
      </c>
      <c r="N394" s="14"/>
      <c r="O394" s="60">
        <v>36.0</v>
      </c>
      <c r="P394" s="14">
        <v>66.0</v>
      </c>
      <c r="Q394" s="14">
        <v>27.0</v>
      </c>
      <c r="R394" s="52">
        <v>46064.0</v>
      </c>
      <c r="S394" s="13" t="str">
        <f t="shared" si="4"/>
        <v/>
      </c>
      <c r="T394" s="14"/>
      <c r="U394" s="14"/>
      <c r="V394" s="14"/>
      <c r="W394" s="14"/>
      <c r="X394" s="14"/>
      <c r="Y394" s="14" t="s">
        <v>35</v>
      </c>
      <c r="Z394" s="15"/>
      <c r="AA394" s="15"/>
      <c r="AB394" s="15"/>
      <c r="AC394" s="15"/>
      <c r="AD394" s="15"/>
      <c r="AE394" s="15"/>
      <c r="AF394" s="15"/>
      <c r="AG394" s="15"/>
      <c r="AH394" s="15"/>
      <c r="AI394" s="15"/>
    </row>
    <row r="395" ht="15.75" hidden="1" customHeight="1">
      <c r="A395" s="16">
        <v>395.0</v>
      </c>
      <c r="B395" s="17" t="str">
        <f>IFERROR(__xludf.DUMMYFUNCTION("INDEX(IMPORTRANGE(""https://docs.google.com/spreadsheets/d/1S7deMHO2waboU9dywpXeKIDfCmjiuAc0HUIsFpaXQq8/edit?gid=0#gid=0"", ""Tracking Shipments - PPTCO!o:o""), MATCH(D395, IMPORTRANGE(""https://docs.google.com/spreadsheets/d/1S7deMHO2waboU9dywpXeKIDfCmji"&amp;"uAc0HUIsFpaXQq8/edit?gid=0#gid=0"", ""Tracking Shipments - PPTCO!p:p""), 0))"),"PPT-291")</f>
        <v>PPT-291</v>
      </c>
      <c r="C395" s="18" t="s">
        <v>1196</v>
      </c>
      <c r="D395" s="18">
        <v>105471.0</v>
      </c>
      <c r="E395" s="18" t="s">
        <v>1197</v>
      </c>
      <c r="F395" s="18" t="s">
        <v>1066</v>
      </c>
      <c r="G395" s="18" t="s">
        <v>1110</v>
      </c>
      <c r="H395" s="18" t="s">
        <v>150</v>
      </c>
      <c r="I395" s="18"/>
      <c r="J395" s="18"/>
      <c r="K395" s="18" t="s">
        <v>150</v>
      </c>
      <c r="L395" s="54">
        <v>46068.0</v>
      </c>
      <c r="M395" s="54">
        <v>46071.0</v>
      </c>
      <c r="N395" s="18"/>
      <c r="O395" s="59">
        <v>37.0</v>
      </c>
      <c r="P395" s="18">
        <v>91.0</v>
      </c>
      <c r="Q395" s="18">
        <v>33.0</v>
      </c>
      <c r="R395" s="47">
        <v>46072.0</v>
      </c>
      <c r="S395" s="22">
        <f t="shared" si="4"/>
        <v>1</v>
      </c>
      <c r="T395" s="18"/>
      <c r="U395" s="18"/>
      <c r="V395" s="18"/>
      <c r="W395" s="18"/>
      <c r="X395" s="18"/>
      <c r="Y395" s="18" t="s">
        <v>35</v>
      </c>
      <c r="Z395" s="24"/>
      <c r="AA395" s="24"/>
      <c r="AB395" s="24"/>
      <c r="AC395" s="24"/>
      <c r="AD395" s="24"/>
      <c r="AE395" s="24"/>
      <c r="AF395" s="24"/>
      <c r="AG395" s="24"/>
      <c r="AH395" s="24"/>
      <c r="AI395" s="24"/>
    </row>
    <row r="396" ht="15.75" hidden="1" customHeight="1">
      <c r="A396" s="8">
        <v>396.0</v>
      </c>
      <c r="B396" s="9" t="str">
        <f>IFERROR(__xludf.DUMMYFUNCTION("INDEX(IMPORTRANGE(""https://docs.google.com/spreadsheets/d/1S7deMHO2waboU9dywpXeKIDfCmjiuAc0HUIsFpaXQq8/edit?gid=0#gid=0"", ""Tracking Shipments - PPTCO!o:o""), MATCH(D396, IMPORTRANGE(""https://docs.google.com/spreadsheets/d/1S7deMHO2waboU9dywpXeKIDfCmji"&amp;"uAc0HUIsFpaXQq8/edit?gid=0#gid=0"", ""Tracking Shipments - PPTCO!p:p""), 0))"),"PPT-267")</f>
        <v>PPT-267</v>
      </c>
      <c r="C396" s="14" t="s">
        <v>1198</v>
      </c>
      <c r="D396" s="14">
        <v>105450.0</v>
      </c>
      <c r="E396" s="14" t="s">
        <v>1199</v>
      </c>
      <c r="F396" s="14" t="s">
        <v>1066</v>
      </c>
      <c r="G396" s="14" t="s">
        <v>1110</v>
      </c>
      <c r="H396" s="14" t="s">
        <v>150</v>
      </c>
      <c r="I396" s="14"/>
      <c r="J396" s="14"/>
      <c r="K396" s="14" t="s">
        <v>150</v>
      </c>
      <c r="L396" s="49">
        <v>46065.0</v>
      </c>
      <c r="M396" s="49">
        <v>46071.0</v>
      </c>
      <c r="N396" s="14"/>
      <c r="O396" s="60">
        <v>38.0</v>
      </c>
      <c r="P396" s="14">
        <v>67.0</v>
      </c>
      <c r="Q396" s="14">
        <v>32.0</v>
      </c>
      <c r="R396" s="52">
        <v>46064.0</v>
      </c>
      <c r="S396" s="13" t="str">
        <f t="shared" si="4"/>
        <v/>
      </c>
      <c r="T396" s="14"/>
      <c r="U396" s="14"/>
      <c r="V396" s="14"/>
      <c r="W396" s="8"/>
      <c r="X396" s="14"/>
      <c r="Y396" s="14" t="s">
        <v>35</v>
      </c>
      <c r="Z396" s="15"/>
      <c r="AA396" s="15"/>
      <c r="AB396" s="15"/>
      <c r="AC396" s="15"/>
      <c r="AD396" s="15"/>
      <c r="AE396" s="15"/>
      <c r="AF396" s="15"/>
      <c r="AG396" s="15"/>
      <c r="AH396" s="15"/>
      <c r="AI396" s="15"/>
    </row>
    <row r="397" ht="15.75" hidden="1" customHeight="1">
      <c r="A397" s="16">
        <v>397.0</v>
      </c>
      <c r="B397" s="17" t="str">
        <f>IFERROR(__xludf.DUMMYFUNCTION("INDEX(IMPORTRANGE(""https://docs.google.com/spreadsheets/d/1S7deMHO2waboU9dywpXeKIDfCmjiuAc0HUIsFpaXQq8/edit?gid=0#gid=0"", ""Tracking Shipments - PPTCO!o:o""), MATCH(D397, IMPORTRANGE(""https://docs.google.com/spreadsheets/d/1S7deMHO2waboU9dywpXeKIDfCmji"&amp;"uAc0HUIsFpaXQq8/edit?gid=0#gid=0"", ""Tracking Shipments - PPTCO!p:p""), 0))"),"PPT-299")</f>
        <v>PPT-299</v>
      </c>
      <c r="C397" s="18" t="s">
        <v>1200</v>
      </c>
      <c r="D397" s="18">
        <v>93757.0</v>
      </c>
      <c r="E397" s="18" t="s">
        <v>1201</v>
      </c>
      <c r="F397" s="18" t="s">
        <v>259</v>
      </c>
      <c r="G397" s="18" t="s">
        <v>1110</v>
      </c>
      <c r="H397" s="18" t="s">
        <v>150</v>
      </c>
      <c r="I397" s="18"/>
      <c r="J397" s="18"/>
      <c r="K397" s="18" t="s">
        <v>150</v>
      </c>
      <c r="L397" s="54">
        <v>46068.0</v>
      </c>
      <c r="M397" s="57">
        <v>46076.0</v>
      </c>
      <c r="N397" s="18"/>
      <c r="O397" s="59">
        <v>39.0</v>
      </c>
      <c r="P397" s="18">
        <v>92.0</v>
      </c>
      <c r="Q397" s="18">
        <v>39.0</v>
      </c>
      <c r="R397" s="47">
        <v>46076.0</v>
      </c>
      <c r="S397" s="22" t="str">
        <f t="shared" si="4"/>
        <v/>
      </c>
      <c r="T397" s="18"/>
      <c r="U397" s="18"/>
      <c r="V397" s="18"/>
      <c r="W397" s="18"/>
      <c r="X397" s="18"/>
      <c r="Y397" s="18" t="s">
        <v>35</v>
      </c>
      <c r="Z397" s="24"/>
      <c r="AA397" s="24"/>
      <c r="AB397" s="24"/>
      <c r="AC397" s="24"/>
      <c r="AD397" s="24"/>
      <c r="AE397" s="24"/>
      <c r="AF397" s="24"/>
      <c r="AG397" s="24"/>
      <c r="AH397" s="24"/>
      <c r="AI397" s="24"/>
    </row>
    <row r="398" ht="15.75" hidden="1" customHeight="1">
      <c r="A398" s="8">
        <v>398.0</v>
      </c>
      <c r="B398" s="9" t="str">
        <f>IFERROR(__xludf.DUMMYFUNCTION("INDEX(IMPORTRANGE(""https://docs.google.com/spreadsheets/d/1S7deMHO2waboU9dywpXeKIDfCmjiuAc0HUIsFpaXQq8/edit?gid=0#gid=0"", ""Tracking Shipments - PPTCO!o:o""), MATCH(D398, IMPORTRANGE(""https://docs.google.com/spreadsheets/d/1S7deMHO2waboU9dywpXeKIDfCmji"&amp;"uAc0HUIsFpaXQq8/edit?gid=0#gid=0"", ""Tracking Shipments - PPTCO!p:p""), 0))"),"PPT-245")</f>
        <v>PPT-245</v>
      </c>
      <c r="C398" s="14" t="s">
        <v>1202</v>
      </c>
      <c r="D398" s="14">
        <v>126485.0</v>
      </c>
      <c r="E398" s="14" t="s">
        <v>1203</v>
      </c>
      <c r="F398" s="14" t="s">
        <v>81</v>
      </c>
      <c r="G398" s="14" t="s">
        <v>1110</v>
      </c>
      <c r="H398" s="14" t="s">
        <v>150</v>
      </c>
      <c r="I398" s="14"/>
      <c r="J398" s="14"/>
      <c r="K398" s="14" t="s">
        <v>150</v>
      </c>
      <c r="L398" s="49">
        <v>46074.0</v>
      </c>
      <c r="M398" s="49">
        <v>46078.0</v>
      </c>
      <c r="N398" s="14"/>
      <c r="O398" s="60">
        <v>40.0</v>
      </c>
      <c r="P398" s="14">
        <v>93.0</v>
      </c>
      <c r="Q398" s="14">
        <v>40.0</v>
      </c>
      <c r="R398" s="52">
        <v>46076.0</v>
      </c>
      <c r="S398" s="13" t="str">
        <f t="shared" si="4"/>
        <v/>
      </c>
      <c r="T398" s="14"/>
      <c r="U398" s="14"/>
      <c r="V398" s="14"/>
      <c r="W398" s="14"/>
      <c r="X398" s="14"/>
      <c r="Y398" s="14" t="s">
        <v>35</v>
      </c>
      <c r="Z398" s="15"/>
      <c r="AA398" s="15"/>
      <c r="AB398" s="15"/>
      <c r="AC398" s="15"/>
      <c r="AD398" s="15"/>
      <c r="AE398" s="15"/>
      <c r="AF398" s="15"/>
      <c r="AG398" s="15"/>
      <c r="AH398" s="15"/>
      <c r="AI398" s="15"/>
    </row>
    <row r="399" ht="12.0" hidden="1" customHeight="1">
      <c r="A399" s="16">
        <v>399.0</v>
      </c>
      <c r="B399" s="17" t="str">
        <f>IFERROR(__xludf.DUMMYFUNCTION("INDEX(IMPORTRANGE(""https://docs.google.com/spreadsheets/d/1S7deMHO2waboU9dywpXeKIDfCmjiuAc0HUIsFpaXQq8/edit?gid=0#gid=0"", ""Tracking Shipments - PPTCO!o:o""), MATCH(D399, IMPORTRANGE(""https://docs.google.com/spreadsheets/d/1S7deMHO2waboU9dywpXeKIDfCmji"&amp;"uAc0HUIsFpaXQq8/edit?gid=0#gid=0"", ""Tracking Shipments - PPTCO!p:p""), 0))"),"PPT-266")</f>
        <v>PPT-266</v>
      </c>
      <c r="C399" s="18" t="s">
        <v>1204</v>
      </c>
      <c r="D399" s="18">
        <v>143738.0</v>
      </c>
      <c r="E399" s="18" t="s">
        <v>1205</v>
      </c>
      <c r="F399" s="18" t="s">
        <v>768</v>
      </c>
      <c r="G399" s="18" t="s">
        <v>1110</v>
      </c>
      <c r="H399" s="18" t="s">
        <v>150</v>
      </c>
      <c r="I399" s="18"/>
      <c r="J399" s="18"/>
      <c r="K399" s="18" t="s">
        <v>150</v>
      </c>
      <c r="L399" s="54">
        <v>46089.0</v>
      </c>
      <c r="M399" s="54">
        <v>46091.0</v>
      </c>
      <c r="N399" s="18"/>
      <c r="O399" s="59" t="s">
        <v>670</v>
      </c>
      <c r="P399" s="18" t="s">
        <v>1206</v>
      </c>
      <c r="Q399" s="18" t="s">
        <v>1207</v>
      </c>
      <c r="R399" s="47">
        <v>46097.0</v>
      </c>
      <c r="S399" s="22">
        <f t="shared" si="4"/>
        <v>6</v>
      </c>
      <c r="T399" s="18"/>
      <c r="U399" s="18"/>
      <c r="V399" s="18"/>
      <c r="W399" s="16"/>
      <c r="X399" s="18"/>
      <c r="Y399" s="18" t="s">
        <v>35</v>
      </c>
      <c r="Z399" s="24"/>
      <c r="AA399" s="24"/>
      <c r="AB399" s="24"/>
      <c r="AC399" s="24"/>
      <c r="AD399" s="24"/>
      <c r="AE399" s="24"/>
      <c r="AF399" s="24"/>
      <c r="AG399" s="24"/>
      <c r="AH399" s="24"/>
      <c r="AI399" s="24"/>
    </row>
    <row r="400" ht="15.75" hidden="1" customHeight="1">
      <c r="A400" s="8">
        <v>400.0</v>
      </c>
      <c r="B400" s="9" t="str">
        <f>IFERROR(__xludf.DUMMYFUNCTION("INDEX(IMPORTRANGE(""https://docs.google.com/spreadsheets/d/1S7deMHO2waboU9dywpXeKIDfCmjiuAc0HUIsFpaXQq8/edit?gid=0#gid=0"", ""Tracking Shipments - PPTCO!o:o""), MATCH(D400, IMPORTRANGE(""https://docs.google.com/spreadsheets/d/1S7deMHO2waboU9dywpXeKIDfCmji"&amp;"uAc0HUIsFpaXQq8/edit?gid=0#gid=0"", ""Tracking Shipments - PPTCO!p:p""), 0))"),"PPT-284")</f>
        <v>PPT-284</v>
      </c>
      <c r="C400" s="14" t="s">
        <v>1208</v>
      </c>
      <c r="D400" s="14">
        <v>144483.0</v>
      </c>
      <c r="E400" s="14" t="s">
        <v>1209</v>
      </c>
      <c r="F400" s="14" t="s">
        <v>666</v>
      </c>
      <c r="G400" s="14" t="s">
        <v>1110</v>
      </c>
      <c r="H400" s="14" t="s">
        <v>150</v>
      </c>
      <c r="I400" s="14"/>
      <c r="J400" s="14"/>
      <c r="K400" s="14" t="s">
        <v>150</v>
      </c>
      <c r="L400" s="49">
        <v>46089.0</v>
      </c>
      <c r="M400" s="58">
        <v>46098.0</v>
      </c>
      <c r="N400" s="14"/>
      <c r="O400" s="60">
        <v>43.0</v>
      </c>
      <c r="P400" s="14">
        <v>145.0</v>
      </c>
      <c r="Q400" s="14">
        <v>52.0</v>
      </c>
      <c r="R400" s="52">
        <v>46097.0</v>
      </c>
      <c r="S400" s="13" t="str">
        <f t="shared" si="4"/>
        <v/>
      </c>
      <c r="T400" s="14"/>
      <c r="U400" s="14"/>
      <c r="V400" s="14"/>
      <c r="W400" s="14"/>
      <c r="X400" s="14"/>
      <c r="Y400" s="14" t="s">
        <v>35</v>
      </c>
      <c r="Z400" s="15"/>
      <c r="AA400" s="15"/>
      <c r="AB400" s="15"/>
      <c r="AC400" s="15"/>
      <c r="AD400" s="15"/>
      <c r="AE400" s="15"/>
      <c r="AF400" s="15"/>
      <c r="AG400" s="15"/>
      <c r="AH400" s="15"/>
      <c r="AI400" s="15"/>
    </row>
    <row r="401" ht="13.5" hidden="1" customHeight="1">
      <c r="A401" s="16">
        <v>401.0</v>
      </c>
      <c r="B401" s="17" t="str">
        <f>IFERROR(__xludf.DUMMYFUNCTION("INDEX(IMPORTRANGE(""https://docs.google.com/spreadsheets/d/1S7deMHO2waboU9dywpXeKIDfCmjiuAc0HUIsFpaXQq8/edit?gid=0#gid=0"", ""Tracking Shipments - PPTCO!o:o""), MATCH(D401, IMPORTRANGE(""https://docs.google.com/spreadsheets/d/1S7deMHO2waboU9dywpXeKIDfCmji"&amp;"uAc0HUIsFpaXQq8/edit?gid=0#gid=0"", ""Tracking Shipments - PPTCO!p:p""), 0))"),"PPT-273")</f>
        <v>PPT-273</v>
      </c>
      <c r="C401" s="18" t="s">
        <v>1210</v>
      </c>
      <c r="D401" s="18">
        <v>47242.0</v>
      </c>
      <c r="E401" s="18" t="s">
        <v>1211</v>
      </c>
      <c r="F401" s="18" t="s">
        <v>1066</v>
      </c>
      <c r="G401" s="18" t="s">
        <v>1110</v>
      </c>
      <c r="H401" s="18" t="s">
        <v>150</v>
      </c>
      <c r="I401" s="18"/>
      <c r="J401" s="18"/>
      <c r="K401" s="18" t="s">
        <v>150</v>
      </c>
      <c r="L401" s="54">
        <v>46095.0</v>
      </c>
      <c r="M401" s="18"/>
      <c r="N401" s="18"/>
      <c r="O401" s="59">
        <v>41.0</v>
      </c>
      <c r="P401" s="18">
        <v>140.0</v>
      </c>
      <c r="Q401" s="18">
        <v>50.0</v>
      </c>
      <c r="R401" s="47">
        <v>46097.0</v>
      </c>
      <c r="S401" s="22">
        <f t="shared" si="4"/>
        <v>46097</v>
      </c>
      <c r="T401" s="18"/>
      <c r="U401" s="18"/>
      <c r="V401" s="18"/>
      <c r="W401" s="18"/>
      <c r="X401" s="18"/>
      <c r="Y401" s="18" t="s">
        <v>35</v>
      </c>
      <c r="Z401" s="24"/>
      <c r="AA401" s="24"/>
      <c r="AB401" s="24"/>
      <c r="AC401" s="24"/>
      <c r="AD401" s="24"/>
      <c r="AE401" s="24"/>
      <c r="AF401" s="24"/>
      <c r="AG401" s="24"/>
      <c r="AH401" s="24"/>
      <c r="AI401" s="24"/>
    </row>
    <row r="402" ht="15.75" hidden="1" customHeight="1">
      <c r="A402" s="8">
        <v>402.0</v>
      </c>
      <c r="B402" s="9" t="str">
        <f>IFERROR(__xludf.DUMMYFUNCTION("INDEX(IMPORTRANGE(""https://docs.google.com/spreadsheets/d/1S7deMHO2waboU9dywpXeKIDfCmjiuAc0HUIsFpaXQq8/edit?gid=0#gid=0"", ""Tracking Shipments - PPTCO!o:o""), MATCH(D402, IMPORTRANGE(""https://docs.google.com/spreadsheets/d/1S7deMHO2waboU9dywpXeKIDfCmji"&amp;"uAc0HUIsFpaXQq8/edit?gid=0#gid=0"", ""Tracking Shipments - PPTCO!p:p""), 0))"),"PPT-273")</f>
        <v>PPT-273</v>
      </c>
      <c r="C402" s="14" t="s">
        <v>1212</v>
      </c>
      <c r="D402" s="14">
        <v>48035.0</v>
      </c>
      <c r="E402" s="14" t="s">
        <v>1213</v>
      </c>
      <c r="F402" s="14" t="s">
        <v>1066</v>
      </c>
      <c r="G402" s="14" t="s">
        <v>1110</v>
      </c>
      <c r="H402" s="14" t="s">
        <v>150</v>
      </c>
      <c r="I402" s="14"/>
      <c r="J402" s="14"/>
      <c r="K402" s="14" t="s">
        <v>150</v>
      </c>
      <c r="L402" s="49">
        <v>46096.0</v>
      </c>
      <c r="M402" s="14"/>
      <c r="N402" s="14"/>
      <c r="O402" s="60">
        <v>42.0</v>
      </c>
      <c r="P402" s="14">
        <v>141.0</v>
      </c>
      <c r="Q402" s="14">
        <v>51.0</v>
      </c>
      <c r="R402" s="52">
        <v>46097.0</v>
      </c>
      <c r="S402" s="13">
        <f t="shared" si="4"/>
        <v>46097</v>
      </c>
      <c r="T402" s="14"/>
      <c r="U402" s="14"/>
      <c r="V402" s="14"/>
      <c r="W402" s="8"/>
      <c r="X402" s="14"/>
      <c r="Y402" s="14" t="s">
        <v>35</v>
      </c>
      <c r="Z402" s="15"/>
      <c r="AA402" s="15"/>
      <c r="AB402" s="15"/>
      <c r="AC402" s="15"/>
      <c r="AD402" s="15"/>
      <c r="AE402" s="15"/>
      <c r="AF402" s="15"/>
      <c r="AG402" s="15"/>
      <c r="AH402" s="15"/>
      <c r="AI402" s="15"/>
    </row>
    <row r="403" ht="15.75" hidden="1" customHeight="1">
      <c r="A403" s="16">
        <v>403.0</v>
      </c>
      <c r="B403" s="17" t="str">
        <f>IFERROR(__xludf.DUMMYFUNCTION("INDEX(IMPORTRANGE(""https://docs.google.com/spreadsheets/d/1S7deMHO2waboU9dywpXeKIDfCmjiuAc0HUIsFpaXQq8/edit?gid=0#gid=0"", ""Tracking Shipments - PPTCO!o:o""), MATCH(D403, IMPORTRANGE(""https://docs.google.com/spreadsheets/d/1S7deMHO2waboU9dywpXeKIDfCmji"&amp;"uAc0HUIsFpaXQq8/edit?gid=0#gid=0"", ""Tracking Shipments - PPTCO!p:p""), 0))"),"PPT-270")</f>
        <v>PPT-270</v>
      </c>
      <c r="C403" s="18" t="s">
        <v>1214</v>
      </c>
      <c r="D403" s="18">
        <v>143735.0</v>
      </c>
      <c r="E403" s="18" t="s">
        <v>1215</v>
      </c>
      <c r="F403" s="18" t="s">
        <v>81</v>
      </c>
      <c r="G403" s="18" t="s">
        <v>1110</v>
      </c>
      <c r="H403" s="18" t="s">
        <v>150</v>
      </c>
      <c r="I403" s="18"/>
      <c r="J403" s="18"/>
      <c r="K403" s="18" t="s">
        <v>150</v>
      </c>
      <c r="L403" s="54">
        <v>46086.0</v>
      </c>
      <c r="M403" s="54">
        <v>46091.0</v>
      </c>
      <c r="N403" s="18"/>
      <c r="O403" s="59">
        <v>45.0</v>
      </c>
      <c r="P403" s="18">
        <v>160.0</v>
      </c>
      <c r="Q403" s="18">
        <v>42.0</v>
      </c>
      <c r="R403" s="47">
        <v>46091.0</v>
      </c>
      <c r="S403" s="22" t="str">
        <f t="shared" si="4"/>
        <v/>
      </c>
      <c r="T403" s="18"/>
      <c r="U403" s="18"/>
      <c r="V403" s="18"/>
      <c r="W403" s="18"/>
      <c r="X403" s="18"/>
      <c r="Y403" s="18" t="s">
        <v>35</v>
      </c>
      <c r="Z403" s="24"/>
      <c r="AA403" s="24"/>
      <c r="AB403" s="24"/>
      <c r="AC403" s="24"/>
      <c r="AD403" s="24"/>
      <c r="AE403" s="24"/>
      <c r="AF403" s="24"/>
      <c r="AG403" s="24"/>
      <c r="AH403" s="24"/>
      <c r="AI403" s="24"/>
    </row>
    <row r="404" ht="15.0" hidden="1" customHeight="1">
      <c r="A404" s="8">
        <v>404.0</v>
      </c>
      <c r="B404" s="9" t="str">
        <f>IFERROR(__xludf.DUMMYFUNCTION("INDEX(IMPORTRANGE(""https://docs.google.com/spreadsheets/d/1S7deMHO2waboU9dywpXeKIDfCmjiuAc0HUIsFpaXQq8/edit?gid=0#gid=0"", ""Tracking Shipments - PPTCO!o:o""), MATCH(D404, IMPORTRANGE(""https://docs.google.com/spreadsheets/d/1S7deMHO2waboU9dywpXeKIDfCmji"&amp;"uAc0HUIsFpaXQq8/edit?gid=0#gid=0"", ""Tracking Shipments - PPTCO!p:p""), 0))"),"PPT-302")</f>
        <v>PPT-302</v>
      </c>
      <c r="C404" s="14" t="s">
        <v>1216</v>
      </c>
      <c r="D404" s="14">
        <v>135414.0</v>
      </c>
      <c r="E404" s="14" t="s">
        <v>1217</v>
      </c>
      <c r="F404" s="14" t="s">
        <v>105</v>
      </c>
      <c r="G404" s="14" t="s">
        <v>1110</v>
      </c>
      <c r="H404" s="14" t="s">
        <v>150</v>
      </c>
      <c r="I404" s="14"/>
      <c r="J404" s="14"/>
      <c r="K404" s="14" t="s">
        <v>150</v>
      </c>
      <c r="L404" s="49">
        <v>46088.0</v>
      </c>
      <c r="M404" s="49">
        <v>46091.0</v>
      </c>
      <c r="N404" s="14"/>
      <c r="O404" s="60" t="s">
        <v>1218</v>
      </c>
      <c r="P404" s="14" t="s">
        <v>1219</v>
      </c>
      <c r="Q404" s="14" t="s">
        <v>1220</v>
      </c>
      <c r="R404" s="52">
        <v>46094.0</v>
      </c>
      <c r="S404" s="13">
        <f t="shared" si="4"/>
        <v>3</v>
      </c>
      <c r="T404" s="14"/>
      <c r="U404" s="14"/>
      <c r="V404" s="14"/>
      <c r="W404" s="14"/>
      <c r="X404" s="14"/>
      <c r="Y404" s="14" t="s">
        <v>35</v>
      </c>
      <c r="Z404" s="15"/>
      <c r="AA404" s="15"/>
      <c r="AB404" s="15"/>
      <c r="AC404" s="15"/>
      <c r="AD404" s="15"/>
      <c r="AE404" s="15"/>
      <c r="AF404" s="15"/>
      <c r="AG404" s="15"/>
      <c r="AH404" s="15"/>
      <c r="AI404" s="15"/>
    </row>
    <row r="405" ht="15.0" hidden="1" customHeight="1">
      <c r="A405" s="16">
        <v>405.0</v>
      </c>
      <c r="B405" s="17" t="str">
        <f>IFERROR(__xludf.DUMMYFUNCTION("INDEX(IMPORTRANGE(""https://docs.google.com/spreadsheets/d/1S7deMHO2waboU9dywpXeKIDfCmjiuAc0HUIsFpaXQq8/edit?gid=0#gid=0"", ""Tracking Shipments - PPTCO!o:o""), MATCH(D405, IMPORTRANGE(""https://docs.google.com/spreadsheets/d/1S7deMHO2waboU9dywpXeKIDfCmji"&amp;"uAc0HUIsFpaXQq8/edit?gid=0#gid=0"", ""Tracking Shipments - PPTCO!p:p""), 0))"),"PETS
TIME")</f>
        <v>PETS
TIME</v>
      </c>
      <c r="C405" s="18" t="s">
        <v>1221</v>
      </c>
      <c r="D405" s="18">
        <v>172668.0</v>
      </c>
      <c r="E405" s="18" t="s">
        <v>1222</v>
      </c>
      <c r="F405" s="18" t="s">
        <v>100</v>
      </c>
      <c r="G405" s="18" t="s">
        <v>1110</v>
      </c>
      <c r="H405" s="18" t="s">
        <v>150</v>
      </c>
      <c r="I405" s="18"/>
      <c r="J405" s="18"/>
      <c r="K405" s="18"/>
      <c r="L405" s="54">
        <v>46100.0</v>
      </c>
      <c r="M405" s="18"/>
      <c r="N405" s="18"/>
      <c r="O405" s="59" t="s">
        <v>1223</v>
      </c>
      <c r="P405" s="18" t="s">
        <v>1224</v>
      </c>
      <c r="Q405" s="18" t="s">
        <v>1225</v>
      </c>
      <c r="R405" s="47">
        <v>46107.0</v>
      </c>
      <c r="S405" s="22">
        <f t="shared" si="4"/>
        <v>46107</v>
      </c>
      <c r="T405" s="18"/>
      <c r="U405" s="18"/>
      <c r="V405" s="18"/>
      <c r="W405" s="16"/>
      <c r="X405" s="18"/>
      <c r="Y405" s="18" t="s">
        <v>35</v>
      </c>
      <c r="Z405" s="24"/>
      <c r="AA405" s="24"/>
      <c r="AB405" s="24"/>
      <c r="AC405" s="24"/>
      <c r="AD405" s="24"/>
      <c r="AE405" s="24"/>
      <c r="AF405" s="24"/>
      <c r="AG405" s="24"/>
      <c r="AH405" s="24"/>
      <c r="AI405" s="24"/>
    </row>
    <row r="406" ht="15.75" hidden="1" customHeight="1">
      <c r="A406" s="8">
        <v>406.0</v>
      </c>
      <c r="B406" s="14" t="s">
        <v>148</v>
      </c>
      <c r="C406" s="14" t="s">
        <v>1226</v>
      </c>
      <c r="D406" s="14">
        <v>187672.0</v>
      </c>
      <c r="E406" s="14" t="s">
        <v>1227</v>
      </c>
      <c r="F406" s="14" t="s">
        <v>350</v>
      </c>
      <c r="G406" s="14" t="s">
        <v>1110</v>
      </c>
      <c r="H406" s="14" t="s">
        <v>150</v>
      </c>
      <c r="I406" s="14"/>
      <c r="J406" s="14"/>
      <c r="K406" s="14"/>
      <c r="L406" s="49">
        <v>46107.0</v>
      </c>
      <c r="M406" s="49">
        <v>46118.0</v>
      </c>
      <c r="N406" s="14"/>
      <c r="O406" s="60">
        <v>71.0</v>
      </c>
      <c r="P406" s="14">
        <v>301.0</v>
      </c>
      <c r="Q406" s="14">
        <v>71.0</v>
      </c>
      <c r="R406" s="52">
        <v>46121.0</v>
      </c>
      <c r="S406" s="13">
        <f t="shared" si="4"/>
        <v>3</v>
      </c>
      <c r="T406" s="14"/>
      <c r="U406" s="14"/>
      <c r="V406" s="14"/>
      <c r="W406" s="14"/>
      <c r="X406" s="14"/>
      <c r="Y406" s="14" t="s">
        <v>35</v>
      </c>
      <c r="Z406" s="15"/>
      <c r="AA406" s="15"/>
      <c r="AB406" s="15"/>
      <c r="AC406" s="15"/>
      <c r="AD406" s="15"/>
      <c r="AE406" s="15"/>
      <c r="AF406" s="15"/>
      <c r="AG406" s="15"/>
      <c r="AH406" s="15"/>
      <c r="AI406" s="15"/>
    </row>
    <row r="407" ht="14.25" hidden="1" customHeight="1">
      <c r="A407" s="16">
        <v>407.0</v>
      </c>
      <c r="B407" s="17" t="str">
        <f>IFERROR(__xludf.DUMMYFUNCTION("INDEX(IMPORTRANGE(""https://docs.google.com/spreadsheets/d/1S7deMHO2waboU9dywpXeKIDfCmjiuAc0HUIsFpaXQq8/edit?gid=0#gid=0"", ""Tracking Shipments - PPTCO!o:o""), MATCH(D407, IMPORTRANGE(""https://docs.google.com/spreadsheets/d/1S7deMHO2waboU9dywpXeKIDfCmji"&amp;"uAc0HUIsFpaXQq8/edit?gid=0#gid=0"", ""Tracking Shipments - PPTCO!p:p""), 0))"),"PPT-301")</f>
        <v>PPT-301</v>
      </c>
      <c r="C407" s="18" t="s">
        <v>1228</v>
      </c>
      <c r="D407" s="18">
        <v>196996.0</v>
      </c>
      <c r="E407" s="18" t="s">
        <v>1229</v>
      </c>
      <c r="F407" s="18" t="s">
        <v>26</v>
      </c>
      <c r="G407" s="18" t="s">
        <v>702</v>
      </c>
      <c r="H407" s="18" t="s">
        <v>150</v>
      </c>
      <c r="I407" s="18"/>
      <c r="J407" s="18"/>
      <c r="K407" s="18"/>
      <c r="L407" s="54">
        <v>46113.0</v>
      </c>
      <c r="M407" s="54">
        <v>46117.0</v>
      </c>
      <c r="N407" s="18"/>
      <c r="O407" s="59" t="s">
        <v>1230</v>
      </c>
      <c r="P407" s="18" t="s">
        <v>1231</v>
      </c>
      <c r="Q407" s="18"/>
      <c r="R407" s="47"/>
      <c r="S407" s="22" t="str">
        <f t="shared" si="4"/>
        <v/>
      </c>
      <c r="T407" s="18"/>
      <c r="U407" s="18"/>
      <c r="V407" s="18"/>
      <c r="W407" s="18"/>
      <c r="X407" s="18"/>
      <c r="Y407" s="18" t="s">
        <v>35</v>
      </c>
      <c r="Z407" s="24"/>
      <c r="AA407" s="24"/>
      <c r="AB407" s="24"/>
      <c r="AC407" s="24"/>
      <c r="AD407" s="24"/>
      <c r="AE407" s="24"/>
      <c r="AF407" s="24"/>
      <c r="AG407" s="24"/>
      <c r="AH407" s="24"/>
      <c r="AI407" s="24"/>
    </row>
    <row r="408" ht="15.0" hidden="1" customHeight="1">
      <c r="A408" s="8">
        <v>408.0</v>
      </c>
      <c r="B408" s="9" t="str">
        <f>IFERROR(__xludf.DUMMYFUNCTION("INDEX(IMPORTRANGE(""https://docs.google.com/spreadsheets/d/1S7deMHO2waboU9dywpXeKIDfCmjiuAc0HUIsFpaXQq8/edit?gid=0#gid=0"", ""Tracking Shipments - PPTCO!o:o""), MATCH(D408, IMPORTRANGE(""https://docs.google.com/spreadsheets/d/1S7deMHO2waboU9dywpXeKIDfCmji"&amp;"uAc0HUIsFpaXQq8/edit?gid=0#gid=0"", ""Tracking Shipments - PPTCO!p:p""), 0))"),"PPT-302")</f>
        <v>PPT-302</v>
      </c>
      <c r="C408" s="14" t="s">
        <v>1232</v>
      </c>
      <c r="D408" s="14">
        <v>203762.0</v>
      </c>
      <c r="E408" s="14" t="s">
        <v>1233</v>
      </c>
      <c r="F408" s="14" t="s">
        <v>105</v>
      </c>
      <c r="G408" s="14" t="s">
        <v>702</v>
      </c>
      <c r="H408" s="14" t="s">
        <v>150</v>
      </c>
      <c r="I408" s="14"/>
      <c r="J408" s="14"/>
      <c r="K408" s="14"/>
      <c r="L408" s="49">
        <v>46114.0</v>
      </c>
      <c r="M408" s="49">
        <v>46118.0</v>
      </c>
      <c r="N408" s="14"/>
      <c r="O408" s="60" t="s">
        <v>1234</v>
      </c>
      <c r="P408" s="14" t="s">
        <v>1235</v>
      </c>
      <c r="Q408" s="14" t="s">
        <v>1236</v>
      </c>
      <c r="R408" s="52">
        <v>46124.0</v>
      </c>
      <c r="S408" s="13">
        <f t="shared" si="4"/>
        <v>6</v>
      </c>
      <c r="T408" s="14"/>
      <c r="U408" s="14"/>
      <c r="V408" s="14"/>
      <c r="W408" s="8"/>
      <c r="X408" s="14"/>
      <c r="Y408" s="14" t="s">
        <v>35</v>
      </c>
      <c r="Z408" s="15"/>
      <c r="AA408" s="15"/>
      <c r="AB408" s="15"/>
      <c r="AC408" s="15"/>
      <c r="AD408" s="15"/>
      <c r="AE408" s="15"/>
      <c r="AF408" s="15"/>
      <c r="AG408" s="15"/>
      <c r="AH408" s="15"/>
      <c r="AI408" s="15"/>
    </row>
    <row r="409" ht="14.25" hidden="1" customHeight="1">
      <c r="A409" s="16">
        <v>409.0</v>
      </c>
      <c r="B409" s="17" t="str">
        <f>IFERROR(__xludf.DUMMYFUNCTION("INDEX(IMPORTRANGE(""https://docs.google.com/spreadsheets/d/1S7deMHO2waboU9dywpXeKIDfCmjiuAc0HUIsFpaXQq8/edit?gid=0#gid=0"", ""Tracking Shipments - PPTCO!o:o""), MATCH(D409, IMPORTRANGE(""https://docs.google.com/spreadsheets/d/1S7deMHO2waboU9dywpXeKIDfCmji"&amp;"uAc0HUIsFpaXQq8/edit?gid=0#gid=0"", ""Tracking Shipments - PPTCO!p:p""), 0))"),"PPT-302")</f>
        <v>PPT-302</v>
      </c>
      <c r="C409" s="18" t="s">
        <v>1237</v>
      </c>
      <c r="D409" s="18">
        <v>203802.0</v>
      </c>
      <c r="E409" s="18" t="s">
        <v>1238</v>
      </c>
      <c r="F409" s="18" t="s">
        <v>105</v>
      </c>
      <c r="G409" s="18" t="s">
        <v>702</v>
      </c>
      <c r="H409" s="18" t="s">
        <v>150</v>
      </c>
      <c r="I409" s="18"/>
      <c r="J409" s="18"/>
      <c r="K409" s="18"/>
      <c r="L409" s="54">
        <v>46120.0</v>
      </c>
      <c r="M409" s="54">
        <v>46121.0</v>
      </c>
      <c r="N409" s="18"/>
      <c r="O409" s="59" t="s">
        <v>1239</v>
      </c>
      <c r="P409" s="18" t="s">
        <v>1240</v>
      </c>
      <c r="Q409" s="18" t="s">
        <v>1241</v>
      </c>
      <c r="R409" s="47">
        <v>46124.0</v>
      </c>
      <c r="S409" s="22">
        <f t="shared" si="4"/>
        <v>3</v>
      </c>
      <c r="T409" s="18"/>
      <c r="U409" s="18"/>
      <c r="V409" s="18"/>
      <c r="W409" s="18"/>
      <c r="X409" s="18"/>
      <c r="Y409" s="18" t="s">
        <v>35</v>
      </c>
      <c r="Z409" s="24"/>
      <c r="AA409" s="24"/>
      <c r="AB409" s="24"/>
      <c r="AC409" s="24"/>
      <c r="AD409" s="24"/>
      <c r="AE409" s="24"/>
      <c r="AF409" s="24"/>
      <c r="AG409" s="24"/>
      <c r="AH409" s="24"/>
      <c r="AI409" s="24"/>
    </row>
    <row r="410" ht="15.75" hidden="1" customHeight="1">
      <c r="A410" s="8">
        <v>410.0</v>
      </c>
      <c r="B410" s="14" t="s">
        <v>148</v>
      </c>
      <c r="C410" s="14" t="s">
        <v>1242</v>
      </c>
      <c r="D410" s="14">
        <v>213952.0</v>
      </c>
      <c r="E410" s="14" t="s">
        <v>1243</v>
      </c>
      <c r="F410" s="14" t="s">
        <v>26</v>
      </c>
      <c r="G410" s="14" t="s">
        <v>702</v>
      </c>
      <c r="H410" s="14" t="s">
        <v>150</v>
      </c>
      <c r="I410" s="14"/>
      <c r="J410" s="14"/>
      <c r="K410" s="14" t="s">
        <v>150</v>
      </c>
      <c r="L410" s="49">
        <v>46124.0</v>
      </c>
      <c r="M410" s="49">
        <v>46126.0</v>
      </c>
      <c r="N410" s="14"/>
      <c r="O410" s="60">
        <v>95.0</v>
      </c>
      <c r="P410" s="14">
        <v>469.0</v>
      </c>
      <c r="Q410" s="14">
        <v>83.0</v>
      </c>
      <c r="R410" s="52">
        <v>46128.0</v>
      </c>
      <c r="S410" s="13">
        <f t="shared" si="4"/>
        <v>2</v>
      </c>
      <c r="T410" s="14"/>
      <c r="U410" s="14"/>
      <c r="V410" s="14"/>
      <c r="W410" s="14"/>
      <c r="X410" s="14"/>
      <c r="Y410" s="14" t="s">
        <v>35</v>
      </c>
      <c r="Z410" s="15"/>
      <c r="AA410" s="15"/>
      <c r="AB410" s="15"/>
      <c r="AC410" s="15"/>
      <c r="AD410" s="15"/>
      <c r="AE410" s="15"/>
      <c r="AF410" s="15"/>
      <c r="AG410" s="15"/>
      <c r="AH410" s="15"/>
      <c r="AI410" s="15"/>
    </row>
    <row r="411" ht="14.25" hidden="1" customHeight="1">
      <c r="A411" s="16">
        <v>411.0</v>
      </c>
      <c r="B411" s="17" t="str">
        <f>IFERROR(__xludf.DUMMYFUNCTION("INDEX(IMPORTRANGE(""https://docs.google.com/spreadsheets/d/1S7deMHO2waboU9dywpXeKIDfCmjiuAc0HUIsFpaXQq8/edit?gid=0#gid=0"", ""Tracking Shipments - PPTCO!o:o""), MATCH(D411, IMPORTRANGE(""https://docs.google.com/spreadsheets/d/1S7deMHO2waboU9dywpXeKIDfCmji"&amp;"uAc0HUIsFpaXQq8/edit?gid=0#gid=0"", ""Tracking Shipments - PPTCO!p:p""), 0))"),"PPT-293")</f>
        <v>PPT-293</v>
      </c>
      <c r="C411" s="18" t="s">
        <v>1244</v>
      </c>
      <c r="D411" s="18">
        <v>242886.0</v>
      </c>
      <c r="E411" s="18" t="s">
        <v>278</v>
      </c>
      <c r="F411" s="18" t="s">
        <v>81</v>
      </c>
      <c r="G411" s="18" t="s">
        <v>702</v>
      </c>
      <c r="H411" s="18" t="s">
        <v>150</v>
      </c>
      <c r="I411" s="18"/>
      <c r="J411" s="18"/>
      <c r="K411" s="18" t="s">
        <v>150</v>
      </c>
      <c r="L411" s="54">
        <v>46130.0</v>
      </c>
      <c r="M411" s="54">
        <v>46131.0</v>
      </c>
      <c r="N411" s="18"/>
      <c r="O411" s="59" t="s">
        <v>1245</v>
      </c>
      <c r="P411" s="18" t="s">
        <v>1246</v>
      </c>
      <c r="Q411" s="18" t="s">
        <v>1247</v>
      </c>
      <c r="R411" s="47">
        <v>46128.0</v>
      </c>
      <c r="S411" s="22" t="str">
        <f t="shared" si="4"/>
        <v/>
      </c>
      <c r="T411" s="18"/>
      <c r="U411" s="18"/>
      <c r="V411" s="18"/>
      <c r="W411" s="16"/>
      <c r="X411" s="18"/>
      <c r="Y411" s="18" t="s">
        <v>35</v>
      </c>
      <c r="Z411" s="24"/>
      <c r="AA411" s="24"/>
      <c r="AB411" s="24"/>
      <c r="AC411" s="24"/>
      <c r="AD411" s="24"/>
      <c r="AE411" s="24"/>
      <c r="AF411" s="24"/>
      <c r="AG411" s="24"/>
      <c r="AH411" s="24"/>
      <c r="AI411" s="24"/>
    </row>
    <row r="412" ht="15.0" hidden="1" customHeight="1">
      <c r="A412" s="8">
        <v>412.0</v>
      </c>
      <c r="B412" s="9" t="str">
        <f>IFERROR(__xludf.DUMMYFUNCTION("INDEX(IMPORTRANGE(""https://docs.google.com/spreadsheets/d/1S7deMHO2waboU9dywpXeKIDfCmjiuAc0HUIsFpaXQq8/edit?gid=0#gid=0"", ""Tracking Shipments - PPTCO!o:o""), MATCH(D412, IMPORTRANGE(""https://docs.google.com/spreadsheets/d/1S7deMHO2waboU9dywpXeKIDfCmji"&amp;"uAc0HUIsFpaXQq8/edit?gid=0#gid=0"", ""Tracking Shipments - PPTCO!p:p""), 0))"),"PPT-289")</f>
        <v>PPT-289</v>
      </c>
      <c r="C412" s="14" t="s">
        <v>1248</v>
      </c>
      <c r="D412" s="14">
        <v>260599.0</v>
      </c>
      <c r="E412" s="14" t="s">
        <v>1249</v>
      </c>
      <c r="F412" s="14" t="s">
        <v>1066</v>
      </c>
      <c r="G412" s="14" t="s">
        <v>702</v>
      </c>
      <c r="H412" s="14" t="s">
        <v>150</v>
      </c>
      <c r="I412" s="14"/>
      <c r="J412" s="14"/>
      <c r="K412" s="14"/>
      <c r="L412" s="49">
        <v>46141.0</v>
      </c>
      <c r="M412" s="49">
        <v>46149.0</v>
      </c>
      <c r="N412" s="14"/>
      <c r="O412" s="60">
        <v>47.0</v>
      </c>
      <c r="P412" s="14">
        <v>162.0</v>
      </c>
      <c r="Q412" s="14">
        <v>91.0</v>
      </c>
      <c r="R412" s="52">
        <v>46152.0</v>
      </c>
      <c r="S412" s="13">
        <f t="shared" si="4"/>
        <v>3</v>
      </c>
      <c r="T412" s="14"/>
      <c r="U412" s="14"/>
      <c r="V412" s="14"/>
      <c r="W412" s="14"/>
      <c r="X412" s="14"/>
      <c r="Y412" s="14" t="s">
        <v>35</v>
      </c>
      <c r="Z412" s="15"/>
      <c r="AA412" s="15"/>
      <c r="AB412" s="15"/>
      <c r="AC412" s="15"/>
      <c r="AD412" s="15"/>
      <c r="AE412" s="15"/>
      <c r="AF412" s="15"/>
      <c r="AG412" s="15"/>
      <c r="AH412" s="15"/>
      <c r="AI412" s="15"/>
    </row>
    <row r="413" ht="14.25" hidden="1" customHeight="1">
      <c r="A413" s="16">
        <v>413.0</v>
      </c>
      <c r="B413" s="17" t="str">
        <f>IFERROR(__xludf.DUMMYFUNCTION("INDEX(IMPORTRANGE(""https://docs.google.com/spreadsheets/d/1S7deMHO2waboU9dywpXeKIDfCmjiuAc0HUIsFpaXQq8/edit?gid=0#gid=0"", ""Tracking Shipments - PPTCO!o:o""), MATCH(D413, IMPORTRANGE(""https://docs.google.com/spreadsheets/d/1S7deMHO2waboU9dywpXeKIDfCmji"&amp;"uAc0HUIsFpaXQq8/edit?gid=0#gid=0"", ""Tracking Shipments - PPTCO!p:p""), 0))"),"PPT-289")</f>
        <v>PPT-289</v>
      </c>
      <c r="C413" s="18" t="s">
        <v>1250</v>
      </c>
      <c r="D413" s="18">
        <v>260563.0</v>
      </c>
      <c r="E413" s="18" t="s">
        <v>1251</v>
      </c>
      <c r="F413" s="18" t="s">
        <v>1066</v>
      </c>
      <c r="G413" s="18" t="s">
        <v>702</v>
      </c>
      <c r="H413" s="18" t="s">
        <v>150</v>
      </c>
      <c r="I413" s="18"/>
      <c r="J413" s="18"/>
      <c r="K413" s="18"/>
      <c r="L413" s="54">
        <v>46141.0</v>
      </c>
      <c r="M413" s="54">
        <v>46149.0</v>
      </c>
      <c r="N413" s="18"/>
      <c r="O413" s="59">
        <v>46.0</v>
      </c>
      <c r="P413" s="18">
        <v>161.0</v>
      </c>
      <c r="Q413" s="18">
        <v>92.0</v>
      </c>
      <c r="R413" s="47">
        <v>46152.0</v>
      </c>
      <c r="S413" s="22">
        <f t="shared" si="4"/>
        <v>3</v>
      </c>
      <c r="T413" s="18"/>
      <c r="U413" s="18"/>
      <c r="V413" s="18"/>
      <c r="W413" s="18"/>
      <c r="X413" s="18"/>
      <c r="Y413" s="18" t="s">
        <v>35</v>
      </c>
      <c r="Z413" s="24"/>
      <c r="AA413" s="24"/>
      <c r="AB413" s="24"/>
      <c r="AC413" s="24"/>
      <c r="AD413" s="24"/>
      <c r="AE413" s="24"/>
      <c r="AF413" s="24"/>
      <c r="AG413" s="24"/>
      <c r="AH413" s="24"/>
      <c r="AI413" s="24"/>
    </row>
    <row r="414" ht="15.75" hidden="1" customHeight="1">
      <c r="A414" s="8">
        <v>414.0</v>
      </c>
      <c r="B414" s="9" t="str">
        <f>IFERROR(__xludf.DUMMYFUNCTION("INDEX(IMPORTRANGE(""https://docs.google.com/spreadsheets/d/1S7deMHO2waboU9dywpXeKIDfCmjiuAc0HUIsFpaXQq8/edit?gid=0#gid=0"", ""Tracking Shipments - PPTCO!o:o""), MATCH(D414, IMPORTRANGE(""https://docs.google.com/spreadsheets/d/1S7deMHO2waboU9dywpXeKIDfCmji"&amp;"uAc0HUIsFpaXQq8/edit?gid=0#gid=0"", ""Tracking Shipments - PPTCO!p:p""), 0))"),"PPT-290")</f>
        <v>PPT-290</v>
      </c>
      <c r="C414" s="14" t="s">
        <v>1252</v>
      </c>
      <c r="D414" s="14">
        <v>308143.0</v>
      </c>
      <c r="E414" s="14" t="s">
        <v>1253</v>
      </c>
      <c r="F414" s="14" t="s">
        <v>1066</v>
      </c>
      <c r="G414" s="14" t="s">
        <v>702</v>
      </c>
      <c r="H414" s="14" t="s">
        <v>150</v>
      </c>
      <c r="I414" s="14"/>
      <c r="J414" s="14"/>
      <c r="K414" s="14" t="s">
        <v>150</v>
      </c>
      <c r="L414" s="49">
        <v>46154.0</v>
      </c>
      <c r="M414" s="49">
        <v>46156.0</v>
      </c>
      <c r="N414" s="14"/>
      <c r="O414" s="60">
        <v>97.0</v>
      </c>
      <c r="P414" s="14">
        <v>712.0</v>
      </c>
      <c r="Q414" s="14">
        <v>99.0</v>
      </c>
      <c r="R414" s="52">
        <v>46166.0</v>
      </c>
      <c r="S414" s="13">
        <f t="shared" si="4"/>
        <v>10</v>
      </c>
      <c r="T414" s="14"/>
      <c r="U414" s="14"/>
      <c r="V414" s="14"/>
      <c r="W414" s="8"/>
      <c r="X414" s="14"/>
      <c r="Y414" s="14" t="s">
        <v>35</v>
      </c>
      <c r="Z414" s="15"/>
      <c r="AA414" s="15"/>
      <c r="AB414" s="15"/>
      <c r="AC414" s="15"/>
      <c r="AD414" s="15"/>
      <c r="AE414" s="15"/>
      <c r="AF414" s="15"/>
      <c r="AG414" s="15"/>
      <c r="AH414" s="15"/>
      <c r="AI414" s="15"/>
    </row>
    <row r="415" ht="14.25" hidden="1" customHeight="1">
      <c r="A415" s="16">
        <v>415.0</v>
      </c>
      <c r="B415" s="17" t="str">
        <f>IFERROR(__xludf.DUMMYFUNCTION("INDEX(IMPORTRANGE(""https://docs.google.com/spreadsheets/d/1S7deMHO2waboU9dywpXeKIDfCmjiuAc0HUIsFpaXQq8/edit?gid=0#gid=0"", ""Tracking Shipments - PPTCO!o:o""), MATCH(D415, IMPORTRANGE(""https://docs.google.com/spreadsheets/d/1S7deMHO2waboU9dywpXeKIDfCmji"&amp;"uAc0HUIsFpaXQq8/edit?gid=0#gid=0"", ""Tracking Shipments - PPTCO!p:p""), 0))"),"PPT-310")</f>
        <v>PPT-310</v>
      </c>
      <c r="C415" s="18" t="s">
        <v>1254</v>
      </c>
      <c r="D415" s="18">
        <v>340331.0</v>
      </c>
      <c r="E415" s="18" t="s">
        <v>1255</v>
      </c>
      <c r="F415" s="18" t="s">
        <v>1066</v>
      </c>
      <c r="G415" s="18" t="s">
        <v>702</v>
      </c>
      <c r="H415" s="18" t="s">
        <v>150</v>
      </c>
      <c r="I415" s="18"/>
      <c r="J415" s="18"/>
      <c r="K415" s="18" t="s">
        <v>150</v>
      </c>
      <c r="L415" s="54">
        <v>46159.0</v>
      </c>
      <c r="M415" s="54">
        <v>46162.0</v>
      </c>
      <c r="N415" s="18"/>
      <c r="O415" s="59">
        <v>99.0</v>
      </c>
      <c r="P415" s="18">
        <v>713.0</v>
      </c>
      <c r="Q415" s="18">
        <v>100.0</v>
      </c>
      <c r="R415" s="47">
        <v>46166.0</v>
      </c>
      <c r="S415" s="22">
        <f t="shared" si="4"/>
        <v>4</v>
      </c>
      <c r="T415" s="18"/>
      <c r="U415" s="18"/>
      <c r="V415" s="18"/>
      <c r="W415" s="18"/>
      <c r="X415" s="18"/>
      <c r="Y415" s="18" t="s">
        <v>35</v>
      </c>
      <c r="Z415" s="24"/>
      <c r="AA415" s="24"/>
      <c r="AB415" s="24"/>
      <c r="AC415" s="24"/>
      <c r="AD415" s="24"/>
      <c r="AE415" s="24"/>
      <c r="AF415" s="24"/>
      <c r="AG415" s="24"/>
      <c r="AH415" s="24"/>
      <c r="AI415" s="24"/>
    </row>
    <row r="416" ht="14.25" hidden="1" customHeight="1">
      <c r="A416" s="8">
        <v>416.0</v>
      </c>
      <c r="B416" s="9" t="str">
        <f>IFERROR(__xludf.DUMMYFUNCTION("INDEX(IMPORTRANGE(""https://docs.google.com/spreadsheets/d/1S7deMHO2waboU9dywpXeKIDfCmjiuAc0HUIsFpaXQq8/edit?gid=0#gid=0"", ""Tracking Shipments - PPTCO!o:o""), MATCH(D416, IMPORTRANGE(""https://docs.google.com/spreadsheets/d/1S7deMHO2waboU9dywpXeKIDfCmji"&amp;"uAc0HUIsFpaXQq8/edit?gid=0#gid=0"", ""Tracking Shipments - PPTCO!p:p""), 0))"),"PPT-286")</f>
        <v>PPT-286</v>
      </c>
      <c r="C416" s="14" t="s">
        <v>1256</v>
      </c>
      <c r="D416" s="14">
        <v>370802.0</v>
      </c>
      <c r="E416" s="14" t="s">
        <v>1257</v>
      </c>
      <c r="F416" s="14" t="s">
        <v>1066</v>
      </c>
      <c r="G416" s="14" t="s">
        <v>702</v>
      </c>
      <c r="H416" s="14" t="s">
        <v>150</v>
      </c>
      <c r="I416" s="14"/>
      <c r="J416" s="14"/>
      <c r="K416" s="14" t="s">
        <v>150</v>
      </c>
      <c r="L416" s="49">
        <v>46174.0</v>
      </c>
      <c r="M416" s="58">
        <v>46179.0</v>
      </c>
      <c r="N416" s="14"/>
      <c r="O416" s="60">
        <v>105.0</v>
      </c>
      <c r="P416" s="14">
        <v>758.0</v>
      </c>
      <c r="Q416" s="14">
        <v>101.0</v>
      </c>
      <c r="R416" s="52"/>
      <c r="S416" s="13" t="str">
        <f t="shared" si="4"/>
        <v/>
      </c>
      <c r="T416" s="14"/>
      <c r="U416" s="14"/>
      <c r="V416" s="14"/>
      <c r="W416" s="14"/>
      <c r="X416" s="14"/>
      <c r="Y416" s="14" t="s">
        <v>35</v>
      </c>
      <c r="Z416" s="15"/>
      <c r="AA416" s="15"/>
      <c r="AB416" s="15"/>
      <c r="AC416" s="15"/>
      <c r="AD416" s="15"/>
      <c r="AE416" s="15"/>
      <c r="AF416" s="15"/>
      <c r="AG416" s="15"/>
      <c r="AH416" s="15"/>
      <c r="AI416" s="15"/>
    </row>
    <row r="417" ht="12.0" hidden="1" customHeight="1">
      <c r="A417" s="16">
        <v>417.0</v>
      </c>
      <c r="B417" s="17" t="str">
        <f>IFERROR(__xludf.DUMMYFUNCTION("INDEX(IMPORTRANGE(""https://docs.google.com/spreadsheets/d/1S7deMHO2waboU9dywpXeKIDfCmjiuAc0HUIsFpaXQq8/edit?gid=0#gid=0"", ""Tracking Shipments - PPTCO!o:o""), MATCH(D417, IMPORTRANGE(""https://docs.google.com/spreadsheets/d/1S7deMHO2waboU9dywpXeKIDfCmji"&amp;"uAc0HUIsFpaXQq8/edit?gid=0#gid=0"", ""Tracking Shipments - PPTCO!p:p""), 0))"),"PPT-292")</f>
        <v>PPT-292</v>
      </c>
      <c r="C417" s="18" t="s">
        <v>1258</v>
      </c>
      <c r="D417" s="18">
        <v>380151.0</v>
      </c>
      <c r="E417" s="18" t="s">
        <v>1259</v>
      </c>
      <c r="F417" s="18" t="s">
        <v>824</v>
      </c>
      <c r="G417" s="18" t="s">
        <v>702</v>
      </c>
      <c r="H417" s="18" t="s">
        <v>150</v>
      </c>
      <c r="I417" s="18"/>
      <c r="J417" s="18"/>
      <c r="K417" s="18" t="s">
        <v>150</v>
      </c>
      <c r="L417" s="54">
        <v>46183.0</v>
      </c>
      <c r="M417" s="54">
        <v>46184.0</v>
      </c>
      <c r="N417" s="18"/>
      <c r="O417" s="59">
        <v>106.0</v>
      </c>
      <c r="P417" s="18">
        <v>952.0</v>
      </c>
      <c r="Q417" s="18">
        <v>112.0</v>
      </c>
      <c r="R417" s="47"/>
      <c r="S417" s="22" t="str">
        <f t="shared" si="4"/>
        <v/>
      </c>
      <c r="T417" s="18"/>
      <c r="U417" s="18"/>
      <c r="V417" s="18"/>
      <c r="W417" s="16"/>
      <c r="X417" s="18"/>
      <c r="Y417" s="18" t="s">
        <v>35</v>
      </c>
      <c r="Z417" s="24"/>
      <c r="AA417" s="24"/>
      <c r="AB417" s="24"/>
      <c r="AC417" s="24"/>
      <c r="AD417" s="24"/>
      <c r="AE417" s="24"/>
      <c r="AF417" s="24"/>
      <c r="AG417" s="24"/>
      <c r="AH417" s="24"/>
      <c r="AI417" s="24"/>
    </row>
    <row r="418" ht="14.25" hidden="1" customHeight="1">
      <c r="A418" s="8">
        <v>418.0</v>
      </c>
      <c r="B418" s="9" t="str">
        <f>IFERROR(__xludf.DUMMYFUNCTION("INDEX(IMPORTRANGE(""https://docs.google.com/spreadsheets/d/1S7deMHO2waboU9dywpXeKIDfCmjiuAc0HUIsFpaXQq8/edit?gid=0#gid=0"", ""Tracking Shipments - PPTCO!o:o""), MATCH(D418, IMPORTRANGE(""https://docs.google.com/spreadsheets/d/1S7deMHO2waboU9dywpXeKIDfCmji"&amp;"uAc0HUIsFpaXQq8/edit?gid=0#gid=0"", ""Tracking Shipments - PPTCO!p:p""), 0))"),"PPT-293")</f>
        <v>PPT-293</v>
      </c>
      <c r="C418" s="14" t="s">
        <v>1260</v>
      </c>
      <c r="D418" s="14">
        <v>372470.0</v>
      </c>
      <c r="E418" s="14" t="s">
        <v>1261</v>
      </c>
      <c r="F418" s="14" t="s">
        <v>81</v>
      </c>
      <c r="G418" s="14" t="s">
        <v>702</v>
      </c>
      <c r="H418" s="14" t="s">
        <v>150</v>
      </c>
      <c r="I418" s="14"/>
      <c r="J418" s="14"/>
      <c r="K418" s="14" t="s">
        <v>150</v>
      </c>
      <c r="L418" s="49">
        <v>46176.0</v>
      </c>
      <c r="M418" s="58">
        <v>46179.0</v>
      </c>
      <c r="N418" s="14"/>
      <c r="O418" s="60" t="s">
        <v>1262</v>
      </c>
      <c r="P418" s="14" t="s">
        <v>1263</v>
      </c>
      <c r="Q418" s="14" t="s">
        <v>1264</v>
      </c>
      <c r="R418" s="52">
        <v>46180.0</v>
      </c>
      <c r="S418" s="14"/>
      <c r="T418" s="14"/>
      <c r="U418" s="14"/>
      <c r="V418" s="14"/>
      <c r="W418" s="14"/>
      <c r="X418" s="14"/>
      <c r="Y418" s="14" t="s">
        <v>35</v>
      </c>
      <c r="Z418" s="15"/>
      <c r="AA418" s="15"/>
      <c r="AB418" s="15"/>
      <c r="AC418" s="15"/>
      <c r="AD418" s="15"/>
      <c r="AE418" s="15"/>
      <c r="AF418" s="15"/>
      <c r="AG418" s="15"/>
      <c r="AH418" s="15"/>
      <c r="AI418" s="15"/>
    </row>
    <row r="419" ht="13.5" hidden="1" customHeight="1">
      <c r="A419" s="16">
        <v>419.0</v>
      </c>
      <c r="B419" s="17" t="str">
        <f>IFERROR(__xludf.DUMMYFUNCTION("INDEX(IMPORTRANGE(""https://docs.google.com/spreadsheets/d/1S7deMHO2waboU9dywpXeKIDfCmjiuAc0HUIsFpaXQq8/edit?gid=0#gid=0"", ""Tracking Shipments - PPTCO!o:o""), MATCH(D419, IMPORTRANGE(""https://docs.google.com/spreadsheets/d/1S7deMHO2waboU9dywpXeKIDfCmji"&amp;"uAc0HUIsFpaXQq8/edit?gid=0#gid=0"", ""Tracking Shipments - PPTCO!p:p""), 0))"),"PPT-325")</f>
        <v>PPT-325</v>
      </c>
      <c r="C419" s="18" t="s">
        <v>1265</v>
      </c>
      <c r="D419" s="18">
        <v>393045.0</v>
      </c>
      <c r="E419" s="18" t="s">
        <v>1266</v>
      </c>
      <c r="F419" s="18" t="s">
        <v>105</v>
      </c>
      <c r="G419" s="18" t="s">
        <v>702</v>
      </c>
      <c r="H419" s="18" t="s">
        <v>150</v>
      </c>
      <c r="I419" s="18"/>
      <c r="J419" s="18"/>
      <c r="K419" s="18" t="s">
        <v>150</v>
      </c>
      <c r="L419" s="54">
        <v>46177.0</v>
      </c>
      <c r="M419" s="57">
        <v>46180.0</v>
      </c>
      <c r="N419" s="18"/>
      <c r="O419" s="59" t="s">
        <v>1267</v>
      </c>
      <c r="P419" s="18" t="s">
        <v>1268</v>
      </c>
      <c r="Q419" s="18" t="s">
        <v>1269</v>
      </c>
      <c r="R419" s="47"/>
      <c r="S419" s="18"/>
      <c r="T419" s="18"/>
      <c r="U419" s="18"/>
      <c r="V419" s="18"/>
      <c r="W419" s="18"/>
      <c r="X419" s="18"/>
      <c r="Y419" s="18" t="s">
        <v>35</v>
      </c>
      <c r="Z419" s="24"/>
      <c r="AA419" s="24"/>
      <c r="AB419" s="24"/>
      <c r="AC419" s="24"/>
      <c r="AD419" s="24"/>
      <c r="AE419" s="24"/>
      <c r="AF419" s="24"/>
      <c r="AG419" s="24"/>
      <c r="AH419" s="24"/>
      <c r="AI419" s="24"/>
    </row>
    <row r="420" ht="14.25" customHeight="1">
      <c r="A420" s="8">
        <v>420.0</v>
      </c>
      <c r="B420" s="9" t="str">
        <f>IFERROR(__xludf.DUMMYFUNCTION("INDEX(IMPORTRANGE(""https://docs.google.com/spreadsheets/d/1S7deMHO2waboU9dywpXeKIDfCmjiuAc0HUIsFpaXQq8/edit?gid=0#gid=0"", ""Tracking Shipments - PPTCO!o:o""), MATCH(D420, IMPORTRANGE(""https://docs.google.com/spreadsheets/d/1S7deMHO2waboU9dywpXeKIDfCmji"&amp;"uAc0HUIsFpaXQq8/edit?gid=0#gid=0"", ""Tracking Shipments - PPTCO!p:p""), 0))"),"PPT-308")</f>
        <v>PPT-308</v>
      </c>
      <c r="C420" s="14" t="s">
        <v>1270</v>
      </c>
      <c r="D420" s="14">
        <v>385624.0</v>
      </c>
      <c r="E420" s="14" t="s">
        <v>1271</v>
      </c>
      <c r="F420" s="14" t="s">
        <v>1066</v>
      </c>
      <c r="G420" s="14" t="s">
        <v>702</v>
      </c>
      <c r="H420" s="14" t="s">
        <v>150</v>
      </c>
      <c r="I420" s="14"/>
      <c r="J420" s="14"/>
      <c r="K420" s="14" t="s">
        <v>150</v>
      </c>
      <c r="L420" s="49">
        <v>46197.0</v>
      </c>
      <c r="M420" s="49">
        <v>46201.0</v>
      </c>
      <c r="N420" s="14"/>
      <c r="O420" s="60">
        <v>112.0</v>
      </c>
      <c r="P420" s="14"/>
      <c r="Q420" s="14"/>
      <c r="R420" s="52"/>
      <c r="S420" s="14"/>
      <c r="T420" s="14"/>
      <c r="U420" s="14"/>
      <c r="V420" s="14"/>
      <c r="W420" s="8"/>
      <c r="X420" s="14"/>
      <c r="Y420" s="14"/>
      <c r="Z420" s="15"/>
      <c r="AA420" s="15"/>
      <c r="AB420" s="15"/>
      <c r="AC420" s="15"/>
      <c r="AD420" s="15"/>
      <c r="AE420" s="15"/>
      <c r="AF420" s="15"/>
      <c r="AG420" s="15"/>
      <c r="AH420" s="15"/>
      <c r="AI420" s="15"/>
    </row>
    <row r="421" ht="15.75" customHeight="1">
      <c r="A421" s="16">
        <v>421.0</v>
      </c>
      <c r="B421" s="17" t="str">
        <f>IFERROR(__xludf.DUMMYFUNCTION("INDEX(IMPORTRANGE(""https://docs.google.com/spreadsheets/d/1S7deMHO2waboU9dywpXeKIDfCmjiuAc0HUIsFpaXQq8/edit?gid=0#gid=0"", ""Tracking Shipments - PPTCO!o:o""), MATCH(D421, IMPORTRANGE(""https://docs.google.com/spreadsheets/d/1S7deMHO2waboU9dywpXeKIDfCmji"&amp;"uAc0HUIsFpaXQq8/edit?gid=0#gid=0"", ""Tracking Shipments - PPTCO!p:p""), 0))"),"  ")</f>
        <v>  </v>
      </c>
      <c r="C421" s="18" t="s">
        <v>1272</v>
      </c>
      <c r="D421" s="18">
        <v>416710.0</v>
      </c>
      <c r="E421" s="18" t="s">
        <v>1273</v>
      </c>
      <c r="F421" s="18" t="s">
        <v>824</v>
      </c>
      <c r="G421" s="18" t="s">
        <v>702</v>
      </c>
      <c r="H421" s="18" t="s">
        <v>150</v>
      </c>
      <c r="I421" s="18"/>
      <c r="J421" s="18"/>
      <c r="K421" s="18" t="s">
        <v>150</v>
      </c>
      <c r="L421" s="57">
        <v>46209.0</v>
      </c>
      <c r="M421" s="18"/>
      <c r="N421" s="18"/>
      <c r="O421" s="59">
        <v>120.0</v>
      </c>
      <c r="P421" s="18"/>
      <c r="Q421" s="18"/>
      <c r="R421" s="47"/>
      <c r="S421" s="18"/>
      <c r="T421" s="18"/>
      <c r="U421" s="18"/>
      <c r="V421" s="18"/>
      <c r="W421" s="18"/>
      <c r="X421" s="18"/>
      <c r="Y421" s="18"/>
      <c r="Z421" s="24"/>
      <c r="AA421" s="24"/>
      <c r="AB421" s="24"/>
      <c r="AC421" s="24"/>
      <c r="AD421" s="24"/>
      <c r="AE421" s="24"/>
      <c r="AF421" s="24"/>
      <c r="AG421" s="24"/>
      <c r="AH421" s="24"/>
      <c r="AI421" s="24"/>
    </row>
    <row r="422" ht="15.75" hidden="1" customHeight="1">
      <c r="A422" s="8">
        <v>422.0</v>
      </c>
      <c r="B422" s="9" t="str">
        <f>IFERROR(__xludf.DUMMYFUNCTION("INDEX(IMPORTRANGE(""https://docs.google.com/spreadsheets/d/1S7deMHO2waboU9dywpXeKIDfCmjiuAc0HUIsFpaXQq8/edit?gid=0#gid=0"", ""Tracking Shipments - PPTCO!o:o""), MATCH(D422, IMPORTRANGE(""https://docs.google.com/spreadsheets/d/1S7deMHO2waboU9dywpXeKIDfCmji"&amp;"uAc0HUIsFpaXQq8/edit?gid=0#gid=0"", ""Tracking Shipments - PPTCO!p:p""), 0))"),"PPT-293")</f>
        <v>PPT-293</v>
      </c>
      <c r="C422" s="14" t="s">
        <v>1274</v>
      </c>
      <c r="D422" s="14">
        <v>439545.0</v>
      </c>
      <c r="E422" s="14" t="s">
        <v>1275</v>
      </c>
      <c r="F422" s="14" t="s">
        <v>81</v>
      </c>
      <c r="G422" s="14" t="s">
        <v>702</v>
      </c>
      <c r="H422" s="14" t="s">
        <v>150</v>
      </c>
      <c r="I422" s="14"/>
      <c r="J422" s="14"/>
      <c r="K422" s="14"/>
      <c r="L422" s="49">
        <v>46188.0</v>
      </c>
      <c r="M422" s="49">
        <v>46189.0</v>
      </c>
      <c r="N422" s="14"/>
      <c r="O422" s="60">
        <v>60.0</v>
      </c>
      <c r="P422" s="14">
        <v>951.0</v>
      </c>
      <c r="Q422" s="14">
        <v>113.0</v>
      </c>
      <c r="R422" s="52"/>
      <c r="S422" s="14"/>
      <c r="T422" s="14"/>
      <c r="U422" s="14"/>
      <c r="V422" s="14"/>
      <c r="W422" s="14"/>
      <c r="X422" s="14"/>
      <c r="Y422" s="14" t="s">
        <v>35</v>
      </c>
      <c r="Z422" s="15"/>
      <c r="AA422" s="15"/>
      <c r="AB422" s="15"/>
      <c r="AC422" s="15"/>
      <c r="AD422" s="15"/>
      <c r="AE422" s="15"/>
      <c r="AF422" s="15"/>
      <c r="AG422" s="15"/>
      <c r="AH422" s="15"/>
      <c r="AI422" s="15"/>
    </row>
    <row r="423" ht="14.25" hidden="1" customHeight="1">
      <c r="A423" s="16">
        <v>423.0</v>
      </c>
      <c r="B423" s="17" t="str">
        <f>IFERROR(__xludf.DUMMYFUNCTION("INDEX(IMPORTRANGE(""https://docs.google.com/spreadsheets/d/1S7deMHO2waboU9dywpXeKIDfCmjiuAc0HUIsFpaXQq8/edit?gid=0#gid=0"", ""Tracking Shipments - PPTCO!o:o""), MATCH(D423, IMPORTRANGE(""https://docs.google.com/spreadsheets/d/1S7deMHO2waboU9dywpXeKIDfCmji"&amp;"uAc0HUIsFpaXQq8/edit?gid=0#gid=0"", ""Tracking Shipments - PPTCO!p:p""), 0))"),"PPT-167")</f>
        <v>PPT-167</v>
      </c>
      <c r="C423" s="18" t="s">
        <v>1276</v>
      </c>
      <c r="D423" s="18">
        <v>16743.0</v>
      </c>
      <c r="E423" s="18" t="s">
        <v>1277</v>
      </c>
      <c r="F423" s="18" t="s">
        <v>100</v>
      </c>
      <c r="G423" s="18" t="s">
        <v>702</v>
      </c>
      <c r="H423" s="18" t="s">
        <v>150</v>
      </c>
      <c r="I423" s="18"/>
      <c r="J423" s="18"/>
      <c r="K423" s="18"/>
      <c r="L423" s="54">
        <v>46190.0</v>
      </c>
      <c r="M423" s="54">
        <v>46193.0</v>
      </c>
      <c r="N423" s="18"/>
      <c r="O423" s="59" t="s">
        <v>1278</v>
      </c>
      <c r="P423" s="18" t="s">
        <v>1279</v>
      </c>
      <c r="Q423" s="18" t="s">
        <v>1280</v>
      </c>
      <c r="R423" s="47"/>
      <c r="S423" s="18"/>
      <c r="T423" s="18"/>
      <c r="U423" s="18"/>
      <c r="V423" s="18"/>
      <c r="W423" s="16"/>
      <c r="X423" s="18"/>
      <c r="Y423" s="18" t="s">
        <v>35</v>
      </c>
      <c r="Z423" s="24"/>
      <c r="AA423" s="24"/>
      <c r="AB423" s="24"/>
      <c r="AC423" s="24"/>
      <c r="AD423" s="24"/>
      <c r="AE423" s="24"/>
      <c r="AF423" s="24"/>
      <c r="AG423" s="24"/>
      <c r="AH423" s="24"/>
      <c r="AI423" s="24"/>
    </row>
    <row r="424" ht="15.75" customHeight="1">
      <c r="A424" s="8"/>
      <c r="B424" s="9" t="str">
        <f>IFERROR(__xludf.DUMMYFUNCTION("INDEX(IMPORTRANGE(""https://docs.google.com/spreadsheets/d/1S7deMHO2waboU9dywpXeKIDfCmjiuAc0HUIsFpaXQq8/edit?gid=0#gid=0"", ""Tracking Shipments - PPTCO!o:o""), MATCH(D424, IMPORTRANGE(""https://docs.google.com/spreadsheets/d/1S7deMHO2waboU9dywpXeKIDfCmji"&amp;"uAc0HUIsFpaXQq8/edit?gid=0#gid=0"", ""Tracking Shipments - PPTCO!p:p""), 0))"),"PPT-323")</f>
        <v>PPT-323</v>
      </c>
      <c r="C424" s="14" t="s">
        <v>1281</v>
      </c>
      <c r="D424" s="14">
        <v>453272.0</v>
      </c>
      <c r="E424" s="14" t="s">
        <v>1282</v>
      </c>
      <c r="F424" s="14" t="s">
        <v>26</v>
      </c>
      <c r="G424" s="14" t="s">
        <v>702</v>
      </c>
      <c r="H424" s="14" t="s">
        <v>150</v>
      </c>
      <c r="I424" s="14"/>
      <c r="J424" s="14"/>
      <c r="K424" s="14" t="s">
        <v>150</v>
      </c>
      <c r="L424" s="49">
        <v>46190.0</v>
      </c>
      <c r="M424" s="49">
        <v>46193.0</v>
      </c>
      <c r="N424" s="14"/>
      <c r="O424" s="60" t="s">
        <v>1283</v>
      </c>
      <c r="P424" s="14"/>
      <c r="Q424" s="14"/>
      <c r="R424" s="52"/>
      <c r="S424" s="14"/>
      <c r="T424" s="14"/>
      <c r="U424" s="14"/>
      <c r="V424" s="14"/>
      <c r="W424" s="14"/>
      <c r="X424" s="14"/>
      <c r="Y424" s="14"/>
      <c r="Z424" s="15"/>
      <c r="AA424" s="15"/>
      <c r="AB424" s="15"/>
      <c r="AC424" s="15"/>
      <c r="AD424" s="15"/>
      <c r="AE424" s="15"/>
      <c r="AF424" s="15"/>
      <c r="AG424" s="15"/>
      <c r="AH424" s="15"/>
      <c r="AI424" s="15"/>
    </row>
    <row r="425" ht="15.75" customHeight="1">
      <c r="A425" s="16"/>
      <c r="B425" s="17" t="str">
        <f>IFERROR(__xludf.DUMMYFUNCTION("INDEX(IMPORTRANGE(""https://docs.google.com/spreadsheets/d/1S7deMHO2waboU9dywpXeKIDfCmjiuAc0HUIsFpaXQq8/edit?gid=0#gid=0"", ""Tracking Shipments - PPTCO!o:o""), MATCH(D425, IMPORTRANGE(""https://docs.google.com/spreadsheets/d/1S7deMHO2waboU9dywpXeKIDfCmji"&amp;"uAc0HUIsFpaXQq8/edit?gid=0#gid=0"", ""Tracking Shipments - PPTCO!p:p""), 0))"),"PPT-323")</f>
        <v>PPT-323</v>
      </c>
      <c r="C425" s="18" t="s">
        <v>1284</v>
      </c>
      <c r="D425" s="18">
        <v>480937.0</v>
      </c>
      <c r="E425" s="18" t="s">
        <v>1285</v>
      </c>
      <c r="F425" s="18" t="s">
        <v>26</v>
      </c>
      <c r="G425" s="18" t="s">
        <v>702</v>
      </c>
      <c r="H425" s="18" t="s">
        <v>150</v>
      </c>
      <c r="I425" s="18"/>
      <c r="J425" s="18"/>
      <c r="K425" s="18" t="s">
        <v>150</v>
      </c>
      <c r="L425" s="18"/>
      <c r="M425" s="18"/>
      <c r="N425" s="18"/>
      <c r="O425" s="59" t="s">
        <v>720</v>
      </c>
      <c r="P425" s="18"/>
      <c r="Q425" s="18"/>
      <c r="R425" s="47"/>
      <c r="S425" s="18"/>
      <c r="T425" s="18"/>
      <c r="U425" s="18"/>
      <c r="V425" s="18"/>
      <c r="W425" s="18"/>
      <c r="X425" s="18"/>
      <c r="Y425" s="18"/>
      <c r="Z425" s="24"/>
      <c r="AA425" s="24"/>
      <c r="AB425" s="24"/>
      <c r="AC425" s="24"/>
      <c r="AD425" s="24"/>
      <c r="AE425" s="24"/>
      <c r="AF425" s="24"/>
      <c r="AG425" s="24"/>
      <c r="AH425" s="24"/>
      <c r="AI425" s="24"/>
    </row>
    <row r="426" ht="15.0" customHeight="1">
      <c r="A426" s="8"/>
      <c r="B426" s="9" t="str">
        <f>IFERROR(__xludf.DUMMYFUNCTION("INDEX(IMPORTRANGE(""https://docs.google.com/spreadsheets/d/1S7deMHO2waboU9dywpXeKIDfCmjiuAc0HUIsFpaXQq8/edit?gid=0#gid=0"", ""Tracking Shipments - PPTCO!o:o""), MATCH(D426, IMPORTRANGE(""https://docs.google.com/spreadsheets/d/1S7deMHO2waboU9dywpXeKIDfCmji"&amp;"uAc0HUIsFpaXQq8/edit?gid=0#gid=0"", ""Tracking Shipments - PPTCO!p:p""), 0))"),"PPT-325")</f>
        <v>PPT-325</v>
      </c>
      <c r="C426" s="14" t="s">
        <v>1286</v>
      </c>
      <c r="D426" s="14">
        <v>510078.0</v>
      </c>
      <c r="E426" s="14" t="s">
        <v>1287</v>
      </c>
      <c r="F426" s="14" t="s">
        <v>105</v>
      </c>
      <c r="G426" s="14" t="s">
        <v>702</v>
      </c>
      <c r="H426" s="14"/>
      <c r="I426" s="14"/>
      <c r="J426" s="14"/>
      <c r="K426" s="14" t="s">
        <v>150</v>
      </c>
      <c r="L426" s="14"/>
      <c r="M426" s="14"/>
      <c r="N426" s="14"/>
      <c r="O426" s="60"/>
      <c r="P426" s="14"/>
      <c r="Q426" s="14"/>
      <c r="R426" s="52"/>
      <c r="S426" s="14"/>
      <c r="T426" s="14"/>
      <c r="U426" s="14"/>
      <c r="V426" s="14"/>
      <c r="W426" s="8"/>
      <c r="X426" s="14"/>
      <c r="Y426" s="14"/>
      <c r="Z426" s="15"/>
      <c r="AA426" s="15"/>
      <c r="AB426" s="15"/>
      <c r="AC426" s="15"/>
      <c r="AD426" s="15"/>
      <c r="AE426" s="15"/>
      <c r="AF426" s="15"/>
      <c r="AG426" s="15"/>
      <c r="AH426" s="15"/>
      <c r="AI426" s="15"/>
    </row>
    <row r="427" ht="14.25" customHeight="1">
      <c r="A427" s="16"/>
      <c r="B427" s="17" t="str">
        <f>IFERROR(__xludf.DUMMYFUNCTION("INDEX(IMPORTRANGE(""https://docs.google.com/spreadsheets/d/1S7deMHO2waboU9dywpXeKIDfCmjiuAc0HUIsFpaXQq8/edit?gid=0#gid=0"", ""Tracking Shipments - PPTCO!o:o""), MATCH(D427, IMPORTRANGE(""https://docs.google.com/spreadsheets/d/1S7deMHO2waboU9dywpXeKIDfCmji"&amp;"uAc0HUIsFpaXQq8/edit?gid=0#gid=0"", ""Tracking Shipments - PPTCO!p:p""), 0))"),"PPT-309")</f>
        <v>PPT-309</v>
      </c>
      <c r="C427" s="18" t="s">
        <v>1288</v>
      </c>
      <c r="D427" s="18">
        <v>534598.0</v>
      </c>
      <c r="E427" s="18" t="s">
        <v>1289</v>
      </c>
      <c r="F427" s="18" t="s">
        <v>1066</v>
      </c>
      <c r="G427" s="18" t="s">
        <v>702</v>
      </c>
      <c r="H427" s="18"/>
      <c r="I427" s="18"/>
      <c r="J427" s="18"/>
      <c r="K427" s="18"/>
      <c r="L427" s="18"/>
      <c r="M427" s="18"/>
      <c r="N427" s="18"/>
      <c r="O427" s="59"/>
      <c r="P427" s="18"/>
      <c r="Q427" s="18"/>
      <c r="R427" s="47"/>
      <c r="S427" s="18"/>
      <c r="T427" s="18"/>
      <c r="U427" s="18"/>
      <c r="V427" s="18"/>
      <c r="W427" s="18"/>
      <c r="X427" s="18"/>
      <c r="Y427" s="18"/>
      <c r="Z427" s="24"/>
      <c r="AA427" s="24"/>
      <c r="AB427" s="24"/>
      <c r="AC427" s="24"/>
      <c r="AD427" s="24"/>
      <c r="AE427" s="24"/>
      <c r="AF427" s="24"/>
      <c r="AG427" s="24"/>
      <c r="AH427" s="24"/>
      <c r="AI427" s="24"/>
    </row>
    <row r="428" ht="12.0" customHeight="1">
      <c r="A428" s="8"/>
      <c r="B428" s="9" t="str">
        <f>IFERROR(__xludf.DUMMYFUNCTION("INDEX(IMPORTRANGE(""https://docs.google.com/spreadsheets/d/1S7deMHO2waboU9dywpXeKIDfCmjiuAc0HUIsFpaXQq8/edit?gid=0#gid=0"", ""Tracking Shipments - PPTCO!o:o""), MATCH(D428, IMPORTRANGE(""https://docs.google.com/spreadsheets/d/1S7deMHO2waboU9dywpXeKIDfCmji"&amp;"uAc0HUIsFpaXQq8/edit?gid=0#gid=0"", ""Tracking Shipments - PPTCO!p:p""), 0))"),"#N/A")</f>
        <v>#N/A</v>
      </c>
      <c r="C428" s="14"/>
      <c r="D428" s="14"/>
      <c r="E428" s="14"/>
      <c r="F428" s="14"/>
      <c r="G428" s="9"/>
      <c r="H428" s="14"/>
      <c r="I428" s="14"/>
      <c r="J428" s="14"/>
      <c r="K428" s="14"/>
      <c r="L428" s="14"/>
      <c r="M428" s="14"/>
      <c r="N428" s="14"/>
      <c r="O428" s="60"/>
      <c r="P428" s="14"/>
      <c r="Q428" s="14"/>
      <c r="R428" s="52"/>
      <c r="S428" s="14"/>
      <c r="T428" s="14"/>
      <c r="U428" s="14"/>
      <c r="V428" s="14"/>
      <c r="W428" s="14"/>
      <c r="X428" s="14"/>
      <c r="Y428" s="14"/>
      <c r="Z428" s="15"/>
      <c r="AA428" s="15"/>
      <c r="AB428" s="15"/>
      <c r="AC428" s="15"/>
      <c r="AD428" s="15"/>
      <c r="AE428" s="15"/>
      <c r="AF428" s="15"/>
      <c r="AG428" s="15"/>
      <c r="AH428" s="15"/>
      <c r="AI428" s="15"/>
    </row>
    <row r="429" ht="15.75" customHeight="1">
      <c r="A429" s="16"/>
      <c r="B429" s="17" t="str">
        <f>IFERROR(__xludf.DUMMYFUNCTION("INDEX(IMPORTRANGE(""https://docs.google.com/spreadsheets/d/1S7deMHO2waboU9dywpXeKIDfCmjiuAc0HUIsFpaXQq8/edit?gid=0#gid=0"", ""Tracking Shipments - PPTCO!o:o""), MATCH(D429, IMPORTRANGE(""https://docs.google.com/spreadsheets/d/1S7deMHO2waboU9dywpXeKIDfCmji"&amp;"uAc0HUIsFpaXQq8/edit?gid=0#gid=0"", ""Tracking Shipments - PPTCO!p:p""), 0))"),"#N/A")</f>
        <v>#N/A</v>
      </c>
      <c r="C429" s="18"/>
      <c r="D429" s="18"/>
      <c r="E429" s="18"/>
      <c r="F429" s="18"/>
      <c r="G429" s="17"/>
      <c r="H429" s="18"/>
      <c r="I429" s="18"/>
      <c r="J429" s="18"/>
      <c r="K429" s="18"/>
      <c r="L429" s="18"/>
      <c r="M429" s="18"/>
      <c r="N429" s="18"/>
      <c r="O429" s="59"/>
      <c r="P429" s="18"/>
      <c r="Q429" s="18"/>
      <c r="R429" s="47"/>
      <c r="S429" s="18"/>
      <c r="T429" s="18"/>
      <c r="U429" s="18"/>
      <c r="V429" s="18"/>
      <c r="W429" s="16"/>
      <c r="X429" s="18"/>
      <c r="Y429" s="18"/>
      <c r="Z429" s="24"/>
      <c r="AA429" s="24"/>
      <c r="AB429" s="24"/>
      <c r="AC429" s="24"/>
      <c r="AD429" s="24"/>
      <c r="AE429" s="24"/>
      <c r="AF429" s="24"/>
      <c r="AG429" s="24"/>
      <c r="AH429" s="24"/>
      <c r="AI429" s="24"/>
    </row>
    <row r="430" ht="15.75" customHeight="1">
      <c r="A430" s="8"/>
      <c r="B430" s="9" t="str">
        <f>IFERROR(__xludf.DUMMYFUNCTION("INDEX(IMPORTRANGE(""https://docs.google.com/spreadsheets/d/1S7deMHO2waboU9dywpXeKIDfCmjiuAc0HUIsFpaXQq8/edit?gid=0#gid=0"", ""Tracking Shipments - PPTCO!o:o""), MATCH(D430, IMPORTRANGE(""https://docs.google.com/spreadsheets/d/1S7deMHO2waboU9dywpXeKIDfCmji"&amp;"uAc0HUIsFpaXQq8/edit?gid=0#gid=0"", ""Tracking Shipments - PPTCO!p:p""), 0))"),"#N/A")</f>
        <v>#N/A</v>
      </c>
      <c r="C430" s="14"/>
      <c r="D430" s="14"/>
      <c r="E430" s="14"/>
      <c r="F430" s="14"/>
      <c r="G430" s="9"/>
      <c r="H430" s="14"/>
      <c r="I430" s="14"/>
      <c r="J430" s="14"/>
      <c r="K430" s="14"/>
      <c r="L430" s="14"/>
      <c r="M430" s="14"/>
      <c r="N430" s="14"/>
      <c r="O430" s="60"/>
      <c r="P430" s="14"/>
      <c r="Q430" s="14"/>
      <c r="R430" s="52"/>
      <c r="S430" s="14"/>
      <c r="T430" s="14"/>
      <c r="U430" s="14"/>
      <c r="V430" s="14"/>
      <c r="W430" s="14"/>
      <c r="X430" s="14"/>
      <c r="Y430" s="14"/>
      <c r="Z430" s="15"/>
      <c r="AA430" s="15"/>
      <c r="AB430" s="15"/>
      <c r="AC430" s="15"/>
      <c r="AD430" s="15"/>
      <c r="AE430" s="15"/>
      <c r="AF430" s="15"/>
      <c r="AG430" s="15"/>
      <c r="AH430" s="15"/>
      <c r="AI430" s="15"/>
    </row>
    <row r="431" ht="15.75" customHeight="1">
      <c r="A431" s="16"/>
      <c r="B431" s="17" t="str">
        <f>IFERROR(__xludf.DUMMYFUNCTION("INDEX(IMPORTRANGE(""https://docs.google.com/spreadsheets/d/1S7deMHO2waboU9dywpXeKIDfCmjiuAc0HUIsFpaXQq8/edit?gid=0#gid=0"", ""Tracking Shipments - PPTCO!o:o""), MATCH(D431, IMPORTRANGE(""https://docs.google.com/spreadsheets/d/1S7deMHO2waboU9dywpXeKIDfCmji"&amp;"uAc0HUIsFpaXQq8/edit?gid=0#gid=0"", ""Tracking Shipments - PPTCO!p:p""), 0))"),"#N/A")</f>
        <v>#N/A</v>
      </c>
      <c r="C431" s="18"/>
      <c r="D431" s="18"/>
      <c r="E431" s="18"/>
      <c r="F431" s="18"/>
      <c r="G431" s="17"/>
      <c r="H431" s="18"/>
      <c r="I431" s="18"/>
      <c r="J431" s="18"/>
      <c r="K431" s="18"/>
      <c r="L431" s="18"/>
      <c r="M431" s="18"/>
      <c r="N431" s="18"/>
      <c r="O431" s="59"/>
      <c r="P431" s="18"/>
      <c r="Q431" s="18"/>
      <c r="R431" s="47"/>
      <c r="S431" s="18"/>
      <c r="T431" s="18"/>
      <c r="U431" s="18"/>
      <c r="V431" s="18"/>
      <c r="W431" s="18"/>
      <c r="X431" s="18"/>
      <c r="Y431" s="18"/>
      <c r="Z431" s="24"/>
      <c r="AA431" s="24"/>
      <c r="AB431" s="24"/>
      <c r="AC431" s="24"/>
      <c r="AD431" s="24"/>
      <c r="AE431" s="24"/>
      <c r="AF431" s="24"/>
      <c r="AG431" s="24"/>
      <c r="AH431" s="24"/>
      <c r="AI431" s="24"/>
    </row>
    <row r="432" ht="15.75" customHeight="1">
      <c r="A432" s="8"/>
      <c r="B432" s="9" t="str">
        <f>IFERROR(__xludf.DUMMYFUNCTION("INDEX(IMPORTRANGE(""https://docs.google.com/spreadsheets/d/1S7deMHO2waboU9dywpXeKIDfCmjiuAc0HUIsFpaXQq8/edit?gid=0#gid=0"", ""Tracking Shipments - PPTCO!o:o""), MATCH(D432, IMPORTRANGE(""https://docs.google.com/spreadsheets/d/1S7deMHO2waboU9dywpXeKIDfCmji"&amp;"uAc0HUIsFpaXQq8/edit?gid=0#gid=0"", ""Tracking Shipments - PPTCO!p:p""), 0))"),"#N/A")</f>
        <v>#N/A</v>
      </c>
      <c r="C432" s="14"/>
      <c r="D432" s="14"/>
      <c r="E432" s="14"/>
      <c r="F432" s="14"/>
      <c r="G432" s="9"/>
      <c r="H432" s="14"/>
      <c r="I432" s="14"/>
      <c r="J432" s="14"/>
      <c r="K432" s="14"/>
      <c r="L432" s="14"/>
      <c r="M432" s="14"/>
      <c r="N432" s="14"/>
      <c r="O432" s="60"/>
      <c r="P432" s="14"/>
      <c r="Q432" s="14"/>
      <c r="R432" s="52"/>
      <c r="S432" s="14"/>
      <c r="T432" s="14"/>
      <c r="U432" s="14"/>
      <c r="V432" s="14"/>
      <c r="W432" s="8"/>
      <c r="X432" s="14"/>
      <c r="Y432" s="14"/>
      <c r="Z432" s="15"/>
      <c r="AA432" s="15"/>
      <c r="AB432" s="15"/>
      <c r="AC432" s="15"/>
      <c r="AD432" s="15"/>
      <c r="AE432" s="15"/>
      <c r="AF432" s="15"/>
      <c r="AG432" s="15"/>
      <c r="AH432" s="15"/>
      <c r="AI432" s="15"/>
    </row>
    <row r="433" ht="15.75" customHeight="1">
      <c r="A433" s="16"/>
      <c r="B433" s="17" t="str">
        <f>IFERROR(__xludf.DUMMYFUNCTION("INDEX(IMPORTRANGE(""https://docs.google.com/spreadsheets/d/1S7deMHO2waboU9dywpXeKIDfCmjiuAc0HUIsFpaXQq8/edit?gid=0#gid=0"", ""Tracking Shipments - PPTCO!o:o""), MATCH(D433, IMPORTRANGE(""https://docs.google.com/spreadsheets/d/1S7deMHO2waboU9dywpXeKIDfCmji"&amp;"uAc0HUIsFpaXQq8/edit?gid=0#gid=0"", ""Tracking Shipments - PPTCO!p:p""), 0))"),"#N/A")</f>
        <v>#N/A</v>
      </c>
      <c r="C433" s="18"/>
      <c r="D433" s="18"/>
      <c r="E433" s="18"/>
      <c r="F433" s="18"/>
      <c r="G433" s="17"/>
      <c r="H433" s="18"/>
      <c r="I433" s="18"/>
      <c r="J433" s="18"/>
      <c r="K433" s="18"/>
      <c r="L433" s="18"/>
      <c r="M433" s="18"/>
      <c r="N433" s="18"/>
      <c r="O433" s="59"/>
      <c r="P433" s="18"/>
      <c r="Q433" s="18"/>
      <c r="R433" s="47"/>
      <c r="S433" s="18"/>
      <c r="T433" s="18"/>
      <c r="U433" s="18"/>
      <c r="V433" s="18"/>
      <c r="W433" s="18"/>
      <c r="X433" s="18"/>
      <c r="Y433" s="18"/>
      <c r="Z433" s="24"/>
      <c r="AA433" s="24"/>
      <c r="AB433" s="24"/>
      <c r="AC433" s="24"/>
      <c r="AD433" s="24"/>
      <c r="AE433" s="24"/>
      <c r="AF433" s="24"/>
      <c r="AG433" s="24"/>
      <c r="AH433" s="24"/>
      <c r="AI433" s="24"/>
    </row>
    <row r="434" ht="15.75" customHeight="1">
      <c r="A434" s="8"/>
      <c r="B434" s="9" t="str">
        <f>IFERROR(__xludf.DUMMYFUNCTION("INDEX(IMPORTRANGE(""https://docs.google.com/spreadsheets/d/1S7deMHO2waboU9dywpXeKIDfCmjiuAc0HUIsFpaXQq8/edit?gid=0#gid=0"", ""Tracking Shipments - PPTCO!o:o""), MATCH(D434, IMPORTRANGE(""https://docs.google.com/spreadsheets/d/1S7deMHO2waboU9dywpXeKIDfCmji"&amp;"uAc0HUIsFpaXQq8/edit?gid=0#gid=0"", ""Tracking Shipments - PPTCO!p:p""), 0))"),"#N/A")</f>
        <v>#N/A</v>
      </c>
      <c r="C434" s="14"/>
      <c r="D434" s="14"/>
      <c r="E434" s="14"/>
      <c r="F434" s="14"/>
      <c r="G434" s="9"/>
      <c r="H434" s="14"/>
      <c r="I434" s="14"/>
      <c r="J434" s="14"/>
      <c r="K434" s="14"/>
      <c r="L434" s="14"/>
      <c r="M434" s="14"/>
      <c r="N434" s="14"/>
      <c r="O434" s="60"/>
      <c r="P434" s="14"/>
      <c r="Q434" s="14"/>
      <c r="R434" s="52"/>
      <c r="S434" s="14"/>
      <c r="T434" s="14"/>
      <c r="U434" s="14"/>
      <c r="V434" s="14"/>
      <c r="W434" s="14"/>
      <c r="X434" s="14"/>
      <c r="Y434" s="14"/>
      <c r="Z434" s="15"/>
      <c r="AA434" s="15"/>
      <c r="AB434" s="15"/>
      <c r="AC434" s="15"/>
      <c r="AD434" s="15"/>
      <c r="AE434" s="15"/>
      <c r="AF434" s="15"/>
      <c r="AG434" s="15"/>
      <c r="AH434" s="15"/>
      <c r="AI434" s="15"/>
    </row>
    <row r="435" ht="15.75" customHeight="1">
      <c r="A435" s="16"/>
      <c r="B435" s="17" t="str">
        <f>IFERROR(__xludf.DUMMYFUNCTION("INDEX(IMPORTRANGE(""https://docs.google.com/spreadsheets/d/1S7deMHO2waboU9dywpXeKIDfCmjiuAc0HUIsFpaXQq8/edit?gid=0#gid=0"", ""Tracking Shipments - PPTCO!o:o""), MATCH(D435, IMPORTRANGE(""https://docs.google.com/spreadsheets/d/1S7deMHO2waboU9dywpXeKIDfCmji"&amp;"uAc0HUIsFpaXQq8/edit?gid=0#gid=0"", ""Tracking Shipments - PPTCO!p:p""), 0))"),"#N/A")</f>
        <v>#N/A</v>
      </c>
      <c r="C435" s="18"/>
      <c r="D435" s="18"/>
      <c r="E435" s="18"/>
      <c r="F435" s="18"/>
      <c r="G435" s="17"/>
      <c r="H435" s="18"/>
      <c r="I435" s="18"/>
      <c r="J435" s="18"/>
      <c r="K435" s="18"/>
      <c r="L435" s="18"/>
      <c r="M435" s="18"/>
      <c r="N435" s="18"/>
      <c r="O435" s="59"/>
      <c r="P435" s="18"/>
      <c r="Q435" s="18"/>
      <c r="R435" s="47"/>
      <c r="S435" s="18"/>
      <c r="T435" s="18"/>
      <c r="U435" s="18"/>
      <c r="V435" s="18"/>
      <c r="W435" s="16"/>
      <c r="X435" s="18"/>
      <c r="Y435" s="18"/>
      <c r="Z435" s="24"/>
      <c r="AA435" s="24"/>
      <c r="AB435" s="24"/>
      <c r="AC435" s="24"/>
      <c r="AD435" s="24"/>
      <c r="AE435" s="24"/>
      <c r="AF435" s="24"/>
      <c r="AG435" s="24"/>
      <c r="AH435" s="24"/>
      <c r="AI435" s="24"/>
    </row>
    <row r="436" ht="15.75" customHeight="1">
      <c r="A436" s="8"/>
      <c r="B436" s="9" t="str">
        <f>IFERROR(__xludf.DUMMYFUNCTION("INDEX(IMPORTRANGE(""https://docs.google.com/spreadsheets/d/1S7deMHO2waboU9dywpXeKIDfCmjiuAc0HUIsFpaXQq8/edit?gid=0#gid=0"", ""Tracking Shipments - PPTCO!o:o""), MATCH(D436, IMPORTRANGE(""https://docs.google.com/spreadsheets/d/1S7deMHO2waboU9dywpXeKIDfCmji"&amp;"uAc0HUIsFpaXQq8/edit?gid=0#gid=0"", ""Tracking Shipments - PPTCO!p:p""), 0))"),"#N/A")</f>
        <v>#N/A</v>
      </c>
      <c r="C436" s="14"/>
      <c r="D436" s="14"/>
      <c r="E436" s="14"/>
      <c r="F436" s="14"/>
      <c r="G436" s="9"/>
      <c r="H436" s="14"/>
      <c r="I436" s="14"/>
      <c r="J436" s="14"/>
      <c r="K436" s="14"/>
      <c r="L436" s="14"/>
      <c r="M436" s="14"/>
      <c r="N436" s="14"/>
      <c r="O436" s="60"/>
      <c r="P436" s="14"/>
      <c r="Q436" s="14"/>
      <c r="R436" s="52"/>
      <c r="S436" s="14"/>
      <c r="T436" s="14"/>
      <c r="U436" s="14"/>
      <c r="V436" s="14"/>
      <c r="W436" s="14"/>
      <c r="X436" s="14"/>
      <c r="Y436" s="14"/>
      <c r="Z436" s="15"/>
      <c r="AA436" s="15"/>
      <c r="AB436" s="15"/>
      <c r="AC436" s="15"/>
      <c r="AD436" s="15"/>
      <c r="AE436" s="15"/>
      <c r="AF436" s="15"/>
      <c r="AG436" s="15"/>
      <c r="AH436" s="15"/>
      <c r="AI436" s="15"/>
    </row>
    <row r="437" ht="15.75" customHeight="1">
      <c r="A437" s="16"/>
      <c r="B437" s="17" t="str">
        <f>IFERROR(__xludf.DUMMYFUNCTION("INDEX(IMPORTRANGE(""https://docs.google.com/spreadsheets/d/1S7deMHO2waboU9dywpXeKIDfCmjiuAc0HUIsFpaXQq8/edit?gid=0#gid=0"", ""Tracking Shipments - PPTCO!o:o""), MATCH(D437, IMPORTRANGE(""https://docs.google.com/spreadsheets/d/1S7deMHO2waboU9dywpXeKIDfCmji"&amp;"uAc0HUIsFpaXQq8/edit?gid=0#gid=0"", ""Tracking Shipments - PPTCO!p:p""), 0))"),"#N/A")</f>
        <v>#N/A</v>
      </c>
      <c r="C437" s="18"/>
      <c r="D437" s="18"/>
      <c r="E437" s="18"/>
      <c r="F437" s="18"/>
      <c r="G437" s="17"/>
      <c r="H437" s="18"/>
      <c r="I437" s="18"/>
      <c r="J437" s="18"/>
      <c r="K437" s="18"/>
      <c r="L437" s="18"/>
      <c r="M437" s="18"/>
      <c r="N437" s="18"/>
      <c r="O437" s="59"/>
      <c r="P437" s="18"/>
      <c r="Q437" s="18"/>
      <c r="R437" s="47"/>
      <c r="S437" s="18"/>
      <c r="T437" s="18"/>
      <c r="U437" s="18"/>
      <c r="V437" s="18"/>
      <c r="W437" s="18"/>
      <c r="X437" s="18"/>
      <c r="Y437" s="18"/>
      <c r="Z437" s="24"/>
      <c r="AA437" s="24"/>
      <c r="AB437" s="24"/>
      <c r="AC437" s="24"/>
      <c r="AD437" s="24"/>
      <c r="AE437" s="24"/>
      <c r="AF437" s="24"/>
      <c r="AG437" s="24"/>
      <c r="AH437" s="24"/>
      <c r="AI437" s="24"/>
    </row>
    <row r="438" ht="15.75" customHeight="1">
      <c r="A438" s="8"/>
      <c r="B438" s="9" t="str">
        <f>IFERROR(__xludf.DUMMYFUNCTION("INDEX(IMPORTRANGE(""https://docs.google.com/spreadsheets/d/1S7deMHO2waboU9dywpXeKIDfCmjiuAc0HUIsFpaXQq8/edit?gid=0#gid=0"", ""Tracking Shipments - PPTCO!o:o""), MATCH(D438, IMPORTRANGE(""https://docs.google.com/spreadsheets/d/1S7deMHO2waboU9dywpXeKIDfCmji"&amp;"uAc0HUIsFpaXQq8/edit?gid=0#gid=0"", ""Tracking Shipments - PPTCO!p:p""), 0))"),"#N/A")</f>
        <v>#N/A</v>
      </c>
      <c r="C438" s="14"/>
      <c r="D438" s="14"/>
      <c r="E438" s="14"/>
      <c r="F438" s="14"/>
      <c r="G438" s="9"/>
      <c r="H438" s="14"/>
      <c r="I438" s="14"/>
      <c r="J438" s="14"/>
      <c r="K438" s="14"/>
      <c r="L438" s="14"/>
      <c r="M438" s="14"/>
      <c r="N438" s="14"/>
      <c r="O438" s="60"/>
      <c r="P438" s="14"/>
      <c r="Q438" s="14"/>
      <c r="R438" s="52"/>
      <c r="S438" s="14"/>
      <c r="T438" s="14"/>
      <c r="U438" s="14"/>
      <c r="V438" s="14"/>
      <c r="W438" s="8"/>
      <c r="X438" s="14"/>
      <c r="Y438" s="14"/>
      <c r="Z438" s="15"/>
      <c r="AA438" s="15"/>
      <c r="AB438" s="15"/>
      <c r="AC438" s="15"/>
      <c r="AD438" s="15"/>
      <c r="AE438" s="15"/>
      <c r="AF438" s="15"/>
      <c r="AG438" s="15"/>
      <c r="AH438" s="15"/>
      <c r="AI438" s="15"/>
    </row>
    <row r="439" ht="15.75" customHeight="1">
      <c r="A439" s="16"/>
      <c r="B439" s="17" t="str">
        <f>IFERROR(__xludf.DUMMYFUNCTION("INDEX(IMPORTRANGE(""https://docs.google.com/spreadsheets/d/1S7deMHO2waboU9dywpXeKIDfCmjiuAc0HUIsFpaXQq8/edit?gid=0#gid=0"", ""Tracking Shipments - PPTCO!o:o""), MATCH(D439, IMPORTRANGE(""https://docs.google.com/spreadsheets/d/1S7deMHO2waboU9dywpXeKIDfCmji"&amp;"uAc0HUIsFpaXQq8/edit?gid=0#gid=0"", ""Tracking Shipments - PPTCO!p:p""), 0))"),"#N/A")</f>
        <v>#N/A</v>
      </c>
      <c r="C439" s="18"/>
      <c r="D439" s="18"/>
      <c r="E439" s="18"/>
      <c r="F439" s="18"/>
      <c r="G439" s="17"/>
      <c r="H439" s="18"/>
      <c r="I439" s="18"/>
      <c r="J439" s="18"/>
      <c r="K439" s="18"/>
      <c r="L439" s="18"/>
      <c r="M439" s="18"/>
      <c r="N439" s="18"/>
      <c r="O439" s="59"/>
      <c r="P439" s="18"/>
      <c r="Q439" s="18"/>
      <c r="R439" s="47"/>
      <c r="S439" s="18"/>
      <c r="T439" s="18"/>
      <c r="U439" s="18"/>
      <c r="V439" s="18"/>
      <c r="W439" s="18"/>
      <c r="X439" s="18"/>
      <c r="Y439" s="18"/>
      <c r="Z439" s="24"/>
      <c r="AA439" s="24"/>
      <c r="AB439" s="24"/>
      <c r="AC439" s="24"/>
      <c r="AD439" s="24"/>
      <c r="AE439" s="24"/>
      <c r="AF439" s="24"/>
      <c r="AG439" s="24"/>
      <c r="AH439" s="24"/>
      <c r="AI439" s="24"/>
    </row>
    <row r="440" ht="15.75" customHeight="1">
      <c r="A440" s="8"/>
      <c r="B440" s="9" t="str">
        <f>IFERROR(__xludf.DUMMYFUNCTION("INDEX(IMPORTRANGE(""https://docs.google.com/spreadsheets/d/1S7deMHO2waboU9dywpXeKIDfCmjiuAc0HUIsFpaXQq8/edit?gid=0#gid=0"", ""Tracking Shipments - PPTCO!o:o""), MATCH(D440, IMPORTRANGE(""https://docs.google.com/spreadsheets/d/1S7deMHO2waboU9dywpXeKIDfCmji"&amp;"uAc0HUIsFpaXQq8/edit?gid=0#gid=0"", ""Tracking Shipments - PPTCO!p:p""), 0))"),"#N/A")</f>
        <v>#N/A</v>
      </c>
      <c r="C440" s="14"/>
      <c r="D440" s="14"/>
      <c r="E440" s="14"/>
      <c r="F440" s="14"/>
      <c r="G440" s="9"/>
      <c r="H440" s="14"/>
      <c r="I440" s="14"/>
      <c r="J440" s="14"/>
      <c r="K440" s="14"/>
      <c r="L440" s="14"/>
      <c r="M440" s="14"/>
      <c r="N440" s="14"/>
      <c r="O440" s="60"/>
      <c r="P440" s="14"/>
      <c r="Q440" s="14"/>
      <c r="R440" s="52"/>
      <c r="S440" s="14"/>
      <c r="T440" s="14"/>
      <c r="U440" s="14"/>
      <c r="V440" s="14"/>
      <c r="W440" s="14"/>
      <c r="X440" s="14"/>
      <c r="Y440" s="14"/>
      <c r="Z440" s="15"/>
      <c r="AA440" s="15"/>
      <c r="AB440" s="15"/>
      <c r="AC440" s="15"/>
      <c r="AD440" s="15"/>
      <c r="AE440" s="15"/>
      <c r="AF440" s="15"/>
      <c r="AG440" s="15"/>
      <c r="AH440" s="15"/>
      <c r="AI440" s="15"/>
    </row>
    <row r="441" ht="15.75" customHeight="1">
      <c r="A441" s="16"/>
      <c r="B441" s="17" t="str">
        <f>IFERROR(__xludf.DUMMYFUNCTION("INDEX(IMPORTRANGE(""https://docs.google.com/spreadsheets/d/1S7deMHO2waboU9dywpXeKIDfCmjiuAc0HUIsFpaXQq8/edit?gid=0#gid=0"", ""Tracking Shipments - PPTCO!o:o""), MATCH(D441, IMPORTRANGE(""https://docs.google.com/spreadsheets/d/1S7deMHO2waboU9dywpXeKIDfCmji"&amp;"uAc0HUIsFpaXQq8/edit?gid=0#gid=0"", ""Tracking Shipments - PPTCO!p:p""), 0))"),"#N/A")</f>
        <v>#N/A</v>
      </c>
      <c r="C441" s="18"/>
      <c r="D441" s="18"/>
      <c r="E441" s="18"/>
      <c r="F441" s="18"/>
      <c r="G441" s="17"/>
      <c r="H441" s="18"/>
      <c r="I441" s="18"/>
      <c r="J441" s="18"/>
      <c r="K441" s="18"/>
      <c r="L441" s="18"/>
      <c r="M441" s="18"/>
      <c r="N441" s="18"/>
      <c r="O441" s="59"/>
      <c r="P441" s="18"/>
      <c r="Q441" s="18"/>
      <c r="R441" s="47"/>
      <c r="S441" s="18"/>
      <c r="T441" s="18"/>
      <c r="U441" s="18"/>
      <c r="V441" s="18"/>
      <c r="W441" s="16"/>
      <c r="X441" s="18"/>
      <c r="Y441" s="18"/>
      <c r="Z441" s="24"/>
      <c r="AA441" s="24"/>
      <c r="AB441" s="24"/>
      <c r="AC441" s="24"/>
      <c r="AD441" s="24"/>
      <c r="AE441" s="24"/>
      <c r="AF441" s="24"/>
      <c r="AG441" s="24"/>
      <c r="AH441" s="24"/>
      <c r="AI441" s="24"/>
    </row>
    <row r="442" ht="15.75" customHeight="1">
      <c r="A442" s="8"/>
      <c r="B442" s="9" t="str">
        <f>IFERROR(__xludf.DUMMYFUNCTION("INDEX(IMPORTRANGE(""https://docs.google.com/spreadsheets/d/1S7deMHO2waboU9dywpXeKIDfCmjiuAc0HUIsFpaXQq8/edit?gid=0#gid=0"", ""Tracking Shipments - PPTCO!o:o""), MATCH(D442, IMPORTRANGE(""https://docs.google.com/spreadsheets/d/1S7deMHO2waboU9dywpXeKIDfCmji"&amp;"uAc0HUIsFpaXQq8/edit?gid=0#gid=0"", ""Tracking Shipments - PPTCO!p:p""), 0))"),"#N/A")</f>
        <v>#N/A</v>
      </c>
      <c r="C442" s="14"/>
      <c r="D442" s="14"/>
      <c r="E442" s="14"/>
      <c r="F442" s="14"/>
      <c r="G442" s="9"/>
      <c r="H442" s="14"/>
      <c r="I442" s="14"/>
      <c r="J442" s="14"/>
      <c r="K442" s="14"/>
      <c r="L442" s="14"/>
      <c r="M442" s="14"/>
      <c r="N442" s="14"/>
      <c r="O442" s="60"/>
      <c r="P442" s="14"/>
      <c r="Q442" s="14"/>
      <c r="R442" s="52"/>
      <c r="S442" s="14"/>
      <c r="T442" s="14"/>
      <c r="U442" s="14"/>
      <c r="V442" s="14"/>
      <c r="W442" s="14"/>
      <c r="X442" s="14"/>
      <c r="Y442" s="14"/>
      <c r="Z442" s="15"/>
      <c r="AA442" s="15"/>
      <c r="AB442" s="15"/>
      <c r="AC442" s="15"/>
      <c r="AD442" s="15"/>
      <c r="AE442" s="15"/>
      <c r="AF442" s="15"/>
      <c r="AG442" s="15"/>
      <c r="AH442" s="15"/>
      <c r="AI442" s="15"/>
    </row>
    <row r="443" ht="15.75" customHeight="1">
      <c r="A443" s="16"/>
      <c r="B443" s="17" t="str">
        <f>IFERROR(__xludf.DUMMYFUNCTION("INDEX(IMPORTRANGE(""https://docs.google.com/spreadsheets/d/1S7deMHO2waboU9dywpXeKIDfCmjiuAc0HUIsFpaXQq8/edit?gid=0#gid=0"", ""Tracking Shipments - PPTCO!o:o""), MATCH(D443, IMPORTRANGE(""https://docs.google.com/spreadsheets/d/1S7deMHO2waboU9dywpXeKIDfCmji"&amp;"uAc0HUIsFpaXQq8/edit?gid=0#gid=0"", ""Tracking Shipments - PPTCO!p:p""), 0))"),"#N/A")</f>
        <v>#N/A</v>
      </c>
      <c r="C443" s="18"/>
      <c r="D443" s="18"/>
      <c r="E443" s="18"/>
      <c r="F443" s="18"/>
      <c r="G443" s="17"/>
      <c r="H443" s="18"/>
      <c r="I443" s="18"/>
      <c r="J443" s="18"/>
      <c r="K443" s="18"/>
      <c r="L443" s="18"/>
      <c r="M443" s="18"/>
      <c r="N443" s="18"/>
      <c r="O443" s="59"/>
      <c r="P443" s="18"/>
      <c r="Q443" s="18"/>
      <c r="R443" s="47"/>
      <c r="S443" s="18"/>
      <c r="T443" s="18"/>
      <c r="U443" s="18"/>
      <c r="V443" s="18"/>
      <c r="W443" s="18"/>
      <c r="X443" s="18"/>
      <c r="Y443" s="18"/>
      <c r="Z443" s="24"/>
      <c r="AA443" s="24"/>
      <c r="AB443" s="24"/>
      <c r="AC443" s="24"/>
      <c r="AD443" s="24"/>
      <c r="AE443" s="24"/>
      <c r="AF443" s="24"/>
      <c r="AG443" s="24"/>
      <c r="AH443" s="24"/>
      <c r="AI443" s="24"/>
    </row>
    <row r="444" ht="15.75" customHeight="1">
      <c r="A444" s="8"/>
      <c r="B444" s="9" t="str">
        <f>IFERROR(__xludf.DUMMYFUNCTION("INDEX(IMPORTRANGE(""https://docs.google.com/spreadsheets/d/1S7deMHO2waboU9dywpXeKIDfCmjiuAc0HUIsFpaXQq8/edit?gid=0#gid=0"", ""Tracking Shipments - PPTCO!o:o""), MATCH(D444, IMPORTRANGE(""https://docs.google.com/spreadsheets/d/1S7deMHO2waboU9dywpXeKIDfCmji"&amp;"uAc0HUIsFpaXQq8/edit?gid=0#gid=0"", ""Tracking Shipments - PPTCO!p:p""), 0))"),"#N/A")</f>
        <v>#N/A</v>
      </c>
      <c r="C444" s="14"/>
      <c r="D444" s="14"/>
      <c r="E444" s="14"/>
      <c r="F444" s="14"/>
      <c r="G444" s="9"/>
      <c r="H444" s="14"/>
      <c r="I444" s="14"/>
      <c r="J444" s="14"/>
      <c r="K444" s="14"/>
      <c r="L444" s="14"/>
      <c r="M444" s="14"/>
      <c r="N444" s="14"/>
      <c r="O444" s="60"/>
      <c r="P444" s="14"/>
      <c r="Q444" s="14"/>
      <c r="R444" s="52"/>
      <c r="S444" s="14"/>
      <c r="T444" s="14"/>
      <c r="U444" s="14"/>
      <c r="V444" s="14"/>
      <c r="W444" s="8"/>
      <c r="X444" s="14"/>
      <c r="Y444" s="14"/>
      <c r="Z444" s="15"/>
      <c r="AA444" s="15"/>
      <c r="AB444" s="15"/>
      <c r="AC444" s="15"/>
      <c r="AD444" s="15"/>
      <c r="AE444" s="15"/>
      <c r="AF444" s="15"/>
      <c r="AG444" s="15"/>
      <c r="AH444" s="15"/>
      <c r="AI444" s="15"/>
    </row>
    <row r="445" ht="15.75" customHeight="1">
      <c r="A445" s="16"/>
      <c r="B445" s="17" t="str">
        <f>IFERROR(__xludf.DUMMYFUNCTION("INDEX(IMPORTRANGE(""https://docs.google.com/spreadsheets/d/1S7deMHO2waboU9dywpXeKIDfCmjiuAc0HUIsFpaXQq8/edit?gid=0#gid=0"", ""Tracking Shipments - PPTCO!o:o""), MATCH(D445, IMPORTRANGE(""https://docs.google.com/spreadsheets/d/1S7deMHO2waboU9dywpXeKIDfCmji"&amp;"uAc0HUIsFpaXQq8/edit?gid=0#gid=0"", ""Tracking Shipments - PPTCO!p:p""), 0))"),"#N/A")</f>
        <v>#N/A</v>
      </c>
      <c r="C445" s="18"/>
      <c r="D445" s="18"/>
      <c r="E445" s="18"/>
      <c r="F445" s="18"/>
      <c r="G445" s="17"/>
      <c r="H445" s="18"/>
      <c r="I445" s="18"/>
      <c r="J445" s="18"/>
      <c r="K445" s="18"/>
      <c r="L445" s="18"/>
      <c r="M445" s="18"/>
      <c r="N445" s="18"/>
      <c r="O445" s="59"/>
      <c r="P445" s="18"/>
      <c r="Q445" s="18"/>
      <c r="R445" s="47"/>
      <c r="S445" s="18"/>
      <c r="T445" s="18"/>
      <c r="U445" s="18"/>
      <c r="V445" s="18"/>
      <c r="W445" s="18"/>
      <c r="X445" s="18"/>
      <c r="Y445" s="18"/>
      <c r="Z445" s="24"/>
      <c r="AA445" s="24"/>
      <c r="AB445" s="24"/>
      <c r="AC445" s="24"/>
      <c r="AD445" s="24"/>
      <c r="AE445" s="24"/>
      <c r="AF445" s="24"/>
      <c r="AG445" s="24"/>
      <c r="AH445" s="24"/>
      <c r="AI445" s="24"/>
    </row>
    <row r="446" ht="15.75" customHeight="1">
      <c r="A446" s="8"/>
      <c r="B446" s="9" t="str">
        <f>IFERROR(__xludf.DUMMYFUNCTION("INDEX(IMPORTRANGE(""https://docs.google.com/spreadsheets/d/1S7deMHO2waboU9dywpXeKIDfCmjiuAc0HUIsFpaXQq8/edit?gid=0#gid=0"", ""Tracking Shipments - PPTCO!o:o""), MATCH(D446, IMPORTRANGE(""https://docs.google.com/spreadsheets/d/1S7deMHO2waboU9dywpXeKIDfCmji"&amp;"uAc0HUIsFpaXQq8/edit?gid=0#gid=0"", ""Tracking Shipments - PPTCO!p:p""), 0))"),"#N/A")</f>
        <v>#N/A</v>
      </c>
      <c r="C446" s="14"/>
      <c r="D446" s="14"/>
      <c r="E446" s="14"/>
      <c r="F446" s="14"/>
      <c r="G446" s="9"/>
      <c r="H446" s="14"/>
      <c r="I446" s="14"/>
      <c r="J446" s="14"/>
      <c r="K446" s="14"/>
      <c r="L446" s="14"/>
      <c r="M446" s="14"/>
      <c r="N446" s="14"/>
      <c r="O446" s="60"/>
      <c r="P446" s="14"/>
      <c r="Q446" s="14"/>
      <c r="R446" s="52"/>
      <c r="S446" s="14"/>
      <c r="T446" s="14"/>
      <c r="U446" s="14"/>
      <c r="V446" s="14"/>
      <c r="W446" s="14"/>
      <c r="X446" s="14"/>
      <c r="Y446" s="14"/>
      <c r="Z446" s="15"/>
      <c r="AA446" s="15"/>
      <c r="AB446" s="15"/>
      <c r="AC446" s="15"/>
      <c r="AD446" s="15"/>
      <c r="AE446" s="15"/>
      <c r="AF446" s="15"/>
      <c r="AG446" s="15"/>
      <c r="AH446" s="15"/>
      <c r="AI446" s="15"/>
    </row>
    <row r="447" ht="15.75" customHeight="1">
      <c r="A447" s="16"/>
      <c r="B447" s="17" t="str">
        <f>IFERROR(__xludf.DUMMYFUNCTION("INDEX(IMPORTRANGE(""https://docs.google.com/spreadsheets/d/1S7deMHO2waboU9dywpXeKIDfCmjiuAc0HUIsFpaXQq8/edit?gid=0#gid=0"", ""Tracking Shipments - PPTCO!o:o""), MATCH(D447, IMPORTRANGE(""https://docs.google.com/spreadsheets/d/1S7deMHO2waboU9dywpXeKIDfCmji"&amp;"uAc0HUIsFpaXQq8/edit?gid=0#gid=0"", ""Tracking Shipments - PPTCO!p:p""), 0))"),"#N/A")</f>
        <v>#N/A</v>
      </c>
      <c r="C447" s="18"/>
      <c r="D447" s="18"/>
      <c r="E447" s="18"/>
      <c r="F447" s="18"/>
      <c r="G447" s="17"/>
      <c r="H447" s="18"/>
      <c r="I447" s="18"/>
      <c r="J447" s="18"/>
      <c r="K447" s="18"/>
      <c r="L447" s="18"/>
      <c r="M447" s="18"/>
      <c r="N447" s="18"/>
      <c r="O447" s="59"/>
      <c r="P447" s="18"/>
      <c r="Q447" s="18"/>
      <c r="R447" s="47"/>
      <c r="S447" s="18"/>
      <c r="T447" s="18"/>
      <c r="U447" s="18"/>
      <c r="V447" s="18"/>
      <c r="W447" s="16"/>
      <c r="X447" s="18"/>
      <c r="Y447" s="18"/>
      <c r="Z447" s="24"/>
      <c r="AA447" s="24"/>
      <c r="AB447" s="24"/>
      <c r="AC447" s="24"/>
      <c r="AD447" s="24"/>
      <c r="AE447" s="24"/>
      <c r="AF447" s="24"/>
      <c r="AG447" s="24"/>
      <c r="AH447" s="24"/>
      <c r="AI447" s="24"/>
    </row>
    <row r="448" ht="15.75" customHeight="1">
      <c r="A448" s="8"/>
      <c r="B448" s="9" t="str">
        <f>IFERROR(__xludf.DUMMYFUNCTION("INDEX(IMPORTRANGE(""https://docs.google.com/spreadsheets/d/1S7deMHO2waboU9dywpXeKIDfCmjiuAc0HUIsFpaXQq8/edit?gid=0#gid=0"", ""Tracking Shipments - PPTCO!o:o""), MATCH(D448, IMPORTRANGE(""https://docs.google.com/spreadsheets/d/1S7deMHO2waboU9dywpXeKIDfCmji"&amp;"uAc0HUIsFpaXQq8/edit?gid=0#gid=0"", ""Tracking Shipments - PPTCO!p:p""), 0))"),"#N/A")</f>
        <v>#N/A</v>
      </c>
      <c r="C448" s="14"/>
      <c r="D448" s="14"/>
      <c r="E448" s="14"/>
      <c r="F448" s="14"/>
      <c r="G448" s="9"/>
      <c r="H448" s="14"/>
      <c r="I448" s="14"/>
      <c r="J448" s="14"/>
      <c r="K448" s="14"/>
      <c r="L448" s="14"/>
      <c r="M448" s="14"/>
      <c r="N448" s="14"/>
      <c r="O448" s="60"/>
      <c r="P448" s="14"/>
      <c r="Q448" s="14"/>
      <c r="R448" s="52"/>
      <c r="S448" s="14"/>
      <c r="T448" s="14"/>
      <c r="U448" s="14"/>
      <c r="V448" s="14"/>
      <c r="W448" s="14"/>
      <c r="X448" s="14"/>
      <c r="Y448" s="14"/>
      <c r="Z448" s="15"/>
      <c r="AA448" s="15"/>
      <c r="AB448" s="15"/>
      <c r="AC448" s="15"/>
      <c r="AD448" s="15"/>
      <c r="AE448" s="15"/>
      <c r="AF448" s="15"/>
      <c r="AG448" s="15"/>
      <c r="AH448" s="15"/>
      <c r="AI448" s="15"/>
    </row>
    <row r="449" ht="15.75" customHeight="1">
      <c r="A449" s="16"/>
      <c r="B449" s="17" t="str">
        <f>IFERROR(__xludf.DUMMYFUNCTION("INDEX(IMPORTRANGE(""https://docs.google.com/spreadsheets/d/1S7deMHO2waboU9dywpXeKIDfCmjiuAc0HUIsFpaXQq8/edit?gid=0#gid=0"", ""Tracking Shipments - PPTCO!o:o""), MATCH(D449, IMPORTRANGE(""https://docs.google.com/spreadsheets/d/1S7deMHO2waboU9dywpXeKIDfCmji"&amp;"uAc0HUIsFpaXQq8/edit?gid=0#gid=0"", ""Tracking Shipments - PPTCO!p:p""), 0))"),"#N/A")</f>
        <v>#N/A</v>
      </c>
      <c r="C449" s="18"/>
      <c r="D449" s="18"/>
      <c r="E449" s="18"/>
      <c r="F449" s="18"/>
      <c r="G449" s="17"/>
      <c r="H449" s="18"/>
      <c r="I449" s="18"/>
      <c r="J449" s="18"/>
      <c r="K449" s="18"/>
      <c r="L449" s="18"/>
      <c r="M449" s="18"/>
      <c r="N449" s="18"/>
      <c r="O449" s="59"/>
      <c r="P449" s="18"/>
      <c r="Q449" s="18"/>
      <c r="R449" s="47"/>
      <c r="S449" s="18"/>
      <c r="T449" s="18"/>
      <c r="U449" s="18"/>
      <c r="V449" s="18"/>
      <c r="W449" s="18"/>
      <c r="X449" s="18"/>
      <c r="Y449" s="18"/>
      <c r="Z449" s="24"/>
      <c r="AA449" s="24"/>
      <c r="AB449" s="24"/>
      <c r="AC449" s="24"/>
      <c r="AD449" s="24"/>
      <c r="AE449" s="24"/>
      <c r="AF449" s="24"/>
      <c r="AG449" s="24"/>
      <c r="AH449" s="24"/>
      <c r="AI449" s="24"/>
    </row>
    <row r="450" ht="15.75" customHeight="1">
      <c r="A450" s="8"/>
      <c r="B450" s="9" t="str">
        <f>IFERROR(__xludf.DUMMYFUNCTION("INDEX(IMPORTRANGE(""https://docs.google.com/spreadsheets/d/1S7deMHO2waboU9dywpXeKIDfCmjiuAc0HUIsFpaXQq8/edit?gid=0#gid=0"", ""Tracking Shipments - PPTCO!o:o""), MATCH(D450, IMPORTRANGE(""https://docs.google.com/spreadsheets/d/1S7deMHO2waboU9dywpXeKIDfCmji"&amp;"uAc0HUIsFpaXQq8/edit?gid=0#gid=0"", ""Tracking Shipments - PPTCO!p:p""), 0))"),"#N/A")</f>
        <v>#N/A</v>
      </c>
      <c r="C450" s="14"/>
      <c r="D450" s="14"/>
      <c r="E450" s="14"/>
      <c r="F450" s="14"/>
      <c r="G450" s="9"/>
      <c r="H450" s="14"/>
      <c r="I450" s="14"/>
      <c r="J450" s="14"/>
      <c r="K450" s="14"/>
      <c r="L450" s="14"/>
      <c r="M450" s="14"/>
      <c r="N450" s="14"/>
      <c r="O450" s="60"/>
      <c r="P450" s="14"/>
      <c r="Q450" s="14"/>
      <c r="R450" s="52"/>
      <c r="S450" s="14"/>
      <c r="T450" s="14"/>
      <c r="U450" s="14"/>
      <c r="V450" s="14"/>
      <c r="W450" s="8"/>
      <c r="X450" s="14"/>
      <c r="Y450" s="14"/>
      <c r="Z450" s="15"/>
      <c r="AA450" s="15"/>
      <c r="AB450" s="15"/>
      <c r="AC450" s="15"/>
      <c r="AD450" s="15"/>
      <c r="AE450" s="15"/>
      <c r="AF450" s="15"/>
      <c r="AG450" s="15"/>
      <c r="AH450" s="15"/>
      <c r="AI450" s="15"/>
    </row>
    <row r="451" ht="15.75" customHeight="1">
      <c r="A451" s="16"/>
      <c r="B451" s="17" t="str">
        <f>IFERROR(__xludf.DUMMYFUNCTION("INDEX(IMPORTRANGE(""https://docs.google.com/spreadsheets/d/1S7deMHO2waboU9dywpXeKIDfCmjiuAc0HUIsFpaXQq8/edit?gid=0#gid=0"", ""Tracking Shipments - PPTCO!o:o""), MATCH(D451, IMPORTRANGE(""https://docs.google.com/spreadsheets/d/1S7deMHO2waboU9dywpXeKIDfCmji"&amp;"uAc0HUIsFpaXQq8/edit?gid=0#gid=0"", ""Tracking Shipments - PPTCO!p:p""), 0))"),"#N/A")</f>
        <v>#N/A</v>
      </c>
      <c r="C451" s="18"/>
      <c r="D451" s="18"/>
      <c r="E451" s="18"/>
      <c r="F451" s="18"/>
      <c r="G451" s="17"/>
      <c r="H451" s="18"/>
      <c r="I451" s="18"/>
      <c r="J451" s="18"/>
      <c r="K451" s="18"/>
      <c r="L451" s="18"/>
      <c r="M451" s="18"/>
      <c r="N451" s="18"/>
      <c r="O451" s="59"/>
      <c r="P451" s="18"/>
      <c r="Q451" s="18"/>
      <c r="R451" s="47"/>
      <c r="S451" s="18"/>
      <c r="T451" s="18"/>
      <c r="U451" s="18"/>
      <c r="V451" s="18"/>
      <c r="W451" s="18"/>
      <c r="X451" s="18"/>
      <c r="Y451" s="18"/>
      <c r="Z451" s="24"/>
      <c r="AA451" s="24"/>
      <c r="AB451" s="24"/>
      <c r="AC451" s="24"/>
      <c r="AD451" s="24"/>
      <c r="AE451" s="24"/>
      <c r="AF451" s="24"/>
      <c r="AG451" s="24"/>
      <c r="AH451" s="24"/>
      <c r="AI451" s="24"/>
    </row>
    <row r="452" ht="15.75" customHeight="1">
      <c r="A452" s="8"/>
      <c r="B452" s="9" t="str">
        <f>IFERROR(__xludf.DUMMYFUNCTION("INDEX(IMPORTRANGE(""https://docs.google.com/spreadsheets/d/1S7deMHO2waboU9dywpXeKIDfCmjiuAc0HUIsFpaXQq8/edit?gid=0#gid=0"", ""Tracking Shipments - PPTCO!o:o""), MATCH(D452, IMPORTRANGE(""https://docs.google.com/spreadsheets/d/1S7deMHO2waboU9dywpXeKIDfCmji"&amp;"uAc0HUIsFpaXQq8/edit?gid=0#gid=0"", ""Tracking Shipments - PPTCO!p:p""), 0))"),"#N/A")</f>
        <v>#N/A</v>
      </c>
      <c r="C452" s="14"/>
      <c r="D452" s="14"/>
      <c r="E452" s="14"/>
      <c r="F452" s="14"/>
      <c r="G452" s="9"/>
      <c r="H452" s="14"/>
      <c r="I452" s="14"/>
      <c r="J452" s="14"/>
      <c r="K452" s="14"/>
      <c r="L452" s="14"/>
      <c r="M452" s="14"/>
      <c r="N452" s="14"/>
      <c r="O452" s="60"/>
      <c r="P452" s="14"/>
      <c r="Q452" s="14"/>
      <c r="R452" s="52"/>
      <c r="S452" s="14"/>
      <c r="T452" s="14"/>
      <c r="U452" s="14"/>
      <c r="V452" s="14"/>
      <c r="W452" s="14"/>
      <c r="X452" s="14"/>
      <c r="Y452" s="14"/>
      <c r="Z452" s="15"/>
      <c r="AA452" s="15"/>
      <c r="AB452" s="15"/>
      <c r="AC452" s="15"/>
      <c r="AD452" s="15"/>
      <c r="AE452" s="15"/>
      <c r="AF452" s="15"/>
      <c r="AG452" s="15"/>
      <c r="AH452" s="15"/>
      <c r="AI452" s="15"/>
    </row>
    <row r="453" ht="15.75" customHeight="1">
      <c r="A453" s="16"/>
      <c r="B453" s="17" t="str">
        <f>IFERROR(__xludf.DUMMYFUNCTION("INDEX(IMPORTRANGE(""https://docs.google.com/spreadsheets/d/1S7deMHO2waboU9dywpXeKIDfCmjiuAc0HUIsFpaXQq8/edit?gid=0#gid=0"", ""Tracking Shipments - PPTCO!o:o""), MATCH(D453, IMPORTRANGE(""https://docs.google.com/spreadsheets/d/1S7deMHO2waboU9dywpXeKIDfCmji"&amp;"uAc0HUIsFpaXQq8/edit?gid=0#gid=0"", ""Tracking Shipments - PPTCO!p:p""), 0))"),"#N/A")</f>
        <v>#N/A</v>
      </c>
      <c r="C453" s="18"/>
      <c r="D453" s="18"/>
      <c r="E453" s="18"/>
      <c r="F453" s="18"/>
      <c r="G453" s="17"/>
      <c r="H453" s="18"/>
      <c r="I453" s="18"/>
      <c r="J453" s="18"/>
      <c r="K453" s="18"/>
      <c r="L453" s="18"/>
      <c r="M453" s="18"/>
      <c r="N453" s="18"/>
      <c r="O453" s="59"/>
      <c r="P453" s="18"/>
      <c r="Q453" s="18"/>
      <c r="R453" s="47"/>
      <c r="S453" s="18"/>
      <c r="T453" s="18"/>
      <c r="U453" s="18"/>
      <c r="V453" s="18"/>
      <c r="W453" s="16"/>
      <c r="X453" s="18"/>
      <c r="Y453" s="18"/>
      <c r="Z453" s="24"/>
      <c r="AA453" s="24"/>
      <c r="AB453" s="24"/>
      <c r="AC453" s="24"/>
      <c r="AD453" s="24"/>
      <c r="AE453" s="24"/>
      <c r="AF453" s="24"/>
      <c r="AG453" s="24"/>
      <c r="AH453" s="24"/>
      <c r="AI453" s="24"/>
    </row>
    <row r="454" ht="15.75" customHeight="1">
      <c r="A454" s="8"/>
      <c r="B454" s="9" t="str">
        <f>IFERROR(__xludf.DUMMYFUNCTION("INDEX(IMPORTRANGE(""https://docs.google.com/spreadsheets/d/1S7deMHO2waboU9dywpXeKIDfCmjiuAc0HUIsFpaXQq8/edit?gid=0#gid=0"", ""Tracking Shipments - PPTCO!o:o""), MATCH(D454, IMPORTRANGE(""https://docs.google.com/spreadsheets/d/1S7deMHO2waboU9dywpXeKIDfCmji"&amp;"uAc0HUIsFpaXQq8/edit?gid=0#gid=0"", ""Tracking Shipments - PPTCO!p:p""), 0))"),"#N/A")</f>
        <v>#N/A</v>
      </c>
      <c r="C454" s="14"/>
      <c r="D454" s="14"/>
      <c r="E454" s="14"/>
      <c r="F454" s="14"/>
      <c r="G454" s="9"/>
      <c r="H454" s="14"/>
      <c r="I454" s="14"/>
      <c r="J454" s="14"/>
      <c r="K454" s="14"/>
      <c r="L454" s="14"/>
      <c r="M454" s="14"/>
      <c r="N454" s="14"/>
      <c r="O454" s="60"/>
      <c r="P454" s="14"/>
      <c r="Q454" s="14"/>
      <c r="R454" s="52"/>
      <c r="S454" s="14"/>
      <c r="T454" s="14"/>
      <c r="U454" s="14"/>
      <c r="V454" s="14"/>
      <c r="W454" s="14"/>
      <c r="X454" s="14"/>
      <c r="Y454" s="14"/>
      <c r="Z454" s="15"/>
      <c r="AA454" s="15"/>
      <c r="AB454" s="15"/>
      <c r="AC454" s="15"/>
      <c r="AD454" s="15"/>
      <c r="AE454" s="15"/>
      <c r="AF454" s="15"/>
      <c r="AG454" s="15"/>
      <c r="AH454" s="15"/>
      <c r="AI454" s="15"/>
    </row>
    <row r="455" ht="15.75" customHeight="1">
      <c r="A455" s="16"/>
      <c r="B455" s="17" t="str">
        <f>IFERROR(__xludf.DUMMYFUNCTION("INDEX(IMPORTRANGE(""https://docs.google.com/spreadsheets/d/1S7deMHO2waboU9dywpXeKIDfCmjiuAc0HUIsFpaXQq8/edit?gid=0#gid=0"", ""Tracking Shipments - PPTCO!o:o""), MATCH(D455, IMPORTRANGE(""https://docs.google.com/spreadsheets/d/1S7deMHO2waboU9dywpXeKIDfCmji"&amp;"uAc0HUIsFpaXQq8/edit?gid=0#gid=0"", ""Tracking Shipments - PPTCO!p:p""), 0))"),"#N/A")</f>
        <v>#N/A</v>
      </c>
      <c r="C455" s="18"/>
      <c r="D455" s="18"/>
      <c r="E455" s="18"/>
      <c r="F455" s="18"/>
      <c r="G455" s="17"/>
      <c r="H455" s="18"/>
      <c r="I455" s="18"/>
      <c r="J455" s="18"/>
      <c r="K455" s="18"/>
      <c r="L455" s="18"/>
      <c r="M455" s="18"/>
      <c r="N455" s="18"/>
      <c r="O455" s="59"/>
      <c r="P455" s="18"/>
      <c r="Q455" s="18"/>
      <c r="R455" s="47"/>
      <c r="S455" s="18"/>
      <c r="T455" s="18"/>
      <c r="U455" s="18"/>
      <c r="V455" s="18"/>
      <c r="W455" s="18"/>
      <c r="X455" s="18"/>
      <c r="Y455" s="18"/>
      <c r="Z455" s="24"/>
      <c r="AA455" s="24"/>
      <c r="AB455" s="24"/>
      <c r="AC455" s="24"/>
      <c r="AD455" s="24"/>
      <c r="AE455" s="24"/>
      <c r="AF455" s="24"/>
      <c r="AG455" s="24"/>
      <c r="AH455" s="24"/>
      <c r="AI455" s="24"/>
    </row>
    <row r="456" ht="15.75" customHeight="1">
      <c r="A456" s="8"/>
      <c r="B456" s="9" t="str">
        <f>IFERROR(__xludf.DUMMYFUNCTION("INDEX(IMPORTRANGE(""https://docs.google.com/spreadsheets/d/1S7deMHO2waboU9dywpXeKIDfCmjiuAc0HUIsFpaXQq8/edit?gid=0#gid=0"", ""Tracking Shipments - PPTCO!o:o""), MATCH(D456, IMPORTRANGE(""https://docs.google.com/spreadsheets/d/1S7deMHO2waboU9dywpXeKIDfCmji"&amp;"uAc0HUIsFpaXQq8/edit?gid=0#gid=0"", ""Tracking Shipments - PPTCO!p:p""), 0))"),"#N/A")</f>
        <v>#N/A</v>
      </c>
      <c r="C456" s="14"/>
      <c r="D456" s="14"/>
      <c r="E456" s="14"/>
      <c r="F456" s="14"/>
      <c r="G456" s="9"/>
      <c r="H456" s="14"/>
      <c r="I456" s="14"/>
      <c r="J456" s="14"/>
      <c r="K456" s="14"/>
      <c r="L456" s="14"/>
      <c r="M456" s="14"/>
      <c r="N456" s="14"/>
      <c r="O456" s="60"/>
      <c r="P456" s="14"/>
      <c r="Q456" s="14"/>
      <c r="R456" s="52"/>
      <c r="S456" s="14"/>
      <c r="T456" s="14"/>
      <c r="U456" s="14"/>
      <c r="V456" s="14"/>
      <c r="W456" s="8"/>
      <c r="X456" s="14"/>
      <c r="Y456" s="14"/>
      <c r="Z456" s="15"/>
      <c r="AA456" s="15"/>
      <c r="AB456" s="15"/>
      <c r="AC456" s="15"/>
      <c r="AD456" s="15"/>
      <c r="AE456" s="15"/>
      <c r="AF456" s="15"/>
      <c r="AG456" s="15"/>
      <c r="AH456" s="15"/>
      <c r="AI456" s="15"/>
    </row>
    <row r="457" ht="15.75" customHeight="1">
      <c r="A457" s="16"/>
      <c r="B457" s="17" t="str">
        <f>IFERROR(__xludf.DUMMYFUNCTION("INDEX(IMPORTRANGE(""https://docs.google.com/spreadsheets/d/1S7deMHO2waboU9dywpXeKIDfCmjiuAc0HUIsFpaXQq8/edit?gid=0#gid=0"", ""Tracking Shipments - PPTCO!o:o""), MATCH(D457, IMPORTRANGE(""https://docs.google.com/spreadsheets/d/1S7deMHO2waboU9dywpXeKIDfCmji"&amp;"uAc0HUIsFpaXQq8/edit?gid=0#gid=0"", ""Tracking Shipments - PPTCO!p:p""), 0))"),"#N/A")</f>
        <v>#N/A</v>
      </c>
      <c r="C457" s="18"/>
      <c r="D457" s="18"/>
      <c r="E457" s="18"/>
      <c r="F457" s="18"/>
      <c r="G457" s="17"/>
      <c r="H457" s="18"/>
      <c r="I457" s="18"/>
      <c r="J457" s="18"/>
      <c r="K457" s="18"/>
      <c r="L457" s="18"/>
      <c r="M457" s="18"/>
      <c r="N457" s="18"/>
      <c r="O457" s="59"/>
      <c r="P457" s="18"/>
      <c r="Q457" s="18"/>
      <c r="R457" s="47"/>
      <c r="S457" s="18"/>
      <c r="T457" s="18"/>
      <c r="U457" s="18"/>
      <c r="V457" s="18"/>
      <c r="W457" s="18"/>
      <c r="X457" s="18"/>
      <c r="Y457" s="18"/>
      <c r="Z457" s="24"/>
      <c r="AA457" s="24"/>
      <c r="AB457" s="24"/>
      <c r="AC457" s="24"/>
      <c r="AD457" s="24"/>
      <c r="AE457" s="24"/>
      <c r="AF457" s="24"/>
      <c r="AG457" s="24"/>
      <c r="AH457" s="24"/>
      <c r="AI457" s="24"/>
    </row>
    <row r="458" ht="15.75" customHeight="1">
      <c r="A458" s="8"/>
      <c r="B458" s="9" t="str">
        <f>IFERROR(__xludf.DUMMYFUNCTION("INDEX(IMPORTRANGE(""https://docs.google.com/spreadsheets/d/1S7deMHO2waboU9dywpXeKIDfCmjiuAc0HUIsFpaXQq8/edit?gid=0#gid=0"", ""Tracking Shipments - PPTCO!o:o""), MATCH(D458, IMPORTRANGE(""https://docs.google.com/spreadsheets/d/1S7deMHO2waboU9dywpXeKIDfCmji"&amp;"uAc0HUIsFpaXQq8/edit?gid=0#gid=0"", ""Tracking Shipments - PPTCO!p:p""), 0))"),"#N/A")</f>
        <v>#N/A</v>
      </c>
      <c r="C458" s="14"/>
      <c r="D458" s="14"/>
      <c r="E458" s="14"/>
      <c r="F458" s="14"/>
      <c r="G458" s="9"/>
      <c r="H458" s="14"/>
      <c r="I458" s="14"/>
      <c r="J458" s="14"/>
      <c r="K458" s="14"/>
      <c r="L458" s="14"/>
      <c r="M458" s="14"/>
      <c r="N458" s="14"/>
      <c r="O458" s="60"/>
      <c r="P458" s="14"/>
      <c r="Q458" s="14"/>
      <c r="R458" s="52"/>
      <c r="S458" s="14"/>
      <c r="T458" s="14"/>
      <c r="U458" s="14"/>
      <c r="V458" s="14"/>
      <c r="W458" s="14"/>
      <c r="X458" s="14"/>
      <c r="Y458" s="14"/>
      <c r="Z458" s="15"/>
      <c r="AA458" s="15"/>
      <c r="AB458" s="15"/>
      <c r="AC458" s="15"/>
      <c r="AD458" s="15"/>
      <c r="AE458" s="15"/>
      <c r="AF458" s="15"/>
      <c r="AG458" s="15"/>
      <c r="AH458" s="15"/>
      <c r="AI458" s="15"/>
    </row>
    <row r="459" ht="15.75" customHeight="1">
      <c r="A459" s="16"/>
      <c r="B459" s="17" t="str">
        <f>IFERROR(__xludf.DUMMYFUNCTION("INDEX(IMPORTRANGE(""https://docs.google.com/spreadsheets/d/1S7deMHO2waboU9dywpXeKIDfCmjiuAc0HUIsFpaXQq8/edit?gid=0#gid=0"", ""Tracking Shipments - PPTCO!o:o""), MATCH(D459, IMPORTRANGE(""https://docs.google.com/spreadsheets/d/1S7deMHO2waboU9dywpXeKIDfCmji"&amp;"uAc0HUIsFpaXQq8/edit?gid=0#gid=0"", ""Tracking Shipments - PPTCO!p:p""), 0))"),"#N/A")</f>
        <v>#N/A</v>
      </c>
      <c r="C459" s="18"/>
      <c r="D459" s="18"/>
      <c r="E459" s="18"/>
      <c r="F459" s="18"/>
      <c r="G459" s="17"/>
      <c r="H459" s="18"/>
      <c r="I459" s="18"/>
      <c r="J459" s="18"/>
      <c r="K459" s="18"/>
      <c r="L459" s="18"/>
      <c r="M459" s="18"/>
      <c r="N459" s="18"/>
      <c r="O459" s="59"/>
      <c r="P459" s="18"/>
      <c r="Q459" s="18"/>
      <c r="R459" s="47"/>
      <c r="S459" s="18"/>
      <c r="T459" s="18"/>
      <c r="U459" s="18"/>
      <c r="V459" s="18"/>
      <c r="W459" s="16"/>
      <c r="X459" s="18"/>
      <c r="Y459" s="18"/>
      <c r="Z459" s="24"/>
      <c r="AA459" s="24"/>
      <c r="AB459" s="24"/>
      <c r="AC459" s="24"/>
      <c r="AD459" s="24"/>
      <c r="AE459" s="24"/>
      <c r="AF459" s="24"/>
      <c r="AG459" s="24"/>
      <c r="AH459" s="24"/>
      <c r="AI459" s="24"/>
    </row>
    <row r="460" ht="15.75" customHeight="1">
      <c r="A460" s="8"/>
      <c r="B460" s="9" t="str">
        <f>IFERROR(__xludf.DUMMYFUNCTION("INDEX(IMPORTRANGE(""https://docs.google.com/spreadsheets/d/1S7deMHO2waboU9dywpXeKIDfCmjiuAc0HUIsFpaXQq8/edit?gid=0#gid=0"", ""Tracking Shipments - PPTCO!o:o""), MATCH(D460, IMPORTRANGE(""https://docs.google.com/spreadsheets/d/1S7deMHO2waboU9dywpXeKIDfCmji"&amp;"uAc0HUIsFpaXQq8/edit?gid=0#gid=0"", ""Tracking Shipments - PPTCO!p:p""), 0))"),"#N/A")</f>
        <v>#N/A</v>
      </c>
      <c r="C460" s="14"/>
      <c r="D460" s="14"/>
      <c r="E460" s="14"/>
      <c r="F460" s="14"/>
      <c r="G460" s="9"/>
      <c r="H460" s="14"/>
      <c r="I460" s="14"/>
      <c r="J460" s="14"/>
      <c r="K460" s="14"/>
      <c r="L460" s="14"/>
      <c r="M460" s="14"/>
      <c r="N460" s="14"/>
      <c r="O460" s="60"/>
      <c r="P460" s="14"/>
      <c r="Q460" s="14"/>
      <c r="R460" s="52"/>
      <c r="S460" s="14"/>
      <c r="T460" s="14"/>
      <c r="U460" s="14"/>
      <c r="V460" s="14"/>
      <c r="W460" s="14"/>
      <c r="X460" s="14"/>
      <c r="Y460" s="14"/>
      <c r="Z460" s="15"/>
      <c r="AA460" s="15"/>
      <c r="AB460" s="15"/>
      <c r="AC460" s="15"/>
      <c r="AD460" s="15"/>
      <c r="AE460" s="15"/>
      <c r="AF460" s="15"/>
      <c r="AG460" s="15"/>
      <c r="AH460" s="15"/>
      <c r="AI460" s="15"/>
    </row>
    <row r="461" ht="15.75" customHeight="1">
      <c r="A461" s="16"/>
      <c r="B461" s="17" t="str">
        <f>IFERROR(__xludf.DUMMYFUNCTION("INDEX(IMPORTRANGE(""https://docs.google.com/spreadsheets/d/1S7deMHO2waboU9dywpXeKIDfCmjiuAc0HUIsFpaXQq8/edit?gid=0#gid=0"", ""Tracking Shipments - PPTCO!o:o""), MATCH(D461, IMPORTRANGE(""https://docs.google.com/spreadsheets/d/1S7deMHO2waboU9dywpXeKIDfCmji"&amp;"uAc0HUIsFpaXQq8/edit?gid=0#gid=0"", ""Tracking Shipments - PPTCO!p:p""), 0))"),"#N/A")</f>
        <v>#N/A</v>
      </c>
      <c r="C461" s="18"/>
      <c r="D461" s="18"/>
      <c r="E461" s="18"/>
      <c r="F461" s="18"/>
      <c r="G461" s="17"/>
      <c r="H461" s="18"/>
      <c r="I461" s="18"/>
      <c r="J461" s="18"/>
      <c r="K461" s="18"/>
      <c r="L461" s="18"/>
      <c r="M461" s="18"/>
      <c r="N461" s="18"/>
      <c r="O461" s="59"/>
      <c r="P461" s="18"/>
      <c r="Q461" s="18"/>
      <c r="R461" s="47"/>
      <c r="S461" s="18"/>
      <c r="T461" s="18"/>
      <c r="U461" s="18"/>
      <c r="V461" s="18"/>
      <c r="W461" s="18"/>
      <c r="X461" s="18"/>
      <c r="Y461" s="18"/>
      <c r="Z461" s="24"/>
      <c r="AA461" s="24"/>
      <c r="AB461" s="24"/>
      <c r="AC461" s="24"/>
      <c r="AD461" s="24"/>
      <c r="AE461" s="24"/>
      <c r="AF461" s="24"/>
      <c r="AG461" s="24"/>
      <c r="AH461" s="24"/>
      <c r="AI461" s="24"/>
    </row>
    <row r="462" ht="15.75" customHeight="1">
      <c r="A462" s="8"/>
      <c r="B462" s="9" t="str">
        <f>IFERROR(__xludf.DUMMYFUNCTION("INDEX(IMPORTRANGE(""https://docs.google.com/spreadsheets/d/1S7deMHO2waboU9dywpXeKIDfCmjiuAc0HUIsFpaXQq8/edit?gid=0#gid=0"", ""Tracking Shipments - PPTCO!o:o""), MATCH(D462, IMPORTRANGE(""https://docs.google.com/spreadsheets/d/1S7deMHO2waboU9dywpXeKIDfCmji"&amp;"uAc0HUIsFpaXQq8/edit?gid=0#gid=0"", ""Tracking Shipments - PPTCO!p:p""), 0))"),"#N/A")</f>
        <v>#N/A</v>
      </c>
      <c r="C462" s="14"/>
      <c r="D462" s="14"/>
      <c r="E462" s="14"/>
      <c r="F462" s="14"/>
      <c r="G462" s="9"/>
      <c r="H462" s="14"/>
      <c r="I462" s="14"/>
      <c r="J462" s="14"/>
      <c r="K462" s="14"/>
      <c r="L462" s="14"/>
      <c r="M462" s="14"/>
      <c r="N462" s="14"/>
      <c r="O462" s="60"/>
      <c r="P462" s="14"/>
      <c r="Q462" s="14"/>
      <c r="R462" s="52"/>
      <c r="S462" s="14"/>
      <c r="T462" s="14"/>
      <c r="U462" s="14"/>
      <c r="V462" s="14"/>
      <c r="W462" s="8"/>
      <c r="X462" s="14"/>
      <c r="Y462" s="14"/>
      <c r="Z462" s="15"/>
      <c r="AA462" s="15"/>
      <c r="AB462" s="15"/>
      <c r="AC462" s="15"/>
      <c r="AD462" s="15"/>
      <c r="AE462" s="15"/>
      <c r="AF462" s="15"/>
      <c r="AG462" s="15"/>
      <c r="AH462" s="15"/>
      <c r="AI462" s="15"/>
    </row>
    <row r="463" ht="15.75" customHeight="1">
      <c r="A463" s="16"/>
      <c r="B463" s="17" t="str">
        <f>IFERROR(__xludf.DUMMYFUNCTION("INDEX(IMPORTRANGE(""https://docs.google.com/spreadsheets/d/1S7deMHO2waboU9dywpXeKIDfCmjiuAc0HUIsFpaXQq8/edit?gid=0#gid=0"", ""Tracking Shipments - PPTCO!o:o""), MATCH(D463, IMPORTRANGE(""https://docs.google.com/spreadsheets/d/1S7deMHO2waboU9dywpXeKIDfCmji"&amp;"uAc0HUIsFpaXQq8/edit?gid=0#gid=0"", ""Tracking Shipments - PPTCO!p:p""), 0))"),"#N/A")</f>
        <v>#N/A</v>
      </c>
      <c r="C463" s="18"/>
      <c r="D463" s="18"/>
      <c r="E463" s="18"/>
      <c r="F463" s="18"/>
      <c r="G463" s="17"/>
      <c r="H463" s="18"/>
      <c r="I463" s="18"/>
      <c r="J463" s="18"/>
      <c r="K463" s="18"/>
      <c r="L463" s="18"/>
      <c r="M463" s="18"/>
      <c r="N463" s="18"/>
      <c r="O463" s="59"/>
      <c r="P463" s="18"/>
      <c r="Q463" s="18"/>
      <c r="R463" s="47"/>
      <c r="S463" s="18"/>
      <c r="T463" s="18"/>
      <c r="U463" s="18"/>
      <c r="V463" s="18"/>
      <c r="W463" s="18"/>
      <c r="X463" s="18"/>
      <c r="Y463" s="18"/>
      <c r="Z463" s="24"/>
      <c r="AA463" s="24"/>
      <c r="AB463" s="24"/>
      <c r="AC463" s="24"/>
      <c r="AD463" s="24"/>
      <c r="AE463" s="24"/>
      <c r="AF463" s="24"/>
      <c r="AG463" s="24"/>
      <c r="AH463" s="24"/>
      <c r="AI463" s="24"/>
    </row>
    <row r="464" ht="15.75" customHeight="1">
      <c r="A464" s="8"/>
      <c r="B464" s="9" t="str">
        <f>IFERROR(__xludf.DUMMYFUNCTION("INDEX(IMPORTRANGE(""https://docs.google.com/spreadsheets/d/1S7deMHO2waboU9dywpXeKIDfCmjiuAc0HUIsFpaXQq8/edit?gid=0#gid=0"", ""Tracking Shipments - PPTCO!o:o""), MATCH(D464, IMPORTRANGE(""https://docs.google.com/spreadsheets/d/1S7deMHO2waboU9dywpXeKIDfCmji"&amp;"uAc0HUIsFpaXQq8/edit?gid=0#gid=0"", ""Tracking Shipments - PPTCO!p:p""), 0))"),"#N/A")</f>
        <v>#N/A</v>
      </c>
      <c r="C464" s="14"/>
      <c r="D464" s="14"/>
      <c r="E464" s="14"/>
      <c r="F464" s="14"/>
      <c r="G464" s="9"/>
      <c r="H464" s="14"/>
      <c r="I464" s="14"/>
      <c r="J464" s="14"/>
      <c r="K464" s="14"/>
      <c r="L464" s="14"/>
      <c r="M464" s="14"/>
      <c r="N464" s="14"/>
      <c r="O464" s="60"/>
      <c r="P464" s="14"/>
      <c r="Q464" s="14"/>
      <c r="R464" s="52"/>
      <c r="S464" s="14"/>
      <c r="T464" s="14"/>
      <c r="U464" s="14"/>
      <c r="V464" s="14"/>
      <c r="W464" s="14"/>
      <c r="X464" s="14"/>
      <c r="Y464" s="14"/>
      <c r="Z464" s="15"/>
      <c r="AA464" s="15"/>
      <c r="AB464" s="15"/>
      <c r="AC464" s="15"/>
      <c r="AD464" s="15"/>
      <c r="AE464" s="15"/>
      <c r="AF464" s="15"/>
      <c r="AG464" s="15"/>
      <c r="AH464" s="15"/>
      <c r="AI464" s="15"/>
    </row>
    <row r="465" ht="15.75" customHeight="1">
      <c r="A465" s="16"/>
      <c r="B465" s="17" t="str">
        <f>IFERROR(__xludf.DUMMYFUNCTION("INDEX(IMPORTRANGE(""https://docs.google.com/spreadsheets/d/1S7deMHO2waboU9dywpXeKIDfCmjiuAc0HUIsFpaXQq8/edit?gid=0#gid=0"", ""Tracking Shipments - PPTCO!o:o""), MATCH(D465, IMPORTRANGE(""https://docs.google.com/spreadsheets/d/1S7deMHO2waboU9dywpXeKIDfCmji"&amp;"uAc0HUIsFpaXQq8/edit?gid=0#gid=0"", ""Tracking Shipments - PPTCO!p:p""), 0))"),"#N/A")</f>
        <v>#N/A</v>
      </c>
      <c r="C465" s="18"/>
      <c r="D465" s="18"/>
      <c r="E465" s="18"/>
      <c r="F465" s="18"/>
      <c r="G465" s="17"/>
      <c r="H465" s="18"/>
      <c r="I465" s="18"/>
      <c r="J465" s="18"/>
      <c r="K465" s="18"/>
      <c r="L465" s="18"/>
      <c r="M465" s="18"/>
      <c r="N465" s="18"/>
      <c r="O465" s="59"/>
      <c r="P465" s="18"/>
      <c r="Q465" s="18"/>
      <c r="R465" s="47"/>
      <c r="S465" s="18"/>
      <c r="T465" s="18"/>
      <c r="U465" s="18"/>
      <c r="V465" s="18"/>
      <c r="W465" s="16"/>
      <c r="X465" s="18"/>
      <c r="Y465" s="18"/>
      <c r="Z465" s="24"/>
      <c r="AA465" s="24"/>
      <c r="AB465" s="24"/>
      <c r="AC465" s="24"/>
      <c r="AD465" s="24"/>
      <c r="AE465" s="24"/>
      <c r="AF465" s="24"/>
      <c r="AG465" s="24"/>
      <c r="AH465" s="24"/>
      <c r="AI465" s="24"/>
    </row>
    <row r="466" ht="15.75" customHeight="1">
      <c r="A466" s="8"/>
      <c r="B466" s="9" t="str">
        <f>IFERROR(__xludf.DUMMYFUNCTION("INDEX(IMPORTRANGE(""https://docs.google.com/spreadsheets/d/1S7deMHO2waboU9dywpXeKIDfCmjiuAc0HUIsFpaXQq8/edit?gid=0#gid=0"", ""Tracking Shipments - PPTCO!o:o""), MATCH(D466, IMPORTRANGE(""https://docs.google.com/spreadsheets/d/1S7deMHO2waboU9dywpXeKIDfCmji"&amp;"uAc0HUIsFpaXQq8/edit?gid=0#gid=0"", ""Tracking Shipments - PPTCO!p:p""), 0))"),"#N/A")</f>
        <v>#N/A</v>
      </c>
      <c r="C466" s="14"/>
      <c r="D466" s="14"/>
      <c r="E466" s="14"/>
      <c r="F466" s="14"/>
      <c r="G466" s="9"/>
      <c r="H466" s="14"/>
      <c r="I466" s="14"/>
      <c r="J466" s="14"/>
      <c r="K466" s="14"/>
      <c r="L466" s="14"/>
      <c r="M466" s="14"/>
      <c r="N466" s="14"/>
      <c r="O466" s="60"/>
      <c r="P466" s="14"/>
      <c r="Q466" s="14"/>
      <c r="R466" s="52"/>
      <c r="S466" s="14"/>
      <c r="T466" s="14"/>
      <c r="U466" s="14"/>
      <c r="V466" s="14"/>
      <c r="W466" s="14"/>
      <c r="X466" s="14"/>
      <c r="Y466" s="14"/>
      <c r="Z466" s="15"/>
      <c r="AA466" s="15"/>
      <c r="AB466" s="15"/>
      <c r="AC466" s="15"/>
      <c r="AD466" s="15"/>
      <c r="AE466" s="15"/>
      <c r="AF466" s="15"/>
      <c r="AG466" s="15"/>
      <c r="AH466" s="15"/>
      <c r="AI466" s="15"/>
    </row>
    <row r="467" ht="15.75" customHeight="1">
      <c r="A467" s="16"/>
      <c r="B467" s="17" t="str">
        <f>IFERROR(__xludf.DUMMYFUNCTION("INDEX(IMPORTRANGE(""https://docs.google.com/spreadsheets/d/1S7deMHO2waboU9dywpXeKIDfCmjiuAc0HUIsFpaXQq8/edit?gid=0#gid=0"", ""Tracking Shipments - PPTCO!o:o""), MATCH(D467, IMPORTRANGE(""https://docs.google.com/spreadsheets/d/1S7deMHO2waboU9dywpXeKIDfCmji"&amp;"uAc0HUIsFpaXQq8/edit?gid=0#gid=0"", ""Tracking Shipments - PPTCO!p:p""), 0))"),"#N/A")</f>
        <v>#N/A</v>
      </c>
      <c r="C467" s="18"/>
      <c r="D467" s="18"/>
      <c r="E467" s="18"/>
      <c r="F467" s="18"/>
      <c r="G467" s="17"/>
      <c r="H467" s="18"/>
      <c r="I467" s="18"/>
      <c r="J467" s="18"/>
      <c r="K467" s="18"/>
      <c r="L467" s="18"/>
      <c r="M467" s="18"/>
      <c r="N467" s="18"/>
      <c r="O467" s="59"/>
      <c r="P467" s="18"/>
      <c r="Q467" s="18"/>
      <c r="R467" s="47"/>
      <c r="S467" s="18"/>
      <c r="T467" s="18"/>
      <c r="U467" s="18"/>
      <c r="V467" s="18"/>
      <c r="W467" s="18"/>
      <c r="X467" s="18"/>
      <c r="Y467" s="18"/>
      <c r="Z467" s="24"/>
      <c r="AA467" s="24"/>
      <c r="AB467" s="24"/>
      <c r="AC467" s="24"/>
      <c r="AD467" s="24"/>
      <c r="AE467" s="24"/>
      <c r="AF467" s="24"/>
      <c r="AG467" s="24"/>
      <c r="AH467" s="24"/>
      <c r="AI467" s="24"/>
    </row>
    <row r="468" ht="15.75" customHeight="1">
      <c r="A468" s="8"/>
      <c r="B468" s="9" t="str">
        <f>IFERROR(__xludf.DUMMYFUNCTION("INDEX(IMPORTRANGE(""https://docs.google.com/spreadsheets/d/1S7deMHO2waboU9dywpXeKIDfCmjiuAc0HUIsFpaXQq8/edit?gid=0#gid=0"", ""Tracking Shipments - PPTCO!o:o""), MATCH(D468, IMPORTRANGE(""https://docs.google.com/spreadsheets/d/1S7deMHO2waboU9dywpXeKIDfCmji"&amp;"uAc0HUIsFpaXQq8/edit?gid=0#gid=0"", ""Tracking Shipments - PPTCO!p:p""), 0))"),"#N/A")</f>
        <v>#N/A</v>
      </c>
      <c r="C468" s="14"/>
      <c r="D468" s="14"/>
      <c r="E468" s="14"/>
      <c r="F468" s="14"/>
      <c r="G468" s="9"/>
      <c r="H468" s="14"/>
      <c r="I468" s="14"/>
      <c r="J468" s="14"/>
      <c r="K468" s="14"/>
      <c r="L468" s="14"/>
      <c r="M468" s="14"/>
      <c r="N468" s="14"/>
      <c r="O468" s="60"/>
      <c r="P468" s="14"/>
      <c r="Q468" s="14"/>
      <c r="R468" s="52"/>
      <c r="S468" s="14"/>
      <c r="T468" s="14"/>
      <c r="U468" s="14"/>
      <c r="V468" s="14"/>
      <c r="W468" s="8"/>
      <c r="X468" s="14"/>
      <c r="Y468" s="14"/>
      <c r="Z468" s="15"/>
      <c r="AA468" s="15"/>
      <c r="AB468" s="15"/>
      <c r="AC468" s="15"/>
      <c r="AD468" s="15"/>
      <c r="AE468" s="15"/>
      <c r="AF468" s="15"/>
      <c r="AG468" s="15"/>
      <c r="AH468" s="15"/>
      <c r="AI468" s="15"/>
    </row>
    <row r="469" ht="15.75" customHeight="1">
      <c r="A469" s="16"/>
      <c r="B469" s="17" t="str">
        <f>IFERROR(__xludf.DUMMYFUNCTION("INDEX(IMPORTRANGE(""https://docs.google.com/spreadsheets/d/1S7deMHO2waboU9dywpXeKIDfCmjiuAc0HUIsFpaXQq8/edit?gid=0#gid=0"", ""Tracking Shipments - PPTCO!o:o""), MATCH(D469, IMPORTRANGE(""https://docs.google.com/spreadsheets/d/1S7deMHO2waboU9dywpXeKIDfCmji"&amp;"uAc0HUIsFpaXQq8/edit?gid=0#gid=0"", ""Tracking Shipments - PPTCO!p:p""), 0))"),"#N/A")</f>
        <v>#N/A</v>
      </c>
      <c r="C469" s="18"/>
      <c r="D469" s="18"/>
      <c r="E469" s="18"/>
      <c r="F469" s="18"/>
      <c r="G469" s="17"/>
      <c r="H469" s="18"/>
      <c r="I469" s="18"/>
      <c r="J469" s="18"/>
      <c r="K469" s="18"/>
      <c r="L469" s="18"/>
      <c r="M469" s="18"/>
      <c r="N469" s="18"/>
      <c r="O469" s="59"/>
      <c r="P469" s="18"/>
      <c r="Q469" s="18"/>
      <c r="R469" s="47"/>
      <c r="S469" s="18"/>
      <c r="T469" s="18"/>
      <c r="U469" s="18"/>
      <c r="V469" s="18"/>
      <c r="W469" s="18"/>
      <c r="X469" s="18"/>
      <c r="Y469" s="18"/>
      <c r="Z469" s="24"/>
      <c r="AA469" s="24"/>
      <c r="AB469" s="24"/>
      <c r="AC469" s="24"/>
      <c r="AD469" s="24"/>
      <c r="AE469" s="24"/>
      <c r="AF469" s="24"/>
      <c r="AG469" s="24"/>
      <c r="AH469" s="24"/>
      <c r="AI469" s="24"/>
    </row>
    <row r="470" ht="15.75" customHeight="1">
      <c r="A470" s="8"/>
      <c r="B470" s="9" t="str">
        <f>IFERROR(__xludf.DUMMYFUNCTION("INDEX(IMPORTRANGE(""https://docs.google.com/spreadsheets/d/1S7deMHO2waboU9dywpXeKIDfCmjiuAc0HUIsFpaXQq8/edit?gid=0#gid=0"", ""Tracking Shipments - PPTCO!o:o""), MATCH(D470, IMPORTRANGE(""https://docs.google.com/spreadsheets/d/1S7deMHO2waboU9dywpXeKIDfCmji"&amp;"uAc0HUIsFpaXQq8/edit?gid=0#gid=0"", ""Tracking Shipments - PPTCO!p:p""), 0))"),"#N/A")</f>
        <v>#N/A</v>
      </c>
      <c r="C470" s="14"/>
      <c r="D470" s="14"/>
      <c r="E470" s="14"/>
      <c r="F470" s="14"/>
      <c r="G470" s="9"/>
      <c r="H470" s="14"/>
      <c r="I470" s="14"/>
      <c r="J470" s="14"/>
      <c r="K470" s="14"/>
      <c r="L470" s="14"/>
      <c r="M470" s="14"/>
      <c r="N470" s="14"/>
      <c r="O470" s="60"/>
      <c r="P470" s="14"/>
      <c r="Q470" s="14"/>
      <c r="R470" s="52"/>
      <c r="S470" s="14"/>
      <c r="T470" s="14"/>
      <c r="U470" s="14"/>
      <c r="V470" s="14"/>
      <c r="W470" s="14"/>
      <c r="X470" s="14"/>
      <c r="Y470" s="14"/>
      <c r="Z470" s="15"/>
      <c r="AA470" s="15"/>
      <c r="AB470" s="15"/>
      <c r="AC470" s="15"/>
      <c r="AD470" s="15"/>
      <c r="AE470" s="15"/>
      <c r="AF470" s="15"/>
      <c r="AG470" s="15"/>
      <c r="AH470" s="15"/>
      <c r="AI470" s="15"/>
    </row>
    <row r="471" ht="15.75" customHeight="1">
      <c r="A471" s="16"/>
      <c r="B471" s="17" t="str">
        <f>IFERROR(__xludf.DUMMYFUNCTION("INDEX(IMPORTRANGE(""https://docs.google.com/spreadsheets/d/1S7deMHO2waboU9dywpXeKIDfCmjiuAc0HUIsFpaXQq8/edit?gid=0#gid=0"", ""Tracking Shipments - PPTCO!o:o""), MATCH(D471, IMPORTRANGE(""https://docs.google.com/spreadsheets/d/1S7deMHO2waboU9dywpXeKIDfCmji"&amp;"uAc0HUIsFpaXQq8/edit?gid=0#gid=0"", ""Tracking Shipments - PPTCO!p:p""), 0))"),"#N/A")</f>
        <v>#N/A</v>
      </c>
      <c r="C471" s="18"/>
      <c r="D471" s="18"/>
      <c r="E471" s="18"/>
      <c r="F471" s="18"/>
      <c r="G471" s="17"/>
      <c r="H471" s="18"/>
      <c r="I471" s="18"/>
      <c r="J471" s="18"/>
      <c r="K471" s="18"/>
      <c r="L471" s="18"/>
      <c r="M471" s="18"/>
      <c r="N471" s="18"/>
      <c r="O471" s="59"/>
      <c r="P471" s="18"/>
      <c r="Q471" s="18"/>
      <c r="R471" s="47"/>
      <c r="S471" s="18"/>
      <c r="T471" s="18"/>
      <c r="U471" s="18"/>
      <c r="V471" s="18"/>
      <c r="W471" s="16"/>
      <c r="X471" s="18"/>
      <c r="Y471" s="18"/>
      <c r="Z471" s="24"/>
      <c r="AA471" s="24"/>
      <c r="AB471" s="24"/>
      <c r="AC471" s="24"/>
      <c r="AD471" s="24"/>
      <c r="AE471" s="24"/>
      <c r="AF471" s="24"/>
      <c r="AG471" s="24"/>
      <c r="AH471" s="24"/>
      <c r="AI471" s="24"/>
    </row>
    <row r="472" ht="15.75" customHeight="1">
      <c r="A472" s="8"/>
      <c r="B472" s="9" t="str">
        <f>IFERROR(__xludf.DUMMYFUNCTION("INDEX(IMPORTRANGE(""https://docs.google.com/spreadsheets/d/1S7deMHO2waboU9dywpXeKIDfCmjiuAc0HUIsFpaXQq8/edit?gid=0#gid=0"", ""Tracking Shipments - PPTCO!o:o""), MATCH(D472, IMPORTRANGE(""https://docs.google.com/spreadsheets/d/1S7deMHO2waboU9dywpXeKIDfCmji"&amp;"uAc0HUIsFpaXQq8/edit?gid=0#gid=0"", ""Tracking Shipments - PPTCO!p:p""), 0))"),"#N/A")</f>
        <v>#N/A</v>
      </c>
      <c r="C472" s="14"/>
      <c r="D472" s="14"/>
      <c r="E472" s="14"/>
      <c r="F472" s="14"/>
      <c r="G472" s="9"/>
      <c r="H472" s="14"/>
      <c r="I472" s="14"/>
      <c r="J472" s="14"/>
      <c r="K472" s="14"/>
      <c r="L472" s="14"/>
      <c r="M472" s="14"/>
      <c r="N472" s="14"/>
      <c r="O472" s="60"/>
      <c r="P472" s="14"/>
      <c r="Q472" s="14"/>
      <c r="R472" s="52"/>
      <c r="S472" s="14"/>
      <c r="T472" s="14"/>
      <c r="U472" s="14"/>
      <c r="V472" s="14"/>
      <c r="W472" s="14"/>
      <c r="X472" s="14"/>
      <c r="Y472" s="14"/>
      <c r="Z472" s="15"/>
      <c r="AA472" s="15"/>
      <c r="AB472" s="15"/>
      <c r="AC472" s="15"/>
      <c r="AD472" s="15"/>
      <c r="AE472" s="15"/>
      <c r="AF472" s="15"/>
      <c r="AG472" s="15"/>
      <c r="AH472" s="15"/>
      <c r="AI472" s="15"/>
    </row>
    <row r="473" ht="15.75" customHeight="1">
      <c r="A473" s="16"/>
      <c r="B473" s="17" t="str">
        <f>IFERROR(__xludf.DUMMYFUNCTION("INDEX(IMPORTRANGE(""https://docs.google.com/spreadsheets/d/1S7deMHO2waboU9dywpXeKIDfCmjiuAc0HUIsFpaXQq8/edit?gid=0#gid=0"", ""Tracking Shipments - PPTCO!o:o""), MATCH(D473, IMPORTRANGE(""https://docs.google.com/spreadsheets/d/1S7deMHO2waboU9dywpXeKIDfCmji"&amp;"uAc0HUIsFpaXQq8/edit?gid=0#gid=0"", ""Tracking Shipments - PPTCO!p:p""), 0))"),"#N/A")</f>
        <v>#N/A</v>
      </c>
      <c r="C473" s="18"/>
      <c r="D473" s="18"/>
      <c r="E473" s="18"/>
      <c r="F473" s="18"/>
      <c r="G473" s="17"/>
      <c r="H473" s="18"/>
      <c r="I473" s="18"/>
      <c r="J473" s="18"/>
      <c r="K473" s="18"/>
      <c r="L473" s="18"/>
      <c r="M473" s="18"/>
      <c r="N473" s="18"/>
      <c r="O473" s="59"/>
      <c r="P473" s="18"/>
      <c r="Q473" s="18"/>
      <c r="R473" s="47"/>
      <c r="S473" s="18"/>
      <c r="T473" s="18"/>
      <c r="U473" s="18"/>
      <c r="V473" s="18"/>
      <c r="W473" s="18"/>
      <c r="X473" s="18"/>
      <c r="Y473" s="18"/>
      <c r="Z473" s="24"/>
      <c r="AA473" s="24"/>
      <c r="AB473" s="24"/>
      <c r="AC473" s="24"/>
      <c r="AD473" s="24"/>
      <c r="AE473" s="24"/>
      <c r="AF473" s="24"/>
      <c r="AG473" s="24"/>
      <c r="AH473" s="24"/>
      <c r="AI473" s="24"/>
    </row>
    <row r="474" ht="15.75" customHeight="1">
      <c r="A474" s="8"/>
      <c r="B474" s="9" t="str">
        <f>IFERROR(__xludf.DUMMYFUNCTION("INDEX(IMPORTRANGE(""https://docs.google.com/spreadsheets/d/1S7deMHO2waboU9dywpXeKIDfCmjiuAc0HUIsFpaXQq8/edit?gid=0#gid=0"", ""Tracking Shipments - PPTCO!o:o""), MATCH(D474, IMPORTRANGE(""https://docs.google.com/spreadsheets/d/1S7deMHO2waboU9dywpXeKIDfCmji"&amp;"uAc0HUIsFpaXQq8/edit?gid=0#gid=0"", ""Tracking Shipments - PPTCO!p:p""), 0))"),"#N/A")</f>
        <v>#N/A</v>
      </c>
      <c r="C474" s="14"/>
      <c r="D474" s="14"/>
      <c r="E474" s="14"/>
      <c r="F474" s="14"/>
      <c r="G474" s="9"/>
      <c r="H474" s="14"/>
      <c r="I474" s="14"/>
      <c r="J474" s="14"/>
      <c r="K474" s="14"/>
      <c r="L474" s="14"/>
      <c r="M474" s="14"/>
      <c r="N474" s="14"/>
      <c r="O474" s="60"/>
      <c r="P474" s="14"/>
      <c r="Q474" s="14"/>
      <c r="R474" s="52"/>
      <c r="S474" s="14"/>
      <c r="T474" s="14"/>
      <c r="U474" s="14"/>
      <c r="V474" s="14"/>
      <c r="W474" s="8"/>
      <c r="X474" s="14"/>
      <c r="Y474" s="14"/>
      <c r="Z474" s="15"/>
      <c r="AA474" s="15"/>
      <c r="AB474" s="15"/>
      <c r="AC474" s="15"/>
      <c r="AD474" s="15"/>
      <c r="AE474" s="15"/>
      <c r="AF474" s="15"/>
      <c r="AG474" s="15"/>
      <c r="AH474" s="15"/>
      <c r="AI474" s="15"/>
    </row>
    <row r="475" ht="15.75" customHeight="1">
      <c r="A475" s="16"/>
      <c r="B475" s="17" t="str">
        <f>IFERROR(__xludf.DUMMYFUNCTION("INDEX(IMPORTRANGE(""https://docs.google.com/spreadsheets/d/1S7deMHO2waboU9dywpXeKIDfCmjiuAc0HUIsFpaXQq8/edit?gid=0#gid=0"", ""Tracking Shipments - PPTCO!o:o""), MATCH(D475, IMPORTRANGE(""https://docs.google.com/spreadsheets/d/1S7deMHO2waboU9dywpXeKIDfCmji"&amp;"uAc0HUIsFpaXQq8/edit?gid=0#gid=0"", ""Tracking Shipments - PPTCO!p:p""), 0))"),"#N/A")</f>
        <v>#N/A</v>
      </c>
      <c r="C475" s="18"/>
      <c r="D475" s="18"/>
      <c r="E475" s="18"/>
      <c r="F475" s="18"/>
      <c r="G475" s="17"/>
      <c r="H475" s="18"/>
      <c r="I475" s="18"/>
      <c r="J475" s="18"/>
      <c r="K475" s="18"/>
      <c r="L475" s="18"/>
      <c r="M475" s="18"/>
      <c r="N475" s="18"/>
      <c r="O475" s="59"/>
      <c r="P475" s="18"/>
      <c r="Q475" s="18"/>
      <c r="R475" s="47"/>
      <c r="S475" s="18"/>
      <c r="T475" s="18"/>
      <c r="U475" s="18"/>
      <c r="V475" s="18"/>
      <c r="W475" s="18"/>
      <c r="X475" s="18"/>
      <c r="Y475" s="18"/>
      <c r="Z475" s="24"/>
      <c r="AA475" s="24"/>
      <c r="AB475" s="24"/>
      <c r="AC475" s="24"/>
      <c r="AD475" s="24"/>
      <c r="AE475" s="24"/>
      <c r="AF475" s="24"/>
      <c r="AG475" s="24"/>
      <c r="AH475" s="24"/>
      <c r="AI475" s="24"/>
    </row>
    <row r="476" ht="15.75" customHeight="1">
      <c r="A476" s="8"/>
      <c r="B476" s="9" t="str">
        <f>IFERROR(__xludf.DUMMYFUNCTION("INDEX(IMPORTRANGE(""https://docs.google.com/spreadsheets/d/1S7deMHO2waboU9dywpXeKIDfCmjiuAc0HUIsFpaXQq8/edit?gid=0#gid=0"", ""Tracking Shipments - PPTCO!o:o""), MATCH(D476, IMPORTRANGE(""https://docs.google.com/spreadsheets/d/1S7deMHO2waboU9dywpXeKIDfCmji"&amp;"uAc0HUIsFpaXQq8/edit?gid=0#gid=0"", ""Tracking Shipments - PPTCO!p:p""), 0))"),"#N/A")</f>
        <v>#N/A</v>
      </c>
      <c r="C476" s="14"/>
      <c r="D476" s="14"/>
      <c r="E476" s="14"/>
      <c r="F476" s="14"/>
      <c r="G476" s="9"/>
      <c r="H476" s="14"/>
      <c r="I476" s="14"/>
      <c r="J476" s="14"/>
      <c r="K476" s="14"/>
      <c r="L476" s="14"/>
      <c r="M476" s="14"/>
      <c r="N476" s="14"/>
      <c r="O476" s="60"/>
      <c r="P476" s="14"/>
      <c r="Q476" s="14"/>
      <c r="R476" s="52"/>
      <c r="S476" s="14"/>
      <c r="T476" s="14"/>
      <c r="U476" s="14"/>
      <c r="V476" s="14"/>
      <c r="W476" s="14"/>
      <c r="X476" s="14"/>
      <c r="Y476" s="14"/>
      <c r="Z476" s="15"/>
      <c r="AA476" s="15"/>
      <c r="AB476" s="15"/>
      <c r="AC476" s="15"/>
      <c r="AD476" s="15"/>
      <c r="AE476" s="15"/>
      <c r="AF476" s="15"/>
      <c r="AG476" s="15"/>
      <c r="AH476" s="15"/>
      <c r="AI476" s="15"/>
    </row>
    <row r="477" ht="15.75" customHeight="1">
      <c r="A477" s="16"/>
      <c r="B477" s="17" t="str">
        <f>IFERROR(__xludf.DUMMYFUNCTION("INDEX(IMPORTRANGE(""https://docs.google.com/spreadsheets/d/1S7deMHO2waboU9dywpXeKIDfCmjiuAc0HUIsFpaXQq8/edit?gid=0#gid=0"", ""Tracking Shipments - PPTCO!o:o""), MATCH(D477, IMPORTRANGE(""https://docs.google.com/spreadsheets/d/1S7deMHO2waboU9dywpXeKIDfCmji"&amp;"uAc0HUIsFpaXQq8/edit?gid=0#gid=0"", ""Tracking Shipments - PPTCO!p:p""), 0))"),"#N/A")</f>
        <v>#N/A</v>
      </c>
      <c r="C477" s="18"/>
      <c r="D477" s="18"/>
      <c r="E477" s="18"/>
      <c r="F477" s="18"/>
      <c r="G477" s="17"/>
      <c r="H477" s="18"/>
      <c r="I477" s="18"/>
      <c r="J477" s="18"/>
      <c r="K477" s="18"/>
      <c r="L477" s="18"/>
      <c r="M477" s="18"/>
      <c r="N477" s="18"/>
      <c r="O477" s="59"/>
      <c r="P477" s="18"/>
      <c r="Q477" s="18"/>
      <c r="R477" s="47"/>
      <c r="S477" s="18"/>
      <c r="T477" s="18"/>
      <c r="U477" s="18"/>
      <c r="V477" s="18"/>
      <c r="W477" s="16"/>
      <c r="X477" s="18"/>
      <c r="Y477" s="18"/>
      <c r="Z477" s="24"/>
      <c r="AA477" s="24"/>
      <c r="AB477" s="24"/>
      <c r="AC477" s="24"/>
      <c r="AD477" s="24"/>
      <c r="AE477" s="24"/>
      <c r="AF477" s="24"/>
      <c r="AG477" s="24"/>
      <c r="AH477" s="24"/>
      <c r="AI477" s="24"/>
    </row>
    <row r="478" ht="15.75" customHeight="1">
      <c r="A478" s="8"/>
      <c r="B478" s="9" t="str">
        <f>IFERROR(__xludf.DUMMYFUNCTION("INDEX(IMPORTRANGE(""https://docs.google.com/spreadsheets/d/1S7deMHO2waboU9dywpXeKIDfCmjiuAc0HUIsFpaXQq8/edit?gid=0#gid=0"", ""Tracking Shipments - PPTCO!o:o""), MATCH(D478, IMPORTRANGE(""https://docs.google.com/spreadsheets/d/1S7deMHO2waboU9dywpXeKIDfCmji"&amp;"uAc0HUIsFpaXQq8/edit?gid=0#gid=0"", ""Tracking Shipments - PPTCO!p:p""), 0))"),"#N/A")</f>
        <v>#N/A</v>
      </c>
      <c r="C478" s="14"/>
      <c r="D478" s="14"/>
      <c r="E478" s="14"/>
      <c r="F478" s="14"/>
      <c r="G478" s="9"/>
      <c r="H478" s="14"/>
      <c r="I478" s="14"/>
      <c r="J478" s="14"/>
      <c r="K478" s="14"/>
      <c r="L478" s="14"/>
      <c r="M478" s="14"/>
      <c r="N478" s="14"/>
      <c r="O478" s="60"/>
      <c r="P478" s="14"/>
      <c r="Q478" s="14"/>
      <c r="R478" s="52"/>
      <c r="S478" s="14"/>
      <c r="T478" s="14"/>
      <c r="U478" s="14"/>
      <c r="V478" s="14"/>
      <c r="W478" s="14"/>
      <c r="X478" s="14"/>
      <c r="Y478" s="14"/>
      <c r="Z478" s="15"/>
      <c r="AA478" s="15"/>
      <c r="AB478" s="15"/>
      <c r="AC478" s="15"/>
      <c r="AD478" s="15"/>
      <c r="AE478" s="15"/>
      <c r="AF478" s="15"/>
      <c r="AG478" s="15"/>
      <c r="AH478" s="15"/>
      <c r="AI478" s="15"/>
    </row>
    <row r="479" ht="15.75" customHeight="1">
      <c r="A479" s="16"/>
      <c r="B479" s="17" t="str">
        <f>IFERROR(__xludf.DUMMYFUNCTION("INDEX(IMPORTRANGE(""https://docs.google.com/spreadsheets/d/1S7deMHO2waboU9dywpXeKIDfCmjiuAc0HUIsFpaXQq8/edit?gid=0#gid=0"", ""Tracking Shipments - PPTCO!o:o""), MATCH(D479, IMPORTRANGE(""https://docs.google.com/spreadsheets/d/1S7deMHO2waboU9dywpXeKIDfCmji"&amp;"uAc0HUIsFpaXQq8/edit?gid=0#gid=0"", ""Tracking Shipments - PPTCO!p:p""), 0))"),"#N/A")</f>
        <v>#N/A</v>
      </c>
      <c r="C479" s="18"/>
      <c r="D479" s="18"/>
      <c r="E479" s="18"/>
      <c r="F479" s="18"/>
      <c r="G479" s="17"/>
      <c r="H479" s="18"/>
      <c r="I479" s="18"/>
      <c r="J479" s="18"/>
      <c r="K479" s="18"/>
      <c r="L479" s="18"/>
      <c r="M479" s="18"/>
      <c r="N479" s="18"/>
      <c r="O479" s="59"/>
      <c r="P479" s="18"/>
      <c r="Q479" s="18"/>
      <c r="R479" s="47"/>
      <c r="S479" s="18"/>
      <c r="T479" s="18"/>
      <c r="U479" s="18"/>
      <c r="V479" s="18"/>
      <c r="W479" s="18"/>
      <c r="X479" s="18"/>
      <c r="Y479" s="18"/>
      <c r="Z479" s="24"/>
      <c r="AA479" s="24"/>
      <c r="AB479" s="24"/>
      <c r="AC479" s="24"/>
      <c r="AD479" s="24"/>
      <c r="AE479" s="24"/>
      <c r="AF479" s="24"/>
      <c r="AG479" s="24"/>
      <c r="AH479" s="24"/>
      <c r="AI479" s="24"/>
    </row>
    <row r="480" ht="15.75" customHeight="1">
      <c r="A480" s="8"/>
      <c r="B480" s="9" t="str">
        <f>IFERROR(__xludf.DUMMYFUNCTION("INDEX(IMPORTRANGE(""https://docs.google.com/spreadsheets/d/1S7deMHO2waboU9dywpXeKIDfCmjiuAc0HUIsFpaXQq8/edit?gid=0#gid=0"", ""Tracking Shipments - PPTCO!o:o""), MATCH(D480, IMPORTRANGE(""https://docs.google.com/spreadsheets/d/1S7deMHO2waboU9dywpXeKIDfCmji"&amp;"uAc0HUIsFpaXQq8/edit?gid=0#gid=0"", ""Tracking Shipments - PPTCO!p:p""), 0))"),"#N/A")</f>
        <v>#N/A</v>
      </c>
      <c r="C480" s="14"/>
      <c r="D480" s="14"/>
      <c r="E480" s="14"/>
      <c r="F480" s="14"/>
      <c r="G480" s="9"/>
      <c r="H480" s="14"/>
      <c r="I480" s="14"/>
      <c r="J480" s="14"/>
      <c r="K480" s="14"/>
      <c r="L480" s="14"/>
      <c r="M480" s="14"/>
      <c r="N480" s="14"/>
      <c r="O480" s="60"/>
      <c r="P480" s="14"/>
      <c r="Q480" s="14"/>
      <c r="R480" s="52"/>
      <c r="S480" s="14"/>
      <c r="T480" s="14"/>
      <c r="U480" s="14"/>
      <c r="V480" s="14"/>
      <c r="W480" s="8"/>
      <c r="X480" s="14"/>
      <c r="Y480" s="14"/>
      <c r="Z480" s="15"/>
      <c r="AA480" s="15"/>
      <c r="AB480" s="15"/>
      <c r="AC480" s="15"/>
      <c r="AD480" s="15"/>
      <c r="AE480" s="15"/>
      <c r="AF480" s="15"/>
      <c r="AG480" s="15"/>
      <c r="AH480" s="15"/>
      <c r="AI480" s="15"/>
    </row>
    <row r="481" ht="15.75" customHeight="1">
      <c r="A481" s="16"/>
      <c r="B481" s="17" t="str">
        <f>IFERROR(__xludf.DUMMYFUNCTION("INDEX(IMPORTRANGE(""https://docs.google.com/spreadsheets/d/1S7deMHO2waboU9dywpXeKIDfCmjiuAc0HUIsFpaXQq8/edit?gid=0#gid=0"", ""Tracking Shipments - PPTCO!o:o""), MATCH(D481, IMPORTRANGE(""https://docs.google.com/spreadsheets/d/1S7deMHO2waboU9dywpXeKIDfCmji"&amp;"uAc0HUIsFpaXQq8/edit?gid=0#gid=0"", ""Tracking Shipments - PPTCO!p:p""), 0))"),"#N/A")</f>
        <v>#N/A</v>
      </c>
      <c r="C481" s="18"/>
      <c r="D481" s="18"/>
      <c r="E481" s="18"/>
      <c r="F481" s="18"/>
      <c r="G481" s="17"/>
      <c r="H481" s="18"/>
      <c r="I481" s="18"/>
      <c r="J481" s="18"/>
      <c r="K481" s="18"/>
      <c r="L481" s="18"/>
      <c r="M481" s="18"/>
      <c r="N481" s="18"/>
      <c r="O481" s="59"/>
      <c r="P481" s="18"/>
      <c r="Q481" s="18"/>
      <c r="R481" s="47"/>
      <c r="S481" s="18"/>
      <c r="T481" s="18"/>
      <c r="U481" s="18"/>
      <c r="V481" s="18"/>
      <c r="W481" s="18"/>
      <c r="X481" s="18"/>
      <c r="Y481" s="18"/>
      <c r="Z481" s="24"/>
      <c r="AA481" s="24"/>
      <c r="AB481" s="24"/>
      <c r="AC481" s="24"/>
      <c r="AD481" s="24"/>
      <c r="AE481" s="24"/>
      <c r="AF481" s="24"/>
      <c r="AG481" s="24"/>
      <c r="AH481" s="24"/>
      <c r="AI481" s="24"/>
    </row>
    <row r="482" ht="15.75" customHeight="1">
      <c r="A482" s="8"/>
      <c r="B482" s="9" t="str">
        <f>IFERROR(__xludf.DUMMYFUNCTION("INDEX(IMPORTRANGE(""https://docs.google.com/spreadsheets/d/1S7deMHO2waboU9dywpXeKIDfCmjiuAc0HUIsFpaXQq8/edit?gid=0#gid=0"", ""Tracking Shipments - PPTCO!o:o""), MATCH(D482, IMPORTRANGE(""https://docs.google.com/spreadsheets/d/1S7deMHO2waboU9dywpXeKIDfCmji"&amp;"uAc0HUIsFpaXQq8/edit?gid=0#gid=0"", ""Tracking Shipments - PPTCO!p:p""), 0))"),"#N/A")</f>
        <v>#N/A</v>
      </c>
      <c r="C482" s="14"/>
      <c r="D482" s="14"/>
      <c r="E482" s="14"/>
      <c r="F482" s="14"/>
      <c r="G482" s="9"/>
      <c r="H482" s="14"/>
      <c r="I482" s="14"/>
      <c r="J482" s="14"/>
      <c r="K482" s="14"/>
      <c r="L482" s="14"/>
      <c r="M482" s="14"/>
      <c r="N482" s="14"/>
      <c r="O482" s="60"/>
      <c r="P482" s="14"/>
      <c r="Q482" s="14"/>
      <c r="R482" s="52"/>
      <c r="S482" s="14"/>
      <c r="T482" s="14"/>
      <c r="U482" s="14"/>
      <c r="V482" s="14"/>
      <c r="W482" s="14"/>
      <c r="X482" s="14"/>
      <c r="Y482" s="14"/>
      <c r="Z482" s="15"/>
      <c r="AA482" s="15"/>
      <c r="AB482" s="15"/>
      <c r="AC482" s="15"/>
      <c r="AD482" s="15"/>
      <c r="AE482" s="15"/>
      <c r="AF482" s="15"/>
      <c r="AG482" s="15"/>
      <c r="AH482" s="15"/>
      <c r="AI482" s="15"/>
    </row>
    <row r="483" ht="15.75" customHeight="1">
      <c r="A483" s="16"/>
      <c r="B483" s="17" t="str">
        <f>IFERROR(__xludf.DUMMYFUNCTION("INDEX(IMPORTRANGE(""https://docs.google.com/spreadsheets/d/1S7deMHO2waboU9dywpXeKIDfCmjiuAc0HUIsFpaXQq8/edit?gid=0#gid=0"", ""Tracking Shipments - PPTCO!o:o""), MATCH(D483, IMPORTRANGE(""https://docs.google.com/spreadsheets/d/1S7deMHO2waboU9dywpXeKIDfCmji"&amp;"uAc0HUIsFpaXQq8/edit?gid=0#gid=0"", ""Tracking Shipments - PPTCO!p:p""), 0))"),"#N/A")</f>
        <v>#N/A</v>
      </c>
      <c r="C483" s="18"/>
      <c r="D483" s="18"/>
      <c r="E483" s="18"/>
      <c r="F483" s="18"/>
      <c r="G483" s="17"/>
      <c r="H483" s="18"/>
      <c r="I483" s="18"/>
      <c r="J483" s="18"/>
      <c r="K483" s="18"/>
      <c r="L483" s="18"/>
      <c r="M483" s="18"/>
      <c r="N483" s="18"/>
      <c r="O483" s="59"/>
      <c r="P483" s="18"/>
      <c r="Q483" s="18"/>
      <c r="R483" s="47"/>
      <c r="S483" s="18"/>
      <c r="T483" s="18"/>
      <c r="U483" s="18"/>
      <c r="V483" s="18"/>
      <c r="W483" s="16"/>
      <c r="X483" s="18"/>
      <c r="Y483" s="18"/>
      <c r="Z483" s="24"/>
      <c r="AA483" s="24"/>
      <c r="AB483" s="24"/>
      <c r="AC483" s="24"/>
      <c r="AD483" s="24"/>
      <c r="AE483" s="24"/>
      <c r="AF483" s="24"/>
      <c r="AG483" s="24"/>
      <c r="AH483" s="24"/>
      <c r="AI483" s="24"/>
    </row>
    <row r="484" ht="15.75" customHeight="1">
      <c r="A484" s="8"/>
      <c r="B484" s="9" t="str">
        <f>IFERROR(__xludf.DUMMYFUNCTION("INDEX(IMPORTRANGE(""https://docs.google.com/spreadsheets/d/1S7deMHO2waboU9dywpXeKIDfCmjiuAc0HUIsFpaXQq8/edit?gid=0#gid=0"", ""Tracking Shipments - PPTCO!o:o""), MATCH(D484, IMPORTRANGE(""https://docs.google.com/spreadsheets/d/1S7deMHO2waboU9dywpXeKIDfCmji"&amp;"uAc0HUIsFpaXQq8/edit?gid=0#gid=0"", ""Tracking Shipments - PPTCO!p:p""), 0))"),"#N/A")</f>
        <v>#N/A</v>
      </c>
      <c r="C484" s="14"/>
      <c r="D484" s="14"/>
      <c r="E484" s="14"/>
      <c r="F484" s="14"/>
      <c r="G484" s="9"/>
      <c r="H484" s="14"/>
      <c r="I484" s="14"/>
      <c r="J484" s="14"/>
      <c r="K484" s="14"/>
      <c r="L484" s="14"/>
      <c r="M484" s="14"/>
      <c r="N484" s="14"/>
      <c r="O484" s="60"/>
      <c r="P484" s="14"/>
      <c r="Q484" s="14"/>
      <c r="R484" s="52"/>
      <c r="S484" s="14"/>
      <c r="T484" s="14"/>
      <c r="U484" s="14"/>
      <c r="V484" s="14"/>
      <c r="W484" s="14"/>
      <c r="X484" s="14"/>
      <c r="Y484" s="14"/>
      <c r="Z484" s="15"/>
      <c r="AA484" s="15"/>
      <c r="AB484" s="15"/>
      <c r="AC484" s="15"/>
      <c r="AD484" s="15"/>
      <c r="AE484" s="15"/>
      <c r="AF484" s="15"/>
      <c r="AG484" s="15"/>
      <c r="AH484" s="15"/>
      <c r="AI484" s="15"/>
    </row>
    <row r="485" ht="15.75" customHeight="1">
      <c r="A485" s="16"/>
      <c r="B485" s="17" t="str">
        <f>IFERROR(__xludf.DUMMYFUNCTION("INDEX(IMPORTRANGE(""https://docs.google.com/spreadsheets/d/1S7deMHO2waboU9dywpXeKIDfCmjiuAc0HUIsFpaXQq8/edit?gid=0#gid=0"", ""Tracking Shipments - PPTCO!o:o""), MATCH(D485, IMPORTRANGE(""https://docs.google.com/spreadsheets/d/1S7deMHO2waboU9dywpXeKIDfCmji"&amp;"uAc0HUIsFpaXQq8/edit?gid=0#gid=0"", ""Tracking Shipments - PPTCO!p:p""), 0))"),"#N/A")</f>
        <v>#N/A</v>
      </c>
      <c r="C485" s="18"/>
      <c r="D485" s="18"/>
      <c r="E485" s="18"/>
      <c r="F485" s="18"/>
      <c r="G485" s="17"/>
      <c r="H485" s="18"/>
      <c r="I485" s="18"/>
      <c r="J485" s="18"/>
      <c r="K485" s="18"/>
      <c r="L485" s="18"/>
      <c r="M485" s="18"/>
      <c r="N485" s="18"/>
      <c r="O485" s="59"/>
      <c r="P485" s="18"/>
      <c r="Q485" s="18"/>
      <c r="R485" s="47"/>
      <c r="S485" s="18"/>
      <c r="T485" s="18"/>
      <c r="U485" s="18"/>
      <c r="V485" s="18"/>
      <c r="W485" s="18"/>
      <c r="X485" s="18"/>
      <c r="Y485" s="18"/>
      <c r="Z485" s="24"/>
      <c r="AA485" s="24"/>
      <c r="AB485" s="24"/>
      <c r="AC485" s="24"/>
      <c r="AD485" s="24"/>
      <c r="AE485" s="24"/>
      <c r="AF485" s="24"/>
      <c r="AG485" s="24"/>
      <c r="AH485" s="24"/>
      <c r="AI485" s="24"/>
    </row>
    <row r="486" ht="15.75" customHeight="1">
      <c r="A486" s="8"/>
      <c r="B486" s="9" t="str">
        <f>IFERROR(__xludf.DUMMYFUNCTION("INDEX(IMPORTRANGE(""https://docs.google.com/spreadsheets/d/1S7deMHO2waboU9dywpXeKIDfCmjiuAc0HUIsFpaXQq8/edit?gid=0#gid=0"", ""Tracking Shipments - PPTCO!o:o""), MATCH(D486, IMPORTRANGE(""https://docs.google.com/spreadsheets/d/1S7deMHO2waboU9dywpXeKIDfCmji"&amp;"uAc0HUIsFpaXQq8/edit?gid=0#gid=0"", ""Tracking Shipments - PPTCO!p:p""), 0))"),"#N/A")</f>
        <v>#N/A</v>
      </c>
      <c r="C486" s="14"/>
      <c r="D486" s="14"/>
      <c r="E486" s="14"/>
      <c r="F486" s="14"/>
      <c r="G486" s="9"/>
      <c r="H486" s="14"/>
      <c r="I486" s="14"/>
      <c r="J486" s="14"/>
      <c r="K486" s="14"/>
      <c r="L486" s="14"/>
      <c r="M486" s="14"/>
      <c r="N486" s="14"/>
      <c r="O486" s="60"/>
      <c r="P486" s="14"/>
      <c r="Q486" s="14"/>
      <c r="R486" s="52"/>
      <c r="S486" s="14"/>
      <c r="T486" s="14"/>
      <c r="U486" s="14"/>
      <c r="V486" s="14"/>
      <c r="W486" s="8"/>
      <c r="X486" s="14"/>
      <c r="Y486" s="14"/>
      <c r="Z486" s="15"/>
      <c r="AA486" s="15"/>
      <c r="AB486" s="15"/>
      <c r="AC486" s="15"/>
      <c r="AD486" s="15"/>
      <c r="AE486" s="15"/>
      <c r="AF486" s="15"/>
      <c r="AG486" s="15"/>
      <c r="AH486" s="15"/>
      <c r="AI486" s="15"/>
    </row>
    <row r="487" ht="15.75" customHeight="1">
      <c r="A487" s="16"/>
      <c r="B487" s="17" t="str">
        <f>IFERROR(__xludf.DUMMYFUNCTION("INDEX(IMPORTRANGE(""https://docs.google.com/spreadsheets/d/1S7deMHO2waboU9dywpXeKIDfCmjiuAc0HUIsFpaXQq8/edit?gid=0#gid=0"", ""Tracking Shipments - PPTCO!o:o""), MATCH(D487, IMPORTRANGE(""https://docs.google.com/spreadsheets/d/1S7deMHO2waboU9dywpXeKIDfCmji"&amp;"uAc0HUIsFpaXQq8/edit?gid=0#gid=0"", ""Tracking Shipments - PPTCO!p:p""), 0))"),"#N/A")</f>
        <v>#N/A</v>
      </c>
      <c r="C487" s="18"/>
      <c r="D487" s="18"/>
      <c r="E487" s="18"/>
      <c r="F487" s="18"/>
      <c r="G487" s="17"/>
      <c r="H487" s="18"/>
      <c r="I487" s="18"/>
      <c r="J487" s="18"/>
      <c r="K487" s="18"/>
      <c r="L487" s="18"/>
      <c r="M487" s="18"/>
      <c r="N487" s="18"/>
      <c r="O487" s="59"/>
      <c r="P487" s="18"/>
      <c r="Q487" s="18"/>
      <c r="R487" s="47"/>
      <c r="S487" s="18"/>
      <c r="T487" s="18"/>
      <c r="U487" s="18"/>
      <c r="V487" s="18"/>
      <c r="W487" s="18"/>
      <c r="X487" s="18"/>
      <c r="Y487" s="18"/>
      <c r="Z487" s="24"/>
      <c r="AA487" s="24"/>
      <c r="AB487" s="24"/>
      <c r="AC487" s="24"/>
      <c r="AD487" s="24"/>
      <c r="AE487" s="24"/>
      <c r="AF487" s="24"/>
      <c r="AG487" s="24"/>
      <c r="AH487" s="24"/>
      <c r="AI487" s="24"/>
    </row>
    <row r="488" ht="15.75" customHeight="1">
      <c r="A488" s="8"/>
      <c r="B488" s="9" t="str">
        <f>IFERROR(__xludf.DUMMYFUNCTION("INDEX(IMPORTRANGE(""https://docs.google.com/spreadsheets/d/1S7deMHO2waboU9dywpXeKIDfCmjiuAc0HUIsFpaXQq8/edit?gid=0#gid=0"", ""Tracking Shipments - PPTCO!o:o""), MATCH(D488, IMPORTRANGE(""https://docs.google.com/spreadsheets/d/1S7deMHO2waboU9dywpXeKIDfCmji"&amp;"uAc0HUIsFpaXQq8/edit?gid=0#gid=0"", ""Tracking Shipments - PPTCO!p:p""), 0))"),"#N/A")</f>
        <v>#N/A</v>
      </c>
      <c r="C488" s="14"/>
      <c r="D488" s="14"/>
      <c r="E488" s="14"/>
      <c r="F488" s="14"/>
      <c r="G488" s="9"/>
      <c r="H488" s="14"/>
      <c r="I488" s="14"/>
      <c r="J488" s="14"/>
      <c r="K488" s="14"/>
      <c r="L488" s="14"/>
      <c r="M488" s="14"/>
      <c r="N488" s="14"/>
      <c r="O488" s="60"/>
      <c r="P488" s="14"/>
      <c r="Q488" s="14"/>
      <c r="R488" s="52"/>
      <c r="S488" s="14"/>
      <c r="T488" s="14"/>
      <c r="U488" s="14"/>
      <c r="V488" s="14"/>
      <c r="W488" s="14"/>
      <c r="X488" s="14"/>
      <c r="Y488" s="14"/>
      <c r="Z488" s="15"/>
      <c r="AA488" s="15"/>
      <c r="AB488" s="15"/>
      <c r="AC488" s="15"/>
      <c r="AD488" s="15"/>
      <c r="AE488" s="15"/>
      <c r="AF488" s="15"/>
      <c r="AG488" s="15"/>
      <c r="AH488" s="15"/>
      <c r="AI488" s="15"/>
    </row>
    <row r="489" ht="15.75" customHeight="1">
      <c r="A489" s="16"/>
      <c r="B489" s="17" t="str">
        <f>IFERROR(__xludf.DUMMYFUNCTION("INDEX(IMPORTRANGE(""https://docs.google.com/spreadsheets/d/1S7deMHO2waboU9dywpXeKIDfCmjiuAc0HUIsFpaXQq8/edit?gid=0#gid=0"", ""Tracking Shipments - PPTCO!o:o""), MATCH(D489, IMPORTRANGE(""https://docs.google.com/spreadsheets/d/1S7deMHO2waboU9dywpXeKIDfCmji"&amp;"uAc0HUIsFpaXQq8/edit?gid=0#gid=0"", ""Tracking Shipments - PPTCO!p:p""), 0))"),"#N/A")</f>
        <v>#N/A</v>
      </c>
      <c r="C489" s="18"/>
      <c r="D489" s="18"/>
      <c r="E489" s="18"/>
      <c r="F489" s="18"/>
      <c r="G489" s="17"/>
      <c r="H489" s="18"/>
      <c r="I489" s="18"/>
      <c r="J489" s="18"/>
      <c r="K489" s="18"/>
      <c r="L489" s="18"/>
      <c r="M489" s="18"/>
      <c r="N489" s="18"/>
      <c r="O489" s="59"/>
      <c r="P489" s="18"/>
      <c r="Q489" s="18"/>
      <c r="R489" s="47"/>
      <c r="S489" s="18"/>
      <c r="T489" s="18"/>
      <c r="U489" s="18"/>
      <c r="V489" s="18"/>
      <c r="W489" s="16"/>
      <c r="X489" s="18"/>
      <c r="Y489" s="18"/>
      <c r="Z489" s="24"/>
      <c r="AA489" s="24"/>
      <c r="AB489" s="24"/>
      <c r="AC489" s="24"/>
      <c r="AD489" s="24"/>
      <c r="AE489" s="24"/>
      <c r="AF489" s="24"/>
      <c r="AG489" s="24"/>
      <c r="AH489" s="24"/>
      <c r="AI489" s="24"/>
    </row>
    <row r="490" ht="15.75" customHeight="1">
      <c r="A490" s="8"/>
      <c r="B490" s="9" t="str">
        <f>IFERROR(__xludf.DUMMYFUNCTION("INDEX(IMPORTRANGE(""https://docs.google.com/spreadsheets/d/1S7deMHO2waboU9dywpXeKIDfCmjiuAc0HUIsFpaXQq8/edit?gid=0#gid=0"", ""Tracking Shipments - PPTCO!o:o""), MATCH(D490, IMPORTRANGE(""https://docs.google.com/spreadsheets/d/1S7deMHO2waboU9dywpXeKIDfCmji"&amp;"uAc0HUIsFpaXQq8/edit?gid=0#gid=0"", ""Tracking Shipments - PPTCO!p:p""), 0))"),"#N/A")</f>
        <v>#N/A</v>
      </c>
      <c r="C490" s="14"/>
      <c r="D490" s="14"/>
      <c r="E490" s="14"/>
      <c r="F490" s="14"/>
      <c r="G490" s="9"/>
      <c r="H490" s="14"/>
      <c r="I490" s="14"/>
      <c r="J490" s="14"/>
      <c r="K490" s="14"/>
      <c r="L490" s="14"/>
      <c r="M490" s="14"/>
      <c r="N490" s="14"/>
      <c r="O490" s="60"/>
      <c r="P490" s="14"/>
      <c r="Q490" s="14"/>
      <c r="R490" s="52"/>
      <c r="S490" s="14"/>
      <c r="T490" s="14"/>
      <c r="U490" s="14"/>
      <c r="V490" s="14"/>
      <c r="W490" s="14"/>
      <c r="X490" s="14"/>
      <c r="Y490" s="14"/>
      <c r="Z490" s="15"/>
      <c r="AA490" s="15"/>
      <c r="AB490" s="15"/>
      <c r="AC490" s="15"/>
      <c r="AD490" s="15"/>
      <c r="AE490" s="15"/>
      <c r="AF490" s="15"/>
      <c r="AG490" s="15"/>
      <c r="AH490" s="15"/>
      <c r="AI490" s="15"/>
    </row>
    <row r="491" ht="15.75" customHeight="1">
      <c r="A491" s="16"/>
      <c r="B491" s="17" t="str">
        <f>IFERROR(__xludf.DUMMYFUNCTION("INDEX(IMPORTRANGE(""https://docs.google.com/spreadsheets/d/1S7deMHO2waboU9dywpXeKIDfCmjiuAc0HUIsFpaXQq8/edit?gid=0#gid=0"", ""Tracking Shipments - PPTCO!o:o""), MATCH(D491, IMPORTRANGE(""https://docs.google.com/spreadsheets/d/1S7deMHO2waboU9dywpXeKIDfCmji"&amp;"uAc0HUIsFpaXQq8/edit?gid=0#gid=0"", ""Tracking Shipments - PPTCO!p:p""), 0))"),"#N/A")</f>
        <v>#N/A</v>
      </c>
      <c r="C491" s="18"/>
      <c r="D491" s="18"/>
      <c r="E491" s="18"/>
      <c r="F491" s="18"/>
      <c r="G491" s="17"/>
      <c r="H491" s="18"/>
      <c r="I491" s="18"/>
      <c r="J491" s="18"/>
      <c r="K491" s="18"/>
      <c r="L491" s="18"/>
      <c r="M491" s="18"/>
      <c r="N491" s="18"/>
      <c r="O491" s="59"/>
      <c r="P491" s="18"/>
      <c r="Q491" s="18"/>
      <c r="R491" s="47"/>
      <c r="S491" s="18"/>
      <c r="T491" s="18"/>
      <c r="U491" s="18"/>
      <c r="V491" s="18"/>
      <c r="W491" s="18"/>
      <c r="X491" s="18"/>
      <c r="Y491" s="18"/>
      <c r="Z491" s="24"/>
      <c r="AA491" s="24"/>
      <c r="AB491" s="24"/>
      <c r="AC491" s="24"/>
      <c r="AD491" s="24"/>
      <c r="AE491" s="24"/>
      <c r="AF491" s="24"/>
      <c r="AG491" s="24"/>
      <c r="AH491" s="24"/>
      <c r="AI491" s="24"/>
    </row>
    <row r="492" ht="15.75" customHeight="1">
      <c r="A492" s="8"/>
      <c r="B492" s="9" t="str">
        <f>IFERROR(__xludf.DUMMYFUNCTION("INDEX(IMPORTRANGE(""https://docs.google.com/spreadsheets/d/1S7deMHO2waboU9dywpXeKIDfCmjiuAc0HUIsFpaXQq8/edit?gid=0#gid=0"", ""Tracking Shipments - PPTCO!o:o""), MATCH(D492, IMPORTRANGE(""https://docs.google.com/spreadsheets/d/1S7deMHO2waboU9dywpXeKIDfCmji"&amp;"uAc0HUIsFpaXQq8/edit?gid=0#gid=0"", ""Tracking Shipments - PPTCO!p:p""), 0))"),"#N/A")</f>
        <v>#N/A</v>
      </c>
      <c r="C492" s="14"/>
      <c r="D492" s="14"/>
      <c r="E492" s="14"/>
      <c r="F492" s="14"/>
      <c r="G492" s="9"/>
      <c r="H492" s="14"/>
      <c r="I492" s="14"/>
      <c r="J492" s="14"/>
      <c r="K492" s="14"/>
      <c r="L492" s="14"/>
      <c r="M492" s="14"/>
      <c r="N492" s="14"/>
      <c r="O492" s="60"/>
      <c r="P492" s="14"/>
      <c r="Q492" s="14"/>
      <c r="R492" s="52"/>
      <c r="S492" s="14"/>
      <c r="T492" s="14"/>
      <c r="U492" s="14"/>
      <c r="V492" s="14"/>
      <c r="W492" s="8"/>
      <c r="X492" s="14"/>
      <c r="Y492" s="14"/>
      <c r="Z492" s="15"/>
      <c r="AA492" s="15"/>
      <c r="AB492" s="15"/>
      <c r="AC492" s="15"/>
      <c r="AD492" s="15"/>
      <c r="AE492" s="15"/>
      <c r="AF492" s="15"/>
      <c r="AG492" s="15"/>
      <c r="AH492" s="15"/>
      <c r="AI492" s="15"/>
    </row>
    <row r="493" ht="15.75" customHeight="1">
      <c r="A493" s="16"/>
      <c r="B493" s="17" t="str">
        <f>IFERROR(__xludf.DUMMYFUNCTION("INDEX(IMPORTRANGE(""https://docs.google.com/spreadsheets/d/1S7deMHO2waboU9dywpXeKIDfCmjiuAc0HUIsFpaXQq8/edit?gid=0#gid=0"", ""Tracking Shipments - PPTCO!o:o""), MATCH(D493, IMPORTRANGE(""https://docs.google.com/spreadsheets/d/1S7deMHO2waboU9dywpXeKIDfCmji"&amp;"uAc0HUIsFpaXQq8/edit?gid=0#gid=0"", ""Tracking Shipments - PPTCO!p:p""), 0))"),"#N/A")</f>
        <v>#N/A</v>
      </c>
      <c r="C493" s="18"/>
      <c r="D493" s="18"/>
      <c r="E493" s="18"/>
      <c r="F493" s="18"/>
      <c r="G493" s="17"/>
      <c r="H493" s="18"/>
      <c r="I493" s="18"/>
      <c r="J493" s="18"/>
      <c r="K493" s="18"/>
      <c r="L493" s="18"/>
      <c r="M493" s="18"/>
      <c r="N493" s="18"/>
      <c r="O493" s="59"/>
      <c r="P493" s="18"/>
      <c r="Q493" s="18"/>
      <c r="R493" s="47"/>
      <c r="S493" s="18"/>
      <c r="T493" s="18"/>
      <c r="U493" s="18"/>
      <c r="V493" s="18"/>
      <c r="W493" s="18"/>
      <c r="X493" s="18"/>
      <c r="Y493" s="18"/>
      <c r="Z493" s="24"/>
      <c r="AA493" s="24"/>
      <c r="AB493" s="24"/>
      <c r="AC493" s="24"/>
      <c r="AD493" s="24"/>
      <c r="AE493" s="24"/>
      <c r="AF493" s="24"/>
      <c r="AG493" s="24"/>
      <c r="AH493" s="24"/>
      <c r="AI493" s="24"/>
    </row>
    <row r="494" ht="15.75" customHeight="1">
      <c r="A494" s="8"/>
      <c r="B494" s="9" t="str">
        <f>IFERROR(__xludf.DUMMYFUNCTION("INDEX(IMPORTRANGE(""https://docs.google.com/spreadsheets/d/1S7deMHO2waboU9dywpXeKIDfCmjiuAc0HUIsFpaXQq8/edit?gid=0#gid=0"", ""Tracking Shipments - PPTCO!o:o""), MATCH(D494, IMPORTRANGE(""https://docs.google.com/spreadsheets/d/1S7deMHO2waboU9dywpXeKIDfCmji"&amp;"uAc0HUIsFpaXQq8/edit?gid=0#gid=0"", ""Tracking Shipments - PPTCO!p:p""), 0))"),"#N/A")</f>
        <v>#N/A</v>
      </c>
      <c r="C494" s="14"/>
      <c r="D494" s="14"/>
      <c r="E494" s="14"/>
      <c r="F494" s="14"/>
      <c r="G494" s="9"/>
      <c r="H494" s="14"/>
      <c r="I494" s="14"/>
      <c r="J494" s="14"/>
      <c r="K494" s="14"/>
      <c r="L494" s="14"/>
      <c r="M494" s="14"/>
      <c r="N494" s="14"/>
      <c r="O494" s="60"/>
      <c r="P494" s="14"/>
      <c r="Q494" s="14"/>
      <c r="R494" s="52"/>
      <c r="S494" s="14"/>
      <c r="T494" s="14"/>
      <c r="U494" s="14"/>
      <c r="V494" s="14"/>
      <c r="W494" s="14"/>
      <c r="X494" s="14"/>
      <c r="Y494" s="14"/>
      <c r="Z494" s="15"/>
      <c r="AA494" s="15"/>
      <c r="AB494" s="15"/>
      <c r="AC494" s="15"/>
      <c r="AD494" s="15"/>
      <c r="AE494" s="15"/>
      <c r="AF494" s="15"/>
      <c r="AG494" s="15"/>
      <c r="AH494" s="15"/>
      <c r="AI494" s="15"/>
    </row>
    <row r="495" ht="15.75" customHeight="1">
      <c r="A495" s="16"/>
      <c r="B495" s="17" t="str">
        <f>IFERROR(__xludf.DUMMYFUNCTION("INDEX(IMPORTRANGE(""https://docs.google.com/spreadsheets/d/1S7deMHO2waboU9dywpXeKIDfCmjiuAc0HUIsFpaXQq8/edit?gid=0#gid=0"", ""Tracking Shipments - PPTCO!o:o""), MATCH(D495, IMPORTRANGE(""https://docs.google.com/spreadsheets/d/1S7deMHO2waboU9dywpXeKIDfCmji"&amp;"uAc0HUIsFpaXQq8/edit?gid=0#gid=0"", ""Tracking Shipments - PPTCO!p:p""), 0))"),"#N/A")</f>
        <v>#N/A</v>
      </c>
      <c r="C495" s="18"/>
      <c r="D495" s="18"/>
      <c r="E495" s="18"/>
      <c r="F495" s="18"/>
      <c r="G495" s="17"/>
      <c r="H495" s="18"/>
      <c r="I495" s="18"/>
      <c r="J495" s="18"/>
      <c r="K495" s="18"/>
      <c r="L495" s="18"/>
      <c r="M495" s="18"/>
      <c r="N495" s="18"/>
      <c r="O495" s="59"/>
      <c r="P495" s="18"/>
      <c r="Q495" s="18"/>
      <c r="R495" s="47"/>
      <c r="S495" s="18"/>
      <c r="T495" s="18"/>
      <c r="U495" s="18"/>
      <c r="V495" s="18"/>
      <c r="W495" s="16"/>
      <c r="X495" s="18"/>
      <c r="Y495" s="18"/>
      <c r="Z495" s="24"/>
      <c r="AA495" s="24"/>
      <c r="AB495" s="24"/>
      <c r="AC495" s="24"/>
      <c r="AD495" s="24"/>
      <c r="AE495" s="24"/>
      <c r="AF495" s="24"/>
      <c r="AG495" s="24"/>
      <c r="AH495" s="24"/>
      <c r="AI495" s="24"/>
    </row>
    <row r="496" ht="15.75" customHeight="1">
      <c r="A496" s="8"/>
      <c r="B496" s="9" t="str">
        <f>IFERROR(__xludf.DUMMYFUNCTION("INDEX(IMPORTRANGE(""https://docs.google.com/spreadsheets/d/1S7deMHO2waboU9dywpXeKIDfCmjiuAc0HUIsFpaXQq8/edit?gid=0#gid=0"", ""Tracking Shipments - PPTCO!o:o""), MATCH(D496, IMPORTRANGE(""https://docs.google.com/spreadsheets/d/1S7deMHO2waboU9dywpXeKIDfCmji"&amp;"uAc0HUIsFpaXQq8/edit?gid=0#gid=0"", ""Tracking Shipments - PPTCO!p:p""), 0))"),"#N/A")</f>
        <v>#N/A</v>
      </c>
      <c r="C496" s="14"/>
      <c r="D496" s="14"/>
      <c r="E496" s="14"/>
      <c r="F496" s="14"/>
      <c r="G496" s="9"/>
      <c r="H496" s="14"/>
      <c r="I496" s="14"/>
      <c r="J496" s="14"/>
      <c r="K496" s="14"/>
      <c r="L496" s="14"/>
      <c r="M496" s="14"/>
      <c r="N496" s="14"/>
      <c r="O496" s="60"/>
      <c r="P496" s="14"/>
      <c r="Q496" s="14"/>
      <c r="R496" s="52"/>
      <c r="S496" s="14"/>
      <c r="T496" s="14"/>
      <c r="U496" s="14"/>
      <c r="V496" s="14"/>
      <c r="W496" s="14"/>
      <c r="X496" s="14"/>
      <c r="Y496" s="14"/>
      <c r="Z496" s="15"/>
      <c r="AA496" s="15"/>
      <c r="AB496" s="15"/>
      <c r="AC496" s="15"/>
      <c r="AD496" s="15"/>
      <c r="AE496" s="15"/>
      <c r="AF496" s="15"/>
      <c r="AG496" s="15"/>
      <c r="AH496" s="15"/>
      <c r="AI496" s="15"/>
    </row>
    <row r="497" ht="15.75" customHeight="1">
      <c r="A497" s="16"/>
      <c r="B497" s="17" t="str">
        <f>IFERROR(__xludf.DUMMYFUNCTION("INDEX(IMPORTRANGE(""https://docs.google.com/spreadsheets/d/1S7deMHO2waboU9dywpXeKIDfCmjiuAc0HUIsFpaXQq8/edit?gid=0#gid=0"", ""Tracking Shipments - PPTCO!o:o""), MATCH(D497, IMPORTRANGE(""https://docs.google.com/spreadsheets/d/1S7deMHO2waboU9dywpXeKIDfCmji"&amp;"uAc0HUIsFpaXQq8/edit?gid=0#gid=0"", ""Tracking Shipments - PPTCO!p:p""), 0))"),"#N/A")</f>
        <v>#N/A</v>
      </c>
      <c r="C497" s="18"/>
      <c r="D497" s="18"/>
      <c r="E497" s="18"/>
      <c r="F497" s="18"/>
      <c r="G497" s="17"/>
      <c r="H497" s="18"/>
      <c r="I497" s="18"/>
      <c r="J497" s="18"/>
      <c r="K497" s="18"/>
      <c r="L497" s="18"/>
      <c r="M497" s="18"/>
      <c r="N497" s="18"/>
      <c r="O497" s="59"/>
      <c r="P497" s="18"/>
      <c r="Q497" s="18"/>
      <c r="R497" s="47"/>
      <c r="S497" s="18"/>
      <c r="T497" s="18"/>
      <c r="U497" s="18"/>
      <c r="V497" s="18"/>
      <c r="W497" s="18"/>
      <c r="X497" s="18"/>
      <c r="Y497" s="18"/>
      <c r="Z497" s="24"/>
      <c r="AA497" s="24"/>
      <c r="AB497" s="24"/>
      <c r="AC497" s="24"/>
      <c r="AD497" s="24"/>
      <c r="AE497" s="24"/>
      <c r="AF497" s="24"/>
      <c r="AG497" s="24"/>
      <c r="AH497" s="24"/>
      <c r="AI497" s="24"/>
    </row>
    <row r="498" ht="15.75" customHeight="1">
      <c r="A498" s="8"/>
      <c r="B498" s="9" t="str">
        <f>IFERROR(__xludf.DUMMYFUNCTION("INDEX(IMPORTRANGE(""https://docs.google.com/spreadsheets/d/1S7deMHO2waboU9dywpXeKIDfCmjiuAc0HUIsFpaXQq8/edit?gid=0#gid=0"", ""Tracking Shipments - PPTCO!o:o""), MATCH(D498, IMPORTRANGE(""https://docs.google.com/spreadsheets/d/1S7deMHO2waboU9dywpXeKIDfCmji"&amp;"uAc0HUIsFpaXQq8/edit?gid=0#gid=0"", ""Tracking Shipments - PPTCO!p:p""), 0))"),"#N/A")</f>
        <v>#N/A</v>
      </c>
      <c r="C498" s="14"/>
      <c r="D498" s="14"/>
      <c r="E498" s="14"/>
      <c r="F498" s="14"/>
      <c r="G498" s="9"/>
      <c r="H498" s="14"/>
      <c r="I498" s="14"/>
      <c r="J498" s="14"/>
      <c r="K498" s="14"/>
      <c r="L498" s="14"/>
      <c r="M498" s="14"/>
      <c r="N498" s="14"/>
      <c r="O498" s="60"/>
      <c r="P498" s="14"/>
      <c r="Q498" s="14"/>
      <c r="R498" s="52"/>
      <c r="S498" s="14"/>
      <c r="T498" s="14"/>
      <c r="U498" s="14"/>
      <c r="V498" s="14"/>
      <c r="W498" s="8"/>
      <c r="X498" s="14"/>
      <c r="Y498" s="14"/>
      <c r="Z498" s="15"/>
      <c r="AA498" s="15"/>
      <c r="AB498" s="15"/>
      <c r="AC498" s="15"/>
      <c r="AD498" s="15"/>
      <c r="AE498" s="15"/>
      <c r="AF498" s="15"/>
      <c r="AG498" s="15"/>
      <c r="AH498" s="15"/>
      <c r="AI498" s="15"/>
    </row>
    <row r="499" ht="15.75" customHeight="1">
      <c r="A499" s="16"/>
      <c r="B499" s="17" t="str">
        <f>IFERROR(__xludf.DUMMYFUNCTION("INDEX(IMPORTRANGE(""https://docs.google.com/spreadsheets/d/1S7deMHO2waboU9dywpXeKIDfCmjiuAc0HUIsFpaXQq8/edit?gid=0#gid=0"", ""Tracking Shipments - PPTCO!o:o""), MATCH(D499, IMPORTRANGE(""https://docs.google.com/spreadsheets/d/1S7deMHO2waboU9dywpXeKIDfCmji"&amp;"uAc0HUIsFpaXQq8/edit?gid=0#gid=0"", ""Tracking Shipments - PPTCO!p:p""), 0))"),"#N/A")</f>
        <v>#N/A</v>
      </c>
      <c r="C499" s="18"/>
      <c r="D499" s="18"/>
      <c r="E499" s="18"/>
      <c r="F499" s="18"/>
      <c r="G499" s="17"/>
      <c r="H499" s="18"/>
      <c r="I499" s="18"/>
      <c r="J499" s="18"/>
      <c r="K499" s="18"/>
      <c r="L499" s="18"/>
      <c r="M499" s="18"/>
      <c r="N499" s="18"/>
      <c r="O499" s="59"/>
      <c r="P499" s="18"/>
      <c r="Q499" s="18"/>
      <c r="R499" s="47"/>
      <c r="S499" s="18"/>
      <c r="T499" s="18"/>
      <c r="U499" s="18"/>
      <c r="V499" s="18"/>
      <c r="W499" s="18"/>
      <c r="X499" s="18"/>
      <c r="Y499" s="18"/>
      <c r="Z499" s="24"/>
      <c r="AA499" s="24"/>
      <c r="AB499" s="24"/>
      <c r="AC499" s="24"/>
      <c r="AD499" s="24"/>
      <c r="AE499" s="24"/>
      <c r="AF499" s="24"/>
      <c r="AG499" s="24"/>
      <c r="AH499" s="24"/>
      <c r="AI499" s="24"/>
    </row>
    <row r="500" ht="15.75" customHeight="1">
      <c r="A500" s="8"/>
      <c r="B500" s="9" t="str">
        <f>IFERROR(__xludf.DUMMYFUNCTION("INDEX(IMPORTRANGE(""https://docs.google.com/spreadsheets/d/1S7deMHO2waboU9dywpXeKIDfCmjiuAc0HUIsFpaXQq8/edit?gid=0#gid=0"", ""Tracking Shipments - PPTCO!o:o""), MATCH(D500, IMPORTRANGE(""https://docs.google.com/spreadsheets/d/1S7deMHO2waboU9dywpXeKIDfCmji"&amp;"uAc0HUIsFpaXQq8/edit?gid=0#gid=0"", ""Tracking Shipments - PPTCO!p:p""), 0))"),"#N/A")</f>
        <v>#N/A</v>
      </c>
      <c r="C500" s="14"/>
      <c r="D500" s="14"/>
      <c r="E500" s="14"/>
      <c r="F500" s="14"/>
      <c r="G500" s="9"/>
      <c r="H500" s="14"/>
      <c r="I500" s="14"/>
      <c r="J500" s="14"/>
      <c r="K500" s="14"/>
      <c r="L500" s="14"/>
      <c r="M500" s="14"/>
      <c r="N500" s="14"/>
      <c r="O500" s="60"/>
      <c r="P500" s="14"/>
      <c r="Q500" s="14"/>
      <c r="R500" s="52"/>
      <c r="S500" s="14"/>
      <c r="T500" s="14"/>
      <c r="U500" s="14"/>
      <c r="V500" s="14"/>
      <c r="W500" s="14"/>
      <c r="X500" s="14"/>
      <c r="Y500" s="14"/>
      <c r="Z500" s="15"/>
      <c r="AA500" s="15"/>
      <c r="AB500" s="15"/>
      <c r="AC500" s="15"/>
      <c r="AD500" s="15"/>
      <c r="AE500" s="15"/>
      <c r="AF500" s="15"/>
      <c r="AG500" s="15"/>
      <c r="AH500" s="15"/>
      <c r="AI500" s="15"/>
    </row>
    <row r="501" ht="15.75" customHeight="1">
      <c r="A501" s="16"/>
      <c r="B501" s="17" t="str">
        <f>IFERROR(__xludf.DUMMYFUNCTION("INDEX(IMPORTRANGE(""https://docs.google.com/spreadsheets/d/1S7deMHO2waboU9dywpXeKIDfCmjiuAc0HUIsFpaXQq8/edit?gid=0#gid=0"", ""Tracking Shipments - PPTCO!o:o""), MATCH(D501, IMPORTRANGE(""https://docs.google.com/spreadsheets/d/1S7deMHO2waboU9dywpXeKIDfCmji"&amp;"uAc0HUIsFpaXQq8/edit?gid=0#gid=0"", ""Tracking Shipments - PPTCO!p:p""), 0))"),"#N/A")</f>
        <v>#N/A</v>
      </c>
      <c r="C501" s="18"/>
      <c r="D501" s="18"/>
      <c r="E501" s="18"/>
      <c r="F501" s="18"/>
      <c r="G501" s="17"/>
      <c r="H501" s="18"/>
      <c r="I501" s="18"/>
      <c r="J501" s="18"/>
      <c r="K501" s="18"/>
      <c r="L501" s="18"/>
      <c r="M501" s="18"/>
      <c r="N501" s="18"/>
      <c r="O501" s="59"/>
      <c r="P501" s="18"/>
      <c r="Q501" s="18"/>
      <c r="R501" s="47"/>
      <c r="S501" s="18"/>
      <c r="T501" s="18"/>
      <c r="U501" s="18"/>
      <c r="V501" s="18"/>
      <c r="W501" s="16"/>
      <c r="X501" s="18"/>
      <c r="Y501" s="18"/>
      <c r="Z501" s="24"/>
      <c r="AA501" s="24"/>
      <c r="AB501" s="24"/>
      <c r="AC501" s="24"/>
      <c r="AD501" s="24"/>
      <c r="AE501" s="24"/>
      <c r="AF501" s="24"/>
      <c r="AG501" s="24"/>
      <c r="AH501" s="24"/>
      <c r="AI501" s="24"/>
    </row>
    <row r="502" ht="15.75" customHeight="1">
      <c r="A502" s="8"/>
      <c r="B502" s="9" t="str">
        <f>IFERROR(__xludf.DUMMYFUNCTION("INDEX(IMPORTRANGE(""https://docs.google.com/spreadsheets/d/1S7deMHO2waboU9dywpXeKIDfCmjiuAc0HUIsFpaXQq8/edit?gid=0#gid=0"", ""Tracking Shipments - PPTCO!o:o""), MATCH(D502, IMPORTRANGE(""https://docs.google.com/spreadsheets/d/1S7deMHO2waboU9dywpXeKIDfCmji"&amp;"uAc0HUIsFpaXQq8/edit?gid=0#gid=0"", ""Tracking Shipments - PPTCO!p:p""), 0))"),"#N/A")</f>
        <v>#N/A</v>
      </c>
      <c r="C502" s="14"/>
      <c r="D502" s="14"/>
      <c r="E502" s="14"/>
      <c r="F502" s="14"/>
      <c r="G502" s="9"/>
      <c r="H502" s="14"/>
      <c r="I502" s="14"/>
      <c r="J502" s="14"/>
      <c r="K502" s="14"/>
      <c r="L502" s="14"/>
      <c r="M502" s="14"/>
      <c r="N502" s="14"/>
      <c r="O502" s="60"/>
      <c r="P502" s="14"/>
      <c r="Q502" s="14"/>
      <c r="R502" s="52"/>
      <c r="S502" s="14"/>
      <c r="T502" s="14"/>
      <c r="U502" s="14"/>
      <c r="V502" s="14"/>
      <c r="W502" s="14"/>
      <c r="X502" s="14"/>
      <c r="Y502" s="14"/>
      <c r="Z502" s="15"/>
      <c r="AA502" s="15"/>
      <c r="AB502" s="15"/>
      <c r="AC502" s="15"/>
      <c r="AD502" s="15"/>
      <c r="AE502" s="15"/>
      <c r="AF502" s="15"/>
      <c r="AG502" s="15"/>
      <c r="AH502" s="15"/>
      <c r="AI502" s="15"/>
    </row>
    <row r="503" ht="15.75" customHeight="1">
      <c r="A503" s="16"/>
      <c r="B503" s="17" t="str">
        <f>IFERROR(__xludf.DUMMYFUNCTION("INDEX(IMPORTRANGE(""https://docs.google.com/spreadsheets/d/1S7deMHO2waboU9dywpXeKIDfCmjiuAc0HUIsFpaXQq8/edit?gid=0#gid=0"", ""Tracking Shipments - PPTCO!o:o""), MATCH(D503, IMPORTRANGE(""https://docs.google.com/spreadsheets/d/1S7deMHO2waboU9dywpXeKIDfCmji"&amp;"uAc0HUIsFpaXQq8/edit?gid=0#gid=0"", ""Tracking Shipments - PPTCO!p:p""), 0))"),"#N/A")</f>
        <v>#N/A</v>
      </c>
      <c r="C503" s="18"/>
      <c r="D503" s="18"/>
      <c r="E503" s="18"/>
      <c r="F503" s="18"/>
      <c r="G503" s="17"/>
      <c r="H503" s="18"/>
      <c r="I503" s="18"/>
      <c r="J503" s="18"/>
      <c r="K503" s="18"/>
      <c r="L503" s="18"/>
      <c r="M503" s="18"/>
      <c r="N503" s="18"/>
      <c r="O503" s="59"/>
      <c r="P503" s="18"/>
      <c r="Q503" s="18"/>
      <c r="R503" s="47"/>
      <c r="S503" s="18"/>
      <c r="T503" s="18"/>
      <c r="U503" s="18"/>
      <c r="V503" s="18"/>
      <c r="W503" s="18"/>
      <c r="X503" s="18"/>
      <c r="Y503" s="18"/>
      <c r="Z503" s="24"/>
      <c r="AA503" s="24"/>
      <c r="AB503" s="24"/>
      <c r="AC503" s="24"/>
      <c r="AD503" s="24"/>
      <c r="AE503" s="24"/>
      <c r="AF503" s="24"/>
      <c r="AG503" s="24"/>
      <c r="AH503" s="24"/>
      <c r="AI503" s="24"/>
    </row>
    <row r="504" ht="15.75" customHeight="1">
      <c r="A504" s="8"/>
      <c r="B504" s="9" t="str">
        <f>IFERROR(__xludf.DUMMYFUNCTION("INDEX(IMPORTRANGE(""https://docs.google.com/spreadsheets/d/1S7deMHO2waboU9dywpXeKIDfCmjiuAc0HUIsFpaXQq8/edit?gid=0#gid=0"", ""Tracking Shipments - PPTCO!o:o""), MATCH(D504, IMPORTRANGE(""https://docs.google.com/spreadsheets/d/1S7deMHO2waboU9dywpXeKIDfCmji"&amp;"uAc0HUIsFpaXQq8/edit?gid=0#gid=0"", ""Tracking Shipments - PPTCO!p:p""), 0))"),"#N/A")</f>
        <v>#N/A</v>
      </c>
      <c r="C504" s="14"/>
      <c r="D504" s="14"/>
      <c r="E504" s="14"/>
      <c r="F504" s="14"/>
      <c r="G504" s="9"/>
      <c r="H504" s="14"/>
      <c r="I504" s="14"/>
      <c r="J504" s="14"/>
      <c r="K504" s="14"/>
      <c r="L504" s="14"/>
      <c r="M504" s="14"/>
      <c r="N504" s="14"/>
      <c r="O504" s="60"/>
      <c r="P504" s="14"/>
      <c r="Q504" s="14"/>
      <c r="R504" s="52"/>
      <c r="S504" s="14"/>
      <c r="T504" s="14"/>
      <c r="U504" s="14"/>
      <c r="V504" s="14"/>
      <c r="W504" s="8"/>
      <c r="X504" s="14"/>
      <c r="Y504" s="14"/>
      <c r="Z504" s="15"/>
      <c r="AA504" s="15"/>
      <c r="AB504" s="15"/>
      <c r="AC504" s="15"/>
      <c r="AD504" s="15"/>
      <c r="AE504" s="15"/>
      <c r="AF504" s="15"/>
      <c r="AG504" s="15"/>
      <c r="AH504" s="15"/>
      <c r="AI504" s="15"/>
    </row>
    <row r="505" ht="15.75" customHeight="1">
      <c r="A505" s="16"/>
      <c r="B505" s="17" t="str">
        <f>IFERROR(__xludf.DUMMYFUNCTION("INDEX(IMPORTRANGE(""https://docs.google.com/spreadsheets/d/1S7deMHO2waboU9dywpXeKIDfCmjiuAc0HUIsFpaXQq8/edit?gid=0#gid=0"", ""Tracking Shipments - PPTCO!o:o""), MATCH(D505, IMPORTRANGE(""https://docs.google.com/spreadsheets/d/1S7deMHO2waboU9dywpXeKIDfCmji"&amp;"uAc0HUIsFpaXQq8/edit?gid=0#gid=0"", ""Tracking Shipments - PPTCO!p:p""), 0))"),"#N/A")</f>
        <v>#N/A</v>
      </c>
      <c r="C505" s="18"/>
      <c r="D505" s="18"/>
      <c r="E505" s="18"/>
      <c r="F505" s="18"/>
      <c r="G505" s="17"/>
      <c r="H505" s="18"/>
      <c r="I505" s="18"/>
      <c r="J505" s="18"/>
      <c r="K505" s="18"/>
      <c r="L505" s="18"/>
      <c r="M505" s="18"/>
      <c r="N505" s="18"/>
      <c r="O505" s="59"/>
      <c r="P505" s="18"/>
      <c r="Q505" s="18"/>
      <c r="R505" s="47"/>
      <c r="S505" s="18"/>
      <c r="T505" s="18"/>
      <c r="U505" s="18"/>
      <c r="V505" s="18"/>
      <c r="W505" s="18"/>
      <c r="X505" s="18"/>
      <c r="Y505" s="18"/>
      <c r="Z505" s="24"/>
      <c r="AA505" s="24"/>
      <c r="AB505" s="24"/>
      <c r="AC505" s="24"/>
      <c r="AD505" s="24"/>
      <c r="AE505" s="24"/>
      <c r="AF505" s="24"/>
      <c r="AG505" s="24"/>
      <c r="AH505" s="24"/>
      <c r="AI505" s="24"/>
    </row>
    <row r="506" ht="15.75" customHeight="1">
      <c r="A506" s="8"/>
      <c r="B506" s="9" t="str">
        <f>IFERROR(__xludf.DUMMYFUNCTION("INDEX(IMPORTRANGE(""https://docs.google.com/spreadsheets/d/1S7deMHO2waboU9dywpXeKIDfCmjiuAc0HUIsFpaXQq8/edit?gid=0#gid=0"", ""Tracking Shipments - PPTCO!o:o""), MATCH(D506, IMPORTRANGE(""https://docs.google.com/spreadsheets/d/1S7deMHO2waboU9dywpXeKIDfCmji"&amp;"uAc0HUIsFpaXQq8/edit?gid=0#gid=0"", ""Tracking Shipments - PPTCO!p:p""), 0))"),"#N/A")</f>
        <v>#N/A</v>
      </c>
      <c r="C506" s="14"/>
      <c r="D506" s="14"/>
      <c r="E506" s="14"/>
      <c r="F506" s="14"/>
      <c r="G506" s="9"/>
      <c r="H506" s="14"/>
      <c r="I506" s="14"/>
      <c r="J506" s="14"/>
      <c r="K506" s="14"/>
      <c r="L506" s="14"/>
      <c r="M506" s="14"/>
      <c r="N506" s="14"/>
      <c r="O506" s="60"/>
      <c r="P506" s="14"/>
      <c r="Q506" s="14"/>
      <c r="R506" s="52"/>
      <c r="S506" s="14"/>
      <c r="T506" s="14"/>
      <c r="U506" s="14"/>
      <c r="V506" s="14"/>
      <c r="W506" s="14"/>
      <c r="X506" s="14"/>
      <c r="Y506" s="14"/>
      <c r="Z506" s="15"/>
      <c r="AA506" s="15"/>
      <c r="AB506" s="15"/>
      <c r="AC506" s="15"/>
      <c r="AD506" s="15"/>
      <c r="AE506" s="15"/>
      <c r="AF506" s="15"/>
      <c r="AG506" s="15"/>
      <c r="AH506" s="15"/>
      <c r="AI506" s="15"/>
    </row>
    <row r="507" ht="15.75" customHeight="1">
      <c r="A507" s="16"/>
      <c r="B507" s="17" t="str">
        <f>IFERROR(__xludf.DUMMYFUNCTION("INDEX(IMPORTRANGE(""https://docs.google.com/spreadsheets/d/1S7deMHO2waboU9dywpXeKIDfCmjiuAc0HUIsFpaXQq8/edit?gid=0#gid=0"", ""Tracking Shipments - PPTCO!o:o""), MATCH(D507, IMPORTRANGE(""https://docs.google.com/spreadsheets/d/1S7deMHO2waboU9dywpXeKIDfCmji"&amp;"uAc0HUIsFpaXQq8/edit?gid=0#gid=0"", ""Tracking Shipments - PPTCO!p:p""), 0))"),"#N/A")</f>
        <v>#N/A</v>
      </c>
      <c r="C507" s="18"/>
      <c r="D507" s="18"/>
      <c r="E507" s="18"/>
      <c r="F507" s="18"/>
      <c r="G507" s="17"/>
      <c r="H507" s="18"/>
      <c r="I507" s="18"/>
      <c r="J507" s="18"/>
      <c r="K507" s="18"/>
      <c r="L507" s="18"/>
      <c r="M507" s="18"/>
      <c r="N507" s="18"/>
      <c r="O507" s="59"/>
      <c r="P507" s="18"/>
      <c r="Q507" s="18"/>
      <c r="R507" s="47"/>
      <c r="S507" s="18"/>
      <c r="T507" s="18"/>
      <c r="U507" s="18"/>
      <c r="V507" s="18"/>
      <c r="W507" s="16"/>
      <c r="X507" s="18"/>
      <c r="Y507" s="18"/>
      <c r="Z507" s="24"/>
      <c r="AA507" s="24"/>
      <c r="AB507" s="24"/>
      <c r="AC507" s="24"/>
      <c r="AD507" s="24"/>
      <c r="AE507" s="24"/>
      <c r="AF507" s="24"/>
      <c r="AG507" s="24"/>
      <c r="AH507" s="24"/>
      <c r="AI507" s="24"/>
    </row>
    <row r="508" ht="15.75" customHeight="1">
      <c r="A508" s="8"/>
      <c r="B508" s="9" t="str">
        <f>IFERROR(__xludf.DUMMYFUNCTION("INDEX(IMPORTRANGE(""https://docs.google.com/spreadsheets/d/1S7deMHO2waboU9dywpXeKIDfCmjiuAc0HUIsFpaXQq8/edit?gid=0#gid=0"", ""Tracking Shipments - PPTCO!o:o""), MATCH(D508, IMPORTRANGE(""https://docs.google.com/spreadsheets/d/1S7deMHO2waboU9dywpXeKIDfCmji"&amp;"uAc0HUIsFpaXQq8/edit?gid=0#gid=0"", ""Tracking Shipments - PPTCO!p:p""), 0))"),"#N/A")</f>
        <v>#N/A</v>
      </c>
      <c r="C508" s="14"/>
      <c r="D508" s="14"/>
      <c r="E508" s="14"/>
      <c r="F508" s="14"/>
      <c r="G508" s="9"/>
      <c r="H508" s="14"/>
      <c r="I508" s="14"/>
      <c r="J508" s="14"/>
      <c r="K508" s="14"/>
      <c r="L508" s="14"/>
      <c r="M508" s="14"/>
      <c r="N508" s="14"/>
      <c r="O508" s="60"/>
      <c r="P508" s="14"/>
      <c r="Q508" s="14"/>
      <c r="R508" s="52"/>
      <c r="S508" s="14"/>
      <c r="T508" s="14"/>
      <c r="U508" s="14"/>
      <c r="V508" s="14"/>
      <c r="W508" s="14"/>
      <c r="X508" s="14"/>
      <c r="Y508" s="14"/>
      <c r="Z508" s="15"/>
      <c r="AA508" s="15"/>
      <c r="AB508" s="15"/>
      <c r="AC508" s="15"/>
      <c r="AD508" s="15"/>
      <c r="AE508" s="15"/>
      <c r="AF508" s="15"/>
      <c r="AG508" s="15"/>
      <c r="AH508" s="15"/>
      <c r="AI508" s="15"/>
    </row>
    <row r="509" ht="15.75" customHeight="1">
      <c r="A509" s="16"/>
      <c r="B509" s="17" t="str">
        <f>IFERROR(__xludf.DUMMYFUNCTION("INDEX(IMPORTRANGE(""https://docs.google.com/spreadsheets/d/1S7deMHO2waboU9dywpXeKIDfCmjiuAc0HUIsFpaXQq8/edit?gid=0#gid=0"", ""Tracking Shipments - PPTCO!o:o""), MATCH(D509, IMPORTRANGE(""https://docs.google.com/spreadsheets/d/1S7deMHO2waboU9dywpXeKIDfCmji"&amp;"uAc0HUIsFpaXQq8/edit?gid=0#gid=0"", ""Tracking Shipments - PPTCO!p:p""), 0))"),"#N/A")</f>
        <v>#N/A</v>
      </c>
      <c r="C509" s="18"/>
      <c r="D509" s="18"/>
      <c r="E509" s="18"/>
      <c r="F509" s="18"/>
      <c r="G509" s="17"/>
      <c r="H509" s="18"/>
      <c r="I509" s="18"/>
      <c r="J509" s="18"/>
      <c r="K509" s="18"/>
      <c r="L509" s="18"/>
      <c r="M509" s="18"/>
      <c r="N509" s="18"/>
      <c r="O509" s="59"/>
      <c r="P509" s="18"/>
      <c r="Q509" s="18"/>
      <c r="R509" s="47"/>
      <c r="S509" s="18"/>
      <c r="T509" s="18"/>
      <c r="U509" s="18"/>
      <c r="V509" s="18"/>
      <c r="W509" s="18"/>
      <c r="X509" s="18"/>
      <c r="Y509" s="18"/>
      <c r="Z509" s="24"/>
      <c r="AA509" s="24"/>
      <c r="AB509" s="24"/>
      <c r="AC509" s="24"/>
      <c r="AD509" s="24"/>
      <c r="AE509" s="24"/>
      <c r="AF509" s="24"/>
      <c r="AG509" s="24"/>
      <c r="AH509" s="24"/>
      <c r="AI509" s="24"/>
    </row>
    <row r="510" ht="15.75" customHeight="1">
      <c r="A510" s="8"/>
      <c r="B510" s="9" t="str">
        <f>IFERROR(__xludf.DUMMYFUNCTION("INDEX(IMPORTRANGE(""https://docs.google.com/spreadsheets/d/1S7deMHO2waboU9dywpXeKIDfCmjiuAc0HUIsFpaXQq8/edit?gid=0#gid=0"", ""Tracking Shipments - PPTCO!o:o""), MATCH(D510, IMPORTRANGE(""https://docs.google.com/spreadsheets/d/1S7deMHO2waboU9dywpXeKIDfCmji"&amp;"uAc0HUIsFpaXQq8/edit?gid=0#gid=0"", ""Tracking Shipments - PPTCO!p:p""), 0))"),"#N/A")</f>
        <v>#N/A</v>
      </c>
      <c r="C510" s="14"/>
      <c r="D510" s="14"/>
      <c r="E510" s="14"/>
      <c r="F510" s="14"/>
      <c r="G510" s="9"/>
      <c r="H510" s="14"/>
      <c r="I510" s="14"/>
      <c r="J510" s="14"/>
      <c r="K510" s="14"/>
      <c r="L510" s="14"/>
      <c r="M510" s="14"/>
      <c r="N510" s="14"/>
      <c r="O510" s="60"/>
      <c r="P510" s="14"/>
      <c r="Q510" s="14"/>
      <c r="R510" s="52"/>
      <c r="S510" s="14"/>
      <c r="T510" s="14"/>
      <c r="U510" s="14"/>
      <c r="V510" s="14"/>
      <c r="W510" s="8"/>
      <c r="X510" s="14"/>
      <c r="Y510" s="14"/>
      <c r="Z510" s="15"/>
      <c r="AA510" s="15"/>
      <c r="AB510" s="15"/>
      <c r="AC510" s="15"/>
      <c r="AD510" s="15"/>
      <c r="AE510" s="15"/>
      <c r="AF510" s="15"/>
      <c r="AG510" s="15"/>
      <c r="AH510" s="15"/>
      <c r="AI510" s="15"/>
    </row>
    <row r="511" ht="15.75" customHeight="1">
      <c r="A511" s="16"/>
      <c r="B511" s="17" t="str">
        <f>IFERROR(__xludf.DUMMYFUNCTION("INDEX(IMPORTRANGE(""https://docs.google.com/spreadsheets/d/1S7deMHO2waboU9dywpXeKIDfCmjiuAc0HUIsFpaXQq8/edit?gid=0#gid=0"", ""Tracking Shipments - PPTCO!o:o""), MATCH(D511, IMPORTRANGE(""https://docs.google.com/spreadsheets/d/1S7deMHO2waboU9dywpXeKIDfCmji"&amp;"uAc0HUIsFpaXQq8/edit?gid=0#gid=0"", ""Tracking Shipments - PPTCO!p:p""), 0))"),"#N/A")</f>
        <v>#N/A</v>
      </c>
      <c r="C511" s="18"/>
      <c r="D511" s="18"/>
      <c r="E511" s="18"/>
      <c r="F511" s="18"/>
      <c r="G511" s="17"/>
      <c r="H511" s="18"/>
      <c r="I511" s="18"/>
      <c r="J511" s="18"/>
      <c r="K511" s="18"/>
      <c r="L511" s="18"/>
      <c r="M511" s="18"/>
      <c r="N511" s="18"/>
      <c r="O511" s="59"/>
      <c r="P511" s="18"/>
      <c r="Q511" s="18"/>
      <c r="R511" s="47"/>
      <c r="S511" s="18"/>
      <c r="T511" s="18"/>
      <c r="U511" s="18"/>
      <c r="V511" s="18"/>
      <c r="W511" s="18"/>
      <c r="X511" s="18"/>
      <c r="Y511" s="18"/>
      <c r="Z511" s="24"/>
      <c r="AA511" s="24"/>
      <c r="AB511" s="24"/>
      <c r="AC511" s="24"/>
      <c r="AD511" s="24"/>
      <c r="AE511" s="24"/>
      <c r="AF511" s="24"/>
      <c r="AG511" s="24"/>
      <c r="AH511" s="24"/>
      <c r="AI511" s="24"/>
    </row>
    <row r="512" ht="15.75" customHeight="1">
      <c r="A512" s="8"/>
      <c r="B512" s="9" t="str">
        <f>IFERROR(__xludf.DUMMYFUNCTION("INDEX(IMPORTRANGE(""https://docs.google.com/spreadsheets/d/1S7deMHO2waboU9dywpXeKIDfCmjiuAc0HUIsFpaXQq8/edit?gid=0#gid=0"", ""Tracking Shipments - PPTCO!o:o""), MATCH(D512, IMPORTRANGE(""https://docs.google.com/spreadsheets/d/1S7deMHO2waboU9dywpXeKIDfCmji"&amp;"uAc0HUIsFpaXQq8/edit?gid=0#gid=0"", ""Tracking Shipments - PPTCO!p:p""), 0))"),"#N/A")</f>
        <v>#N/A</v>
      </c>
      <c r="C512" s="14"/>
      <c r="D512" s="14"/>
      <c r="E512" s="14"/>
      <c r="F512" s="14"/>
      <c r="G512" s="9"/>
      <c r="H512" s="14"/>
      <c r="I512" s="14"/>
      <c r="J512" s="14"/>
      <c r="K512" s="14"/>
      <c r="L512" s="14"/>
      <c r="M512" s="14"/>
      <c r="N512" s="14"/>
      <c r="O512" s="60"/>
      <c r="P512" s="14"/>
      <c r="Q512" s="14"/>
      <c r="R512" s="52"/>
      <c r="S512" s="14"/>
      <c r="T512" s="14"/>
      <c r="U512" s="14"/>
      <c r="V512" s="14"/>
      <c r="W512" s="14"/>
      <c r="X512" s="14"/>
      <c r="Y512" s="14"/>
      <c r="Z512" s="15"/>
      <c r="AA512" s="15"/>
      <c r="AB512" s="15"/>
      <c r="AC512" s="15"/>
      <c r="AD512" s="15"/>
      <c r="AE512" s="15"/>
      <c r="AF512" s="15"/>
      <c r="AG512" s="15"/>
      <c r="AH512" s="15"/>
      <c r="AI512" s="15"/>
    </row>
    <row r="513" ht="15.75" customHeight="1">
      <c r="A513" s="16"/>
      <c r="B513" s="17" t="str">
        <f>IFERROR(__xludf.DUMMYFUNCTION("INDEX(IMPORTRANGE(""https://docs.google.com/spreadsheets/d/1S7deMHO2waboU9dywpXeKIDfCmjiuAc0HUIsFpaXQq8/edit?gid=0#gid=0"", ""Tracking Shipments - PPTCO!o:o""), MATCH(D513, IMPORTRANGE(""https://docs.google.com/spreadsheets/d/1S7deMHO2waboU9dywpXeKIDfCmji"&amp;"uAc0HUIsFpaXQq8/edit?gid=0#gid=0"", ""Tracking Shipments - PPTCO!p:p""), 0))"),"#N/A")</f>
        <v>#N/A</v>
      </c>
      <c r="C513" s="18"/>
      <c r="D513" s="18"/>
      <c r="E513" s="18"/>
      <c r="F513" s="18"/>
      <c r="G513" s="17"/>
      <c r="H513" s="18"/>
      <c r="I513" s="18"/>
      <c r="J513" s="18"/>
      <c r="K513" s="18"/>
      <c r="L513" s="18"/>
      <c r="M513" s="18"/>
      <c r="N513" s="18"/>
      <c r="O513" s="59"/>
      <c r="P513" s="18"/>
      <c r="Q513" s="18"/>
      <c r="R513" s="47"/>
      <c r="S513" s="18"/>
      <c r="T513" s="18"/>
      <c r="U513" s="18"/>
      <c r="V513" s="18"/>
      <c r="W513" s="16"/>
      <c r="X513" s="18"/>
      <c r="Y513" s="18"/>
      <c r="Z513" s="24"/>
      <c r="AA513" s="24"/>
      <c r="AB513" s="24"/>
      <c r="AC513" s="24"/>
      <c r="AD513" s="24"/>
      <c r="AE513" s="24"/>
      <c r="AF513" s="24"/>
      <c r="AG513" s="24"/>
      <c r="AH513" s="24"/>
      <c r="AI513" s="24"/>
    </row>
    <row r="514" ht="15.75" customHeight="1">
      <c r="A514" s="8"/>
      <c r="B514" s="9" t="str">
        <f>IFERROR(__xludf.DUMMYFUNCTION("INDEX(IMPORTRANGE(""https://docs.google.com/spreadsheets/d/1S7deMHO2waboU9dywpXeKIDfCmjiuAc0HUIsFpaXQq8/edit?gid=0#gid=0"", ""Tracking Shipments - PPTCO!o:o""), MATCH(D514, IMPORTRANGE(""https://docs.google.com/spreadsheets/d/1S7deMHO2waboU9dywpXeKIDfCmji"&amp;"uAc0HUIsFpaXQq8/edit?gid=0#gid=0"", ""Tracking Shipments - PPTCO!p:p""), 0))"),"#N/A")</f>
        <v>#N/A</v>
      </c>
      <c r="C514" s="14"/>
      <c r="D514" s="14"/>
      <c r="E514" s="14"/>
      <c r="F514" s="14"/>
      <c r="G514" s="9"/>
      <c r="H514" s="14"/>
      <c r="I514" s="14"/>
      <c r="J514" s="14"/>
      <c r="K514" s="14"/>
      <c r="L514" s="14"/>
      <c r="M514" s="14"/>
      <c r="N514" s="14"/>
      <c r="O514" s="60"/>
      <c r="P514" s="14"/>
      <c r="Q514" s="14"/>
      <c r="R514" s="52"/>
      <c r="S514" s="14"/>
      <c r="T514" s="14"/>
      <c r="U514" s="14"/>
      <c r="V514" s="14"/>
      <c r="W514" s="14"/>
      <c r="X514" s="14"/>
      <c r="Y514" s="14"/>
      <c r="Z514" s="15"/>
      <c r="AA514" s="15"/>
      <c r="AB514" s="15"/>
      <c r="AC514" s="15"/>
      <c r="AD514" s="15"/>
      <c r="AE514" s="15"/>
      <c r="AF514" s="15"/>
      <c r="AG514" s="15"/>
      <c r="AH514" s="15"/>
      <c r="AI514" s="15"/>
    </row>
    <row r="515" ht="15.75" customHeight="1">
      <c r="A515" s="16"/>
      <c r="B515" s="17" t="str">
        <f>IFERROR(__xludf.DUMMYFUNCTION("INDEX(IMPORTRANGE(""https://docs.google.com/spreadsheets/d/1S7deMHO2waboU9dywpXeKIDfCmjiuAc0HUIsFpaXQq8/edit?gid=0#gid=0"", ""Tracking Shipments - PPTCO!o:o""), MATCH(D515, IMPORTRANGE(""https://docs.google.com/spreadsheets/d/1S7deMHO2waboU9dywpXeKIDfCmji"&amp;"uAc0HUIsFpaXQq8/edit?gid=0#gid=0"", ""Tracking Shipments - PPTCO!p:p""), 0))"),"#N/A")</f>
        <v>#N/A</v>
      </c>
      <c r="C515" s="18"/>
      <c r="D515" s="18"/>
      <c r="E515" s="18"/>
      <c r="F515" s="18"/>
      <c r="G515" s="17"/>
      <c r="H515" s="18"/>
      <c r="I515" s="18"/>
      <c r="J515" s="18"/>
      <c r="K515" s="18"/>
      <c r="L515" s="18"/>
      <c r="M515" s="18"/>
      <c r="N515" s="18"/>
      <c r="O515" s="59"/>
      <c r="P515" s="18"/>
      <c r="Q515" s="18"/>
      <c r="R515" s="47"/>
      <c r="S515" s="18"/>
      <c r="T515" s="18"/>
      <c r="U515" s="18"/>
      <c r="V515" s="18"/>
      <c r="W515" s="18"/>
      <c r="X515" s="18"/>
      <c r="Y515" s="18"/>
      <c r="Z515" s="24"/>
      <c r="AA515" s="24"/>
      <c r="AB515" s="24"/>
      <c r="AC515" s="24"/>
      <c r="AD515" s="24"/>
      <c r="AE515" s="24"/>
      <c r="AF515" s="24"/>
      <c r="AG515" s="24"/>
      <c r="AH515" s="24"/>
      <c r="AI515" s="24"/>
    </row>
    <row r="516" ht="15.75" customHeight="1">
      <c r="A516" s="8"/>
      <c r="B516" s="9" t="str">
        <f>IFERROR(__xludf.DUMMYFUNCTION("INDEX(IMPORTRANGE(""https://docs.google.com/spreadsheets/d/1S7deMHO2waboU9dywpXeKIDfCmjiuAc0HUIsFpaXQq8/edit?gid=0#gid=0"", ""Tracking Shipments - PPTCO!o:o""), MATCH(D516, IMPORTRANGE(""https://docs.google.com/spreadsheets/d/1S7deMHO2waboU9dywpXeKIDfCmji"&amp;"uAc0HUIsFpaXQq8/edit?gid=0#gid=0"", ""Tracking Shipments - PPTCO!p:p""), 0))"),"#N/A")</f>
        <v>#N/A</v>
      </c>
      <c r="C516" s="14"/>
      <c r="D516" s="14"/>
      <c r="E516" s="14"/>
      <c r="F516" s="14"/>
      <c r="G516" s="9"/>
      <c r="H516" s="14"/>
      <c r="I516" s="14"/>
      <c r="J516" s="14"/>
      <c r="K516" s="14"/>
      <c r="L516" s="14"/>
      <c r="M516" s="14"/>
      <c r="N516" s="14"/>
      <c r="O516" s="60"/>
      <c r="P516" s="14"/>
      <c r="Q516" s="14"/>
      <c r="R516" s="52"/>
      <c r="S516" s="14"/>
      <c r="T516" s="14"/>
      <c r="U516" s="14"/>
      <c r="V516" s="14"/>
      <c r="W516" s="8"/>
      <c r="X516" s="14"/>
      <c r="Y516" s="14"/>
      <c r="Z516" s="15"/>
      <c r="AA516" s="15"/>
      <c r="AB516" s="15"/>
      <c r="AC516" s="15"/>
      <c r="AD516" s="15"/>
      <c r="AE516" s="15"/>
      <c r="AF516" s="15"/>
      <c r="AG516" s="15"/>
      <c r="AH516" s="15"/>
      <c r="AI516" s="15"/>
    </row>
    <row r="517" ht="15.75" customHeight="1">
      <c r="A517" s="16"/>
      <c r="B517" s="17" t="str">
        <f>IFERROR(__xludf.DUMMYFUNCTION("INDEX(IMPORTRANGE(""https://docs.google.com/spreadsheets/d/1S7deMHO2waboU9dywpXeKIDfCmjiuAc0HUIsFpaXQq8/edit?gid=0#gid=0"", ""Tracking Shipments - PPTCO!o:o""), MATCH(D517, IMPORTRANGE(""https://docs.google.com/spreadsheets/d/1S7deMHO2waboU9dywpXeKIDfCmji"&amp;"uAc0HUIsFpaXQq8/edit?gid=0#gid=0"", ""Tracking Shipments - PPTCO!p:p""), 0))"),"#N/A")</f>
        <v>#N/A</v>
      </c>
      <c r="C517" s="18"/>
      <c r="D517" s="18"/>
      <c r="E517" s="18"/>
      <c r="F517" s="18"/>
      <c r="G517" s="17"/>
      <c r="H517" s="18"/>
      <c r="I517" s="18"/>
      <c r="J517" s="18"/>
      <c r="K517" s="18"/>
      <c r="L517" s="18"/>
      <c r="M517" s="18"/>
      <c r="N517" s="18"/>
      <c r="O517" s="59"/>
      <c r="P517" s="18"/>
      <c r="Q517" s="18"/>
      <c r="R517" s="47"/>
      <c r="S517" s="18"/>
      <c r="T517" s="18"/>
      <c r="U517" s="18"/>
      <c r="V517" s="18"/>
      <c r="W517" s="18"/>
      <c r="X517" s="18"/>
      <c r="Y517" s="18"/>
      <c r="Z517" s="24"/>
      <c r="AA517" s="24"/>
      <c r="AB517" s="24"/>
      <c r="AC517" s="24"/>
      <c r="AD517" s="24"/>
      <c r="AE517" s="24"/>
      <c r="AF517" s="24"/>
      <c r="AG517" s="24"/>
      <c r="AH517" s="24"/>
      <c r="AI517" s="24"/>
    </row>
    <row r="518" ht="15.75" customHeight="1">
      <c r="A518" s="8"/>
      <c r="B518" s="9" t="str">
        <f>IFERROR(__xludf.DUMMYFUNCTION("INDEX(IMPORTRANGE(""https://docs.google.com/spreadsheets/d/1S7deMHO2waboU9dywpXeKIDfCmjiuAc0HUIsFpaXQq8/edit?gid=0#gid=0"", ""Tracking Shipments - PPTCO!o:o""), MATCH(D518, IMPORTRANGE(""https://docs.google.com/spreadsheets/d/1S7deMHO2waboU9dywpXeKIDfCmji"&amp;"uAc0HUIsFpaXQq8/edit?gid=0#gid=0"", ""Tracking Shipments - PPTCO!p:p""), 0))"),"#N/A")</f>
        <v>#N/A</v>
      </c>
      <c r="C518" s="14"/>
      <c r="D518" s="14"/>
      <c r="E518" s="14"/>
      <c r="F518" s="14"/>
      <c r="G518" s="9"/>
      <c r="H518" s="14"/>
      <c r="I518" s="14"/>
      <c r="J518" s="14"/>
      <c r="K518" s="14"/>
      <c r="L518" s="14"/>
      <c r="M518" s="14"/>
      <c r="N518" s="14"/>
      <c r="O518" s="60"/>
      <c r="P518" s="14"/>
      <c r="Q518" s="14"/>
      <c r="R518" s="52"/>
      <c r="S518" s="14"/>
      <c r="T518" s="14"/>
      <c r="U518" s="14"/>
      <c r="V518" s="14"/>
      <c r="W518" s="14"/>
      <c r="X518" s="14"/>
      <c r="Y518" s="14"/>
      <c r="Z518" s="15"/>
      <c r="AA518" s="15"/>
      <c r="AB518" s="15"/>
      <c r="AC518" s="15"/>
      <c r="AD518" s="15"/>
      <c r="AE518" s="15"/>
      <c r="AF518" s="15"/>
      <c r="AG518" s="15"/>
      <c r="AH518" s="15"/>
      <c r="AI518" s="15"/>
    </row>
    <row r="519" ht="15.75" customHeight="1">
      <c r="A519" s="16"/>
      <c r="B519" s="17" t="str">
        <f>IFERROR(__xludf.DUMMYFUNCTION("INDEX(IMPORTRANGE(""https://docs.google.com/spreadsheets/d/1S7deMHO2waboU9dywpXeKIDfCmjiuAc0HUIsFpaXQq8/edit?gid=0#gid=0"", ""Tracking Shipments - PPTCO!o:o""), MATCH(D519, IMPORTRANGE(""https://docs.google.com/spreadsheets/d/1S7deMHO2waboU9dywpXeKIDfCmji"&amp;"uAc0HUIsFpaXQq8/edit?gid=0#gid=0"", ""Tracking Shipments - PPTCO!p:p""), 0))"),"#N/A")</f>
        <v>#N/A</v>
      </c>
      <c r="C519" s="18"/>
      <c r="D519" s="18"/>
      <c r="E519" s="18"/>
      <c r="F519" s="18"/>
      <c r="G519" s="17"/>
      <c r="H519" s="18"/>
      <c r="I519" s="18"/>
      <c r="J519" s="18"/>
      <c r="K519" s="18"/>
      <c r="L519" s="18"/>
      <c r="M519" s="18"/>
      <c r="N519" s="18"/>
      <c r="O519" s="59"/>
      <c r="P519" s="18"/>
      <c r="Q519" s="18"/>
      <c r="R519" s="47"/>
      <c r="S519" s="18"/>
      <c r="T519" s="18"/>
      <c r="U519" s="18"/>
      <c r="V519" s="18"/>
      <c r="W519" s="16"/>
      <c r="X519" s="18"/>
      <c r="Y519" s="18"/>
      <c r="Z519" s="24"/>
      <c r="AA519" s="24"/>
      <c r="AB519" s="24"/>
      <c r="AC519" s="24"/>
      <c r="AD519" s="24"/>
      <c r="AE519" s="24"/>
      <c r="AF519" s="24"/>
      <c r="AG519" s="24"/>
      <c r="AH519" s="24"/>
      <c r="AI519" s="24"/>
    </row>
    <row r="520" ht="15.75" customHeight="1">
      <c r="A520" s="8"/>
      <c r="B520" s="9" t="str">
        <f>IFERROR(__xludf.DUMMYFUNCTION("INDEX(IMPORTRANGE(""https://docs.google.com/spreadsheets/d/1S7deMHO2waboU9dywpXeKIDfCmjiuAc0HUIsFpaXQq8/edit?gid=0#gid=0"", ""Tracking Shipments - PPTCO!o:o""), MATCH(D520, IMPORTRANGE(""https://docs.google.com/spreadsheets/d/1S7deMHO2waboU9dywpXeKIDfCmji"&amp;"uAc0HUIsFpaXQq8/edit?gid=0#gid=0"", ""Tracking Shipments - PPTCO!p:p""), 0))"),"#N/A")</f>
        <v>#N/A</v>
      </c>
      <c r="C520" s="14"/>
      <c r="D520" s="14"/>
      <c r="E520" s="14"/>
      <c r="F520" s="14"/>
      <c r="G520" s="9"/>
      <c r="H520" s="14"/>
      <c r="I520" s="14"/>
      <c r="J520" s="14"/>
      <c r="K520" s="14"/>
      <c r="L520" s="14"/>
      <c r="M520" s="14"/>
      <c r="N520" s="14"/>
      <c r="O520" s="60"/>
      <c r="P520" s="14"/>
      <c r="Q520" s="14"/>
      <c r="R520" s="52"/>
      <c r="S520" s="14"/>
      <c r="T520" s="14"/>
      <c r="U520" s="14"/>
      <c r="V520" s="14"/>
      <c r="W520" s="14"/>
      <c r="X520" s="14"/>
      <c r="Y520" s="14"/>
      <c r="Z520" s="15"/>
      <c r="AA520" s="15"/>
      <c r="AB520" s="15"/>
      <c r="AC520" s="15"/>
      <c r="AD520" s="15"/>
      <c r="AE520" s="15"/>
      <c r="AF520" s="15"/>
      <c r="AG520" s="15"/>
      <c r="AH520" s="15"/>
      <c r="AI520" s="15"/>
    </row>
    <row r="521" ht="15.75" customHeight="1">
      <c r="A521" s="16"/>
      <c r="B521" s="17" t="str">
        <f>IFERROR(__xludf.DUMMYFUNCTION("INDEX(IMPORTRANGE(""https://docs.google.com/spreadsheets/d/1S7deMHO2waboU9dywpXeKIDfCmjiuAc0HUIsFpaXQq8/edit?gid=0#gid=0"", ""Tracking Shipments - PPTCO!o:o""), MATCH(D521, IMPORTRANGE(""https://docs.google.com/spreadsheets/d/1S7deMHO2waboU9dywpXeKIDfCmji"&amp;"uAc0HUIsFpaXQq8/edit?gid=0#gid=0"", ""Tracking Shipments - PPTCO!p:p""), 0))"),"#N/A")</f>
        <v>#N/A</v>
      </c>
      <c r="C521" s="18"/>
      <c r="D521" s="18"/>
      <c r="E521" s="18"/>
      <c r="F521" s="18"/>
      <c r="G521" s="17"/>
      <c r="H521" s="18"/>
      <c r="I521" s="18"/>
      <c r="J521" s="18"/>
      <c r="K521" s="18"/>
      <c r="L521" s="18"/>
      <c r="M521" s="18"/>
      <c r="N521" s="18"/>
      <c r="O521" s="59"/>
      <c r="P521" s="18"/>
      <c r="Q521" s="18"/>
      <c r="R521" s="47"/>
      <c r="S521" s="18"/>
      <c r="T521" s="18"/>
      <c r="U521" s="18"/>
      <c r="V521" s="18"/>
      <c r="W521" s="18"/>
      <c r="X521" s="18"/>
      <c r="Y521" s="18"/>
      <c r="Z521" s="24"/>
      <c r="AA521" s="24"/>
      <c r="AB521" s="24"/>
      <c r="AC521" s="24"/>
      <c r="AD521" s="24"/>
      <c r="AE521" s="24"/>
      <c r="AF521" s="24"/>
      <c r="AG521" s="24"/>
      <c r="AH521" s="24"/>
      <c r="AI521" s="24"/>
    </row>
    <row r="522" ht="15.75" customHeight="1">
      <c r="A522" s="8"/>
      <c r="B522" s="9" t="str">
        <f>IFERROR(__xludf.DUMMYFUNCTION("INDEX(IMPORTRANGE(""https://docs.google.com/spreadsheets/d/1S7deMHO2waboU9dywpXeKIDfCmjiuAc0HUIsFpaXQq8/edit?gid=0#gid=0"", ""Tracking Shipments - PPTCO!o:o""), MATCH(D522, IMPORTRANGE(""https://docs.google.com/spreadsheets/d/1S7deMHO2waboU9dywpXeKIDfCmji"&amp;"uAc0HUIsFpaXQq8/edit?gid=0#gid=0"", ""Tracking Shipments - PPTCO!p:p""), 0))"),"#N/A")</f>
        <v>#N/A</v>
      </c>
      <c r="C522" s="14"/>
      <c r="D522" s="14"/>
      <c r="E522" s="14"/>
      <c r="F522" s="14"/>
      <c r="G522" s="9"/>
      <c r="H522" s="14"/>
      <c r="I522" s="14"/>
      <c r="J522" s="14"/>
      <c r="K522" s="14"/>
      <c r="L522" s="14"/>
      <c r="M522" s="14"/>
      <c r="N522" s="14"/>
      <c r="O522" s="60"/>
      <c r="P522" s="14"/>
      <c r="Q522" s="14"/>
      <c r="R522" s="52"/>
      <c r="S522" s="14"/>
      <c r="T522" s="14"/>
      <c r="U522" s="14"/>
      <c r="V522" s="14"/>
      <c r="W522" s="8"/>
      <c r="X522" s="14"/>
      <c r="Y522" s="14"/>
      <c r="Z522" s="15"/>
      <c r="AA522" s="15"/>
      <c r="AB522" s="15"/>
      <c r="AC522" s="15"/>
      <c r="AD522" s="15"/>
      <c r="AE522" s="15"/>
      <c r="AF522" s="15"/>
      <c r="AG522" s="15"/>
      <c r="AH522" s="15"/>
      <c r="AI522" s="15"/>
    </row>
    <row r="523" ht="15.75" customHeight="1">
      <c r="A523" s="16"/>
      <c r="B523" s="17" t="str">
        <f>IFERROR(__xludf.DUMMYFUNCTION("INDEX(IMPORTRANGE(""https://docs.google.com/spreadsheets/d/1S7deMHO2waboU9dywpXeKIDfCmjiuAc0HUIsFpaXQq8/edit?gid=0#gid=0"", ""Tracking Shipments - PPTCO!o:o""), MATCH(D523, IMPORTRANGE(""https://docs.google.com/spreadsheets/d/1S7deMHO2waboU9dywpXeKIDfCmji"&amp;"uAc0HUIsFpaXQq8/edit?gid=0#gid=0"", ""Tracking Shipments - PPTCO!p:p""), 0))"),"#N/A")</f>
        <v>#N/A</v>
      </c>
      <c r="C523" s="18"/>
      <c r="D523" s="18"/>
      <c r="E523" s="18"/>
      <c r="F523" s="18"/>
      <c r="G523" s="17"/>
      <c r="H523" s="18"/>
      <c r="I523" s="18"/>
      <c r="J523" s="18"/>
      <c r="K523" s="18"/>
      <c r="L523" s="18"/>
      <c r="M523" s="18"/>
      <c r="N523" s="18"/>
      <c r="O523" s="59"/>
      <c r="P523" s="18"/>
      <c r="Q523" s="18"/>
      <c r="R523" s="47"/>
      <c r="S523" s="18"/>
      <c r="T523" s="18"/>
      <c r="U523" s="18"/>
      <c r="V523" s="18"/>
      <c r="W523" s="18"/>
      <c r="X523" s="18"/>
      <c r="Y523" s="18"/>
      <c r="Z523" s="24"/>
      <c r="AA523" s="24"/>
      <c r="AB523" s="24"/>
      <c r="AC523" s="24"/>
      <c r="AD523" s="24"/>
      <c r="AE523" s="24"/>
      <c r="AF523" s="24"/>
      <c r="AG523" s="24"/>
      <c r="AH523" s="24"/>
      <c r="AI523" s="24"/>
    </row>
    <row r="524" ht="15.75" customHeight="1">
      <c r="A524" s="8"/>
      <c r="B524" s="9" t="str">
        <f>IFERROR(__xludf.DUMMYFUNCTION("INDEX(IMPORTRANGE(""https://docs.google.com/spreadsheets/d/1S7deMHO2waboU9dywpXeKIDfCmjiuAc0HUIsFpaXQq8/edit?gid=0#gid=0"", ""Tracking Shipments - PPTCO!o:o""), MATCH(D524, IMPORTRANGE(""https://docs.google.com/spreadsheets/d/1S7deMHO2waboU9dywpXeKIDfCmji"&amp;"uAc0HUIsFpaXQq8/edit?gid=0#gid=0"", ""Tracking Shipments - PPTCO!p:p""), 0))"),"#N/A")</f>
        <v>#N/A</v>
      </c>
      <c r="C524" s="14"/>
      <c r="D524" s="14"/>
      <c r="E524" s="14"/>
      <c r="F524" s="14"/>
      <c r="G524" s="9"/>
      <c r="H524" s="14"/>
      <c r="I524" s="14"/>
      <c r="J524" s="14"/>
      <c r="K524" s="14"/>
      <c r="L524" s="14"/>
      <c r="M524" s="14"/>
      <c r="N524" s="14"/>
      <c r="O524" s="60"/>
      <c r="P524" s="14"/>
      <c r="Q524" s="14"/>
      <c r="R524" s="52"/>
      <c r="S524" s="14"/>
      <c r="T524" s="14"/>
      <c r="U524" s="14"/>
      <c r="V524" s="14"/>
      <c r="W524" s="14"/>
      <c r="X524" s="14"/>
      <c r="Y524" s="14"/>
      <c r="Z524" s="15"/>
      <c r="AA524" s="15"/>
      <c r="AB524" s="15"/>
      <c r="AC524" s="15"/>
      <c r="AD524" s="15"/>
      <c r="AE524" s="15"/>
      <c r="AF524" s="15"/>
      <c r="AG524" s="15"/>
      <c r="AH524" s="15"/>
      <c r="AI524" s="15"/>
    </row>
    <row r="525" ht="15.75" customHeight="1">
      <c r="A525" s="16"/>
      <c r="B525" s="17" t="str">
        <f>IFERROR(__xludf.DUMMYFUNCTION("INDEX(IMPORTRANGE(""https://docs.google.com/spreadsheets/d/1S7deMHO2waboU9dywpXeKIDfCmjiuAc0HUIsFpaXQq8/edit?gid=0#gid=0"", ""Tracking Shipments - PPTCO!o:o""), MATCH(D525, IMPORTRANGE(""https://docs.google.com/spreadsheets/d/1S7deMHO2waboU9dywpXeKIDfCmji"&amp;"uAc0HUIsFpaXQq8/edit?gid=0#gid=0"", ""Tracking Shipments - PPTCO!p:p""), 0))"),"#N/A")</f>
        <v>#N/A</v>
      </c>
      <c r="C525" s="18"/>
      <c r="D525" s="18"/>
      <c r="E525" s="18"/>
      <c r="F525" s="18"/>
      <c r="G525" s="17"/>
      <c r="H525" s="18"/>
      <c r="I525" s="18"/>
      <c r="J525" s="18"/>
      <c r="K525" s="18"/>
      <c r="L525" s="18"/>
      <c r="M525" s="18"/>
      <c r="N525" s="18"/>
      <c r="O525" s="59"/>
      <c r="P525" s="18"/>
      <c r="Q525" s="18"/>
      <c r="R525" s="47"/>
      <c r="S525" s="18"/>
      <c r="T525" s="18"/>
      <c r="U525" s="18"/>
      <c r="V525" s="18"/>
      <c r="W525" s="16"/>
      <c r="X525" s="18"/>
      <c r="Y525" s="18"/>
      <c r="Z525" s="24"/>
      <c r="AA525" s="24"/>
      <c r="AB525" s="24"/>
      <c r="AC525" s="24"/>
      <c r="AD525" s="24"/>
      <c r="AE525" s="24"/>
      <c r="AF525" s="24"/>
      <c r="AG525" s="24"/>
      <c r="AH525" s="24"/>
      <c r="AI525" s="24"/>
    </row>
    <row r="526" ht="15.75" customHeight="1">
      <c r="A526" s="8"/>
      <c r="B526" s="9" t="str">
        <f>IFERROR(__xludf.DUMMYFUNCTION("INDEX(IMPORTRANGE(""https://docs.google.com/spreadsheets/d/1S7deMHO2waboU9dywpXeKIDfCmjiuAc0HUIsFpaXQq8/edit?gid=0#gid=0"", ""Tracking Shipments - PPTCO!o:o""), MATCH(D526, IMPORTRANGE(""https://docs.google.com/spreadsheets/d/1S7deMHO2waboU9dywpXeKIDfCmji"&amp;"uAc0HUIsFpaXQq8/edit?gid=0#gid=0"", ""Tracking Shipments - PPTCO!p:p""), 0))"),"#N/A")</f>
        <v>#N/A</v>
      </c>
      <c r="C526" s="14"/>
      <c r="D526" s="14"/>
      <c r="E526" s="14"/>
      <c r="F526" s="14"/>
      <c r="G526" s="9"/>
      <c r="H526" s="14"/>
      <c r="I526" s="14"/>
      <c r="J526" s="14"/>
      <c r="K526" s="14"/>
      <c r="L526" s="14"/>
      <c r="M526" s="14"/>
      <c r="N526" s="14"/>
      <c r="O526" s="60"/>
      <c r="P526" s="14"/>
      <c r="Q526" s="14"/>
      <c r="R526" s="52"/>
      <c r="S526" s="14"/>
      <c r="T526" s="14"/>
      <c r="U526" s="14"/>
      <c r="V526" s="14"/>
      <c r="W526" s="14"/>
      <c r="X526" s="14"/>
      <c r="Y526" s="14"/>
      <c r="Z526" s="15"/>
      <c r="AA526" s="15"/>
      <c r="AB526" s="15"/>
      <c r="AC526" s="15"/>
      <c r="AD526" s="15"/>
      <c r="AE526" s="15"/>
      <c r="AF526" s="15"/>
      <c r="AG526" s="15"/>
      <c r="AH526" s="15"/>
      <c r="AI526" s="15"/>
    </row>
    <row r="527" ht="15.75" customHeight="1">
      <c r="A527" s="16"/>
      <c r="B527" s="17" t="str">
        <f>IFERROR(__xludf.DUMMYFUNCTION("INDEX(IMPORTRANGE(""https://docs.google.com/spreadsheets/d/1S7deMHO2waboU9dywpXeKIDfCmjiuAc0HUIsFpaXQq8/edit?gid=0#gid=0"", ""Tracking Shipments - PPTCO!o:o""), MATCH(D527, IMPORTRANGE(""https://docs.google.com/spreadsheets/d/1S7deMHO2waboU9dywpXeKIDfCmji"&amp;"uAc0HUIsFpaXQq8/edit?gid=0#gid=0"", ""Tracking Shipments - PPTCO!p:p""), 0))"),"#N/A")</f>
        <v>#N/A</v>
      </c>
      <c r="C527" s="18"/>
      <c r="D527" s="18"/>
      <c r="E527" s="18"/>
      <c r="F527" s="18"/>
      <c r="G527" s="17"/>
      <c r="H527" s="18"/>
      <c r="I527" s="18"/>
      <c r="J527" s="18"/>
      <c r="K527" s="18"/>
      <c r="L527" s="18"/>
      <c r="M527" s="18"/>
      <c r="N527" s="18"/>
      <c r="O527" s="59"/>
      <c r="P527" s="18"/>
      <c r="Q527" s="18"/>
      <c r="R527" s="47"/>
      <c r="S527" s="18"/>
      <c r="T527" s="18"/>
      <c r="U527" s="18"/>
      <c r="V527" s="18"/>
      <c r="W527" s="18"/>
      <c r="X527" s="18"/>
      <c r="Y527" s="18"/>
      <c r="Z527" s="24"/>
      <c r="AA527" s="24"/>
      <c r="AB527" s="24"/>
      <c r="AC527" s="24"/>
      <c r="AD527" s="24"/>
      <c r="AE527" s="24"/>
      <c r="AF527" s="24"/>
      <c r="AG527" s="24"/>
      <c r="AH527" s="24"/>
      <c r="AI527" s="24"/>
    </row>
    <row r="528" ht="15.75" customHeight="1">
      <c r="A528" s="8"/>
      <c r="B528" s="9" t="str">
        <f>IFERROR(__xludf.DUMMYFUNCTION("INDEX(IMPORTRANGE(""https://docs.google.com/spreadsheets/d/1S7deMHO2waboU9dywpXeKIDfCmjiuAc0HUIsFpaXQq8/edit?gid=0#gid=0"", ""Tracking Shipments - PPTCO!o:o""), MATCH(D528, IMPORTRANGE(""https://docs.google.com/spreadsheets/d/1S7deMHO2waboU9dywpXeKIDfCmji"&amp;"uAc0HUIsFpaXQq8/edit?gid=0#gid=0"", ""Tracking Shipments - PPTCO!p:p""), 0))"),"#N/A")</f>
        <v>#N/A</v>
      </c>
      <c r="C528" s="14"/>
      <c r="D528" s="14"/>
      <c r="E528" s="14"/>
      <c r="F528" s="14"/>
      <c r="G528" s="9"/>
      <c r="H528" s="14"/>
      <c r="I528" s="14"/>
      <c r="J528" s="14"/>
      <c r="K528" s="14"/>
      <c r="L528" s="14"/>
      <c r="M528" s="14"/>
      <c r="N528" s="14"/>
      <c r="O528" s="60"/>
      <c r="P528" s="14"/>
      <c r="Q528" s="14"/>
      <c r="R528" s="52"/>
      <c r="S528" s="14"/>
      <c r="T528" s="14"/>
      <c r="U528" s="14"/>
      <c r="V528" s="14"/>
      <c r="W528" s="8"/>
      <c r="X528" s="14"/>
      <c r="Y528" s="14"/>
      <c r="Z528" s="15"/>
      <c r="AA528" s="15"/>
      <c r="AB528" s="15"/>
      <c r="AC528" s="15"/>
      <c r="AD528" s="15"/>
      <c r="AE528" s="15"/>
      <c r="AF528" s="15"/>
      <c r="AG528" s="15"/>
      <c r="AH528" s="15"/>
      <c r="AI528" s="15"/>
    </row>
    <row r="529" ht="15.75" customHeight="1">
      <c r="A529" s="16"/>
      <c r="B529" s="17" t="str">
        <f>IFERROR(__xludf.DUMMYFUNCTION("INDEX(IMPORTRANGE(""https://docs.google.com/spreadsheets/d/1S7deMHO2waboU9dywpXeKIDfCmjiuAc0HUIsFpaXQq8/edit?gid=0#gid=0"", ""Tracking Shipments - PPTCO!o:o""), MATCH(D529, IMPORTRANGE(""https://docs.google.com/spreadsheets/d/1S7deMHO2waboU9dywpXeKIDfCmji"&amp;"uAc0HUIsFpaXQq8/edit?gid=0#gid=0"", ""Tracking Shipments - PPTCO!p:p""), 0))"),"#N/A")</f>
        <v>#N/A</v>
      </c>
      <c r="C529" s="18"/>
      <c r="D529" s="18"/>
      <c r="E529" s="18"/>
      <c r="F529" s="18"/>
      <c r="G529" s="17"/>
      <c r="H529" s="18"/>
      <c r="I529" s="18"/>
      <c r="J529" s="18"/>
      <c r="K529" s="18"/>
      <c r="L529" s="18"/>
      <c r="M529" s="18"/>
      <c r="N529" s="18"/>
      <c r="O529" s="59"/>
      <c r="P529" s="18"/>
      <c r="Q529" s="18"/>
      <c r="R529" s="47"/>
      <c r="S529" s="18"/>
      <c r="T529" s="18"/>
      <c r="U529" s="18"/>
      <c r="V529" s="18"/>
      <c r="W529" s="18"/>
      <c r="X529" s="18"/>
      <c r="Y529" s="18"/>
      <c r="Z529" s="24"/>
      <c r="AA529" s="24"/>
      <c r="AB529" s="24"/>
      <c r="AC529" s="24"/>
      <c r="AD529" s="24"/>
      <c r="AE529" s="24"/>
      <c r="AF529" s="24"/>
      <c r="AG529" s="24"/>
      <c r="AH529" s="24"/>
      <c r="AI529" s="24"/>
    </row>
    <row r="530" ht="15.75" customHeight="1">
      <c r="A530" s="8"/>
      <c r="B530" s="9" t="str">
        <f>IFERROR(__xludf.DUMMYFUNCTION("INDEX(IMPORTRANGE(""https://docs.google.com/spreadsheets/d/1S7deMHO2waboU9dywpXeKIDfCmjiuAc0HUIsFpaXQq8/edit?gid=0#gid=0"", ""Tracking Shipments - PPTCO!o:o""), MATCH(D530, IMPORTRANGE(""https://docs.google.com/spreadsheets/d/1S7deMHO2waboU9dywpXeKIDfCmji"&amp;"uAc0HUIsFpaXQq8/edit?gid=0#gid=0"", ""Tracking Shipments - PPTCO!p:p""), 0))"),"#N/A")</f>
        <v>#N/A</v>
      </c>
      <c r="C530" s="14"/>
      <c r="D530" s="14"/>
      <c r="E530" s="14"/>
      <c r="F530" s="14"/>
      <c r="G530" s="9"/>
      <c r="H530" s="14"/>
      <c r="I530" s="14"/>
      <c r="J530" s="14"/>
      <c r="K530" s="14"/>
      <c r="L530" s="14"/>
      <c r="M530" s="14"/>
      <c r="N530" s="14"/>
      <c r="O530" s="60"/>
      <c r="P530" s="14"/>
      <c r="Q530" s="14"/>
      <c r="R530" s="52"/>
      <c r="S530" s="14"/>
      <c r="T530" s="14"/>
      <c r="U530" s="14"/>
      <c r="V530" s="14"/>
      <c r="W530" s="14"/>
      <c r="X530" s="14"/>
      <c r="Y530" s="14"/>
      <c r="Z530" s="15"/>
      <c r="AA530" s="15"/>
      <c r="AB530" s="15"/>
      <c r="AC530" s="15"/>
      <c r="AD530" s="15"/>
      <c r="AE530" s="15"/>
      <c r="AF530" s="15"/>
      <c r="AG530" s="15"/>
      <c r="AH530" s="15"/>
      <c r="AI530" s="15"/>
    </row>
    <row r="531" ht="15.75" customHeight="1">
      <c r="A531" s="16"/>
      <c r="B531" s="17" t="str">
        <f>IFERROR(__xludf.DUMMYFUNCTION("INDEX(IMPORTRANGE(""https://docs.google.com/spreadsheets/d/1S7deMHO2waboU9dywpXeKIDfCmjiuAc0HUIsFpaXQq8/edit?gid=0#gid=0"", ""Tracking Shipments - PPTCO!o:o""), MATCH(D531, IMPORTRANGE(""https://docs.google.com/spreadsheets/d/1S7deMHO2waboU9dywpXeKIDfCmji"&amp;"uAc0HUIsFpaXQq8/edit?gid=0#gid=0"", ""Tracking Shipments - PPTCO!p:p""), 0))"),"#N/A")</f>
        <v>#N/A</v>
      </c>
      <c r="C531" s="18"/>
      <c r="D531" s="18"/>
      <c r="E531" s="18"/>
      <c r="F531" s="18"/>
      <c r="G531" s="17"/>
      <c r="H531" s="18"/>
      <c r="I531" s="18"/>
      <c r="J531" s="18"/>
      <c r="K531" s="18"/>
      <c r="L531" s="18"/>
      <c r="M531" s="18"/>
      <c r="N531" s="18"/>
      <c r="O531" s="59"/>
      <c r="P531" s="18"/>
      <c r="Q531" s="18"/>
      <c r="R531" s="47"/>
      <c r="S531" s="18"/>
      <c r="T531" s="18"/>
      <c r="U531" s="18"/>
      <c r="V531" s="18"/>
      <c r="W531" s="16"/>
      <c r="X531" s="18"/>
      <c r="Y531" s="18"/>
      <c r="Z531" s="24"/>
      <c r="AA531" s="24"/>
      <c r="AB531" s="24"/>
      <c r="AC531" s="24"/>
      <c r="AD531" s="24"/>
      <c r="AE531" s="24"/>
      <c r="AF531" s="24"/>
      <c r="AG531" s="24"/>
      <c r="AH531" s="24"/>
      <c r="AI531" s="24"/>
    </row>
    <row r="532" ht="15.75" customHeight="1">
      <c r="A532" s="8"/>
      <c r="B532" s="9" t="str">
        <f>IFERROR(__xludf.DUMMYFUNCTION("INDEX(IMPORTRANGE(""https://docs.google.com/spreadsheets/d/1S7deMHO2waboU9dywpXeKIDfCmjiuAc0HUIsFpaXQq8/edit?gid=0#gid=0"", ""Tracking Shipments - PPTCO!o:o""), MATCH(D532, IMPORTRANGE(""https://docs.google.com/spreadsheets/d/1S7deMHO2waboU9dywpXeKIDfCmji"&amp;"uAc0HUIsFpaXQq8/edit?gid=0#gid=0"", ""Tracking Shipments - PPTCO!p:p""), 0))"),"#N/A")</f>
        <v>#N/A</v>
      </c>
      <c r="C532" s="14"/>
      <c r="D532" s="14"/>
      <c r="E532" s="9"/>
      <c r="F532" s="14"/>
      <c r="G532" s="9"/>
      <c r="H532" s="14"/>
      <c r="I532" s="9"/>
      <c r="J532" s="9"/>
      <c r="K532" s="9"/>
      <c r="L532" s="9"/>
      <c r="M532" s="9"/>
      <c r="N532" s="9"/>
      <c r="O532" s="60"/>
      <c r="P532" s="9"/>
      <c r="Q532" s="9"/>
      <c r="R532" s="64"/>
      <c r="S532" s="9"/>
      <c r="T532" s="9"/>
      <c r="U532" s="9"/>
      <c r="V532" s="9"/>
      <c r="W532" s="14"/>
      <c r="X532" s="9"/>
      <c r="Y532" s="9"/>
      <c r="Z532" s="15"/>
      <c r="AA532" s="15"/>
      <c r="AB532" s="15"/>
      <c r="AC532" s="15"/>
      <c r="AD532" s="15"/>
      <c r="AE532" s="15"/>
      <c r="AF532" s="15"/>
      <c r="AG532" s="15"/>
      <c r="AH532" s="15"/>
      <c r="AI532" s="15"/>
    </row>
    <row r="533" ht="15.75" customHeight="1">
      <c r="A533" s="16"/>
      <c r="B533" s="17" t="str">
        <f>IFERROR(__xludf.DUMMYFUNCTION("INDEX(IMPORTRANGE(""https://docs.google.com/spreadsheets/d/1S7deMHO2waboU9dywpXeKIDfCmjiuAc0HUIsFpaXQq8/edit?gid=0#gid=0"", ""Tracking Shipments - PPTCO!o:o""), MATCH(D533, IMPORTRANGE(""https://docs.google.com/spreadsheets/d/1S7deMHO2waboU9dywpXeKIDfCmji"&amp;"uAc0HUIsFpaXQq8/edit?gid=0#gid=0"", ""Tracking Shipments - PPTCO!p:p""), 0))"),"#N/A")</f>
        <v>#N/A</v>
      </c>
      <c r="C533" s="18"/>
      <c r="D533" s="18"/>
      <c r="E533" s="18"/>
      <c r="F533" s="18"/>
      <c r="G533" s="17"/>
      <c r="H533" s="18"/>
      <c r="I533" s="17"/>
      <c r="J533" s="17"/>
      <c r="K533" s="17"/>
      <c r="L533" s="17"/>
      <c r="M533" s="17"/>
      <c r="N533" s="17"/>
      <c r="O533" s="59"/>
      <c r="P533" s="17"/>
      <c r="Q533" s="17"/>
      <c r="R533" s="65"/>
      <c r="S533" s="17"/>
      <c r="T533" s="17"/>
      <c r="U533" s="17"/>
      <c r="V533" s="17"/>
      <c r="W533" s="18"/>
      <c r="X533" s="17"/>
      <c r="Y533" s="17"/>
      <c r="Z533" s="24"/>
      <c r="AA533" s="24"/>
      <c r="AB533" s="24"/>
      <c r="AC533" s="24"/>
      <c r="AD533" s="24"/>
      <c r="AE533" s="24"/>
      <c r="AF533" s="24"/>
      <c r="AG533" s="24"/>
      <c r="AH533" s="24"/>
      <c r="AI533" s="24"/>
    </row>
    <row r="534" ht="15.75" customHeight="1">
      <c r="A534" s="8"/>
      <c r="B534" s="9" t="str">
        <f>IFERROR(__xludf.DUMMYFUNCTION("INDEX(IMPORTRANGE(""https://docs.google.com/spreadsheets/d/1S7deMHO2waboU9dywpXeKIDfCmjiuAc0HUIsFpaXQq8/edit?gid=0#gid=0"", ""Tracking Shipments - PPTCO!o:o""), MATCH(D534, IMPORTRANGE(""https://docs.google.com/spreadsheets/d/1S7deMHO2waboU9dywpXeKIDfCmji"&amp;"uAc0HUIsFpaXQq8/edit?gid=0#gid=0"", ""Tracking Shipments - PPTCO!p:p""), 0))"),"#N/A")</f>
        <v>#N/A</v>
      </c>
      <c r="C534" s="14"/>
      <c r="D534" s="14"/>
      <c r="E534" s="9"/>
      <c r="F534" s="14"/>
      <c r="G534" s="9"/>
      <c r="H534" s="14"/>
      <c r="I534" s="9"/>
      <c r="J534" s="9"/>
      <c r="K534" s="9"/>
      <c r="L534" s="9"/>
      <c r="M534" s="9"/>
      <c r="N534" s="9"/>
      <c r="O534" s="60"/>
      <c r="P534" s="9"/>
      <c r="Q534" s="9"/>
      <c r="R534" s="64"/>
      <c r="S534" s="9"/>
      <c r="T534" s="9"/>
      <c r="U534" s="9"/>
      <c r="V534" s="9"/>
      <c r="W534" s="8"/>
      <c r="X534" s="9"/>
      <c r="Y534" s="9"/>
      <c r="Z534" s="15"/>
      <c r="AA534" s="15"/>
      <c r="AB534" s="15"/>
      <c r="AC534" s="15"/>
      <c r="AD534" s="15"/>
      <c r="AE534" s="15"/>
      <c r="AF534" s="15"/>
      <c r="AG534" s="15"/>
      <c r="AH534" s="15"/>
      <c r="AI534" s="15"/>
    </row>
    <row r="535" ht="15.75" customHeight="1">
      <c r="A535" s="16"/>
      <c r="B535" s="17" t="str">
        <f>IFERROR(__xludf.DUMMYFUNCTION("INDEX(IMPORTRANGE(""https://docs.google.com/spreadsheets/d/1S7deMHO2waboU9dywpXeKIDfCmjiuAc0HUIsFpaXQq8/edit?gid=0#gid=0"", ""Tracking Shipments - PPTCO!o:o""), MATCH(D535, IMPORTRANGE(""https://docs.google.com/spreadsheets/d/1S7deMHO2waboU9dywpXeKIDfCmji"&amp;"uAc0HUIsFpaXQq8/edit?gid=0#gid=0"", ""Tracking Shipments - PPTCO!p:p""), 0))"),"#N/A")</f>
        <v>#N/A</v>
      </c>
      <c r="C535" s="18"/>
      <c r="D535" s="18"/>
      <c r="E535" s="18"/>
      <c r="F535" s="18"/>
      <c r="G535" s="17"/>
      <c r="H535" s="18"/>
      <c r="I535" s="17"/>
      <c r="J535" s="17"/>
      <c r="K535" s="17"/>
      <c r="L535" s="17"/>
      <c r="M535" s="17"/>
      <c r="N535" s="17"/>
      <c r="O535" s="59"/>
      <c r="P535" s="17"/>
      <c r="Q535" s="17"/>
      <c r="R535" s="65"/>
      <c r="S535" s="17"/>
      <c r="T535" s="17"/>
      <c r="U535" s="17"/>
      <c r="V535" s="17"/>
      <c r="W535" s="18"/>
      <c r="X535" s="17"/>
      <c r="Y535" s="17"/>
      <c r="Z535" s="24"/>
      <c r="AA535" s="24"/>
      <c r="AB535" s="24"/>
      <c r="AC535" s="24"/>
      <c r="AD535" s="24"/>
      <c r="AE535" s="24"/>
      <c r="AF535" s="24"/>
      <c r="AG535" s="24"/>
      <c r="AH535" s="24"/>
      <c r="AI535" s="24"/>
    </row>
    <row r="536" ht="15.75" customHeight="1">
      <c r="A536" s="8"/>
      <c r="B536" s="9" t="str">
        <f>IFERROR(__xludf.DUMMYFUNCTION("INDEX(IMPORTRANGE(""https://docs.google.com/spreadsheets/d/1S7deMHO2waboU9dywpXeKIDfCmjiuAc0HUIsFpaXQq8/edit?gid=0#gid=0"", ""Tracking Shipments - PPTCO!o:o""), MATCH(D536, IMPORTRANGE(""https://docs.google.com/spreadsheets/d/1S7deMHO2waboU9dywpXeKIDfCmji"&amp;"uAc0HUIsFpaXQq8/edit?gid=0#gid=0"", ""Tracking Shipments - PPTCO!p:p""), 0))"),"#N/A")</f>
        <v>#N/A</v>
      </c>
      <c r="C536" s="14"/>
      <c r="D536" s="14"/>
      <c r="E536" s="9"/>
      <c r="F536" s="14"/>
      <c r="G536" s="9"/>
      <c r="H536" s="14"/>
      <c r="I536" s="9"/>
      <c r="J536" s="9"/>
      <c r="K536" s="9"/>
      <c r="L536" s="9"/>
      <c r="M536" s="9"/>
      <c r="N536" s="9"/>
      <c r="O536" s="60"/>
      <c r="P536" s="9"/>
      <c r="Q536" s="9"/>
      <c r="R536" s="64"/>
      <c r="S536" s="9"/>
      <c r="T536" s="9"/>
      <c r="U536" s="9"/>
      <c r="V536" s="9"/>
      <c r="W536" s="14"/>
      <c r="X536" s="9"/>
      <c r="Y536" s="9"/>
      <c r="Z536" s="15"/>
      <c r="AA536" s="15"/>
      <c r="AB536" s="15"/>
      <c r="AC536" s="15"/>
      <c r="AD536" s="15"/>
      <c r="AE536" s="15"/>
      <c r="AF536" s="15"/>
      <c r="AG536" s="15"/>
      <c r="AH536" s="15"/>
      <c r="AI536" s="15"/>
    </row>
    <row r="537" ht="15.75" customHeight="1">
      <c r="A537" s="16"/>
      <c r="B537" s="17" t="str">
        <f>IFERROR(__xludf.DUMMYFUNCTION("INDEX(IMPORTRANGE(""https://docs.google.com/spreadsheets/d/1S7deMHO2waboU9dywpXeKIDfCmjiuAc0HUIsFpaXQq8/edit?gid=0#gid=0"", ""Tracking Shipments - PPTCO!o:o""), MATCH(D537, IMPORTRANGE(""https://docs.google.com/spreadsheets/d/1S7deMHO2waboU9dywpXeKIDfCmji"&amp;"uAc0HUIsFpaXQq8/edit?gid=0#gid=0"", ""Tracking Shipments - PPTCO!p:p""), 0))"),"#N/A")</f>
        <v>#N/A</v>
      </c>
      <c r="C537" s="18"/>
      <c r="D537" s="18"/>
      <c r="E537" s="18"/>
      <c r="F537" s="18"/>
      <c r="G537" s="17"/>
      <c r="H537" s="18"/>
      <c r="I537" s="17"/>
      <c r="J537" s="17"/>
      <c r="K537" s="17"/>
      <c r="L537" s="17"/>
      <c r="M537" s="17"/>
      <c r="N537" s="17"/>
      <c r="O537" s="59"/>
      <c r="P537" s="17"/>
      <c r="Q537" s="17"/>
      <c r="R537" s="65"/>
      <c r="S537" s="17"/>
      <c r="T537" s="17"/>
      <c r="U537" s="17"/>
      <c r="V537" s="17"/>
      <c r="W537" s="16"/>
      <c r="X537" s="17"/>
      <c r="Y537" s="17"/>
      <c r="Z537" s="24"/>
      <c r="AA537" s="24"/>
      <c r="AB537" s="24"/>
      <c r="AC537" s="24"/>
      <c r="AD537" s="24"/>
      <c r="AE537" s="24"/>
      <c r="AF537" s="24"/>
      <c r="AG537" s="24"/>
      <c r="AH537" s="24"/>
      <c r="AI537" s="24"/>
    </row>
    <row r="538" ht="15.75" customHeight="1">
      <c r="A538" s="8"/>
      <c r="B538" s="9" t="str">
        <f>IFERROR(__xludf.DUMMYFUNCTION("INDEX(IMPORTRANGE(""https://docs.google.com/spreadsheets/d/1S7deMHO2waboU9dywpXeKIDfCmjiuAc0HUIsFpaXQq8/edit?gid=0#gid=0"", ""Tracking Shipments - PPTCO!o:o""), MATCH(D538, IMPORTRANGE(""https://docs.google.com/spreadsheets/d/1S7deMHO2waboU9dywpXeKIDfCmji"&amp;"uAc0HUIsFpaXQq8/edit?gid=0#gid=0"", ""Tracking Shipments - PPTCO!p:p""), 0))"),"#N/A")</f>
        <v>#N/A</v>
      </c>
      <c r="C538" s="14"/>
      <c r="D538" s="14"/>
      <c r="E538" s="9"/>
      <c r="F538" s="14"/>
      <c r="G538" s="9"/>
      <c r="H538" s="14"/>
      <c r="I538" s="9"/>
      <c r="J538" s="9"/>
      <c r="K538" s="9"/>
      <c r="L538" s="9"/>
      <c r="M538" s="9"/>
      <c r="N538" s="9"/>
      <c r="O538" s="60"/>
      <c r="P538" s="9"/>
      <c r="Q538" s="9"/>
      <c r="R538" s="64"/>
      <c r="S538" s="9"/>
      <c r="T538" s="9"/>
      <c r="U538" s="9"/>
      <c r="V538" s="9"/>
      <c r="W538" s="14"/>
      <c r="X538" s="9"/>
      <c r="Y538" s="9"/>
      <c r="Z538" s="15"/>
      <c r="AA538" s="15"/>
      <c r="AB538" s="15"/>
      <c r="AC538" s="15"/>
      <c r="AD538" s="15"/>
      <c r="AE538" s="15"/>
      <c r="AF538" s="15"/>
      <c r="AG538" s="15"/>
      <c r="AH538" s="15"/>
      <c r="AI538" s="15"/>
    </row>
    <row r="539" ht="15.75" customHeight="1">
      <c r="A539" s="16"/>
      <c r="B539" s="17" t="str">
        <f>IFERROR(__xludf.DUMMYFUNCTION("INDEX(IMPORTRANGE(""https://docs.google.com/spreadsheets/d/1S7deMHO2waboU9dywpXeKIDfCmjiuAc0HUIsFpaXQq8/edit?gid=0#gid=0"", ""Tracking Shipments - PPTCO!o:o""), MATCH(D539, IMPORTRANGE(""https://docs.google.com/spreadsheets/d/1S7deMHO2waboU9dywpXeKIDfCmji"&amp;"uAc0HUIsFpaXQq8/edit?gid=0#gid=0"", ""Tracking Shipments - PPTCO!p:p""), 0))"),"#N/A")</f>
        <v>#N/A</v>
      </c>
      <c r="C539" s="18"/>
      <c r="D539" s="18"/>
      <c r="E539" s="18"/>
      <c r="F539" s="18"/>
      <c r="G539" s="17"/>
      <c r="H539" s="18"/>
      <c r="I539" s="17"/>
      <c r="J539" s="17"/>
      <c r="K539" s="17"/>
      <c r="L539" s="17"/>
      <c r="M539" s="17"/>
      <c r="N539" s="17"/>
      <c r="O539" s="59"/>
      <c r="P539" s="17"/>
      <c r="Q539" s="17"/>
      <c r="R539" s="65"/>
      <c r="S539" s="17"/>
      <c r="T539" s="17"/>
      <c r="U539" s="17"/>
      <c r="V539" s="17"/>
      <c r="W539" s="18"/>
      <c r="X539" s="17"/>
      <c r="Y539" s="17"/>
      <c r="Z539" s="24"/>
      <c r="AA539" s="24"/>
      <c r="AB539" s="24"/>
      <c r="AC539" s="24"/>
      <c r="AD539" s="24"/>
      <c r="AE539" s="24"/>
      <c r="AF539" s="24"/>
      <c r="AG539" s="24"/>
      <c r="AH539" s="24"/>
      <c r="AI539" s="24"/>
    </row>
    <row r="540" ht="15.75" customHeight="1">
      <c r="A540" s="8"/>
      <c r="B540" s="9" t="str">
        <f>IFERROR(__xludf.DUMMYFUNCTION("INDEX(IMPORTRANGE(""https://docs.google.com/spreadsheets/d/1S7deMHO2waboU9dywpXeKIDfCmjiuAc0HUIsFpaXQq8/edit?gid=0#gid=0"", ""Tracking Shipments - PPTCO!o:o""), MATCH(D540, IMPORTRANGE(""https://docs.google.com/spreadsheets/d/1S7deMHO2waboU9dywpXeKIDfCmji"&amp;"uAc0HUIsFpaXQq8/edit?gid=0#gid=0"", ""Tracking Shipments - PPTCO!p:p""), 0))"),"#N/A")</f>
        <v>#N/A</v>
      </c>
      <c r="C540" s="14"/>
      <c r="D540" s="14"/>
      <c r="E540" s="9"/>
      <c r="F540" s="14"/>
      <c r="G540" s="9"/>
      <c r="H540" s="14"/>
      <c r="I540" s="9"/>
      <c r="J540" s="9"/>
      <c r="K540" s="9"/>
      <c r="L540" s="9"/>
      <c r="M540" s="9"/>
      <c r="N540" s="9"/>
      <c r="O540" s="60"/>
      <c r="P540" s="9"/>
      <c r="Q540" s="9"/>
      <c r="R540" s="64"/>
      <c r="S540" s="9"/>
      <c r="T540" s="9"/>
      <c r="U540" s="9"/>
      <c r="V540" s="9"/>
      <c r="W540" s="8"/>
      <c r="X540" s="9"/>
      <c r="Y540" s="9"/>
      <c r="Z540" s="15"/>
      <c r="AA540" s="15"/>
      <c r="AB540" s="15"/>
      <c r="AC540" s="15"/>
      <c r="AD540" s="15"/>
      <c r="AE540" s="15"/>
      <c r="AF540" s="15"/>
      <c r="AG540" s="15"/>
      <c r="AH540" s="15"/>
      <c r="AI540" s="15"/>
    </row>
    <row r="541" ht="15.75" customHeight="1">
      <c r="A541" s="16"/>
      <c r="B541" s="17" t="str">
        <f>IFERROR(__xludf.DUMMYFUNCTION("INDEX(IMPORTRANGE(""https://docs.google.com/spreadsheets/d/1S7deMHO2waboU9dywpXeKIDfCmjiuAc0HUIsFpaXQq8/edit?gid=0#gid=0"", ""Tracking Shipments - PPTCO!o:o""), MATCH(D541, IMPORTRANGE(""https://docs.google.com/spreadsheets/d/1S7deMHO2waboU9dywpXeKIDfCmji"&amp;"uAc0HUIsFpaXQq8/edit?gid=0#gid=0"", ""Tracking Shipments - PPTCO!p:p""), 0))"),"#N/A")</f>
        <v>#N/A</v>
      </c>
      <c r="C541" s="18"/>
      <c r="D541" s="18"/>
      <c r="E541" s="18"/>
      <c r="F541" s="18"/>
      <c r="G541" s="17"/>
      <c r="H541" s="18"/>
      <c r="I541" s="17"/>
      <c r="J541" s="17"/>
      <c r="K541" s="17"/>
      <c r="L541" s="17"/>
      <c r="M541" s="17"/>
      <c r="N541" s="17"/>
      <c r="O541" s="59"/>
      <c r="P541" s="17"/>
      <c r="Q541" s="17"/>
      <c r="R541" s="65"/>
      <c r="S541" s="17"/>
      <c r="T541" s="17"/>
      <c r="U541" s="17"/>
      <c r="V541" s="17"/>
      <c r="W541" s="18"/>
      <c r="X541" s="17"/>
      <c r="Y541" s="17"/>
      <c r="Z541" s="24"/>
      <c r="AA541" s="24"/>
      <c r="AB541" s="24"/>
      <c r="AC541" s="24"/>
      <c r="AD541" s="24"/>
      <c r="AE541" s="24"/>
      <c r="AF541" s="24"/>
      <c r="AG541" s="24"/>
      <c r="AH541" s="24"/>
      <c r="AI541" s="24"/>
    </row>
    <row r="542" ht="15.75" customHeight="1">
      <c r="A542" s="8"/>
      <c r="B542" s="9" t="str">
        <f>IFERROR(__xludf.DUMMYFUNCTION("INDEX(IMPORTRANGE(""https://docs.google.com/spreadsheets/d/1S7deMHO2waboU9dywpXeKIDfCmjiuAc0HUIsFpaXQq8/edit?gid=0#gid=0"", ""Tracking Shipments - PPTCO!o:o""), MATCH(D542, IMPORTRANGE(""https://docs.google.com/spreadsheets/d/1S7deMHO2waboU9dywpXeKIDfCmji"&amp;"uAc0HUIsFpaXQq8/edit?gid=0#gid=0"", ""Tracking Shipments - PPTCO!p:p""), 0))"),"#N/A")</f>
        <v>#N/A</v>
      </c>
      <c r="C542" s="14"/>
      <c r="D542" s="14"/>
      <c r="E542" s="9"/>
      <c r="F542" s="14"/>
      <c r="G542" s="9"/>
      <c r="H542" s="14"/>
      <c r="I542" s="9"/>
      <c r="J542" s="9"/>
      <c r="K542" s="9"/>
      <c r="L542" s="9"/>
      <c r="M542" s="9"/>
      <c r="N542" s="9"/>
      <c r="O542" s="60"/>
      <c r="P542" s="9"/>
      <c r="Q542" s="9"/>
      <c r="R542" s="64"/>
      <c r="S542" s="9"/>
      <c r="T542" s="9"/>
      <c r="U542" s="9"/>
      <c r="V542" s="9"/>
      <c r="W542" s="14"/>
      <c r="X542" s="9"/>
      <c r="Y542" s="9"/>
      <c r="Z542" s="15"/>
      <c r="AA542" s="15"/>
      <c r="AB542" s="15"/>
      <c r="AC542" s="15"/>
      <c r="AD542" s="15"/>
      <c r="AE542" s="15"/>
      <c r="AF542" s="15"/>
      <c r="AG542" s="15"/>
      <c r="AH542" s="15"/>
      <c r="AI542" s="15"/>
    </row>
    <row r="543" ht="15.75" customHeight="1">
      <c r="A543" s="16"/>
      <c r="B543" s="17" t="str">
        <f>IFERROR(__xludf.DUMMYFUNCTION("INDEX(IMPORTRANGE(""https://docs.google.com/spreadsheets/d/1S7deMHO2waboU9dywpXeKIDfCmjiuAc0HUIsFpaXQq8/edit?gid=0#gid=0"", ""Tracking Shipments - PPTCO!o:o""), MATCH(D543, IMPORTRANGE(""https://docs.google.com/spreadsheets/d/1S7deMHO2waboU9dywpXeKIDfCmji"&amp;"uAc0HUIsFpaXQq8/edit?gid=0#gid=0"", ""Tracking Shipments - PPTCO!p:p""), 0))"),"#N/A")</f>
        <v>#N/A</v>
      </c>
      <c r="C543" s="18"/>
      <c r="D543" s="18"/>
      <c r="E543" s="18"/>
      <c r="F543" s="18"/>
      <c r="G543" s="17"/>
      <c r="H543" s="18"/>
      <c r="I543" s="17"/>
      <c r="J543" s="17"/>
      <c r="K543" s="17"/>
      <c r="L543" s="17"/>
      <c r="M543" s="17"/>
      <c r="N543" s="17"/>
      <c r="O543" s="59"/>
      <c r="P543" s="17"/>
      <c r="Q543" s="17"/>
      <c r="R543" s="65"/>
      <c r="S543" s="17"/>
      <c r="T543" s="17"/>
      <c r="U543" s="17"/>
      <c r="V543" s="17"/>
      <c r="W543" s="16"/>
      <c r="X543" s="17"/>
      <c r="Y543" s="17"/>
      <c r="Z543" s="24"/>
      <c r="AA543" s="24"/>
      <c r="AB543" s="24"/>
      <c r="AC543" s="24"/>
      <c r="AD543" s="24"/>
      <c r="AE543" s="24"/>
      <c r="AF543" s="24"/>
      <c r="AG543" s="24"/>
      <c r="AH543" s="24"/>
      <c r="AI543" s="24"/>
    </row>
    <row r="544" ht="15.75" customHeight="1">
      <c r="A544" s="8"/>
      <c r="B544" s="9" t="str">
        <f>IFERROR(__xludf.DUMMYFUNCTION("INDEX(IMPORTRANGE(""https://docs.google.com/spreadsheets/d/1S7deMHO2waboU9dywpXeKIDfCmjiuAc0HUIsFpaXQq8/edit?gid=0#gid=0"", ""Tracking Shipments - PPTCO!o:o""), MATCH(D544, IMPORTRANGE(""https://docs.google.com/spreadsheets/d/1S7deMHO2waboU9dywpXeKIDfCmji"&amp;"uAc0HUIsFpaXQq8/edit?gid=0#gid=0"", ""Tracking Shipments - PPTCO!p:p""), 0))"),"#N/A")</f>
        <v>#N/A</v>
      </c>
      <c r="C544" s="14"/>
      <c r="D544" s="14"/>
      <c r="E544" s="9"/>
      <c r="F544" s="14"/>
      <c r="G544" s="9"/>
      <c r="H544" s="14"/>
      <c r="I544" s="9"/>
      <c r="J544" s="9"/>
      <c r="K544" s="9"/>
      <c r="L544" s="9"/>
      <c r="M544" s="9"/>
      <c r="N544" s="9"/>
      <c r="O544" s="60"/>
      <c r="P544" s="9"/>
      <c r="Q544" s="9"/>
      <c r="R544" s="64"/>
      <c r="S544" s="9"/>
      <c r="T544" s="9"/>
      <c r="U544" s="9"/>
      <c r="V544" s="9"/>
      <c r="W544" s="14"/>
      <c r="X544" s="9"/>
      <c r="Y544" s="9"/>
      <c r="Z544" s="15"/>
      <c r="AA544" s="15"/>
      <c r="AB544" s="15"/>
      <c r="AC544" s="15"/>
      <c r="AD544" s="15"/>
      <c r="AE544" s="15"/>
      <c r="AF544" s="15"/>
      <c r="AG544" s="15"/>
      <c r="AH544" s="15"/>
      <c r="AI544" s="15"/>
    </row>
    <row r="545" ht="15.75" customHeight="1">
      <c r="A545" s="16"/>
      <c r="B545" s="17" t="str">
        <f>IFERROR(__xludf.DUMMYFUNCTION("INDEX(IMPORTRANGE(""https://docs.google.com/spreadsheets/d/1S7deMHO2waboU9dywpXeKIDfCmjiuAc0HUIsFpaXQq8/edit?gid=0#gid=0"", ""Tracking Shipments - PPTCO!o:o""), MATCH(D545, IMPORTRANGE(""https://docs.google.com/spreadsheets/d/1S7deMHO2waboU9dywpXeKIDfCmji"&amp;"uAc0HUIsFpaXQq8/edit?gid=0#gid=0"", ""Tracking Shipments - PPTCO!p:p""), 0))"),"#N/A")</f>
        <v>#N/A</v>
      </c>
      <c r="C545" s="18"/>
      <c r="D545" s="18"/>
      <c r="E545" s="18"/>
      <c r="F545" s="18"/>
      <c r="G545" s="17"/>
      <c r="H545" s="18"/>
      <c r="I545" s="17"/>
      <c r="J545" s="17"/>
      <c r="K545" s="17"/>
      <c r="L545" s="17"/>
      <c r="M545" s="17"/>
      <c r="N545" s="17"/>
      <c r="O545" s="59"/>
      <c r="P545" s="17"/>
      <c r="Q545" s="17"/>
      <c r="R545" s="65"/>
      <c r="S545" s="17"/>
      <c r="T545" s="17"/>
      <c r="U545" s="17"/>
      <c r="V545" s="17"/>
      <c r="W545" s="18"/>
      <c r="X545" s="17"/>
      <c r="Y545" s="17"/>
      <c r="Z545" s="24"/>
      <c r="AA545" s="24"/>
      <c r="AB545" s="24"/>
      <c r="AC545" s="24"/>
      <c r="AD545" s="24"/>
      <c r="AE545" s="24"/>
      <c r="AF545" s="24"/>
      <c r="AG545" s="24"/>
      <c r="AH545" s="24"/>
      <c r="AI545" s="24"/>
    </row>
    <row r="546" ht="15.75" customHeight="1">
      <c r="A546" s="8"/>
      <c r="B546" s="9" t="str">
        <f>IFERROR(__xludf.DUMMYFUNCTION("INDEX(IMPORTRANGE(""https://docs.google.com/spreadsheets/d/1S7deMHO2waboU9dywpXeKIDfCmjiuAc0HUIsFpaXQq8/edit?gid=0#gid=0"", ""Tracking Shipments - PPTCO!o:o""), MATCH(D546, IMPORTRANGE(""https://docs.google.com/spreadsheets/d/1S7deMHO2waboU9dywpXeKIDfCmji"&amp;"uAc0HUIsFpaXQq8/edit?gid=0#gid=0"", ""Tracking Shipments - PPTCO!p:p""), 0))"),"#N/A")</f>
        <v>#N/A</v>
      </c>
      <c r="C546" s="14"/>
      <c r="D546" s="14"/>
      <c r="E546" s="9"/>
      <c r="F546" s="14"/>
      <c r="G546" s="9"/>
      <c r="H546" s="14"/>
      <c r="I546" s="9"/>
      <c r="J546" s="9"/>
      <c r="K546" s="9"/>
      <c r="L546" s="9"/>
      <c r="M546" s="9"/>
      <c r="N546" s="9"/>
      <c r="O546" s="60"/>
      <c r="P546" s="9"/>
      <c r="Q546" s="9"/>
      <c r="R546" s="64"/>
      <c r="S546" s="9"/>
      <c r="T546" s="9"/>
      <c r="U546" s="9"/>
      <c r="V546" s="9"/>
      <c r="W546" s="8"/>
      <c r="X546" s="9"/>
      <c r="Y546" s="9"/>
      <c r="Z546" s="15"/>
      <c r="AA546" s="15"/>
      <c r="AB546" s="15"/>
      <c r="AC546" s="15"/>
      <c r="AD546" s="15"/>
      <c r="AE546" s="15"/>
      <c r="AF546" s="15"/>
      <c r="AG546" s="15"/>
      <c r="AH546" s="15"/>
      <c r="AI546" s="15"/>
    </row>
    <row r="547" ht="15.75" customHeight="1">
      <c r="A547" s="16"/>
      <c r="B547" s="17" t="str">
        <f>IFERROR(__xludf.DUMMYFUNCTION("INDEX(IMPORTRANGE(""https://docs.google.com/spreadsheets/d/1S7deMHO2waboU9dywpXeKIDfCmjiuAc0HUIsFpaXQq8/edit?gid=0#gid=0"", ""Tracking Shipments - PPTCO!o:o""), MATCH(D547, IMPORTRANGE(""https://docs.google.com/spreadsheets/d/1S7deMHO2waboU9dywpXeKIDfCmji"&amp;"uAc0HUIsFpaXQq8/edit?gid=0#gid=0"", ""Tracking Shipments - PPTCO!p:p""), 0))"),"#N/A")</f>
        <v>#N/A</v>
      </c>
      <c r="C547" s="18"/>
      <c r="D547" s="18"/>
      <c r="E547" s="18"/>
      <c r="F547" s="18"/>
      <c r="G547" s="17"/>
      <c r="H547" s="18"/>
      <c r="I547" s="17"/>
      <c r="J547" s="17"/>
      <c r="K547" s="17"/>
      <c r="L547" s="17"/>
      <c r="M547" s="17"/>
      <c r="N547" s="17"/>
      <c r="O547" s="59"/>
      <c r="P547" s="17"/>
      <c r="Q547" s="17"/>
      <c r="R547" s="65"/>
      <c r="S547" s="17"/>
      <c r="T547" s="17"/>
      <c r="U547" s="17"/>
      <c r="V547" s="17"/>
      <c r="W547" s="18"/>
      <c r="X547" s="17"/>
      <c r="Y547" s="17"/>
      <c r="Z547" s="24"/>
      <c r="AA547" s="24"/>
      <c r="AB547" s="24"/>
      <c r="AC547" s="24"/>
      <c r="AD547" s="24"/>
      <c r="AE547" s="24"/>
      <c r="AF547" s="24"/>
      <c r="AG547" s="24"/>
      <c r="AH547" s="24"/>
      <c r="AI547" s="24"/>
    </row>
    <row r="548" ht="15.75" customHeight="1">
      <c r="A548" s="8"/>
      <c r="B548" s="9" t="str">
        <f>IFERROR(__xludf.DUMMYFUNCTION("INDEX(IMPORTRANGE(""https://docs.google.com/spreadsheets/d/1S7deMHO2waboU9dywpXeKIDfCmjiuAc0HUIsFpaXQq8/edit?gid=0#gid=0"", ""Tracking Shipments - PPTCO!o:o""), MATCH(D548, IMPORTRANGE(""https://docs.google.com/spreadsheets/d/1S7deMHO2waboU9dywpXeKIDfCmji"&amp;"uAc0HUIsFpaXQq8/edit?gid=0#gid=0"", ""Tracking Shipments - PPTCO!p:p""), 0))"),"#N/A")</f>
        <v>#N/A</v>
      </c>
      <c r="C548" s="14"/>
      <c r="D548" s="14"/>
      <c r="E548" s="9"/>
      <c r="F548" s="14"/>
      <c r="G548" s="9"/>
      <c r="H548" s="14"/>
      <c r="I548" s="9"/>
      <c r="J548" s="9"/>
      <c r="K548" s="9"/>
      <c r="L548" s="9"/>
      <c r="M548" s="9"/>
      <c r="N548" s="9"/>
      <c r="O548" s="60"/>
      <c r="P548" s="9"/>
      <c r="Q548" s="9"/>
      <c r="R548" s="64"/>
      <c r="S548" s="9"/>
      <c r="T548" s="9"/>
      <c r="U548" s="9"/>
      <c r="V548" s="9"/>
      <c r="W548" s="14"/>
      <c r="X548" s="9"/>
      <c r="Y548" s="9"/>
      <c r="Z548" s="15"/>
      <c r="AA548" s="15"/>
      <c r="AB548" s="15"/>
      <c r="AC548" s="15"/>
      <c r="AD548" s="15"/>
      <c r="AE548" s="15"/>
      <c r="AF548" s="15"/>
      <c r="AG548" s="15"/>
      <c r="AH548" s="15"/>
      <c r="AI548" s="15"/>
    </row>
    <row r="549" ht="15.75" customHeight="1">
      <c r="A549" s="16"/>
      <c r="B549" s="17" t="str">
        <f>IFERROR(__xludf.DUMMYFUNCTION("INDEX(IMPORTRANGE(""https://docs.google.com/spreadsheets/d/1S7deMHO2waboU9dywpXeKIDfCmjiuAc0HUIsFpaXQq8/edit?gid=0#gid=0"", ""Tracking Shipments - PPTCO!o:o""), MATCH(D549, IMPORTRANGE(""https://docs.google.com/spreadsheets/d/1S7deMHO2waboU9dywpXeKIDfCmji"&amp;"uAc0HUIsFpaXQq8/edit?gid=0#gid=0"", ""Tracking Shipments - PPTCO!p:p""), 0))"),"#N/A")</f>
        <v>#N/A</v>
      </c>
      <c r="C549" s="18"/>
      <c r="D549" s="18"/>
      <c r="E549" s="18"/>
      <c r="F549" s="18"/>
      <c r="G549" s="17"/>
      <c r="H549" s="18"/>
      <c r="I549" s="17"/>
      <c r="J549" s="17"/>
      <c r="K549" s="17"/>
      <c r="L549" s="17"/>
      <c r="M549" s="17"/>
      <c r="N549" s="17"/>
      <c r="O549" s="59"/>
      <c r="P549" s="17"/>
      <c r="Q549" s="17"/>
      <c r="R549" s="65"/>
      <c r="S549" s="17"/>
      <c r="T549" s="17"/>
      <c r="U549" s="17"/>
      <c r="V549" s="17"/>
      <c r="W549" s="16"/>
      <c r="X549" s="17"/>
      <c r="Y549" s="17"/>
      <c r="Z549" s="24"/>
      <c r="AA549" s="24"/>
      <c r="AB549" s="24"/>
      <c r="AC549" s="24"/>
      <c r="AD549" s="24"/>
      <c r="AE549" s="24"/>
      <c r="AF549" s="24"/>
      <c r="AG549" s="24"/>
      <c r="AH549" s="24"/>
      <c r="AI549" s="24"/>
    </row>
    <row r="550" ht="15.75" customHeight="1">
      <c r="A550" s="8"/>
      <c r="B550" s="9" t="str">
        <f>IFERROR(__xludf.DUMMYFUNCTION("INDEX(IMPORTRANGE(""https://docs.google.com/spreadsheets/d/1S7deMHO2waboU9dywpXeKIDfCmjiuAc0HUIsFpaXQq8/edit?gid=0#gid=0"", ""Tracking Shipments - PPTCO!o:o""), MATCH(D550, IMPORTRANGE(""https://docs.google.com/spreadsheets/d/1S7deMHO2waboU9dywpXeKIDfCmji"&amp;"uAc0HUIsFpaXQq8/edit?gid=0#gid=0"", ""Tracking Shipments - PPTCO!p:p""), 0))"),"#N/A")</f>
        <v>#N/A</v>
      </c>
      <c r="C550" s="14"/>
      <c r="D550" s="14"/>
      <c r="E550" s="9"/>
      <c r="F550" s="14"/>
      <c r="G550" s="9"/>
      <c r="H550" s="14"/>
      <c r="I550" s="9"/>
      <c r="J550" s="9"/>
      <c r="K550" s="9"/>
      <c r="L550" s="9"/>
      <c r="M550" s="9"/>
      <c r="N550" s="9"/>
      <c r="O550" s="60"/>
      <c r="P550" s="9"/>
      <c r="Q550" s="9"/>
      <c r="R550" s="64"/>
      <c r="S550" s="9"/>
      <c r="T550" s="9"/>
      <c r="U550" s="9"/>
      <c r="V550" s="9"/>
      <c r="W550" s="14"/>
      <c r="X550" s="9"/>
      <c r="Y550" s="9"/>
      <c r="Z550" s="15"/>
      <c r="AA550" s="15"/>
      <c r="AB550" s="15"/>
      <c r="AC550" s="15"/>
      <c r="AD550" s="15"/>
      <c r="AE550" s="15"/>
      <c r="AF550" s="15"/>
      <c r="AG550" s="15"/>
      <c r="AH550" s="15"/>
      <c r="AI550" s="15"/>
    </row>
    <row r="551" ht="15.75" customHeight="1">
      <c r="A551" s="16"/>
      <c r="B551" s="17" t="str">
        <f>IFERROR(__xludf.DUMMYFUNCTION("INDEX(IMPORTRANGE(""https://docs.google.com/spreadsheets/d/1S7deMHO2waboU9dywpXeKIDfCmjiuAc0HUIsFpaXQq8/edit?gid=0#gid=0"", ""Tracking Shipments - PPTCO!o:o""), MATCH(D551, IMPORTRANGE(""https://docs.google.com/spreadsheets/d/1S7deMHO2waboU9dywpXeKIDfCmji"&amp;"uAc0HUIsFpaXQq8/edit?gid=0#gid=0"", ""Tracking Shipments - PPTCO!p:p""), 0))"),"#N/A")</f>
        <v>#N/A</v>
      </c>
      <c r="C551" s="18"/>
      <c r="D551" s="18"/>
      <c r="E551" s="18"/>
      <c r="F551" s="18"/>
      <c r="G551" s="17"/>
      <c r="H551" s="18"/>
      <c r="I551" s="17"/>
      <c r="J551" s="17"/>
      <c r="K551" s="17"/>
      <c r="L551" s="17"/>
      <c r="M551" s="17"/>
      <c r="N551" s="17"/>
      <c r="O551" s="59"/>
      <c r="P551" s="17"/>
      <c r="Q551" s="17"/>
      <c r="R551" s="65"/>
      <c r="S551" s="17"/>
      <c r="T551" s="17"/>
      <c r="U551" s="17"/>
      <c r="V551" s="17"/>
      <c r="W551" s="18"/>
      <c r="X551" s="17"/>
      <c r="Y551" s="17"/>
      <c r="Z551" s="24"/>
      <c r="AA551" s="24"/>
      <c r="AB551" s="24"/>
      <c r="AC551" s="24"/>
      <c r="AD551" s="24"/>
      <c r="AE551" s="24"/>
      <c r="AF551" s="24"/>
      <c r="AG551" s="24"/>
      <c r="AH551" s="24"/>
      <c r="AI551" s="24"/>
    </row>
    <row r="552" ht="15.75" customHeight="1">
      <c r="A552" s="8"/>
      <c r="B552" s="9" t="str">
        <f>IFERROR(__xludf.DUMMYFUNCTION("INDEX(IMPORTRANGE(""https://docs.google.com/spreadsheets/d/1S7deMHO2waboU9dywpXeKIDfCmjiuAc0HUIsFpaXQq8/edit?gid=0#gid=0"", ""Tracking Shipments - PPTCO!o:o""), MATCH(D552, IMPORTRANGE(""https://docs.google.com/spreadsheets/d/1S7deMHO2waboU9dywpXeKIDfCmji"&amp;"uAc0HUIsFpaXQq8/edit?gid=0#gid=0"", ""Tracking Shipments - PPTCO!p:p""), 0))"),"#N/A")</f>
        <v>#N/A</v>
      </c>
      <c r="C552" s="14"/>
      <c r="D552" s="14"/>
      <c r="E552" s="9"/>
      <c r="F552" s="14"/>
      <c r="G552" s="9"/>
      <c r="H552" s="14"/>
      <c r="I552" s="9"/>
      <c r="J552" s="9"/>
      <c r="K552" s="9"/>
      <c r="L552" s="9"/>
      <c r="M552" s="9"/>
      <c r="N552" s="9"/>
      <c r="O552" s="60"/>
      <c r="P552" s="9"/>
      <c r="Q552" s="9"/>
      <c r="R552" s="64"/>
      <c r="S552" s="9"/>
      <c r="T552" s="9"/>
      <c r="U552" s="9"/>
      <c r="V552" s="9"/>
      <c r="W552" s="8"/>
      <c r="X552" s="9"/>
      <c r="Y552" s="9"/>
      <c r="Z552" s="15"/>
      <c r="AA552" s="15"/>
      <c r="AB552" s="15"/>
      <c r="AC552" s="15"/>
      <c r="AD552" s="15"/>
      <c r="AE552" s="15"/>
      <c r="AF552" s="15"/>
      <c r="AG552" s="15"/>
      <c r="AH552" s="15"/>
      <c r="AI552" s="15"/>
    </row>
    <row r="553" ht="15.75" customHeight="1">
      <c r="A553" s="16"/>
      <c r="B553" s="17" t="str">
        <f>IFERROR(__xludf.DUMMYFUNCTION("INDEX(IMPORTRANGE(""https://docs.google.com/spreadsheets/d/1S7deMHO2waboU9dywpXeKIDfCmjiuAc0HUIsFpaXQq8/edit?gid=0#gid=0"", ""Tracking Shipments - PPTCO!o:o""), MATCH(D553, IMPORTRANGE(""https://docs.google.com/spreadsheets/d/1S7deMHO2waboU9dywpXeKIDfCmji"&amp;"uAc0HUIsFpaXQq8/edit?gid=0#gid=0"", ""Tracking Shipments - PPTCO!p:p""), 0))"),"#N/A")</f>
        <v>#N/A</v>
      </c>
      <c r="C553" s="18"/>
      <c r="D553" s="18"/>
      <c r="E553" s="18"/>
      <c r="F553" s="18"/>
      <c r="G553" s="17"/>
      <c r="H553" s="18"/>
      <c r="I553" s="17"/>
      <c r="J553" s="17"/>
      <c r="K553" s="17"/>
      <c r="L553" s="17"/>
      <c r="M553" s="17"/>
      <c r="N553" s="17"/>
      <c r="O553" s="59"/>
      <c r="P553" s="17"/>
      <c r="Q553" s="17"/>
      <c r="R553" s="65"/>
      <c r="S553" s="17"/>
      <c r="T553" s="17"/>
      <c r="U553" s="17"/>
      <c r="V553" s="17"/>
      <c r="W553" s="18"/>
      <c r="X553" s="17"/>
      <c r="Y553" s="17"/>
      <c r="Z553" s="24"/>
      <c r="AA553" s="24"/>
      <c r="AB553" s="24"/>
      <c r="AC553" s="24"/>
      <c r="AD553" s="24"/>
      <c r="AE553" s="24"/>
      <c r="AF553" s="24"/>
      <c r="AG553" s="24"/>
      <c r="AH553" s="24"/>
      <c r="AI553" s="24"/>
    </row>
    <row r="554" ht="15.75" customHeight="1">
      <c r="A554" s="8"/>
      <c r="B554" s="9" t="str">
        <f>IFERROR(__xludf.DUMMYFUNCTION("INDEX(IMPORTRANGE(""https://docs.google.com/spreadsheets/d/1S7deMHO2waboU9dywpXeKIDfCmjiuAc0HUIsFpaXQq8/edit?gid=0#gid=0"", ""Tracking Shipments - PPTCO!o:o""), MATCH(D554, IMPORTRANGE(""https://docs.google.com/spreadsheets/d/1S7deMHO2waboU9dywpXeKIDfCmji"&amp;"uAc0HUIsFpaXQq8/edit?gid=0#gid=0"", ""Tracking Shipments - PPTCO!p:p""), 0))"),"#N/A")</f>
        <v>#N/A</v>
      </c>
      <c r="C554" s="14"/>
      <c r="D554" s="14"/>
      <c r="E554" s="9"/>
      <c r="F554" s="14"/>
      <c r="G554" s="9"/>
      <c r="H554" s="14"/>
      <c r="I554" s="9"/>
      <c r="J554" s="9"/>
      <c r="K554" s="9"/>
      <c r="L554" s="9"/>
      <c r="M554" s="9"/>
      <c r="N554" s="9"/>
      <c r="O554" s="60"/>
      <c r="P554" s="9"/>
      <c r="Q554" s="9"/>
      <c r="R554" s="64"/>
      <c r="S554" s="9"/>
      <c r="T554" s="9"/>
      <c r="U554" s="9"/>
      <c r="V554" s="9"/>
      <c r="W554" s="14"/>
      <c r="X554" s="9"/>
      <c r="Y554" s="9"/>
      <c r="Z554" s="15"/>
      <c r="AA554" s="15"/>
      <c r="AB554" s="15"/>
      <c r="AC554" s="15"/>
      <c r="AD554" s="15"/>
      <c r="AE554" s="15"/>
      <c r="AF554" s="15"/>
      <c r="AG554" s="15"/>
      <c r="AH554" s="15"/>
      <c r="AI554" s="15"/>
    </row>
    <row r="555" ht="15.75" customHeight="1">
      <c r="A555" s="16"/>
      <c r="B555" s="17" t="str">
        <f>IFERROR(__xludf.DUMMYFUNCTION("INDEX(IMPORTRANGE(""https://docs.google.com/spreadsheets/d/1S7deMHO2waboU9dywpXeKIDfCmjiuAc0HUIsFpaXQq8/edit?gid=0#gid=0"", ""Tracking Shipments - PPTCO!o:o""), MATCH(D555, IMPORTRANGE(""https://docs.google.com/spreadsheets/d/1S7deMHO2waboU9dywpXeKIDfCmji"&amp;"uAc0HUIsFpaXQq8/edit?gid=0#gid=0"", ""Tracking Shipments - PPTCO!p:p""), 0))"),"#N/A")</f>
        <v>#N/A</v>
      </c>
      <c r="C555" s="18"/>
      <c r="D555" s="18"/>
      <c r="E555" s="18"/>
      <c r="F555" s="18"/>
      <c r="G555" s="17"/>
      <c r="H555" s="18"/>
      <c r="I555" s="17"/>
      <c r="J555" s="17"/>
      <c r="K555" s="17"/>
      <c r="L555" s="17"/>
      <c r="M555" s="17"/>
      <c r="N555" s="17"/>
      <c r="O555" s="59"/>
      <c r="P555" s="17"/>
      <c r="Q555" s="17"/>
      <c r="R555" s="65"/>
      <c r="S555" s="17"/>
      <c r="T555" s="17"/>
      <c r="U555" s="17"/>
      <c r="V555" s="17"/>
      <c r="W555" s="16"/>
      <c r="X555" s="17"/>
      <c r="Y555" s="17"/>
      <c r="Z555" s="24"/>
      <c r="AA555" s="24"/>
      <c r="AB555" s="24"/>
      <c r="AC555" s="24"/>
      <c r="AD555" s="24"/>
      <c r="AE555" s="24"/>
      <c r="AF555" s="24"/>
      <c r="AG555" s="24"/>
      <c r="AH555" s="24"/>
      <c r="AI555" s="24"/>
    </row>
    <row r="556" ht="15.75" customHeight="1">
      <c r="A556" s="8"/>
      <c r="B556" s="9" t="str">
        <f>IFERROR(__xludf.DUMMYFUNCTION("INDEX(IMPORTRANGE(""https://docs.google.com/spreadsheets/d/1S7deMHO2waboU9dywpXeKIDfCmjiuAc0HUIsFpaXQq8/edit?gid=0#gid=0"", ""Tracking Shipments - PPTCO!o:o""), MATCH(D556, IMPORTRANGE(""https://docs.google.com/spreadsheets/d/1S7deMHO2waboU9dywpXeKIDfCmji"&amp;"uAc0HUIsFpaXQq8/edit?gid=0#gid=0"", ""Tracking Shipments - PPTCO!p:p""), 0))"),"#N/A")</f>
        <v>#N/A</v>
      </c>
      <c r="C556" s="14"/>
      <c r="D556" s="14"/>
      <c r="E556" s="9"/>
      <c r="F556" s="14"/>
      <c r="G556" s="9"/>
      <c r="H556" s="14"/>
      <c r="I556" s="9"/>
      <c r="J556" s="9"/>
      <c r="K556" s="9"/>
      <c r="L556" s="9"/>
      <c r="M556" s="9"/>
      <c r="N556" s="9"/>
      <c r="O556" s="60"/>
      <c r="P556" s="9"/>
      <c r="Q556" s="9"/>
      <c r="R556" s="64"/>
      <c r="S556" s="9"/>
      <c r="T556" s="9"/>
      <c r="U556" s="9"/>
      <c r="V556" s="9"/>
      <c r="W556" s="14"/>
      <c r="X556" s="9"/>
      <c r="Y556" s="9"/>
      <c r="Z556" s="15"/>
      <c r="AA556" s="15"/>
      <c r="AB556" s="15"/>
      <c r="AC556" s="15"/>
      <c r="AD556" s="15"/>
      <c r="AE556" s="15"/>
      <c r="AF556" s="15"/>
      <c r="AG556" s="15"/>
      <c r="AH556" s="15"/>
      <c r="AI556" s="15"/>
    </row>
    <row r="557" ht="15.75" customHeight="1">
      <c r="A557" s="16"/>
      <c r="B557" s="17" t="str">
        <f>IFERROR(__xludf.DUMMYFUNCTION("INDEX(IMPORTRANGE(""https://docs.google.com/spreadsheets/d/1S7deMHO2waboU9dywpXeKIDfCmjiuAc0HUIsFpaXQq8/edit?gid=0#gid=0"", ""Tracking Shipments - PPTCO!o:o""), MATCH(D557, IMPORTRANGE(""https://docs.google.com/spreadsheets/d/1S7deMHO2waboU9dywpXeKIDfCmji"&amp;"uAc0HUIsFpaXQq8/edit?gid=0#gid=0"", ""Tracking Shipments - PPTCO!p:p""), 0))"),"#N/A")</f>
        <v>#N/A</v>
      </c>
      <c r="C557" s="18"/>
      <c r="D557" s="18"/>
      <c r="E557" s="18"/>
      <c r="F557" s="18"/>
      <c r="G557" s="17"/>
      <c r="H557" s="18"/>
      <c r="I557" s="17"/>
      <c r="J557" s="17"/>
      <c r="K557" s="17"/>
      <c r="L557" s="17"/>
      <c r="M557" s="17"/>
      <c r="N557" s="17"/>
      <c r="O557" s="59"/>
      <c r="P557" s="17"/>
      <c r="Q557" s="17"/>
      <c r="R557" s="65"/>
      <c r="S557" s="17"/>
      <c r="T557" s="17"/>
      <c r="U557" s="17"/>
      <c r="V557" s="17"/>
      <c r="W557" s="18"/>
      <c r="X557" s="17"/>
      <c r="Y557" s="17"/>
      <c r="Z557" s="24"/>
      <c r="AA557" s="24"/>
      <c r="AB557" s="24"/>
      <c r="AC557" s="24"/>
      <c r="AD557" s="24"/>
      <c r="AE557" s="24"/>
      <c r="AF557" s="24"/>
      <c r="AG557" s="24"/>
      <c r="AH557" s="24"/>
      <c r="AI557" s="24"/>
    </row>
    <row r="558" ht="15.75" customHeight="1">
      <c r="A558" s="8"/>
      <c r="B558" s="9" t="str">
        <f>IFERROR(__xludf.DUMMYFUNCTION("INDEX(IMPORTRANGE(""https://docs.google.com/spreadsheets/d/1S7deMHO2waboU9dywpXeKIDfCmjiuAc0HUIsFpaXQq8/edit?gid=0#gid=0"", ""Tracking Shipments - PPTCO!o:o""), MATCH(D558, IMPORTRANGE(""https://docs.google.com/spreadsheets/d/1S7deMHO2waboU9dywpXeKIDfCmji"&amp;"uAc0HUIsFpaXQq8/edit?gid=0#gid=0"", ""Tracking Shipments - PPTCO!p:p""), 0))"),"#N/A")</f>
        <v>#N/A</v>
      </c>
      <c r="C558" s="14"/>
      <c r="D558" s="14"/>
      <c r="E558" s="9"/>
      <c r="F558" s="14"/>
      <c r="G558" s="9"/>
      <c r="H558" s="14"/>
      <c r="I558" s="9"/>
      <c r="J558" s="9"/>
      <c r="K558" s="9"/>
      <c r="L558" s="9"/>
      <c r="M558" s="9"/>
      <c r="N558" s="9"/>
      <c r="O558" s="60"/>
      <c r="P558" s="9"/>
      <c r="Q558" s="9"/>
      <c r="R558" s="64"/>
      <c r="S558" s="9"/>
      <c r="T558" s="9"/>
      <c r="U558" s="9"/>
      <c r="V558" s="9"/>
      <c r="W558" s="8"/>
      <c r="X558" s="9"/>
      <c r="Y558" s="9"/>
      <c r="Z558" s="15"/>
      <c r="AA558" s="15"/>
      <c r="AB558" s="15"/>
      <c r="AC558" s="15"/>
      <c r="AD558" s="15"/>
      <c r="AE558" s="15"/>
      <c r="AF558" s="15"/>
      <c r="AG558" s="15"/>
      <c r="AH558" s="15"/>
      <c r="AI558" s="15"/>
    </row>
    <row r="559" ht="15.75" customHeight="1">
      <c r="A559" s="16"/>
      <c r="B559" s="17" t="str">
        <f>IFERROR(__xludf.DUMMYFUNCTION("INDEX(IMPORTRANGE(""https://docs.google.com/spreadsheets/d/1S7deMHO2waboU9dywpXeKIDfCmjiuAc0HUIsFpaXQq8/edit?gid=0#gid=0"", ""Tracking Shipments - PPTCO!o:o""), MATCH(D559, IMPORTRANGE(""https://docs.google.com/spreadsheets/d/1S7deMHO2waboU9dywpXeKIDfCmji"&amp;"uAc0HUIsFpaXQq8/edit?gid=0#gid=0"", ""Tracking Shipments - PPTCO!p:p""), 0))"),"#N/A")</f>
        <v>#N/A</v>
      </c>
      <c r="C559" s="18"/>
      <c r="D559" s="18"/>
      <c r="E559" s="18"/>
      <c r="F559" s="18"/>
      <c r="G559" s="17"/>
      <c r="H559" s="18"/>
      <c r="I559" s="17"/>
      <c r="J559" s="17"/>
      <c r="K559" s="17"/>
      <c r="L559" s="17"/>
      <c r="M559" s="17"/>
      <c r="N559" s="17"/>
      <c r="O559" s="59"/>
      <c r="P559" s="17"/>
      <c r="Q559" s="17"/>
      <c r="R559" s="65"/>
      <c r="S559" s="17"/>
      <c r="T559" s="17"/>
      <c r="U559" s="17"/>
      <c r="V559" s="17"/>
      <c r="W559" s="18"/>
      <c r="X559" s="17"/>
      <c r="Y559" s="17"/>
      <c r="Z559" s="24"/>
      <c r="AA559" s="24"/>
      <c r="AB559" s="24"/>
      <c r="AC559" s="24"/>
      <c r="AD559" s="24"/>
      <c r="AE559" s="24"/>
      <c r="AF559" s="24"/>
      <c r="AG559" s="24"/>
      <c r="AH559" s="24"/>
      <c r="AI559" s="24"/>
    </row>
    <row r="560" ht="15.75" customHeight="1">
      <c r="A560" s="8"/>
      <c r="B560" s="9" t="str">
        <f>IFERROR(__xludf.DUMMYFUNCTION("INDEX(IMPORTRANGE(""https://docs.google.com/spreadsheets/d/1S7deMHO2waboU9dywpXeKIDfCmjiuAc0HUIsFpaXQq8/edit?gid=0#gid=0"", ""Tracking Shipments - PPTCO!o:o""), MATCH(D560, IMPORTRANGE(""https://docs.google.com/spreadsheets/d/1S7deMHO2waboU9dywpXeKIDfCmji"&amp;"uAc0HUIsFpaXQq8/edit?gid=0#gid=0"", ""Tracking Shipments - PPTCO!p:p""), 0))"),"#N/A")</f>
        <v>#N/A</v>
      </c>
      <c r="C560" s="14"/>
      <c r="D560" s="14"/>
      <c r="E560" s="9"/>
      <c r="F560" s="14"/>
      <c r="G560" s="9"/>
      <c r="H560" s="14"/>
      <c r="I560" s="9"/>
      <c r="J560" s="9"/>
      <c r="K560" s="9"/>
      <c r="L560" s="9"/>
      <c r="M560" s="9"/>
      <c r="N560" s="9"/>
      <c r="O560" s="60"/>
      <c r="P560" s="9"/>
      <c r="Q560" s="9"/>
      <c r="R560" s="64"/>
      <c r="S560" s="9"/>
      <c r="T560" s="9"/>
      <c r="U560" s="9"/>
      <c r="V560" s="9"/>
      <c r="W560" s="14"/>
      <c r="X560" s="9"/>
      <c r="Y560" s="9"/>
      <c r="Z560" s="15"/>
      <c r="AA560" s="15"/>
      <c r="AB560" s="15"/>
      <c r="AC560" s="15"/>
      <c r="AD560" s="15"/>
      <c r="AE560" s="15"/>
      <c r="AF560" s="15"/>
      <c r="AG560" s="15"/>
      <c r="AH560" s="15"/>
      <c r="AI560" s="15"/>
    </row>
    <row r="561" ht="15.75" customHeight="1">
      <c r="A561" s="16"/>
      <c r="B561" s="17" t="str">
        <f>IFERROR(__xludf.DUMMYFUNCTION("INDEX(IMPORTRANGE(""https://docs.google.com/spreadsheets/d/1S7deMHO2waboU9dywpXeKIDfCmjiuAc0HUIsFpaXQq8/edit?gid=0#gid=0"", ""Tracking Shipments - PPTCO!o:o""), MATCH(D561, IMPORTRANGE(""https://docs.google.com/spreadsheets/d/1S7deMHO2waboU9dywpXeKIDfCmji"&amp;"uAc0HUIsFpaXQq8/edit?gid=0#gid=0"", ""Tracking Shipments - PPTCO!p:p""), 0))"),"#N/A")</f>
        <v>#N/A</v>
      </c>
      <c r="C561" s="18"/>
      <c r="D561" s="18"/>
      <c r="E561" s="18"/>
      <c r="F561" s="18"/>
      <c r="G561" s="17"/>
      <c r="H561" s="18"/>
      <c r="I561" s="17"/>
      <c r="J561" s="17"/>
      <c r="K561" s="17"/>
      <c r="L561" s="17"/>
      <c r="M561" s="17"/>
      <c r="N561" s="17"/>
      <c r="O561" s="59"/>
      <c r="P561" s="17"/>
      <c r="Q561" s="17"/>
      <c r="R561" s="65"/>
      <c r="S561" s="17"/>
      <c r="T561" s="17"/>
      <c r="U561" s="17"/>
      <c r="V561" s="17"/>
      <c r="W561" s="16"/>
      <c r="X561" s="17"/>
      <c r="Y561" s="17"/>
      <c r="Z561" s="24"/>
      <c r="AA561" s="24"/>
      <c r="AB561" s="24"/>
      <c r="AC561" s="24"/>
      <c r="AD561" s="24"/>
      <c r="AE561" s="24"/>
      <c r="AF561" s="24"/>
      <c r="AG561" s="24"/>
      <c r="AH561" s="24"/>
      <c r="AI561" s="24"/>
    </row>
    <row r="562" ht="15.75" customHeight="1">
      <c r="A562" s="8"/>
      <c r="B562" s="9" t="str">
        <f>IFERROR(__xludf.DUMMYFUNCTION("INDEX(IMPORTRANGE(""https://docs.google.com/spreadsheets/d/1S7deMHO2waboU9dywpXeKIDfCmjiuAc0HUIsFpaXQq8/edit?gid=0#gid=0"", ""Tracking Shipments - PPTCO!o:o""), MATCH(D562, IMPORTRANGE(""https://docs.google.com/spreadsheets/d/1S7deMHO2waboU9dywpXeKIDfCmji"&amp;"uAc0HUIsFpaXQq8/edit?gid=0#gid=0"", ""Tracking Shipments - PPTCO!p:p""), 0))"),"#N/A")</f>
        <v>#N/A</v>
      </c>
      <c r="C562" s="14"/>
      <c r="D562" s="14"/>
      <c r="E562" s="9"/>
      <c r="F562" s="14"/>
      <c r="G562" s="9"/>
      <c r="H562" s="14"/>
      <c r="I562" s="9"/>
      <c r="J562" s="9"/>
      <c r="K562" s="9"/>
      <c r="L562" s="9"/>
      <c r="M562" s="9"/>
      <c r="N562" s="9"/>
      <c r="O562" s="60"/>
      <c r="P562" s="9"/>
      <c r="Q562" s="9"/>
      <c r="R562" s="64"/>
      <c r="S562" s="9"/>
      <c r="T562" s="9"/>
      <c r="U562" s="9"/>
      <c r="V562" s="9"/>
      <c r="W562" s="14"/>
      <c r="X562" s="9"/>
      <c r="Y562" s="9"/>
      <c r="Z562" s="15"/>
      <c r="AA562" s="15"/>
      <c r="AB562" s="15"/>
      <c r="AC562" s="15"/>
      <c r="AD562" s="15"/>
      <c r="AE562" s="15"/>
      <c r="AF562" s="15"/>
      <c r="AG562" s="15"/>
      <c r="AH562" s="15"/>
      <c r="AI562" s="15"/>
    </row>
    <row r="563" ht="15.75" customHeight="1">
      <c r="A563" s="16"/>
      <c r="B563" s="17" t="str">
        <f>IFERROR(__xludf.DUMMYFUNCTION("INDEX(IMPORTRANGE(""https://docs.google.com/spreadsheets/d/1S7deMHO2waboU9dywpXeKIDfCmjiuAc0HUIsFpaXQq8/edit?gid=0#gid=0"", ""Tracking Shipments - PPTCO!o:o""), MATCH(D563, IMPORTRANGE(""https://docs.google.com/spreadsheets/d/1S7deMHO2waboU9dywpXeKIDfCmji"&amp;"uAc0HUIsFpaXQq8/edit?gid=0#gid=0"", ""Tracking Shipments - PPTCO!p:p""), 0))"),"#N/A")</f>
        <v>#N/A</v>
      </c>
      <c r="C563" s="18"/>
      <c r="D563" s="18"/>
      <c r="E563" s="18"/>
      <c r="F563" s="18"/>
      <c r="G563" s="17"/>
      <c r="H563" s="18"/>
      <c r="I563" s="17"/>
      <c r="J563" s="17"/>
      <c r="K563" s="17"/>
      <c r="L563" s="17"/>
      <c r="M563" s="17"/>
      <c r="N563" s="17"/>
      <c r="O563" s="59"/>
      <c r="P563" s="17"/>
      <c r="Q563" s="17"/>
      <c r="R563" s="65"/>
      <c r="S563" s="17"/>
      <c r="T563" s="17"/>
      <c r="U563" s="17"/>
      <c r="V563" s="17"/>
      <c r="W563" s="18"/>
      <c r="X563" s="17"/>
      <c r="Y563" s="17"/>
      <c r="Z563" s="24"/>
      <c r="AA563" s="24"/>
      <c r="AB563" s="24"/>
      <c r="AC563" s="24"/>
      <c r="AD563" s="24"/>
      <c r="AE563" s="24"/>
      <c r="AF563" s="24"/>
      <c r="AG563" s="24"/>
      <c r="AH563" s="24"/>
      <c r="AI563" s="24"/>
    </row>
    <row r="564" ht="15.75" customHeight="1">
      <c r="A564" s="8"/>
      <c r="B564" s="9" t="str">
        <f>IFERROR(__xludf.DUMMYFUNCTION("INDEX(IMPORTRANGE(""https://docs.google.com/spreadsheets/d/1S7deMHO2waboU9dywpXeKIDfCmjiuAc0HUIsFpaXQq8/edit?gid=0#gid=0"", ""Tracking Shipments - PPTCO!o:o""), MATCH(D564, IMPORTRANGE(""https://docs.google.com/spreadsheets/d/1S7deMHO2waboU9dywpXeKIDfCmji"&amp;"uAc0HUIsFpaXQq8/edit?gid=0#gid=0"", ""Tracking Shipments - PPTCO!p:p""), 0))"),"#N/A")</f>
        <v>#N/A</v>
      </c>
      <c r="C564" s="14"/>
      <c r="D564" s="14"/>
      <c r="E564" s="9"/>
      <c r="F564" s="14"/>
      <c r="G564" s="9"/>
      <c r="H564" s="14"/>
      <c r="I564" s="9"/>
      <c r="J564" s="9"/>
      <c r="K564" s="9"/>
      <c r="L564" s="9"/>
      <c r="M564" s="9"/>
      <c r="N564" s="9"/>
      <c r="O564" s="60"/>
      <c r="P564" s="9"/>
      <c r="Q564" s="9"/>
      <c r="R564" s="64"/>
      <c r="S564" s="9"/>
      <c r="T564" s="9"/>
      <c r="U564" s="9"/>
      <c r="V564" s="9"/>
      <c r="W564" s="8"/>
      <c r="X564" s="9"/>
      <c r="Y564" s="9"/>
      <c r="Z564" s="15"/>
      <c r="AA564" s="15"/>
      <c r="AB564" s="15"/>
      <c r="AC564" s="15"/>
      <c r="AD564" s="15"/>
      <c r="AE564" s="15"/>
      <c r="AF564" s="15"/>
      <c r="AG564" s="15"/>
      <c r="AH564" s="15"/>
      <c r="AI564" s="15"/>
    </row>
    <row r="565" ht="15.75" customHeight="1">
      <c r="A565" s="16"/>
      <c r="B565" s="17" t="str">
        <f>IFERROR(__xludf.DUMMYFUNCTION("INDEX(IMPORTRANGE(""https://docs.google.com/spreadsheets/d/1S7deMHO2waboU9dywpXeKIDfCmjiuAc0HUIsFpaXQq8/edit?gid=0#gid=0"", ""Tracking Shipments - PPTCO!o:o""), MATCH(D565, IMPORTRANGE(""https://docs.google.com/spreadsheets/d/1S7deMHO2waboU9dywpXeKIDfCmji"&amp;"uAc0HUIsFpaXQq8/edit?gid=0#gid=0"", ""Tracking Shipments - PPTCO!p:p""), 0))"),"#N/A")</f>
        <v>#N/A</v>
      </c>
      <c r="C565" s="18"/>
      <c r="D565" s="18"/>
      <c r="E565" s="18"/>
      <c r="F565" s="18"/>
      <c r="G565" s="17"/>
      <c r="H565" s="18"/>
      <c r="I565" s="17"/>
      <c r="J565" s="17"/>
      <c r="K565" s="17"/>
      <c r="L565" s="17"/>
      <c r="M565" s="17"/>
      <c r="N565" s="17"/>
      <c r="O565" s="59"/>
      <c r="P565" s="17"/>
      <c r="Q565" s="17"/>
      <c r="R565" s="65"/>
      <c r="S565" s="17"/>
      <c r="T565" s="17"/>
      <c r="U565" s="17"/>
      <c r="V565" s="17"/>
      <c r="W565" s="18"/>
      <c r="X565" s="17"/>
      <c r="Y565" s="17"/>
      <c r="Z565" s="24"/>
      <c r="AA565" s="24"/>
      <c r="AB565" s="24"/>
      <c r="AC565" s="24"/>
      <c r="AD565" s="24"/>
      <c r="AE565" s="24"/>
      <c r="AF565" s="24"/>
      <c r="AG565" s="24"/>
      <c r="AH565" s="24"/>
      <c r="AI565" s="24"/>
    </row>
    <row r="566" ht="15.75" customHeight="1">
      <c r="A566" s="8"/>
      <c r="B566" s="9" t="str">
        <f>IFERROR(__xludf.DUMMYFUNCTION("INDEX(IMPORTRANGE(""https://docs.google.com/spreadsheets/d/1S7deMHO2waboU9dywpXeKIDfCmjiuAc0HUIsFpaXQq8/edit?gid=0#gid=0"", ""Tracking Shipments - PPTCO!o:o""), MATCH(D566, IMPORTRANGE(""https://docs.google.com/spreadsheets/d/1S7deMHO2waboU9dywpXeKIDfCmji"&amp;"uAc0HUIsFpaXQq8/edit?gid=0#gid=0"", ""Tracking Shipments - PPTCO!p:p""), 0))"),"#N/A")</f>
        <v>#N/A</v>
      </c>
      <c r="C566" s="14"/>
      <c r="D566" s="14"/>
      <c r="E566" s="9"/>
      <c r="F566" s="14"/>
      <c r="G566" s="9"/>
      <c r="H566" s="14"/>
      <c r="I566" s="9"/>
      <c r="J566" s="9"/>
      <c r="K566" s="9"/>
      <c r="L566" s="9"/>
      <c r="M566" s="9"/>
      <c r="N566" s="9"/>
      <c r="O566" s="60"/>
      <c r="P566" s="9"/>
      <c r="Q566" s="9"/>
      <c r="R566" s="64"/>
      <c r="S566" s="9"/>
      <c r="T566" s="9"/>
      <c r="U566" s="9"/>
      <c r="V566" s="9"/>
      <c r="W566" s="14"/>
      <c r="X566" s="9"/>
      <c r="Y566" s="9"/>
      <c r="Z566" s="15"/>
      <c r="AA566" s="15"/>
      <c r="AB566" s="15"/>
      <c r="AC566" s="15"/>
      <c r="AD566" s="15"/>
      <c r="AE566" s="15"/>
      <c r="AF566" s="15"/>
      <c r="AG566" s="15"/>
      <c r="AH566" s="15"/>
      <c r="AI566" s="15"/>
    </row>
    <row r="567" ht="15.75" customHeight="1">
      <c r="A567" s="16"/>
      <c r="B567" s="17" t="str">
        <f>IFERROR(__xludf.DUMMYFUNCTION("INDEX(IMPORTRANGE(""https://docs.google.com/spreadsheets/d/1S7deMHO2waboU9dywpXeKIDfCmjiuAc0HUIsFpaXQq8/edit?gid=0#gid=0"", ""Tracking Shipments - PPTCO!o:o""), MATCH(D567, IMPORTRANGE(""https://docs.google.com/spreadsheets/d/1S7deMHO2waboU9dywpXeKIDfCmji"&amp;"uAc0HUIsFpaXQq8/edit?gid=0#gid=0"", ""Tracking Shipments - PPTCO!p:p""), 0))"),"#N/A")</f>
        <v>#N/A</v>
      </c>
      <c r="C567" s="18"/>
      <c r="D567" s="18"/>
      <c r="E567" s="18"/>
      <c r="F567" s="18"/>
      <c r="G567" s="17"/>
      <c r="H567" s="18"/>
      <c r="I567" s="17"/>
      <c r="J567" s="17"/>
      <c r="K567" s="17"/>
      <c r="L567" s="17"/>
      <c r="M567" s="17"/>
      <c r="N567" s="17"/>
      <c r="O567" s="59"/>
      <c r="P567" s="17"/>
      <c r="Q567" s="17"/>
      <c r="R567" s="65"/>
      <c r="S567" s="17"/>
      <c r="T567" s="17"/>
      <c r="U567" s="17"/>
      <c r="V567" s="17"/>
      <c r="W567" s="16"/>
      <c r="X567" s="17"/>
      <c r="Y567" s="17"/>
      <c r="Z567" s="24"/>
      <c r="AA567" s="24"/>
      <c r="AB567" s="24"/>
      <c r="AC567" s="24"/>
      <c r="AD567" s="24"/>
      <c r="AE567" s="24"/>
      <c r="AF567" s="24"/>
      <c r="AG567" s="24"/>
      <c r="AH567" s="24"/>
      <c r="AI567" s="24"/>
    </row>
    <row r="568" ht="15.75" customHeight="1">
      <c r="A568" s="8"/>
      <c r="B568" s="9" t="str">
        <f>IFERROR(__xludf.DUMMYFUNCTION("INDEX(IMPORTRANGE(""https://docs.google.com/spreadsheets/d/1S7deMHO2waboU9dywpXeKIDfCmjiuAc0HUIsFpaXQq8/edit?gid=0#gid=0"", ""Tracking Shipments - PPTCO!o:o""), MATCH(D568, IMPORTRANGE(""https://docs.google.com/spreadsheets/d/1S7deMHO2waboU9dywpXeKIDfCmji"&amp;"uAc0HUIsFpaXQq8/edit?gid=0#gid=0"", ""Tracking Shipments - PPTCO!p:p""), 0))"),"#N/A")</f>
        <v>#N/A</v>
      </c>
      <c r="C568" s="14"/>
      <c r="D568" s="14"/>
      <c r="E568" s="9"/>
      <c r="F568" s="14"/>
      <c r="G568" s="9"/>
      <c r="H568" s="14"/>
      <c r="I568" s="9"/>
      <c r="J568" s="9"/>
      <c r="K568" s="9"/>
      <c r="L568" s="9"/>
      <c r="M568" s="9"/>
      <c r="N568" s="9"/>
      <c r="O568" s="60"/>
      <c r="P568" s="9"/>
      <c r="Q568" s="9"/>
      <c r="R568" s="64"/>
      <c r="S568" s="9"/>
      <c r="T568" s="9"/>
      <c r="U568" s="9"/>
      <c r="V568" s="9"/>
      <c r="W568" s="14"/>
      <c r="X568" s="9"/>
      <c r="Y568" s="9"/>
      <c r="Z568" s="15"/>
      <c r="AA568" s="15"/>
      <c r="AB568" s="15"/>
      <c r="AC568" s="15"/>
      <c r="AD568" s="15"/>
      <c r="AE568" s="15"/>
      <c r="AF568" s="15"/>
      <c r="AG568" s="15"/>
      <c r="AH568" s="15"/>
      <c r="AI568" s="15"/>
    </row>
    <row r="569" ht="15.75" customHeight="1">
      <c r="A569" s="16"/>
      <c r="B569" s="17" t="str">
        <f>IFERROR(__xludf.DUMMYFUNCTION("INDEX(IMPORTRANGE(""https://docs.google.com/spreadsheets/d/1S7deMHO2waboU9dywpXeKIDfCmjiuAc0HUIsFpaXQq8/edit?gid=0#gid=0"", ""Tracking Shipments - PPTCO!o:o""), MATCH(D569, IMPORTRANGE(""https://docs.google.com/spreadsheets/d/1S7deMHO2waboU9dywpXeKIDfCmji"&amp;"uAc0HUIsFpaXQq8/edit?gid=0#gid=0"", ""Tracking Shipments - PPTCO!p:p""), 0))"),"#N/A")</f>
        <v>#N/A</v>
      </c>
      <c r="C569" s="18"/>
      <c r="D569" s="18"/>
      <c r="E569" s="18"/>
      <c r="F569" s="18"/>
      <c r="G569" s="17"/>
      <c r="H569" s="18"/>
      <c r="I569" s="17"/>
      <c r="J569" s="17"/>
      <c r="K569" s="17"/>
      <c r="L569" s="17"/>
      <c r="M569" s="17"/>
      <c r="N569" s="17"/>
      <c r="O569" s="59"/>
      <c r="P569" s="17"/>
      <c r="Q569" s="17"/>
      <c r="R569" s="65"/>
      <c r="S569" s="17"/>
      <c r="T569" s="17"/>
      <c r="U569" s="17"/>
      <c r="V569" s="17"/>
      <c r="W569" s="18"/>
      <c r="X569" s="17"/>
      <c r="Y569" s="17"/>
      <c r="Z569" s="24"/>
      <c r="AA569" s="24"/>
      <c r="AB569" s="24"/>
      <c r="AC569" s="24"/>
      <c r="AD569" s="24"/>
      <c r="AE569" s="24"/>
      <c r="AF569" s="24"/>
      <c r="AG569" s="24"/>
      <c r="AH569" s="24"/>
      <c r="AI569" s="24"/>
    </row>
    <row r="570" ht="15.75" customHeight="1">
      <c r="A570" s="8"/>
      <c r="B570" s="9" t="str">
        <f>IFERROR(__xludf.DUMMYFUNCTION("INDEX(IMPORTRANGE(""https://docs.google.com/spreadsheets/d/1S7deMHO2waboU9dywpXeKIDfCmjiuAc0HUIsFpaXQq8/edit?gid=0#gid=0"", ""Tracking Shipments - PPTCO!o:o""), MATCH(D570, IMPORTRANGE(""https://docs.google.com/spreadsheets/d/1S7deMHO2waboU9dywpXeKIDfCmji"&amp;"uAc0HUIsFpaXQq8/edit?gid=0#gid=0"", ""Tracking Shipments - PPTCO!p:p""), 0))"),"#N/A")</f>
        <v>#N/A</v>
      </c>
      <c r="C570" s="14"/>
      <c r="D570" s="14"/>
      <c r="E570" s="9"/>
      <c r="F570" s="14"/>
      <c r="G570" s="9"/>
      <c r="H570" s="14"/>
      <c r="I570" s="9"/>
      <c r="J570" s="9"/>
      <c r="K570" s="9"/>
      <c r="L570" s="9"/>
      <c r="M570" s="9"/>
      <c r="N570" s="9"/>
      <c r="O570" s="60"/>
      <c r="P570" s="9"/>
      <c r="Q570" s="9"/>
      <c r="R570" s="64"/>
      <c r="S570" s="9"/>
      <c r="T570" s="9"/>
      <c r="U570" s="9"/>
      <c r="V570" s="9"/>
      <c r="W570" s="8"/>
      <c r="X570" s="9"/>
      <c r="Y570" s="9"/>
      <c r="Z570" s="15"/>
      <c r="AA570" s="15"/>
      <c r="AB570" s="15"/>
      <c r="AC570" s="15"/>
      <c r="AD570" s="15"/>
      <c r="AE570" s="15"/>
      <c r="AF570" s="15"/>
      <c r="AG570" s="15"/>
      <c r="AH570" s="15"/>
      <c r="AI570" s="15"/>
    </row>
    <row r="571" ht="15.75" customHeight="1">
      <c r="A571" s="16"/>
      <c r="B571" s="17" t="str">
        <f>IFERROR(__xludf.DUMMYFUNCTION("INDEX(IMPORTRANGE(""https://docs.google.com/spreadsheets/d/1S7deMHO2waboU9dywpXeKIDfCmjiuAc0HUIsFpaXQq8/edit?gid=0#gid=0"", ""Tracking Shipments - PPTCO!o:o""), MATCH(D571, IMPORTRANGE(""https://docs.google.com/spreadsheets/d/1S7deMHO2waboU9dywpXeKIDfCmji"&amp;"uAc0HUIsFpaXQq8/edit?gid=0#gid=0"", ""Tracking Shipments - PPTCO!p:p""), 0))"),"#N/A")</f>
        <v>#N/A</v>
      </c>
      <c r="C571" s="18"/>
      <c r="D571" s="18"/>
      <c r="E571" s="18"/>
      <c r="F571" s="18"/>
      <c r="G571" s="17"/>
      <c r="H571" s="18"/>
      <c r="I571" s="17"/>
      <c r="J571" s="17"/>
      <c r="K571" s="17"/>
      <c r="L571" s="17"/>
      <c r="M571" s="17"/>
      <c r="N571" s="17"/>
      <c r="O571" s="59"/>
      <c r="P571" s="17"/>
      <c r="Q571" s="17"/>
      <c r="R571" s="65"/>
      <c r="S571" s="17"/>
      <c r="T571" s="17"/>
      <c r="U571" s="17"/>
      <c r="V571" s="17"/>
      <c r="W571" s="18"/>
      <c r="X571" s="17"/>
      <c r="Y571" s="17"/>
      <c r="Z571" s="24"/>
      <c r="AA571" s="24"/>
      <c r="AB571" s="24"/>
      <c r="AC571" s="24"/>
      <c r="AD571" s="24"/>
      <c r="AE571" s="24"/>
      <c r="AF571" s="24"/>
      <c r="AG571" s="24"/>
      <c r="AH571" s="24"/>
      <c r="AI571" s="24"/>
    </row>
    <row r="572" ht="15.75" customHeight="1">
      <c r="A572" s="8"/>
      <c r="B572" s="9" t="str">
        <f>IFERROR(__xludf.DUMMYFUNCTION("INDEX(IMPORTRANGE(""https://docs.google.com/spreadsheets/d/1S7deMHO2waboU9dywpXeKIDfCmjiuAc0HUIsFpaXQq8/edit?gid=0#gid=0"", ""Tracking Shipments - PPTCO!o:o""), MATCH(D572, IMPORTRANGE(""https://docs.google.com/spreadsheets/d/1S7deMHO2waboU9dywpXeKIDfCmji"&amp;"uAc0HUIsFpaXQq8/edit?gid=0#gid=0"", ""Tracking Shipments - PPTCO!p:p""), 0))"),"#N/A")</f>
        <v>#N/A</v>
      </c>
      <c r="C572" s="14"/>
      <c r="D572" s="14"/>
      <c r="E572" s="9"/>
      <c r="F572" s="14"/>
      <c r="G572" s="9"/>
      <c r="H572" s="14"/>
      <c r="I572" s="9"/>
      <c r="J572" s="9"/>
      <c r="K572" s="9"/>
      <c r="L572" s="9"/>
      <c r="M572" s="9"/>
      <c r="N572" s="9"/>
      <c r="O572" s="60"/>
      <c r="P572" s="9"/>
      <c r="Q572" s="9"/>
      <c r="R572" s="64"/>
      <c r="S572" s="9"/>
      <c r="T572" s="9"/>
      <c r="U572" s="9"/>
      <c r="V572" s="9"/>
      <c r="W572" s="14"/>
      <c r="X572" s="9"/>
      <c r="Y572" s="9"/>
      <c r="Z572" s="15"/>
      <c r="AA572" s="15"/>
      <c r="AB572" s="15"/>
      <c r="AC572" s="15"/>
      <c r="AD572" s="15"/>
      <c r="AE572" s="15"/>
      <c r="AF572" s="15"/>
      <c r="AG572" s="15"/>
      <c r="AH572" s="15"/>
      <c r="AI572" s="15"/>
    </row>
    <row r="573" ht="15.75" customHeight="1">
      <c r="A573" s="16"/>
      <c r="B573" s="17" t="str">
        <f>IFERROR(__xludf.DUMMYFUNCTION("INDEX(IMPORTRANGE(""https://docs.google.com/spreadsheets/d/1S7deMHO2waboU9dywpXeKIDfCmjiuAc0HUIsFpaXQq8/edit?gid=0#gid=0"", ""Tracking Shipments - PPTCO!o:o""), MATCH(D573, IMPORTRANGE(""https://docs.google.com/spreadsheets/d/1S7deMHO2waboU9dywpXeKIDfCmji"&amp;"uAc0HUIsFpaXQq8/edit?gid=0#gid=0"", ""Tracking Shipments - PPTCO!p:p""), 0))"),"#N/A")</f>
        <v>#N/A</v>
      </c>
      <c r="C573" s="18"/>
      <c r="D573" s="18"/>
      <c r="E573" s="18"/>
      <c r="F573" s="18"/>
      <c r="G573" s="17"/>
      <c r="H573" s="18"/>
      <c r="I573" s="17"/>
      <c r="J573" s="17"/>
      <c r="K573" s="17"/>
      <c r="L573" s="17"/>
      <c r="M573" s="17"/>
      <c r="N573" s="17"/>
      <c r="O573" s="59"/>
      <c r="P573" s="17"/>
      <c r="Q573" s="17"/>
      <c r="R573" s="65"/>
      <c r="S573" s="17"/>
      <c r="T573" s="17"/>
      <c r="U573" s="17"/>
      <c r="V573" s="17"/>
      <c r="W573" s="16"/>
      <c r="X573" s="17"/>
      <c r="Y573" s="17"/>
      <c r="Z573" s="24"/>
      <c r="AA573" s="24"/>
      <c r="AB573" s="24"/>
      <c r="AC573" s="24"/>
      <c r="AD573" s="24"/>
      <c r="AE573" s="24"/>
      <c r="AF573" s="24"/>
      <c r="AG573" s="24"/>
      <c r="AH573" s="24"/>
      <c r="AI573" s="24"/>
    </row>
    <row r="574" ht="15.75" customHeight="1">
      <c r="A574" s="8"/>
      <c r="B574" s="9" t="str">
        <f>IFERROR(__xludf.DUMMYFUNCTION("INDEX(IMPORTRANGE(""https://docs.google.com/spreadsheets/d/1S7deMHO2waboU9dywpXeKIDfCmjiuAc0HUIsFpaXQq8/edit?gid=0#gid=0"", ""Tracking Shipments - PPTCO!o:o""), MATCH(D574, IMPORTRANGE(""https://docs.google.com/spreadsheets/d/1S7deMHO2waboU9dywpXeKIDfCmji"&amp;"uAc0HUIsFpaXQq8/edit?gid=0#gid=0"", ""Tracking Shipments - PPTCO!p:p""), 0))"),"#N/A")</f>
        <v>#N/A</v>
      </c>
      <c r="C574" s="14"/>
      <c r="D574" s="14"/>
      <c r="E574" s="9"/>
      <c r="F574" s="14"/>
      <c r="G574" s="9"/>
      <c r="H574" s="14"/>
      <c r="I574" s="9"/>
      <c r="J574" s="9"/>
      <c r="K574" s="9"/>
      <c r="L574" s="9"/>
      <c r="M574" s="9"/>
      <c r="N574" s="9"/>
      <c r="O574" s="60"/>
      <c r="P574" s="9"/>
      <c r="Q574" s="9"/>
      <c r="R574" s="64"/>
      <c r="S574" s="9"/>
      <c r="T574" s="9"/>
      <c r="U574" s="9"/>
      <c r="V574" s="9"/>
      <c r="W574" s="14"/>
      <c r="X574" s="9"/>
      <c r="Y574" s="9"/>
      <c r="Z574" s="15"/>
      <c r="AA574" s="15"/>
      <c r="AB574" s="15"/>
      <c r="AC574" s="15"/>
      <c r="AD574" s="15"/>
      <c r="AE574" s="15"/>
      <c r="AF574" s="15"/>
      <c r="AG574" s="15"/>
      <c r="AH574" s="15"/>
      <c r="AI574" s="15"/>
    </row>
    <row r="575" ht="15.75" customHeight="1">
      <c r="A575" s="16"/>
      <c r="B575" s="17" t="str">
        <f>IFERROR(__xludf.DUMMYFUNCTION("INDEX(IMPORTRANGE(""https://docs.google.com/spreadsheets/d/1S7deMHO2waboU9dywpXeKIDfCmjiuAc0HUIsFpaXQq8/edit?gid=0#gid=0"", ""Tracking Shipments - PPTCO!o:o""), MATCH(D575, IMPORTRANGE(""https://docs.google.com/spreadsheets/d/1S7deMHO2waboU9dywpXeKIDfCmji"&amp;"uAc0HUIsFpaXQq8/edit?gid=0#gid=0"", ""Tracking Shipments - PPTCO!p:p""), 0))"),"#N/A")</f>
        <v>#N/A</v>
      </c>
      <c r="C575" s="18"/>
      <c r="D575" s="18"/>
      <c r="E575" s="18"/>
      <c r="F575" s="18"/>
      <c r="G575" s="17"/>
      <c r="H575" s="18"/>
      <c r="I575" s="17"/>
      <c r="J575" s="17"/>
      <c r="K575" s="17"/>
      <c r="L575" s="17"/>
      <c r="M575" s="17"/>
      <c r="N575" s="17"/>
      <c r="O575" s="59"/>
      <c r="P575" s="17"/>
      <c r="Q575" s="17"/>
      <c r="R575" s="65"/>
      <c r="S575" s="17"/>
      <c r="T575" s="17"/>
      <c r="U575" s="17"/>
      <c r="V575" s="17"/>
      <c r="W575" s="18"/>
      <c r="X575" s="17"/>
      <c r="Y575" s="17"/>
      <c r="Z575" s="24"/>
      <c r="AA575" s="24"/>
      <c r="AB575" s="24"/>
      <c r="AC575" s="24"/>
      <c r="AD575" s="24"/>
      <c r="AE575" s="24"/>
      <c r="AF575" s="24"/>
      <c r="AG575" s="24"/>
      <c r="AH575" s="24"/>
      <c r="AI575" s="24"/>
    </row>
    <row r="576" ht="15.75" customHeight="1">
      <c r="A576" s="8"/>
      <c r="B576" s="9" t="str">
        <f>IFERROR(__xludf.DUMMYFUNCTION("INDEX(IMPORTRANGE(""https://docs.google.com/spreadsheets/d/1S7deMHO2waboU9dywpXeKIDfCmjiuAc0HUIsFpaXQq8/edit?gid=0#gid=0"", ""Tracking Shipments - PPTCO!o:o""), MATCH(D576, IMPORTRANGE(""https://docs.google.com/spreadsheets/d/1S7deMHO2waboU9dywpXeKIDfCmji"&amp;"uAc0HUIsFpaXQq8/edit?gid=0#gid=0"", ""Tracking Shipments - PPTCO!p:p""), 0))"),"#N/A")</f>
        <v>#N/A</v>
      </c>
      <c r="C576" s="14"/>
      <c r="D576" s="14"/>
      <c r="E576" s="9"/>
      <c r="F576" s="14"/>
      <c r="G576" s="9"/>
      <c r="H576" s="14"/>
      <c r="I576" s="9"/>
      <c r="J576" s="9"/>
      <c r="K576" s="9"/>
      <c r="L576" s="9"/>
      <c r="M576" s="9"/>
      <c r="N576" s="9"/>
      <c r="O576" s="60"/>
      <c r="P576" s="9"/>
      <c r="Q576" s="9"/>
      <c r="R576" s="64"/>
      <c r="S576" s="9"/>
      <c r="T576" s="9"/>
      <c r="U576" s="9"/>
      <c r="V576" s="9"/>
      <c r="W576" s="8"/>
      <c r="X576" s="9"/>
      <c r="Y576" s="9"/>
      <c r="Z576" s="15"/>
      <c r="AA576" s="15"/>
      <c r="AB576" s="15"/>
      <c r="AC576" s="15"/>
      <c r="AD576" s="15"/>
      <c r="AE576" s="15"/>
      <c r="AF576" s="15"/>
      <c r="AG576" s="15"/>
      <c r="AH576" s="15"/>
      <c r="AI576" s="15"/>
    </row>
    <row r="577" ht="15.75" customHeight="1">
      <c r="A577" s="16"/>
      <c r="B577" s="17" t="str">
        <f>IFERROR(__xludf.DUMMYFUNCTION("INDEX(IMPORTRANGE(""https://docs.google.com/spreadsheets/d/1S7deMHO2waboU9dywpXeKIDfCmjiuAc0HUIsFpaXQq8/edit?gid=0#gid=0"", ""Tracking Shipments - PPTCO!o:o""), MATCH(D577, IMPORTRANGE(""https://docs.google.com/spreadsheets/d/1S7deMHO2waboU9dywpXeKIDfCmji"&amp;"uAc0HUIsFpaXQq8/edit?gid=0#gid=0"", ""Tracking Shipments - PPTCO!p:p""), 0))"),"#N/A")</f>
        <v>#N/A</v>
      </c>
      <c r="C577" s="18"/>
      <c r="D577" s="18"/>
      <c r="E577" s="18"/>
      <c r="F577" s="18"/>
      <c r="G577" s="17"/>
      <c r="H577" s="18"/>
      <c r="I577" s="17"/>
      <c r="J577" s="17"/>
      <c r="K577" s="17"/>
      <c r="L577" s="17"/>
      <c r="M577" s="17"/>
      <c r="N577" s="17"/>
      <c r="O577" s="59"/>
      <c r="P577" s="17"/>
      <c r="Q577" s="17"/>
      <c r="R577" s="65"/>
      <c r="S577" s="17"/>
      <c r="T577" s="17"/>
      <c r="U577" s="17"/>
      <c r="V577" s="17"/>
      <c r="W577" s="18"/>
      <c r="X577" s="17"/>
      <c r="Y577" s="17"/>
      <c r="Z577" s="24"/>
      <c r="AA577" s="24"/>
      <c r="AB577" s="24"/>
      <c r="AC577" s="24"/>
      <c r="AD577" s="24"/>
      <c r="AE577" s="24"/>
      <c r="AF577" s="24"/>
      <c r="AG577" s="24"/>
      <c r="AH577" s="24"/>
      <c r="AI577" s="24"/>
    </row>
    <row r="578" ht="15.75" customHeight="1">
      <c r="A578" s="8"/>
      <c r="B578" s="9" t="str">
        <f>IFERROR(__xludf.DUMMYFUNCTION("INDEX(IMPORTRANGE(""https://docs.google.com/spreadsheets/d/1S7deMHO2waboU9dywpXeKIDfCmjiuAc0HUIsFpaXQq8/edit?gid=0#gid=0"", ""Tracking Shipments - PPTCO!o:o""), MATCH(D578, IMPORTRANGE(""https://docs.google.com/spreadsheets/d/1S7deMHO2waboU9dywpXeKIDfCmji"&amp;"uAc0HUIsFpaXQq8/edit?gid=0#gid=0"", ""Tracking Shipments - PPTCO!p:p""), 0))"),"#N/A")</f>
        <v>#N/A</v>
      </c>
      <c r="C578" s="14"/>
      <c r="D578" s="14"/>
      <c r="E578" s="9"/>
      <c r="F578" s="14"/>
      <c r="G578" s="9"/>
      <c r="H578" s="14"/>
      <c r="I578" s="9"/>
      <c r="J578" s="9"/>
      <c r="K578" s="9"/>
      <c r="L578" s="9"/>
      <c r="M578" s="9"/>
      <c r="N578" s="9"/>
      <c r="O578" s="60"/>
      <c r="P578" s="9"/>
      <c r="Q578" s="9"/>
      <c r="R578" s="64"/>
      <c r="S578" s="9"/>
      <c r="T578" s="9"/>
      <c r="U578" s="9"/>
      <c r="V578" s="9"/>
      <c r="W578" s="14"/>
      <c r="X578" s="9"/>
      <c r="Y578" s="9"/>
      <c r="Z578" s="15"/>
      <c r="AA578" s="15"/>
      <c r="AB578" s="15"/>
      <c r="AC578" s="15"/>
      <c r="AD578" s="15"/>
      <c r="AE578" s="15"/>
      <c r="AF578" s="15"/>
      <c r="AG578" s="15"/>
      <c r="AH578" s="15"/>
      <c r="AI578" s="15"/>
    </row>
    <row r="579" ht="15.75" customHeight="1">
      <c r="A579" s="16"/>
      <c r="B579" s="17" t="str">
        <f>IFERROR(__xludf.DUMMYFUNCTION("INDEX(IMPORTRANGE(""https://docs.google.com/spreadsheets/d/1S7deMHO2waboU9dywpXeKIDfCmjiuAc0HUIsFpaXQq8/edit?gid=0#gid=0"", ""Tracking Shipments - PPTCO!o:o""), MATCH(D579, IMPORTRANGE(""https://docs.google.com/spreadsheets/d/1S7deMHO2waboU9dywpXeKIDfCmji"&amp;"uAc0HUIsFpaXQq8/edit?gid=0#gid=0"", ""Tracking Shipments - PPTCO!p:p""), 0))"),"#N/A")</f>
        <v>#N/A</v>
      </c>
      <c r="C579" s="18"/>
      <c r="D579" s="18"/>
      <c r="E579" s="18"/>
      <c r="F579" s="18"/>
      <c r="G579" s="17"/>
      <c r="H579" s="18"/>
      <c r="I579" s="17"/>
      <c r="J579" s="17"/>
      <c r="K579" s="17"/>
      <c r="L579" s="17"/>
      <c r="M579" s="17"/>
      <c r="N579" s="17"/>
      <c r="O579" s="59"/>
      <c r="P579" s="17"/>
      <c r="Q579" s="17"/>
      <c r="R579" s="65"/>
      <c r="S579" s="17"/>
      <c r="T579" s="17"/>
      <c r="U579" s="17"/>
      <c r="V579" s="17"/>
      <c r="W579" s="16"/>
      <c r="X579" s="17"/>
      <c r="Y579" s="17"/>
      <c r="Z579" s="24"/>
      <c r="AA579" s="24"/>
      <c r="AB579" s="24"/>
      <c r="AC579" s="24"/>
      <c r="AD579" s="24"/>
      <c r="AE579" s="24"/>
      <c r="AF579" s="24"/>
      <c r="AG579" s="24"/>
      <c r="AH579" s="24"/>
      <c r="AI579" s="24"/>
    </row>
    <row r="580" ht="15.75" customHeight="1">
      <c r="A580" s="8"/>
      <c r="B580" s="9" t="str">
        <f>IFERROR(__xludf.DUMMYFUNCTION("INDEX(IMPORTRANGE(""https://docs.google.com/spreadsheets/d/1S7deMHO2waboU9dywpXeKIDfCmjiuAc0HUIsFpaXQq8/edit?gid=0#gid=0"", ""Tracking Shipments - PPTCO!o:o""), MATCH(D580, IMPORTRANGE(""https://docs.google.com/spreadsheets/d/1S7deMHO2waboU9dywpXeKIDfCmji"&amp;"uAc0HUIsFpaXQq8/edit?gid=0#gid=0"", ""Tracking Shipments - PPTCO!p:p""), 0))"),"#N/A")</f>
        <v>#N/A</v>
      </c>
      <c r="C580" s="14"/>
      <c r="D580" s="14"/>
      <c r="E580" s="9"/>
      <c r="F580" s="14"/>
      <c r="G580" s="9"/>
      <c r="H580" s="14"/>
      <c r="I580" s="9"/>
      <c r="J580" s="9"/>
      <c r="K580" s="9"/>
      <c r="L580" s="9"/>
      <c r="M580" s="9"/>
      <c r="N580" s="9"/>
      <c r="O580" s="60"/>
      <c r="P580" s="9"/>
      <c r="Q580" s="9"/>
      <c r="R580" s="64"/>
      <c r="S580" s="9"/>
      <c r="T580" s="9"/>
      <c r="U580" s="9"/>
      <c r="V580" s="9"/>
      <c r="W580" s="14"/>
      <c r="X580" s="9"/>
      <c r="Y580" s="9"/>
      <c r="Z580" s="15"/>
      <c r="AA580" s="15"/>
      <c r="AB580" s="15"/>
      <c r="AC580" s="15"/>
      <c r="AD580" s="15"/>
      <c r="AE580" s="15"/>
      <c r="AF580" s="15"/>
      <c r="AG580" s="15"/>
      <c r="AH580" s="15"/>
      <c r="AI580" s="15"/>
    </row>
    <row r="581" ht="15.75" customHeight="1">
      <c r="A581" s="16"/>
      <c r="B581" s="17" t="str">
        <f>IFERROR(__xludf.DUMMYFUNCTION("INDEX(IMPORTRANGE(""https://docs.google.com/spreadsheets/d/1S7deMHO2waboU9dywpXeKIDfCmjiuAc0HUIsFpaXQq8/edit?gid=0#gid=0"", ""Tracking Shipments - PPTCO!o:o""), MATCH(D581, IMPORTRANGE(""https://docs.google.com/spreadsheets/d/1S7deMHO2waboU9dywpXeKIDfCmji"&amp;"uAc0HUIsFpaXQq8/edit?gid=0#gid=0"", ""Tracking Shipments - PPTCO!p:p""), 0))"),"#N/A")</f>
        <v>#N/A</v>
      </c>
      <c r="C581" s="18"/>
      <c r="D581" s="18"/>
      <c r="E581" s="18"/>
      <c r="F581" s="18"/>
      <c r="G581" s="17"/>
      <c r="H581" s="18"/>
      <c r="I581" s="17"/>
      <c r="J581" s="17"/>
      <c r="K581" s="17"/>
      <c r="L581" s="17"/>
      <c r="M581" s="17"/>
      <c r="N581" s="17"/>
      <c r="O581" s="59"/>
      <c r="P581" s="17"/>
      <c r="Q581" s="17"/>
      <c r="R581" s="65"/>
      <c r="S581" s="17"/>
      <c r="T581" s="17"/>
      <c r="U581" s="17"/>
      <c r="V581" s="17"/>
      <c r="W581" s="18"/>
      <c r="X581" s="17"/>
      <c r="Y581" s="17"/>
      <c r="Z581" s="24"/>
      <c r="AA581" s="24"/>
      <c r="AB581" s="24"/>
      <c r="AC581" s="24"/>
      <c r="AD581" s="24"/>
      <c r="AE581" s="24"/>
      <c r="AF581" s="24"/>
      <c r="AG581" s="24"/>
      <c r="AH581" s="24"/>
      <c r="AI581" s="24"/>
    </row>
    <row r="582" ht="15.75" customHeight="1">
      <c r="A582" s="8"/>
      <c r="B582" s="9" t="str">
        <f>IFERROR(__xludf.DUMMYFUNCTION("INDEX(IMPORTRANGE(""https://docs.google.com/spreadsheets/d/1S7deMHO2waboU9dywpXeKIDfCmjiuAc0HUIsFpaXQq8/edit?gid=0#gid=0"", ""Tracking Shipments - PPTCO!o:o""), MATCH(D582, IMPORTRANGE(""https://docs.google.com/spreadsheets/d/1S7deMHO2waboU9dywpXeKIDfCmji"&amp;"uAc0HUIsFpaXQq8/edit?gid=0#gid=0"", ""Tracking Shipments - PPTCO!p:p""), 0))"),"#N/A")</f>
        <v>#N/A</v>
      </c>
      <c r="C582" s="14"/>
      <c r="D582" s="14"/>
      <c r="E582" s="9"/>
      <c r="F582" s="14"/>
      <c r="G582" s="9"/>
      <c r="H582" s="14"/>
      <c r="I582" s="9"/>
      <c r="J582" s="9"/>
      <c r="K582" s="9"/>
      <c r="L582" s="9"/>
      <c r="M582" s="9"/>
      <c r="N582" s="9"/>
      <c r="O582" s="60"/>
      <c r="P582" s="9"/>
      <c r="Q582" s="9"/>
      <c r="R582" s="64"/>
      <c r="S582" s="9"/>
      <c r="T582" s="9"/>
      <c r="U582" s="9"/>
      <c r="V582" s="9"/>
      <c r="W582" s="8"/>
      <c r="X582" s="9"/>
      <c r="Y582" s="9"/>
      <c r="Z582" s="15"/>
      <c r="AA582" s="15"/>
      <c r="AB582" s="15"/>
      <c r="AC582" s="15"/>
      <c r="AD582" s="15"/>
      <c r="AE582" s="15"/>
      <c r="AF582" s="15"/>
      <c r="AG582" s="15"/>
      <c r="AH582" s="15"/>
      <c r="AI582" s="15"/>
    </row>
    <row r="583" ht="15.75" customHeight="1">
      <c r="A583" s="16"/>
      <c r="B583" s="17" t="str">
        <f>IFERROR(__xludf.DUMMYFUNCTION("INDEX(IMPORTRANGE(""https://docs.google.com/spreadsheets/d/1S7deMHO2waboU9dywpXeKIDfCmjiuAc0HUIsFpaXQq8/edit?gid=0#gid=0"", ""Tracking Shipments - PPTCO!o:o""), MATCH(D583, IMPORTRANGE(""https://docs.google.com/spreadsheets/d/1S7deMHO2waboU9dywpXeKIDfCmji"&amp;"uAc0HUIsFpaXQq8/edit?gid=0#gid=0"", ""Tracking Shipments - PPTCO!p:p""), 0))"),"#N/A")</f>
        <v>#N/A</v>
      </c>
      <c r="C583" s="18"/>
      <c r="D583" s="18"/>
      <c r="E583" s="18"/>
      <c r="F583" s="18"/>
      <c r="G583" s="17"/>
      <c r="H583" s="18"/>
      <c r="I583" s="17"/>
      <c r="J583" s="17"/>
      <c r="K583" s="17"/>
      <c r="L583" s="17"/>
      <c r="M583" s="17"/>
      <c r="N583" s="17"/>
      <c r="O583" s="59"/>
      <c r="P583" s="17"/>
      <c r="Q583" s="17"/>
      <c r="R583" s="65"/>
      <c r="S583" s="17"/>
      <c r="T583" s="17"/>
      <c r="U583" s="17"/>
      <c r="V583" s="17"/>
      <c r="W583" s="18"/>
      <c r="X583" s="17"/>
      <c r="Y583" s="17"/>
      <c r="Z583" s="24"/>
      <c r="AA583" s="24"/>
      <c r="AB583" s="24"/>
      <c r="AC583" s="24"/>
      <c r="AD583" s="24"/>
      <c r="AE583" s="24"/>
      <c r="AF583" s="24"/>
      <c r="AG583" s="24"/>
      <c r="AH583" s="24"/>
      <c r="AI583" s="24"/>
    </row>
    <row r="584" ht="15.75" customHeight="1">
      <c r="A584" s="8"/>
      <c r="B584" s="9" t="str">
        <f>IFERROR(__xludf.DUMMYFUNCTION("INDEX(IMPORTRANGE(""https://docs.google.com/spreadsheets/d/1S7deMHO2waboU9dywpXeKIDfCmjiuAc0HUIsFpaXQq8/edit?gid=0#gid=0"", ""Tracking Shipments - PPTCO!o:o""), MATCH(D584, IMPORTRANGE(""https://docs.google.com/spreadsheets/d/1S7deMHO2waboU9dywpXeKIDfCmji"&amp;"uAc0HUIsFpaXQq8/edit?gid=0#gid=0"", ""Tracking Shipments - PPTCO!p:p""), 0))"),"#N/A")</f>
        <v>#N/A</v>
      </c>
      <c r="C584" s="14"/>
      <c r="D584" s="14"/>
      <c r="E584" s="9"/>
      <c r="F584" s="14"/>
      <c r="G584" s="9"/>
      <c r="H584" s="14"/>
      <c r="I584" s="9"/>
      <c r="J584" s="9"/>
      <c r="K584" s="9"/>
      <c r="L584" s="9"/>
      <c r="M584" s="9"/>
      <c r="N584" s="9"/>
      <c r="O584" s="60"/>
      <c r="P584" s="9"/>
      <c r="Q584" s="9"/>
      <c r="R584" s="64"/>
      <c r="S584" s="9"/>
      <c r="T584" s="9"/>
      <c r="U584" s="9"/>
      <c r="V584" s="9"/>
      <c r="W584" s="14"/>
      <c r="X584" s="9"/>
      <c r="Y584" s="9"/>
      <c r="Z584" s="15"/>
      <c r="AA584" s="15"/>
      <c r="AB584" s="15"/>
      <c r="AC584" s="15"/>
      <c r="AD584" s="15"/>
      <c r="AE584" s="15"/>
      <c r="AF584" s="15"/>
      <c r="AG584" s="15"/>
      <c r="AH584" s="15"/>
      <c r="AI584" s="15"/>
    </row>
    <row r="585" ht="15.75" customHeight="1">
      <c r="A585" s="16"/>
      <c r="B585" s="17" t="str">
        <f>IFERROR(__xludf.DUMMYFUNCTION("INDEX(IMPORTRANGE(""https://docs.google.com/spreadsheets/d/1S7deMHO2waboU9dywpXeKIDfCmjiuAc0HUIsFpaXQq8/edit?gid=0#gid=0"", ""Tracking Shipments - PPTCO!o:o""), MATCH(D585, IMPORTRANGE(""https://docs.google.com/spreadsheets/d/1S7deMHO2waboU9dywpXeKIDfCmji"&amp;"uAc0HUIsFpaXQq8/edit?gid=0#gid=0"", ""Tracking Shipments - PPTCO!p:p""), 0))"),"#N/A")</f>
        <v>#N/A</v>
      </c>
      <c r="C585" s="18"/>
      <c r="D585" s="18"/>
      <c r="E585" s="18"/>
      <c r="F585" s="18"/>
      <c r="G585" s="17"/>
      <c r="H585" s="18"/>
      <c r="I585" s="17"/>
      <c r="J585" s="17"/>
      <c r="K585" s="17"/>
      <c r="L585" s="17"/>
      <c r="M585" s="17"/>
      <c r="N585" s="17"/>
      <c r="O585" s="59"/>
      <c r="P585" s="17"/>
      <c r="Q585" s="17"/>
      <c r="R585" s="65"/>
      <c r="S585" s="17"/>
      <c r="T585" s="17"/>
      <c r="U585" s="17"/>
      <c r="V585" s="17"/>
      <c r="W585" s="16"/>
      <c r="X585" s="17"/>
      <c r="Y585" s="17"/>
      <c r="Z585" s="24"/>
      <c r="AA585" s="24"/>
      <c r="AB585" s="24"/>
      <c r="AC585" s="24"/>
      <c r="AD585" s="24"/>
      <c r="AE585" s="24"/>
      <c r="AF585" s="24"/>
      <c r="AG585" s="24"/>
      <c r="AH585" s="24"/>
      <c r="AI585" s="24"/>
    </row>
    <row r="586" ht="15.75" customHeight="1">
      <c r="A586" s="8"/>
      <c r="B586" s="9" t="str">
        <f>IFERROR(__xludf.DUMMYFUNCTION("INDEX(IMPORTRANGE(""https://docs.google.com/spreadsheets/d/1S7deMHO2waboU9dywpXeKIDfCmjiuAc0HUIsFpaXQq8/edit?gid=0#gid=0"", ""Tracking Shipments - PPTCO!o:o""), MATCH(D586, IMPORTRANGE(""https://docs.google.com/spreadsheets/d/1S7deMHO2waboU9dywpXeKIDfCmji"&amp;"uAc0HUIsFpaXQq8/edit?gid=0#gid=0"", ""Tracking Shipments - PPTCO!p:p""), 0))"),"#N/A")</f>
        <v>#N/A</v>
      </c>
      <c r="C586" s="14"/>
      <c r="D586" s="14"/>
      <c r="E586" s="9"/>
      <c r="F586" s="14"/>
      <c r="G586" s="9"/>
      <c r="H586" s="14"/>
      <c r="I586" s="9"/>
      <c r="J586" s="9"/>
      <c r="K586" s="9"/>
      <c r="L586" s="9"/>
      <c r="M586" s="9"/>
      <c r="N586" s="9"/>
      <c r="O586" s="60"/>
      <c r="P586" s="9"/>
      <c r="Q586" s="9"/>
      <c r="R586" s="64"/>
      <c r="S586" s="9"/>
      <c r="T586" s="9"/>
      <c r="U586" s="9"/>
      <c r="V586" s="9"/>
      <c r="W586" s="14"/>
      <c r="X586" s="9"/>
      <c r="Y586" s="9"/>
      <c r="Z586" s="15"/>
      <c r="AA586" s="15"/>
      <c r="AB586" s="15"/>
      <c r="AC586" s="15"/>
      <c r="AD586" s="15"/>
      <c r="AE586" s="15"/>
      <c r="AF586" s="15"/>
      <c r="AG586" s="15"/>
      <c r="AH586" s="15"/>
      <c r="AI586" s="15"/>
    </row>
    <row r="587" ht="15.75" customHeight="1">
      <c r="A587" s="16"/>
      <c r="B587" s="17" t="str">
        <f>IFERROR(__xludf.DUMMYFUNCTION("INDEX(IMPORTRANGE(""https://docs.google.com/spreadsheets/d/1S7deMHO2waboU9dywpXeKIDfCmjiuAc0HUIsFpaXQq8/edit?gid=0#gid=0"", ""Tracking Shipments - PPTCO!o:o""), MATCH(D587, IMPORTRANGE(""https://docs.google.com/spreadsheets/d/1S7deMHO2waboU9dywpXeKIDfCmji"&amp;"uAc0HUIsFpaXQq8/edit?gid=0#gid=0"", ""Tracking Shipments - PPTCO!p:p""), 0))"),"#N/A")</f>
        <v>#N/A</v>
      </c>
      <c r="C587" s="18"/>
      <c r="D587" s="18"/>
      <c r="E587" s="18"/>
      <c r="F587" s="18"/>
      <c r="G587" s="17"/>
      <c r="H587" s="18"/>
      <c r="I587" s="17"/>
      <c r="J587" s="17"/>
      <c r="K587" s="17"/>
      <c r="L587" s="17"/>
      <c r="M587" s="17"/>
      <c r="N587" s="17"/>
      <c r="O587" s="59"/>
      <c r="P587" s="17"/>
      <c r="Q587" s="17"/>
      <c r="R587" s="65"/>
      <c r="S587" s="17"/>
      <c r="T587" s="17"/>
      <c r="U587" s="17"/>
      <c r="V587" s="17"/>
      <c r="W587" s="18"/>
      <c r="X587" s="17"/>
      <c r="Y587" s="17"/>
      <c r="Z587" s="24"/>
      <c r="AA587" s="24"/>
      <c r="AB587" s="24"/>
      <c r="AC587" s="24"/>
      <c r="AD587" s="24"/>
      <c r="AE587" s="24"/>
      <c r="AF587" s="24"/>
      <c r="AG587" s="24"/>
      <c r="AH587" s="24"/>
      <c r="AI587" s="24"/>
    </row>
    <row r="588" ht="15.75" customHeight="1">
      <c r="A588" s="8"/>
      <c r="B588" s="9" t="str">
        <f>IFERROR(__xludf.DUMMYFUNCTION("INDEX(IMPORTRANGE(""https://docs.google.com/spreadsheets/d/1S7deMHO2waboU9dywpXeKIDfCmjiuAc0HUIsFpaXQq8/edit?gid=0#gid=0"", ""Tracking Shipments - PPTCO!o:o""), MATCH(D588, IMPORTRANGE(""https://docs.google.com/spreadsheets/d/1S7deMHO2waboU9dywpXeKIDfCmji"&amp;"uAc0HUIsFpaXQq8/edit?gid=0#gid=0"", ""Tracking Shipments - PPTCO!p:p""), 0))"),"#N/A")</f>
        <v>#N/A</v>
      </c>
      <c r="C588" s="14"/>
      <c r="D588" s="14"/>
      <c r="E588" s="9"/>
      <c r="F588" s="14"/>
      <c r="G588" s="9"/>
      <c r="H588" s="14"/>
      <c r="I588" s="9"/>
      <c r="J588" s="9"/>
      <c r="K588" s="9"/>
      <c r="L588" s="9"/>
      <c r="M588" s="9"/>
      <c r="N588" s="9"/>
      <c r="O588" s="60"/>
      <c r="P588" s="9"/>
      <c r="Q588" s="9"/>
      <c r="R588" s="64"/>
      <c r="S588" s="9"/>
      <c r="T588" s="9"/>
      <c r="U588" s="9"/>
      <c r="V588" s="9"/>
      <c r="W588" s="8"/>
      <c r="X588" s="9"/>
      <c r="Y588" s="9"/>
      <c r="Z588" s="15"/>
      <c r="AA588" s="15"/>
      <c r="AB588" s="15"/>
      <c r="AC588" s="15"/>
      <c r="AD588" s="15"/>
      <c r="AE588" s="15"/>
      <c r="AF588" s="15"/>
      <c r="AG588" s="15"/>
      <c r="AH588" s="15"/>
      <c r="AI588" s="15"/>
    </row>
    <row r="589" ht="15.75" customHeight="1">
      <c r="A589" s="16"/>
      <c r="B589" s="17" t="str">
        <f>IFERROR(__xludf.DUMMYFUNCTION("INDEX(IMPORTRANGE(""https://docs.google.com/spreadsheets/d/1S7deMHO2waboU9dywpXeKIDfCmjiuAc0HUIsFpaXQq8/edit?gid=0#gid=0"", ""Tracking Shipments - PPTCO!o:o""), MATCH(D589, IMPORTRANGE(""https://docs.google.com/spreadsheets/d/1S7deMHO2waboU9dywpXeKIDfCmji"&amp;"uAc0HUIsFpaXQq8/edit?gid=0#gid=0"", ""Tracking Shipments - PPTCO!p:p""), 0))"),"#N/A")</f>
        <v>#N/A</v>
      </c>
      <c r="C589" s="18"/>
      <c r="D589" s="18"/>
      <c r="E589" s="18"/>
      <c r="F589" s="18"/>
      <c r="G589" s="17"/>
      <c r="H589" s="18"/>
      <c r="I589" s="17"/>
      <c r="J589" s="17"/>
      <c r="K589" s="17"/>
      <c r="L589" s="17"/>
      <c r="M589" s="17"/>
      <c r="N589" s="17"/>
      <c r="O589" s="59"/>
      <c r="P589" s="17"/>
      <c r="Q589" s="17"/>
      <c r="R589" s="65"/>
      <c r="S589" s="17"/>
      <c r="T589" s="17"/>
      <c r="U589" s="17"/>
      <c r="V589" s="17"/>
      <c r="W589" s="18"/>
      <c r="X589" s="17"/>
      <c r="Y589" s="17"/>
      <c r="Z589" s="24"/>
      <c r="AA589" s="24"/>
      <c r="AB589" s="24"/>
      <c r="AC589" s="24"/>
      <c r="AD589" s="24"/>
      <c r="AE589" s="24"/>
      <c r="AF589" s="24"/>
      <c r="AG589" s="24"/>
      <c r="AH589" s="24"/>
      <c r="AI589" s="24"/>
    </row>
    <row r="590" ht="15.75" customHeight="1">
      <c r="A590" s="8"/>
      <c r="B590" s="9" t="str">
        <f>IFERROR(__xludf.DUMMYFUNCTION("INDEX(IMPORTRANGE(""https://docs.google.com/spreadsheets/d/1S7deMHO2waboU9dywpXeKIDfCmjiuAc0HUIsFpaXQq8/edit?gid=0#gid=0"", ""Tracking Shipments - PPTCO!o:o""), MATCH(D590, IMPORTRANGE(""https://docs.google.com/spreadsheets/d/1S7deMHO2waboU9dywpXeKIDfCmji"&amp;"uAc0HUIsFpaXQq8/edit?gid=0#gid=0"", ""Tracking Shipments - PPTCO!p:p""), 0))"),"#N/A")</f>
        <v>#N/A</v>
      </c>
      <c r="C590" s="14"/>
      <c r="D590" s="14"/>
      <c r="E590" s="9"/>
      <c r="F590" s="14"/>
      <c r="G590" s="9"/>
      <c r="H590" s="14"/>
      <c r="I590" s="9"/>
      <c r="J590" s="9"/>
      <c r="K590" s="9"/>
      <c r="L590" s="9"/>
      <c r="M590" s="9"/>
      <c r="N590" s="9"/>
      <c r="O590" s="60"/>
      <c r="P590" s="9"/>
      <c r="Q590" s="9"/>
      <c r="R590" s="64"/>
      <c r="S590" s="9"/>
      <c r="T590" s="9"/>
      <c r="U590" s="9"/>
      <c r="V590" s="9"/>
      <c r="W590" s="14"/>
      <c r="X590" s="9"/>
      <c r="Y590" s="9"/>
      <c r="Z590" s="15"/>
      <c r="AA590" s="15"/>
      <c r="AB590" s="15"/>
      <c r="AC590" s="15"/>
      <c r="AD590" s="15"/>
      <c r="AE590" s="15"/>
      <c r="AF590" s="15"/>
      <c r="AG590" s="15"/>
      <c r="AH590" s="15"/>
      <c r="AI590" s="15"/>
    </row>
    <row r="591" ht="15.75" customHeight="1">
      <c r="A591" s="16"/>
      <c r="B591" s="17" t="str">
        <f>IFERROR(__xludf.DUMMYFUNCTION("INDEX(IMPORTRANGE(""https://docs.google.com/spreadsheets/d/1S7deMHO2waboU9dywpXeKIDfCmjiuAc0HUIsFpaXQq8/edit?gid=0#gid=0"", ""Tracking Shipments - PPTCO!o:o""), MATCH(D591, IMPORTRANGE(""https://docs.google.com/spreadsheets/d/1S7deMHO2waboU9dywpXeKIDfCmji"&amp;"uAc0HUIsFpaXQq8/edit?gid=0#gid=0"", ""Tracking Shipments - PPTCO!p:p""), 0))"),"#N/A")</f>
        <v>#N/A</v>
      </c>
      <c r="C591" s="18"/>
      <c r="D591" s="18"/>
      <c r="E591" s="18"/>
      <c r="F591" s="18"/>
      <c r="G591" s="17"/>
      <c r="H591" s="18"/>
      <c r="I591" s="17"/>
      <c r="J591" s="17"/>
      <c r="K591" s="17"/>
      <c r="L591" s="17"/>
      <c r="M591" s="17"/>
      <c r="N591" s="17"/>
      <c r="O591" s="59"/>
      <c r="P591" s="17"/>
      <c r="Q591" s="17"/>
      <c r="R591" s="65"/>
      <c r="S591" s="17"/>
      <c r="T591" s="17"/>
      <c r="U591" s="17"/>
      <c r="V591" s="17"/>
      <c r="W591" s="16"/>
      <c r="X591" s="17"/>
      <c r="Y591" s="17"/>
      <c r="Z591" s="24"/>
      <c r="AA591" s="24"/>
      <c r="AB591" s="24"/>
      <c r="AC591" s="24"/>
      <c r="AD591" s="24"/>
      <c r="AE591" s="24"/>
      <c r="AF591" s="24"/>
      <c r="AG591" s="24"/>
      <c r="AH591" s="24"/>
      <c r="AI591" s="24"/>
    </row>
    <row r="592" ht="15.75" customHeight="1">
      <c r="A592" s="8"/>
      <c r="B592" s="9" t="str">
        <f>IFERROR(__xludf.DUMMYFUNCTION("INDEX(IMPORTRANGE(""https://docs.google.com/spreadsheets/d/1S7deMHO2waboU9dywpXeKIDfCmjiuAc0HUIsFpaXQq8/edit?gid=0#gid=0"", ""Tracking Shipments - PPTCO!o:o""), MATCH(D592, IMPORTRANGE(""https://docs.google.com/spreadsheets/d/1S7deMHO2waboU9dywpXeKIDfCmji"&amp;"uAc0HUIsFpaXQq8/edit?gid=0#gid=0"", ""Tracking Shipments - PPTCO!p:p""), 0))"),"#N/A")</f>
        <v>#N/A</v>
      </c>
      <c r="C592" s="14"/>
      <c r="D592" s="14"/>
      <c r="E592" s="9"/>
      <c r="F592" s="14"/>
      <c r="G592" s="9"/>
      <c r="H592" s="14"/>
      <c r="I592" s="9"/>
      <c r="J592" s="9"/>
      <c r="K592" s="9"/>
      <c r="L592" s="9"/>
      <c r="M592" s="9"/>
      <c r="N592" s="9"/>
      <c r="O592" s="60"/>
      <c r="P592" s="9"/>
      <c r="Q592" s="9"/>
      <c r="R592" s="64"/>
      <c r="S592" s="9"/>
      <c r="T592" s="9"/>
      <c r="U592" s="9"/>
      <c r="V592" s="9"/>
      <c r="W592" s="14"/>
      <c r="X592" s="9"/>
      <c r="Y592" s="9"/>
      <c r="Z592" s="15"/>
      <c r="AA592" s="15"/>
      <c r="AB592" s="15"/>
      <c r="AC592" s="15"/>
      <c r="AD592" s="15"/>
      <c r="AE592" s="15"/>
      <c r="AF592" s="15"/>
      <c r="AG592" s="15"/>
      <c r="AH592" s="15"/>
      <c r="AI592" s="15"/>
    </row>
    <row r="593" ht="15.75" customHeight="1">
      <c r="A593" s="16"/>
      <c r="B593" s="17" t="str">
        <f>IFERROR(__xludf.DUMMYFUNCTION("INDEX(IMPORTRANGE(""https://docs.google.com/spreadsheets/d/1S7deMHO2waboU9dywpXeKIDfCmjiuAc0HUIsFpaXQq8/edit?gid=0#gid=0"", ""Tracking Shipments - PPTCO!o:o""), MATCH(D593, IMPORTRANGE(""https://docs.google.com/spreadsheets/d/1S7deMHO2waboU9dywpXeKIDfCmji"&amp;"uAc0HUIsFpaXQq8/edit?gid=0#gid=0"", ""Tracking Shipments - PPTCO!p:p""), 0))"),"#N/A")</f>
        <v>#N/A</v>
      </c>
      <c r="C593" s="18"/>
      <c r="D593" s="18"/>
      <c r="E593" s="18"/>
      <c r="F593" s="18"/>
      <c r="G593" s="17"/>
      <c r="H593" s="18"/>
      <c r="I593" s="17"/>
      <c r="J593" s="17"/>
      <c r="K593" s="17"/>
      <c r="L593" s="17"/>
      <c r="M593" s="17"/>
      <c r="N593" s="17"/>
      <c r="O593" s="59"/>
      <c r="P593" s="17"/>
      <c r="Q593" s="17"/>
      <c r="R593" s="65"/>
      <c r="S593" s="17"/>
      <c r="T593" s="17"/>
      <c r="U593" s="17"/>
      <c r="V593" s="17"/>
      <c r="W593" s="18"/>
      <c r="X593" s="17"/>
      <c r="Y593" s="17"/>
      <c r="Z593" s="24"/>
      <c r="AA593" s="24"/>
      <c r="AB593" s="24"/>
      <c r="AC593" s="24"/>
      <c r="AD593" s="24"/>
      <c r="AE593" s="24"/>
      <c r="AF593" s="24"/>
      <c r="AG593" s="24"/>
      <c r="AH593" s="24"/>
      <c r="AI593" s="24"/>
    </row>
    <row r="594" ht="15.75" customHeight="1">
      <c r="A594" s="8"/>
      <c r="B594" s="9" t="str">
        <f>IFERROR(__xludf.DUMMYFUNCTION("INDEX(IMPORTRANGE(""https://docs.google.com/spreadsheets/d/1S7deMHO2waboU9dywpXeKIDfCmjiuAc0HUIsFpaXQq8/edit?gid=0#gid=0"", ""Tracking Shipments - PPTCO!o:o""), MATCH(D594, IMPORTRANGE(""https://docs.google.com/spreadsheets/d/1S7deMHO2waboU9dywpXeKIDfCmji"&amp;"uAc0HUIsFpaXQq8/edit?gid=0#gid=0"", ""Tracking Shipments - PPTCO!p:p""), 0))"),"#N/A")</f>
        <v>#N/A</v>
      </c>
      <c r="C594" s="14"/>
      <c r="D594" s="14"/>
      <c r="E594" s="9"/>
      <c r="F594" s="14"/>
      <c r="G594" s="9"/>
      <c r="H594" s="14"/>
      <c r="I594" s="9"/>
      <c r="J594" s="9"/>
      <c r="K594" s="9"/>
      <c r="L594" s="9"/>
      <c r="M594" s="9"/>
      <c r="N594" s="9"/>
      <c r="O594" s="60"/>
      <c r="P594" s="9"/>
      <c r="Q594" s="9"/>
      <c r="R594" s="64"/>
      <c r="S594" s="9"/>
      <c r="T594" s="9"/>
      <c r="U594" s="9"/>
      <c r="V594" s="9"/>
      <c r="W594" s="8"/>
      <c r="X594" s="9"/>
      <c r="Y594" s="9"/>
      <c r="Z594" s="15"/>
      <c r="AA594" s="15"/>
      <c r="AB594" s="15"/>
      <c r="AC594" s="15"/>
      <c r="AD594" s="15"/>
      <c r="AE594" s="15"/>
      <c r="AF594" s="15"/>
      <c r="AG594" s="15"/>
      <c r="AH594" s="15"/>
      <c r="AI594" s="15"/>
    </row>
    <row r="595" ht="15.75" customHeight="1">
      <c r="A595" s="16"/>
      <c r="B595" s="17" t="str">
        <f>IFERROR(__xludf.DUMMYFUNCTION("INDEX(IMPORTRANGE(""https://docs.google.com/spreadsheets/d/1S7deMHO2waboU9dywpXeKIDfCmjiuAc0HUIsFpaXQq8/edit?gid=0#gid=0"", ""Tracking Shipments - PPTCO!o:o""), MATCH(D595, IMPORTRANGE(""https://docs.google.com/spreadsheets/d/1S7deMHO2waboU9dywpXeKIDfCmji"&amp;"uAc0HUIsFpaXQq8/edit?gid=0#gid=0"", ""Tracking Shipments - PPTCO!p:p""), 0))"),"#N/A")</f>
        <v>#N/A</v>
      </c>
      <c r="C595" s="18"/>
      <c r="D595" s="18"/>
      <c r="E595" s="18"/>
      <c r="F595" s="18"/>
      <c r="G595" s="17"/>
      <c r="H595" s="18"/>
      <c r="I595" s="17"/>
      <c r="J595" s="17"/>
      <c r="K595" s="17"/>
      <c r="L595" s="17"/>
      <c r="M595" s="17"/>
      <c r="N595" s="17"/>
      <c r="O595" s="59"/>
      <c r="P595" s="17"/>
      <c r="Q595" s="17"/>
      <c r="R595" s="65"/>
      <c r="S595" s="17"/>
      <c r="T595" s="17"/>
      <c r="U595" s="17"/>
      <c r="V595" s="17"/>
      <c r="W595" s="18"/>
      <c r="X595" s="17"/>
      <c r="Y595" s="17"/>
      <c r="Z595" s="24"/>
      <c r="AA595" s="24"/>
      <c r="AB595" s="24"/>
      <c r="AC595" s="24"/>
      <c r="AD595" s="24"/>
      <c r="AE595" s="24"/>
      <c r="AF595" s="24"/>
      <c r="AG595" s="24"/>
      <c r="AH595" s="24"/>
      <c r="AI595" s="24"/>
    </row>
    <row r="596" ht="15.75" customHeight="1">
      <c r="A596" s="8"/>
      <c r="B596" s="9" t="str">
        <f>IFERROR(__xludf.DUMMYFUNCTION("INDEX(IMPORTRANGE(""https://docs.google.com/spreadsheets/d/1S7deMHO2waboU9dywpXeKIDfCmjiuAc0HUIsFpaXQq8/edit?gid=0#gid=0"", ""Tracking Shipments - PPTCO!o:o""), MATCH(D596, IMPORTRANGE(""https://docs.google.com/spreadsheets/d/1S7deMHO2waboU9dywpXeKIDfCmji"&amp;"uAc0HUIsFpaXQq8/edit?gid=0#gid=0"", ""Tracking Shipments - PPTCO!p:p""), 0))"),"#N/A")</f>
        <v>#N/A</v>
      </c>
      <c r="C596" s="14"/>
      <c r="D596" s="14"/>
      <c r="E596" s="9"/>
      <c r="F596" s="14"/>
      <c r="G596" s="9"/>
      <c r="H596" s="14"/>
      <c r="I596" s="9"/>
      <c r="J596" s="9"/>
      <c r="K596" s="9"/>
      <c r="L596" s="9"/>
      <c r="M596" s="9"/>
      <c r="N596" s="9"/>
      <c r="O596" s="60"/>
      <c r="P596" s="9"/>
      <c r="Q596" s="9"/>
      <c r="R596" s="64"/>
      <c r="S596" s="9"/>
      <c r="T596" s="9"/>
      <c r="U596" s="9"/>
      <c r="V596" s="9"/>
      <c r="W596" s="14"/>
      <c r="X596" s="9"/>
      <c r="Y596" s="9"/>
      <c r="Z596" s="15"/>
      <c r="AA596" s="15"/>
      <c r="AB596" s="15"/>
      <c r="AC596" s="15"/>
      <c r="AD596" s="15"/>
      <c r="AE596" s="15"/>
      <c r="AF596" s="15"/>
      <c r="AG596" s="15"/>
      <c r="AH596" s="15"/>
      <c r="AI596" s="15"/>
    </row>
    <row r="597" ht="15.75" customHeight="1">
      <c r="A597" s="16"/>
      <c r="B597" s="17" t="str">
        <f>IFERROR(__xludf.DUMMYFUNCTION("INDEX(IMPORTRANGE(""https://docs.google.com/spreadsheets/d/1S7deMHO2waboU9dywpXeKIDfCmjiuAc0HUIsFpaXQq8/edit?gid=0#gid=0"", ""Tracking Shipments - PPTCO!o:o""), MATCH(D597, IMPORTRANGE(""https://docs.google.com/spreadsheets/d/1S7deMHO2waboU9dywpXeKIDfCmji"&amp;"uAc0HUIsFpaXQq8/edit?gid=0#gid=0"", ""Tracking Shipments - PPTCO!p:p""), 0))"),"#N/A")</f>
        <v>#N/A</v>
      </c>
      <c r="C597" s="18"/>
      <c r="D597" s="18"/>
      <c r="E597" s="18"/>
      <c r="F597" s="18"/>
      <c r="G597" s="17"/>
      <c r="H597" s="18"/>
      <c r="I597" s="17"/>
      <c r="J597" s="17"/>
      <c r="K597" s="17"/>
      <c r="L597" s="17"/>
      <c r="M597" s="17"/>
      <c r="N597" s="17"/>
      <c r="O597" s="59"/>
      <c r="P597" s="17"/>
      <c r="Q597" s="17"/>
      <c r="R597" s="65"/>
      <c r="S597" s="17"/>
      <c r="T597" s="17"/>
      <c r="U597" s="17"/>
      <c r="V597" s="17"/>
      <c r="W597" s="16"/>
      <c r="X597" s="17"/>
      <c r="Y597" s="17"/>
      <c r="Z597" s="24"/>
      <c r="AA597" s="24"/>
      <c r="AB597" s="24"/>
      <c r="AC597" s="24"/>
      <c r="AD597" s="24"/>
      <c r="AE597" s="24"/>
      <c r="AF597" s="24"/>
      <c r="AG597" s="24"/>
      <c r="AH597" s="24"/>
      <c r="AI597" s="24"/>
    </row>
    <row r="598" ht="15.75" customHeight="1">
      <c r="A598" s="8"/>
      <c r="B598" s="9" t="str">
        <f>IFERROR(__xludf.DUMMYFUNCTION("INDEX(IMPORTRANGE(""https://docs.google.com/spreadsheets/d/1S7deMHO2waboU9dywpXeKIDfCmjiuAc0HUIsFpaXQq8/edit?gid=0#gid=0"", ""Tracking Shipments - PPTCO!o:o""), MATCH(D598, IMPORTRANGE(""https://docs.google.com/spreadsheets/d/1S7deMHO2waboU9dywpXeKIDfCmji"&amp;"uAc0HUIsFpaXQq8/edit?gid=0#gid=0"", ""Tracking Shipments - PPTCO!p:p""), 0))"),"#N/A")</f>
        <v>#N/A</v>
      </c>
      <c r="C598" s="14"/>
      <c r="D598" s="14"/>
      <c r="E598" s="9"/>
      <c r="F598" s="14"/>
      <c r="G598" s="9"/>
      <c r="H598" s="14"/>
      <c r="I598" s="9"/>
      <c r="J598" s="9"/>
      <c r="K598" s="9"/>
      <c r="L598" s="9"/>
      <c r="M598" s="9"/>
      <c r="N598" s="9"/>
      <c r="O598" s="60"/>
      <c r="P598" s="9"/>
      <c r="Q598" s="9"/>
      <c r="R598" s="64"/>
      <c r="S598" s="9"/>
      <c r="T598" s="9"/>
      <c r="U598" s="9"/>
      <c r="V598" s="9"/>
      <c r="W598" s="14"/>
      <c r="X598" s="9"/>
      <c r="Y598" s="9"/>
      <c r="Z598" s="15"/>
      <c r="AA598" s="15"/>
      <c r="AB598" s="15"/>
      <c r="AC598" s="15"/>
      <c r="AD598" s="15"/>
      <c r="AE598" s="15"/>
      <c r="AF598" s="15"/>
      <c r="AG598" s="15"/>
      <c r="AH598" s="15"/>
      <c r="AI598" s="15"/>
    </row>
    <row r="599" ht="15.75" customHeight="1">
      <c r="A599" s="16"/>
      <c r="B599" s="17" t="str">
        <f>IFERROR(__xludf.DUMMYFUNCTION("INDEX(IMPORTRANGE(""https://docs.google.com/spreadsheets/d/1S7deMHO2waboU9dywpXeKIDfCmjiuAc0HUIsFpaXQq8/edit?gid=0#gid=0"", ""Tracking Shipments - PPTCO!o:o""), MATCH(D599, IMPORTRANGE(""https://docs.google.com/spreadsheets/d/1S7deMHO2waboU9dywpXeKIDfCmji"&amp;"uAc0HUIsFpaXQq8/edit?gid=0#gid=0"", ""Tracking Shipments - PPTCO!p:p""), 0))"),"#N/A")</f>
        <v>#N/A</v>
      </c>
      <c r="C599" s="18"/>
      <c r="D599" s="18"/>
      <c r="E599" s="18"/>
      <c r="F599" s="18"/>
      <c r="G599" s="17"/>
      <c r="H599" s="18"/>
      <c r="I599" s="17"/>
      <c r="J599" s="17"/>
      <c r="K599" s="17"/>
      <c r="L599" s="17"/>
      <c r="M599" s="17"/>
      <c r="N599" s="17"/>
      <c r="O599" s="59"/>
      <c r="P599" s="17"/>
      <c r="Q599" s="17"/>
      <c r="R599" s="65"/>
      <c r="S599" s="17"/>
      <c r="T599" s="17"/>
      <c r="U599" s="17"/>
      <c r="V599" s="17"/>
      <c r="W599" s="18"/>
      <c r="X599" s="17"/>
      <c r="Y599" s="17"/>
      <c r="Z599" s="24"/>
      <c r="AA599" s="24"/>
      <c r="AB599" s="24"/>
      <c r="AC599" s="24"/>
      <c r="AD599" s="24"/>
      <c r="AE599" s="24"/>
      <c r="AF599" s="24"/>
      <c r="AG599" s="24"/>
      <c r="AH599" s="24"/>
      <c r="AI599" s="24"/>
    </row>
    <row r="600" ht="15.75" customHeight="1">
      <c r="A600" s="8"/>
      <c r="B600" s="9" t="str">
        <f>IFERROR(__xludf.DUMMYFUNCTION("INDEX(IMPORTRANGE(""https://docs.google.com/spreadsheets/d/1S7deMHO2waboU9dywpXeKIDfCmjiuAc0HUIsFpaXQq8/edit?gid=0#gid=0"", ""Tracking Shipments - PPTCO!o:o""), MATCH(D600, IMPORTRANGE(""https://docs.google.com/spreadsheets/d/1S7deMHO2waboU9dywpXeKIDfCmji"&amp;"uAc0HUIsFpaXQq8/edit?gid=0#gid=0"", ""Tracking Shipments - PPTCO!p:p""), 0))"),"#N/A")</f>
        <v>#N/A</v>
      </c>
      <c r="C600" s="14"/>
      <c r="D600" s="14"/>
      <c r="E600" s="9"/>
      <c r="F600" s="14"/>
      <c r="G600" s="9"/>
      <c r="H600" s="14"/>
      <c r="I600" s="9"/>
      <c r="J600" s="9"/>
      <c r="K600" s="9"/>
      <c r="L600" s="9"/>
      <c r="M600" s="9"/>
      <c r="N600" s="9"/>
      <c r="O600" s="60"/>
      <c r="P600" s="9"/>
      <c r="Q600" s="9"/>
      <c r="R600" s="64"/>
      <c r="S600" s="9"/>
      <c r="T600" s="9"/>
      <c r="U600" s="9"/>
      <c r="V600" s="9"/>
      <c r="W600" s="8"/>
      <c r="X600" s="9"/>
      <c r="Y600" s="9"/>
      <c r="Z600" s="15"/>
      <c r="AA600" s="15"/>
      <c r="AB600" s="15"/>
      <c r="AC600" s="15"/>
      <c r="AD600" s="15"/>
      <c r="AE600" s="15"/>
      <c r="AF600" s="15"/>
      <c r="AG600" s="15"/>
      <c r="AH600" s="15"/>
      <c r="AI600" s="15"/>
    </row>
    <row r="601" ht="15.75" customHeight="1">
      <c r="A601" s="16"/>
      <c r="B601" s="17" t="str">
        <f>IFERROR(__xludf.DUMMYFUNCTION("INDEX(IMPORTRANGE(""https://docs.google.com/spreadsheets/d/1S7deMHO2waboU9dywpXeKIDfCmjiuAc0HUIsFpaXQq8/edit?gid=0#gid=0"", ""Tracking Shipments - PPTCO!o:o""), MATCH(D601, IMPORTRANGE(""https://docs.google.com/spreadsheets/d/1S7deMHO2waboU9dywpXeKIDfCmji"&amp;"uAc0HUIsFpaXQq8/edit?gid=0#gid=0"", ""Tracking Shipments - PPTCO!p:p""), 0))"),"#N/A")</f>
        <v>#N/A</v>
      </c>
      <c r="C601" s="18"/>
      <c r="D601" s="18"/>
      <c r="E601" s="18"/>
      <c r="F601" s="18"/>
      <c r="G601" s="17"/>
      <c r="H601" s="18"/>
      <c r="I601" s="17"/>
      <c r="J601" s="17"/>
      <c r="K601" s="17"/>
      <c r="L601" s="17"/>
      <c r="M601" s="17"/>
      <c r="N601" s="17"/>
      <c r="O601" s="59"/>
      <c r="P601" s="17"/>
      <c r="Q601" s="17"/>
      <c r="R601" s="65"/>
      <c r="S601" s="17"/>
      <c r="T601" s="17"/>
      <c r="U601" s="17"/>
      <c r="V601" s="17"/>
      <c r="W601" s="18"/>
      <c r="X601" s="17"/>
      <c r="Y601" s="17"/>
      <c r="Z601" s="24"/>
      <c r="AA601" s="24"/>
      <c r="AB601" s="24"/>
      <c r="AC601" s="24"/>
      <c r="AD601" s="24"/>
      <c r="AE601" s="24"/>
      <c r="AF601" s="24"/>
      <c r="AG601" s="24"/>
      <c r="AH601" s="24"/>
      <c r="AI601" s="24"/>
    </row>
    <row r="602" ht="15.75" customHeight="1">
      <c r="A602" s="8"/>
      <c r="B602" s="9" t="str">
        <f>IFERROR(__xludf.DUMMYFUNCTION("INDEX(IMPORTRANGE(""https://docs.google.com/spreadsheets/d/1S7deMHO2waboU9dywpXeKIDfCmjiuAc0HUIsFpaXQq8/edit?gid=0#gid=0"", ""Tracking Shipments - PPTCO!o:o""), MATCH(D602, IMPORTRANGE(""https://docs.google.com/spreadsheets/d/1S7deMHO2waboU9dywpXeKIDfCmji"&amp;"uAc0HUIsFpaXQq8/edit?gid=0#gid=0"", ""Tracking Shipments - PPTCO!p:p""), 0))"),"#N/A")</f>
        <v>#N/A</v>
      </c>
      <c r="C602" s="14"/>
      <c r="D602" s="14"/>
      <c r="E602" s="9"/>
      <c r="F602" s="14"/>
      <c r="G602" s="9"/>
      <c r="H602" s="14"/>
      <c r="I602" s="9"/>
      <c r="J602" s="9"/>
      <c r="K602" s="9"/>
      <c r="L602" s="9"/>
      <c r="M602" s="9"/>
      <c r="N602" s="9"/>
      <c r="O602" s="60"/>
      <c r="P602" s="9"/>
      <c r="Q602" s="9"/>
      <c r="R602" s="64"/>
      <c r="S602" s="9"/>
      <c r="T602" s="9"/>
      <c r="U602" s="9"/>
      <c r="V602" s="9"/>
      <c r="W602" s="14"/>
      <c r="X602" s="9"/>
      <c r="Y602" s="9"/>
      <c r="Z602" s="15"/>
      <c r="AA602" s="15"/>
      <c r="AB602" s="15"/>
      <c r="AC602" s="15"/>
      <c r="AD602" s="15"/>
      <c r="AE602" s="15"/>
      <c r="AF602" s="15"/>
      <c r="AG602" s="15"/>
      <c r="AH602" s="15"/>
      <c r="AI602" s="15"/>
    </row>
    <row r="603" ht="15.75" customHeight="1">
      <c r="A603" s="16"/>
      <c r="B603" s="17" t="str">
        <f>IFERROR(__xludf.DUMMYFUNCTION("INDEX(IMPORTRANGE(""https://docs.google.com/spreadsheets/d/1S7deMHO2waboU9dywpXeKIDfCmjiuAc0HUIsFpaXQq8/edit?gid=0#gid=0"", ""Tracking Shipments - PPTCO!o:o""), MATCH(D603, IMPORTRANGE(""https://docs.google.com/spreadsheets/d/1S7deMHO2waboU9dywpXeKIDfCmji"&amp;"uAc0HUIsFpaXQq8/edit?gid=0#gid=0"", ""Tracking Shipments - PPTCO!p:p""), 0))"),"#N/A")</f>
        <v>#N/A</v>
      </c>
      <c r="C603" s="18"/>
      <c r="D603" s="18"/>
      <c r="E603" s="18"/>
      <c r="F603" s="18"/>
      <c r="G603" s="17"/>
      <c r="H603" s="18"/>
      <c r="I603" s="17"/>
      <c r="J603" s="17"/>
      <c r="K603" s="17"/>
      <c r="L603" s="17"/>
      <c r="M603" s="17"/>
      <c r="N603" s="17"/>
      <c r="O603" s="59"/>
      <c r="P603" s="17"/>
      <c r="Q603" s="17"/>
      <c r="R603" s="65"/>
      <c r="S603" s="17"/>
      <c r="T603" s="17"/>
      <c r="U603" s="17"/>
      <c r="V603" s="17"/>
      <c r="W603" s="16"/>
      <c r="X603" s="17"/>
      <c r="Y603" s="17"/>
      <c r="Z603" s="24"/>
      <c r="AA603" s="24"/>
      <c r="AB603" s="24"/>
      <c r="AC603" s="24"/>
      <c r="AD603" s="24"/>
      <c r="AE603" s="24"/>
      <c r="AF603" s="24"/>
      <c r="AG603" s="24"/>
      <c r="AH603" s="24"/>
      <c r="AI603" s="24"/>
    </row>
    <row r="604" ht="15.75" customHeight="1">
      <c r="A604" s="8"/>
      <c r="B604" s="9" t="str">
        <f>IFERROR(__xludf.DUMMYFUNCTION("INDEX(IMPORTRANGE(""https://docs.google.com/spreadsheets/d/1S7deMHO2waboU9dywpXeKIDfCmjiuAc0HUIsFpaXQq8/edit?gid=0#gid=0"", ""Tracking Shipments - PPTCO!o:o""), MATCH(D604, IMPORTRANGE(""https://docs.google.com/spreadsheets/d/1S7deMHO2waboU9dywpXeKIDfCmji"&amp;"uAc0HUIsFpaXQq8/edit?gid=0#gid=0"", ""Tracking Shipments - PPTCO!p:p""), 0))"),"#N/A")</f>
        <v>#N/A</v>
      </c>
      <c r="C604" s="14"/>
      <c r="D604" s="14"/>
      <c r="E604" s="9"/>
      <c r="F604" s="14"/>
      <c r="G604" s="9"/>
      <c r="H604" s="14"/>
      <c r="I604" s="9"/>
      <c r="J604" s="9"/>
      <c r="K604" s="9"/>
      <c r="L604" s="9"/>
      <c r="M604" s="9"/>
      <c r="N604" s="9"/>
      <c r="O604" s="60"/>
      <c r="P604" s="9"/>
      <c r="Q604" s="9"/>
      <c r="R604" s="64"/>
      <c r="S604" s="9"/>
      <c r="T604" s="9"/>
      <c r="U604" s="9"/>
      <c r="V604" s="9"/>
      <c r="W604" s="14"/>
      <c r="X604" s="9"/>
      <c r="Y604" s="9"/>
      <c r="Z604" s="15"/>
      <c r="AA604" s="15"/>
      <c r="AB604" s="15"/>
      <c r="AC604" s="15"/>
      <c r="AD604" s="15"/>
      <c r="AE604" s="15"/>
      <c r="AF604" s="15"/>
      <c r="AG604" s="15"/>
      <c r="AH604" s="15"/>
      <c r="AI604" s="15"/>
    </row>
    <row r="605" ht="15.75" customHeight="1">
      <c r="A605" s="16"/>
      <c r="B605" s="17" t="str">
        <f>IFERROR(__xludf.DUMMYFUNCTION("INDEX(IMPORTRANGE(""https://docs.google.com/spreadsheets/d/1S7deMHO2waboU9dywpXeKIDfCmjiuAc0HUIsFpaXQq8/edit?gid=0#gid=0"", ""Tracking Shipments - PPTCO!o:o""), MATCH(D605, IMPORTRANGE(""https://docs.google.com/spreadsheets/d/1S7deMHO2waboU9dywpXeKIDfCmji"&amp;"uAc0HUIsFpaXQq8/edit?gid=0#gid=0"", ""Tracking Shipments - PPTCO!p:p""), 0))"),"#N/A")</f>
        <v>#N/A</v>
      </c>
      <c r="C605" s="18"/>
      <c r="D605" s="18"/>
      <c r="E605" s="18"/>
      <c r="F605" s="18"/>
      <c r="G605" s="17"/>
      <c r="H605" s="18"/>
      <c r="I605" s="17"/>
      <c r="J605" s="17"/>
      <c r="K605" s="17"/>
      <c r="L605" s="17"/>
      <c r="M605" s="17"/>
      <c r="N605" s="17"/>
      <c r="O605" s="59"/>
      <c r="P605" s="17"/>
      <c r="Q605" s="17"/>
      <c r="R605" s="65"/>
      <c r="S605" s="17"/>
      <c r="T605" s="17"/>
      <c r="U605" s="17"/>
      <c r="V605" s="17"/>
      <c r="W605" s="18"/>
      <c r="X605" s="17"/>
      <c r="Y605" s="17"/>
      <c r="Z605" s="24"/>
      <c r="AA605" s="24"/>
      <c r="AB605" s="24"/>
      <c r="AC605" s="24"/>
      <c r="AD605" s="24"/>
      <c r="AE605" s="24"/>
      <c r="AF605" s="24"/>
      <c r="AG605" s="24"/>
      <c r="AH605" s="24"/>
      <c r="AI605" s="24"/>
    </row>
    <row r="606" ht="15.75" customHeight="1">
      <c r="A606" s="8"/>
      <c r="B606" s="9" t="str">
        <f>IFERROR(__xludf.DUMMYFUNCTION("INDEX(IMPORTRANGE(""https://docs.google.com/spreadsheets/d/1S7deMHO2waboU9dywpXeKIDfCmjiuAc0HUIsFpaXQq8/edit?gid=0#gid=0"", ""Tracking Shipments - PPTCO!o:o""), MATCH(D606, IMPORTRANGE(""https://docs.google.com/spreadsheets/d/1S7deMHO2waboU9dywpXeKIDfCmji"&amp;"uAc0HUIsFpaXQq8/edit?gid=0#gid=0"", ""Tracking Shipments - PPTCO!p:p""), 0))"),"#N/A")</f>
        <v>#N/A</v>
      </c>
      <c r="C606" s="14"/>
      <c r="D606" s="14"/>
      <c r="E606" s="9"/>
      <c r="F606" s="14"/>
      <c r="G606" s="9"/>
      <c r="H606" s="14"/>
      <c r="I606" s="9"/>
      <c r="J606" s="9"/>
      <c r="K606" s="9"/>
      <c r="L606" s="9"/>
      <c r="M606" s="9"/>
      <c r="N606" s="9"/>
      <c r="O606" s="60"/>
      <c r="P606" s="9"/>
      <c r="Q606" s="9"/>
      <c r="R606" s="64"/>
      <c r="S606" s="9"/>
      <c r="T606" s="9"/>
      <c r="U606" s="9"/>
      <c r="V606" s="9"/>
      <c r="W606" s="8"/>
      <c r="X606" s="9"/>
      <c r="Y606" s="9"/>
      <c r="Z606" s="15"/>
      <c r="AA606" s="15"/>
      <c r="AB606" s="15"/>
      <c r="AC606" s="15"/>
      <c r="AD606" s="15"/>
      <c r="AE606" s="15"/>
      <c r="AF606" s="15"/>
      <c r="AG606" s="15"/>
      <c r="AH606" s="15"/>
      <c r="AI606" s="15"/>
    </row>
    <row r="607" ht="15.75" customHeight="1">
      <c r="A607" s="16"/>
      <c r="B607" s="17" t="str">
        <f>IFERROR(__xludf.DUMMYFUNCTION("INDEX(IMPORTRANGE(""https://docs.google.com/spreadsheets/d/1S7deMHO2waboU9dywpXeKIDfCmjiuAc0HUIsFpaXQq8/edit?gid=0#gid=0"", ""Tracking Shipments - PPTCO!o:o""), MATCH(D607, IMPORTRANGE(""https://docs.google.com/spreadsheets/d/1S7deMHO2waboU9dywpXeKIDfCmji"&amp;"uAc0HUIsFpaXQq8/edit?gid=0#gid=0"", ""Tracking Shipments - PPTCO!p:p""), 0))"),"#N/A")</f>
        <v>#N/A</v>
      </c>
      <c r="C607" s="18"/>
      <c r="D607" s="18"/>
      <c r="E607" s="18"/>
      <c r="F607" s="18"/>
      <c r="G607" s="17"/>
      <c r="H607" s="18"/>
      <c r="I607" s="17"/>
      <c r="J607" s="17"/>
      <c r="K607" s="17"/>
      <c r="L607" s="17"/>
      <c r="M607" s="17"/>
      <c r="N607" s="17"/>
      <c r="O607" s="59"/>
      <c r="P607" s="17"/>
      <c r="Q607" s="17"/>
      <c r="R607" s="65"/>
      <c r="S607" s="17"/>
      <c r="T607" s="17"/>
      <c r="U607" s="17"/>
      <c r="V607" s="17"/>
      <c r="W607" s="18"/>
      <c r="X607" s="17"/>
      <c r="Y607" s="17"/>
      <c r="Z607" s="24"/>
      <c r="AA607" s="24"/>
      <c r="AB607" s="24"/>
      <c r="AC607" s="24"/>
      <c r="AD607" s="24"/>
      <c r="AE607" s="24"/>
      <c r="AF607" s="24"/>
      <c r="AG607" s="24"/>
      <c r="AH607" s="24"/>
      <c r="AI607" s="24"/>
    </row>
    <row r="608" ht="15.75" customHeight="1">
      <c r="A608" s="8"/>
      <c r="B608" s="9" t="str">
        <f>IFERROR(__xludf.DUMMYFUNCTION("INDEX(IMPORTRANGE(""https://docs.google.com/spreadsheets/d/1S7deMHO2waboU9dywpXeKIDfCmjiuAc0HUIsFpaXQq8/edit?gid=0#gid=0"", ""Tracking Shipments - PPTCO!o:o""), MATCH(D608, IMPORTRANGE(""https://docs.google.com/spreadsheets/d/1S7deMHO2waboU9dywpXeKIDfCmji"&amp;"uAc0HUIsFpaXQq8/edit?gid=0#gid=0"", ""Tracking Shipments - PPTCO!p:p""), 0))"),"#N/A")</f>
        <v>#N/A</v>
      </c>
      <c r="C608" s="14"/>
      <c r="D608" s="14"/>
      <c r="E608" s="9"/>
      <c r="F608" s="14"/>
      <c r="G608" s="9"/>
      <c r="H608" s="14"/>
      <c r="I608" s="9"/>
      <c r="J608" s="9"/>
      <c r="K608" s="9"/>
      <c r="L608" s="9"/>
      <c r="M608" s="9"/>
      <c r="N608" s="9"/>
      <c r="O608" s="60"/>
      <c r="P608" s="9"/>
      <c r="Q608" s="9"/>
      <c r="R608" s="64"/>
      <c r="S608" s="9"/>
      <c r="T608" s="9"/>
      <c r="U608" s="9"/>
      <c r="V608" s="9"/>
      <c r="W608" s="14"/>
      <c r="X608" s="9"/>
      <c r="Y608" s="9"/>
      <c r="Z608" s="15"/>
      <c r="AA608" s="15"/>
      <c r="AB608" s="15"/>
      <c r="AC608" s="15"/>
      <c r="AD608" s="15"/>
      <c r="AE608" s="15"/>
      <c r="AF608" s="15"/>
      <c r="AG608" s="15"/>
      <c r="AH608" s="15"/>
      <c r="AI608" s="15"/>
    </row>
    <row r="609" ht="15.75" customHeight="1">
      <c r="A609" s="16"/>
      <c r="B609" s="17" t="str">
        <f>IFERROR(__xludf.DUMMYFUNCTION("INDEX(IMPORTRANGE(""https://docs.google.com/spreadsheets/d/1S7deMHO2waboU9dywpXeKIDfCmjiuAc0HUIsFpaXQq8/edit?gid=0#gid=0"", ""Tracking Shipments - PPTCO!o:o""), MATCH(D609, IMPORTRANGE(""https://docs.google.com/spreadsheets/d/1S7deMHO2waboU9dywpXeKIDfCmji"&amp;"uAc0HUIsFpaXQq8/edit?gid=0#gid=0"", ""Tracking Shipments - PPTCO!p:p""), 0))"),"#N/A")</f>
        <v>#N/A</v>
      </c>
      <c r="C609" s="18"/>
      <c r="D609" s="18"/>
      <c r="E609" s="18"/>
      <c r="F609" s="18"/>
      <c r="G609" s="17"/>
      <c r="H609" s="18"/>
      <c r="I609" s="17"/>
      <c r="J609" s="17"/>
      <c r="K609" s="17"/>
      <c r="L609" s="17"/>
      <c r="M609" s="17"/>
      <c r="N609" s="17"/>
      <c r="O609" s="59"/>
      <c r="P609" s="17"/>
      <c r="Q609" s="17"/>
      <c r="R609" s="65"/>
      <c r="S609" s="17"/>
      <c r="T609" s="17"/>
      <c r="U609" s="17"/>
      <c r="V609" s="17"/>
      <c r="W609" s="16"/>
      <c r="X609" s="17"/>
      <c r="Y609" s="17"/>
      <c r="Z609" s="24"/>
      <c r="AA609" s="24"/>
      <c r="AB609" s="24"/>
      <c r="AC609" s="24"/>
      <c r="AD609" s="24"/>
      <c r="AE609" s="24"/>
      <c r="AF609" s="24"/>
      <c r="AG609" s="24"/>
      <c r="AH609" s="24"/>
      <c r="AI609" s="24"/>
    </row>
    <row r="610" ht="15.75" customHeight="1">
      <c r="A610" s="8"/>
      <c r="B610" s="9" t="str">
        <f>IFERROR(__xludf.DUMMYFUNCTION("INDEX(IMPORTRANGE(""https://docs.google.com/spreadsheets/d/1S7deMHO2waboU9dywpXeKIDfCmjiuAc0HUIsFpaXQq8/edit?gid=0#gid=0"", ""Tracking Shipments - PPTCO!o:o""), MATCH(D610, IMPORTRANGE(""https://docs.google.com/spreadsheets/d/1S7deMHO2waboU9dywpXeKIDfCmji"&amp;"uAc0HUIsFpaXQq8/edit?gid=0#gid=0"", ""Tracking Shipments - PPTCO!p:p""), 0))"),"#N/A")</f>
        <v>#N/A</v>
      </c>
      <c r="C610" s="14"/>
      <c r="D610" s="14"/>
      <c r="E610" s="9"/>
      <c r="F610" s="14"/>
      <c r="G610" s="9"/>
      <c r="H610" s="14"/>
      <c r="I610" s="9"/>
      <c r="J610" s="9"/>
      <c r="K610" s="9"/>
      <c r="L610" s="9"/>
      <c r="M610" s="9"/>
      <c r="N610" s="9"/>
      <c r="O610" s="60"/>
      <c r="P610" s="9"/>
      <c r="Q610" s="9"/>
      <c r="R610" s="64"/>
      <c r="S610" s="9"/>
      <c r="T610" s="9"/>
      <c r="U610" s="9"/>
      <c r="V610" s="9"/>
      <c r="W610" s="14"/>
      <c r="X610" s="9"/>
      <c r="Y610" s="9"/>
      <c r="Z610" s="15"/>
      <c r="AA610" s="15"/>
      <c r="AB610" s="15"/>
      <c r="AC610" s="15"/>
      <c r="AD610" s="15"/>
      <c r="AE610" s="15"/>
      <c r="AF610" s="15"/>
      <c r="AG610" s="15"/>
      <c r="AH610" s="15"/>
      <c r="AI610" s="15"/>
    </row>
    <row r="611" ht="15.75" customHeight="1">
      <c r="A611" s="16"/>
      <c r="B611" s="17" t="str">
        <f>IFERROR(__xludf.DUMMYFUNCTION("INDEX(IMPORTRANGE(""https://docs.google.com/spreadsheets/d/1S7deMHO2waboU9dywpXeKIDfCmjiuAc0HUIsFpaXQq8/edit?gid=0#gid=0"", ""Tracking Shipments - PPTCO!o:o""), MATCH(D611, IMPORTRANGE(""https://docs.google.com/spreadsheets/d/1S7deMHO2waboU9dywpXeKIDfCmji"&amp;"uAc0HUIsFpaXQq8/edit?gid=0#gid=0"", ""Tracking Shipments - PPTCO!p:p""), 0))"),"#N/A")</f>
        <v>#N/A</v>
      </c>
      <c r="C611" s="18"/>
      <c r="D611" s="18"/>
      <c r="E611" s="18"/>
      <c r="F611" s="18"/>
      <c r="G611" s="17"/>
      <c r="H611" s="18"/>
      <c r="I611" s="17"/>
      <c r="J611" s="17"/>
      <c r="K611" s="17"/>
      <c r="L611" s="17"/>
      <c r="M611" s="17"/>
      <c r="N611" s="17"/>
      <c r="O611" s="59"/>
      <c r="P611" s="17"/>
      <c r="Q611" s="17"/>
      <c r="R611" s="65"/>
      <c r="S611" s="17"/>
      <c r="T611" s="17"/>
      <c r="U611" s="17"/>
      <c r="V611" s="17"/>
      <c r="W611" s="18"/>
      <c r="X611" s="17"/>
      <c r="Y611" s="17"/>
      <c r="Z611" s="24"/>
      <c r="AA611" s="24"/>
      <c r="AB611" s="24"/>
      <c r="AC611" s="24"/>
      <c r="AD611" s="24"/>
      <c r="AE611" s="24"/>
      <c r="AF611" s="24"/>
      <c r="AG611" s="24"/>
      <c r="AH611" s="24"/>
      <c r="AI611" s="24"/>
    </row>
    <row r="612" ht="15.75" customHeight="1">
      <c r="A612" s="8"/>
      <c r="B612" s="9" t="str">
        <f>IFERROR(__xludf.DUMMYFUNCTION("INDEX(IMPORTRANGE(""https://docs.google.com/spreadsheets/d/1S7deMHO2waboU9dywpXeKIDfCmjiuAc0HUIsFpaXQq8/edit?gid=0#gid=0"", ""Tracking Shipments - PPTCO!o:o""), MATCH(D612, IMPORTRANGE(""https://docs.google.com/spreadsheets/d/1S7deMHO2waboU9dywpXeKIDfCmji"&amp;"uAc0HUIsFpaXQq8/edit?gid=0#gid=0"", ""Tracking Shipments - PPTCO!p:p""), 0))"),"#N/A")</f>
        <v>#N/A</v>
      </c>
      <c r="C612" s="14"/>
      <c r="D612" s="14"/>
      <c r="E612" s="9"/>
      <c r="F612" s="14"/>
      <c r="G612" s="9"/>
      <c r="H612" s="14"/>
      <c r="I612" s="9"/>
      <c r="J612" s="9"/>
      <c r="K612" s="9"/>
      <c r="L612" s="9"/>
      <c r="M612" s="9"/>
      <c r="N612" s="9"/>
      <c r="O612" s="60"/>
      <c r="P612" s="9"/>
      <c r="Q612" s="9"/>
      <c r="R612" s="64"/>
      <c r="S612" s="9"/>
      <c r="T612" s="9"/>
      <c r="U612" s="9"/>
      <c r="V612" s="9"/>
      <c r="W612" s="8"/>
      <c r="X612" s="9"/>
      <c r="Y612" s="9"/>
      <c r="Z612" s="15"/>
      <c r="AA612" s="15"/>
      <c r="AB612" s="15"/>
      <c r="AC612" s="15"/>
      <c r="AD612" s="15"/>
      <c r="AE612" s="15"/>
      <c r="AF612" s="15"/>
      <c r="AG612" s="15"/>
      <c r="AH612" s="15"/>
      <c r="AI612" s="15"/>
    </row>
    <row r="613" ht="15.75" customHeight="1">
      <c r="A613" s="16"/>
      <c r="B613" s="17" t="str">
        <f>IFERROR(__xludf.DUMMYFUNCTION("INDEX(IMPORTRANGE(""https://docs.google.com/spreadsheets/d/1S7deMHO2waboU9dywpXeKIDfCmjiuAc0HUIsFpaXQq8/edit?gid=0#gid=0"", ""Tracking Shipments - PPTCO!o:o""), MATCH(D613, IMPORTRANGE(""https://docs.google.com/spreadsheets/d/1S7deMHO2waboU9dywpXeKIDfCmji"&amp;"uAc0HUIsFpaXQq8/edit?gid=0#gid=0"", ""Tracking Shipments - PPTCO!p:p""), 0))"),"#N/A")</f>
        <v>#N/A</v>
      </c>
      <c r="C613" s="18"/>
      <c r="D613" s="18"/>
      <c r="E613" s="18"/>
      <c r="F613" s="18"/>
      <c r="G613" s="17"/>
      <c r="H613" s="18"/>
      <c r="I613" s="17"/>
      <c r="J613" s="17"/>
      <c r="K613" s="17"/>
      <c r="L613" s="17"/>
      <c r="M613" s="17"/>
      <c r="N613" s="17"/>
      <c r="O613" s="59"/>
      <c r="P613" s="17"/>
      <c r="Q613" s="17"/>
      <c r="R613" s="65"/>
      <c r="S613" s="17"/>
      <c r="T613" s="17"/>
      <c r="U613" s="17"/>
      <c r="V613" s="17"/>
      <c r="W613" s="18"/>
      <c r="X613" s="17"/>
      <c r="Y613" s="17"/>
      <c r="Z613" s="24"/>
      <c r="AA613" s="24"/>
      <c r="AB613" s="24"/>
      <c r="AC613" s="24"/>
      <c r="AD613" s="24"/>
      <c r="AE613" s="24"/>
      <c r="AF613" s="24"/>
      <c r="AG613" s="24"/>
      <c r="AH613" s="24"/>
      <c r="AI613" s="24"/>
    </row>
    <row r="614" ht="15.75" customHeight="1">
      <c r="A614" s="8"/>
      <c r="B614" s="9" t="str">
        <f>IFERROR(__xludf.DUMMYFUNCTION("INDEX(IMPORTRANGE(""https://docs.google.com/spreadsheets/d/1S7deMHO2waboU9dywpXeKIDfCmjiuAc0HUIsFpaXQq8/edit?gid=0#gid=0"", ""Tracking Shipments - PPTCO!o:o""), MATCH(D614, IMPORTRANGE(""https://docs.google.com/spreadsheets/d/1S7deMHO2waboU9dywpXeKIDfCmji"&amp;"uAc0HUIsFpaXQq8/edit?gid=0#gid=0"", ""Tracking Shipments - PPTCO!p:p""), 0))"),"#N/A")</f>
        <v>#N/A</v>
      </c>
      <c r="C614" s="14"/>
      <c r="D614" s="14"/>
      <c r="E614" s="9"/>
      <c r="F614" s="14"/>
      <c r="G614" s="9"/>
      <c r="H614" s="14"/>
      <c r="I614" s="9"/>
      <c r="J614" s="9"/>
      <c r="K614" s="9"/>
      <c r="L614" s="9"/>
      <c r="M614" s="9"/>
      <c r="N614" s="9"/>
      <c r="O614" s="60"/>
      <c r="P614" s="9"/>
      <c r="Q614" s="9"/>
      <c r="R614" s="64"/>
      <c r="S614" s="9"/>
      <c r="T614" s="9"/>
      <c r="U614" s="9"/>
      <c r="V614" s="9"/>
      <c r="W614" s="14"/>
      <c r="X614" s="9"/>
      <c r="Y614" s="9"/>
      <c r="Z614" s="15"/>
      <c r="AA614" s="15"/>
      <c r="AB614" s="15"/>
      <c r="AC614" s="15"/>
      <c r="AD614" s="15"/>
      <c r="AE614" s="15"/>
      <c r="AF614" s="15"/>
      <c r="AG614" s="15"/>
      <c r="AH614" s="15"/>
      <c r="AI614" s="15"/>
    </row>
    <row r="615" ht="15.75" customHeight="1">
      <c r="A615" s="16"/>
      <c r="B615" s="17" t="str">
        <f>IFERROR(__xludf.DUMMYFUNCTION("INDEX(IMPORTRANGE(""https://docs.google.com/spreadsheets/d/1S7deMHO2waboU9dywpXeKIDfCmjiuAc0HUIsFpaXQq8/edit?gid=0#gid=0"", ""Tracking Shipments - PPTCO!o:o""), MATCH(D615, IMPORTRANGE(""https://docs.google.com/spreadsheets/d/1S7deMHO2waboU9dywpXeKIDfCmji"&amp;"uAc0HUIsFpaXQq8/edit?gid=0#gid=0"", ""Tracking Shipments - PPTCO!p:p""), 0))"),"#N/A")</f>
        <v>#N/A</v>
      </c>
      <c r="C615" s="18"/>
      <c r="D615" s="18"/>
      <c r="E615" s="18"/>
      <c r="F615" s="18"/>
      <c r="G615" s="17"/>
      <c r="H615" s="18"/>
      <c r="I615" s="17"/>
      <c r="J615" s="17"/>
      <c r="K615" s="17"/>
      <c r="L615" s="17"/>
      <c r="M615" s="17"/>
      <c r="N615" s="17"/>
      <c r="O615" s="59"/>
      <c r="P615" s="17"/>
      <c r="Q615" s="17"/>
      <c r="R615" s="65"/>
      <c r="S615" s="17"/>
      <c r="T615" s="17"/>
      <c r="U615" s="17"/>
      <c r="V615" s="17"/>
      <c r="W615" s="16"/>
      <c r="X615" s="17"/>
      <c r="Y615" s="17"/>
      <c r="Z615" s="24"/>
      <c r="AA615" s="24"/>
      <c r="AB615" s="24"/>
      <c r="AC615" s="24"/>
      <c r="AD615" s="24"/>
      <c r="AE615" s="24"/>
      <c r="AF615" s="24"/>
      <c r="AG615" s="24"/>
      <c r="AH615" s="24"/>
      <c r="AI615" s="24"/>
    </row>
    <row r="616" ht="15.75" customHeight="1">
      <c r="A616" s="8"/>
      <c r="B616" s="9" t="str">
        <f>IFERROR(__xludf.DUMMYFUNCTION("INDEX(IMPORTRANGE(""https://docs.google.com/spreadsheets/d/1S7deMHO2waboU9dywpXeKIDfCmjiuAc0HUIsFpaXQq8/edit?gid=0#gid=0"", ""Tracking Shipments - PPTCO!o:o""), MATCH(D616, IMPORTRANGE(""https://docs.google.com/spreadsheets/d/1S7deMHO2waboU9dywpXeKIDfCmji"&amp;"uAc0HUIsFpaXQq8/edit?gid=0#gid=0"", ""Tracking Shipments - PPTCO!p:p""), 0))"),"#N/A")</f>
        <v>#N/A</v>
      </c>
      <c r="C616" s="14"/>
      <c r="D616" s="14"/>
      <c r="E616" s="9"/>
      <c r="F616" s="14"/>
      <c r="G616" s="9"/>
      <c r="H616" s="14"/>
      <c r="I616" s="9"/>
      <c r="J616" s="9"/>
      <c r="K616" s="9"/>
      <c r="L616" s="9"/>
      <c r="M616" s="9"/>
      <c r="N616" s="9"/>
      <c r="O616" s="60"/>
      <c r="P616" s="9"/>
      <c r="Q616" s="9"/>
      <c r="R616" s="64"/>
      <c r="S616" s="9"/>
      <c r="T616" s="9"/>
      <c r="U616" s="9"/>
      <c r="V616" s="9"/>
      <c r="W616" s="14"/>
      <c r="X616" s="9"/>
      <c r="Y616" s="9"/>
      <c r="Z616" s="15"/>
      <c r="AA616" s="15"/>
      <c r="AB616" s="15"/>
      <c r="AC616" s="15"/>
      <c r="AD616" s="15"/>
      <c r="AE616" s="15"/>
      <c r="AF616" s="15"/>
      <c r="AG616" s="15"/>
      <c r="AH616" s="15"/>
      <c r="AI616" s="15"/>
    </row>
    <row r="617" ht="15.75" customHeight="1">
      <c r="A617" s="16"/>
      <c r="B617" s="17" t="str">
        <f>IFERROR(__xludf.DUMMYFUNCTION("INDEX(IMPORTRANGE(""https://docs.google.com/spreadsheets/d/1S7deMHO2waboU9dywpXeKIDfCmjiuAc0HUIsFpaXQq8/edit?gid=0#gid=0"", ""Tracking Shipments - PPTCO!o:o""), MATCH(D617, IMPORTRANGE(""https://docs.google.com/spreadsheets/d/1S7deMHO2waboU9dywpXeKIDfCmji"&amp;"uAc0HUIsFpaXQq8/edit?gid=0#gid=0"", ""Tracking Shipments - PPTCO!p:p""), 0))"),"#N/A")</f>
        <v>#N/A</v>
      </c>
      <c r="C617" s="18"/>
      <c r="D617" s="18"/>
      <c r="E617" s="18"/>
      <c r="F617" s="18"/>
      <c r="G617" s="17"/>
      <c r="H617" s="18"/>
      <c r="I617" s="17"/>
      <c r="J617" s="17"/>
      <c r="K617" s="17"/>
      <c r="L617" s="17"/>
      <c r="M617" s="17"/>
      <c r="N617" s="17"/>
      <c r="O617" s="59"/>
      <c r="P617" s="17"/>
      <c r="Q617" s="17"/>
      <c r="R617" s="65"/>
      <c r="S617" s="17"/>
      <c r="T617" s="17"/>
      <c r="U617" s="17"/>
      <c r="V617" s="17"/>
      <c r="W617" s="18"/>
      <c r="X617" s="17"/>
      <c r="Y617" s="17"/>
      <c r="Z617" s="24"/>
      <c r="AA617" s="24"/>
      <c r="AB617" s="24"/>
      <c r="AC617" s="24"/>
      <c r="AD617" s="24"/>
      <c r="AE617" s="24"/>
      <c r="AF617" s="24"/>
      <c r="AG617" s="24"/>
      <c r="AH617" s="24"/>
      <c r="AI617" s="24"/>
    </row>
    <row r="618" ht="15.75" customHeight="1">
      <c r="A618" s="8"/>
      <c r="B618" s="9" t="str">
        <f>IFERROR(__xludf.DUMMYFUNCTION("INDEX(IMPORTRANGE(""https://docs.google.com/spreadsheets/d/1S7deMHO2waboU9dywpXeKIDfCmjiuAc0HUIsFpaXQq8/edit?gid=0#gid=0"", ""Tracking Shipments - PPTCO!o:o""), MATCH(D618, IMPORTRANGE(""https://docs.google.com/spreadsheets/d/1S7deMHO2waboU9dywpXeKIDfCmji"&amp;"uAc0HUIsFpaXQq8/edit?gid=0#gid=0"", ""Tracking Shipments - PPTCO!p:p""), 0))"),"#N/A")</f>
        <v>#N/A</v>
      </c>
      <c r="C618" s="14"/>
      <c r="D618" s="14"/>
      <c r="E618" s="9"/>
      <c r="F618" s="14"/>
      <c r="G618" s="9"/>
      <c r="H618" s="14"/>
      <c r="I618" s="9"/>
      <c r="J618" s="9"/>
      <c r="K618" s="9"/>
      <c r="L618" s="9"/>
      <c r="M618" s="9"/>
      <c r="N618" s="9"/>
      <c r="O618" s="60"/>
      <c r="P618" s="9"/>
      <c r="Q618" s="9"/>
      <c r="R618" s="64"/>
      <c r="S618" s="9"/>
      <c r="T618" s="9"/>
      <c r="U618" s="9"/>
      <c r="V618" s="9"/>
      <c r="W618" s="8"/>
      <c r="X618" s="9"/>
      <c r="Y618" s="9"/>
      <c r="Z618" s="15"/>
      <c r="AA618" s="15"/>
      <c r="AB618" s="15"/>
      <c r="AC618" s="15"/>
      <c r="AD618" s="15"/>
      <c r="AE618" s="15"/>
      <c r="AF618" s="15"/>
      <c r="AG618" s="15"/>
      <c r="AH618" s="15"/>
      <c r="AI618" s="15"/>
    </row>
    <row r="619" ht="15.75" customHeight="1">
      <c r="A619" s="16"/>
      <c r="B619" s="17" t="str">
        <f>IFERROR(__xludf.DUMMYFUNCTION("INDEX(IMPORTRANGE(""https://docs.google.com/spreadsheets/d/1S7deMHO2waboU9dywpXeKIDfCmjiuAc0HUIsFpaXQq8/edit?gid=0#gid=0"", ""Tracking Shipments - PPTCO!o:o""), MATCH(D619, IMPORTRANGE(""https://docs.google.com/spreadsheets/d/1S7deMHO2waboU9dywpXeKIDfCmji"&amp;"uAc0HUIsFpaXQq8/edit?gid=0#gid=0"", ""Tracking Shipments - PPTCO!p:p""), 0))"),"#N/A")</f>
        <v>#N/A</v>
      </c>
      <c r="C619" s="18"/>
      <c r="D619" s="18"/>
      <c r="E619" s="18"/>
      <c r="F619" s="18"/>
      <c r="G619" s="17"/>
      <c r="H619" s="18"/>
      <c r="I619" s="17"/>
      <c r="J619" s="17"/>
      <c r="K619" s="17"/>
      <c r="L619" s="17"/>
      <c r="M619" s="17"/>
      <c r="N619" s="17"/>
      <c r="O619" s="59"/>
      <c r="P619" s="17"/>
      <c r="Q619" s="17"/>
      <c r="R619" s="65"/>
      <c r="S619" s="17"/>
      <c r="T619" s="17"/>
      <c r="U619" s="17"/>
      <c r="V619" s="17"/>
      <c r="W619" s="18"/>
      <c r="X619" s="17"/>
      <c r="Y619" s="17"/>
      <c r="Z619" s="24"/>
      <c r="AA619" s="24"/>
      <c r="AB619" s="24"/>
      <c r="AC619" s="24"/>
      <c r="AD619" s="24"/>
      <c r="AE619" s="24"/>
      <c r="AF619" s="24"/>
      <c r="AG619" s="24"/>
      <c r="AH619" s="24"/>
      <c r="AI619" s="24"/>
    </row>
    <row r="620" ht="15.75" customHeight="1">
      <c r="A620" s="8"/>
      <c r="B620" s="9" t="str">
        <f>IFERROR(__xludf.DUMMYFUNCTION("INDEX(IMPORTRANGE(""https://docs.google.com/spreadsheets/d/1S7deMHO2waboU9dywpXeKIDfCmjiuAc0HUIsFpaXQq8/edit?gid=0#gid=0"", ""Tracking Shipments - PPTCO!o:o""), MATCH(D620, IMPORTRANGE(""https://docs.google.com/spreadsheets/d/1S7deMHO2waboU9dywpXeKIDfCmji"&amp;"uAc0HUIsFpaXQq8/edit?gid=0#gid=0"", ""Tracking Shipments - PPTCO!p:p""), 0))"),"#N/A")</f>
        <v>#N/A</v>
      </c>
      <c r="C620" s="14"/>
      <c r="D620" s="14"/>
      <c r="E620" s="9"/>
      <c r="F620" s="14"/>
      <c r="G620" s="9"/>
      <c r="H620" s="14"/>
      <c r="I620" s="9"/>
      <c r="J620" s="9"/>
      <c r="K620" s="9"/>
      <c r="L620" s="9"/>
      <c r="M620" s="9"/>
      <c r="N620" s="9"/>
      <c r="O620" s="60"/>
      <c r="P620" s="9"/>
      <c r="Q620" s="9"/>
      <c r="R620" s="64"/>
      <c r="S620" s="9"/>
      <c r="T620" s="9"/>
      <c r="U620" s="9"/>
      <c r="V620" s="9"/>
      <c r="W620" s="14"/>
      <c r="X620" s="9"/>
      <c r="Y620" s="9"/>
      <c r="Z620" s="15"/>
      <c r="AA620" s="15"/>
      <c r="AB620" s="15"/>
      <c r="AC620" s="15"/>
      <c r="AD620" s="15"/>
      <c r="AE620" s="15"/>
      <c r="AF620" s="15"/>
      <c r="AG620" s="15"/>
      <c r="AH620" s="15"/>
      <c r="AI620" s="15"/>
    </row>
    <row r="621" ht="15.75" customHeight="1">
      <c r="A621" s="16"/>
      <c r="B621" s="17" t="str">
        <f>IFERROR(__xludf.DUMMYFUNCTION("INDEX(IMPORTRANGE(""https://docs.google.com/spreadsheets/d/1S7deMHO2waboU9dywpXeKIDfCmjiuAc0HUIsFpaXQq8/edit?gid=0#gid=0"", ""Tracking Shipments - PPTCO!o:o""), MATCH(D621, IMPORTRANGE(""https://docs.google.com/spreadsheets/d/1S7deMHO2waboU9dywpXeKIDfCmji"&amp;"uAc0HUIsFpaXQq8/edit?gid=0#gid=0"", ""Tracking Shipments - PPTCO!p:p""), 0))"),"#N/A")</f>
        <v>#N/A</v>
      </c>
      <c r="C621" s="18"/>
      <c r="D621" s="18"/>
      <c r="E621" s="18"/>
      <c r="F621" s="18"/>
      <c r="G621" s="17"/>
      <c r="H621" s="18"/>
      <c r="I621" s="17"/>
      <c r="J621" s="17"/>
      <c r="K621" s="17"/>
      <c r="L621" s="17"/>
      <c r="M621" s="17"/>
      <c r="N621" s="17"/>
      <c r="O621" s="59"/>
      <c r="P621" s="17"/>
      <c r="Q621" s="17"/>
      <c r="R621" s="65"/>
      <c r="S621" s="17"/>
      <c r="T621" s="17"/>
      <c r="U621" s="17"/>
      <c r="V621" s="17"/>
      <c r="W621" s="16"/>
      <c r="X621" s="17"/>
      <c r="Y621" s="17"/>
      <c r="Z621" s="24"/>
      <c r="AA621" s="24"/>
      <c r="AB621" s="24"/>
      <c r="AC621" s="24"/>
      <c r="AD621" s="24"/>
      <c r="AE621" s="24"/>
      <c r="AF621" s="24"/>
      <c r="AG621" s="24"/>
      <c r="AH621" s="24"/>
      <c r="AI621" s="24"/>
    </row>
    <row r="622" ht="15.75" customHeight="1">
      <c r="A622" s="8"/>
      <c r="B622" s="9" t="str">
        <f>IFERROR(__xludf.DUMMYFUNCTION("INDEX(IMPORTRANGE(""https://docs.google.com/spreadsheets/d/1S7deMHO2waboU9dywpXeKIDfCmjiuAc0HUIsFpaXQq8/edit?gid=0#gid=0"", ""Tracking Shipments - PPTCO!o:o""), MATCH(D622, IMPORTRANGE(""https://docs.google.com/spreadsheets/d/1S7deMHO2waboU9dywpXeKIDfCmji"&amp;"uAc0HUIsFpaXQq8/edit?gid=0#gid=0"", ""Tracking Shipments - PPTCO!p:p""), 0))"),"#N/A")</f>
        <v>#N/A</v>
      </c>
      <c r="C622" s="14"/>
      <c r="D622" s="14"/>
      <c r="E622" s="9"/>
      <c r="F622" s="14"/>
      <c r="G622" s="9"/>
      <c r="H622" s="14"/>
      <c r="I622" s="9"/>
      <c r="J622" s="9"/>
      <c r="K622" s="9"/>
      <c r="L622" s="9"/>
      <c r="M622" s="9"/>
      <c r="N622" s="9"/>
      <c r="O622" s="60"/>
      <c r="P622" s="9"/>
      <c r="Q622" s="9"/>
      <c r="R622" s="64"/>
      <c r="S622" s="9"/>
      <c r="T622" s="9"/>
      <c r="U622" s="9"/>
      <c r="V622" s="9"/>
      <c r="W622" s="14"/>
      <c r="X622" s="9"/>
      <c r="Y622" s="9"/>
      <c r="Z622" s="15"/>
      <c r="AA622" s="15"/>
      <c r="AB622" s="15"/>
      <c r="AC622" s="15"/>
      <c r="AD622" s="15"/>
      <c r="AE622" s="15"/>
      <c r="AF622" s="15"/>
      <c r="AG622" s="15"/>
      <c r="AH622" s="15"/>
      <c r="AI622" s="15"/>
    </row>
    <row r="623" ht="15.75" customHeight="1">
      <c r="A623" s="16"/>
      <c r="B623" s="17" t="str">
        <f>IFERROR(__xludf.DUMMYFUNCTION("INDEX(IMPORTRANGE(""https://docs.google.com/spreadsheets/d/1S7deMHO2waboU9dywpXeKIDfCmjiuAc0HUIsFpaXQq8/edit?gid=0#gid=0"", ""Tracking Shipments - PPTCO!o:o""), MATCH(D623, IMPORTRANGE(""https://docs.google.com/spreadsheets/d/1S7deMHO2waboU9dywpXeKIDfCmji"&amp;"uAc0HUIsFpaXQq8/edit?gid=0#gid=0"", ""Tracking Shipments - PPTCO!p:p""), 0))"),"#N/A")</f>
        <v>#N/A</v>
      </c>
      <c r="C623" s="18"/>
      <c r="D623" s="18"/>
      <c r="E623" s="18"/>
      <c r="F623" s="18"/>
      <c r="G623" s="17"/>
      <c r="H623" s="18"/>
      <c r="I623" s="17"/>
      <c r="J623" s="17"/>
      <c r="K623" s="17"/>
      <c r="L623" s="17"/>
      <c r="M623" s="17"/>
      <c r="N623" s="17"/>
      <c r="O623" s="59"/>
      <c r="P623" s="17"/>
      <c r="Q623" s="17"/>
      <c r="R623" s="65"/>
      <c r="S623" s="17"/>
      <c r="T623" s="17"/>
      <c r="U623" s="17"/>
      <c r="V623" s="17"/>
      <c r="W623" s="18"/>
      <c r="X623" s="17"/>
      <c r="Y623" s="17"/>
      <c r="Z623" s="24"/>
      <c r="AA623" s="24"/>
      <c r="AB623" s="24"/>
      <c r="AC623" s="24"/>
      <c r="AD623" s="24"/>
      <c r="AE623" s="24"/>
      <c r="AF623" s="24"/>
      <c r="AG623" s="24"/>
      <c r="AH623" s="24"/>
      <c r="AI623" s="24"/>
    </row>
    <row r="624" ht="15.75" customHeight="1">
      <c r="A624" s="8"/>
      <c r="B624" s="9" t="str">
        <f>IFERROR(__xludf.DUMMYFUNCTION("INDEX(IMPORTRANGE(""https://docs.google.com/spreadsheets/d/1S7deMHO2waboU9dywpXeKIDfCmjiuAc0HUIsFpaXQq8/edit?gid=0#gid=0"", ""Tracking Shipments - PPTCO!o:o""), MATCH(D624, IMPORTRANGE(""https://docs.google.com/spreadsheets/d/1S7deMHO2waboU9dywpXeKIDfCmji"&amp;"uAc0HUIsFpaXQq8/edit?gid=0#gid=0"", ""Tracking Shipments - PPTCO!p:p""), 0))"),"#N/A")</f>
        <v>#N/A</v>
      </c>
      <c r="C624" s="14"/>
      <c r="D624" s="14"/>
      <c r="E624" s="9"/>
      <c r="F624" s="14"/>
      <c r="G624" s="9"/>
      <c r="H624" s="14"/>
      <c r="I624" s="9"/>
      <c r="J624" s="9"/>
      <c r="K624" s="9"/>
      <c r="L624" s="9"/>
      <c r="M624" s="9"/>
      <c r="N624" s="9"/>
      <c r="O624" s="60"/>
      <c r="P624" s="9"/>
      <c r="Q624" s="9"/>
      <c r="R624" s="64"/>
      <c r="S624" s="9"/>
      <c r="T624" s="9"/>
      <c r="U624" s="9"/>
      <c r="V624" s="9"/>
      <c r="W624" s="8"/>
      <c r="X624" s="9"/>
      <c r="Y624" s="9"/>
      <c r="Z624" s="15"/>
      <c r="AA624" s="15"/>
      <c r="AB624" s="15"/>
      <c r="AC624" s="15"/>
      <c r="AD624" s="15"/>
      <c r="AE624" s="15"/>
      <c r="AF624" s="15"/>
      <c r="AG624" s="15"/>
      <c r="AH624" s="15"/>
      <c r="AI624" s="15"/>
    </row>
    <row r="625" ht="15.75" customHeight="1">
      <c r="A625" s="16"/>
      <c r="B625" s="17" t="str">
        <f>IFERROR(__xludf.DUMMYFUNCTION("INDEX(IMPORTRANGE(""https://docs.google.com/spreadsheets/d/1S7deMHO2waboU9dywpXeKIDfCmjiuAc0HUIsFpaXQq8/edit?gid=0#gid=0"", ""Tracking Shipments - PPTCO!o:o""), MATCH(D625, IMPORTRANGE(""https://docs.google.com/spreadsheets/d/1S7deMHO2waboU9dywpXeKIDfCmji"&amp;"uAc0HUIsFpaXQq8/edit?gid=0#gid=0"", ""Tracking Shipments - PPTCO!p:p""), 0))"),"#N/A")</f>
        <v>#N/A</v>
      </c>
      <c r="C625" s="18"/>
      <c r="D625" s="18"/>
      <c r="E625" s="18"/>
      <c r="F625" s="18"/>
      <c r="G625" s="17"/>
      <c r="H625" s="18"/>
      <c r="I625" s="17"/>
      <c r="J625" s="17"/>
      <c r="K625" s="17"/>
      <c r="L625" s="17"/>
      <c r="M625" s="17"/>
      <c r="N625" s="17"/>
      <c r="O625" s="59"/>
      <c r="P625" s="17"/>
      <c r="Q625" s="17"/>
      <c r="R625" s="65"/>
      <c r="S625" s="17"/>
      <c r="T625" s="17"/>
      <c r="U625" s="17"/>
      <c r="V625" s="17"/>
      <c r="W625" s="18"/>
      <c r="X625" s="17"/>
      <c r="Y625" s="17"/>
      <c r="Z625" s="24"/>
      <c r="AA625" s="24"/>
      <c r="AB625" s="24"/>
      <c r="AC625" s="24"/>
      <c r="AD625" s="24"/>
      <c r="AE625" s="24"/>
      <c r="AF625" s="24"/>
      <c r="AG625" s="24"/>
      <c r="AH625" s="24"/>
      <c r="AI625" s="24"/>
    </row>
    <row r="626" ht="15.75" customHeight="1">
      <c r="A626" s="8"/>
      <c r="B626" s="9" t="str">
        <f>IFERROR(__xludf.DUMMYFUNCTION("INDEX(IMPORTRANGE(""https://docs.google.com/spreadsheets/d/1S7deMHO2waboU9dywpXeKIDfCmjiuAc0HUIsFpaXQq8/edit?gid=0#gid=0"", ""Tracking Shipments - PPTCO!o:o""), MATCH(D626, IMPORTRANGE(""https://docs.google.com/spreadsheets/d/1S7deMHO2waboU9dywpXeKIDfCmji"&amp;"uAc0HUIsFpaXQq8/edit?gid=0#gid=0"", ""Tracking Shipments - PPTCO!p:p""), 0))"),"#N/A")</f>
        <v>#N/A</v>
      </c>
      <c r="C626" s="14"/>
      <c r="D626" s="14"/>
      <c r="E626" s="9"/>
      <c r="F626" s="14"/>
      <c r="G626" s="9"/>
      <c r="H626" s="14"/>
      <c r="I626" s="9"/>
      <c r="J626" s="9"/>
      <c r="K626" s="9"/>
      <c r="L626" s="9"/>
      <c r="M626" s="9"/>
      <c r="N626" s="9"/>
      <c r="O626" s="60"/>
      <c r="P626" s="9"/>
      <c r="Q626" s="9"/>
      <c r="R626" s="64"/>
      <c r="S626" s="9"/>
      <c r="T626" s="9"/>
      <c r="U626" s="9"/>
      <c r="V626" s="9"/>
      <c r="W626" s="14"/>
      <c r="X626" s="9"/>
      <c r="Y626" s="9"/>
      <c r="Z626" s="15"/>
      <c r="AA626" s="15"/>
      <c r="AB626" s="15"/>
      <c r="AC626" s="15"/>
      <c r="AD626" s="15"/>
      <c r="AE626" s="15"/>
      <c r="AF626" s="15"/>
      <c r="AG626" s="15"/>
      <c r="AH626" s="15"/>
      <c r="AI626" s="15"/>
    </row>
    <row r="627" ht="15.75" customHeight="1">
      <c r="A627" s="16"/>
      <c r="B627" s="17" t="str">
        <f>IFERROR(__xludf.DUMMYFUNCTION("INDEX(IMPORTRANGE(""https://docs.google.com/spreadsheets/d/1S7deMHO2waboU9dywpXeKIDfCmjiuAc0HUIsFpaXQq8/edit?gid=0#gid=0"", ""Tracking Shipments - PPTCO!o:o""), MATCH(D627, IMPORTRANGE(""https://docs.google.com/spreadsheets/d/1S7deMHO2waboU9dywpXeKIDfCmji"&amp;"uAc0HUIsFpaXQq8/edit?gid=0#gid=0"", ""Tracking Shipments - PPTCO!p:p""), 0))"),"#N/A")</f>
        <v>#N/A</v>
      </c>
      <c r="C627" s="18"/>
      <c r="D627" s="18"/>
      <c r="E627" s="18"/>
      <c r="F627" s="18"/>
      <c r="G627" s="17"/>
      <c r="H627" s="18"/>
      <c r="I627" s="17"/>
      <c r="J627" s="17"/>
      <c r="K627" s="17"/>
      <c r="L627" s="17"/>
      <c r="M627" s="17"/>
      <c r="N627" s="17"/>
      <c r="O627" s="59"/>
      <c r="P627" s="17"/>
      <c r="Q627" s="17"/>
      <c r="R627" s="65"/>
      <c r="S627" s="17"/>
      <c r="T627" s="17"/>
      <c r="U627" s="17"/>
      <c r="V627" s="17"/>
      <c r="W627" s="16"/>
      <c r="X627" s="17"/>
      <c r="Y627" s="17"/>
      <c r="Z627" s="24"/>
      <c r="AA627" s="24"/>
      <c r="AB627" s="24"/>
      <c r="AC627" s="24"/>
      <c r="AD627" s="24"/>
      <c r="AE627" s="24"/>
      <c r="AF627" s="24"/>
      <c r="AG627" s="24"/>
      <c r="AH627" s="24"/>
      <c r="AI627" s="24"/>
    </row>
    <row r="628" ht="15.75" customHeight="1">
      <c r="A628" s="8"/>
      <c r="B628" s="9" t="str">
        <f>IFERROR(__xludf.DUMMYFUNCTION("INDEX(IMPORTRANGE(""https://docs.google.com/spreadsheets/d/1S7deMHO2waboU9dywpXeKIDfCmjiuAc0HUIsFpaXQq8/edit?gid=0#gid=0"", ""Tracking Shipments - PPTCO!o:o""), MATCH(D628, IMPORTRANGE(""https://docs.google.com/spreadsheets/d/1S7deMHO2waboU9dywpXeKIDfCmji"&amp;"uAc0HUIsFpaXQq8/edit?gid=0#gid=0"", ""Tracking Shipments - PPTCO!p:p""), 0))"),"#N/A")</f>
        <v>#N/A</v>
      </c>
      <c r="C628" s="14"/>
      <c r="D628" s="14"/>
      <c r="E628" s="9"/>
      <c r="F628" s="14"/>
      <c r="G628" s="9"/>
      <c r="H628" s="14"/>
      <c r="I628" s="9"/>
      <c r="J628" s="9"/>
      <c r="K628" s="9"/>
      <c r="L628" s="9"/>
      <c r="M628" s="9"/>
      <c r="N628" s="9"/>
      <c r="O628" s="60"/>
      <c r="P628" s="9"/>
      <c r="Q628" s="9"/>
      <c r="R628" s="64"/>
      <c r="S628" s="9"/>
      <c r="T628" s="9"/>
      <c r="U628" s="9"/>
      <c r="V628" s="9"/>
      <c r="W628" s="14"/>
      <c r="X628" s="9"/>
      <c r="Y628" s="9"/>
      <c r="Z628" s="15"/>
      <c r="AA628" s="15"/>
      <c r="AB628" s="15"/>
      <c r="AC628" s="15"/>
      <c r="AD628" s="15"/>
      <c r="AE628" s="15"/>
      <c r="AF628" s="15"/>
      <c r="AG628" s="15"/>
      <c r="AH628" s="15"/>
      <c r="AI628" s="15"/>
    </row>
    <row r="629" ht="15.75" customHeight="1">
      <c r="A629" s="16"/>
      <c r="B629" s="17" t="str">
        <f>IFERROR(__xludf.DUMMYFUNCTION("INDEX(IMPORTRANGE(""https://docs.google.com/spreadsheets/d/1S7deMHO2waboU9dywpXeKIDfCmjiuAc0HUIsFpaXQq8/edit?gid=0#gid=0"", ""Tracking Shipments - PPTCO!o:o""), MATCH(D629, IMPORTRANGE(""https://docs.google.com/spreadsheets/d/1S7deMHO2waboU9dywpXeKIDfCmji"&amp;"uAc0HUIsFpaXQq8/edit?gid=0#gid=0"", ""Tracking Shipments - PPTCO!p:p""), 0))"),"#N/A")</f>
        <v>#N/A</v>
      </c>
      <c r="C629" s="18"/>
      <c r="D629" s="18"/>
      <c r="E629" s="18"/>
      <c r="F629" s="18"/>
      <c r="G629" s="17"/>
      <c r="H629" s="18"/>
      <c r="I629" s="17"/>
      <c r="J629" s="17"/>
      <c r="K629" s="17"/>
      <c r="L629" s="17"/>
      <c r="M629" s="17"/>
      <c r="N629" s="17"/>
      <c r="O629" s="59"/>
      <c r="P629" s="17"/>
      <c r="Q629" s="17"/>
      <c r="R629" s="65"/>
      <c r="S629" s="17"/>
      <c r="T629" s="17"/>
      <c r="U629" s="17"/>
      <c r="V629" s="17"/>
      <c r="W629" s="18"/>
      <c r="X629" s="17"/>
      <c r="Y629" s="17"/>
      <c r="Z629" s="24"/>
      <c r="AA629" s="24"/>
      <c r="AB629" s="24"/>
      <c r="AC629" s="24"/>
      <c r="AD629" s="24"/>
      <c r="AE629" s="24"/>
      <c r="AF629" s="24"/>
      <c r="AG629" s="24"/>
      <c r="AH629" s="24"/>
      <c r="AI629" s="24"/>
    </row>
    <row r="630" ht="15.75" customHeight="1">
      <c r="A630" s="8"/>
      <c r="B630" s="9" t="str">
        <f>IFERROR(__xludf.DUMMYFUNCTION("INDEX(IMPORTRANGE(""https://docs.google.com/spreadsheets/d/1S7deMHO2waboU9dywpXeKIDfCmjiuAc0HUIsFpaXQq8/edit?gid=0#gid=0"", ""Tracking Shipments - PPTCO!o:o""), MATCH(D630, IMPORTRANGE(""https://docs.google.com/spreadsheets/d/1S7deMHO2waboU9dywpXeKIDfCmji"&amp;"uAc0HUIsFpaXQq8/edit?gid=0#gid=0"", ""Tracking Shipments - PPTCO!p:p""), 0))"),"#N/A")</f>
        <v>#N/A</v>
      </c>
      <c r="C630" s="14"/>
      <c r="D630" s="14"/>
      <c r="E630" s="9"/>
      <c r="F630" s="14"/>
      <c r="G630" s="9"/>
      <c r="H630" s="14"/>
      <c r="I630" s="9"/>
      <c r="J630" s="9"/>
      <c r="K630" s="9"/>
      <c r="L630" s="9"/>
      <c r="M630" s="9"/>
      <c r="N630" s="9"/>
      <c r="O630" s="60"/>
      <c r="P630" s="9"/>
      <c r="Q630" s="9"/>
      <c r="R630" s="64"/>
      <c r="S630" s="9"/>
      <c r="T630" s="9"/>
      <c r="U630" s="9"/>
      <c r="V630" s="9"/>
      <c r="W630" s="8"/>
      <c r="X630" s="9"/>
      <c r="Y630" s="9"/>
      <c r="Z630" s="15"/>
      <c r="AA630" s="15"/>
      <c r="AB630" s="15"/>
      <c r="AC630" s="15"/>
      <c r="AD630" s="15"/>
      <c r="AE630" s="15"/>
      <c r="AF630" s="15"/>
      <c r="AG630" s="15"/>
      <c r="AH630" s="15"/>
      <c r="AI630" s="15"/>
    </row>
    <row r="631" ht="15.75" customHeight="1">
      <c r="A631" s="16"/>
      <c r="B631" s="17" t="str">
        <f>IFERROR(__xludf.DUMMYFUNCTION("INDEX(IMPORTRANGE(""https://docs.google.com/spreadsheets/d/1S7deMHO2waboU9dywpXeKIDfCmjiuAc0HUIsFpaXQq8/edit?gid=0#gid=0"", ""Tracking Shipments - PPTCO!o:o""), MATCH(D631, IMPORTRANGE(""https://docs.google.com/spreadsheets/d/1S7deMHO2waboU9dywpXeKIDfCmji"&amp;"uAc0HUIsFpaXQq8/edit?gid=0#gid=0"", ""Tracking Shipments - PPTCO!p:p""), 0))"),"#N/A")</f>
        <v>#N/A</v>
      </c>
      <c r="C631" s="18"/>
      <c r="D631" s="18"/>
      <c r="E631" s="18"/>
      <c r="F631" s="18"/>
      <c r="G631" s="17"/>
      <c r="H631" s="18"/>
      <c r="I631" s="17"/>
      <c r="J631" s="17"/>
      <c r="K631" s="17"/>
      <c r="L631" s="17"/>
      <c r="M631" s="17"/>
      <c r="N631" s="17"/>
      <c r="O631" s="59"/>
      <c r="P631" s="17"/>
      <c r="Q631" s="17"/>
      <c r="R631" s="65"/>
      <c r="S631" s="17"/>
      <c r="T631" s="17"/>
      <c r="U631" s="17"/>
      <c r="V631" s="17"/>
      <c r="W631" s="18"/>
      <c r="X631" s="17"/>
      <c r="Y631" s="17"/>
      <c r="Z631" s="24"/>
      <c r="AA631" s="24"/>
      <c r="AB631" s="24"/>
      <c r="AC631" s="24"/>
      <c r="AD631" s="24"/>
      <c r="AE631" s="24"/>
      <c r="AF631" s="24"/>
      <c r="AG631" s="24"/>
      <c r="AH631" s="24"/>
      <c r="AI631" s="24"/>
    </row>
    <row r="632" ht="15.75" customHeight="1">
      <c r="A632" s="8"/>
      <c r="B632" s="9" t="str">
        <f>IFERROR(__xludf.DUMMYFUNCTION("INDEX(IMPORTRANGE(""https://docs.google.com/spreadsheets/d/1S7deMHO2waboU9dywpXeKIDfCmjiuAc0HUIsFpaXQq8/edit?gid=0#gid=0"", ""Tracking Shipments - PPTCO!o:o""), MATCH(D632, IMPORTRANGE(""https://docs.google.com/spreadsheets/d/1S7deMHO2waboU9dywpXeKIDfCmji"&amp;"uAc0HUIsFpaXQq8/edit?gid=0#gid=0"", ""Tracking Shipments - PPTCO!p:p""), 0))"),"#N/A")</f>
        <v>#N/A</v>
      </c>
      <c r="C632" s="14"/>
      <c r="D632" s="14"/>
      <c r="E632" s="9"/>
      <c r="F632" s="14"/>
      <c r="G632" s="9"/>
      <c r="H632" s="14"/>
      <c r="I632" s="9"/>
      <c r="J632" s="9"/>
      <c r="K632" s="9"/>
      <c r="L632" s="9"/>
      <c r="M632" s="9"/>
      <c r="N632" s="9"/>
      <c r="O632" s="60"/>
      <c r="P632" s="9"/>
      <c r="Q632" s="9"/>
      <c r="R632" s="64"/>
      <c r="S632" s="9"/>
      <c r="T632" s="9"/>
      <c r="U632" s="9"/>
      <c r="V632" s="9"/>
      <c r="W632" s="14"/>
      <c r="X632" s="9"/>
      <c r="Y632" s="9"/>
      <c r="Z632" s="15"/>
      <c r="AA632" s="15"/>
      <c r="AB632" s="15"/>
      <c r="AC632" s="15"/>
      <c r="AD632" s="15"/>
      <c r="AE632" s="15"/>
      <c r="AF632" s="15"/>
      <c r="AG632" s="15"/>
      <c r="AH632" s="15"/>
      <c r="AI632" s="15"/>
    </row>
    <row r="633" ht="15.75" customHeight="1">
      <c r="A633" s="16"/>
      <c r="B633" s="17" t="str">
        <f>IFERROR(__xludf.DUMMYFUNCTION("INDEX(IMPORTRANGE(""https://docs.google.com/spreadsheets/d/1S7deMHO2waboU9dywpXeKIDfCmjiuAc0HUIsFpaXQq8/edit?gid=0#gid=0"", ""Tracking Shipments - PPTCO!o:o""), MATCH(D633, IMPORTRANGE(""https://docs.google.com/spreadsheets/d/1S7deMHO2waboU9dywpXeKIDfCmji"&amp;"uAc0HUIsFpaXQq8/edit?gid=0#gid=0"", ""Tracking Shipments - PPTCO!p:p""), 0))"),"#N/A")</f>
        <v>#N/A</v>
      </c>
      <c r="C633" s="18"/>
      <c r="D633" s="18"/>
      <c r="E633" s="18"/>
      <c r="F633" s="18"/>
      <c r="G633" s="17"/>
      <c r="H633" s="18"/>
      <c r="I633" s="17"/>
      <c r="J633" s="17"/>
      <c r="K633" s="17"/>
      <c r="L633" s="17"/>
      <c r="M633" s="17"/>
      <c r="N633" s="17"/>
      <c r="O633" s="59"/>
      <c r="P633" s="17"/>
      <c r="Q633" s="17"/>
      <c r="R633" s="65"/>
      <c r="S633" s="17"/>
      <c r="T633" s="17"/>
      <c r="U633" s="17"/>
      <c r="V633" s="17"/>
      <c r="W633" s="16"/>
      <c r="X633" s="17"/>
      <c r="Y633" s="17"/>
      <c r="Z633" s="24"/>
      <c r="AA633" s="24"/>
      <c r="AB633" s="24"/>
      <c r="AC633" s="24"/>
      <c r="AD633" s="24"/>
      <c r="AE633" s="24"/>
      <c r="AF633" s="24"/>
      <c r="AG633" s="24"/>
      <c r="AH633" s="24"/>
      <c r="AI633" s="24"/>
    </row>
    <row r="634" ht="15.75" customHeight="1">
      <c r="A634" s="8"/>
      <c r="B634" s="9" t="str">
        <f>IFERROR(__xludf.DUMMYFUNCTION("INDEX(IMPORTRANGE(""https://docs.google.com/spreadsheets/d/1S7deMHO2waboU9dywpXeKIDfCmjiuAc0HUIsFpaXQq8/edit?gid=0#gid=0"", ""Tracking Shipments - PPTCO!o:o""), MATCH(D634, IMPORTRANGE(""https://docs.google.com/spreadsheets/d/1S7deMHO2waboU9dywpXeKIDfCmji"&amp;"uAc0HUIsFpaXQq8/edit?gid=0#gid=0"", ""Tracking Shipments - PPTCO!p:p""), 0))"),"#N/A")</f>
        <v>#N/A</v>
      </c>
      <c r="C634" s="14"/>
      <c r="D634" s="14"/>
      <c r="E634" s="9"/>
      <c r="F634" s="14"/>
      <c r="G634" s="9"/>
      <c r="H634" s="14"/>
      <c r="I634" s="9"/>
      <c r="J634" s="9"/>
      <c r="K634" s="9"/>
      <c r="L634" s="9"/>
      <c r="M634" s="9"/>
      <c r="N634" s="9"/>
      <c r="O634" s="60"/>
      <c r="P634" s="9"/>
      <c r="Q634" s="9"/>
      <c r="R634" s="64"/>
      <c r="S634" s="9"/>
      <c r="T634" s="9"/>
      <c r="U634" s="9"/>
      <c r="V634" s="9"/>
      <c r="W634" s="14"/>
      <c r="X634" s="9"/>
      <c r="Y634" s="9"/>
      <c r="Z634" s="15"/>
      <c r="AA634" s="15"/>
      <c r="AB634" s="15"/>
      <c r="AC634" s="15"/>
      <c r="AD634" s="15"/>
      <c r="AE634" s="15"/>
      <c r="AF634" s="15"/>
      <c r="AG634" s="15"/>
      <c r="AH634" s="15"/>
      <c r="AI634" s="15"/>
    </row>
    <row r="635" ht="15.75" customHeight="1">
      <c r="A635" s="16"/>
      <c r="B635" s="17" t="str">
        <f>IFERROR(__xludf.DUMMYFUNCTION("INDEX(IMPORTRANGE(""https://docs.google.com/spreadsheets/d/1S7deMHO2waboU9dywpXeKIDfCmjiuAc0HUIsFpaXQq8/edit?gid=0#gid=0"", ""Tracking Shipments - PPTCO!o:o""), MATCH(D635, IMPORTRANGE(""https://docs.google.com/spreadsheets/d/1S7deMHO2waboU9dywpXeKIDfCmji"&amp;"uAc0HUIsFpaXQq8/edit?gid=0#gid=0"", ""Tracking Shipments - PPTCO!p:p""), 0))"),"#N/A")</f>
        <v>#N/A</v>
      </c>
      <c r="C635" s="18"/>
      <c r="D635" s="18"/>
      <c r="E635" s="18"/>
      <c r="F635" s="18"/>
      <c r="G635" s="17"/>
      <c r="H635" s="18"/>
      <c r="I635" s="17"/>
      <c r="J635" s="17"/>
      <c r="K635" s="17"/>
      <c r="L635" s="17"/>
      <c r="M635" s="17"/>
      <c r="N635" s="17"/>
      <c r="O635" s="59"/>
      <c r="P635" s="17"/>
      <c r="Q635" s="17"/>
      <c r="R635" s="65"/>
      <c r="S635" s="17"/>
      <c r="T635" s="17"/>
      <c r="U635" s="17"/>
      <c r="V635" s="17"/>
      <c r="W635" s="18"/>
      <c r="X635" s="17"/>
      <c r="Y635" s="17"/>
      <c r="Z635" s="24"/>
      <c r="AA635" s="24"/>
      <c r="AB635" s="24"/>
      <c r="AC635" s="24"/>
      <c r="AD635" s="24"/>
      <c r="AE635" s="24"/>
      <c r="AF635" s="24"/>
      <c r="AG635" s="24"/>
      <c r="AH635" s="24"/>
      <c r="AI635" s="24"/>
    </row>
    <row r="636" ht="15.75" customHeight="1">
      <c r="A636" s="8"/>
      <c r="B636" s="9" t="str">
        <f>IFERROR(__xludf.DUMMYFUNCTION("INDEX(IMPORTRANGE(""https://docs.google.com/spreadsheets/d/1S7deMHO2waboU9dywpXeKIDfCmjiuAc0HUIsFpaXQq8/edit?gid=0#gid=0"", ""Tracking Shipments - PPTCO!o:o""), MATCH(D636, IMPORTRANGE(""https://docs.google.com/spreadsheets/d/1S7deMHO2waboU9dywpXeKIDfCmji"&amp;"uAc0HUIsFpaXQq8/edit?gid=0#gid=0"", ""Tracking Shipments - PPTCO!p:p""), 0))"),"#N/A")</f>
        <v>#N/A</v>
      </c>
      <c r="C636" s="14"/>
      <c r="D636" s="14"/>
      <c r="E636" s="9"/>
      <c r="F636" s="14"/>
      <c r="G636" s="9"/>
      <c r="H636" s="14"/>
      <c r="I636" s="9"/>
      <c r="J636" s="9"/>
      <c r="K636" s="9"/>
      <c r="L636" s="9"/>
      <c r="M636" s="9"/>
      <c r="N636" s="9"/>
      <c r="O636" s="60"/>
      <c r="P636" s="9"/>
      <c r="Q636" s="9"/>
      <c r="R636" s="64"/>
      <c r="S636" s="9"/>
      <c r="T636" s="9"/>
      <c r="U636" s="9"/>
      <c r="V636" s="9"/>
      <c r="W636" s="8"/>
      <c r="X636" s="9"/>
      <c r="Y636" s="9"/>
      <c r="Z636" s="15"/>
      <c r="AA636" s="15"/>
      <c r="AB636" s="15"/>
      <c r="AC636" s="15"/>
      <c r="AD636" s="15"/>
      <c r="AE636" s="15"/>
      <c r="AF636" s="15"/>
      <c r="AG636" s="15"/>
      <c r="AH636" s="15"/>
      <c r="AI636" s="15"/>
    </row>
    <row r="637" ht="15.75" customHeight="1">
      <c r="A637" s="16"/>
      <c r="B637" s="17" t="str">
        <f>IFERROR(__xludf.DUMMYFUNCTION("INDEX(IMPORTRANGE(""https://docs.google.com/spreadsheets/d/1S7deMHO2waboU9dywpXeKIDfCmjiuAc0HUIsFpaXQq8/edit?gid=0#gid=0"", ""Tracking Shipments - PPTCO!o:o""), MATCH(D637, IMPORTRANGE(""https://docs.google.com/spreadsheets/d/1S7deMHO2waboU9dywpXeKIDfCmji"&amp;"uAc0HUIsFpaXQq8/edit?gid=0#gid=0"", ""Tracking Shipments - PPTCO!p:p""), 0))"),"#N/A")</f>
        <v>#N/A</v>
      </c>
      <c r="C637" s="18"/>
      <c r="D637" s="18"/>
      <c r="E637" s="18"/>
      <c r="F637" s="18"/>
      <c r="G637" s="17"/>
      <c r="H637" s="18"/>
      <c r="I637" s="17"/>
      <c r="J637" s="17"/>
      <c r="K637" s="17"/>
      <c r="L637" s="17"/>
      <c r="M637" s="17"/>
      <c r="N637" s="17"/>
      <c r="O637" s="59"/>
      <c r="P637" s="17"/>
      <c r="Q637" s="17"/>
      <c r="R637" s="65"/>
      <c r="S637" s="17"/>
      <c r="T637" s="17"/>
      <c r="U637" s="17"/>
      <c r="V637" s="17"/>
      <c r="W637" s="18"/>
      <c r="X637" s="17"/>
      <c r="Y637" s="17"/>
      <c r="Z637" s="24"/>
      <c r="AA637" s="24"/>
      <c r="AB637" s="24"/>
      <c r="AC637" s="24"/>
      <c r="AD637" s="24"/>
      <c r="AE637" s="24"/>
      <c r="AF637" s="24"/>
      <c r="AG637" s="24"/>
      <c r="AH637" s="24"/>
      <c r="AI637" s="24"/>
    </row>
    <row r="638" ht="15.75" customHeight="1">
      <c r="A638" s="8"/>
      <c r="B638" s="9" t="str">
        <f>IFERROR(__xludf.DUMMYFUNCTION("INDEX(IMPORTRANGE(""https://docs.google.com/spreadsheets/d/1S7deMHO2waboU9dywpXeKIDfCmjiuAc0HUIsFpaXQq8/edit?gid=0#gid=0"", ""Tracking Shipments - PPTCO!o:o""), MATCH(D638, IMPORTRANGE(""https://docs.google.com/spreadsheets/d/1S7deMHO2waboU9dywpXeKIDfCmji"&amp;"uAc0HUIsFpaXQq8/edit?gid=0#gid=0"", ""Tracking Shipments - PPTCO!p:p""), 0))"),"#N/A")</f>
        <v>#N/A</v>
      </c>
      <c r="C638" s="14"/>
      <c r="D638" s="14"/>
      <c r="E638" s="9"/>
      <c r="F638" s="14"/>
      <c r="G638" s="9"/>
      <c r="H638" s="14"/>
      <c r="I638" s="9"/>
      <c r="J638" s="9"/>
      <c r="K638" s="9"/>
      <c r="L638" s="9"/>
      <c r="M638" s="9"/>
      <c r="N638" s="9"/>
      <c r="O638" s="60"/>
      <c r="P638" s="9"/>
      <c r="Q638" s="9"/>
      <c r="R638" s="64"/>
      <c r="S638" s="9"/>
      <c r="T638" s="9"/>
      <c r="U638" s="9"/>
      <c r="V638" s="9"/>
      <c r="W638" s="14"/>
      <c r="X638" s="9"/>
      <c r="Y638" s="9"/>
      <c r="Z638" s="15"/>
      <c r="AA638" s="15"/>
      <c r="AB638" s="15"/>
      <c r="AC638" s="15"/>
      <c r="AD638" s="15"/>
      <c r="AE638" s="15"/>
      <c r="AF638" s="15"/>
      <c r="AG638" s="15"/>
      <c r="AH638" s="15"/>
      <c r="AI638" s="15"/>
    </row>
    <row r="639" ht="15.75" customHeight="1">
      <c r="A639" s="16"/>
      <c r="B639" s="17" t="str">
        <f>IFERROR(__xludf.DUMMYFUNCTION("INDEX(IMPORTRANGE(""https://docs.google.com/spreadsheets/d/1S7deMHO2waboU9dywpXeKIDfCmjiuAc0HUIsFpaXQq8/edit?gid=0#gid=0"", ""Tracking Shipments - PPTCO!o:o""), MATCH(D639, IMPORTRANGE(""https://docs.google.com/spreadsheets/d/1S7deMHO2waboU9dywpXeKIDfCmji"&amp;"uAc0HUIsFpaXQq8/edit?gid=0#gid=0"", ""Tracking Shipments - PPTCO!p:p""), 0))"),"#N/A")</f>
        <v>#N/A</v>
      </c>
      <c r="C639" s="18"/>
      <c r="D639" s="18"/>
      <c r="E639" s="18"/>
      <c r="F639" s="18"/>
      <c r="G639" s="17"/>
      <c r="H639" s="18"/>
      <c r="I639" s="17"/>
      <c r="J639" s="17"/>
      <c r="K639" s="17"/>
      <c r="L639" s="17"/>
      <c r="M639" s="17"/>
      <c r="N639" s="17"/>
      <c r="O639" s="59"/>
      <c r="P639" s="17"/>
      <c r="Q639" s="17"/>
      <c r="R639" s="65"/>
      <c r="S639" s="17"/>
      <c r="T639" s="17"/>
      <c r="U639" s="17"/>
      <c r="V639" s="17"/>
      <c r="W639" s="16"/>
      <c r="X639" s="17"/>
      <c r="Y639" s="17"/>
      <c r="Z639" s="24"/>
      <c r="AA639" s="24"/>
      <c r="AB639" s="24"/>
      <c r="AC639" s="24"/>
      <c r="AD639" s="24"/>
      <c r="AE639" s="24"/>
      <c r="AF639" s="24"/>
      <c r="AG639" s="24"/>
      <c r="AH639" s="24"/>
      <c r="AI639" s="24"/>
    </row>
    <row r="640" ht="15.75" customHeight="1">
      <c r="A640" s="8"/>
      <c r="B640" s="9" t="str">
        <f>IFERROR(__xludf.DUMMYFUNCTION("INDEX(IMPORTRANGE(""https://docs.google.com/spreadsheets/d/1S7deMHO2waboU9dywpXeKIDfCmjiuAc0HUIsFpaXQq8/edit?gid=0#gid=0"", ""Tracking Shipments - PPTCO!o:o""), MATCH(D640, IMPORTRANGE(""https://docs.google.com/spreadsheets/d/1S7deMHO2waboU9dywpXeKIDfCmji"&amp;"uAc0HUIsFpaXQq8/edit?gid=0#gid=0"", ""Tracking Shipments - PPTCO!p:p""), 0))"),"#N/A")</f>
        <v>#N/A</v>
      </c>
      <c r="C640" s="14"/>
      <c r="D640" s="14"/>
      <c r="E640" s="9"/>
      <c r="F640" s="14"/>
      <c r="G640" s="9"/>
      <c r="H640" s="14"/>
      <c r="I640" s="9"/>
      <c r="J640" s="9"/>
      <c r="K640" s="9"/>
      <c r="L640" s="9"/>
      <c r="M640" s="9"/>
      <c r="N640" s="9"/>
      <c r="O640" s="60"/>
      <c r="P640" s="9"/>
      <c r="Q640" s="9"/>
      <c r="R640" s="64"/>
      <c r="S640" s="9"/>
      <c r="T640" s="9"/>
      <c r="U640" s="9"/>
      <c r="V640" s="9"/>
      <c r="W640" s="14"/>
      <c r="X640" s="9"/>
      <c r="Y640" s="9"/>
      <c r="Z640" s="15"/>
      <c r="AA640" s="15"/>
      <c r="AB640" s="15"/>
      <c r="AC640" s="15"/>
      <c r="AD640" s="15"/>
      <c r="AE640" s="15"/>
      <c r="AF640" s="15"/>
      <c r="AG640" s="15"/>
      <c r="AH640" s="15"/>
      <c r="AI640" s="15"/>
    </row>
    <row r="641" ht="15.75" customHeight="1">
      <c r="A641" s="16"/>
      <c r="B641" s="17" t="str">
        <f>IFERROR(__xludf.DUMMYFUNCTION("INDEX(IMPORTRANGE(""https://docs.google.com/spreadsheets/d/1S7deMHO2waboU9dywpXeKIDfCmjiuAc0HUIsFpaXQq8/edit?gid=0#gid=0"", ""Tracking Shipments - PPTCO!o:o""), MATCH(D641, IMPORTRANGE(""https://docs.google.com/spreadsheets/d/1S7deMHO2waboU9dywpXeKIDfCmji"&amp;"uAc0HUIsFpaXQq8/edit?gid=0#gid=0"", ""Tracking Shipments - PPTCO!p:p""), 0))"),"#N/A")</f>
        <v>#N/A</v>
      </c>
      <c r="C641" s="18"/>
      <c r="D641" s="18"/>
      <c r="E641" s="18"/>
      <c r="F641" s="18"/>
      <c r="G641" s="17"/>
      <c r="H641" s="18"/>
      <c r="I641" s="17"/>
      <c r="J641" s="17"/>
      <c r="K641" s="17"/>
      <c r="L641" s="17"/>
      <c r="M641" s="17"/>
      <c r="N641" s="17"/>
      <c r="O641" s="59"/>
      <c r="P641" s="17"/>
      <c r="Q641" s="17"/>
      <c r="R641" s="65"/>
      <c r="S641" s="17"/>
      <c r="T641" s="17"/>
      <c r="U641" s="17"/>
      <c r="V641" s="17"/>
      <c r="W641" s="18"/>
      <c r="X641" s="17"/>
      <c r="Y641" s="17"/>
      <c r="Z641" s="24"/>
      <c r="AA641" s="24"/>
      <c r="AB641" s="24"/>
      <c r="AC641" s="24"/>
      <c r="AD641" s="24"/>
      <c r="AE641" s="24"/>
      <c r="AF641" s="24"/>
      <c r="AG641" s="24"/>
      <c r="AH641" s="24"/>
      <c r="AI641" s="24"/>
    </row>
    <row r="642" ht="15.75" customHeight="1">
      <c r="A642" s="8"/>
      <c r="B642" s="14"/>
      <c r="C642" s="14"/>
      <c r="D642" s="14"/>
      <c r="E642" s="9"/>
      <c r="F642" s="14"/>
      <c r="G642" s="9"/>
      <c r="H642" s="14"/>
      <c r="I642" s="9"/>
      <c r="J642" s="9"/>
      <c r="K642" s="9"/>
      <c r="L642" s="9"/>
      <c r="M642" s="9"/>
      <c r="N642" s="9"/>
      <c r="O642" s="60"/>
      <c r="P642" s="9"/>
      <c r="Q642" s="9"/>
      <c r="R642" s="64"/>
      <c r="S642" s="9"/>
      <c r="T642" s="9"/>
      <c r="U642" s="9"/>
      <c r="V642" s="9"/>
      <c r="W642" s="8"/>
      <c r="X642" s="9"/>
      <c r="Y642" s="9"/>
      <c r="Z642" s="15"/>
      <c r="AA642" s="15"/>
      <c r="AB642" s="15"/>
      <c r="AC642" s="15"/>
      <c r="AD642" s="15"/>
      <c r="AE642" s="15"/>
      <c r="AF642" s="15"/>
      <c r="AG642" s="15"/>
      <c r="AH642" s="15"/>
      <c r="AI642" s="15"/>
    </row>
    <row r="643" ht="15.75" customHeight="1">
      <c r="A643" s="16"/>
      <c r="B643" s="18"/>
      <c r="C643" s="18"/>
      <c r="D643" s="18"/>
      <c r="E643" s="18"/>
      <c r="F643" s="18"/>
      <c r="G643" s="17"/>
      <c r="H643" s="18"/>
      <c r="I643" s="17"/>
      <c r="J643" s="17"/>
      <c r="K643" s="17"/>
      <c r="L643" s="17"/>
      <c r="M643" s="17"/>
      <c r="N643" s="17"/>
      <c r="O643" s="59"/>
      <c r="P643" s="17"/>
      <c r="Q643" s="17"/>
      <c r="R643" s="65"/>
      <c r="S643" s="17"/>
      <c r="T643" s="17"/>
      <c r="U643" s="17"/>
      <c r="V643" s="17"/>
      <c r="W643" s="18"/>
      <c r="X643" s="17"/>
      <c r="Y643" s="17"/>
      <c r="Z643" s="24"/>
      <c r="AA643" s="24"/>
      <c r="AB643" s="24"/>
      <c r="AC643" s="24"/>
      <c r="AD643" s="24"/>
      <c r="AE643" s="24"/>
      <c r="AF643" s="24"/>
      <c r="AG643" s="24"/>
      <c r="AH643" s="24"/>
      <c r="AI643" s="24"/>
    </row>
    <row r="644" ht="15.75" customHeight="1">
      <c r="A644" s="8"/>
      <c r="B644" s="14"/>
      <c r="C644" s="14"/>
      <c r="D644" s="14"/>
      <c r="E644" s="9"/>
      <c r="F644" s="14"/>
      <c r="G644" s="9"/>
      <c r="H644" s="14"/>
      <c r="I644" s="9"/>
      <c r="J644" s="9"/>
      <c r="K644" s="9"/>
      <c r="L644" s="9"/>
      <c r="M644" s="9"/>
      <c r="N644" s="9"/>
      <c r="O644" s="60"/>
      <c r="P644" s="9"/>
      <c r="Q644" s="9"/>
      <c r="R644" s="64"/>
      <c r="S644" s="9"/>
      <c r="T644" s="9"/>
      <c r="U644" s="9"/>
      <c r="V644" s="9"/>
      <c r="W644" s="14"/>
      <c r="X644" s="9"/>
      <c r="Y644" s="9"/>
      <c r="Z644" s="15"/>
      <c r="AA644" s="15"/>
      <c r="AB644" s="15"/>
      <c r="AC644" s="15"/>
      <c r="AD644" s="15"/>
      <c r="AE644" s="15"/>
      <c r="AF644" s="15"/>
      <c r="AG644" s="15"/>
      <c r="AH644" s="15"/>
      <c r="AI644" s="15"/>
    </row>
    <row r="645" ht="15.75" customHeight="1">
      <c r="A645" s="16"/>
      <c r="B645" s="18"/>
      <c r="C645" s="18"/>
      <c r="D645" s="18"/>
      <c r="E645" s="18"/>
      <c r="F645" s="18"/>
      <c r="G645" s="17"/>
      <c r="H645" s="18"/>
      <c r="I645" s="17"/>
      <c r="J645" s="17"/>
      <c r="K645" s="17"/>
      <c r="L645" s="17"/>
      <c r="M645" s="17"/>
      <c r="N645" s="17"/>
      <c r="O645" s="59"/>
      <c r="P645" s="17"/>
      <c r="Q645" s="17"/>
      <c r="R645" s="65"/>
      <c r="S645" s="17"/>
      <c r="T645" s="17"/>
      <c r="U645" s="17"/>
      <c r="V645" s="17"/>
      <c r="W645" s="16"/>
      <c r="X645" s="17"/>
      <c r="Y645" s="17"/>
      <c r="Z645" s="24"/>
      <c r="AA645" s="24"/>
      <c r="AB645" s="24"/>
      <c r="AC645" s="24"/>
      <c r="AD645" s="24"/>
      <c r="AE645" s="24"/>
      <c r="AF645" s="24"/>
      <c r="AG645" s="24"/>
      <c r="AH645" s="24"/>
      <c r="AI645" s="24"/>
    </row>
    <row r="646" ht="15.75" customHeight="1">
      <c r="A646" s="8"/>
      <c r="B646" s="14"/>
      <c r="C646" s="14"/>
      <c r="D646" s="14"/>
      <c r="E646" s="9"/>
      <c r="F646" s="14"/>
      <c r="G646" s="9"/>
      <c r="H646" s="14"/>
      <c r="I646" s="9"/>
      <c r="J646" s="9"/>
      <c r="K646" s="9"/>
      <c r="L646" s="9"/>
      <c r="M646" s="9"/>
      <c r="N646" s="9"/>
      <c r="O646" s="60"/>
      <c r="P646" s="9"/>
      <c r="Q646" s="9"/>
      <c r="R646" s="64"/>
      <c r="S646" s="9"/>
      <c r="T646" s="9"/>
      <c r="U646" s="9"/>
      <c r="V646" s="9"/>
      <c r="W646" s="14"/>
      <c r="X646" s="9"/>
      <c r="Y646" s="9"/>
      <c r="Z646" s="15"/>
      <c r="AA646" s="15"/>
      <c r="AB646" s="15"/>
      <c r="AC646" s="15"/>
      <c r="AD646" s="15"/>
      <c r="AE646" s="15"/>
      <c r="AF646" s="15"/>
      <c r="AG646" s="15"/>
      <c r="AH646" s="15"/>
      <c r="AI646" s="15"/>
    </row>
    <row r="647" ht="15.75" customHeight="1">
      <c r="A647" s="16"/>
      <c r="B647" s="18"/>
      <c r="C647" s="18"/>
      <c r="D647" s="18"/>
      <c r="E647" s="18"/>
      <c r="F647" s="18"/>
      <c r="G647" s="17"/>
      <c r="H647" s="18"/>
      <c r="I647" s="17"/>
      <c r="J647" s="17"/>
      <c r="K647" s="17"/>
      <c r="L647" s="17"/>
      <c r="M647" s="17"/>
      <c r="N647" s="17"/>
      <c r="O647" s="59"/>
      <c r="P647" s="17"/>
      <c r="Q647" s="17"/>
      <c r="R647" s="65"/>
      <c r="S647" s="17"/>
      <c r="T647" s="17"/>
      <c r="U647" s="17"/>
      <c r="V647" s="17"/>
      <c r="W647" s="18"/>
      <c r="X647" s="17"/>
      <c r="Y647" s="17"/>
      <c r="Z647" s="24"/>
      <c r="AA647" s="24"/>
      <c r="AB647" s="24"/>
      <c r="AC647" s="24"/>
      <c r="AD647" s="24"/>
      <c r="AE647" s="24"/>
      <c r="AF647" s="24"/>
      <c r="AG647" s="24"/>
      <c r="AH647" s="24"/>
      <c r="AI647" s="24"/>
    </row>
    <row r="648" ht="15.75" customHeight="1">
      <c r="A648" s="8"/>
      <c r="B648" s="14"/>
      <c r="C648" s="14"/>
      <c r="D648" s="14"/>
      <c r="E648" s="9"/>
      <c r="F648" s="14"/>
      <c r="G648" s="9"/>
      <c r="H648" s="14"/>
      <c r="I648" s="9"/>
      <c r="J648" s="9"/>
      <c r="K648" s="9"/>
      <c r="L648" s="9"/>
      <c r="M648" s="9"/>
      <c r="N648" s="9"/>
      <c r="O648" s="60"/>
      <c r="P648" s="9"/>
      <c r="Q648" s="9"/>
      <c r="R648" s="64"/>
      <c r="S648" s="9"/>
      <c r="T648" s="9"/>
      <c r="U648" s="9"/>
      <c r="V648" s="9"/>
      <c r="W648" s="8"/>
      <c r="X648" s="9"/>
      <c r="Y648" s="9"/>
      <c r="Z648" s="15"/>
      <c r="AA648" s="15"/>
      <c r="AB648" s="15"/>
      <c r="AC648" s="15"/>
      <c r="AD648" s="15"/>
      <c r="AE648" s="15"/>
      <c r="AF648" s="15"/>
      <c r="AG648" s="15"/>
      <c r="AH648" s="15"/>
      <c r="AI648" s="15"/>
    </row>
    <row r="649" ht="15.75" customHeight="1">
      <c r="A649" s="16"/>
      <c r="B649" s="18"/>
      <c r="C649" s="18"/>
      <c r="D649" s="18"/>
      <c r="E649" s="18"/>
      <c r="F649" s="18"/>
      <c r="G649" s="17"/>
      <c r="H649" s="18"/>
      <c r="I649" s="17"/>
      <c r="J649" s="17"/>
      <c r="K649" s="17"/>
      <c r="L649" s="17"/>
      <c r="M649" s="17"/>
      <c r="N649" s="17"/>
      <c r="O649" s="59"/>
      <c r="P649" s="17"/>
      <c r="Q649" s="17"/>
      <c r="R649" s="65"/>
      <c r="S649" s="17"/>
      <c r="T649" s="17"/>
      <c r="U649" s="17"/>
      <c r="V649" s="17"/>
      <c r="W649" s="18"/>
      <c r="X649" s="17"/>
      <c r="Y649" s="17"/>
      <c r="Z649" s="24"/>
      <c r="AA649" s="24"/>
      <c r="AB649" s="24"/>
      <c r="AC649" s="24"/>
      <c r="AD649" s="24"/>
      <c r="AE649" s="24"/>
      <c r="AF649" s="24"/>
      <c r="AG649" s="24"/>
      <c r="AH649" s="24"/>
      <c r="AI649" s="24"/>
    </row>
    <row r="650" ht="15.75" customHeight="1">
      <c r="A650" s="8"/>
      <c r="B650" s="14"/>
      <c r="C650" s="14"/>
      <c r="D650" s="14"/>
      <c r="E650" s="9"/>
      <c r="F650" s="14"/>
      <c r="G650" s="9"/>
      <c r="H650" s="14"/>
      <c r="I650" s="9"/>
      <c r="J650" s="9"/>
      <c r="K650" s="9"/>
      <c r="L650" s="9"/>
      <c r="M650" s="9"/>
      <c r="N650" s="9"/>
      <c r="O650" s="60"/>
      <c r="P650" s="9"/>
      <c r="Q650" s="9"/>
      <c r="R650" s="64"/>
      <c r="S650" s="9"/>
      <c r="T650" s="9"/>
      <c r="U650" s="9"/>
      <c r="V650" s="9"/>
      <c r="W650" s="14"/>
      <c r="X650" s="9"/>
      <c r="Y650" s="9"/>
      <c r="Z650" s="15"/>
      <c r="AA650" s="15"/>
      <c r="AB650" s="15"/>
      <c r="AC650" s="15"/>
      <c r="AD650" s="15"/>
      <c r="AE650" s="15"/>
      <c r="AF650" s="15"/>
      <c r="AG650" s="15"/>
      <c r="AH650" s="15"/>
      <c r="AI650" s="15"/>
    </row>
    <row r="651" ht="15.75" customHeight="1">
      <c r="A651" s="16"/>
      <c r="B651" s="18"/>
      <c r="C651" s="18"/>
      <c r="D651" s="18"/>
      <c r="E651" s="18"/>
      <c r="F651" s="18"/>
      <c r="G651" s="17"/>
      <c r="H651" s="18"/>
      <c r="I651" s="17"/>
      <c r="J651" s="17"/>
      <c r="K651" s="17"/>
      <c r="L651" s="17"/>
      <c r="M651" s="17"/>
      <c r="N651" s="17"/>
      <c r="O651" s="59"/>
      <c r="P651" s="17"/>
      <c r="Q651" s="17"/>
      <c r="R651" s="65"/>
      <c r="S651" s="17"/>
      <c r="T651" s="17"/>
      <c r="U651" s="17"/>
      <c r="V651" s="17"/>
      <c r="W651" s="16"/>
      <c r="X651" s="17"/>
      <c r="Y651" s="17"/>
      <c r="Z651" s="24"/>
      <c r="AA651" s="24"/>
      <c r="AB651" s="24"/>
      <c r="AC651" s="24"/>
      <c r="AD651" s="24"/>
      <c r="AE651" s="24"/>
      <c r="AF651" s="24"/>
      <c r="AG651" s="24"/>
      <c r="AH651" s="24"/>
      <c r="AI651" s="24"/>
    </row>
    <row r="652" ht="15.75" customHeight="1">
      <c r="A652" s="8"/>
      <c r="B652" s="14"/>
      <c r="C652" s="14"/>
      <c r="D652" s="14"/>
      <c r="E652" s="9"/>
      <c r="F652" s="14"/>
      <c r="G652" s="9"/>
      <c r="H652" s="14"/>
      <c r="I652" s="9"/>
      <c r="J652" s="9"/>
      <c r="K652" s="9"/>
      <c r="L652" s="9"/>
      <c r="M652" s="9"/>
      <c r="N652" s="9"/>
      <c r="O652" s="60"/>
      <c r="P652" s="9"/>
      <c r="Q652" s="9"/>
      <c r="R652" s="64"/>
      <c r="S652" s="9"/>
      <c r="T652" s="9"/>
      <c r="U652" s="9"/>
      <c r="V652" s="9"/>
      <c r="W652" s="14"/>
      <c r="X652" s="9"/>
      <c r="Y652" s="9"/>
      <c r="Z652" s="15"/>
      <c r="AA652" s="15"/>
      <c r="AB652" s="15"/>
      <c r="AC652" s="15"/>
      <c r="AD652" s="15"/>
      <c r="AE652" s="15"/>
      <c r="AF652" s="15"/>
      <c r="AG652" s="15"/>
      <c r="AH652" s="15"/>
      <c r="AI652" s="15"/>
    </row>
    <row r="653" ht="15.75" customHeight="1">
      <c r="A653" s="16"/>
      <c r="B653" s="18"/>
      <c r="C653" s="18"/>
      <c r="D653" s="18"/>
      <c r="E653" s="18"/>
      <c r="F653" s="18"/>
      <c r="G653" s="17"/>
      <c r="H653" s="18"/>
      <c r="I653" s="17"/>
      <c r="J653" s="17"/>
      <c r="K653" s="17"/>
      <c r="L653" s="17"/>
      <c r="M653" s="17"/>
      <c r="N653" s="17"/>
      <c r="O653" s="59"/>
      <c r="P653" s="17"/>
      <c r="Q653" s="17"/>
      <c r="R653" s="65"/>
      <c r="S653" s="17"/>
      <c r="T653" s="17"/>
      <c r="U653" s="17"/>
      <c r="V653" s="17"/>
      <c r="W653" s="18"/>
      <c r="X653" s="17"/>
      <c r="Y653" s="17"/>
      <c r="Z653" s="24"/>
      <c r="AA653" s="24"/>
      <c r="AB653" s="24"/>
      <c r="AC653" s="24"/>
      <c r="AD653" s="24"/>
      <c r="AE653" s="24"/>
      <c r="AF653" s="24"/>
      <c r="AG653" s="24"/>
      <c r="AH653" s="24"/>
      <c r="AI653" s="24"/>
    </row>
    <row r="654" ht="15.75" customHeight="1">
      <c r="A654" s="8"/>
      <c r="B654" s="14"/>
      <c r="C654" s="14"/>
      <c r="D654" s="14"/>
      <c r="E654" s="9"/>
      <c r="F654" s="14"/>
      <c r="G654" s="9"/>
      <c r="H654" s="14"/>
      <c r="I654" s="9"/>
      <c r="J654" s="9"/>
      <c r="K654" s="9"/>
      <c r="L654" s="9"/>
      <c r="M654" s="9"/>
      <c r="N654" s="9"/>
      <c r="O654" s="60"/>
      <c r="P654" s="9"/>
      <c r="Q654" s="9"/>
      <c r="R654" s="64"/>
      <c r="S654" s="9"/>
      <c r="T654" s="9"/>
      <c r="U654" s="9"/>
      <c r="V654" s="9"/>
      <c r="W654" s="8"/>
      <c r="X654" s="9"/>
      <c r="Y654" s="9"/>
      <c r="Z654" s="15"/>
      <c r="AA654" s="15"/>
      <c r="AB654" s="15"/>
      <c r="AC654" s="15"/>
      <c r="AD654" s="15"/>
      <c r="AE654" s="15"/>
      <c r="AF654" s="15"/>
      <c r="AG654" s="15"/>
      <c r="AH654" s="15"/>
      <c r="AI654" s="15"/>
    </row>
    <row r="655" ht="15.75" customHeight="1">
      <c r="A655" s="16"/>
      <c r="B655" s="18"/>
      <c r="C655" s="18"/>
      <c r="D655" s="18"/>
      <c r="E655" s="18"/>
      <c r="F655" s="18"/>
      <c r="G655" s="17"/>
      <c r="H655" s="18"/>
      <c r="I655" s="17"/>
      <c r="J655" s="17"/>
      <c r="K655" s="17"/>
      <c r="L655" s="17"/>
      <c r="M655" s="17"/>
      <c r="N655" s="17"/>
      <c r="O655" s="59"/>
      <c r="P655" s="17"/>
      <c r="Q655" s="17"/>
      <c r="R655" s="65"/>
      <c r="S655" s="17"/>
      <c r="T655" s="17"/>
      <c r="U655" s="17"/>
      <c r="V655" s="17"/>
      <c r="W655" s="18"/>
      <c r="X655" s="17"/>
      <c r="Y655" s="17"/>
      <c r="Z655" s="24"/>
      <c r="AA655" s="24"/>
      <c r="AB655" s="24"/>
      <c r="AC655" s="24"/>
      <c r="AD655" s="24"/>
      <c r="AE655" s="24"/>
      <c r="AF655" s="24"/>
      <c r="AG655" s="24"/>
      <c r="AH655" s="24"/>
      <c r="AI655" s="24"/>
    </row>
    <row r="656" ht="15.75" customHeight="1">
      <c r="A656" s="8"/>
      <c r="B656" s="14"/>
      <c r="C656" s="14"/>
      <c r="D656" s="14"/>
      <c r="E656" s="9"/>
      <c r="F656" s="14"/>
      <c r="G656" s="9"/>
      <c r="H656" s="14"/>
      <c r="I656" s="9"/>
      <c r="J656" s="9"/>
      <c r="K656" s="9"/>
      <c r="L656" s="9"/>
      <c r="M656" s="9"/>
      <c r="N656" s="9"/>
      <c r="O656" s="60"/>
      <c r="P656" s="9"/>
      <c r="Q656" s="9"/>
      <c r="R656" s="64"/>
      <c r="S656" s="9"/>
      <c r="T656" s="9"/>
      <c r="U656" s="9"/>
      <c r="V656" s="9"/>
      <c r="W656" s="14"/>
      <c r="X656" s="9"/>
      <c r="Y656" s="9"/>
      <c r="Z656" s="15"/>
      <c r="AA656" s="15"/>
      <c r="AB656" s="15"/>
      <c r="AC656" s="15"/>
      <c r="AD656" s="15"/>
      <c r="AE656" s="15"/>
      <c r="AF656" s="15"/>
      <c r="AG656" s="15"/>
      <c r="AH656" s="15"/>
      <c r="AI656" s="15"/>
    </row>
    <row r="657" ht="15.75" customHeight="1">
      <c r="A657" s="16"/>
      <c r="B657" s="18"/>
      <c r="C657" s="18"/>
      <c r="D657" s="18"/>
      <c r="E657" s="18"/>
      <c r="F657" s="18"/>
      <c r="G657" s="17"/>
      <c r="H657" s="18"/>
      <c r="I657" s="17"/>
      <c r="J657" s="17"/>
      <c r="K657" s="17"/>
      <c r="L657" s="17"/>
      <c r="M657" s="17"/>
      <c r="N657" s="17"/>
      <c r="O657" s="59"/>
      <c r="P657" s="17"/>
      <c r="Q657" s="17"/>
      <c r="R657" s="65"/>
      <c r="S657" s="17"/>
      <c r="T657" s="17"/>
      <c r="U657" s="17"/>
      <c r="V657" s="17"/>
      <c r="W657" s="16"/>
      <c r="X657" s="17"/>
      <c r="Y657" s="17"/>
      <c r="Z657" s="24"/>
      <c r="AA657" s="24"/>
      <c r="AB657" s="24"/>
      <c r="AC657" s="24"/>
      <c r="AD657" s="24"/>
      <c r="AE657" s="24"/>
      <c r="AF657" s="24"/>
      <c r="AG657" s="24"/>
      <c r="AH657" s="24"/>
      <c r="AI657" s="24"/>
    </row>
    <row r="658" ht="15.75" customHeight="1">
      <c r="A658" s="8"/>
      <c r="B658" s="14"/>
      <c r="C658" s="14"/>
      <c r="D658" s="14"/>
      <c r="E658" s="9"/>
      <c r="F658" s="14"/>
      <c r="G658" s="9"/>
      <c r="H658" s="14"/>
      <c r="I658" s="9"/>
      <c r="J658" s="9"/>
      <c r="K658" s="9"/>
      <c r="L658" s="9"/>
      <c r="M658" s="9"/>
      <c r="N658" s="9"/>
      <c r="O658" s="60"/>
      <c r="P658" s="9"/>
      <c r="Q658" s="9"/>
      <c r="R658" s="64"/>
      <c r="S658" s="9"/>
      <c r="T658" s="9"/>
      <c r="U658" s="9"/>
      <c r="V658" s="9"/>
      <c r="W658" s="14"/>
      <c r="X658" s="9"/>
      <c r="Y658" s="9"/>
      <c r="Z658" s="15"/>
      <c r="AA658" s="15"/>
      <c r="AB658" s="15"/>
      <c r="AC658" s="15"/>
      <c r="AD658" s="15"/>
      <c r="AE658" s="15"/>
      <c r="AF658" s="15"/>
      <c r="AG658" s="15"/>
      <c r="AH658" s="15"/>
      <c r="AI658" s="15"/>
    </row>
    <row r="659" ht="15.75" customHeight="1">
      <c r="A659" s="16"/>
      <c r="B659" s="18"/>
      <c r="C659" s="18"/>
      <c r="D659" s="18"/>
      <c r="E659" s="18"/>
      <c r="F659" s="18"/>
      <c r="G659" s="17"/>
      <c r="H659" s="18"/>
      <c r="I659" s="17"/>
      <c r="J659" s="17"/>
      <c r="K659" s="17"/>
      <c r="L659" s="17"/>
      <c r="M659" s="17"/>
      <c r="N659" s="17"/>
      <c r="O659" s="59"/>
      <c r="P659" s="17"/>
      <c r="Q659" s="17"/>
      <c r="R659" s="65"/>
      <c r="S659" s="17"/>
      <c r="T659" s="17"/>
      <c r="U659" s="17"/>
      <c r="V659" s="17"/>
      <c r="W659" s="18"/>
      <c r="X659" s="17"/>
      <c r="Y659" s="17"/>
      <c r="Z659" s="24"/>
      <c r="AA659" s="24"/>
      <c r="AB659" s="24"/>
      <c r="AC659" s="24"/>
      <c r="AD659" s="24"/>
      <c r="AE659" s="24"/>
      <c r="AF659" s="24"/>
      <c r="AG659" s="24"/>
      <c r="AH659" s="24"/>
      <c r="AI659" s="24"/>
    </row>
    <row r="660" ht="15.75" customHeight="1">
      <c r="A660" s="8"/>
      <c r="B660" s="14"/>
      <c r="C660" s="14"/>
      <c r="D660" s="14"/>
      <c r="E660" s="9"/>
      <c r="F660" s="14"/>
      <c r="G660" s="9"/>
      <c r="H660" s="14"/>
      <c r="I660" s="9"/>
      <c r="J660" s="9"/>
      <c r="K660" s="9"/>
      <c r="L660" s="9"/>
      <c r="M660" s="9"/>
      <c r="N660" s="9"/>
      <c r="O660" s="60"/>
      <c r="P660" s="9"/>
      <c r="Q660" s="9"/>
      <c r="R660" s="64"/>
      <c r="S660" s="9"/>
      <c r="T660" s="9"/>
      <c r="U660" s="9"/>
      <c r="V660" s="9"/>
      <c r="W660" s="8"/>
      <c r="X660" s="9"/>
      <c r="Y660" s="9"/>
      <c r="Z660" s="15"/>
      <c r="AA660" s="15"/>
      <c r="AB660" s="15"/>
      <c r="AC660" s="15"/>
      <c r="AD660" s="15"/>
      <c r="AE660" s="15"/>
      <c r="AF660" s="15"/>
      <c r="AG660" s="15"/>
      <c r="AH660" s="15"/>
      <c r="AI660" s="15"/>
    </row>
    <row r="661" ht="15.75" customHeight="1">
      <c r="A661" s="16"/>
      <c r="B661" s="18"/>
      <c r="C661" s="18"/>
      <c r="D661" s="18"/>
      <c r="E661" s="18"/>
      <c r="F661" s="18"/>
      <c r="G661" s="17"/>
      <c r="H661" s="18"/>
      <c r="I661" s="17"/>
      <c r="J661" s="17"/>
      <c r="K661" s="17"/>
      <c r="L661" s="17"/>
      <c r="M661" s="17"/>
      <c r="N661" s="17"/>
      <c r="O661" s="59"/>
      <c r="P661" s="17"/>
      <c r="Q661" s="17"/>
      <c r="R661" s="65"/>
      <c r="S661" s="17"/>
      <c r="T661" s="17"/>
      <c r="U661" s="17"/>
      <c r="V661" s="17"/>
      <c r="W661" s="18"/>
      <c r="X661" s="17"/>
      <c r="Y661" s="17"/>
      <c r="Z661" s="24"/>
      <c r="AA661" s="24"/>
      <c r="AB661" s="24"/>
      <c r="AC661" s="24"/>
      <c r="AD661" s="24"/>
      <c r="AE661" s="24"/>
      <c r="AF661" s="24"/>
      <c r="AG661" s="24"/>
      <c r="AH661" s="24"/>
      <c r="AI661" s="24"/>
    </row>
    <row r="662" ht="15.75" customHeight="1">
      <c r="A662" s="8"/>
      <c r="B662" s="14"/>
      <c r="C662" s="14"/>
      <c r="D662" s="14"/>
      <c r="E662" s="9"/>
      <c r="F662" s="14"/>
      <c r="G662" s="9"/>
      <c r="H662" s="14"/>
      <c r="I662" s="9"/>
      <c r="J662" s="9"/>
      <c r="K662" s="9"/>
      <c r="L662" s="9"/>
      <c r="M662" s="9"/>
      <c r="N662" s="9"/>
      <c r="O662" s="60"/>
      <c r="P662" s="9"/>
      <c r="Q662" s="9"/>
      <c r="R662" s="64"/>
      <c r="S662" s="9"/>
      <c r="T662" s="9"/>
      <c r="U662" s="9"/>
      <c r="V662" s="9"/>
      <c r="W662" s="14"/>
      <c r="X662" s="9"/>
      <c r="Y662" s="9"/>
      <c r="Z662" s="15"/>
      <c r="AA662" s="15"/>
      <c r="AB662" s="15"/>
      <c r="AC662" s="15"/>
      <c r="AD662" s="15"/>
      <c r="AE662" s="15"/>
      <c r="AF662" s="15"/>
      <c r="AG662" s="15"/>
      <c r="AH662" s="15"/>
      <c r="AI662" s="15"/>
    </row>
    <row r="663" ht="15.75" customHeight="1">
      <c r="A663" s="16"/>
      <c r="B663" s="18"/>
      <c r="C663" s="18"/>
      <c r="D663" s="18"/>
      <c r="E663" s="18"/>
      <c r="F663" s="18"/>
      <c r="G663" s="17"/>
      <c r="H663" s="18"/>
      <c r="I663" s="17"/>
      <c r="J663" s="17"/>
      <c r="K663" s="17"/>
      <c r="L663" s="17"/>
      <c r="M663" s="17"/>
      <c r="N663" s="17"/>
      <c r="O663" s="59"/>
      <c r="P663" s="17"/>
      <c r="Q663" s="17"/>
      <c r="R663" s="65"/>
      <c r="S663" s="17"/>
      <c r="T663" s="17"/>
      <c r="U663" s="17"/>
      <c r="V663" s="17"/>
      <c r="W663" s="16"/>
      <c r="X663" s="17"/>
      <c r="Y663" s="17"/>
      <c r="Z663" s="24"/>
      <c r="AA663" s="24"/>
      <c r="AB663" s="24"/>
      <c r="AC663" s="24"/>
      <c r="AD663" s="24"/>
      <c r="AE663" s="24"/>
      <c r="AF663" s="24"/>
      <c r="AG663" s="24"/>
      <c r="AH663" s="24"/>
      <c r="AI663" s="24"/>
    </row>
    <row r="664" ht="15.75" customHeight="1">
      <c r="A664" s="8"/>
      <c r="B664" s="14"/>
      <c r="C664" s="14"/>
      <c r="D664" s="14"/>
      <c r="E664" s="9"/>
      <c r="F664" s="14"/>
      <c r="G664" s="9"/>
      <c r="H664" s="14"/>
      <c r="I664" s="9"/>
      <c r="J664" s="9"/>
      <c r="K664" s="9"/>
      <c r="L664" s="9"/>
      <c r="M664" s="9"/>
      <c r="N664" s="9"/>
      <c r="O664" s="60"/>
      <c r="P664" s="9"/>
      <c r="Q664" s="9"/>
      <c r="R664" s="64"/>
      <c r="S664" s="9"/>
      <c r="T664" s="9"/>
      <c r="U664" s="9"/>
      <c r="V664" s="9"/>
      <c r="W664" s="14"/>
      <c r="X664" s="9"/>
      <c r="Y664" s="9"/>
      <c r="Z664" s="15"/>
      <c r="AA664" s="15"/>
      <c r="AB664" s="15"/>
      <c r="AC664" s="15"/>
      <c r="AD664" s="15"/>
      <c r="AE664" s="15"/>
      <c r="AF664" s="15"/>
      <c r="AG664" s="15"/>
      <c r="AH664" s="15"/>
      <c r="AI664" s="15"/>
    </row>
    <row r="665" ht="15.75" customHeight="1">
      <c r="A665" s="16"/>
      <c r="B665" s="18"/>
      <c r="C665" s="18"/>
      <c r="D665" s="18"/>
      <c r="E665" s="18"/>
      <c r="F665" s="18"/>
      <c r="G665" s="17"/>
      <c r="H665" s="18"/>
      <c r="I665" s="17"/>
      <c r="J665" s="17"/>
      <c r="K665" s="17"/>
      <c r="L665" s="17"/>
      <c r="M665" s="17"/>
      <c r="N665" s="17"/>
      <c r="O665" s="59"/>
      <c r="P665" s="17"/>
      <c r="Q665" s="17"/>
      <c r="R665" s="65"/>
      <c r="S665" s="17"/>
      <c r="T665" s="17"/>
      <c r="U665" s="17"/>
      <c r="V665" s="17"/>
      <c r="W665" s="18"/>
      <c r="X665" s="17"/>
      <c r="Y665" s="17"/>
      <c r="Z665" s="24"/>
      <c r="AA665" s="24"/>
      <c r="AB665" s="24"/>
      <c r="AC665" s="24"/>
      <c r="AD665" s="24"/>
      <c r="AE665" s="24"/>
      <c r="AF665" s="24"/>
      <c r="AG665" s="24"/>
      <c r="AH665" s="24"/>
      <c r="AI665" s="24"/>
    </row>
    <row r="666" ht="15.75" customHeight="1">
      <c r="A666" s="8"/>
      <c r="B666" s="14"/>
      <c r="C666" s="14"/>
      <c r="D666" s="14"/>
      <c r="E666" s="9"/>
      <c r="F666" s="14"/>
      <c r="G666" s="9"/>
      <c r="H666" s="14"/>
      <c r="I666" s="9"/>
      <c r="J666" s="9"/>
      <c r="K666" s="9"/>
      <c r="L666" s="9"/>
      <c r="M666" s="9"/>
      <c r="N666" s="9"/>
      <c r="O666" s="60"/>
      <c r="P666" s="9"/>
      <c r="Q666" s="9"/>
      <c r="R666" s="64"/>
      <c r="S666" s="9"/>
      <c r="T666" s="9"/>
      <c r="U666" s="9"/>
      <c r="V666" s="9"/>
      <c r="W666" s="8"/>
      <c r="X666" s="9"/>
      <c r="Y666" s="9"/>
      <c r="Z666" s="15"/>
      <c r="AA666" s="15"/>
      <c r="AB666" s="15"/>
      <c r="AC666" s="15"/>
      <c r="AD666" s="15"/>
      <c r="AE666" s="15"/>
      <c r="AF666" s="15"/>
      <c r="AG666" s="15"/>
      <c r="AH666" s="15"/>
      <c r="AI666" s="15"/>
    </row>
    <row r="667" ht="15.75" customHeight="1">
      <c r="A667" s="16"/>
      <c r="B667" s="18"/>
      <c r="C667" s="18"/>
      <c r="D667" s="18"/>
      <c r="E667" s="18"/>
      <c r="F667" s="18"/>
      <c r="G667" s="17"/>
      <c r="H667" s="18"/>
      <c r="I667" s="17"/>
      <c r="J667" s="17"/>
      <c r="K667" s="17"/>
      <c r="L667" s="17"/>
      <c r="M667" s="17"/>
      <c r="N667" s="17"/>
      <c r="O667" s="59"/>
      <c r="P667" s="17"/>
      <c r="Q667" s="17"/>
      <c r="R667" s="65"/>
      <c r="S667" s="17"/>
      <c r="T667" s="17"/>
      <c r="U667" s="17"/>
      <c r="V667" s="17"/>
      <c r="W667" s="18"/>
      <c r="X667" s="17"/>
      <c r="Y667" s="17"/>
      <c r="Z667" s="24"/>
      <c r="AA667" s="24"/>
      <c r="AB667" s="24"/>
      <c r="AC667" s="24"/>
      <c r="AD667" s="24"/>
      <c r="AE667" s="24"/>
      <c r="AF667" s="24"/>
      <c r="AG667" s="24"/>
      <c r="AH667" s="24"/>
      <c r="AI667" s="24"/>
    </row>
    <row r="668" ht="15.75" customHeight="1">
      <c r="A668" s="8"/>
      <c r="B668" s="14"/>
      <c r="C668" s="14"/>
      <c r="D668" s="14"/>
      <c r="E668" s="9"/>
      <c r="F668" s="14"/>
      <c r="G668" s="9"/>
      <c r="H668" s="14"/>
      <c r="I668" s="9"/>
      <c r="J668" s="9"/>
      <c r="K668" s="9"/>
      <c r="L668" s="9"/>
      <c r="M668" s="9"/>
      <c r="N668" s="9"/>
      <c r="O668" s="60"/>
      <c r="P668" s="9"/>
      <c r="Q668" s="9"/>
      <c r="R668" s="64"/>
      <c r="S668" s="9"/>
      <c r="T668" s="9"/>
      <c r="U668" s="9"/>
      <c r="V668" s="9"/>
      <c r="W668" s="14"/>
      <c r="X668" s="9"/>
      <c r="Y668" s="9"/>
      <c r="Z668" s="15"/>
      <c r="AA668" s="15"/>
      <c r="AB668" s="15"/>
      <c r="AC668" s="15"/>
      <c r="AD668" s="15"/>
      <c r="AE668" s="15"/>
      <c r="AF668" s="15"/>
      <c r="AG668" s="15"/>
      <c r="AH668" s="15"/>
      <c r="AI668" s="15"/>
    </row>
    <row r="669" ht="15.75" customHeight="1">
      <c r="A669" s="16"/>
      <c r="B669" s="18"/>
      <c r="C669" s="18"/>
      <c r="D669" s="18"/>
      <c r="E669" s="18"/>
      <c r="F669" s="18"/>
      <c r="G669" s="17"/>
      <c r="H669" s="18"/>
      <c r="I669" s="17"/>
      <c r="J669" s="17"/>
      <c r="K669" s="17"/>
      <c r="L669" s="17"/>
      <c r="M669" s="17"/>
      <c r="N669" s="17"/>
      <c r="O669" s="59"/>
      <c r="P669" s="17"/>
      <c r="Q669" s="17"/>
      <c r="R669" s="65"/>
      <c r="S669" s="17"/>
      <c r="T669" s="17"/>
      <c r="U669" s="17"/>
      <c r="V669" s="17"/>
      <c r="W669" s="16"/>
      <c r="X669" s="17"/>
      <c r="Y669" s="17"/>
      <c r="Z669" s="24"/>
      <c r="AA669" s="24"/>
      <c r="AB669" s="24"/>
      <c r="AC669" s="24"/>
      <c r="AD669" s="24"/>
      <c r="AE669" s="24"/>
      <c r="AF669" s="24"/>
      <c r="AG669" s="24"/>
      <c r="AH669" s="24"/>
      <c r="AI669" s="24"/>
    </row>
    <row r="670" ht="15.75" customHeight="1">
      <c r="A670" s="8"/>
      <c r="B670" s="14"/>
      <c r="C670" s="14"/>
      <c r="D670" s="14"/>
      <c r="E670" s="9"/>
      <c r="F670" s="14"/>
      <c r="G670" s="9"/>
      <c r="H670" s="14"/>
      <c r="I670" s="9"/>
      <c r="J670" s="9"/>
      <c r="K670" s="9"/>
      <c r="L670" s="9"/>
      <c r="M670" s="9"/>
      <c r="N670" s="9"/>
      <c r="O670" s="60"/>
      <c r="P670" s="9"/>
      <c r="Q670" s="9"/>
      <c r="R670" s="64"/>
      <c r="S670" s="9"/>
      <c r="T670" s="9"/>
      <c r="U670" s="9"/>
      <c r="V670" s="9"/>
      <c r="W670" s="14"/>
      <c r="X670" s="9"/>
      <c r="Y670" s="9"/>
      <c r="Z670" s="15"/>
      <c r="AA670" s="15"/>
      <c r="AB670" s="15"/>
      <c r="AC670" s="15"/>
      <c r="AD670" s="15"/>
      <c r="AE670" s="15"/>
      <c r="AF670" s="15"/>
      <c r="AG670" s="15"/>
      <c r="AH670" s="15"/>
      <c r="AI670" s="15"/>
    </row>
    <row r="671" ht="15.75" customHeight="1">
      <c r="A671" s="16"/>
      <c r="B671" s="18"/>
      <c r="C671" s="18"/>
      <c r="D671" s="18"/>
      <c r="E671" s="18"/>
      <c r="F671" s="18"/>
      <c r="G671" s="17"/>
      <c r="H671" s="18"/>
      <c r="I671" s="17"/>
      <c r="J671" s="17"/>
      <c r="K671" s="17"/>
      <c r="L671" s="17"/>
      <c r="M671" s="17"/>
      <c r="N671" s="17"/>
      <c r="O671" s="59"/>
      <c r="P671" s="17"/>
      <c r="Q671" s="17"/>
      <c r="R671" s="65"/>
      <c r="S671" s="17"/>
      <c r="T671" s="17"/>
      <c r="U671" s="17"/>
      <c r="V671" s="17"/>
      <c r="W671" s="18"/>
      <c r="X671" s="17"/>
      <c r="Y671" s="17"/>
      <c r="Z671" s="24"/>
      <c r="AA671" s="24"/>
      <c r="AB671" s="24"/>
      <c r="AC671" s="24"/>
      <c r="AD671" s="24"/>
      <c r="AE671" s="24"/>
      <c r="AF671" s="24"/>
      <c r="AG671" s="24"/>
      <c r="AH671" s="24"/>
      <c r="AI671" s="24"/>
    </row>
    <row r="672" ht="15.75" customHeight="1">
      <c r="A672" s="8"/>
      <c r="B672" s="14"/>
      <c r="C672" s="14"/>
      <c r="D672" s="14"/>
      <c r="E672" s="9"/>
      <c r="F672" s="14"/>
      <c r="G672" s="9"/>
      <c r="H672" s="14"/>
      <c r="I672" s="9"/>
      <c r="J672" s="9"/>
      <c r="K672" s="9"/>
      <c r="L672" s="9"/>
      <c r="M672" s="9"/>
      <c r="N672" s="9"/>
      <c r="O672" s="60"/>
      <c r="P672" s="9"/>
      <c r="Q672" s="9"/>
      <c r="R672" s="64"/>
      <c r="S672" s="9"/>
      <c r="T672" s="9"/>
      <c r="U672" s="9"/>
      <c r="V672" s="9"/>
      <c r="W672" s="8"/>
      <c r="X672" s="9"/>
      <c r="Y672" s="9"/>
      <c r="Z672" s="15"/>
      <c r="AA672" s="15"/>
      <c r="AB672" s="15"/>
      <c r="AC672" s="15"/>
      <c r="AD672" s="15"/>
      <c r="AE672" s="15"/>
      <c r="AF672" s="15"/>
      <c r="AG672" s="15"/>
      <c r="AH672" s="15"/>
      <c r="AI672" s="15"/>
    </row>
    <row r="673" ht="15.75" customHeight="1">
      <c r="A673" s="16"/>
      <c r="B673" s="18"/>
      <c r="C673" s="18"/>
      <c r="D673" s="18"/>
      <c r="E673" s="18"/>
      <c r="F673" s="18"/>
      <c r="G673" s="17"/>
      <c r="H673" s="18"/>
      <c r="I673" s="17"/>
      <c r="J673" s="17"/>
      <c r="K673" s="17"/>
      <c r="L673" s="17"/>
      <c r="M673" s="17"/>
      <c r="N673" s="17"/>
      <c r="O673" s="59"/>
      <c r="P673" s="17"/>
      <c r="Q673" s="17"/>
      <c r="R673" s="65"/>
      <c r="S673" s="17"/>
      <c r="T673" s="17"/>
      <c r="U673" s="17"/>
      <c r="V673" s="17"/>
      <c r="W673" s="18"/>
      <c r="X673" s="17"/>
      <c r="Y673" s="17"/>
      <c r="Z673" s="24"/>
      <c r="AA673" s="24"/>
      <c r="AB673" s="24"/>
      <c r="AC673" s="24"/>
      <c r="AD673" s="24"/>
      <c r="AE673" s="24"/>
      <c r="AF673" s="24"/>
      <c r="AG673" s="24"/>
      <c r="AH673" s="24"/>
      <c r="AI673" s="24"/>
    </row>
    <row r="674" ht="15.75" customHeight="1">
      <c r="A674" s="8"/>
      <c r="B674" s="14"/>
      <c r="C674" s="14"/>
      <c r="D674" s="14"/>
      <c r="E674" s="9"/>
      <c r="F674" s="14"/>
      <c r="G674" s="9"/>
      <c r="H674" s="14"/>
      <c r="I674" s="9"/>
      <c r="J674" s="9"/>
      <c r="K674" s="9"/>
      <c r="L674" s="9"/>
      <c r="M674" s="9"/>
      <c r="N674" s="9"/>
      <c r="O674" s="60"/>
      <c r="P674" s="9"/>
      <c r="Q674" s="9"/>
      <c r="R674" s="64"/>
      <c r="S674" s="9"/>
      <c r="T674" s="9"/>
      <c r="U674" s="9"/>
      <c r="V674" s="9"/>
      <c r="W674" s="14"/>
      <c r="X674" s="9"/>
      <c r="Y674" s="9"/>
      <c r="Z674" s="15"/>
      <c r="AA674" s="15"/>
      <c r="AB674" s="15"/>
      <c r="AC674" s="15"/>
      <c r="AD674" s="15"/>
      <c r="AE674" s="15"/>
      <c r="AF674" s="15"/>
      <c r="AG674" s="15"/>
      <c r="AH674" s="15"/>
      <c r="AI674" s="15"/>
    </row>
    <row r="675" ht="15.75" customHeight="1">
      <c r="A675" s="16"/>
      <c r="B675" s="18"/>
      <c r="C675" s="18"/>
      <c r="D675" s="18"/>
      <c r="E675" s="18"/>
      <c r="F675" s="18"/>
      <c r="G675" s="17"/>
      <c r="H675" s="18"/>
      <c r="I675" s="17"/>
      <c r="J675" s="17"/>
      <c r="K675" s="17"/>
      <c r="L675" s="17"/>
      <c r="M675" s="17"/>
      <c r="N675" s="17"/>
      <c r="O675" s="59"/>
      <c r="P675" s="17"/>
      <c r="Q675" s="17"/>
      <c r="R675" s="65"/>
      <c r="S675" s="17"/>
      <c r="T675" s="17"/>
      <c r="U675" s="17"/>
      <c r="V675" s="17"/>
      <c r="W675" s="16"/>
      <c r="X675" s="17"/>
      <c r="Y675" s="17"/>
      <c r="Z675" s="24"/>
      <c r="AA675" s="24"/>
      <c r="AB675" s="24"/>
      <c r="AC675" s="24"/>
      <c r="AD675" s="24"/>
      <c r="AE675" s="24"/>
      <c r="AF675" s="24"/>
      <c r="AG675" s="24"/>
      <c r="AH675" s="24"/>
      <c r="AI675" s="24"/>
    </row>
    <row r="676" ht="15.75" customHeight="1">
      <c r="A676" s="8"/>
      <c r="B676" s="14"/>
      <c r="C676" s="14"/>
      <c r="D676" s="14"/>
      <c r="E676" s="9"/>
      <c r="F676" s="14"/>
      <c r="G676" s="9"/>
      <c r="H676" s="14"/>
      <c r="I676" s="9"/>
      <c r="J676" s="9"/>
      <c r="K676" s="9"/>
      <c r="L676" s="9"/>
      <c r="M676" s="9"/>
      <c r="N676" s="9"/>
      <c r="O676" s="60"/>
      <c r="P676" s="9"/>
      <c r="Q676" s="9"/>
      <c r="R676" s="64"/>
      <c r="S676" s="9"/>
      <c r="T676" s="9"/>
      <c r="U676" s="9"/>
      <c r="V676" s="9"/>
      <c r="W676" s="14"/>
      <c r="X676" s="9"/>
      <c r="Y676" s="9"/>
      <c r="Z676" s="15"/>
      <c r="AA676" s="15"/>
      <c r="AB676" s="15"/>
      <c r="AC676" s="15"/>
      <c r="AD676" s="15"/>
      <c r="AE676" s="15"/>
      <c r="AF676" s="15"/>
      <c r="AG676" s="15"/>
      <c r="AH676" s="15"/>
      <c r="AI676" s="15"/>
    </row>
    <row r="677" ht="15.75" customHeight="1">
      <c r="A677" s="16"/>
      <c r="B677" s="18"/>
      <c r="C677" s="18"/>
      <c r="D677" s="18"/>
      <c r="E677" s="18"/>
      <c r="F677" s="18"/>
      <c r="G677" s="17"/>
      <c r="H677" s="18"/>
      <c r="I677" s="17"/>
      <c r="J677" s="17"/>
      <c r="K677" s="17"/>
      <c r="L677" s="17"/>
      <c r="M677" s="17"/>
      <c r="N677" s="17"/>
      <c r="O677" s="59"/>
      <c r="P677" s="17"/>
      <c r="Q677" s="17"/>
      <c r="R677" s="65"/>
      <c r="S677" s="17"/>
      <c r="T677" s="17"/>
      <c r="U677" s="17"/>
      <c r="V677" s="17"/>
      <c r="W677" s="18"/>
      <c r="X677" s="17"/>
      <c r="Y677" s="17"/>
      <c r="Z677" s="24"/>
      <c r="AA677" s="24"/>
      <c r="AB677" s="24"/>
      <c r="AC677" s="24"/>
      <c r="AD677" s="24"/>
      <c r="AE677" s="24"/>
      <c r="AF677" s="24"/>
      <c r="AG677" s="24"/>
      <c r="AH677" s="24"/>
      <c r="AI677" s="24"/>
    </row>
    <row r="678" ht="15.75" customHeight="1">
      <c r="A678" s="8"/>
      <c r="B678" s="14"/>
      <c r="C678" s="14"/>
      <c r="D678" s="14"/>
      <c r="E678" s="9"/>
      <c r="F678" s="14"/>
      <c r="G678" s="9"/>
      <c r="H678" s="14"/>
      <c r="I678" s="9"/>
      <c r="J678" s="9"/>
      <c r="K678" s="9"/>
      <c r="L678" s="9"/>
      <c r="M678" s="9"/>
      <c r="N678" s="9"/>
      <c r="O678" s="60"/>
      <c r="P678" s="9"/>
      <c r="Q678" s="9"/>
      <c r="R678" s="64"/>
      <c r="S678" s="9"/>
      <c r="T678" s="9"/>
      <c r="U678" s="9"/>
      <c r="V678" s="9"/>
      <c r="W678" s="8"/>
      <c r="X678" s="9"/>
      <c r="Y678" s="9"/>
      <c r="Z678" s="15"/>
      <c r="AA678" s="15"/>
      <c r="AB678" s="15"/>
      <c r="AC678" s="15"/>
      <c r="AD678" s="15"/>
      <c r="AE678" s="15"/>
      <c r="AF678" s="15"/>
      <c r="AG678" s="15"/>
      <c r="AH678" s="15"/>
      <c r="AI678" s="15"/>
    </row>
    <row r="679" ht="15.75" customHeight="1">
      <c r="A679" s="16"/>
      <c r="B679" s="18"/>
      <c r="C679" s="18"/>
      <c r="D679" s="18"/>
      <c r="E679" s="18"/>
      <c r="F679" s="18"/>
      <c r="G679" s="17"/>
      <c r="H679" s="18"/>
      <c r="I679" s="17"/>
      <c r="J679" s="17"/>
      <c r="K679" s="17"/>
      <c r="L679" s="17"/>
      <c r="M679" s="17"/>
      <c r="N679" s="17"/>
      <c r="O679" s="59"/>
      <c r="P679" s="17"/>
      <c r="Q679" s="17"/>
      <c r="R679" s="65"/>
      <c r="S679" s="17"/>
      <c r="T679" s="17"/>
      <c r="U679" s="17"/>
      <c r="V679" s="17"/>
      <c r="W679" s="18"/>
      <c r="X679" s="17"/>
      <c r="Y679" s="17"/>
      <c r="Z679" s="24"/>
      <c r="AA679" s="24"/>
      <c r="AB679" s="24"/>
      <c r="AC679" s="24"/>
      <c r="AD679" s="24"/>
      <c r="AE679" s="24"/>
      <c r="AF679" s="24"/>
      <c r="AG679" s="24"/>
      <c r="AH679" s="24"/>
      <c r="AI679" s="24"/>
    </row>
    <row r="680" ht="15.75" customHeight="1">
      <c r="A680" s="8"/>
      <c r="B680" s="14"/>
      <c r="C680" s="14"/>
      <c r="D680" s="14"/>
      <c r="E680" s="9"/>
      <c r="F680" s="14"/>
      <c r="G680" s="9"/>
      <c r="H680" s="14"/>
      <c r="I680" s="9"/>
      <c r="J680" s="9"/>
      <c r="K680" s="9"/>
      <c r="L680" s="9"/>
      <c r="M680" s="9"/>
      <c r="N680" s="9"/>
      <c r="O680" s="60"/>
      <c r="P680" s="9"/>
      <c r="Q680" s="9"/>
      <c r="R680" s="64"/>
      <c r="S680" s="9"/>
      <c r="T680" s="9"/>
      <c r="U680" s="9"/>
      <c r="V680" s="9"/>
      <c r="W680" s="14"/>
      <c r="X680" s="9"/>
      <c r="Y680" s="9"/>
      <c r="Z680" s="15"/>
      <c r="AA680" s="15"/>
      <c r="AB680" s="15"/>
      <c r="AC680" s="15"/>
      <c r="AD680" s="15"/>
      <c r="AE680" s="15"/>
      <c r="AF680" s="15"/>
      <c r="AG680" s="15"/>
      <c r="AH680" s="15"/>
      <c r="AI680" s="15"/>
    </row>
    <row r="681" ht="15.75" customHeight="1">
      <c r="A681" s="16"/>
      <c r="B681" s="18"/>
      <c r="C681" s="18"/>
      <c r="D681" s="18"/>
      <c r="E681" s="18"/>
      <c r="F681" s="18"/>
      <c r="G681" s="17"/>
      <c r="H681" s="18"/>
      <c r="I681" s="17"/>
      <c r="J681" s="17"/>
      <c r="K681" s="17"/>
      <c r="L681" s="17"/>
      <c r="M681" s="17"/>
      <c r="N681" s="17"/>
      <c r="O681" s="59"/>
      <c r="P681" s="17"/>
      <c r="Q681" s="17"/>
      <c r="R681" s="65"/>
      <c r="S681" s="17"/>
      <c r="T681" s="17"/>
      <c r="U681" s="17"/>
      <c r="V681" s="17"/>
      <c r="W681" s="16"/>
      <c r="X681" s="17"/>
      <c r="Y681" s="17"/>
      <c r="Z681" s="24"/>
      <c r="AA681" s="24"/>
      <c r="AB681" s="24"/>
      <c r="AC681" s="24"/>
      <c r="AD681" s="24"/>
      <c r="AE681" s="24"/>
      <c r="AF681" s="24"/>
      <c r="AG681" s="24"/>
      <c r="AH681" s="24"/>
      <c r="AI681" s="24"/>
    </row>
    <row r="682" ht="15.75" customHeight="1">
      <c r="A682" s="8"/>
      <c r="B682" s="14"/>
      <c r="C682" s="14"/>
      <c r="D682" s="14"/>
      <c r="E682" s="9"/>
      <c r="F682" s="14"/>
      <c r="G682" s="9"/>
      <c r="H682" s="14"/>
      <c r="I682" s="9"/>
      <c r="J682" s="9"/>
      <c r="K682" s="9"/>
      <c r="L682" s="9"/>
      <c r="M682" s="9"/>
      <c r="N682" s="9"/>
      <c r="O682" s="60"/>
      <c r="P682" s="9"/>
      <c r="Q682" s="9"/>
      <c r="R682" s="64"/>
      <c r="S682" s="9"/>
      <c r="T682" s="9"/>
      <c r="U682" s="9"/>
      <c r="V682" s="9"/>
      <c r="W682" s="14"/>
      <c r="X682" s="9"/>
      <c r="Y682" s="9"/>
      <c r="Z682" s="15"/>
      <c r="AA682" s="15"/>
      <c r="AB682" s="15"/>
      <c r="AC682" s="15"/>
      <c r="AD682" s="15"/>
      <c r="AE682" s="15"/>
      <c r="AF682" s="15"/>
      <c r="AG682" s="15"/>
      <c r="AH682" s="15"/>
      <c r="AI682" s="15"/>
    </row>
    <row r="683" ht="15.75" customHeight="1">
      <c r="A683" s="16"/>
      <c r="B683" s="18"/>
      <c r="C683" s="18"/>
      <c r="D683" s="18"/>
      <c r="E683" s="18"/>
      <c r="F683" s="18"/>
      <c r="G683" s="17"/>
      <c r="H683" s="18"/>
      <c r="I683" s="17"/>
      <c r="J683" s="17"/>
      <c r="K683" s="17"/>
      <c r="L683" s="17"/>
      <c r="M683" s="17"/>
      <c r="N683" s="17"/>
      <c r="O683" s="59"/>
      <c r="P683" s="17"/>
      <c r="Q683" s="17"/>
      <c r="R683" s="65"/>
      <c r="S683" s="17"/>
      <c r="T683" s="17"/>
      <c r="U683" s="17"/>
      <c r="V683" s="17"/>
      <c r="W683" s="18"/>
      <c r="X683" s="17"/>
      <c r="Y683" s="17"/>
      <c r="Z683" s="24"/>
      <c r="AA683" s="24"/>
      <c r="AB683" s="24"/>
      <c r="AC683" s="24"/>
      <c r="AD683" s="24"/>
      <c r="AE683" s="24"/>
      <c r="AF683" s="24"/>
      <c r="AG683" s="24"/>
      <c r="AH683" s="24"/>
      <c r="AI683" s="24"/>
    </row>
    <row r="684" ht="15.75" customHeight="1">
      <c r="A684" s="8"/>
      <c r="B684" s="14"/>
      <c r="C684" s="14"/>
      <c r="D684" s="14"/>
      <c r="E684" s="9"/>
      <c r="F684" s="14"/>
      <c r="G684" s="9"/>
      <c r="H684" s="14"/>
      <c r="I684" s="9"/>
      <c r="J684" s="9"/>
      <c r="K684" s="9"/>
      <c r="L684" s="9"/>
      <c r="M684" s="9"/>
      <c r="N684" s="9"/>
      <c r="O684" s="60"/>
      <c r="P684" s="9"/>
      <c r="Q684" s="9"/>
      <c r="R684" s="64"/>
      <c r="S684" s="9"/>
      <c r="T684" s="9"/>
      <c r="U684" s="9"/>
      <c r="V684" s="9"/>
      <c r="W684" s="8"/>
      <c r="X684" s="9"/>
      <c r="Y684" s="9"/>
      <c r="Z684" s="15"/>
      <c r="AA684" s="15"/>
      <c r="AB684" s="15"/>
      <c r="AC684" s="15"/>
      <c r="AD684" s="15"/>
      <c r="AE684" s="15"/>
      <c r="AF684" s="15"/>
      <c r="AG684" s="15"/>
      <c r="AH684" s="15"/>
      <c r="AI684" s="15"/>
    </row>
    <row r="685" ht="15.75" customHeight="1">
      <c r="A685" s="16"/>
      <c r="B685" s="18"/>
      <c r="C685" s="18"/>
      <c r="D685" s="18"/>
      <c r="E685" s="18"/>
      <c r="F685" s="18"/>
      <c r="G685" s="17"/>
      <c r="H685" s="18"/>
      <c r="I685" s="17"/>
      <c r="J685" s="17"/>
      <c r="K685" s="17"/>
      <c r="L685" s="17"/>
      <c r="M685" s="17"/>
      <c r="N685" s="17"/>
      <c r="O685" s="59"/>
      <c r="P685" s="17"/>
      <c r="Q685" s="17"/>
      <c r="R685" s="65"/>
      <c r="S685" s="17"/>
      <c r="T685" s="17"/>
      <c r="U685" s="17"/>
      <c r="V685" s="17"/>
      <c r="W685" s="18"/>
      <c r="X685" s="17"/>
      <c r="Y685" s="17"/>
      <c r="Z685" s="24"/>
      <c r="AA685" s="24"/>
      <c r="AB685" s="24"/>
      <c r="AC685" s="24"/>
      <c r="AD685" s="24"/>
      <c r="AE685" s="24"/>
      <c r="AF685" s="24"/>
      <c r="AG685" s="24"/>
      <c r="AH685" s="24"/>
      <c r="AI685" s="24"/>
    </row>
    <row r="686" ht="15.75" customHeight="1">
      <c r="A686" s="8"/>
      <c r="B686" s="14"/>
      <c r="C686" s="14"/>
      <c r="D686" s="14"/>
      <c r="E686" s="9"/>
      <c r="F686" s="14"/>
      <c r="G686" s="9"/>
      <c r="H686" s="14"/>
      <c r="I686" s="9"/>
      <c r="J686" s="9"/>
      <c r="K686" s="9"/>
      <c r="L686" s="9"/>
      <c r="M686" s="9"/>
      <c r="N686" s="9"/>
      <c r="O686" s="60"/>
      <c r="P686" s="9"/>
      <c r="Q686" s="9"/>
      <c r="R686" s="64"/>
      <c r="S686" s="9"/>
      <c r="T686" s="9"/>
      <c r="U686" s="9"/>
      <c r="V686" s="9"/>
      <c r="W686" s="14"/>
      <c r="X686" s="9"/>
      <c r="Y686" s="9"/>
      <c r="Z686" s="15"/>
      <c r="AA686" s="15"/>
      <c r="AB686" s="15"/>
      <c r="AC686" s="15"/>
      <c r="AD686" s="15"/>
      <c r="AE686" s="15"/>
      <c r="AF686" s="15"/>
      <c r="AG686" s="15"/>
      <c r="AH686" s="15"/>
      <c r="AI686" s="15"/>
    </row>
    <row r="687" ht="15.75" customHeight="1">
      <c r="A687" s="16"/>
      <c r="B687" s="18"/>
      <c r="C687" s="18"/>
      <c r="D687" s="18"/>
      <c r="E687" s="18"/>
      <c r="F687" s="18"/>
      <c r="G687" s="17"/>
      <c r="H687" s="18"/>
      <c r="I687" s="17"/>
      <c r="J687" s="17"/>
      <c r="K687" s="17"/>
      <c r="L687" s="17"/>
      <c r="M687" s="17"/>
      <c r="N687" s="17"/>
      <c r="O687" s="59"/>
      <c r="P687" s="17"/>
      <c r="Q687" s="17"/>
      <c r="R687" s="65"/>
      <c r="S687" s="17"/>
      <c r="T687" s="17"/>
      <c r="U687" s="17"/>
      <c r="V687" s="17"/>
      <c r="W687" s="16"/>
      <c r="X687" s="17"/>
      <c r="Y687" s="17"/>
      <c r="Z687" s="24"/>
      <c r="AA687" s="24"/>
      <c r="AB687" s="24"/>
      <c r="AC687" s="24"/>
      <c r="AD687" s="24"/>
      <c r="AE687" s="24"/>
      <c r="AF687" s="24"/>
      <c r="AG687" s="24"/>
      <c r="AH687" s="24"/>
      <c r="AI687" s="24"/>
    </row>
    <row r="688" ht="15.75" customHeight="1">
      <c r="A688" s="8"/>
      <c r="B688" s="14"/>
      <c r="C688" s="14"/>
      <c r="D688" s="14"/>
      <c r="E688" s="9"/>
      <c r="F688" s="14"/>
      <c r="G688" s="9"/>
      <c r="H688" s="14"/>
      <c r="I688" s="9"/>
      <c r="J688" s="9"/>
      <c r="K688" s="9"/>
      <c r="L688" s="9"/>
      <c r="M688" s="9"/>
      <c r="N688" s="9"/>
      <c r="O688" s="60"/>
      <c r="P688" s="9"/>
      <c r="Q688" s="9"/>
      <c r="R688" s="64"/>
      <c r="S688" s="9"/>
      <c r="T688" s="9"/>
      <c r="U688" s="9"/>
      <c r="V688" s="9"/>
      <c r="W688" s="14"/>
      <c r="X688" s="9"/>
      <c r="Y688" s="9"/>
      <c r="Z688" s="15"/>
      <c r="AA688" s="15"/>
      <c r="AB688" s="15"/>
      <c r="AC688" s="15"/>
      <c r="AD688" s="15"/>
      <c r="AE688" s="15"/>
      <c r="AF688" s="15"/>
      <c r="AG688" s="15"/>
      <c r="AH688" s="15"/>
      <c r="AI688" s="15"/>
    </row>
    <row r="689" ht="15.75" customHeight="1">
      <c r="A689" s="16"/>
      <c r="B689" s="18"/>
      <c r="C689" s="18"/>
      <c r="D689" s="18"/>
      <c r="E689" s="18"/>
      <c r="F689" s="18"/>
      <c r="G689" s="17"/>
      <c r="H689" s="18"/>
      <c r="I689" s="17"/>
      <c r="J689" s="17"/>
      <c r="K689" s="17"/>
      <c r="L689" s="17"/>
      <c r="M689" s="17"/>
      <c r="N689" s="17"/>
      <c r="O689" s="59"/>
      <c r="P689" s="17"/>
      <c r="Q689" s="17"/>
      <c r="R689" s="65"/>
      <c r="S689" s="17"/>
      <c r="T689" s="17"/>
      <c r="U689" s="17"/>
      <c r="V689" s="17"/>
      <c r="W689" s="18"/>
      <c r="X689" s="17"/>
      <c r="Y689" s="17"/>
      <c r="Z689" s="24"/>
      <c r="AA689" s="24"/>
      <c r="AB689" s="24"/>
      <c r="AC689" s="24"/>
      <c r="AD689" s="24"/>
      <c r="AE689" s="24"/>
      <c r="AF689" s="24"/>
      <c r="AG689" s="24"/>
      <c r="AH689" s="24"/>
      <c r="AI689" s="24"/>
    </row>
    <row r="690" ht="15.75" customHeight="1">
      <c r="A690" s="8"/>
      <c r="B690" s="14"/>
      <c r="C690" s="14"/>
      <c r="D690" s="14"/>
      <c r="E690" s="9"/>
      <c r="F690" s="14"/>
      <c r="G690" s="9"/>
      <c r="H690" s="14"/>
      <c r="I690" s="9"/>
      <c r="J690" s="9"/>
      <c r="K690" s="9"/>
      <c r="L690" s="9"/>
      <c r="M690" s="9"/>
      <c r="N690" s="9"/>
      <c r="O690" s="60"/>
      <c r="P690" s="9"/>
      <c r="Q690" s="9"/>
      <c r="R690" s="64"/>
      <c r="S690" s="9"/>
      <c r="T690" s="9"/>
      <c r="U690" s="9"/>
      <c r="V690" s="9"/>
      <c r="W690" s="8"/>
      <c r="X690" s="9"/>
      <c r="Y690" s="9"/>
      <c r="Z690" s="15"/>
      <c r="AA690" s="15"/>
      <c r="AB690" s="15"/>
      <c r="AC690" s="15"/>
      <c r="AD690" s="15"/>
      <c r="AE690" s="15"/>
      <c r="AF690" s="15"/>
      <c r="AG690" s="15"/>
      <c r="AH690" s="15"/>
      <c r="AI690" s="15"/>
    </row>
    <row r="691" ht="15.75" customHeight="1">
      <c r="A691" s="16"/>
      <c r="B691" s="18"/>
      <c r="C691" s="18"/>
      <c r="D691" s="18"/>
      <c r="E691" s="18"/>
      <c r="F691" s="18"/>
      <c r="G691" s="17"/>
      <c r="H691" s="18"/>
      <c r="I691" s="17"/>
      <c r="J691" s="17"/>
      <c r="K691" s="17"/>
      <c r="L691" s="17"/>
      <c r="M691" s="17"/>
      <c r="N691" s="17"/>
      <c r="O691" s="59"/>
      <c r="P691" s="17"/>
      <c r="Q691" s="17"/>
      <c r="R691" s="65"/>
      <c r="S691" s="17"/>
      <c r="T691" s="17"/>
      <c r="U691" s="17"/>
      <c r="V691" s="17"/>
      <c r="W691" s="18"/>
      <c r="X691" s="17"/>
      <c r="Y691" s="17"/>
      <c r="Z691" s="24"/>
      <c r="AA691" s="24"/>
      <c r="AB691" s="24"/>
      <c r="AC691" s="24"/>
      <c r="AD691" s="24"/>
      <c r="AE691" s="24"/>
      <c r="AF691" s="24"/>
      <c r="AG691" s="24"/>
      <c r="AH691" s="24"/>
      <c r="AI691" s="24"/>
    </row>
    <row r="692" ht="15.75" customHeight="1">
      <c r="A692" s="8"/>
      <c r="B692" s="14"/>
      <c r="C692" s="14"/>
      <c r="D692" s="14"/>
      <c r="E692" s="9"/>
      <c r="F692" s="14"/>
      <c r="G692" s="9"/>
      <c r="H692" s="14"/>
      <c r="I692" s="9"/>
      <c r="J692" s="9"/>
      <c r="K692" s="9"/>
      <c r="L692" s="9"/>
      <c r="M692" s="9"/>
      <c r="N692" s="9"/>
      <c r="O692" s="60"/>
      <c r="P692" s="9"/>
      <c r="Q692" s="9"/>
      <c r="R692" s="64"/>
      <c r="S692" s="9"/>
      <c r="T692" s="9"/>
      <c r="U692" s="9"/>
      <c r="V692" s="9"/>
      <c r="W692" s="14"/>
      <c r="X692" s="9"/>
      <c r="Y692" s="9"/>
      <c r="Z692" s="15"/>
      <c r="AA692" s="15"/>
      <c r="AB692" s="15"/>
      <c r="AC692" s="15"/>
      <c r="AD692" s="15"/>
      <c r="AE692" s="15"/>
      <c r="AF692" s="15"/>
      <c r="AG692" s="15"/>
      <c r="AH692" s="15"/>
      <c r="AI692" s="15"/>
    </row>
    <row r="693" ht="15.75" customHeight="1">
      <c r="A693" s="16"/>
      <c r="B693" s="18"/>
      <c r="C693" s="18"/>
      <c r="D693" s="18"/>
      <c r="E693" s="18"/>
      <c r="F693" s="18"/>
      <c r="G693" s="17"/>
      <c r="H693" s="18"/>
      <c r="I693" s="17"/>
      <c r="J693" s="17"/>
      <c r="K693" s="17"/>
      <c r="L693" s="17"/>
      <c r="M693" s="17"/>
      <c r="N693" s="17"/>
      <c r="O693" s="59"/>
      <c r="P693" s="17"/>
      <c r="Q693" s="17"/>
      <c r="R693" s="65"/>
      <c r="S693" s="17"/>
      <c r="T693" s="17"/>
      <c r="U693" s="17"/>
      <c r="V693" s="17"/>
      <c r="W693" s="16"/>
      <c r="X693" s="17"/>
      <c r="Y693" s="17"/>
      <c r="Z693" s="24"/>
      <c r="AA693" s="24"/>
      <c r="AB693" s="24"/>
      <c r="AC693" s="24"/>
      <c r="AD693" s="24"/>
      <c r="AE693" s="24"/>
      <c r="AF693" s="24"/>
      <c r="AG693" s="24"/>
      <c r="AH693" s="24"/>
      <c r="AI693" s="24"/>
    </row>
    <row r="694" ht="15.75" customHeight="1">
      <c r="A694" s="8"/>
      <c r="B694" s="14"/>
      <c r="C694" s="14"/>
      <c r="D694" s="14"/>
      <c r="E694" s="9"/>
      <c r="F694" s="14"/>
      <c r="G694" s="9"/>
      <c r="H694" s="14"/>
      <c r="I694" s="9"/>
      <c r="J694" s="9"/>
      <c r="K694" s="9"/>
      <c r="L694" s="9"/>
      <c r="M694" s="9"/>
      <c r="N694" s="9"/>
      <c r="O694" s="60"/>
      <c r="P694" s="9"/>
      <c r="Q694" s="9"/>
      <c r="R694" s="64"/>
      <c r="S694" s="9"/>
      <c r="T694" s="9"/>
      <c r="U694" s="9"/>
      <c r="V694" s="9"/>
      <c r="W694" s="14"/>
      <c r="X694" s="9"/>
      <c r="Y694" s="9"/>
      <c r="Z694" s="15"/>
      <c r="AA694" s="15"/>
      <c r="AB694" s="15"/>
      <c r="AC694" s="15"/>
      <c r="AD694" s="15"/>
      <c r="AE694" s="15"/>
      <c r="AF694" s="15"/>
      <c r="AG694" s="15"/>
      <c r="AH694" s="15"/>
      <c r="AI694" s="15"/>
    </row>
    <row r="695" ht="15.75" customHeight="1">
      <c r="A695" s="16"/>
      <c r="B695" s="18"/>
      <c r="C695" s="18"/>
      <c r="D695" s="18"/>
      <c r="E695" s="18"/>
      <c r="F695" s="18"/>
      <c r="G695" s="17"/>
      <c r="H695" s="18"/>
      <c r="I695" s="17"/>
      <c r="J695" s="17"/>
      <c r="K695" s="17"/>
      <c r="L695" s="17"/>
      <c r="M695" s="17"/>
      <c r="N695" s="17"/>
      <c r="O695" s="59"/>
      <c r="P695" s="17"/>
      <c r="Q695" s="17"/>
      <c r="R695" s="65"/>
      <c r="S695" s="17"/>
      <c r="T695" s="17"/>
      <c r="U695" s="17"/>
      <c r="V695" s="17"/>
      <c r="W695" s="18"/>
      <c r="X695" s="17"/>
      <c r="Y695" s="17"/>
      <c r="Z695" s="24"/>
      <c r="AA695" s="24"/>
      <c r="AB695" s="24"/>
      <c r="AC695" s="24"/>
      <c r="AD695" s="24"/>
      <c r="AE695" s="24"/>
      <c r="AF695" s="24"/>
      <c r="AG695" s="24"/>
      <c r="AH695" s="24"/>
      <c r="AI695" s="24"/>
    </row>
    <row r="696" ht="15.75" customHeight="1">
      <c r="A696" s="8"/>
      <c r="B696" s="14"/>
      <c r="C696" s="14"/>
      <c r="D696" s="14"/>
      <c r="E696" s="9"/>
      <c r="F696" s="14"/>
      <c r="G696" s="9"/>
      <c r="H696" s="14"/>
      <c r="I696" s="9"/>
      <c r="J696" s="9"/>
      <c r="K696" s="9"/>
      <c r="L696" s="9"/>
      <c r="M696" s="9"/>
      <c r="N696" s="9"/>
      <c r="O696" s="60"/>
      <c r="P696" s="9"/>
      <c r="Q696" s="9"/>
      <c r="R696" s="64"/>
      <c r="S696" s="9"/>
      <c r="T696" s="9"/>
      <c r="U696" s="9"/>
      <c r="V696" s="9"/>
      <c r="W696" s="8"/>
      <c r="X696" s="9"/>
      <c r="Y696" s="9"/>
      <c r="Z696" s="15"/>
      <c r="AA696" s="15"/>
      <c r="AB696" s="15"/>
      <c r="AC696" s="15"/>
      <c r="AD696" s="15"/>
      <c r="AE696" s="15"/>
      <c r="AF696" s="15"/>
      <c r="AG696" s="15"/>
      <c r="AH696" s="15"/>
      <c r="AI696" s="15"/>
    </row>
    <row r="697" ht="15.75" customHeight="1">
      <c r="A697" s="16"/>
      <c r="B697" s="18"/>
      <c r="C697" s="18"/>
      <c r="D697" s="18"/>
      <c r="E697" s="18"/>
      <c r="F697" s="18"/>
      <c r="G697" s="17"/>
      <c r="H697" s="18"/>
      <c r="I697" s="17"/>
      <c r="J697" s="17"/>
      <c r="K697" s="17"/>
      <c r="L697" s="17"/>
      <c r="M697" s="17"/>
      <c r="N697" s="17"/>
      <c r="O697" s="59"/>
      <c r="P697" s="17"/>
      <c r="Q697" s="17"/>
      <c r="R697" s="65"/>
      <c r="S697" s="17"/>
      <c r="T697" s="17"/>
      <c r="U697" s="17"/>
      <c r="V697" s="17"/>
      <c r="W697" s="18"/>
      <c r="X697" s="17"/>
      <c r="Y697" s="17"/>
      <c r="Z697" s="24"/>
      <c r="AA697" s="24"/>
      <c r="AB697" s="24"/>
      <c r="AC697" s="24"/>
      <c r="AD697" s="24"/>
      <c r="AE697" s="24"/>
      <c r="AF697" s="24"/>
      <c r="AG697" s="24"/>
      <c r="AH697" s="24"/>
      <c r="AI697" s="24"/>
    </row>
    <row r="698" ht="15.75" customHeight="1">
      <c r="A698" s="8"/>
      <c r="B698" s="14"/>
      <c r="C698" s="14"/>
      <c r="D698" s="14"/>
      <c r="E698" s="9"/>
      <c r="F698" s="14"/>
      <c r="G698" s="9"/>
      <c r="H698" s="14"/>
      <c r="I698" s="9"/>
      <c r="J698" s="9"/>
      <c r="K698" s="9"/>
      <c r="L698" s="9"/>
      <c r="M698" s="9"/>
      <c r="N698" s="9"/>
      <c r="O698" s="60"/>
      <c r="P698" s="9"/>
      <c r="Q698" s="9"/>
      <c r="R698" s="64"/>
      <c r="S698" s="9"/>
      <c r="T698" s="9"/>
      <c r="U698" s="9"/>
      <c r="V698" s="9"/>
      <c r="W698" s="14"/>
      <c r="X698" s="9"/>
      <c r="Y698" s="9"/>
      <c r="Z698" s="15"/>
      <c r="AA698" s="15"/>
      <c r="AB698" s="15"/>
      <c r="AC698" s="15"/>
      <c r="AD698" s="15"/>
      <c r="AE698" s="15"/>
      <c r="AF698" s="15"/>
      <c r="AG698" s="15"/>
      <c r="AH698" s="15"/>
      <c r="AI698" s="15"/>
    </row>
    <row r="699" ht="15.75" customHeight="1">
      <c r="A699" s="16"/>
      <c r="B699" s="18"/>
      <c r="C699" s="18"/>
      <c r="D699" s="18"/>
      <c r="E699" s="18"/>
      <c r="F699" s="18"/>
      <c r="G699" s="17"/>
      <c r="H699" s="18"/>
      <c r="I699" s="17"/>
      <c r="J699" s="17"/>
      <c r="K699" s="17"/>
      <c r="L699" s="17"/>
      <c r="M699" s="17"/>
      <c r="N699" s="17"/>
      <c r="O699" s="59"/>
      <c r="P699" s="17"/>
      <c r="Q699" s="17"/>
      <c r="R699" s="65"/>
      <c r="S699" s="17"/>
      <c r="T699" s="17"/>
      <c r="U699" s="17"/>
      <c r="V699" s="17"/>
      <c r="W699" s="16"/>
      <c r="X699" s="17"/>
      <c r="Y699" s="17"/>
      <c r="Z699" s="24"/>
      <c r="AA699" s="24"/>
      <c r="AB699" s="24"/>
      <c r="AC699" s="24"/>
      <c r="AD699" s="24"/>
      <c r="AE699" s="24"/>
      <c r="AF699" s="24"/>
      <c r="AG699" s="24"/>
      <c r="AH699" s="24"/>
      <c r="AI699" s="24"/>
    </row>
    <row r="700" ht="15.75" customHeight="1">
      <c r="A700" s="8"/>
      <c r="B700" s="14"/>
      <c r="C700" s="14"/>
      <c r="D700" s="14"/>
      <c r="E700" s="9"/>
      <c r="F700" s="14"/>
      <c r="G700" s="9"/>
      <c r="H700" s="14"/>
      <c r="I700" s="9"/>
      <c r="J700" s="9"/>
      <c r="K700" s="9"/>
      <c r="L700" s="9"/>
      <c r="M700" s="9"/>
      <c r="N700" s="9"/>
      <c r="O700" s="60"/>
      <c r="P700" s="9"/>
      <c r="Q700" s="9"/>
      <c r="R700" s="64"/>
      <c r="S700" s="9"/>
      <c r="T700" s="9"/>
      <c r="U700" s="9"/>
      <c r="V700" s="9"/>
      <c r="W700" s="14"/>
      <c r="X700" s="9"/>
      <c r="Y700" s="9"/>
      <c r="Z700" s="15"/>
      <c r="AA700" s="15"/>
      <c r="AB700" s="15"/>
      <c r="AC700" s="15"/>
      <c r="AD700" s="15"/>
      <c r="AE700" s="15"/>
      <c r="AF700" s="15"/>
      <c r="AG700" s="15"/>
      <c r="AH700" s="15"/>
      <c r="AI700" s="15"/>
    </row>
    <row r="701" ht="15.75" customHeight="1">
      <c r="A701" s="16"/>
      <c r="B701" s="18"/>
      <c r="C701" s="18"/>
      <c r="D701" s="18"/>
      <c r="E701" s="18"/>
      <c r="F701" s="18"/>
      <c r="G701" s="17"/>
      <c r="H701" s="18"/>
      <c r="I701" s="17"/>
      <c r="J701" s="17"/>
      <c r="K701" s="17"/>
      <c r="L701" s="17"/>
      <c r="M701" s="17"/>
      <c r="N701" s="17"/>
      <c r="O701" s="59"/>
      <c r="P701" s="17"/>
      <c r="Q701" s="17"/>
      <c r="R701" s="65"/>
      <c r="S701" s="17"/>
      <c r="T701" s="17"/>
      <c r="U701" s="17"/>
      <c r="V701" s="17"/>
      <c r="W701" s="18"/>
      <c r="X701" s="17"/>
      <c r="Y701" s="17"/>
      <c r="Z701" s="24"/>
      <c r="AA701" s="24"/>
      <c r="AB701" s="24"/>
      <c r="AC701" s="24"/>
      <c r="AD701" s="24"/>
      <c r="AE701" s="24"/>
      <c r="AF701" s="24"/>
      <c r="AG701" s="24"/>
      <c r="AH701" s="24"/>
      <c r="AI701" s="24"/>
    </row>
    <row r="702" ht="15.75" customHeight="1">
      <c r="A702" s="8"/>
      <c r="B702" s="14"/>
      <c r="C702" s="14"/>
      <c r="D702" s="14"/>
      <c r="E702" s="9"/>
      <c r="F702" s="14"/>
      <c r="G702" s="9"/>
      <c r="H702" s="14"/>
      <c r="I702" s="9"/>
      <c r="J702" s="9"/>
      <c r="K702" s="9"/>
      <c r="L702" s="9"/>
      <c r="M702" s="9"/>
      <c r="N702" s="9"/>
      <c r="O702" s="60"/>
      <c r="P702" s="9"/>
      <c r="Q702" s="9"/>
      <c r="R702" s="64"/>
      <c r="S702" s="9"/>
      <c r="T702" s="9"/>
      <c r="U702" s="9"/>
      <c r="V702" s="9"/>
      <c r="W702" s="8"/>
      <c r="X702" s="9"/>
      <c r="Y702" s="9"/>
      <c r="Z702" s="15"/>
      <c r="AA702" s="15"/>
      <c r="AB702" s="15"/>
      <c r="AC702" s="15"/>
      <c r="AD702" s="15"/>
      <c r="AE702" s="15"/>
      <c r="AF702" s="15"/>
      <c r="AG702" s="15"/>
      <c r="AH702" s="15"/>
      <c r="AI702" s="15"/>
    </row>
    <row r="703" ht="15.75" customHeight="1">
      <c r="A703" s="16"/>
      <c r="B703" s="18"/>
      <c r="C703" s="18"/>
      <c r="D703" s="18"/>
      <c r="E703" s="18"/>
      <c r="F703" s="18"/>
      <c r="G703" s="17"/>
      <c r="H703" s="18"/>
      <c r="I703" s="17"/>
      <c r="J703" s="17"/>
      <c r="K703" s="17"/>
      <c r="L703" s="17"/>
      <c r="M703" s="17"/>
      <c r="N703" s="17"/>
      <c r="O703" s="59"/>
      <c r="P703" s="17"/>
      <c r="Q703" s="17"/>
      <c r="R703" s="65"/>
      <c r="S703" s="17"/>
      <c r="T703" s="17"/>
      <c r="U703" s="17"/>
      <c r="V703" s="17"/>
      <c r="W703" s="18"/>
      <c r="X703" s="17"/>
      <c r="Y703" s="17"/>
      <c r="Z703" s="24"/>
      <c r="AA703" s="24"/>
      <c r="AB703" s="24"/>
      <c r="AC703" s="24"/>
      <c r="AD703" s="24"/>
      <c r="AE703" s="24"/>
      <c r="AF703" s="24"/>
      <c r="AG703" s="24"/>
      <c r="AH703" s="24"/>
      <c r="AI703" s="24"/>
    </row>
    <row r="704" ht="15.75" customHeight="1">
      <c r="A704" s="8"/>
      <c r="B704" s="14"/>
      <c r="C704" s="14"/>
      <c r="D704" s="14"/>
      <c r="E704" s="9"/>
      <c r="F704" s="14"/>
      <c r="G704" s="9"/>
      <c r="H704" s="14"/>
      <c r="I704" s="9"/>
      <c r="J704" s="9"/>
      <c r="K704" s="9"/>
      <c r="L704" s="9"/>
      <c r="M704" s="9"/>
      <c r="N704" s="9"/>
      <c r="O704" s="60"/>
      <c r="P704" s="9"/>
      <c r="Q704" s="9"/>
      <c r="R704" s="64"/>
      <c r="S704" s="9"/>
      <c r="T704" s="9"/>
      <c r="U704" s="9"/>
      <c r="V704" s="9"/>
      <c r="W704" s="14"/>
      <c r="X704" s="9"/>
      <c r="Y704" s="9"/>
      <c r="Z704" s="15"/>
      <c r="AA704" s="15"/>
      <c r="AB704" s="15"/>
      <c r="AC704" s="15"/>
      <c r="AD704" s="15"/>
      <c r="AE704" s="15"/>
      <c r="AF704" s="15"/>
      <c r="AG704" s="15"/>
      <c r="AH704" s="15"/>
      <c r="AI704" s="15"/>
    </row>
    <row r="705" ht="15.75" customHeight="1">
      <c r="A705" s="16"/>
      <c r="B705" s="18"/>
      <c r="C705" s="18"/>
      <c r="D705" s="18"/>
      <c r="E705" s="18"/>
      <c r="F705" s="18"/>
      <c r="G705" s="17"/>
      <c r="H705" s="18"/>
      <c r="I705" s="17"/>
      <c r="J705" s="17"/>
      <c r="K705" s="17"/>
      <c r="L705" s="17"/>
      <c r="M705" s="17"/>
      <c r="N705" s="17"/>
      <c r="O705" s="59"/>
      <c r="P705" s="17"/>
      <c r="Q705" s="17"/>
      <c r="R705" s="65"/>
      <c r="S705" s="17"/>
      <c r="T705" s="17"/>
      <c r="U705" s="17"/>
      <c r="V705" s="17"/>
      <c r="W705" s="16"/>
      <c r="X705" s="17"/>
      <c r="Y705" s="17"/>
      <c r="Z705" s="24"/>
      <c r="AA705" s="24"/>
      <c r="AB705" s="24"/>
      <c r="AC705" s="24"/>
      <c r="AD705" s="24"/>
      <c r="AE705" s="24"/>
      <c r="AF705" s="24"/>
      <c r="AG705" s="24"/>
      <c r="AH705" s="24"/>
      <c r="AI705" s="24"/>
    </row>
    <row r="706" ht="15.75" customHeight="1">
      <c r="A706" s="8"/>
      <c r="B706" s="14"/>
      <c r="C706" s="14"/>
      <c r="D706" s="14"/>
      <c r="E706" s="9"/>
      <c r="F706" s="14"/>
      <c r="G706" s="9"/>
      <c r="H706" s="14"/>
      <c r="I706" s="9"/>
      <c r="J706" s="9"/>
      <c r="K706" s="9"/>
      <c r="L706" s="9"/>
      <c r="M706" s="9"/>
      <c r="N706" s="9"/>
      <c r="O706" s="60"/>
      <c r="P706" s="9"/>
      <c r="Q706" s="9"/>
      <c r="R706" s="64"/>
      <c r="S706" s="9"/>
      <c r="T706" s="9"/>
      <c r="U706" s="9"/>
      <c r="V706" s="9"/>
      <c r="W706" s="14"/>
      <c r="X706" s="9"/>
      <c r="Y706" s="9"/>
      <c r="Z706" s="15"/>
      <c r="AA706" s="15"/>
      <c r="AB706" s="15"/>
      <c r="AC706" s="15"/>
      <c r="AD706" s="15"/>
      <c r="AE706" s="15"/>
      <c r="AF706" s="15"/>
      <c r="AG706" s="15"/>
      <c r="AH706" s="15"/>
      <c r="AI706" s="15"/>
    </row>
    <row r="707" ht="15.75" customHeight="1">
      <c r="A707" s="16"/>
      <c r="B707" s="18"/>
      <c r="C707" s="18"/>
      <c r="D707" s="18"/>
      <c r="E707" s="18"/>
      <c r="F707" s="18"/>
      <c r="G707" s="17"/>
      <c r="H707" s="18"/>
      <c r="I707" s="17"/>
      <c r="J707" s="17"/>
      <c r="K707" s="17"/>
      <c r="L707" s="17"/>
      <c r="M707" s="17"/>
      <c r="N707" s="17"/>
      <c r="O707" s="59"/>
      <c r="P707" s="17"/>
      <c r="Q707" s="17"/>
      <c r="R707" s="65"/>
      <c r="S707" s="17"/>
      <c r="T707" s="17"/>
      <c r="U707" s="17"/>
      <c r="V707" s="17"/>
      <c r="W707" s="18"/>
      <c r="X707" s="17"/>
      <c r="Y707" s="17"/>
      <c r="Z707" s="24"/>
      <c r="AA707" s="24"/>
      <c r="AB707" s="24"/>
      <c r="AC707" s="24"/>
      <c r="AD707" s="24"/>
      <c r="AE707" s="24"/>
      <c r="AF707" s="24"/>
      <c r="AG707" s="24"/>
      <c r="AH707" s="24"/>
      <c r="AI707" s="24"/>
    </row>
    <row r="708" ht="15.75" customHeight="1">
      <c r="A708" s="8"/>
      <c r="B708" s="14"/>
      <c r="C708" s="14"/>
      <c r="D708" s="14"/>
      <c r="E708" s="9"/>
      <c r="F708" s="14"/>
      <c r="G708" s="9"/>
      <c r="H708" s="14"/>
      <c r="I708" s="9"/>
      <c r="J708" s="9"/>
      <c r="K708" s="9"/>
      <c r="L708" s="9"/>
      <c r="M708" s="9"/>
      <c r="N708" s="9"/>
      <c r="O708" s="60"/>
      <c r="P708" s="9"/>
      <c r="Q708" s="9"/>
      <c r="R708" s="64"/>
      <c r="S708" s="9"/>
      <c r="T708" s="9"/>
      <c r="U708" s="9"/>
      <c r="V708" s="9"/>
      <c r="W708" s="8"/>
      <c r="X708" s="9"/>
      <c r="Y708" s="9"/>
      <c r="Z708" s="15"/>
      <c r="AA708" s="15"/>
      <c r="AB708" s="15"/>
      <c r="AC708" s="15"/>
      <c r="AD708" s="15"/>
      <c r="AE708" s="15"/>
      <c r="AF708" s="15"/>
      <c r="AG708" s="15"/>
      <c r="AH708" s="15"/>
      <c r="AI708" s="15"/>
    </row>
    <row r="709" ht="15.75" customHeight="1">
      <c r="A709" s="16"/>
      <c r="B709" s="18"/>
      <c r="C709" s="18"/>
      <c r="D709" s="18"/>
      <c r="E709" s="18"/>
      <c r="F709" s="18"/>
      <c r="G709" s="17"/>
      <c r="H709" s="18"/>
      <c r="I709" s="17"/>
      <c r="J709" s="17"/>
      <c r="K709" s="17"/>
      <c r="L709" s="17"/>
      <c r="M709" s="17"/>
      <c r="N709" s="17"/>
      <c r="O709" s="59"/>
      <c r="P709" s="17"/>
      <c r="Q709" s="17"/>
      <c r="R709" s="65"/>
      <c r="S709" s="17"/>
      <c r="T709" s="17"/>
      <c r="U709" s="17"/>
      <c r="V709" s="17"/>
      <c r="W709" s="18"/>
      <c r="X709" s="17"/>
      <c r="Y709" s="17"/>
      <c r="Z709" s="24"/>
      <c r="AA709" s="24"/>
      <c r="AB709" s="24"/>
      <c r="AC709" s="24"/>
      <c r="AD709" s="24"/>
      <c r="AE709" s="24"/>
      <c r="AF709" s="24"/>
      <c r="AG709" s="24"/>
      <c r="AH709" s="24"/>
      <c r="AI709" s="24"/>
    </row>
    <row r="710" ht="15.75" customHeight="1">
      <c r="A710" s="8"/>
      <c r="B710" s="14"/>
      <c r="C710" s="14"/>
      <c r="D710" s="14"/>
      <c r="E710" s="9"/>
      <c r="F710" s="14"/>
      <c r="G710" s="9"/>
      <c r="H710" s="14"/>
      <c r="I710" s="9"/>
      <c r="J710" s="9"/>
      <c r="K710" s="9"/>
      <c r="L710" s="9"/>
      <c r="M710" s="9"/>
      <c r="N710" s="9"/>
      <c r="O710" s="60"/>
      <c r="P710" s="9"/>
      <c r="Q710" s="9"/>
      <c r="R710" s="64"/>
      <c r="S710" s="9"/>
      <c r="T710" s="9"/>
      <c r="U710" s="9"/>
      <c r="V710" s="9"/>
      <c r="W710" s="14"/>
      <c r="X710" s="9"/>
      <c r="Y710" s="9"/>
      <c r="Z710" s="15"/>
      <c r="AA710" s="15"/>
      <c r="AB710" s="15"/>
      <c r="AC710" s="15"/>
      <c r="AD710" s="15"/>
      <c r="AE710" s="15"/>
      <c r="AF710" s="15"/>
      <c r="AG710" s="15"/>
      <c r="AH710" s="15"/>
      <c r="AI710" s="15"/>
    </row>
    <row r="711" ht="15.75" customHeight="1">
      <c r="A711" s="16"/>
      <c r="B711" s="18"/>
      <c r="C711" s="18"/>
      <c r="D711" s="18"/>
      <c r="E711" s="18"/>
      <c r="F711" s="18"/>
      <c r="G711" s="17"/>
      <c r="H711" s="18"/>
      <c r="I711" s="17"/>
      <c r="J711" s="17"/>
      <c r="K711" s="17"/>
      <c r="L711" s="17"/>
      <c r="M711" s="17"/>
      <c r="N711" s="17"/>
      <c r="O711" s="59"/>
      <c r="P711" s="17"/>
      <c r="Q711" s="17"/>
      <c r="R711" s="65"/>
      <c r="S711" s="17"/>
      <c r="T711" s="17"/>
      <c r="U711" s="17"/>
      <c r="V711" s="17"/>
      <c r="W711" s="16"/>
      <c r="X711" s="17"/>
      <c r="Y711" s="17"/>
      <c r="Z711" s="24"/>
      <c r="AA711" s="24"/>
      <c r="AB711" s="24"/>
      <c r="AC711" s="24"/>
      <c r="AD711" s="24"/>
      <c r="AE711" s="24"/>
      <c r="AF711" s="24"/>
      <c r="AG711" s="24"/>
      <c r="AH711" s="24"/>
      <c r="AI711" s="24"/>
    </row>
    <row r="712" ht="15.75" customHeight="1">
      <c r="A712" s="8"/>
      <c r="B712" s="14"/>
      <c r="C712" s="14"/>
      <c r="D712" s="14"/>
      <c r="E712" s="9"/>
      <c r="F712" s="14"/>
      <c r="G712" s="9"/>
      <c r="H712" s="14"/>
      <c r="I712" s="9"/>
      <c r="J712" s="9"/>
      <c r="K712" s="9"/>
      <c r="L712" s="9"/>
      <c r="M712" s="9"/>
      <c r="N712" s="9"/>
      <c r="O712" s="60"/>
      <c r="P712" s="9"/>
      <c r="Q712" s="9"/>
      <c r="R712" s="64"/>
      <c r="S712" s="9"/>
      <c r="T712" s="9"/>
      <c r="U712" s="9"/>
      <c r="V712" s="9"/>
      <c r="W712" s="14"/>
      <c r="X712" s="9"/>
      <c r="Y712" s="9"/>
      <c r="Z712" s="15"/>
      <c r="AA712" s="15"/>
      <c r="AB712" s="15"/>
      <c r="AC712" s="15"/>
      <c r="AD712" s="15"/>
      <c r="AE712" s="15"/>
      <c r="AF712" s="15"/>
      <c r="AG712" s="15"/>
      <c r="AH712" s="15"/>
      <c r="AI712" s="15"/>
    </row>
    <row r="713" ht="15.75" customHeight="1">
      <c r="A713" s="16"/>
      <c r="B713" s="18"/>
      <c r="C713" s="18"/>
      <c r="D713" s="18"/>
      <c r="E713" s="18"/>
      <c r="F713" s="18"/>
      <c r="G713" s="17"/>
      <c r="H713" s="18"/>
      <c r="I713" s="17"/>
      <c r="J713" s="17"/>
      <c r="K713" s="17"/>
      <c r="L713" s="17"/>
      <c r="M713" s="17"/>
      <c r="N713" s="17"/>
      <c r="O713" s="59"/>
      <c r="P713" s="17"/>
      <c r="Q713" s="17"/>
      <c r="R713" s="65"/>
      <c r="S713" s="17"/>
      <c r="T713" s="17"/>
      <c r="U713" s="17"/>
      <c r="V713" s="17"/>
      <c r="W713" s="18"/>
      <c r="X713" s="17"/>
      <c r="Y713" s="17"/>
      <c r="Z713" s="24"/>
      <c r="AA713" s="24"/>
      <c r="AB713" s="24"/>
      <c r="AC713" s="24"/>
      <c r="AD713" s="24"/>
      <c r="AE713" s="24"/>
      <c r="AF713" s="24"/>
      <c r="AG713" s="24"/>
      <c r="AH713" s="24"/>
      <c r="AI713" s="24"/>
    </row>
    <row r="714" ht="15.75" customHeight="1">
      <c r="A714" s="8"/>
      <c r="B714" s="14"/>
      <c r="C714" s="14"/>
      <c r="D714" s="14"/>
      <c r="E714" s="9"/>
      <c r="F714" s="14"/>
      <c r="G714" s="9"/>
      <c r="H714" s="14"/>
      <c r="I714" s="9"/>
      <c r="J714" s="9"/>
      <c r="K714" s="9"/>
      <c r="L714" s="9"/>
      <c r="M714" s="9"/>
      <c r="N714" s="9"/>
      <c r="O714" s="60"/>
      <c r="P714" s="9"/>
      <c r="Q714" s="9"/>
      <c r="R714" s="64"/>
      <c r="S714" s="9"/>
      <c r="T714" s="9"/>
      <c r="U714" s="9"/>
      <c r="V714" s="9"/>
      <c r="W714" s="8"/>
      <c r="X714" s="9"/>
      <c r="Y714" s="9"/>
      <c r="Z714" s="15"/>
      <c r="AA714" s="15"/>
      <c r="AB714" s="15"/>
      <c r="AC714" s="15"/>
      <c r="AD714" s="15"/>
      <c r="AE714" s="15"/>
      <c r="AF714" s="15"/>
      <c r="AG714" s="15"/>
      <c r="AH714" s="15"/>
      <c r="AI714" s="15"/>
    </row>
    <row r="715" ht="15.75" customHeight="1">
      <c r="A715" s="16"/>
      <c r="B715" s="18"/>
      <c r="C715" s="18"/>
      <c r="D715" s="18"/>
      <c r="E715" s="18"/>
      <c r="F715" s="18"/>
      <c r="G715" s="17"/>
      <c r="H715" s="18"/>
      <c r="I715" s="17"/>
      <c r="J715" s="17"/>
      <c r="K715" s="17"/>
      <c r="L715" s="17"/>
      <c r="M715" s="17"/>
      <c r="N715" s="17"/>
      <c r="O715" s="59"/>
      <c r="P715" s="17"/>
      <c r="Q715" s="17"/>
      <c r="R715" s="65"/>
      <c r="S715" s="17"/>
      <c r="T715" s="17"/>
      <c r="U715" s="17"/>
      <c r="V715" s="17"/>
      <c r="W715" s="18"/>
      <c r="X715" s="17"/>
      <c r="Y715" s="17"/>
      <c r="Z715" s="24"/>
      <c r="AA715" s="24"/>
      <c r="AB715" s="24"/>
      <c r="AC715" s="24"/>
      <c r="AD715" s="24"/>
      <c r="AE715" s="24"/>
      <c r="AF715" s="24"/>
      <c r="AG715" s="24"/>
      <c r="AH715" s="24"/>
      <c r="AI715" s="24"/>
    </row>
    <row r="716" ht="15.75" customHeight="1">
      <c r="A716" s="8"/>
      <c r="B716" s="14"/>
      <c r="C716" s="14"/>
      <c r="D716" s="14"/>
      <c r="E716" s="9"/>
      <c r="F716" s="14"/>
      <c r="G716" s="9"/>
      <c r="H716" s="14"/>
      <c r="I716" s="9"/>
      <c r="J716" s="9"/>
      <c r="K716" s="9"/>
      <c r="L716" s="9"/>
      <c r="M716" s="9"/>
      <c r="N716" s="9"/>
      <c r="O716" s="60"/>
      <c r="P716" s="9"/>
      <c r="Q716" s="9"/>
      <c r="R716" s="64"/>
      <c r="S716" s="9"/>
      <c r="T716" s="9"/>
      <c r="U716" s="9"/>
      <c r="V716" s="9"/>
      <c r="W716" s="14"/>
      <c r="X716" s="9"/>
      <c r="Y716" s="9"/>
      <c r="Z716" s="15"/>
      <c r="AA716" s="15"/>
      <c r="AB716" s="15"/>
      <c r="AC716" s="15"/>
      <c r="AD716" s="15"/>
      <c r="AE716" s="15"/>
      <c r="AF716" s="15"/>
      <c r="AG716" s="15"/>
      <c r="AH716" s="15"/>
      <c r="AI716" s="15"/>
    </row>
    <row r="717" ht="15.75" customHeight="1">
      <c r="A717" s="16"/>
      <c r="B717" s="18"/>
      <c r="C717" s="18"/>
      <c r="D717" s="18"/>
      <c r="E717" s="18"/>
      <c r="F717" s="18"/>
      <c r="G717" s="17"/>
      <c r="H717" s="18"/>
      <c r="I717" s="17"/>
      <c r="J717" s="17"/>
      <c r="K717" s="17"/>
      <c r="L717" s="17"/>
      <c r="M717" s="17"/>
      <c r="N717" s="17"/>
      <c r="O717" s="59"/>
      <c r="P717" s="17"/>
      <c r="Q717" s="17"/>
      <c r="R717" s="65"/>
      <c r="S717" s="17"/>
      <c r="T717" s="17"/>
      <c r="U717" s="17"/>
      <c r="V717" s="17"/>
      <c r="W717" s="16"/>
      <c r="X717" s="17"/>
      <c r="Y717" s="17"/>
      <c r="Z717" s="24"/>
      <c r="AA717" s="24"/>
      <c r="AB717" s="24"/>
      <c r="AC717" s="24"/>
      <c r="AD717" s="24"/>
      <c r="AE717" s="24"/>
      <c r="AF717" s="24"/>
      <c r="AG717" s="24"/>
      <c r="AH717" s="24"/>
      <c r="AI717" s="24"/>
    </row>
    <row r="718" ht="15.75" customHeight="1">
      <c r="A718" s="8"/>
      <c r="B718" s="14"/>
      <c r="C718" s="14"/>
      <c r="D718" s="14"/>
      <c r="E718" s="9"/>
      <c r="F718" s="14"/>
      <c r="G718" s="9"/>
      <c r="H718" s="14"/>
      <c r="I718" s="9"/>
      <c r="J718" s="9"/>
      <c r="K718" s="9"/>
      <c r="L718" s="9"/>
      <c r="M718" s="9"/>
      <c r="N718" s="9"/>
      <c r="O718" s="60"/>
      <c r="P718" s="9"/>
      <c r="Q718" s="9"/>
      <c r="R718" s="64"/>
      <c r="S718" s="9"/>
      <c r="T718" s="9"/>
      <c r="U718" s="9"/>
      <c r="V718" s="9"/>
      <c r="W718" s="14"/>
      <c r="X718" s="9"/>
      <c r="Y718" s="9"/>
      <c r="Z718" s="15"/>
      <c r="AA718" s="15"/>
      <c r="AB718" s="15"/>
      <c r="AC718" s="15"/>
      <c r="AD718" s="15"/>
      <c r="AE718" s="15"/>
      <c r="AF718" s="15"/>
      <c r="AG718" s="15"/>
      <c r="AH718" s="15"/>
      <c r="AI718" s="15"/>
    </row>
    <row r="719" ht="15.75" customHeight="1">
      <c r="A719" s="16"/>
      <c r="B719" s="18"/>
      <c r="C719" s="18"/>
      <c r="D719" s="18"/>
      <c r="E719" s="18"/>
      <c r="F719" s="18"/>
      <c r="G719" s="17"/>
      <c r="H719" s="18"/>
      <c r="I719" s="17"/>
      <c r="J719" s="17"/>
      <c r="K719" s="17"/>
      <c r="L719" s="17"/>
      <c r="M719" s="17"/>
      <c r="N719" s="17"/>
      <c r="O719" s="59"/>
      <c r="P719" s="17"/>
      <c r="Q719" s="17"/>
      <c r="R719" s="65"/>
      <c r="S719" s="17"/>
      <c r="T719" s="17"/>
      <c r="U719" s="17"/>
      <c r="V719" s="17"/>
      <c r="W719" s="18"/>
      <c r="X719" s="17"/>
      <c r="Y719" s="17"/>
      <c r="Z719" s="24"/>
      <c r="AA719" s="24"/>
      <c r="AB719" s="24"/>
      <c r="AC719" s="24"/>
      <c r="AD719" s="24"/>
      <c r="AE719" s="24"/>
      <c r="AF719" s="24"/>
      <c r="AG719" s="24"/>
      <c r="AH719" s="24"/>
      <c r="AI719" s="24"/>
    </row>
    <row r="720" ht="15.75" customHeight="1">
      <c r="A720" s="8"/>
      <c r="B720" s="14"/>
      <c r="C720" s="14"/>
      <c r="D720" s="14"/>
      <c r="E720" s="9"/>
      <c r="F720" s="14"/>
      <c r="G720" s="9"/>
      <c r="H720" s="14"/>
      <c r="I720" s="9"/>
      <c r="J720" s="9"/>
      <c r="K720" s="9"/>
      <c r="L720" s="9"/>
      <c r="M720" s="9"/>
      <c r="N720" s="9"/>
      <c r="O720" s="60"/>
      <c r="P720" s="9"/>
      <c r="Q720" s="9"/>
      <c r="R720" s="64"/>
      <c r="S720" s="9"/>
      <c r="T720" s="9"/>
      <c r="U720" s="9"/>
      <c r="V720" s="9"/>
      <c r="W720" s="8"/>
      <c r="X720" s="9"/>
      <c r="Y720" s="9"/>
      <c r="Z720" s="15"/>
      <c r="AA720" s="15"/>
      <c r="AB720" s="15"/>
      <c r="AC720" s="15"/>
      <c r="AD720" s="15"/>
      <c r="AE720" s="15"/>
      <c r="AF720" s="15"/>
      <c r="AG720" s="15"/>
      <c r="AH720" s="15"/>
      <c r="AI720" s="15"/>
    </row>
    <row r="721" ht="15.75" customHeight="1">
      <c r="A721" s="16"/>
      <c r="B721" s="18"/>
      <c r="C721" s="18"/>
      <c r="D721" s="18"/>
      <c r="E721" s="18"/>
      <c r="F721" s="18"/>
      <c r="G721" s="17"/>
      <c r="H721" s="18"/>
      <c r="I721" s="17"/>
      <c r="J721" s="17"/>
      <c r="K721" s="17"/>
      <c r="L721" s="17"/>
      <c r="M721" s="17"/>
      <c r="N721" s="17"/>
      <c r="O721" s="59"/>
      <c r="P721" s="17"/>
      <c r="Q721" s="17"/>
      <c r="R721" s="65"/>
      <c r="S721" s="17"/>
      <c r="T721" s="17"/>
      <c r="U721" s="17"/>
      <c r="V721" s="17"/>
      <c r="W721" s="18"/>
      <c r="X721" s="17"/>
      <c r="Y721" s="17"/>
      <c r="Z721" s="24"/>
      <c r="AA721" s="24"/>
      <c r="AB721" s="24"/>
      <c r="AC721" s="24"/>
      <c r="AD721" s="24"/>
      <c r="AE721" s="24"/>
      <c r="AF721" s="24"/>
      <c r="AG721" s="24"/>
      <c r="AH721" s="24"/>
      <c r="AI721" s="24"/>
    </row>
    <row r="722" ht="15.75" customHeight="1">
      <c r="A722" s="8"/>
      <c r="B722" s="14"/>
      <c r="C722" s="14"/>
      <c r="D722" s="14"/>
      <c r="E722" s="9"/>
      <c r="F722" s="14"/>
      <c r="G722" s="9"/>
      <c r="H722" s="14"/>
      <c r="I722" s="9"/>
      <c r="J722" s="9"/>
      <c r="K722" s="9"/>
      <c r="L722" s="9"/>
      <c r="M722" s="9"/>
      <c r="N722" s="9"/>
      <c r="O722" s="60"/>
      <c r="P722" s="9"/>
      <c r="Q722" s="9"/>
      <c r="R722" s="64"/>
      <c r="S722" s="9"/>
      <c r="T722" s="9"/>
      <c r="U722" s="9"/>
      <c r="V722" s="9"/>
      <c r="W722" s="14"/>
      <c r="X722" s="9"/>
      <c r="Y722" s="9"/>
      <c r="Z722" s="15"/>
      <c r="AA722" s="15"/>
      <c r="AB722" s="15"/>
      <c r="AC722" s="15"/>
      <c r="AD722" s="15"/>
      <c r="AE722" s="15"/>
      <c r="AF722" s="15"/>
      <c r="AG722" s="15"/>
      <c r="AH722" s="15"/>
      <c r="AI722" s="15"/>
    </row>
    <row r="723" ht="15.75" customHeight="1">
      <c r="A723" s="16"/>
      <c r="B723" s="18"/>
      <c r="C723" s="18"/>
      <c r="D723" s="18"/>
      <c r="E723" s="18"/>
      <c r="F723" s="18"/>
      <c r="G723" s="17"/>
      <c r="H723" s="18"/>
      <c r="I723" s="17"/>
      <c r="J723" s="17"/>
      <c r="K723" s="17"/>
      <c r="L723" s="17"/>
      <c r="M723" s="17"/>
      <c r="N723" s="17"/>
      <c r="O723" s="59"/>
      <c r="P723" s="17"/>
      <c r="Q723" s="17"/>
      <c r="R723" s="65"/>
      <c r="S723" s="17"/>
      <c r="T723" s="17"/>
      <c r="U723" s="17"/>
      <c r="V723" s="17"/>
      <c r="W723" s="16"/>
      <c r="X723" s="17"/>
      <c r="Y723" s="17"/>
      <c r="Z723" s="24"/>
      <c r="AA723" s="24"/>
      <c r="AB723" s="24"/>
      <c r="AC723" s="24"/>
      <c r="AD723" s="24"/>
      <c r="AE723" s="24"/>
      <c r="AF723" s="24"/>
      <c r="AG723" s="24"/>
      <c r="AH723" s="24"/>
      <c r="AI723" s="24"/>
    </row>
    <row r="724" ht="15.75" customHeight="1">
      <c r="A724" s="8"/>
      <c r="B724" s="14"/>
      <c r="C724" s="14"/>
      <c r="D724" s="14"/>
      <c r="E724" s="9"/>
      <c r="F724" s="14"/>
      <c r="G724" s="9"/>
      <c r="H724" s="14"/>
      <c r="I724" s="9"/>
      <c r="J724" s="9"/>
      <c r="K724" s="9"/>
      <c r="L724" s="9"/>
      <c r="M724" s="9"/>
      <c r="N724" s="9"/>
      <c r="O724" s="60"/>
      <c r="P724" s="9"/>
      <c r="Q724" s="9"/>
      <c r="R724" s="64"/>
      <c r="S724" s="9"/>
      <c r="T724" s="9"/>
      <c r="U724" s="9"/>
      <c r="V724" s="9"/>
      <c r="W724" s="14"/>
      <c r="X724" s="9"/>
      <c r="Y724" s="9"/>
      <c r="Z724" s="15"/>
      <c r="AA724" s="15"/>
      <c r="AB724" s="15"/>
      <c r="AC724" s="15"/>
      <c r="AD724" s="15"/>
      <c r="AE724" s="15"/>
      <c r="AF724" s="15"/>
      <c r="AG724" s="15"/>
      <c r="AH724" s="15"/>
      <c r="AI724" s="15"/>
    </row>
    <row r="725" ht="15.75" customHeight="1">
      <c r="A725" s="16"/>
      <c r="B725" s="18"/>
      <c r="C725" s="18"/>
      <c r="D725" s="18"/>
      <c r="E725" s="18"/>
      <c r="F725" s="18"/>
      <c r="G725" s="17"/>
      <c r="H725" s="18"/>
      <c r="I725" s="17"/>
      <c r="J725" s="17"/>
      <c r="K725" s="17"/>
      <c r="L725" s="17"/>
      <c r="M725" s="17"/>
      <c r="N725" s="17"/>
      <c r="O725" s="59"/>
      <c r="P725" s="17"/>
      <c r="Q725" s="17"/>
      <c r="R725" s="65"/>
      <c r="S725" s="17"/>
      <c r="T725" s="17"/>
      <c r="U725" s="17"/>
      <c r="V725" s="17"/>
      <c r="W725" s="18"/>
      <c r="X725" s="17"/>
      <c r="Y725" s="17"/>
      <c r="Z725" s="24"/>
      <c r="AA725" s="24"/>
      <c r="AB725" s="24"/>
      <c r="AC725" s="24"/>
      <c r="AD725" s="24"/>
      <c r="AE725" s="24"/>
      <c r="AF725" s="24"/>
      <c r="AG725" s="24"/>
      <c r="AH725" s="24"/>
      <c r="AI725" s="24"/>
    </row>
    <row r="726" ht="15.75" customHeight="1">
      <c r="A726" s="8"/>
      <c r="B726" s="14"/>
      <c r="C726" s="14"/>
      <c r="D726" s="14"/>
      <c r="E726" s="9"/>
      <c r="F726" s="14"/>
      <c r="G726" s="9"/>
      <c r="H726" s="14"/>
      <c r="I726" s="9"/>
      <c r="J726" s="9"/>
      <c r="K726" s="9"/>
      <c r="L726" s="9"/>
      <c r="M726" s="9"/>
      <c r="N726" s="9"/>
      <c r="O726" s="60"/>
      <c r="P726" s="9"/>
      <c r="Q726" s="9"/>
      <c r="R726" s="64"/>
      <c r="S726" s="9"/>
      <c r="T726" s="9"/>
      <c r="U726" s="9"/>
      <c r="V726" s="9"/>
      <c r="W726" s="8"/>
      <c r="X726" s="9"/>
      <c r="Y726" s="9"/>
      <c r="Z726" s="15"/>
      <c r="AA726" s="15"/>
      <c r="AB726" s="15"/>
      <c r="AC726" s="15"/>
      <c r="AD726" s="15"/>
      <c r="AE726" s="15"/>
      <c r="AF726" s="15"/>
      <c r="AG726" s="15"/>
      <c r="AH726" s="15"/>
      <c r="AI726" s="15"/>
    </row>
    <row r="727" ht="15.75" customHeight="1">
      <c r="A727" s="16"/>
      <c r="B727" s="18"/>
      <c r="C727" s="18"/>
      <c r="D727" s="18"/>
      <c r="E727" s="18"/>
      <c r="F727" s="18"/>
      <c r="G727" s="17"/>
      <c r="H727" s="18"/>
      <c r="I727" s="17"/>
      <c r="J727" s="17"/>
      <c r="K727" s="17"/>
      <c r="L727" s="17"/>
      <c r="M727" s="17"/>
      <c r="N727" s="17"/>
      <c r="O727" s="59"/>
      <c r="P727" s="17"/>
      <c r="Q727" s="17"/>
      <c r="R727" s="65"/>
      <c r="S727" s="17"/>
      <c r="T727" s="17"/>
      <c r="U727" s="17"/>
      <c r="V727" s="17"/>
      <c r="W727" s="18"/>
      <c r="X727" s="17"/>
      <c r="Y727" s="17"/>
      <c r="Z727" s="24"/>
      <c r="AA727" s="24"/>
      <c r="AB727" s="24"/>
      <c r="AC727" s="24"/>
      <c r="AD727" s="24"/>
      <c r="AE727" s="24"/>
      <c r="AF727" s="24"/>
      <c r="AG727" s="24"/>
      <c r="AH727" s="24"/>
      <c r="AI727" s="24"/>
    </row>
    <row r="728" ht="15.75" customHeight="1">
      <c r="A728" s="8"/>
      <c r="B728" s="14"/>
      <c r="C728" s="14"/>
      <c r="D728" s="14"/>
      <c r="E728" s="9"/>
      <c r="F728" s="14"/>
      <c r="G728" s="9"/>
      <c r="H728" s="14"/>
      <c r="I728" s="9"/>
      <c r="J728" s="9"/>
      <c r="K728" s="9"/>
      <c r="L728" s="9"/>
      <c r="M728" s="9"/>
      <c r="N728" s="9"/>
      <c r="O728" s="60"/>
      <c r="P728" s="9"/>
      <c r="Q728" s="9"/>
      <c r="R728" s="64"/>
      <c r="S728" s="9"/>
      <c r="T728" s="9"/>
      <c r="U728" s="9"/>
      <c r="V728" s="9"/>
      <c r="W728" s="14"/>
      <c r="X728" s="9"/>
      <c r="Y728" s="9"/>
      <c r="Z728" s="15"/>
      <c r="AA728" s="15"/>
      <c r="AB728" s="15"/>
      <c r="AC728" s="15"/>
      <c r="AD728" s="15"/>
      <c r="AE728" s="15"/>
      <c r="AF728" s="15"/>
      <c r="AG728" s="15"/>
      <c r="AH728" s="15"/>
      <c r="AI728" s="15"/>
    </row>
    <row r="729" ht="15.75" customHeight="1">
      <c r="A729" s="16"/>
      <c r="B729" s="18"/>
      <c r="C729" s="18"/>
      <c r="D729" s="18"/>
      <c r="E729" s="18"/>
      <c r="F729" s="18"/>
      <c r="G729" s="17"/>
      <c r="H729" s="18"/>
      <c r="I729" s="17"/>
      <c r="J729" s="17"/>
      <c r="K729" s="17"/>
      <c r="L729" s="17"/>
      <c r="M729" s="17"/>
      <c r="N729" s="17"/>
      <c r="O729" s="59"/>
      <c r="P729" s="17"/>
      <c r="Q729" s="17"/>
      <c r="R729" s="65"/>
      <c r="S729" s="17"/>
      <c r="T729" s="17"/>
      <c r="U729" s="17"/>
      <c r="V729" s="17"/>
      <c r="W729" s="16"/>
      <c r="X729" s="17"/>
      <c r="Y729" s="17"/>
      <c r="Z729" s="24"/>
      <c r="AA729" s="24"/>
      <c r="AB729" s="24"/>
      <c r="AC729" s="24"/>
      <c r="AD729" s="24"/>
      <c r="AE729" s="24"/>
      <c r="AF729" s="24"/>
      <c r="AG729" s="24"/>
      <c r="AH729" s="24"/>
      <c r="AI729" s="24"/>
    </row>
    <row r="730" ht="15.75" customHeight="1">
      <c r="A730" s="8"/>
      <c r="B730" s="14"/>
      <c r="C730" s="14"/>
      <c r="D730" s="14"/>
      <c r="E730" s="9"/>
      <c r="F730" s="14"/>
      <c r="G730" s="9"/>
      <c r="H730" s="14"/>
      <c r="I730" s="9"/>
      <c r="J730" s="9"/>
      <c r="K730" s="9"/>
      <c r="L730" s="9"/>
      <c r="M730" s="9"/>
      <c r="N730" s="9"/>
      <c r="O730" s="60"/>
      <c r="P730" s="9"/>
      <c r="Q730" s="9"/>
      <c r="R730" s="64"/>
      <c r="S730" s="9"/>
      <c r="T730" s="9"/>
      <c r="U730" s="9"/>
      <c r="V730" s="9"/>
      <c r="W730" s="14"/>
      <c r="X730" s="9"/>
      <c r="Y730" s="9"/>
      <c r="Z730" s="15"/>
      <c r="AA730" s="15"/>
      <c r="AB730" s="15"/>
      <c r="AC730" s="15"/>
      <c r="AD730" s="15"/>
      <c r="AE730" s="15"/>
      <c r="AF730" s="15"/>
      <c r="AG730" s="15"/>
      <c r="AH730" s="15"/>
      <c r="AI730" s="15"/>
    </row>
    <row r="731" ht="15.75" customHeight="1">
      <c r="A731" s="16"/>
      <c r="B731" s="18"/>
      <c r="C731" s="18"/>
      <c r="D731" s="18"/>
      <c r="E731" s="18"/>
      <c r="F731" s="18"/>
      <c r="G731" s="17"/>
      <c r="H731" s="18"/>
      <c r="I731" s="17"/>
      <c r="J731" s="17"/>
      <c r="K731" s="17"/>
      <c r="L731" s="17"/>
      <c r="M731" s="17"/>
      <c r="N731" s="17"/>
      <c r="O731" s="59"/>
      <c r="P731" s="17"/>
      <c r="Q731" s="17"/>
      <c r="R731" s="65"/>
      <c r="S731" s="17"/>
      <c r="T731" s="17"/>
      <c r="U731" s="17"/>
      <c r="V731" s="17"/>
      <c r="W731" s="18"/>
      <c r="X731" s="17"/>
      <c r="Y731" s="17"/>
      <c r="Z731" s="24"/>
      <c r="AA731" s="24"/>
      <c r="AB731" s="24"/>
      <c r="AC731" s="24"/>
      <c r="AD731" s="24"/>
      <c r="AE731" s="24"/>
      <c r="AF731" s="24"/>
      <c r="AG731" s="24"/>
      <c r="AH731" s="24"/>
      <c r="AI731" s="24"/>
    </row>
    <row r="732" ht="15.75" customHeight="1">
      <c r="A732" s="8"/>
      <c r="B732" s="14"/>
      <c r="C732" s="14"/>
      <c r="D732" s="14"/>
      <c r="E732" s="9"/>
      <c r="F732" s="14"/>
      <c r="G732" s="9"/>
      <c r="H732" s="14"/>
      <c r="I732" s="9"/>
      <c r="J732" s="9"/>
      <c r="K732" s="9"/>
      <c r="L732" s="9"/>
      <c r="M732" s="9"/>
      <c r="N732" s="9"/>
      <c r="O732" s="60"/>
      <c r="P732" s="9"/>
      <c r="Q732" s="9"/>
      <c r="R732" s="64"/>
      <c r="S732" s="9"/>
      <c r="T732" s="9"/>
      <c r="U732" s="9"/>
      <c r="V732" s="9"/>
      <c r="W732" s="8"/>
      <c r="X732" s="9"/>
      <c r="Y732" s="9"/>
      <c r="Z732" s="15"/>
      <c r="AA732" s="15"/>
      <c r="AB732" s="15"/>
      <c r="AC732" s="15"/>
      <c r="AD732" s="15"/>
      <c r="AE732" s="15"/>
      <c r="AF732" s="15"/>
      <c r="AG732" s="15"/>
      <c r="AH732" s="15"/>
      <c r="AI732" s="15"/>
    </row>
    <row r="733" ht="15.75" customHeight="1">
      <c r="A733" s="16"/>
      <c r="B733" s="18"/>
      <c r="C733" s="18"/>
      <c r="D733" s="18"/>
      <c r="E733" s="18"/>
      <c r="F733" s="18"/>
      <c r="G733" s="17"/>
      <c r="H733" s="18"/>
      <c r="I733" s="17"/>
      <c r="J733" s="17"/>
      <c r="K733" s="17"/>
      <c r="L733" s="17"/>
      <c r="M733" s="17"/>
      <c r="N733" s="17"/>
      <c r="O733" s="59"/>
      <c r="P733" s="17"/>
      <c r="Q733" s="17"/>
      <c r="R733" s="65"/>
      <c r="S733" s="17"/>
      <c r="T733" s="17"/>
      <c r="U733" s="17"/>
      <c r="V733" s="17"/>
      <c r="W733" s="18"/>
      <c r="X733" s="17"/>
      <c r="Y733" s="17"/>
      <c r="Z733" s="24"/>
      <c r="AA733" s="24"/>
      <c r="AB733" s="24"/>
      <c r="AC733" s="24"/>
      <c r="AD733" s="24"/>
      <c r="AE733" s="24"/>
      <c r="AF733" s="24"/>
      <c r="AG733" s="24"/>
      <c r="AH733" s="24"/>
      <c r="AI733" s="24"/>
    </row>
    <row r="734" ht="15.75" customHeight="1">
      <c r="A734" s="8"/>
      <c r="B734" s="14"/>
      <c r="C734" s="14"/>
      <c r="D734" s="14"/>
      <c r="E734" s="9"/>
      <c r="F734" s="14"/>
      <c r="G734" s="9"/>
      <c r="H734" s="14"/>
      <c r="I734" s="9"/>
      <c r="J734" s="9"/>
      <c r="K734" s="9"/>
      <c r="L734" s="9"/>
      <c r="M734" s="9"/>
      <c r="N734" s="9"/>
      <c r="O734" s="60"/>
      <c r="P734" s="9"/>
      <c r="Q734" s="9"/>
      <c r="R734" s="64"/>
      <c r="S734" s="9"/>
      <c r="T734" s="9"/>
      <c r="U734" s="9"/>
      <c r="V734" s="9"/>
      <c r="W734" s="14"/>
      <c r="X734" s="9"/>
      <c r="Y734" s="9"/>
      <c r="Z734" s="15"/>
      <c r="AA734" s="15"/>
      <c r="AB734" s="15"/>
      <c r="AC734" s="15"/>
      <c r="AD734" s="15"/>
      <c r="AE734" s="15"/>
      <c r="AF734" s="15"/>
      <c r="AG734" s="15"/>
      <c r="AH734" s="15"/>
      <c r="AI734" s="15"/>
    </row>
    <row r="735" ht="15.75" customHeight="1">
      <c r="A735" s="16"/>
      <c r="B735" s="18"/>
      <c r="C735" s="18"/>
      <c r="D735" s="18"/>
      <c r="E735" s="18"/>
      <c r="F735" s="18"/>
      <c r="G735" s="17"/>
      <c r="H735" s="18"/>
      <c r="I735" s="17"/>
      <c r="J735" s="17"/>
      <c r="K735" s="17"/>
      <c r="L735" s="17"/>
      <c r="M735" s="17"/>
      <c r="N735" s="17"/>
      <c r="O735" s="59"/>
      <c r="P735" s="17"/>
      <c r="Q735" s="17"/>
      <c r="R735" s="65"/>
      <c r="S735" s="17"/>
      <c r="T735" s="17"/>
      <c r="U735" s="17"/>
      <c r="V735" s="17"/>
      <c r="W735" s="16"/>
      <c r="X735" s="17"/>
      <c r="Y735" s="17"/>
      <c r="Z735" s="24"/>
      <c r="AA735" s="24"/>
      <c r="AB735" s="24"/>
      <c r="AC735" s="24"/>
      <c r="AD735" s="24"/>
      <c r="AE735" s="24"/>
      <c r="AF735" s="24"/>
      <c r="AG735" s="24"/>
      <c r="AH735" s="24"/>
      <c r="AI735" s="24"/>
    </row>
    <row r="736" ht="15.75" customHeight="1">
      <c r="A736" s="8"/>
      <c r="B736" s="14"/>
      <c r="C736" s="14"/>
      <c r="D736" s="14"/>
      <c r="E736" s="9"/>
      <c r="F736" s="14"/>
      <c r="G736" s="9"/>
      <c r="H736" s="14"/>
      <c r="I736" s="9"/>
      <c r="J736" s="9"/>
      <c r="K736" s="9"/>
      <c r="L736" s="9"/>
      <c r="M736" s="9"/>
      <c r="N736" s="9"/>
      <c r="O736" s="60"/>
      <c r="P736" s="9"/>
      <c r="Q736" s="9"/>
      <c r="R736" s="64"/>
      <c r="S736" s="9"/>
      <c r="T736" s="9"/>
      <c r="U736" s="9"/>
      <c r="V736" s="9"/>
      <c r="W736" s="14"/>
      <c r="X736" s="9"/>
      <c r="Y736" s="9"/>
      <c r="Z736" s="15"/>
      <c r="AA736" s="15"/>
      <c r="AB736" s="15"/>
      <c r="AC736" s="15"/>
      <c r="AD736" s="15"/>
      <c r="AE736" s="15"/>
      <c r="AF736" s="15"/>
      <c r="AG736" s="15"/>
      <c r="AH736" s="15"/>
      <c r="AI736" s="15"/>
    </row>
    <row r="737" ht="15.75" customHeight="1">
      <c r="A737" s="16"/>
      <c r="B737" s="18"/>
      <c r="C737" s="18"/>
      <c r="D737" s="18"/>
      <c r="E737" s="18"/>
      <c r="F737" s="18"/>
      <c r="G737" s="17"/>
      <c r="H737" s="18"/>
      <c r="I737" s="17"/>
      <c r="J737" s="17"/>
      <c r="K737" s="17"/>
      <c r="L737" s="17"/>
      <c r="M737" s="17"/>
      <c r="N737" s="17"/>
      <c r="O737" s="59"/>
      <c r="P737" s="17"/>
      <c r="Q737" s="17"/>
      <c r="R737" s="65"/>
      <c r="S737" s="17"/>
      <c r="T737" s="17"/>
      <c r="U737" s="17"/>
      <c r="V737" s="17"/>
      <c r="W737" s="18"/>
      <c r="X737" s="17"/>
      <c r="Y737" s="17"/>
      <c r="Z737" s="24"/>
      <c r="AA737" s="24"/>
      <c r="AB737" s="24"/>
      <c r="AC737" s="24"/>
      <c r="AD737" s="24"/>
      <c r="AE737" s="24"/>
      <c r="AF737" s="24"/>
      <c r="AG737" s="24"/>
      <c r="AH737" s="24"/>
      <c r="AI737" s="24"/>
    </row>
    <row r="738" ht="15.75" customHeight="1">
      <c r="A738" s="8"/>
      <c r="B738" s="14"/>
      <c r="C738" s="14"/>
      <c r="D738" s="14"/>
      <c r="E738" s="9"/>
      <c r="F738" s="14"/>
      <c r="G738" s="9"/>
      <c r="H738" s="14"/>
      <c r="I738" s="9"/>
      <c r="J738" s="9"/>
      <c r="K738" s="9"/>
      <c r="L738" s="9"/>
      <c r="M738" s="9"/>
      <c r="N738" s="9"/>
      <c r="O738" s="60"/>
      <c r="P738" s="9"/>
      <c r="Q738" s="9"/>
      <c r="R738" s="64"/>
      <c r="S738" s="9"/>
      <c r="T738" s="9"/>
      <c r="U738" s="9"/>
      <c r="V738" s="9"/>
      <c r="W738" s="8"/>
      <c r="X738" s="9"/>
      <c r="Y738" s="9"/>
      <c r="Z738" s="15"/>
      <c r="AA738" s="15"/>
      <c r="AB738" s="15"/>
      <c r="AC738" s="15"/>
      <c r="AD738" s="15"/>
      <c r="AE738" s="15"/>
      <c r="AF738" s="15"/>
      <c r="AG738" s="15"/>
      <c r="AH738" s="15"/>
      <c r="AI738" s="15"/>
    </row>
    <row r="739" ht="15.75" customHeight="1">
      <c r="A739" s="16"/>
      <c r="B739" s="18"/>
      <c r="C739" s="18"/>
      <c r="D739" s="18"/>
      <c r="E739" s="18"/>
      <c r="F739" s="18"/>
      <c r="G739" s="17"/>
      <c r="H739" s="18"/>
      <c r="I739" s="17"/>
      <c r="J739" s="17"/>
      <c r="K739" s="17"/>
      <c r="L739" s="17"/>
      <c r="M739" s="17"/>
      <c r="N739" s="17"/>
      <c r="O739" s="59"/>
      <c r="P739" s="17"/>
      <c r="Q739" s="17"/>
      <c r="R739" s="65"/>
      <c r="S739" s="17"/>
      <c r="T739" s="17"/>
      <c r="U739" s="17"/>
      <c r="V739" s="17"/>
      <c r="W739" s="18"/>
      <c r="X739" s="17"/>
      <c r="Y739" s="17"/>
      <c r="Z739" s="24"/>
      <c r="AA739" s="24"/>
      <c r="AB739" s="24"/>
      <c r="AC739" s="24"/>
      <c r="AD739" s="24"/>
      <c r="AE739" s="24"/>
      <c r="AF739" s="24"/>
      <c r="AG739" s="24"/>
      <c r="AH739" s="24"/>
      <c r="AI739" s="24"/>
    </row>
    <row r="740" ht="15.75" customHeight="1">
      <c r="A740" s="8"/>
      <c r="B740" s="14"/>
      <c r="C740" s="14"/>
      <c r="D740" s="14"/>
      <c r="E740" s="9"/>
      <c r="F740" s="14"/>
      <c r="G740" s="9"/>
      <c r="H740" s="14"/>
      <c r="I740" s="9"/>
      <c r="J740" s="9"/>
      <c r="K740" s="9"/>
      <c r="L740" s="9"/>
      <c r="M740" s="9"/>
      <c r="N740" s="9"/>
      <c r="O740" s="60"/>
      <c r="P740" s="9"/>
      <c r="Q740" s="9"/>
      <c r="R740" s="64"/>
      <c r="S740" s="9"/>
      <c r="T740" s="9"/>
      <c r="U740" s="9"/>
      <c r="V740" s="9"/>
      <c r="W740" s="14"/>
      <c r="X740" s="9"/>
      <c r="Y740" s="9"/>
      <c r="Z740" s="15"/>
      <c r="AA740" s="15"/>
      <c r="AB740" s="15"/>
      <c r="AC740" s="15"/>
      <c r="AD740" s="15"/>
      <c r="AE740" s="15"/>
      <c r="AF740" s="15"/>
      <c r="AG740" s="15"/>
      <c r="AH740" s="15"/>
      <c r="AI740" s="15"/>
    </row>
    <row r="741" ht="15.75" customHeight="1">
      <c r="A741" s="16"/>
      <c r="B741" s="18"/>
      <c r="C741" s="18"/>
      <c r="D741" s="18"/>
      <c r="E741" s="18"/>
      <c r="F741" s="18"/>
      <c r="G741" s="17"/>
      <c r="H741" s="18"/>
      <c r="I741" s="17"/>
      <c r="J741" s="17"/>
      <c r="K741" s="17"/>
      <c r="L741" s="17"/>
      <c r="M741" s="17"/>
      <c r="N741" s="17"/>
      <c r="O741" s="59"/>
      <c r="P741" s="17"/>
      <c r="Q741" s="17"/>
      <c r="R741" s="65"/>
      <c r="S741" s="17"/>
      <c r="T741" s="17"/>
      <c r="U741" s="17"/>
      <c r="V741" s="17"/>
      <c r="W741" s="16"/>
      <c r="X741" s="17"/>
      <c r="Y741" s="17"/>
      <c r="Z741" s="24"/>
      <c r="AA741" s="24"/>
      <c r="AB741" s="24"/>
      <c r="AC741" s="24"/>
      <c r="AD741" s="24"/>
      <c r="AE741" s="24"/>
      <c r="AF741" s="24"/>
      <c r="AG741" s="24"/>
      <c r="AH741" s="24"/>
      <c r="AI741" s="24"/>
    </row>
    <row r="742" ht="15.75" customHeight="1">
      <c r="A742" s="8"/>
      <c r="B742" s="14"/>
      <c r="C742" s="14"/>
      <c r="D742" s="14"/>
      <c r="E742" s="9"/>
      <c r="F742" s="14"/>
      <c r="G742" s="9"/>
      <c r="H742" s="14"/>
      <c r="I742" s="9"/>
      <c r="J742" s="9"/>
      <c r="K742" s="9"/>
      <c r="L742" s="9"/>
      <c r="M742" s="9"/>
      <c r="N742" s="9"/>
      <c r="O742" s="60"/>
      <c r="P742" s="9"/>
      <c r="Q742" s="9"/>
      <c r="R742" s="64"/>
      <c r="S742" s="9"/>
      <c r="T742" s="9"/>
      <c r="U742" s="9"/>
      <c r="V742" s="9"/>
      <c r="W742" s="14"/>
      <c r="X742" s="9"/>
      <c r="Y742" s="9"/>
      <c r="Z742" s="15"/>
      <c r="AA742" s="15"/>
      <c r="AB742" s="15"/>
      <c r="AC742" s="15"/>
      <c r="AD742" s="15"/>
      <c r="AE742" s="15"/>
      <c r="AF742" s="15"/>
      <c r="AG742" s="15"/>
      <c r="AH742" s="15"/>
      <c r="AI742" s="15"/>
    </row>
    <row r="743" ht="15.75" customHeight="1">
      <c r="A743" s="16"/>
      <c r="B743" s="18"/>
      <c r="C743" s="18"/>
      <c r="D743" s="18"/>
      <c r="E743" s="18"/>
      <c r="F743" s="18"/>
      <c r="G743" s="17"/>
      <c r="H743" s="18"/>
      <c r="I743" s="17"/>
      <c r="J743" s="17"/>
      <c r="K743" s="17"/>
      <c r="L743" s="17"/>
      <c r="M743" s="17"/>
      <c r="N743" s="17"/>
      <c r="O743" s="59"/>
      <c r="P743" s="17"/>
      <c r="Q743" s="17"/>
      <c r="R743" s="65"/>
      <c r="S743" s="17"/>
      <c r="T743" s="17"/>
      <c r="U743" s="17"/>
      <c r="V743" s="17"/>
      <c r="W743" s="18"/>
      <c r="X743" s="17"/>
      <c r="Y743" s="17"/>
      <c r="Z743" s="24"/>
      <c r="AA743" s="24"/>
      <c r="AB743" s="24"/>
      <c r="AC743" s="24"/>
      <c r="AD743" s="24"/>
      <c r="AE743" s="24"/>
      <c r="AF743" s="24"/>
      <c r="AG743" s="24"/>
      <c r="AH743" s="24"/>
      <c r="AI743" s="24"/>
    </row>
    <row r="744" ht="15.75" customHeight="1">
      <c r="A744" s="8"/>
      <c r="B744" s="14"/>
      <c r="C744" s="14"/>
      <c r="D744" s="14"/>
      <c r="E744" s="9"/>
      <c r="F744" s="14"/>
      <c r="G744" s="9"/>
      <c r="H744" s="14"/>
      <c r="I744" s="9"/>
      <c r="J744" s="9"/>
      <c r="K744" s="9"/>
      <c r="L744" s="9"/>
      <c r="M744" s="9"/>
      <c r="N744" s="9"/>
      <c r="O744" s="60"/>
      <c r="P744" s="9"/>
      <c r="Q744" s="9"/>
      <c r="R744" s="64"/>
      <c r="S744" s="9"/>
      <c r="T744" s="9"/>
      <c r="U744" s="9"/>
      <c r="V744" s="9"/>
      <c r="W744" s="8"/>
      <c r="X744" s="9"/>
      <c r="Y744" s="9"/>
      <c r="Z744" s="15"/>
      <c r="AA744" s="15"/>
      <c r="AB744" s="15"/>
      <c r="AC744" s="15"/>
      <c r="AD744" s="15"/>
      <c r="AE744" s="15"/>
      <c r="AF744" s="15"/>
      <c r="AG744" s="15"/>
      <c r="AH744" s="15"/>
      <c r="AI744" s="15"/>
    </row>
    <row r="745" ht="15.75" customHeight="1">
      <c r="A745" s="16"/>
      <c r="B745" s="18"/>
      <c r="C745" s="18"/>
      <c r="D745" s="18"/>
      <c r="E745" s="18"/>
      <c r="F745" s="18"/>
      <c r="G745" s="17"/>
      <c r="H745" s="18"/>
      <c r="I745" s="17"/>
      <c r="J745" s="17"/>
      <c r="K745" s="17"/>
      <c r="L745" s="17"/>
      <c r="M745" s="17"/>
      <c r="N745" s="17"/>
      <c r="O745" s="59"/>
      <c r="P745" s="17"/>
      <c r="Q745" s="17"/>
      <c r="R745" s="65"/>
      <c r="S745" s="17"/>
      <c r="T745" s="17"/>
      <c r="U745" s="17"/>
      <c r="V745" s="17"/>
      <c r="W745" s="18"/>
      <c r="X745" s="17"/>
      <c r="Y745" s="17"/>
      <c r="Z745" s="24"/>
      <c r="AA745" s="24"/>
      <c r="AB745" s="24"/>
      <c r="AC745" s="24"/>
      <c r="AD745" s="24"/>
      <c r="AE745" s="24"/>
      <c r="AF745" s="24"/>
      <c r="AG745" s="24"/>
      <c r="AH745" s="24"/>
      <c r="AI745" s="24"/>
    </row>
    <row r="746" ht="15.75" customHeight="1">
      <c r="A746" s="8"/>
      <c r="B746" s="14"/>
      <c r="C746" s="14"/>
      <c r="D746" s="14"/>
      <c r="E746" s="9"/>
      <c r="F746" s="14"/>
      <c r="G746" s="9"/>
      <c r="H746" s="14"/>
      <c r="I746" s="9"/>
      <c r="J746" s="9"/>
      <c r="K746" s="9"/>
      <c r="L746" s="9"/>
      <c r="M746" s="9"/>
      <c r="N746" s="9"/>
      <c r="O746" s="60"/>
      <c r="P746" s="9"/>
      <c r="Q746" s="9"/>
      <c r="R746" s="64"/>
      <c r="S746" s="9"/>
      <c r="T746" s="9"/>
      <c r="U746" s="9"/>
      <c r="V746" s="9"/>
      <c r="W746" s="14"/>
      <c r="X746" s="9"/>
      <c r="Y746" s="9"/>
      <c r="Z746" s="15"/>
      <c r="AA746" s="15"/>
      <c r="AB746" s="15"/>
      <c r="AC746" s="15"/>
      <c r="AD746" s="15"/>
      <c r="AE746" s="15"/>
      <c r="AF746" s="15"/>
      <c r="AG746" s="15"/>
      <c r="AH746" s="15"/>
      <c r="AI746" s="15"/>
    </row>
    <row r="747" ht="15.75" customHeight="1">
      <c r="A747" s="16"/>
      <c r="B747" s="18"/>
      <c r="C747" s="18"/>
      <c r="D747" s="18"/>
      <c r="E747" s="18"/>
      <c r="F747" s="18"/>
      <c r="G747" s="17"/>
      <c r="H747" s="18"/>
      <c r="I747" s="17"/>
      <c r="J747" s="17"/>
      <c r="K747" s="17"/>
      <c r="L747" s="17"/>
      <c r="M747" s="17"/>
      <c r="N747" s="17"/>
      <c r="O747" s="59"/>
      <c r="P747" s="17"/>
      <c r="Q747" s="17"/>
      <c r="R747" s="65"/>
      <c r="S747" s="17"/>
      <c r="T747" s="17"/>
      <c r="U747" s="17"/>
      <c r="V747" s="17"/>
      <c r="W747" s="16"/>
      <c r="X747" s="17"/>
      <c r="Y747" s="17"/>
      <c r="Z747" s="24"/>
      <c r="AA747" s="24"/>
      <c r="AB747" s="24"/>
      <c r="AC747" s="24"/>
      <c r="AD747" s="24"/>
      <c r="AE747" s="24"/>
      <c r="AF747" s="24"/>
      <c r="AG747" s="24"/>
      <c r="AH747" s="24"/>
      <c r="AI747" s="24"/>
    </row>
    <row r="748" ht="15.75" customHeight="1">
      <c r="A748" s="8"/>
      <c r="B748" s="14"/>
      <c r="C748" s="14"/>
      <c r="D748" s="14"/>
      <c r="E748" s="9"/>
      <c r="F748" s="14"/>
      <c r="G748" s="9"/>
      <c r="H748" s="14"/>
      <c r="I748" s="9"/>
      <c r="J748" s="9"/>
      <c r="K748" s="9"/>
      <c r="L748" s="9"/>
      <c r="M748" s="9"/>
      <c r="N748" s="9"/>
      <c r="O748" s="60"/>
      <c r="P748" s="9"/>
      <c r="Q748" s="9"/>
      <c r="R748" s="64"/>
      <c r="S748" s="9"/>
      <c r="T748" s="9"/>
      <c r="U748" s="9"/>
      <c r="V748" s="9"/>
      <c r="W748" s="14"/>
      <c r="X748" s="9"/>
      <c r="Y748" s="9"/>
      <c r="Z748" s="15"/>
      <c r="AA748" s="15"/>
      <c r="AB748" s="15"/>
      <c r="AC748" s="15"/>
      <c r="AD748" s="15"/>
      <c r="AE748" s="15"/>
      <c r="AF748" s="15"/>
      <c r="AG748" s="15"/>
      <c r="AH748" s="15"/>
      <c r="AI748" s="15"/>
    </row>
    <row r="749" ht="15.75" customHeight="1">
      <c r="A749" s="16"/>
      <c r="B749" s="18"/>
      <c r="C749" s="18"/>
      <c r="D749" s="18"/>
      <c r="E749" s="18"/>
      <c r="F749" s="18"/>
      <c r="G749" s="17"/>
      <c r="H749" s="18"/>
      <c r="I749" s="17"/>
      <c r="J749" s="17"/>
      <c r="K749" s="17"/>
      <c r="L749" s="17"/>
      <c r="M749" s="17"/>
      <c r="N749" s="17"/>
      <c r="O749" s="59"/>
      <c r="P749" s="17"/>
      <c r="Q749" s="17"/>
      <c r="R749" s="65"/>
      <c r="S749" s="17"/>
      <c r="T749" s="17"/>
      <c r="U749" s="17"/>
      <c r="V749" s="17"/>
      <c r="W749" s="18"/>
      <c r="X749" s="17"/>
      <c r="Y749" s="17"/>
      <c r="Z749" s="24"/>
      <c r="AA749" s="24"/>
      <c r="AB749" s="24"/>
      <c r="AC749" s="24"/>
      <c r="AD749" s="24"/>
      <c r="AE749" s="24"/>
      <c r="AF749" s="24"/>
      <c r="AG749" s="24"/>
      <c r="AH749" s="24"/>
      <c r="AI749" s="24"/>
    </row>
    <row r="750" ht="15.75" customHeight="1">
      <c r="A750" s="8"/>
      <c r="B750" s="14"/>
      <c r="C750" s="14"/>
      <c r="D750" s="14"/>
      <c r="E750" s="9"/>
      <c r="F750" s="14"/>
      <c r="G750" s="9"/>
      <c r="H750" s="14"/>
      <c r="I750" s="9"/>
      <c r="J750" s="9"/>
      <c r="K750" s="9"/>
      <c r="L750" s="9"/>
      <c r="M750" s="9"/>
      <c r="N750" s="9"/>
      <c r="O750" s="60"/>
      <c r="P750" s="9"/>
      <c r="Q750" s="9"/>
      <c r="R750" s="64"/>
      <c r="S750" s="9"/>
      <c r="T750" s="9"/>
      <c r="U750" s="9"/>
      <c r="V750" s="9"/>
      <c r="W750" s="8"/>
      <c r="X750" s="9"/>
      <c r="Y750" s="9"/>
      <c r="Z750" s="15"/>
      <c r="AA750" s="15"/>
      <c r="AB750" s="15"/>
      <c r="AC750" s="15"/>
      <c r="AD750" s="15"/>
      <c r="AE750" s="15"/>
      <c r="AF750" s="15"/>
      <c r="AG750" s="15"/>
      <c r="AH750" s="15"/>
      <c r="AI750" s="15"/>
    </row>
    <row r="751" ht="15.75" customHeight="1">
      <c r="A751" s="16"/>
      <c r="B751" s="18"/>
      <c r="C751" s="18"/>
      <c r="D751" s="18"/>
      <c r="E751" s="18"/>
      <c r="F751" s="18"/>
      <c r="G751" s="17"/>
      <c r="H751" s="18"/>
      <c r="I751" s="17"/>
      <c r="J751" s="17"/>
      <c r="K751" s="17"/>
      <c r="L751" s="17"/>
      <c r="M751" s="17"/>
      <c r="N751" s="17"/>
      <c r="O751" s="59"/>
      <c r="P751" s="17"/>
      <c r="Q751" s="17"/>
      <c r="R751" s="65"/>
      <c r="S751" s="17"/>
      <c r="T751" s="17"/>
      <c r="U751" s="17"/>
      <c r="V751" s="17"/>
      <c r="W751" s="18"/>
      <c r="X751" s="17"/>
      <c r="Y751" s="17"/>
      <c r="Z751" s="24"/>
      <c r="AA751" s="24"/>
      <c r="AB751" s="24"/>
      <c r="AC751" s="24"/>
      <c r="AD751" s="24"/>
      <c r="AE751" s="24"/>
      <c r="AF751" s="24"/>
      <c r="AG751" s="24"/>
      <c r="AH751" s="24"/>
      <c r="AI751" s="24"/>
    </row>
    <row r="752" ht="15.75" customHeight="1">
      <c r="A752" s="8"/>
      <c r="B752" s="14"/>
      <c r="C752" s="14"/>
      <c r="D752" s="14"/>
      <c r="E752" s="9"/>
      <c r="F752" s="14"/>
      <c r="G752" s="9"/>
      <c r="H752" s="14"/>
      <c r="I752" s="9"/>
      <c r="J752" s="9"/>
      <c r="K752" s="9"/>
      <c r="L752" s="9"/>
      <c r="M752" s="9"/>
      <c r="N752" s="9"/>
      <c r="O752" s="60"/>
      <c r="P752" s="9"/>
      <c r="Q752" s="9"/>
      <c r="R752" s="64"/>
      <c r="S752" s="9"/>
      <c r="T752" s="9"/>
      <c r="U752" s="9"/>
      <c r="V752" s="9"/>
      <c r="W752" s="14"/>
      <c r="X752" s="9"/>
      <c r="Y752" s="9"/>
      <c r="Z752" s="15"/>
      <c r="AA752" s="15"/>
      <c r="AB752" s="15"/>
      <c r="AC752" s="15"/>
      <c r="AD752" s="15"/>
      <c r="AE752" s="15"/>
      <c r="AF752" s="15"/>
      <c r="AG752" s="15"/>
      <c r="AH752" s="15"/>
      <c r="AI752" s="15"/>
    </row>
    <row r="753" ht="15.75" customHeight="1">
      <c r="A753" s="16"/>
      <c r="B753" s="18"/>
      <c r="C753" s="18"/>
      <c r="D753" s="18"/>
      <c r="E753" s="18"/>
      <c r="F753" s="18"/>
      <c r="G753" s="17"/>
      <c r="H753" s="18"/>
      <c r="I753" s="17"/>
      <c r="J753" s="17"/>
      <c r="K753" s="17"/>
      <c r="L753" s="17"/>
      <c r="M753" s="17"/>
      <c r="N753" s="17"/>
      <c r="O753" s="59"/>
      <c r="P753" s="17"/>
      <c r="Q753" s="17"/>
      <c r="R753" s="65"/>
      <c r="S753" s="17"/>
      <c r="T753" s="17"/>
      <c r="U753" s="17"/>
      <c r="V753" s="17"/>
      <c r="W753" s="16"/>
      <c r="X753" s="17"/>
      <c r="Y753" s="17"/>
      <c r="Z753" s="24"/>
      <c r="AA753" s="24"/>
      <c r="AB753" s="24"/>
      <c r="AC753" s="24"/>
      <c r="AD753" s="24"/>
      <c r="AE753" s="24"/>
      <c r="AF753" s="24"/>
      <c r="AG753" s="24"/>
      <c r="AH753" s="24"/>
      <c r="AI753" s="24"/>
    </row>
    <row r="754" ht="15.75" customHeight="1">
      <c r="A754" s="8"/>
      <c r="B754" s="14"/>
      <c r="C754" s="14"/>
      <c r="D754" s="14"/>
      <c r="E754" s="9"/>
      <c r="F754" s="14"/>
      <c r="G754" s="9"/>
      <c r="H754" s="14"/>
      <c r="I754" s="9"/>
      <c r="J754" s="9"/>
      <c r="K754" s="9"/>
      <c r="L754" s="9"/>
      <c r="M754" s="9"/>
      <c r="N754" s="9"/>
      <c r="O754" s="60"/>
      <c r="P754" s="9"/>
      <c r="Q754" s="9"/>
      <c r="R754" s="64"/>
      <c r="S754" s="9"/>
      <c r="T754" s="9"/>
      <c r="U754" s="9"/>
      <c r="V754" s="9"/>
      <c r="W754" s="14"/>
      <c r="X754" s="9"/>
      <c r="Y754" s="9"/>
      <c r="Z754" s="15"/>
      <c r="AA754" s="15"/>
      <c r="AB754" s="15"/>
      <c r="AC754" s="15"/>
      <c r="AD754" s="15"/>
      <c r="AE754" s="15"/>
      <c r="AF754" s="15"/>
      <c r="AG754" s="15"/>
      <c r="AH754" s="15"/>
      <c r="AI754" s="15"/>
    </row>
    <row r="755" ht="15.75" customHeight="1">
      <c r="A755" s="16"/>
      <c r="B755" s="18"/>
      <c r="C755" s="18"/>
      <c r="D755" s="18"/>
      <c r="E755" s="18"/>
      <c r="F755" s="18"/>
      <c r="G755" s="17"/>
      <c r="H755" s="18"/>
      <c r="I755" s="17"/>
      <c r="J755" s="17"/>
      <c r="K755" s="17"/>
      <c r="L755" s="17"/>
      <c r="M755" s="17"/>
      <c r="N755" s="17"/>
      <c r="O755" s="59"/>
      <c r="P755" s="17"/>
      <c r="Q755" s="17"/>
      <c r="R755" s="65"/>
      <c r="S755" s="17"/>
      <c r="T755" s="17"/>
      <c r="U755" s="17"/>
      <c r="V755" s="17"/>
      <c r="W755" s="18"/>
      <c r="X755" s="17"/>
      <c r="Y755" s="17"/>
      <c r="Z755" s="24"/>
      <c r="AA755" s="24"/>
      <c r="AB755" s="24"/>
      <c r="AC755" s="24"/>
      <c r="AD755" s="24"/>
      <c r="AE755" s="24"/>
      <c r="AF755" s="24"/>
      <c r="AG755" s="24"/>
      <c r="AH755" s="24"/>
      <c r="AI755" s="24"/>
    </row>
    <row r="756" ht="15.75" customHeight="1">
      <c r="A756" s="8"/>
      <c r="B756" s="14"/>
      <c r="C756" s="14"/>
      <c r="D756" s="14"/>
      <c r="E756" s="9"/>
      <c r="F756" s="14"/>
      <c r="G756" s="9"/>
      <c r="H756" s="14"/>
      <c r="I756" s="9"/>
      <c r="J756" s="9"/>
      <c r="K756" s="9"/>
      <c r="L756" s="9"/>
      <c r="M756" s="9"/>
      <c r="N756" s="9"/>
      <c r="O756" s="60"/>
      <c r="P756" s="9"/>
      <c r="Q756" s="9"/>
      <c r="R756" s="64"/>
      <c r="S756" s="9"/>
      <c r="T756" s="9"/>
      <c r="U756" s="9"/>
      <c r="V756" s="9"/>
      <c r="W756" s="8"/>
      <c r="X756" s="9"/>
      <c r="Y756" s="9"/>
      <c r="Z756" s="15"/>
      <c r="AA756" s="15"/>
      <c r="AB756" s="15"/>
      <c r="AC756" s="15"/>
      <c r="AD756" s="15"/>
      <c r="AE756" s="15"/>
      <c r="AF756" s="15"/>
      <c r="AG756" s="15"/>
      <c r="AH756" s="15"/>
      <c r="AI756" s="15"/>
    </row>
    <row r="757" ht="15.75" customHeight="1">
      <c r="A757" s="16"/>
      <c r="B757" s="18"/>
      <c r="C757" s="18"/>
      <c r="D757" s="18"/>
      <c r="E757" s="18"/>
      <c r="F757" s="18"/>
      <c r="G757" s="17"/>
      <c r="H757" s="18"/>
      <c r="I757" s="17"/>
      <c r="J757" s="17"/>
      <c r="K757" s="17"/>
      <c r="L757" s="17"/>
      <c r="M757" s="17"/>
      <c r="N757" s="17"/>
      <c r="O757" s="59"/>
      <c r="P757" s="17"/>
      <c r="Q757" s="17"/>
      <c r="R757" s="65"/>
      <c r="S757" s="17"/>
      <c r="T757" s="17"/>
      <c r="U757" s="17"/>
      <c r="V757" s="17"/>
      <c r="W757" s="18"/>
      <c r="X757" s="17"/>
      <c r="Y757" s="17"/>
      <c r="Z757" s="24"/>
      <c r="AA757" s="24"/>
      <c r="AB757" s="24"/>
      <c r="AC757" s="24"/>
      <c r="AD757" s="24"/>
      <c r="AE757" s="24"/>
      <c r="AF757" s="24"/>
      <c r="AG757" s="24"/>
      <c r="AH757" s="24"/>
      <c r="AI757" s="24"/>
    </row>
    <row r="758" ht="15.75" customHeight="1">
      <c r="A758" s="8"/>
      <c r="B758" s="14"/>
      <c r="C758" s="14"/>
      <c r="D758" s="14"/>
      <c r="E758" s="9"/>
      <c r="F758" s="14"/>
      <c r="G758" s="9"/>
      <c r="H758" s="14"/>
      <c r="I758" s="9"/>
      <c r="J758" s="9"/>
      <c r="K758" s="9"/>
      <c r="L758" s="9"/>
      <c r="M758" s="9"/>
      <c r="N758" s="9"/>
      <c r="O758" s="60"/>
      <c r="P758" s="9"/>
      <c r="Q758" s="9"/>
      <c r="R758" s="64"/>
      <c r="S758" s="9"/>
      <c r="T758" s="9"/>
      <c r="U758" s="9"/>
      <c r="V758" s="9"/>
      <c r="W758" s="14"/>
      <c r="X758" s="9"/>
      <c r="Y758" s="9"/>
      <c r="Z758" s="15"/>
      <c r="AA758" s="15"/>
      <c r="AB758" s="15"/>
      <c r="AC758" s="15"/>
      <c r="AD758" s="15"/>
      <c r="AE758" s="15"/>
      <c r="AF758" s="15"/>
      <c r="AG758" s="15"/>
      <c r="AH758" s="15"/>
      <c r="AI758" s="15"/>
    </row>
    <row r="759" ht="15.75" customHeight="1">
      <c r="A759" s="16"/>
      <c r="B759" s="18"/>
      <c r="C759" s="18"/>
      <c r="D759" s="18"/>
      <c r="E759" s="18"/>
      <c r="F759" s="18"/>
      <c r="G759" s="17"/>
      <c r="H759" s="18"/>
      <c r="I759" s="17"/>
      <c r="J759" s="17"/>
      <c r="K759" s="17"/>
      <c r="L759" s="17"/>
      <c r="M759" s="17"/>
      <c r="N759" s="17"/>
      <c r="O759" s="59"/>
      <c r="P759" s="17"/>
      <c r="Q759" s="17"/>
      <c r="R759" s="65"/>
      <c r="S759" s="17"/>
      <c r="T759" s="17"/>
      <c r="U759" s="17"/>
      <c r="V759" s="17"/>
      <c r="W759" s="16"/>
      <c r="X759" s="17"/>
      <c r="Y759" s="17"/>
      <c r="Z759" s="24"/>
      <c r="AA759" s="24"/>
      <c r="AB759" s="24"/>
      <c r="AC759" s="24"/>
      <c r="AD759" s="24"/>
      <c r="AE759" s="24"/>
      <c r="AF759" s="24"/>
      <c r="AG759" s="24"/>
      <c r="AH759" s="24"/>
      <c r="AI759" s="24"/>
    </row>
    <row r="760" ht="15.75" customHeight="1">
      <c r="A760" s="8"/>
      <c r="B760" s="14"/>
      <c r="C760" s="14"/>
      <c r="D760" s="14"/>
      <c r="E760" s="9"/>
      <c r="F760" s="14"/>
      <c r="G760" s="9"/>
      <c r="H760" s="14"/>
      <c r="I760" s="9"/>
      <c r="J760" s="9"/>
      <c r="K760" s="9"/>
      <c r="L760" s="9"/>
      <c r="M760" s="9"/>
      <c r="N760" s="9"/>
      <c r="O760" s="60"/>
      <c r="P760" s="9"/>
      <c r="Q760" s="9"/>
      <c r="R760" s="64"/>
      <c r="S760" s="9"/>
      <c r="T760" s="9"/>
      <c r="U760" s="9"/>
      <c r="V760" s="9"/>
      <c r="W760" s="14"/>
      <c r="X760" s="9"/>
      <c r="Y760" s="9"/>
      <c r="Z760" s="15"/>
      <c r="AA760" s="15"/>
      <c r="AB760" s="15"/>
      <c r="AC760" s="15"/>
      <c r="AD760" s="15"/>
      <c r="AE760" s="15"/>
      <c r="AF760" s="15"/>
      <c r="AG760" s="15"/>
      <c r="AH760" s="15"/>
      <c r="AI760" s="15"/>
    </row>
    <row r="761" ht="15.75" customHeight="1">
      <c r="A761" s="16"/>
      <c r="B761" s="18"/>
      <c r="C761" s="18"/>
      <c r="D761" s="18"/>
      <c r="E761" s="18"/>
      <c r="F761" s="18"/>
      <c r="G761" s="17"/>
      <c r="H761" s="18"/>
      <c r="I761" s="17"/>
      <c r="J761" s="17"/>
      <c r="K761" s="17"/>
      <c r="L761" s="17"/>
      <c r="M761" s="17"/>
      <c r="N761" s="17"/>
      <c r="O761" s="59"/>
      <c r="P761" s="17"/>
      <c r="Q761" s="17"/>
      <c r="R761" s="65"/>
      <c r="S761" s="17"/>
      <c r="T761" s="17"/>
      <c r="U761" s="17"/>
      <c r="V761" s="17"/>
      <c r="W761" s="18"/>
      <c r="X761" s="17"/>
      <c r="Y761" s="17"/>
      <c r="Z761" s="24"/>
      <c r="AA761" s="24"/>
      <c r="AB761" s="24"/>
      <c r="AC761" s="24"/>
      <c r="AD761" s="24"/>
      <c r="AE761" s="24"/>
      <c r="AF761" s="24"/>
      <c r="AG761" s="24"/>
      <c r="AH761" s="24"/>
      <c r="AI761" s="24"/>
    </row>
    <row r="762" ht="15.75" customHeight="1">
      <c r="A762" s="8"/>
      <c r="B762" s="14"/>
      <c r="C762" s="14"/>
      <c r="D762" s="14"/>
      <c r="E762" s="9"/>
      <c r="F762" s="14"/>
      <c r="G762" s="9"/>
      <c r="H762" s="14"/>
      <c r="I762" s="9"/>
      <c r="J762" s="9"/>
      <c r="K762" s="9"/>
      <c r="L762" s="9"/>
      <c r="M762" s="9"/>
      <c r="N762" s="9"/>
      <c r="O762" s="60"/>
      <c r="P762" s="9"/>
      <c r="Q762" s="9"/>
      <c r="R762" s="64"/>
      <c r="S762" s="9"/>
      <c r="T762" s="9"/>
      <c r="U762" s="9"/>
      <c r="V762" s="9"/>
      <c r="W762" s="8"/>
      <c r="X762" s="9"/>
      <c r="Y762" s="9"/>
      <c r="Z762" s="15"/>
      <c r="AA762" s="15"/>
      <c r="AB762" s="15"/>
      <c r="AC762" s="15"/>
      <c r="AD762" s="15"/>
      <c r="AE762" s="15"/>
      <c r="AF762" s="15"/>
      <c r="AG762" s="15"/>
      <c r="AH762" s="15"/>
      <c r="AI762" s="15"/>
    </row>
    <row r="763" ht="15.75" customHeight="1">
      <c r="A763" s="16"/>
      <c r="B763" s="18"/>
      <c r="C763" s="18"/>
      <c r="D763" s="18"/>
      <c r="E763" s="18"/>
      <c r="F763" s="18"/>
      <c r="G763" s="17"/>
      <c r="H763" s="18"/>
      <c r="I763" s="17"/>
      <c r="J763" s="17"/>
      <c r="K763" s="17"/>
      <c r="L763" s="17"/>
      <c r="M763" s="17"/>
      <c r="N763" s="17"/>
      <c r="O763" s="59"/>
      <c r="P763" s="17"/>
      <c r="Q763" s="17"/>
      <c r="R763" s="65"/>
      <c r="S763" s="17"/>
      <c r="T763" s="17"/>
      <c r="U763" s="17"/>
      <c r="V763" s="17"/>
      <c r="W763" s="18"/>
      <c r="X763" s="17"/>
      <c r="Y763" s="17"/>
      <c r="Z763" s="24"/>
      <c r="AA763" s="24"/>
      <c r="AB763" s="24"/>
      <c r="AC763" s="24"/>
      <c r="AD763" s="24"/>
      <c r="AE763" s="24"/>
      <c r="AF763" s="24"/>
      <c r="AG763" s="24"/>
      <c r="AH763" s="24"/>
      <c r="AI763" s="24"/>
    </row>
    <row r="764" ht="15.75" customHeight="1">
      <c r="A764" s="8"/>
      <c r="B764" s="14"/>
      <c r="C764" s="14"/>
      <c r="D764" s="14"/>
      <c r="E764" s="9"/>
      <c r="F764" s="14"/>
      <c r="G764" s="9"/>
      <c r="H764" s="14"/>
      <c r="I764" s="9"/>
      <c r="J764" s="9"/>
      <c r="K764" s="9"/>
      <c r="L764" s="9"/>
      <c r="M764" s="9"/>
      <c r="N764" s="9"/>
      <c r="O764" s="60"/>
      <c r="P764" s="9"/>
      <c r="Q764" s="9"/>
      <c r="R764" s="64"/>
      <c r="S764" s="9"/>
      <c r="T764" s="9"/>
      <c r="U764" s="9"/>
      <c r="V764" s="9"/>
      <c r="W764" s="14"/>
      <c r="X764" s="9"/>
      <c r="Y764" s="9"/>
      <c r="Z764" s="15"/>
      <c r="AA764" s="15"/>
      <c r="AB764" s="15"/>
      <c r="AC764" s="15"/>
      <c r="AD764" s="15"/>
      <c r="AE764" s="15"/>
      <c r="AF764" s="15"/>
      <c r="AG764" s="15"/>
      <c r="AH764" s="15"/>
      <c r="AI764" s="15"/>
    </row>
    <row r="765" ht="15.75" customHeight="1">
      <c r="A765" s="16"/>
      <c r="B765" s="18"/>
      <c r="C765" s="18"/>
      <c r="D765" s="18"/>
      <c r="E765" s="18"/>
      <c r="F765" s="18"/>
      <c r="G765" s="17"/>
      <c r="H765" s="18"/>
      <c r="I765" s="17"/>
      <c r="J765" s="17"/>
      <c r="K765" s="17"/>
      <c r="L765" s="17"/>
      <c r="M765" s="17"/>
      <c r="N765" s="17"/>
      <c r="O765" s="59"/>
      <c r="P765" s="17"/>
      <c r="Q765" s="17"/>
      <c r="R765" s="65"/>
      <c r="S765" s="17"/>
      <c r="T765" s="17"/>
      <c r="U765" s="17"/>
      <c r="V765" s="17"/>
      <c r="W765" s="16"/>
      <c r="X765" s="17"/>
      <c r="Y765" s="17"/>
      <c r="Z765" s="24"/>
      <c r="AA765" s="24"/>
      <c r="AB765" s="24"/>
      <c r="AC765" s="24"/>
      <c r="AD765" s="24"/>
      <c r="AE765" s="24"/>
      <c r="AF765" s="24"/>
      <c r="AG765" s="24"/>
      <c r="AH765" s="24"/>
      <c r="AI765" s="24"/>
    </row>
    <row r="766" ht="15.75" customHeight="1">
      <c r="A766" s="8"/>
      <c r="B766" s="14"/>
      <c r="C766" s="14"/>
      <c r="D766" s="14"/>
      <c r="E766" s="9"/>
      <c r="F766" s="14"/>
      <c r="G766" s="9"/>
      <c r="H766" s="14"/>
      <c r="I766" s="9"/>
      <c r="J766" s="9"/>
      <c r="K766" s="9"/>
      <c r="L766" s="9"/>
      <c r="M766" s="9"/>
      <c r="N766" s="9"/>
      <c r="O766" s="60"/>
      <c r="P766" s="9"/>
      <c r="Q766" s="9"/>
      <c r="R766" s="64"/>
      <c r="S766" s="9"/>
      <c r="T766" s="9"/>
      <c r="U766" s="9"/>
      <c r="V766" s="9"/>
      <c r="W766" s="14"/>
      <c r="X766" s="9"/>
      <c r="Y766" s="9"/>
      <c r="Z766" s="15"/>
      <c r="AA766" s="15"/>
      <c r="AB766" s="15"/>
      <c r="AC766" s="15"/>
      <c r="AD766" s="15"/>
      <c r="AE766" s="15"/>
      <c r="AF766" s="15"/>
      <c r="AG766" s="15"/>
      <c r="AH766" s="15"/>
      <c r="AI766" s="15"/>
    </row>
    <row r="767" ht="15.75" customHeight="1">
      <c r="A767" s="16"/>
      <c r="B767" s="18"/>
      <c r="C767" s="18"/>
      <c r="D767" s="18"/>
      <c r="E767" s="18"/>
      <c r="F767" s="18"/>
      <c r="G767" s="17"/>
      <c r="H767" s="18"/>
      <c r="I767" s="17"/>
      <c r="J767" s="17"/>
      <c r="K767" s="17"/>
      <c r="L767" s="17"/>
      <c r="M767" s="17"/>
      <c r="N767" s="17"/>
      <c r="O767" s="59"/>
      <c r="P767" s="17"/>
      <c r="Q767" s="17"/>
      <c r="R767" s="65"/>
      <c r="S767" s="17"/>
      <c r="T767" s="17"/>
      <c r="U767" s="17"/>
      <c r="V767" s="17"/>
      <c r="W767" s="18"/>
      <c r="X767" s="17"/>
      <c r="Y767" s="17"/>
      <c r="Z767" s="24"/>
      <c r="AA767" s="24"/>
      <c r="AB767" s="24"/>
      <c r="AC767" s="24"/>
      <c r="AD767" s="24"/>
      <c r="AE767" s="24"/>
      <c r="AF767" s="24"/>
      <c r="AG767" s="24"/>
      <c r="AH767" s="24"/>
      <c r="AI767" s="24"/>
    </row>
    <row r="768" ht="15.75" customHeight="1">
      <c r="A768" s="8"/>
      <c r="B768" s="14"/>
      <c r="C768" s="14"/>
      <c r="D768" s="14"/>
      <c r="E768" s="9"/>
      <c r="F768" s="14"/>
      <c r="G768" s="9"/>
      <c r="H768" s="14"/>
      <c r="I768" s="9"/>
      <c r="J768" s="9"/>
      <c r="K768" s="9"/>
      <c r="L768" s="9"/>
      <c r="M768" s="9"/>
      <c r="N768" s="9"/>
      <c r="O768" s="60"/>
      <c r="P768" s="9"/>
      <c r="Q768" s="9"/>
      <c r="R768" s="64"/>
      <c r="S768" s="9"/>
      <c r="T768" s="9"/>
      <c r="U768" s="9"/>
      <c r="V768" s="9"/>
      <c r="W768" s="8"/>
      <c r="X768" s="9"/>
      <c r="Y768" s="9"/>
      <c r="Z768" s="15"/>
      <c r="AA768" s="15"/>
      <c r="AB768" s="15"/>
      <c r="AC768" s="15"/>
      <c r="AD768" s="15"/>
      <c r="AE768" s="15"/>
      <c r="AF768" s="15"/>
      <c r="AG768" s="15"/>
      <c r="AH768" s="15"/>
      <c r="AI768" s="15"/>
    </row>
    <row r="769" ht="15.75" customHeight="1">
      <c r="A769" s="16"/>
      <c r="B769" s="18"/>
      <c r="C769" s="18"/>
      <c r="D769" s="18"/>
      <c r="E769" s="18"/>
      <c r="F769" s="18"/>
      <c r="G769" s="17"/>
      <c r="H769" s="18"/>
      <c r="I769" s="17"/>
      <c r="J769" s="17"/>
      <c r="K769" s="17"/>
      <c r="L769" s="17"/>
      <c r="M769" s="17"/>
      <c r="N769" s="17"/>
      <c r="O769" s="59"/>
      <c r="P769" s="17"/>
      <c r="Q769" s="17"/>
      <c r="R769" s="65"/>
      <c r="S769" s="17"/>
      <c r="T769" s="17"/>
      <c r="U769" s="17"/>
      <c r="V769" s="17"/>
      <c r="W769" s="18"/>
      <c r="X769" s="17"/>
      <c r="Y769" s="17"/>
      <c r="Z769" s="24"/>
      <c r="AA769" s="24"/>
      <c r="AB769" s="24"/>
      <c r="AC769" s="24"/>
      <c r="AD769" s="24"/>
      <c r="AE769" s="24"/>
      <c r="AF769" s="24"/>
      <c r="AG769" s="24"/>
      <c r="AH769" s="24"/>
      <c r="AI769" s="24"/>
    </row>
    <row r="770" ht="15.75" customHeight="1">
      <c r="A770" s="8"/>
      <c r="B770" s="14"/>
      <c r="C770" s="14"/>
      <c r="D770" s="14"/>
      <c r="E770" s="9"/>
      <c r="F770" s="14"/>
      <c r="G770" s="9"/>
      <c r="H770" s="14"/>
      <c r="I770" s="9"/>
      <c r="J770" s="9"/>
      <c r="K770" s="9"/>
      <c r="L770" s="9"/>
      <c r="M770" s="9"/>
      <c r="N770" s="9"/>
      <c r="O770" s="60"/>
      <c r="P770" s="9"/>
      <c r="Q770" s="9"/>
      <c r="R770" s="64"/>
      <c r="S770" s="9"/>
      <c r="T770" s="9"/>
      <c r="U770" s="9"/>
      <c r="V770" s="9"/>
      <c r="W770" s="14"/>
      <c r="X770" s="9"/>
      <c r="Y770" s="9"/>
      <c r="Z770" s="15"/>
      <c r="AA770" s="15"/>
      <c r="AB770" s="15"/>
      <c r="AC770" s="15"/>
      <c r="AD770" s="15"/>
      <c r="AE770" s="15"/>
      <c r="AF770" s="15"/>
      <c r="AG770" s="15"/>
      <c r="AH770" s="15"/>
      <c r="AI770" s="15"/>
    </row>
    <row r="771" ht="15.75" customHeight="1">
      <c r="A771" s="16"/>
      <c r="B771" s="18"/>
      <c r="C771" s="18"/>
      <c r="D771" s="18"/>
      <c r="E771" s="18"/>
      <c r="F771" s="18"/>
      <c r="G771" s="17"/>
      <c r="H771" s="18"/>
      <c r="I771" s="17"/>
      <c r="J771" s="17"/>
      <c r="K771" s="17"/>
      <c r="L771" s="17"/>
      <c r="M771" s="17"/>
      <c r="N771" s="17"/>
      <c r="O771" s="59"/>
      <c r="P771" s="17"/>
      <c r="Q771" s="17"/>
      <c r="R771" s="65"/>
      <c r="S771" s="17"/>
      <c r="T771" s="17"/>
      <c r="U771" s="17"/>
      <c r="V771" s="17"/>
      <c r="W771" s="16"/>
      <c r="X771" s="17"/>
      <c r="Y771" s="17"/>
      <c r="Z771" s="24"/>
      <c r="AA771" s="24"/>
      <c r="AB771" s="24"/>
      <c r="AC771" s="24"/>
      <c r="AD771" s="24"/>
      <c r="AE771" s="24"/>
      <c r="AF771" s="24"/>
      <c r="AG771" s="24"/>
      <c r="AH771" s="24"/>
      <c r="AI771" s="24"/>
    </row>
    <row r="772" ht="15.75" customHeight="1">
      <c r="A772" s="8"/>
      <c r="B772" s="14"/>
      <c r="C772" s="14"/>
      <c r="D772" s="14"/>
      <c r="E772" s="9"/>
      <c r="F772" s="14"/>
      <c r="G772" s="9"/>
      <c r="H772" s="14"/>
      <c r="I772" s="9"/>
      <c r="J772" s="9"/>
      <c r="K772" s="9"/>
      <c r="L772" s="9"/>
      <c r="M772" s="9"/>
      <c r="N772" s="9"/>
      <c r="O772" s="60"/>
      <c r="P772" s="9"/>
      <c r="Q772" s="9"/>
      <c r="R772" s="64"/>
      <c r="S772" s="9"/>
      <c r="T772" s="9"/>
      <c r="U772" s="9"/>
      <c r="V772" s="9"/>
      <c r="W772" s="14"/>
      <c r="X772" s="9"/>
      <c r="Y772" s="9"/>
      <c r="Z772" s="15"/>
      <c r="AA772" s="15"/>
      <c r="AB772" s="15"/>
      <c r="AC772" s="15"/>
      <c r="AD772" s="15"/>
      <c r="AE772" s="15"/>
      <c r="AF772" s="15"/>
      <c r="AG772" s="15"/>
      <c r="AH772" s="15"/>
      <c r="AI772" s="15"/>
    </row>
    <row r="773" ht="15.75" customHeight="1">
      <c r="A773" s="16"/>
      <c r="B773" s="18"/>
      <c r="C773" s="18"/>
      <c r="D773" s="18"/>
      <c r="E773" s="18"/>
      <c r="F773" s="18"/>
      <c r="G773" s="17"/>
      <c r="H773" s="18"/>
      <c r="I773" s="17"/>
      <c r="J773" s="17"/>
      <c r="K773" s="17"/>
      <c r="L773" s="17"/>
      <c r="M773" s="17"/>
      <c r="N773" s="17"/>
      <c r="O773" s="59"/>
      <c r="P773" s="17"/>
      <c r="Q773" s="17"/>
      <c r="R773" s="65"/>
      <c r="S773" s="17"/>
      <c r="T773" s="17"/>
      <c r="U773" s="17"/>
      <c r="V773" s="17"/>
      <c r="W773" s="18"/>
      <c r="X773" s="17"/>
      <c r="Y773" s="17"/>
      <c r="Z773" s="24"/>
      <c r="AA773" s="24"/>
      <c r="AB773" s="24"/>
      <c r="AC773" s="24"/>
      <c r="AD773" s="24"/>
      <c r="AE773" s="24"/>
      <c r="AF773" s="24"/>
      <c r="AG773" s="24"/>
      <c r="AH773" s="24"/>
      <c r="AI773" s="24"/>
    </row>
    <row r="774" ht="15.75" customHeight="1">
      <c r="A774" s="8"/>
      <c r="B774" s="14"/>
      <c r="C774" s="14"/>
      <c r="D774" s="14"/>
      <c r="E774" s="9"/>
      <c r="F774" s="14"/>
      <c r="G774" s="9"/>
      <c r="H774" s="14"/>
      <c r="I774" s="9"/>
      <c r="J774" s="9"/>
      <c r="K774" s="9"/>
      <c r="L774" s="9"/>
      <c r="M774" s="9"/>
      <c r="N774" s="9"/>
      <c r="O774" s="60"/>
      <c r="P774" s="9"/>
      <c r="Q774" s="9"/>
      <c r="R774" s="64"/>
      <c r="S774" s="9"/>
      <c r="T774" s="9"/>
      <c r="U774" s="9"/>
      <c r="V774" s="9"/>
      <c r="W774" s="8"/>
      <c r="X774" s="9"/>
      <c r="Y774" s="9"/>
      <c r="Z774" s="15"/>
      <c r="AA774" s="15"/>
      <c r="AB774" s="15"/>
      <c r="AC774" s="15"/>
      <c r="AD774" s="15"/>
      <c r="AE774" s="15"/>
      <c r="AF774" s="15"/>
      <c r="AG774" s="15"/>
      <c r="AH774" s="15"/>
      <c r="AI774" s="15"/>
    </row>
    <row r="775" ht="15.75" customHeight="1">
      <c r="A775" s="16"/>
      <c r="B775" s="18"/>
      <c r="C775" s="18"/>
      <c r="D775" s="18"/>
      <c r="E775" s="18"/>
      <c r="F775" s="18"/>
      <c r="G775" s="17"/>
      <c r="H775" s="18"/>
      <c r="I775" s="17"/>
      <c r="J775" s="17"/>
      <c r="K775" s="17"/>
      <c r="L775" s="17"/>
      <c r="M775" s="17"/>
      <c r="N775" s="17"/>
      <c r="O775" s="59"/>
      <c r="P775" s="17"/>
      <c r="Q775" s="17"/>
      <c r="R775" s="65"/>
      <c r="S775" s="17"/>
      <c r="T775" s="17"/>
      <c r="U775" s="17"/>
      <c r="V775" s="17"/>
      <c r="W775" s="18"/>
      <c r="X775" s="17"/>
      <c r="Y775" s="17"/>
      <c r="Z775" s="24"/>
      <c r="AA775" s="24"/>
      <c r="AB775" s="24"/>
      <c r="AC775" s="24"/>
      <c r="AD775" s="24"/>
      <c r="AE775" s="24"/>
      <c r="AF775" s="24"/>
      <c r="AG775" s="24"/>
      <c r="AH775" s="24"/>
      <c r="AI775" s="24"/>
    </row>
    <row r="776" ht="15.75" customHeight="1">
      <c r="A776" s="8"/>
      <c r="B776" s="14"/>
      <c r="C776" s="14"/>
      <c r="D776" s="14"/>
      <c r="E776" s="9"/>
      <c r="F776" s="14"/>
      <c r="G776" s="9"/>
      <c r="H776" s="14"/>
      <c r="I776" s="9"/>
      <c r="J776" s="9"/>
      <c r="K776" s="9"/>
      <c r="L776" s="9"/>
      <c r="M776" s="9"/>
      <c r="N776" s="9"/>
      <c r="O776" s="60"/>
      <c r="P776" s="9"/>
      <c r="Q776" s="9"/>
      <c r="R776" s="64"/>
      <c r="S776" s="9"/>
      <c r="T776" s="9"/>
      <c r="U776" s="9"/>
      <c r="V776" s="9"/>
      <c r="W776" s="14"/>
      <c r="X776" s="9"/>
      <c r="Y776" s="9"/>
      <c r="Z776" s="15"/>
      <c r="AA776" s="15"/>
      <c r="AB776" s="15"/>
      <c r="AC776" s="15"/>
      <c r="AD776" s="15"/>
      <c r="AE776" s="15"/>
      <c r="AF776" s="15"/>
      <c r="AG776" s="15"/>
      <c r="AH776" s="15"/>
      <c r="AI776" s="15"/>
    </row>
    <row r="777" ht="15.75" customHeight="1">
      <c r="A777" s="16"/>
      <c r="B777" s="18"/>
      <c r="C777" s="18"/>
      <c r="D777" s="18"/>
      <c r="E777" s="18"/>
      <c r="F777" s="18"/>
      <c r="G777" s="17"/>
      <c r="H777" s="18"/>
      <c r="I777" s="17"/>
      <c r="J777" s="17"/>
      <c r="K777" s="17"/>
      <c r="L777" s="17"/>
      <c r="M777" s="17"/>
      <c r="N777" s="17"/>
      <c r="O777" s="59"/>
      <c r="P777" s="17"/>
      <c r="Q777" s="17"/>
      <c r="R777" s="65"/>
      <c r="S777" s="17"/>
      <c r="T777" s="17"/>
      <c r="U777" s="17"/>
      <c r="V777" s="17"/>
      <c r="W777" s="16"/>
      <c r="X777" s="17"/>
      <c r="Y777" s="17"/>
      <c r="Z777" s="24"/>
      <c r="AA777" s="24"/>
      <c r="AB777" s="24"/>
      <c r="AC777" s="24"/>
      <c r="AD777" s="24"/>
      <c r="AE777" s="24"/>
      <c r="AF777" s="24"/>
      <c r="AG777" s="24"/>
      <c r="AH777" s="24"/>
      <c r="AI777" s="24"/>
    </row>
    <row r="778" ht="15.75" customHeight="1">
      <c r="A778" s="8"/>
      <c r="B778" s="14"/>
      <c r="C778" s="14"/>
      <c r="D778" s="14"/>
      <c r="E778" s="9"/>
      <c r="F778" s="14"/>
      <c r="G778" s="9"/>
      <c r="H778" s="14"/>
      <c r="I778" s="9"/>
      <c r="J778" s="9"/>
      <c r="K778" s="9"/>
      <c r="L778" s="9"/>
      <c r="M778" s="9"/>
      <c r="N778" s="9"/>
      <c r="O778" s="60"/>
      <c r="P778" s="9"/>
      <c r="Q778" s="9"/>
      <c r="R778" s="64"/>
      <c r="S778" s="9"/>
      <c r="T778" s="9"/>
      <c r="U778" s="9"/>
      <c r="V778" s="9"/>
      <c r="W778" s="14"/>
      <c r="X778" s="9"/>
      <c r="Y778" s="9"/>
      <c r="Z778" s="15"/>
      <c r="AA778" s="15"/>
      <c r="AB778" s="15"/>
      <c r="AC778" s="15"/>
      <c r="AD778" s="15"/>
      <c r="AE778" s="15"/>
      <c r="AF778" s="15"/>
      <c r="AG778" s="15"/>
      <c r="AH778" s="15"/>
      <c r="AI778" s="15"/>
    </row>
    <row r="779" ht="15.75" customHeight="1">
      <c r="A779" s="16"/>
      <c r="B779" s="18"/>
      <c r="C779" s="18"/>
      <c r="D779" s="18"/>
      <c r="E779" s="18"/>
      <c r="F779" s="18"/>
      <c r="G779" s="17"/>
      <c r="H779" s="18"/>
      <c r="I779" s="17"/>
      <c r="J779" s="17"/>
      <c r="K779" s="17"/>
      <c r="L779" s="17"/>
      <c r="M779" s="17"/>
      <c r="N779" s="17"/>
      <c r="O779" s="59"/>
      <c r="P779" s="17"/>
      <c r="Q779" s="17"/>
      <c r="R779" s="65"/>
      <c r="S779" s="17"/>
      <c r="T779" s="17"/>
      <c r="U779" s="17"/>
      <c r="V779" s="17"/>
      <c r="W779" s="18"/>
      <c r="X779" s="17"/>
      <c r="Y779" s="17"/>
      <c r="Z779" s="24"/>
      <c r="AA779" s="24"/>
      <c r="AB779" s="24"/>
      <c r="AC779" s="24"/>
      <c r="AD779" s="24"/>
      <c r="AE779" s="24"/>
      <c r="AF779" s="24"/>
      <c r="AG779" s="24"/>
      <c r="AH779" s="24"/>
      <c r="AI779" s="24"/>
    </row>
    <row r="780" ht="15.75" customHeight="1">
      <c r="A780" s="8"/>
      <c r="B780" s="14"/>
      <c r="C780" s="14"/>
      <c r="D780" s="14"/>
      <c r="E780" s="9"/>
      <c r="F780" s="14"/>
      <c r="G780" s="9"/>
      <c r="H780" s="14"/>
      <c r="I780" s="9"/>
      <c r="J780" s="9"/>
      <c r="K780" s="9"/>
      <c r="L780" s="9"/>
      <c r="M780" s="9"/>
      <c r="N780" s="9"/>
      <c r="O780" s="60"/>
      <c r="P780" s="9"/>
      <c r="Q780" s="9"/>
      <c r="R780" s="64"/>
      <c r="S780" s="9"/>
      <c r="T780" s="9"/>
      <c r="U780" s="9"/>
      <c r="V780" s="9"/>
      <c r="W780" s="8"/>
      <c r="X780" s="9"/>
      <c r="Y780" s="9"/>
      <c r="Z780" s="15"/>
      <c r="AA780" s="15"/>
      <c r="AB780" s="15"/>
      <c r="AC780" s="15"/>
      <c r="AD780" s="15"/>
      <c r="AE780" s="15"/>
      <c r="AF780" s="15"/>
      <c r="AG780" s="15"/>
      <c r="AH780" s="15"/>
      <c r="AI780" s="15"/>
    </row>
    <row r="781" ht="15.75" customHeight="1">
      <c r="A781" s="16"/>
      <c r="B781" s="18"/>
      <c r="C781" s="18"/>
      <c r="D781" s="18"/>
      <c r="E781" s="18"/>
      <c r="F781" s="18"/>
      <c r="G781" s="17"/>
      <c r="H781" s="18"/>
      <c r="I781" s="17"/>
      <c r="J781" s="17"/>
      <c r="K781" s="17"/>
      <c r="L781" s="17"/>
      <c r="M781" s="17"/>
      <c r="N781" s="17"/>
      <c r="O781" s="59"/>
      <c r="P781" s="17"/>
      <c r="Q781" s="17"/>
      <c r="R781" s="65"/>
      <c r="S781" s="17"/>
      <c r="T781" s="17"/>
      <c r="U781" s="17"/>
      <c r="V781" s="17"/>
      <c r="W781" s="18"/>
      <c r="X781" s="17"/>
      <c r="Y781" s="17"/>
      <c r="Z781" s="24"/>
      <c r="AA781" s="24"/>
      <c r="AB781" s="24"/>
      <c r="AC781" s="24"/>
      <c r="AD781" s="24"/>
      <c r="AE781" s="24"/>
      <c r="AF781" s="24"/>
      <c r="AG781" s="24"/>
      <c r="AH781" s="24"/>
      <c r="AI781" s="24"/>
    </row>
    <row r="782" ht="15.75" customHeight="1">
      <c r="A782" s="8"/>
      <c r="B782" s="14"/>
      <c r="C782" s="14"/>
      <c r="D782" s="14"/>
      <c r="E782" s="9"/>
      <c r="F782" s="14"/>
      <c r="G782" s="9"/>
      <c r="H782" s="14"/>
      <c r="I782" s="9"/>
      <c r="J782" s="9"/>
      <c r="K782" s="9"/>
      <c r="L782" s="9"/>
      <c r="M782" s="9"/>
      <c r="N782" s="9"/>
      <c r="O782" s="60"/>
      <c r="P782" s="9"/>
      <c r="Q782" s="9"/>
      <c r="R782" s="64"/>
      <c r="S782" s="9"/>
      <c r="T782" s="9"/>
      <c r="U782" s="9"/>
      <c r="V782" s="9"/>
      <c r="W782" s="14"/>
      <c r="X782" s="9"/>
      <c r="Y782" s="9"/>
      <c r="Z782" s="15"/>
      <c r="AA782" s="15"/>
      <c r="AB782" s="15"/>
      <c r="AC782" s="15"/>
      <c r="AD782" s="15"/>
      <c r="AE782" s="15"/>
      <c r="AF782" s="15"/>
      <c r="AG782" s="15"/>
      <c r="AH782" s="15"/>
      <c r="AI782" s="15"/>
    </row>
    <row r="783" ht="15.75" customHeight="1">
      <c r="A783" s="16"/>
      <c r="B783" s="18"/>
      <c r="C783" s="18"/>
      <c r="D783" s="18"/>
      <c r="E783" s="18"/>
      <c r="F783" s="18"/>
      <c r="G783" s="17"/>
      <c r="H783" s="18"/>
      <c r="I783" s="17"/>
      <c r="J783" s="17"/>
      <c r="K783" s="17"/>
      <c r="L783" s="17"/>
      <c r="M783" s="17"/>
      <c r="N783" s="17"/>
      <c r="O783" s="59"/>
      <c r="P783" s="17"/>
      <c r="Q783" s="17"/>
      <c r="R783" s="65"/>
      <c r="S783" s="17"/>
      <c r="T783" s="17"/>
      <c r="U783" s="17"/>
      <c r="V783" s="17"/>
      <c r="W783" s="16"/>
      <c r="X783" s="17"/>
      <c r="Y783" s="17"/>
      <c r="Z783" s="24"/>
      <c r="AA783" s="24"/>
      <c r="AB783" s="24"/>
      <c r="AC783" s="24"/>
      <c r="AD783" s="24"/>
      <c r="AE783" s="24"/>
      <c r="AF783" s="24"/>
      <c r="AG783" s="24"/>
      <c r="AH783" s="24"/>
      <c r="AI783" s="24"/>
    </row>
    <row r="784" ht="15.75" customHeight="1">
      <c r="A784" s="8"/>
      <c r="B784" s="14"/>
      <c r="C784" s="14"/>
      <c r="D784" s="14"/>
      <c r="E784" s="9"/>
      <c r="F784" s="14"/>
      <c r="G784" s="9"/>
      <c r="H784" s="14"/>
      <c r="I784" s="9"/>
      <c r="J784" s="9"/>
      <c r="K784" s="9"/>
      <c r="L784" s="9"/>
      <c r="M784" s="9"/>
      <c r="N784" s="9"/>
      <c r="O784" s="60"/>
      <c r="P784" s="9"/>
      <c r="Q784" s="9"/>
      <c r="R784" s="64"/>
      <c r="S784" s="9"/>
      <c r="T784" s="9"/>
      <c r="U784" s="9"/>
      <c r="V784" s="9"/>
      <c r="W784" s="14"/>
      <c r="X784" s="9"/>
      <c r="Y784" s="9"/>
      <c r="Z784" s="15"/>
      <c r="AA784" s="15"/>
      <c r="AB784" s="15"/>
      <c r="AC784" s="15"/>
      <c r="AD784" s="15"/>
      <c r="AE784" s="15"/>
      <c r="AF784" s="15"/>
      <c r="AG784" s="15"/>
      <c r="AH784" s="15"/>
      <c r="AI784" s="15"/>
    </row>
    <row r="785" ht="15.75" customHeight="1">
      <c r="A785" s="16"/>
      <c r="B785" s="18"/>
      <c r="C785" s="18"/>
      <c r="D785" s="18"/>
      <c r="E785" s="18"/>
      <c r="F785" s="18"/>
      <c r="G785" s="17"/>
      <c r="H785" s="18"/>
      <c r="I785" s="17"/>
      <c r="J785" s="17"/>
      <c r="K785" s="17"/>
      <c r="L785" s="17"/>
      <c r="M785" s="17"/>
      <c r="N785" s="17"/>
      <c r="O785" s="59"/>
      <c r="P785" s="17"/>
      <c r="Q785" s="17"/>
      <c r="R785" s="65"/>
      <c r="S785" s="17"/>
      <c r="T785" s="17"/>
      <c r="U785" s="17"/>
      <c r="V785" s="17"/>
      <c r="W785" s="18"/>
      <c r="X785" s="17"/>
      <c r="Y785" s="17"/>
      <c r="Z785" s="24"/>
      <c r="AA785" s="24"/>
      <c r="AB785" s="24"/>
      <c r="AC785" s="24"/>
      <c r="AD785" s="24"/>
      <c r="AE785" s="24"/>
      <c r="AF785" s="24"/>
      <c r="AG785" s="24"/>
      <c r="AH785" s="24"/>
      <c r="AI785" s="24"/>
    </row>
    <row r="786" ht="15.75" customHeight="1">
      <c r="A786" s="8"/>
      <c r="B786" s="14"/>
      <c r="C786" s="14"/>
      <c r="D786" s="14"/>
      <c r="E786" s="9"/>
      <c r="F786" s="14"/>
      <c r="G786" s="9"/>
      <c r="H786" s="14"/>
      <c r="I786" s="9"/>
      <c r="J786" s="9"/>
      <c r="K786" s="9"/>
      <c r="L786" s="9"/>
      <c r="M786" s="9"/>
      <c r="N786" s="9"/>
      <c r="O786" s="60"/>
      <c r="P786" s="9"/>
      <c r="Q786" s="9"/>
      <c r="R786" s="64"/>
      <c r="S786" s="9"/>
      <c r="T786" s="9"/>
      <c r="U786" s="9"/>
      <c r="V786" s="9"/>
      <c r="W786" s="8"/>
      <c r="X786" s="9"/>
      <c r="Y786" s="9"/>
      <c r="Z786" s="15"/>
      <c r="AA786" s="15"/>
      <c r="AB786" s="15"/>
      <c r="AC786" s="15"/>
      <c r="AD786" s="15"/>
      <c r="AE786" s="15"/>
      <c r="AF786" s="15"/>
      <c r="AG786" s="15"/>
      <c r="AH786" s="15"/>
      <c r="AI786" s="15"/>
    </row>
    <row r="787" ht="15.75" customHeight="1">
      <c r="A787" s="16"/>
      <c r="B787" s="18"/>
      <c r="C787" s="18"/>
      <c r="D787" s="18"/>
      <c r="E787" s="18"/>
      <c r="F787" s="18"/>
      <c r="G787" s="17"/>
      <c r="H787" s="18"/>
      <c r="I787" s="17"/>
      <c r="J787" s="17"/>
      <c r="K787" s="17"/>
      <c r="L787" s="17"/>
      <c r="M787" s="17"/>
      <c r="N787" s="17"/>
      <c r="O787" s="59"/>
      <c r="P787" s="17"/>
      <c r="Q787" s="17"/>
      <c r="R787" s="65"/>
      <c r="S787" s="17"/>
      <c r="T787" s="17"/>
      <c r="U787" s="17"/>
      <c r="V787" s="17"/>
      <c r="W787" s="18"/>
      <c r="X787" s="17"/>
      <c r="Y787" s="17"/>
      <c r="Z787" s="24"/>
      <c r="AA787" s="24"/>
      <c r="AB787" s="24"/>
      <c r="AC787" s="24"/>
      <c r="AD787" s="24"/>
      <c r="AE787" s="24"/>
      <c r="AF787" s="24"/>
      <c r="AG787" s="24"/>
      <c r="AH787" s="24"/>
      <c r="AI787" s="24"/>
    </row>
    <row r="788" ht="15.75" customHeight="1">
      <c r="A788" s="8"/>
      <c r="B788" s="14"/>
      <c r="C788" s="14"/>
      <c r="D788" s="14"/>
      <c r="E788" s="9"/>
      <c r="F788" s="14"/>
      <c r="G788" s="9"/>
      <c r="H788" s="14"/>
      <c r="I788" s="9"/>
      <c r="J788" s="9"/>
      <c r="K788" s="9"/>
      <c r="L788" s="9"/>
      <c r="M788" s="9"/>
      <c r="N788" s="9"/>
      <c r="O788" s="60"/>
      <c r="P788" s="9"/>
      <c r="Q788" s="9"/>
      <c r="R788" s="64"/>
      <c r="S788" s="9"/>
      <c r="T788" s="9"/>
      <c r="U788" s="9"/>
      <c r="V788" s="9"/>
      <c r="W788" s="14"/>
      <c r="X788" s="9"/>
      <c r="Y788" s="9"/>
      <c r="Z788" s="15"/>
      <c r="AA788" s="15"/>
      <c r="AB788" s="15"/>
      <c r="AC788" s="15"/>
      <c r="AD788" s="15"/>
      <c r="AE788" s="15"/>
      <c r="AF788" s="15"/>
      <c r="AG788" s="15"/>
      <c r="AH788" s="15"/>
      <c r="AI788" s="15"/>
    </row>
    <row r="789" ht="15.75" customHeight="1">
      <c r="A789" s="16"/>
      <c r="B789" s="18"/>
      <c r="C789" s="18"/>
      <c r="D789" s="18"/>
      <c r="E789" s="18"/>
      <c r="F789" s="18"/>
      <c r="G789" s="17"/>
      <c r="H789" s="18"/>
      <c r="I789" s="17"/>
      <c r="J789" s="17"/>
      <c r="K789" s="17"/>
      <c r="L789" s="17"/>
      <c r="M789" s="17"/>
      <c r="N789" s="17"/>
      <c r="O789" s="59"/>
      <c r="P789" s="17"/>
      <c r="Q789" s="17"/>
      <c r="R789" s="65"/>
      <c r="S789" s="17"/>
      <c r="T789" s="17"/>
      <c r="U789" s="17"/>
      <c r="V789" s="17"/>
      <c r="W789" s="16"/>
      <c r="X789" s="17"/>
      <c r="Y789" s="17"/>
      <c r="Z789" s="24"/>
      <c r="AA789" s="24"/>
      <c r="AB789" s="24"/>
      <c r="AC789" s="24"/>
      <c r="AD789" s="24"/>
      <c r="AE789" s="24"/>
      <c r="AF789" s="24"/>
      <c r="AG789" s="24"/>
      <c r="AH789" s="24"/>
      <c r="AI789" s="24"/>
    </row>
    <row r="790" ht="15.75" customHeight="1">
      <c r="A790" s="8"/>
      <c r="B790" s="14"/>
      <c r="C790" s="14"/>
      <c r="D790" s="14"/>
      <c r="E790" s="9"/>
      <c r="F790" s="14"/>
      <c r="G790" s="9"/>
      <c r="H790" s="14"/>
      <c r="I790" s="9"/>
      <c r="J790" s="9"/>
      <c r="K790" s="9"/>
      <c r="L790" s="9"/>
      <c r="M790" s="9"/>
      <c r="N790" s="9"/>
      <c r="O790" s="60"/>
      <c r="P790" s="9"/>
      <c r="Q790" s="9"/>
      <c r="R790" s="64"/>
      <c r="S790" s="9"/>
      <c r="T790" s="9"/>
      <c r="U790" s="9"/>
      <c r="V790" s="9"/>
      <c r="W790" s="14"/>
      <c r="X790" s="9"/>
      <c r="Y790" s="9"/>
      <c r="Z790" s="15"/>
      <c r="AA790" s="15"/>
      <c r="AB790" s="15"/>
      <c r="AC790" s="15"/>
      <c r="AD790" s="15"/>
      <c r="AE790" s="15"/>
      <c r="AF790" s="15"/>
      <c r="AG790" s="15"/>
      <c r="AH790" s="15"/>
      <c r="AI790" s="15"/>
    </row>
    <row r="791" ht="15.75" customHeight="1">
      <c r="A791" s="16"/>
      <c r="B791" s="18"/>
      <c r="C791" s="18"/>
      <c r="D791" s="18"/>
      <c r="E791" s="18"/>
      <c r="F791" s="18"/>
      <c r="G791" s="17"/>
      <c r="H791" s="18"/>
      <c r="I791" s="17"/>
      <c r="J791" s="17"/>
      <c r="K791" s="17"/>
      <c r="L791" s="17"/>
      <c r="M791" s="17"/>
      <c r="N791" s="17"/>
      <c r="O791" s="59"/>
      <c r="P791" s="17"/>
      <c r="Q791" s="17"/>
      <c r="R791" s="65"/>
      <c r="S791" s="17"/>
      <c r="T791" s="17"/>
      <c r="U791" s="17"/>
      <c r="V791" s="17"/>
      <c r="W791" s="18"/>
      <c r="X791" s="17"/>
      <c r="Y791" s="17"/>
      <c r="Z791" s="24"/>
      <c r="AA791" s="24"/>
      <c r="AB791" s="24"/>
      <c r="AC791" s="24"/>
      <c r="AD791" s="24"/>
      <c r="AE791" s="24"/>
      <c r="AF791" s="24"/>
      <c r="AG791" s="24"/>
      <c r="AH791" s="24"/>
      <c r="AI791" s="24"/>
    </row>
    <row r="792" ht="15.75" customHeight="1">
      <c r="A792" s="8"/>
      <c r="B792" s="14"/>
      <c r="C792" s="14"/>
      <c r="D792" s="14"/>
      <c r="E792" s="9"/>
      <c r="F792" s="14"/>
      <c r="G792" s="9"/>
      <c r="H792" s="14"/>
      <c r="I792" s="9"/>
      <c r="J792" s="9"/>
      <c r="K792" s="9"/>
      <c r="L792" s="9"/>
      <c r="M792" s="9"/>
      <c r="N792" s="9"/>
      <c r="O792" s="60"/>
      <c r="P792" s="9"/>
      <c r="Q792" s="9"/>
      <c r="R792" s="64"/>
      <c r="S792" s="9"/>
      <c r="T792" s="9"/>
      <c r="U792" s="9"/>
      <c r="V792" s="9"/>
      <c r="W792" s="8"/>
      <c r="X792" s="9"/>
      <c r="Y792" s="9"/>
      <c r="Z792" s="15"/>
      <c r="AA792" s="15"/>
      <c r="AB792" s="15"/>
      <c r="AC792" s="15"/>
      <c r="AD792" s="15"/>
      <c r="AE792" s="15"/>
      <c r="AF792" s="15"/>
      <c r="AG792" s="15"/>
      <c r="AH792" s="15"/>
      <c r="AI792" s="15"/>
    </row>
    <row r="793" ht="15.75" customHeight="1">
      <c r="A793" s="16"/>
      <c r="B793" s="18"/>
      <c r="C793" s="18"/>
      <c r="D793" s="18"/>
      <c r="E793" s="18"/>
      <c r="F793" s="18"/>
      <c r="G793" s="17"/>
      <c r="H793" s="18"/>
      <c r="I793" s="17"/>
      <c r="J793" s="17"/>
      <c r="K793" s="17"/>
      <c r="L793" s="17"/>
      <c r="M793" s="17"/>
      <c r="N793" s="17"/>
      <c r="O793" s="59"/>
      <c r="P793" s="17"/>
      <c r="Q793" s="17"/>
      <c r="R793" s="65"/>
      <c r="S793" s="17"/>
      <c r="T793" s="17"/>
      <c r="U793" s="17"/>
      <c r="V793" s="17"/>
      <c r="W793" s="18"/>
      <c r="X793" s="17"/>
      <c r="Y793" s="17"/>
      <c r="Z793" s="24"/>
      <c r="AA793" s="24"/>
      <c r="AB793" s="24"/>
      <c r="AC793" s="24"/>
      <c r="AD793" s="24"/>
      <c r="AE793" s="24"/>
      <c r="AF793" s="24"/>
      <c r="AG793" s="24"/>
      <c r="AH793" s="24"/>
      <c r="AI793" s="24"/>
    </row>
    <row r="794" ht="15.75" customHeight="1">
      <c r="A794" s="8"/>
      <c r="B794" s="14"/>
      <c r="C794" s="14"/>
      <c r="D794" s="14"/>
      <c r="E794" s="9"/>
      <c r="F794" s="14"/>
      <c r="G794" s="9"/>
      <c r="H794" s="14"/>
      <c r="I794" s="9"/>
      <c r="J794" s="9"/>
      <c r="K794" s="9"/>
      <c r="L794" s="9"/>
      <c r="M794" s="9"/>
      <c r="N794" s="9"/>
      <c r="O794" s="60"/>
      <c r="P794" s="9"/>
      <c r="Q794" s="9"/>
      <c r="R794" s="64"/>
      <c r="S794" s="9"/>
      <c r="T794" s="9"/>
      <c r="U794" s="9"/>
      <c r="V794" s="9"/>
      <c r="W794" s="14"/>
      <c r="X794" s="9"/>
      <c r="Y794" s="9"/>
      <c r="Z794" s="15"/>
      <c r="AA794" s="15"/>
      <c r="AB794" s="15"/>
      <c r="AC794" s="15"/>
      <c r="AD794" s="15"/>
      <c r="AE794" s="15"/>
      <c r="AF794" s="15"/>
      <c r="AG794" s="15"/>
      <c r="AH794" s="15"/>
      <c r="AI794" s="15"/>
    </row>
    <row r="795" ht="15.75" customHeight="1">
      <c r="A795" s="16"/>
      <c r="B795" s="18"/>
      <c r="C795" s="18"/>
      <c r="D795" s="18"/>
      <c r="E795" s="18"/>
      <c r="F795" s="18"/>
      <c r="G795" s="17"/>
      <c r="H795" s="18"/>
      <c r="I795" s="17"/>
      <c r="J795" s="17"/>
      <c r="K795" s="17"/>
      <c r="L795" s="17"/>
      <c r="M795" s="17"/>
      <c r="N795" s="17"/>
      <c r="O795" s="59"/>
      <c r="P795" s="17"/>
      <c r="Q795" s="17"/>
      <c r="R795" s="65"/>
      <c r="S795" s="17"/>
      <c r="T795" s="17"/>
      <c r="U795" s="17"/>
      <c r="V795" s="17"/>
      <c r="W795" s="16"/>
      <c r="X795" s="17"/>
      <c r="Y795" s="17"/>
      <c r="Z795" s="24"/>
      <c r="AA795" s="24"/>
      <c r="AB795" s="24"/>
      <c r="AC795" s="24"/>
      <c r="AD795" s="24"/>
      <c r="AE795" s="24"/>
      <c r="AF795" s="24"/>
      <c r="AG795" s="24"/>
      <c r="AH795" s="24"/>
      <c r="AI795" s="24"/>
    </row>
    <row r="796" ht="15.75" customHeight="1">
      <c r="A796" s="8"/>
      <c r="B796" s="14"/>
      <c r="C796" s="14"/>
      <c r="D796" s="14"/>
      <c r="E796" s="9"/>
      <c r="F796" s="14"/>
      <c r="G796" s="9"/>
      <c r="H796" s="14"/>
      <c r="I796" s="9"/>
      <c r="J796" s="9"/>
      <c r="K796" s="9"/>
      <c r="L796" s="9"/>
      <c r="M796" s="9"/>
      <c r="N796" s="9"/>
      <c r="O796" s="60"/>
      <c r="P796" s="9"/>
      <c r="Q796" s="9"/>
      <c r="R796" s="64"/>
      <c r="S796" s="9"/>
      <c r="T796" s="9"/>
      <c r="U796" s="9"/>
      <c r="V796" s="9"/>
      <c r="W796" s="14"/>
      <c r="X796" s="9"/>
      <c r="Y796" s="9"/>
      <c r="Z796" s="15"/>
      <c r="AA796" s="15"/>
      <c r="AB796" s="15"/>
      <c r="AC796" s="15"/>
      <c r="AD796" s="15"/>
      <c r="AE796" s="15"/>
      <c r="AF796" s="15"/>
      <c r="AG796" s="15"/>
      <c r="AH796" s="15"/>
      <c r="AI796" s="15"/>
    </row>
    <row r="797" ht="15.75" customHeight="1">
      <c r="A797" s="16"/>
      <c r="B797" s="18"/>
      <c r="C797" s="18"/>
      <c r="D797" s="18"/>
      <c r="E797" s="18"/>
      <c r="F797" s="18"/>
      <c r="G797" s="17"/>
      <c r="H797" s="18"/>
      <c r="I797" s="17"/>
      <c r="J797" s="17"/>
      <c r="K797" s="17"/>
      <c r="L797" s="17"/>
      <c r="M797" s="17"/>
      <c r="N797" s="17"/>
      <c r="O797" s="59"/>
      <c r="P797" s="17"/>
      <c r="Q797" s="17"/>
      <c r="R797" s="65"/>
      <c r="S797" s="17"/>
      <c r="T797" s="17"/>
      <c r="U797" s="17"/>
      <c r="V797" s="17"/>
      <c r="W797" s="18"/>
      <c r="X797" s="17"/>
      <c r="Y797" s="17"/>
      <c r="Z797" s="24"/>
      <c r="AA797" s="24"/>
      <c r="AB797" s="24"/>
      <c r="AC797" s="24"/>
      <c r="AD797" s="24"/>
      <c r="AE797" s="24"/>
      <c r="AF797" s="24"/>
      <c r="AG797" s="24"/>
      <c r="AH797" s="24"/>
      <c r="AI797" s="24"/>
    </row>
    <row r="798" ht="15.75" customHeight="1">
      <c r="A798" s="8"/>
      <c r="B798" s="14"/>
      <c r="C798" s="14"/>
      <c r="D798" s="14"/>
      <c r="E798" s="9"/>
      <c r="F798" s="14"/>
      <c r="G798" s="9"/>
      <c r="H798" s="14"/>
      <c r="I798" s="9"/>
      <c r="J798" s="9"/>
      <c r="K798" s="9"/>
      <c r="L798" s="9"/>
      <c r="M798" s="9"/>
      <c r="N798" s="9"/>
      <c r="O798" s="60"/>
      <c r="P798" s="9"/>
      <c r="Q798" s="9"/>
      <c r="R798" s="64"/>
      <c r="S798" s="9"/>
      <c r="T798" s="9"/>
      <c r="U798" s="9"/>
      <c r="V798" s="9"/>
      <c r="W798" s="8"/>
      <c r="X798" s="9"/>
      <c r="Y798" s="9"/>
      <c r="Z798" s="15"/>
      <c r="AA798" s="15"/>
      <c r="AB798" s="15"/>
      <c r="AC798" s="15"/>
      <c r="AD798" s="15"/>
      <c r="AE798" s="15"/>
      <c r="AF798" s="15"/>
      <c r="AG798" s="15"/>
      <c r="AH798" s="15"/>
      <c r="AI798" s="15"/>
    </row>
    <row r="799" ht="15.75" customHeight="1">
      <c r="A799" s="16"/>
      <c r="B799" s="18"/>
      <c r="C799" s="18"/>
      <c r="D799" s="18"/>
      <c r="E799" s="18"/>
      <c r="F799" s="18"/>
      <c r="G799" s="17"/>
      <c r="H799" s="18"/>
      <c r="I799" s="17"/>
      <c r="J799" s="17"/>
      <c r="K799" s="17"/>
      <c r="L799" s="17"/>
      <c r="M799" s="17"/>
      <c r="N799" s="17"/>
      <c r="O799" s="59"/>
      <c r="P799" s="17"/>
      <c r="Q799" s="17"/>
      <c r="R799" s="65"/>
      <c r="S799" s="17"/>
      <c r="T799" s="17"/>
      <c r="U799" s="17"/>
      <c r="V799" s="17"/>
      <c r="W799" s="18"/>
      <c r="X799" s="17"/>
      <c r="Y799" s="17"/>
      <c r="Z799" s="24"/>
      <c r="AA799" s="24"/>
      <c r="AB799" s="24"/>
      <c r="AC799" s="24"/>
      <c r="AD799" s="24"/>
      <c r="AE799" s="24"/>
      <c r="AF799" s="24"/>
      <c r="AG799" s="24"/>
      <c r="AH799" s="24"/>
      <c r="AI799" s="24"/>
    </row>
    <row r="800" ht="15.75" customHeight="1">
      <c r="A800" s="8"/>
      <c r="B800" s="14"/>
      <c r="C800" s="14"/>
      <c r="D800" s="14"/>
      <c r="E800" s="9"/>
      <c r="F800" s="14"/>
      <c r="G800" s="9"/>
      <c r="H800" s="14"/>
      <c r="I800" s="9"/>
      <c r="J800" s="9"/>
      <c r="K800" s="9"/>
      <c r="L800" s="9"/>
      <c r="M800" s="9"/>
      <c r="N800" s="9"/>
      <c r="O800" s="60"/>
      <c r="P800" s="9"/>
      <c r="Q800" s="9"/>
      <c r="R800" s="64"/>
      <c r="S800" s="9"/>
      <c r="T800" s="9"/>
      <c r="U800" s="9"/>
      <c r="V800" s="9"/>
      <c r="W800" s="14"/>
      <c r="X800" s="9"/>
      <c r="Y800" s="9"/>
      <c r="Z800" s="15"/>
      <c r="AA800" s="15"/>
      <c r="AB800" s="15"/>
      <c r="AC800" s="15"/>
      <c r="AD800" s="15"/>
      <c r="AE800" s="15"/>
      <c r="AF800" s="15"/>
      <c r="AG800" s="15"/>
      <c r="AH800" s="15"/>
      <c r="AI800" s="15"/>
    </row>
    <row r="801" ht="15.75" customHeight="1">
      <c r="A801" s="16"/>
      <c r="B801" s="18"/>
      <c r="C801" s="18"/>
      <c r="D801" s="18"/>
      <c r="E801" s="18"/>
      <c r="F801" s="18"/>
      <c r="G801" s="17"/>
      <c r="H801" s="18"/>
      <c r="I801" s="17"/>
      <c r="J801" s="17"/>
      <c r="K801" s="17"/>
      <c r="L801" s="17"/>
      <c r="M801" s="17"/>
      <c r="N801" s="17"/>
      <c r="O801" s="59"/>
      <c r="P801" s="17"/>
      <c r="Q801" s="17"/>
      <c r="R801" s="65"/>
      <c r="S801" s="17"/>
      <c r="T801" s="17"/>
      <c r="U801" s="17"/>
      <c r="V801" s="17"/>
      <c r="W801" s="16"/>
      <c r="X801" s="17"/>
      <c r="Y801" s="17"/>
      <c r="Z801" s="24"/>
      <c r="AA801" s="24"/>
      <c r="AB801" s="24"/>
      <c r="AC801" s="24"/>
      <c r="AD801" s="24"/>
      <c r="AE801" s="24"/>
      <c r="AF801" s="24"/>
      <c r="AG801" s="24"/>
      <c r="AH801" s="24"/>
      <c r="AI801" s="24"/>
    </row>
    <row r="802" ht="15.75" customHeight="1">
      <c r="A802" s="8"/>
      <c r="B802" s="14"/>
      <c r="C802" s="14"/>
      <c r="D802" s="14"/>
      <c r="E802" s="9"/>
      <c r="F802" s="14"/>
      <c r="G802" s="9"/>
      <c r="H802" s="14"/>
      <c r="I802" s="9"/>
      <c r="J802" s="9"/>
      <c r="K802" s="9"/>
      <c r="L802" s="9"/>
      <c r="M802" s="9"/>
      <c r="N802" s="9"/>
      <c r="O802" s="60"/>
      <c r="P802" s="9"/>
      <c r="Q802" s="9"/>
      <c r="R802" s="64"/>
      <c r="S802" s="9"/>
      <c r="T802" s="9"/>
      <c r="U802" s="9"/>
      <c r="V802" s="9"/>
      <c r="W802" s="14"/>
      <c r="X802" s="9"/>
      <c r="Y802" s="9"/>
      <c r="Z802" s="15"/>
      <c r="AA802" s="15"/>
      <c r="AB802" s="15"/>
      <c r="AC802" s="15"/>
      <c r="AD802" s="15"/>
      <c r="AE802" s="15"/>
      <c r="AF802" s="15"/>
      <c r="AG802" s="15"/>
      <c r="AH802" s="15"/>
      <c r="AI802" s="15"/>
    </row>
    <row r="803" ht="15.75" customHeight="1">
      <c r="A803" s="16"/>
      <c r="B803" s="18"/>
      <c r="C803" s="18"/>
      <c r="D803" s="18"/>
      <c r="E803" s="18"/>
      <c r="F803" s="18"/>
      <c r="G803" s="17"/>
      <c r="H803" s="18"/>
      <c r="I803" s="17"/>
      <c r="J803" s="17"/>
      <c r="K803" s="17"/>
      <c r="L803" s="17"/>
      <c r="M803" s="17"/>
      <c r="N803" s="17"/>
      <c r="O803" s="59"/>
      <c r="P803" s="17"/>
      <c r="Q803" s="17"/>
      <c r="R803" s="65"/>
      <c r="S803" s="17"/>
      <c r="T803" s="17"/>
      <c r="U803" s="17"/>
      <c r="V803" s="17"/>
      <c r="W803" s="18"/>
      <c r="X803" s="17"/>
      <c r="Y803" s="17"/>
      <c r="Z803" s="24"/>
      <c r="AA803" s="24"/>
      <c r="AB803" s="24"/>
      <c r="AC803" s="24"/>
      <c r="AD803" s="24"/>
      <c r="AE803" s="24"/>
      <c r="AF803" s="24"/>
      <c r="AG803" s="24"/>
      <c r="AH803" s="24"/>
      <c r="AI803" s="24"/>
    </row>
    <row r="804" ht="15.75" customHeight="1">
      <c r="A804" s="8"/>
      <c r="B804" s="14"/>
      <c r="C804" s="14"/>
      <c r="D804" s="14"/>
      <c r="E804" s="9"/>
      <c r="F804" s="14"/>
      <c r="G804" s="9"/>
      <c r="H804" s="14"/>
      <c r="I804" s="9"/>
      <c r="J804" s="9"/>
      <c r="K804" s="9"/>
      <c r="L804" s="9"/>
      <c r="M804" s="9"/>
      <c r="N804" s="9"/>
      <c r="O804" s="60"/>
      <c r="P804" s="9"/>
      <c r="Q804" s="9"/>
      <c r="R804" s="64"/>
      <c r="S804" s="9"/>
      <c r="T804" s="9"/>
      <c r="U804" s="9"/>
      <c r="V804" s="9"/>
      <c r="W804" s="8"/>
      <c r="X804" s="9"/>
      <c r="Y804" s="9"/>
      <c r="Z804" s="15"/>
      <c r="AA804" s="15"/>
      <c r="AB804" s="15"/>
      <c r="AC804" s="15"/>
      <c r="AD804" s="15"/>
      <c r="AE804" s="15"/>
      <c r="AF804" s="15"/>
      <c r="AG804" s="15"/>
      <c r="AH804" s="15"/>
      <c r="AI804" s="15"/>
    </row>
    <row r="805" ht="15.75" customHeight="1">
      <c r="A805" s="16"/>
      <c r="B805" s="18"/>
      <c r="C805" s="18"/>
      <c r="D805" s="18"/>
      <c r="E805" s="18"/>
      <c r="F805" s="18"/>
      <c r="G805" s="17"/>
      <c r="H805" s="18"/>
      <c r="I805" s="17"/>
      <c r="J805" s="17"/>
      <c r="K805" s="17"/>
      <c r="L805" s="17"/>
      <c r="M805" s="17"/>
      <c r="N805" s="17"/>
      <c r="O805" s="59"/>
      <c r="P805" s="17"/>
      <c r="Q805" s="17"/>
      <c r="R805" s="65"/>
      <c r="S805" s="17"/>
      <c r="T805" s="17"/>
      <c r="U805" s="17"/>
      <c r="V805" s="17"/>
      <c r="W805" s="18"/>
      <c r="X805" s="17"/>
      <c r="Y805" s="17"/>
      <c r="Z805" s="24"/>
      <c r="AA805" s="24"/>
      <c r="AB805" s="24"/>
      <c r="AC805" s="24"/>
      <c r="AD805" s="24"/>
      <c r="AE805" s="24"/>
      <c r="AF805" s="24"/>
      <c r="AG805" s="24"/>
      <c r="AH805" s="24"/>
      <c r="AI805" s="24"/>
    </row>
    <row r="806" ht="15.75" customHeight="1">
      <c r="A806" s="8"/>
      <c r="B806" s="14"/>
      <c r="C806" s="14"/>
      <c r="D806" s="14"/>
      <c r="E806" s="9"/>
      <c r="F806" s="14"/>
      <c r="G806" s="9"/>
      <c r="H806" s="14"/>
      <c r="I806" s="9"/>
      <c r="J806" s="9"/>
      <c r="K806" s="9"/>
      <c r="L806" s="9"/>
      <c r="M806" s="9"/>
      <c r="N806" s="9"/>
      <c r="O806" s="60"/>
      <c r="P806" s="9"/>
      <c r="Q806" s="9"/>
      <c r="R806" s="64"/>
      <c r="S806" s="9"/>
      <c r="T806" s="9"/>
      <c r="U806" s="9"/>
      <c r="V806" s="9"/>
      <c r="W806" s="14"/>
      <c r="X806" s="9"/>
      <c r="Y806" s="9"/>
      <c r="Z806" s="15"/>
      <c r="AA806" s="15"/>
      <c r="AB806" s="15"/>
      <c r="AC806" s="15"/>
      <c r="AD806" s="15"/>
      <c r="AE806" s="15"/>
      <c r="AF806" s="15"/>
      <c r="AG806" s="15"/>
      <c r="AH806" s="15"/>
      <c r="AI806" s="15"/>
    </row>
    <row r="807" ht="15.75" customHeight="1">
      <c r="A807" s="16"/>
      <c r="B807" s="18"/>
      <c r="C807" s="18"/>
      <c r="D807" s="18"/>
      <c r="E807" s="18"/>
      <c r="F807" s="18"/>
      <c r="G807" s="17"/>
      <c r="H807" s="18"/>
      <c r="I807" s="17"/>
      <c r="J807" s="17"/>
      <c r="K807" s="17"/>
      <c r="L807" s="17"/>
      <c r="M807" s="17"/>
      <c r="N807" s="17"/>
      <c r="O807" s="59"/>
      <c r="P807" s="17"/>
      <c r="Q807" s="17"/>
      <c r="R807" s="65"/>
      <c r="S807" s="17"/>
      <c r="T807" s="17"/>
      <c r="U807" s="17"/>
      <c r="V807" s="17"/>
      <c r="W807" s="16"/>
      <c r="X807" s="17"/>
      <c r="Y807" s="17"/>
      <c r="Z807" s="24"/>
      <c r="AA807" s="24"/>
      <c r="AB807" s="24"/>
      <c r="AC807" s="24"/>
      <c r="AD807" s="24"/>
      <c r="AE807" s="24"/>
      <c r="AF807" s="24"/>
      <c r="AG807" s="24"/>
      <c r="AH807" s="24"/>
      <c r="AI807" s="24"/>
    </row>
    <row r="808" ht="15.75" customHeight="1">
      <c r="A808" s="8"/>
      <c r="B808" s="14"/>
      <c r="C808" s="14"/>
      <c r="D808" s="14"/>
      <c r="E808" s="9"/>
      <c r="F808" s="14"/>
      <c r="G808" s="9"/>
      <c r="H808" s="14"/>
      <c r="I808" s="9"/>
      <c r="J808" s="9"/>
      <c r="K808" s="9"/>
      <c r="L808" s="9"/>
      <c r="M808" s="9"/>
      <c r="N808" s="9"/>
      <c r="O808" s="60"/>
      <c r="P808" s="9"/>
      <c r="Q808" s="9"/>
      <c r="R808" s="64"/>
      <c r="S808" s="9"/>
      <c r="T808" s="9"/>
      <c r="U808" s="9"/>
      <c r="V808" s="9"/>
      <c r="W808" s="14"/>
      <c r="X808" s="9"/>
      <c r="Y808" s="9"/>
      <c r="Z808" s="15"/>
      <c r="AA808" s="15"/>
      <c r="AB808" s="15"/>
      <c r="AC808" s="15"/>
      <c r="AD808" s="15"/>
      <c r="AE808" s="15"/>
      <c r="AF808" s="15"/>
      <c r="AG808" s="15"/>
      <c r="AH808" s="15"/>
      <c r="AI808" s="15"/>
    </row>
    <row r="809" ht="15.75" customHeight="1">
      <c r="A809" s="16"/>
      <c r="B809" s="18"/>
      <c r="C809" s="18"/>
      <c r="D809" s="18"/>
      <c r="E809" s="18"/>
      <c r="F809" s="18"/>
      <c r="G809" s="17"/>
      <c r="H809" s="18"/>
      <c r="I809" s="17"/>
      <c r="J809" s="17"/>
      <c r="K809" s="17"/>
      <c r="L809" s="17"/>
      <c r="M809" s="17"/>
      <c r="N809" s="17"/>
      <c r="O809" s="59"/>
      <c r="P809" s="17"/>
      <c r="Q809" s="17"/>
      <c r="R809" s="65"/>
      <c r="S809" s="17"/>
      <c r="T809" s="17"/>
      <c r="U809" s="17"/>
      <c r="V809" s="17"/>
      <c r="W809" s="18"/>
      <c r="X809" s="17"/>
      <c r="Y809" s="17"/>
      <c r="Z809" s="24"/>
      <c r="AA809" s="24"/>
      <c r="AB809" s="24"/>
      <c r="AC809" s="24"/>
      <c r="AD809" s="24"/>
      <c r="AE809" s="24"/>
      <c r="AF809" s="24"/>
      <c r="AG809" s="24"/>
      <c r="AH809" s="24"/>
      <c r="AI809" s="24"/>
    </row>
    <row r="810" ht="15.75" customHeight="1">
      <c r="A810" s="8"/>
      <c r="B810" s="14"/>
      <c r="C810" s="14"/>
      <c r="D810" s="14"/>
      <c r="E810" s="9"/>
      <c r="F810" s="14"/>
      <c r="G810" s="9"/>
      <c r="H810" s="14"/>
      <c r="I810" s="9"/>
      <c r="J810" s="9"/>
      <c r="K810" s="9"/>
      <c r="L810" s="9"/>
      <c r="M810" s="9"/>
      <c r="N810" s="9"/>
      <c r="O810" s="60"/>
      <c r="P810" s="9"/>
      <c r="Q810" s="9"/>
      <c r="R810" s="64"/>
      <c r="S810" s="9"/>
      <c r="T810" s="9"/>
      <c r="U810" s="9"/>
      <c r="V810" s="9"/>
      <c r="W810" s="8"/>
      <c r="X810" s="9"/>
      <c r="Y810" s="9"/>
      <c r="Z810" s="15"/>
      <c r="AA810" s="15"/>
      <c r="AB810" s="15"/>
      <c r="AC810" s="15"/>
      <c r="AD810" s="15"/>
      <c r="AE810" s="15"/>
      <c r="AF810" s="15"/>
      <c r="AG810" s="15"/>
      <c r="AH810" s="15"/>
      <c r="AI810" s="15"/>
    </row>
    <row r="811" ht="15.75" customHeight="1">
      <c r="A811" s="16"/>
      <c r="B811" s="18"/>
      <c r="C811" s="18"/>
      <c r="D811" s="18"/>
      <c r="E811" s="18"/>
      <c r="F811" s="18"/>
      <c r="G811" s="17"/>
      <c r="H811" s="18"/>
      <c r="I811" s="17"/>
      <c r="J811" s="17"/>
      <c r="K811" s="17"/>
      <c r="L811" s="17"/>
      <c r="M811" s="17"/>
      <c r="N811" s="17"/>
      <c r="O811" s="59"/>
      <c r="P811" s="17"/>
      <c r="Q811" s="17"/>
      <c r="R811" s="65"/>
      <c r="S811" s="17"/>
      <c r="T811" s="17"/>
      <c r="U811" s="17"/>
      <c r="V811" s="17"/>
      <c r="W811" s="18"/>
      <c r="X811" s="17"/>
      <c r="Y811" s="17"/>
      <c r="Z811" s="24"/>
      <c r="AA811" s="24"/>
      <c r="AB811" s="24"/>
      <c r="AC811" s="24"/>
      <c r="AD811" s="24"/>
      <c r="AE811" s="24"/>
      <c r="AF811" s="24"/>
      <c r="AG811" s="24"/>
      <c r="AH811" s="24"/>
      <c r="AI811" s="24"/>
    </row>
    <row r="812" ht="15.75" customHeight="1">
      <c r="A812" s="8"/>
      <c r="B812" s="14"/>
      <c r="C812" s="14"/>
      <c r="D812" s="14"/>
      <c r="E812" s="9"/>
      <c r="F812" s="14"/>
      <c r="G812" s="9"/>
      <c r="H812" s="14"/>
      <c r="I812" s="9"/>
      <c r="J812" s="9"/>
      <c r="K812" s="9"/>
      <c r="L812" s="9"/>
      <c r="M812" s="9"/>
      <c r="N812" s="9"/>
      <c r="O812" s="60"/>
      <c r="P812" s="9"/>
      <c r="Q812" s="9"/>
      <c r="R812" s="64"/>
      <c r="S812" s="9"/>
      <c r="T812" s="9"/>
      <c r="U812" s="9"/>
      <c r="V812" s="9"/>
      <c r="W812" s="14"/>
      <c r="X812" s="9"/>
      <c r="Y812" s="9"/>
      <c r="Z812" s="15"/>
      <c r="AA812" s="15"/>
      <c r="AB812" s="15"/>
      <c r="AC812" s="15"/>
      <c r="AD812" s="15"/>
      <c r="AE812" s="15"/>
      <c r="AF812" s="15"/>
      <c r="AG812" s="15"/>
      <c r="AH812" s="15"/>
      <c r="AI812" s="15"/>
    </row>
    <row r="813" ht="15.75" customHeight="1">
      <c r="A813" s="16"/>
      <c r="B813" s="18"/>
      <c r="C813" s="18"/>
      <c r="D813" s="18"/>
      <c r="E813" s="18"/>
      <c r="F813" s="18"/>
      <c r="G813" s="17"/>
      <c r="H813" s="18"/>
      <c r="I813" s="17"/>
      <c r="J813" s="17"/>
      <c r="K813" s="17"/>
      <c r="L813" s="17"/>
      <c r="M813" s="17"/>
      <c r="N813" s="17"/>
      <c r="O813" s="59"/>
      <c r="P813" s="17"/>
      <c r="Q813" s="17"/>
      <c r="R813" s="65"/>
      <c r="S813" s="17"/>
      <c r="T813" s="17"/>
      <c r="U813" s="17"/>
      <c r="V813" s="17"/>
      <c r="W813" s="16"/>
      <c r="X813" s="17"/>
      <c r="Y813" s="17"/>
      <c r="Z813" s="24"/>
      <c r="AA813" s="24"/>
      <c r="AB813" s="24"/>
      <c r="AC813" s="24"/>
      <c r="AD813" s="24"/>
      <c r="AE813" s="24"/>
      <c r="AF813" s="24"/>
      <c r="AG813" s="24"/>
      <c r="AH813" s="24"/>
      <c r="AI813" s="24"/>
    </row>
    <row r="814" ht="15.75" customHeight="1">
      <c r="A814" s="8"/>
      <c r="B814" s="14"/>
      <c r="C814" s="14"/>
      <c r="D814" s="14"/>
      <c r="E814" s="9"/>
      <c r="F814" s="14"/>
      <c r="G814" s="9"/>
      <c r="H814" s="14"/>
      <c r="I814" s="9"/>
      <c r="J814" s="9"/>
      <c r="K814" s="9"/>
      <c r="L814" s="9"/>
      <c r="M814" s="9"/>
      <c r="N814" s="9"/>
      <c r="O814" s="60"/>
      <c r="P814" s="9"/>
      <c r="Q814" s="9"/>
      <c r="R814" s="64"/>
      <c r="S814" s="9"/>
      <c r="T814" s="9"/>
      <c r="U814" s="9"/>
      <c r="V814" s="9"/>
      <c r="W814" s="14"/>
      <c r="X814" s="9"/>
      <c r="Y814" s="9"/>
      <c r="Z814" s="15"/>
      <c r="AA814" s="15"/>
      <c r="AB814" s="15"/>
      <c r="AC814" s="15"/>
      <c r="AD814" s="15"/>
      <c r="AE814" s="15"/>
      <c r="AF814" s="15"/>
      <c r="AG814" s="15"/>
      <c r="AH814" s="15"/>
      <c r="AI814" s="15"/>
    </row>
    <row r="815" ht="15.75" customHeight="1">
      <c r="A815" s="16"/>
      <c r="B815" s="18"/>
      <c r="C815" s="18"/>
      <c r="D815" s="18"/>
      <c r="E815" s="18"/>
      <c r="F815" s="18"/>
      <c r="G815" s="17"/>
      <c r="H815" s="18"/>
      <c r="I815" s="17"/>
      <c r="J815" s="17"/>
      <c r="K815" s="17"/>
      <c r="L815" s="17"/>
      <c r="M815" s="17"/>
      <c r="N815" s="17"/>
      <c r="O815" s="59"/>
      <c r="P815" s="17"/>
      <c r="Q815" s="17"/>
      <c r="R815" s="65"/>
      <c r="S815" s="17"/>
      <c r="T815" s="17"/>
      <c r="U815" s="17"/>
      <c r="V815" s="17"/>
      <c r="W815" s="18"/>
      <c r="X815" s="17"/>
      <c r="Y815" s="17"/>
      <c r="Z815" s="24"/>
      <c r="AA815" s="24"/>
      <c r="AB815" s="24"/>
      <c r="AC815" s="24"/>
      <c r="AD815" s="24"/>
      <c r="AE815" s="24"/>
      <c r="AF815" s="24"/>
      <c r="AG815" s="24"/>
      <c r="AH815" s="24"/>
      <c r="AI815" s="24"/>
    </row>
    <row r="816" ht="15.75" customHeight="1">
      <c r="A816" s="8"/>
      <c r="B816" s="14"/>
      <c r="C816" s="14"/>
      <c r="D816" s="14"/>
      <c r="E816" s="9"/>
      <c r="F816" s="14"/>
      <c r="G816" s="9"/>
      <c r="H816" s="14"/>
      <c r="I816" s="9"/>
      <c r="J816" s="9"/>
      <c r="K816" s="9"/>
      <c r="L816" s="9"/>
      <c r="M816" s="9"/>
      <c r="N816" s="9"/>
      <c r="O816" s="60"/>
      <c r="P816" s="9"/>
      <c r="Q816" s="9"/>
      <c r="R816" s="64"/>
      <c r="S816" s="9"/>
      <c r="T816" s="9"/>
      <c r="U816" s="9"/>
      <c r="V816" s="9"/>
      <c r="W816" s="8"/>
      <c r="X816" s="9"/>
      <c r="Y816" s="9"/>
      <c r="Z816" s="15"/>
      <c r="AA816" s="15"/>
      <c r="AB816" s="15"/>
      <c r="AC816" s="15"/>
      <c r="AD816" s="15"/>
      <c r="AE816" s="15"/>
      <c r="AF816" s="15"/>
      <c r="AG816" s="15"/>
      <c r="AH816" s="15"/>
      <c r="AI816" s="15"/>
    </row>
    <row r="817" ht="15.75" customHeight="1">
      <c r="A817" s="16"/>
      <c r="B817" s="18"/>
      <c r="C817" s="18"/>
      <c r="D817" s="18"/>
      <c r="E817" s="18"/>
      <c r="F817" s="18"/>
      <c r="G817" s="17"/>
      <c r="H817" s="18"/>
      <c r="I817" s="17"/>
      <c r="J817" s="17"/>
      <c r="K817" s="17"/>
      <c r="L817" s="17"/>
      <c r="M817" s="17"/>
      <c r="N817" s="17"/>
      <c r="O817" s="59"/>
      <c r="P817" s="17"/>
      <c r="Q817" s="17"/>
      <c r="R817" s="65"/>
      <c r="S817" s="17"/>
      <c r="T817" s="17"/>
      <c r="U817" s="17"/>
      <c r="V817" s="17"/>
      <c r="W817" s="18"/>
      <c r="X817" s="17"/>
      <c r="Y817" s="17"/>
      <c r="Z817" s="24"/>
      <c r="AA817" s="24"/>
      <c r="AB817" s="24"/>
      <c r="AC817" s="24"/>
      <c r="AD817" s="24"/>
      <c r="AE817" s="24"/>
      <c r="AF817" s="24"/>
      <c r="AG817" s="24"/>
      <c r="AH817" s="24"/>
      <c r="AI817" s="24"/>
    </row>
    <row r="818" ht="15.75" customHeight="1">
      <c r="A818" s="8"/>
      <c r="B818" s="14"/>
      <c r="C818" s="14"/>
      <c r="D818" s="14"/>
      <c r="E818" s="9"/>
      <c r="F818" s="14"/>
      <c r="G818" s="9"/>
      <c r="H818" s="14"/>
      <c r="I818" s="9"/>
      <c r="J818" s="9"/>
      <c r="K818" s="9"/>
      <c r="L818" s="9"/>
      <c r="M818" s="9"/>
      <c r="N818" s="9"/>
      <c r="O818" s="60"/>
      <c r="P818" s="9"/>
      <c r="Q818" s="9"/>
      <c r="R818" s="64"/>
      <c r="S818" s="9"/>
      <c r="T818" s="9"/>
      <c r="U818" s="9"/>
      <c r="V818" s="9"/>
      <c r="W818" s="14"/>
      <c r="X818" s="9"/>
      <c r="Y818" s="9"/>
      <c r="Z818" s="15"/>
      <c r="AA818" s="15"/>
      <c r="AB818" s="15"/>
      <c r="AC818" s="15"/>
      <c r="AD818" s="15"/>
      <c r="AE818" s="15"/>
      <c r="AF818" s="15"/>
      <c r="AG818" s="15"/>
      <c r="AH818" s="15"/>
      <c r="AI818" s="15"/>
    </row>
    <row r="819" ht="15.75" customHeight="1">
      <c r="A819" s="16"/>
      <c r="B819" s="18"/>
      <c r="C819" s="18"/>
      <c r="D819" s="18"/>
      <c r="E819" s="18"/>
      <c r="F819" s="18"/>
      <c r="G819" s="17"/>
      <c r="H819" s="18"/>
      <c r="I819" s="17"/>
      <c r="J819" s="17"/>
      <c r="K819" s="17"/>
      <c r="L819" s="17"/>
      <c r="M819" s="17"/>
      <c r="N819" s="17"/>
      <c r="O819" s="59"/>
      <c r="P819" s="17"/>
      <c r="Q819" s="17"/>
      <c r="R819" s="65"/>
      <c r="S819" s="17"/>
      <c r="T819" s="17"/>
      <c r="U819" s="17"/>
      <c r="V819" s="17"/>
      <c r="W819" s="16"/>
      <c r="X819" s="17"/>
      <c r="Y819" s="17"/>
      <c r="Z819" s="24"/>
      <c r="AA819" s="24"/>
      <c r="AB819" s="24"/>
      <c r="AC819" s="24"/>
      <c r="AD819" s="24"/>
      <c r="AE819" s="24"/>
      <c r="AF819" s="24"/>
      <c r="AG819" s="24"/>
      <c r="AH819" s="24"/>
      <c r="AI819" s="24"/>
    </row>
    <row r="820" ht="15.75" customHeight="1">
      <c r="A820" s="8"/>
      <c r="B820" s="14"/>
      <c r="C820" s="14"/>
      <c r="D820" s="14"/>
      <c r="E820" s="9"/>
      <c r="F820" s="14"/>
      <c r="G820" s="9"/>
      <c r="H820" s="14"/>
      <c r="I820" s="9"/>
      <c r="J820" s="9"/>
      <c r="K820" s="9"/>
      <c r="L820" s="9"/>
      <c r="M820" s="9"/>
      <c r="N820" s="9"/>
      <c r="O820" s="60"/>
      <c r="P820" s="9"/>
      <c r="Q820" s="9"/>
      <c r="R820" s="64"/>
      <c r="S820" s="9"/>
      <c r="T820" s="9"/>
      <c r="U820" s="9"/>
      <c r="V820" s="9"/>
      <c r="W820" s="14"/>
      <c r="X820" s="9"/>
      <c r="Y820" s="9"/>
      <c r="Z820" s="15"/>
      <c r="AA820" s="15"/>
      <c r="AB820" s="15"/>
      <c r="AC820" s="15"/>
      <c r="AD820" s="15"/>
      <c r="AE820" s="15"/>
      <c r="AF820" s="15"/>
      <c r="AG820" s="15"/>
      <c r="AH820" s="15"/>
      <c r="AI820" s="15"/>
    </row>
    <row r="821" ht="15.75" customHeight="1">
      <c r="A821" s="16"/>
      <c r="B821" s="18"/>
      <c r="C821" s="18"/>
      <c r="D821" s="18"/>
      <c r="E821" s="18"/>
      <c r="F821" s="18"/>
      <c r="G821" s="17"/>
      <c r="H821" s="18"/>
      <c r="I821" s="17"/>
      <c r="J821" s="17"/>
      <c r="K821" s="17"/>
      <c r="L821" s="17"/>
      <c r="M821" s="17"/>
      <c r="N821" s="17"/>
      <c r="O821" s="59"/>
      <c r="P821" s="17"/>
      <c r="Q821" s="17"/>
      <c r="R821" s="65"/>
      <c r="S821" s="17"/>
      <c r="T821" s="17"/>
      <c r="U821" s="17"/>
      <c r="V821" s="17"/>
      <c r="W821" s="18"/>
      <c r="X821" s="17"/>
      <c r="Y821" s="17"/>
      <c r="Z821" s="24"/>
      <c r="AA821" s="24"/>
      <c r="AB821" s="24"/>
      <c r="AC821" s="24"/>
      <c r="AD821" s="24"/>
      <c r="AE821" s="24"/>
      <c r="AF821" s="24"/>
      <c r="AG821" s="24"/>
      <c r="AH821" s="24"/>
      <c r="AI821" s="24"/>
    </row>
    <row r="822" ht="15.75" customHeight="1">
      <c r="A822" s="8"/>
      <c r="B822" s="14"/>
      <c r="C822" s="14"/>
      <c r="D822" s="14"/>
      <c r="E822" s="9"/>
      <c r="F822" s="14"/>
      <c r="G822" s="9"/>
      <c r="H822" s="14"/>
      <c r="I822" s="9"/>
      <c r="J822" s="9"/>
      <c r="K822" s="9"/>
      <c r="L822" s="9"/>
      <c r="M822" s="9"/>
      <c r="N822" s="9"/>
      <c r="O822" s="60"/>
      <c r="P822" s="9"/>
      <c r="Q822" s="9"/>
      <c r="R822" s="64"/>
      <c r="S822" s="9"/>
      <c r="T822" s="9"/>
      <c r="U822" s="9"/>
      <c r="V822" s="9"/>
      <c r="W822" s="8"/>
      <c r="X822" s="9"/>
      <c r="Y822" s="9"/>
      <c r="Z822" s="15"/>
      <c r="AA822" s="15"/>
      <c r="AB822" s="15"/>
      <c r="AC822" s="15"/>
      <c r="AD822" s="15"/>
      <c r="AE822" s="15"/>
      <c r="AF822" s="15"/>
      <c r="AG822" s="15"/>
      <c r="AH822" s="15"/>
      <c r="AI822" s="15"/>
    </row>
    <row r="823" ht="15.75" customHeight="1">
      <c r="A823" s="16"/>
      <c r="B823" s="18"/>
      <c r="C823" s="18"/>
      <c r="D823" s="18"/>
      <c r="E823" s="18"/>
      <c r="F823" s="18"/>
      <c r="G823" s="17"/>
      <c r="H823" s="18"/>
      <c r="I823" s="17"/>
      <c r="J823" s="17"/>
      <c r="K823" s="17"/>
      <c r="L823" s="17"/>
      <c r="M823" s="17"/>
      <c r="N823" s="17"/>
      <c r="O823" s="59"/>
      <c r="P823" s="17"/>
      <c r="Q823" s="17"/>
      <c r="R823" s="65"/>
      <c r="S823" s="17"/>
      <c r="T823" s="17"/>
      <c r="U823" s="17"/>
      <c r="V823" s="17"/>
      <c r="W823" s="18"/>
      <c r="X823" s="17"/>
      <c r="Y823" s="17"/>
      <c r="Z823" s="24"/>
      <c r="AA823" s="24"/>
      <c r="AB823" s="24"/>
      <c r="AC823" s="24"/>
      <c r="AD823" s="24"/>
      <c r="AE823" s="24"/>
      <c r="AF823" s="24"/>
      <c r="AG823" s="24"/>
      <c r="AH823" s="24"/>
      <c r="AI823" s="24"/>
    </row>
    <row r="824" ht="15.75" customHeight="1">
      <c r="A824" s="8"/>
      <c r="B824" s="14"/>
      <c r="C824" s="14"/>
      <c r="D824" s="14"/>
      <c r="E824" s="9"/>
      <c r="F824" s="14"/>
      <c r="G824" s="9"/>
      <c r="H824" s="14"/>
      <c r="I824" s="9"/>
      <c r="J824" s="9"/>
      <c r="K824" s="9"/>
      <c r="L824" s="9"/>
      <c r="M824" s="9"/>
      <c r="N824" s="9"/>
      <c r="O824" s="60"/>
      <c r="P824" s="9"/>
      <c r="Q824" s="9"/>
      <c r="R824" s="64"/>
      <c r="S824" s="9"/>
      <c r="T824" s="9"/>
      <c r="U824" s="9"/>
      <c r="V824" s="9"/>
      <c r="W824" s="14"/>
      <c r="X824" s="9"/>
      <c r="Y824" s="9"/>
      <c r="Z824" s="15"/>
      <c r="AA824" s="15"/>
      <c r="AB824" s="15"/>
      <c r="AC824" s="15"/>
      <c r="AD824" s="15"/>
      <c r="AE824" s="15"/>
      <c r="AF824" s="15"/>
      <c r="AG824" s="15"/>
      <c r="AH824" s="15"/>
      <c r="AI824" s="15"/>
    </row>
    <row r="825" ht="15.75" customHeight="1">
      <c r="A825" s="16"/>
      <c r="B825" s="18"/>
      <c r="C825" s="18"/>
      <c r="D825" s="18"/>
      <c r="E825" s="18"/>
      <c r="F825" s="18"/>
      <c r="G825" s="17"/>
      <c r="H825" s="18"/>
      <c r="I825" s="17"/>
      <c r="J825" s="17"/>
      <c r="K825" s="17"/>
      <c r="L825" s="17"/>
      <c r="M825" s="17"/>
      <c r="N825" s="17"/>
      <c r="O825" s="59"/>
      <c r="P825" s="17"/>
      <c r="Q825" s="17"/>
      <c r="R825" s="65"/>
      <c r="S825" s="17"/>
      <c r="T825" s="17"/>
      <c r="U825" s="17"/>
      <c r="V825" s="17"/>
      <c r="W825" s="16"/>
      <c r="X825" s="17"/>
      <c r="Y825" s="17"/>
      <c r="Z825" s="24"/>
      <c r="AA825" s="24"/>
      <c r="AB825" s="24"/>
      <c r="AC825" s="24"/>
      <c r="AD825" s="24"/>
      <c r="AE825" s="24"/>
      <c r="AF825" s="24"/>
      <c r="AG825" s="24"/>
      <c r="AH825" s="24"/>
      <c r="AI825" s="24"/>
    </row>
    <row r="826" ht="15.75" customHeight="1">
      <c r="A826" s="8"/>
      <c r="B826" s="14"/>
      <c r="C826" s="14"/>
      <c r="D826" s="14"/>
      <c r="E826" s="9"/>
      <c r="F826" s="14"/>
      <c r="G826" s="9"/>
      <c r="H826" s="14"/>
      <c r="I826" s="9"/>
      <c r="J826" s="9"/>
      <c r="K826" s="9"/>
      <c r="L826" s="9"/>
      <c r="M826" s="9"/>
      <c r="N826" s="9"/>
      <c r="O826" s="60"/>
      <c r="P826" s="9"/>
      <c r="Q826" s="9"/>
      <c r="R826" s="64"/>
      <c r="S826" s="9"/>
      <c r="T826" s="9"/>
      <c r="U826" s="9"/>
      <c r="V826" s="9"/>
      <c r="W826" s="14"/>
      <c r="X826" s="9"/>
      <c r="Y826" s="9"/>
      <c r="Z826" s="15"/>
      <c r="AA826" s="15"/>
      <c r="AB826" s="15"/>
      <c r="AC826" s="15"/>
      <c r="AD826" s="15"/>
      <c r="AE826" s="15"/>
      <c r="AF826" s="15"/>
      <c r="AG826" s="15"/>
      <c r="AH826" s="15"/>
      <c r="AI826" s="15"/>
    </row>
    <row r="827" ht="15.75" customHeight="1">
      <c r="A827" s="16"/>
      <c r="B827" s="18"/>
      <c r="C827" s="18"/>
      <c r="D827" s="18"/>
      <c r="E827" s="18"/>
      <c r="F827" s="18"/>
      <c r="G827" s="17"/>
      <c r="H827" s="18"/>
      <c r="I827" s="17"/>
      <c r="J827" s="17"/>
      <c r="K827" s="17"/>
      <c r="L827" s="17"/>
      <c r="M827" s="17"/>
      <c r="N827" s="17"/>
      <c r="O827" s="59"/>
      <c r="P827" s="17"/>
      <c r="Q827" s="17"/>
      <c r="R827" s="65"/>
      <c r="S827" s="17"/>
      <c r="T827" s="17"/>
      <c r="U827" s="17"/>
      <c r="V827" s="17"/>
      <c r="W827" s="18"/>
      <c r="X827" s="17"/>
      <c r="Y827" s="17"/>
      <c r="Z827" s="24"/>
      <c r="AA827" s="24"/>
      <c r="AB827" s="24"/>
      <c r="AC827" s="24"/>
      <c r="AD827" s="24"/>
      <c r="AE827" s="24"/>
      <c r="AF827" s="24"/>
      <c r="AG827" s="24"/>
      <c r="AH827" s="24"/>
      <c r="AI827" s="24"/>
    </row>
    <row r="828" ht="15.75" customHeight="1">
      <c r="A828" s="8"/>
      <c r="B828" s="14"/>
      <c r="C828" s="14"/>
      <c r="D828" s="14"/>
      <c r="E828" s="9"/>
      <c r="F828" s="14"/>
      <c r="G828" s="9"/>
      <c r="H828" s="14"/>
      <c r="I828" s="9"/>
      <c r="J828" s="9"/>
      <c r="K828" s="9"/>
      <c r="L828" s="9"/>
      <c r="M828" s="9"/>
      <c r="N828" s="9"/>
      <c r="O828" s="60"/>
      <c r="P828" s="9"/>
      <c r="Q828" s="9"/>
      <c r="R828" s="64"/>
      <c r="S828" s="9"/>
      <c r="T828" s="9"/>
      <c r="U828" s="9"/>
      <c r="V828" s="9"/>
      <c r="W828" s="8"/>
      <c r="X828" s="9"/>
      <c r="Y828" s="9"/>
      <c r="Z828" s="15"/>
      <c r="AA828" s="15"/>
      <c r="AB828" s="15"/>
      <c r="AC828" s="15"/>
      <c r="AD828" s="15"/>
      <c r="AE828" s="15"/>
      <c r="AF828" s="15"/>
      <c r="AG828" s="15"/>
      <c r="AH828" s="15"/>
      <c r="AI828" s="15"/>
    </row>
    <row r="829" ht="15.75" customHeight="1">
      <c r="A829" s="16"/>
      <c r="B829" s="18"/>
      <c r="C829" s="18"/>
      <c r="D829" s="18"/>
      <c r="E829" s="18"/>
      <c r="F829" s="18"/>
      <c r="G829" s="17"/>
      <c r="H829" s="18"/>
      <c r="I829" s="17"/>
      <c r="J829" s="17"/>
      <c r="K829" s="17"/>
      <c r="L829" s="17"/>
      <c r="M829" s="17"/>
      <c r="N829" s="17"/>
      <c r="O829" s="59"/>
      <c r="P829" s="17"/>
      <c r="Q829" s="17"/>
      <c r="R829" s="65"/>
      <c r="S829" s="17"/>
      <c r="T829" s="17"/>
      <c r="U829" s="17"/>
      <c r="V829" s="17"/>
      <c r="W829" s="18"/>
      <c r="X829" s="17"/>
      <c r="Y829" s="17"/>
      <c r="Z829" s="24"/>
      <c r="AA829" s="24"/>
      <c r="AB829" s="24"/>
      <c r="AC829" s="24"/>
      <c r="AD829" s="24"/>
      <c r="AE829" s="24"/>
      <c r="AF829" s="24"/>
      <c r="AG829" s="24"/>
      <c r="AH829" s="24"/>
      <c r="AI829" s="24"/>
    </row>
    <row r="830" ht="15.75" customHeight="1">
      <c r="A830" s="8"/>
      <c r="B830" s="14"/>
      <c r="C830" s="14"/>
      <c r="D830" s="14"/>
      <c r="E830" s="9"/>
      <c r="F830" s="14"/>
      <c r="G830" s="9"/>
      <c r="H830" s="14"/>
      <c r="I830" s="9"/>
      <c r="J830" s="9"/>
      <c r="K830" s="9"/>
      <c r="L830" s="9"/>
      <c r="M830" s="9"/>
      <c r="N830" s="9"/>
      <c r="O830" s="60"/>
      <c r="P830" s="9"/>
      <c r="Q830" s="9"/>
      <c r="R830" s="64"/>
      <c r="S830" s="9"/>
      <c r="T830" s="9"/>
      <c r="U830" s="9"/>
      <c r="V830" s="9"/>
      <c r="W830" s="14"/>
      <c r="X830" s="9"/>
      <c r="Y830" s="9"/>
      <c r="Z830" s="15"/>
      <c r="AA830" s="15"/>
      <c r="AB830" s="15"/>
      <c r="AC830" s="15"/>
      <c r="AD830" s="15"/>
      <c r="AE830" s="15"/>
      <c r="AF830" s="15"/>
      <c r="AG830" s="15"/>
      <c r="AH830" s="15"/>
      <c r="AI830" s="15"/>
    </row>
    <row r="831" ht="15.75" customHeight="1">
      <c r="A831" s="16"/>
      <c r="B831" s="18"/>
      <c r="C831" s="18"/>
      <c r="D831" s="18"/>
      <c r="E831" s="18"/>
      <c r="F831" s="18"/>
      <c r="G831" s="17"/>
      <c r="H831" s="18"/>
      <c r="I831" s="17"/>
      <c r="J831" s="17"/>
      <c r="K831" s="17"/>
      <c r="L831" s="17"/>
      <c r="M831" s="17"/>
      <c r="N831" s="17"/>
      <c r="O831" s="59"/>
      <c r="P831" s="17"/>
      <c r="Q831" s="17"/>
      <c r="R831" s="65"/>
      <c r="S831" s="17"/>
      <c r="T831" s="17"/>
      <c r="U831" s="17"/>
      <c r="V831" s="17"/>
      <c r="W831" s="16"/>
      <c r="X831" s="17"/>
      <c r="Y831" s="17"/>
      <c r="Z831" s="24"/>
      <c r="AA831" s="24"/>
      <c r="AB831" s="24"/>
      <c r="AC831" s="24"/>
      <c r="AD831" s="24"/>
      <c r="AE831" s="24"/>
      <c r="AF831" s="24"/>
      <c r="AG831" s="24"/>
      <c r="AH831" s="24"/>
      <c r="AI831" s="24"/>
    </row>
    <row r="832" ht="15.75" customHeight="1">
      <c r="A832" s="8"/>
      <c r="B832" s="14"/>
      <c r="C832" s="14"/>
      <c r="D832" s="14"/>
      <c r="E832" s="9"/>
      <c r="F832" s="14"/>
      <c r="G832" s="9"/>
      <c r="H832" s="14"/>
      <c r="I832" s="9"/>
      <c r="J832" s="9"/>
      <c r="K832" s="9"/>
      <c r="L832" s="9"/>
      <c r="M832" s="9"/>
      <c r="N832" s="9"/>
      <c r="O832" s="60"/>
      <c r="P832" s="9"/>
      <c r="Q832" s="9"/>
      <c r="R832" s="64"/>
      <c r="S832" s="9"/>
      <c r="T832" s="9"/>
      <c r="U832" s="9"/>
      <c r="V832" s="9"/>
      <c r="W832" s="14"/>
      <c r="X832" s="9"/>
      <c r="Y832" s="9"/>
      <c r="Z832" s="15"/>
      <c r="AA832" s="15"/>
      <c r="AB832" s="15"/>
      <c r="AC832" s="15"/>
      <c r="AD832" s="15"/>
      <c r="AE832" s="15"/>
      <c r="AF832" s="15"/>
      <c r="AG832" s="15"/>
      <c r="AH832" s="15"/>
      <c r="AI832" s="15"/>
    </row>
    <row r="833" ht="15.75" customHeight="1">
      <c r="A833" s="16"/>
      <c r="B833" s="18"/>
      <c r="C833" s="18"/>
      <c r="D833" s="18"/>
      <c r="E833" s="18"/>
      <c r="F833" s="18"/>
      <c r="G833" s="17"/>
      <c r="H833" s="18"/>
      <c r="I833" s="17"/>
      <c r="J833" s="17"/>
      <c r="K833" s="17"/>
      <c r="L833" s="17"/>
      <c r="M833" s="17"/>
      <c r="N833" s="17"/>
      <c r="O833" s="59"/>
      <c r="P833" s="17"/>
      <c r="Q833" s="17"/>
      <c r="R833" s="65"/>
      <c r="S833" s="17"/>
      <c r="T833" s="17"/>
      <c r="U833" s="17"/>
      <c r="V833" s="17"/>
      <c r="W833" s="18"/>
      <c r="X833" s="17"/>
      <c r="Y833" s="17"/>
      <c r="Z833" s="24"/>
      <c r="AA833" s="24"/>
      <c r="AB833" s="24"/>
      <c r="AC833" s="24"/>
      <c r="AD833" s="24"/>
      <c r="AE833" s="24"/>
      <c r="AF833" s="24"/>
      <c r="AG833" s="24"/>
      <c r="AH833" s="24"/>
      <c r="AI833" s="24"/>
    </row>
    <row r="834" ht="15.75" customHeight="1">
      <c r="A834" s="8"/>
      <c r="B834" s="14"/>
      <c r="C834" s="14"/>
      <c r="D834" s="14"/>
      <c r="E834" s="9"/>
      <c r="F834" s="14"/>
      <c r="G834" s="9"/>
      <c r="H834" s="14"/>
      <c r="I834" s="9"/>
      <c r="J834" s="9"/>
      <c r="K834" s="9"/>
      <c r="L834" s="9"/>
      <c r="M834" s="9"/>
      <c r="N834" s="9"/>
      <c r="O834" s="60"/>
      <c r="P834" s="9"/>
      <c r="Q834" s="9"/>
      <c r="R834" s="64"/>
      <c r="S834" s="9"/>
      <c r="T834" s="9"/>
      <c r="U834" s="9"/>
      <c r="V834" s="9"/>
      <c r="W834" s="8"/>
      <c r="X834" s="9"/>
      <c r="Y834" s="9"/>
      <c r="Z834" s="15"/>
      <c r="AA834" s="15"/>
      <c r="AB834" s="15"/>
      <c r="AC834" s="15"/>
      <c r="AD834" s="15"/>
      <c r="AE834" s="15"/>
      <c r="AF834" s="15"/>
      <c r="AG834" s="15"/>
      <c r="AH834" s="15"/>
      <c r="AI834" s="15"/>
    </row>
    <row r="835" ht="15.75" customHeight="1">
      <c r="A835" s="16"/>
      <c r="B835" s="18"/>
      <c r="C835" s="18"/>
      <c r="D835" s="18"/>
      <c r="E835" s="18"/>
      <c r="F835" s="18"/>
      <c r="G835" s="17"/>
      <c r="H835" s="18"/>
      <c r="I835" s="17"/>
      <c r="J835" s="17"/>
      <c r="K835" s="17"/>
      <c r="L835" s="17"/>
      <c r="M835" s="17"/>
      <c r="N835" s="17"/>
      <c r="O835" s="59"/>
      <c r="P835" s="17"/>
      <c r="Q835" s="17"/>
      <c r="R835" s="65"/>
      <c r="S835" s="17"/>
      <c r="T835" s="17"/>
      <c r="U835" s="17"/>
      <c r="V835" s="17"/>
      <c r="W835" s="18"/>
      <c r="X835" s="17"/>
      <c r="Y835" s="17"/>
      <c r="Z835" s="24"/>
      <c r="AA835" s="24"/>
      <c r="AB835" s="24"/>
      <c r="AC835" s="24"/>
      <c r="AD835" s="24"/>
      <c r="AE835" s="24"/>
      <c r="AF835" s="24"/>
      <c r="AG835" s="24"/>
      <c r="AH835" s="24"/>
      <c r="AI835" s="24"/>
    </row>
    <row r="836" ht="15.75" customHeight="1">
      <c r="A836" s="8"/>
      <c r="B836" s="14"/>
      <c r="C836" s="14"/>
      <c r="D836" s="14"/>
      <c r="E836" s="9"/>
      <c r="F836" s="14"/>
      <c r="G836" s="9"/>
      <c r="H836" s="14"/>
      <c r="I836" s="9"/>
      <c r="J836" s="9"/>
      <c r="K836" s="9"/>
      <c r="L836" s="9"/>
      <c r="M836" s="9"/>
      <c r="N836" s="9"/>
      <c r="O836" s="60"/>
      <c r="P836" s="9"/>
      <c r="Q836" s="9"/>
      <c r="R836" s="64"/>
      <c r="S836" s="9"/>
      <c r="T836" s="9"/>
      <c r="U836" s="9"/>
      <c r="V836" s="9"/>
      <c r="W836" s="14"/>
      <c r="X836" s="9"/>
      <c r="Y836" s="9"/>
      <c r="Z836" s="15"/>
      <c r="AA836" s="15"/>
      <c r="AB836" s="15"/>
      <c r="AC836" s="15"/>
      <c r="AD836" s="15"/>
      <c r="AE836" s="15"/>
      <c r="AF836" s="15"/>
      <c r="AG836" s="15"/>
      <c r="AH836" s="15"/>
      <c r="AI836" s="15"/>
    </row>
    <row r="837" ht="15.75" customHeight="1">
      <c r="A837" s="16"/>
      <c r="B837" s="18"/>
      <c r="C837" s="18"/>
      <c r="D837" s="18"/>
      <c r="E837" s="18"/>
      <c r="F837" s="18"/>
      <c r="G837" s="17"/>
      <c r="H837" s="18"/>
      <c r="I837" s="17"/>
      <c r="J837" s="17"/>
      <c r="K837" s="17"/>
      <c r="L837" s="17"/>
      <c r="M837" s="17"/>
      <c r="N837" s="17"/>
      <c r="O837" s="59"/>
      <c r="P837" s="17"/>
      <c r="Q837" s="17"/>
      <c r="R837" s="65"/>
      <c r="S837" s="17"/>
      <c r="T837" s="17"/>
      <c r="U837" s="17"/>
      <c r="V837" s="17"/>
      <c r="W837" s="16"/>
      <c r="X837" s="17"/>
      <c r="Y837" s="17"/>
      <c r="Z837" s="24"/>
      <c r="AA837" s="24"/>
      <c r="AB837" s="24"/>
      <c r="AC837" s="24"/>
      <c r="AD837" s="24"/>
      <c r="AE837" s="24"/>
      <c r="AF837" s="24"/>
      <c r="AG837" s="24"/>
      <c r="AH837" s="24"/>
      <c r="AI837" s="24"/>
    </row>
    <row r="838" ht="15.75" customHeight="1">
      <c r="A838" s="8"/>
      <c r="B838" s="14"/>
      <c r="C838" s="14"/>
      <c r="D838" s="14"/>
      <c r="E838" s="9"/>
      <c r="F838" s="14"/>
      <c r="G838" s="9"/>
      <c r="H838" s="14"/>
      <c r="I838" s="9"/>
      <c r="J838" s="9"/>
      <c r="K838" s="9"/>
      <c r="L838" s="9"/>
      <c r="M838" s="9"/>
      <c r="N838" s="9"/>
      <c r="O838" s="60"/>
      <c r="P838" s="9"/>
      <c r="Q838" s="9"/>
      <c r="R838" s="64"/>
      <c r="S838" s="9"/>
      <c r="T838" s="9"/>
      <c r="U838" s="9"/>
      <c r="V838" s="9"/>
      <c r="W838" s="14"/>
      <c r="X838" s="9"/>
      <c r="Y838" s="9"/>
      <c r="Z838" s="15"/>
      <c r="AA838" s="15"/>
      <c r="AB838" s="15"/>
      <c r="AC838" s="15"/>
      <c r="AD838" s="15"/>
      <c r="AE838" s="15"/>
      <c r="AF838" s="15"/>
      <c r="AG838" s="15"/>
      <c r="AH838" s="15"/>
      <c r="AI838" s="15"/>
    </row>
    <row r="839" ht="15.75" customHeight="1">
      <c r="A839" s="16"/>
      <c r="B839" s="18"/>
      <c r="C839" s="18"/>
      <c r="D839" s="18"/>
      <c r="E839" s="18"/>
      <c r="F839" s="18"/>
      <c r="G839" s="17"/>
      <c r="H839" s="18"/>
      <c r="I839" s="17"/>
      <c r="J839" s="17"/>
      <c r="K839" s="17"/>
      <c r="L839" s="17"/>
      <c r="M839" s="17"/>
      <c r="N839" s="17"/>
      <c r="O839" s="59"/>
      <c r="P839" s="17"/>
      <c r="Q839" s="17"/>
      <c r="R839" s="65"/>
      <c r="S839" s="17"/>
      <c r="T839" s="17"/>
      <c r="U839" s="17"/>
      <c r="V839" s="17"/>
      <c r="W839" s="18"/>
      <c r="X839" s="17"/>
      <c r="Y839" s="17"/>
      <c r="Z839" s="24"/>
      <c r="AA839" s="24"/>
      <c r="AB839" s="24"/>
      <c r="AC839" s="24"/>
      <c r="AD839" s="24"/>
      <c r="AE839" s="24"/>
      <c r="AF839" s="24"/>
      <c r="AG839" s="24"/>
      <c r="AH839" s="24"/>
      <c r="AI839" s="24"/>
    </row>
    <row r="840" ht="15.75" customHeight="1">
      <c r="A840" s="8"/>
      <c r="B840" s="14"/>
      <c r="C840" s="14"/>
      <c r="D840" s="14"/>
      <c r="E840" s="9"/>
      <c r="F840" s="14"/>
      <c r="G840" s="9"/>
      <c r="H840" s="14"/>
      <c r="I840" s="9"/>
      <c r="J840" s="9"/>
      <c r="K840" s="9"/>
      <c r="L840" s="9"/>
      <c r="M840" s="9"/>
      <c r="N840" s="9"/>
      <c r="O840" s="60"/>
      <c r="P840" s="9"/>
      <c r="Q840" s="9"/>
      <c r="R840" s="64"/>
      <c r="S840" s="9"/>
      <c r="T840" s="9"/>
      <c r="U840" s="9"/>
      <c r="V840" s="9"/>
      <c r="W840" s="8"/>
      <c r="X840" s="9"/>
      <c r="Y840" s="9"/>
      <c r="Z840" s="15"/>
      <c r="AA840" s="15"/>
      <c r="AB840" s="15"/>
      <c r="AC840" s="15"/>
      <c r="AD840" s="15"/>
      <c r="AE840" s="15"/>
      <c r="AF840" s="15"/>
      <c r="AG840" s="15"/>
      <c r="AH840" s="15"/>
      <c r="AI840" s="15"/>
    </row>
    <row r="841" ht="15.75" customHeight="1">
      <c r="A841" s="16"/>
      <c r="B841" s="18"/>
      <c r="C841" s="18"/>
      <c r="D841" s="18"/>
      <c r="E841" s="18"/>
      <c r="F841" s="18"/>
      <c r="G841" s="17"/>
      <c r="H841" s="18"/>
      <c r="I841" s="17"/>
      <c r="J841" s="17"/>
      <c r="K841" s="17"/>
      <c r="L841" s="17"/>
      <c r="M841" s="17"/>
      <c r="N841" s="17"/>
      <c r="O841" s="59"/>
      <c r="P841" s="17"/>
      <c r="Q841" s="17"/>
      <c r="R841" s="65"/>
      <c r="S841" s="17"/>
      <c r="T841" s="17"/>
      <c r="U841" s="17"/>
      <c r="V841" s="17"/>
      <c r="W841" s="18"/>
      <c r="X841" s="17"/>
      <c r="Y841" s="17"/>
      <c r="Z841" s="24"/>
      <c r="AA841" s="24"/>
      <c r="AB841" s="24"/>
      <c r="AC841" s="24"/>
      <c r="AD841" s="24"/>
      <c r="AE841" s="24"/>
      <c r="AF841" s="24"/>
      <c r="AG841" s="24"/>
      <c r="AH841" s="24"/>
      <c r="AI841" s="24"/>
    </row>
    <row r="842" ht="15.75" customHeight="1">
      <c r="A842" s="8"/>
      <c r="B842" s="14"/>
      <c r="C842" s="14"/>
      <c r="D842" s="14"/>
      <c r="E842" s="9"/>
      <c r="F842" s="14"/>
      <c r="G842" s="9"/>
      <c r="H842" s="14"/>
      <c r="I842" s="9"/>
      <c r="J842" s="9"/>
      <c r="K842" s="9"/>
      <c r="L842" s="9"/>
      <c r="M842" s="9"/>
      <c r="N842" s="9"/>
      <c r="O842" s="60"/>
      <c r="P842" s="9"/>
      <c r="Q842" s="9"/>
      <c r="R842" s="64"/>
      <c r="S842" s="9"/>
      <c r="T842" s="9"/>
      <c r="U842" s="9"/>
      <c r="V842" s="9"/>
      <c r="W842" s="14"/>
      <c r="X842" s="9"/>
      <c r="Y842" s="9"/>
      <c r="Z842" s="15"/>
      <c r="AA842" s="15"/>
      <c r="AB842" s="15"/>
      <c r="AC842" s="15"/>
      <c r="AD842" s="15"/>
      <c r="AE842" s="15"/>
      <c r="AF842" s="15"/>
      <c r="AG842" s="15"/>
      <c r="AH842" s="15"/>
      <c r="AI842" s="15"/>
    </row>
    <row r="843" ht="15.75" customHeight="1">
      <c r="A843" s="16"/>
      <c r="B843" s="18"/>
      <c r="C843" s="18"/>
      <c r="D843" s="18"/>
      <c r="E843" s="18"/>
      <c r="F843" s="18"/>
      <c r="G843" s="17"/>
      <c r="H843" s="18"/>
      <c r="I843" s="17"/>
      <c r="J843" s="17"/>
      <c r="K843" s="17"/>
      <c r="L843" s="17"/>
      <c r="M843" s="17"/>
      <c r="N843" s="17"/>
      <c r="O843" s="59"/>
      <c r="P843" s="17"/>
      <c r="Q843" s="17"/>
      <c r="R843" s="65"/>
      <c r="S843" s="17"/>
      <c r="T843" s="17"/>
      <c r="U843" s="17"/>
      <c r="V843" s="17"/>
      <c r="W843" s="16"/>
      <c r="X843" s="17"/>
      <c r="Y843" s="17"/>
      <c r="Z843" s="24"/>
      <c r="AA843" s="24"/>
      <c r="AB843" s="24"/>
      <c r="AC843" s="24"/>
      <c r="AD843" s="24"/>
      <c r="AE843" s="24"/>
      <c r="AF843" s="24"/>
      <c r="AG843" s="24"/>
      <c r="AH843" s="24"/>
      <c r="AI843" s="24"/>
    </row>
    <row r="844" ht="15.75" customHeight="1">
      <c r="A844" s="8"/>
      <c r="B844" s="14"/>
      <c r="C844" s="14"/>
      <c r="D844" s="14"/>
      <c r="E844" s="9"/>
      <c r="F844" s="14"/>
      <c r="G844" s="9"/>
      <c r="H844" s="14"/>
      <c r="I844" s="9"/>
      <c r="J844" s="9"/>
      <c r="K844" s="9"/>
      <c r="L844" s="9"/>
      <c r="M844" s="9"/>
      <c r="N844" s="9"/>
      <c r="O844" s="60"/>
      <c r="P844" s="9"/>
      <c r="Q844" s="9"/>
      <c r="R844" s="64"/>
      <c r="S844" s="9"/>
      <c r="T844" s="9"/>
      <c r="U844" s="9"/>
      <c r="V844" s="9"/>
      <c r="W844" s="14"/>
      <c r="X844" s="9"/>
      <c r="Y844" s="9"/>
      <c r="Z844" s="15"/>
      <c r="AA844" s="15"/>
      <c r="AB844" s="15"/>
      <c r="AC844" s="15"/>
      <c r="AD844" s="15"/>
      <c r="AE844" s="15"/>
      <c r="AF844" s="15"/>
      <c r="AG844" s="15"/>
      <c r="AH844" s="15"/>
      <c r="AI844" s="15"/>
    </row>
    <row r="845" ht="15.75" customHeight="1">
      <c r="A845" s="16"/>
      <c r="B845" s="18"/>
      <c r="C845" s="18"/>
      <c r="D845" s="18"/>
      <c r="E845" s="18"/>
      <c r="F845" s="18"/>
      <c r="G845" s="17"/>
      <c r="H845" s="18"/>
      <c r="I845" s="17"/>
      <c r="J845" s="17"/>
      <c r="K845" s="17"/>
      <c r="L845" s="17"/>
      <c r="M845" s="17"/>
      <c r="N845" s="17"/>
      <c r="O845" s="59"/>
      <c r="P845" s="17"/>
      <c r="Q845" s="17"/>
      <c r="R845" s="65"/>
      <c r="S845" s="17"/>
      <c r="T845" s="17"/>
      <c r="U845" s="17"/>
      <c r="V845" s="17"/>
      <c r="W845" s="18"/>
      <c r="X845" s="17"/>
      <c r="Y845" s="17"/>
      <c r="Z845" s="24"/>
      <c r="AA845" s="24"/>
      <c r="AB845" s="24"/>
      <c r="AC845" s="24"/>
      <c r="AD845" s="24"/>
      <c r="AE845" s="24"/>
      <c r="AF845" s="24"/>
      <c r="AG845" s="24"/>
      <c r="AH845" s="24"/>
      <c r="AI845" s="24"/>
    </row>
    <row r="846" ht="15.75" customHeight="1">
      <c r="A846" s="8"/>
      <c r="B846" s="14"/>
      <c r="C846" s="14"/>
      <c r="D846" s="14"/>
      <c r="E846" s="9"/>
      <c r="F846" s="14"/>
      <c r="G846" s="9"/>
      <c r="H846" s="14"/>
      <c r="I846" s="9"/>
      <c r="J846" s="9"/>
      <c r="K846" s="9"/>
      <c r="L846" s="9"/>
      <c r="M846" s="9"/>
      <c r="N846" s="9"/>
      <c r="O846" s="60"/>
      <c r="P846" s="9"/>
      <c r="Q846" s="9"/>
      <c r="R846" s="64"/>
      <c r="S846" s="9"/>
      <c r="T846" s="9"/>
      <c r="U846" s="9"/>
      <c r="V846" s="9"/>
      <c r="W846" s="8"/>
      <c r="X846" s="9"/>
      <c r="Y846" s="9"/>
      <c r="Z846" s="15"/>
      <c r="AA846" s="15"/>
      <c r="AB846" s="15"/>
      <c r="AC846" s="15"/>
      <c r="AD846" s="15"/>
      <c r="AE846" s="15"/>
      <c r="AF846" s="15"/>
      <c r="AG846" s="15"/>
      <c r="AH846" s="15"/>
      <c r="AI846" s="15"/>
    </row>
    <row r="847" ht="15.75" customHeight="1">
      <c r="A847" s="16"/>
      <c r="B847" s="18"/>
      <c r="C847" s="18"/>
      <c r="D847" s="18"/>
      <c r="E847" s="18"/>
      <c r="F847" s="18"/>
      <c r="G847" s="17"/>
      <c r="H847" s="18"/>
      <c r="I847" s="17"/>
      <c r="J847" s="17"/>
      <c r="K847" s="17"/>
      <c r="L847" s="17"/>
      <c r="M847" s="17"/>
      <c r="N847" s="17"/>
      <c r="O847" s="59"/>
      <c r="P847" s="17"/>
      <c r="Q847" s="17"/>
      <c r="R847" s="65"/>
      <c r="S847" s="17"/>
      <c r="T847" s="17"/>
      <c r="U847" s="17"/>
      <c r="V847" s="17"/>
      <c r="W847" s="18"/>
      <c r="X847" s="17"/>
      <c r="Y847" s="17"/>
      <c r="Z847" s="24"/>
      <c r="AA847" s="24"/>
      <c r="AB847" s="24"/>
      <c r="AC847" s="24"/>
      <c r="AD847" s="24"/>
      <c r="AE847" s="24"/>
      <c r="AF847" s="24"/>
      <c r="AG847" s="24"/>
      <c r="AH847" s="24"/>
      <c r="AI847" s="24"/>
    </row>
    <row r="848" ht="15.75" customHeight="1">
      <c r="A848" s="8"/>
      <c r="B848" s="14"/>
      <c r="C848" s="14"/>
      <c r="D848" s="14"/>
      <c r="E848" s="9"/>
      <c r="F848" s="14"/>
      <c r="G848" s="9"/>
      <c r="H848" s="14"/>
      <c r="I848" s="9"/>
      <c r="J848" s="9"/>
      <c r="K848" s="9"/>
      <c r="L848" s="9"/>
      <c r="M848" s="9"/>
      <c r="N848" s="9"/>
      <c r="O848" s="60"/>
      <c r="P848" s="9"/>
      <c r="Q848" s="9"/>
      <c r="R848" s="64"/>
      <c r="S848" s="9"/>
      <c r="T848" s="9"/>
      <c r="U848" s="9"/>
      <c r="V848" s="9"/>
      <c r="W848" s="14"/>
      <c r="X848" s="9"/>
      <c r="Y848" s="9"/>
      <c r="Z848" s="15"/>
      <c r="AA848" s="15"/>
      <c r="AB848" s="15"/>
      <c r="AC848" s="15"/>
      <c r="AD848" s="15"/>
      <c r="AE848" s="15"/>
      <c r="AF848" s="15"/>
      <c r="AG848" s="15"/>
      <c r="AH848" s="15"/>
      <c r="AI848" s="15"/>
    </row>
    <row r="849" ht="15.75" customHeight="1">
      <c r="A849" s="16"/>
      <c r="B849" s="18"/>
      <c r="C849" s="18"/>
      <c r="D849" s="18"/>
      <c r="E849" s="18"/>
      <c r="F849" s="18"/>
      <c r="G849" s="17"/>
      <c r="H849" s="18"/>
      <c r="I849" s="17"/>
      <c r="J849" s="17"/>
      <c r="K849" s="17"/>
      <c r="L849" s="17"/>
      <c r="M849" s="17"/>
      <c r="N849" s="17"/>
      <c r="O849" s="59"/>
      <c r="P849" s="17"/>
      <c r="Q849" s="17"/>
      <c r="R849" s="65"/>
      <c r="S849" s="17"/>
      <c r="T849" s="17"/>
      <c r="U849" s="17"/>
      <c r="V849" s="17"/>
      <c r="W849" s="16"/>
      <c r="X849" s="17"/>
      <c r="Y849" s="17"/>
      <c r="Z849" s="24"/>
      <c r="AA849" s="24"/>
      <c r="AB849" s="24"/>
      <c r="AC849" s="24"/>
      <c r="AD849" s="24"/>
      <c r="AE849" s="24"/>
      <c r="AF849" s="24"/>
      <c r="AG849" s="24"/>
      <c r="AH849" s="24"/>
      <c r="AI849" s="24"/>
    </row>
    <row r="850" ht="15.75" customHeight="1">
      <c r="A850" s="8"/>
      <c r="B850" s="14"/>
      <c r="C850" s="14"/>
      <c r="D850" s="14"/>
      <c r="E850" s="9"/>
      <c r="F850" s="14"/>
      <c r="G850" s="9"/>
      <c r="H850" s="14"/>
      <c r="I850" s="9"/>
      <c r="J850" s="9"/>
      <c r="K850" s="9"/>
      <c r="L850" s="9"/>
      <c r="M850" s="9"/>
      <c r="N850" s="9"/>
      <c r="O850" s="60"/>
      <c r="P850" s="9"/>
      <c r="Q850" s="9"/>
      <c r="R850" s="64"/>
      <c r="S850" s="9"/>
      <c r="T850" s="9"/>
      <c r="U850" s="9"/>
      <c r="V850" s="9"/>
      <c r="W850" s="14"/>
      <c r="X850" s="9"/>
      <c r="Y850" s="9"/>
      <c r="Z850" s="15"/>
      <c r="AA850" s="15"/>
      <c r="AB850" s="15"/>
      <c r="AC850" s="15"/>
      <c r="AD850" s="15"/>
      <c r="AE850" s="15"/>
      <c r="AF850" s="15"/>
      <c r="AG850" s="15"/>
      <c r="AH850" s="15"/>
      <c r="AI850" s="15"/>
    </row>
    <row r="851" ht="15.75" customHeight="1">
      <c r="A851" s="16"/>
      <c r="B851" s="18"/>
      <c r="C851" s="18"/>
      <c r="D851" s="18"/>
      <c r="E851" s="18"/>
      <c r="F851" s="18"/>
      <c r="G851" s="17"/>
      <c r="H851" s="18"/>
      <c r="I851" s="17"/>
      <c r="J851" s="17"/>
      <c r="K851" s="17"/>
      <c r="L851" s="17"/>
      <c r="M851" s="17"/>
      <c r="N851" s="17"/>
      <c r="O851" s="59"/>
      <c r="P851" s="17"/>
      <c r="Q851" s="17"/>
      <c r="R851" s="65"/>
      <c r="S851" s="17"/>
      <c r="T851" s="17"/>
      <c r="U851" s="17"/>
      <c r="V851" s="17"/>
      <c r="W851" s="18"/>
      <c r="X851" s="17"/>
      <c r="Y851" s="17"/>
      <c r="Z851" s="24"/>
      <c r="AA851" s="24"/>
      <c r="AB851" s="24"/>
      <c r="AC851" s="24"/>
      <c r="AD851" s="24"/>
      <c r="AE851" s="24"/>
      <c r="AF851" s="24"/>
      <c r="AG851" s="24"/>
      <c r="AH851" s="24"/>
      <c r="AI851" s="24"/>
    </row>
    <row r="852" ht="15.75" customHeight="1">
      <c r="A852" s="8"/>
      <c r="B852" s="14"/>
      <c r="C852" s="14"/>
      <c r="D852" s="14"/>
      <c r="E852" s="9"/>
      <c r="F852" s="14"/>
      <c r="G852" s="9"/>
      <c r="H852" s="14"/>
      <c r="I852" s="9"/>
      <c r="J852" s="9"/>
      <c r="K852" s="9"/>
      <c r="L852" s="9"/>
      <c r="M852" s="9"/>
      <c r="N852" s="9"/>
      <c r="O852" s="60"/>
      <c r="P852" s="9"/>
      <c r="Q852" s="9"/>
      <c r="R852" s="64"/>
      <c r="S852" s="9"/>
      <c r="T852" s="9"/>
      <c r="U852" s="9"/>
      <c r="V852" s="9"/>
      <c r="W852" s="8"/>
      <c r="X852" s="9"/>
      <c r="Y852" s="9"/>
      <c r="Z852" s="15"/>
      <c r="AA852" s="15"/>
      <c r="AB852" s="15"/>
      <c r="AC852" s="15"/>
      <c r="AD852" s="15"/>
      <c r="AE852" s="15"/>
      <c r="AF852" s="15"/>
      <c r="AG852" s="15"/>
      <c r="AH852" s="15"/>
      <c r="AI852" s="15"/>
    </row>
    <row r="853" ht="15.75" customHeight="1">
      <c r="A853" s="16"/>
      <c r="B853" s="18"/>
      <c r="C853" s="18"/>
      <c r="D853" s="18"/>
      <c r="E853" s="18"/>
      <c r="F853" s="18"/>
      <c r="G853" s="17"/>
      <c r="H853" s="18"/>
      <c r="I853" s="17"/>
      <c r="J853" s="17"/>
      <c r="K853" s="17"/>
      <c r="L853" s="17"/>
      <c r="M853" s="17"/>
      <c r="N853" s="17"/>
      <c r="O853" s="59"/>
      <c r="P853" s="17"/>
      <c r="Q853" s="17"/>
      <c r="R853" s="65"/>
      <c r="S853" s="17"/>
      <c r="T853" s="17"/>
      <c r="U853" s="17"/>
      <c r="V853" s="17"/>
      <c r="W853" s="18"/>
      <c r="X853" s="17"/>
      <c r="Y853" s="17"/>
      <c r="Z853" s="24"/>
      <c r="AA853" s="24"/>
      <c r="AB853" s="24"/>
      <c r="AC853" s="24"/>
      <c r="AD853" s="24"/>
      <c r="AE853" s="24"/>
      <c r="AF853" s="24"/>
      <c r="AG853" s="24"/>
      <c r="AH853" s="24"/>
      <c r="AI853" s="24"/>
    </row>
    <row r="854" ht="15.75" customHeight="1">
      <c r="A854" s="8"/>
      <c r="B854" s="14"/>
      <c r="C854" s="14"/>
      <c r="D854" s="14"/>
      <c r="E854" s="9"/>
      <c r="F854" s="14"/>
      <c r="G854" s="9"/>
      <c r="H854" s="14"/>
      <c r="I854" s="9"/>
      <c r="J854" s="9"/>
      <c r="K854" s="9"/>
      <c r="L854" s="9"/>
      <c r="M854" s="9"/>
      <c r="N854" s="9"/>
      <c r="O854" s="60"/>
      <c r="P854" s="9"/>
      <c r="Q854" s="9"/>
      <c r="R854" s="64"/>
      <c r="S854" s="9"/>
      <c r="T854" s="9"/>
      <c r="U854" s="9"/>
      <c r="V854" s="9"/>
      <c r="W854" s="14"/>
      <c r="X854" s="9"/>
      <c r="Y854" s="9"/>
      <c r="Z854" s="15"/>
      <c r="AA854" s="15"/>
      <c r="AB854" s="15"/>
      <c r="AC854" s="15"/>
      <c r="AD854" s="15"/>
      <c r="AE854" s="15"/>
      <c r="AF854" s="15"/>
      <c r="AG854" s="15"/>
      <c r="AH854" s="15"/>
      <c r="AI854" s="15"/>
    </row>
    <row r="855" ht="15.75" customHeight="1">
      <c r="A855" s="16"/>
      <c r="B855" s="18"/>
      <c r="C855" s="18"/>
      <c r="D855" s="18"/>
      <c r="E855" s="18"/>
      <c r="F855" s="18"/>
      <c r="G855" s="17"/>
      <c r="H855" s="18"/>
      <c r="I855" s="17"/>
      <c r="J855" s="17"/>
      <c r="K855" s="17"/>
      <c r="L855" s="17"/>
      <c r="M855" s="17"/>
      <c r="N855" s="17"/>
      <c r="O855" s="59"/>
      <c r="P855" s="17"/>
      <c r="Q855" s="17"/>
      <c r="R855" s="65"/>
      <c r="S855" s="17"/>
      <c r="T855" s="17"/>
      <c r="U855" s="17"/>
      <c r="V855" s="17"/>
      <c r="W855" s="16"/>
      <c r="X855" s="17"/>
      <c r="Y855" s="17"/>
      <c r="Z855" s="24"/>
      <c r="AA855" s="24"/>
      <c r="AB855" s="24"/>
      <c r="AC855" s="24"/>
      <c r="AD855" s="24"/>
      <c r="AE855" s="24"/>
      <c r="AF855" s="24"/>
      <c r="AG855" s="24"/>
      <c r="AH855" s="24"/>
      <c r="AI855" s="24"/>
    </row>
    <row r="856" ht="15.75" customHeight="1">
      <c r="A856" s="8"/>
      <c r="B856" s="14"/>
      <c r="C856" s="14"/>
      <c r="D856" s="14"/>
      <c r="E856" s="9"/>
      <c r="F856" s="14"/>
      <c r="G856" s="9"/>
      <c r="H856" s="14"/>
      <c r="I856" s="9"/>
      <c r="J856" s="9"/>
      <c r="K856" s="9"/>
      <c r="L856" s="9"/>
      <c r="M856" s="9"/>
      <c r="N856" s="9"/>
      <c r="O856" s="60"/>
      <c r="P856" s="9"/>
      <c r="Q856" s="9"/>
      <c r="R856" s="64"/>
      <c r="S856" s="9"/>
      <c r="T856" s="9"/>
      <c r="U856" s="9"/>
      <c r="V856" s="9"/>
      <c r="W856" s="14"/>
      <c r="X856" s="9"/>
      <c r="Y856" s="9"/>
      <c r="Z856" s="15"/>
      <c r="AA856" s="15"/>
      <c r="AB856" s="15"/>
      <c r="AC856" s="15"/>
      <c r="AD856" s="15"/>
      <c r="AE856" s="15"/>
      <c r="AF856" s="15"/>
      <c r="AG856" s="15"/>
      <c r="AH856" s="15"/>
      <c r="AI856" s="15"/>
    </row>
    <row r="857" ht="15.75" customHeight="1">
      <c r="A857" s="16"/>
      <c r="B857" s="18"/>
      <c r="C857" s="18"/>
      <c r="D857" s="18"/>
      <c r="E857" s="18"/>
      <c r="F857" s="18"/>
      <c r="G857" s="17"/>
      <c r="H857" s="18"/>
      <c r="I857" s="17"/>
      <c r="J857" s="17"/>
      <c r="K857" s="17"/>
      <c r="L857" s="17"/>
      <c r="M857" s="17"/>
      <c r="N857" s="17"/>
      <c r="O857" s="59"/>
      <c r="P857" s="17"/>
      <c r="Q857" s="17"/>
      <c r="R857" s="65"/>
      <c r="S857" s="17"/>
      <c r="T857" s="17"/>
      <c r="U857" s="17"/>
      <c r="V857" s="17"/>
      <c r="W857" s="18"/>
      <c r="X857" s="17"/>
      <c r="Y857" s="17"/>
      <c r="Z857" s="24"/>
      <c r="AA857" s="24"/>
      <c r="AB857" s="24"/>
      <c r="AC857" s="24"/>
      <c r="AD857" s="24"/>
      <c r="AE857" s="24"/>
      <c r="AF857" s="24"/>
      <c r="AG857" s="24"/>
      <c r="AH857" s="24"/>
      <c r="AI857" s="24"/>
    </row>
    <row r="858" ht="15.75" customHeight="1">
      <c r="A858" s="8"/>
      <c r="B858" s="14"/>
      <c r="C858" s="14"/>
      <c r="D858" s="14"/>
      <c r="E858" s="9"/>
      <c r="F858" s="14"/>
      <c r="G858" s="9"/>
      <c r="H858" s="14"/>
      <c r="I858" s="9"/>
      <c r="J858" s="9"/>
      <c r="K858" s="9"/>
      <c r="L858" s="9"/>
      <c r="M858" s="9"/>
      <c r="N858" s="9"/>
      <c r="O858" s="60"/>
      <c r="P858" s="9"/>
      <c r="Q858" s="9"/>
      <c r="R858" s="64"/>
      <c r="S858" s="9"/>
      <c r="T858" s="9"/>
      <c r="U858" s="9"/>
      <c r="V858" s="9"/>
      <c r="W858" s="8"/>
      <c r="X858" s="9"/>
      <c r="Y858" s="9"/>
      <c r="Z858" s="15"/>
      <c r="AA858" s="15"/>
      <c r="AB858" s="15"/>
      <c r="AC858" s="15"/>
      <c r="AD858" s="15"/>
      <c r="AE858" s="15"/>
      <c r="AF858" s="15"/>
      <c r="AG858" s="15"/>
      <c r="AH858" s="15"/>
      <c r="AI858" s="15"/>
    </row>
    <row r="859" ht="15.75" customHeight="1">
      <c r="A859" s="16"/>
      <c r="B859" s="18"/>
      <c r="C859" s="18"/>
      <c r="D859" s="18"/>
      <c r="E859" s="18"/>
      <c r="F859" s="18"/>
      <c r="G859" s="17"/>
      <c r="H859" s="18"/>
      <c r="I859" s="17"/>
      <c r="J859" s="17"/>
      <c r="K859" s="17"/>
      <c r="L859" s="17"/>
      <c r="M859" s="17"/>
      <c r="N859" s="17"/>
      <c r="O859" s="59"/>
      <c r="P859" s="17"/>
      <c r="Q859" s="17"/>
      <c r="R859" s="65"/>
      <c r="S859" s="17"/>
      <c r="T859" s="17"/>
      <c r="U859" s="17"/>
      <c r="V859" s="17"/>
      <c r="W859" s="18"/>
      <c r="X859" s="17"/>
      <c r="Y859" s="17"/>
      <c r="Z859" s="24"/>
      <c r="AA859" s="24"/>
      <c r="AB859" s="24"/>
      <c r="AC859" s="24"/>
      <c r="AD859" s="24"/>
      <c r="AE859" s="24"/>
      <c r="AF859" s="24"/>
      <c r="AG859" s="24"/>
      <c r="AH859" s="24"/>
      <c r="AI859" s="24"/>
    </row>
    <row r="860" ht="15.75" customHeight="1">
      <c r="A860" s="8"/>
      <c r="B860" s="14"/>
      <c r="C860" s="14"/>
      <c r="D860" s="14"/>
      <c r="E860" s="9"/>
      <c r="F860" s="14"/>
      <c r="G860" s="9"/>
      <c r="H860" s="14"/>
      <c r="I860" s="9"/>
      <c r="J860" s="9"/>
      <c r="K860" s="9"/>
      <c r="L860" s="9"/>
      <c r="M860" s="9"/>
      <c r="N860" s="9"/>
      <c r="O860" s="60"/>
      <c r="P860" s="9"/>
      <c r="Q860" s="9"/>
      <c r="R860" s="64"/>
      <c r="S860" s="9"/>
      <c r="T860" s="9"/>
      <c r="U860" s="9"/>
      <c r="V860" s="9"/>
      <c r="W860" s="14"/>
      <c r="X860" s="9"/>
      <c r="Y860" s="9"/>
      <c r="Z860" s="15"/>
      <c r="AA860" s="15"/>
      <c r="AB860" s="15"/>
      <c r="AC860" s="15"/>
      <c r="AD860" s="15"/>
      <c r="AE860" s="15"/>
      <c r="AF860" s="15"/>
      <c r="AG860" s="15"/>
      <c r="AH860" s="15"/>
      <c r="AI860" s="15"/>
    </row>
    <row r="861" ht="15.75" customHeight="1">
      <c r="A861" s="16"/>
      <c r="B861" s="18"/>
      <c r="C861" s="18"/>
      <c r="D861" s="18"/>
      <c r="E861" s="18"/>
      <c r="F861" s="18"/>
      <c r="G861" s="17"/>
      <c r="H861" s="18"/>
      <c r="I861" s="17"/>
      <c r="J861" s="17"/>
      <c r="K861" s="17"/>
      <c r="L861" s="17"/>
      <c r="M861" s="17"/>
      <c r="N861" s="17"/>
      <c r="O861" s="59"/>
      <c r="P861" s="17"/>
      <c r="Q861" s="17"/>
      <c r="R861" s="65"/>
      <c r="S861" s="17"/>
      <c r="T861" s="17"/>
      <c r="U861" s="17"/>
      <c r="V861" s="17"/>
      <c r="W861" s="16"/>
      <c r="X861" s="17"/>
      <c r="Y861" s="17"/>
      <c r="Z861" s="24"/>
      <c r="AA861" s="24"/>
      <c r="AB861" s="24"/>
      <c r="AC861" s="24"/>
      <c r="AD861" s="24"/>
      <c r="AE861" s="24"/>
      <c r="AF861" s="24"/>
      <c r="AG861" s="24"/>
      <c r="AH861" s="24"/>
      <c r="AI861" s="24"/>
    </row>
    <row r="862" ht="15.75" customHeight="1">
      <c r="A862" s="8"/>
      <c r="B862" s="14"/>
      <c r="C862" s="14"/>
      <c r="D862" s="14"/>
      <c r="E862" s="9"/>
      <c r="F862" s="14"/>
      <c r="G862" s="9"/>
      <c r="H862" s="14"/>
      <c r="I862" s="9"/>
      <c r="J862" s="9"/>
      <c r="K862" s="9"/>
      <c r="L862" s="9"/>
      <c r="M862" s="9"/>
      <c r="N862" s="9"/>
      <c r="O862" s="60"/>
      <c r="P862" s="9"/>
      <c r="Q862" s="9"/>
      <c r="R862" s="64"/>
      <c r="S862" s="9"/>
      <c r="T862" s="9"/>
      <c r="U862" s="9"/>
      <c r="V862" s="9"/>
      <c r="W862" s="14"/>
      <c r="X862" s="9"/>
      <c r="Y862" s="9"/>
      <c r="Z862" s="15"/>
      <c r="AA862" s="15"/>
      <c r="AB862" s="15"/>
      <c r="AC862" s="15"/>
      <c r="AD862" s="15"/>
      <c r="AE862" s="15"/>
      <c r="AF862" s="15"/>
      <c r="AG862" s="15"/>
      <c r="AH862" s="15"/>
      <c r="AI862" s="15"/>
    </row>
    <row r="863" ht="15.75" customHeight="1">
      <c r="A863" s="16"/>
      <c r="B863" s="18"/>
      <c r="C863" s="18"/>
      <c r="D863" s="18"/>
      <c r="E863" s="18"/>
      <c r="F863" s="18"/>
      <c r="G863" s="17"/>
      <c r="H863" s="18"/>
      <c r="I863" s="17"/>
      <c r="J863" s="17"/>
      <c r="K863" s="17"/>
      <c r="L863" s="17"/>
      <c r="M863" s="17"/>
      <c r="N863" s="17"/>
      <c r="O863" s="59"/>
      <c r="P863" s="17"/>
      <c r="Q863" s="17"/>
      <c r="R863" s="65"/>
      <c r="S863" s="17"/>
      <c r="T863" s="17"/>
      <c r="U863" s="17"/>
      <c r="V863" s="17"/>
      <c r="W863" s="18"/>
      <c r="X863" s="17"/>
      <c r="Y863" s="17"/>
      <c r="Z863" s="24"/>
      <c r="AA863" s="24"/>
      <c r="AB863" s="24"/>
      <c r="AC863" s="24"/>
      <c r="AD863" s="24"/>
      <c r="AE863" s="24"/>
      <c r="AF863" s="24"/>
      <c r="AG863" s="24"/>
      <c r="AH863" s="24"/>
      <c r="AI863" s="24"/>
    </row>
    <row r="864" ht="15.75" customHeight="1">
      <c r="A864" s="8"/>
      <c r="B864" s="14"/>
      <c r="C864" s="14"/>
      <c r="D864" s="14"/>
      <c r="E864" s="9"/>
      <c r="F864" s="14"/>
      <c r="G864" s="9"/>
      <c r="H864" s="14"/>
      <c r="I864" s="9"/>
      <c r="J864" s="9"/>
      <c r="K864" s="9"/>
      <c r="L864" s="9"/>
      <c r="M864" s="9"/>
      <c r="N864" s="9"/>
      <c r="O864" s="60"/>
      <c r="P864" s="9"/>
      <c r="Q864" s="9"/>
      <c r="R864" s="64"/>
      <c r="S864" s="9"/>
      <c r="T864" s="9"/>
      <c r="U864" s="9"/>
      <c r="V864" s="9"/>
      <c r="W864" s="8"/>
      <c r="X864" s="9"/>
      <c r="Y864" s="9"/>
      <c r="Z864" s="15"/>
      <c r="AA864" s="15"/>
      <c r="AB864" s="15"/>
      <c r="AC864" s="15"/>
      <c r="AD864" s="15"/>
      <c r="AE864" s="15"/>
      <c r="AF864" s="15"/>
      <c r="AG864" s="15"/>
      <c r="AH864" s="15"/>
      <c r="AI864" s="15"/>
    </row>
    <row r="865" ht="15.75" customHeight="1">
      <c r="A865" s="16"/>
      <c r="B865" s="18"/>
      <c r="C865" s="18"/>
      <c r="D865" s="18"/>
      <c r="E865" s="18"/>
      <c r="F865" s="18"/>
      <c r="G865" s="17"/>
      <c r="H865" s="18"/>
      <c r="I865" s="17"/>
      <c r="J865" s="17"/>
      <c r="K865" s="17"/>
      <c r="L865" s="17"/>
      <c r="M865" s="17"/>
      <c r="N865" s="17"/>
      <c r="O865" s="59"/>
      <c r="P865" s="17"/>
      <c r="Q865" s="17"/>
      <c r="R865" s="65"/>
      <c r="S865" s="17"/>
      <c r="T865" s="17"/>
      <c r="U865" s="17"/>
      <c r="V865" s="17"/>
      <c r="W865" s="18"/>
      <c r="X865" s="17"/>
      <c r="Y865" s="17"/>
      <c r="Z865" s="24"/>
      <c r="AA865" s="24"/>
      <c r="AB865" s="24"/>
      <c r="AC865" s="24"/>
      <c r="AD865" s="24"/>
      <c r="AE865" s="24"/>
      <c r="AF865" s="24"/>
      <c r="AG865" s="24"/>
      <c r="AH865" s="24"/>
      <c r="AI865" s="24"/>
    </row>
    <row r="866" ht="15.75" customHeight="1">
      <c r="A866" s="8"/>
      <c r="B866" s="14"/>
      <c r="C866" s="14"/>
      <c r="D866" s="14"/>
      <c r="E866" s="9"/>
      <c r="F866" s="14"/>
      <c r="G866" s="9"/>
      <c r="H866" s="14"/>
      <c r="I866" s="9"/>
      <c r="J866" s="9"/>
      <c r="K866" s="9"/>
      <c r="L866" s="9"/>
      <c r="M866" s="9"/>
      <c r="N866" s="9"/>
      <c r="O866" s="60"/>
      <c r="P866" s="9"/>
      <c r="Q866" s="9"/>
      <c r="R866" s="64"/>
      <c r="S866" s="9"/>
      <c r="T866" s="9"/>
      <c r="U866" s="9"/>
      <c r="V866" s="9"/>
      <c r="W866" s="14"/>
      <c r="X866" s="9"/>
      <c r="Y866" s="9"/>
      <c r="Z866" s="15"/>
      <c r="AA866" s="15"/>
      <c r="AB866" s="15"/>
      <c r="AC866" s="15"/>
      <c r="AD866" s="15"/>
      <c r="AE866" s="15"/>
      <c r="AF866" s="15"/>
      <c r="AG866" s="15"/>
      <c r="AH866" s="15"/>
      <c r="AI866" s="15"/>
    </row>
    <row r="867" ht="15.75" customHeight="1">
      <c r="A867" s="16"/>
      <c r="B867" s="18"/>
      <c r="C867" s="18"/>
      <c r="D867" s="18"/>
      <c r="E867" s="18"/>
      <c r="F867" s="18"/>
      <c r="G867" s="17"/>
      <c r="H867" s="18"/>
      <c r="I867" s="17"/>
      <c r="J867" s="17"/>
      <c r="K867" s="17"/>
      <c r="L867" s="17"/>
      <c r="M867" s="17"/>
      <c r="N867" s="17"/>
      <c r="O867" s="59"/>
      <c r="P867" s="17"/>
      <c r="Q867" s="17"/>
      <c r="R867" s="65"/>
      <c r="S867" s="17"/>
      <c r="T867" s="17"/>
      <c r="U867" s="17"/>
      <c r="V867" s="17"/>
      <c r="W867" s="16"/>
      <c r="X867" s="17"/>
      <c r="Y867" s="17"/>
      <c r="Z867" s="24"/>
      <c r="AA867" s="24"/>
      <c r="AB867" s="24"/>
      <c r="AC867" s="24"/>
      <c r="AD867" s="24"/>
      <c r="AE867" s="24"/>
      <c r="AF867" s="24"/>
      <c r="AG867" s="24"/>
      <c r="AH867" s="24"/>
      <c r="AI867" s="24"/>
    </row>
    <row r="868" ht="15.75" customHeight="1">
      <c r="A868" s="8"/>
      <c r="B868" s="14"/>
      <c r="C868" s="14"/>
      <c r="D868" s="14"/>
      <c r="E868" s="9"/>
      <c r="F868" s="14"/>
      <c r="G868" s="9"/>
      <c r="H868" s="14"/>
      <c r="I868" s="9"/>
      <c r="J868" s="9"/>
      <c r="K868" s="9"/>
      <c r="L868" s="9"/>
      <c r="M868" s="9"/>
      <c r="N868" s="9"/>
      <c r="O868" s="60"/>
      <c r="P868" s="9"/>
      <c r="Q868" s="9"/>
      <c r="R868" s="64"/>
      <c r="S868" s="9"/>
      <c r="T868" s="9"/>
      <c r="U868" s="9"/>
      <c r="V868" s="9"/>
      <c r="W868" s="14"/>
      <c r="X868" s="9"/>
      <c r="Y868" s="9"/>
      <c r="Z868" s="15"/>
      <c r="AA868" s="15"/>
      <c r="AB868" s="15"/>
      <c r="AC868" s="15"/>
      <c r="AD868" s="15"/>
      <c r="AE868" s="15"/>
      <c r="AF868" s="15"/>
      <c r="AG868" s="15"/>
      <c r="AH868" s="15"/>
      <c r="AI868" s="15"/>
    </row>
    <row r="869" ht="15.75" customHeight="1">
      <c r="A869" s="16"/>
      <c r="B869" s="18"/>
      <c r="C869" s="18"/>
      <c r="D869" s="18"/>
      <c r="E869" s="18"/>
      <c r="F869" s="18"/>
      <c r="G869" s="17"/>
      <c r="H869" s="18"/>
      <c r="I869" s="17"/>
      <c r="J869" s="17"/>
      <c r="K869" s="17"/>
      <c r="L869" s="17"/>
      <c r="M869" s="17"/>
      <c r="N869" s="17"/>
      <c r="O869" s="59"/>
      <c r="P869" s="17"/>
      <c r="Q869" s="17"/>
      <c r="R869" s="65"/>
      <c r="S869" s="17"/>
      <c r="T869" s="17"/>
      <c r="U869" s="17"/>
      <c r="V869" s="17"/>
      <c r="W869" s="18"/>
      <c r="X869" s="17"/>
      <c r="Y869" s="17"/>
      <c r="Z869" s="24"/>
      <c r="AA869" s="24"/>
      <c r="AB869" s="24"/>
      <c r="AC869" s="24"/>
      <c r="AD869" s="24"/>
      <c r="AE869" s="24"/>
      <c r="AF869" s="24"/>
      <c r="AG869" s="24"/>
      <c r="AH869" s="24"/>
      <c r="AI869" s="24"/>
    </row>
    <row r="870" ht="15.75" customHeight="1">
      <c r="A870" s="8"/>
      <c r="B870" s="14"/>
      <c r="C870" s="14"/>
      <c r="D870" s="14"/>
      <c r="E870" s="9"/>
      <c r="F870" s="14"/>
      <c r="G870" s="9"/>
      <c r="H870" s="14"/>
      <c r="I870" s="9"/>
      <c r="J870" s="9"/>
      <c r="K870" s="9"/>
      <c r="L870" s="9"/>
      <c r="M870" s="9"/>
      <c r="N870" s="9"/>
      <c r="O870" s="60"/>
      <c r="P870" s="9"/>
      <c r="Q870" s="9"/>
      <c r="R870" s="64"/>
      <c r="S870" s="9"/>
      <c r="T870" s="9"/>
      <c r="U870" s="9"/>
      <c r="V870" s="9"/>
      <c r="W870" s="8"/>
      <c r="X870" s="9"/>
      <c r="Y870" s="9"/>
      <c r="Z870" s="15"/>
      <c r="AA870" s="15"/>
      <c r="AB870" s="15"/>
      <c r="AC870" s="15"/>
      <c r="AD870" s="15"/>
      <c r="AE870" s="15"/>
      <c r="AF870" s="15"/>
      <c r="AG870" s="15"/>
      <c r="AH870" s="15"/>
      <c r="AI870" s="15"/>
    </row>
    <row r="871" ht="15.75" customHeight="1">
      <c r="A871" s="16"/>
      <c r="B871" s="18"/>
      <c r="C871" s="18"/>
      <c r="D871" s="18"/>
      <c r="E871" s="18"/>
      <c r="F871" s="18"/>
      <c r="G871" s="17"/>
      <c r="H871" s="18"/>
      <c r="I871" s="17"/>
      <c r="J871" s="17"/>
      <c r="K871" s="17"/>
      <c r="L871" s="17"/>
      <c r="M871" s="17"/>
      <c r="N871" s="17"/>
      <c r="O871" s="59"/>
      <c r="P871" s="17"/>
      <c r="Q871" s="17"/>
      <c r="R871" s="65"/>
      <c r="S871" s="17"/>
      <c r="T871" s="17"/>
      <c r="U871" s="17"/>
      <c r="V871" s="17"/>
      <c r="W871" s="18"/>
      <c r="X871" s="17"/>
      <c r="Y871" s="17"/>
      <c r="Z871" s="24"/>
      <c r="AA871" s="24"/>
      <c r="AB871" s="24"/>
      <c r="AC871" s="24"/>
      <c r="AD871" s="24"/>
      <c r="AE871" s="24"/>
      <c r="AF871" s="24"/>
      <c r="AG871" s="24"/>
      <c r="AH871" s="24"/>
      <c r="AI871" s="24"/>
    </row>
    <row r="872" ht="15.75" customHeight="1">
      <c r="A872" s="8"/>
      <c r="B872" s="14"/>
      <c r="C872" s="14"/>
      <c r="D872" s="14"/>
      <c r="E872" s="9"/>
      <c r="F872" s="14"/>
      <c r="G872" s="9"/>
      <c r="H872" s="14"/>
      <c r="I872" s="9"/>
      <c r="J872" s="9"/>
      <c r="K872" s="9"/>
      <c r="L872" s="9"/>
      <c r="M872" s="9"/>
      <c r="N872" s="9"/>
      <c r="O872" s="60"/>
      <c r="P872" s="9"/>
      <c r="Q872" s="9"/>
      <c r="R872" s="64"/>
      <c r="S872" s="9"/>
      <c r="T872" s="9"/>
      <c r="U872" s="9"/>
      <c r="V872" s="9"/>
      <c r="W872" s="14"/>
      <c r="X872" s="9"/>
      <c r="Y872" s="9"/>
      <c r="Z872" s="15"/>
      <c r="AA872" s="15"/>
      <c r="AB872" s="15"/>
      <c r="AC872" s="15"/>
      <c r="AD872" s="15"/>
      <c r="AE872" s="15"/>
      <c r="AF872" s="15"/>
      <c r="AG872" s="15"/>
      <c r="AH872" s="15"/>
      <c r="AI872" s="15"/>
    </row>
    <row r="873" ht="15.75" customHeight="1">
      <c r="A873" s="16"/>
      <c r="B873" s="18"/>
      <c r="C873" s="18"/>
      <c r="D873" s="18"/>
      <c r="E873" s="18"/>
      <c r="F873" s="18"/>
      <c r="G873" s="17"/>
      <c r="H873" s="18"/>
      <c r="I873" s="17"/>
      <c r="J873" s="17"/>
      <c r="K873" s="17"/>
      <c r="L873" s="17"/>
      <c r="M873" s="17"/>
      <c r="N873" s="17"/>
      <c r="O873" s="59"/>
      <c r="P873" s="17"/>
      <c r="Q873" s="17"/>
      <c r="R873" s="65"/>
      <c r="S873" s="17"/>
      <c r="T873" s="17"/>
      <c r="U873" s="17"/>
      <c r="V873" s="17"/>
      <c r="W873" s="16"/>
      <c r="X873" s="17"/>
      <c r="Y873" s="17"/>
      <c r="Z873" s="24"/>
      <c r="AA873" s="24"/>
      <c r="AB873" s="24"/>
      <c r="AC873" s="24"/>
      <c r="AD873" s="24"/>
      <c r="AE873" s="24"/>
      <c r="AF873" s="24"/>
      <c r="AG873" s="24"/>
      <c r="AH873" s="24"/>
      <c r="AI873" s="24"/>
    </row>
    <row r="874" ht="15.75" customHeight="1">
      <c r="A874" s="8"/>
      <c r="B874" s="14"/>
      <c r="C874" s="14"/>
      <c r="D874" s="14"/>
      <c r="E874" s="9"/>
      <c r="F874" s="14"/>
      <c r="G874" s="9"/>
      <c r="H874" s="14"/>
      <c r="I874" s="9"/>
      <c r="J874" s="9"/>
      <c r="K874" s="9"/>
      <c r="L874" s="9"/>
      <c r="M874" s="9"/>
      <c r="N874" s="9"/>
      <c r="O874" s="60"/>
      <c r="P874" s="9"/>
      <c r="Q874" s="9"/>
      <c r="R874" s="64"/>
      <c r="S874" s="9"/>
      <c r="T874" s="9"/>
      <c r="U874" s="9"/>
      <c r="V874" s="9"/>
      <c r="W874" s="14"/>
      <c r="X874" s="9"/>
      <c r="Y874" s="9"/>
      <c r="Z874" s="15"/>
      <c r="AA874" s="15"/>
      <c r="AB874" s="15"/>
      <c r="AC874" s="15"/>
      <c r="AD874" s="15"/>
      <c r="AE874" s="15"/>
      <c r="AF874" s="15"/>
      <c r="AG874" s="15"/>
      <c r="AH874" s="15"/>
      <c r="AI874" s="15"/>
    </row>
    <row r="875" ht="15.75" customHeight="1">
      <c r="A875" s="16"/>
      <c r="B875" s="18"/>
      <c r="C875" s="18"/>
      <c r="D875" s="18"/>
      <c r="E875" s="18"/>
      <c r="F875" s="18"/>
      <c r="G875" s="17"/>
      <c r="H875" s="18"/>
      <c r="I875" s="17"/>
      <c r="J875" s="17"/>
      <c r="K875" s="17"/>
      <c r="L875" s="17"/>
      <c r="M875" s="17"/>
      <c r="N875" s="17"/>
      <c r="O875" s="59"/>
      <c r="P875" s="17"/>
      <c r="Q875" s="17"/>
      <c r="R875" s="65"/>
      <c r="S875" s="17"/>
      <c r="T875" s="17"/>
      <c r="U875" s="17"/>
      <c r="V875" s="17"/>
      <c r="W875" s="18"/>
      <c r="X875" s="17"/>
      <c r="Y875" s="17"/>
      <c r="Z875" s="24"/>
      <c r="AA875" s="24"/>
      <c r="AB875" s="24"/>
      <c r="AC875" s="24"/>
      <c r="AD875" s="24"/>
      <c r="AE875" s="24"/>
      <c r="AF875" s="24"/>
      <c r="AG875" s="24"/>
      <c r="AH875" s="24"/>
      <c r="AI875" s="24"/>
    </row>
    <row r="876" ht="15.75" customHeight="1">
      <c r="A876" s="8"/>
      <c r="B876" s="14"/>
      <c r="C876" s="14"/>
      <c r="D876" s="14"/>
      <c r="E876" s="9"/>
      <c r="F876" s="14"/>
      <c r="G876" s="9"/>
      <c r="H876" s="14"/>
      <c r="I876" s="9"/>
      <c r="J876" s="9"/>
      <c r="K876" s="9"/>
      <c r="L876" s="9"/>
      <c r="M876" s="9"/>
      <c r="N876" s="9"/>
      <c r="O876" s="60"/>
      <c r="P876" s="9"/>
      <c r="Q876" s="9"/>
      <c r="R876" s="64"/>
      <c r="S876" s="9"/>
      <c r="T876" s="9"/>
      <c r="U876" s="9"/>
      <c r="V876" s="9"/>
      <c r="W876" s="8"/>
      <c r="X876" s="9"/>
      <c r="Y876" s="9"/>
      <c r="Z876" s="15"/>
      <c r="AA876" s="15"/>
      <c r="AB876" s="15"/>
      <c r="AC876" s="15"/>
      <c r="AD876" s="15"/>
      <c r="AE876" s="15"/>
      <c r="AF876" s="15"/>
      <c r="AG876" s="15"/>
      <c r="AH876" s="15"/>
      <c r="AI876" s="15"/>
    </row>
    <row r="877" ht="15.75" customHeight="1">
      <c r="A877" s="16"/>
      <c r="B877" s="18"/>
      <c r="C877" s="18"/>
      <c r="D877" s="18"/>
      <c r="E877" s="18"/>
      <c r="F877" s="18"/>
      <c r="G877" s="17"/>
      <c r="H877" s="18"/>
      <c r="I877" s="17"/>
      <c r="J877" s="17"/>
      <c r="K877" s="17"/>
      <c r="L877" s="17"/>
      <c r="M877" s="17"/>
      <c r="N877" s="17"/>
      <c r="O877" s="59"/>
      <c r="P877" s="17"/>
      <c r="Q877" s="17"/>
      <c r="R877" s="65"/>
      <c r="S877" s="17"/>
      <c r="T877" s="17"/>
      <c r="U877" s="17"/>
      <c r="V877" s="17"/>
      <c r="W877" s="18"/>
      <c r="X877" s="17"/>
      <c r="Y877" s="17"/>
      <c r="Z877" s="24"/>
      <c r="AA877" s="24"/>
      <c r="AB877" s="24"/>
      <c r="AC877" s="24"/>
      <c r="AD877" s="24"/>
      <c r="AE877" s="24"/>
      <c r="AF877" s="24"/>
      <c r="AG877" s="24"/>
      <c r="AH877" s="24"/>
      <c r="AI877" s="24"/>
    </row>
    <row r="878" ht="15.75" customHeight="1">
      <c r="A878" s="8"/>
      <c r="B878" s="14"/>
      <c r="C878" s="14"/>
      <c r="D878" s="14"/>
      <c r="E878" s="9"/>
      <c r="F878" s="14"/>
      <c r="G878" s="9"/>
      <c r="H878" s="14"/>
      <c r="I878" s="9"/>
      <c r="J878" s="9"/>
      <c r="K878" s="9"/>
      <c r="L878" s="9"/>
      <c r="M878" s="9"/>
      <c r="N878" s="9"/>
      <c r="O878" s="60"/>
      <c r="P878" s="9"/>
      <c r="Q878" s="9"/>
      <c r="R878" s="64"/>
      <c r="S878" s="9"/>
      <c r="T878" s="9"/>
      <c r="U878" s="9"/>
      <c r="V878" s="9"/>
      <c r="W878" s="14"/>
      <c r="X878" s="9"/>
      <c r="Y878" s="9"/>
      <c r="Z878" s="15"/>
      <c r="AA878" s="15"/>
      <c r="AB878" s="15"/>
      <c r="AC878" s="15"/>
      <c r="AD878" s="15"/>
      <c r="AE878" s="15"/>
      <c r="AF878" s="15"/>
      <c r="AG878" s="15"/>
      <c r="AH878" s="15"/>
      <c r="AI878" s="15"/>
    </row>
    <row r="879" ht="15.75" customHeight="1">
      <c r="A879" s="16"/>
      <c r="B879" s="18"/>
      <c r="C879" s="18"/>
      <c r="D879" s="18"/>
      <c r="E879" s="18"/>
      <c r="F879" s="18"/>
      <c r="G879" s="17"/>
      <c r="H879" s="18"/>
      <c r="I879" s="17"/>
      <c r="J879" s="17"/>
      <c r="K879" s="17"/>
      <c r="L879" s="17"/>
      <c r="M879" s="17"/>
      <c r="N879" s="17"/>
      <c r="O879" s="59"/>
      <c r="P879" s="17"/>
      <c r="Q879" s="17"/>
      <c r="R879" s="65"/>
      <c r="S879" s="17"/>
      <c r="T879" s="17"/>
      <c r="U879" s="17"/>
      <c r="V879" s="17"/>
      <c r="W879" s="16"/>
      <c r="X879" s="17"/>
      <c r="Y879" s="17"/>
      <c r="Z879" s="24"/>
      <c r="AA879" s="24"/>
      <c r="AB879" s="24"/>
      <c r="AC879" s="24"/>
      <c r="AD879" s="24"/>
      <c r="AE879" s="24"/>
      <c r="AF879" s="24"/>
      <c r="AG879" s="24"/>
      <c r="AH879" s="24"/>
      <c r="AI879" s="24"/>
    </row>
    <row r="880" ht="15.75" customHeight="1">
      <c r="A880" s="8"/>
      <c r="B880" s="14"/>
      <c r="C880" s="14"/>
      <c r="D880" s="14"/>
      <c r="E880" s="9"/>
      <c r="F880" s="14"/>
      <c r="G880" s="9"/>
      <c r="H880" s="14"/>
      <c r="I880" s="9"/>
      <c r="J880" s="9"/>
      <c r="K880" s="9"/>
      <c r="L880" s="9"/>
      <c r="M880" s="9"/>
      <c r="N880" s="9"/>
      <c r="O880" s="60"/>
      <c r="P880" s="9"/>
      <c r="Q880" s="9"/>
      <c r="R880" s="64"/>
      <c r="S880" s="9"/>
      <c r="T880" s="9"/>
      <c r="U880" s="9"/>
      <c r="V880" s="9"/>
      <c r="W880" s="14"/>
      <c r="X880" s="9"/>
      <c r="Y880" s="9"/>
      <c r="Z880" s="15"/>
      <c r="AA880" s="15"/>
      <c r="AB880" s="15"/>
      <c r="AC880" s="15"/>
      <c r="AD880" s="15"/>
      <c r="AE880" s="15"/>
      <c r="AF880" s="15"/>
      <c r="AG880" s="15"/>
      <c r="AH880" s="15"/>
      <c r="AI880" s="15"/>
    </row>
    <row r="881" ht="15.75" customHeight="1">
      <c r="A881" s="16"/>
      <c r="B881" s="18"/>
      <c r="C881" s="18"/>
      <c r="D881" s="18"/>
      <c r="E881" s="18"/>
      <c r="F881" s="18"/>
      <c r="G881" s="17"/>
      <c r="H881" s="18"/>
      <c r="I881" s="17"/>
      <c r="J881" s="17"/>
      <c r="K881" s="17"/>
      <c r="L881" s="17"/>
      <c r="M881" s="17"/>
      <c r="N881" s="17"/>
      <c r="O881" s="59"/>
      <c r="P881" s="17"/>
      <c r="Q881" s="17"/>
      <c r="R881" s="65"/>
      <c r="S881" s="17"/>
      <c r="T881" s="17"/>
      <c r="U881" s="17"/>
      <c r="V881" s="17"/>
      <c r="W881" s="18"/>
      <c r="X881" s="17"/>
      <c r="Y881" s="17"/>
      <c r="Z881" s="24"/>
      <c r="AA881" s="24"/>
      <c r="AB881" s="24"/>
      <c r="AC881" s="24"/>
      <c r="AD881" s="24"/>
      <c r="AE881" s="24"/>
      <c r="AF881" s="24"/>
      <c r="AG881" s="24"/>
      <c r="AH881" s="24"/>
      <c r="AI881" s="24"/>
    </row>
    <row r="882" ht="15.75" customHeight="1">
      <c r="A882" s="8"/>
      <c r="B882" s="14"/>
      <c r="C882" s="14"/>
      <c r="D882" s="14"/>
      <c r="E882" s="9"/>
      <c r="F882" s="14"/>
      <c r="G882" s="9"/>
      <c r="H882" s="14"/>
      <c r="I882" s="9"/>
      <c r="J882" s="9"/>
      <c r="K882" s="9"/>
      <c r="L882" s="9"/>
      <c r="M882" s="9"/>
      <c r="N882" s="9"/>
      <c r="O882" s="60"/>
      <c r="P882" s="9"/>
      <c r="Q882" s="9"/>
      <c r="R882" s="64"/>
      <c r="S882" s="9"/>
      <c r="T882" s="9"/>
      <c r="U882" s="9"/>
      <c r="V882" s="9"/>
      <c r="W882" s="8"/>
      <c r="X882" s="9"/>
      <c r="Y882" s="9"/>
      <c r="Z882" s="15"/>
      <c r="AA882" s="15"/>
      <c r="AB882" s="15"/>
      <c r="AC882" s="15"/>
      <c r="AD882" s="15"/>
      <c r="AE882" s="15"/>
      <c r="AF882" s="15"/>
      <c r="AG882" s="15"/>
      <c r="AH882" s="15"/>
      <c r="AI882" s="15"/>
    </row>
    <row r="883" ht="15.75" customHeight="1">
      <c r="A883" s="16"/>
      <c r="B883" s="18"/>
      <c r="C883" s="18"/>
      <c r="D883" s="18"/>
      <c r="E883" s="18"/>
      <c r="F883" s="18"/>
      <c r="G883" s="17"/>
      <c r="H883" s="18"/>
      <c r="I883" s="17"/>
      <c r="J883" s="17"/>
      <c r="K883" s="17"/>
      <c r="L883" s="17"/>
      <c r="M883" s="17"/>
      <c r="N883" s="17"/>
      <c r="O883" s="59"/>
      <c r="P883" s="17"/>
      <c r="Q883" s="17"/>
      <c r="R883" s="65"/>
      <c r="S883" s="17"/>
      <c r="T883" s="17"/>
      <c r="U883" s="17"/>
      <c r="V883" s="17"/>
      <c r="W883" s="18"/>
      <c r="X883" s="17"/>
      <c r="Y883" s="17"/>
      <c r="Z883" s="24"/>
      <c r="AA883" s="24"/>
      <c r="AB883" s="24"/>
      <c r="AC883" s="24"/>
      <c r="AD883" s="24"/>
      <c r="AE883" s="24"/>
      <c r="AF883" s="24"/>
      <c r="AG883" s="24"/>
      <c r="AH883" s="24"/>
      <c r="AI883" s="24"/>
    </row>
    <row r="884" ht="15.75" customHeight="1">
      <c r="A884" s="8"/>
      <c r="B884" s="14"/>
      <c r="C884" s="14"/>
      <c r="D884" s="14"/>
      <c r="E884" s="9"/>
      <c r="F884" s="14"/>
      <c r="G884" s="9"/>
      <c r="H884" s="14"/>
      <c r="I884" s="9"/>
      <c r="J884" s="9"/>
      <c r="K884" s="9"/>
      <c r="L884" s="9"/>
      <c r="M884" s="9"/>
      <c r="N884" s="9"/>
      <c r="O884" s="60"/>
      <c r="P884" s="9"/>
      <c r="Q884" s="9"/>
      <c r="R884" s="64"/>
      <c r="S884" s="9"/>
      <c r="T884" s="9"/>
      <c r="U884" s="9"/>
      <c r="V884" s="9"/>
      <c r="W884" s="14"/>
      <c r="X884" s="9"/>
      <c r="Y884" s="9"/>
      <c r="Z884" s="15"/>
      <c r="AA884" s="15"/>
      <c r="AB884" s="15"/>
      <c r="AC884" s="15"/>
      <c r="AD884" s="15"/>
      <c r="AE884" s="15"/>
      <c r="AF884" s="15"/>
      <c r="AG884" s="15"/>
      <c r="AH884" s="15"/>
      <c r="AI884" s="15"/>
    </row>
    <row r="885" ht="15.75" customHeight="1">
      <c r="A885" s="16"/>
      <c r="B885" s="18"/>
      <c r="C885" s="18"/>
      <c r="D885" s="18"/>
      <c r="E885" s="18"/>
      <c r="F885" s="18"/>
      <c r="G885" s="17"/>
      <c r="H885" s="18"/>
      <c r="I885" s="17"/>
      <c r="J885" s="17"/>
      <c r="K885" s="17"/>
      <c r="L885" s="17"/>
      <c r="M885" s="17"/>
      <c r="N885" s="17"/>
      <c r="O885" s="59"/>
      <c r="P885" s="17"/>
      <c r="Q885" s="17"/>
      <c r="R885" s="65"/>
      <c r="S885" s="17"/>
      <c r="T885" s="17"/>
      <c r="U885" s="17"/>
      <c r="V885" s="17"/>
      <c r="W885" s="16"/>
      <c r="X885" s="17"/>
      <c r="Y885" s="17"/>
      <c r="Z885" s="24"/>
      <c r="AA885" s="24"/>
      <c r="AB885" s="24"/>
      <c r="AC885" s="24"/>
      <c r="AD885" s="24"/>
      <c r="AE885" s="24"/>
      <c r="AF885" s="24"/>
      <c r="AG885" s="24"/>
      <c r="AH885" s="24"/>
      <c r="AI885" s="24"/>
    </row>
    <row r="886" ht="15.75" customHeight="1">
      <c r="A886" s="8"/>
      <c r="B886" s="14"/>
      <c r="C886" s="14"/>
      <c r="D886" s="14"/>
      <c r="E886" s="9"/>
      <c r="F886" s="14"/>
      <c r="G886" s="9"/>
      <c r="H886" s="14"/>
      <c r="I886" s="9"/>
      <c r="J886" s="9"/>
      <c r="K886" s="9"/>
      <c r="L886" s="9"/>
      <c r="M886" s="9"/>
      <c r="N886" s="9"/>
      <c r="O886" s="60"/>
      <c r="P886" s="9"/>
      <c r="Q886" s="9"/>
      <c r="R886" s="64"/>
      <c r="S886" s="9"/>
      <c r="T886" s="9"/>
      <c r="U886" s="9"/>
      <c r="V886" s="9"/>
      <c r="W886" s="14"/>
      <c r="X886" s="9"/>
      <c r="Y886" s="9"/>
      <c r="Z886" s="15"/>
      <c r="AA886" s="15"/>
      <c r="AB886" s="15"/>
      <c r="AC886" s="15"/>
      <c r="AD886" s="15"/>
      <c r="AE886" s="15"/>
      <c r="AF886" s="15"/>
      <c r="AG886" s="15"/>
      <c r="AH886" s="15"/>
      <c r="AI886" s="15"/>
    </row>
    <row r="887" ht="15.75" customHeight="1">
      <c r="A887" s="16"/>
      <c r="B887" s="18"/>
      <c r="C887" s="18"/>
      <c r="D887" s="18"/>
      <c r="E887" s="18"/>
      <c r="F887" s="18"/>
      <c r="G887" s="17"/>
      <c r="H887" s="18"/>
      <c r="I887" s="17"/>
      <c r="J887" s="17"/>
      <c r="K887" s="17"/>
      <c r="L887" s="17"/>
      <c r="M887" s="17"/>
      <c r="N887" s="17"/>
      <c r="O887" s="59"/>
      <c r="P887" s="17"/>
      <c r="Q887" s="17"/>
      <c r="R887" s="65"/>
      <c r="S887" s="17"/>
      <c r="T887" s="17"/>
      <c r="U887" s="17"/>
      <c r="V887" s="17"/>
      <c r="W887" s="18"/>
      <c r="X887" s="17"/>
      <c r="Y887" s="17"/>
      <c r="Z887" s="24"/>
      <c r="AA887" s="24"/>
      <c r="AB887" s="24"/>
      <c r="AC887" s="24"/>
      <c r="AD887" s="24"/>
      <c r="AE887" s="24"/>
      <c r="AF887" s="24"/>
      <c r="AG887" s="24"/>
      <c r="AH887" s="24"/>
      <c r="AI887" s="24"/>
    </row>
    <row r="888" ht="15.75" customHeight="1">
      <c r="A888" s="8"/>
      <c r="B888" s="14"/>
      <c r="C888" s="14"/>
      <c r="D888" s="14"/>
      <c r="E888" s="9"/>
      <c r="F888" s="14"/>
      <c r="G888" s="9"/>
      <c r="H888" s="14"/>
      <c r="I888" s="9"/>
      <c r="J888" s="9"/>
      <c r="K888" s="9"/>
      <c r="L888" s="9"/>
      <c r="M888" s="9"/>
      <c r="N888" s="9"/>
      <c r="O888" s="60"/>
      <c r="P888" s="9"/>
      <c r="Q888" s="9"/>
      <c r="R888" s="64"/>
      <c r="S888" s="9"/>
      <c r="T888" s="9"/>
      <c r="U888" s="9"/>
      <c r="V888" s="9"/>
      <c r="W888" s="8"/>
      <c r="X888" s="9"/>
      <c r="Y888" s="9"/>
      <c r="Z888" s="15"/>
      <c r="AA888" s="15"/>
      <c r="AB888" s="15"/>
      <c r="AC888" s="15"/>
      <c r="AD888" s="15"/>
      <c r="AE888" s="15"/>
      <c r="AF888" s="15"/>
      <c r="AG888" s="15"/>
      <c r="AH888" s="15"/>
      <c r="AI888" s="15"/>
    </row>
    <row r="889" ht="15.75" customHeight="1">
      <c r="A889" s="16"/>
      <c r="B889" s="18"/>
      <c r="C889" s="18"/>
      <c r="D889" s="18"/>
      <c r="E889" s="18"/>
      <c r="F889" s="18"/>
      <c r="G889" s="17"/>
      <c r="H889" s="18"/>
      <c r="I889" s="17"/>
      <c r="J889" s="17"/>
      <c r="K889" s="17"/>
      <c r="L889" s="17"/>
      <c r="M889" s="17"/>
      <c r="N889" s="17"/>
      <c r="O889" s="59"/>
      <c r="P889" s="17"/>
      <c r="Q889" s="17"/>
      <c r="R889" s="65"/>
      <c r="S889" s="17"/>
      <c r="T889" s="17"/>
      <c r="U889" s="17"/>
      <c r="V889" s="17"/>
      <c r="W889" s="18"/>
      <c r="X889" s="17"/>
      <c r="Y889" s="17"/>
      <c r="Z889" s="24"/>
      <c r="AA889" s="24"/>
      <c r="AB889" s="24"/>
      <c r="AC889" s="24"/>
      <c r="AD889" s="24"/>
      <c r="AE889" s="24"/>
      <c r="AF889" s="24"/>
      <c r="AG889" s="24"/>
      <c r="AH889" s="24"/>
      <c r="AI889" s="24"/>
    </row>
    <row r="890" ht="15.75" customHeight="1">
      <c r="A890" s="8"/>
      <c r="B890" s="14"/>
      <c r="C890" s="14"/>
      <c r="D890" s="14"/>
      <c r="E890" s="9"/>
      <c r="F890" s="14"/>
      <c r="G890" s="9"/>
      <c r="H890" s="14"/>
      <c r="I890" s="9"/>
      <c r="J890" s="9"/>
      <c r="K890" s="9"/>
      <c r="L890" s="9"/>
      <c r="M890" s="9"/>
      <c r="N890" s="9"/>
      <c r="O890" s="60"/>
      <c r="P890" s="9"/>
      <c r="Q890" s="9"/>
      <c r="R890" s="64"/>
      <c r="S890" s="9"/>
      <c r="T890" s="9"/>
      <c r="U890" s="9"/>
      <c r="V890" s="9"/>
      <c r="W890" s="14"/>
      <c r="X890" s="9"/>
      <c r="Y890" s="9"/>
      <c r="Z890" s="15"/>
      <c r="AA890" s="15"/>
      <c r="AB890" s="15"/>
      <c r="AC890" s="15"/>
      <c r="AD890" s="15"/>
      <c r="AE890" s="15"/>
      <c r="AF890" s="15"/>
      <c r="AG890" s="15"/>
      <c r="AH890" s="15"/>
      <c r="AI890" s="15"/>
    </row>
    <row r="891" ht="15.75" customHeight="1">
      <c r="A891" s="16"/>
      <c r="B891" s="18"/>
      <c r="C891" s="18"/>
      <c r="D891" s="18"/>
      <c r="E891" s="18"/>
      <c r="F891" s="18"/>
      <c r="G891" s="17"/>
      <c r="H891" s="18"/>
      <c r="I891" s="17"/>
      <c r="J891" s="17"/>
      <c r="K891" s="17"/>
      <c r="L891" s="17"/>
      <c r="M891" s="17"/>
      <c r="N891" s="17"/>
      <c r="O891" s="59"/>
      <c r="P891" s="17"/>
      <c r="Q891" s="17"/>
      <c r="R891" s="65"/>
      <c r="S891" s="17"/>
      <c r="T891" s="17"/>
      <c r="U891" s="17"/>
      <c r="V891" s="17"/>
      <c r="W891" s="16"/>
      <c r="X891" s="17"/>
      <c r="Y891" s="17"/>
      <c r="Z891" s="24"/>
      <c r="AA891" s="24"/>
      <c r="AB891" s="24"/>
      <c r="AC891" s="24"/>
      <c r="AD891" s="24"/>
      <c r="AE891" s="24"/>
      <c r="AF891" s="24"/>
      <c r="AG891" s="24"/>
      <c r="AH891" s="24"/>
      <c r="AI891" s="24"/>
    </row>
    <row r="892" ht="15.75" customHeight="1">
      <c r="A892" s="8"/>
      <c r="B892" s="14"/>
      <c r="C892" s="14"/>
      <c r="D892" s="14"/>
      <c r="E892" s="9"/>
      <c r="F892" s="14"/>
      <c r="G892" s="9"/>
      <c r="H892" s="14"/>
      <c r="I892" s="9"/>
      <c r="J892" s="9"/>
      <c r="K892" s="9"/>
      <c r="L892" s="9"/>
      <c r="M892" s="9"/>
      <c r="N892" s="9"/>
      <c r="O892" s="60"/>
      <c r="P892" s="9"/>
      <c r="Q892" s="9"/>
      <c r="R892" s="64"/>
      <c r="S892" s="9"/>
      <c r="T892" s="9"/>
      <c r="U892" s="9"/>
      <c r="V892" s="9"/>
      <c r="W892" s="14"/>
      <c r="X892" s="9"/>
      <c r="Y892" s="9"/>
      <c r="Z892" s="15"/>
      <c r="AA892" s="15"/>
      <c r="AB892" s="15"/>
      <c r="AC892" s="15"/>
      <c r="AD892" s="15"/>
      <c r="AE892" s="15"/>
      <c r="AF892" s="15"/>
      <c r="AG892" s="15"/>
      <c r="AH892" s="15"/>
      <c r="AI892" s="15"/>
    </row>
    <row r="893" ht="15.75" customHeight="1">
      <c r="A893" s="16"/>
      <c r="B893" s="18"/>
      <c r="C893" s="18"/>
      <c r="D893" s="18"/>
      <c r="E893" s="18"/>
      <c r="F893" s="18"/>
      <c r="G893" s="17"/>
      <c r="H893" s="18"/>
      <c r="I893" s="17"/>
      <c r="J893" s="17"/>
      <c r="K893" s="17"/>
      <c r="L893" s="17"/>
      <c r="M893" s="17"/>
      <c r="N893" s="17"/>
      <c r="O893" s="59"/>
      <c r="P893" s="17"/>
      <c r="Q893" s="17"/>
      <c r="R893" s="65"/>
      <c r="S893" s="17"/>
      <c r="T893" s="17"/>
      <c r="U893" s="17"/>
      <c r="V893" s="17"/>
      <c r="W893" s="18"/>
      <c r="X893" s="17"/>
      <c r="Y893" s="17"/>
      <c r="Z893" s="24"/>
      <c r="AA893" s="24"/>
      <c r="AB893" s="24"/>
      <c r="AC893" s="24"/>
      <c r="AD893" s="24"/>
      <c r="AE893" s="24"/>
      <c r="AF893" s="24"/>
      <c r="AG893" s="24"/>
      <c r="AH893" s="24"/>
      <c r="AI893" s="24"/>
    </row>
    <row r="894" ht="15.75" customHeight="1">
      <c r="A894" s="8"/>
      <c r="B894" s="14"/>
      <c r="C894" s="14"/>
      <c r="D894" s="14"/>
      <c r="E894" s="9"/>
      <c r="F894" s="14"/>
      <c r="G894" s="9"/>
      <c r="H894" s="14"/>
      <c r="I894" s="9"/>
      <c r="J894" s="9"/>
      <c r="K894" s="9"/>
      <c r="L894" s="9"/>
      <c r="M894" s="9"/>
      <c r="N894" s="9"/>
      <c r="O894" s="60"/>
      <c r="P894" s="9"/>
      <c r="Q894" s="9"/>
      <c r="R894" s="64"/>
      <c r="S894" s="9"/>
      <c r="T894" s="9"/>
      <c r="U894" s="9"/>
      <c r="V894" s="9"/>
      <c r="W894" s="8"/>
      <c r="X894" s="9"/>
      <c r="Y894" s="9"/>
      <c r="Z894" s="15"/>
      <c r="AA894" s="15"/>
      <c r="AB894" s="15"/>
      <c r="AC894" s="15"/>
      <c r="AD894" s="15"/>
      <c r="AE894" s="15"/>
      <c r="AF894" s="15"/>
      <c r="AG894" s="15"/>
      <c r="AH894" s="15"/>
      <c r="AI894" s="15"/>
    </row>
    <row r="895" ht="15.75" customHeight="1">
      <c r="A895" s="16"/>
      <c r="B895" s="18"/>
      <c r="C895" s="18"/>
      <c r="D895" s="18"/>
      <c r="E895" s="18"/>
      <c r="F895" s="18"/>
      <c r="G895" s="17"/>
      <c r="H895" s="18"/>
      <c r="I895" s="17"/>
      <c r="J895" s="17"/>
      <c r="K895" s="17"/>
      <c r="L895" s="17"/>
      <c r="M895" s="17"/>
      <c r="N895" s="17"/>
      <c r="O895" s="59"/>
      <c r="P895" s="17"/>
      <c r="Q895" s="17"/>
      <c r="R895" s="65"/>
      <c r="S895" s="17"/>
      <c r="T895" s="17"/>
      <c r="U895" s="17"/>
      <c r="V895" s="17"/>
      <c r="W895" s="18"/>
      <c r="X895" s="17"/>
      <c r="Y895" s="17"/>
      <c r="Z895" s="24"/>
      <c r="AA895" s="24"/>
      <c r="AB895" s="24"/>
      <c r="AC895" s="24"/>
      <c r="AD895" s="24"/>
      <c r="AE895" s="24"/>
      <c r="AF895" s="24"/>
      <c r="AG895" s="24"/>
      <c r="AH895" s="24"/>
      <c r="AI895" s="24"/>
    </row>
    <row r="896" ht="15.75" customHeight="1">
      <c r="A896" s="8"/>
      <c r="B896" s="14"/>
      <c r="C896" s="14"/>
      <c r="D896" s="14"/>
      <c r="E896" s="9"/>
      <c r="F896" s="14"/>
      <c r="G896" s="9"/>
      <c r="H896" s="14"/>
      <c r="I896" s="9"/>
      <c r="J896" s="9"/>
      <c r="K896" s="9"/>
      <c r="L896" s="9"/>
      <c r="M896" s="9"/>
      <c r="N896" s="9"/>
      <c r="O896" s="60"/>
      <c r="P896" s="9"/>
      <c r="Q896" s="9"/>
      <c r="R896" s="64"/>
      <c r="S896" s="9"/>
      <c r="T896" s="9"/>
      <c r="U896" s="9"/>
      <c r="V896" s="9"/>
      <c r="W896" s="14"/>
      <c r="X896" s="9"/>
      <c r="Y896" s="9"/>
      <c r="Z896" s="15"/>
      <c r="AA896" s="15"/>
      <c r="AB896" s="15"/>
      <c r="AC896" s="15"/>
      <c r="AD896" s="15"/>
      <c r="AE896" s="15"/>
      <c r="AF896" s="15"/>
      <c r="AG896" s="15"/>
      <c r="AH896" s="15"/>
      <c r="AI896" s="15"/>
    </row>
    <row r="897" ht="15.75" customHeight="1">
      <c r="A897" s="16"/>
      <c r="B897" s="18"/>
      <c r="C897" s="18"/>
      <c r="D897" s="18"/>
      <c r="E897" s="18"/>
      <c r="F897" s="18"/>
      <c r="G897" s="17"/>
      <c r="H897" s="18"/>
      <c r="I897" s="17"/>
      <c r="J897" s="17"/>
      <c r="K897" s="17"/>
      <c r="L897" s="17"/>
      <c r="M897" s="17"/>
      <c r="N897" s="17"/>
      <c r="O897" s="59"/>
      <c r="P897" s="17"/>
      <c r="Q897" s="17"/>
      <c r="R897" s="65"/>
      <c r="S897" s="17"/>
      <c r="T897" s="17"/>
      <c r="U897" s="17"/>
      <c r="V897" s="17"/>
      <c r="W897" s="16"/>
      <c r="X897" s="17"/>
      <c r="Y897" s="17"/>
      <c r="Z897" s="24"/>
      <c r="AA897" s="24"/>
      <c r="AB897" s="24"/>
      <c r="AC897" s="24"/>
      <c r="AD897" s="24"/>
      <c r="AE897" s="24"/>
      <c r="AF897" s="24"/>
      <c r="AG897" s="24"/>
      <c r="AH897" s="24"/>
      <c r="AI897" s="24"/>
    </row>
    <row r="898" ht="15.75" customHeight="1">
      <c r="A898" s="8"/>
      <c r="B898" s="14"/>
      <c r="C898" s="14"/>
      <c r="D898" s="14"/>
      <c r="E898" s="9"/>
      <c r="F898" s="14"/>
      <c r="G898" s="9"/>
      <c r="H898" s="14"/>
      <c r="I898" s="9"/>
      <c r="J898" s="9"/>
      <c r="K898" s="9"/>
      <c r="L898" s="9"/>
      <c r="M898" s="9"/>
      <c r="N898" s="9"/>
      <c r="O898" s="60"/>
      <c r="P898" s="9"/>
      <c r="Q898" s="9"/>
      <c r="R898" s="64"/>
      <c r="S898" s="9"/>
      <c r="T898" s="9"/>
      <c r="U898" s="9"/>
      <c r="V898" s="9"/>
      <c r="W898" s="14"/>
      <c r="X898" s="9"/>
      <c r="Y898" s="9"/>
      <c r="Z898" s="15"/>
      <c r="AA898" s="15"/>
      <c r="AB898" s="15"/>
      <c r="AC898" s="15"/>
      <c r="AD898" s="15"/>
      <c r="AE898" s="15"/>
      <c r="AF898" s="15"/>
      <c r="AG898" s="15"/>
      <c r="AH898" s="15"/>
      <c r="AI898" s="15"/>
    </row>
    <row r="899" ht="15.75" customHeight="1">
      <c r="A899" s="16"/>
      <c r="B899" s="18"/>
      <c r="C899" s="18"/>
      <c r="D899" s="18"/>
      <c r="E899" s="18"/>
      <c r="F899" s="18"/>
      <c r="G899" s="17"/>
      <c r="H899" s="18"/>
      <c r="I899" s="17"/>
      <c r="J899" s="17"/>
      <c r="K899" s="17"/>
      <c r="L899" s="17"/>
      <c r="M899" s="17"/>
      <c r="N899" s="17"/>
      <c r="O899" s="59"/>
      <c r="P899" s="17"/>
      <c r="Q899" s="17"/>
      <c r="R899" s="65"/>
      <c r="S899" s="17"/>
      <c r="T899" s="17"/>
      <c r="U899" s="17"/>
      <c r="V899" s="17"/>
      <c r="W899" s="18"/>
      <c r="X899" s="17"/>
      <c r="Y899" s="17"/>
      <c r="Z899" s="24"/>
      <c r="AA899" s="24"/>
      <c r="AB899" s="24"/>
      <c r="AC899" s="24"/>
      <c r="AD899" s="24"/>
      <c r="AE899" s="24"/>
      <c r="AF899" s="24"/>
      <c r="AG899" s="24"/>
      <c r="AH899" s="24"/>
      <c r="AI899" s="24"/>
    </row>
    <row r="900" ht="15.75" customHeight="1">
      <c r="A900" s="8"/>
      <c r="B900" s="14"/>
      <c r="C900" s="14"/>
      <c r="D900" s="14"/>
      <c r="E900" s="9"/>
      <c r="F900" s="14"/>
      <c r="G900" s="9"/>
      <c r="H900" s="14"/>
      <c r="I900" s="9"/>
      <c r="J900" s="9"/>
      <c r="K900" s="9"/>
      <c r="L900" s="9"/>
      <c r="M900" s="9"/>
      <c r="N900" s="9"/>
      <c r="O900" s="60"/>
      <c r="P900" s="9"/>
      <c r="Q900" s="9"/>
      <c r="R900" s="64"/>
      <c r="S900" s="9"/>
      <c r="T900" s="9"/>
      <c r="U900" s="9"/>
      <c r="V900" s="9"/>
      <c r="W900" s="8"/>
      <c r="X900" s="9"/>
      <c r="Y900" s="9"/>
      <c r="Z900" s="15"/>
      <c r="AA900" s="15"/>
      <c r="AB900" s="15"/>
      <c r="AC900" s="15"/>
      <c r="AD900" s="15"/>
      <c r="AE900" s="15"/>
      <c r="AF900" s="15"/>
      <c r="AG900" s="15"/>
      <c r="AH900" s="15"/>
      <c r="AI900" s="15"/>
    </row>
    <row r="901" ht="15.75" customHeight="1">
      <c r="A901" s="16"/>
      <c r="B901" s="18"/>
      <c r="C901" s="18"/>
      <c r="D901" s="18"/>
      <c r="E901" s="18"/>
      <c r="F901" s="18"/>
      <c r="G901" s="17"/>
      <c r="H901" s="18"/>
      <c r="I901" s="17"/>
      <c r="J901" s="17"/>
      <c r="K901" s="17"/>
      <c r="L901" s="17"/>
      <c r="M901" s="17"/>
      <c r="N901" s="17"/>
      <c r="O901" s="59"/>
      <c r="P901" s="17"/>
      <c r="Q901" s="17"/>
      <c r="R901" s="65"/>
      <c r="S901" s="17"/>
      <c r="T901" s="17"/>
      <c r="U901" s="17"/>
      <c r="V901" s="17"/>
      <c r="W901" s="18"/>
      <c r="X901" s="17"/>
      <c r="Y901" s="17"/>
      <c r="Z901" s="24"/>
      <c r="AA901" s="24"/>
      <c r="AB901" s="24"/>
      <c r="AC901" s="24"/>
      <c r="AD901" s="24"/>
      <c r="AE901" s="24"/>
      <c r="AF901" s="24"/>
      <c r="AG901" s="24"/>
      <c r="AH901" s="24"/>
      <c r="AI901" s="24"/>
    </row>
    <row r="902" ht="15.75" customHeight="1">
      <c r="A902" s="8"/>
      <c r="B902" s="14"/>
      <c r="C902" s="14"/>
      <c r="D902" s="14"/>
      <c r="E902" s="9"/>
      <c r="F902" s="14"/>
      <c r="G902" s="9"/>
      <c r="H902" s="14"/>
      <c r="I902" s="9"/>
      <c r="J902" s="9"/>
      <c r="K902" s="9"/>
      <c r="L902" s="9"/>
      <c r="M902" s="9"/>
      <c r="N902" s="9"/>
      <c r="O902" s="60"/>
      <c r="P902" s="9"/>
      <c r="Q902" s="9"/>
      <c r="R902" s="64"/>
      <c r="S902" s="9"/>
      <c r="T902" s="9"/>
      <c r="U902" s="9"/>
      <c r="V902" s="9"/>
      <c r="W902" s="14"/>
      <c r="X902" s="9"/>
      <c r="Y902" s="9"/>
      <c r="Z902" s="15"/>
      <c r="AA902" s="15"/>
      <c r="AB902" s="15"/>
      <c r="AC902" s="15"/>
      <c r="AD902" s="15"/>
      <c r="AE902" s="15"/>
      <c r="AF902" s="15"/>
      <c r="AG902" s="15"/>
      <c r="AH902" s="15"/>
      <c r="AI902" s="15"/>
    </row>
    <row r="903" ht="15.75" customHeight="1">
      <c r="A903" s="16"/>
      <c r="B903" s="18"/>
      <c r="C903" s="18"/>
      <c r="D903" s="18"/>
      <c r="E903" s="18"/>
      <c r="F903" s="18"/>
      <c r="G903" s="17"/>
      <c r="H903" s="18"/>
      <c r="I903" s="17"/>
      <c r="J903" s="17"/>
      <c r="K903" s="17"/>
      <c r="L903" s="17"/>
      <c r="M903" s="17"/>
      <c r="N903" s="17"/>
      <c r="O903" s="59"/>
      <c r="P903" s="17"/>
      <c r="Q903" s="17"/>
      <c r="R903" s="65"/>
      <c r="S903" s="17"/>
      <c r="T903" s="17"/>
      <c r="U903" s="17"/>
      <c r="V903" s="17"/>
      <c r="W903" s="16"/>
      <c r="X903" s="17"/>
      <c r="Y903" s="17"/>
      <c r="Z903" s="24"/>
      <c r="AA903" s="24"/>
      <c r="AB903" s="24"/>
      <c r="AC903" s="24"/>
      <c r="AD903" s="24"/>
      <c r="AE903" s="24"/>
      <c r="AF903" s="24"/>
      <c r="AG903" s="24"/>
      <c r="AH903" s="24"/>
      <c r="AI903" s="24"/>
    </row>
    <row r="904" ht="15.75" customHeight="1">
      <c r="A904" s="8"/>
      <c r="B904" s="14"/>
      <c r="C904" s="14"/>
      <c r="D904" s="14"/>
      <c r="E904" s="9"/>
      <c r="F904" s="14"/>
      <c r="G904" s="9"/>
      <c r="H904" s="14"/>
      <c r="I904" s="9"/>
      <c r="J904" s="9"/>
      <c r="K904" s="9"/>
      <c r="L904" s="9"/>
      <c r="M904" s="9"/>
      <c r="N904" s="9"/>
      <c r="O904" s="60"/>
      <c r="P904" s="9"/>
      <c r="Q904" s="9"/>
      <c r="R904" s="64"/>
      <c r="S904" s="9"/>
      <c r="T904" s="9"/>
      <c r="U904" s="9"/>
      <c r="V904" s="9"/>
      <c r="W904" s="14"/>
      <c r="X904" s="9"/>
      <c r="Y904" s="9"/>
      <c r="Z904" s="15"/>
      <c r="AA904" s="15"/>
      <c r="AB904" s="15"/>
      <c r="AC904" s="15"/>
      <c r="AD904" s="15"/>
      <c r="AE904" s="15"/>
      <c r="AF904" s="15"/>
      <c r="AG904" s="15"/>
      <c r="AH904" s="15"/>
      <c r="AI904" s="15"/>
    </row>
    <row r="905" ht="15.75" customHeight="1">
      <c r="A905" s="16"/>
      <c r="B905" s="18"/>
      <c r="C905" s="18"/>
      <c r="D905" s="18"/>
      <c r="E905" s="18"/>
      <c r="F905" s="18"/>
      <c r="G905" s="17"/>
      <c r="H905" s="18"/>
      <c r="I905" s="17"/>
      <c r="J905" s="17"/>
      <c r="K905" s="17"/>
      <c r="L905" s="17"/>
      <c r="M905" s="17"/>
      <c r="N905" s="17"/>
      <c r="O905" s="59"/>
      <c r="P905" s="17"/>
      <c r="Q905" s="17"/>
      <c r="R905" s="65"/>
      <c r="S905" s="17"/>
      <c r="T905" s="17"/>
      <c r="U905" s="17"/>
      <c r="V905" s="17"/>
      <c r="W905" s="18"/>
      <c r="X905" s="17"/>
      <c r="Y905" s="17"/>
      <c r="Z905" s="24"/>
      <c r="AA905" s="24"/>
      <c r="AB905" s="24"/>
      <c r="AC905" s="24"/>
      <c r="AD905" s="24"/>
      <c r="AE905" s="24"/>
      <c r="AF905" s="24"/>
      <c r="AG905" s="24"/>
      <c r="AH905" s="24"/>
      <c r="AI905" s="24"/>
    </row>
    <row r="906" ht="15.75" customHeight="1">
      <c r="A906" s="8"/>
      <c r="B906" s="14"/>
      <c r="C906" s="14"/>
      <c r="D906" s="14"/>
      <c r="E906" s="9"/>
      <c r="F906" s="14"/>
      <c r="G906" s="9"/>
      <c r="H906" s="14"/>
      <c r="I906" s="9"/>
      <c r="J906" s="9"/>
      <c r="K906" s="9"/>
      <c r="L906" s="9"/>
      <c r="M906" s="9"/>
      <c r="N906" s="9"/>
      <c r="O906" s="60"/>
      <c r="P906" s="9"/>
      <c r="Q906" s="9"/>
      <c r="R906" s="64"/>
      <c r="S906" s="9"/>
      <c r="T906" s="9"/>
      <c r="U906" s="9"/>
      <c r="V906" s="9"/>
      <c r="W906" s="8"/>
      <c r="X906" s="9"/>
      <c r="Y906" s="9"/>
      <c r="Z906" s="15"/>
      <c r="AA906" s="15"/>
      <c r="AB906" s="15"/>
      <c r="AC906" s="15"/>
      <c r="AD906" s="15"/>
      <c r="AE906" s="15"/>
      <c r="AF906" s="15"/>
      <c r="AG906" s="15"/>
      <c r="AH906" s="15"/>
      <c r="AI906" s="15"/>
    </row>
    <row r="907" ht="15.75" customHeight="1">
      <c r="A907" s="16"/>
      <c r="B907" s="18"/>
      <c r="C907" s="18"/>
      <c r="D907" s="18"/>
      <c r="E907" s="18"/>
      <c r="F907" s="18"/>
      <c r="G907" s="17"/>
      <c r="H907" s="18"/>
      <c r="I907" s="17"/>
      <c r="J907" s="17"/>
      <c r="K907" s="17"/>
      <c r="L907" s="17"/>
      <c r="M907" s="17"/>
      <c r="N907" s="17"/>
      <c r="O907" s="59"/>
      <c r="P907" s="17"/>
      <c r="Q907" s="17"/>
      <c r="R907" s="65"/>
      <c r="S907" s="17"/>
      <c r="T907" s="17"/>
      <c r="U907" s="17"/>
      <c r="V907" s="17"/>
      <c r="W907" s="18"/>
      <c r="X907" s="17"/>
      <c r="Y907" s="17"/>
      <c r="Z907" s="24"/>
      <c r="AA907" s="24"/>
      <c r="AB907" s="24"/>
      <c r="AC907" s="24"/>
      <c r="AD907" s="24"/>
      <c r="AE907" s="24"/>
      <c r="AF907" s="24"/>
      <c r="AG907" s="24"/>
      <c r="AH907" s="24"/>
      <c r="AI907" s="24"/>
    </row>
    <row r="908" ht="15.75" customHeight="1">
      <c r="A908" s="8"/>
      <c r="B908" s="14"/>
      <c r="C908" s="14"/>
      <c r="D908" s="14"/>
      <c r="E908" s="9"/>
      <c r="F908" s="14"/>
      <c r="G908" s="9"/>
      <c r="H908" s="14"/>
      <c r="I908" s="9"/>
      <c r="J908" s="9"/>
      <c r="K908" s="9"/>
      <c r="L908" s="9"/>
      <c r="M908" s="9"/>
      <c r="N908" s="9"/>
      <c r="O908" s="60"/>
      <c r="P908" s="9"/>
      <c r="Q908" s="9"/>
      <c r="R908" s="64"/>
      <c r="S908" s="9"/>
      <c r="T908" s="9"/>
      <c r="U908" s="9"/>
      <c r="V908" s="9"/>
      <c r="W908" s="14"/>
      <c r="X908" s="9"/>
      <c r="Y908" s="9"/>
      <c r="Z908" s="15"/>
      <c r="AA908" s="15"/>
      <c r="AB908" s="15"/>
      <c r="AC908" s="15"/>
      <c r="AD908" s="15"/>
      <c r="AE908" s="15"/>
      <c r="AF908" s="15"/>
      <c r="AG908" s="15"/>
      <c r="AH908" s="15"/>
      <c r="AI908" s="15"/>
    </row>
    <row r="909" ht="15.75" customHeight="1">
      <c r="A909" s="16"/>
      <c r="B909" s="18"/>
      <c r="C909" s="18"/>
      <c r="D909" s="18"/>
      <c r="E909" s="18"/>
      <c r="F909" s="18"/>
      <c r="G909" s="17"/>
      <c r="H909" s="18"/>
      <c r="I909" s="17"/>
      <c r="J909" s="17"/>
      <c r="K909" s="17"/>
      <c r="L909" s="17"/>
      <c r="M909" s="17"/>
      <c r="N909" s="17"/>
      <c r="O909" s="59"/>
      <c r="P909" s="17"/>
      <c r="Q909" s="17"/>
      <c r="R909" s="65"/>
      <c r="S909" s="17"/>
      <c r="T909" s="17"/>
      <c r="U909" s="17"/>
      <c r="V909" s="17"/>
      <c r="W909" s="16"/>
      <c r="X909" s="17"/>
      <c r="Y909" s="17"/>
      <c r="Z909" s="24"/>
      <c r="AA909" s="24"/>
      <c r="AB909" s="24"/>
      <c r="AC909" s="24"/>
      <c r="AD909" s="24"/>
      <c r="AE909" s="24"/>
      <c r="AF909" s="24"/>
      <c r="AG909" s="24"/>
      <c r="AH909" s="24"/>
      <c r="AI909" s="24"/>
    </row>
    <row r="910" ht="15.75" customHeight="1">
      <c r="A910" s="8"/>
      <c r="B910" s="14"/>
      <c r="C910" s="14"/>
      <c r="D910" s="14"/>
      <c r="E910" s="9"/>
      <c r="F910" s="14"/>
      <c r="G910" s="9"/>
      <c r="H910" s="14"/>
      <c r="I910" s="9"/>
      <c r="J910" s="9"/>
      <c r="K910" s="9"/>
      <c r="L910" s="9"/>
      <c r="M910" s="9"/>
      <c r="N910" s="9"/>
      <c r="O910" s="60"/>
      <c r="P910" s="9"/>
      <c r="Q910" s="9"/>
      <c r="R910" s="64"/>
      <c r="S910" s="9"/>
      <c r="T910" s="9"/>
      <c r="U910" s="9"/>
      <c r="V910" s="9"/>
      <c r="W910" s="14"/>
      <c r="X910" s="9"/>
      <c r="Y910" s="9"/>
      <c r="Z910" s="15"/>
      <c r="AA910" s="15"/>
      <c r="AB910" s="15"/>
      <c r="AC910" s="15"/>
      <c r="AD910" s="15"/>
      <c r="AE910" s="15"/>
      <c r="AF910" s="15"/>
      <c r="AG910" s="15"/>
      <c r="AH910" s="15"/>
      <c r="AI910" s="15"/>
    </row>
    <row r="911" ht="15.75" customHeight="1">
      <c r="A911" s="16"/>
      <c r="B911" s="18"/>
      <c r="C911" s="18"/>
      <c r="D911" s="18"/>
      <c r="E911" s="18"/>
      <c r="F911" s="18"/>
      <c r="G911" s="17"/>
      <c r="H911" s="18"/>
      <c r="I911" s="17"/>
      <c r="J911" s="17"/>
      <c r="K911" s="17"/>
      <c r="L911" s="17"/>
      <c r="M911" s="17"/>
      <c r="N911" s="17"/>
      <c r="O911" s="59"/>
      <c r="P911" s="17"/>
      <c r="Q911" s="17"/>
      <c r="R911" s="65"/>
      <c r="S911" s="17"/>
      <c r="T911" s="17"/>
      <c r="U911" s="17"/>
      <c r="V911" s="17"/>
      <c r="W911" s="18"/>
      <c r="X911" s="17"/>
      <c r="Y911" s="17"/>
      <c r="Z911" s="24"/>
      <c r="AA911" s="24"/>
      <c r="AB911" s="24"/>
      <c r="AC911" s="24"/>
      <c r="AD911" s="24"/>
      <c r="AE911" s="24"/>
      <c r="AF911" s="24"/>
      <c r="AG911" s="24"/>
      <c r="AH911" s="24"/>
      <c r="AI911" s="24"/>
    </row>
    <row r="912" ht="15.75" customHeight="1">
      <c r="A912" s="8"/>
      <c r="B912" s="14"/>
      <c r="C912" s="14"/>
      <c r="D912" s="14"/>
      <c r="E912" s="9"/>
      <c r="F912" s="14"/>
      <c r="G912" s="9"/>
      <c r="H912" s="14"/>
      <c r="I912" s="9"/>
      <c r="J912" s="9"/>
      <c r="K912" s="9"/>
      <c r="L912" s="9"/>
      <c r="M912" s="9"/>
      <c r="N912" s="9"/>
      <c r="O912" s="60"/>
      <c r="P912" s="9"/>
      <c r="Q912" s="9"/>
      <c r="R912" s="64"/>
      <c r="S912" s="9"/>
      <c r="T912" s="9"/>
      <c r="U912" s="9"/>
      <c r="V912" s="9"/>
      <c r="W912" s="8"/>
      <c r="X912" s="9"/>
      <c r="Y912" s="9"/>
      <c r="Z912" s="15"/>
      <c r="AA912" s="15"/>
      <c r="AB912" s="15"/>
      <c r="AC912" s="15"/>
      <c r="AD912" s="15"/>
      <c r="AE912" s="15"/>
      <c r="AF912" s="15"/>
      <c r="AG912" s="15"/>
      <c r="AH912" s="15"/>
      <c r="AI912" s="15"/>
    </row>
    <row r="913" ht="15.75" customHeight="1">
      <c r="A913" s="16"/>
      <c r="B913" s="18"/>
      <c r="C913" s="18"/>
      <c r="D913" s="18"/>
      <c r="E913" s="18"/>
      <c r="F913" s="18"/>
      <c r="G913" s="17"/>
      <c r="H913" s="18"/>
      <c r="I913" s="17"/>
      <c r="J913" s="17"/>
      <c r="K913" s="17"/>
      <c r="L913" s="17"/>
      <c r="M913" s="17"/>
      <c r="N913" s="17"/>
      <c r="O913" s="59"/>
      <c r="P913" s="17"/>
      <c r="Q913" s="17"/>
      <c r="R913" s="65"/>
      <c r="S913" s="17"/>
      <c r="T913" s="17"/>
      <c r="U913" s="17"/>
      <c r="V913" s="17"/>
      <c r="W913" s="18"/>
      <c r="X913" s="17"/>
      <c r="Y913" s="17"/>
      <c r="Z913" s="24"/>
      <c r="AA913" s="24"/>
      <c r="AB913" s="24"/>
      <c r="AC913" s="24"/>
      <c r="AD913" s="24"/>
      <c r="AE913" s="24"/>
      <c r="AF913" s="24"/>
      <c r="AG913" s="24"/>
      <c r="AH913" s="24"/>
      <c r="AI913" s="24"/>
    </row>
    <row r="914" ht="15.75" customHeight="1">
      <c r="A914" s="8"/>
      <c r="B914" s="14"/>
      <c r="C914" s="14"/>
      <c r="D914" s="14"/>
      <c r="E914" s="9"/>
      <c r="F914" s="14"/>
      <c r="G914" s="9"/>
      <c r="H914" s="14"/>
      <c r="I914" s="9"/>
      <c r="J914" s="9"/>
      <c r="K914" s="9"/>
      <c r="L914" s="9"/>
      <c r="M914" s="9"/>
      <c r="N914" s="9"/>
      <c r="O914" s="60"/>
      <c r="P914" s="9"/>
      <c r="Q914" s="9"/>
      <c r="R914" s="64"/>
      <c r="S914" s="9"/>
      <c r="T914" s="9"/>
      <c r="U914" s="9"/>
      <c r="V914" s="9"/>
      <c r="W914" s="14"/>
      <c r="X914" s="9"/>
      <c r="Y914" s="9"/>
      <c r="Z914" s="15"/>
      <c r="AA914" s="15"/>
      <c r="AB914" s="15"/>
      <c r="AC914" s="15"/>
      <c r="AD914" s="15"/>
      <c r="AE914" s="15"/>
      <c r="AF914" s="15"/>
      <c r="AG914" s="15"/>
      <c r="AH914" s="15"/>
      <c r="AI914" s="15"/>
    </row>
    <row r="915" ht="15.75" customHeight="1">
      <c r="A915" s="16"/>
      <c r="B915" s="18"/>
      <c r="C915" s="18"/>
      <c r="D915" s="18"/>
      <c r="E915" s="18"/>
      <c r="F915" s="18"/>
      <c r="G915" s="17"/>
      <c r="H915" s="18"/>
      <c r="I915" s="17"/>
      <c r="J915" s="17"/>
      <c r="K915" s="17"/>
      <c r="L915" s="17"/>
      <c r="M915" s="17"/>
      <c r="N915" s="17"/>
      <c r="O915" s="59"/>
      <c r="P915" s="17"/>
      <c r="Q915" s="17"/>
      <c r="R915" s="65"/>
      <c r="S915" s="17"/>
      <c r="T915" s="17"/>
      <c r="U915" s="17"/>
      <c r="V915" s="17"/>
      <c r="W915" s="16"/>
      <c r="X915" s="17"/>
      <c r="Y915" s="17"/>
      <c r="Z915" s="24"/>
      <c r="AA915" s="24"/>
      <c r="AB915" s="24"/>
      <c r="AC915" s="24"/>
      <c r="AD915" s="24"/>
      <c r="AE915" s="24"/>
      <c r="AF915" s="24"/>
      <c r="AG915" s="24"/>
      <c r="AH915" s="24"/>
      <c r="AI915" s="24"/>
    </row>
    <row r="916" ht="15.75" customHeight="1">
      <c r="A916" s="8"/>
      <c r="B916" s="14"/>
      <c r="C916" s="14"/>
      <c r="D916" s="14"/>
      <c r="E916" s="9"/>
      <c r="F916" s="14"/>
      <c r="G916" s="9"/>
      <c r="H916" s="14"/>
      <c r="I916" s="9"/>
      <c r="J916" s="9"/>
      <c r="K916" s="9"/>
      <c r="L916" s="9"/>
      <c r="M916" s="9"/>
      <c r="N916" s="9"/>
      <c r="O916" s="60"/>
      <c r="P916" s="9"/>
      <c r="Q916" s="9"/>
      <c r="R916" s="64"/>
      <c r="S916" s="9"/>
      <c r="T916" s="9"/>
      <c r="U916" s="9"/>
      <c r="V916" s="9"/>
      <c r="W916" s="14"/>
      <c r="X916" s="9"/>
      <c r="Y916" s="9"/>
      <c r="Z916" s="15"/>
      <c r="AA916" s="15"/>
      <c r="AB916" s="15"/>
      <c r="AC916" s="15"/>
      <c r="AD916" s="15"/>
      <c r="AE916" s="15"/>
      <c r="AF916" s="15"/>
      <c r="AG916" s="15"/>
      <c r="AH916" s="15"/>
      <c r="AI916" s="15"/>
    </row>
    <row r="917" ht="15.75" customHeight="1">
      <c r="A917" s="16"/>
      <c r="B917" s="18"/>
      <c r="C917" s="18"/>
      <c r="D917" s="18"/>
      <c r="E917" s="18"/>
      <c r="F917" s="18"/>
      <c r="G917" s="17"/>
      <c r="H917" s="18"/>
      <c r="I917" s="17"/>
      <c r="J917" s="17"/>
      <c r="K917" s="17"/>
      <c r="L917" s="17"/>
      <c r="M917" s="17"/>
      <c r="N917" s="17"/>
      <c r="O917" s="59"/>
      <c r="P917" s="17"/>
      <c r="Q917" s="17"/>
      <c r="R917" s="65"/>
      <c r="S917" s="17"/>
      <c r="T917" s="17"/>
      <c r="U917" s="17"/>
      <c r="V917" s="17"/>
      <c r="W917" s="18"/>
      <c r="X917" s="17"/>
      <c r="Y917" s="17"/>
      <c r="Z917" s="24"/>
      <c r="AA917" s="24"/>
      <c r="AB917" s="24"/>
      <c r="AC917" s="24"/>
      <c r="AD917" s="24"/>
      <c r="AE917" s="24"/>
      <c r="AF917" s="24"/>
      <c r="AG917" s="24"/>
      <c r="AH917" s="24"/>
      <c r="AI917" s="24"/>
    </row>
    <row r="918" ht="15.75" customHeight="1">
      <c r="A918" s="8"/>
      <c r="B918" s="14"/>
      <c r="C918" s="14"/>
      <c r="D918" s="14"/>
      <c r="E918" s="9"/>
      <c r="F918" s="14"/>
      <c r="G918" s="9"/>
      <c r="H918" s="14"/>
      <c r="I918" s="9"/>
      <c r="J918" s="9"/>
      <c r="K918" s="9"/>
      <c r="L918" s="9"/>
      <c r="M918" s="9"/>
      <c r="N918" s="9"/>
      <c r="O918" s="60"/>
      <c r="P918" s="9"/>
      <c r="Q918" s="9"/>
      <c r="R918" s="64"/>
      <c r="S918" s="9"/>
      <c r="T918" s="9"/>
      <c r="U918" s="9"/>
      <c r="V918" s="9"/>
      <c r="W918" s="8"/>
      <c r="X918" s="9"/>
      <c r="Y918" s="9"/>
      <c r="Z918" s="15"/>
      <c r="AA918" s="15"/>
      <c r="AB918" s="15"/>
      <c r="AC918" s="15"/>
      <c r="AD918" s="15"/>
      <c r="AE918" s="15"/>
      <c r="AF918" s="15"/>
      <c r="AG918" s="15"/>
      <c r="AH918" s="15"/>
      <c r="AI918" s="15"/>
    </row>
    <row r="919" ht="15.75" customHeight="1">
      <c r="A919" s="16"/>
      <c r="B919" s="18"/>
      <c r="C919" s="18"/>
      <c r="D919" s="18"/>
      <c r="E919" s="18"/>
      <c r="F919" s="18"/>
      <c r="G919" s="17"/>
      <c r="H919" s="18"/>
      <c r="I919" s="17"/>
      <c r="J919" s="17"/>
      <c r="K919" s="17"/>
      <c r="L919" s="17"/>
      <c r="M919" s="17"/>
      <c r="N919" s="17"/>
      <c r="O919" s="59"/>
      <c r="P919" s="17"/>
      <c r="Q919" s="17"/>
      <c r="R919" s="65"/>
      <c r="S919" s="17"/>
      <c r="T919" s="17"/>
      <c r="U919" s="17"/>
      <c r="V919" s="17"/>
      <c r="W919" s="18"/>
      <c r="X919" s="17"/>
      <c r="Y919" s="17"/>
      <c r="Z919" s="24"/>
      <c r="AA919" s="24"/>
      <c r="AB919" s="24"/>
      <c r="AC919" s="24"/>
      <c r="AD919" s="24"/>
      <c r="AE919" s="24"/>
      <c r="AF919" s="24"/>
      <c r="AG919" s="24"/>
      <c r="AH919" s="24"/>
      <c r="AI919" s="24"/>
    </row>
    <row r="920" ht="15.75" customHeight="1">
      <c r="A920" s="8"/>
      <c r="B920" s="14"/>
      <c r="C920" s="14"/>
      <c r="D920" s="14"/>
      <c r="E920" s="9"/>
      <c r="F920" s="14"/>
      <c r="G920" s="9"/>
      <c r="H920" s="14"/>
      <c r="I920" s="9"/>
      <c r="J920" s="9"/>
      <c r="K920" s="9"/>
      <c r="L920" s="9"/>
      <c r="M920" s="9"/>
      <c r="N920" s="9"/>
      <c r="O920" s="60"/>
      <c r="P920" s="9"/>
      <c r="Q920" s="9"/>
      <c r="R920" s="64"/>
      <c r="S920" s="9"/>
      <c r="T920" s="9"/>
      <c r="U920" s="9"/>
      <c r="V920" s="9"/>
      <c r="W920" s="14"/>
      <c r="X920" s="9"/>
      <c r="Y920" s="9"/>
      <c r="Z920" s="15"/>
      <c r="AA920" s="15"/>
      <c r="AB920" s="15"/>
      <c r="AC920" s="15"/>
      <c r="AD920" s="15"/>
      <c r="AE920" s="15"/>
      <c r="AF920" s="15"/>
      <c r="AG920" s="15"/>
      <c r="AH920" s="15"/>
      <c r="AI920" s="15"/>
    </row>
    <row r="921" ht="15.75" customHeight="1">
      <c r="A921" s="16"/>
      <c r="B921" s="18"/>
      <c r="C921" s="18"/>
      <c r="D921" s="18"/>
      <c r="E921" s="18"/>
      <c r="F921" s="18"/>
      <c r="G921" s="17"/>
      <c r="H921" s="18"/>
      <c r="I921" s="17"/>
      <c r="J921" s="17"/>
      <c r="K921" s="17"/>
      <c r="L921" s="17"/>
      <c r="M921" s="17"/>
      <c r="N921" s="17"/>
      <c r="O921" s="59"/>
      <c r="P921" s="17"/>
      <c r="Q921" s="17"/>
      <c r="R921" s="65"/>
      <c r="S921" s="17"/>
      <c r="T921" s="17"/>
      <c r="U921" s="17"/>
      <c r="V921" s="17"/>
      <c r="W921" s="16"/>
      <c r="X921" s="17"/>
      <c r="Y921" s="17"/>
      <c r="Z921" s="24"/>
      <c r="AA921" s="24"/>
      <c r="AB921" s="24"/>
      <c r="AC921" s="24"/>
      <c r="AD921" s="24"/>
      <c r="AE921" s="24"/>
      <c r="AF921" s="24"/>
      <c r="AG921" s="24"/>
      <c r="AH921" s="24"/>
      <c r="AI921" s="24"/>
    </row>
    <row r="922" ht="15.75" customHeight="1">
      <c r="A922" s="8"/>
      <c r="B922" s="14"/>
      <c r="C922" s="14"/>
      <c r="D922" s="14"/>
      <c r="E922" s="9"/>
      <c r="F922" s="14"/>
      <c r="G922" s="9"/>
      <c r="H922" s="14"/>
      <c r="I922" s="9"/>
      <c r="J922" s="9"/>
      <c r="K922" s="9"/>
      <c r="L922" s="9"/>
      <c r="M922" s="9"/>
      <c r="N922" s="9"/>
      <c r="O922" s="60"/>
      <c r="P922" s="9"/>
      <c r="Q922" s="9"/>
      <c r="R922" s="64"/>
      <c r="S922" s="9"/>
      <c r="T922" s="9"/>
      <c r="U922" s="9"/>
      <c r="V922" s="9"/>
      <c r="W922" s="14"/>
      <c r="X922" s="9"/>
      <c r="Y922" s="9"/>
      <c r="Z922" s="15"/>
      <c r="AA922" s="15"/>
      <c r="AB922" s="15"/>
      <c r="AC922" s="15"/>
      <c r="AD922" s="15"/>
      <c r="AE922" s="15"/>
      <c r="AF922" s="15"/>
      <c r="AG922" s="15"/>
      <c r="AH922" s="15"/>
      <c r="AI922" s="15"/>
    </row>
    <row r="923" ht="15.75" customHeight="1">
      <c r="A923" s="16"/>
      <c r="B923" s="18"/>
      <c r="C923" s="18"/>
      <c r="D923" s="18"/>
      <c r="E923" s="18"/>
      <c r="F923" s="18"/>
      <c r="G923" s="17"/>
      <c r="H923" s="18"/>
      <c r="I923" s="17"/>
      <c r="J923" s="17"/>
      <c r="K923" s="17"/>
      <c r="L923" s="17"/>
      <c r="M923" s="17"/>
      <c r="N923" s="17"/>
      <c r="O923" s="59"/>
      <c r="P923" s="17"/>
      <c r="Q923" s="17"/>
      <c r="R923" s="65"/>
      <c r="S923" s="17"/>
      <c r="T923" s="17"/>
      <c r="U923" s="17"/>
      <c r="V923" s="17"/>
      <c r="W923" s="18"/>
      <c r="X923" s="17"/>
      <c r="Y923" s="17"/>
      <c r="Z923" s="24"/>
      <c r="AA923" s="24"/>
      <c r="AB923" s="24"/>
      <c r="AC923" s="24"/>
      <c r="AD923" s="24"/>
      <c r="AE923" s="24"/>
      <c r="AF923" s="24"/>
      <c r="AG923" s="24"/>
      <c r="AH923" s="24"/>
      <c r="AI923" s="24"/>
    </row>
    <row r="924" ht="15.75" customHeight="1">
      <c r="A924" s="8"/>
      <c r="B924" s="14"/>
      <c r="C924" s="14"/>
      <c r="D924" s="14"/>
      <c r="E924" s="9"/>
      <c r="F924" s="14"/>
      <c r="G924" s="9"/>
      <c r="H924" s="14"/>
      <c r="I924" s="9"/>
      <c r="J924" s="9"/>
      <c r="K924" s="9"/>
      <c r="L924" s="9"/>
      <c r="M924" s="9"/>
      <c r="N924" s="9"/>
      <c r="O924" s="60"/>
      <c r="P924" s="9"/>
      <c r="Q924" s="9"/>
      <c r="R924" s="64"/>
      <c r="S924" s="9"/>
      <c r="T924" s="9"/>
      <c r="U924" s="9"/>
      <c r="V924" s="9"/>
      <c r="W924" s="8"/>
      <c r="X924" s="9"/>
      <c r="Y924" s="9"/>
      <c r="Z924" s="15"/>
      <c r="AA924" s="15"/>
      <c r="AB924" s="15"/>
      <c r="AC924" s="15"/>
      <c r="AD924" s="15"/>
      <c r="AE924" s="15"/>
      <c r="AF924" s="15"/>
      <c r="AG924" s="15"/>
      <c r="AH924" s="15"/>
      <c r="AI924" s="15"/>
    </row>
    <row r="925" ht="15.75" customHeight="1">
      <c r="A925" s="16"/>
      <c r="B925" s="18"/>
      <c r="C925" s="18"/>
      <c r="D925" s="18"/>
      <c r="E925" s="18"/>
      <c r="F925" s="18"/>
      <c r="G925" s="17"/>
      <c r="H925" s="18"/>
      <c r="I925" s="17"/>
      <c r="J925" s="17"/>
      <c r="K925" s="17"/>
      <c r="L925" s="17"/>
      <c r="M925" s="17"/>
      <c r="N925" s="17"/>
      <c r="O925" s="59"/>
      <c r="P925" s="17"/>
      <c r="Q925" s="17"/>
      <c r="R925" s="65"/>
      <c r="S925" s="17"/>
      <c r="T925" s="17"/>
      <c r="U925" s="17"/>
      <c r="V925" s="17"/>
      <c r="W925" s="18"/>
      <c r="X925" s="17"/>
      <c r="Y925" s="17"/>
      <c r="Z925" s="24"/>
      <c r="AA925" s="24"/>
      <c r="AB925" s="24"/>
      <c r="AC925" s="24"/>
      <c r="AD925" s="24"/>
      <c r="AE925" s="24"/>
      <c r="AF925" s="24"/>
      <c r="AG925" s="24"/>
      <c r="AH925" s="24"/>
      <c r="AI925" s="24"/>
    </row>
    <row r="926" ht="15.75" customHeight="1">
      <c r="A926" s="8"/>
      <c r="B926" s="14"/>
      <c r="C926" s="14"/>
      <c r="D926" s="14"/>
      <c r="E926" s="9"/>
      <c r="F926" s="14"/>
      <c r="G926" s="9"/>
      <c r="H926" s="14"/>
      <c r="I926" s="9"/>
      <c r="J926" s="9"/>
      <c r="K926" s="9"/>
      <c r="L926" s="9"/>
      <c r="M926" s="9"/>
      <c r="N926" s="9"/>
      <c r="O926" s="60"/>
      <c r="P926" s="9"/>
      <c r="Q926" s="9"/>
      <c r="R926" s="64"/>
      <c r="S926" s="9"/>
      <c r="T926" s="9"/>
      <c r="U926" s="9"/>
      <c r="V926" s="9"/>
      <c r="W926" s="14"/>
      <c r="X926" s="9"/>
      <c r="Y926" s="9"/>
      <c r="Z926" s="15"/>
      <c r="AA926" s="15"/>
      <c r="AB926" s="15"/>
      <c r="AC926" s="15"/>
      <c r="AD926" s="15"/>
      <c r="AE926" s="15"/>
      <c r="AF926" s="15"/>
      <c r="AG926" s="15"/>
      <c r="AH926" s="15"/>
      <c r="AI926" s="15"/>
    </row>
    <row r="927" ht="15.75" customHeight="1">
      <c r="A927" s="16"/>
      <c r="B927" s="18"/>
      <c r="C927" s="18"/>
      <c r="D927" s="18"/>
      <c r="E927" s="18"/>
      <c r="F927" s="18"/>
      <c r="G927" s="17"/>
      <c r="H927" s="18"/>
      <c r="I927" s="17"/>
      <c r="J927" s="17"/>
      <c r="K927" s="17"/>
      <c r="L927" s="17"/>
      <c r="M927" s="17"/>
      <c r="N927" s="17"/>
      <c r="O927" s="59"/>
      <c r="P927" s="17"/>
      <c r="Q927" s="17"/>
      <c r="R927" s="65"/>
      <c r="S927" s="17"/>
      <c r="T927" s="17"/>
      <c r="U927" s="17"/>
      <c r="V927" s="17"/>
      <c r="W927" s="16"/>
      <c r="X927" s="17"/>
      <c r="Y927" s="17"/>
      <c r="Z927" s="24"/>
      <c r="AA927" s="24"/>
      <c r="AB927" s="24"/>
      <c r="AC927" s="24"/>
      <c r="AD927" s="24"/>
      <c r="AE927" s="24"/>
      <c r="AF927" s="24"/>
      <c r="AG927" s="24"/>
      <c r="AH927" s="24"/>
      <c r="AI927" s="24"/>
    </row>
    <row r="928" ht="15.75" customHeight="1">
      <c r="A928" s="8"/>
      <c r="B928" s="14"/>
      <c r="C928" s="14"/>
      <c r="D928" s="14"/>
      <c r="E928" s="9"/>
      <c r="F928" s="14"/>
      <c r="G928" s="9"/>
      <c r="H928" s="14"/>
      <c r="I928" s="9"/>
      <c r="J928" s="9"/>
      <c r="K928" s="9"/>
      <c r="L928" s="9"/>
      <c r="M928" s="9"/>
      <c r="N928" s="9"/>
      <c r="O928" s="60"/>
      <c r="P928" s="9"/>
      <c r="Q928" s="9"/>
      <c r="R928" s="64"/>
      <c r="S928" s="9"/>
      <c r="T928" s="9"/>
      <c r="U928" s="9"/>
      <c r="V928" s="9"/>
      <c r="W928" s="14"/>
      <c r="X928" s="9"/>
      <c r="Y928" s="9"/>
      <c r="Z928" s="15"/>
      <c r="AA928" s="15"/>
      <c r="AB928" s="15"/>
      <c r="AC928" s="15"/>
      <c r="AD928" s="15"/>
      <c r="AE928" s="15"/>
      <c r="AF928" s="15"/>
      <c r="AG928" s="15"/>
      <c r="AH928" s="15"/>
      <c r="AI928" s="15"/>
    </row>
    <row r="929" ht="15.75" customHeight="1">
      <c r="A929" s="16"/>
      <c r="B929" s="18"/>
      <c r="C929" s="18"/>
      <c r="D929" s="18"/>
      <c r="E929" s="18"/>
      <c r="F929" s="18"/>
      <c r="G929" s="17"/>
      <c r="H929" s="18"/>
      <c r="I929" s="17"/>
      <c r="J929" s="17"/>
      <c r="K929" s="17"/>
      <c r="L929" s="17"/>
      <c r="M929" s="17"/>
      <c r="N929" s="17"/>
      <c r="O929" s="59"/>
      <c r="P929" s="17"/>
      <c r="Q929" s="17"/>
      <c r="R929" s="65"/>
      <c r="S929" s="17"/>
      <c r="T929" s="17"/>
      <c r="U929" s="17"/>
      <c r="V929" s="17"/>
      <c r="W929" s="18"/>
      <c r="X929" s="17"/>
      <c r="Y929" s="17"/>
      <c r="Z929" s="24"/>
      <c r="AA929" s="24"/>
      <c r="AB929" s="24"/>
      <c r="AC929" s="24"/>
      <c r="AD929" s="24"/>
      <c r="AE929" s="24"/>
      <c r="AF929" s="24"/>
      <c r="AG929" s="24"/>
      <c r="AH929" s="24"/>
      <c r="AI929" s="24"/>
    </row>
    <row r="930" ht="15.75" customHeight="1">
      <c r="A930" s="8"/>
      <c r="B930" s="14"/>
      <c r="C930" s="14"/>
      <c r="D930" s="14"/>
      <c r="E930" s="9"/>
      <c r="F930" s="14"/>
      <c r="G930" s="9"/>
      <c r="H930" s="14"/>
      <c r="I930" s="9"/>
      <c r="J930" s="9"/>
      <c r="K930" s="9"/>
      <c r="L930" s="9"/>
      <c r="M930" s="9"/>
      <c r="N930" s="9"/>
      <c r="O930" s="60"/>
      <c r="P930" s="9"/>
      <c r="Q930" s="9"/>
      <c r="R930" s="64"/>
      <c r="S930" s="9"/>
      <c r="T930" s="9"/>
      <c r="U930" s="9"/>
      <c r="V930" s="9"/>
      <c r="W930" s="8"/>
      <c r="X930" s="9"/>
      <c r="Y930" s="9"/>
      <c r="Z930" s="15"/>
      <c r="AA930" s="15"/>
      <c r="AB930" s="15"/>
      <c r="AC930" s="15"/>
      <c r="AD930" s="15"/>
      <c r="AE930" s="15"/>
      <c r="AF930" s="15"/>
      <c r="AG930" s="15"/>
      <c r="AH930" s="15"/>
      <c r="AI930" s="15"/>
    </row>
    <row r="931" ht="15.75" customHeight="1">
      <c r="A931" s="16"/>
      <c r="B931" s="18"/>
      <c r="C931" s="18"/>
      <c r="D931" s="18"/>
      <c r="E931" s="18"/>
      <c r="F931" s="18"/>
      <c r="G931" s="17"/>
      <c r="H931" s="18"/>
      <c r="I931" s="17"/>
      <c r="J931" s="17"/>
      <c r="K931" s="17"/>
      <c r="L931" s="17"/>
      <c r="M931" s="17"/>
      <c r="N931" s="17"/>
      <c r="O931" s="59"/>
      <c r="P931" s="17"/>
      <c r="Q931" s="17"/>
      <c r="R931" s="65"/>
      <c r="S931" s="17"/>
      <c r="T931" s="17"/>
      <c r="U931" s="17"/>
      <c r="V931" s="17"/>
      <c r="W931" s="18"/>
      <c r="X931" s="17"/>
      <c r="Y931" s="17"/>
      <c r="Z931" s="24"/>
      <c r="AA931" s="24"/>
      <c r="AB931" s="24"/>
      <c r="AC931" s="24"/>
      <c r="AD931" s="24"/>
      <c r="AE931" s="24"/>
      <c r="AF931" s="24"/>
      <c r="AG931" s="24"/>
      <c r="AH931" s="24"/>
      <c r="AI931" s="24"/>
    </row>
    <row r="932" ht="15.75" customHeight="1">
      <c r="A932" s="8"/>
      <c r="B932" s="14"/>
      <c r="C932" s="14"/>
      <c r="D932" s="14"/>
      <c r="E932" s="9"/>
      <c r="F932" s="14"/>
      <c r="G932" s="9"/>
      <c r="H932" s="14"/>
      <c r="I932" s="9"/>
      <c r="J932" s="9"/>
      <c r="K932" s="9"/>
      <c r="L932" s="9"/>
      <c r="M932" s="9"/>
      <c r="N932" s="9"/>
      <c r="O932" s="60"/>
      <c r="P932" s="9"/>
      <c r="Q932" s="9"/>
      <c r="R932" s="64"/>
      <c r="S932" s="9"/>
      <c r="T932" s="9"/>
      <c r="U932" s="9"/>
      <c r="V932" s="9"/>
      <c r="W932" s="14"/>
      <c r="X932" s="9"/>
      <c r="Y932" s="9"/>
      <c r="Z932" s="15"/>
      <c r="AA932" s="15"/>
      <c r="AB932" s="15"/>
      <c r="AC932" s="15"/>
      <c r="AD932" s="15"/>
      <c r="AE932" s="15"/>
      <c r="AF932" s="15"/>
      <c r="AG932" s="15"/>
      <c r="AH932" s="15"/>
      <c r="AI932" s="15"/>
    </row>
    <row r="933" ht="15.75" customHeight="1">
      <c r="A933" s="16"/>
      <c r="B933" s="18"/>
      <c r="C933" s="18"/>
      <c r="D933" s="18"/>
      <c r="E933" s="18"/>
      <c r="F933" s="18"/>
      <c r="G933" s="17"/>
      <c r="H933" s="18"/>
      <c r="I933" s="17"/>
      <c r="J933" s="17"/>
      <c r="K933" s="17"/>
      <c r="L933" s="17"/>
      <c r="M933" s="17"/>
      <c r="N933" s="17"/>
      <c r="O933" s="59"/>
      <c r="P933" s="17"/>
      <c r="Q933" s="17"/>
      <c r="R933" s="65"/>
      <c r="S933" s="17"/>
      <c r="T933" s="17"/>
      <c r="U933" s="17"/>
      <c r="V933" s="17"/>
      <c r="W933" s="16"/>
      <c r="X933" s="17"/>
      <c r="Y933" s="17"/>
      <c r="Z933" s="24"/>
      <c r="AA933" s="24"/>
      <c r="AB933" s="24"/>
      <c r="AC933" s="24"/>
      <c r="AD933" s="24"/>
      <c r="AE933" s="24"/>
      <c r="AF933" s="24"/>
      <c r="AG933" s="24"/>
      <c r="AH933" s="24"/>
      <c r="AI933" s="24"/>
    </row>
    <row r="934" ht="15.75" customHeight="1">
      <c r="A934" s="8"/>
      <c r="B934" s="14"/>
      <c r="C934" s="14"/>
      <c r="D934" s="14"/>
      <c r="E934" s="9"/>
      <c r="F934" s="14"/>
      <c r="G934" s="9"/>
      <c r="H934" s="14"/>
      <c r="I934" s="9"/>
      <c r="J934" s="9"/>
      <c r="K934" s="9"/>
      <c r="L934" s="9"/>
      <c r="M934" s="9"/>
      <c r="N934" s="9"/>
      <c r="O934" s="60"/>
      <c r="P934" s="9"/>
      <c r="Q934" s="9"/>
      <c r="R934" s="64"/>
      <c r="S934" s="9"/>
      <c r="T934" s="9"/>
      <c r="U934" s="9"/>
      <c r="V934" s="9"/>
      <c r="W934" s="14"/>
      <c r="X934" s="9"/>
      <c r="Y934" s="9"/>
      <c r="Z934" s="15"/>
      <c r="AA934" s="15"/>
      <c r="AB934" s="15"/>
      <c r="AC934" s="15"/>
      <c r="AD934" s="15"/>
      <c r="AE934" s="15"/>
      <c r="AF934" s="15"/>
      <c r="AG934" s="15"/>
      <c r="AH934" s="15"/>
      <c r="AI934" s="15"/>
    </row>
    <row r="935" ht="15.75" customHeight="1">
      <c r="A935" s="16"/>
      <c r="B935" s="18"/>
      <c r="C935" s="18"/>
      <c r="D935" s="18"/>
      <c r="E935" s="18"/>
      <c r="F935" s="18"/>
      <c r="G935" s="17"/>
      <c r="H935" s="18"/>
      <c r="I935" s="17"/>
      <c r="J935" s="17"/>
      <c r="K935" s="17"/>
      <c r="L935" s="17"/>
      <c r="M935" s="17"/>
      <c r="N935" s="17"/>
      <c r="O935" s="59"/>
      <c r="P935" s="17"/>
      <c r="Q935" s="17"/>
      <c r="R935" s="65"/>
      <c r="S935" s="17"/>
      <c r="T935" s="17"/>
      <c r="U935" s="17"/>
      <c r="V935" s="17"/>
      <c r="W935" s="18"/>
      <c r="X935" s="17"/>
      <c r="Y935" s="17"/>
      <c r="Z935" s="24"/>
      <c r="AA935" s="24"/>
      <c r="AB935" s="24"/>
      <c r="AC935" s="24"/>
      <c r="AD935" s="24"/>
      <c r="AE935" s="24"/>
      <c r="AF935" s="24"/>
      <c r="AG935" s="24"/>
      <c r="AH935" s="24"/>
      <c r="AI935" s="24"/>
    </row>
    <row r="936" ht="15.75" customHeight="1">
      <c r="A936" s="8"/>
      <c r="B936" s="14"/>
      <c r="C936" s="14"/>
      <c r="D936" s="14"/>
      <c r="E936" s="9"/>
      <c r="F936" s="14"/>
      <c r="G936" s="9"/>
      <c r="H936" s="14"/>
      <c r="I936" s="9"/>
      <c r="J936" s="9"/>
      <c r="K936" s="9"/>
      <c r="L936" s="9"/>
      <c r="M936" s="9"/>
      <c r="N936" s="9"/>
      <c r="O936" s="60"/>
      <c r="P936" s="9"/>
      <c r="Q936" s="9"/>
      <c r="R936" s="64"/>
      <c r="S936" s="9"/>
      <c r="T936" s="9"/>
      <c r="U936" s="9"/>
      <c r="V936" s="9"/>
      <c r="W936" s="8"/>
      <c r="X936" s="9"/>
      <c r="Y936" s="9"/>
      <c r="Z936" s="15"/>
      <c r="AA936" s="15"/>
      <c r="AB936" s="15"/>
      <c r="AC936" s="15"/>
      <c r="AD936" s="15"/>
      <c r="AE936" s="15"/>
      <c r="AF936" s="15"/>
      <c r="AG936" s="15"/>
      <c r="AH936" s="15"/>
      <c r="AI936" s="15"/>
    </row>
    <row r="937" ht="15.75" customHeight="1">
      <c r="A937" s="16"/>
      <c r="B937" s="18"/>
      <c r="C937" s="18"/>
      <c r="D937" s="18"/>
      <c r="E937" s="18"/>
      <c r="F937" s="18"/>
      <c r="G937" s="17"/>
      <c r="H937" s="18"/>
      <c r="I937" s="17"/>
      <c r="J937" s="17"/>
      <c r="K937" s="17"/>
      <c r="L937" s="17"/>
      <c r="M937" s="17"/>
      <c r="N937" s="17"/>
      <c r="O937" s="59"/>
      <c r="P937" s="17"/>
      <c r="Q937" s="17"/>
      <c r="R937" s="65"/>
      <c r="S937" s="17"/>
      <c r="T937" s="17"/>
      <c r="U937" s="17"/>
      <c r="V937" s="17"/>
      <c r="W937" s="18"/>
      <c r="X937" s="17"/>
      <c r="Y937" s="17"/>
      <c r="Z937" s="24"/>
      <c r="AA937" s="24"/>
      <c r="AB937" s="24"/>
      <c r="AC937" s="24"/>
      <c r="AD937" s="24"/>
      <c r="AE937" s="24"/>
      <c r="AF937" s="24"/>
      <c r="AG937" s="24"/>
      <c r="AH937" s="24"/>
      <c r="AI937" s="24"/>
    </row>
    <row r="938" ht="15.75" customHeight="1">
      <c r="A938" s="8"/>
      <c r="B938" s="14"/>
      <c r="C938" s="14"/>
      <c r="D938" s="14"/>
      <c r="E938" s="9"/>
      <c r="F938" s="14"/>
      <c r="G938" s="9"/>
      <c r="H938" s="14"/>
      <c r="I938" s="9"/>
      <c r="J938" s="9"/>
      <c r="K938" s="9"/>
      <c r="L938" s="9"/>
      <c r="M938" s="9"/>
      <c r="N938" s="9"/>
      <c r="O938" s="60"/>
      <c r="P938" s="9"/>
      <c r="Q938" s="9"/>
      <c r="R938" s="64"/>
      <c r="S938" s="9"/>
      <c r="T938" s="9"/>
      <c r="U938" s="9"/>
      <c r="V938" s="9"/>
      <c r="W938" s="14"/>
      <c r="X938" s="9"/>
      <c r="Y938" s="9"/>
      <c r="Z938" s="15"/>
      <c r="AA938" s="15"/>
      <c r="AB938" s="15"/>
      <c r="AC938" s="15"/>
      <c r="AD938" s="15"/>
      <c r="AE938" s="15"/>
      <c r="AF938" s="15"/>
      <c r="AG938" s="15"/>
      <c r="AH938" s="15"/>
      <c r="AI938" s="15"/>
    </row>
    <row r="939" ht="15.75" customHeight="1">
      <c r="A939" s="16"/>
      <c r="B939" s="18"/>
      <c r="C939" s="18"/>
      <c r="D939" s="18"/>
      <c r="E939" s="18"/>
      <c r="F939" s="18"/>
      <c r="G939" s="17"/>
      <c r="H939" s="18"/>
      <c r="I939" s="17"/>
      <c r="J939" s="17"/>
      <c r="K939" s="17"/>
      <c r="L939" s="17"/>
      <c r="M939" s="17"/>
      <c r="N939" s="17"/>
      <c r="O939" s="59"/>
      <c r="P939" s="17"/>
      <c r="Q939" s="17"/>
      <c r="R939" s="65"/>
      <c r="S939" s="17"/>
      <c r="T939" s="17"/>
      <c r="U939" s="17"/>
      <c r="V939" s="17"/>
      <c r="W939" s="16"/>
      <c r="X939" s="17"/>
      <c r="Y939" s="17"/>
      <c r="Z939" s="24"/>
      <c r="AA939" s="24"/>
      <c r="AB939" s="24"/>
      <c r="AC939" s="24"/>
      <c r="AD939" s="24"/>
      <c r="AE939" s="24"/>
      <c r="AF939" s="24"/>
      <c r="AG939" s="24"/>
      <c r="AH939" s="24"/>
      <c r="AI939" s="24"/>
    </row>
    <row r="940" ht="15.75" customHeight="1">
      <c r="A940" s="8"/>
      <c r="B940" s="14"/>
      <c r="C940" s="14"/>
      <c r="D940" s="14"/>
      <c r="E940" s="9"/>
      <c r="F940" s="14"/>
      <c r="G940" s="9"/>
      <c r="H940" s="14"/>
      <c r="I940" s="9"/>
      <c r="J940" s="9"/>
      <c r="K940" s="9"/>
      <c r="L940" s="9"/>
      <c r="M940" s="9"/>
      <c r="N940" s="9"/>
      <c r="O940" s="60"/>
      <c r="P940" s="9"/>
      <c r="Q940" s="9"/>
      <c r="R940" s="64"/>
      <c r="S940" s="9"/>
      <c r="T940" s="9"/>
      <c r="U940" s="9"/>
      <c r="V940" s="9"/>
      <c r="W940" s="14"/>
      <c r="X940" s="9"/>
      <c r="Y940" s="9"/>
      <c r="Z940" s="15"/>
      <c r="AA940" s="15"/>
      <c r="AB940" s="15"/>
      <c r="AC940" s="15"/>
      <c r="AD940" s="15"/>
      <c r="AE940" s="15"/>
      <c r="AF940" s="15"/>
      <c r="AG940" s="15"/>
      <c r="AH940" s="15"/>
      <c r="AI940" s="15"/>
    </row>
    <row r="941" ht="15.75" customHeight="1">
      <c r="A941" s="16"/>
      <c r="B941" s="18"/>
      <c r="C941" s="18"/>
      <c r="D941" s="18"/>
      <c r="E941" s="18"/>
      <c r="F941" s="18"/>
      <c r="G941" s="17"/>
      <c r="H941" s="18"/>
      <c r="I941" s="17"/>
      <c r="J941" s="17"/>
      <c r="K941" s="17"/>
      <c r="L941" s="17"/>
      <c r="M941" s="17"/>
      <c r="N941" s="17"/>
      <c r="O941" s="59"/>
      <c r="P941" s="17"/>
      <c r="Q941" s="17"/>
      <c r="R941" s="65"/>
      <c r="S941" s="17"/>
      <c r="T941" s="17"/>
      <c r="U941" s="17"/>
      <c r="V941" s="17"/>
      <c r="W941" s="18"/>
      <c r="X941" s="17"/>
      <c r="Y941" s="17"/>
      <c r="Z941" s="24"/>
      <c r="AA941" s="24"/>
      <c r="AB941" s="24"/>
      <c r="AC941" s="24"/>
      <c r="AD941" s="24"/>
      <c r="AE941" s="24"/>
      <c r="AF941" s="24"/>
      <c r="AG941" s="24"/>
      <c r="AH941" s="24"/>
      <c r="AI941" s="24"/>
    </row>
    <row r="942" ht="15.75" customHeight="1">
      <c r="A942" s="8"/>
      <c r="B942" s="14"/>
      <c r="C942" s="14"/>
      <c r="D942" s="14"/>
      <c r="E942" s="9"/>
      <c r="F942" s="14"/>
      <c r="G942" s="9"/>
      <c r="H942" s="14"/>
      <c r="I942" s="9"/>
      <c r="J942" s="9"/>
      <c r="K942" s="9"/>
      <c r="L942" s="9"/>
      <c r="M942" s="9"/>
      <c r="N942" s="9"/>
      <c r="O942" s="60"/>
      <c r="P942" s="9"/>
      <c r="Q942" s="9"/>
      <c r="R942" s="64"/>
      <c r="S942" s="9"/>
      <c r="T942" s="9"/>
      <c r="U942" s="9"/>
      <c r="V942" s="9"/>
      <c r="W942" s="8"/>
      <c r="X942" s="9"/>
      <c r="Y942" s="9"/>
      <c r="Z942" s="15"/>
      <c r="AA942" s="15"/>
      <c r="AB942" s="15"/>
      <c r="AC942" s="15"/>
      <c r="AD942" s="15"/>
      <c r="AE942" s="15"/>
      <c r="AF942" s="15"/>
      <c r="AG942" s="15"/>
      <c r="AH942" s="15"/>
      <c r="AI942" s="15"/>
    </row>
    <row r="943" ht="15.75" customHeight="1">
      <c r="A943" s="16"/>
      <c r="B943" s="18"/>
      <c r="C943" s="18"/>
      <c r="D943" s="18"/>
      <c r="E943" s="18"/>
      <c r="F943" s="18"/>
      <c r="G943" s="17"/>
      <c r="H943" s="18"/>
      <c r="I943" s="17"/>
      <c r="J943" s="17"/>
      <c r="K943" s="17"/>
      <c r="L943" s="17"/>
      <c r="M943" s="17"/>
      <c r="N943" s="17"/>
      <c r="O943" s="59"/>
      <c r="P943" s="17"/>
      <c r="Q943" s="17"/>
      <c r="R943" s="65"/>
      <c r="S943" s="17"/>
      <c r="T943" s="17"/>
      <c r="U943" s="17"/>
      <c r="V943" s="17"/>
      <c r="W943" s="18"/>
      <c r="X943" s="17"/>
      <c r="Y943" s="17"/>
      <c r="Z943" s="24"/>
      <c r="AA943" s="24"/>
      <c r="AB943" s="24"/>
      <c r="AC943" s="24"/>
      <c r="AD943" s="24"/>
      <c r="AE943" s="24"/>
      <c r="AF943" s="24"/>
      <c r="AG943" s="24"/>
      <c r="AH943" s="24"/>
      <c r="AI943" s="24"/>
    </row>
    <row r="944" ht="15.75" customHeight="1">
      <c r="A944" s="8"/>
      <c r="B944" s="14"/>
      <c r="C944" s="14"/>
      <c r="D944" s="14"/>
      <c r="E944" s="9"/>
      <c r="F944" s="14"/>
      <c r="G944" s="9"/>
      <c r="H944" s="14"/>
      <c r="I944" s="9"/>
      <c r="J944" s="9"/>
      <c r="K944" s="9"/>
      <c r="L944" s="9"/>
      <c r="M944" s="9"/>
      <c r="N944" s="9"/>
      <c r="O944" s="60"/>
      <c r="P944" s="9"/>
      <c r="Q944" s="9"/>
      <c r="R944" s="64"/>
      <c r="S944" s="9"/>
      <c r="T944" s="9"/>
      <c r="U944" s="9"/>
      <c r="V944" s="9"/>
      <c r="W944" s="14"/>
      <c r="X944" s="9"/>
      <c r="Y944" s="9"/>
      <c r="Z944" s="15"/>
      <c r="AA944" s="15"/>
      <c r="AB944" s="15"/>
      <c r="AC944" s="15"/>
      <c r="AD944" s="15"/>
      <c r="AE944" s="15"/>
      <c r="AF944" s="15"/>
      <c r="AG944" s="15"/>
      <c r="AH944" s="15"/>
      <c r="AI944" s="15"/>
    </row>
    <row r="945" ht="15.75" customHeight="1">
      <c r="A945" s="16"/>
      <c r="B945" s="18"/>
      <c r="C945" s="18"/>
      <c r="D945" s="18"/>
      <c r="E945" s="18"/>
      <c r="F945" s="18"/>
      <c r="G945" s="17"/>
      <c r="H945" s="18"/>
      <c r="I945" s="17"/>
      <c r="J945" s="17"/>
      <c r="K945" s="17"/>
      <c r="L945" s="17"/>
      <c r="M945" s="17"/>
      <c r="N945" s="17"/>
      <c r="O945" s="59"/>
      <c r="P945" s="17"/>
      <c r="Q945" s="17"/>
      <c r="R945" s="65"/>
      <c r="S945" s="17"/>
      <c r="T945" s="17"/>
      <c r="U945" s="17"/>
      <c r="V945" s="17"/>
      <c r="W945" s="16"/>
      <c r="X945" s="17"/>
      <c r="Y945" s="17"/>
      <c r="Z945" s="24"/>
      <c r="AA945" s="24"/>
      <c r="AB945" s="24"/>
      <c r="AC945" s="24"/>
      <c r="AD945" s="24"/>
      <c r="AE945" s="24"/>
      <c r="AF945" s="24"/>
      <c r="AG945" s="24"/>
      <c r="AH945" s="24"/>
      <c r="AI945" s="24"/>
    </row>
    <row r="946" ht="15.75" customHeight="1">
      <c r="A946" s="8"/>
      <c r="B946" s="14"/>
      <c r="C946" s="14"/>
      <c r="D946" s="14"/>
      <c r="E946" s="9"/>
      <c r="F946" s="14"/>
      <c r="G946" s="9"/>
      <c r="H946" s="14"/>
      <c r="I946" s="9"/>
      <c r="J946" s="9"/>
      <c r="K946" s="9"/>
      <c r="L946" s="9"/>
      <c r="M946" s="9"/>
      <c r="N946" s="9"/>
      <c r="O946" s="60"/>
      <c r="P946" s="9"/>
      <c r="Q946" s="9"/>
      <c r="R946" s="64"/>
      <c r="S946" s="9"/>
      <c r="T946" s="9"/>
      <c r="U946" s="9"/>
      <c r="V946" s="9"/>
      <c r="W946" s="14"/>
      <c r="X946" s="9"/>
      <c r="Y946" s="9"/>
      <c r="Z946" s="15"/>
      <c r="AA946" s="15"/>
      <c r="AB946" s="15"/>
      <c r="AC946" s="15"/>
      <c r="AD946" s="15"/>
      <c r="AE946" s="15"/>
      <c r="AF946" s="15"/>
      <c r="AG946" s="15"/>
      <c r="AH946" s="15"/>
      <c r="AI946" s="15"/>
    </row>
    <row r="947" ht="15.75" customHeight="1">
      <c r="A947" s="16"/>
      <c r="B947" s="18"/>
      <c r="C947" s="18"/>
      <c r="D947" s="18"/>
      <c r="E947" s="18"/>
      <c r="F947" s="18"/>
      <c r="G947" s="17"/>
      <c r="H947" s="18"/>
      <c r="I947" s="17"/>
      <c r="J947" s="17"/>
      <c r="K947" s="17"/>
      <c r="L947" s="17"/>
      <c r="M947" s="17"/>
      <c r="N947" s="17"/>
      <c r="O947" s="59"/>
      <c r="P947" s="17"/>
      <c r="Q947" s="17"/>
      <c r="R947" s="65"/>
      <c r="S947" s="17"/>
      <c r="T947" s="17"/>
      <c r="U947" s="17"/>
      <c r="V947" s="17"/>
      <c r="W947" s="18"/>
      <c r="X947" s="17"/>
      <c r="Y947" s="17"/>
      <c r="Z947" s="24"/>
      <c r="AA947" s="24"/>
      <c r="AB947" s="24"/>
      <c r="AC947" s="24"/>
      <c r="AD947" s="24"/>
      <c r="AE947" s="24"/>
      <c r="AF947" s="24"/>
      <c r="AG947" s="24"/>
      <c r="AH947" s="24"/>
      <c r="AI947" s="24"/>
    </row>
    <row r="948" ht="15.75" customHeight="1">
      <c r="A948" s="8"/>
      <c r="B948" s="14"/>
      <c r="C948" s="14"/>
      <c r="D948" s="14"/>
      <c r="E948" s="9"/>
      <c r="F948" s="14"/>
      <c r="G948" s="9"/>
      <c r="H948" s="14"/>
      <c r="I948" s="9"/>
      <c r="J948" s="9"/>
      <c r="K948" s="9"/>
      <c r="L948" s="9"/>
      <c r="M948" s="9"/>
      <c r="N948" s="9"/>
      <c r="O948" s="60"/>
      <c r="P948" s="9"/>
      <c r="Q948" s="9"/>
      <c r="R948" s="64"/>
      <c r="S948" s="9"/>
      <c r="T948" s="9"/>
      <c r="U948" s="9"/>
      <c r="V948" s="9"/>
      <c r="W948" s="8"/>
      <c r="X948" s="9"/>
      <c r="Y948" s="9"/>
      <c r="Z948" s="15"/>
      <c r="AA948" s="15"/>
      <c r="AB948" s="15"/>
      <c r="AC948" s="15"/>
      <c r="AD948" s="15"/>
      <c r="AE948" s="15"/>
      <c r="AF948" s="15"/>
      <c r="AG948" s="15"/>
      <c r="AH948" s="15"/>
      <c r="AI948" s="15"/>
    </row>
    <row r="949" ht="15.75" customHeight="1">
      <c r="A949" s="16"/>
      <c r="B949" s="18"/>
      <c r="C949" s="18"/>
      <c r="D949" s="18"/>
      <c r="E949" s="18"/>
      <c r="F949" s="18"/>
      <c r="G949" s="17"/>
      <c r="H949" s="18"/>
      <c r="I949" s="17"/>
      <c r="J949" s="17"/>
      <c r="K949" s="17"/>
      <c r="L949" s="17"/>
      <c r="M949" s="17"/>
      <c r="N949" s="17"/>
      <c r="O949" s="59"/>
      <c r="P949" s="17"/>
      <c r="Q949" s="17"/>
      <c r="R949" s="65"/>
      <c r="S949" s="17"/>
      <c r="T949" s="17"/>
      <c r="U949" s="17"/>
      <c r="V949" s="17"/>
      <c r="W949" s="18"/>
      <c r="X949" s="17"/>
      <c r="Y949" s="17"/>
      <c r="Z949" s="24"/>
      <c r="AA949" s="24"/>
      <c r="AB949" s="24"/>
      <c r="AC949" s="24"/>
      <c r="AD949" s="24"/>
      <c r="AE949" s="24"/>
      <c r="AF949" s="24"/>
      <c r="AG949" s="24"/>
      <c r="AH949" s="24"/>
      <c r="AI949" s="24"/>
    </row>
    <row r="950" ht="15.75" customHeight="1">
      <c r="A950" s="8"/>
      <c r="B950" s="14"/>
      <c r="C950" s="14"/>
      <c r="D950" s="14"/>
      <c r="E950" s="9"/>
      <c r="F950" s="14"/>
      <c r="G950" s="9"/>
      <c r="H950" s="14"/>
      <c r="I950" s="9"/>
      <c r="J950" s="9"/>
      <c r="K950" s="9"/>
      <c r="L950" s="9"/>
      <c r="M950" s="9"/>
      <c r="N950" s="9"/>
      <c r="O950" s="60"/>
      <c r="P950" s="9"/>
      <c r="Q950" s="9"/>
      <c r="R950" s="64"/>
      <c r="S950" s="9"/>
      <c r="T950" s="9"/>
      <c r="U950" s="9"/>
      <c r="V950" s="9"/>
      <c r="W950" s="14"/>
      <c r="X950" s="9"/>
      <c r="Y950" s="9"/>
      <c r="Z950" s="15"/>
      <c r="AA950" s="15"/>
      <c r="AB950" s="15"/>
      <c r="AC950" s="15"/>
      <c r="AD950" s="15"/>
      <c r="AE950" s="15"/>
      <c r="AF950" s="15"/>
      <c r="AG950" s="15"/>
      <c r="AH950" s="15"/>
      <c r="AI950" s="15"/>
    </row>
    <row r="951" ht="15.75" customHeight="1">
      <c r="A951" s="16"/>
      <c r="B951" s="18"/>
      <c r="C951" s="18"/>
      <c r="D951" s="18"/>
      <c r="E951" s="18"/>
      <c r="F951" s="18"/>
      <c r="G951" s="17"/>
      <c r="H951" s="18"/>
      <c r="I951" s="17"/>
      <c r="J951" s="17"/>
      <c r="K951" s="17"/>
      <c r="L951" s="17"/>
      <c r="M951" s="17"/>
      <c r="N951" s="17"/>
      <c r="O951" s="59"/>
      <c r="P951" s="17"/>
      <c r="Q951" s="17"/>
      <c r="R951" s="65"/>
      <c r="S951" s="17"/>
      <c r="T951" s="17"/>
      <c r="U951" s="17"/>
      <c r="V951" s="17"/>
      <c r="W951" s="16"/>
      <c r="X951" s="17"/>
      <c r="Y951" s="17"/>
      <c r="Z951" s="24"/>
      <c r="AA951" s="24"/>
      <c r="AB951" s="24"/>
      <c r="AC951" s="24"/>
      <c r="AD951" s="24"/>
      <c r="AE951" s="24"/>
      <c r="AF951" s="24"/>
      <c r="AG951" s="24"/>
      <c r="AH951" s="24"/>
      <c r="AI951" s="24"/>
    </row>
    <row r="952" ht="15.75" customHeight="1">
      <c r="A952" s="8"/>
      <c r="B952" s="14"/>
      <c r="C952" s="14"/>
      <c r="D952" s="14"/>
      <c r="E952" s="9"/>
      <c r="F952" s="14"/>
      <c r="G952" s="9"/>
      <c r="H952" s="14"/>
      <c r="I952" s="9"/>
      <c r="J952" s="9"/>
      <c r="K952" s="9"/>
      <c r="L952" s="9"/>
      <c r="M952" s="9"/>
      <c r="N952" s="9"/>
      <c r="O952" s="60"/>
      <c r="P952" s="9"/>
      <c r="Q952" s="9"/>
      <c r="R952" s="64"/>
      <c r="S952" s="9"/>
      <c r="T952" s="9"/>
      <c r="U952" s="9"/>
      <c r="V952" s="9"/>
      <c r="W952" s="14"/>
      <c r="X952" s="9"/>
      <c r="Y952" s="9"/>
      <c r="Z952" s="15"/>
      <c r="AA952" s="15"/>
      <c r="AB952" s="15"/>
      <c r="AC952" s="15"/>
      <c r="AD952" s="15"/>
      <c r="AE952" s="15"/>
      <c r="AF952" s="15"/>
      <c r="AG952" s="15"/>
      <c r="AH952" s="15"/>
      <c r="AI952" s="15"/>
    </row>
    <row r="953" ht="15.75" customHeight="1">
      <c r="A953" s="16"/>
      <c r="B953" s="18"/>
      <c r="C953" s="18"/>
      <c r="D953" s="18"/>
      <c r="E953" s="18"/>
      <c r="F953" s="18"/>
      <c r="G953" s="17"/>
      <c r="H953" s="18"/>
      <c r="I953" s="17"/>
      <c r="J953" s="17"/>
      <c r="K953" s="17"/>
      <c r="L953" s="17"/>
      <c r="M953" s="17"/>
      <c r="N953" s="17"/>
      <c r="O953" s="59"/>
      <c r="P953" s="17"/>
      <c r="Q953" s="17"/>
      <c r="R953" s="65"/>
      <c r="S953" s="17"/>
      <c r="T953" s="17"/>
      <c r="U953" s="17"/>
      <c r="V953" s="17"/>
      <c r="W953" s="18"/>
      <c r="X953" s="17"/>
      <c r="Y953" s="17"/>
      <c r="Z953" s="24"/>
      <c r="AA953" s="24"/>
      <c r="AB953" s="24"/>
      <c r="AC953" s="24"/>
      <c r="AD953" s="24"/>
      <c r="AE953" s="24"/>
      <c r="AF953" s="24"/>
      <c r="AG953" s="24"/>
      <c r="AH953" s="24"/>
      <c r="AI953" s="24"/>
    </row>
    <row r="954" ht="15.75" customHeight="1">
      <c r="A954" s="8"/>
      <c r="B954" s="14"/>
      <c r="C954" s="14"/>
      <c r="D954" s="14"/>
      <c r="E954" s="9"/>
      <c r="F954" s="14"/>
      <c r="G954" s="9"/>
      <c r="H954" s="14"/>
      <c r="I954" s="9"/>
      <c r="J954" s="9"/>
      <c r="K954" s="9"/>
      <c r="L954" s="9"/>
      <c r="M954" s="9"/>
      <c r="N954" s="9"/>
      <c r="O954" s="60"/>
      <c r="P954" s="9"/>
      <c r="Q954" s="9"/>
      <c r="R954" s="64"/>
      <c r="S954" s="9"/>
      <c r="T954" s="9"/>
      <c r="U954" s="9"/>
      <c r="V954" s="9"/>
      <c r="W954" s="8"/>
      <c r="X954" s="9"/>
      <c r="Y954" s="9"/>
      <c r="Z954" s="15"/>
      <c r="AA954" s="15"/>
      <c r="AB954" s="15"/>
      <c r="AC954" s="15"/>
      <c r="AD954" s="15"/>
      <c r="AE954" s="15"/>
      <c r="AF954" s="15"/>
      <c r="AG954" s="15"/>
      <c r="AH954" s="15"/>
      <c r="AI954" s="15"/>
    </row>
    <row r="955" ht="15.75" customHeight="1">
      <c r="A955" s="16"/>
      <c r="B955" s="18"/>
      <c r="C955" s="18"/>
      <c r="D955" s="18"/>
      <c r="E955" s="18"/>
      <c r="F955" s="18"/>
      <c r="G955" s="17"/>
      <c r="H955" s="18"/>
      <c r="I955" s="17"/>
      <c r="J955" s="17"/>
      <c r="K955" s="17"/>
      <c r="L955" s="17"/>
      <c r="M955" s="17"/>
      <c r="N955" s="17"/>
      <c r="O955" s="59"/>
      <c r="P955" s="17"/>
      <c r="Q955" s="17"/>
      <c r="R955" s="65"/>
      <c r="S955" s="17"/>
      <c r="T955" s="17"/>
      <c r="U955" s="17"/>
      <c r="V955" s="17"/>
      <c r="W955" s="18"/>
      <c r="X955" s="17"/>
      <c r="Y955" s="17"/>
      <c r="Z955" s="24"/>
      <c r="AA955" s="24"/>
      <c r="AB955" s="24"/>
      <c r="AC955" s="24"/>
      <c r="AD955" s="24"/>
      <c r="AE955" s="24"/>
      <c r="AF955" s="24"/>
      <c r="AG955" s="24"/>
      <c r="AH955" s="24"/>
      <c r="AI955" s="24"/>
    </row>
    <row r="956" ht="15.75" customHeight="1">
      <c r="A956" s="8"/>
      <c r="B956" s="14"/>
      <c r="C956" s="14"/>
      <c r="D956" s="14"/>
      <c r="E956" s="9"/>
      <c r="F956" s="14"/>
      <c r="G956" s="9"/>
      <c r="H956" s="14"/>
      <c r="I956" s="9"/>
      <c r="J956" s="9"/>
      <c r="K956" s="9"/>
      <c r="L956" s="9"/>
      <c r="M956" s="9"/>
      <c r="N956" s="9"/>
      <c r="O956" s="60"/>
      <c r="P956" s="9"/>
      <c r="Q956" s="9"/>
      <c r="R956" s="64"/>
      <c r="S956" s="9"/>
      <c r="T956" s="9"/>
      <c r="U956" s="9"/>
      <c r="V956" s="9"/>
      <c r="W956" s="14"/>
      <c r="X956" s="9"/>
      <c r="Y956" s="9"/>
      <c r="Z956" s="15"/>
      <c r="AA956" s="15"/>
      <c r="AB956" s="15"/>
      <c r="AC956" s="15"/>
      <c r="AD956" s="15"/>
      <c r="AE956" s="15"/>
      <c r="AF956" s="15"/>
      <c r="AG956" s="15"/>
      <c r="AH956" s="15"/>
      <c r="AI956" s="15"/>
    </row>
    <row r="957" ht="15.75" customHeight="1">
      <c r="A957" s="16"/>
      <c r="B957" s="18"/>
      <c r="C957" s="18"/>
      <c r="D957" s="18"/>
      <c r="E957" s="18"/>
      <c r="F957" s="18"/>
      <c r="G957" s="17"/>
      <c r="H957" s="18"/>
      <c r="I957" s="17"/>
      <c r="J957" s="17"/>
      <c r="K957" s="17"/>
      <c r="L957" s="17"/>
      <c r="M957" s="17"/>
      <c r="N957" s="17"/>
      <c r="O957" s="59"/>
      <c r="P957" s="17"/>
      <c r="Q957" s="17"/>
      <c r="R957" s="65"/>
      <c r="S957" s="17"/>
      <c r="T957" s="17"/>
      <c r="U957" s="17"/>
      <c r="V957" s="17"/>
      <c r="W957" s="16"/>
      <c r="X957" s="17"/>
      <c r="Y957" s="17"/>
      <c r="Z957" s="24"/>
      <c r="AA957" s="24"/>
      <c r="AB957" s="24"/>
      <c r="AC957" s="24"/>
      <c r="AD957" s="24"/>
      <c r="AE957" s="24"/>
      <c r="AF957" s="24"/>
      <c r="AG957" s="24"/>
      <c r="AH957" s="24"/>
      <c r="AI957" s="24"/>
    </row>
    <row r="958" ht="15.75" customHeight="1">
      <c r="A958" s="8"/>
      <c r="B958" s="14"/>
      <c r="C958" s="14"/>
      <c r="D958" s="14"/>
      <c r="E958" s="9"/>
      <c r="F958" s="14"/>
      <c r="G958" s="9"/>
      <c r="H958" s="14"/>
      <c r="I958" s="9"/>
      <c r="J958" s="9"/>
      <c r="K958" s="9"/>
      <c r="L958" s="9"/>
      <c r="M958" s="9"/>
      <c r="N958" s="9"/>
      <c r="O958" s="60"/>
      <c r="P958" s="9"/>
      <c r="Q958" s="9"/>
      <c r="R958" s="64"/>
      <c r="S958" s="9"/>
      <c r="T958" s="9"/>
      <c r="U958" s="9"/>
      <c r="V958" s="9"/>
      <c r="W958" s="14"/>
      <c r="X958" s="9"/>
      <c r="Y958" s="9"/>
      <c r="Z958" s="15"/>
      <c r="AA958" s="15"/>
      <c r="AB958" s="15"/>
      <c r="AC958" s="15"/>
      <c r="AD958" s="15"/>
      <c r="AE958" s="15"/>
      <c r="AF958" s="15"/>
      <c r="AG958" s="15"/>
      <c r="AH958" s="15"/>
      <c r="AI958" s="15"/>
    </row>
    <row r="959" ht="15.75" customHeight="1">
      <c r="A959" s="16"/>
      <c r="B959" s="18"/>
      <c r="C959" s="18"/>
      <c r="D959" s="18"/>
      <c r="E959" s="18"/>
      <c r="F959" s="18"/>
      <c r="G959" s="17"/>
      <c r="H959" s="18"/>
      <c r="I959" s="17"/>
      <c r="J959" s="17"/>
      <c r="K959" s="17"/>
      <c r="L959" s="17"/>
      <c r="M959" s="17"/>
      <c r="N959" s="17"/>
      <c r="O959" s="59"/>
      <c r="P959" s="17"/>
      <c r="Q959" s="17"/>
      <c r="R959" s="65"/>
      <c r="S959" s="17"/>
      <c r="T959" s="17"/>
      <c r="U959" s="17"/>
      <c r="V959" s="17"/>
      <c r="W959" s="18"/>
      <c r="X959" s="17"/>
      <c r="Y959" s="17"/>
      <c r="Z959" s="24"/>
      <c r="AA959" s="24"/>
      <c r="AB959" s="24"/>
      <c r="AC959" s="24"/>
      <c r="AD959" s="24"/>
      <c r="AE959" s="24"/>
      <c r="AF959" s="24"/>
      <c r="AG959" s="24"/>
      <c r="AH959" s="24"/>
      <c r="AI959" s="24"/>
    </row>
    <row r="960" ht="15.75" customHeight="1">
      <c r="A960" s="8"/>
      <c r="B960" s="14"/>
      <c r="C960" s="14"/>
      <c r="D960" s="14"/>
      <c r="E960" s="9"/>
      <c r="F960" s="14"/>
      <c r="G960" s="9"/>
      <c r="H960" s="14"/>
      <c r="I960" s="9"/>
      <c r="J960" s="9"/>
      <c r="K960" s="9"/>
      <c r="L960" s="9"/>
      <c r="M960" s="9"/>
      <c r="N960" s="9"/>
      <c r="O960" s="60"/>
      <c r="P960" s="9"/>
      <c r="Q960" s="9"/>
      <c r="R960" s="64"/>
      <c r="S960" s="9"/>
      <c r="T960" s="9"/>
      <c r="U960" s="9"/>
      <c r="V960" s="9"/>
      <c r="W960" s="8"/>
      <c r="X960" s="9"/>
      <c r="Y960" s="9"/>
      <c r="Z960" s="15"/>
      <c r="AA960" s="15"/>
      <c r="AB960" s="15"/>
      <c r="AC960" s="15"/>
      <c r="AD960" s="15"/>
      <c r="AE960" s="15"/>
      <c r="AF960" s="15"/>
      <c r="AG960" s="15"/>
      <c r="AH960" s="15"/>
      <c r="AI960" s="15"/>
    </row>
    <row r="961" ht="15.75" customHeight="1">
      <c r="A961" s="16"/>
      <c r="B961" s="18"/>
      <c r="C961" s="18"/>
      <c r="D961" s="18"/>
      <c r="E961" s="18"/>
      <c r="F961" s="18"/>
      <c r="G961" s="17"/>
      <c r="H961" s="18"/>
      <c r="I961" s="17"/>
      <c r="J961" s="17"/>
      <c r="K961" s="17"/>
      <c r="L961" s="17"/>
      <c r="M961" s="17"/>
      <c r="N961" s="17"/>
      <c r="O961" s="59"/>
      <c r="P961" s="17"/>
      <c r="Q961" s="17"/>
      <c r="R961" s="65"/>
      <c r="S961" s="17"/>
      <c r="T961" s="17"/>
      <c r="U961" s="17"/>
      <c r="V961" s="17"/>
      <c r="W961" s="18"/>
      <c r="X961" s="17"/>
      <c r="Y961" s="17"/>
      <c r="Z961" s="24"/>
      <c r="AA961" s="24"/>
      <c r="AB961" s="24"/>
      <c r="AC961" s="24"/>
      <c r="AD961" s="24"/>
      <c r="AE961" s="24"/>
      <c r="AF961" s="24"/>
      <c r="AG961" s="24"/>
      <c r="AH961" s="24"/>
      <c r="AI961" s="24"/>
    </row>
    <row r="962" ht="15.75" customHeight="1">
      <c r="A962" s="8"/>
      <c r="B962" s="14"/>
      <c r="C962" s="14"/>
      <c r="D962" s="14"/>
      <c r="E962" s="9"/>
      <c r="F962" s="14"/>
      <c r="G962" s="9"/>
      <c r="H962" s="14"/>
      <c r="I962" s="9"/>
      <c r="J962" s="9"/>
      <c r="K962" s="9"/>
      <c r="L962" s="9"/>
      <c r="M962" s="9"/>
      <c r="N962" s="9"/>
      <c r="O962" s="60"/>
      <c r="P962" s="9"/>
      <c r="Q962" s="9"/>
      <c r="R962" s="64"/>
      <c r="S962" s="9"/>
      <c r="T962" s="9"/>
      <c r="U962" s="9"/>
      <c r="V962" s="9"/>
      <c r="W962" s="14"/>
      <c r="X962" s="9"/>
      <c r="Y962" s="9"/>
      <c r="Z962" s="15"/>
      <c r="AA962" s="15"/>
      <c r="AB962" s="15"/>
      <c r="AC962" s="15"/>
      <c r="AD962" s="15"/>
      <c r="AE962" s="15"/>
      <c r="AF962" s="15"/>
      <c r="AG962" s="15"/>
      <c r="AH962" s="15"/>
      <c r="AI962" s="15"/>
    </row>
    <row r="963" ht="15.75" customHeight="1">
      <c r="A963" s="16"/>
      <c r="B963" s="18"/>
      <c r="C963" s="18"/>
      <c r="D963" s="18"/>
      <c r="E963" s="18"/>
      <c r="F963" s="18"/>
      <c r="G963" s="17"/>
      <c r="H963" s="18"/>
      <c r="I963" s="17"/>
      <c r="J963" s="17"/>
      <c r="K963" s="17"/>
      <c r="L963" s="17"/>
      <c r="M963" s="17"/>
      <c r="N963" s="17"/>
      <c r="O963" s="59"/>
      <c r="P963" s="17"/>
      <c r="Q963" s="17"/>
      <c r="R963" s="65"/>
      <c r="S963" s="17"/>
      <c r="T963" s="17"/>
      <c r="U963" s="17"/>
      <c r="V963" s="17"/>
      <c r="W963" s="16"/>
      <c r="X963" s="17"/>
      <c r="Y963" s="17"/>
      <c r="Z963" s="24"/>
      <c r="AA963" s="24"/>
      <c r="AB963" s="24"/>
      <c r="AC963" s="24"/>
      <c r="AD963" s="24"/>
      <c r="AE963" s="24"/>
      <c r="AF963" s="24"/>
      <c r="AG963" s="24"/>
      <c r="AH963" s="24"/>
      <c r="AI963" s="24"/>
    </row>
    <row r="964" ht="15.75" customHeight="1">
      <c r="A964" s="8"/>
      <c r="B964" s="14"/>
      <c r="C964" s="14"/>
      <c r="D964" s="14"/>
      <c r="E964" s="9"/>
      <c r="F964" s="14"/>
      <c r="G964" s="9"/>
      <c r="H964" s="14"/>
      <c r="I964" s="9"/>
      <c r="J964" s="9"/>
      <c r="K964" s="9"/>
      <c r="L964" s="9"/>
      <c r="M964" s="9"/>
      <c r="N964" s="9"/>
      <c r="O964" s="60"/>
      <c r="P964" s="9"/>
      <c r="Q964" s="9"/>
      <c r="R964" s="64"/>
      <c r="S964" s="9"/>
      <c r="T964" s="9"/>
      <c r="U964" s="9"/>
      <c r="V964" s="9"/>
      <c r="W964" s="14"/>
      <c r="X964" s="9"/>
      <c r="Y964" s="9"/>
      <c r="Z964" s="15"/>
      <c r="AA964" s="15"/>
      <c r="AB964" s="15"/>
      <c r="AC964" s="15"/>
      <c r="AD964" s="15"/>
      <c r="AE964" s="15"/>
      <c r="AF964" s="15"/>
      <c r="AG964" s="15"/>
      <c r="AH964" s="15"/>
      <c r="AI964" s="15"/>
    </row>
    <row r="965" ht="15.75" customHeight="1">
      <c r="A965" s="16"/>
      <c r="B965" s="18"/>
      <c r="C965" s="18"/>
      <c r="D965" s="18"/>
      <c r="E965" s="18"/>
      <c r="F965" s="18"/>
      <c r="G965" s="17"/>
      <c r="H965" s="18"/>
      <c r="I965" s="17"/>
      <c r="J965" s="17"/>
      <c r="K965" s="17"/>
      <c r="L965" s="17"/>
      <c r="M965" s="17"/>
      <c r="N965" s="17"/>
      <c r="O965" s="59"/>
      <c r="P965" s="17"/>
      <c r="Q965" s="17"/>
      <c r="R965" s="65"/>
      <c r="S965" s="17"/>
      <c r="T965" s="17"/>
      <c r="U965" s="17"/>
      <c r="V965" s="17"/>
      <c r="W965" s="18"/>
      <c r="X965" s="17"/>
      <c r="Y965" s="17"/>
      <c r="Z965" s="24"/>
      <c r="AA965" s="24"/>
      <c r="AB965" s="24"/>
      <c r="AC965" s="24"/>
      <c r="AD965" s="24"/>
      <c r="AE965" s="24"/>
      <c r="AF965" s="24"/>
      <c r="AG965" s="24"/>
      <c r="AH965" s="24"/>
      <c r="AI965" s="24"/>
    </row>
    <row r="966" ht="15.75" customHeight="1">
      <c r="A966" s="8"/>
      <c r="B966" s="14"/>
      <c r="C966" s="14"/>
      <c r="D966" s="14"/>
      <c r="E966" s="9"/>
      <c r="F966" s="14"/>
      <c r="G966" s="9"/>
      <c r="H966" s="14"/>
      <c r="I966" s="9"/>
      <c r="J966" s="9"/>
      <c r="K966" s="9"/>
      <c r="L966" s="9"/>
      <c r="M966" s="9"/>
      <c r="N966" s="9"/>
      <c r="O966" s="60"/>
      <c r="P966" s="9"/>
      <c r="Q966" s="9"/>
      <c r="R966" s="64"/>
      <c r="S966" s="9"/>
      <c r="T966" s="9"/>
      <c r="U966" s="9"/>
      <c r="V966" s="9"/>
      <c r="W966" s="8"/>
      <c r="X966" s="9"/>
      <c r="Y966" s="9"/>
      <c r="Z966" s="15"/>
      <c r="AA966" s="15"/>
      <c r="AB966" s="15"/>
      <c r="AC966" s="15"/>
      <c r="AD966" s="15"/>
      <c r="AE966" s="15"/>
      <c r="AF966" s="15"/>
      <c r="AG966" s="15"/>
      <c r="AH966" s="15"/>
      <c r="AI966" s="15"/>
    </row>
    <row r="967" ht="15.75" customHeight="1">
      <c r="A967" s="16"/>
      <c r="B967" s="18"/>
      <c r="C967" s="18"/>
      <c r="D967" s="18"/>
      <c r="E967" s="18"/>
      <c r="F967" s="18"/>
      <c r="G967" s="17"/>
      <c r="H967" s="18"/>
      <c r="I967" s="17"/>
      <c r="J967" s="17"/>
      <c r="K967" s="17"/>
      <c r="L967" s="17"/>
      <c r="M967" s="17"/>
      <c r="N967" s="17"/>
      <c r="O967" s="59"/>
      <c r="P967" s="17"/>
      <c r="Q967" s="17"/>
      <c r="R967" s="65"/>
      <c r="S967" s="17"/>
      <c r="T967" s="17"/>
      <c r="U967" s="17"/>
      <c r="V967" s="17"/>
      <c r="W967" s="18"/>
      <c r="X967" s="17"/>
      <c r="Y967" s="17"/>
      <c r="Z967" s="24"/>
      <c r="AA967" s="24"/>
      <c r="AB967" s="24"/>
      <c r="AC967" s="24"/>
      <c r="AD967" s="24"/>
      <c r="AE967" s="24"/>
      <c r="AF967" s="24"/>
      <c r="AG967" s="24"/>
      <c r="AH967" s="24"/>
      <c r="AI967" s="24"/>
    </row>
    <row r="968" ht="15.75" customHeight="1">
      <c r="A968" s="8"/>
      <c r="B968" s="14"/>
      <c r="C968" s="14"/>
      <c r="D968" s="14"/>
      <c r="E968" s="9"/>
      <c r="F968" s="14"/>
      <c r="G968" s="9"/>
      <c r="H968" s="14"/>
      <c r="I968" s="9"/>
      <c r="J968" s="9"/>
      <c r="K968" s="9"/>
      <c r="L968" s="9"/>
      <c r="M968" s="9"/>
      <c r="N968" s="9"/>
      <c r="O968" s="60"/>
      <c r="P968" s="9"/>
      <c r="Q968" s="9"/>
      <c r="R968" s="64"/>
      <c r="S968" s="9"/>
      <c r="T968" s="9"/>
      <c r="U968" s="9"/>
      <c r="V968" s="9"/>
      <c r="W968" s="14"/>
      <c r="X968" s="9"/>
      <c r="Y968" s="9"/>
      <c r="Z968" s="15"/>
      <c r="AA968" s="15"/>
      <c r="AB968" s="15"/>
      <c r="AC968" s="15"/>
      <c r="AD968" s="15"/>
      <c r="AE968" s="15"/>
      <c r="AF968" s="15"/>
      <c r="AG968" s="15"/>
      <c r="AH968" s="15"/>
      <c r="AI968" s="15"/>
    </row>
    <row r="969" ht="15.75" customHeight="1">
      <c r="A969" s="16"/>
      <c r="B969" s="18"/>
      <c r="C969" s="18"/>
      <c r="D969" s="18"/>
      <c r="E969" s="18"/>
      <c r="F969" s="18"/>
      <c r="G969" s="17"/>
      <c r="H969" s="18"/>
      <c r="I969" s="17"/>
      <c r="J969" s="17"/>
      <c r="K969" s="17"/>
      <c r="L969" s="17"/>
      <c r="M969" s="17"/>
      <c r="N969" s="17"/>
      <c r="O969" s="59"/>
      <c r="P969" s="17"/>
      <c r="Q969" s="17"/>
      <c r="R969" s="65"/>
      <c r="S969" s="17"/>
      <c r="T969" s="17"/>
      <c r="U969" s="17"/>
      <c r="V969" s="17"/>
      <c r="W969" s="16"/>
      <c r="X969" s="17"/>
      <c r="Y969" s="17"/>
      <c r="Z969" s="24"/>
      <c r="AA969" s="24"/>
      <c r="AB969" s="24"/>
      <c r="AC969" s="24"/>
      <c r="AD969" s="24"/>
      <c r="AE969" s="24"/>
      <c r="AF969" s="24"/>
      <c r="AG969" s="24"/>
      <c r="AH969" s="24"/>
      <c r="AI969" s="24"/>
    </row>
    <row r="970" ht="15.75" customHeight="1">
      <c r="A970" s="8"/>
      <c r="B970" s="14"/>
      <c r="C970" s="14"/>
      <c r="D970" s="14"/>
      <c r="E970" s="9"/>
      <c r="F970" s="14"/>
      <c r="G970" s="9"/>
      <c r="H970" s="14"/>
      <c r="I970" s="9"/>
      <c r="J970" s="9"/>
      <c r="K970" s="9"/>
      <c r="L970" s="9"/>
      <c r="M970" s="9"/>
      <c r="N970" s="9"/>
      <c r="O970" s="60"/>
      <c r="P970" s="9"/>
      <c r="Q970" s="9"/>
      <c r="R970" s="64"/>
      <c r="S970" s="9"/>
      <c r="T970" s="9"/>
      <c r="U970" s="9"/>
      <c r="V970" s="9"/>
      <c r="W970" s="14"/>
      <c r="X970" s="9"/>
      <c r="Y970" s="9"/>
      <c r="Z970" s="15"/>
      <c r="AA970" s="15"/>
      <c r="AB970" s="15"/>
      <c r="AC970" s="15"/>
      <c r="AD970" s="15"/>
      <c r="AE970" s="15"/>
      <c r="AF970" s="15"/>
      <c r="AG970" s="15"/>
      <c r="AH970" s="15"/>
      <c r="AI970" s="15"/>
    </row>
    <row r="971" ht="15.75" customHeight="1">
      <c r="A971" s="16"/>
      <c r="B971" s="18"/>
      <c r="C971" s="18"/>
      <c r="D971" s="18"/>
      <c r="E971" s="18"/>
      <c r="F971" s="18"/>
      <c r="G971" s="17"/>
      <c r="H971" s="18"/>
      <c r="I971" s="17"/>
      <c r="J971" s="17"/>
      <c r="K971" s="17"/>
      <c r="L971" s="17"/>
      <c r="M971" s="17"/>
      <c r="N971" s="17"/>
      <c r="O971" s="59"/>
      <c r="P971" s="17"/>
      <c r="Q971" s="17"/>
      <c r="R971" s="65"/>
      <c r="S971" s="17"/>
      <c r="T971" s="17"/>
      <c r="U971" s="17"/>
      <c r="V971" s="17"/>
      <c r="W971" s="18"/>
      <c r="X971" s="17"/>
      <c r="Y971" s="17"/>
      <c r="Z971" s="24"/>
      <c r="AA971" s="24"/>
      <c r="AB971" s="24"/>
      <c r="AC971" s="24"/>
      <c r="AD971" s="24"/>
      <c r="AE971" s="24"/>
      <c r="AF971" s="24"/>
      <c r="AG971" s="24"/>
      <c r="AH971" s="24"/>
      <c r="AI971" s="24"/>
    </row>
    <row r="972" ht="15.75" customHeight="1">
      <c r="A972" s="8"/>
      <c r="B972" s="14"/>
      <c r="C972" s="14"/>
      <c r="D972" s="14"/>
      <c r="E972" s="9"/>
      <c r="F972" s="14"/>
      <c r="G972" s="9"/>
      <c r="H972" s="14"/>
      <c r="I972" s="9"/>
      <c r="J972" s="9"/>
      <c r="K972" s="9"/>
      <c r="L972" s="9"/>
      <c r="M972" s="9"/>
      <c r="N972" s="9"/>
      <c r="O972" s="60"/>
      <c r="P972" s="9"/>
      <c r="Q972" s="9"/>
      <c r="R972" s="64"/>
      <c r="S972" s="9"/>
      <c r="T972" s="9"/>
      <c r="U972" s="9"/>
      <c r="V972" s="9"/>
      <c r="W972" s="8"/>
      <c r="X972" s="9"/>
      <c r="Y972" s="9"/>
      <c r="Z972" s="15"/>
      <c r="AA972" s="15"/>
      <c r="AB972" s="15"/>
      <c r="AC972" s="15"/>
      <c r="AD972" s="15"/>
      <c r="AE972" s="15"/>
      <c r="AF972" s="15"/>
      <c r="AG972" s="15"/>
      <c r="AH972" s="15"/>
      <c r="AI972" s="15"/>
    </row>
    <row r="973" ht="15.75" customHeight="1">
      <c r="A973" s="16"/>
      <c r="B973" s="18"/>
      <c r="C973" s="18"/>
      <c r="D973" s="18"/>
      <c r="E973" s="18"/>
      <c r="F973" s="18"/>
      <c r="G973" s="17"/>
      <c r="H973" s="18"/>
      <c r="I973" s="17"/>
      <c r="J973" s="17"/>
      <c r="K973" s="17"/>
      <c r="L973" s="17"/>
      <c r="M973" s="17"/>
      <c r="N973" s="17"/>
      <c r="O973" s="59"/>
      <c r="P973" s="17"/>
      <c r="Q973" s="17"/>
      <c r="R973" s="65"/>
      <c r="S973" s="17"/>
      <c r="T973" s="17"/>
      <c r="U973" s="17"/>
      <c r="V973" s="17"/>
      <c r="W973" s="18"/>
      <c r="X973" s="17"/>
      <c r="Y973" s="17"/>
      <c r="Z973" s="24"/>
      <c r="AA973" s="24"/>
      <c r="AB973" s="24"/>
      <c r="AC973" s="24"/>
      <c r="AD973" s="24"/>
      <c r="AE973" s="24"/>
      <c r="AF973" s="24"/>
      <c r="AG973" s="24"/>
      <c r="AH973" s="24"/>
      <c r="AI973" s="24"/>
    </row>
    <row r="974" ht="15.75" customHeight="1">
      <c r="A974" s="8"/>
      <c r="B974" s="14"/>
      <c r="C974" s="14"/>
      <c r="D974" s="14"/>
      <c r="E974" s="9"/>
      <c r="F974" s="14"/>
      <c r="G974" s="9"/>
      <c r="H974" s="14"/>
      <c r="I974" s="9"/>
      <c r="J974" s="9"/>
      <c r="K974" s="9"/>
      <c r="L974" s="9"/>
      <c r="M974" s="9"/>
      <c r="N974" s="9"/>
      <c r="O974" s="60"/>
      <c r="P974" s="9"/>
      <c r="Q974" s="9"/>
      <c r="R974" s="64"/>
      <c r="S974" s="9"/>
      <c r="T974" s="9"/>
      <c r="U974" s="9"/>
      <c r="V974" s="9"/>
      <c r="W974" s="14"/>
      <c r="X974" s="9"/>
      <c r="Y974" s="9"/>
      <c r="Z974" s="15"/>
      <c r="AA974" s="15"/>
      <c r="AB974" s="15"/>
      <c r="AC974" s="15"/>
      <c r="AD974" s="15"/>
      <c r="AE974" s="15"/>
      <c r="AF974" s="15"/>
      <c r="AG974" s="15"/>
      <c r="AH974" s="15"/>
      <c r="AI974" s="15"/>
    </row>
    <row r="975" ht="15.75" customHeight="1">
      <c r="A975" s="16"/>
      <c r="B975" s="18"/>
      <c r="C975" s="18"/>
      <c r="D975" s="18"/>
      <c r="E975" s="18"/>
      <c r="F975" s="18"/>
      <c r="G975" s="17"/>
      <c r="H975" s="18"/>
      <c r="I975" s="17"/>
      <c r="J975" s="17"/>
      <c r="K975" s="17"/>
      <c r="L975" s="17"/>
      <c r="M975" s="17"/>
      <c r="N975" s="17"/>
      <c r="O975" s="59"/>
      <c r="P975" s="17"/>
      <c r="Q975" s="17"/>
      <c r="R975" s="65"/>
      <c r="S975" s="17"/>
      <c r="T975" s="17"/>
      <c r="U975" s="17"/>
      <c r="V975" s="17"/>
      <c r="W975" s="16"/>
      <c r="X975" s="17"/>
      <c r="Y975" s="17"/>
      <c r="Z975" s="24"/>
      <c r="AA975" s="24"/>
      <c r="AB975" s="24"/>
      <c r="AC975" s="24"/>
      <c r="AD975" s="24"/>
      <c r="AE975" s="24"/>
      <c r="AF975" s="24"/>
      <c r="AG975" s="24"/>
      <c r="AH975" s="24"/>
      <c r="AI975" s="24"/>
    </row>
    <row r="976" ht="15.75" customHeight="1">
      <c r="A976" s="8"/>
      <c r="B976" s="14"/>
      <c r="C976" s="14"/>
      <c r="D976" s="14"/>
      <c r="E976" s="9"/>
      <c r="F976" s="14"/>
      <c r="G976" s="9"/>
      <c r="H976" s="14"/>
      <c r="I976" s="9"/>
      <c r="J976" s="9"/>
      <c r="K976" s="9"/>
      <c r="L976" s="9"/>
      <c r="M976" s="9"/>
      <c r="N976" s="9"/>
      <c r="O976" s="60"/>
      <c r="P976" s="9"/>
      <c r="Q976" s="9"/>
      <c r="R976" s="64"/>
      <c r="S976" s="9"/>
      <c r="T976" s="9"/>
      <c r="U976" s="9"/>
      <c r="V976" s="9"/>
      <c r="W976" s="14"/>
      <c r="X976" s="9"/>
      <c r="Y976" s="9"/>
      <c r="Z976" s="15"/>
      <c r="AA976" s="15"/>
      <c r="AB976" s="15"/>
      <c r="AC976" s="15"/>
      <c r="AD976" s="15"/>
      <c r="AE976" s="15"/>
      <c r="AF976" s="15"/>
      <c r="AG976" s="15"/>
      <c r="AH976" s="15"/>
      <c r="AI976" s="15"/>
    </row>
    <row r="977" ht="15.75" customHeight="1">
      <c r="A977" s="16"/>
      <c r="B977" s="18"/>
      <c r="C977" s="18"/>
      <c r="D977" s="18"/>
      <c r="E977" s="18"/>
      <c r="F977" s="18"/>
      <c r="G977" s="17"/>
      <c r="H977" s="18"/>
      <c r="I977" s="17"/>
      <c r="J977" s="17"/>
      <c r="K977" s="17"/>
      <c r="L977" s="17"/>
      <c r="M977" s="17"/>
      <c r="N977" s="17"/>
      <c r="O977" s="59"/>
      <c r="P977" s="17"/>
      <c r="Q977" s="17"/>
      <c r="R977" s="65"/>
      <c r="S977" s="17"/>
      <c r="T977" s="17"/>
      <c r="U977" s="17"/>
      <c r="V977" s="17"/>
      <c r="W977" s="18"/>
      <c r="X977" s="17"/>
      <c r="Y977" s="17"/>
      <c r="Z977" s="24"/>
      <c r="AA977" s="24"/>
      <c r="AB977" s="24"/>
      <c r="AC977" s="24"/>
      <c r="AD977" s="24"/>
      <c r="AE977" s="24"/>
      <c r="AF977" s="24"/>
      <c r="AG977" s="24"/>
      <c r="AH977" s="24"/>
      <c r="AI977" s="24"/>
    </row>
    <row r="978" ht="15.75" customHeight="1">
      <c r="A978" s="8"/>
      <c r="B978" s="14"/>
      <c r="C978" s="14"/>
      <c r="D978" s="14"/>
      <c r="E978" s="9"/>
      <c r="F978" s="14"/>
      <c r="G978" s="9"/>
      <c r="H978" s="14"/>
      <c r="I978" s="9"/>
      <c r="J978" s="9"/>
      <c r="K978" s="9"/>
      <c r="L978" s="9"/>
      <c r="M978" s="9"/>
      <c r="N978" s="9"/>
      <c r="O978" s="60"/>
      <c r="P978" s="9"/>
      <c r="Q978" s="9"/>
      <c r="R978" s="64"/>
      <c r="S978" s="9"/>
      <c r="T978" s="9"/>
      <c r="U978" s="9"/>
      <c r="V978" s="9"/>
      <c r="W978" s="8"/>
      <c r="X978" s="9"/>
      <c r="Y978" s="9"/>
      <c r="Z978" s="15"/>
      <c r="AA978" s="15"/>
      <c r="AB978" s="15"/>
      <c r="AC978" s="15"/>
      <c r="AD978" s="15"/>
      <c r="AE978" s="15"/>
      <c r="AF978" s="15"/>
      <c r="AG978" s="15"/>
      <c r="AH978" s="15"/>
      <c r="AI978" s="15"/>
    </row>
    <row r="979" ht="15.75" customHeight="1">
      <c r="A979" s="16"/>
      <c r="B979" s="18"/>
      <c r="C979" s="18"/>
      <c r="D979" s="18"/>
      <c r="E979" s="18"/>
      <c r="F979" s="18"/>
      <c r="G979" s="17"/>
      <c r="H979" s="18"/>
      <c r="I979" s="17"/>
      <c r="J979" s="17"/>
      <c r="K979" s="17"/>
      <c r="L979" s="17"/>
      <c r="M979" s="17"/>
      <c r="N979" s="17"/>
      <c r="O979" s="59"/>
      <c r="P979" s="17"/>
      <c r="Q979" s="17"/>
      <c r="R979" s="65"/>
      <c r="S979" s="17"/>
      <c r="T979" s="17"/>
      <c r="U979" s="17"/>
      <c r="V979" s="17"/>
      <c r="W979" s="18"/>
      <c r="X979" s="17"/>
      <c r="Y979" s="17"/>
      <c r="Z979" s="24"/>
      <c r="AA979" s="24"/>
      <c r="AB979" s="24"/>
      <c r="AC979" s="24"/>
      <c r="AD979" s="24"/>
      <c r="AE979" s="24"/>
      <c r="AF979" s="24"/>
      <c r="AG979" s="24"/>
      <c r="AH979" s="24"/>
      <c r="AI979" s="24"/>
    </row>
    <row r="980" ht="15.75" customHeight="1">
      <c r="A980" s="8"/>
      <c r="B980" s="14"/>
      <c r="C980" s="14"/>
      <c r="D980" s="14"/>
      <c r="E980" s="9"/>
      <c r="F980" s="14"/>
      <c r="G980" s="9"/>
      <c r="H980" s="14"/>
      <c r="I980" s="9"/>
      <c r="J980" s="9"/>
      <c r="K980" s="9"/>
      <c r="L980" s="9"/>
      <c r="M980" s="9"/>
      <c r="N980" s="9"/>
      <c r="O980" s="60"/>
      <c r="P980" s="9"/>
      <c r="Q980" s="9"/>
      <c r="R980" s="64"/>
      <c r="S980" s="9"/>
      <c r="T980" s="9"/>
      <c r="U980" s="9"/>
      <c r="V980" s="9"/>
      <c r="W980" s="14"/>
      <c r="X980" s="9"/>
      <c r="Y980" s="9"/>
      <c r="Z980" s="15"/>
      <c r="AA980" s="15"/>
      <c r="AB980" s="15"/>
      <c r="AC980" s="15"/>
      <c r="AD980" s="15"/>
      <c r="AE980" s="15"/>
      <c r="AF980" s="15"/>
      <c r="AG980" s="15"/>
      <c r="AH980" s="15"/>
      <c r="AI980" s="15"/>
    </row>
    <row r="981" ht="15.75" customHeight="1">
      <c r="A981" s="16"/>
      <c r="B981" s="18"/>
      <c r="C981" s="18"/>
      <c r="D981" s="18"/>
      <c r="E981" s="18"/>
      <c r="F981" s="18"/>
      <c r="G981" s="17"/>
      <c r="H981" s="18"/>
      <c r="I981" s="17"/>
      <c r="J981" s="17"/>
      <c r="K981" s="17"/>
      <c r="L981" s="17"/>
      <c r="M981" s="17"/>
      <c r="N981" s="17"/>
      <c r="O981" s="59"/>
      <c r="P981" s="17"/>
      <c r="Q981" s="17"/>
      <c r="R981" s="65"/>
      <c r="S981" s="17"/>
      <c r="T981" s="17"/>
      <c r="U981" s="17"/>
      <c r="V981" s="17"/>
      <c r="W981" s="16"/>
      <c r="X981" s="17"/>
      <c r="Y981" s="17"/>
      <c r="Z981" s="24"/>
      <c r="AA981" s="24"/>
      <c r="AB981" s="24"/>
      <c r="AC981" s="24"/>
      <c r="AD981" s="24"/>
      <c r="AE981" s="24"/>
      <c r="AF981" s="24"/>
      <c r="AG981" s="24"/>
      <c r="AH981" s="24"/>
      <c r="AI981" s="24"/>
    </row>
    <row r="982" ht="15.75" customHeight="1">
      <c r="A982" s="8"/>
      <c r="B982" s="14"/>
      <c r="C982" s="14"/>
      <c r="D982" s="14"/>
      <c r="E982" s="9"/>
      <c r="F982" s="14"/>
      <c r="G982" s="9"/>
      <c r="H982" s="14"/>
      <c r="I982" s="9"/>
      <c r="J982" s="9"/>
      <c r="K982" s="9"/>
      <c r="L982" s="9"/>
      <c r="M982" s="9"/>
      <c r="N982" s="9"/>
      <c r="O982" s="60"/>
      <c r="P982" s="9"/>
      <c r="Q982" s="9"/>
      <c r="R982" s="64"/>
      <c r="S982" s="9"/>
      <c r="T982" s="9"/>
      <c r="U982" s="9"/>
      <c r="V982" s="9"/>
      <c r="W982" s="14"/>
      <c r="X982" s="9"/>
      <c r="Y982" s="9"/>
      <c r="Z982" s="15"/>
      <c r="AA982" s="15"/>
      <c r="AB982" s="15"/>
      <c r="AC982" s="15"/>
      <c r="AD982" s="15"/>
      <c r="AE982" s="15"/>
      <c r="AF982" s="15"/>
      <c r="AG982" s="15"/>
      <c r="AH982" s="15"/>
      <c r="AI982" s="15"/>
    </row>
    <row r="983" ht="15.75" customHeight="1">
      <c r="A983" s="16"/>
      <c r="B983" s="18"/>
      <c r="C983" s="18"/>
      <c r="D983" s="18"/>
      <c r="E983" s="18"/>
      <c r="F983" s="18"/>
      <c r="G983" s="17"/>
      <c r="H983" s="18"/>
      <c r="I983" s="17"/>
      <c r="J983" s="17"/>
      <c r="K983" s="17"/>
      <c r="L983" s="17"/>
      <c r="M983" s="17"/>
      <c r="N983" s="17"/>
      <c r="O983" s="59"/>
      <c r="P983" s="17"/>
      <c r="Q983" s="17"/>
      <c r="R983" s="65"/>
      <c r="S983" s="17"/>
      <c r="T983" s="17"/>
      <c r="U983" s="17"/>
      <c r="V983" s="17"/>
      <c r="W983" s="18"/>
      <c r="X983" s="17"/>
      <c r="Y983" s="17"/>
      <c r="Z983" s="24"/>
      <c r="AA983" s="24"/>
      <c r="AB983" s="24"/>
      <c r="AC983" s="24"/>
      <c r="AD983" s="24"/>
      <c r="AE983" s="24"/>
      <c r="AF983" s="24"/>
      <c r="AG983" s="24"/>
      <c r="AH983" s="24"/>
      <c r="AI983" s="24"/>
    </row>
    <row r="984" ht="15.75" customHeight="1">
      <c r="A984" s="8"/>
      <c r="B984" s="14"/>
      <c r="C984" s="14"/>
      <c r="D984" s="14"/>
      <c r="E984" s="9"/>
      <c r="F984" s="14"/>
      <c r="G984" s="9"/>
      <c r="H984" s="14"/>
      <c r="I984" s="9"/>
      <c r="J984" s="9"/>
      <c r="K984" s="9"/>
      <c r="L984" s="9"/>
      <c r="M984" s="9"/>
      <c r="N984" s="9"/>
      <c r="O984" s="60"/>
      <c r="P984" s="9"/>
      <c r="Q984" s="9"/>
      <c r="R984" s="64"/>
      <c r="S984" s="9"/>
      <c r="T984" s="9"/>
      <c r="U984" s="9"/>
      <c r="V984" s="9"/>
      <c r="W984" s="8"/>
      <c r="X984" s="9"/>
      <c r="Y984" s="9"/>
      <c r="Z984" s="15"/>
      <c r="AA984" s="15"/>
      <c r="AB984" s="15"/>
      <c r="AC984" s="15"/>
      <c r="AD984" s="15"/>
      <c r="AE984" s="15"/>
      <c r="AF984" s="15"/>
      <c r="AG984" s="15"/>
      <c r="AH984" s="15"/>
      <c r="AI984" s="15"/>
    </row>
    <row r="985" ht="15.75" customHeight="1">
      <c r="A985" s="16"/>
      <c r="B985" s="18"/>
      <c r="C985" s="18"/>
      <c r="D985" s="18"/>
      <c r="E985" s="18"/>
      <c r="F985" s="18"/>
      <c r="G985" s="17"/>
      <c r="H985" s="18"/>
      <c r="I985" s="17"/>
      <c r="J985" s="17"/>
      <c r="K985" s="17"/>
      <c r="L985" s="17"/>
      <c r="M985" s="17"/>
      <c r="N985" s="17"/>
      <c r="O985" s="59"/>
      <c r="P985" s="17"/>
      <c r="Q985" s="17"/>
      <c r="R985" s="65"/>
      <c r="S985" s="17"/>
      <c r="T985" s="17"/>
      <c r="U985" s="17"/>
      <c r="V985" s="17"/>
      <c r="W985" s="18"/>
      <c r="X985" s="17"/>
      <c r="Y985" s="17"/>
      <c r="Z985" s="24"/>
      <c r="AA985" s="24"/>
      <c r="AB985" s="24"/>
      <c r="AC985" s="24"/>
      <c r="AD985" s="24"/>
      <c r="AE985" s="24"/>
      <c r="AF985" s="24"/>
      <c r="AG985" s="24"/>
      <c r="AH985" s="24"/>
      <c r="AI985" s="24"/>
    </row>
    <row r="986" ht="15.75" customHeight="1">
      <c r="A986" s="8"/>
      <c r="B986" s="14"/>
      <c r="C986" s="14"/>
      <c r="D986" s="14"/>
      <c r="E986" s="9"/>
      <c r="F986" s="14"/>
      <c r="G986" s="9"/>
      <c r="H986" s="14"/>
      <c r="I986" s="9"/>
      <c r="J986" s="9"/>
      <c r="K986" s="9"/>
      <c r="L986" s="9"/>
      <c r="M986" s="9"/>
      <c r="N986" s="9"/>
      <c r="O986" s="60"/>
      <c r="P986" s="9"/>
      <c r="Q986" s="9"/>
      <c r="R986" s="64"/>
      <c r="S986" s="9"/>
      <c r="T986" s="9"/>
      <c r="U986" s="9"/>
      <c r="V986" s="9"/>
      <c r="W986" s="14"/>
      <c r="X986" s="9"/>
      <c r="Y986" s="9"/>
      <c r="Z986" s="15"/>
      <c r="AA986" s="15"/>
      <c r="AB986" s="15"/>
      <c r="AC986" s="15"/>
      <c r="AD986" s="15"/>
      <c r="AE986" s="15"/>
      <c r="AF986" s="15"/>
      <c r="AG986" s="15"/>
      <c r="AH986" s="15"/>
      <c r="AI986" s="15"/>
    </row>
    <row r="987" ht="15.75" customHeight="1">
      <c r="A987" s="16"/>
      <c r="B987" s="18"/>
      <c r="C987" s="18"/>
      <c r="D987" s="18"/>
      <c r="E987" s="18"/>
      <c r="F987" s="18"/>
      <c r="G987" s="17"/>
      <c r="H987" s="18"/>
      <c r="I987" s="17"/>
      <c r="J987" s="17"/>
      <c r="K987" s="17"/>
      <c r="L987" s="17"/>
      <c r="M987" s="17"/>
      <c r="N987" s="17"/>
      <c r="O987" s="59"/>
      <c r="P987" s="17"/>
      <c r="Q987" s="17"/>
      <c r="R987" s="65"/>
      <c r="S987" s="17"/>
      <c r="T987" s="17"/>
      <c r="U987" s="17"/>
      <c r="V987" s="17"/>
      <c r="W987" s="16"/>
      <c r="X987" s="17"/>
      <c r="Y987" s="17"/>
      <c r="Z987" s="24"/>
      <c r="AA987" s="24"/>
      <c r="AB987" s="24"/>
      <c r="AC987" s="24"/>
      <c r="AD987" s="24"/>
      <c r="AE987" s="24"/>
      <c r="AF987" s="24"/>
      <c r="AG987" s="24"/>
      <c r="AH987" s="24"/>
      <c r="AI987" s="24"/>
    </row>
    <row r="988" ht="15.75" customHeight="1">
      <c r="A988" s="8"/>
      <c r="B988" s="14"/>
      <c r="C988" s="14"/>
      <c r="D988" s="14"/>
      <c r="E988" s="9"/>
      <c r="F988" s="14"/>
      <c r="G988" s="9"/>
      <c r="H988" s="14"/>
      <c r="I988" s="9"/>
      <c r="J988" s="9"/>
      <c r="K988" s="9"/>
      <c r="L988" s="9"/>
      <c r="M988" s="9"/>
      <c r="N988" s="9"/>
      <c r="O988" s="60"/>
      <c r="P988" s="9"/>
      <c r="Q988" s="9"/>
      <c r="R988" s="64"/>
      <c r="S988" s="9"/>
      <c r="T988" s="9"/>
      <c r="U988" s="9"/>
      <c r="V988" s="9"/>
      <c r="W988" s="14"/>
      <c r="X988" s="9"/>
      <c r="Y988" s="9"/>
      <c r="Z988" s="15"/>
      <c r="AA988" s="15"/>
      <c r="AB988" s="15"/>
      <c r="AC988" s="15"/>
      <c r="AD988" s="15"/>
      <c r="AE988" s="15"/>
      <c r="AF988" s="15"/>
      <c r="AG988" s="15"/>
      <c r="AH988" s="15"/>
      <c r="AI988" s="15"/>
    </row>
    <row r="989" ht="15.75" customHeight="1">
      <c r="A989" s="16"/>
      <c r="B989" s="18"/>
      <c r="C989" s="18"/>
      <c r="D989" s="18"/>
      <c r="E989" s="18"/>
      <c r="F989" s="18"/>
      <c r="G989" s="17"/>
      <c r="H989" s="18"/>
      <c r="I989" s="17"/>
      <c r="J989" s="17"/>
      <c r="K989" s="17"/>
      <c r="L989" s="17"/>
      <c r="M989" s="17"/>
      <c r="N989" s="17"/>
      <c r="O989" s="59"/>
      <c r="P989" s="17"/>
      <c r="Q989" s="17"/>
      <c r="R989" s="65"/>
      <c r="S989" s="17"/>
      <c r="T989" s="17"/>
      <c r="U989" s="17"/>
      <c r="V989" s="17"/>
      <c r="W989" s="18"/>
      <c r="X989" s="17"/>
      <c r="Y989" s="17"/>
      <c r="Z989" s="24"/>
      <c r="AA989" s="24"/>
      <c r="AB989" s="24"/>
      <c r="AC989" s="24"/>
      <c r="AD989" s="24"/>
      <c r="AE989" s="24"/>
      <c r="AF989" s="24"/>
      <c r="AG989" s="24"/>
      <c r="AH989" s="24"/>
      <c r="AI989" s="24"/>
    </row>
    <row r="990" ht="15.75" customHeight="1">
      <c r="A990" s="8"/>
      <c r="B990" s="14"/>
      <c r="C990" s="14"/>
      <c r="D990" s="14"/>
      <c r="E990" s="9"/>
      <c r="F990" s="14"/>
      <c r="G990" s="9"/>
      <c r="H990" s="14"/>
      <c r="I990" s="9"/>
      <c r="J990" s="9"/>
      <c r="K990" s="9"/>
      <c r="L990" s="9"/>
      <c r="M990" s="9"/>
      <c r="N990" s="9"/>
      <c r="O990" s="60"/>
      <c r="P990" s="9"/>
      <c r="Q990" s="9"/>
      <c r="R990" s="64"/>
      <c r="S990" s="9"/>
      <c r="T990" s="9"/>
      <c r="U990" s="9"/>
      <c r="V990" s="9"/>
      <c r="W990" s="8"/>
      <c r="X990" s="9"/>
      <c r="Y990" s="9"/>
      <c r="Z990" s="15"/>
      <c r="AA990" s="15"/>
      <c r="AB990" s="15"/>
      <c r="AC990" s="15"/>
      <c r="AD990" s="15"/>
      <c r="AE990" s="15"/>
      <c r="AF990" s="15"/>
      <c r="AG990" s="15"/>
      <c r="AH990" s="15"/>
      <c r="AI990" s="15"/>
    </row>
    <row r="991" ht="15.75" customHeight="1">
      <c r="A991" s="16"/>
      <c r="B991" s="18"/>
      <c r="C991" s="18"/>
      <c r="D991" s="18"/>
      <c r="E991" s="18"/>
      <c r="F991" s="18"/>
      <c r="G991" s="17"/>
      <c r="H991" s="18"/>
      <c r="I991" s="17"/>
      <c r="J991" s="17"/>
      <c r="K991" s="17"/>
      <c r="L991" s="17"/>
      <c r="M991" s="17"/>
      <c r="N991" s="17"/>
      <c r="O991" s="59"/>
      <c r="P991" s="17"/>
      <c r="Q991" s="17"/>
      <c r="R991" s="65"/>
      <c r="S991" s="17"/>
      <c r="T991" s="17"/>
      <c r="U991" s="17"/>
      <c r="V991" s="17"/>
      <c r="W991" s="18"/>
      <c r="X991" s="17"/>
      <c r="Y991" s="17"/>
      <c r="Z991" s="24"/>
      <c r="AA991" s="24"/>
      <c r="AB991" s="24"/>
      <c r="AC991" s="24"/>
      <c r="AD991" s="24"/>
      <c r="AE991" s="24"/>
      <c r="AF991" s="24"/>
      <c r="AG991" s="24"/>
      <c r="AH991" s="24"/>
      <c r="AI991" s="24"/>
    </row>
    <row r="992" ht="15.75" customHeight="1">
      <c r="A992" s="8"/>
      <c r="B992" s="14"/>
      <c r="C992" s="14"/>
      <c r="D992" s="14"/>
      <c r="E992" s="9"/>
      <c r="F992" s="14"/>
      <c r="G992" s="9"/>
      <c r="H992" s="14"/>
      <c r="I992" s="9"/>
      <c r="J992" s="9"/>
      <c r="K992" s="9"/>
      <c r="L992" s="9"/>
      <c r="M992" s="9"/>
      <c r="N992" s="9"/>
      <c r="O992" s="60"/>
      <c r="P992" s="9"/>
      <c r="Q992" s="9"/>
      <c r="R992" s="64"/>
      <c r="S992" s="9"/>
      <c r="T992" s="9"/>
      <c r="U992" s="9"/>
      <c r="V992" s="9"/>
      <c r="W992" s="14"/>
      <c r="X992" s="9"/>
      <c r="Y992" s="9"/>
      <c r="Z992" s="15"/>
      <c r="AA992" s="15"/>
      <c r="AB992" s="15"/>
      <c r="AC992" s="15"/>
      <c r="AD992" s="15"/>
      <c r="AE992" s="15"/>
      <c r="AF992" s="15"/>
      <c r="AG992" s="15"/>
      <c r="AH992" s="15"/>
      <c r="AI992" s="15"/>
    </row>
    <row r="993" ht="15.75" customHeight="1">
      <c r="A993" s="16"/>
      <c r="B993" s="18"/>
      <c r="C993" s="18"/>
      <c r="D993" s="18"/>
      <c r="E993" s="18"/>
      <c r="F993" s="18"/>
      <c r="G993" s="17"/>
      <c r="H993" s="18"/>
      <c r="I993" s="17"/>
      <c r="J993" s="17"/>
      <c r="K993" s="17"/>
      <c r="L993" s="17"/>
      <c r="M993" s="17"/>
      <c r="N993" s="17"/>
      <c r="O993" s="59"/>
      <c r="P993" s="17"/>
      <c r="Q993" s="17"/>
      <c r="R993" s="65"/>
      <c r="S993" s="17"/>
      <c r="T993" s="17"/>
      <c r="U993" s="17"/>
      <c r="V993" s="17"/>
      <c r="W993" s="16"/>
      <c r="X993" s="17"/>
      <c r="Y993" s="17"/>
      <c r="Z993" s="24"/>
      <c r="AA993" s="24"/>
      <c r="AB993" s="24"/>
      <c r="AC993" s="24"/>
      <c r="AD993" s="24"/>
      <c r="AE993" s="24"/>
      <c r="AF993" s="24"/>
      <c r="AG993" s="24"/>
      <c r="AH993" s="24"/>
      <c r="AI993" s="24"/>
    </row>
    <row r="994" ht="15.75" customHeight="1">
      <c r="A994" s="8"/>
      <c r="B994" s="14"/>
      <c r="C994" s="14"/>
      <c r="D994" s="14"/>
      <c r="E994" s="9"/>
      <c r="F994" s="14"/>
      <c r="G994" s="9"/>
      <c r="H994" s="14"/>
      <c r="I994" s="9"/>
      <c r="J994" s="9"/>
      <c r="K994" s="9"/>
      <c r="L994" s="9"/>
      <c r="M994" s="9"/>
      <c r="N994" s="9"/>
      <c r="O994" s="60"/>
      <c r="P994" s="9"/>
      <c r="Q994" s="9"/>
      <c r="R994" s="64"/>
      <c r="S994" s="9"/>
      <c r="T994" s="9"/>
      <c r="U994" s="9"/>
      <c r="V994" s="9"/>
      <c r="W994" s="14"/>
      <c r="X994" s="9"/>
      <c r="Y994" s="9"/>
      <c r="Z994" s="15"/>
      <c r="AA994" s="15"/>
      <c r="AB994" s="15"/>
      <c r="AC994" s="15"/>
      <c r="AD994" s="15"/>
      <c r="AE994" s="15"/>
      <c r="AF994" s="15"/>
      <c r="AG994" s="15"/>
      <c r="AH994" s="15"/>
      <c r="AI994" s="15"/>
    </row>
    <row r="995" ht="15.75" customHeight="1">
      <c r="A995" s="16"/>
      <c r="B995" s="18"/>
      <c r="C995" s="18"/>
      <c r="D995" s="18"/>
      <c r="E995" s="18"/>
      <c r="F995" s="18"/>
      <c r="G995" s="17"/>
      <c r="H995" s="18"/>
      <c r="I995" s="17"/>
      <c r="J995" s="17"/>
      <c r="K995" s="17"/>
      <c r="L995" s="17"/>
      <c r="M995" s="17"/>
      <c r="N995" s="17"/>
      <c r="O995" s="59"/>
      <c r="P995" s="17"/>
      <c r="Q995" s="17"/>
      <c r="R995" s="65"/>
      <c r="S995" s="17"/>
      <c r="T995" s="17"/>
      <c r="U995" s="17"/>
      <c r="V995" s="17"/>
      <c r="W995" s="18"/>
      <c r="X995" s="17"/>
      <c r="Y995" s="17"/>
      <c r="Z995" s="24"/>
      <c r="AA995" s="24"/>
      <c r="AB995" s="24"/>
      <c r="AC995" s="24"/>
      <c r="AD995" s="24"/>
      <c r="AE995" s="24"/>
      <c r="AF995" s="24"/>
      <c r="AG995" s="24"/>
      <c r="AH995" s="24"/>
      <c r="AI995" s="24"/>
    </row>
    <row r="996" ht="15.75" customHeight="1">
      <c r="A996" s="8"/>
      <c r="B996" s="14"/>
      <c r="C996" s="14"/>
      <c r="D996" s="14"/>
      <c r="E996" s="9"/>
      <c r="F996" s="14"/>
      <c r="G996" s="9"/>
      <c r="H996" s="14"/>
      <c r="I996" s="9"/>
      <c r="J996" s="9"/>
      <c r="K996" s="9"/>
      <c r="L996" s="9"/>
      <c r="M996" s="9"/>
      <c r="N996" s="9"/>
      <c r="O996" s="60"/>
      <c r="P996" s="9"/>
      <c r="Q996" s="9"/>
      <c r="R996" s="64"/>
      <c r="S996" s="9"/>
      <c r="T996" s="9"/>
      <c r="U996" s="9"/>
      <c r="V996" s="9"/>
      <c r="W996" s="8"/>
      <c r="X996" s="9"/>
      <c r="Y996" s="9"/>
      <c r="Z996" s="15"/>
      <c r="AA996" s="15"/>
      <c r="AB996" s="15"/>
      <c r="AC996" s="15"/>
      <c r="AD996" s="15"/>
      <c r="AE996" s="15"/>
      <c r="AF996" s="15"/>
      <c r="AG996" s="15"/>
      <c r="AH996" s="15"/>
      <c r="AI996" s="15"/>
    </row>
    <row r="997" ht="15.75" customHeight="1">
      <c r="A997" s="16"/>
      <c r="B997" s="18"/>
      <c r="C997" s="18"/>
      <c r="D997" s="18"/>
      <c r="E997" s="18"/>
      <c r="F997" s="18"/>
      <c r="G997" s="17"/>
      <c r="H997" s="18"/>
      <c r="I997" s="17"/>
      <c r="J997" s="17"/>
      <c r="K997" s="17"/>
      <c r="L997" s="17"/>
      <c r="M997" s="17"/>
      <c r="N997" s="17"/>
      <c r="O997" s="59"/>
      <c r="P997" s="17"/>
      <c r="Q997" s="17"/>
      <c r="R997" s="65"/>
      <c r="S997" s="17"/>
      <c r="T997" s="17"/>
      <c r="U997" s="17"/>
      <c r="V997" s="17"/>
      <c r="W997" s="18"/>
      <c r="X997" s="17"/>
      <c r="Y997" s="17"/>
      <c r="Z997" s="24"/>
      <c r="AA997" s="24"/>
      <c r="AB997" s="24"/>
      <c r="AC997" s="24"/>
      <c r="AD997" s="24"/>
      <c r="AE997" s="24"/>
      <c r="AF997" s="24"/>
      <c r="AG997" s="24"/>
      <c r="AH997" s="24"/>
      <c r="AI997" s="24"/>
    </row>
    <row r="998" ht="15.75" customHeight="1">
      <c r="A998" s="8"/>
      <c r="B998" s="14"/>
      <c r="C998" s="14"/>
      <c r="D998" s="14"/>
      <c r="E998" s="9"/>
      <c r="F998" s="14"/>
      <c r="G998" s="9"/>
      <c r="H998" s="14"/>
      <c r="I998" s="9"/>
      <c r="J998" s="9"/>
      <c r="K998" s="9"/>
      <c r="L998" s="9"/>
      <c r="M998" s="9"/>
      <c r="N998" s="9"/>
      <c r="O998" s="60"/>
      <c r="P998" s="9"/>
      <c r="Q998" s="9"/>
      <c r="R998" s="64"/>
      <c r="S998" s="9"/>
      <c r="T998" s="9"/>
      <c r="U998" s="9"/>
      <c r="V998" s="9"/>
      <c r="W998" s="14"/>
      <c r="X998" s="9"/>
      <c r="Y998" s="9"/>
      <c r="Z998" s="15"/>
      <c r="AA998" s="15"/>
      <c r="AB998" s="15"/>
      <c r="AC998" s="15"/>
      <c r="AD998" s="15"/>
      <c r="AE998" s="15"/>
      <c r="AF998" s="15"/>
      <c r="AG998" s="15"/>
      <c r="AH998" s="15"/>
      <c r="AI998" s="15"/>
    </row>
    <row r="999" ht="15.75" customHeight="1">
      <c r="A999" s="16"/>
      <c r="B999" s="18"/>
      <c r="C999" s="18"/>
      <c r="D999" s="18"/>
      <c r="E999" s="18"/>
      <c r="F999" s="18"/>
      <c r="G999" s="17"/>
      <c r="H999" s="18"/>
      <c r="I999" s="17"/>
      <c r="J999" s="17"/>
      <c r="K999" s="17"/>
      <c r="L999" s="17"/>
      <c r="M999" s="17"/>
      <c r="N999" s="17"/>
      <c r="O999" s="59"/>
      <c r="P999" s="17"/>
      <c r="Q999" s="17"/>
      <c r="R999" s="65"/>
      <c r="S999" s="17"/>
      <c r="T999" s="17"/>
      <c r="U999" s="17"/>
      <c r="V999" s="17"/>
      <c r="W999" s="16"/>
      <c r="X999" s="17"/>
      <c r="Y999" s="17"/>
      <c r="Z999" s="24"/>
      <c r="AA999" s="24"/>
      <c r="AB999" s="24"/>
      <c r="AC999" s="24"/>
      <c r="AD999" s="24"/>
      <c r="AE999" s="24"/>
      <c r="AF999" s="24"/>
      <c r="AG999" s="24"/>
      <c r="AH999" s="24"/>
      <c r="AI999" s="24"/>
    </row>
    <row r="1000" ht="15.75" customHeight="1">
      <c r="A1000" s="8"/>
      <c r="B1000" s="14"/>
      <c r="C1000" s="14"/>
      <c r="D1000" s="14"/>
      <c r="E1000" s="9"/>
      <c r="F1000" s="14"/>
      <c r="G1000" s="9"/>
      <c r="H1000" s="14"/>
      <c r="I1000" s="9"/>
      <c r="J1000" s="9"/>
      <c r="K1000" s="9"/>
      <c r="L1000" s="9"/>
      <c r="M1000" s="9"/>
      <c r="N1000" s="9"/>
      <c r="O1000" s="60"/>
      <c r="P1000" s="9"/>
      <c r="Q1000" s="9"/>
      <c r="R1000" s="64"/>
      <c r="S1000" s="9"/>
      <c r="T1000" s="9"/>
      <c r="U1000" s="9"/>
      <c r="V1000" s="9"/>
      <c r="W1000" s="14"/>
      <c r="X1000" s="9"/>
      <c r="Y1000" s="9"/>
      <c r="Z1000" s="15"/>
      <c r="AA1000" s="15"/>
      <c r="AB1000" s="15"/>
      <c r="AC1000" s="15"/>
      <c r="AD1000" s="15"/>
      <c r="AE1000" s="15"/>
      <c r="AF1000" s="15"/>
      <c r="AG1000" s="15"/>
      <c r="AH1000" s="15"/>
      <c r="AI1000" s="15"/>
    </row>
    <row r="1001" ht="15.75" customHeight="1">
      <c r="A1001" s="16"/>
      <c r="B1001" s="18"/>
      <c r="C1001" s="18"/>
      <c r="D1001" s="18"/>
      <c r="E1001" s="18"/>
      <c r="F1001" s="18"/>
      <c r="G1001" s="18"/>
      <c r="H1001" s="18"/>
      <c r="I1001" s="17"/>
      <c r="J1001" s="17"/>
      <c r="K1001" s="17"/>
      <c r="L1001" s="17"/>
      <c r="M1001" s="17"/>
      <c r="N1001" s="17"/>
      <c r="O1001" s="59"/>
      <c r="P1001" s="17"/>
      <c r="Q1001" s="17"/>
      <c r="R1001" s="65"/>
      <c r="S1001" s="17"/>
      <c r="T1001" s="17"/>
      <c r="U1001" s="17"/>
      <c r="V1001" s="17"/>
      <c r="W1001" s="18"/>
      <c r="X1001" s="17"/>
      <c r="Y1001" s="17"/>
      <c r="Z1001" s="24"/>
      <c r="AA1001" s="24"/>
      <c r="AB1001" s="24"/>
      <c r="AC1001" s="24"/>
      <c r="AD1001" s="24"/>
      <c r="AE1001" s="24"/>
      <c r="AF1001" s="24"/>
      <c r="AG1001" s="24"/>
      <c r="AH1001" s="24"/>
      <c r="AI1001" s="24"/>
    </row>
  </sheetData>
  <autoFilter ref="$A$1:$Y$423">
    <filterColumn colId="24">
      <filters blank="1">
        <filter val="closed"/>
      </filters>
    </filterColumn>
  </autoFilter>
  <conditionalFormatting sqref="Y1">
    <cfRule type="notContainsBlanks" dxfId="1" priority="1">
      <formula>LEN(TRIM(Y1))&gt;0</formula>
    </cfRule>
  </conditionalFormatting>
  <conditionalFormatting sqref="S1:S1001">
    <cfRule type="cellIs" dxfId="2" priority="2" operator="greaterThan">
      <formula>19</formula>
    </cfRule>
  </conditionalFormatting>
  <conditionalFormatting sqref="S1:S1001">
    <cfRule type="cellIs" dxfId="3" priority="3" operator="lessThanOrEqual">
      <formula>19</formula>
    </cfRule>
  </conditionalFormatting>
  <conditionalFormatting sqref="M86 R86">
    <cfRule type="timePeriod" dxfId="1" priority="4" timePeriod="today"/>
  </conditionalFormatting>
  <conditionalFormatting sqref="M86 R86">
    <cfRule type="timePeriod" dxfId="1" priority="5" timePeriod="today"/>
  </conditionalFormatting>
  <dataValidations>
    <dataValidation type="list" allowBlank="1" showErrorMessage="1" sqref="T2:T1001 W1001">
      <formula1>"Not requested,Requested,Received,No Need"</formula1>
    </dataValidation>
    <dataValidation type="list" allowBlank="1" showErrorMessage="1" sqref="G60 G71 G76 G78 G80:G229 G231:G1000">
      <formula1>"No need,DSV,To AJEX,StarLinks Jeddah,StarLinks Riyadh"</formula1>
    </dataValidation>
    <dataValidation type="list" allowBlank="1" showErrorMessage="1" sqref="W2:W1000">
      <formula1>"No Need,Done"</formula1>
    </dataValidation>
    <dataValidation type="list" allowBlank="1" showErrorMessage="1" sqref="G230">
      <formula1>"No need,To DSV,To AJEX,Other Warehouses,ShipGo"</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000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2" width="17.13"/>
    <col customWidth="1" min="3" max="3" width="16.25"/>
    <col customWidth="1" min="4" max="4" width="80.0"/>
    <col customWidth="1" min="5" max="5" width="16.25"/>
    <col customWidth="1" min="6" max="6" width="12.13"/>
    <col customWidth="1" min="7" max="7" width="14.25"/>
    <col customWidth="1" min="8" max="8" width="12.13"/>
    <col customWidth="1" min="9" max="9" width="19.0"/>
    <col customWidth="1" min="10" max="10" width="16.13"/>
    <col customWidth="1" min="11" max="11" width="130.63"/>
  </cols>
  <sheetData>
    <row r="1" ht="45.75" customHeight="1">
      <c r="A1" s="66" t="s">
        <v>0</v>
      </c>
      <c r="B1" s="67" t="s">
        <v>1290</v>
      </c>
      <c r="C1" s="68" t="s">
        <v>1291</v>
      </c>
      <c r="D1" s="69" t="s">
        <v>1292</v>
      </c>
      <c r="E1" s="70" t="s">
        <v>1293</v>
      </c>
      <c r="F1" s="71" t="s">
        <v>1294</v>
      </c>
      <c r="G1" s="70" t="s">
        <v>1295</v>
      </c>
      <c r="H1" s="71" t="s">
        <v>1296</v>
      </c>
      <c r="I1" s="71" t="s">
        <v>1297</v>
      </c>
      <c r="J1" s="71" t="s">
        <v>18</v>
      </c>
      <c r="K1" s="72" t="s">
        <v>1298</v>
      </c>
      <c r="L1" s="73"/>
      <c r="M1" s="73"/>
      <c r="N1" s="73"/>
      <c r="O1" s="73"/>
      <c r="P1" s="73"/>
      <c r="Q1" s="73"/>
      <c r="R1" s="73"/>
      <c r="S1" s="73"/>
      <c r="T1" s="73"/>
      <c r="U1" s="73"/>
      <c r="V1" s="73"/>
      <c r="W1" s="73"/>
      <c r="X1" s="73"/>
    </row>
    <row r="2">
      <c r="A2" s="74">
        <v>1.0</v>
      </c>
      <c r="B2" s="74" t="s">
        <v>1299</v>
      </c>
      <c r="C2" s="74" t="s">
        <v>1300</v>
      </c>
      <c r="D2" s="75" t="s">
        <v>1301</v>
      </c>
      <c r="E2" s="76">
        <v>45579.0</v>
      </c>
      <c r="F2" s="74" t="str">
        <f>VLOOKUP(D2,Sheet15!D:H,5,FALSE)</f>
        <v>مكتمل</v>
      </c>
      <c r="G2" s="74"/>
      <c r="H2" s="74" t="s">
        <v>29</v>
      </c>
      <c r="I2" s="74" t="str">
        <f>VLOOKUP(D2,Sheet15!D:K,8,FALSE)</f>
        <v>2024-312651</v>
      </c>
      <c r="J2" s="76">
        <f t="shared" ref="J2:J555" si="1">G2-E2</f>
        <v>-45579</v>
      </c>
      <c r="K2" s="77" t="str">
        <f>VLOOKUP(D2,Sheet15!D:G,4,FALSE)</f>
        <v/>
      </c>
      <c r="L2" s="73"/>
      <c r="M2" s="73"/>
      <c r="N2" s="73"/>
      <c r="O2" s="73"/>
      <c r="P2" s="73"/>
      <c r="Q2" s="73"/>
      <c r="R2" s="73"/>
      <c r="S2" s="73"/>
      <c r="T2" s="73"/>
      <c r="U2" s="73"/>
      <c r="V2" s="73"/>
      <c r="W2" s="73"/>
      <c r="X2" s="73"/>
    </row>
    <row r="3">
      <c r="A3" s="74">
        <v>2.0</v>
      </c>
      <c r="B3" s="74" t="s">
        <v>1299</v>
      </c>
      <c r="C3" s="74" t="s">
        <v>1302</v>
      </c>
      <c r="D3" s="75" t="s">
        <v>1303</v>
      </c>
      <c r="E3" s="76">
        <v>45579.0</v>
      </c>
      <c r="F3" s="74" t="str">
        <f>VLOOKUP(D3,Sheet15!D:H,5,FALSE)</f>
        <v>مكتمل</v>
      </c>
      <c r="G3" s="74"/>
      <c r="H3" s="74" t="s">
        <v>29</v>
      </c>
      <c r="I3" s="74" t="str">
        <f>VLOOKUP(D3,Sheet15!D:K,8,FALSE)</f>
        <v>2024-312647</v>
      </c>
      <c r="J3" s="76">
        <f t="shared" si="1"/>
        <v>-45579</v>
      </c>
      <c r="K3" s="77" t="str">
        <f>VLOOKUP(D3,Sheet15!D:G,4,FALSE)</f>
        <v/>
      </c>
      <c r="L3" s="73"/>
      <c r="M3" s="73"/>
      <c r="N3" s="73"/>
      <c r="O3" s="73"/>
      <c r="P3" s="73"/>
      <c r="Q3" s="73"/>
      <c r="R3" s="73"/>
      <c r="S3" s="73"/>
      <c r="T3" s="73"/>
      <c r="U3" s="73"/>
      <c r="V3" s="73"/>
      <c r="W3" s="73"/>
      <c r="X3" s="73"/>
    </row>
    <row r="4">
      <c r="A4" s="74">
        <v>3.0</v>
      </c>
      <c r="B4" s="74" t="s">
        <v>1299</v>
      </c>
      <c r="C4" s="74" t="s">
        <v>1304</v>
      </c>
      <c r="D4" s="75" t="s">
        <v>1305</v>
      </c>
      <c r="E4" s="76">
        <v>45579.0</v>
      </c>
      <c r="F4" s="74" t="str">
        <f>VLOOKUP(D4,Sheet15!D:H,5,FALSE)</f>
        <v>مكتمل</v>
      </c>
      <c r="G4" s="74"/>
      <c r="H4" s="74" t="s">
        <v>29</v>
      </c>
      <c r="I4" s="74" t="str">
        <f>VLOOKUP(D4,Sheet15!D:K,8,FALSE)</f>
        <v>2024-312605</v>
      </c>
      <c r="J4" s="76">
        <f t="shared" si="1"/>
        <v>-45579</v>
      </c>
      <c r="K4" s="77" t="str">
        <f>VLOOKUP(D4,Sheet15!D:G,4,FALSE)</f>
        <v/>
      </c>
      <c r="L4" s="73"/>
      <c r="M4" s="73"/>
      <c r="N4" s="73"/>
      <c r="O4" s="73"/>
      <c r="P4" s="73"/>
      <c r="Q4" s="73"/>
      <c r="R4" s="73"/>
      <c r="S4" s="73"/>
      <c r="T4" s="73"/>
      <c r="U4" s="73"/>
      <c r="V4" s="73"/>
      <c r="W4" s="73"/>
      <c r="X4" s="73"/>
    </row>
    <row r="5">
      <c r="A5" s="74">
        <v>4.0</v>
      </c>
      <c r="B5" s="74" t="s">
        <v>1299</v>
      </c>
      <c r="C5" s="74" t="s">
        <v>1306</v>
      </c>
      <c r="D5" s="75" t="s">
        <v>1307</v>
      </c>
      <c r="E5" s="76">
        <v>45579.0</v>
      </c>
      <c r="F5" s="74" t="str">
        <f>VLOOKUP(D5,Sheet15!D:H,5,FALSE)</f>
        <v>مكتمل</v>
      </c>
      <c r="G5" s="74"/>
      <c r="H5" s="74" t="s">
        <v>29</v>
      </c>
      <c r="I5" s="74" t="str">
        <f>VLOOKUP(D5,Sheet15!D:K,8,FALSE)</f>
        <v>2024-312585</v>
      </c>
      <c r="J5" s="76">
        <f t="shared" si="1"/>
        <v>-45579</v>
      </c>
      <c r="K5" s="77" t="str">
        <f>VLOOKUP(D5,Sheet15!D:G,4,FALSE)</f>
        <v/>
      </c>
      <c r="L5" s="73"/>
      <c r="M5" s="73"/>
      <c r="N5" s="73"/>
      <c r="O5" s="73"/>
      <c r="P5" s="73"/>
      <c r="Q5" s="73"/>
      <c r="R5" s="73"/>
      <c r="S5" s="73"/>
      <c r="T5" s="73"/>
      <c r="U5" s="73"/>
      <c r="V5" s="73"/>
      <c r="W5" s="73"/>
      <c r="X5" s="73"/>
    </row>
    <row r="6">
      <c r="A6" s="74">
        <v>5.0</v>
      </c>
      <c r="B6" s="74" t="s">
        <v>1299</v>
      </c>
      <c r="C6" s="74" t="s">
        <v>1308</v>
      </c>
      <c r="D6" s="75" t="s">
        <v>1309</v>
      </c>
      <c r="E6" s="76">
        <v>45579.0</v>
      </c>
      <c r="F6" s="74" t="str">
        <f>VLOOKUP(D6,Sheet15!D:H,5,FALSE)</f>
        <v>مكتمل</v>
      </c>
      <c r="G6" s="74"/>
      <c r="H6" s="74" t="s">
        <v>29</v>
      </c>
      <c r="I6" s="74" t="str">
        <f>VLOOKUP(D6,Sheet15!D:K,8,FALSE)</f>
        <v>2024-312643</v>
      </c>
      <c r="J6" s="76">
        <f t="shared" si="1"/>
        <v>-45579</v>
      </c>
      <c r="K6" s="77" t="str">
        <f>VLOOKUP(D6,Sheet15!D:G,4,FALSE)</f>
        <v/>
      </c>
      <c r="L6" s="73"/>
      <c r="M6" s="73"/>
      <c r="N6" s="73"/>
      <c r="O6" s="73"/>
      <c r="P6" s="73"/>
      <c r="Q6" s="73"/>
      <c r="R6" s="73"/>
      <c r="S6" s="73"/>
      <c r="T6" s="73"/>
      <c r="U6" s="73"/>
      <c r="V6" s="73"/>
      <c r="W6" s="73"/>
      <c r="X6" s="73"/>
    </row>
    <row r="7">
      <c r="A7" s="74">
        <v>6.0</v>
      </c>
      <c r="B7" s="74" t="s">
        <v>1299</v>
      </c>
      <c r="C7" s="74" t="s">
        <v>1310</v>
      </c>
      <c r="D7" s="75" t="s">
        <v>1311</v>
      </c>
      <c r="E7" s="76">
        <v>45579.0</v>
      </c>
      <c r="F7" s="74" t="str">
        <f>VLOOKUP(D7,Sheet15!D:H,5,FALSE)</f>
        <v>مكتمل</v>
      </c>
      <c r="G7" s="74"/>
      <c r="H7" s="74" t="s">
        <v>29</v>
      </c>
      <c r="I7" s="74" t="str">
        <f>VLOOKUP(D7,Sheet15!D:K,8,FALSE)</f>
        <v>2024-312633</v>
      </c>
      <c r="J7" s="76">
        <f t="shared" si="1"/>
        <v>-45579</v>
      </c>
      <c r="K7" s="77" t="str">
        <f>VLOOKUP(D7,Sheet15!D:G,4,FALSE)</f>
        <v/>
      </c>
      <c r="L7" s="73"/>
      <c r="M7" s="73"/>
      <c r="N7" s="73"/>
      <c r="O7" s="73"/>
      <c r="P7" s="73"/>
      <c r="Q7" s="73"/>
      <c r="R7" s="73"/>
      <c r="S7" s="73"/>
      <c r="T7" s="73"/>
      <c r="U7" s="73"/>
      <c r="V7" s="73"/>
      <c r="W7" s="73"/>
      <c r="X7" s="73"/>
    </row>
    <row r="8">
      <c r="A8" s="74">
        <v>7.0</v>
      </c>
      <c r="B8" s="74" t="s">
        <v>1299</v>
      </c>
      <c r="C8" s="74" t="s">
        <v>1312</v>
      </c>
      <c r="D8" s="75" t="s">
        <v>1313</v>
      </c>
      <c r="E8" s="76">
        <v>45579.0</v>
      </c>
      <c r="F8" s="74" t="str">
        <f>VLOOKUP(D8,Sheet15!D:H,5,FALSE)</f>
        <v>مكتمل</v>
      </c>
      <c r="G8" s="74"/>
      <c r="H8" s="74" t="s">
        <v>29</v>
      </c>
      <c r="I8" s="74" t="str">
        <f>VLOOKUP(D8,Sheet15!D:K,8,FALSE)</f>
        <v>2024-312626</v>
      </c>
      <c r="J8" s="76">
        <f t="shared" si="1"/>
        <v>-45579</v>
      </c>
      <c r="K8" s="77" t="str">
        <f>VLOOKUP(D8,Sheet15!D:G,4,FALSE)</f>
        <v/>
      </c>
      <c r="L8" s="73"/>
      <c r="M8" s="73"/>
      <c r="N8" s="73"/>
      <c r="O8" s="73"/>
      <c r="P8" s="73"/>
      <c r="Q8" s="73"/>
      <c r="R8" s="73"/>
      <c r="S8" s="73"/>
      <c r="T8" s="73"/>
      <c r="U8" s="73"/>
      <c r="V8" s="73"/>
      <c r="W8" s="73"/>
      <c r="X8" s="73"/>
    </row>
    <row r="9">
      <c r="A9" s="74">
        <v>8.0</v>
      </c>
      <c r="B9" s="74" t="s">
        <v>1299</v>
      </c>
      <c r="C9" s="74" t="s">
        <v>1314</v>
      </c>
      <c r="D9" s="75" t="s">
        <v>1315</v>
      </c>
      <c r="E9" s="76">
        <v>45579.0</v>
      </c>
      <c r="F9" s="74" t="str">
        <f>VLOOKUP(D9,Sheet15!D:H,5,FALSE)</f>
        <v>مكتمل</v>
      </c>
      <c r="G9" s="74"/>
      <c r="H9" s="74" t="s">
        <v>29</v>
      </c>
      <c r="I9" s="74" t="str">
        <f>VLOOKUP(D9,Sheet15!D:K,8,FALSE)</f>
        <v>2024-312617</v>
      </c>
      <c r="J9" s="76">
        <f t="shared" si="1"/>
        <v>-45579</v>
      </c>
      <c r="K9" s="77" t="str">
        <f>VLOOKUP(D9,Sheet15!D:G,4,FALSE)</f>
        <v/>
      </c>
      <c r="L9" s="73"/>
      <c r="M9" s="73"/>
      <c r="N9" s="73"/>
      <c r="O9" s="73"/>
      <c r="P9" s="73"/>
      <c r="Q9" s="73"/>
      <c r="R9" s="73"/>
      <c r="S9" s="73"/>
      <c r="T9" s="73"/>
      <c r="U9" s="73"/>
      <c r="V9" s="73"/>
      <c r="W9" s="73"/>
      <c r="X9" s="73"/>
    </row>
    <row r="10">
      <c r="A10" s="74">
        <v>9.0</v>
      </c>
      <c r="B10" s="74" t="s">
        <v>1316</v>
      </c>
      <c r="C10" s="74">
        <v>10880.0</v>
      </c>
      <c r="D10" s="75" t="s">
        <v>1317</v>
      </c>
      <c r="E10" s="76">
        <v>45581.0</v>
      </c>
      <c r="F10" s="74" t="str">
        <f>VLOOKUP(D10,Sheet15!D:H,5,FALSE)</f>
        <v>مكتمل</v>
      </c>
      <c r="G10" s="74"/>
      <c r="H10" s="74" t="s">
        <v>29</v>
      </c>
      <c r="I10" s="74" t="str">
        <f>VLOOKUP(D10,Sheet15!D:K,8,FALSE)</f>
        <v>2024-346683</v>
      </c>
      <c r="J10" s="76">
        <f t="shared" si="1"/>
        <v>-45581</v>
      </c>
      <c r="K10" s="77" t="str">
        <f>VLOOKUP(D10,Sheet15!D:G,4,FALSE)</f>
        <v/>
      </c>
      <c r="L10" s="73"/>
      <c r="M10" s="73"/>
      <c r="N10" s="73"/>
      <c r="O10" s="73"/>
      <c r="P10" s="73"/>
      <c r="Q10" s="73"/>
      <c r="R10" s="73"/>
      <c r="S10" s="73"/>
      <c r="T10" s="73"/>
      <c r="U10" s="73"/>
      <c r="V10" s="73"/>
      <c r="W10" s="73"/>
      <c r="X10" s="73"/>
    </row>
    <row r="11">
      <c r="A11" s="74">
        <v>10.0</v>
      </c>
      <c r="B11" s="74" t="s">
        <v>1316</v>
      </c>
      <c r="C11" s="74">
        <v>10881.0</v>
      </c>
      <c r="D11" s="75" t="s">
        <v>1318</v>
      </c>
      <c r="E11" s="76">
        <v>45581.0</v>
      </c>
      <c r="F11" s="74" t="str">
        <f>VLOOKUP(D11,Sheet15!D:H,5,FALSE)</f>
        <v>مكتمل</v>
      </c>
      <c r="G11" s="74"/>
      <c r="H11" s="74" t="s">
        <v>29</v>
      </c>
      <c r="I11" s="74" t="str">
        <f>VLOOKUP(D11,Sheet15!D:K,8,FALSE)</f>
        <v>2024-346711</v>
      </c>
      <c r="J11" s="76">
        <f t="shared" si="1"/>
        <v>-45581</v>
      </c>
      <c r="K11" s="77" t="str">
        <f>VLOOKUP(D11,Sheet15!D:G,4,FALSE)</f>
        <v/>
      </c>
      <c r="L11" s="73"/>
      <c r="M11" s="73"/>
      <c r="N11" s="73"/>
      <c r="O11" s="73"/>
      <c r="P11" s="73"/>
      <c r="Q11" s="73"/>
      <c r="R11" s="73"/>
      <c r="S11" s="73"/>
      <c r="T11" s="73"/>
      <c r="U11" s="73"/>
      <c r="V11" s="73"/>
      <c r="W11" s="73"/>
      <c r="X11" s="73"/>
    </row>
    <row r="12">
      <c r="A12" s="74">
        <v>11.0</v>
      </c>
      <c r="B12" s="74" t="s">
        <v>1316</v>
      </c>
      <c r="C12" s="74">
        <v>10882.0</v>
      </c>
      <c r="D12" s="75" t="s">
        <v>1319</v>
      </c>
      <c r="E12" s="76">
        <v>45581.0</v>
      </c>
      <c r="F12" s="74" t="str">
        <f>VLOOKUP(D12,Sheet15!D:H,5,FALSE)</f>
        <v>مكتمل</v>
      </c>
      <c r="G12" s="74"/>
      <c r="H12" s="74" t="s">
        <v>29</v>
      </c>
      <c r="I12" s="74" t="str">
        <f>VLOOKUP(D12,Sheet15!D:K,8,FALSE)</f>
        <v>2024-346720</v>
      </c>
      <c r="J12" s="76">
        <f t="shared" si="1"/>
        <v>-45581</v>
      </c>
      <c r="K12" s="77" t="str">
        <f>VLOOKUP(D12,Sheet15!D:G,4,FALSE)</f>
        <v/>
      </c>
      <c r="L12" s="73"/>
      <c r="M12" s="73"/>
      <c r="N12" s="73"/>
      <c r="O12" s="73"/>
      <c r="P12" s="73"/>
      <c r="Q12" s="73"/>
      <c r="R12" s="73"/>
      <c r="S12" s="73"/>
      <c r="T12" s="73"/>
      <c r="U12" s="73"/>
      <c r="V12" s="73"/>
      <c r="W12" s="73"/>
      <c r="X12" s="73"/>
    </row>
    <row r="13">
      <c r="A13" s="74">
        <v>12.0</v>
      </c>
      <c r="B13" s="74" t="s">
        <v>1316</v>
      </c>
      <c r="C13" s="74">
        <v>10854.0</v>
      </c>
      <c r="D13" s="75" t="s">
        <v>1320</v>
      </c>
      <c r="E13" s="76">
        <v>45581.0</v>
      </c>
      <c r="F13" s="74" t="str">
        <f>VLOOKUP(D13,Sheet15!D:H,5,FALSE)</f>
        <v>مكتمل</v>
      </c>
      <c r="G13" s="74"/>
      <c r="H13" s="74" t="s">
        <v>29</v>
      </c>
      <c r="I13" s="74" t="str">
        <f>VLOOKUP(D13,Sheet15!D:K,8,FALSE)</f>
        <v>2024-330246</v>
      </c>
      <c r="J13" s="76">
        <f t="shared" si="1"/>
        <v>-45581</v>
      </c>
      <c r="K13" s="77" t="str">
        <f>VLOOKUP(D13,Sheet15!D:G,4,FALSE)</f>
        <v/>
      </c>
      <c r="L13" s="73"/>
      <c r="M13" s="73"/>
      <c r="N13" s="73"/>
      <c r="O13" s="73"/>
      <c r="P13" s="73"/>
      <c r="Q13" s="73"/>
      <c r="R13" s="73"/>
      <c r="S13" s="73"/>
      <c r="T13" s="73"/>
      <c r="U13" s="73"/>
      <c r="V13" s="73"/>
      <c r="W13" s="73"/>
      <c r="X13" s="73"/>
    </row>
    <row r="14">
      <c r="A14" s="74">
        <v>13.0</v>
      </c>
      <c r="B14" s="74" t="s">
        <v>1316</v>
      </c>
      <c r="C14" s="74">
        <v>10856.0</v>
      </c>
      <c r="D14" s="75" t="s">
        <v>1321</v>
      </c>
      <c r="E14" s="76">
        <v>45581.0</v>
      </c>
      <c r="F14" s="74" t="str">
        <f>VLOOKUP(D14,Sheet15!D:H,5,FALSE)</f>
        <v>مكتمل</v>
      </c>
      <c r="G14" s="74"/>
      <c r="H14" s="74" t="s">
        <v>29</v>
      </c>
      <c r="I14" s="74" t="str">
        <f>VLOOKUP(D14,Sheet15!D:K,8,FALSE)</f>
        <v>2024-330277</v>
      </c>
      <c r="J14" s="76">
        <f t="shared" si="1"/>
        <v>-45581</v>
      </c>
      <c r="K14" s="77" t="str">
        <f>VLOOKUP(D14,Sheet15!D:G,4,FALSE)</f>
        <v/>
      </c>
      <c r="L14" s="73"/>
      <c r="M14" s="73"/>
      <c r="N14" s="73"/>
      <c r="O14" s="73"/>
      <c r="P14" s="73"/>
      <c r="Q14" s="73"/>
      <c r="R14" s="73"/>
      <c r="S14" s="73"/>
      <c r="T14" s="73"/>
      <c r="U14" s="73"/>
      <c r="V14" s="73"/>
      <c r="W14" s="73"/>
      <c r="X14" s="73"/>
    </row>
    <row r="15">
      <c r="A15" s="74">
        <v>14.0</v>
      </c>
      <c r="B15" s="74" t="s">
        <v>1316</v>
      </c>
      <c r="C15" s="74">
        <v>10857.0</v>
      </c>
      <c r="D15" s="75" t="s">
        <v>1322</v>
      </c>
      <c r="E15" s="76">
        <v>45581.0</v>
      </c>
      <c r="F15" s="74" t="str">
        <f>VLOOKUP(D15,Sheet15!D:H,5,FALSE)</f>
        <v>مكتمل</v>
      </c>
      <c r="G15" s="74"/>
      <c r="H15" s="74" t="s">
        <v>29</v>
      </c>
      <c r="I15" s="74" t="str">
        <f>VLOOKUP(D15,Sheet15!D:K,8,FALSE)</f>
        <v>2024-330299</v>
      </c>
      <c r="J15" s="76">
        <f t="shared" si="1"/>
        <v>-45581</v>
      </c>
      <c r="K15" s="77" t="str">
        <f>VLOOKUP(D15,Sheet15!D:G,4,FALSE)</f>
        <v/>
      </c>
      <c r="L15" s="73"/>
      <c r="M15" s="73"/>
      <c r="N15" s="73"/>
      <c r="O15" s="73"/>
      <c r="P15" s="73"/>
      <c r="Q15" s="73"/>
      <c r="R15" s="73"/>
      <c r="S15" s="73"/>
      <c r="T15" s="73"/>
      <c r="U15" s="73"/>
      <c r="V15" s="73"/>
      <c r="W15" s="73"/>
      <c r="X15" s="73"/>
    </row>
    <row r="16">
      <c r="A16" s="74">
        <v>15.0</v>
      </c>
      <c r="B16" s="74" t="s">
        <v>1316</v>
      </c>
      <c r="C16" s="74">
        <v>10858.0</v>
      </c>
      <c r="D16" s="75" t="s">
        <v>1323</v>
      </c>
      <c r="E16" s="76">
        <v>45581.0</v>
      </c>
      <c r="F16" s="74" t="str">
        <f>VLOOKUP(D16,Sheet15!D:H,5,FALSE)</f>
        <v>مكتمل</v>
      </c>
      <c r="G16" s="74"/>
      <c r="H16" s="74" t="s">
        <v>29</v>
      </c>
      <c r="I16" s="74" t="str">
        <f>VLOOKUP(D16,Sheet15!D:K,8,FALSE)</f>
        <v>2024-330316</v>
      </c>
      <c r="J16" s="76">
        <f t="shared" si="1"/>
        <v>-45581</v>
      </c>
      <c r="K16" s="77" t="str">
        <f>VLOOKUP(D16,Sheet15!D:G,4,FALSE)</f>
        <v/>
      </c>
      <c r="L16" s="73"/>
      <c r="M16" s="73"/>
      <c r="N16" s="73"/>
      <c r="O16" s="73"/>
      <c r="P16" s="73"/>
      <c r="Q16" s="73"/>
      <c r="R16" s="73"/>
      <c r="S16" s="73"/>
      <c r="T16" s="73"/>
      <c r="U16" s="73"/>
      <c r="V16" s="73"/>
      <c r="W16" s="73"/>
      <c r="X16" s="73"/>
    </row>
    <row r="17">
      <c r="A17" s="74">
        <v>16.0</v>
      </c>
      <c r="B17" s="74" t="s">
        <v>1316</v>
      </c>
      <c r="C17" s="74">
        <v>10859.0</v>
      </c>
      <c r="D17" s="75" t="s">
        <v>1324</v>
      </c>
      <c r="E17" s="76">
        <v>45581.0</v>
      </c>
      <c r="F17" s="74" t="str">
        <f>VLOOKUP(D17,Sheet15!D:H,5,FALSE)</f>
        <v>مكتمل</v>
      </c>
      <c r="G17" s="74"/>
      <c r="H17" s="74" t="s">
        <v>29</v>
      </c>
      <c r="I17" s="74" t="str">
        <f>VLOOKUP(D17,Sheet15!D:K,8,FALSE)</f>
        <v>2024-330324</v>
      </c>
      <c r="J17" s="76">
        <f t="shared" si="1"/>
        <v>-45581</v>
      </c>
      <c r="K17" s="77" t="str">
        <f>VLOOKUP(D17,Sheet15!D:G,4,FALSE)</f>
        <v/>
      </c>
      <c r="L17" s="73"/>
      <c r="M17" s="73"/>
      <c r="N17" s="73"/>
      <c r="O17" s="73"/>
      <c r="P17" s="73"/>
      <c r="Q17" s="73"/>
      <c r="R17" s="73"/>
      <c r="S17" s="73"/>
      <c r="T17" s="73"/>
      <c r="U17" s="73"/>
      <c r="V17" s="73"/>
      <c r="W17" s="73"/>
      <c r="X17" s="73"/>
    </row>
    <row r="18">
      <c r="A18" s="74">
        <v>17.0</v>
      </c>
      <c r="B18" s="74" t="s">
        <v>1316</v>
      </c>
      <c r="C18" s="74">
        <v>10870.0</v>
      </c>
      <c r="D18" s="75" t="s">
        <v>1325</v>
      </c>
      <c r="E18" s="76">
        <v>45581.0</v>
      </c>
      <c r="F18" s="74" t="str">
        <f>VLOOKUP(D18,Sheet15!D:H,5,FALSE)</f>
        <v>مكتمل</v>
      </c>
      <c r="G18" s="74"/>
      <c r="H18" s="74" t="s">
        <v>29</v>
      </c>
      <c r="I18" s="74" t="str">
        <f>VLOOKUP(D18,Sheet15!D:K,8,FALSE)</f>
        <v>2024-330334</v>
      </c>
      <c r="J18" s="76">
        <f t="shared" si="1"/>
        <v>-45581</v>
      </c>
      <c r="K18" s="77" t="str">
        <f>VLOOKUP(D18,Sheet15!D:G,4,FALSE)</f>
        <v/>
      </c>
      <c r="L18" s="73"/>
      <c r="M18" s="73"/>
      <c r="N18" s="73"/>
      <c r="O18" s="73"/>
      <c r="P18" s="73"/>
      <c r="Q18" s="73"/>
      <c r="R18" s="73"/>
      <c r="S18" s="73"/>
      <c r="T18" s="73"/>
      <c r="U18" s="73"/>
      <c r="V18" s="73"/>
      <c r="W18" s="73"/>
      <c r="X18" s="73"/>
    </row>
    <row r="19">
      <c r="A19" s="74">
        <v>18.0</v>
      </c>
      <c r="B19" s="74" t="s">
        <v>1316</v>
      </c>
      <c r="C19" s="74"/>
      <c r="D19" s="75" t="s">
        <v>1326</v>
      </c>
      <c r="E19" s="76">
        <v>45589.0</v>
      </c>
      <c r="F19" s="74" t="str">
        <f>VLOOKUP(D19,Sheet15!D:H,5,FALSE)</f>
        <v>مكتمل</v>
      </c>
      <c r="G19" s="74"/>
      <c r="H19" s="74" t="s">
        <v>29</v>
      </c>
      <c r="I19" s="74" t="str">
        <f>VLOOKUP(D19,Sheet15!D:K,8,FALSE)</f>
        <v>2024-346809</v>
      </c>
      <c r="J19" s="76">
        <f t="shared" si="1"/>
        <v>-45589</v>
      </c>
      <c r="K19" s="77" t="str">
        <f>VLOOKUP(D19,Sheet15!D:G,4,FALSE)</f>
        <v/>
      </c>
      <c r="L19" s="73"/>
      <c r="M19" s="73"/>
      <c r="N19" s="73"/>
      <c r="O19" s="73"/>
      <c r="P19" s="73"/>
      <c r="Q19" s="73"/>
      <c r="R19" s="73"/>
      <c r="S19" s="73"/>
      <c r="T19" s="73"/>
      <c r="U19" s="73"/>
      <c r="V19" s="73"/>
      <c r="W19" s="73"/>
      <c r="X19" s="73"/>
    </row>
    <row r="20">
      <c r="A20" s="74">
        <v>19.0</v>
      </c>
      <c r="B20" s="74" t="s">
        <v>1316</v>
      </c>
      <c r="C20" s="74"/>
      <c r="D20" s="75" t="s">
        <v>1327</v>
      </c>
      <c r="E20" s="76">
        <v>45589.0</v>
      </c>
      <c r="F20" s="74" t="str">
        <f>VLOOKUP(D20,Sheet15!D:H,5,FALSE)</f>
        <v>مكتمل</v>
      </c>
      <c r="G20" s="74"/>
      <c r="H20" s="74" t="s">
        <v>29</v>
      </c>
      <c r="I20" s="74" t="str">
        <f>VLOOKUP(D20,Sheet15!D:K,8,FALSE)</f>
        <v>2024-346825</v>
      </c>
      <c r="J20" s="76">
        <f t="shared" si="1"/>
        <v>-45589</v>
      </c>
      <c r="K20" s="77" t="str">
        <f>VLOOKUP(D20,Sheet15!D:G,4,FALSE)</f>
        <v/>
      </c>
      <c r="L20" s="73"/>
      <c r="M20" s="73"/>
      <c r="N20" s="73"/>
      <c r="O20" s="73"/>
      <c r="P20" s="73"/>
      <c r="Q20" s="73"/>
      <c r="R20" s="73"/>
      <c r="S20" s="73"/>
      <c r="T20" s="73"/>
      <c r="U20" s="73"/>
      <c r="V20" s="73"/>
      <c r="W20" s="73"/>
      <c r="X20" s="73"/>
    </row>
    <row r="21">
      <c r="A21" s="74">
        <v>20.0</v>
      </c>
      <c r="B21" s="74" t="s">
        <v>1316</v>
      </c>
      <c r="C21" s="74"/>
      <c r="D21" s="75" t="s">
        <v>1328</v>
      </c>
      <c r="E21" s="76">
        <v>45589.0</v>
      </c>
      <c r="F21" s="74" t="str">
        <f>VLOOKUP(D21,Sheet15!D:H,5,FALSE)</f>
        <v>مكتمل</v>
      </c>
      <c r="G21" s="74"/>
      <c r="H21" s="74" t="s">
        <v>29</v>
      </c>
      <c r="I21" s="74" t="str">
        <f>VLOOKUP(D21,Sheet15!D:K,8,FALSE)</f>
        <v>2024-346831</v>
      </c>
      <c r="J21" s="76">
        <f t="shared" si="1"/>
        <v>-45589</v>
      </c>
      <c r="K21" s="77" t="str">
        <f>VLOOKUP(D21,Sheet15!D:G,4,FALSE)</f>
        <v/>
      </c>
      <c r="L21" s="73"/>
      <c r="M21" s="73"/>
      <c r="N21" s="73"/>
      <c r="O21" s="73"/>
      <c r="P21" s="73"/>
      <c r="Q21" s="73"/>
      <c r="R21" s="73"/>
      <c r="S21" s="73"/>
      <c r="T21" s="73"/>
      <c r="U21" s="73"/>
      <c r="V21" s="73"/>
      <c r="W21" s="73"/>
      <c r="X21" s="73"/>
    </row>
    <row r="22">
      <c r="A22" s="74">
        <v>21.0</v>
      </c>
      <c r="B22" s="74" t="s">
        <v>1316</v>
      </c>
      <c r="C22" s="74"/>
      <c r="D22" s="75" t="s">
        <v>1329</v>
      </c>
      <c r="E22" s="76">
        <v>45589.0</v>
      </c>
      <c r="F22" s="74" t="str">
        <f>VLOOKUP(D22,Sheet15!D:H,5,FALSE)</f>
        <v>مكتمل</v>
      </c>
      <c r="G22" s="74"/>
      <c r="H22" s="74" t="s">
        <v>29</v>
      </c>
      <c r="I22" s="74" t="str">
        <f>VLOOKUP(D22,Sheet15!D:K,8,FALSE)</f>
        <v>2024-346837</v>
      </c>
      <c r="J22" s="76">
        <f t="shared" si="1"/>
        <v>-45589</v>
      </c>
      <c r="K22" s="77" t="str">
        <f>VLOOKUP(D22,Sheet15!D:G,4,FALSE)</f>
        <v/>
      </c>
      <c r="L22" s="73"/>
      <c r="M22" s="73"/>
      <c r="N22" s="73"/>
      <c r="O22" s="73"/>
      <c r="P22" s="73"/>
      <c r="Q22" s="73"/>
      <c r="R22" s="73"/>
      <c r="S22" s="73"/>
      <c r="T22" s="73"/>
      <c r="U22" s="73"/>
      <c r="V22" s="73"/>
      <c r="W22" s="73"/>
      <c r="X22" s="73"/>
    </row>
    <row r="23">
      <c r="A23" s="74">
        <v>22.0</v>
      </c>
      <c r="B23" s="74" t="s">
        <v>1316</v>
      </c>
      <c r="C23" s="74"/>
      <c r="D23" s="75" t="s">
        <v>1330</v>
      </c>
      <c r="E23" s="76">
        <v>45589.0</v>
      </c>
      <c r="F23" s="74" t="str">
        <f>VLOOKUP(D23,Sheet15!D:H,5,FALSE)</f>
        <v>مكتمل</v>
      </c>
      <c r="G23" s="74"/>
      <c r="H23" s="74" t="s">
        <v>29</v>
      </c>
      <c r="I23" s="74" t="str">
        <f>VLOOKUP(D23,Sheet15!D:K,8,FALSE)</f>
        <v>2024-346845</v>
      </c>
      <c r="J23" s="76">
        <f t="shared" si="1"/>
        <v>-45589</v>
      </c>
      <c r="K23" s="77" t="str">
        <f>VLOOKUP(D23,Sheet15!D:G,4,FALSE)</f>
        <v/>
      </c>
      <c r="L23" s="73"/>
      <c r="M23" s="73"/>
      <c r="N23" s="73"/>
      <c r="O23" s="73"/>
      <c r="P23" s="73"/>
      <c r="Q23" s="73"/>
      <c r="R23" s="73"/>
      <c r="S23" s="73"/>
      <c r="T23" s="73"/>
      <c r="U23" s="73"/>
      <c r="V23" s="73"/>
      <c r="W23" s="73"/>
      <c r="X23" s="73"/>
    </row>
    <row r="24">
      <c r="A24" s="74">
        <v>23.0</v>
      </c>
      <c r="B24" s="74" t="s">
        <v>1331</v>
      </c>
      <c r="C24" s="74">
        <v>482774.0</v>
      </c>
      <c r="D24" s="75" t="s">
        <v>1332</v>
      </c>
      <c r="E24" s="76">
        <v>45592.0</v>
      </c>
      <c r="F24" s="74" t="str">
        <f>VLOOKUP(D24,Sheet15!D:H,5,FALSE)</f>
        <v>مكتمل</v>
      </c>
      <c r="G24" s="74"/>
      <c r="H24" s="74" t="s">
        <v>29</v>
      </c>
      <c r="I24" s="74" t="str">
        <f>VLOOKUP(D24,Sheet15!D:K,8,FALSE)</f>
        <v>2024-356398</v>
      </c>
      <c r="J24" s="76">
        <f t="shared" si="1"/>
        <v>-45592</v>
      </c>
      <c r="K24" s="77" t="str">
        <f>VLOOKUP(D24,Sheet15!D:G,4,FALSE)</f>
        <v/>
      </c>
      <c r="L24" s="73"/>
      <c r="M24" s="73"/>
      <c r="N24" s="73"/>
      <c r="O24" s="73"/>
      <c r="P24" s="73"/>
      <c r="Q24" s="73"/>
      <c r="R24" s="73"/>
      <c r="S24" s="73"/>
      <c r="T24" s="73"/>
      <c r="U24" s="73"/>
      <c r="V24" s="73"/>
      <c r="W24" s="73"/>
      <c r="X24" s="73"/>
    </row>
    <row r="25">
      <c r="A25" s="74">
        <v>24.0</v>
      </c>
      <c r="B25" s="74" t="s">
        <v>1316</v>
      </c>
      <c r="C25" s="74"/>
      <c r="D25" s="75" t="s">
        <v>1333</v>
      </c>
      <c r="E25" s="76">
        <v>45593.0</v>
      </c>
      <c r="F25" s="74" t="str">
        <f>VLOOKUP(D25,Sheet15!D:H,5,FALSE)</f>
        <v>مكتمل</v>
      </c>
      <c r="G25" s="74"/>
      <c r="H25" s="74" t="s">
        <v>29</v>
      </c>
      <c r="I25" s="74" t="str">
        <f>VLOOKUP(D25,Sheet15!D:K,8,FALSE)</f>
        <v>2024-341003</v>
      </c>
      <c r="J25" s="76">
        <f t="shared" si="1"/>
        <v>-45593</v>
      </c>
      <c r="K25" s="77" t="str">
        <f>VLOOKUP(D25,Sheet15!D:G,4,FALSE)</f>
        <v/>
      </c>
      <c r="L25" s="73"/>
      <c r="M25" s="73"/>
      <c r="N25" s="73"/>
      <c r="O25" s="73"/>
      <c r="P25" s="73"/>
      <c r="Q25" s="73"/>
      <c r="R25" s="73"/>
      <c r="S25" s="73"/>
      <c r="T25" s="73"/>
      <c r="U25" s="73"/>
      <c r="V25" s="73"/>
      <c r="W25" s="73"/>
      <c r="X25" s="73"/>
    </row>
    <row r="26">
      <c r="A26" s="74">
        <v>25.0</v>
      </c>
      <c r="B26" s="74" t="s">
        <v>1316</v>
      </c>
      <c r="C26" s="74"/>
      <c r="D26" s="75" t="s">
        <v>1334</v>
      </c>
      <c r="E26" s="76">
        <v>45593.0</v>
      </c>
      <c r="F26" s="74" t="str">
        <f>VLOOKUP(D26,Sheet15!D:H,5,FALSE)</f>
        <v>مكتمل</v>
      </c>
      <c r="G26" s="74"/>
      <c r="H26" s="74" t="s">
        <v>29</v>
      </c>
      <c r="I26" s="74" t="str">
        <f>VLOOKUP(D26,Sheet15!D:K,8,FALSE)</f>
        <v>2024-339892</v>
      </c>
      <c r="J26" s="76">
        <f t="shared" si="1"/>
        <v>-45593</v>
      </c>
      <c r="K26" s="77" t="str">
        <f>VLOOKUP(D26,Sheet15!D:G,4,FALSE)</f>
        <v/>
      </c>
      <c r="L26" s="73"/>
      <c r="M26" s="73"/>
      <c r="N26" s="73"/>
      <c r="O26" s="73"/>
      <c r="P26" s="73"/>
      <c r="Q26" s="73"/>
      <c r="R26" s="73"/>
      <c r="S26" s="73"/>
      <c r="T26" s="73"/>
      <c r="U26" s="73"/>
      <c r="V26" s="73"/>
      <c r="W26" s="73"/>
      <c r="X26" s="73"/>
    </row>
    <row r="27">
      <c r="A27" s="74">
        <v>26.0</v>
      </c>
      <c r="B27" s="74" t="s">
        <v>1316</v>
      </c>
      <c r="C27" s="74"/>
      <c r="D27" s="75" t="s">
        <v>1335</v>
      </c>
      <c r="E27" s="76">
        <v>45593.0</v>
      </c>
      <c r="F27" s="74" t="str">
        <f>VLOOKUP(D27,Sheet15!D:H,5,FALSE)</f>
        <v>مكتمل</v>
      </c>
      <c r="G27" s="74"/>
      <c r="H27" s="74" t="s">
        <v>29</v>
      </c>
      <c r="I27" s="74" t="str">
        <f>VLOOKUP(D27,Sheet15!D:K,8,FALSE)</f>
        <v>2024-339955</v>
      </c>
      <c r="J27" s="76">
        <f t="shared" si="1"/>
        <v>-45593</v>
      </c>
      <c r="K27" s="77" t="str">
        <f>VLOOKUP(D27,Sheet15!D:G,4,FALSE)</f>
        <v/>
      </c>
      <c r="L27" s="73"/>
      <c r="M27" s="73"/>
      <c r="N27" s="73"/>
      <c r="O27" s="73"/>
      <c r="P27" s="73"/>
      <c r="Q27" s="73"/>
      <c r="R27" s="73"/>
      <c r="S27" s="73"/>
      <c r="T27" s="73"/>
      <c r="U27" s="73"/>
      <c r="V27" s="73"/>
      <c r="W27" s="73"/>
      <c r="X27" s="73"/>
    </row>
    <row r="28">
      <c r="A28" s="74">
        <v>27.0</v>
      </c>
      <c r="B28" s="74" t="s">
        <v>1316</v>
      </c>
      <c r="C28" s="74"/>
      <c r="D28" s="75" t="s">
        <v>1336</v>
      </c>
      <c r="E28" s="76">
        <v>45593.0</v>
      </c>
      <c r="F28" s="74" t="str">
        <f>VLOOKUP(D28,Sheet15!D:H,5,FALSE)</f>
        <v>مكتمل</v>
      </c>
      <c r="G28" s="74"/>
      <c r="H28" s="74" t="s">
        <v>29</v>
      </c>
      <c r="I28" s="74" t="str">
        <f>VLOOKUP(D28,Sheet15!D:K,8,FALSE)</f>
        <v>2024-341489</v>
      </c>
      <c r="J28" s="76">
        <f t="shared" si="1"/>
        <v>-45593</v>
      </c>
      <c r="K28" s="77" t="str">
        <f>VLOOKUP(D28,Sheet15!D:G,4,FALSE)</f>
        <v/>
      </c>
      <c r="L28" s="73"/>
      <c r="M28" s="73"/>
      <c r="N28" s="73"/>
      <c r="O28" s="73"/>
      <c r="P28" s="73"/>
      <c r="Q28" s="73"/>
      <c r="R28" s="73"/>
      <c r="S28" s="73"/>
      <c r="T28" s="73"/>
      <c r="U28" s="73"/>
      <c r="V28" s="73"/>
      <c r="W28" s="73"/>
      <c r="X28" s="73"/>
    </row>
    <row r="29">
      <c r="A29" s="74">
        <v>28.0</v>
      </c>
      <c r="B29" s="74" t="s">
        <v>1316</v>
      </c>
      <c r="C29" s="74"/>
      <c r="D29" s="75" t="s">
        <v>1337</v>
      </c>
      <c r="E29" s="76">
        <v>45593.0</v>
      </c>
      <c r="F29" s="74" t="str">
        <f>VLOOKUP(D29,Sheet15!D:H,5,FALSE)</f>
        <v>مكتمل</v>
      </c>
      <c r="G29" s="74"/>
      <c r="H29" s="74" t="s">
        <v>29</v>
      </c>
      <c r="I29" s="74" t="str">
        <f>VLOOKUP(D29,Sheet15!D:K,8,FALSE)</f>
        <v>2024-341501</v>
      </c>
      <c r="J29" s="76">
        <f t="shared" si="1"/>
        <v>-45593</v>
      </c>
      <c r="K29" s="77" t="str">
        <f>VLOOKUP(D29,Sheet15!D:G,4,FALSE)</f>
        <v/>
      </c>
      <c r="L29" s="73"/>
      <c r="M29" s="73"/>
      <c r="N29" s="73"/>
      <c r="O29" s="73"/>
      <c r="P29" s="73"/>
      <c r="Q29" s="73"/>
      <c r="R29" s="73"/>
      <c r="S29" s="73"/>
      <c r="T29" s="73"/>
      <c r="U29" s="73"/>
      <c r="V29" s="73"/>
      <c r="W29" s="73"/>
      <c r="X29" s="73"/>
    </row>
    <row r="30">
      <c r="A30" s="74">
        <v>29.0</v>
      </c>
      <c r="B30" s="74" t="s">
        <v>1316</v>
      </c>
      <c r="C30" s="74"/>
      <c r="D30" s="75" t="s">
        <v>1338</v>
      </c>
      <c r="E30" s="76">
        <v>45593.0</v>
      </c>
      <c r="F30" s="74" t="str">
        <f>VLOOKUP(D30,Sheet15!D:H,5,FALSE)</f>
        <v>مكتمل</v>
      </c>
      <c r="G30" s="74"/>
      <c r="H30" s="74" t="s">
        <v>29</v>
      </c>
      <c r="I30" s="74" t="str">
        <f>VLOOKUP(D30,Sheet15!D:K,8,FALSE)</f>
        <v>2024-340000</v>
      </c>
      <c r="J30" s="76">
        <f t="shared" si="1"/>
        <v>-45593</v>
      </c>
      <c r="K30" s="77" t="str">
        <f>VLOOKUP(D30,Sheet15!D:G,4,FALSE)</f>
        <v/>
      </c>
      <c r="L30" s="73"/>
      <c r="M30" s="73"/>
      <c r="N30" s="73"/>
      <c r="O30" s="73"/>
      <c r="P30" s="73"/>
      <c r="Q30" s="73"/>
      <c r="R30" s="73"/>
      <c r="S30" s="73"/>
      <c r="T30" s="73"/>
      <c r="U30" s="73"/>
      <c r="V30" s="73"/>
      <c r="W30" s="73"/>
      <c r="X30" s="73"/>
    </row>
    <row r="31">
      <c r="A31" s="74">
        <v>30.0</v>
      </c>
      <c r="B31" s="74" t="s">
        <v>1316</v>
      </c>
      <c r="C31" s="74"/>
      <c r="D31" s="75" t="s">
        <v>1339</v>
      </c>
      <c r="E31" s="76">
        <v>45593.0</v>
      </c>
      <c r="F31" s="74" t="str">
        <f>VLOOKUP(D31,Sheet15!D:H,5,FALSE)</f>
        <v>مكتمل</v>
      </c>
      <c r="G31" s="74"/>
      <c r="H31" s="74" t="s">
        <v>29</v>
      </c>
      <c r="I31" s="74" t="str">
        <f>VLOOKUP(D31,Sheet15!D:K,8,FALSE)</f>
        <v>2024-341523</v>
      </c>
      <c r="J31" s="76">
        <f t="shared" si="1"/>
        <v>-45593</v>
      </c>
      <c r="K31" s="77" t="str">
        <f>VLOOKUP(D31,Sheet15!D:G,4,FALSE)</f>
        <v/>
      </c>
      <c r="L31" s="73"/>
      <c r="M31" s="73"/>
      <c r="N31" s="73"/>
      <c r="O31" s="73"/>
      <c r="P31" s="73"/>
      <c r="Q31" s="73"/>
      <c r="R31" s="73"/>
      <c r="S31" s="73"/>
      <c r="T31" s="73"/>
      <c r="U31" s="73"/>
      <c r="V31" s="73"/>
      <c r="W31" s="73"/>
      <c r="X31" s="73"/>
    </row>
    <row r="32">
      <c r="A32" s="74">
        <v>31.0</v>
      </c>
      <c r="B32" s="74" t="s">
        <v>1316</v>
      </c>
      <c r="C32" s="74"/>
      <c r="D32" s="75" t="s">
        <v>1340</v>
      </c>
      <c r="E32" s="76">
        <v>45593.0</v>
      </c>
      <c r="F32" s="74" t="str">
        <f>VLOOKUP(D32,Sheet15!D:H,5,FALSE)</f>
        <v>مكتمل</v>
      </c>
      <c r="G32" s="74"/>
      <c r="H32" s="74" t="s">
        <v>29</v>
      </c>
      <c r="I32" s="74" t="str">
        <f>VLOOKUP(D32,Sheet15!D:K,8,FALSE)</f>
        <v>2024-343330</v>
      </c>
      <c r="J32" s="76">
        <f t="shared" si="1"/>
        <v>-45593</v>
      </c>
      <c r="K32" s="77" t="str">
        <f>VLOOKUP(D32,Sheet15!D:G,4,FALSE)</f>
        <v/>
      </c>
      <c r="L32" s="73"/>
      <c r="M32" s="73"/>
      <c r="N32" s="73"/>
      <c r="O32" s="73"/>
      <c r="P32" s="73"/>
      <c r="Q32" s="73"/>
      <c r="R32" s="73"/>
      <c r="S32" s="73"/>
      <c r="T32" s="73"/>
      <c r="U32" s="73"/>
      <c r="V32" s="73"/>
      <c r="W32" s="73"/>
      <c r="X32" s="73"/>
    </row>
    <row r="33">
      <c r="A33" s="74">
        <v>32.0</v>
      </c>
      <c r="B33" s="74" t="s">
        <v>1316</v>
      </c>
      <c r="C33" s="74"/>
      <c r="D33" s="75" t="s">
        <v>1341</v>
      </c>
      <c r="E33" s="76">
        <v>45593.0</v>
      </c>
      <c r="F33" s="74" t="str">
        <f>VLOOKUP(D33,Sheet15!D:H,5,FALSE)</f>
        <v>مكتمل</v>
      </c>
      <c r="G33" s="74"/>
      <c r="H33" s="74" t="s">
        <v>29</v>
      </c>
      <c r="I33" s="74" t="str">
        <f>VLOOKUP(D33,Sheet15!D:K,8,FALSE)</f>
        <v>2024-343359</v>
      </c>
      <c r="J33" s="76">
        <f t="shared" si="1"/>
        <v>-45593</v>
      </c>
      <c r="K33" s="77" t="str">
        <f>VLOOKUP(D33,Sheet15!D:G,4,FALSE)</f>
        <v/>
      </c>
      <c r="L33" s="73"/>
      <c r="M33" s="73"/>
      <c r="N33" s="73"/>
      <c r="O33" s="73"/>
      <c r="P33" s="73"/>
      <c r="Q33" s="73"/>
      <c r="R33" s="73"/>
      <c r="S33" s="73"/>
      <c r="T33" s="73"/>
      <c r="U33" s="73"/>
      <c r="V33" s="73"/>
      <c r="W33" s="73"/>
      <c r="X33" s="73"/>
    </row>
    <row r="34">
      <c r="A34" s="74">
        <v>33.0</v>
      </c>
      <c r="B34" s="74" t="s">
        <v>1316</v>
      </c>
      <c r="C34" s="74"/>
      <c r="D34" s="75" t="s">
        <v>1342</v>
      </c>
      <c r="E34" s="76">
        <v>45593.0</v>
      </c>
      <c r="F34" s="74" t="str">
        <f>VLOOKUP(D34,Sheet15!D:H,5,FALSE)</f>
        <v>مكتمل</v>
      </c>
      <c r="G34" s="74"/>
      <c r="H34" s="74" t="s">
        <v>29</v>
      </c>
      <c r="I34" s="74" t="str">
        <f>VLOOKUP(D34,Sheet15!D:K,8,FALSE)</f>
        <v>2024-343379</v>
      </c>
      <c r="J34" s="76">
        <f t="shared" si="1"/>
        <v>-45593</v>
      </c>
      <c r="K34" s="77" t="str">
        <f>VLOOKUP(D34,Sheet15!D:G,4,FALSE)</f>
        <v/>
      </c>
      <c r="L34" s="73"/>
      <c r="M34" s="73"/>
      <c r="N34" s="73"/>
      <c r="O34" s="73"/>
      <c r="P34" s="73"/>
      <c r="Q34" s="73"/>
      <c r="R34" s="73"/>
      <c r="S34" s="73"/>
      <c r="T34" s="73"/>
      <c r="U34" s="73"/>
      <c r="V34" s="73"/>
      <c r="W34" s="73"/>
      <c r="X34" s="73"/>
    </row>
    <row r="35">
      <c r="A35" s="74">
        <v>34.0</v>
      </c>
      <c r="B35" s="74" t="s">
        <v>1316</v>
      </c>
      <c r="C35" s="74"/>
      <c r="D35" s="75" t="s">
        <v>1343</v>
      </c>
      <c r="E35" s="76">
        <v>45593.0</v>
      </c>
      <c r="F35" s="74" t="str">
        <f>VLOOKUP(D35,Sheet15!D:H,5,FALSE)</f>
        <v>مكتمل</v>
      </c>
      <c r="G35" s="74"/>
      <c r="H35" s="74" t="s">
        <v>29</v>
      </c>
      <c r="I35" s="74" t="str">
        <f>VLOOKUP(D35,Sheet15!D:K,8,FALSE)</f>
        <v>2024-343410</v>
      </c>
      <c r="J35" s="76">
        <f t="shared" si="1"/>
        <v>-45593</v>
      </c>
      <c r="K35" s="77" t="str">
        <f>VLOOKUP(D35,Sheet15!D:G,4,FALSE)</f>
        <v/>
      </c>
      <c r="L35" s="73"/>
      <c r="M35" s="73"/>
      <c r="N35" s="73"/>
      <c r="O35" s="73"/>
      <c r="P35" s="73"/>
      <c r="Q35" s="73"/>
      <c r="R35" s="73"/>
      <c r="S35" s="73"/>
      <c r="T35" s="73"/>
      <c r="U35" s="73"/>
      <c r="V35" s="73"/>
      <c r="W35" s="73"/>
      <c r="X35" s="73"/>
    </row>
    <row r="36">
      <c r="A36" s="74">
        <v>35.0</v>
      </c>
      <c r="B36" s="74" t="s">
        <v>1316</v>
      </c>
      <c r="C36" s="74"/>
      <c r="D36" s="75" t="s">
        <v>1344</v>
      </c>
      <c r="E36" s="76">
        <v>45593.0</v>
      </c>
      <c r="F36" s="74" t="str">
        <f>VLOOKUP(D36,Sheet15!D:H,5,FALSE)</f>
        <v>مكتمل</v>
      </c>
      <c r="G36" s="74"/>
      <c r="H36" s="74" t="s">
        <v>29</v>
      </c>
      <c r="I36" s="74" t="str">
        <f>VLOOKUP(D36,Sheet15!D:K,8,FALSE)</f>
        <v>2024-339974</v>
      </c>
      <c r="J36" s="76">
        <f t="shared" si="1"/>
        <v>-45593</v>
      </c>
      <c r="K36" s="77" t="str">
        <f>VLOOKUP(D36,Sheet15!D:G,4,FALSE)</f>
        <v/>
      </c>
      <c r="L36" s="73"/>
      <c r="M36" s="73"/>
      <c r="N36" s="73"/>
      <c r="O36" s="73"/>
      <c r="P36" s="73"/>
      <c r="Q36" s="73"/>
      <c r="R36" s="73"/>
      <c r="S36" s="73"/>
      <c r="T36" s="73"/>
      <c r="U36" s="73"/>
      <c r="V36" s="73"/>
      <c r="W36" s="73"/>
      <c r="X36" s="73"/>
    </row>
    <row r="37">
      <c r="A37" s="74">
        <v>36.0</v>
      </c>
      <c r="B37" s="74" t="s">
        <v>1316</v>
      </c>
      <c r="C37" s="74"/>
      <c r="D37" s="75" t="s">
        <v>1338</v>
      </c>
      <c r="E37" s="76">
        <v>45593.0</v>
      </c>
      <c r="F37" s="74" t="str">
        <f>VLOOKUP(D37,Sheet15!D:H,5,FALSE)</f>
        <v>مكتمل</v>
      </c>
      <c r="G37" s="74"/>
      <c r="H37" s="74" t="s">
        <v>29</v>
      </c>
      <c r="I37" s="74" t="str">
        <f>VLOOKUP(D37,Sheet15!D:K,8,FALSE)</f>
        <v>2024-340000</v>
      </c>
      <c r="J37" s="76">
        <f t="shared" si="1"/>
        <v>-45593</v>
      </c>
      <c r="K37" s="77" t="str">
        <f>VLOOKUP(D37,Sheet15!D:G,4,FALSE)</f>
        <v/>
      </c>
      <c r="L37" s="73"/>
      <c r="M37" s="73"/>
      <c r="N37" s="73"/>
      <c r="O37" s="73"/>
      <c r="P37" s="73"/>
      <c r="Q37" s="73"/>
      <c r="R37" s="73"/>
      <c r="S37" s="73"/>
      <c r="T37" s="73"/>
      <c r="U37" s="73"/>
      <c r="V37" s="73"/>
      <c r="W37" s="73"/>
      <c r="X37" s="73"/>
    </row>
    <row r="38">
      <c r="A38" s="74">
        <v>37.0</v>
      </c>
      <c r="B38" s="74" t="s">
        <v>1316</v>
      </c>
      <c r="C38" s="74"/>
      <c r="D38" s="75" t="s">
        <v>1345</v>
      </c>
      <c r="E38" s="76">
        <v>45593.0</v>
      </c>
      <c r="F38" s="74" t="str">
        <f>VLOOKUP(D38,Sheet15!D:H,5,FALSE)</f>
        <v>مكتمل</v>
      </c>
      <c r="G38" s="74"/>
      <c r="H38" s="74" t="s">
        <v>29</v>
      </c>
      <c r="I38" s="74" t="str">
        <f>VLOOKUP(D38,Sheet15!D:K,8,FALSE)</f>
        <v>2024-341532</v>
      </c>
      <c r="J38" s="76">
        <f t="shared" si="1"/>
        <v>-45593</v>
      </c>
      <c r="K38" s="77" t="str">
        <f>VLOOKUP(D38,Sheet15!D:G,4,FALSE)</f>
        <v/>
      </c>
      <c r="L38" s="73"/>
      <c r="M38" s="73"/>
      <c r="N38" s="73"/>
      <c r="O38" s="73"/>
      <c r="P38" s="73"/>
      <c r="Q38" s="73"/>
      <c r="R38" s="73"/>
      <c r="S38" s="73"/>
      <c r="T38" s="73"/>
      <c r="U38" s="73"/>
      <c r="V38" s="73"/>
      <c r="W38" s="73"/>
      <c r="X38" s="73"/>
    </row>
    <row r="39">
      <c r="A39" s="74">
        <v>38.0</v>
      </c>
      <c r="B39" s="74" t="s">
        <v>1316</v>
      </c>
      <c r="C39" s="74"/>
      <c r="D39" s="75" t="s">
        <v>1346</v>
      </c>
      <c r="E39" s="76">
        <v>45593.0</v>
      </c>
      <c r="F39" s="74" t="str">
        <f>VLOOKUP(D39,Sheet15!D:H,5,FALSE)</f>
        <v>مكتمل</v>
      </c>
      <c r="G39" s="74"/>
      <c r="H39" s="74" t="s">
        <v>29</v>
      </c>
      <c r="I39" s="74" t="str">
        <f>VLOOKUP(D39,Sheet15!D:K,8,FALSE)</f>
        <v>2024-341544</v>
      </c>
      <c r="J39" s="76">
        <f t="shared" si="1"/>
        <v>-45593</v>
      </c>
      <c r="K39" s="77" t="str">
        <f>VLOOKUP(D39,Sheet15!D:G,4,FALSE)</f>
        <v/>
      </c>
      <c r="L39" s="73"/>
      <c r="M39" s="73"/>
      <c r="N39" s="73"/>
      <c r="O39" s="73"/>
      <c r="P39" s="73"/>
      <c r="Q39" s="73"/>
      <c r="R39" s="73"/>
      <c r="S39" s="73"/>
      <c r="T39" s="73"/>
      <c r="U39" s="73"/>
      <c r="V39" s="73"/>
      <c r="W39" s="73"/>
      <c r="X39" s="73"/>
    </row>
    <row r="40">
      <c r="A40" s="74">
        <v>39.0</v>
      </c>
      <c r="B40" s="74" t="s">
        <v>1316</v>
      </c>
      <c r="C40" s="74"/>
      <c r="D40" s="75" t="s">
        <v>1335</v>
      </c>
      <c r="E40" s="76">
        <v>45593.0</v>
      </c>
      <c r="F40" s="74" t="str">
        <f>VLOOKUP(D40,Sheet15!D:H,5,FALSE)</f>
        <v>مكتمل</v>
      </c>
      <c r="G40" s="74"/>
      <c r="H40" s="74" t="s">
        <v>29</v>
      </c>
      <c r="I40" s="74" t="str">
        <f>VLOOKUP(D40,Sheet15!D:K,8,FALSE)</f>
        <v>2024-339955</v>
      </c>
      <c r="J40" s="76">
        <f t="shared" si="1"/>
        <v>-45593</v>
      </c>
      <c r="K40" s="77" t="str">
        <f>VLOOKUP(D40,Sheet15!D:G,4,FALSE)</f>
        <v/>
      </c>
      <c r="L40" s="73"/>
      <c r="M40" s="73"/>
      <c r="N40" s="73"/>
      <c r="O40" s="73"/>
      <c r="P40" s="73"/>
      <c r="Q40" s="73"/>
      <c r="R40" s="73"/>
      <c r="S40" s="73"/>
      <c r="T40" s="73"/>
      <c r="U40" s="73"/>
      <c r="V40" s="73"/>
      <c r="W40" s="73"/>
      <c r="X40" s="73"/>
    </row>
    <row r="41">
      <c r="A41" s="74">
        <v>40.0</v>
      </c>
      <c r="B41" s="74" t="s">
        <v>1299</v>
      </c>
      <c r="C41" s="74"/>
      <c r="D41" s="75" t="s">
        <v>1347</v>
      </c>
      <c r="E41" s="76">
        <v>45609.0</v>
      </c>
      <c r="F41" s="74" t="str">
        <f>VLOOKUP(D41,Sheet15!D:H,5,FALSE)</f>
        <v>مكتمل</v>
      </c>
      <c r="G41" s="74"/>
      <c r="H41" s="74" t="s">
        <v>29</v>
      </c>
      <c r="I41" s="74" t="str">
        <f>VLOOKUP(D41,Sheet15!D:K,8,FALSE)</f>
        <v>2024-360361</v>
      </c>
      <c r="J41" s="76">
        <f t="shared" si="1"/>
        <v>-45609</v>
      </c>
      <c r="K41" s="77" t="str">
        <f>VLOOKUP(D41,Sheet15!D:G,4,FALSE)</f>
        <v/>
      </c>
      <c r="L41" s="73"/>
      <c r="M41" s="73"/>
      <c r="N41" s="73"/>
      <c r="O41" s="73"/>
      <c r="P41" s="73"/>
      <c r="Q41" s="73"/>
      <c r="R41" s="73"/>
      <c r="S41" s="73"/>
      <c r="T41" s="73"/>
      <c r="U41" s="73"/>
      <c r="V41" s="73"/>
      <c r="W41" s="73"/>
      <c r="X41" s="73"/>
    </row>
    <row r="42">
      <c r="A42" s="74">
        <v>41.0</v>
      </c>
      <c r="B42" s="74" t="s">
        <v>1299</v>
      </c>
      <c r="C42" s="74"/>
      <c r="D42" s="75" t="s">
        <v>1348</v>
      </c>
      <c r="E42" s="76">
        <v>45609.0</v>
      </c>
      <c r="F42" s="74" t="str">
        <f>VLOOKUP(D42,Sheet15!D:H,5,FALSE)</f>
        <v>مكتمل</v>
      </c>
      <c r="G42" s="74"/>
      <c r="H42" s="74" t="s">
        <v>29</v>
      </c>
      <c r="I42" s="74" t="str">
        <f>VLOOKUP(D42,Sheet15!D:K,8,FALSE)</f>
        <v>2024-360401</v>
      </c>
      <c r="J42" s="76">
        <f t="shared" si="1"/>
        <v>-45609</v>
      </c>
      <c r="K42" s="77" t="str">
        <f>VLOOKUP(D42,Sheet15!D:G,4,FALSE)</f>
        <v/>
      </c>
      <c r="L42" s="73"/>
      <c r="M42" s="73"/>
      <c r="N42" s="73"/>
      <c r="O42" s="73"/>
      <c r="P42" s="73"/>
      <c r="Q42" s="73"/>
      <c r="R42" s="73"/>
      <c r="S42" s="73"/>
      <c r="T42" s="73"/>
      <c r="U42" s="73"/>
      <c r="V42" s="73"/>
      <c r="W42" s="73"/>
      <c r="X42" s="73"/>
    </row>
    <row r="43">
      <c r="A43" s="74">
        <v>42.0</v>
      </c>
      <c r="B43" s="74" t="s">
        <v>1299</v>
      </c>
      <c r="C43" s="74"/>
      <c r="D43" s="75" t="s">
        <v>1349</v>
      </c>
      <c r="E43" s="76">
        <v>45609.0</v>
      </c>
      <c r="F43" s="74" t="str">
        <f>VLOOKUP(D43,Sheet15!D:H,5,FALSE)</f>
        <v>مكتمل</v>
      </c>
      <c r="G43" s="74"/>
      <c r="H43" s="74" t="s">
        <v>29</v>
      </c>
      <c r="I43" s="74" t="str">
        <f>VLOOKUP(D43,Sheet15!D:K,8,FALSE)</f>
        <v>2024-360412</v>
      </c>
      <c r="J43" s="76">
        <f t="shared" si="1"/>
        <v>-45609</v>
      </c>
      <c r="K43" s="77" t="str">
        <f>VLOOKUP(D43,Sheet15!D:G,4,FALSE)</f>
        <v/>
      </c>
      <c r="L43" s="73"/>
      <c r="M43" s="73"/>
      <c r="N43" s="73"/>
      <c r="O43" s="73"/>
      <c r="P43" s="73"/>
      <c r="Q43" s="73"/>
      <c r="R43" s="73"/>
      <c r="S43" s="73"/>
      <c r="T43" s="73"/>
      <c r="U43" s="73"/>
      <c r="V43" s="73"/>
      <c r="W43" s="73"/>
      <c r="X43" s="73"/>
    </row>
    <row r="44">
      <c r="A44" s="74">
        <v>43.0</v>
      </c>
      <c r="B44" s="74" t="s">
        <v>1299</v>
      </c>
      <c r="C44" s="74"/>
      <c r="D44" s="75" t="s">
        <v>1350</v>
      </c>
      <c r="E44" s="76">
        <v>45609.0</v>
      </c>
      <c r="F44" s="74" t="str">
        <f>VLOOKUP(D44,Sheet15!D:H,5,FALSE)</f>
        <v>مكتمل</v>
      </c>
      <c r="G44" s="74"/>
      <c r="H44" s="74" t="s">
        <v>29</v>
      </c>
      <c r="I44" s="74" t="str">
        <f>VLOOKUP(D44,Sheet15!D:K,8,FALSE)</f>
        <v>2024-360561</v>
      </c>
      <c r="J44" s="76">
        <f t="shared" si="1"/>
        <v>-45609</v>
      </c>
      <c r="K44" s="77" t="str">
        <f>VLOOKUP(D44,Sheet15!D:G,4,FALSE)</f>
        <v/>
      </c>
      <c r="L44" s="73"/>
      <c r="M44" s="73"/>
      <c r="N44" s="73"/>
      <c r="O44" s="73"/>
      <c r="P44" s="73"/>
      <c r="Q44" s="73"/>
      <c r="R44" s="73"/>
      <c r="S44" s="73"/>
      <c r="T44" s="73"/>
      <c r="U44" s="73"/>
      <c r="V44" s="73"/>
      <c r="W44" s="73"/>
      <c r="X44" s="73"/>
    </row>
    <row r="45">
      <c r="A45" s="74">
        <v>44.0</v>
      </c>
      <c r="B45" s="74" t="s">
        <v>1299</v>
      </c>
      <c r="C45" s="74"/>
      <c r="D45" s="75" t="s">
        <v>1351</v>
      </c>
      <c r="E45" s="76">
        <v>45609.0</v>
      </c>
      <c r="F45" s="74" t="str">
        <f>VLOOKUP(D45,Sheet15!D:H,5,FALSE)</f>
        <v>مكتمل</v>
      </c>
      <c r="G45" s="74"/>
      <c r="H45" s="74" t="s">
        <v>29</v>
      </c>
      <c r="I45" s="74" t="str">
        <f>VLOOKUP(D45,Sheet15!D:K,8,FALSE)</f>
        <v>2024-360581</v>
      </c>
      <c r="J45" s="76">
        <f t="shared" si="1"/>
        <v>-45609</v>
      </c>
      <c r="K45" s="77" t="str">
        <f>VLOOKUP(D45,Sheet15!D:G,4,FALSE)</f>
        <v/>
      </c>
      <c r="L45" s="73"/>
      <c r="M45" s="73"/>
      <c r="N45" s="73"/>
      <c r="O45" s="73"/>
      <c r="P45" s="73"/>
      <c r="Q45" s="73"/>
      <c r="R45" s="73"/>
      <c r="S45" s="73"/>
      <c r="T45" s="73"/>
      <c r="U45" s="73"/>
      <c r="V45" s="73"/>
      <c r="W45" s="73"/>
      <c r="X45" s="73"/>
    </row>
    <row r="46">
      <c r="A46" s="74">
        <v>45.0</v>
      </c>
      <c r="B46" s="74" t="s">
        <v>1299</v>
      </c>
      <c r="C46" s="74"/>
      <c r="D46" s="75" t="s">
        <v>1352</v>
      </c>
      <c r="E46" s="76">
        <v>45609.0</v>
      </c>
      <c r="F46" s="74" t="str">
        <f>VLOOKUP(D46,Sheet15!D:H,5,FALSE)</f>
        <v>مكتمل</v>
      </c>
      <c r="G46" s="74"/>
      <c r="H46" s="74" t="s">
        <v>29</v>
      </c>
      <c r="I46" s="74" t="str">
        <f>VLOOKUP(D46,Sheet15!D:K,8,FALSE)</f>
        <v>2024-360592</v>
      </c>
      <c r="J46" s="76">
        <f t="shared" si="1"/>
        <v>-45609</v>
      </c>
      <c r="K46" s="77" t="str">
        <f>VLOOKUP(D46,Sheet15!D:G,4,FALSE)</f>
        <v/>
      </c>
      <c r="L46" s="73"/>
      <c r="M46" s="73"/>
      <c r="N46" s="73"/>
      <c r="O46" s="73"/>
      <c r="P46" s="73"/>
      <c r="Q46" s="73"/>
      <c r="R46" s="73"/>
      <c r="S46" s="73"/>
      <c r="T46" s="73"/>
      <c r="U46" s="73"/>
      <c r="V46" s="73"/>
      <c r="W46" s="73"/>
      <c r="X46" s="73"/>
    </row>
    <row r="47">
      <c r="A47" s="74">
        <v>46.0</v>
      </c>
      <c r="B47" s="74" t="s">
        <v>1299</v>
      </c>
      <c r="C47" s="74"/>
      <c r="D47" s="75" t="s">
        <v>1353</v>
      </c>
      <c r="E47" s="76">
        <v>45609.0</v>
      </c>
      <c r="F47" s="74" t="str">
        <f>VLOOKUP(D47,Sheet15!D:H,5,FALSE)</f>
        <v>مكتمل</v>
      </c>
      <c r="G47" s="74"/>
      <c r="H47" s="74" t="s">
        <v>29</v>
      </c>
      <c r="I47" s="74" t="str">
        <f>VLOOKUP(D47,Sheet15!D:K,8,FALSE)</f>
        <v>2024-360604</v>
      </c>
      <c r="J47" s="76">
        <f t="shared" si="1"/>
        <v>-45609</v>
      </c>
      <c r="K47" s="77" t="str">
        <f>VLOOKUP(D47,Sheet15!D:G,4,FALSE)</f>
        <v/>
      </c>
      <c r="L47" s="73"/>
      <c r="M47" s="73"/>
      <c r="N47" s="73"/>
      <c r="O47" s="73"/>
      <c r="P47" s="73"/>
      <c r="Q47" s="73"/>
      <c r="R47" s="73"/>
      <c r="S47" s="73"/>
      <c r="T47" s="73"/>
      <c r="U47" s="73"/>
      <c r="V47" s="73"/>
      <c r="W47" s="73"/>
      <c r="X47" s="73"/>
    </row>
    <row r="48">
      <c r="A48" s="74">
        <v>47.0</v>
      </c>
      <c r="B48" s="74" t="s">
        <v>1299</v>
      </c>
      <c r="C48" s="74"/>
      <c r="D48" s="75" t="s">
        <v>1354</v>
      </c>
      <c r="E48" s="76">
        <v>45609.0</v>
      </c>
      <c r="F48" s="74" t="str">
        <f>VLOOKUP(D48,Sheet15!D:H,5,FALSE)</f>
        <v>مكتمل</v>
      </c>
      <c r="G48" s="74"/>
      <c r="H48" s="74" t="s">
        <v>29</v>
      </c>
      <c r="I48" s="74" t="str">
        <f>VLOOKUP(D48,Sheet15!D:K,8,FALSE)</f>
        <v>2024-360481</v>
      </c>
      <c r="J48" s="76">
        <f t="shared" si="1"/>
        <v>-45609</v>
      </c>
      <c r="K48" s="77" t="str">
        <f>VLOOKUP(D48,Sheet15!D:G,4,FALSE)</f>
        <v/>
      </c>
      <c r="L48" s="73"/>
      <c r="M48" s="73"/>
      <c r="N48" s="73"/>
      <c r="O48" s="73"/>
      <c r="P48" s="73"/>
      <c r="Q48" s="73"/>
      <c r="R48" s="73"/>
      <c r="S48" s="73"/>
      <c r="T48" s="73"/>
      <c r="U48" s="73"/>
      <c r="V48" s="73"/>
      <c r="W48" s="73"/>
      <c r="X48" s="73"/>
    </row>
    <row r="49">
      <c r="A49" s="74">
        <v>48.0</v>
      </c>
      <c r="B49" s="74" t="s">
        <v>1299</v>
      </c>
      <c r="C49" s="74"/>
      <c r="D49" s="75" t="s">
        <v>1355</v>
      </c>
      <c r="E49" s="76">
        <v>45609.0</v>
      </c>
      <c r="F49" s="74" t="str">
        <f>VLOOKUP(D49,Sheet15!D:H,5,FALSE)</f>
        <v>مكتمل</v>
      </c>
      <c r="G49" s="74"/>
      <c r="H49" s="74" t="s">
        <v>29</v>
      </c>
      <c r="I49" s="74" t="str">
        <f>VLOOKUP(D49,Sheet15!D:K,8,FALSE)</f>
        <v>2024-360613</v>
      </c>
      <c r="J49" s="76">
        <f t="shared" si="1"/>
        <v>-45609</v>
      </c>
      <c r="K49" s="77" t="str">
        <f>VLOOKUP(D49,Sheet15!D:G,4,FALSE)</f>
        <v/>
      </c>
      <c r="L49" s="73"/>
      <c r="M49" s="73"/>
      <c r="N49" s="73"/>
      <c r="O49" s="73"/>
      <c r="P49" s="73"/>
      <c r="Q49" s="73"/>
      <c r="R49" s="73"/>
      <c r="S49" s="73"/>
      <c r="T49" s="73"/>
      <c r="U49" s="73"/>
      <c r="V49" s="73"/>
      <c r="W49" s="73"/>
      <c r="X49" s="73"/>
    </row>
    <row r="50">
      <c r="A50" s="74">
        <v>49.0</v>
      </c>
      <c r="B50" s="74" t="s">
        <v>1299</v>
      </c>
      <c r="C50" s="74"/>
      <c r="D50" s="75" t="s">
        <v>1356</v>
      </c>
      <c r="E50" s="76">
        <v>45609.0</v>
      </c>
      <c r="F50" s="74" t="str">
        <f>VLOOKUP(D50,Sheet15!D:H,5,FALSE)</f>
        <v>مكتمل</v>
      </c>
      <c r="G50" s="74"/>
      <c r="H50" s="74" t="s">
        <v>29</v>
      </c>
      <c r="I50" s="74" t="str">
        <f>VLOOKUP(D50,Sheet15!D:K,8,FALSE)</f>
        <v>2024-360630</v>
      </c>
      <c r="J50" s="76">
        <f t="shared" si="1"/>
        <v>-45609</v>
      </c>
      <c r="K50" s="77" t="str">
        <f>VLOOKUP(D50,Sheet15!D:G,4,FALSE)</f>
        <v/>
      </c>
      <c r="L50" s="73"/>
      <c r="M50" s="73"/>
      <c r="N50" s="73"/>
      <c r="O50" s="73"/>
      <c r="P50" s="73"/>
      <c r="Q50" s="73"/>
      <c r="R50" s="73"/>
      <c r="S50" s="73"/>
      <c r="T50" s="73"/>
      <c r="U50" s="73"/>
      <c r="V50" s="73"/>
      <c r="W50" s="73"/>
      <c r="X50" s="73"/>
    </row>
    <row r="51">
      <c r="A51" s="74">
        <v>50.0</v>
      </c>
      <c r="B51" s="74" t="s">
        <v>1299</v>
      </c>
      <c r="C51" s="74"/>
      <c r="D51" s="75" t="s">
        <v>1357</v>
      </c>
      <c r="E51" s="76">
        <v>45609.0</v>
      </c>
      <c r="F51" s="74" t="str">
        <f>VLOOKUP(D51,Sheet15!D:H,5,FALSE)</f>
        <v>مكتمل</v>
      </c>
      <c r="G51" s="74"/>
      <c r="H51" s="74" t="s">
        <v>29</v>
      </c>
      <c r="I51" s="74" t="str">
        <f>VLOOKUP(D51,Sheet15!D:K,8,FALSE)</f>
        <v>2024-360428</v>
      </c>
      <c r="J51" s="76">
        <f t="shared" si="1"/>
        <v>-45609</v>
      </c>
      <c r="K51" s="77" t="str">
        <f>VLOOKUP(D51,Sheet15!D:G,4,FALSE)</f>
        <v/>
      </c>
      <c r="L51" s="73"/>
      <c r="M51" s="73"/>
      <c r="N51" s="73"/>
      <c r="O51" s="73"/>
      <c r="P51" s="73"/>
      <c r="Q51" s="73"/>
      <c r="R51" s="73"/>
      <c r="S51" s="73"/>
      <c r="T51" s="73"/>
      <c r="U51" s="73"/>
      <c r="V51" s="73"/>
      <c r="W51" s="73"/>
      <c r="X51" s="73"/>
    </row>
    <row r="52">
      <c r="A52" s="74">
        <v>51.0</v>
      </c>
      <c r="B52" s="74" t="s">
        <v>1299</v>
      </c>
      <c r="C52" s="74"/>
      <c r="D52" s="75" t="s">
        <v>1358</v>
      </c>
      <c r="E52" s="76">
        <v>45609.0</v>
      </c>
      <c r="F52" s="74" t="str">
        <f>VLOOKUP(D52,Sheet15!D:H,5,FALSE)</f>
        <v>مكتمل</v>
      </c>
      <c r="G52" s="74"/>
      <c r="H52" s="74" t="s">
        <v>29</v>
      </c>
      <c r="I52" s="74" t="str">
        <f>VLOOKUP(D52,Sheet15!D:K,8,FALSE)</f>
        <v>2024-360468</v>
      </c>
      <c r="J52" s="76">
        <f t="shared" si="1"/>
        <v>-45609</v>
      </c>
      <c r="K52" s="77" t="str">
        <f>VLOOKUP(D52,Sheet15!D:G,4,FALSE)</f>
        <v/>
      </c>
      <c r="L52" s="73"/>
      <c r="M52" s="73"/>
      <c r="N52" s="73"/>
      <c r="O52" s="73"/>
      <c r="P52" s="73"/>
      <c r="Q52" s="73"/>
      <c r="R52" s="73"/>
      <c r="S52" s="73"/>
      <c r="T52" s="73"/>
      <c r="U52" s="73"/>
      <c r="V52" s="73"/>
      <c r="W52" s="73"/>
      <c r="X52" s="73"/>
    </row>
    <row r="53">
      <c r="A53" s="74">
        <v>52.0</v>
      </c>
      <c r="B53" s="74" t="s">
        <v>1359</v>
      </c>
      <c r="C53" s="74"/>
      <c r="D53" s="75" t="s">
        <v>1360</v>
      </c>
      <c r="E53" s="76">
        <v>45614.0</v>
      </c>
      <c r="F53" s="74" t="str">
        <f>VLOOKUP(D53,Sheet15!D:H,5,FALSE)</f>
        <v>مكتمل</v>
      </c>
      <c r="G53" s="74"/>
      <c r="H53" s="74" t="s">
        <v>29</v>
      </c>
      <c r="I53" s="74" t="str">
        <f>VLOOKUP(D53,Sheet15!D:K,8,FALSE)</f>
        <v>2024-370596</v>
      </c>
      <c r="J53" s="76">
        <f t="shared" si="1"/>
        <v>-45614</v>
      </c>
      <c r="K53" s="77" t="str">
        <f>VLOOKUP(D53,Sheet15!D:G,4,FALSE)</f>
        <v/>
      </c>
      <c r="L53" s="73"/>
      <c r="M53" s="73"/>
      <c r="N53" s="73"/>
      <c r="O53" s="73"/>
      <c r="P53" s="73"/>
      <c r="Q53" s="73"/>
      <c r="R53" s="73"/>
      <c r="S53" s="73"/>
      <c r="T53" s="73"/>
      <c r="U53" s="73"/>
      <c r="V53" s="73"/>
      <c r="W53" s="73"/>
      <c r="X53" s="73"/>
    </row>
    <row r="54">
      <c r="A54" s="74">
        <v>53.0</v>
      </c>
      <c r="B54" s="74" t="s">
        <v>1359</v>
      </c>
      <c r="C54" s="74"/>
      <c r="D54" s="75" t="s">
        <v>1361</v>
      </c>
      <c r="E54" s="76">
        <v>45614.0</v>
      </c>
      <c r="F54" s="74" t="str">
        <f>VLOOKUP(D54,Sheet15!D:H,5,FALSE)</f>
        <v>مكتمل</v>
      </c>
      <c r="G54" s="74"/>
      <c r="H54" s="74" t="s">
        <v>29</v>
      </c>
      <c r="I54" s="74" t="str">
        <f>VLOOKUP(D54,Sheet15!D:K,8,FALSE)</f>
        <v>2024-370608</v>
      </c>
      <c r="J54" s="76">
        <f t="shared" si="1"/>
        <v>-45614</v>
      </c>
      <c r="K54" s="77" t="str">
        <f>VLOOKUP(D54,Sheet15!D:G,4,FALSE)</f>
        <v/>
      </c>
      <c r="L54" s="73"/>
      <c r="M54" s="73"/>
      <c r="N54" s="73"/>
      <c r="O54" s="73"/>
      <c r="P54" s="73"/>
      <c r="Q54" s="73"/>
      <c r="R54" s="73"/>
      <c r="S54" s="73"/>
      <c r="T54" s="73"/>
      <c r="U54" s="73"/>
      <c r="V54" s="73"/>
      <c r="W54" s="73"/>
      <c r="X54" s="73"/>
    </row>
    <row r="55">
      <c r="A55" s="74">
        <v>54.0</v>
      </c>
      <c r="B55" s="74" t="s">
        <v>1359</v>
      </c>
      <c r="C55" s="74"/>
      <c r="D55" s="75" t="s">
        <v>1362</v>
      </c>
      <c r="E55" s="76">
        <v>45614.0</v>
      </c>
      <c r="F55" s="74" t="str">
        <f>VLOOKUP(D55,Sheet15!D:H,5,FALSE)</f>
        <v>مكتمل</v>
      </c>
      <c r="G55" s="74"/>
      <c r="H55" s="74" t="s">
        <v>29</v>
      </c>
      <c r="I55" s="74" t="str">
        <f>VLOOKUP(D55,Sheet15!D:K,8,FALSE)</f>
        <v>2024-370618</v>
      </c>
      <c r="J55" s="76">
        <f t="shared" si="1"/>
        <v>-45614</v>
      </c>
      <c r="K55" s="77" t="str">
        <f>VLOOKUP(D55,Sheet15!D:G,4,FALSE)</f>
        <v/>
      </c>
      <c r="L55" s="73"/>
      <c r="M55" s="73"/>
      <c r="N55" s="73"/>
      <c r="O55" s="73"/>
      <c r="P55" s="73"/>
      <c r="Q55" s="73"/>
      <c r="R55" s="73"/>
      <c r="S55" s="73"/>
      <c r="T55" s="73"/>
      <c r="U55" s="73"/>
      <c r="V55" s="73"/>
      <c r="W55" s="73"/>
      <c r="X55" s="73"/>
    </row>
    <row r="56">
      <c r="A56" s="74">
        <v>55.0</v>
      </c>
      <c r="B56" s="74" t="s">
        <v>1359</v>
      </c>
      <c r="C56" s="74"/>
      <c r="D56" s="75" t="s">
        <v>1363</v>
      </c>
      <c r="E56" s="76">
        <v>45614.0</v>
      </c>
      <c r="F56" s="74" t="str">
        <f>VLOOKUP(D56,Sheet15!D:H,5,FALSE)</f>
        <v>مكتمل</v>
      </c>
      <c r="G56" s="74"/>
      <c r="H56" s="74" t="s">
        <v>29</v>
      </c>
      <c r="I56" s="74" t="str">
        <f>VLOOKUP(D56,Sheet15!D:K,8,FALSE)</f>
        <v>2024-370630</v>
      </c>
      <c r="J56" s="76">
        <f t="shared" si="1"/>
        <v>-45614</v>
      </c>
      <c r="K56" s="77" t="str">
        <f>VLOOKUP(D56,Sheet15!D:G,4,FALSE)</f>
        <v/>
      </c>
      <c r="L56" s="73"/>
      <c r="M56" s="73"/>
      <c r="N56" s="73"/>
      <c r="O56" s="73"/>
      <c r="P56" s="73"/>
      <c r="Q56" s="73"/>
      <c r="R56" s="73"/>
      <c r="S56" s="73"/>
      <c r="T56" s="73"/>
      <c r="U56" s="73"/>
      <c r="V56" s="73"/>
      <c r="W56" s="73"/>
      <c r="X56" s="73"/>
    </row>
    <row r="57">
      <c r="A57" s="74">
        <v>56.0</v>
      </c>
      <c r="B57" s="74" t="s">
        <v>1359</v>
      </c>
      <c r="C57" s="74"/>
      <c r="D57" s="75" t="s">
        <v>1364</v>
      </c>
      <c r="E57" s="76">
        <v>45614.0</v>
      </c>
      <c r="F57" s="74" t="str">
        <f>VLOOKUP(D57,Sheet15!D:H,5,FALSE)</f>
        <v>مكتمل</v>
      </c>
      <c r="G57" s="74"/>
      <c r="H57" s="74" t="s">
        <v>29</v>
      </c>
      <c r="I57" s="74" t="str">
        <f>VLOOKUP(D57,Sheet15!D:K,8,FALSE)</f>
        <v>2024-370636</v>
      </c>
      <c r="J57" s="76">
        <f t="shared" si="1"/>
        <v>-45614</v>
      </c>
      <c r="K57" s="77" t="str">
        <f>VLOOKUP(D57,Sheet15!D:G,4,FALSE)</f>
        <v/>
      </c>
      <c r="L57" s="73"/>
      <c r="M57" s="73"/>
      <c r="N57" s="73"/>
      <c r="O57" s="73"/>
      <c r="P57" s="73"/>
      <c r="Q57" s="73"/>
      <c r="R57" s="73"/>
      <c r="S57" s="73"/>
      <c r="T57" s="73"/>
      <c r="U57" s="73"/>
      <c r="V57" s="73"/>
      <c r="W57" s="73"/>
      <c r="X57" s="73"/>
    </row>
    <row r="58">
      <c r="A58" s="74">
        <v>57.0</v>
      </c>
      <c r="B58" s="74" t="s">
        <v>1359</v>
      </c>
      <c r="C58" s="74"/>
      <c r="D58" s="75" t="s">
        <v>1365</v>
      </c>
      <c r="E58" s="76">
        <v>46023.0</v>
      </c>
      <c r="F58" s="78" t="s">
        <v>1366</v>
      </c>
      <c r="G58" s="74"/>
      <c r="H58" s="74" t="s">
        <v>29</v>
      </c>
      <c r="I58" s="74" t="str">
        <f>VLOOKUP(D58,Sheet15!D:K,8,FALSE)</f>
        <v>2024-370699</v>
      </c>
      <c r="J58" s="76">
        <f t="shared" si="1"/>
        <v>-46023</v>
      </c>
      <c r="K58" s="77" t="str">
        <f>VLOOKUP(D58,Sheet15!D:G,4,FALSE)</f>
        <v/>
      </c>
      <c r="L58" s="73"/>
      <c r="M58" s="73"/>
      <c r="N58" s="73"/>
      <c r="O58" s="73"/>
      <c r="P58" s="73"/>
      <c r="Q58" s="73"/>
      <c r="R58" s="73"/>
      <c r="S58" s="73"/>
      <c r="T58" s="73"/>
      <c r="U58" s="73"/>
      <c r="V58" s="73"/>
      <c r="W58" s="73"/>
      <c r="X58" s="73"/>
    </row>
    <row r="59">
      <c r="A59" s="74">
        <v>58.0</v>
      </c>
      <c r="B59" s="74" t="s">
        <v>1316</v>
      </c>
      <c r="C59" s="74" t="s">
        <v>1367</v>
      </c>
      <c r="D59" s="75" t="s">
        <v>1368</v>
      </c>
      <c r="E59" s="76">
        <v>45614.0</v>
      </c>
      <c r="F59" s="74" t="str">
        <f>VLOOKUP(D59,Sheet15!D:H,5,FALSE)</f>
        <v>مكتمل</v>
      </c>
      <c r="G59" s="74"/>
      <c r="H59" s="74" t="s">
        <v>29</v>
      </c>
      <c r="I59" s="74" t="str">
        <f>VLOOKUP(D59,Sheet15!D:K,8,FALSE)</f>
        <v>2024-371365</v>
      </c>
      <c r="J59" s="76">
        <f t="shared" si="1"/>
        <v>-45614</v>
      </c>
      <c r="K59" s="77" t="str">
        <f>VLOOKUP(D59,Sheet15!D:G,4,FALSE)</f>
        <v/>
      </c>
      <c r="L59" s="73"/>
      <c r="M59" s="73"/>
      <c r="N59" s="73"/>
      <c r="O59" s="73"/>
      <c r="P59" s="73"/>
      <c r="Q59" s="73"/>
      <c r="R59" s="73"/>
      <c r="S59" s="73"/>
      <c r="T59" s="73"/>
      <c r="U59" s="73"/>
      <c r="V59" s="73"/>
      <c r="W59" s="73"/>
      <c r="X59" s="73"/>
    </row>
    <row r="60">
      <c r="A60" s="74">
        <v>59.0</v>
      </c>
      <c r="B60" s="74" t="s">
        <v>1316</v>
      </c>
      <c r="C60" s="74" t="s">
        <v>1369</v>
      </c>
      <c r="D60" s="75" t="s">
        <v>1370</v>
      </c>
      <c r="E60" s="76">
        <v>45614.0</v>
      </c>
      <c r="F60" s="74" t="str">
        <f>VLOOKUP(D60,Sheet15!D:H,5,FALSE)</f>
        <v>مكتمل</v>
      </c>
      <c r="G60" s="74"/>
      <c r="H60" s="74" t="s">
        <v>29</v>
      </c>
      <c r="I60" s="74" t="str">
        <f>VLOOKUP(D60,Sheet15!D:K,8,FALSE)</f>
        <v>2024-371592</v>
      </c>
      <c r="J60" s="76">
        <f t="shared" si="1"/>
        <v>-45614</v>
      </c>
      <c r="K60" s="77" t="str">
        <f>VLOOKUP(D60,Sheet15!D:G,4,FALSE)</f>
        <v/>
      </c>
      <c r="L60" s="73"/>
      <c r="M60" s="73"/>
      <c r="N60" s="73"/>
      <c r="O60" s="73"/>
      <c r="P60" s="73"/>
      <c r="Q60" s="73"/>
      <c r="R60" s="73"/>
      <c r="S60" s="73"/>
      <c r="T60" s="73"/>
      <c r="U60" s="73"/>
      <c r="V60" s="73"/>
      <c r="W60" s="73"/>
      <c r="X60" s="73"/>
    </row>
    <row r="61">
      <c r="A61" s="74">
        <v>60.0</v>
      </c>
      <c r="B61" s="74" t="s">
        <v>1316</v>
      </c>
      <c r="C61" s="74" t="s">
        <v>1371</v>
      </c>
      <c r="D61" s="75" t="s">
        <v>1372</v>
      </c>
      <c r="E61" s="76">
        <v>45614.0</v>
      </c>
      <c r="F61" s="74" t="str">
        <f>VLOOKUP(D61,Sheet15!D:H,5,FALSE)</f>
        <v>مكتمل</v>
      </c>
      <c r="G61" s="74"/>
      <c r="H61" s="74" t="s">
        <v>29</v>
      </c>
      <c r="I61" s="74" t="str">
        <f>VLOOKUP(D61,Sheet15!D:K,8,FALSE)</f>
        <v>2024-371619</v>
      </c>
      <c r="J61" s="76">
        <f t="shared" si="1"/>
        <v>-45614</v>
      </c>
      <c r="K61" s="77" t="str">
        <f>VLOOKUP(D61,Sheet15!D:G,4,FALSE)</f>
        <v/>
      </c>
      <c r="L61" s="73"/>
      <c r="M61" s="73"/>
      <c r="N61" s="73"/>
      <c r="O61" s="73"/>
      <c r="P61" s="73"/>
      <c r="Q61" s="73"/>
      <c r="R61" s="73"/>
      <c r="S61" s="73"/>
      <c r="T61" s="73"/>
      <c r="U61" s="73"/>
      <c r="V61" s="73"/>
      <c r="W61" s="73"/>
      <c r="X61" s="73"/>
    </row>
    <row r="62">
      <c r="A62" s="74">
        <v>61.0</v>
      </c>
      <c r="B62" s="74" t="s">
        <v>1316</v>
      </c>
      <c r="C62" s="74" t="s">
        <v>1373</v>
      </c>
      <c r="D62" s="75" t="s">
        <v>1374</v>
      </c>
      <c r="E62" s="76">
        <v>45614.0</v>
      </c>
      <c r="F62" s="74" t="str">
        <f>VLOOKUP(D62,Sheet15!D:H,5,FALSE)</f>
        <v>مكتمل</v>
      </c>
      <c r="G62" s="74"/>
      <c r="H62" s="74" t="s">
        <v>29</v>
      </c>
      <c r="I62" s="74" t="str">
        <f>VLOOKUP(D62,Sheet15!D:K,8,FALSE)</f>
        <v>2024-371642</v>
      </c>
      <c r="J62" s="76">
        <f t="shared" si="1"/>
        <v>-45614</v>
      </c>
      <c r="K62" s="77" t="str">
        <f>VLOOKUP(D62,Sheet15!D:G,4,FALSE)</f>
        <v/>
      </c>
      <c r="L62" s="73"/>
      <c r="M62" s="73"/>
      <c r="N62" s="73"/>
      <c r="O62" s="73"/>
      <c r="P62" s="73"/>
      <c r="Q62" s="73"/>
      <c r="R62" s="73"/>
      <c r="S62" s="73"/>
      <c r="T62" s="73"/>
      <c r="U62" s="73"/>
      <c r="V62" s="73"/>
      <c r="W62" s="73"/>
      <c r="X62" s="73"/>
    </row>
    <row r="63">
      <c r="A63" s="74">
        <v>62.0</v>
      </c>
      <c r="B63" s="74" t="s">
        <v>1316</v>
      </c>
      <c r="C63" s="74" t="s">
        <v>1375</v>
      </c>
      <c r="D63" s="75" t="s">
        <v>1376</v>
      </c>
      <c r="E63" s="76">
        <v>45614.0</v>
      </c>
      <c r="F63" s="74" t="str">
        <f>VLOOKUP(D63,Sheet15!D:H,5,FALSE)</f>
        <v>مكتمل</v>
      </c>
      <c r="G63" s="74"/>
      <c r="H63" s="74" t="s">
        <v>29</v>
      </c>
      <c r="I63" s="74" t="str">
        <f>VLOOKUP(D63,Sheet15!D:K,8,FALSE)</f>
        <v>2024-371662</v>
      </c>
      <c r="J63" s="76">
        <f t="shared" si="1"/>
        <v>-45614</v>
      </c>
      <c r="K63" s="77" t="str">
        <f>VLOOKUP(D63,Sheet15!D:G,4,FALSE)</f>
        <v/>
      </c>
      <c r="L63" s="73"/>
      <c r="M63" s="73"/>
      <c r="N63" s="73"/>
      <c r="O63" s="73"/>
      <c r="P63" s="73"/>
      <c r="Q63" s="73"/>
      <c r="R63" s="73"/>
      <c r="S63" s="73"/>
      <c r="T63" s="73"/>
      <c r="U63" s="73"/>
      <c r="V63" s="73"/>
      <c r="W63" s="73"/>
      <c r="X63" s="73"/>
    </row>
    <row r="64">
      <c r="A64" s="74">
        <v>63.0</v>
      </c>
      <c r="B64" s="74" t="s">
        <v>1316</v>
      </c>
      <c r="C64" s="74" t="s">
        <v>1377</v>
      </c>
      <c r="D64" s="75" t="s">
        <v>1378</v>
      </c>
      <c r="E64" s="76">
        <v>45614.0</v>
      </c>
      <c r="F64" s="74" t="str">
        <f>VLOOKUP(D64,Sheet15!D:H,5,FALSE)</f>
        <v>مكتمل</v>
      </c>
      <c r="G64" s="74"/>
      <c r="H64" s="74" t="s">
        <v>29</v>
      </c>
      <c r="I64" s="74" t="str">
        <f>VLOOKUP(D64,Sheet15!D:K,8,FALSE)</f>
        <v>2024-371672</v>
      </c>
      <c r="J64" s="76">
        <f t="shared" si="1"/>
        <v>-45614</v>
      </c>
      <c r="K64" s="77" t="str">
        <f>VLOOKUP(D64,Sheet15!D:G,4,FALSE)</f>
        <v/>
      </c>
      <c r="L64" s="73"/>
      <c r="M64" s="73"/>
      <c r="N64" s="73"/>
      <c r="O64" s="73"/>
      <c r="P64" s="73"/>
      <c r="Q64" s="73"/>
      <c r="R64" s="73"/>
      <c r="S64" s="73"/>
      <c r="T64" s="73"/>
      <c r="U64" s="73"/>
      <c r="V64" s="73"/>
      <c r="W64" s="73"/>
      <c r="X64" s="73"/>
    </row>
    <row r="65">
      <c r="A65" s="74">
        <v>64.0</v>
      </c>
      <c r="B65" s="74" t="s">
        <v>1316</v>
      </c>
      <c r="C65" s="74" t="s">
        <v>1379</v>
      </c>
      <c r="D65" s="75" t="s">
        <v>1380</v>
      </c>
      <c r="E65" s="76">
        <v>45614.0</v>
      </c>
      <c r="F65" s="74" t="str">
        <f>VLOOKUP(D65,Sheet15!D:H,5,FALSE)</f>
        <v>مكتمل</v>
      </c>
      <c r="G65" s="74"/>
      <c r="H65" s="74" t="s">
        <v>29</v>
      </c>
      <c r="I65" s="74" t="str">
        <f>VLOOKUP(D65,Sheet15!D:K,8,FALSE)</f>
        <v>2024-371685</v>
      </c>
      <c r="J65" s="76">
        <f t="shared" si="1"/>
        <v>-45614</v>
      </c>
      <c r="K65" s="77" t="str">
        <f>VLOOKUP(D65,Sheet15!D:G,4,FALSE)</f>
        <v/>
      </c>
      <c r="L65" s="73"/>
      <c r="M65" s="73"/>
      <c r="N65" s="73"/>
      <c r="O65" s="73"/>
      <c r="P65" s="73"/>
      <c r="Q65" s="73"/>
      <c r="R65" s="73"/>
      <c r="S65" s="73"/>
      <c r="T65" s="73"/>
      <c r="U65" s="73"/>
      <c r="V65" s="73"/>
      <c r="W65" s="73"/>
      <c r="X65" s="73"/>
    </row>
    <row r="66">
      <c r="A66" s="74">
        <v>65.0</v>
      </c>
      <c r="B66" s="74" t="s">
        <v>1316</v>
      </c>
      <c r="C66" s="74" t="s">
        <v>1381</v>
      </c>
      <c r="D66" s="75" t="s">
        <v>1382</v>
      </c>
      <c r="E66" s="76">
        <v>45614.0</v>
      </c>
      <c r="F66" s="74" t="str">
        <f>VLOOKUP(D66,Sheet15!D:H,5,FALSE)</f>
        <v>مكتمل</v>
      </c>
      <c r="G66" s="74"/>
      <c r="H66" s="74" t="s">
        <v>29</v>
      </c>
      <c r="I66" s="74" t="str">
        <f>VLOOKUP(D66,Sheet15!D:K,8,FALSE)</f>
        <v>2024-371710</v>
      </c>
      <c r="J66" s="76">
        <f t="shared" si="1"/>
        <v>-45614</v>
      </c>
      <c r="K66" s="77" t="str">
        <f>VLOOKUP(D66,Sheet15!D:G,4,FALSE)</f>
        <v/>
      </c>
      <c r="L66" s="73"/>
      <c r="M66" s="73"/>
      <c r="N66" s="73"/>
      <c r="O66" s="73"/>
      <c r="P66" s="73"/>
      <c r="Q66" s="73"/>
      <c r="R66" s="73"/>
      <c r="S66" s="73"/>
      <c r="T66" s="73"/>
      <c r="U66" s="73"/>
      <c r="V66" s="73"/>
      <c r="W66" s="73"/>
      <c r="X66" s="73"/>
    </row>
    <row r="67">
      <c r="A67" s="74">
        <v>66.0</v>
      </c>
      <c r="B67" s="74" t="s">
        <v>1316</v>
      </c>
      <c r="C67" s="74" t="s">
        <v>1383</v>
      </c>
      <c r="D67" s="75" t="s">
        <v>1384</v>
      </c>
      <c r="E67" s="76">
        <v>45614.0</v>
      </c>
      <c r="F67" s="74" t="str">
        <f>VLOOKUP(D67,Sheet15!D:H,5,FALSE)</f>
        <v>مكتمل</v>
      </c>
      <c r="G67" s="74"/>
      <c r="H67" s="74" t="s">
        <v>29</v>
      </c>
      <c r="I67" s="74" t="str">
        <f>VLOOKUP(D67,Sheet15!D:K,8,FALSE)</f>
        <v>2024-371728</v>
      </c>
      <c r="J67" s="76">
        <f t="shared" si="1"/>
        <v>-45614</v>
      </c>
      <c r="K67" s="77" t="str">
        <f>VLOOKUP(D67,Sheet15!D:G,4,FALSE)</f>
        <v/>
      </c>
      <c r="L67" s="73"/>
      <c r="M67" s="73"/>
      <c r="N67" s="73"/>
      <c r="O67" s="73"/>
      <c r="P67" s="73"/>
      <c r="Q67" s="73"/>
      <c r="R67" s="73"/>
      <c r="S67" s="73"/>
      <c r="T67" s="73"/>
      <c r="U67" s="73"/>
      <c r="V67" s="73"/>
      <c r="W67" s="73"/>
      <c r="X67" s="73"/>
    </row>
    <row r="68">
      <c r="A68" s="74">
        <v>67.0</v>
      </c>
      <c r="B68" s="74" t="s">
        <v>1316</v>
      </c>
      <c r="C68" s="74" t="s">
        <v>1385</v>
      </c>
      <c r="D68" s="75" t="s">
        <v>1386</v>
      </c>
      <c r="E68" s="76">
        <v>45614.0</v>
      </c>
      <c r="F68" s="74" t="str">
        <f>VLOOKUP(D68,Sheet15!D:H,5,FALSE)</f>
        <v>مكتمل</v>
      </c>
      <c r="G68" s="74"/>
      <c r="H68" s="74" t="s">
        <v>29</v>
      </c>
      <c r="I68" s="74" t="str">
        <f>VLOOKUP(D68,Sheet15!D:K,8,FALSE)</f>
        <v>2024-371738</v>
      </c>
      <c r="J68" s="76">
        <f t="shared" si="1"/>
        <v>-45614</v>
      </c>
      <c r="K68" s="77" t="str">
        <f>VLOOKUP(D68,Sheet15!D:G,4,FALSE)</f>
        <v/>
      </c>
      <c r="L68" s="73"/>
      <c r="M68" s="73"/>
      <c r="N68" s="73"/>
      <c r="O68" s="73"/>
      <c r="P68" s="73"/>
      <c r="Q68" s="73"/>
      <c r="R68" s="73"/>
      <c r="S68" s="73"/>
      <c r="T68" s="73"/>
      <c r="U68" s="73"/>
      <c r="V68" s="73"/>
      <c r="W68" s="73"/>
      <c r="X68" s="73"/>
    </row>
    <row r="69">
      <c r="A69" s="74">
        <v>68.0</v>
      </c>
      <c r="B69" s="74" t="s">
        <v>1316</v>
      </c>
      <c r="C69" s="74" t="s">
        <v>1387</v>
      </c>
      <c r="D69" s="75" t="s">
        <v>1388</v>
      </c>
      <c r="E69" s="76">
        <v>45614.0</v>
      </c>
      <c r="F69" s="74" t="str">
        <f>VLOOKUP(D69,Sheet15!D:H,5,FALSE)</f>
        <v>مكتمل</v>
      </c>
      <c r="G69" s="74"/>
      <c r="H69" s="74" t="s">
        <v>29</v>
      </c>
      <c r="I69" s="74" t="str">
        <f>VLOOKUP(D69,Sheet15!D:K,8,FALSE)</f>
        <v>2024-371751</v>
      </c>
      <c r="J69" s="76">
        <f t="shared" si="1"/>
        <v>-45614</v>
      </c>
      <c r="K69" s="77" t="str">
        <f>VLOOKUP(D69,Sheet15!D:G,4,FALSE)</f>
        <v/>
      </c>
      <c r="L69" s="73"/>
      <c r="M69" s="73"/>
      <c r="N69" s="73"/>
      <c r="O69" s="73"/>
      <c r="P69" s="73"/>
      <c r="Q69" s="73"/>
      <c r="R69" s="73"/>
      <c r="S69" s="73"/>
      <c r="T69" s="73"/>
      <c r="U69" s="73"/>
      <c r="V69" s="73"/>
      <c r="W69" s="73"/>
      <c r="X69" s="73"/>
    </row>
    <row r="70">
      <c r="A70" s="74">
        <v>69.0</v>
      </c>
      <c r="B70" s="74" t="s">
        <v>1389</v>
      </c>
      <c r="C70" s="74"/>
      <c r="D70" s="75" t="s">
        <v>1390</v>
      </c>
      <c r="E70" s="76">
        <v>45615.0</v>
      </c>
      <c r="F70" s="74" t="str">
        <f>VLOOKUP(D70,Sheet15!D:H,5,FALSE)</f>
        <v>مكتمل</v>
      </c>
      <c r="G70" s="74"/>
      <c r="H70" s="74" t="s">
        <v>29</v>
      </c>
      <c r="I70" s="74" t="str">
        <f>VLOOKUP(D70,Sheet15!D:K,8,FALSE)</f>
        <v>2024-372268</v>
      </c>
      <c r="J70" s="76">
        <f t="shared" si="1"/>
        <v>-45615</v>
      </c>
      <c r="K70" s="77" t="str">
        <f>VLOOKUP(D70,Sheet15!D:G,4,FALSE)</f>
        <v/>
      </c>
      <c r="L70" s="73"/>
      <c r="M70" s="73"/>
      <c r="N70" s="73"/>
      <c r="O70" s="73"/>
      <c r="P70" s="73"/>
      <c r="Q70" s="73"/>
      <c r="R70" s="73"/>
      <c r="S70" s="73"/>
      <c r="T70" s="73"/>
      <c r="U70" s="73"/>
      <c r="V70" s="73"/>
      <c r="W70" s="73"/>
      <c r="X70" s="73"/>
    </row>
    <row r="71">
      <c r="A71" s="74">
        <v>70.0</v>
      </c>
      <c r="B71" s="74" t="s">
        <v>1389</v>
      </c>
      <c r="C71" s="74"/>
      <c r="D71" s="75" t="s">
        <v>1391</v>
      </c>
      <c r="E71" s="76">
        <v>45615.0</v>
      </c>
      <c r="F71" s="74" t="str">
        <f>VLOOKUP(D71,Sheet15!D:H,5,FALSE)</f>
        <v>مكتمل</v>
      </c>
      <c r="G71" s="74"/>
      <c r="H71" s="74" t="s">
        <v>29</v>
      </c>
      <c r="I71" s="74" t="str">
        <f>VLOOKUP(D71,Sheet15!D:K,8,FALSE)</f>
        <v>2024-372287</v>
      </c>
      <c r="J71" s="76">
        <f t="shared" si="1"/>
        <v>-45615</v>
      </c>
      <c r="K71" s="77" t="str">
        <f>VLOOKUP(D71,Sheet15!D:G,4,FALSE)</f>
        <v/>
      </c>
      <c r="L71" s="73"/>
      <c r="M71" s="73"/>
      <c r="N71" s="73"/>
      <c r="O71" s="73"/>
      <c r="P71" s="73"/>
      <c r="Q71" s="73"/>
      <c r="R71" s="73"/>
      <c r="S71" s="73"/>
      <c r="T71" s="73"/>
      <c r="U71" s="73"/>
      <c r="V71" s="73"/>
      <c r="W71" s="73"/>
      <c r="X71" s="73"/>
    </row>
    <row r="72">
      <c r="A72" s="74">
        <v>71.0</v>
      </c>
      <c r="B72" s="74" t="s">
        <v>1389</v>
      </c>
      <c r="C72" s="74"/>
      <c r="D72" s="75" t="s">
        <v>1392</v>
      </c>
      <c r="E72" s="76">
        <v>45615.0</v>
      </c>
      <c r="F72" s="74" t="str">
        <f>VLOOKUP(D72,Sheet15!D:H,5,FALSE)</f>
        <v>مكتمل</v>
      </c>
      <c r="G72" s="74"/>
      <c r="H72" s="74" t="s">
        <v>29</v>
      </c>
      <c r="I72" s="74" t="str">
        <f>VLOOKUP(D72,Sheet15!D:K,8,FALSE)</f>
        <v>2024-372303</v>
      </c>
      <c r="J72" s="76">
        <f t="shared" si="1"/>
        <v>-45615</v>
      </c>
      <c r="K72" s="77" t="str">
        <f>VLOOKUP(D72,Sheet15!D:G,4,FALSE)</f>
        <v/>
      </c>
      <c r="L72" s="73"/>
      <c r="M72" s="73"/>
      <c r="N72" s="73"/>
      <c r="O72" s="73"/>
      <c r="P72" s="73"/>
      <c r="Q72" s="73"/>
      <c r="R72" s="73"/>
      <c r="S72" s="73"/>
      <c r="T72" s="73"/>
      <c r="U72" s="73"/>
      <c r="V72" s="73"/>
      <c r="W72" s="73"/>
      <c r="X72" s="73"/>
    </row>
    <row r="73">
      <c r="A73" s="74">
        <v>72.0</v>
      </c>
      <c r="B73" s="74" t="s">
        <v>1389</v>
      </c>
      <c r="C73" s="74"/>
      <c r="D73" s="75" t="s">
        <v>1393</v>
      </c>
      <c r="E73" s="76">
        <v>45615.0</v>
      </c>
      <c r="F73" s="74" t="str">
        <f>VLOOKUP(D73,Sheet15!D:H,5,FALSE)</f>
        <v>مكتمل</v>
      </c>
      <c r="G73" s="74"/>
      <c r="H73" s="74" t="s">
        <v>29</v>
      </c>
      <c r="I73" s="74" t="str">
        <f>VLOOKUP(D73,Sheet15!D:K,8,FALSE)</f>
        <v>2024-372322</v>
      </c>
      <c r="J73" s="76">
        <f t="shared" si="1"/>
        <v>-45615</v>
      </c>
      <c r="K73" s="77" t="str">
        <f>VLOOKUP(D73,Sheet15!D:G,4,FALSE)</f>
        <v/>
      </c>
      <c r="L73" s="73"/>
      <c r="M73" s="73"/>
      <c r="N73" s="73"/>
      <c r="O73" s="73"/>
      <c r="P73" s="73"/>
      <c r="Q73" s="73"/>
      <c r="R73" s="73"/>
      <c r="S73" s="73"/>
      <c r="T73" s="73"/>
      <c r="U73" s="73"/>
      <c r="V73" s="73"/>
      <c r="W73" s="73"/>
      <c r="X73" s="73"/>
    </row>
    <row r="74">
      <c r="A74" s="74">
        <v>73.0</v>
      </c>
      <c r="B74" s="74" t="s">
        <v>37</v>
      </c>
      <c r="C74" s="74"/>
      <c r="D74" s="75" t="s">
        <v>1394</v>
      </c>
      <c r="E74" s="76">
        <v>45615.0</v>
      </c>
      <c r="F74" s="74" t="str">
        <f>VLOOKUP(D74,Sheet15!D:H,5,FALSE)</f>
        <v>مكتمل</v>
      </c>
      <c r="G74" s="74"/>
      <c r="H74" s="74" t="s">
        <v>29</v>
      </c>
      <c r="I74" s="74" t="str">
        <f>VLOOKUP(D74,Sheet15!D:K,8,FALSE)</f>
        <v>2024-376027</v>
      </c>
      <c r="J74" s="76">
        <f t="shared" si="1"/>
        <v>-45615</v>
      </c>
      <c r="K74" s="77" t="str">
        <f>VLOOKUP(D74,Sheet15!D:G,4,FALSE)</f>
        <v/>
      </c>
      <c r="L74" s="73"/>
      <c r="M74" s="73"/>
      <c r="N74" s="73"/>
      <c r="O74" s="73"/>
      <c r="P74" s="73"/>
      <c r="Q74" s="73"/>
      <c r="R74" s="73"/>
      <c r="S74" s="73"/>
      <c r="T74" s="73"/>
      <c r="U74" s="73"/>
      <c r="V74" s="73"/>
      <c r="W74" s="73"/>
      <c r="X74" s="73"/>
    </row>
    <row r="75">
      <c r="A75" s="74">
        <v>74.0</v>
      </c>
      <c r="B75" s="74" t="s">
        <v>37</v>
      </c>
      <c r="C75" s="74" t="s">
        <v>0</v>
      </c>
      <c r="D75" s="75" t="s">
        <v>1395</v>
      </c>
      <c r="E75" s="76">
        <v>45617.0</v>
      </c>
      <c r="F75" s="74" t="str">
        <f>VLOOKUP(D75,Sheet15!D:H,5,FALSE)</f>
        <v>مكتمل</v>
      </c>
      <c r="G75" s="74"/>
      <c r="H75" s="74" t="s">
        <v>29</v>
      </c>
      <c r="I75" s="74" t="str">
        <f>VLOOKUP(D75,Sheet15!D:K,8,FALSE)</f>
        <v>2024-376081</v>
      </c>
      <c r="J75" s="76">
        <f t="shared" si="1"/>
        <v>-45617</v>
      </c>
      <c r="K75" s="77" t="str">
        <f>VLOOKUP(D75,Sheet15!D:G,4,FALSE)</f>
        <v/>
      </c>
      <c r="L75" s="73"/>
      <c r="M75" s="73"/>
      <c r="N75" s="73"/>
      <c r="O75" s="73"/>
      <c r="P75" s="73"/>
      <c r="Q75" s="73"/>
      <c r="R75" s="73"/>
      <c r="S75" s="73"/>
      <c r="T75" s="73"/>
      <c r="U75" s="73"/>
      <c r="V75" s="73"/>
      <c r="W75" s="73"/>
      <c r="X75" s="73"/>
    </row>
    <row r="76">
      <c r="A76" s="74">
        <v>75.0</v>
      </c>
      <c r="B76" s="74" t="s">
        <v>37</v>
      </c>
      <c r="C76" s="74"/>
      <c r="D76" s="75" t="s">
        <v>1396</v>
      </c>
      <c r="E76" s="76">
        <v>45617.0</v>
      </c>
      <c r="F76" s="74" t="str">
        <f>VLOOKUP(D76,Sheet15!D:H,5,FALSE)</f>
        <v>مكتمل</v>
      </c>
      <c r="G76" s="74"/>
      <c r="H76" s="74" t="s">
        <v>29</v>
      </c>
      <c r="I76" s="74" t="str">
        <f>VLOOKUP(D76,Sheet15!D:K,8,FALSE)</f>
        <v>2024-376105</v>
      </c>
      <c r="J76" s="76">
        <f t="shared" si="1"/>
        <v>-45617</v>
      </c>
      <c r="K76" s="77" t="str">
        <f>VLOOKUP(D76,Sheet15!D:G,4,FALSE)</f>
        <v/>
      </c>
      <c r="L76" s="73"/>
      <c r="M76" s="73"/>
      <c r="N76" s="73"/>
      <c r="O76" s="73"/>
      <c r="P76" s="73"/>
      <c r="Q76" s="73"/>
      <c r="R76" s="73"/>
      <c r="S76" s="73"/>
      <c r="T76" s="73"/>
      <c r="U76" s="73"/>
      <c r="V76" s="73"/>
      <c r="W76" s="73"/>
      <c r="X76" s="73"/>
    </row>
    <row r="77">
      <c r="A77" s="74">
        <v>76.0</v>
      </c>
      <c r="B77" s="74" t="s">
        <v>37</v>
      </c>
      <c r="C77" s="74"/>
      <c r="D77" s="75" t="s">
        <v>1397</v>
      </c>
      <c r="E77" s="76">
        <v>45617.0</v>
      </c>
      <c r="F77" s="74" t="str">
        <f>VLOOKUP(D77,Sheet15!D:H,5,FALSE)</f>
        <v>مكتمل</v>
      </c>
      <c r="G77" s="74"/>
      <c r="H77" s="74" t="s">
        <v>29</v>
      </c>
      <c r="I77" s="74" t="str">
        <f>VLOOKUP(D77,Sheet15!D:K,8,FALSE)</f>
        <v>2024-376121</v>
      </c>
      <c r="J77" s="76">
        <f t="shared" si="1"/>
        <v>-45617</v>
      </c>
      <c r="K77" s="77" t="str">
        <f>VLOOKUP(D77,Sheet15!D:G,4,FALSE)</f>
        <v/>
      </c>
      <c r="L77" s="73"/>
      <c r="M77" s="73"/>
      <c r="N77" s="73"/>
      <c r="O77" s="73"/>
      <c r="P77" s="73"/>
      <c r="Q77" s="73"/>
      <c r="R77" s="73"/>
      <c r="S77" s="73"/>
      <c r="T77" s="73"/>
      <c r="U77" s="73"/>
      <c r="V77" s="73"/>
      <c r="W77" s="73"/>
      <c r="X77" s="73"/>
    </row>
    <row r="78">
      <c r="A78" s="74">
        <v>77.0</v>
      </c>
      <c r="B78" s="74" t="s">
        <v>37</v>
      </c>
      <c r="C78" s="74"/>
      <c r="D78" s="75" t="s">
        <v>1398</v>
      </c>
      <c r="E78" s="76">
        <v>45617.0</v>
      </c>
      <c r="F78" s="74" t="str">
        <f>VLOOKUP(D78,Sheet15!D:H,5,FALSE)</f>
        <v>مكتمل</v>
      </c>
      <c r="G78" s="74"/>
      <c r="H78" s="74" t="s">
        <v>29</v>
      </c>
      <c r="I78" s="74" t="str">
        <f>VLOOKUP(D78,Sheet15!D:K,8,FALSE)</f>
        <v>2024-376139</v>
      </c>
      <c r="J78" s="76">
        <f t="shared" si="1"/>
        <v>-45617</v>
      </c>
      <c r="K78" s="77" t="str">
        <f>VLOOKUP(D78,Sheet15!D:G,4,FALSE)</f>
        <v/>
      </c>
      <c r="L78" s="73"/>
      <c r="M78" s="73"/>
      <c r="N78" s="73"/>
      <c r="O78" s="73"/>
      <c r="P78" s="73"/>
      <c r="Q78" s="73"/>
      <c r="R78" s="73"/>
      <c r="S78" s="73"/>
      <c r="T78" s="73"/>
      <c r="U78" s="73"/>
      <c r="V78" s="73"/>
      <c r="W78" s="73"/>
      <c r="X78" s="73"/>
    </row>
    <row r="79">
      <c r="A79" s="74">
        <v>78.0</v>
      </c>
      <c r="B79" s="74" t="s">
        <v>37</v>
      </c>
      <c r="C79" s="74"/>
      <c r="D79" s="75" t="s">
        <v>1399</v>
      </c>
      <c r="E79" s="76">
        <v>45617.0</v>
      </c>
      <c r="F79" s="74" t="str">
        <f>VLOOKUP(D79,Sheet15!D:H,5,FALSE)</f>
        <v>مكتمل</v>
      </c>
      <c r="G79" s="74"/>
      <c r="H79" s="74" t="s">
        <v>29</v>
      </c>
      <c r="I79" s="74" t="str">
        <f>VLOOKUP(D79,Sheet15!D:K,8,FALSE)</f>
        <v>P-1-N-240624-3738</v>
      </c>
      <c r="J79" s="76">
        <f t="shared" si="1"/>
        <v>-45617</v>
      </c>
      <c r="K79" s="77" t="str">
        <f>VLOOKUP(D79,Sheet15!D:G,4,FALSE)</f>
        <v/>
      </c>
      <c r="L79" s="73"/>
      <c r="M79" s="73"/>
      <c r="N79" s="73"/>
      <c r="O79" s="73"/>
      <c r="P79" s="73"/>
      <c r="Q79" s="73"/>
      <c r="R79" s="73"/>
      <c r="S79" s="73"/>
      <c r="T79" s="73"/>
      <c r="U79" s="73"/>
      <c r="V79" s="73"/>
      <c r="W79" s="73"/>
      <c r="X79" s="73"/>
    </row>
    <row r="80">
      <c r="A80" s="74">
        <v>79.0</v>
      </c>
      <c r="B80" s="74" t="s">
        <v>26</v>
      </c>
      <c r="C80" s="74"/>
      <c r="D80" s="75" t="s">
        <v>1400</v>
      </c>
      <c r="E80" s="76">
        <v>45622.0</v>
      </c>
      <c r="F80" s="74" t="str">
        <f>VLOOKUP(D80,Sheet15!D:H,5,FALSE)</f>
        <v>مرفوض</v>
      </c>
      <c r="G80" s="74"/>
      <c r="H80" s="74" t="s">
        <v>1401</v>
      </c>
      <c r="I80" s="74" t="str">
        <f>VLOOKUP(D80,Sheet15!D:K,8,FALSE)</f>
        <v>2024-393876</v>
      </c>
      <c r="J80" s="76">
        <f t="shared" si="1"/>
        <v>-45622</v>
      </c>
      <c r="K80" s="77" t="str">
        <f>VLOOKUP(D80,Sheet15!D:G,4,FALSE)</f>
        <v>تعليق الموظف: المكون(yeast)ذكر نوع الخميرة مع الرقم المرجعي لها حسب اللوائح والمواصفات الخاصة بالاعلاف.## المكون( extracted linseed)نامل تزويدنا بالملف العلمي والرقم المرجعي حسب اللوائح والمواصفات الخاصة بالاعلاف</v>
      </c>
      <c r="L80" s="73"/>
      <c r="M80" s="73"/>
      <c r="N80" s="73"/>
      <c r="O80" s="73"/>
      <c r="P80" s="73"/>
      <c r="Q80" s="73"/>
      <c r="R80" s="73"/>
      <c r="S80" s="73"/>
      <c r="T80" s="73"/>
      <c r="U80" s="73"/>
      <c r="V80" s="73"/>
      <c r="W80" s="73"/>
      <c r="X80" s="73"/>
    </row>
    <row r="81">
      <c r="A81" s="74">
        <v>80.0</v>
      </c>
      <c r="B81" s="74" t="s">
        <v>26</v>
      </c>
      <c r="C81" s="74"/>
      <c r="D81" s="75" t="s">
        <v>1402</v>
      </c>
      <c r="E81" s="76">
        <v>45622.0</v>
      </c>
      <c r="F81" s="74" t="str">
        <f>VLOOKUP(D81,Sheet15!D:H,5,FALSE)</f>
        <v>مكتمل</v>
      </c>
      <c r="G81" s="74"/>
      <c r="H81" s="74" t="s">
        <v>29</v>
      </c>
      <c r="I81" s="74" t="str">
        <f>VLOOKUP(D81,Sheet15!D:K,8,FALSE)</f>
        <v>2024-393918</v>
      </c>
      <c r="J81" s="76">
        <f t="shared" si="1"/>
        <v>-45622</v>
      </c>
      <c r="K81" s="77" t="str">
        <f>VLOOKUP(D81,Sheet15!D:G,4,FALSE)</f>
        <v/>
      </c>
      <c r="L81" s="73"/>
      <c r="M81" s="73"/>
      <c r="N81" s="73"/>
      <c r="O81" s="73"/>
      <c r="P81" s="73"/>
      <c r="Q81" s="73"/>
      <c r="R81" s="73"/>
      <c r="S81" s="73"/>
      <c r="T81" s="73"/>
      <c r="U81" s="73"/>
      <c r="V81" s="73"/>
      <c r="W81" s="73"/>
      <c r="X81" s="73"/>
    </row>
    <row r="82">
      <c r="A82" s="74">
        <v>81.0</v>
      </c>
      <c r="B82" s="74" t="s">
        <v>26</v>
      </c>
      <c r="C82" s="74"/>
      <c r="D82" s="75" t="s">
        <v>1403</v>
      </c>
      <c r="E82" s="76">
        <v>45622.0</v>
      </c>
      <c r="F82" s="74" t="str">
        <f>VLOOKUP(D82,Sheet15!D:H,5,FALSE)</f>
        <v>مكتمل</v>
      </c>
      <c r="G82" s="74"/>
      <c r="H82" s="74" t="s">
        <v>29</v>
      </c>
      <c r="I82" s="74" t="str">
        <f>VLOOKUP(D82,Sheet15!D:K,8,FALSE)</f>
        <v>2025-12303</v>
      </c>
      <c r="J82" s="76">
        <f t="shared" si="1"/>
        <v>-45622</v>
      </c>
      <c r="K82" s="77" t="str">
        <f>VLOOKUP(D82,Sheet15!D:G,4,FALSE)</f>
        <v/>
      </c>
      <c r="L82" s="73"/>
      <c r="M82" s="73"/>
      <c r="N82" s="73"/>
      <c r="O82" s="73"/>
      <c r="P82" s="73"/>
      <c r="Q82" s="73"/>
      <c r="R82" s="73"/>
      <c r="S82" s="73"/>
      <c r="T82" s="73"/>
      <c r="U82" s="73"/>
      <c r="V82" s="73"/>
      <c r="W82" s="73"/>
      <c r="X82" s="73"/>
    </row>
    <row r="83">
      <c r="A83" s="74">
        <v>82.0</v>
      </c>
      <c r="B83" s="74" t="s">
        <v>26</v>
      </c>
      <c r="C83" s="74"/>
      <c r="D83" s="75" t="s">
        <v>1404</v>
      </c>
      <c r="E83" s="76">
        <v>45622.0</v>
      </c>
      <c r="F83" s="74" t="str">
        <f>VLOOKUP(D83,Sheet15!D:H,5,FALSE)</f>
        <v>مكتمل</v>
      </c>
      <c r="G83" s="74"/>
      <c r="H83" s="74" t="s">
        <v>29</v>
      </c>
      <c r="I83" s="74" t="str">
        <f>VLOOKUP(D83,Sheet15!D:K,8,FALSE)</f>
        <v>2025-12323</v>
      </c>
      <c r="J83" s="76">
        <f t="shared" si="1"/>
        <v>-45622</v>
      </c>
      <c r="K83" s="77" t="str">
        <f>VLOOKUP(D83,Sheet15!D:G,4,FALSE)</f>
        <v/>
      </c>
      <c r="L83" s="73"/>
      <c r="M83" s="73"/>
      <c r="N83" s="73"/>
      <c r="O83" s="73"/>
      <c r="P83" s="73"/>
      <c r="Q83" s="73"/>
      <c r="R83" s="73"/>
      <c r="S83" s="73"/>
      <c r="T83" s="73"/>
      <c r="U83" s="73"/>
      <c r="V83" s="73"/>
      <c r="W83" s="73"/>
      <c r="X83" s="73"/>
    </row>
    <row r="84">
      <c r="A84" s="74">
        <v>83.0</v>
      </c>
      <c r="B84" s="74" t="s">
        <v>26</v>
      </c>
      <c r="C84" s="74"/>
      <c r="D84" s="75" t="s">
        <v>1405</v>
      </c>
      <c r="E84" s="76">
        <v>45622.0</v>
      </c>
      <c r="F84" s="74" t="str">
        <f>VLOOKUP(D84,Sheet15!D:H,5,FALSE)</f>
        <v>مكتمل</v>
      </c>
      <c r="G84" s="74"/>
      <c r="H84" s="74" t="s">
        <v>29</v>
      </c>
      <c r="I84" s="74" t="str">
        <f>VLOOKUP(D84,Sheet15!D:K,8,FALSE)</f>
        <v>2024-393939</v>
      </c>
      <c r="J84" s="76">
        <f t="shared" si="1"/>
        <v>-45622</v>
      </c>
      <c r="K84" s="77" t="str">
        <f>VLOOKUP(D84,Sheet15!D:G,4,FALSE)</f>
        <v/>
      </c>
      <c r="L84" s="73"/>
      <c r="M84" s="73"/>
      <c r="N84" s="73"/>
      <c r="O84" s="73"/>
      <c r="P84" s="73"/>
      <c r="Q84" s="73"/>
      <c r="R84" s="73"/>
      <c r="S84" s="73"/>
      <c r="T84" s="73"/>
      <c r="U84" s="73"/>
      <c r="V84" s="73"/>
      <c r="W84" s="73"/>
      <c r="X84" s="73"/>
    </row>
    <row r="85">
      <c r="A85" s="74">
        <v>84.0</v>
      </c>
      <c r="B85" s="74" t="s">
        <v>26</v>
      </c>
      <c r="C85" s="74"/>
      <c r="D85" s="75" t="s">
        <v>1406</v>
      </c>
      <c r="E85" s="76">
        <v>45622.0</v>
      </c>
      <c r="F85" s="74" t="str">
        <f>VLOOKUP(D85,Sheet15!D:H,5,FALSE)</f>
        <v>مكتمل</v>
      </c>
      <c r="G85" s="74"/>
      <c r="H85" s="74" t="s">
        <v>29</v>
      </c>
      <c r="I85" s="74" t="str">
        <f>VLOOKUP(D85,Sheet15!D:K,8,FALSE)</f>
        <v>2025-12338</v>
      </c>
      <c r="J85" s="76">
        <f t="shared" si="1"/>
        <v>-45622</v>
      </c>
      <c r="K85" s="77" t="str">
        <f>VLOOKUP(D85,Sheet15!D:G,4,FALSE)</f>
        <v/>
      </c>
      <c r="L85" s="73"/>
      <c r="M85" s="73"/>
      <c r="N85" s="73"/>
      <c r="O85" s="73"/>
      <c r="P85" s="73"/>
      <c r="Q85" s="73"/>
      <c r="R85" s="73"/>
      <c r="S85" s="73"/>
      <c r="T85" s="73"/>
      <c r="U85" s="73"/>
      <c r="V85" s="73"/>
      <c r="W85" s="73"/>
      <c r="X85" s="73"/>
    </row>
    <row r="86">
      <c r="A86" s="74">
        <v>85.0</v>
      </c>
      <c r="B86" s="74" t="s">
        <v>26</v>
      </c>
      <c r="C86" s="74"/>
      <c r="D86" s="75" t="s">
        <v>1407</v>
      </c>
      <c r="E86" s="76">
        <v>45622.0</v>
      </c>
      <c r="F86" s="74" t="str">
        <f>VLOOKUP(D86,Sheet15!D:H,5,FALSE)</f>
        <v>مكتمل</v>
      </c>
      <c r="G86" s="74"/>
      <c r="H86" s="74" t="s">
        <v>29</v>
      </c>
      <c r="I86" s="74" t="str">
        <f>VLOOKUP(D86,Sheet15!D:K,8,FALSE)</f>
        <v>2024-393954</v>
      </c>
      <c r="J86" s="76">
        <f t="shared" si="1"/>
        <v>-45622</v>
      </c>
      <c r="K86" s="77" t="str">
        <f>VLOOKUP(D86,Sheet15!D:G,4,FALSE)</f>
        <v/>
      </c>
      <c r="L86" s="73"/>
      <c r="M86" s="73"/>
      <c r="N86" s="73"/>
      <c r="O86" s="73"/>
      <c r="P86" s="73"/>
      <c r="Q86" s="73"/>
      <c r="R86" s="73"/>
      <c r="S86" s="73"/>
      <c r="T86" s="73"/>
      <c r="U86" s="73"/>
      <c r="V86" s="73"/>
      <c r="W86" s="73"/>
      <c r="X86" s="73"/>
    </row>
    <row r="87">
      <c r="A87" s="74">
        <v>86.0</v>
      </c>
      <c r="B87" s="74" t="s">
        <v>26</v>
      </c>
      <c r="C87" s="74"/>
      <c r="D87" s="75" t="s">
        <v>1408</v>
      </c>
      <c r="E87" s="76">
        <v>45622.0</v>
      </c>
      <c r="F87" s="74" t="str">
        <f>VLOOKUP(D87,Sheet15!D:H,5,FALSE)</f>
        <v>مكتمل</v>
      </c>
      <c r="G87" s="74"/>
      <c r="H87" s="74" t="s">
        <v>29</v>
      </c>
      <c r="I87" s="74" t="str">
        <f>VLOOKUP(D87,Sheet15!D:K,8,FALSE)</f>
        <v>2024-402113</v>
      </c>
      <c r="J87" s="76">
        <f t="shared" si="1"/>
        <v>-45622</v>
      </c>
      <c r="K87" s="77" t="str">
        <f>VLOOKUP(D87,Sheet15!D:G,4,FALSE)</f>
        <v/>
      </c>
      <c r="L87" s="73"/>
      <c r="M87" s="73"/>
      <c r="N87" s="73"/>
      <c r="O87" s="73"/>
      <c r="P87" s="73"/>
      <c r="Q87" s="73"/>
      <c r="R87" s="73"/>
      <c r="S87" s="73"/>
      <c r="T87" s="73"/>
      <c r="U87" s="73"/>
      <c r="V87" s="73"/>
      <c r="W87" s="73"/>
      <c r="X87" s="73"/>
    </row>
    <row r="88">
      <c r="A88" s="74">
        <v>87.0</v>
      </c>
      <c r="B88" s="74" t="s">
        <v>26</v>
      </c>
      <c r="C88" s="74"/>
      <c r="D88" s="75" t="s">
        <v>1409</v>
      </c>
      <c r="E88" s="76">
        <v>45622.0</v>
      </c>
      <c r="F88" s="74" t="str">
        <f>VLOOKUP(D88,Sheet15!D:H,5,FALSE)</f>
        <v>مكتمل</v>
      </c>
      <c r="G88" s="74"/>
      <c r="H88" s="74" t="s">
        <v>29</v>
      </c>
      <c r="I88" s="74" t="str">
        <f>VLOOKUP(D88,Sheet15!D:K,8,FALSE)</f>
        <v>2024-402170</v>
      </c>
      <c r="J88" s="76">
        <f t="shared" si="1"/>
        <v>-45622</v>
      </c>
      <c r="K88" s="77" t="str">
        <f>VLOOKUP(D88,Sheet15!D:G,4,FALSE)</f>
        <v/>
      </c>
      <c r="L88" s="73"/>
      <c r="M88" s="73"/>
      <c r="N88" s="73"/>
      <c r="O88" s="73"/>
      <c r="P88" s="73"/>
      <c r="Q88" s="73"/>
      <c r="R88" s="73"/>
      <c r="S88" s="73"/>
      <c r="T88" s="73"/>
      <c r="U88" s="73"/>
      <c r="V88" s="73"/>
      <c r="W88" s="73"/>
      <c r="X88" s="73"/>
    </row>
    <row r="89">
      <c r="A89" s="74">
        <v>88.0</v>
      </c>
      <c r="B89" s="74" t="s">
        <v>26</v>
      </c>
      <c r="C89" s="74"/>
      <c r="D89" s="75" t="s">
        <v>1410</v>
      </c>
      <c r="E89" s="76">
        <v>45622.0</v>
      </c>
      <c r="F89" s="74" t="str">
        <f>VLOOKUP(D89,Sheet15!D:H,5,FALSE)</f>
        <v>مكتمل</v>
      </c>
      <c r="G89" s="74"/>
      <c r="H89" s="74" t="s">
        <v>29</v>
      </c>
      <c r="I89" s="74" t="str">
        <f>VLOOKUP(D89,Sheet15!D:K,8,FALSE)</f>
        <v>2024-402286</v>
      </c>
      <c r="J89" s="76">
        <f t="shared" si="1"/>
        <v>-45622</v>
      </c>
      <c r="K89" s="77" t="str">
        <f>VLOOKUP(D89,Sheet15!D:G,4,FALSE)</f>
        <v/>
      </c>
      <c r="L89" s="73"/>
      <c r="M89" s="73"/>
      <c r="N89" s="73"/>
      <c r="O89" s="73"/>
      <c r="P89" s="73"/>
      <c r="Q89" s="73"/>
      <c r="R89" s="73"/>
      <c r="S89" s="73"/>
      <c r="T89" s="73"/>
      <c r="U89" s="73"/>
      <c r="V89" s="73"/>
      <c r="W89" s="73"/>
      <c r="X89" s="73"/>
    </row>
    <row r="90">
      <c r="A90" s="74">
        <v>89.0</v>
      </c>
      <c r="B90" s="74" t="s">
        <v>26</v>
      </c>
      <c r="C90" s="74"/>
      <c r="D90" s="75" t="s">
        <v>1411</v>
      </c>
      <c r="E90" s="76">
        <v>45622.0</v>
      </c>
      <c r="F90" s="74" t="str">
        <f>VLOOKUP(D90,Sheet15!D:H,5,FALSE)</f>
        <v>مرفوض</v>
      </c>
      <c r="G90" s="74"/>
      <c r="H90" s="74" t="s">
        <v>1401</v>
      </c>
      <c r="I90" s="74" t="str">
        <f>VLOOKUP(D90,Sheet15!D:K,8,FALSE)</f>
        <v>2024-402314</v>
      </c>
      <c r="J90" s="76">
        <f t="shared" si="1"/>
        <v>-45622</v>
      </c>
      <c r="K90" s="77" t="str">
        <f>VLOOKUP(D90,Sheet15!D:G,4,FALSE)</f>
        <v>تعليق الموظف: المكونات( products from
 processing fruits (apple, grape))،(locust bean meal)،( magnesium fumarate)نامل تزويدنا بالملف العلمي والرقم المرجعي حسب اللوائح والمواصفات الخاصة بالاعلاف</v>
      </c>
      <c r="L90" s="73"/>
      <c r="M90" s="73"/>
      <c r="N90" s="73"/>
      <c r="O90" s="73"/>
      <c r="P90" s="73"/>
      <c r="Q90" s="73"/>
      <c r="R90" s="73"/>
      <c r="S90" s="73"/>
      <c r="T90" s="73"/>
      <c r="U90" s="73"/>
      <c r="V90" s="73"/>
      <c r="W90" s="73"/>
      <c r="X90" s="73"/>
    </row>
    <row r="91">
      <c r="A91" s="74">
        <v>90.0</v>
      </c>
      <c r="B91" s="74" t="s">
        <v>1412</v>
      </c>
      <c r="C91" s="74"/>
      <c r="D91" s="75" t="s">
        <v>1413</v>
      </c>
      <c r="E91" s="76">
        <v>45627.0</v>
      </c>
      <c r="F91" s="74" t="str">
        <f>VLOOKUP(D91,Sheet15!D:H,5,FALSE)</f>
        <v>مكتمل</v>
      </c>
      <c r="G91" s="74"/>
      <c r="H91" s="74" t="s">
        <v>29</v>
      </c>
      <c r="I91" s="74" t="str">
        <f>VLOOKUP(D91,Sheet15!D:K,8,FALSE)</f>
        <v>2024-402592</v>
      </c>
      <c r="J91" s="76">
        <f t="shared" si="1"/>
        <v>-45627</v>
      </c>
      <c r="K91" s="77" t="str">
        <f>VLOOKUP(D91,Sheet15!D:G,4,FALSE)</f>
        <v/>
      </c>
      <c r="L91" s="73"/>
      <c r="M91" s="73"/>
      <c r="N91" s="73"/>
      <c r="O91" s="73"/>
      <c r="P91" s="73"/>
      <c r="Q91" s="73"/>
      <c r="R91" s="73"/>
      <c r="S91" s="73"/>
      <c r="T91" s="73"/>
      <c r="U91" s="73"/>
      <c r="V91" s="73"/>
      <c r="W91" s="73"/>
      <c r="X91" s="73"/>
    </row>
    <row r="92">
      <c r="A92" s="74">
        <v>91.0</v>
      </c>
      <c r="B92" s="74" t="s">
        <v>1412</v>
      </c>
      <c r="C92" s="74"/>
      <c r="D92" s="75" t="s">
        <v>1414</v>
      </c>
      <c r="E92" s="76">
        <v>45627.0</v>
      </c>
      <c r="F92" s="74" t="str">
        <f>VLOOKUP(D92,Sheet15!D:H,5,FALSE)</f>
        <v>مكتمل</v>
      </c>
      <c r="G92" s="74"/>
      <c r="H92" s="74" t="s">
        <v>29</v>
      </c>
      <c r="I92" s="74" t="str">
        <f>VLOOKUP(D92,Sheet15!D:K,8,FALSE)</f>
        <v>2024-402592</v>
      </c>
      <c r="J92" s="76">
        <f t="shared" si="1"/>
        <v>-45627</v>
      </c>
      <c r="K92" s="77" t="str">
        <f>VLOOKUP(D92,Sheet15!D:G,4,FALSE)</f>
        <v/>
      </c>
      <c r="L92" s="73"/>
      <c r="M92" s="73"/>
      <c r="N92" s="73"/>
      <c r="O92" s="73"/>
      <c r="P92" s="73"/>
      <c r="Q92" s="73"/>
      <c r="R92" s="73"/>
      <c r="S92" s="73"/>
      <c r="T92" s="73"/>
      <c r="U92" s="73"/>
      <c r="V92" s="73"/>
      <c r="W92" s="73"/>
      <c r="X92" s="73"/>
    </row>
    <row r="93">
      <c r="A93" s="74">
        <v>92.0</v>
      </c>
      <c r="B93" s="74" t="s">
        <v>1412</v>
      </c>
      <c r="C93" s="74"/>
      <c r="D93" s="75" t="s">
        <v>1415</v>
      </c>
      <c r="E93" s="76">
        <v>45627.0</v>
      </c>
      <c r="F93" s="74" t="str">
        <f>VLOOKUP(D93,Sheet15!D:H,5,FALSE)</f>
        <v>مكتمل</v>
      </c>
      <c r="G93" s="74"/>
      <c r="H93" s="74" t="s">
        <v>29</v>
      </c>
      <c r="I93" s="74" t="str">
        <f>VLOOKUP(D93,Sheet15!D:K,8,FALSE)</f>
        <v>2024-402637</v>
      </c>
      <c r="J93" s="76">
        <f t="shared" si="1"/>
        <v>-45627</v>
      </c>
      <c r="K93" s="77" t="str">
        <f>VLOOKUP(D93,Sheet15!D:G,4,FALSE)</f>
        <v/>
      </c>
      <c r="L93" s="73"/>
      <c r="M93" s="73"/>
      <c r="N93" s="73"/>
      <c r="O93" s="73"/>
      <c r="P93" s="73"/>
      <c r="Q93" s="73"/>
      <c r="R93" s="73"/>
      <c r="S93" s="73"/>
      <c r="T93" s="73"/>
      <c r="U93" s="73"/>
      <c r="V93" s="73"/>
      <c r="W93" s="73"/>
      <c r="X93" s="73"/>
    </row>
    <row r="94">
      <c r="A94" s="74">
        <v>93.0</v>
      </c>
      <c r="B94" s="74" t="s">
        <v>1412</v>
      </c>
      <c r="C94" s="74"/>
      <c r="D94" s="75" t="s">
        <v>1416</v>
      </c>
      <c r="E94" s="76">
        <v>45627.0</v>
      </c>
      <c r="F94" s="74" t="str">
        <f>VLOOKUP(D94,Sheet15!D:H,5,FALSE)</f>
        <v>مكتمل</v>
      </c>
      <c r="G94" s="74"/>
      <c r="H94" s="74" t="s">
        <v>29</v>
      </c>
      <c r="I94" s="74" t="str">
        <f>VLOOKUP(D94,Sheet15!D:K,8,FALSE)</f>
        <v>2024-402637</v>
      </c>
      <c r="J94" s="76">
        <f t="shared" si="1"/>
        <v>-45627</v>
      </c>
      <c r="K94" s="77" t="str">
        <f>VLOOKUP(D94,Sheet15!D:G,4,FALSE)</f>
        <v/>
      </c>
      <c r="L94" s="73"/>
      <c r="M94" s="73"/>
      <c r="N94" s="73"/>
      <c r="O94" s="73"/>
      <c r="P94" s="73"/>
      <c r="Q94" s="73"/>
      <c r="R94" s="73"/>
      <c r="S94" s="73"/>
      <c r="T94" s="73"/>
      <c r="U94" s="73"/>
      <c r="V94" s="73"/>
      <c r="W94" s="73"/>
      <c r="X94" s="73"/>
    </row>
    <row r="95">
      <c r="A95" s="74">
        <v>94.0</v>
      </c>
      <c r="B95" s="74" t="s">
        <v>26</v>
      </c>
      <c r="C95" s="74"/>
      <c r="D95" s="75" t="s">
        <v>1417</v>
      </c>
      <c r="E95" s="76">
        <v>45627.0</v>
      </c>
      <c r="F95" s="74" t="str">
        <f>VLOOKUP(D95,Sheet15!D:H,5,FALSE)</f>
        <v>مكتمل</v>
      </c>
      <c r="G95" s="74"/>
      <c r="H95" s="74" t="s">
        <v>29</v>
      </c>
      <c r="I95" s="74" t="str">
        <f>VLOOKUP(D95,Sheet15!D:K,8,FALSE)</f>
        <v>P-1-N-040521-2461</v>
      </c>
      <c r="J95" s="76">
        <f t="shared" si="1"/>
        <v>-45627</v>
      </c>
      <c r="K95" s="77" t="str">
        <f>VLOOKUP(D95,Sheet15!D:G,4,FALSE)</f>
        <v/>
      </c>
      <c r="L95" s="73"/>
      <c r="M95" s="73"/>
      <c r="N95" s="73"/>
      <c r="O95" s="73"/>
      <c r="P95" s="73"/>
      <c r="Q95" s="73"/>
      <c r="R95" s="73"/>
      <c r="S95" s="73"/>
      <c r="T95" s="73"/>
      <c r="U95" s="73"/>
      <c r="V95" s="73"/>
      <c r="W95" s="73"/>
      <c r="X95" s="73"/>
    </row>
    <row r="96">
      <c r="A96" s="74">
        <v>95.0</v>
      </c>
      <c r="B96" s="74" t="s">
        <v>26</v>
      </c>
      <c r="C96" s="74"/>
      <c r="D96" s="75" t="s">
        <v>1418</v>
      </c>
      <c r="E96" s="76">
        <v>45627.0</v>
      </c>
      <c r="F96" s="74" t="str">
        <f>VLOOKUP(D96,Sheet15!D:H,5,FALSE)</f>
        <v>مكتمل</v>
      </c>
      <c r="G96" s="74"/>
      <c r="H96" s="74" t="s">
        <v>29</v>
      </c>
      <c r="I96" s="74" t="str">
        <f>VLOOKUP(D96,Sheet15!D:K,8,FALSE)</f>
        <v>P-1-N-040521-2465</v>
      </c>
      <c r="J96" s="76">
        <f t="shared" si="1"/>
        <v>-45627</v>
      </c>
      <c r="K96" s="77" t="str">
        <f>VLOOKUP(D96,Sheet15!D:G,4,FALSE)</f>
        <v/>
      </c>
      <c r="L96" s="73"/>
      <c r="M96" s="73"/>
      <c r="N96" s="73"/>
      <c r="O96" s="73"/>
      <c r="P96" s="73"/>
      <c r="Q96" s="73"/>
      <c r="R96" s="73"/>
      <c r="S96" s="73"/>
      <c r="T96" s="73"/>
      <c r="U96" s="73"/>
      <c r="V96" s="73"/>
      <c r="W96" s="73"/>
      <c r="X96" s="73"/>
    </row>
    <row r="97">
      <c r="A97" s="74">
        <v>96.0</v>
      </c>
      <c r="B97" s="74" t="s">
        <v>26</v>
      </c>
      <c r="C97" s="74"/>
      <c r="D97" s="75" t="s">
        <v>1419</v>
      </c>
      <c r="E97" s="76">
        <v>45627.0</v>
      </c>
      <c r="F97" s="78" t="s">
        <v>1420</v>
      </c>
      <c r="G97" s="74"/>
      <c r="H97" s="74" t="s">
        <v>29</v>
      </c>
      <c r="I97" s="74" t="str">
        <f>VLOOKUP(D97,Sheet15!D:K,8,FALSE)</f>
        <v>#N/A</v>
      </c>
      <c r="J97" s="76">
        <f t="shared" si="1"/>
        <v>-45627</v>
      </c>
      <c r="K97" s="77" t="str">
        <f>VLOOKUP(D97,Sheet15!D:G,4,FALSE)</f>
        <v>#N/A</v>
      </c>
      <c r="L97" s="73"/>
      <c r="M97" s="73"/>
      <c r="N97" s="73"/>
      <c r="O97" s="73"/>
      <c r="P97" s="73"/>
      <c r="Q97" s="73"/>
      <c r="R97" s="73"/>
      <c r="S97" s="73"/>
      <c r="T97" s="73"/>
      <c r="U97" s="73"/>
      <c r="V97" s="73"/>
      <c r="W97" s="73"/>
      <c r="X97" s="73"/>
    </row>
    <row r="98">
      <c r="A98" s="74">
        <v>97.0</v>
      </c>
      <c r="B98" s="74" t="s">
        <v>1421</v>
      </c>
      <c r="C98" s="74"/>
      <c r="D98" s="75" t="s">
        <v>1422</v>
      </c>
      <c r="E98" s="76">
        <v>45630.0</v>
      </c>
      <c r="F98" s="74" t="str">
        <f>VLOOKUP(D98,Sheet15!D:H,5,FALSE)</f>
        <v>مكتمل</v>
      </c>
      <c r="G98" s="74"/>
      <c r="H98" s="74" t="s">
        <v>29</v>
      </c>
      <c r="I98" s="74" t="str">
        <f>VLOOKUP(D98,Sheet15!D:K,8,FALSE)</f>
        <v>2024-415807</v>
      </c>
      <c r="J98" s="76">
        <f t="shared" si="1"/>
        <v>-45630</v>
      </c>
      <c r="K98" s="77" t="str">
        <f>VLOOKUP(D98,Sheet15!D:G,4,FALSE)</f>
        <v/>
      </c>
      <c r="L98" s="73"/>
      <c r="M98" s="73"/>
      <c r="N98" s="73"/>
      <c r="O98" s="73"/>
      <c r="P98" s="73"/>
      <c r="Q98" s="73"/>
      <c r="R98" s="73"/>
      <c r="S98" s="73"/>
      <c r="T98" s="73"/>
      <c r="U98" s="73"/>
      <c r="V98" s="73"/>
      <c r="W98" s="73"/>
      <c r="X98" s="73"/>
    </row>
    <row r="99">
      <c r="A99" s="74">
        <v>98.0</v>
      </c>
      <c r="B99" s="74" t="s">
        <v>1421</v>
      </c>
      <c r="C99" s="74"/>
      <c r="D99" s="75" t="s">
        <v>1423</v>
      </c>
      <c r="E99" s="76">
        <v>45630.0</v>
      </c>
      <c r="F99" s="74" t="str">
        <f>VLOOKUP(D99,Sheet15!D:H,5,FALSE)</f>
        <v>مكتمل</v>
      </c>
      <c r="G99" s="74"/>
      <c r="H99" s="74" t="s">
        <v>29</v>
      </c>
      <c r="I99" s="74" t="str">
        <f>VLOOKUP(D99,Sheet15!D:K,8,FALSE)</f>
        <v>2024-415821</v>
      </c>
      <c r="J99" s="76">
        <f t="shared" si="1"/>
        <v>-45630</v>
      </c>
      <c r="K99" s="77" t="str">
        <f>VLOOKUP(D99,Sheet15!D:G,4,FALSE)</f>
        <v/>
      </c>
      <c r="L99" s="73"/>
      <c r="M99" s="73"/>
      <c r="N99" s="73"/>
      <c r="O99" s="73"/>
      <c r="P99" s="73"/>
      <c r="Q99" s="73"/>
      <c r="R99" s="73"/>
      <c r="S99" s="73"/>
      <c r="T99" s="73"/>
      <c r="U99" s="73"/>
      <c r="V99" s="73"/>
      <c r="W99" s="73"/>
      <c r="X99" s="73"/>
    </row>
    <row r="100">
      <c r="A100" s="74">
        <v>99.0</v>
      </c>
      <c r="B100" s="74" t="s">
        <v>1421</v>
      </c>
      <c r="C100" s="74"/>
      <c r="D100" s="75" t="s">
        <v>1424</v>
      </c>
      <c r="E100" s="76">
        <v>45630.0</v>
      </c>
      <c r="F100" s="74" t="str">
        <f>VLOOKUP(D100,Sheet15!D:H,5,FALSE)</f>
        <v>مكتمل</v>
      </c>
      <c r="G100" s="74"/>
      <c r="H100" s="74" t="s">
        <v>29</v>
      </c>
      <c r="I100" s="74" t="str">
        <f>VLOOKUP(D100,Sheet15!D:K,8,FALSE)</f>
        <v>2024-415828</v>
      </c>
      <c r="J100" s="76">
        <f t="shared" si="1"/>
        <v>-45630</v>
      </c>
      <c r="K100" s="77" t="str">
        <f>VLOOKUP(D100,Sheet15!D:G,4,FALSE)</f>
        <v/>
      </c>
      <c r="L100" s="73"/>
      <c r="M100" s="73"/>
      <c r="N100" s="73"/>
      <c r="O100" s="73"/>
      <c r="P100" s="73"/>
      <c r="Q100" s="73"/>
      <c r="R100" s="73"/>
      <c r="S100" s="73"/>
      <c r="T100" s="73"/>
      <c r="U100" s="73"/>
      <c r="V100" s="73"/>
      <c r="W100" s="73"/>
      <c r="X100" s="73"/>
    </row>
    <row r="101">
      <c r="A101" s="74">
        <v>100.0</v>
      </c>
      <c r="B101" s="74" t="s">
        <v>1421</v>
      </c>
      <c r="C101" s="74"/>
      <c r="D101" s="75" t="s">
        <v>1425</v>
      </c>
      <c r="E101" s="76">
        <v>45630.0</v>
      </c>
      <c r="F101" s="74" t="str">
        <f>VLOOKUP(D101,Sheet15!D:H,5,FALSE)</f>
        <v>مكتمل</v>
      </c>
      <c r="G101" s="74"/>
      <c r="H101" s="74" t="s">
        <v>29</v>
      </c>
      <c r="I101" s="74" t="str">
        <f>VLOOKUP(D101,Sheet15!D:K,8,FALSE)</f>
        <v>2024-415839</v>
      </c>
      <c r="J101" s="76">
        <f t="shared" si="1"/>
        <v>-45630</v>
      </c>
      <c r="K101" s="77" t="str">
        <f>VLOOKUP(D101,Sheet15!D:G,4,FALSE)</f>
        <v/>
      </c>
      <c r="L101" s="73"/>
      <c r="M101" s="73"/>
      <c r="N101" s="73"/>
      <c r="O101" s="73"/>
      <c r="P101" s="73"/>
      <c r="Q101" s="73"/>
      <c r="R101" s="73"/>
      <c r="S101" s="73"/>
      <c r="T101" s="73"/>
      <c r="U101" s="73"/>
      <c r="V101" s="73"/>
      <c r="W101" s="73"/>
      <c r="X101" s="73"/>
    </row>
    <row r="102">
      <c r="A102" s="74">
        <v>101.0</v>
      </c>
      <c r="B102" s="74" t="s">
        <v>1421</v>
      </c>
      <c r="C102" s="74"/>
      <c r="D102" s="75" t="s">
        <v>1426</v>
      </c>
      <c r="E102" s="76">
        <v>45630.0</v>
      </c>
      <c r="F102" s="78" t="s">
        <v>1427</v>
      </c>
      <c r="G102" s="74"/>
      <c r="H102" s="74" t="s">
        <v>1401</v>
      </c>
      <c r="I102" s="74" t="str">
        <f>VLOOKUP(D102,Sheet15!D:K,8,FALSE)</f>
        <v>2024-415845</v>
      </c>
      <c r="J102" s="76">
        <f t="shared" si="1"/>
        <v>-45630</v>
      </c>
      <c r="K102" s="77" t="str">
        <f>VLOOKUP(D102,Sheet15!D:G,4,FALSE)</f>
        <v/>
      </c>
      <c r="L102" s="73"/>
      <c r="M102" s="73"/>
      <c r="N102" s="73"/>
      <c r="O102" s="73"/>
      <c r="P102" s="73"/>
      <c r="Q102" s="73"/>
      <c r="R102" s="73"/>
      <c r="S102" s="73"/>
      <c r="T102" s="73"/>
      <c r="U102" s="73"/>
      <c r="V102" s="73"/>
      <c r="W102" s="73"/>
      <c r="X102" s="73"/>
    </row>
    <row r="103">
      <c r="A103" s="74">
        <v>102.0</v>
      </c>
      <c r="B103" s="74" t="s">
        <v>1421</v>
      </c>
      <c r="C103" s="74"/>
      <c r="D103" s="75" t="s">
        <v>1428</v>
      </c>
      <c r="E103" s="76">
        <v>45630.0</v>
      </c>
      <c r="F103" s="78" t="s">
        <v>1427</v>
      </c>
      <c r="G103" s="74"/>
      <c r="H103" s="74" t="s">
        <v>1401</v>
      </c>
      <c r="I103" s="74" t="str">
        <f>VLOOKUP(D103,Sheet15!D:K,8,FALSE)</f>
        <v>2024-415851</v>
      </c>
      <c r="J103" s="76">
        <f t="shared" si="1"/>
        <v>-45630</v>
      </c>
      <c r="K103" s="77" t="str">
        <f>VLOOKUP(D103,Sheet15!D:G,4,FALSE)</f>
        <v>المكون (linseed) ليس من المدخلات العلفية ,</v>
      </c>
      <c r="L103" s="73"/>
      <c r="M103" s="73"/>
      <c r="N103" s="73"/>
      <c r="O103" s="73"/>
      <c r="P103" s="73"/>
      <c r="Q103" s="73"/>
      <c r="R103" s="73"/>
      <c r="S103" s="73"/>
      <c r="T103" s="73"/>
      <c r="U103" s="73"/>
      <c r="V103" s="73"/>
      <c r="W103" s="73"/>
      <c r="X103" s="73"/>
    </row>
    <row r="104">
      <c r="A104" s="74">
        <v>103.0</v>
      </c>
      <c r="B104" s="74" t="s">
        <v>26</v>
      </c>
      <c r="C104" s="74"/>
      <c r="D104" s="75" t="s">
        <v>1429</v>
      </c>
      <c r="E104" s="76">
        <v>45634.0</v>
      </c>
      <c r="F104" s="74" t="str">
        <f>VLOOKUP(D104,Sheet15!D:H,5,FALSE)</f>
        <v>مكتمل</v>
      </c>
      <c r="G104" s="74"/>
      <c r="H104" s="74" t="s">
        <v>29</v>
      </c>
      <c r="I104" s="74" t="str">
        <f>VLOOKUP(D104,Sheet15!D:K,8,FALSE)</f>
        <v>2024-406431</v>
      </c>
      <c r="J104" s="76">
        <f t="shared" si="1"/>
        <v>-45634</v>
      </c>
      <c r="K104" s="77" t="str">
        <f>VLOOKUP(D104,Sheet15!D:G,4,FALSE)</f>
        <v/>
      </c>
      <c r="L104" s="73"/>
      <c r="M104" s="73"/>
      <c r="N104" s="73"/>
      <c r="O104" s="73"/>
      <c r="P104" s="73"/>
      <c r="Q104" s="73"/>
      <c r="R104" s="73"/>
      <c r="S104" s="73"/>
      <c r="T104" s="73"/>
      <c r="U104" s="73"/>
      <c r="V104" s="73"/>
      <c r="W104" s="73"/>
      <c r="X104" s="73"/>
    </row>
    <row r="105">
      <c r="A105" s="74">
        <v>104.0</v>
      </c>
      <c r="B105" s="74" t="s">
        <v>26</v>
      </c>
      <c r="C105" s="74"/>
      <c r="D105" s="75" t="s">
        <v>1430</v>
      </c>
      <c r="E105" s="76">
        <v>45634.0</v>
      </c>
      <c r="F105" s="74" t="str">
        <f>VLOOKUP(D105,Sheet15!D:H,5,FALSE)</f>
        <v>مكتمل</v>
      </c>
      <c r="G105" s="74"/>
      <c r="H105" s="74" t="s">
        <v>29</v>
      </c>
      <c r="I105" s="74" t="str">
        <f>VLOOKUP(D105,Sheet15!D:K,8,FALSE)</f>
        <v>2024-406441</v>
      </c>
      <c r="J105" s="76">
        <f t="shared" si="1"/>
        <v>-45634</v>
      </c>
      <c r="K105" s="77" t="str">
        <f>VLOOKUP(D105,Sheet15!D:G,4,FALSE)</f>
        <v/>
      </c>
      <c r="L105" s="73"/>
      <c r="M105" s="73"/>
      <c r="N105" s="73"/>
      <c r="O105" s="73"/>
      <c r="P105" s="73"/>
      <c r="Q105" s="73"/>
      <c r="R105" s="73"/>
      <c r="S105" s="73"/>
      <c r="T105" s="73"/>
      <c r="U105" s="73"/>
      <c r="V105" s="73"/>
      <c r="W105" s="73"/>
      <c r="X105" s="73"/>
    </row>
    <row r="106">
      <c r="A106" s="74">
        <v>105.0</v>
      </c>
      <c r="B106" s="74" t="s">
        <v>26</v>
      </c>
      <c r="C106" s="74"/>
      <c r="D106" s="75" t="s">
        <v>1431</v>
      </c>
      <c r="E106" s="76">
        <v>45634.0</v>
      </c>
      <c r="F106" s="78" t="s">
        <v>1420</v>
      </c>
      <c r="G106" s="74"/>
      <c r="H106" s="74" t="s">
        <v>29</v>
      </c>
      <c r="I106" s="74" t="str">
        <f>VLOOKUP(D106,Sheet15!D:K,8,FALSE)</f>
        <v>#N/A</v>
      </c>
      <c r="J106" s="76">
        <f t="shared" si="1"/>
        <v>-45634</v>
      </c>
      <c r="K106" s="77" t="str">
        <f>VLOOKUP(D106,Sheet15!D:G,4,FALSE)</f>
        <v>#N/A</v>
      </c>
      <c r="L106" s="73"/>
      <c r="M106" s="73"/>
      <c r="N106" s="73"/>
      <c r="O106" s="73"/>
      <c r="P106" s="73"/>
      <c r="Q106" s="73"/>
      <c r="R106" s="73"/>
      <c r="S106" s="73"/>
      <c r="T106" s="73"/>
      <c r="U106" s="73"/>
      <c r="V106" s="73"/>
      <c r="W106" s="73"/>
      <c r="X106" s="73"/>
    </row>
    <row r="107">
      <c r="A107" s="74">
        <v>106.0</v>
      </c>
      <c r="B107" s="74" t="s">
        <v>26</v>
      </c>
      <c r="C107" s="74"/>
      <c r="D107" s="75" t="s">
        <v>1432</v>
      </c>
      <c r="E107" s="76">
        <v>45634.0</v>
      </c>
      <c r="F107" s="74" t="str">
        <f>VLOOKUP(D107,Sheet15!D:H,5,FALSE)</f>
        <v>مكتمل</v>
      </c>
      <c r="G107" s="74"/>
      <c r="H107" s="74" t="s">
        <v>29</v>
      </c>
      <c r="I107" s="74" t="str">
        <f>VLOOKUP(D107,Sheet15!D:K,8,FALSE)</f>
        <v>2024-406474</v>
      </c>
      <c r="J107" s="76">
        <f t="shared" si="1"/>
        <v>-45634</v>
      </c>
      <c r="K107" s="77" t="str">
        <f>VLOOKUP(D107,Sheet15!D:G,4,FALSE)</f>
        <v/>
      </c>
      <c r="L107" s="73"/>
      <c r="M107" s="73"/>
      <c r="N107" s="73"/>
      <c r="O107" s="73"/>
      <c r="P107" s="73"/>
      <c r="Q107" s="73"/>
      <c r="R107" s="73"/>
      <c r="S107" s="73"/>
      <c r="T107" s="73"/>
      <c r="U107" s="73"/>
      <c r="V107" s="73"/>
      <c r="W107" s="73"/>
      <c r="X107" s="73"/>
    </row>
    <row r="108">
      <c r="A108" s="74">
        <v>107.0</v>
      </c>
      <c r="B108" s="74" t="s">
        <v>26</v>
      </c>
      <c r="C108" s="74"/>
      <c r="D108" s="75" t="s">
        <v>1433</v>
      </c>
      <c r="E108" s="76">
        <v>45634.0</v>
      </c>
      <c r="F108" s="74" t="str">
        <f>VLOOKUP(D108,Sheet15!D:H,5,FALSE)</f>
        <v>مكتمل</v>
      </c>
      <c r="G108" s="74"/>
      <c r="H108" s="74" t="s">
        <v>29</v>
      </c>
      <c r="I108" s="74" t="str">
        <f>VLOOKUP(D108,Sheet15!D:K,8,FALSE)</f>
        <v>2024-406491</v>
      </c>
      <c r="J108" s="76">
        <f t="shared" si="1"/>
        <v>-45634</v>
      </c>
      <c r="K108" s="77" t="str">
        <f>VLOOKUP(D108,Sheet15!D:G,4,FALSE)</f>
        <v/>
      </c>
      <c r="L108" s="73"/>
      <c r="M108" s="73"/>
      <c r="N108" s="73"/>
      <c r="O108" s="73"/>
      <c r="P108" s="73"/>
      <c r="Q108" s="73"/>
      <c r="R108" s="73"/>
      <c r="S108" s="73"/>
      <c r="T108" s="73"/>
      <c r="U108" s="73"/>
      <c r="V108" s="73"/>
      <c r="W108" s="73"/>
      <c r="X108" s="73"/>
    </row>
    <row r="109">
      <c r="A109" s="74">
        <v>108.0</v>
      </c>
      <c r="B109" s="74" t="s">
        <v>26</v>
      </c>
      <c r="C109" s="74"/>
      <c r="D109" s="75" t="s">
        <v>1434</v>
      </c>
      <c r="E109" s="76">
        <v>45634.0</v>
      </c>
      <c r="F109" s="74" t="str">
        <f>VLOOKUP(D109,Sheet15!D:H,5,FALSE)</f>
        <v>مكتمل</v>
      </c>
      <c r="G109" s="74"/>
      <c r="H109" s="74" t="s">
        <v>29</v>
      </c>
      <c r="I109" s="74" t="str">
        <f>VLOOKUP(D109,Sheet15!D:K,8,FALSE)</f>
        <v>2024-406497</v>
      </c>
      <c r="J109" s="76">
        <f t="shared" si="1"/>
        <v>-45634</v>
      </c>
      <c r="K109" s="77" t="str">
        <f>VLOOKUP(D109,Sheet15!D:G,4,FALSE)</f>
        <v/>
      </c>
      <c r="L109" s="73"/>
      <c r="M109" s="73"/>
      <c r="N109" s="73"/>
      <c r="O109" s="73"/>
      <c r="P109" s="73"/>
      <c r="Q109" s="73"/>
      <c r="R109" s="73"/>
      <c r="S109" s="73"/>
      <c r="T109" s="73"/>
      <c r="U109" s="73"/>
      <c r="V109" s="73"/>
      <c r="W109" s="73"/>
      <c r="X109" s="73"/>
    </row>
    <row r="110">
      <c r="A110" s="74">
        <v>109.0</v>
      </c>
      <c r="B110" s="74" t="s">
        <v>26</v>
      </c>
      <c r="C110" s="74"/>
      <c r="D110" s="75" t="s">
        <v>1435</v>
      </c>
      <c r="E110" s="76">
        <v>45634.0</v>
      </c>
      <c r="F110" s="74" t="str">
        <f>VLOOKUP(D110,Sheet15!D:H,5,FALSE)</f>
        <v>مكتمل</v>
      </c>
      <c r="G110" s="74"/>
      <c r="H110" s="74" t="s">
        <v>29</v>
      </c>
      <c r="I110" s="74" t="str">
        <f>VLOOKUP(D110,Sheet15!D:K,8,FALSE)</f>
        <v>2024-406508</v>
      </c>
      <c r="J110" s="76">
        <f t="shared" si="1"/>
        <v>-45634</v>
      </c>
      <c r="K110" s="77" t="str">
        <f>VLOOKUP(D110,Sheet15!D:G,4,FALSE)</f>
        <v/>
      </c>
      <c r="L110" s="73"/>
      <c r="M110" s="73"/>
      <c r="N110" s="73"/>
      <c r="O110" s="73"/>
      <c r="P110" s="73"/>
      <c r="Q110" s="73"/>
      <c r="R110" s="73"/>
      <c r="S110" s="73"/>
      <c r="T110" s="73"/>
      <c r="U110" s="73"/>
      <c r="V110" s="73"/>
      <c r="W110" s="73"/>
      <c r="X110" s="73"/>
    </row>
    <row r="111">
      <c r="A111" s="74">
        <v>110.0</v>
      </c>
      <c r="B111" s="74" t="s">
        <v>26</v>
      </c>
      <c r="C111" s="74"/>
      <c r="D111" s="75" t="s">
        <v>1436</v>
      </c>
      <c r="E111" s="76">
        <v>45634.0</v>
      </c>
      <c r="F111" s="74" t="str">
        <f>VLOOKUP(D111,Sheet15!D:H,5,FALSE)</f>
        <v>مكتمل</v>
      </c>
      <c r="G111" s="74"/>
      <c r="H111" s="74" t="s">
        <v>29</v>
      </c>
      <c r="I111" s="74" t="str">
        <f>VLOOKUP(D111,Sheet15!D:K,8,FALSE)</f>
        <v>2024-406529</v>
      </c>
      <c r="J111" s="76">
        <f t="shared" si="1"/>
        <v>-45634</v>
      </c>
      <c r="K111" s="77" t="str">
        <f>VLOOKUP(D111,Sheet15!D:G,4,FALSE)</f>
        <v/>
      </c>
      <c r="L111" s="73"/>
      <c r="M111" s="73"/>
      <c r="N111" s="73"/>
      <c r="O111" s="73"/>
      <c r="P111" s="73"/>
      <c r="Q111" s="73"/>
      <c r="R111" s="73"/>
      <c r="S111" s="73"/>
      <c r="T111" s="73"/>
      <c r="U111" s="73"/>
      <c r="V111" s="73"/>
      <c r="W111" s="73"/>
      <c r="X111" s="73"/>
    </row>
    <row r="112">
      <c r="A112" s="74">
        <v>111.0</v>
      </c>
      <c r="B112" s="74" t="s">
        <v>26</v>
      </c>
      <c r="C112" s="74"/>
      <c r="D112" s="75" t="s">
        <v>1437</v>
      </c>
      <c r="E112" s="76">
        <v>45634.0</v>
      </c>
      <c r="F112" s="74" t="str">
        <f>VLOOKUP(D112,Sheet15!D:H,5,FALSE)</f>
        <v>مكتمل</v>
      </c>
      <c r="G112" s="74"/>
      <c r="H112" s="74" t="s">
        <v>29</v>
      </c>
      <c r="I112" s="74" t="str">
        <f>VLOOKUP(D112,Sheet15!D:K,8,FALSE)</f>
        <v>2024-406563</v>
      </c>
      <c r="J112" s="76">
        <f t="shared" si="1"/>
        <v>-45634</v>
      </c>
      <c r="K112" s="77" t="str">
        <f>VLOOKUP(D112,Sheet15!D:G,4,FALSE)</f>
        <v/>
      </c>
      <c r="L112" s="73"/>
      <c r="M112" s="73"/>
      <c r="N112" s="73"/>
      <c r="O112" s="73"/>
      <c r="P112" s="73"/>
      <c r="Q112" s="73"/>
      <c r="R112" s="73"/>
      <c r="S112" s="73"/>
      <c r="T112" s="73"/>
      <c r="U112" s="73"/>
      <c r="V112" s="73"/>
      <c r="W112" s="73"/>
      <c r="X112" s="73"/>
    </row>
    <row r="113">
      <c r="A113" s="74">
        <v>112.0</v>
      </c>
      <c r="B113" s="74" t="s">
        <v>26</v>
      </c>
      <c r="C113" s="74"/>
      <c r="D113" s="75" t="s">
        <v>1438</v>
      </c>
      <c r="E113" s="76">
        <v>45634.0</v>
      </c>
      <c r="F113" s="74" t="str">
        <f>VLOOKUP(D113,Sheet15!D:H,5,FALSE)</f>
        <v>مكتمل</v>
      </c>
      <c r="G113" s="74"/>
      <c r="H113" s="74" t="s">
        <v>29</v>
      </c>
      <c r="I113" s="74" t="str">
        <f>VLOOKUP(D113,Sheet15!D:K,8,FALSE)</f>
        <v>2024-406575</v>
      </c>
      <c r="J113" s="76">
        <f t="shared" si="1"/>
        <v>-45634</v>
      </c>
      <c r="K113" s="77" t="str">
        <f>VLOOKUP(D113,Sheet15!D:G,4,FALSE)</f>
        <v/>
      </c>
      <c r="L113" s="73"/>
      <c r="M113" s="73"/>
      <c r="N113" s="73"/>
      <c r="O113" s="73"/>
      <c r="P113" s="73"/>
      <c r="Q113" s="73"/>
      <c r="R113" s="73"/>
      <c r="S113" s="73"/>
      <c r="T113" s="73"/>
      <c r="U113" s="73"/>
      <c r="V113" s="73"/>
      <c r="W113" s="73"/>
      <c r="X113" s="73"/>
    </row>
    <row r="114">
      <c r="A114" s="74">
        <v>113.0</v>
      </c>
      <c r="B114" s="74" t="s">
        <v>26</v>
      </c>
      <c r="C114" s="74"/>
      <c r="D114" s="75" t="s">
        <v>1439</v>
      </c>
      <c r="E114" s="76">
        <v>45634.0</v>
      </c>
      <c r="F114" s="74" t="str">
        <f>VLOOKUP(D114,Sheet15!D:H,5,FALSE)</f>
        <v>مكتمل</v>
      </c>
      <c r="G114" s="74"/>
      <c r="H114" s="74" t="s">
        <v>29</v>
      </c>
      <c r="I114" s="74" t="str">
        <f>VLOOKUP(D114,Sheet15!D:K,8,FALSE)</f>
        <v>2024-406600</v>
      </c>
      <c r="J114" s="76">
        <f t="shared" si="1"/>
        <v>-45634</v>
      </c>
      <c r="K114" s="77" t="str">
        <f>VLOOKUP(D114,Sheet15!D:G,4,FALSE)</f>
        <v/>
      </c>
      <c r="L114" s="73"/>
      <c r="M114" s="73"/>
      <c r="N114" s="73"/>
      <c r="O114" s="73"/>
      <c r="P114" s="73"/>
      <c r="Q114" s="73"/>
      <c r="R114" s="73"/>
      <c r="S114" s="73"/>
      <c r="T114" s="73"/>
      <c r="U114" s="73"/>
      <c r="V114" s="73"/>
      <c r="W114" s="73"/>
      <c r="X114" s="73"/>
    </row>
    <row r="115">
      <c r="A115" s="74">
        <v>114.0</v>
      </c>
      <c r="B115" s="74" t="s">
        <v>26</v>
      </c>
      <c r="C115" s="74"/>
      <c r="D115" s="75" t="s">
        <v>1440</v>
      </c>
      <c r="E115" s="76">
        <v>45634.0</v>
      </c>
      <c r="F115" s="74" t="str">
        <f>VLOOKUP(D115,Sheet15!D:H,5,FALSE)</f>
        <v>مكتمل</v>
      </c>
      <c r="G115" s="74"/>
      <c r="H115" s="74" t="s">
        <v>29</v>
      </c>
      <c r="I115" s="74" t="str">
        <f>VLOOKUP(D115,Sheet15!D:K,8,FALSE)</f>
        <v>2024-406611</v>
      </c>
      <c r="J115" s="76">
        <f t="shared" si="1"/>
        <v>-45634</v>
      </c>
      <c r="K115" s="77" t="str">
        <f>VLOOKUP(D115,Sheet15!D:G,4,FALSE)</f>
        <v/>
      </c>
      <c r="L115" s="73"/>
      <c r="M115" s="73"/>
      <c r="N115" s="73"/>
      <c r="O115" s="73"/>
      <c r="P115" s="73"/>
      <c r="Q115" s="73"/>
      <c r="R115" s="73"/>
      <c r="S115" s="73"/>
      <c r="T115" s="73"/>
      <c r="U115" s="73"/>
      <c r="V115" s="73"/>
      <c r="W115" s="73"/>
      <c r="X115" s="73"/>
    </row>
    <row r="116">
      <c r="A116" s="74">
        <v>115.0</v>
      </c>
      <c r="B116" s="74" t="s">
        <v>1441</v>
      </c>
      <c r="C116" s="74"/>
      <c r="D116" s="75" t="s">
        <v>1442</v>
      </c>
      <c r="E116" s="76">
        <v>45634.0</v>
      </c>
      <c r="F116" s="74" t="str">
        <f>VLOOKUP(D116,Sheet15!D:H,5,FALSE)</f>
        <v>مكتمل</v>
      </c>
      <c r="G116" s="74"/>
      <c r="H116" s="74" t="s">
        <v>29</v>
      </c>
      <c r="I116" s="74" t="str">
        <f>VLOOKUP(D116,Sheet15!D:K,8,FALSE)</f>
        <v>2024-404647</v>
      </c>
      <c r="J116" s="76">
        <f t="shared" si="1"/>
        <v>-45634</v>
      </c>
      <c r="K116" s="77" t="str">
        <f>VLOOKUP(D116,Sheet15!D:G,4,FALSE)</f>
        <v/>
      </c>
      <c r="L116" s="73"/>
      <c r="M116" s="73"/>
      <c r="N116" s="73"/>
      <c r="O116" s="73"/>
      <c r="P116" s="73"/>
      <c r="Q116" s="73"/>
      <c r="R116" s="73"/>
      <c r="S116" s="73"/>
      <c r="T116" s="73"/>
      <c r="U116" s="73"/>
      <c r="V116" s="73"/>
      <c r="W116" s="73"/>
      <c r="X116" s="73"/>
    </row>
    <row r="117">
      <c r="A117" s="74">
        <v>116.0</v>
      </c>
      <c r="B117" s="74" t="s">
        <v>1441</v>
      </c>
      <c r="C117" s="74"/>
      <c r="D117" s="75" t="s">
        <v>1443</v>
      </c>
      <c r="E117" s="76">
        <v>45634.0</v>
      </c>
      <c r="F117" s="74" t="str">
        <f>VLOOKUP(D117,Sheet15!D:H,5,FALSE)</f>
        <v>مكتمل</v>
      </c>
      <c r="G117" s="74"/>
      <c r="H117" s="74" t="s">
        <v>29</v>
      </c>
      <c r="I117" s="74" t="str">
        <f>VLOOKUP(D117,Sheet15!D:K,8,FALSE)</f>
        <v>2024-404683</v>
      </c>
      <c r="J117" s="76">
        <f t="shared" si="1"/>
        <v>-45634</v>
      </c>
      <c r="K117" s="77" t="str">
        <f>VLOOKUP(D117,Sheet15!D:G,4,FALSE)</f>
        <v/>
      </c>
      <c r="L117" s="73"/>
      <c r="M117" s="73"/>
      <c r="N117" s="73"/>
      <c r="O117" s="73"/>
      <c r="P117" s="73"/>
      <c r="Q117" s="73"/>
      <c r="R117" s="73"/>
      <c r="S117" s="73"/>
      <c r="T117" s="73"/>
      <c r="U117" s="73"/>
      <c r="V117" s="73"/>
      <c r="W117" s="73"/>
      <c r="X117" s="73"/>
    </row>
    <row r="118">
      <c r="A118" s="74">
        <v>117.0</v>
      </c>
      <c r="B118" s="74" t="s">
        <v>1441</v>
      </c>
      <c r="C118" s="74"/>
      <c r="D118" s="75" t="s">
        <v>1444</v>
      </c>
      <c r="E118" s="76">
        <v>45634.0</v>
      </c>
      <c r="F118" s="74" t="str">
        <f>VLOOKUP(D118,Sheet15!D:H,5,FALSE)</f>
        <v>مكتمل</v>
      </c>
      <c r="G118" s="74"/>
      <c r="H118" s="74" t="s">
        <v>29</v>
      </c>
      <c r="I118" s="74" t="str">
        <f>VLOOKUP(D118,Sheet15!D:K,8,FALSE)</f>
        <v>2024-404692</v>
      </c>
      <c r="J118" s="76">
        <f t="shared" si="1"/>
        <v>-45634</v>
      </c>
      <c r="K118" s="77" t="str">
        <f>VLOOKUP(D118,Sheet15!D:G,4,FALSE)</f>
        <v/>
      </c>
      <c r="L118" s="73"/>
      <c r="M118" s="73"/>
      <c r="N118" s="73"/>
      <c r="O118" s="73"/>
      <c r="P118" s="73"/>
      <c r="Q118" s="73"/>
      <c r="R118" s="73"/>
      <c r="S118" s="73"/>
      <c r="T118" s="73"/>
      <c r="U118" s="73"/>
      <c r="V118" s="73"/>
      <c r="W118" s="73"/>
      <c r="X118" s="73"/>
    </row>
    <row r="119">
      <c r="A119" s="74">
        <v>118.0</v>
      </c>
      <c r="B119" s="74" t="s">
        <v>1441</v>
      </c>
      <c r="C119" s="74"/>
      <c r="D119" s="75" t="s">
        <v>1445</v>
      </c>
      <c r="E119" s="76">
        <v>45634.0</v>
      </c>
      <c r="F119" s="74" t="str">
        <f>VLOOKUP(D119,Sheet15!D:H,5,FALSE)</f>
        <v>مكتمل</v>
      </c>
      <c r="G119" s="74"/>
      <c r="H119" s="74" t="s">
        <v>29</v>
      </c>
      <c r="I119" s="74" t="str">
        <f>VLOOKUP(D119,Sheet15!D:K,8,FALSE)</f>
        <v>2024-404707</v>
      </c>
      <c r="J119" s="76">
        <f t="shared" si="1"/>
        <v>-45634</v>
      </c>
      <c r="K119" s="77" t="str">
        <f>VLOOKUP(D119,Sheet15!D:G,4,FALSE)</f>
        <v/>
      </c>
      <c r="L119" s="73"/>
      <c r="M119" s="73"/>
      <c r="N119" s="73"/>
      <c r="O119" s="73"/>
      <c r="P119" s="73"/>
      <c r="Q119" s="73"/>
      <c r="R119" s="73"/>
      <c r="S119" s="73"/>
      <c r="T119" s="73"/>
      <c r="U119" s="73"/>
      <c r="V119" s="73"/>
      <c r="W119" s="73"/>
      <c r="X119" s="73"/>
    </row>
    <row r="120">
      <c r="A120" s="74">
        <v>119.0</v>
      </c>
      <c r="B120" s="74" t="s">
        <v>1441</v>
      </c>
      <c r="C120" s="74"/>
      <c r="D120" s="75" t="s">
        <v>1446</v>
      </c>
      <c r="E120" s="76">
        <v>45634.0</v>
      </c>
      <c r="F120" s="74" t="str">
        <f>VLOOKUP(D120,Sheet15!D:H,5,FALSE)</f>
        <v>مكتمل</v>
      </c>
      <c r="G120" s="74"/>
      <c r="H120" s="74" t="s">
        <v>29</v>
      </c>
      <c r="I120" s="74" t="str">
        <f>VLOOKUP(D120,Sheet15!D:K,8,FALSE)</f>
        <v>2024-404720</v>
      </c>
      <c r="J120" s="76">
        <f t="shared" si="1"/>
        <v>-45634</v>
      </c>
      <c r="K120" s="77" t="str">
        <f>VLOOKUP(D120,Sheet15!D:G,4,FALSE)</f>
        <v/>
      </c>
      <c r="L120" s="73"/>
      <c r="M120" s="73"/>
      <c r="N120" s="73"/>
      <c r="O120" s="73"/>
      <c r="P120" s="73"/>
      <c r="Q120" s="73"/>
      <c r="R120" s="73"/>
      <c r="S120" s="73"/>
      <c r="T120" s="73"/>
      <c r="U120" s="73"/>
      <c r="V120" s="73"/>
      <c r="W120" s="73"/>
      <c r="X120" s="73"/>
    </row>
    <row r="121">
      <c r="A121" s="74">
        <v>120.0</v>
      </c>
      <c r="B121" s="74" t="s">
        <v>1441</v>
      </c>
      <c r="C121" s="74"/>
      <c r="D121" s="75" t="s">
        <v>1447</v>
      </c>
      <c r="E121" s="76">
        <v>45634.0</v>
      </c>
      <c r="F121" s="74" t="str">
        <f>VLOOKUP(D121,Sheet15!D:H,5,FALSE)</f>
        <v>مكتمل</v>
      </c>
      <c r="G121" s="74"/>
      <c r="H121" s="74" t="s">
        <v>29</v>
      </c>
      <c r="I121" s="74" t="str">
        <f>VLOOKUP(D121,Sheet15!D:K,8,FALSE)</f>
        <v>2024-404728</v>
      </c>
      <c r="J121" s="76">
        <f t="shared" si="1"/>
        <v>-45634</v>
      </c>
      <c r="K121" s="77" t="str">
        <f>VLOOKUP(D121,Sheet15!D:G,4,FALSE)</f>
        <v/>
      </c>
      <c r="L121" s="73"/>
      <c r="M121" s="73"/>
      <c r="N121" s="73"/>
      <c r="O121" s="73"/>
      <c r="P121" s="73"/>
      <c r="Q121" s="73"/>
      <c r="R121" s="73"/>
      <c r="S121" s="73"/>
      <c r="T121" s="73"/>
      <c r="U121" s="73"/>
      <c r="V121" s="73"/>
      <c r="W121" s="73"/>
      <c r="X121" s="73"/>
    </row>
    <row r="122" ht="17.25" customHeight="1">
      <c r="A122" s="74">
        <v>121.0</v>
      </c>
      <c r="B122" s="74" t="s">
        <v>1316</v>
      </c>
      <c r="C122" s="74">
        <v>10738.0</v>
      </c>
      <c r="D122" s="75" t="s">
        <v>1448</v>
      </c>
      <c r="E122" s="76">
        <v>45651.0</v>
      </c>
      <c r="F122" s="74" t="str">
        <f>VLOOKUP(D122,Sheet15!D:H,5,FALSE)</f>
        <v>مكتمل</v>
      </c>
      <c r="G122" s="74"/>
      <c r="H122" s="74" t="s">
        <v>29</v>
      </c>
      <c r="I122" s="74" t="str">
        <f>VLOOKUP(D122,Sheet15!D:K,8,FALSE)</f>
        <v>2025-18532</v>
      </c>
      <c r="J122" s="76">
        <f t="shared" si="1"/>
        <v>-45651</v>
      </c>
      <c r="K122" s="77" t="str">
        <f>VLOOKUP(D122,Sheet15!D:G,4,FALSE)</f>
        <v/>
      </c>
      <c r="L122" s="73"/>
      <c r="M122" s="73"/>
      <c r="N122" s="73"/>
      <c r="O122" s="73"/>
      <c r="P122" s="73"/>
      <c r="Q122" s="73"/>
      <c r="R122" s="73"/>
      <c r="S122" s="73"/>
      <c r="T122" s="73"/>
      <c r="U122" s="73"/>
      <c r="V122" s="73"/>
      <c r="W122" s="73"/>
      <c r="X122" s="73"/>
    </row>
    <row r="123">
      <c r="A123" s="74">
        <v>122.0</v>
      </c>
      <c r="B123" s="74" t="s">
        <v>1316</v>
      </c>
      <c r="C123" s="74">
        <v>10739.0</v>
      </c>
      <c r="D123" s="75" t="s">
        <v>1449</v>
      </c>
      <c r="E123" s="76">
        <v>45651.0</v>
      </c>
      <c r="F123" s="74" t="str">
        <f>VLOOKUP(D123,Sheet15!D:H,5,FALSE)</f>
        <v>مكتمل</v>
      </c>
      <c r="G123" s="74"/>
      <c r="H123" s="74" t="s">
        <v>29</v>
      </c>
      <c r="I123" s="74" t="str">
        <f>VLOOKUP(D123,Sheet15!D:K,8,FALSE)</f>
        <v>2025-18473</v>
      </c>
      <c r="J123" s="76">
        <f t="shared" si="1"/>
        <v>-45651</v>
      </c>
      <c r="K123" s="77" t="str">
        <f>VLOOKUP(D123,Sheet15!D:G,4,FALSE)</f>
        <v/>
      </c>
      <c r="L123" s="73"/>
      <c r="M123" s="73"/>
      <c r="N123" s="73"/>
      <c r="O123" s="73"/>
      <c r="P123" s="73"/>
      <c r="Q123" s="73"/>
      <c r="R123" s="73"/>
      <c r="S123" s="73"/>
      <c r="T123" s="73"/>
      <c r="U123" s="73"/>
      <c r="V123" s="73"/>
      <c r="W123" s="73"/>
      <c r="X123" s="73"/>
    </row>
    <row r="124">
      <c r="A124" s="74">
        <v>123.0</v>
      </c>
      <c r="B124" s="74" t="s">
        <v>1316</v>
      </c>
      <c r="C124" s="74">
        <v>10747.0</v>
      </c>
      <c r="D124" s="75" t="s">
        <v>1450</v>
      </c>
      <c r="E124" s="76">
        <v>45651.0</v>
      </c>
      <c r="F124" s="78" t="s">
        <v>1420</v>
      </c>
      <c r="G124" s="74"/>
      <c r="H124" s="74" t="s">
        <v>29</v>
      </c>
      <c r="I124" s="74" t="str">
        <f>VLOOKUP(D124,Sheet15!D:K,8,FALSE)</f>
        <v>#N/A</v>
      </c>
      <c r="J124" s="76">
        <f t="shared" si="1"/>
        <v>-45651</v>
      </c>
      <c r="K124" s="77" t="str">
        <f>VLOOKUP(D124,Sheet15!D:G,4,FALSE)</f>
        <v>#N/A</v>
      </c>
      <c r="L124" s="73"/>
      <c r="M124" s="73"/>
      <c r="N124" s="73"/>
      <c r="O124" s="73"/>
      <c r="P124" s="73"/>
      <c r="Q124" s="73"/>
      <c r="R124" s="73"/>
      <c r="S124" s="73"/>
      <c r="T124" s="73"/>
      <c r="U124" s="73"/>
      <c r="V124" s="73"/>
      <c r="W124" s="73"/>
      <c r="X124" s="73"/>
    </row>
    <row r="125">
      <c r="A125" s="74">
        <v>124.0</v>
      </c>
      <c r="B125" s="74" t="s">
        <v>1316</v>
      </c>
      <c r="C125" s="74">
        <v>10752.0</v>
      </c>
      <c r="D125" s="75" t="s">
        <v>1451</v>
      </c>
      <c r="E125" s="76">
        <v>45651.0</v>
      </c>
      <c r="F125" s="74" t="str">
        <f>VLOOKUP(D125,Sheet15!D:H,5,FALSE)</f>
        <v>مكتمل</v>
      </c>
      <c r="G125" s="74"/>
      <c r="H125" s="74" t="s">
        <v>29</v>
      </c>
      <c r="I125" s="74" t="str">
        <f>VLOOKUP(D125,Sheet15!D:K,8,FALSE)</f>
        <v>2025-18511</v>
      </c>
      <c r="J125" s="76">
        <f t="shared" si="1"/>
        <v>-45651</v>
      </c>
      <c r="K125" s="77" t="str">
        <f>VLOOKUP(D125,Sheet15!D:G,4,FALSE)</f>
        <v/>
      </c>
      <c r="L125" s="73"/>
      <c r="M125" s="73"/>
      <c r="N125" s="73"/>
      <c r="O125" s="73"/>
      <c r="P125" s="73"/>
      <c r="Q125" s="73"/>
      <c r="R125" s="73"/>
      <c r="S125" s="73"/>
      <c r="T125" s="73"/>
      <c r="U125" s="73"/>
      <c r="V125" s="73"/>
      <c r="W125" s="73"/>
      <c r="X125" s="73"/>
    </row>
    <row r="126">
      <c r="A126" s="74">
        <v>125.0</v>
      </c>
      <c r="B126" s="74" t="s">
        <v>1316</v>
      </c>
      <c r="C126" s="74">
        <v>10748.0</v>
      </c>
      <c r="D126" s="75" t="s">
        <v>1452</v>
      </c>
      <c r="E126" s="76">
        <v>45651.0</v>
      </c>
      <c r="F126" s="78" t="s">
        <v>1420</v>
      </c>
      <c r="G126" s="74"/>
      <c r="H126" s="74" t="s">
        <v>29</v>
      </c>
      <c r="I126" s="74" t="str">
        <f>VLOOKUP(D126,Sheet15!D:K,8,FALSE)</f>
        <v>#N/A</v>
      </c>
      <c r="J126" s="76">
        <f t="shared" si="1"/>
        <v>-45651</v>
      </c>
      <c r="K126" s="77" t="str">
        <f>VLOOKUP(D126,Sheet15!D:G,4,FALSE)</f>
        <v>#N/A</v>
      </c>
      <c r="L126" s="73"/>
      <c r="M126" s="73"/>
      <c r="N126" s="73"/>
      <c r="O126" s="73"/>
      <c r="P126" s="73"/>
      <c r="Q126" s="73"/>
      <c r="R126" s="73"/>
      <c r="S126" s="73"/>
      <c r="T126" s="73"/>
      <c r="U126" s="73"/>
      <c r="V126" s="73"/>
      <c r="W126" s="73"/>
      <c r="X126" s="73"/>
    </row>
    <row r="127">
      <c r="A127" s="74">
        <v>126.0</v>
      </c>
      <c r="B127" s="74" t="s">
        <v>1316</v>
      </c>
      <c r="C127" s="74">
        <v>10749.0</v>
      </c>
      <c r="D127" s="75" t="s">
        <v>1453</v>
      </c>
      <c r="E127" s="76">
        <v>45651.0</v>
      </c>
      <c r="F127" s="74" t="str">
        <f>VLOOKUP(D127,Sheet15!D:H,5,FALSE)</f>
        <v>#N/A</v>
      </c>
      <c r="G127" s="74"/>
      <c r="H127" s="74"/>
      <c r="I127" s="74" t="str">
        <f>VLOOKUP(D127,Sheet15!D:K,8,FALSE)</f>
        <v>#N/A</v>
      </c>
      <c r="J127" s="76">
        <f t="shared" si="1"/>
        <v>-45651</v>
      </c>
      <c r="K127" s="77" t="str">
        <f>VLOOKUP(D127,Sheet15!D:G,4,FALSE)</f>
        <v>#N/A</v>
      </c>
      <c r="L127" s="73"/>
      <c r="M127" s="73"/>
      <c r="N127" s="73"/>
      <c r="O127" s="73"/>
      <c r="P127" s="73"/>
      <c r="Q127" s="73"/>
      <c r="R127" s="73"/>
      <c r="S127" s="73"/>
      <c r="T127" s="73"/>
      <c r="U127" s="73"/>
      <c r="V127" s="73"/>
      <c r="W127" s="73"/>
      <c r="X127" s="73"/>
    </row>
    <row r="128">
      <c r="A128" s="74">
        <v>128.0</v>
      </c>
      <c r="B128" s="74" t="s">
        <v>1316</v>
      </c>
      <c r="C128" s="74">
        <v>10751.0</v>
      </c>
      <c r="D128" s="75" t="s">
        <v>1454</v>
      </c>
      <c r="E128" s="76">
        <v>45651.0</v>
      </c>
      <c r="F128" s="78" t="s">
        <v>1420</v>
      </c>
      <c r="G128" s="74"/>
      <c r="H128" s="74"/>
      <c r="I128" s="74" t="str">
        <f>VLOOKUP(D128,Sheet15!D:K,8,FALSE)</f>
        <v>#N/A</v>
      </c>
      <c r="J128" s="76">
        <f t="shared" si="1"/>
        <v>-45651</v>
      </c>
      <c r="K128" s="77" t="str">
        <f>VLOOKUP(D128,Sheet15!D:G,4,FALSE)</f>
        <v>#N/A</v>
      </c>
      <c r="L128" s="73"/>
      <c r="M128" s="73"/>
      <c r="N128" s="73"/>
      <c r="O128" s="73"/>
      <c r="P128" s="73"/>
      <c r="Q128" s="73"/>
      <c r="R128" s="73"/>
      <c r="S128" s="73"/>
      <c r="T128" s="73"/>
      <c r="U128" s="73"/>
      <c r="V128" s="73"/>
      <c r="W128" s="73"/>
      <c r="X128" s="73"/>
    </row>
    <row r="129">
      <c r="A129" s="74">
        <v>129.0</v>
      </c>
      <c r="B129" s="74" t="s">
        <v>1316</v>
      </c>
      <c r="C129" s="74">
        <v>10787.0</v>
      </c>
      <c r="D129" s="79" t="s">
        <v>1455</v>
      </c>
      <c r="E129" s="76">
        <v>45651.0</v>
      </c>
      <c r="F129" s="74" t="str">
        <f>VLOOKUP(D129,Sheet15!D:H,5,FALSE)</f>
        <v>مكتمل</v>
      </c>
      <c r="G129" s="74"/>
      <c r="H129" s="74"/>
      <c r="I129" s="74" t="str">
        <f>VLOOKUP(D129,Sheet15!D:K,8,FALSE)</f>
        <v>2025-117932</v>
      </c>
      <c r="J129" s="76">
        <f t="shared" si="1"/>
        <v>-45651</v>
      </c>
      <c r="K129" s="77" t="str">
        <f>VLOOKUP(D129,Sheet15!D:G,4,FALSE)</f>
        <v/>
      </c>
      <c r="L129" s="73"/>
      <c r="M129" s="73"/>
      <c r="N129" s="73"/>
      <c r="O129" s="73"/>
      <c r="P129" s="73"/>
      <c r="Q129" s="73"/>
      <c r="R129" s="73"/>
      <c r="S129" s="73"/>
      <c r="T129" s="73"/>
      <c r="U129" s="73"/>
      <c r="V129" s="73"/>
      <c r="W129" s="73"/>
      <c r="X129" s="73"/>
    </row>
    <row r="130">
      <c r="A130" s="74">
        <v>130.0</v>
      </c>
      <c r="B130" s="74" t="s">
        <v>1316</v>
      </c>
      <c r="C130" s="74">
        <v>10809.0</v>
      </c>
      <c r="D130" s="79" t="s">
        <v>1456</v>
      </c>
      <c r="E130" s="76">
        <v>45651.0</v>
      </c>
      <c r="F130" s="74" t="str">
        <f>VLOOKUP(D130,Sheet15!D:H,5,FALSE)</f>
        <v>مكتمل</v>
      </c>
      <c r="G130" s="74"/>
      <c r="H130" s="74" t="s">
        <v>29</v>
      </c>
      <c r="I130" s="74" t="str">
        <f>VLOOKUP(D130,Sheet15!D:K,8,FALSE)</f>
        <v>2025-18561</v>
      </c>
      <c r="J130" s="76">
        <f t="shared" si="1"/>
        <v>-45651</v>
      </c>
      <c r="K130" s="77" t="str">
        <f>VLOOKUP(D130,Sheet15!D:G,4,FALSE)</f>
        <v/>
      </c>
      <c r="L130" s="73"/>
      <c r="M130" s="73"/>
      <c r="N130" s="73"/>
      <c r="O130" s="73"/>
      <c r="P130" s="73"/>
      <c r="Q130" s="73"/>
      <c r="R130" s="73"/>
      <c r="S130" s="73"/>
      <c r="T130" s="73"/>
      <c r="U130" s="73"/>
      <c r="V130" s="73"/>
      <c r="W130" s="73"/>
      <c r="X130" s="73"/>
    </row>
    <row r="131">
      <c r="A131" s="74">
        <v>131.0</v>
      </c>
      <c r="B131" s="74" t="s">
        <v>1316</v>
      </c>
      <c r="C131" s="74">
        <v>10811.0</v>
      </c>
      <c r="D131" s="75" t="s">
        <v>1457</v>
      </c>
      <c r="E131" s="76">
        <v>45651.0</v>
      </c>
      <c r="F131" s="74" t="str">
        <f>VLOOKUP(D131,Sheet15!D:H,5,FALSE)</f>
        <v>مكتمل</v>
      </c>
      <c r="G131" s="74"/>
      <c r="H131" s="74" t="s">
        <v>29</v>
      </c>
      <c r="I131" s="74" t="str">
        <f>VLOOKUP(D131,Sheet15!D:K,8,FALSE)</f>
        <v>2025-18517</v>
      </c>
      <c r="J131" s="76">
        <f t="shared" si="1"/>
        <v>-45651</v>
      </c>
      <c r="K131" s="77" t="str">
        <f>VLOOKUP(D131,Sheet15!D:G,4,FALSE)</f>
        <v/>
      </c>
      <c r="L131" s="73"/>
      <c r="M131" s="73"/>
      <c r="N131" s="73"/>
      <c r="O131" s="73"/>
      <c r="P131" s="73"/>
      <c r="Q131" s="73"/>
      <c r="R131" s="73"/>
      <c r="S131" s="73"/>
      <c r="T131" s="73"/>
      <c r="U131" s="73"/>
      <c r="V131" s="73"/>
      <c r="W131" s="73"/>
      <c r="X131" s="73"/>
    </row>
    <row r="132">
      <c r="A132" s="74">
        <v>132.0</v>
      </c>
      <c r="B132" s="74" t="s">
        <v>1316</v>
      </c>
      <c r="C132" s="74">
        <v>10812.0</v>
      </c>
      <c r="D132" s="79" t="s">
        <v>1449</v>
      </c>
      <c r="E132" s="76">
        <v>45651.0</v>
      </c>
      <c r="F132" s="74" t="str">
        <f>VLOOKUP(D132,Sheet15!D:H,5,FALSE)</f>
        <v>مكتمل</v>
      </c>
      <c r="G132" s="74"/>
      <c r="H132" s="74" t="s">
        <v>29</v>
      </c>
      <c r="I132" s="74" t="str">
        <f>VLOOKUP(D132,Sheet15!D:K,8,FALSE)</f>
        <v>2025-18473</v>
      </c>
      <c r="J132" s="76">
        <f t="shared" si="1"/>
        <v>-45651</v>
      </c>
      <c r="K132" s="77" t="str">
        <f>VLOOKUP(D132,Sheet15!D:G,4,FALSE)</f>
        <v/>
      </c>
      <c r="L132" s="73"/>
      <c r="M132" s="73"/>
      <c r="N132" s="73"/>
      <c r="O132" s="73"/>
      <c r="P132" s="73"/>
      <c r="Q132" s="73"/>
      <c r="R132" s="73"/>
      <c r="S132" s="73"/>
      <c r="T132" s="73"/>
      <c r="U132" s="73"/>
      <c r="V132" s="73"/>
      <c r="W132" s="73"/>
      <c r="X132" s="73"/>
    </row>
    <row r="133">
      <c r="A133" s="74">
        <v>133.0</v>
      </c>
      <c r="B133" s="74" t="s">
        <v>1316</v>
      </c>
      <c r="C133" s="74">
        <v>10813.0</v>
      </c>
      <c r="D133" s="75" t="s">
        <v>1458</v>
      </c>
      <c r="E133" s="76">
        <v>45651.0</v>
      </c>
      <c r="F133" s="74" t="str">
        <f>VLOOKUP(D133,Sheet15!D:H,5,FALSE)</f>
        <v>مكتمل</v>
      </c>
      <c r="G133" s="74"/>
      <c r="H133" s="74" t="s">
        <v>29</v>
      </c>
      <c r="I133" s="74" t="str">
        <f>VLOOKUP(D133,Sheet15!D:K,8,FALSE)</f>
        <v>2025-18539</v>
      </c>
      <c r="J133" s="76">
        <f t="shared" si="1"/>
        <v>-45651</v>
      </c>
      <c r="K133" s="77" t="str">
        <f>VLOOKUP(D133,Sheet15!D:G,4,FALSE)</f>
        <v/>
      </c>
      <c r="L133" s="73"/>
      <c r="M133" s="73"/>
      <c r="N133" s="73"/>
      <c r="O133" s="73"/>
      <c r="P133" s="73"/>
      <c r="Q133" s="73"/>
      <c r="R133" s="73"/>
      <c r="S133" s="73"/>
      <c r="T133" s="73"/>
      <c r="U133" s="73"/>
      <c r="V133" s="73"/>
      <c r="W133" s="73"/>
      <c r="X133" s="73"/>
    </row>
    <row r="134">
      <c r="A134" s="74">
        <v>134.0</v>
      </c>
      <c r="B134" s="74" t="s">
        <v>1316</v>
      </c>
      <c r="C134" s="74">
        <v>10746.0</v>
      </c>
      <c r="D134" s="79" t="s">
        <v>1459</v>
      </c>
      <c r="E134" s="76">
        <v>45651.0</v>
      </c>
      <c r="F134" s="74" t="str">
        <f>VLOOKUP(D134,Sheet15!D:H,5,FALSE)</f>
        <v>مكتمل</v>
      </c>
      <c r="G134" s="74"/>
      <c r="H134" s="74" t="s">
        <v>29</v>
      </c>
      <c r="I134" s="74" t="str">
        <f>VLOOKUP(D134,Sheet15!D:K,8,FALSE)</f>
        <v>2025-5766</v>
      </c>
      <c r="J134" s="76">
        <f t="shared" si="1"/>
        <v>-45651</v>
      </c>
      <c r="K134" s="77" t="str">
        <f>VLOOKUP(D134,Sheet15!D:G,4,FALSE)</f>
        <v/>
      </c>
      <c r="L134" s="73"/>
      <c r="M134" s="73"/>
      <c r="N134" s="73"/>
      <c r="O134" s="73"/>
      <c r="P134" s="73"/>
      <c r="Q134" s="73"/>
      <c r="R134" s="73"/>
      <c r="S134" s="73"/>
      <c r="T134" s="73"/>
      <c r="U134" s="73"/>
      <c r="V134" s="73"/>
      <c r="W134" s="73"/>
      <c r="X134" s="73"/>
    </row>
    <row r="135">
      <c r="A135" s="74">
        <v>135.0</v>
      </c>
      <c r="B135" s="74" t="s">
        <v>1316</v>
      </c>
      <c r="C135" s="74">
        <v>10753.0</v>
      </c>
      <c r="D135" s="75" t="s">
        <v>1460</v>
      </c>
      <c r="E135" s="76">
        <v>45651.0</v>
      </c>
      <c r="F135" s="74" t="str">
        <f>VLOOKUP(D135,Sheet15!D:H,5,FALSE)</f>
        <v>#N/A</v>
      </c>
      <c r="G135" s="74"/>
      <c r="H135" s="74"/>
      <c r="I135" s="74" t="str">
        <f>VLOOKUP(D135,Sheet15!D:K,8,FALSE)</f>
        <v>#N/A</v>
      </c>
      <c r="J135" s="76">
        <f t="shared" si="1"/>
        <v>-45651</v>
      </c>
      <c r="K135" s="77" t="str">
        <f>VLOOKUP(D135,Sheet15!D:G,4,FALSE)</f>
        <v>#N/A</v>
      </c>
      <c r="L135" s="73"/>
      <c r="M135" s="73"/>
      <c r="N135" s="73"/>
      <c r="O135" s="73"/>
      <c r="P135" s="73"/>
      <c r="Q135" s="73"/>
      <c r="R135" s="73"/>
      <c r="S135" s="73"/>
      <c r="T135" s="73"/>
      <c r="U135" s="73"/>
      <c r="V135" s="73"/>
      <c r="W135" s="73"/>
      <c r="X135" s="73"/>
    </row>
    <row r="136">
      <c r="A136" s="74">
        <v>136.0</v>
      </c>
      <c r="B136" s="74" t="s">
        <v>1316</v>
      </c>
      <c r="C136" s="74">
        <v>10754.0</v>
      </c>
      <c r="D136" s="75" t="s">
        <v>1461</v>
      </c>
      <c r="E136" s="76">
        <v>45651.0</v>
      </c>
      <c r="F136" s="74" t="str">
        <f>VLOOKUP(D136,Sheet15!D:H,5,FALSE)</f>
        <v>#N/A</v>
      </c>
      <c r="G136" s="74"/>
      <c r="H136" s="74"/>
      <c r="I136" s="74" t="str">
        <f>VLOOKUP(D136,Sheet15!D:K,8,FALSE)</f>
        <v>#N/A</v>
      </c>
      <c r="J136" s="76">
        <f t="shared" si="1"/>
        <v>-45651</v>
      </c>
      <c r="K136" s="77" t="str">
        <f>VLOOKUP(D136,Sheet15!D:G,4,FALSE)</f>
        <v>#N/A</v>
      </c>
      <c r="L136" s="73"/>
      <c r="M136" s="73"/>
      <c r="N136" s="73"/>
      <c r="O136" s="73"/>
      <c r="P136" s="73"/>
      <c r="Q136" s="73"/>
      <c r="R136" s="73"/>
      <c r="S136" s="73"/>
      <c r="T136" s="73"/>
      <c r="U136" s="73"/>
      <c r="V136" s="73"/>
      <c r="W136" s="73"/>
      <c r="X136" s="73"/>
    </row>
    <row r="137">
      <c r="A137" s="74">
        <v>137.0</v>
      </c>
      <c r="B137" s="74" t="s">
        <v>1316</v>
      </c>
      <c r="C137" s="74">
        <v>10773.0</v>
      </c>
      <c r="D137" s="75" t="s">
        <v>1462</v>
      </c>
      <c r="E137" s="76">
        <v>45651.0</v>
      </c>
      <c r="F137" s="74" t="str">
        <f>VLOOKUP(D137,Sheet15!D:H,5,FALSE)</f>
        <v>#N/A</v>
      </c>
      <c r="G137" s="74"/>
      <c r="H137" s="74" t="s">
        <v>29</v>
      </c>
      <c r="I137" s="74" t="str">
        <f>VLOOKUP(D137,Sheet15!D:K,8,FALSE)</f>
        <v>#N/A</v>
      </c>
      <c r="J137" s="76">
        <f t="shared" si="1"/>
        <v>-45651</v>
      </c>
      <c r="K137" s="77" t="str">
        <f>VLOOKUP(D137,Sheet15!D:G,4,FALSE)</f>
        <v>#N/A</v>
      </c>
      <c r="L137" s="73"/>
      <c r="M137" s="73"/>
      <c r="N137" s="73"/>
      <c r="O137" s="73"/>
      <c r="P137" s="73"/>
      <c r="Q137" s="73"/>
      <c r="R137" s="73"/>
      <c r="S137" s="73"/>
      <c r="T137" s="73"/>
      <c r="U137" s="73"/>
      <c r="V137" s="73"/>
      <c r="W137" s="73"/>
      <c r="X137" s="73"/>
    </row>
    <row r="138">
      <c r="A138" s="74">
        <v>138.0</v>
      </c>
      <c r="B138" s="74" t="s">
        <v>1316</v>
      </c>
      <c r="C138" s="74">
        <v>10788.0</v>
      </c>
      <c r="D138" s="75" t="s">
        <v>1463</v>
      </c>
      <c r="E138" s="76">
        <v>45651.0</v>
      </c>
      <c r="F138" s="74" t="str">
        <f>VLOOKUP(D138,Sheet15!D:H,5,FALSE)</f>
        <v>#N/A</v>
      </c>
      <c r="G138" s="74"/>
      <c r="H138" s="74"/>
      <c r="I138" s="74" t="str">
        <f>VLOOKUP(D138,Sheet15!D:K,8,FALSE)</f>
        <v>#N/A</v>
      </c>
      <c r="J138" s="76">
        <f t="shared" si="1"/>
        <v>-45651</v>
      </c>
      <c r="K138" s="77" t="str">
        <f>VLOOKUP(D138,Sheet15!D:G,4,FALSE)</f>
        <v>#N/A</v>
      </c>
      <c r="L138" s="73"/>
      <c r="M138" s="73"/>
      <c r="N138" s="73"/>
      <c r="O138" s="73"/>
      <c r="P138" s="73"/>
      <c r="Q138" s="73"/>
      <c r="R138" s="73"/>
      <c r="S138" s="73"/>
      <c r="T138" s="73"/>
      <c r="U138" s="73"/>
      <c r="V138" s="73"/>
      <c r="W138" s="73"/>
      <c r="X138" s="73"/>
    </row>
    <row r="139">
      <c r="A139" s="74">
        <v>139.0</v>
      </c>
      <c r="B139" s="74" t="s">
        <v>1316</v>
      </c>
      <c r="C139" s="74">
        <v>10789.0</v>
      </c>
      <c r="D139" s="75" t="s">
        <v>1464</v>
      </c>
      <c r="E139" s="76">
        <v>45651.0</v>
      </c>
      <c r="F139" s="74" t="str">
        <f>VLOOKUP(D139,Sheet15!D:H,5,FALSE)</f>
        <v>#N/A</v>
      </c>
      <c r="G139" s="74"/>
      <c r="H139" s="74" t="s">
        <v>29</v>
      </c>
      <c r="I139" s="74" t="str">
        <f>VLOOKUP(D139,Sheet15!D:K,8,FALSE)</f>
        <v>#N/A</v>
      </c>
      <c r="J139" s="76">
        <f t="shared" si="1"/>
        <v>-45651</v>
      </c>
      <c r="K139" s="77" t="str">
        <f>VLOOKUP(D139,Sheet15!D:G,4,FALSE)</f>
        <v>#N/A</v>
      </c>
      <c r="L139" s="73"/>
      <c r="M139" s="73"/>
      <c r="N139" s="73"/>
      <c r="O139" s="73"/>
      <c r="P139" s="73"/>
      <c r="Q139" s="73"/>
      <c r="R139" s="73"/>
      <c r="S139" s="73"/>
      <c r="T139" s="73"/>
      <c r="U139" s="73"/>
      <c r="V139" s="73"/>
      <c r="W139" s="73"/>
      <c r="X139" s="73"/>
    </row>
    <row r="140">
      <c r="A140" s="74">
        <v>140.0</v>
      </c>
      <c r="B140" s="74" t="s">
        <v>1316</v>
      </c>
      <c r="C140" s="74">
        <v>10799.0</v>
      </c>
      <c r="D140" s="75" t="s">
        <v>1465</v>
      </c>
      <c r="E140" s="76">
        <v>45651.0</v>
      </c>
      <c r="F140" s="74" t="str">
        <f>VLOOKUP(D140,Sheet15!D:H,5,FALSE)</f>
        <v>مكتمل</v>
      </c>
      <c r="G140" s="74"/>
      <c r="H140" s="74" t="s">
        <v>29</v>
      </c>
      <c r="I140" s="74" t="str">
        <f>VLOOKUP(D140,Sheet15!D:K,8,FALSE)</f>
        <v>2025-20431</v>
      </c>
      <c r="J140" s="76">
        <f t="shared" si="1"/>
        <v>-45651</v>
      </c>
      <c r="K140" s="77" t="str">
        <f>VLOOKUP(D140,Sheet15!D:G,4,FALSE)</f>
        <v/>
      </c>
      <c r="L140" s="73"/>
      <c r="M140" s="73"/>
      <c r="N140" s="73"/>
      <c r="O140" s="73"/>
      <c r="P140" s="73"/>
      <c r="Q140" s="73"/>
      <c r="R140" s="73"/>
      <c r="S140" s="73"/>
      <c r="T140" s="73"/>
      <c r="U140" s="73"/>
      <c r="V140" s="73"/>
      <c r="W140" s="73"/>
      <c r="X140" s="73"/>
    </row>
    <row r="141">
      <c r="A141" s="74">
        <v>141.0</v>
      </c>
      <c r="B141" s="74" t="s">
        <v>1316</v>
      </c>
      <c r="C141" s="74">
        <v>10810.0</v>
      </c>
      <c r="D141" s="75" t="s">
        <v>1466</v>
      </c>
      <c r="E141" s="76">
        <v>45651.0</v>
      </c>
      <c r="F141" s="74" t="str">
        <f>VLOOKUP(D141,Sheet15!D:H,5,FALSE)</f>
        <v>#N/A</v>
      </c>
      <c r="G141" s="74"/>
      <c r="H141" s="74" t="s">
        <v>29</v>
      </c>
      <c r="I141" s="74" t="str">
        <f>VLOOKUP(D141,Sheet15!D:K,8,FALSE)</f>
        <v>#N/A</v>
      </c>
      <c r="J141" s="76">
        <f t="shared" si="1"/>
        <v>-45651</v>
      </c>
      <c r="K141" s="77" t="str">
        <f>VLOOKUP(D141,Sheet15!D:G,4,FALSE)</f>
        <v>#N/A</v>
      </c>
      <c r="L141" s="73"/>
      <c r="M141" s="73"/>
      <c r="N141" s="73"/>
      <c r="O141" s="73"/>
      <c r="P141" s="73"/>
      <c r="Q141" s="73"/>
      <c r="R141" s="73"/>
      <c r="S141" s="73"/>
      <c r="T141" s="73"/>
      <c r="U141" s="73"/>
      <c r="V141" s="73"/>
      <c r="W141" s="73"/>
      <c r="X141" s="73"/>
    </row>
    <row r="142">
      <c r="A142" s="74">
        <v>142.0</v>
      </c>
      <c r="B142" s="74" t="s">
        <v>1316</v>
      </c>
      <c r="C142" s="74">
        <v>10820.0</v>
      </c>
      <c r="D142" s="75" t="s">
        <v>1467</v>
      </c>
      <c r="E142" s="76">
        <v>45651.0</v>
      </c>
      <c r="F142" s="74" t="str">
        <f>VLOOKUP(D142,Sheet15!D:H,5,FALSE)</f>
        <v>#N/A</v>
      </c>
      <c r="G142" s="74"/>
      <c r="H142" s="74" t="s">
        <v>29</v>
      </c>
      <c r="I142" s="74" t="str">
        <f>VLOOKUP(D142,Sheet15!D:K,8,FALSE)</f>
        <v>#N/A</v>
      </c>
      <c r="J142" s="76">
        <f t="shared" si="1"/>
        <v>-45651</v>
      </c>
      <c r="K142" s="77" t="str">
        <f>VLOOKUP(D142,Sheet15!D:G,4,FALSE)</f>
        <v>#N/A</v>
      </c>
      <c r="L142" s="73"/>
      <c r="M142" s="73"/>
      <c r="N142" s="73"/>
      <c r="O142" s="73"/>
      <c r="P142" s="73"/>
      <c r="Q142" s="73"/>
      <c r="R142" s="73"/>
      <c r="S142" s="73"/>
      <c r="T142" s="73"/>
      <c r="U142" s="73"/>
      <c r="V142" s="73"/>
      <c r="W142" s="73"/>
      <c r="X142" s="73"/>
    </row>
    <row r="143">
      <c r="A143" s="74">
        <v>143.0</v>
      </c>
      <c r="B143" s="74" t="s">
        <v>1316</v>
      </c>
      <c r="C143" s="74">
        <v>10714.0</v>
      </c>
      <c r="D143" s="75" t="s">
        <v>1468</v>
      </c>
      <c r="E143" s="76">
        <v>45651.0</v>
      </c>
      <c r="F143" s="74" t="str">
        <f>VLOOKUP(D143,Sheet15!D:H,5,FALSE)</f>
        <v>#N/A</v>
      </c>
      <c r="G143" s="74"/>
      <c r="H143" s="74" t="s">
        <v>29</v>
      </c>
      <c r="I143" s="74" t="str">
        <f>VLOOKUP(D143,Sheet15!D:K,8,FALSE)</f>
        <v>#N/A</v>
      </c>
      <c r="J143" s="76">
        <f t="shared" si="1"/>
        <v>-45651</v>
      </c>
      <c r="K143" s="77" t="str">
        <f>VLOOKUP(D143,Sheet15!D:G,4,FALSE)</f>
        <v>#N/A</v>
      </c>
      <c r="L143" s="73"/>
      <c r="M143" s="73"/>
      <c r="N143" s="73"/>
      <c r="O143" s="73"/>
      <c r="P143" s="73"/>
      <c r="Q143" s="73"/>
      <c r="R143" s="73"/>
      <c r="S143" s="73"/>
      <c r="T143" s="73"/>
      <c r="U143" s="73"/>
      <c r="V143" s="73"/>
      <c r="W143" s="73"/>
      <c r="X143" s="73"/>
    </row>
    <row r="144">
      <c r="A144" s="74">
        <v>144.0</v>
      </c>
      <c r="B144" s="74" t="s">
        <v>1316</v>
      </c>
      <c r="C144" s="74">
        <v>10716.0</v>
      </c>
      <c r="D144" s="75" t="s">
        <v>1469</v>
      </c>
      <c r="E144" s="76">
        <v>45651.0</v>
      </c>
      <c r="F144" s="74" t="str">
        <f>VLOOKUP(D144,Sheet15!D:H,5,FALSE)</f>
        <v>#N/A</v>
      </c>
      <c r="G144" s="74"/>
      <c r="H144" s="74"/>
      <c r="I144" s="74" t="str">
        <f>VLOOKUP(D144,Sheet15!D:K,8,FALSE)</f>
        <v>#N/A</v>
      </c>
      <c r="J144" s="76">
        <f t="shared" si="1"/>
        <v>-45651</v>
      </c>
      <c r="K144" s="77" t="str">
        <f>VLOOKUP(D144,Sheet15!D:G,4,FALSE)</f>
        <v>#N/A</v>
      </c>
      <c r="L144" s="73"/>
      <c r="M144" s="73"/>
      <c r="N144" s="73"/>
      <c r="O144" s="73"/>
      <c r="P144" s="73"/>
      <c r="Q144" s="73"/>
      <c r="R144" s="73"/>
      <c r="S144" s="73"/>
      <c r="T144" s="73"/>
      <c r="U144" s="73"/>
      <c r="V144" s="73"/>
      <c r="W144" s="73"/>
      <c r="X144" s="73"/>
    </row>
    <row r="145">
      <c r="A145" s="74">
        <v>145.0</v>
      </c>
      <c r="B145" s="74" t="s">
        <v>1316</v>
      </c>
      <c r="C145" s="74">
        <v>10723.0</v>
      </c>
      <c r="D145" s="75" t="s">
        <v>1470</v>
      </c>
      <c r="E145" s="76">
        <v>45651.0</v>
      </c>
      <c r="F145" s="74" t="str">
        <f>VLOOKUP(D145,Sheet15!D:H,5,FALSE)</f>
        <v>#N/A</v>
      </c>
      <c r="G145" s="74"/>
      <c r="H145" s="74" t="s">
        <v>29</v>
      </c>
      <c r="I145" s="74" t="str">
        <f>VLOOKUP(D145,Sheet15!D:K,8,FALSE)</f>
        <v>#N/A</v>
      </c>
      <c r="J145" s="76">
        <f t="shared" si="1"/>
        <v>-45651</v>
      </c>
      <c r="K145" s="77" t="str">
        <f>VLOOKUP(D145,Sheet15!D:G,4,FALSE)</f>
        <v>#N/A</v>
      </c>
      <c r="L145" s="73"/>
      <c r="M145" s="73"/>
      <c r="N145" s="73"/>
      <c r="O145" s="73"/>
      <c r="P145" s="73"/>
      <c r="Q145" s="73"/>
      <c r="R145" s="73"/>
      <c r="S145" s="73"/>
      <c r="T145" s="73"/>
      <c r="U145" s="73"/>
      <c r="V145" s="73"/>
      <c r="W145" s="73"/>
      <c r="X145" s="73"/>
    </row>
    <row r="146">
      <c r="A146" s="74">
        <v>146.0</v>
      </c>
      <c r="B146" s="74" t="s">
        <v>1316</v>
      </c>
      <c r="C146" s="74">
        <v>10725.0</v>
      </c>
      <c r="D146" s="75" t="s">
        <v>1471</v>
      </c>
      <c r="E146" s="76">
        <v>45651.0</v>
      </c>
      <c r="F146" s="74" t="str">
        <f>VLOOKUP(D146,Sheet15!D:H,5,FALSE)</f>
        <v>#N/A</v>
      </c>
      <c r="G146" s="74"/>
      <c r="H146" s="74"/>
      <c r="I146" s="74" t="str">
        <f>VLOOKUP(D146,Sheet15!D:K,8,FALSE)</f>
        <v>#N/A</v>
      </c>
      <c r="J146" s="76">
        <f t="shared" si="1"/>
        <v>-45651</v>
      </c>
      <c r="K146" s="77" t="str">
        <f>VLOOKUP(D146,Sheet15!D:G,4,FALSE)</f>
        <v>#N/A</v>
      </c>
      <c r="L146" s="73"/>
      <c r="M146" s="73"/>
      <c r="N146" s="73"/>
      <c r="O146" s="73"/>
      <c r="P146" s="73"/>
      <c r="Q146" s="73"/>
      <c r="R146" s="73"/>
      <c r="S146" s="73"/>
      <c r="T146" s="73"/>
      <c r="U146" s="73"/>
      <c r="V146" s="73"/>
      <c r="W146" s="73"/>
      <c r="X146" s="73"/>
    </row>
    <row r="147">
      <c r="A147" s="74">
        <v>147.0</v>
      </c>
      <c r="B147" s="74" t="s">
        <v>1316</v>
      </c>
      <c r="C147" s="74">
        <v>10727.0</v>
      </c>
      <c r="D147" s="75" t="s">
        <v>1472</v>
      </c>
      <c r="E147" s="76">
        <v>45651.0</v>
      </c>
      <c r="F147" s="74" t="str">
        <f>VLOOKUP(D147,Sheet15!D:H,5,FALSE)</f>
        <v>#N/A</v>
      </c>
      <c r="G147" s="74"/>
      <c r="H147" s="74" t="s">
        <v>29</v>
      </c>
      <c r="I147" s="74" t="str">
        <f>VLOOKUP(D147,Sheet15!D:K,8,FALSE)</f>
        <v>#N/A</v>
      </c>
      <c r="J147" s="76">
        <f t="shared" si="1"/>
        <v>-45651</v>
      </c>
      <c r="K147" s="77" t="str">
        <f>VLOOKUP(D147,Sheet15!D:G,4,FALSE)</f>
        <v>#N/A</v>
      </c>
      <c r="L147" s="73"/>
      <c r="M147" s="73"/>
      <c r="N147" s="73"/>
      <c r="O147" s="73"/>
      <c r="P147" s="73"/>
      <c r="Q147" s="73"/>
      <c r="R147" s="73"/>
      <c r="S147" s="73"/>
      <c r="T147" s="73"/>
      <c r="U147" s="73"/>
      <c r="V147" s="73"/>
      <c r="W147" s="73"/>
      <c r="X147" s="73"/>
    </row>
    <row r="148">
      <c r="A148" s="74">
        <v>148.0</v>
      </c>
      <c r="B148" s="74" t="s">
        <v>1316</v>
      </c>
      <c r="C148" s="74">
        <v>10715.0</v>
      </c>
      <c r="D148" s="75" t="s">
        <v>1473</v>
      </c>
      <c r="E148" s="76">
        <v>45651.0</v>
      </c>
      <c r="F148" s="74" t="str">
        <f>VLOOKUP(D148,Sheet15!D:H,5,FALSE)</f>
        <v>#N/A</v>
      </c>
      <c r="G148" s="74"/>
      <c r="H148" s="74"/>
      <c r="I148" s="74" t="str">
        <f>VLOOKUP(D148,Sheet15!D:K,8,FALSE)</f>
        <v>#N/A</v>
      </c>
      <c r="J148" s="76">
        <f t="shared" si="1"/>
        <v>-45651</v>
      </c>
      <c r="K148" s="77" t="str">
        <f>VLOOKUP(D148,Sheet15!D:G,4,FALSE)</f>
        <v>#N/A</v>
      </c>
      <c r="L148" s="73"/>
      <c r="M148" s="73"/>
      <c r="N148" s="73"/>
      <c r="O148" s="73"/>
      <c r="P148" s="73"/>
      <c r="Q148" s="73"/>
      <c r="R148" s="73"/>
      <c r="S148" s="73"/>
      <c r="T148" s="73"/>
      <c r="U148" s="73"/>
      <c r="V148" s="73"/>
      <c r="W148" s="73"/>
      <c r="X148" s="73"/>
    </row>
    <row r="149">
      <c r="A149" s="74">
        <v>149.0</v>
      </c>
      <c r="B149" s="74" t="s">
        <v>1316</v>
      </c>
      <c r="C149" s="74">
        <v>10717.0</v>
      </c>
      <c r="D149" s="75" t="s">
        <v>1474</v>
      </c>
      <c r="E149" s="76">
        <v>45651.0</v>
      </c>
      <c r="F149" s="74" t="str">
        <f>VLOOKUP(D149,Sheet15!D:H,5,FALSE)</f>
        <v>#N/A</v>
      </c>
      <c r="G149" s="74"/>
      <c r="H149" s="74"/>
      <c r="I149" s="74" t="str">
        <f>VLOOKUP(D149,Sheet15!D:K,8,FALSE)</f>
        <v>#N/A</v>
      </c>
      <c r="J149" s="76">
        <f t="shared" si="1"/>
        <v>-45651</v>
      </c>
      <c r="K149" s="77" t="str">
        <f>VLOOKUP(D149,Sheet15!D:G,4,FALSE)</f>
        <v>#N/A</v>
      </c>
      <c r="L149" s="73"/>
      <c r="M149" s="73"/>
      <c r="N149" s="73"/>
      <c r="O149" s="73"/>
      <c r="P149" s="73"/>
      <c r="Q149" s="73"/>
      <c r="R149" s="73"/>
      <c r="S149" s="73"/>
      <c r="T149" s="73"/>
      <c r="U149" s="73"/>
      <c r="V149" s="73"/>
      <c r="W149" s="73"/>
      <c r="X149" s="73"/>
    </row>
    <row r="150">
      <c r="A150" s="74">
        <v>150.0</v>
      </c>
      <c r="B150" s="74" t="s">
        <v>1316</v>
      </c>
      <c r="C150" s="74">
        <v>10724.0</v>
      </c>
      <c r="D150" s="75" t="s">
        <v>1475</v>
      </c>
      <c r="E150" s="76">
        <v>45651.0</v>
      </c>
      <c r="F150" s="74" t="str">
        <f>VLOOKUP(D150,Sheet15!D:H,5,FALSE)</f>
        <v>#N/A</v>
      </c>
      <c r="G150" s="74"/>
      <c r="H150" s="74" t="s">
        <v>29</v>
      </c>
      <c r="I150" s="74" t="str">
        <f>VLOOKUP(D150,Sheet15!D:K,8,FALSE)</f>
        <v>#N/A</v>
      </c>
      <c r="J150" s="76">
        <f t="shared" si="1"/>
        <v>-45651</v>
      </c>
      <c r="K150" s="77" t="str">
        <f>VLOOKUP(D150,Sheet15!D:G,4,FALSE)</f>
        <v>#N/A</v>
      </c>
      <c r="L150" s="73"/>
      <c r="M150" s="73"/>
      <c r="N150" s="73"/>
      <c r="O150" s="73"/>
      <c r="P150" s="73"/>
      <c r="Q150" s="73"/>
      <c r="R150" s="73"/>
      <c r="S150" s="73"/>
      <c r="T150" s="73"/>
      <c r="U150" s="73"/>
      <c r="V150" s="73"/>
      <c r="W150" s="73"/>
      <c r="X150" s="73"/>
    </row>
    <row r="151">
      <c r="A151" s="74">
        <v>151.0</v>
      </c>
      <c r="B151" s="74" t="s">
        <v>1316</v>
      </c>
      <c r="C151" s="74">
        <v>10726.0</v>
      </c>
      <c r="D151" s="75" t="s">
        <v>1476</v>
      </c>
      <c r="E151" s="76">
        <v>45651.0</v>
      </c>
      <c r="F151" s="74" t="str">
        <f>VLOOKUP(D151,Sheet15!D:H,5,FALSE)</f>
        <v>#N/A</v>
      </c>
      <c r="G151" s="74"/>
      <c r="H151" s="74"/>
      <c r="I151" s="74" t="str">
        <f>VLOOKUP(D151,Sheet15!D:K,8,FALSE)</f>
        <v>#N/A</v>
      </c>
      <c r="J151" s="76">
        <f t="shared" si="1"/>
        <v>-45651</v>
      </c>
      <c r="K151" s="77" t="str">
        <f>VLOOKUP(D151,Sheet15!D:G,4,FALSE)</f>
        <v>#N/A</v>
      </c>
      <c r="L151" s="73"/>
      <c r="M151" s="73"/>
      <c r="N151" s="73"/>
      <c r="O151" s="73"/>
      <c r="P151" s="73"/>
      <c r="Q151" s="73"/>
      <c r="R151" s="73"/>
      <c r="S151" s="73"/>
      <c r="T151" s="73"/>
      <c r="U151" s="73"/>
      <c r="V151" s="73"/>
      <c r="W151" s="73"/>
      <c r="X151" s="73"/>
    </row>
    <row r="152">
      <c r="A152" s="74">
        <v>152.0</v>
      </c>
      <c r="B152" s="74" t="s">
        <v>1316</v>
      </c>
      <c r="C152" s="74">
        <v>10728.0</v>
      </c>
      <c r="D152" s="75" t="s">
        <v>1477</v>
      </c>
      <c r="E152" s="76">
        <v>45651.0</v>
      </c>
      <c r="F152" s="74" t="str">
        <f>VLOOKUP(D152,Sheet15!D:H,5,FALSE)</f>
        <v>#N/A</v>
      </c>
      <c r="G152" s="74"/>
      <c r="H152" s="74"/>
      <c r="I152" s="74" t="str">
        <f>VLOOKUP(D152,Sheet15!D:K,8,FALSE)</f>
        <v>#N/A</v>
      </c>
      <c r="J152" s="76">
        <f t="shared" si="1"/>
        <v>-45651</v>
      </c>
      <c r="K152" s="77" t="str">
        <f>VLOOKUP(D152,Sheet15!D:G,4,FALSE)</f>
        <v>#N/A</v>
      </c>
      <c r="L152" s="73"/>
      <c r="M152" s="73"/>
      <c r="N152" s="73"/>
      <c r="O152" s="73"/>
      <c r="P152" s="73"/>
      <c r="Q152" s="73"/>
      <c r="R152" s="73"/>
      <c r="S152" s="73"/>
      <c r="T152" s="73"/>
      <c r="U152" s="73"/>
      <c r="V152" s="73"/>
      <c r="W152" s="73"/>
      <c r="X152" s="73"/>
    </row>
    <row r="153">
      <c r="A153" s="74">
        <v>153.0</v>
      </c>
      <c r="B153" s="74" t="s">
        <v>1316</v>
      </c>
      <c r="C153" s="74">
        <v>10830.0</v>
      </c>
      <c r="D153" s="75" t="s">
        <v>1478</v>
      </c>
      <c r="E153" s="76">
        <v>45651.0</v>
      </c>
      <c r="F153" s="74" t="str">
        <f>VLOOKUP(D153,Sheet15!D:H,5,FALSE)</f>
        <v>#N/A</v>
      </c>
      <c r="G153" s="74"/>
      <c r="H153" s="74" t="s">
        <v>29</v>
      </c>
      <c r="I153" s="74" t="str">
        <f>VLOOKUP(D153,Sheet15!D:K,8,FALSE)</f>
        <v>#N/A</v>
      </c>
      <c r="J153" s="76">
        <f t="shared" si="1"/>
        <v>-45651</v>
      </c>
      <c r="K153" s="77" t="str">
        <f>VLOOKUP(D153,Sheet15!D:G,4,FALSE)</f>
        <v>#N/A</v>
      </c>
      <c r="L153" s="73"/>
      <c r="M153" s="73"/>
      <c r="N153" s="73"/>
      <c r="O153" s="73"/>
      <c r="P153" s="73"/>
      <c r="Q153" s="73"/>
      <c r="R153" s="73"/>
      <c r="S153" s="73"/>
      <c r="T153" s="73"/>
      <c r="U153" s="73"/>
      <c r="V153" s="73"/>
      <c r="W153" s="73"/>
      <c r="X153" s="73"/>
    </row>
    <row r="154">
      <c r="A154" s="74">
        <v>154.0</v>
      </c>
      <c r="B154" s="74" t="s">
        <v>1316</v>
      </c>
      <c r="C154" s="74">
        <v>10831.0</v>
      </c>
      <c r="D154" s="75" t="s">
        <v>1479</v>
      </c>
      <c r="E154" s="76">
        <v>45651.0</v>
      </c>
      <c r="F154" s="74" t="str">
        <f>VLOOKUP(D154,Sheet15!D:H,5,FALSE)</f>
        <v>#N/A</v>
      </c>
      <c r="G154" s="74"/>
      <c r="H154" s="74" t="s">
        <v>29</v>
      </c>
      <c r="I154" s="74" t="str">
        <f>VLOOKUP(D154,Sheet15!D:K,8,FALSE)</f>
        <v>#N/A</v>
      </c>
      <c r="J154" s="76">
        <f t="shared" si="1"/>
        <v>-45651</v>
      </c>
      <c r="K154" s="77" t="str">
        <f>VLOOKUP(D154,Sheet15!D:G,4,FALSE)</f>
        <v>#N/A</v>
      </c>
      <c r="L154" s="73"/>
      <c r="M154" s="73"/>
      <c r="N154" s="73"/>
      <c r="O154" s="73"/>
      <c r="P154" s="73"/>
      <c r="Q154" s="73"/>
      <c r="R154" s="73"/>
      <c r="S154" s="73"/>
      <c r="T154" s="73"/>
      <c r="U154" s="73"/>
      <c r="V154" s="73"/>
      <c r="W154" s="73"/>
      <c r="X154" s="73"/>
    </row>
    <row r="155">
      <c r="A155" s="74">
        <v>155.0</v>
      </c>
      <c r="B155" s="74" t="s">
        <v>1316</v>
      </c>
      <c r="C155" s="74">
        <v>10832.0</v>
      </c>
      <c r="D155" s="75" t="s">
        <v>1480</v>
      </c>
      <c r="E155" s="76">
        <v>45651.0</v>
      </c>
      <c r="F155" s="74" t="str">
        <f>VLOOKUP(D155,Sheet15!D:H,5,FALSE)</f>
        <v>#N/A</v>
      </c>
      <c r="G155" s="74"/>
      <c r="H155" s="74"/>
      <c r="I155" s="74" t="str">
        <f>VLOOKUP(D155,Sheet15!D:K,8,FALSE)</f>
        <v>#N/A</v>
      </c>
      <c r="J155" s="76">
        <f t="shared" si="1"/>
        <v>-45651</v>
      </c>
      <c r="K155" s="77" t="str">
        <f>VLOOKUP(D155,Sheet15!D:G,4,FALSE)</f>
        <v>#N/A</v>
      </c>
      <c r="L155" s="73"/>
      <c r="M155" s="73"/>
      <c r="N155" s="73"/>
      <c r="O155" s="73"/>
      <c r="P155" s="73"/>
      <c r="Q155" s="73"/>
      <c r="R155" s="73"/>
      <c r="S155" s="73"/>
      <c r="T155" s="73"/>
      <c r="U155" s="73"/>
      <c r="V155" s="73"/>
      <c r="W155" s="73"/>
      <c r="X155" s="73"/>
    </row>
    <row r="156">
      <c r="A156" s="74">
        <v>156.0</v>
      </c>
      <c r="B156" s="74" t="s">
        <v>1316</v>
      </c>
      <c r="C156" s="74">
        <v>10833.0</v>
      </c>
      <c r="D156" s="75" t="s">
        <v>1481</v>
      </c>
      <c r="E156" s="76">
        <v>45651.0</v>
      </c>
      <c r="F156" s="74" t="str">
        <f>VLOOKUP(D156,Sheet15!D:H,5,FALSE)</f>
        <v>#N/A</v>
      </c>
      <c r="G156" s="74"/>
      <c r="H156" s="74"/>
      <c r="I156" s="74" t="str">
        <f>VLOOKUP(D156,Sheet15!D:K,8,FALSE)</f>
        <v>#N/A</v>
      </c>
      <c r="J156" s="76">
        <f t="shared" si="1"/>
        <v>-45651</v>
      </c>
      <c r="K156" s="77" t="str">
        <f>VLOOKUP(D156,Sheet15!D:G,4,FALSE)</f>
        <v>#N/A</v>
      </c>
      <c r="L156" s="73"/>
      <c r="M156" s="73"/>
      <c r="N156" s="73"/>
      <c r="O156" s="73"/>
      <c r="P156" s="73"/>
      <c r="Q156" s="73"/>
      <c r="R156" s="73"/>
      <c r="S156" s="73"/>
      <c r="T156" s="73"/>
      <c r="U156" s="73"/>
      <c r="V156" s="73"/>
      <c r="W156" s="73"/>
      <c r="X156" s="73"/>
    </row>
    <row r="157">
      <c r="A157" s="74">
        <v>157.0</v>
      </c>
      <c r="B157" s="74" t="s">
        <v>1482</v>
      </c>
      <c r="C157" s="74"/>
      <c r="D157" s="75" t="s">
        <v>1483</v>
      </c>
      <c r="E157" s="76">
        <v>45684.0</v>
      </c>
      <c r="F157" s="74" t="str">
        <f>VLOOKUP(D157,Sheet15!D:H,5,FALSE)</f>
        <v>مكتمل</v>
      </c>
      <c r="G157" s="74"/>
      <c r="H157" s="74" t="s">
        <v>29</v>
      </c>
      <c r="I157" s="74" t="str">
        <f>VLOOKUP(D157,Sheet15!D:K,8,FALSE)</f>
        <v>2025-44881</v>
      </c>
      <c r="J157" s="76">
        <f t="shared" si="1"/>
        <v>-45684</v>
      </c>
      <c r="K157" s="77" t="str">
        <f>VLOOKUP(D157,Sheet15!D:G,4,FALSE)</f>
        <v/>
      </c>
      <c r="L157" s="73"/>
      <c r="M157" s="73"/>
      <c r="N157" s="73"/>
      <c r="O157" s="73"/>
      <c r="P157" s="73"/>
      <c r="Q157" s="73"/>
      <c r="R157" s="73"/>
      <c r="S157" s="73"/>
      <c r="T157" s="73"/>
      <c r="U157" s="73"/>
      <c r="V157" s="73"/>
      <c r="W157" s="73"/>
      <c r="X157" s="73"/>
    </row>
    <row r="158">
      <c r="A158" s="74">
        <v>158.0</v>
      </c>
      <c r="B158" s="74" t="s">
        <v>1482</v>
      </c>
      <c r="C158" s="74"/>
      <c r="D158" s="75" t="s">
        <v>1484</v>
      </c>
      <c r="E158" s="76">
        <v>45684.0</v>
      </c>
      <c r="F158" s="74" t="str">
        <f>VLOOKUP(D158,Sheet15!D:H,5,FALSE)</f>
        <v>مكتمل</v>
      </c>
      <c r="G158" s="74"/>
      <c r="H158" s="74" t="s">
        <v>29</v>
      </c>
      <c r="I158" s="74" t="str">
        <f>VLOOKUP(D158,Sheet15!D:K,8,FALSE)</f>
        <v>2025-44899</v>
      </c>
      <c r="J158" s="76">
        <f t="shared" si="1"/>
        <v>-45684</v>
      </c>
      <c r="K158" s="77" t="str">
        <f>VLOOKUP(D158,Sheet15!D:G,4,FALSE)</f>
        <v/>
      </c>
      <c r="L158" s="73"/>
      <c r="M158" s="73"/>
      <c r="N158" s="73"/>
      <c r="O158" s="73"/>
      <c r="P158" s="73"/>
      <c r="Q158" s="73"/>
      <c r="R158" s="73"/>
      <c r="S158" s="73"/>
      <c r="T158" s="73"/>
      <c r="U158" s="73"/>
      <c r="V158" s="73"/>
      <c r="W158" s="73"/>
      <c r="X158" s="73"/>
    </row>
    <row r="159">
      <c r="A159" s="74">
        <v>159.0</v>
      </c>
      <c r="B159" s="74" t="s">
        <v>1482</v>
      </c>
      <c r="C159" s="74"/>
      <c r="D159" s="75" t="s">
        <v>1485</v>
      </c>
      <c r="E159" s="76">
        <v>45684.0</v>
      </c>
      <c r="F159" s="74" t="str">
        <f>VLOOKUP(D159,Sheet15!D:H,5,FALSE)</f>
        <v>مكتمل</v>
      </c>
      <c r="G159" s="74"/>
      <c r="H159" s="74" t="s">
        <v>29</v>
      </c>
      <c r="I159" s="74" t="str">
        <f>VLOOKUP(D159,Sheet15!D:K,8,FALSE)</f>
        <v>2025-128620</v>
      </c>
      <c r="J159" s="76">
        <f t="shared" si="1"/>
        <v>-45684</v>
      </c>
      <c r="K159" s="77" t="str">
        <f>VLOOKUP(D159,Sheet15!D:G,4,FALSE)</f>
        <v/>
      </c>
      <c r="L159" s="73"/>
      <c r="M159" s="73"/>
      <c r="N159" s="73"/>
      <c r="O159" s="73"/>
      <c r="P159" s="73"/>
      <c r="Q159" s="73"/>
      <c r="R159" s="73"/>
      <c r="S159" s="73"/>
      <c r="T159" s="73"/>
      <c r="U159" s="73"/>
      <c r="V159" s="73"/>
      <c r="W159" s="73"/>
      <c r="X159" s="73"/>
    </row>
    <row r="160">
      <c r="A160" s="74">
        <v>160.0</v>
      </c>
      <c r="B160" s="74" t="s">
        <v>1482</v>
      </c>
      <c r="C160" s="74"/>
      <c r="D160" s="80" t="s">
        <v>1486</v>
      </c>
      <c r="E160" s="76">
        <v>45684.0</v>
      </c>
      <c r="F160" s="74" t="str">
        <f>VLOOKUP(D160,Sheet15!D:H,5,FALSE)</f>
        <v>مكتمل</v>
      </c>
      <c r="G160" s="74"/>
      <c r="H160" s="74" t="s">
        <v>29</v>
      </c>
      <c r="I160" s="74" t="str">
        <f>VLOOKUP(D160,Sheet15!D:K,8,FALSE)</f>
        <v>2025-128651</v>
      </c>
      <c r="J160" s="76">
        <f t="shared" si="1"/>
        <v>-45684</v>
      </c>
      <c r="K160" s="77" t="str">
        <f>VLOOKUP(D160,Sheet15!D:G,4,FALSE)</f>
        <v/>
      </c>
      <c r="L160" s="73"/>
      <c r="M160" s="73"/>
      <c r="N160" s="73"/>
      <c r="O160" s="73"/>
      <c r="P160" s="73"/>
      <c r="Q160" s="73"/>
      <c r="R160" s="73"/>
      <c r="S160" s="73"/>
      <c r="T160" s="73"/>
      <c r="U160" s="73"/>
      <c r="V160" s="73"/>
      <c r="W160" s="73"/>
      <c r="X160" s="73"/>
    </row>
    <row r="161">
      <c r="A161" s="74">
        <v>161.0</v>
      </c>
      <c r="B161" s="74" t="s">
        <v>1482</v>
      </c>
      <c r="C161" s="74"/>
      <c r="D161" s="75" t="s">
        <v>1487</v>
      </c>
      <c r="E161" s="76">
        <v>45684.0</v>
      </c>
      <c r="F161" s="74" t="str">
        <f>VLOOKUP(D161,Sheet15!D:H,5,FALSE)</f>
        <v>مكتمل</v>
      </c>
      <c r="G161" s="74"/>
      <c r="H161" s="74" t="s">
        <v>29</v>
      </c>
      <c r="I161" s="74" t="str">
        <f>VLOOKUP(D161,Sheet15!D:K,8,FALSE)</f>
        <v>2025-44943</v>
      </c>
      <c r="J161" s="76">
        <f t="shared" si="1"/>
        <v>-45684</v>
      </c>
      <c r="K161" s="77" t="str">
        <f>VLOOKUP(D161,Sheet15!D:G,4,FALSE)</f>
        <v/>
      </c>
      <c r="L161" s="73"/>
      <c r="M161" s="73"/>
      <c r="N161" s="73"/>
      <c r="O161" s="73"/>
      <c r="P161" s="73"/>
      <c r="Q161" s="73"/>
      <c r="R161" s="73"/>
      <c r="S161" s="73"/>
      <c r="T161" s="73"/>
      <c r="U161" s="73"/>
      <c r="V161" s="73"/>
      <c r="W161" s="73"/>
      <c r="X161" s="73"/>
    </row>
    <row r="162">
      <c r="A162" s="74">
        <v>162.0</v>
      </c>
      <c r="B162" s="74" t="s">
        <v>1482</v>
      </c>
      <c r="C162" s="74"/>
      <c r="D162" s="75" t="s">
        <v>1488</v>
      </c>
      <c r="E162" s="76">
        <v>45684.0</v>
      </c>
      <c r="F162" s="74" t="str">
        <f>VLOOKUP(D162,Sheet15!D:H,5,FALSE)</f>
        <v>مكتمل</v>
      </c>
      <c r="G162" s="74"/>
      <c r="H162" s="74" t="s">
        <v>29</v>
      </c>
      <c r="I162" s="74" t="str">
        <f>VLOOKUP(D162,Sheet15!D:K,8,FALSE)</f>
        <v>2025-44919</v>
      </c>
      <c r="J162" s="76">
        <f t="shared" si="1"/>
        <v>-45684</v>
      </c>
      <c r="K162" s="77" t="str">
        <f>VLOOKUP(D162,Sheet15!D:G,4,FALSE)</f>
        <v/>
      </c>
      <c r="L162" s="73"/>
      <c r="M162" s="73"/>
      <c r="N162" s="73"/>
      <c r="O162" s="73"/>
      <c r="P162" s="73"/>
      <c r="Q162" s="73"/>
      <c r="R162" s="73"/>
      <c r="S162" s="73"/>
      <c r="T162" s="73"/>
      <c r="U162" s="73"/>
      <c r="V162" s="73"/>
      <c r="W162" s="73"/>
      <c r="X162" s="73"/>
    </row>
    <row r="163">
      <c r="A163" s="74">
        <v>163.0</v>
      </c>
      <c r="B163" s="74" t="s">
        <v>1482</v>
      </c>
      <c r="C163" s="74"/>
      <c r="D163" s="80" t="s">
        <v>1489</v>
      </c>
      <c r="E163" s="76">
        <v>45684.0</v>
      </c>
      <c r="F163" s="74" t="str">
        <f>VLOOKUP(D163,Sheet15!D:H,5,FALSE)</f>
        <v>عاد لمقدم الطلب</v>
      </c>
      <c r="G163" s="74"/>
      <c r="H163" s="74"/>
      <c r="I163" s="74" t="str">
        <f>VLOOKUP(D163,Sheet15!D:K,8,FALSE)</f>
        <v/>
      </c>
      <c r="J163" s="76">
        <f t="shared" si="1"/>
        <v>-45684</v>
      </c>
      <c r="K163" s="77" t="str">
        <f>VLOOKUP(D163,Sheet15!D:G,4,FALSE)</f>
        <v>artwork missing</v>
      </c>
      <c r="L163" s="73"/>
      <c r="M163" s="73"/>
      <c r="N163" s="73"/>
      <c r="O163" s="73"/>
      <c r="P163" s="73"/>
      <c r="Q163" s="73"/>
      <c r="R163" s="73"/>
      <c r="S163" s="73"/>
      <c r="T163" s="73"/>
      <c r="U163" s="73"/>
      <c r="V163" s="73"/>
      <c r="W163" s="73"/>
      <c r="X163" s="73"/>
    </row>
    <row r="164">
      <c r="A164" s="74">
        <v>164.0</v>
      </c>
      <c r="B164" s="74" t="s">
        <v>1482</v>
      </c>
      <c r="C164" s="74"/>
      <c r="D164" s="75" t="s">
        <v>1490</v>
      </c>
      <c r="E164" s="76">
        <v>45684.0</v>
      </c>
      <c r="F164" s="74" t="str">
        <f>VLOOKUP(D164,Sheet15!D:H,5,FALSE)</f>
        <v>عاد لمقدم الطلب</v>
      </c>
      <c r="G164" s="74"/>
      <c r="H164" s="74"/>
      <c r="I164" s="74" t="str">
        <f>VLOOKUP(D164,Sheet15!D:K,8,FALSE)</f>
        <v/>
      </c>
      <c r="J164" s="76">
        <f t="shared" si="1"/>
        <v>-45684</v>
      </c>
      <c r="K164" s="77" t="str">
        <f>VLOOKUP(D164,Sheet15!D:G,4,FALSE)</f>
        <v>artwork missing</v>
      </c>
      <c r="L164" s="73"/>
      <c r="M164" s="73"/>
      <c r="N164" s="73"/>
      <c r="O164" s="73"/>
      <c r="P164" s="73"/>
      <c r="Q164" s="73"/>
      <c r="R164" s="73"/>
      <c r="S164" s="73"/>
      <c r="T164" s="73"/>
      <c r="U164" s="73"/>
      <c r="V164" s="73"/>
      <c r="W164" s="73"/>
      <c r="X164" s="73"/>
    </row>
    <row r="165">
      <c r="A165" s="74">
        <v>165.0</v>
      </c>
      <c r="B165" s="74" t="s">
        <v>1482</v>
      </c>
      <c r="C165" s="74"/>
      <c r="D165" s="75" t="s">
        <v>1491</v>
      </c>
      <c r="E165" s="76">
        <v>45684.0</v>
      </c>
      <c r="F165" s="74" t="str">
        <f>VLOOKUP(D165,Sheet15!D:H,5,FALSE)</f>
        <v>عاد لمقدم الطلب</v>
      </c>
      <c r="G165" s="74"/>
      <c r="H165" s="74"/>
      <c r="I165" s="74" t="str">
        <f>VLOOKUP(D165,Sheet15!D:K,8,FALSE)</f>
        <v/>
      </c>
      <c r="J165" s="76">
        <f t="shared" si="1"/>
        <v>-45684</v>
      </c>
      <c r="K165" s="77" t="str">
        <f>VLOOKUP(D165,Sheet15!D:G,4,FALSE)</f>
        <v>artwork missing</v>
      </c>
      <c r="L165" s="73"/>
      <c r="M165" s="73"/>
      <c r="N165" s="73"/>
      <c r="O165" s="73"/>
      <c r="P165" s="73"/>
      <c r="Q165" s="73"/>
      <c r="R165" s="73"/>
      <c r="S165" s="73"/>
      <c r="T165" s="73"/>
      <c r="U165" s="73"/>
      <c r="V165" s="73"/>
      <c r="W165" s="73"/>
      <c r="X165" s="73"/>
    </row>
    <row r="166">
      <c r="A166" s="74">
        <v>166.0</v>
      </c>
      <c r="B166" s="74" t="s">
        <v>143</v>
      </c>
      <c r="C166" s="74"/>
      <c r="D166" s="75" t="s">
        <v>1492</v>
      </c>
      <c r="E166" s="76">
        <v>45685.0</v>
      </c>
      <c r="F166" s="74" t="str">
        <f>VLOOKUP(D166,Sheet15!D:H,5,FALSE)</f>
        <v>مكتمل</v>
      </c>
      <c r="G166" s="74"/>
      <c r="H166" s="74" t="s">
        <v>29</v>
      </c>
      <c r="I166" s="74" t="str">
        <f>VLOOKUP(D166,Sheet15!D:K,8,FALSE)</f>
        <v>2025-51196</v>
      </c>
      <c r="J166" s="76">
        <f t="shared" si="1"/>
        <v>-45685</v>
      </c>
      <c r="K166" s="77" t="str">
        <f>VLOOKUP(D166,Sheet15!D:G,4,FALSE)</f>
        <v/>
      </c>
      <c r="L166" s="73"/>
      <c r="M166" s="73"/>
      <c r="N166" s="73"/>
      <c r="O166" s="73"/>
      <c r="P166" s="73"/>
      <c r="Q166" s="73"/>
      <c r="R166" s="73"/>
      <c r="S166" s="73"/>
      <c r="T166" s="73"/>
      <c r="U166" s="73"/>
      <c r="V166" s="73"/>
      <c r="W166" s="73"/>
      <c r="X166" s="73"/>
    </row>
    <row r="167">
      <c r="A167" s="74">
        <v>167.0</v>
      </c>
      <c r="B167" s="74" t="s">
        <v>143</v>
      </c>
      <c r="C167" s="74"/>
      <c r="D167" s="75" t="s">
        <v>1493</v>
      </c>
      <c r="E167" s="76">
        <v>45685.0</v>
      </c>
      <c r="F167" s="74" t="str">
        <f>VLOOKUP(D167,Sheet15!D:H,5,FALSE)</f>
        <v>مكتمل</v>
      </c>
      <c r="G167" s="74"/>
      <c r="H167" s="74" t="s">
        <v>29</v>
      </c>
      <c r="I167" s="74" t="str">
        <f>VLOOKUP(D167,Sheet15!D:K,8,FALSE)</f>
        <v>2025-51211</v>
      </c>
      <c r="J167" s="76">
        <f t="shared" si="1"/>
        <v>-45685</v>
      </c>
      <c r="K167" s="77" t="str">
        <f>VLOOKUP(D167,Sheet15!D:G,4,FALSE)</f>
        <v/>
      </c>
      <c r="L167" s="73"/>
      <c r="M167" s="73"/>
      <c r="N167" s="73"/>
      <c r="O167" s="73"/>
      <c r="P167" s="73"/>
      <c r="Q167" s="73"/>
      <c r="R167" s="73"/>
      <c r="S167" s="73"/>
      <c r="T167" s="73"/>
      <c r="U167" s="73"/>
      <c r="V167" s="73"/>
      <c r="W167" s="73"/>
      <c r="X167" s="73"/>
    </row>
    <row r="168">
      <c r="A168" s="74">
        <v>168.0</v>
      </c>
      <c r="B168" s="74" t="s">
        <v>1412</v>
      </c>
      <c r="C168" s="74"/>
      <c r="D168" s="75" t="s">
        <v>1494</v>
      </c>
      <c r="E168" s="76">
        <v>45693.0</v>
      </c>
      <c r="F168" s="74" t="str">
        <f>VLOOKUP(D168,Sheet15!D:H,5,FALSE)</f>
        <v>مكتمل</v>
      </c>
      <c r="G168" s="74"/>
      <c r="H168" s="74" t="s">
        <v>29</v>
      </c>
      <c r="I168" s="74" t="str">
        <f>VLOOKUP(D168,Sheet15!D:K,8,FALSE)</f>
        <v>2025-64459</v>
      </c>
      <c r="J168" s="76">
        <f t="shared" si="1"/>
        <v>-45693</v>
      </c>
      <c r="K168" s="77" t="str">
        <f>VLOOKUP(D168,Sheet15!D:G,4,FALSE)</f>
        <v/>
      </c>
      <c r="L168" s="73"/>
      <c r="M168" s="73"/>
      <c r="N168" s="73"/>
      <c r="O168" s="73"/>
      <c r="P168" s="73"/>
      <c r="Q168" s="73"/>
      <c r="R168" s="73"/>
      <c r="S168" s="73"/>
      <c r="T168" s="73"/>
      <c r="U168" s="73"/>
      <c r="V168" s="73"/>
      <c r="W168" s="73"/>
      <c r="X168" s="73"/>
    </row>
    <row r="169">
      <c r="A169" s="74">
        <v>169.0</v>
      </c>
      <c r="B169" s="74" t="s">
        <v>1412</v>
      </c>
      <c r="C169" s="74"/>
      <c r="D169" s="75" t="s">
        <v>1495</v>
      </c>
      <c r="E169" s="76">
        <v>45693.0</v>
      </c>
      <c r="F169" s="74" t="str">
        <f>VLOOKUP(D169,Sheet15!D:H,5,FALSE)</f>
        <v>مكتمل</v>
      </c>
      <c r="G169" s="74"/>
      <c r="H169" s="74" t="s">
        <v>29</v>
      </c>
      <c r="I169" s="74" t="str">
        <f>VLOOKUP(D169,Sheet15!D:K,8,FALSE)</f>
        <v>2025-64402</v>
      </c>
      <c r="J169" s="76">
        <f t="shared" si="1"/>
        <v>-45693</v>
      </c>
      <c r="K169" s="77" t="str">
        <f>VLOOKUP(D169,Sheet15!D:G,4,FALSE)</f>
        <v/>
      </c>
      <c r="L169" s="73"/>
      <c r="M169" s="73"/>
      <c r="N169" s="73"/>
      <c r="O169" s="73"/>
      <c r="P169" s="73"/>
      <c r="Q169" s="73"/>
      <c r="R169" s="73"/>
      <c r="S169" s="73"/>
      <c r="T169" s="73"/>
      <c r="U169" s="73"/>
      <c r="V169" s="73"/>
      <c r="W169" s="73"/>
      <c r="X169" s="73"/>
    </row>
    <row r="170">
      <c r="A170" s="74">
        <v>170.0</v>
      </c>
      <c r="B170" s="74" t="s">
        <v>1412</v>
      </c>
      <c r="C170" s="74"/>
      <c r="D170" s="75" t="s">
        <v>1496</v>
      </c>
      <c r="E170" s="76">
        <v>45693.0</v>
      </c>
      <c r="F170" s="74" t="str">
        <f>VLOOKUP(D170,Sheet15!D:H,5,FALSE)</f>
        <v>مكتمل</v>
      </c>
      <c r="G170" s="74"/>
      <c r="H170" s="74" t="s">
        <v>29</v>
      </c>
      <c r="I170" s="74" t="str">
        <f>VLOOKUP(D170,Sheet15!D:K,8,FALSE)</f>
        <v>2025-64493</v>
      </c>
      <c r="J170" s="76">
        <f t="shared" si="1"/>
        <v>-45693</v>
      </c>
      <c r="K170" s="77" t="str">
        <f>VLOOKUP(D170,Sheet15!D:G,4,FALSE)</f>
        <v/>
      </c>
      <c r="L170" s="73"/>
      <c r="M170" s="73"/>
      <c r="N170" s="73"/>
      <c r="O170" s="73"/>
      <c r="P170" s="73"/>
      <c r="Q170" s="73"/>
      <c r="R170" s="73"/>
      <c r="S170" s="73"/>
      <c r="T170" s="73"/>
      <c r="U170" s="73"/>
      <c r="V170" s="73"/>
      <c r="W170" s="73"/>
      <c r="X170" s="73"/>
    </row>
    <row r="171">
      <c r="A171" s="74">
        <v>171.0</v>
      </c>
      <c r="B171" s="74" t="s">
        <v>1412</v>
      </c>
      <c r="C171" s="74"/>
      <c r="D171" s="75" t="s">
        <v>1497</v>
      </c>
      <c r="E171" s="76">
        <v>45693.0</v>
      </c>
      <c r="F171" s="74" t="str">
        <f>VLOOKUP(D171,Sheet15!D:H,5,FALSE)</f>
        <v>مكتمل</v>
      </c>
      <c r="G171" s="74"/>
      <c r="H171" s="74" t="s">
        <v>29</v>
      </c>
      <c r="I171" s="74" t="str">
        <f>VLOOKUP(D171,Sheet15!D:K,8,FALSE)</f>
        <v>2025-64383</v>
      </c>
      <c r="J171" s="76">
        <f t="shared" si="1"/>
        <v>-45693</v>
      </c>
      <c r="K171" s="77" t="str">
        <f>VLOOKUP(D171,Sheet15!D:G,4,FALSE)</f>
        <v/>
      </c>
      <c r="L171" s="73"/>
      <c r="M171" s="73"/>
      <c r="N171" s="73"/>
      <c r="O171" s="73"/>
      <c r="P171" s="73"/>
      <c r="Q171" s="73"/>
      <c r="R171" s="73"/>
      <c r="S171" s="73"/>
      <c r="T171" s="73"/>
      <c r="U171" s="73"/>
      <c r="V171" s="73"/>
      <c r="W171" s="73"/>
      <c r="X171" s="73"/>
    </row>
    <row r="172">
      <c r="A172" s="74">
        <v>172.0</v>
      </c>
      <c r="B172" s="74" t="s">
        <v>1412</v>
      </c>
      <c r="C172" s="74"/>
      <c r="D172" s="75" t="s">
        <v>1498</v>
      </c>
      <c r="E172" s="76">
        <v>45693.0</v>
      </c>
      <c r="F172" s="74" t="str">
        <f>VLOOKUP(D172,Sheet15!D:H,5,FALSE)</f>
        <v>مكتمل</v>
      </c>
      <c r="G172" s="74"/>
      <c r="H172" s="74" t="s">
        <v>29</v>
      </c>
      <c r="I172" s="74" t="str">
        <f>VLOOKUP(D172,Sheet15!D:K,8,FALSE)</f>
        <v>2025-64420</v>
      </c>
      <c r="J172" s="76">
        <f t="shared" si="1"/>
        <v>-45693</v>
      </c>
      <c r="K172" s="77" t="str">
        <f>VLOOKUP(D172,Sheet15!D:G,4,FALSE)</f>
        <v/>
      </c>
      <c r="L172" s="73"/>
      <c r="M172" s="73"/>
      <c r="N172" s="73"/>
      <c r="O172" s="73"/>
      <c r="P172" s="73"/>
      <c r="Q172" s="73"/>
      <c r="R172" s="73"/>
      <c r="S172" s="73"/>
      <c r="T172" s="73"/>
      <c r="U172" s="73"/>
      <c r="V172" s="73"/>
      <c r="W172" s="73"/>
      <c r="X172" s="73"/>
    </row>
    <row r="173">
      <c r="A173" s="74">
        <v>173.0</v>
      </c>
      <c r="B173" s="74" t="s">
        <v>1412</v>
      </c>
      <c r="C173" s="74"/>
      <c r="D173" s="75" t="s">
        <v>1499</v>
      </c>
      <c r="E173" s="76">
        <v>45693.0</v>
      </c>
      <c r="F173" s="74" t="str">
        <f>VLOOKUP(D173,Sheet15!D:H,5,FALSE)</f>
        <v>مكتمل</v>
      </c>
      <c r="G173" s="74"/>
      <c r="H173" s="74" t="s">
        <v>29</v>
      </c>
      <c r="I173" s="74" t="str">
        <f>VLOOKUP(D173,Sheet15!D:K,8,FALSE)</f>
        <v>2025-171831</v>
      </c>
      <c r="J173" s="76">
        <f t="shared" si="1"/>
        <v>-45693</v>
      </c>
      <c r="K173" s="77" t="str">
        <f>VLOOKUP(D173,Sheet15!D:G,4,FALSE)</f>
        <v/>
      </c>
      <c r="L173" s="73"/>
      <c r="M173" s="73"/>
      <c r="N173" s="73"/>
      <c r="O173" s="73"/>
      <c r="P173" s="73"/>
      <c r="Q173" s="73"/>
      <c r="R173" s="73"/>
      <c r="S173" s="73"/>
      <c r="T173" s="73"/>
      <c r="U173" s="73"/>
      <c r="V173" s="73"/>
      <c r="W173" s="73"/>
      <c r="X173" s="73"/>
    </row>
    <row r="174">
      <c r="A174" s="74">
        <v>174.0</v>
      </c>
      <c r="B174" s="74" t="s">
        <v>1412</v>
      </c>
      <c r="C174" s="74"/>
      <c r="D174" s="75" t="s">
        <v>1500</v>
      </c>
      <c r="E174" s="76">
        <v>45693.0</v>
      </c>
      <c r="F174" s="74" t="str">
        <f>VLOOKUP(D174,Sheet15!D:H,5,FALSE)</f>
        <v>مكتمل</v>
      </c>
      <c r="G174" s="74"/>
      <c r="H174" s="74" t="s">
        <v>29</v>
      </c>
      <c r="I174" s="74" t="str">
        <f>VLOOKUP(D174,Sheet15!D:K,8,FALSE)</f>
        <v>P-1-N-040423-2069</v>
      </c>
      <c r="J174" s="76">
        <f t="shared" si="1"/>
        <v>-45693</v>
      </c>
      <c r="K174" s="77" t="str">
        <f>VLOOKUP(D174,Sheet15!D:G,4,FALSE)</f>
        <v/>
      </c>
      <c r="L174" s="73"/>
      <c r="M174" s="73"/>
      <c r="N174" s="73"/>
      <c r="O174" s="73"/>
      <c r="P174" s="73"/>
      <c r="Q174" s="73"/>
      <c r="R174" s="73"/>
      <c r="S174" s="73"/>
      <c r="T174" s="73"/>
      <c r="U174" s="73"/>
      <c r="V174" s="73"/>
      <c r="W174" s="73"/>
      <c r="X174" s="73"/>
    </row>
    <row r="175">
      <c r="A175" s="74">
        <v>175.0</v>
      </c>
      <c r="B175" s="74" t="s">
        <v>1412</v>
      </c>
      <c r="C175" s="74"/>
      <c r="D175" s="75" t="s">
        <v>1501</v>
      </c>
      <c r="E175" s="76">
        <v>45693.0</v>
      </c>
      <c r="F175" s="74" t="str">
        <f>VLOOKUP(D175,Sheet15!D:H,5,FALSE)</f>
        <v>مكتمل</v>
      </c>
      <c r="G175" s="74"/>
      <c r="H175" s="74" t="s">
        <v>29</v>
      </c>
      <c r="I175" s="74" t="str">
        <f>VLOOKUP(D175,Sheet15!D:K,8,FALSE)</f>
        <v>2025-63169</v>
      </c>
      <c r="J175" s="76">
        <f t="shared" si="1"/>
        <v>-45693</v>
      </c>
      <c r="K175" s="77" t="str">
        <f>VLOOKUP(D175,Sheet15!D:G,4,FALSE)</f>
        <v/>
      </c>
      <c r="L175" s="73"/>
      <c r="M175" s="73"/>
      <c r="N175" s="73"/>
      <c r="O175" s="73"/>
      <c r="P175" s="73"/>
      <c r="Q175" s="73"/>
      <c r="R175" s="73"/>
      <c r="S175" s="73"/>
      <c r="T175" s="73"/>
      <c r="U175" s="73"/>
      <c r="V175" s="73"/>
      <c r="W175" s="73"/>
      <c r="X175" s="73"/>
    </row>
    <row r="176">
      <c r="A176" s="74">
        <v>176.0</v>
      </c>
      <c r="B176" s="74" t="s">
        <v>1412</v>
      </c>
      <c r="C176" s="74"/>
      <c r="D176" s="75" t="s">
        <v>1502</v>
      </c>
      <c r="E176" s="76">
        <v>45693.0</v>
      </c>
      <c r="F176" s="74" t="str">
        <f>VLOOKUP(D176,Sheet15!D:H,5,FALSE)</f>
        <v>مكتمل</v>
      </c>
      <c r="G176" s="74"/>
      <c r="H176" s="74" t="s">
        <v>29</v>
      </c>
      <c r="I176" s="74" t="str">
        <f>VLOOKUP(D176,Sheet15!D:K,8,FALSE)</f>
        <v>2025-64438</v>
      </c>
      <c r="J176" s="76">
        <f t="shared" si="1"/>
        <v>-45693</v>
      </c>
      <c r="K176" s="77" t="str">
        <f>VLOOKUP(D176,Sheet15!D:G,4,FALSE)</f>
        <v/>
      </c>
      <c r="L176" s="73"/>
      <c r="M176" s="73"/>
      <c r="N176" s="73"/>
      <c r="O176" s="73"/>
      <c r="P176" s="73"/>
      <c r="Q176" s="73"/>
      <c r="R176" s="73"/>
      <c r="S176" s="73"/>
      <c r="T176" s="73"/>
      <c r="U176" s="73"/>
      <c r="V176" s="73"/>
      <c r="W176" s="73"/>
      <c r="X176" s="73"/>
    </row>
    <row r="177">
      <c r="A177" s="74">
        <v>177.0</v>
      </c>
      <c r="B177" s="74" t="s">
        <v>1412</v>
      </c>
      <c r="C177" s="74"/>
      <c r="D177" s="75" t="s">
        <v>1503</v>
      </c>
      <c r="E177" s="76">
        <v>45693.0</v>
      </c>
      <c r="F177" s="74" t="str">
        <f>VLOOKUP(D177,Sheet15!D:H,5,FALSE)</f>
        <v>مكتمل</v>
      </c>
      <c r="G177" s="74"/>
      <c r="H177" s="74" t="s">
        <v>29</v>
      </c>
      <c r="I177" s="74" t="str">
        <f>VLOOKUP(D177,Sheet15!D:K,8,FALSE)</f>
        <v>2025-63137</v>
      </c>
      <c r="J177" s="76">
        <f t="shared" si="1"/>
        <v>-45693</v>
      </c>
      <c r="K177" s="77" t="str">
        <f>VLOOKUP(D177,Sheet15!D:G,4,FALSE)</f>
        <v/>
      </c>
      <c r="L177" s="73"/>
      <c r="M177" s="73"/>
      <c r="N177" s="73"/>
      <c r="O177" s="73"/>
      <c r="P177" s="73"/>
      <c r="Q177" s="73"/>
      <c r="R177" s="73"/>
      <c r="S177" s="73"/>
      <c r="T177" s="73"/>
      <c r="U177" s="73"/>
      <c r="V177" s="73"/>
      <c r="W177" s="73"/>
      <c r="X177" s="73"/>
    </row>
    <row r="178">
      <c r="A178" s="74">
        <v>178.0</v>
      </c>
      <c r="B178" s="74" t="s">
        <v>1412</v>
      </c>
      <c r="C178" s="74"/>
      <c r="D178" s="75" t="s">
        <v>1504</v>
      </c>
      <c r="E178" s="76">
        <v>45693.0</v>
      </c>
      <c r="F178" s="74" t="str">
        <f>VLOOKUP(D178,Sheet15!D:H,5,FALSE)</f>
        <v>مكتمل</v>
      </c>
      <c r="G178" s="74"/>
      <c r="H178" s="74" t="s">
        <v>29</v>
      </c>
      <c r="I178" s="74" t="str">
        <f>VLOOKUP(D178,Sheet15!D:K,8,FALSE)</f>
        <v>2025-63178</v>
      </c>
      <c r="J178" s="76">
        <f t="shared" si="1"/>
        <v>-45693</v>
      </c>
      <c r="K178" s="77" t="str">
        <f>VLOOKUP(D178,Sheet15!D:G,4,FALSE)</f>
        <v/>
      </c>
      <c r="L178" s="73"/>
      <c r="M178" s="73"/>
      <c r="N178" s="73"/>
      <c r="O178" s="73"/>
      <c r="P178" s="73"/>
      <c r="Q178" s="73"/>
      <c r="R178" s="73"/>
      <c r="S178" s="73"/>
      <c r="T178" s="73"/>
      <c r="U178" s="73"/>
      <c r="V178" s="73"/>
      <c r="W178" s="73"/>
      <c r="X178" s="73"/>
    </row>
    <row r="179">
      <c r="A179" s="74">
        <v>179.0</v>
      </c>
      <c r="B179" s="74" t="s">
        <v>1412</v>
      </c>
      <c r="C179" s="74"/>
      <c r="D179" s="75" t="s">
        <v>1505</v>
      </c>
      <c r="E179" s="76">
        <v>45693.0</v>
      </c>
      <c r="F179" s="74" t="str">
        <f>VLOOKUP(D179,Sheet15!D:H,5,FALSE)</f>
        <v>مكتمل</v>
      </c>
      <c r="G179" s="74"/>
      <c r="H179" s="74" t="s">
        <v>29</v>
      </c>
      <c r="I179" s="74" t="str">
        <f>VLOOKUP(D179,Sheet15!D:K,8,FALSE)</f>
        <v>2025-63216</v>
      </c>
      <c r="J179" s="76">
        <f t="shared" si="1"/>
        <v>-45693</v>
      </c>
      <c r="K179" s="77" t="str">
        <f>VLOOKUP(D179,Sheet15!D:G,4,FALSE)</f>
        <v/>
      </c>
      <c r="L179" s="73"/>
      <c r="M179" s="73"/>
      <c r="N179" s="73"/>
      <c r="O179" s="73"/>
      <c r="P179" s="73"/>
      <c r="Q179" s="73"/>
      <c r="R179" s="73"/>
      <c r="S179" s="73"/>
      <c r="T179" s="73"/>
      <c r="U179" s="73"/>
      <c r="V179" s="73"/>
      <c r="W179" s="73"/>
      <c r="X179" s="73"/>
    </row>
    <row r="180">
      <c r="A180" s="74">
        <v>180.0</v>
      </c>
      <c r="B180" s="74" t="s">
        <v>1412</v>
      </c>
      <c r="C180" s="74"/>
      <c r="D180" s="75" t="s">
        <v>1506</v>
      </c>
      <c r="E180" s="76">
        <v>45693.0</v>
      </c>
      <c r="F180" s="74" t="str">
        <f>VLOOKUP(D180,Sheet15!D:H,5,FALSE)</f>
        <v>مكتمل</v>
      </c>
      <c r="G180" s="74"/>
      <c r="H180" s="74" t="s">
        <v>29</v>
      </c>
      <c r="I180" s="74" t="str">
        <f>VLOOKUP(D180,Sheet15!D:K,8,FALSE)</f>
        <v>2025-63233</v>
      </c>
      <c r="J180" s="76">
        <f t="shared" si="1"/>
        <v>-45693</v>
      </c>
      <c r="K180" s="77" t="str">
        <f>VLOOKUP(D180,Sheet15!D:G,4,FALSE)</f>
        <v/>
      </c>
      <c r="L180" s="73"/>
      <c r="M180" s="73"/>
      <c r="N180" s="73"/>
      <c r="O180" s="73"/>
      <c r="P180" s="73"/>
      <c r="Q180" s="73"/>
      <c r="R180" s="73"/>
      <c r="S180" s="73"/>
      <c r="T180" s="73"/>
      <c r="U180" s="73"/>
      <c r="V180" s="73"/>
      <c r="W180" s="73"/>
      <c r="X180" s="73"/>
    </row>
    <row r="181">
      <c r="A181" s="74">
        <v>181.0</v>
      </c>
      <c r="B181" s="74" t="s">
        <v>1412</v>
      </c>
      <c r="C181" s="74"/>
      <c r="D181" s="75" t="s">
        <v>1507</v>
      </c>
      <c r="E181" s="76">
        <v>45693.0</v>
      </c>
      <c r="F181" s="74" t="str">
        <f>VLOOKUP(D181,Sheet15!D:H,5,FALSE)</f>
        <v>مكتمل</v>
      </c>
      <c r="G181" s="74"/>
      <c r="H181" s="74" t="s">
        <v>29</v>
      </c>
      <c r="I181" s="74" t="str">
        <f>VLOOKUP(D181,Sheet15!D:K,8,FALSE)</f>
        <v>2025-63285</v>
      </c>
      <c r="J181" s="76">
        <f t="shared" si="1"/>
        <v>-45693</v>
      </c>
      <c r="K181" s="77" t="str">
        <f>VLOOKUP(D181,Sheet15!D:G,4,FALSE)</f>
        <v/>
      </c>
      <c r="L181" s="73"/>
      <c r="M181" s="73"/>
      <c r="N181" s="73"/>
      <c r="O181" s="73"/>
      <c r="P181" s="73"/>
      <c r="Q181" s="73"/>
      <c r="R181" s="73"/>
      <c r="S181" s="73"/>
      <c r="T181" s="73"/>
      <c r="U181" s="73"/>
      <c r="V181" s="73"/>
      <c r="W181" s="73"/>
      <c r="X181" s="73"/>
    </row>
    <row r="182">
      <c r="A182" s="74">
        <v>182.0</v>
      </c>
      <c r="B182" s="74" t="s">
        <v>1412</v>
      </c>
      <c r="C182" s="74"/>
      <c r="D182" s="75" t="s">
        <v>1508</v>
      </c>
      <c r="E182" s="76">
        <v>45693.0</v>
      </c>
      <c r="F182" s="74" t="str">
        <f>VLOOKUP(D182,Sheet15!D:H,5,FALSE)</f>
        <v>مكتمل</v>
      </c>
      <c r="G182" s="74"/>
      <c r="H182" s="74" t="s">
        <v>29</v>
      </c>
      <c r="I182" s="74" t="str">
        <f>VLOOKUP(D182,Sheet15!D:K,8,FALSE)</f>
        <v>P-1-N-040423-2070</v>
      </c>
      <c r="J182" s="76">
        <f t="shared" si="1"/>
        <v>-45693</v>
      </c>
      <c r="K182" s="77" t="str">
        <f>VLOOKUP(D182,Sheet15!D:G,4,FALSE)</f>
        <v/>
      </c>
      <c r="L182" s="73"/>
      <c r="M182" s="73"/>
      <c r="N182" s="73"/>
      <c r="O182" s="73"/>
      <c r="P182" s="73"/>
      <c r="Q182" s="73"/>
      <c r="R182" s="73"/>
      <c r="S182" s="73"/>
      <c r="T182" s="73"/>
      <c r="U182" s="73"/>
      <c r="V182" s="73"/>
      <c r="W182" s="73"/>
      <c r="X182" s="73"/>
    </row>
    <row r="183">
      <c r="A183" s="74">
        <v>183.0</v>
      </c>
      <c r="B183" s="74" t="s">
        <v>1412</v>
      </c>
      <c r="C183" s="74"/>
      <c r="D183" s="75" t="s">
        <v>1509</v>
      </c>
      <c r="E183" s="76">
        <v>45693.0</v>
      </c>
      <c r="F183" s="74" t="str">
        <f>VLOOKUP(D183,Sheet15!D:H,5,FALSE)</f>
        <v>مكتمل</v>
      </c>
      <c r="G183" s="74"/>
      <c r="H183" s="74" t="s">
        <v>29</v>
      </c>
      <c r="I183" s="74" t="str">
        <f>VLOOKUP(D183,Sheet15!D:K,8,FALSE)</f>
        <v>2025-172960</v>
      </c>
      <c r="J183" s="76">
        <f t="shared" si="1"/>
        <v>-45693</v>
      </c>
      <c r="K183" s="77" t="str">
        <f>VLOOKUP(D183,Sheet15!D:G,4,FALSE)</f>
        <v/>
      </c>
      <c r="L183" s="73"/>
      <c r="M183" s="73"/>
      <c r="N183" s="73"/>
      <c r="O183" s="73"/>
      <c r="P183" s="73"/>
      <c r="Q183" s="73"/>
      <c r="R183" s="73"/>
      <c r="S183" s="73"/>
      <c r="T183" s="73"/>
      <c r="U183" s="73"/>
      <c r="V183" s="73"/>
      <c r="W183" s="73"/>
      <c r="X183" s="73"/>
    </row>
    <row r="184">
      <c r="A184" s="74">
        <v>184.0</v>
      </c>
      <c r="B184" s="74" t="s">
        <v>1510</v>
      </c>
      <c r="C184" s="74" t="s">
        <v>1511</v>
      </c>
      <c r="D184" s="75" t="s">
        <v>1512</v>
      </c>
      <c r="E184" s="76">
        <v>45694.0</v>
      </c>
      <c r="F184" s="74" t="str">
        <f>VLOOKUP(D184,Sheet15!D:H,5,FALSE)</f>
        <v>مكتمل</v>
      </c>
      <c r="G184" s="74"/>
      <c r="H184" s="74" t="s">
        <v>29</v>
      </c>
      <c r="I184" s="74" t="str">
        <f>VLOOKUP(D184,Sheet15!D:K,8,FALSE)</f>
        <v>2025-89400</v>
      </c>
      <c r="J184" s="76">
        <f t="shared" si="1"/>
        <v>-45694</v>
      </c>
      <c r="K184" s="77" t="str">
        <f>VLOOKUP(D184,Sheet15!D:G,4,FALSE)</f>
        <v/>
      </c>
      <c r="L184" s="73"/>
      <c r="M184" s="73"/>
      <c r="N184" s="73"/>
      <c r="O184" s="73"/>
      <c r="P184" s="73"/>
      <c r="Q184" s="73"/>
      <c r="R184" s="73"/>
      <c r="S184" s="73"/>
      <c r="T184" s="73"/>
      <c r="U184" s="73"/>
      <c r="V184" s="73"/>
      <c r="W184" s="73"/>
      <c r="X184" s="73"/>
    </row>
    <row r="185">
      <c r="A185" s="74">
        <v>185.0</v>
      </c>
      <c r="B185" s="74" t="s">
        <v>1510</v>
      </c>
      <c r="C185" s="74" t="s">
        <v>1513</v>
      </c>
      <c r="D185" s="75" t="s">
        <v>1514</v>
      </c>
      <c r="E185" s="76">
        <v>45694.0</v>
      </c>
      <c r="F185" s="74" t="str">
        <f>VLOOKUP(D185,Sheet15!D:H,5,FALSE)</f>
        <v>مكتمل</v>
      </c>
      <c r="G185" s="74"/>
      <c r="H185" s="74" t="s">
        <v>29</v>
      </c>
      <c r="I185" s="74" t="str">
        <f>VLOOKUP(D185,Sheet15!D:K,8,FALSE)</f>
        <v>2025-89420</v>
      </c>
      <c r="J185" s="76">
        <f t="shared" si="1"/>
        <v>-45694</v>
      </c>
      <c r="K185" s="77" t="str">
        <f>VLOOKUP(D185,Sheet15!D:G,4,FALSE)</f>
        <v/>
      </c>
      <c r="L185" s="73"/>
      <c r="M185" s="73"/>
      <c r="N185" s="73"/>
      <c r="O185" s="73"/>
      <c r="P185" s="73"/>
      <c r="Q185" s="73"/>
      <c r="R185" s="73"/>
      <c r="S185" s="73"/>
      <c r="T185" s="73"/>
      <c r="U185" s="73"/>
      <c r="V185" s="73"/>
      <c r="W185" s="73"/>
      <c r="X185" s="73"/>
    </row>
    <row r="186">
      <c r="A186" s="74">
        <v>186.0</v>
      </c>
      <c r="B186" s="74" t="s">
        <v>1510</v>
      </c>
      <c r="C186" s="74" t="s">
        <v>1515</v>
      </c>
      <c r="D186" s="75" t="s">
        <v>1516</v>
      </c>
      <c r="E186" s="76">
        <v>45694.0</v>
      </c>
      <c r="F186" s="74" t="str">
        <f>VLOOKUP(D186,Sheet15!D:H,5,FALSE)</f>
        <v>مكتمل</v>
      </c>
      <c r="G186" s="74"/>
      <c r="H186" s="74" t="s">
        <v>29</v>
      </c>
      <c r="I186" s="74" t="str">
        <f>VLOOKUP(D186,Sheet15!D:K,8,FALSE)</f>
        <v>2025-89429</v>
      </c>
      <c r="J186" s="76">
        <f t="shared" si="1"/>
        <v>-45694</v>
      </c>
      <c r="K186" s="77" t="str">
        <f>VLOOKUP(D186,Sheet15!D:G,4,FALSE)</f>
        <v/>
      </c>
      <c r="L186" s="73"/>
      <c r="M186" s="73"/>
      <c r="N186" s="73"/>
      <c r="O186" s="73"/>
      <c r="P186" s="73"/>
      <c r="Q186" s="73"/>
      <c r="R186" s="73"/>
      <c r="S186" s="73"/>
      <c r="T186" s="73"/>
      <c r="U186" s="73"/>
      <c r="V186" s="73"/>
      <c r="W186" s="73"/>
      <c r="X186" s="73"/>
    </row>
    <row r="187">
      <c r="A187" s="74">
        <v>187.0</v>
      </c>
      <c r="B187" s="74" t="s">
        <v>1510</v>
      </c>
      <c r="C187" s="74" t="s">
        <v>1517</v>
      </c>
      <c r="D187" s="75" t="s">
        <v>1518</v>
      </c>
      <c r="E187" s="76">
        <v>45694.0</v>
      </c>
      <c r="F187" s="74" t="str">
        <f>VLOOKUP(D187,Sheet15!D:H,5,FALSE)</f>
        <v>مكتمل</v>
      </c>
      <c r="G187" s="74"/>
      <c r="H187" s="74" t="s">
        <v>29</v>
      </c>
      <c r="I187" s="74" t="str">
        <f>VLOOKUP(D187,Sheet15!D:K,8,FALSE)</f>
        <v>2025-89453</v>
      </c>
      <c r="J187" s="76">
        <f t="shared" si="1"/>
        <v>-45694</v>
      </c>
      <c r="K187" s="77" t="str">
        <f>VLOOKUP(D187,Sheet15!D:G,4,FALSE)</f>
        <v/>
      </c>
      <c r="L187" s="73"/>
      <c r="M187" s="73"/>
      <c r="N187" s="73"/>
      <c r="O187" s="73"/>
      <c r="P187" s="73"/>
      <c r="Q187" s="73"/>
      <c r="R187" s="73"/>
      <c r="S187" s="73"/>
      <c r="T187" s="73"/>
      <c r="U187" s="73"/>
      <c r="V187" s="73"/>
      <c r="W187" s="73"/>
      <c r="X187" s="73"/>
    </row>
    <row r="188">
      <c r="A188" s="74">
        <v>188.0</v>
      </c>
      <c r="B188" s="74" t="s">
        <v>1510</v>
      </c>
      <c r="C188" s="74" t="s">
        <v>1519</v>
      </c>
      <c r="D188" s="75" t="s">
        <v>1520</v>
      </c>
      <c r="E188" s="76">
        <v>45694.0</v>
      </c>
      <c r="F188" s="74" t="str">
        <f>VLOOKUP(D188,Sheet15!D:H,5,FALSE)</f>
        <v>مكتمل</v>
      </c>
      <c r="G188" s="74"/>
      <c r="H188" s="74" t="s">
        <v>29</v>
      </c>
      <c r="I188" s="74" t="str">
        <f>VLOOKUP(D188,Sheet15!D:K,8,FALSE)</f>
        <v>2025-89465</v>
      </c>
      <c r="J188" s="76">
        <f t="shared" si="1"/>
        <v>-45694</v>
      </c>
      <c r="K188" s="77" t="str">
        <f>VLOOKUP(D188,Sheet15!D:G,4,FALSE)</f>
        <v/>
      </c>
      <c r="L188" s="73"/>
      <c r="M188" s="73"/>
      <c r="N188" s="73"/>
      <c r="O188" s="73"/>
      <c r="P188" s="73"/>
      <c r="Q188" s="73"/>
      <c r="R188" s="73"/>
      <c r="S188" s="73"/>
      <c r="T188" s="73"/>
      <c r="U188" s="73"/>
      <c r="V188" s="73"/>
      <c r="W188" s="73"/>
      <c r="X188" s="73"/>
    </row>
    <row r="189">
      <c r="A189" s="74">
        <v>189.0</v>
      </c>
      <c r="B189" s="74" t="s">
        <v>1510</v>
      </c>
      <c r="C189" s="74" t="s">
        <v>1521</v>
      </c>
      <c r="D189" s="75" t="s">
        <v>1522</v>
      </c>
      <c r="E189" s="76">
        <v>45694.0</v>
      </c>
      <c r="F189" s="74" t="str">
        <f>VLOOKUP(D189,Sheet15!D:H,5,FALSE)</f>
        <v>مكتمل</v>
      </c>
      <c r="G189" s="74"/>
      <c r="H189" s="74" t="s">
        <v>29</v>
      </c>
      <c r="I189" s="74" t="str">
        <f>VLOOKUP(D189,Sheet15!D:K,8,FALSE)</f>
        <v>2025-89482</v>
      </c>
      <c r="J189" s="76">
        <f t="shared" si="1"/>
        <v>-45694</v>
      </c>
      <c r="K189" s="77" t="str">
        <f>VLOOKUP(D189,Sheet15!D:G,4,FALSE)</f>
        <v/>
      </c>
      <c r="L189" s="73"/>
      <c r="M189" s="73"/>
      <c r="N189" s="73"/>
      <c r="O189" s="73"/>
      <c r="P189" s="73"/>
      <c r="Q189" s="73"/>
      <c r="R189" s="73"/>
      <c r="S189" s="73"/>
      <c r="T189" s="73"/>
      <c r="U189" s="73"/>
      <c r="V189" s="73"/>
      <c r="W189" s="73"/>
      <c r="X189" s="73"/>
    </row>
    <row r="190">
      <c r="A190" s="74">
        <v>190.0</v>
      </c>
      <c r="B190" s="74" t="s">
        <v>1523</v>
      </c>
      <c r="C190" s="74">
        <v>1101.0</v>
      </c>
      <c r="D190" s="75" t="s">
        <v>1524</v>
      </c>
      <c r="E190" s="76">
        <v>45677.0</v>
      </c>
      <c r="F190" s="78" t="s">
        <v>1420</v>
      </c>
      <c r="G190" s="74"/>
      <c r="H190" s="74" t="s">
        <v>29</v>
      </c>
      <c r="I190" s="74" t="str">
        <f>VLOOKUP(D190,Sheet15!D:K,8,FALSE)</f>
        <v>#N/A</v>
      </c>
      <c r="J190" s="76">
        <f t="shared" si="1"/>
        <v>-45677</v>
      </c>
      <c r="K190" s="77" t="str">
        <f>VLOOKUP(D190,Sheet15!D:G,4,FALSE)</f>
        <v>#N/A</v>
      </c>
      <c r="L190" s="73"/>
      <c r="M190" s="73"/>
      <c r="N190" s="73"/>
      <c r="O190" s="73"/>
      <c r="P190" s="73"/>
      <c r="Q190" s="73"/>
      <c r="R190" s="73"/>
      <c r="S190" s="73"/>
      <c r="T190" s="73"/>
      <c r="U190" s="73"/>
      <c r="V190" s="73"/>
      <c r="W190" s="73"/>
      <c r="X190" s="73"/>
    </row>
    <row r="191">
      <c r="A191" s="74">
        <v>191.0</v>
      </c>
      <c r="B191" s="74" t="s">
        <v>1523</v>
      </c>
      <c r="C191" s="74">
        <v>1102.0</v>
      </c>
      <c r="D191" s="75" t="s">
        <v>1525</v>
      </c>
      <c r="E191" s="76">
        <v>45677.0</v>
      </c>
      <c r="F191" s="78" t="s">
        <v>1420</v>
      </c>
      <c r="G191" s="74"/>
      <c r="H191" s="74" t="s">
        <v>29</v>
      </c>
      <c r="I191" s="74" t="str">
        <f>VLOOKUP(D191,Sheet15!D:K,8,FALSE)</f>
        <v>#N/A</v>
      </c>
      <c r="J191" s="76">
        <f t="shared" si="1"/>
        <v>-45677</v>
      </c>
      <c r="K191" s="77" t="str">
        <f>VLOOKUP(D191,Sheet15!D:G,4,FALSE)</f>
        <v>#N/A</v>
      </c>
      <c r="L191" s="73"/>
      <c r="M191" s="73"/>
      <c r="N191" s="73"/>
      <c r="O191" s="73"/>
      <c r="P191" s="73"/>
      <c r="Q191" s="73"/>
      <c r="R191" s="73"/>
      <c r="S191" s="73"/>
      <c r="T191" s="73"/>
      <c r="U191" s="73"/>
      <c r="V191" s="73"/>
      <c r="W191" s="73"/>
      <c r="X191" s="73"/>
    </row>
    <row r="192">
      <c r="A192" s="74">
        <v>192.0</v>
      </c>
      <c r="B192" s="74" t="s">
        <v>1523</v>
      </c>
      <c r="C192" s="74">
        <v>1103.0</v>
      </c>
      <c r="D192" s="75" t="s">
        <v>1526</v>
      </c>
      <c r="E192" s="76">
        <v>45677.0</v>
      </c>
      <c r="F192" s="78" t="s">
        <v>1420</v>
      </c>
      <c r="G192" s="74"/>
      <c r="H192" s="74" t="s">
        <v>29</v>
      </c>
      <c r="I192" s="74" t="str">
        <f>VLOOKUP(D192,Sheet15!D:K,8,FALSE)</f>
        <v>#N/A</v>
      </c>
      <c r="J192" s="76">
        <f t="shared" si="1"/>
        <v>-45677</v>
      </c>
      <c r="K192" s="77" t="str">
        <f>VLOOKUP(D192,Sheet15!D:G,4,FALSE)</f>
        <v>#N/A</v>
      </c>
      <c r="L192" s="73"/>
      <c r="M192" s="73"/>
      <c r="N192" s="73"/>
      <c r="O192" s="73"/>
      <c r="P192" s="73"/>
      <c r="Q192" s="73"/>
      <c r="R192" s="73"/>
      <c r="S192" s="73"/>
      <c r="T192" s="73"/>
      <c r="U192" s="73"/>
      <c r="V192" s="73"/>
      <c r="W192" s="73"/>
      <c r="X192" s="73"/>
    </row>
    <row r="193">
      <c r="A193" s="74">
        <v>193.0</v>
      </c>
      <c r="B193" s="74" t="s">
        <v>1523</v>
      </c>
      <c r="C193" s="74">
        <v>1104.0</v>
      </c>
      <c r="D193" s="75" t="s">
        <v>1527</v>
      </c>
      <c r="E193" s="76">
        <v>45677.0</v>
      </c>
      <c r="F193" s="78" t="s">
        <v>1420</v>
      </c>
      <c r="G193" s="74"/>
      <c r="H193" s="74" t="s">
        <v>29</v>
      </c>
      <c r="I193" s="74" t="str">
        <f>VLOOKUP(D193,Sheet15!D:K,8,FALSE)</f>
        <v>#N/A</v>
      </c>
      <c r="J193" s="76">
        <f t="shared" si="1"/>
        <v>-45677</v>
      </c>
      <c r="K193" s="77" t="str">
        <f>VLOOKUP(D193,Sheet15!D:G,4,FALSE)</f>
        <v>#N/A</v>
      </c>
      <c r="L193" s="73"/>
      <c r="M193" s="73"/>
      <c r="N193" s="73"/>
      <c r="O193" s="73"/>
      <c r="P193" s="73"/>
      <c r="Q193" s="73"/>
      <c r="R193" s="73"/>
      <c r="S193" s="73"/>
      <c r="T193" s="73"/>
      <c r="U193" s="73"/>
      <c r="V193" s="73"/>
      <c r="W193" s="73"/>
      <c r="X193" s="73"/>
    </row>
    <row r="194">
      <c r="A194" s="74">
        <v>194.0</v>
      </c>
      <c r="B194" s="74" t="s">
        <v>1523</v>
      </c>
      <c r="C194" s="74">
        <v>1107.0</v>
      </c>
      <c r="D194" s="75" t="s">
        <v>1528</v>
      </c>
      <c r="E194" s="76">
        <v>45677.0</v>
      </c>
      <c r="F194" s="78" t="s">
        <v>1420</v>
      </c>
      <c r="G194" s="74"/>
      <c r="H194" s="74" t="s">
        <v>29</v>
      </c>
      <c r="I194" s="74" t="str">
        <f>VLOOKUP(D194,Sheet15!D:K,8,FALSE)</f>
        <v>2024-261546</v>
      </c>
      <c r="J194" s="76">
        <f t="shared" si="1"/>
        <v>-45677</v>
      </c>
      <c r="K194" s="77" t="str">
        <f>VLOOKUP(D194,Sheet15!D:G,4,FALSE)</f>
        <v/>
      </c>
      <c r="L194" s="73"/>
      <c r="M194" s="73"/>
      <c r="N194" s="73"/>
      <c r="O194" s="73"/>
      <c r="P194" s="73"/>
      <c r="Q194" s="73"/>
      <c r="R194" s="73"/>
      <c r="S194" s="73"/>
      <c r="T194" s="73"/>
      <c r="U194" s="73"/>
      <c r="V194" s="73"/>
      <c r="W194" s="73"/>
      <c r="X194" s="73"/>
    </row>
    <row r="195">
      <c r="A195" s="74">
        <v>195.0</v>
      </c>
      <c r="B195" s="74" t="s">
        <v>1523</v>
      </c>
      <c r="C195" s="74">
        <v>1108.0</v>
      </c>
      <c r="D195" s="75" t="s">
        <v>1529</v>
      </c>
      <c r="E195" s="76">
        <v>45677.0</v>
      </c>
      <c r="F195" s="78" t="s">
        <v>1420</v>
      </c>
      <c r="G195" s="74"/>
      <c r="H195" s="74" t="s">
        <v>29</v>
      </c>
      <c r="I195" s="74" t="str">
        <f>VLOOKUP(D195,Sheet15!D:K,8,FALSE)</f>
        <v>#N/A</v>
      </c>
      <c r="J195" s="76">
        <f t="shared" si="1"/>
        <v>-45677</v>
      </c>
      <c r="K195" s="77" t="str">
        <f>VLOOKUP(D195,Sheet15!D:G,4,FALSE)</f>
        <v>#N/A</v>
      </c>
      <c r="L195" s="73"/>
      <c r="M195" s="73"/>
      <c r="N195" s="73"/>
      <c r="O195" s="73"/>
      <c r="P195" s="73"/>
      <c r="Q195" s="73"/>
      <c r="R195" s="73"/>
      <c r="S195" s="73"/>
      <c r="T195" s="73"/>
      <c r="U195" s="73"/>
      <c r="V195" s="73"/>
      <c r="W195" s="73"/>
      <c r="X195" s="73"/>
    </row>
    <row r="196">
      <c r="A196" s="74">
        <v>196.0</v>
      </c>
      <c r="B196" s="74" t="s">
        <v>1523</v>
      </c>
      <c r="C196" s="74">
        <v>1352.0</v>
      </c>
      <c r="D196" s="75" t="s">
        <v>1530</v>
      </c>
      <c r="E196" s="76">
        <v>45677.0</v>
      </c>
      <c r="F196" s="78" t="s">
        <v>1420</v>
      </c>
      <c r="G196" s="74"/>
      <c r="H196" s="74" t="s">
        <v>29</v>
      </c>
      <c r="I196" s="74" t="str">
        <f>VLOOKUP(D196,Sheet15!D:K,8,FALSE)</f>
        <v>#N/A</v>
      </c>
      <c r="J196" s="76">
        <f t="shared" si="1"/>
        <v>-45677</v>
      </c>
      <c r="K196" s="77" t="str">
        <f>VLOOKUP(D196,Sheet15!D:G,4,FALSE)</f>
        <v>#N/A</v>
      </c>
      <c r="L196" s="73"/>
      <c r="M196" s="73"/>
      <c r="N196" s="73"/>
      <c r="O196" s="73"/>
      <c r="P196" s="73"/>
      <c r="Q196" s="73"/>
      <c r="R196" s="73"/>
      <c r="S196" s="73"/>
      <c r="T196" s="73"/>
      <c r="U196" s="73"/>
      <c r="V196" s="73"/>
      <c r="W196" s="73"/>
      <c r="X196" s="73"/>
    </row>
    <row r="197">
      <c r="A197" s="74">
        <v>197.0</v>
      </c>
      <c r="B197" s="74" t="s">
        <v>1523</v>
      </c>
      <c r="C197" s="74">
        <v>1353.0</v>
      </c>
      <c r="D197" s="75" t="s">
        <v>1531</v>
      </c>
      <c r="E197" s="76">
        <v>45677.0</v>
      </c>
      <c r="F197" s="78" t="s">
        <v>1420</v>
      </c>
      <c r="G197" s="74"/>
      <c r="H197" s="74" t="s">
        <v>29</v>
      </c>
      <c r="I197" s="74" t="str">
        <f>VLOOKUP(D197,Sheet15!D:K,8,FALSE)</f>
        <v>#N/A</v>
      </c>
      <c r="J197" s="76">
        <f t="shared" si="1"/>
        <v>-45677</v>
      </c>
      <c r="K197" s="77" t="str">
        <f>VLOOKUP(D197,Sheet15!D:G,4,FALSE)</f>
        <v>#N/A</v>
      </c>
      <c r="L197" s="73"/>
      <c r="M197" s="73"/>
      <c r="N197" s="73"/>
      <c r="O197" s="73"/>
      <c r="P197" s="73"/>
      <c r="Q197" s="73"/>
      <c r="R197" s="73"/>
      <c r="S197" s="73"/>
      <c r="T197" s="73"/>
      <c r="U197" s="73"/>
      <c r="V197" s="73"/>
      <c r="W197" s="73"/>
      <c r="X197" s="73"/>
    </row>
    <row r="198">
      <c r="A198" s="74">
        <v>198.0</v>
      </c>
      <c r="B198" s="74" t="s">
        <v>1523</v>
      </c>
      <c r="C198" s="74">
        <v>1106.0</v>
      </c>
      <c r="D198" s="75" t="s">
        <v>1532</v>
      </c>
      <c r="E198" s="76">
        <v>45677.0</v>
      </c>
      <c r="F198" s="78" t="s">
        <v>1420</v>
      </c>
      <c r="G198" s="74"/>
      <c r="H198" s="74" t="s">
        <v>29</v>
      </c>
      <c r="I198" s="74" t="str">
        <f>VLOOKUP(D198,Sheet15!D:K,8,FALSE)</f>
        <v>#N/A</v>
      </c>
      <c r="J198" s="76">
        <f t="shared" si="1"/>
        <v>-45677</v>
      </c>
      <c r="K198" s="77" t="str">
        <f>VLOOKUP(D198,Sheet15!D:G,4,FALSE)</f>
        <v>#N/A</v>
      </c>
      <c r="L198" s="73"/>
      <c r="M198" s="73"/>
      <c r="N198" s="73"/>
      <c r="O198" s="73"/>
      <c r="P198" s="73"/>
      <c r="Q198" s="73"/>
      <c r="R198" s="73"/>
      <c r="S198" s="73"/>
      <c r="T198" s="73"/>
      <c r="U198" s="73"/>
      <c r="V198" s="73"/>
      <c r="W198" s="73"/>
      <c r="X198" s="73"/>
    </row>
    <row r="199">
      <c r="A199" s="74">
        <v>199.0</v>
      </c>
      <c r="B199" s="74" t="s">
        <v>1523</v>
      </c>
      <c r="C199" s="74">
        <v>1109.0</v>
      </c>
      <c r="D199" s="75" t="s">
        <v>1533</v>
      </c>
      <c r="E199" s="76">
        <v>45677.0</v>
      </c>
      <c r="F199" s="78" t="s">
        <v>1420</v>
      </c>
      <c r="G199" s="74"/>
      <c r="H199" s="74" t="s">
        <v>29</v>
      </c>
      <c r="I199" s="74" t="str">
        <f>VLOOKUP(D199,Sheet15!D:K,8,FALSE)</f>
        <v>#N/A</v>
      </c>
      <c r="J199" s="76">
        <f t="shared" si="1"/>
        <v>-45677</v>
      </c>
      <c r="K199" s="77" t="str">
        <f>VLOOKUP(D199,Sheet15!D:G,4,FALSE)</f>
        <v>#N/A</v>
      </c>
      <c r="L199" s="73"/>
      <c r="M199" s="73"/>
      <c r="N199" s="73"/>
      <c r="O199" s="73"/>
      <c r="P199" s="73"/>
      <c r="Q199" s="73"/>
      <c r="R199" s="73"/>
      <c r="S199" s="73"/>
      <c r="T199" s="73"/>
      <c r="U199" s="73"/>
      <c r="V199" s="73"/>
      <c r="W199" s="73"/>
      <c r="X199" s="73"/>
    </row>
    <row r="200">
      <c r="A200" s="74">
        <v>200.0</v>
      </c>
      <c r="B200" s="74" t="s">
        <v>1523</v>
      </c>
      <c r="C200" s="74">
        <v>1110.0</v>
      </c>
      <c r="D200" s="75" t="s">
        <v>1534</v>
      </c>
      <c r="E200" s="76">
        <v>45677.0</v>
      </c>
      <c r="F200" s="78" t="s">
        <v>1420</v>
      </c>
      <c r="G200" s="74"/>
      <c r="H200" s="74" t="s">
        <v>29</v>
      </c>
      <c r="I200" s="74" t="str">
        <f>VLOOKUP(D200,Sheet15!D:K,8,FALSE)</f>
        <v>#N/A</v>
      </c>
      <c r="J200" s="76">
        <f t="shared" si="1"/>
        <v>-45677</v>
      </c>
      <c r="K200" s="77" t="str">
        <f>VLOOKUP(D200,Sheet15!D:G,4,FALSE)</f>
        <v>#N/A</v>
      </c>
      <c r="L200" s="73"/>
      <c r="M200" s="73"/>
      <c r="N200" s="73"/>
      <c r="O200" s="73"/>
      <c r="P200" s="73"/>
      <c r="Q200" s="73"/>
      <c r="R200" s="73"/>
      <c r="S200" s="73"/>
      <c r="T200" s="73"/>
      <c r="U200" s="73"/>
      <c r="V200" s="73"/>
      <c r="W200" s="73"/>
      <c r="X200" s="73"/>
    </row>
    <row r="201">
      <c r="A201" s="74">
        <v>201.0</v>
      </c>
      <c r="B201" s="74" t="s">
        <v>1523</v>
      </c>
      <c r="C201" s="74">
        <v>1111.0</v>
      </c>
      <c r="D201" s="75" t="s">
        <v>1535</v>
      </c>
      <c r="E201" s="76">
        <v>45677.0</v>
      </c>
      <c r="F201" s="78" t="s">
        <v>1420</v>
      </c>
      <c r="G201" s="74"/>
      <c r="H201" s="74" t="s">
        <v>29</v>
      </c>
      <c r="I201" s="74" t="str">
        <f>VLOOKUP(D201,Sheet15!D:K,8,FALSE)</f>
        <v>#N/A</v>
      </c>
      <c r="J201" s="76">
        <f t="shared" si="1"/>
        <v>-45677</v>
      </c>
      <c r="K201" s="77" t="str">
        <f>VLOOKUP(D201,Sheet15!D:G,4,FALSE)</f>
        <v>#N/A</v>
      </c>
      <c r="L201" s="73"/>
      <c r="M201" s="73"/>
      <c r="N201" s="73"/>
      <c r="O201" s="73"/>
      <c r="P201" s="73"/>
      <c r="Q201" s="73"/>
      <c r="R201" s="73"/>
      <c r="S201" s="73"/>
      <c r="T201" s="73"/>
      <c r="U201" s="73"/>
      <c r="V201" s="73"/>
      <c r="W201" s="73"/>
      <c r="X201" s="73"/>
    </row>
    <row r="202">
      <c r="A202" s="74">
        <v>202.0</v>
      </c>
      <c r="B202" s="74" t="s">
        <v>1523</v>
      </c>
      <c r="C202" s="74">
        <v>1112.0</v>
      </c>
      <c r="D202" s="75" t="s">
        <v>1536</v>
      </c>
      <c r="E202" s="76">
        <v>45677.0</v>
      </c>
      <c r="F202" s="78" t="s">
        <v>1420</v>
      </c>
      <c r="G202" s="74"/>
      <c r="H202" s="74" t="s">
        <v>29</v>
      </c>
      <c r="I202" s="74" t="str">
        <f>VLOOKUP(D202,Sheet15!D:K,8,FALSE)</f>
        <v>#N/A</v>
      </c>
      <c r="J202" s="76">
        <f t="shared" si="1"/>
        <v>-45677</v>
      </c>
      <c r="K202" s="77" t="str">
        <f>VLOOKUP(D202,Sheet15!D:G,4,FALSE)</f>
        <v>#N/A</v>
      </c>
      <c r="L202" s="73"/>
      <c r="M202" s="73"/>
      <c r="N202" s="73"/>
      <c r="O202" s="73"/>
      <c r="P202" s="73"/>
      <c r="Q202" s="73"/>
      <c r="R202" s="73"/>
      <c r="S202" s="73"/>
      <c r="T202" s="73"/>
      <c r="U202" s="73"/>
      <c r="V202" s="73"/>
      <c r="W202" s="73"/>
      <c r="X202" s="73"/>
    </row>
    <row r="203">
      <c r="A203" s="74">
        <v>203.0</v>
      </c>
      <c r="B203" s="74" t="s">
        <v>1523</v>
      </c>
      <c r="C203" s="74">
        <v>1119.0</v>
      </c>
      <c r="D203" s="75" t="s">
        <v>1537</v>
      </c>
      <c r="E203" s="76">
        <v>45677.0</v>
      </c>
      <c r="F203" s="78" t="s">
        <v>1420</v>
      </c>
      <c r="G203" s="74"/>
      <c r="H203" s="74" t="s">
        <v>29</v>
      </c>
      <c r="I203" s="74" t="str">
        <f>VLOOKUP(D203,Sheet15!D:K,8,FALSE)</f>
        <v>2025-16494</v>
      </c>
      <c r="J203" s="76">
        <f t="shared" si="1"/>
        <v>-45677</v>
      </c>
      <c r="K203" s="77" t="str">
        <f>VLOOKUP(D203,Sheet15!D:G,4,FALSE)</f>
        <v/>
      </c>
      <c r="L203" s="73"/>
      <c r="M203" s="73"/>
      <c r="N203" s="73"/>
      <c r="O203" s="73"/>
      <c r="P203" s="73"/>
      <c r="Q203" s="73"/>
      <c r="R203" s="73"/>
      <c r="S203" s="73"/>
      <c r="T203" s="73"/>
      <c r="U203" s="73"/>
      <c r="V203" s="73"/>
      <c r="W203" s="73"/>
      <c r="X203" s="73"/>
    </row>
    <row r="204">
      <c r="A204" s="74">
        <v>204.0</v>
      </c>
      <c r="B204" s="74" t="s">
        <v>1523</v>
      </c>
      <c r="C204" s="74">
        <v>1125.0</v>
      </c>
      <c r="D204" s="75" t="s">
        <v>1538</v>
      </c>
      <c r="E204" s="76">
        <v>45677.0</v>
      </c>
      <c r="F204" s="78" t="s">
        <v>1420</v>
      </c>
      <c r="G204" s="74"/>
      <c r="H204" s="74" t="s">
        <v>29</v>
      </c>
      <c r="I204" s="74" t="str">
        <f>VLOOKUP(D204,Sheet15!D:K,8,FALSE)</f>
        <v>#N/A</v>
      </c>
      <c r="J204" s="76">
        <f t="shared" si="1"/>
        <v>-45677</v>
      </c>
      <c r="K204" s="77" t="str">
        <f>VLOOKUP(D204,Sheet15!D:G,4,FALSE)</f>
        <v>#N/A</v>
      </c>
      <c r="L204" s="73"/>
      <c r="M204" s="73"/>
      <c r="N204" s="73"/>
      <c r="O204" s="73"/>
      <c r="P204" s="73"/>
      <c r="Q204" s="73"/>
      <c r="R204" s="73"/>
      <c r="S204" s="73"/>
      <c r="T204" s="73"/>
      <c r="U204" s="73"/>
      <c r="V204" s="73"/>
      <c r="W204" s="73"/>
      <c r="X204" s="73"/>
    </row>
    <row r="205">
      <c r="A205" s="74">
        <v>205.0</v>
      </c>
      <c r="B205" s="74" t="s">
        <v>1523</v>
      </c>
      <c r="C205" s="74">
        <v>1127.0</v>
      </c>
      <c r="D205" s="75" t="s">
        <v>1539</v>
      </c>
      <c r="E205" s="76">
        <v>45677.0</v>
      </c>
      <c r="F205" s="78" t="s">
        <v>1420</v>
      </c>
      <c r="G205" s="74"/>
      <c r="H205" s="74" t="s">
        <v>29</v>
      </c>
      <c r="I205" s="74" t="str">
        <f>VLOOKUP(D205,Sheet15!D:K,8,FALSE)</f>
        <v>#N/A</v>
      </c>
      <c r="J205" s="76">
        <f t="shared" si="1"/>
        <v>-45677</v>
      </c>
      <c r="K205" s="77" t="str">
        <f>VLOOKUP(D205,Sheet15!D:G,4,FALSE)</f>
        <v>#N/A</v>
      </c>
      <c r="L205" s="73"/>
      <c r="M205" s="73"/>
      <c r="N205" s="73"/>
      <c r="O205" s="73"/>
      <c r="P205" s="73"/>
      <c r="Q205" s="73"/>
      <c r="R205" s="73"/>
      <c r="S205" s="73"/>
      <c r="T205" s="73"/>
      <c r="U205" s="73"/>
      <c r="V205" s="73"/>
      <c r="W205" s="73"/>
      <c r="X205" s="73"/>
    </row>
    <row r="206">
      <c r="A206" s="74">
        <v>206.0</v>
      </c>
      <c r="B206" s="74" t="s">
        <v>1523</v>
      </c>
      <c r="C206" s="74">
        <v>1130.0</v>
      </c>
      <c r="D206" s="75" t="s">
        <v>1540</v>
      </c>
      <c r="E206" s="76">
        <v>45677.0</v>
      </c>
      <c r="F206" s="78" t="s">
        <v>1420</v>
      </c>
      <c r="G206" s="74"/>
      <c r="H206" s="74" t="s">
        <v>29</v>
      </c>
      <c r="I206" s="74" t="str">
        <f>VLOOKUP(D206,Sheet15!D:K,8,FALSE)</f>
        <v>#N/A</v>
      </c>
      <c r="J206" s="76">
        <f t="shared" si="1"/>
        <v>-45677</v>
      </c>
      <c r="K206" s="77" t="str">
        <f>VLOOKUP(D206,Sheet15!D:G,4,FALSE)</f>
        <v>#N/A</v>
      </c>
      <c r="L206" s="73"/>
      <c r="M206" s="73"/>
      <c r="N206" s="73"/>
      <c r="O206" s="73"/>
      <c r="P206" s="73"/>
      <c r="Q206" s="73"/>
      <c r="R206" s="73"/>
      <c r="S206" s="73"/>
      <c r="T206" s="73"/>
      <c r="U206" s="73"/>
      <c r="V206" s="73"/>
      <c r="W206" s="73"/>
      <c r="X206" s="73"/>
    </row>
    <row r="207">
      <c r="A207" s="74">
        <v>207.0</v>
      </c>
      <c r="B207" s="74" t="s">
        <v>1523</v>
      </c>
      <c r="C207" s="74">
        <v>1131.0</v>
      </c>
      <c r="D207" s="75" t="s">
        <v>1541</v>
      </c>
      <c r="E207" s="76">
        <v>45677.0</v>
      </c>
      <c r="F207" s="78" t="s">
        <v>1420</v>
      </c>
      <c r="G207" s="74"/>
      <c r="H207" s="74" t="s">
        <v>29</v>
      </c>
      <c r="I207" s="74" t="str">
        <f>VLOOKUP(D207,Sheet15!D:K,8,FALSE)</f>
        <v>#N/A</v>
      </c>
      <c r="J207" s="76">
        <f t="shared" si="1"/>
        <v>-45677</v>
      </c>
      <c r="K207" s="77" t="str">
        <f>VLOOKUP(D207,Sheet15!D:G,4,FALSE)</f>
        <v>#N/A</v>
      </c>
      <c r="L207" s="73"/>
      <c r="M207" s="73"/>
      <c r="N207" s="73"/>
      <c r="O207" s="73"/>
      <c r="P207" s="73"/>
      <c r="Q207" s="73"/>
      <c r="R207" s="73"/>
      <c r="S207" s="73"/>
      <c r="T207" s="73"/>
      <c r="U207" s="73"/>
      <c r="V207" s="73"/>
      <c r="W207" s="73"/>
      <c r="X207" s="73"/>
    </row>
    <row r="208">
      <c r="A208" s="74">
        <v>208.0</v>
      </c>
      <c r="B208" s="74" t="s">
        <v>1523</v>
      </c>
      <c r="C208" s="74">
        <v>1134.0</v>
      </c>
      <c r="D208" s="75" t="s">
        <v>1542</v>
      </c>
      <c r="E208" s="76">
        <v>45677.0</v>
      </c>
      <c r="F208" s="78" t="s">
        <v>1420</v>
      </c>
      <c r="G208" s="74"/>
      <c r="H208" s="74" t="s">
        <v>29</v>
      </c>
      <c r="I208" s="74" t="str">
        <f>VLOOKUP(D208,Sheet15!D:K,8,FALSE)</f>
        <v>#N/A</v>
      </c>
      <c r="J208" s="76">
        <f t="shared" si="1"/>
        <v>-45677</v>
      </c>
      <c r="K208" s="77" t="str">
        <f>VLOOKUP(D208,Sheet15!D:G,4,FALSE)</f>
        <v>#N/A</v>
      </c>
      <c r="L208" s="73"/>
      <c r="M208" s="73"/>
      <c r="N208" s="73"/>
      <c r="O208" s="73"/>
      <c r="P208" s="73"/>
      <c r="Q208" s="73"/>
      <c r="R208" s="73"/>
      <c r="S208" s="73"/>
      <c r="T208" s="73"/>
      <c r="U208" s="73"/>
      <c r="V208" s="73"/>
      <c r="W208" s="73"/>
      <c r="X208" s="73"/>
    </row>
    <row r="209">
      <c r="A209" s="74">
        <v>209.0</v>
      </c>
      <c r="B209" s="74" t="s">
        <v>1523</v>
      </c>
      <c r="C209" s="74">
        <v>1135.0</v>
      </c>
      <c r="D209" s="75" t="s">
        <v>1543</v>
      </c>
      <c r="E209" s="76">
        <v>45677.0</v>
      </c>
      <c r="F209" s="78" t="s">
        <v>1420</v>
      </c>
      <c r="G209" s="74"/>
      <c r="H209" s="74" t="s">
        <v>29</v>
      </c>
      <c r="I209" s="74" t="str">
        <f>VLOOKUP(D209,Sheet15!D:K,8,FALSE)</f>
        <v>#N/A</v>
      </c>
      <c r="J209" s="76">
        <f t="shared" si="1"/>
        <v>-45677</v>
      </c>
      <c r="K209" s="77" t="str">
        <f>VLOOKUP(D209,Sheet15!D:G,4,FALSE)</f>
        <v>#N/A</v>
      </c>
      <c r="L209" s="73"/>
      <c r="M209" s="73"/>
      <c r="N209" s="73"/>
      <c r="O209" s="73"/>
      <c r="P209" s="73"/>
      <c r="Q209" s="73"/>
      <c r="R209" s="73"/>
      <c r="S209" s="73"/>
      <c r="T209" s="73"/>
      <c r="U209" s="73"/>
      <c r="V209" s="73"/>
      <c r="W209" s="73"/>
      <c r="X209" s="73"/>
    </row>
    <row r="210">
      <c r="A210" s="74">
        <v>210.0</v>
      </c>
      <c r="B210" s="74" t="s">
        <v>1523</v>
      </c>
      <c r="C210" s="74">
        <v>1351.0</v>
      </c>
      <c r="D210" s="75" t="s">
        <v>1544</v>
      </c>
      <c r="E210" s="76">
        <v>45677.0</v>
      </c>
      <c r="F210" s="78" t="s">
        <v>1420</v>
      </c>
      <c r="G210" s="74"/>
      <c r="H210" s="74" t="s">
        <v>29</v>
      </c>
      <c r="I210" s="74" t="str">
        <f>VLOOKUP(D210,Sheet15!D:K,8,FALSE)</f>
        <v>#N/A</v>
      </c>
      <c r="J210" s="76">
        <f t="shared" si="1"/>
        <v>-45677</v>
      </c>
      <c r="K210" s="77" t="str">
        <f>VLOOKUP(D210,Sheet15!D:G,4,FALSE)</f>
        <v>#N/A</v>
      </c>
      <c r="L210" s="73"/>
      <c r="M210" s="73"/>
      <c r="N210" s="73"/>
      <c r="O210" s="73"/>
      <c r="P210" s="73"/>
      <c r="Q210" s="73"/>
      <c r="R210" s="73"/>
      <c r="S210" s="73"/>
      <c r="T210" s="73"/>
      <c r="U210" s="73"/>
      <c r="V210" s="73"/>
      <c r="W210" s="73"/>
      <c r="X210" s="73"/>
    </row>
    <row r="211">
      <c r="A211" s="74">
        <v>211.0</v>
      </c>
      <c r="B211" s="74" t="s">
        <v>1523</v>
      </c>
      <c r="C211" s="74">
        <v>1381.0</v>
      </c>
      <c r="D211" s="75" t="s">
        <v>1545</v>
      </c>
      <c r="E211" s="76">
        <v>45677.0</v>
      </c>
      <c r="F211" s="78" t="s">
        <v>1420</v>
      </c>
      <c r="G211" s="74"/>
      <c r="H211" s="74" t="s">
        <v>29</v>
      </c>
      <c r="I211" s="74" t="str">
        <f>VLOOKUP(D211,Sheet15!D:K,8,FALSE)</f>
        <v>#N/A</v>
      </c>
      <c r="J211" s="76">
        <f t="shared" si="1"/>
        <v>-45677</v>
      </c>
      <c r="K211" s="77" t="str">
        <f>VLOOKUP(D211,Sheet15!D:G,4,FALSE)</f>
        <v>#N/A</v>
      </c>
      <c r="L211" s="73"/>
      <c r="M211" s="73"/>
      <c r="N211" s="73"/>
      <c r="O211" s="73"/>
      <c r="P211" s="73"/>
      <c r="Q211" s="73"/>
      <c r="R211" s="73"/>
      <c r="S211" s="73"/>
      <c r="T211" s="73"/>
      <c r="U211" s="73"/>
      <c r="V211" s="73"/>
      <c r="W211" s="73"/>
      <c r="X211" s="73"/>
    </row>
    <row r="212">
      <c r="A212" s="74">
        <v>212.0</v>
      </c>
      <c r="B212" s="74" t="s">
        <v>1523</v>
      </c>
      <c r="C212" s="74">
        <v>1382.0</v>
      </c>
      <c r="D212" s="75" t="s">
        <v>1546</v>
      </c>
      <c r="E212" s="76">
        <v>45677.0</v>
      </c>
      <c r="F212" s="78" t="s">
        <v>1420</v>
      </c>
      <c r="G212" s="74"/>
      <c r="H212" s="74" t="s">
        <v>29</v>
      </c>
      <c r="I212" s="74" t="str">
        <f>VLOOKUP(D212,Sheet15!D:K,8,FALSE)</f>
        <v>2025-16439</v>
      </c>
      <c r="J212" s="76">
        <f t="shared" si="1"/>
        <v>-45677</v>
      </c>
      <c r="K212" s="77" t="str">
        <f>VLOOKUP(D212,Sheet15!D:G,4,FALSE)</f>
        <v/>
      </c>
      <c r="L212" s="73"/>
      <c r="M212" s="73"/>
      <c r="N212" s="73"/>
      <c r="O212" s="73"/>
      <c r="P212" s="73"/>
      <c r="Q212" s="73"/>
      <c r="R212" s="73"/>
      <c r="S212" s="73"/>
      <c r="T212" s="73"/>
      <c r="U212" s="73"/>
      <c r="V212" s="73"/>
      <c r="W212" s="73"/>
      <c r="X212" s="73"/>
    </row>
    <row r="213">
      <c r="A213" s="74">
        <v>213.0</v>
      </c>
      <c r="B213" s="74" t="s">
        <v>1523</v>
      </c>
      <c r="C213" s="74">
        <v>1383.0</v>
      </c>
      <c r="D213" s="75" t="s">
        <v>1547</v>
      </c>
      <c r="E213" s="76">
        <v>45677.0</v>
      </c>
      <c r="F213" s="78" t="s">
        <v>1420</v>
      </c>
      <c r="G213" s="74"/>
      <c r="H213" s="74" t="s">
        <v>29</v>
      </c>
      <c r="I213" s="74" t="str">
        <f>VLOOKUP(D213,Sheet15!D:K,8,FALSE)</f>
        <v>2025-16437</v>
      </c>
      <c r="J213" s="76">
        <f t="shared" si="1"/>
        <v>-45677</v>
      </c>
      <c r="K213" s="77" t="str">
        <f>VLOOKUP(D213,Sheet15!D:G,4,FALSE)</f>
        <v/>
      </c>
      <c r="L213" s="73"/>
      <c r="M213" s="73"/>
      <c r="N213" s="73"/>
      <c r="O213" s="73"/>
      <c r="P213" s="73"/>
      <c r="Q213" s="73"/>
      <c r="R213" s="73"/>
      <c r="S213" s="73"/>
      <c r="T213" s="73"/>
      <c r="U213" s="73"/>
      <c r="V213" s="73"/>
      <c r="W213" s="73"/>
      <c r="X213" s="73"/>
    </row>
    <row r="214">
      <c r="A214" s="74">
        <v>214.0</v>
      </c>
      <c r="B214" s="74" t="s">
        <v>1523</v>
      </c>
      <c r="C214" s="74">
        <v>1384.0</v>
      </c>
      <c r="D214" s="75" t="s">
        <v>1548</v>
      </c>
      <c r="E214" s="76">
        <v>45677.0</v>
      </c>
      <c r="F214" s="78" t="s">
        <v>1420</v>
      </c>
      <c r="G214" s="74"/>
      <c r="H214" s="74" t="s">
        <v>29</v>
      </c>
      <c r="I214" s="74" t="str">
        <f>VLOOKUP(D214,Sheet15!D:K,8,FALSE)</f>
        <v>2025-16434</v>
      </c>
      <c r="J214" s="76">
        <f t="shared" si="1"/>
        <v>-45677</v>
      </c>
      <c r="K214" s="77" t="str">
        <f>VLOOKUP(D214,Sheet15!D:G,4,FALSE)</f>
        <v/>
      </c>
      <c r="L214" s="73"/>
      <c r="M214" s="73"/>
      <c r="N214" s="73"/>
      <c r="O214" s="73"/>
      <c r="P214" s="73"/>
      <c r="Q214" s="73"/>
      <c r="R214" s="73"/>
      <c r="S214" s="73"/>
      <c r="T214" s="73"/>
      <c r="U214" s="73"/>
      <c r="V214" s="73"/>
      <c r="W214" s="73"/>
      <c r="X214" s="73"/>
    </row>
    <row r="215">
      <c r="A215" s="74">
        <v>215.0</v>
      </c>
      <c r="B215" s="74" t="s">
        <v>1523</v>
      </c>
      <c r="C215" s="74">
        <v>1385.0</v>
      </c>
      <c r="D215" s="75" t="s">
        <v>1549</v>
      </c>
      <c r="E215" s="76">
        <v>45677.0</v>
      </c>
      <c r="F215" s="78" t="s">
        <v>1420</v>
      </c>
      <c r="G215" s="74"/>
      <c r="H215" s="74" t="s">
        <v>29</v>
      </c>
      <c r="I215" s="74" t="str">
        <f>VLOOKUP(D215,Sheet15!D:K,8,FALSE)</f>
        <v>2025-16429</v>
      </c>
      <c r="J215" s="76">
        <f t="shared" si="1"/>
        <v>-45677</v>
      </c>
      <c r="K215" s="77" t="str">
        <f>VLOOKUP(D215,Sheet15!D:G,4,FALSE)</f>
        <v/>
      </c>
      <c r="L215" s="73"/>
      <c r="M215" s="73"/>
      <c r="N215" s="73"/>
      <c r="O215" s="73"/>
      <c r="P215" s="73"/>
      <c r="Q215" s="73"/>
      <c r="R215" s="73"/>
      <c r="S215" s="73"/>
      <c r="T215" s="73"/>
      <c r="U215" s="73"/>
      <c r="V215" s="73"/>
      <c r="W215" s="73"/>
      <c r="X215" s="73"/>
    </row>
    <row r="216">
      <c r="A216" s="74">
        <v>216.0</v>
      </c>
      <c r="B216" s="74" t="s">
        <v>1523</v>
      </c>
      <c r="C216" s="74">
        <v>1811.0</v>
      </c>
      <c r="D216" s="75" t="s">
        <v>1550</v>
      </c>
      <c r="E216" s="76">
        <v>45677.0</v>
      </c>
      <c r="F216" s="78" t="s">
        <v>1420</v>
      </c>
      <c r="G216" s="74"/>
      <c r="H216" s="74" t="s">
        <v>29</v>
      </c>
      <c r="I216" s="74" t="str">
        <f>VLOOKUP(D216,Sheet15!D:K,8,FALSE)</f>
        <v>2025-16481</v>
      </c>
      <c r="J216" s="76">
        <f t="shared" si="1"/>
        <v>-45677</v>
      </c>
      <c r="K216" s="77" t="str">
        <f>VLOOKUP(D216,Sheet15!D:G,4,FALSE)</f>
        <v/>
      </c>
      <c r="L216" s="73"/>
      <c r="M216" s="73"/>
      <c r="N216" s="73"/>
      <c r="O216" s="73"/>
      <c r="P216" s="73"/>
      <c r="Q216" s="73"/>
      <c r="R216" s="73"/>
      <c r="S216" s="73"/>
      <c r="T216" s="73"/>
      <c r="U216" s="73"/>
      <c r="V216" s="73"/>
      <c r="W216" s="73"/>
      <c r="X216" s="73"/>
    </row>
    <row r="217">
      <c r="A217" s="74">
        <v>217.0</v>
      </c>
      <c r="B217" s="74" t="s">
        <v>1523</v>
      </c>
      <c r="C217" s="74">
        <v>1812.0</v>
      </c>
      <c r="D217" s="75" t="s">
        <v>1551</v>
      </c>
      <c r="E217" s="76">
        <v>45677.0</v>
      </c>
      <c r="F217" s="78" t="s">
        <v>1420</v>
      </c>
      <c r="G217" s="74"/>
      <c r="H217" s="74" t="s">
        <v>29</v>
      </c>
      <c r="I217" s="74" t="str">
        <f>VLOOKUP(D217,Sheet15!D:K,8,FALSE)</f>
        <v>#N/A</v>
      </c>
      <c r="J217" s="76">
        <f t="shared" si="1"/>
        <v>-45677</v>
      </c>
      <c r="K217" s="77" t="str">
        <f>VLOOKUP(D217,Sheet15!D:G,4,FALSE)</f>
        <v>#N/A</v>
      </c>
      <c r="L217" s="73"/>
      <c r="M217" s="73"/>
      <c r="N217" s="73"/>
      <c r="O217" s="73"/>
      <c r="P217" s="73"/>
      <c r="Q217" s="73"/>
      <c r="R217" s="73"/>
      <c r="S217" s="73"/>
      <c r="T217" s="73"/>
      <c r="U217" s="73"/>
      <c r="V217" s="73"/>
      <c r="W217" s="73"/>
      <c r="X217" s="73"/>
    </row>
    <row r="218">
      <c r="A218" s="74">
        <v>218.0</v>
      </c>
      <c r="B218" s="74" t="s">
        <v>1523</v>
      </c>
      <c r="C218" s="74">
        <v>1813.0</v>
      </c>
      <c r="D218" s="75" t="s">
        <v>1552</v>
      </c>
      <c r="E218" s="76">
        <v>45677.0</v>
      </c>
      <c r="F218" s="78" t="s">
        <v>1420</v>
      </c>
      <c r="G218" s="74"/>
      <c r="H218" s="74" t="s">
        <v>29</v>
      </c>
      <c r="I218" s="74" t="str">
        <f>VLOOKUP(D218,Sheet15!D:K,8,FALSE)</f>
        <v>#N/A</v>
      </c>
      <c r="J218" s="76">
        <f t="shared" si="1"/>
        <v>-45677</v>
      </c>
      <c r="K218" s="77" t="str">
        <f>VLOOKUP(D218,Sheet15!D:G,4,FALSE)</f>
        <v>#N/A</v>
      </c>
      <c r="L218" s="73"/>
      <c r="M218" s="73"/>
      <c r="N218" s="73"/>
      <c r="O218" s="73"/>
      <c r="P218" s="73"/>
      <c r="Q218" s="73"/>
      <c r="R218" s="73"/>
      <c r="S218" s="73"/>
      <c r="T218" s="73"/>
      <c r="U218" s="73"/>
      <c r="V218" s="73"/>
      <c r="W218" s="73"/>
      <c r="X218" s="73"/>
    </row>
    <row r="219">
      <c r="A219" s="74">
        <v>219.0</v>
      </c>
      <c r="B219" s="74" t="s">
        <v>1523</v>
      </c>
      <c r="C219" s="74">
        <v>1814.0</v>
      </c>
      <c r="D219" s="75" t="s">
        <v>1553</v>
      </c>
      <c r="E219" s="76">
        <v>45677.0</v>
      </c>
      <c r="F219" s="78" t="s">
        <v>1420</v>
      </c>
      <c r="G219" s="74"/>
      <c r="H219" s="74" t="s">
        <v>29</v>
      </c>
      <c r="I219" s="74" t="str">
        <f>VLOOKUP(D219,Sheet15!D:K,8,FALSE)</f>
        <v>#N/A</v>
      </c>
      <c r="J219" s="76">
        <f t="shared" si="1"/>
        <v>-45677</v>
      </c>
      <c r="K219" s="77" t="str">
        <f>VLOOKUP(D219,Sheet15!D:G,4,FALSE)</f>
        <v>#N/A</v>
      </c>
      <c r="L219" s="73"/>
      <c r="M219" s="73"/>
      <c r="N219" s="73"/>
      <c r="O219" s="73"/>
      <c r="P219" s="73"/>
      <c r="Q219" s="73"/>
      <c r="R219" s="73"/>
      <c r="S219" s="73"/>
      <c r="T219" s="73"/>
      <c r="U219" s="73"/>
      <c r="V219" s="73"/>
      <c r="W219" s="73"/>
      <c r="X219" s="73"/>
    </row>
    <row r="220">
      <c r="A220" s="74">
        <v>220.0</v>
      </c>
      <c r="B220" s="74" t="s">
        <v>1523</v>
      </c>
      <c r="C220" s="74">
        <v>1211.0</v>
      </c>
      <c r="D220" s="75" t="s">
        <v>1554</v>
      </c>
      <c r="E220" s="76">
        <v>45677.0</v>
      </c>
      <c r="F220" s="78" t="s">
        <v>1420</v>
      </c>
      <c r="G220" s="74"/>
      <c r="H220" s="74" t="s">
        <v>29</v>
      </c>
      <c r="I220" s="74" t="str">
        <f>VLOOKUP(D220,Sheet15!D:K,8,FALSE)</f>
        <v>P-1-N-070921-5731</v>
      </c>
      <c r="J220" s="76">
        <f t="shared" si="1"/>
        <v>-45677</v>
      </c>
      <c r="K220" s="77" t="str">
        <f>VLOOKUP(D220,Sheet15!D:G,4,FALSE)</f>
        <v/>
      </c>
      <c r="L220" s="73"/>
      <c r="M220" s="73"/>
      <c r="N220" s="73"/>
      <c r="O220" s="73"/>
      <c r="P220" s="73"/>
      <c r="Q220" s="73"/>
      <c r="R220" s="73"/>
      <c r="S220" s="73"/>
      <c r="T220" s="73"/>
      <c r="U220" s="73"/>
      <c r="V220" s="73"/>
      <c r="W220" s="73"/>
      <c r="X220" s="73"/>
    </row>
    <row r="221">
      <c r="A221" s="74">
        <v>221.0</v>
      </c>
      <c r="B221" s="74" t="s">
        <v>1523</v>
      </c>
      <c r="C221" s="74">
        <v>1212.0</v>
      </c>
      <c r="D221" s="75" t="s">
        <v>1555</v>
      </c>
      <c r="E221" s="76">
        <v>45677.0</v>
      </c>
      <c r="F221" s="78" t="s">
        <v>1420</v>
      </c>
      <c r="G221" s="74"/>
      <c r="H221" s="74"/>
      <c r="I221" s="74" t="str">
        <f>VLOOKUP(D221,Sheet15!D:K,8,FALSE)</f>
        <v>#N/A</v>
      </c>
      <c r="J221" s="76">
        <f t="shared" si="1"/>
        <v>-45677</v>
      </c>
      <c r="K221" s="77" t="str">
        <f>VLOOKUP(D221,Sheet15!D:G,4,FALSE)</f>
        <v>#N/A</v>
      </c>
      <c r="L221" s="73"/>
      <c r="M221" s="73"/>
      <c r="N221" s="73"/>
      <c r="O221" s="73"/>
      <c r="P221" s="73"/>
      <c r="Q221" s="73"/>
      <c r="R221" s="73"/>
      <c r="S221" s="73"/>
      <c r="T221" s="73"/>
      <c r="U221" s="73"/>
      <c r="V221" s="73"/>
      <c r="W221" s="73"/>
      <c r="X221" s="73"/>
    </row>
    <row r="222">
      <c r="A222" s="74">
        <v>222.0</v>
      </c>
      <c r="B222" s="74" t="s">
        <v>1523</v>
      </c>
      <c r="C222" s="74">
        <v>1213.0</v>
      </c>
      <c r="D222" s="75" t="s">
        <v>1556</v>
      </c>
      <c r="E222" s="76">
        <v>45677.0</v>
      </c>
      <c r="F222" s="78" t="s">
        <v>1420</v>
      </c>
      <c r="G222" s="74"/>
      <c r="H222" s="74" t="s">
        <v>29</v>
      </c>
      <c r="I222" s="74" t="str">
        <f>VLOOKUP(D222,Sheet15!D:K,8,FALSE)</f>
        <v>2025-15574</v>
      </c>
      <c r="J222" s="76">
        <f t="shared" si="1"/>
        <v>-45677</v>
      </c>
      <c r="K222" s="77" t="str">
        <f>VLOOKUP(D222,Sheet15!D:G,4,FALSE)</f>
        <v/>
      </c>
      <c r="L222" s="73"/>
      <c r="M222" s="73"/>
      <c r="N222" s="73"/>
      <c r="O222" s="73"/>
      <c r="P222" s="73"/>
      <c r="Q222" s="73"/>
      <c r="R222" s="73"/>
      <c r="S222" s="73"/>
      <c r="T222" s="73"/>
      <c r="U222" s="73"/>
      <c r="V222" s="73"/>
      <c r="W222" s="73"/>
      <c r="X222" s="73"/>
    </row>
    <row r="223">
      <c r="A223" s="74">
        <v>223.0</v>
      </c>
      <c r="B223" s="74" t="s">
        <v>1523</v>
      </c>
      <c r="C223" s="74">
        <v>1217.0</v>
      </c>
      <c r="D223" s="75" t="s">
        <v>1553</v>
      </c>
      <c r="E223" s="76">
        <v>45677.0</v>
      </c>
      <c r="F223" s="78" t="s">
        <v>1420</v>
      </c>
      <c r="G223" s="74"/>
      <c r="H223" s="74"/>
      <c r="I223" s="74" t="str">
        <f>VLOOKUP(D223,Sheet15!D:K,8,FALSE)</f>
        <v>#N/A</v>
      </c>
      <c r="J223" s="76">
        <f t="shared" si="1"/>
        <v>-45677</v>
      </c>
      <c r="K223" s="77" t="str">
        <f>VLOOKUP(D223,Sheet15!D:G,4,FALSE)</f>
        <v>#N/A</v>
      </c>
      <c r="L223" s="73"/>
      <c r="M223" s="73"/>
      <c r="N223" s="73"/>
      <c r="O223" s="73"/>
      <c r="P223" s="73"/>
      <c r="Q223" s="73"/>
      <c r="R223" s="73"/>
      <c r="S223" s="73"/>
      <c r="T223" s="73"/>
      <c r="U223" s="73"/>
      <c r="V223" s="73"/>
      <c r="W223" s="73"/>
      <c r="X223" s="73"/>
    </row>
    <row r="224">
      <c r="A224" s="74">
        <v>224.0</v>
      </c>
      <c r="B224" s="74" t="s">
        <v>1523</v>
      </c>
      <c r="C224" s="74">
        <v>1224.0</v>
      </c>
      <c r="D224" s="75" t="s">
        <v>1557</v>
      </c>
      <c r="E224" s="76">
        <v>45677.0</v>
      </c>
      <c r="F224" s="78" t="s">
        <v>1420</v>
      </c>
      <c r="G224" s="74"/>
      <c r="H224" s="74"/>
      <c r="I224" s="74" t="str">
        <f>VLOOKUP(D224,Sheet15!D:K,8,FALSE)</f>
        <v>#N/A</v>
      </c>
      <c r="J224" s="76">
        <f t="shared" si="1"/>
        <v>-45677</v>
      </c>
      <c r="K224" s="77" t="str">
        <f>VLOOKUP(D224,Sheet15!D:G,4,FALSE)</f>
        <v>#N/A</v>
      </c>
      <c r="L224" s="73"/>
      <c r="M224" s="73"/>
      <c r="N224" s="73"/>
      <c r="O224" s="73"/>
      <c r="P224" s="73"/>
      <c r="Q224" s="73"/>
      <c r="R224" s="73"/>
      <c r="S224" s="73"/>
      <c r="T224" s="73"/>
      <c r="U224" s="73"/>
      <c r="V224" s="73"/>
      <c r="W224" s="73"/>
      <c r="X224" s="73"/>
    </row>
    <row r="225">
      <c r="A225" s="74">
        <v>225.0</v>
      </c>
      <c r="B225" s="74" t="s">
        <v>1523</v>
      </c>
      <c r="C225" s="74">
        <v>1218.0</v>
      </c>
      <c r="D225" s="75" t="s">
        <v>1558</v>
      </c>
      <c r="E225" s="76">
        <v>45677.0</v>
      </c>
      <c r="F225" s="78" t="s">
        <v>1420</v>
      </c>
      <c r="G225" s="74"/>
      <c r="H225" s="74"/>
      <c r="I225" s="74" t="str">
        <f>VLOOKUP(D225,Sheet15!D:K,8,FALSE)</f>
        <v>#N/A</v>
      </c>
      <c r="J225" s="76">
        <f t="shared" si="1"/>
        <v>-45677</v>
      </c>
      <c r="K225" s="77" t="str">
        <f>VLOOKUP(D225,Sheet15!D:G,4,FALSE)</f>
        <v>#N/A</v>
      </c>
      <c r="L225" s="73"/>
      <c r="M225" s="73"/>
      <c r="N225" s="73"/>
      <c r="O225" s="73"/>
      <c r="P225" s="73"/>
      <c r="Q225" s="73"/>
      <c r="R225" s="73"/>
      <c r="S225" s="73"/>
      <c r="T225" s="73"/>
      <c r="U225" s="73"/>
      <c r="V225" s="73"/>
      <c r="W225" s="73"/>
      <c r="X225" s="73"/>
    </row>
    <row r="226">
      <c r="A226" s="74">
        <v>226.0</v>
      </c>
      <c r="B226" s="74" t="s">
        <v>1523</v>
      </c>
      <c r="C226" s="74">
        <v>1099.0</v>
      </c>
      <c r="D226" s="75" t="s">
        <v>1559</v>
      </c>
      <c r="E226" s="76">
        <v>45677.0</v>
      </c>
      <c r="F226" s="78" t="s">
        <v>1420</v>
      </c>
      <c r="G226" s="74"/>
      <c r="H226" s="74"/>
      <c r="I226" s="74" t="str">
        <f>VLOOKUP(D226,Sheet15!D:K,8,FALSE)</f>
        <v>#N/A</v>
      </c>
      <c r="J226" s="76">
        <f t="shared" si="1"/>
        <v>-45677</v>
      </c>
      <c r="K226" s="77" t="str">
        <f>VLOOKUP(D226,Sheet15!D:G,4,FALSE)</f>
        <v>#N/A</v>
      </c>
      <c r="L226" s="73"/>
      <c r="M226" s="73"/>
      <c r="N226" s="73"/>
      <c r="O226" s="73"/>
      <c r="P226" s="73"/>
      <c r="Q226" s="73"/>
      <c r="R226" s="73"/>
      <c r="S226" s="73"/>
      <c r="T226" s="73"/>
      <c r="U226" s="73"/>
      <c r="V226" s="73"/>
      <c r="W226" s="73"/>
      <c r="X226" s="73"/>
    </row>
    <row r="227">
      <c r="A227" s="74">
        <v>227.0</v>
      </c>
      <c r="B227" s="74" t="s">
        <v>1523</v>
      </c>
      <c r="C227" s="74">
        <v>1214.0</v>
      </c>
      <c r="D227" s="75" t="s">
        <v>1560</v>
      </c>
      <c r="E227" s="76">
        <v>45677.0</v>
      </c>
      <c r="F227" s="78" t="s">
        <v>1420</v>
      </c>
      <c r="G227" s="74"/>
      <c r="H227" s="74"/>
      <c r="I227" s="74" t="str">
        <f>VLOOKUP(D227,Sheet15!D:K,8,FALSE)</f>
        <v>#N/A</v>
      </c>
      <c r="J227" s="76">
        <f t="shared" si="1"/>
        <v>-45677</v>
      </c>
      <c r="K227" s="77" t="str">
        <f>VLOOKUP(D227,Sheet15!D:G,4,FALSE)</f>
        <v>#N/A</v>
      </c>
      <c r="L227" s="73"/>
      <c r="M227" s="73"/>
      <c r="N227" s="73"/>
      <c r="O227" s="73"/>
      <c r="P227" s="73"/>
      <c r="Q227" s="73"/>
      <c r="R227" s="73"/>
      <c r="S227" s="73"/>
      <c r="T227" s="73"/>
      <c r="U227" s="73"/>
      <c r="V227" s="73"/>
      <c r="W227" s="73"/>
      <c r="X227" s="73"/>
    </row>
    <row r="228">
      <c r="A228" s="74">
        <v>228.0</v>
      </c>
      <c r="B228" s="74" t="s">
        <v>1523</v>
      </c>
      <c r="C228" s="74">
        <v>1216.0</v>
      </c>
      <c r="D228" s="75" t="s">
        <v>1561</v>
      </c>
      <c r="E228" s="76">
        <v>45677.0</v>
      </c>
      <c r="F228" s="78" t="s">
        <v>1420</v>
      </c>
      <c r="G228" s="74"/>
      <c r="H228" s="74"/>
      <c r="I228" s="74" t="str">
        <f>VLOOKUP(D228,Sheet15!D:K,8,FALSE)</f>
        <v>#N/A</v>
      </c>
      <c r="J228" s="76">
        <f t="shared" si="1"/>
        <v>-45677</v>
      </c>
      <c r="K228" s="77" t="str">
        <f>VLOOKUP(D228,Sheet15!D:G,4,FALSE)</f>
        <v>#N/A</v>
      </c>
      <c r="L228" s="73"/>
      <c r="M228" s="73"/>
      <c r="N228" s="73"/>
      <c r="O228" s="73"/>
      <c r="P228" s="73"/>
      <c r="Q228" s="73"/>
      <c r="R228" s="73"/>
      <c r="S228" s="73"/>
      <c r="T228" s="73"/>
      <c r="U228" s="73"/>
      <c r="V228" s="73"/>
      <c r="W228" s="73"/>
      <c r="X228" s="73"/>
    </row>
    <row r="229">
      <c r="A229" s="74">
        <v>229.0</v>
      </c>
      <c r="B229" s="74" t="s">
        <v>1523</v>
      </c>
      <c r="C229" s="74">
        <v>1220.0</v>
      </c>
      <c r="D229" s="75" t="s">
        <v>1534</v>
      </c>
      <c r="E229" s="76">
        <v>45677.0</v>
      </c>
      <c r="F229" s="78" t="s">
        <v>1420</v>
      </c>
      <c r="G229" s="74"/>
      <c r="H229" s="74"/>
      <c r="I229" s="74" t="str">
        <f>VLOOKUP(D229,Sheet15!D:K,8,FALSE)</f>
        <v>#N/A</v>
      </c>
      <c r="J229" s="76">
        <f t="shared" si="1"/>
        <v>-45677</v>
      </c>
      <c r="K229" s="77" t="str">
        <f>VLOOKUP(D229,Sheet15!D:G,4,FALSE)</f>
        <v>#N/A</v>
      </c>
      <c r="L229" s="73"/>
      <c r="M229" s="73"/>
      <c r="N229" s="73"/>
      <c r="O229" s="73"/>
      <c r="P229" s="73"/>
      <c r="Q229" s="73"/>
      <c r="R229" s="73"/>
      <c r="S229" s="73"/>
      <c r="T229" s="73"/>
      <c r="U229" s="73"/>
      <c r="V229" s="73"/>
      <c r="W229" s="73"/>
      <c r="X229" s="73"/>
    </row>
    <row r="230">
      <c r="A230" s="74">
        <v>230.0</v>
      </c>
      <c r="B230" s="74" t="s">
        <v>1523</v>
      </c>
      <c r="C230" s="74">
        <v>1222.0</v>
      </c>
      <c r="D230" s="75" t="s">
        <v>1535</v>
      </c>
      <c r="E230" s="76">
        <v>45677.0</v>
      </c>
      <c r="F230" s="78" t="s">
        <v>1420</v>
      </c>
      <c r="G230" s="74"/>
      <c r="H230" s="74"/>
      <c r="I230" s="74" t="str">
        <f>VLOOKUP(D230,Sheet15!D:K,8,FALSE)</f>
        <v>#N/A</v>
      </c>
      <c r="J230" s="76">
        <f t="shared" si="1"/>
        <v>-45677</v>
      </c>
      <c r="K230" s="77" t="str">
        <f>VLOOKUP(D230,Sheet15!D:G,4,FALSE)</f>
        <v>#N/A</v>
      </c>
      <c r="L230" s="73"/>
      <c r="M230" s="73"/>
      <c r="N230" s="73"/>
      <c r="O230" s="73"/>
      <c r="P230" s="73"/>
      <c r="Q230" s="73"/>
      <c r="R230" s="73"/>
      <c r="S230" s="73"/>
      <c r="T230" s="73"/>
      <c r="U230" s="73"/>
      <c r="V230" s="73"/>
      <c r="W230" s="73"/>
      <c r="X230" s="73"/>
    </row>
    <row r="231">
      <c r="A231" s="74">
        <v>231.0</v>
      </c>
      <c r="B231" s="74" t="s">
        <v>1523</v>
      </c>
      <c r="C231" s="74">
        <v>1223.0</v>
      </c>
      <c r="D231" s="75" t="s">
        <v>1562</v>
      </c>
      <c r="E231" s="76">
        <v>45677.0</v>
      </c>
      <c r="F231" s="78" t="s">
        <v>1420</v>
      </c>
      <c r="G231" s="74"/>
      <c r="H231" s="74"/>
      <c r="I231" s="74" t="str">
        <f>VLOOKUP(D231,Sheet15!D:K,8,FALSE)</f>
        <v>#N/A</v>
      </c>
      <c r="J231" s="76">
        <f t="shared" si="1"/>
        <v>-45677</v>
      </c>
      <c r="K231" s="77" t="str">
        <f>VLOOKUP(D231,Sheet15!D:G,4,FALSE)</f>
        <v>#N/A</v>
      </c>
      <c r="L231" s="73"/>
      <c r="M231" s="73"/>
      <c r="N231" s="73"/>
      <c r="O231" s="73"/>
      <c r="P231" s="73"/>
      <c r="Q231" s="73"/>
      <c r="R231" s="73"/>
      <c r="S231" s="73"/>
      <c r="T231" s="73"/>
      <c r="U231" s="73"/>
      <c r="V231" s="73"/>
      <c r="W231" s="73"/>
      <c r="X231" s="73"/>
    </row>
    <row r="232">
      <c r="A232" s="74">
        <v>232.0</v>
      </c>
      <c r="B232" s="74" t="s">
        <v>1523</v>
      </c>
      <c r="C232" s="74">
        <v>1309.0</v>
      </c>
      <c r="D232" s="75" t="s">
        <v>1563</v>
      </c>
      <c r="E232" s="76">
        <v>45677.0</v>
      </c>
      <c r="F232" s="78" t="s">
        <v>1420</v>
      </c>
      <c r="G232" s="74"/>
      <c r="H232" s="74"/>
      <c r="I232" s="74" t="str">
        <f>VLOOKUP(D232,Sheet15!D:K,8,FALSE)</f>
        <v>#N/A</v>
      </c>
      <c r="J232" s="76">
        <f t="shared" si="1"/>
        <v>-45677</v>
      </c>
      <c r="K232" s="77" t="str">
        <f>VLOOKUP(D232,Sheet15!D:G,4,FALSE)</f>
        <v>#N/A</v>
      </c>
      <c r="L232" s="73"/>
      <c r="M232" s="73"/>
      <c r="N232" s="73"/>
      <c r="O232" s="73"/>
      <c r="P232" s="73"/>
      <c r="Q232" s="73"/>
      <c r="R232" s="73"/>
      <c r="S232" s="73"/>
      <c r="T232" s="73"/>
      <c r="U232" s="73"/>
      <c r="V232" s="73"/>
      <c r="W232" s="73"/>
      <c r="X232" s="73"/>
    </row>
    <row r="233">
      <c r="A233" s="74">
        <v>233.0</v>
      </c>
      <c r="B233" s="74" t="s">
        <v>1523</v>
      </c>
      <c r="C233" s="74">
        <v>1310.0</v>
      </c>
      <c r="D233" s="75" t="s">
        <v>1564</v>
      </c>
      <c r="E233" s="76">
        <v>45677.0</v>
      </c>
      <c r="F233" s="78" t="s">
        <v>1420</v>
      </c>
      <c r="G233" s="74"/>
      <c r="H233" s="74"/>
      <c r="I233" s="74" t="str">
        <f>VLOOKUP(D233,Sheet15!D:K,8,FALSE)</f>
        <v>#N/A</v>
      </c>
      <c r="J233" s="76">
        <f t="shared" si="1"/>
        <v>-45677</v>
      </c>
      <c r="K233" s="77" t="str">
        <f>VLOOKUP(D233,Sheet15!D:G,4,FALSE)</f>
        <v>#N/A</v>
      </c>
      <c r="L233" s="73"/>
      <c r="M233" s="73"/>
      <c r="N233" s="73"/>
      <c r="O233" s="73"/>
      <c r="P233" s="73"/>
      <c r="Q233" s="73"/>
      <c r="R233" s="73"/>
      <c r="S233" s="73"/>
      <c r="T233" s="73"/>
      <c r="U233" s="73"/>
      <c r="V233" s="73"/>
      <c r="W233" s="73"/>
      <c r="X233" s="73"/>
    </row>
    <row r="234">
      <c r="A234" s="74">
        <v>234.0</v>
      </c>
      <c r="B234" s="74" t="s">
        <v>1523</v>
      </c>
      <c r="C234" s="74">
        <v>1311.0</v>
      </c>
      <c r="D234" s="75" t="s">
        <v>1565</v>
      </c>
      <c r="E234" s="76">
        <v>45677.0</v>
      </c>
      <c r="F234" s="78" t="s">
        <v>1420</v>
      </c>
      <c r="G234" s="74"/>
      <c r="H234" s="74"/>
      <c r="I234" s="74" t="str">
        <f>VLOOKUP(D234,Sheet15!D:K,8,FALSE)</f>
        <v>#N/A</v>
      </c>
      <c r="J234" s="76">
        <f t="shared" si="1"/>
        <v>-45677</v>
      </c>
      <c r="K234" s="77" t="str">
        <f>VLOOKUP(D234,Sheet15!D:G,4,FALSE)</f>
        <v>#N/A</v>
      </c>
      <c r="L234" s="73"/>
      <c r="M234" s="73"/>
      <c r="N234" s="73"/>
      <c r="O234" s="73"/>
      <c r="P234" s="73"/>
      <c r="Q234" s="73"/>
      <c r="R234" s="73"/>
      <c r="S234" s="73"/>
      <c r="T234" s="73"/>
      <c r="U234" s="73"/>
      <c r="V234" s="73"/>
      <c r="W234" s="73"/>
      <c r="X234" s="73"/>
    </row>
    <row r="235">
      <c r="A235" s="74">
        <v>235.0</v>
      </c>
      <c r="B235" s="74" t="s">
        <v>1523</v>
      </c>
      <c r="C235" s="74">
        <v>1312.0</v>
      </c>
      <c r="D235" s="75" t="s">
        <v>1566</v>
      </c>
      <c r="E235" s="76">
        <v>45677.0</v>
      </c>
      <c r="F235" s="78" t="s">
        <v>1420</v>
      </c>
      <c r="G235" s="74"/>
      <c r="H235" s="74"/>
      <c r="I235" s="74" t="str">
        <f>VLOOKUP(D235,Sheet15!D:K,8,FALSE)</f>
        <v>#N/A</v>
      </c>
      <c r="J235" s="76">
        <f t="shared" si="1"/>
        <v>-45677</v>
      </c>
      <c r="K235" s="77" t="str">
        <f>VLOOKUP(D235,Sheet15!D:G,4,FALSE)</f>
        <v>#N/A</v>
      </c>
      <c r="L235" s="73"/>
      <c r="M235" s="73"/>
      <c r="N235" s="73"/>
      <c r="O235" s="73"/>
      <c r="P235" s="73"/>
      <c r="Q235" s="73"/>
      <c r="R235" s="73"/>
      <c r="S235" s="73"/>
      <c r="T235" s="73"/>
      <c r="U235" s="73"/>
      <c r="V235" s="73"/>
      <c r="W235" s="73"/>
      <c r="X235" s="73"/>
    </row>
    <row r="236">
      <c r="A236" s="74">
        <v>236.0</v>
      </c>
      <c r="B236" s="74" t="s">
        <v>1523</v>
      </c>
      <c r="C236" s="74">
        <v>1313.0</v>
      </c>
      <c r="D236" s="75" t="s">
        <v>1567</v>
      </c>
      <c r="E236" s="76">
        <v>45677.0</v>
      </c>
      <c r="F236" s="78" t="s">
        <v>1420</v>
      </c>
      <c r="G236" s="74"/>
      <c r="H236" s="74" t="s">
        <v>29</v>
      </c>
      <c r="I236" s="74" t="str">
        <f>VLOOKUP(D236,Sheet15!D:K,8,FALSE)</f>
        <v>2025-86662</v>
      </c>
      <c r="J236" s="76">
        <f t="shared" si="1"/>
        <v>-45677</v>
      </c>
      <c r="K236" s="77" t="str">
        <f>VLOOKUP(D236,Sheet15!D:G,4,FALSE)</f>
        <v/>
      </c>
      <c r="L236" s="73"/>
      <c r="M236" s="73"/>
      <c r="N236" s="73"/>
      <c r="O236" s="73"/>
      <c r="P236" s="73"/>
      <c r="Q236" s="73"/>
      <c r="R236" s="73"/>
      <c r="S236" s="73"/>
      <c r="T236" s="73"/>
      <c r="U236" s="73"/>
      <c r="V236" s="73"/>
      <c r="W236" s="73"/>
      <c r="X236" s="73"/>
    </row>
    <row r="237">
      <c r="A237" s="74">
        <v>237.0</v>
      </c>
      <c r="B237" s="74" t="s">
        <v>1568</v>
      </c>
      <c r="C237" s="74">
        <v>103.0</v>
      </c>
      <c r="D237" s="75" t="s">
        <v>1569</v>
      </c>
      <c r="E237" s="76">
        <v>45699.0</v>
      </c>
      <c r="F237" s="78" t="s">
        <v>1420</v>
      </c>
      <c r="G237" s="74"/>
      <c r="H237" s="74" t="s">
        <v>29</v>
      </c>
      <c r="I237" s="74" t="str">
        <f>VLOOKUP(D237,Sheet15!D:K,8,FALSE)</f>
        <v>#N/A</v>
      </c>
      <c r="J237" s="76">
        <f t="shared" si="1"/>
        <v>-45699</v>
      </c>
      <c r="K237" s="77" t="str">
        <f>VLOOKUP(D237,Sheet15!D:G,4,FALSE)</f>
        <v>#N/A</v>
      </c>
      <c r="L237" s="73"/>
      <c r="M237" s="73"/>
      <c r="N237" s="73"/>
      <c r="O237" s="73"/>
      <c r="P237" s="73"/>
      <c r="Q237" s="73"/>
      <c r="R237" s="73"/>
      <c r="S237" s="73"/>
      <c r="T237" s="73"/>
      <c r="U237" s="73"/>
      <c r="V237" s="73"/>
      <c r="W237" s="73"/>
      <c r="X237" s="73"/>
    </row>
    <row r="238">
      <c r="A238" s="74">
        <v>238.0</v>
      </c>
      <c r="B238" s="74" t="s">
        <v>1568</v>
      </c>
      <c r="C238" s="74">
        <v>104.0</v>
      </c>
      <c r="D238" s="75" t="s">
        <v>1570</v>
      </c>
      <c r="E238" s="76">
        <v>45699.0</v>
      </c>
      <c r="F238" s="78" t="s">
        <v>1420</v>
      </c>
      <c r="G238" s="74"/>
      <c r="H238" s="74" t="s">
        <v>29</v>
      </c>
      <c r="I238" s="74" t="str">
        <f>VLOOKUP(D238,Sheet15!D:K,8,FALSE)</f>
        <v>#N/A</v>
      </c>
      <c r="J238" s="76">
        <f t="shared" si="1"/>
        <v>-45699</v>
      </c>
      <c r="K238" s="77" t="str">
        <f>VLOOKUP(D238,Sheet15!D:G,4,FALSE)</f>
        <v>#N/A</v>
      </c>
      <c r="L238" s="73"/>
      <c r="M238" s="73"/>
      <c r="N238" s="73"/>
      <c r="O238" s="73"/>
      <c r="P238" s="73"/>
      <c r="Q238" s="73"/>
      <c r="R238" s="73"/>
      <c r="S238" s="73"/>
      <c r="T238" s="73"/>
      <c r="U238" s="73"/>
      <c r="V238" s="73"/>
      <c r="W238" s="73"/>
      <c r="X238" s="73"/>
    </row>
    <row r="239">
      <c r="A239" s="74">
        <v>239.0</v>
      </c>
      <c r="B239" s="74" t="s">
        <v>1568</v>
      </c>
      <c r="C239" s="74">
        <v>115.0</v>
      </c>
      <c r="D239" s="75" t="s">
        <v>1571</v>
      </c>
      <c r="E239" s="76">
        <v>45699.0</v>
      </c>
      <c r="F239" s="78" t="s">
        <v>1420</v>
      </c>
      <c r="G239" s="74"/>
      <c r="H239" s="74" t="s">
        <v>29</v>
      </c>
      <c r="I239" s="74" t="str">
        <f>VLOOKUP(D239,Sheet15!D:K,8,FALSE)</f>
        <v>#N/A</v>
      </c>
      <c r="J239" s="76">
        <f t="shared" si="1"/>
        <v>-45699</v>
      </c>
      <c r="K239" s="77" t="str">
        <f>VLOOKUP(D239,Sheet15!D:G,4,FALSE)</f>
        <v>#N/A</v>
      </c>
      <c r="L239" s="73"/>
      <c r="M239" s="73"/>
      <c r="N239" s="73"/>
      <c r="O239" s="73"/>
      <c r="P239" s="73"/>
      <c r="Q239" s="73"/>
      <c r="R239" s="73"/>
      <c r="S239" s="73"/>
      <c r="T239" s="73"/>
      <c r="U239" s="73"/>
      <c r="V239" s="73"/>
      <c r="W239" s="73"/>
      <c r="X239" s="73"/>
    </row>
    <row r="240">
      <c r="A240" s="74">
        <v>240.0</v>
      </c>
      <c r="B240" s="74" t="s">
        <v>1568</v>
      </c>
      <c r="C240" s="74">
        <v>99.0</v>
      </c>
      <c r="D240" s="75" t="s">
        <v>1572</v>
      </c>
      <c r="E240" s="76">
        <v>45699.0</v>
      </c>
      <c r="F240" s="78" t="s">
        <v>1420</v>
      </c>
      <c r="G240" s="74"/>
      <c r="H240" s="74" t="s">
        <v>29</v>
      </c>
      <c r="I240" s="74" t="str">
        <f>VLOOKUP(D240,Sheet15!D:K,8,FALSE)</f>
        <v>#N/A</v>
      </c>
      <c r="J240" s="76">
        <f t="shared" si="1"/>
        <v>-45699</v>
      </c>
      <c r="K240" s="77" t="str">
        <f>VLOOKUP(D240,Sheet15!D:G,4,FALSE)</f>
        <v>#N/A</v>
      </c>
      <c r="L240" s="73"/>
      <c r="M240" s="73"/>
      <c r="N240" s="73"/>
      <c r="O240" s="73"/>
      <c r="P240" s="73"/>
      <c r="Q240" s="73"/>
      <c r="R240" s="73"/>
      <c r="S240" s="73"/>
      <c r="T240" s="73"/>
      <c r="U240" s="73"/>
      <c r="V240" s="73"/>
      <c r="W240" s="73"/>
      <c r="X240" s="73"/>
    </row>
    <row r="241">
      <c r="A241" s="74">
        <v>241.0</v>
      </c>
      <c r="B241" s="74" t="s">
        <v>1568</v>
      </c>
      <c r="C241" s="74">
        <v>100.0</v>
      </c>
      <c r="D241" s="75" t="s">
        <v>1573</v>
      </c>
      <c r="E241" s="76">
        <v>45699.0</v>
      </c>
      <c r="F241" s="78" t="s">
        <v>1420</v>
      </c>
      <c r="G241" s="74"/>
      <c r="H241" s="74" t="s">
        <v>29</v>
      </c>
      <c r="I241" s="74" t="str">
        <f>VLOOKUP(D241,Sheet15!D:K,8,FALSE)</f>
        <v>#N/A</v>
      </c>
      <c r="J241" s="76">
        <f t="shared" si="1"/>
        <v>-45699</v>
      </c>
      <c r="K241" s="77" t="str">
        <f>VLOOKUP(D241,Sheet15!D:G,4,FALSE)</f>
        <v>#N/A</v>
      </c>
      <c r="L241" s="73"/>
      <c r="M241" s="73"/>
      <c r="N241" s="73"/>
      <c r="O241" s="73"/>
      <c r="P241" s="73"/>
      <c r="Q241" s="73"/>
      <c r="R241" s="73"/>
      <c r="S241" s="73"/>
      <c r="T241" s="73"/>
      <c r="U241" s="73"/>
      <c r="V241" s="73"/>
      <c r="W241" s="73"/>
      <c r="X241" s="73"/>
    </row>
    <row r="242">
      <c r="A242" s="74">
        <v>242.0</v>
      </c>
      <c r="B242" s="74" t="s">
        <v>1568</v>
      </c>
      <c r="C242" s="74">
        <v>110.0</v>
      </c>
      <c r="D242" s="75" t="s">
        <v>1574</v>
      </c>
      <c r="E242" s="76">
        <v>45699.0</v>
      </c>
      <c r="F242" s="78" t="s">
        <v>1420</v>
      </c>
      <c r="G242" s="74"/>
      <c r="H242" s="74" t="s">
        <v>29</v>
      </c>
      <c r="I242" s="74" t="str">
        <f>VLOOKUP(D242,Sheet15!D:K,8,FALSE)</f>
        <v>#N/A</v>
      </c>
      <c r="J242" s="76">
        <f t="shared" si="1"/>
        <v>-45699</v>
      </c>
      <c r="K242" s="77" t="str">
        <f>VLOOKUP(D242,Sheet15!D:G,4,FALSE)</f>
        <v>#N/A</v>
      </c>
      <c r="L242" s="73"/>
      <c r="M242" s="73"/>
      <c r="N242" s="73"/>
      <c r="O242" s="73"/>
      <c r="P242" s="73"/>
      <c r="Q242" s="73"/>
      <c r="R242" s="73"/>
      <c r="S242" s="73"/>
      <c r="T242" s="73"/>
      <c r="U242" s="73"/>
      <c r="V242" s="73"/>
      <c r="W242" s="73"/>
      <c r="X242" s="73"/>
    </row>
    <row r="243">
      <c r="A243" s="74">
        <v>243.0</v>
      </c>
      <c r="B243" s="74" t="s">
        <v>1568</v>
      </c>
      <c r="C243" s="74">
        <v>111.0</v>
      </c>
      <c r="D243" s="75" t="s">
        <v>1575</v>
      </c>
      <c r="E243" s="76">
        <v>45699.0</v>
      </c>
      <c r="F243" s="78" t="s">
        <v>1420</v>
      </c>
      <c r="G243" s="74"/>
      <c r="H243" s="74" t="s">
        <v>29</v>
      </c>
      <c r="I243" s="74" t="str">
        <f>VLOOKUP(D243,Sheet15!D:K,8,FALSE)</f>
        <v>#N/A</v>
      </c>
      <c r="J243" s="76">
        <f t="shared" si="1"/>
        <v>-45699</v>
      </c>
      <c r="K243" s="77" t="str">
        <f>VLOOKUP(D243,Sheet15!D:G,4,FALSE)</f>
        <v>#N/A</v>
      </c>
      <c r="L243" s="73"/>
      <c r="M243" s="73"/>
      <c r="N243" s="73"/>
      <c r="O243" s="73"/>
      <c r="P243" s="73"/>
      <c r="Q243" s="73"/>
      <c r="R243" s="73"/>
      <c r="S243" s="73"/>
      <c r="T243" s="73"/>
      <c r="U243" s="73"/>
      <c r="V243" s="73"/>
      <c r="W243" s="73"/>
      <c r="X243" s="73"/>
    </row>
    <row r="244">
      <c r="A244" s="74">
        <v>244.0</v>
      </c>
      <c r="B244" s="74" t="s">
        <v>1568</v>
      </c>
      <c r="C244" s="74">
        <v>108.0</v>
      </c>
      <c r="D244" s="75" t="s">
        <v>1576</v>
      </c>
      <c r="E244" s="76">
        <v>45699.0</v>
      </c>
      <c r="F244" s="78" t="s">
        <v>1420</v>
      </c>
      <c r="G244" s="74"/>
      <c r="H244" s="74" t="s">
        <v>29</v>
      </c>
      <c r="I244" s="74" t="str">
        <f>VLOOKUP(D244,Sheet15!D:K,8,FALSE)</f>
        <v>#N/A</v>
      </c>
      <c r="J244" s="76">
        <f t="shared" si="1"/>
        <v>-45699</v>
      </c>
      <c r="K244" s="77" t="str">
        <f>VLOOKUP(D244,Sheet15!D:G,4,FALSE)</f>
        <v>#N/A</v>
      </c>
      <c r="L244" s="73"/>
      <c r="M244" s="73"/>
      <c r="N244" s="73"/>
      <c r="O244" s="73"/>
      <c r="P244" s="73"/>
      <c r="Q244" s="73"/>
      <c r="R244" s="73"/>
      <c r="S244" s="73"/>
      <c r="T244" s="73"/>
      <c r="U244" s="73"/>
      <c r="V244" s="73"/>
      <c r="W244" s="73"/>
      <c r="X244" s="73"/>
    </row>
    <row r="245">
      <c r="A245" s="74">
        <v>245.0</v>
      </c>
      <c r="B245" s="74" t="s">
        <v>1568</v>
      </c>
      <c r="C245" s="74">
        <v>109.0</v>
      </c>
      <c r="D245" s="75" t="s">
        <v>1577</v>
      </c>
      <c r="E245" s="76">
        <v>45699.0</v>
      </c>
      <c r="F245" s="74" t="str">
        <f>VLOOKUP(D245,Sheet15!D:H,5,FALSE)</f>
        <v>مكتمل</v>
      </c>
      <c r="G245" s="74"/>
      <c r="H245" s="74" t="s">
        <v>29</v>
      </c>
      <c r="I245" s="74" t="str">
        <f>VLOOKUP(D245,Sheet15!D:K,8,FALSE)</f>
        <v>2025-74056</v>
      </c>
      <c r="J245" s="76">
        <f t="shared" si="1"/>
        <v>-45699</v>
      </c>
      <c r="K245" s="77"/>
      <c r="L245" s="73"/>
      <c r="M245" s="73"/>
      <c r="N245" s="73"/>
      <c r="O245" s="73"/>
      <c r="P245" s="73"/>
      <c r="Q245" s="73"/>
      <c r="R245" s="73"/>
      <c r="S245" s="73"/>
      <c r="T245" s="73"/>
      <c r="U245" s="73"/>
      <c r="V245" s="73"/>
      <c r="W245" s="73"/>
      <c r="X245" s="73"/>
    </row>
    <row r="246">
      <c r="A246" s="74">
        <v>246.0</v>
      </c>
      <c r="B246" s="74" t="s">
        <v>1568</v>
      </c>
      <c r="C246" s="74">
        <v>116.0</v>
      </c>
      <c r="D246" s="75" t="s">
        <v>1578</v>
      </c>
      <c r="E246" s="76">
        <v>45699.0</v>
      </c>
      <c r="F246" s="78" t="s">
        <v>1420</v>
      </c>
      <c r="G246" s="74"/>
      <c r="H246" s="74" t="s">
        <v>29</v>
      </c>
      <c r="I246" s="74" t="str">
        <f>VLOOKUP(D246,Sheet15!D:K,8,FALSE)</f>
        <v>#N/A</v>
      </c>
      <c r="J246" s="76">
        <f t="shared" si="1"/>
        <v>-45699</v>
      </c>
      <c r="K246" s="77"/>
      <c r="L246" s="73"/>
      <c r="M246" s="73"/>
      <c r="N246" s="73"/>
      <c r="O246" s="73"/>
      <c r="P246" s="73"/>
      <c r="Q246" s="73"/>
      <c r="R246" s="73"/>
      <c r="S246" s="73"/>
      <c r="T246" s="73"/>
      <c r="U246" s="73"/>
      <c r="V246" s="73"/>
      <c r="W246" s="73"/>
      <c r="X246" s="73"/>
    </row>
    <row r="247">
      <c r="A247" s="74">
        <v>247.0</v>
      </c>
      <c r="B247" s="74" t="s">
        <v>1568</v>
      </c>
      <c r="C247" s="74">
        <v>102.0</v>
      </c>
      <c r="D247" s="75" t="s">
        <v>1579</v>
      </c>
      <c r="E247" s="76">
        <v>45699.0</v>
      </c>
      <c r="F247" s="74" t="str">
        <f>VLOOKUP(D247,Sheet15!D:H,5,FALSE)</f>
        <v>مكتمل</v>
      </c>
      <c r="G247" s="74"/>
      <c r="H247" s="74" t="s">
        <v>29</v>
      </c>
      <c r="I247" s="74" t="str">
        <f>VLOOKUP(D247,Sheet15!D:K,8,FALSE)</f>
        <v>2025-74108</v>
      </c>
      <c r="J247" s="76">
        <f t="shared" si="1"/>
        <v>-45699</v>
      </c>
      <c r="K247" s="77"/>
      <c r="L247" s="73"/>
      <c r="M247" s="73"/>
      <c r="N247" s="73"/>
      <c r="O247" s="73"/>
      <c r="P247" s="73"/>
      <c r="Q247" s="73"/>
      <c r="R247" s="73"/>
      <c r="S247" s="73"/>
      <c r="T247" s="73"/>
      <c r="U247" s="73"/>
      <c r="V247" s="73"/>
      <c r="W247" s="73"/>
      <c r="X247" s="73"/>
    </row>
    <row r="248">
      <c r="A248" s="74">
        <v>248.0</v>
      </c>
      <c r="B248" s="74" t="s">
        <v>1568</v>
      </c>
      <c r="C248" s="74">
        <v>113.0</v>
      </c>
      <c r="D248" s="75" t="s">
        <v>1580</v>
      </c>
      <c r="E248" s="76">
        <v>45699.0</v>
      </c>
      <c r="F248" s="78" t="s">
        <v>1420</v>
      </c>
      <c r="G248" s="74"/>
      <c r="H248" s="74" t="s">
        <v>29</v>
      </c>
      <c r="I248" s="74" t="str">
        <f>VLOOKUP(D248,Sheet15!D:K,8,FALSE)</f>
        <v>#N/A</v>
      </c>
      <c r="J248" s="76">
        <f t="shared" si="1"/>
        <v>-45699</v>
      </c>
      <c r="K248" s="77"/>
      <c r="L248" s="73"/>
      <c r="M248" s="73"/>
      <c r="N248" s="73"/>
      <c r="O248" s="73"/>
      <c r="P248" s="73"/>
      <c r="Q248" s="73"/>
      <c r="R248" s="73"/>
      <c r="S248" s="73"/>
      <c r="T248" s="73"/>
      <c r="U248" s="73"/>
      <c r="V248" s="73"/>
      <c r="W248" s="73"/>
      <c r="X248" s="73"/>
    </row>
    <row r="249">
      <c r="A249" s="74">
        <v>249.0</v>
      </c>
      <c r="B249" s="74" t="s">
        <v>1568</v>
      </c>
      <c r="C249" s="74">
        <v>105.0</v>
      </c>
      <c r="D249" s="75" t="s">
        <v>1581</v>
      </c>
      <c r="E249" s="76">
        <v>45699.0</v>
      </c>
      <c r="F249" s="74" t="str">
        <f>VLOOKUP(D249,Sheet15!D:H,5,FALSE)</f>
        <v>مكتمل</v>
      </c>
      <c r="G249" s="74"/>
      <c r="H249" s="74" t="s">
        <v>29</v>
      </c>
      <c r="I249" s="74" t="str">
        <f>VLOOKUP(D249,Sheet15!D:K,8,FALSE)</f>
        <v>2025-74176</v>
      </c>
      <c r="J249" s="76">
        <f t="shared" si="1"/>
        <v>-45699</v>
      </c>
      <c r="K249" s="77"/>
      <c r="L249" s="73"/>
      <c r="M249" s="73"/>
      <c r="N249" s="73"/>
      <c r="O249" s="73"/>
      <c r="P249" s="73"/>
      <c r="Q249" s="73"/>
      <c r="R249" s="73"/>
      <c r="S249" s="73"/>
      <c r="T249" s="73"/>
      <c r="U249" s="73"/>
      <c r="V249" s="73"/>
      <c r="W249" s="73"/>
      <c r="X249" s="73"/>
    </row>
    <row r="250">
      <c r="A250" s="74">
        <v>250.0</v>
      </c>
      <c r="B250" s="74" t="s">
        <v>1568</v>
      </c>
      <c r="C250" s="74">
        <v>101.0</v>
      </c>
      <c r="D250" s="75" t="s">
        <v>1582</v>
      </c>
      <c r="E250" s="76">
        <v>45699.0</v>
      </c>
      <c r="F250" s="78" t="s">
        <v>1420</v>
      </c>
      <c r="G250" s="74"/>
      <c r="H250" s="74" t="s">
        <v>29</v>
      </c>
      <c r="I250" s="74" t="str">
        <f>VLOOKUP(D250,Sheet15!D:K,8,FALSE)</f>
        <v>#N/A</v>
      </c>
      <c r="J250" s="76">
        <f t="shared" si="1"/>
        <v>-45699</v>
      </c>
      <c r="K250" s="77"/>
      <c r="L250" s="73"/>
      <c r="M250" s="73"/>
      <c r="N250" s="73"/>
      <c r="O250" s="73"/>
      <c r="P250" s="73"/>
      <c r="Q250" s="73"/>
      <c r="R250" s="73"/>
      <c r="S250" s="73"/>
      <c r="T250" s="73"/>
      <c r="U250" s="73"/>
      <c r="V250" s="73"/>
      <c r="W250" s="73"/>
      <c r="X250" s="73"/>
    </row>
    <row r="251">
      <c r="A251" s="74">
        <v>251.0</v>
      </c>
      <c r="B251" s="74" t="s">
        <v>1568</v>
      </c>
      <c r="C251" s="74">
        <v>118.0</v>
      </c>
      <c r="D251" s="75" t="s">
        <v>1583</v>
      </c>
      <c r="E251" s="76">
        <v>45699.0</v>
      </c>
      <c r="F251" s="78" t="s">
        <v>1420</v>
      </c>
      <c r="G251" s="74"/>
      <c r="H251" s="74" t="s">
        <v>29</v>
      </c>
      <c r="I251" s="74" t="str">
        <f>VLOOKUP(D251,Sheet15!D:K,8,FALSE)</f>
        <v>#N/A</v>
      </c>
      <c r="J251" s="76">
        <f t="shared" si="1"/>
        <v>-45699</v>
      </c>
      <c r="K251" s="77"/>
      <c r="L251" s="73"/>
      <c r="M251" s="73"/>
      <c r="N251" s="73"/>
      <c r="O251" s="73"/>
      <c r="P251" s="73"/>
      <c r="Q251" s="73"/>
      <c r="R251" s="73"/>
      <c r="S251" s="73"/>
      <c r="T251" s="73"/>
      <c r="U251" s="73"/>
      <c r="V251" s="73"/>
      <c r="W251" s="73"/>
      <c r="X251" s="73"/>
    </row>
    <row r="252">
      <c r="A252" s="74">
        <v>252.0</v>
      </c>
      <c r="B252" s="74" t="s">
        <v>1568</v>
      </c>
      <c r="C252" s="74">
        <v>119.0</v>
      </c>
      <c r="D252" s="75" t="s">
        <v>1584</v>
      </c>
      <c r="E252" s="76">
        <v>45699.0</v>
      </c>
      <c r="F252" s="74" t="str">
        <f>VLOOKUP(D252,Sheet15!D:H,5,FALSE)</f>
        <v>مكتمل</v>
      </c>
      <c r="G252" s="74"/>
      <c r="H252" s="74" t="s">
        <v>29</v>
      </c>
      <c r="I252" s="74" t="str">
        <f>VLOOKUP(D252,Sheet15!D:K,8,FALSE)</f>
        <v>2025-74220</v>
      </c>
      <c r="J252" s="76">
        <f t="shared" si="1"/>
        <v>-45699</v>
      </c>
      <c r="K252" s="77"/>
      <c r="L252" s="73"/>
      <c r="M252" s="73"/>
      <c r="N252" s="73"/>
      <c r="O252" s="73"/>
      <c r="P252" s="73"/>
      <c r="Q252" s="73"/>
      <c r="R252" s="73"/>
      <c r="S252" s="73"/>
      <c r="T252" s="73"/>
      <c r="U252" s="73"/>
      <c r="V252" s="73"/>
      <c r="W252" s="73"/>
      <c r="X252" s="73"/>
    </row>
    <row r="253">
      <c r="A253" s="74">
        <v>253.0</v>
      </c>
      <c r="B253" s="74" t="s">
        <v>1568</v>
      </c>
      <c r="C253" s="74">
        <v>114.0</v>
      </c>
      <c r="D253" s="75" t="s">
        <v>1585</v>
      </c>
      <c r="E253" s="76">
        <v>45699.0</v>
      </c>
      <c r="F253" s="74" t="str">
        <f>VLOOKUP(D253,Sheet15!D:H,5,FALSE)</f>
        <v>مكتمل</v>
      </c>
      <c r="G253" s="74"/>
      <c r="H253" s="74" t="s">
        <v>29</v>
      </c>
      <c r="I253" s="74" t="str">
        <f>VLOOKUP(D253,Sheet15!D:K,8,FALSE)</f>
        <v>2025-74226</v>
      </c>
      <c r="J253" s="76">
        <f t="shared" si="1"/>
        <v>-45699</v>
      </c>
      <c r="K253" s="77"/>
      <c r="L253" s="73"/>
      <c r="M253" s="73"/>
      <c r="N253" s="73"/>
      <c r="O253" s="73"/>
      <c r="P253" s="73"/>
      <c r="Q253" s="73"/>
      <c r="R253" s="73"/>
      <c r="S253" s="73"/>
      <c r="T253" s="73"/>
      <c r="U253" s="73"/>
      <c r="V253" s="73"/>
      <c r="W253" s="73"/>
      <c r="X253" s="73"/>
    </row>
    <row r="254">
      <c r="A254" s="74">
        <v>254.0</v>
      </c>
      <c r="B254" s="74" t="s">
        <v>1568</v>
      </c>
      <c r="C254" s="74">
        <v>117.0</v>
      </c>
      <c r="D254" s="75" t="s">
        <v>1586</v>
      </c>
      <c r="E254" s="76">
        <v>45699.0</v>
      </c>
      <c r="F254" s="74" t="str">
        <f>VLOOKUP(D254,Sheet15!D:H,5,FALSE)</f>
        <v>مكتمل</v>
      </c>
      <c r="G254" s="74"/>
      <c r="H254" s="74" t="s">
        <v>29</v>
      </c>
      <c r="I254" s="74" t="str">
        <f>VLOOKUP(D254,Sheet15!D:K,8,FALSE)</f>
        <v>2025-74246</v>
      </c>
      <c r="J254" s="76">
        <f t="shared" si="1"/>
        <v>-45699</v>
      </c>
      <c r="K254" s="77" t="str">
        <f>VLOOKUP(D254,Sheet15!D:G,4,FALSE)</f>
        <v/>
      </c>
      <c r="L254" s="73"/>
      <c r="M254" s="73"/>
      <c r="N254" s="73"/>
      <c r="O254" s="73"/>
      <c r="P254" s="73"/>
      <c r="Q254" s="73"/>
      <c r="R254" s="73"/>
      <c r="S254" s="73"/>
      <c r="T254" s="73"/>
      <c r="U254" s="73"/>
      <c r="V254" s="73"/>
      <c r="W254" s="73"/>
      <c r="X254" s="73"/>
    </row>
    <row r="255">
      <c r="A255" s="74">
        <v>255.0</v>
      </c>
      <c r="B255" s="74" t="s">
        <v>1568</v>
      </c>
      <c r="C255" s="74">
        <v>112.0</v>
      </c>
      <c r="D255" s="75" t="s">
        <v>1587</v>
      </c>
      <c r="E255" s="76">
        <v>45699.0</v>
      </c>
      <c r="F255" s="78" t="s">
        <v>1420</v>
      </c>
      <c r="G255" s="74"/>
      <c r="H255" s="74" t="s">
        <v>29</v>
      </c>
      <c r="I255" s="74" t="str">
        <f>VLOOKUP(D255,Sheet15!D:K,8,FALSE)</f>
        <v>#N/A</v>
      </c>
      <c r="J255" s="76">
        <f t="shared" si="1"/>
        <v>-45699</v>
      </c>
      <c r="K255" s="77" t="str">
        <f>VLOOKUP(D255,Sheet15!D:G,4,FALSE)</f>
        <v>#N/A</v>
      </c>
      <c r="L255" s="73"/>
      <c r="M255" s="73"/>
      <c r="N255" s="73"/>
      <c r="O255" s="73"/>
      <c r="P255" s="73"/>
      <c r="Q255" s="73"/>
      <c r="R255" s="73"/>
      <c r="S255" s="73"/>
      <c r="T255" s="73"/>
      <c r="U255" s="73"/>
      <c r="V255" s="73"/>
      <c r="W255" s="73"/>
      <c r="X255" s="73"/>
    </row>
    <row r="256">
      <c r="A256" s="74">
        <v>256.0</v>
      </c>
      <c r="B256" s="74" t="s">
        <v>1568</v>
      </c>
      <c r="C256" s="74">
        <v>120.0</v>
      </c>
      <c r="D256" s="75" t="s">
        <v>1588</v>
      </c>
      <c r="E256" s="76">
        <v>45699.0</v>
      </c>
      <c r="F256" s="74" t="str">
        <f>VLOOKUP(D256,Sheet15!D:H,5,FALSE)</f>
        <v>مكتمل</v>
      </c>
      <c r="G256" s="74"/>
      <c r="H256" s="74" t="s">
        <v>29</v>
      </c>
      <c r="I256" s="74" t="str">
        <f>VLOOKUP(D256,Sheet15!D:K,8,FALSE)</f>
        <v>2025-75606</v>
      </c>
      <c r="J256" s="76">
        <f t="shared" si="1"/>
        <v>-45699</v>
      </c>
      <c r="K256" s="77" t="str">
        <f>VLOOKUP(D256,Sheet15!D:G,4,FALSE)</f>
        <v/>
      </c>
      <c r="L256" s="73"/>
      <c r="M256" s="73"/>
      <c r="N256" s="73"/>
      <c r="O256" s="73"/>
      <c r="P256" s="73"/>
      <c r="Q256" s="73"/>
      <c r="R256" s="73"/>
      <c r="S256" s="73"/>
      <c r="T256" s="73"/>
      <c r="U256" s="73"/>
      <c r="V256" s="73"/>
      <c r="W256" s="73"/>
      <c r="X256" s="73"/>
    </row>
    <row r="257">
      <c r="A257" s="74">
        <v>257.0</v>
      </c>
      <c r="B257" s="74" t="s">
        <v>1568</v>
      </c>
      <c r="C257" s="74">
        <v>106.0</v>
      </c>
      <c r="D257" s="75" t="s">
        <v>1589</v>
      </c>
      <c r="E257" s="76">
        <v>45699.0</v>
      </c>
      <c r="F257" s="78" t="s">
        <v>1420</v>
      </c>
      <c r="G257" s="74"/>
      <c r="H257" s="74" t="s">
        <v>29</v>
      </c>
      <c r="I257" s="74" t="str">
        <f>VLOOKUP(D257,Sheet15!D:K,8,FALSE)</f>
        <v>#N/A</v>
      </c>
      <c r="J257" s="76">
        <f t="shared" si="1"/>
        <v>-45699</v>
      </c>
      <c r="K257" s="77" t="str">
        <f>VLOOKUP(D257,Sheet15!D:G,4,FALSE)</f>
        <v>#N/A</v>
      </c>
      <c r="L257" s="73"/>
      <c r="M257" s="73"/>
      <c r="N257" s="73"/>
      <c r="O257" s="73"/>
      <c r="P257" s="73"/>
      <c r="Q257" s="73"/>
      <c r="R257" s="73"/>
      <c r="S257" s="73"/>
      <c r="T257" s="73"/>
      <c r="U257" s="73"/>
      <c r="V257" s="73"/>
      <c r="W257" s="73"/>
      <c r="X257" s="73"/>
    </row>
    <row r="258">
      <c r="A258" s="74">
        <v>258.0</v>
      </c>
      <c r="B258" s="74" t="s">
        <v>1568</v>
      </c>
      <c r="C258" s="74">
        <v>107.0</v>
      </c>
      <c r="D258" s="75" t="s">
        <v>1590</v>
      </c>
      <c r="E258" s="76">
        <v>45699.0</v>
      </c>
      <c r="F258" s="78" t="s">
        <v>1420</v>
      </c>
      <c r="G258" s="74"/>
      <c r="H258" s="74" t="s">
        <v>29</v>
      </c>
      <c r="I258" s="74" t="str">
        <f>VLOOKUP(D258,Sheet15!D:K,8,FALSE)</f>
        <v>#N/A</v>
      </c>
      <c r="J258" s="76">
        <f t="shared" si="1"/>
        <v>-45699</v>
      </c>
      <c r="K258" s="77" t="str">
        <f>VLOOKUP(D258,Sheet15!D:G,4,FALSE)</f>
        <v>#N/A</v>
      </c>
      <c r="L258" s="73"/>
      <c r="M258" s="73"/>
      <c r="N258" s="73"/>
      <c r="O258" s="73"/>
      <c r="P258" s="73"/>
      <c r="Q258" s="73"/>
      <c r="R258" s="73"/>
      <c r="S258" s="73"/>
      <c r="T258" s="73"/>
      <c r="U258" s="73"/>
      <c r="V258" s="73"/>
      <c r="W258" s="73"/>
      <c r="X258" s="73"/>
    </row>
    <row r="259">
      <c r="A259" s="74">
        <v>259.0</v>
      </c>
      <c r="B259" s="74" t="s">
        <v>37</v>
      </c>
      <c r="C259" s="74"/>
      <c r="D259" s="75" t="s">
        <v>1591</v>
      </c>
      <c r="E259" s="76">
        <v>45700.0</v>
      </c>
      <c r="F259" s="78" t="s">
        <v>1420</v>
      </c>
      <c r="G259" s="74"/>
      <c r="H259" s="74"/>
      <c r="I259" s="74" t="str">
        <f>VLOOKUP(D259,Sheet15!D:K,8,FALSE)</f>
        <v>#N/A</v>
      </c>
      <c r="J259" s="76">
        <f t="shared" si="1"/>
        <v>-45700</v>
      </c>
      <c r="K259" s="77" t="str">
        <f>VLOOKUP(D259,Sheet15!D:G,4,FALSE)</f>
        <v>#N/A</v>
      </c>
      <c r="L259" s="73"/>
      <c r="M259" s="73"/>
      <c r="N259" s="73"/>
      <c r="O259" s="73"/>
      <c r="P259" s="73"/>
      <c r="Q259" s="73"/>
      <c r="R259" s="73"/>
      <c r="S259" s="73"/>
      <c r="T259" s="73"/>
      <c r="U259" s="73"/>
      <c r="V259" s="73"/>
      <c r="W259" s="73"/>
      <c r="X259" s="73"/>
    </row>
    <row r="260">
      <c r="A260" s="74">
        <v>263.0</v>
      </c>
      <c r="B260" s="74" t="s">
        <v>37</v>
      </c>
      <c r="C260" s="74"/>
      <c r="D260" s="75" t="s">
        <v>1592</v>
      </c>
      <c r="E260" s="76">
        <v>45700.0</v>
      </c>
      <c r="F260" s="74" t="str">
        <f>VLOOKUP(D260,Sheet15!D:H,5,FALSE)</f>
        <v>مكتمل</v>
      </c>
      <c r="G260" s="74"/>
      <c r="H260" s="74" t="s">
        <v>29</v>
      </c>
      <c r="I260" s="74" t="str">
        <f>VLOOKUP(D260,Sheet15!D:K,8,FALSE)</f>
        <v>2025-84527</v>
      </c>
      <c r="J260" s="76">
        <f t="shared" si="1"/>
        <v>-45700</v>
      </c>
      <c r="K260" s="77" t="str">
        <f>VLOOKUP(D260,Sheet15!D:G,4,FALSE)</f>
        <v/>
      </c>
      <c r="L260" s="73"/>
      <c r="M260" s="73"/>
      <c r="N260" s="73"/>
      <c r="O260" s="73"/>
      <c r="P260" s="73"/>
      <c r="Q260" s="73"/>
      <c r="R260" s="73"/>
      <c r="S260" s="73"/>
      <c r="T260" s="73"/>
      <c r="U260" s="73"/>
      <c r="V260" s="73"/>
      <c r="W260" s="73"/>
      <c r="X260" s="73"/>
    </row>
    <row r="261">
      <c r="A261" s="74">
        <v>265.0</v>
      </c>
      <c r="B261" s="74" t="s">
        <v>37</v>
      </c>
      <c r="C261" s="74"/>
      <c r="D261" s="75" t="s">
        <v>1593</v>
      </c>
      <c r="E261" s="76">
        <v>45700.0</v>
      </c>
      <c r="F261" s="74" t="str">
        <f>VLOOKUP(D261,Sheet15!D:H,5,FALSE)</f>
        <v>مكتمل</v>
      </c>
      <c r="G261" s="74"/>
      <c r="H261" s="74" t="s">
        <v>29</v>
      </c>
      <c r="I261" s="74" t="str">
        <f>VLOOKUP(D261,Sheet15!D:K,8,FALSE)</f>
        <v>2025-84561</v>
      </c>
      <c r="J261" s="76">
        <f t="shared" si="1"/>
        <v>-45700</v>
      </c>
      <c r="K261" s="77" t="str">
        <f>VLOOKUP(D261,Sheet15!D:G,4,FALSE)</f>
        <v/>
      </c>
      <c r="L261" s="73"/>
      <c r="M261" s="73"/>
      <c r="N261" s="73"/>
      <c r="O261" s="73"/>
      <c r="P261" s="73"/>
      <c r="Q261" s="73"/>
      <c r="R261" s="73"/>
      <c r="S261" s="73"/>
      <c r="T261" s="73"/>
      <c r="U261" s="73"/>
      <c r="V261" s="73"/>
      <c r="W261" s="73"/>
      <c r="X261" s="73"/>
    </row>
    <row r="262">
      <c r="A262" s="74">
        <v>266.0</v>
      </c>
      <c r="B262" s="74" t="s">
        <v>37</v>
      </c>
      <c r="C262" s="74"/>
      <c r="D262" s="75" t="s">
        <v>1594</v>
      </c>
      <c r="E262" s="76">
        <v>45700.0</v>
      </c>
      <c r="F262" s="74" t="str">
        <f>VLOOKUP(D262,Sheet15!D:H,5,FALSE)</f>
        <v>مكتمل</v>
      </c>
      <c r="G262" s="74"/>
      <c r="H262" s="74" t="s">
        <v>29</v>
      </c>
      <c r="I262" s="74" t="str">
        <f>VLOOKUP(D262,Sheet15!D:K,8,FALSE)</f>
        <v>2025-86054</v>
      </c>
      <c r="J262" s="76">
        <f t="shared" si="1"/>
        <v>-45700</v>
      </c>
      <c r="K262" s="77" t="str">
        <f>VLOOKUP(D262,Sheet15!D:G,4,FALSE)</f>
        <v/>
      </c>
      <c r="L262" s="73"/>
      <c r="M262" s="73"/>
      <c r="N262" s="73"/>
      <c r="O262" s="73"/>
      <c r="P262" s="73"/>
      <c r="Q262" s="73"/>
      <c r="R262" s="73"/>
      <c r="S262" s="73"/>
      <c r="T262" s="73"/>
      <c r="U262" s="73"/>
      <c r="V262" s="73"/>
      <c r="W262" s="73"/>
      <c r="X262" s="73"/>
    </row>
    <row r="263">
      <c r="A263" s="74">
        <v>269.0</v>
      </c>
      <c r="B263" s="74" t="s">
        <v>37</v>
      </c>
      <c r="C263" s="74"/>
      <c r="D263" s="75" t="s">
        <v>1595</v>
      </c>
      <c r="E263" s="76">
        <v>45700.0</v>
      </c>
      <c r="F263" s="74" t="str">
        <f>VLOOKUP(D263,Sheet15!D:H,5,FALSE)</f>
        <v>مكتمل</v>
      </c>
      <c r="G263" s="74"/>
      <c r="H263" s="74" t="s">
        <v>29</v>
      </c>
      <c r="I263" s="74" t="str">
        <f>VLOOKUP(D263,Sheet15!D:K,8,FALSE)</f>
        <v>2025-84600</v>
      </c>
      <c r="J263" s="76">
        <f t="shared" si="1"/>
        <v>-45700</v>
      </c>
      <c r="K263" s="77" t="str">
        <f>VLOOKUP(D263,Sheet15!D:G,4,FALSE)</f>
        <v/>
      </c>
      <c r="L263" s="73"/>
      <c r="M263" s="73"/>
      <c r="N263" s="73"/>
      <c r="O263" s="73"/>
      <c r="P263" s="73"/>
      <c r="Q263" s="73"/>
      <c r="R263" s="73"/>
      <c r="S263" s="73"/>
      <c r="T263" s="73"/>
      <c r="U263" s="73"/>
      <c r="V263" s="73"/>
      <c r="W263" s="73"/>
      <c r="X263" s="73"/>
    </row>
    <row r="264">
      <c r="A264" s="74">
        <v>270.0</v>
      </c>
      <c r="B264" s="74" t="s">
        <v>37</v>
      </c>
      <c r="C264" s="74"/>
      <c r="D264" s="75" t="s">
        <v>1596</v>
      </c>
      <c r="E264" s="76">
        <v>45700.0</v>
      </c>
      <c r="F264" s="74" t="str">
        <f>VLOOKUP(D264,Sheet15!D:H,5,FALSE)</f>
        <v>مكتمل</v>
      </c>
      <c r="G264" s="74"/>
      <c r="H264" s="74" t="s">
        <v>29</v>
      </c>
      <c r="I264" s="74" t="str">
        <f>VLOOKUP(D264,Sheet15!D:K,8,FALSE)</f>
        <v>2025-84613</v>
      </c>
      <c r="J264" s="76">
        <f t="shared" si="1"/>
        <v>-45700</v>
      </c>
      <c r="K264" s="77" t="str">
        <f>VLOOKUP(D264,Sheet15!D:G,4,FALSE)</f>
        <v/>
      </c>
      <c r="L264" s="73"/>
      <c r="M264" s="73"/>
      <c r="N264" s="73"/>
      <c r="O264" s="73"/>
      <c r="P264" s="73"/>
      <c r="Q264" s="73"/>
      <c r="R264" s="73"/>
      <c r="S264" s="73"/>
      <c r="T264" s="73"/>
      <c r="U264" s="73"/>
      <c r="V264" s="73"/>
      <c r="W264" s="73"/>
      <c r="X264" s="73"/>
    </row>
    <row r="265">
      <c r="A265" s="74">
        <v>271.0</v>
      </c>
      <c r="B265" s="74" t="s">
        <v>37</v>
      </c>
      <c r="C265" s="74"/>
      <c r="D265" s="75" t="s">
        <v>1597</v>
      </c>
      <c r="E265" s="76">
        <v>45700.0</v>
      </c>
      <c r="F265" s="74" t="str">
        <f>VLOOKUP(D265,Sheet15!D:H,5,FALSE)</f>
        <v>مكتمل</v>
      </c>
      <c r="G265" s="74"/>
      <c r="H265" s="74" t="s">
        <v>29</v>
      </c>
      <c r="I265" s="74" t="str">
        <f>VLOOKUP(D265,Sheet15!D:K,8,FALSE)</f>
        <v>2025-84636</v>
      </c>
      <c r="J265" s="76">
        <f t="shared" si="1"/>
        <v>-45700</v>
      </c>
      <c r="K265" s="77" t="str">
        <f>VLOOKUP(D265,Sheet15!D:G,4,FALSE)</f>
        <v/>
      </c>
      <c r="L265" s="73"/>
      <c r="M265" s="73"/>
      <c r="N265" s="73"/>
      <c r="O265" s="73"/>
      <c r="P265" s="73"/>
      <c r="Q265" s="73"/>
      <c r="R265" s="73"/>
      <c r="S265" s="73"/>
      <c r="T265" s="73"/>
      <c r="U265" s="73"/>
      <c r="V265" s="73"/>
      <c r="W265" s="73"/>
      <c r="X265" s="73"/>
    </row>
    <row r="266">
      <c r="A266" s="74">
        <v>272.0</v>
      </c>
      <c r="B266" s="74" t="s">
        <v>37</v>
      </c>
      <c r="C266" s="74"/>
      <c r="D266" s="75" t="s">
        <v>1598</v>
      </c>
      <c r="E266" s="76">
        <v>45700.0</v>
      </c>
      <c r="F266" s="74" t="str">
        <f>VLOOKUP(D266,Sheet15!D:H,5,FALSE)</f>
        <v>مكتمل</v>
      </c>
      <c r="G266" s="74"/>
      <c r="H266" s="74" t="s">
        <v>29</v>
      </c>
      <c r="I266" s="74" t="str">
        <f>VLOOKUP(D266,Sheet15!D:K,8,FALSE)</f>
        <v>2025-84644</v>
      </c>
      <c r="J266" s="76">
        <f t="shared" si="1"/>
        <v>-45700</v>
      </c>
      <c r="K266" s="77" t="str">
        <f>VLOOKUP(D266,Sheet15!D:G,4,FALSE)</f>
        <v/>
      </c>
      <c r="L266" s="73"/>
      <c r="M266" s="73"/>
      <c r="N266" s="73"/>
      <c r="O266" s="73"/>
      <c r="P266" s="73"/>
      <c r="Q266" s="73"/>
      <c r="R266" s="73"/>
      <c r="S266" s="73"/>
      <c r="T266" s="73"/>
      <c r="U266" s="73"/>
      <c r="V266" s="73"/>
      <c r="W266" s="73"/>
      <c r="X266" s="73"/>
    </row>
    <row r="267">
      <c r="A267" s="74">
        <v>273.0</v>
      </c>
      <c r="B267" s="74" t="s">
        <v>37</v>
      </c>
      <c r="C267" s="74"/>
      <c r="D267" s="75" t="s">
        <v>1599</v>
      </c>
      <c r="E267" s="76">
        <v>45700.0</v>
      </c>
      <c r="F267" s="74" t="str">
        <f>VLOOKUP(D267,Sheet15!D:H,5,FALSE)</f>
        <v>مكتمل</v>
      </c>
      <c r="G267" s="74"/>
      <c r="H267" s="74" t="s">
        <v>29</v>
      </c>
      <c r="I267" s="74" t="str">
        <f>VLOOKUP(D267,Sheet15!D:K,8,FALSE)</f>
        <v>2025-84650</v>
      </c>
      <c r="J267" s="76">
        <f t="shared" si="1"/>
        <v>-45700</v>
      </c>
      <c r="K267" s="77" t="str">
        <f>VLOOKUP(D267,Sheet15!D:G,4,FALSE)</f>
        <v/>
      </c>
      <c r="L267" s="73"/>
      <c r="M267" s="73"/>
      <c r="N267" s="73"/>
      <c r="O267" s="73"/>
      <c r="P267" s="73"/>
      <c r="Q267" s="73"/>
      <c r="R267" s="73"/>
      <c r="S267" s="73"/>
      <c r="T267" s="73"/>
      <c r="U267" s="73"/>
      <c r="V267" s="73"/>
      <c r="W267" s="73"/>
      <c r="X267" s="73"/>
    </row>
    <row r="268">
      <c r="A268" s="74">
        <v>274.0</v>
      </c>
      <c r="B268" s="74" t="s">
        <v>37</v>
      </c>
      <c r="C268" s="74"/>
      <c r="D268" s="75" t="s">
        <v>1600</v>
      </c>
      <c r="E268" s="76">
        <v>45700.0</v>
      </c>
      <c r="F268" s="74" t="str">
        <f>VLOOKUP(D268,Sheet15!D:H,5,FALSE)</f>
        <v>مكتمل</v>
      </c>
      <c r="G268" s="74"/>
      <c r="H268" s="74" t="s">
        <v>29</v>
      </c>
      <c r="I268" s="74" t="str">
        <f>VLOOKUP(D268,Sheet15!D:K,8,FALSE)</f>
        <v>2025-84667</v>
      </c>
      <c r="J268" s="76">
        <f t="shared" si="1"/>
        <v>-45700</v>
      </c>
      <c r="K268" s="77" t="str">
        <f>VLOOKUP(D268,Sheet15!D:G,4,FALSE)</f>
        <v/>
      </c>
      <c r="L268" s="73"/>
      <c r="M268" s="73"/>
      <c r="N268" s="73"/>
      <c r="O268" s="73"/>
      <c r="P268" s="73"/>
      <c r="Q268" s="73"/>
      <c r="R268" s="73"/>
      <c r="S268" s="73"/>
      <c r="T268" s="73"/>
      <c r="U268" s="73"/>
      <c r="V268" s="73"/>
      <c r="W268" s="73"/>
      <c r="X268" s="73"/>
    </row>
    <row r="269">
      <c r="A269" s="74">
        <v>275.0</v>
      </c>
      <c r="B269" s="74" t="s">
        <v>37</v>
      </c>
      <c r="C269" s="74"/>
      <c r="D269" s="75" t="s">
        <v>1601</v>
      </c>
      <c r="E269" s="76">
        <v>45700.0</v>
      </c>
      <c r="F269" s="74" t="str">
        <f>VLOOKUP(D269,Sheet15!D:H,5,FALSE)</f>
        <v>مكتمل</v>
      </c>
      <c r="G269" s="74"/>
      <c r="H269" s="74" t="s">
        <v>29</v>
      </c>
      <c r="I269" s="74" t="str">
        <f>VLOOKUP(D269,Sheet15!D:K,8,FALSE)</f>
        <v>2025-84672</v>
      </c>
      <c r="J269" s="76">
        <f t="shared" si="1"/>
        <v>-45700</v>
      </c>
      <c r="K269" s="77" t="str">
        <f>VLOOKUP(D269,Sheet15!D:G,4,FALSE)</f>
        <v/>
      </c>
      <c r="L269" s="73"/>
      <c r="M269" s="73"/>
      <c r="N269" s="73"/>
      <c r="O269" s="73"/>
      <c r="P269" s="73"/>
      <c r="Q269" s="73"/>
      <c r="R269" s="73"/>
      <c r="S269" s="73"/>
      <c r="T269" s="73"/>
      <c r="U269" s="73"/>
      <c r="V269" s="73"/>
      <c r="W269" s="73"/>
      <c r="X269" s="73"/>
    </row>
    <row r="270">
      <c r="A270" s="74">
        <v>276.0</v>
      </c>
      <c r="B270" s="74" t="s">
        <v>37</v>
      </c>
      <c r="C270" s="74"/>
      <c r="D270" s="75" t="s">
        <v>1602</v>
      </c>
      <c r="E270" s="76">
        <v>45700.0</v>
      </c>
      <c r="F270" s="74" t="str">
        <f>VLOOKUP(D270,Sheet15!D:H,5,FALSE)</f>
        <v>مكتمل</v>
      </c>
      <c r="G270" s="74"/>
      <c r="H270" s="74" t="s">
        <v>29</v>
      </c>
      <c r="I270" s="74" t="str">
        <f>VLOOKUP(D270,Sheet15!D:K,8,FALSE)</f>
        <v>2025-84682</v>
      </c>
      <c r="J270" s="76">
        <f t="shared" si="1"/>
        <v>-45700</v>
      </c>
      <c r="K270" s="77" t="str">
        <f>VLOOKUP(D270,Sheet15!D:G,4,FALSE)</f>
        <v/>
      </c>
      <c r="L270" s="73"/>
      <c r="M270" s="73"/>
      <c r="N270" s="73"/>
      <c r="O270" s="73"/>
      <c r="P270" s="73"/>
      <c r="Q270" s="73"/>
      <c r="R270" s="73"/>
      <c r="S270" s="73"/>
      <c r="T270" s="73"/>
      <c r="U270" s="73"/>
      <c r="V270" s="73"/>
      <c r="W270" s="73"/>
      <c r="X270" s="73"/>
    </row>
    <row r="271">
      <c r="A271" s="74">
        <v>277.0</v>
      </c>
      <c r="B271" s="74" t="s">
        <v>37</v>
      </c>
      <c r="C271" s="74"/>
      <c r="D271" s="75" t="s">
        <v>1603</v>
      </c>
      <c r="E271" s="76">
        <v>45700.0</v>
      </c>
      <c r="F271" s="74" t="str">
        <f>VLOOKUP(D271,Sheet15!D:H,5,FALSE)</f>
        <v>مكتمل</v>
      </c>
      <c r="G271" s="74"/>
      <c r="H271" s="74" t="s">
        <v>29</v>
      </c>
      <c r="I271" s="74" t="str">
        <f>VLOOKUP(D271,Sheet15!D:K,8,FALSE)</f>
        <v>2025-84696</v>
      </c>
      <c r="J271" s="76">
        <f t="shared" si="1"/>
        <v>-45700</v>
      </c>
      <c r="K271" s="77" t="str">
        <f>VLOOKUP(D271,Sheet15!D:G,4,FALSE)</f>
        <v/>
      </c>
      <c r="L271" s="73"/>
      <c r="M271" s="73"/>
      <c r="N271" s="73"/>
      <c r="O271" s="73"/>
      <c r="P271" s="73"/>
      <c r="Q271" s="73"/>
      <c r="R271" s="73"/>
      <c r="S271" s="73"/>
      <c r="T271" s="73"/>
      <c r="U271" s="73"/>
      <c r="V271" s="73"/>
      <c r="W271" s="73"/>
      <c r="X271" s="73"/>
    </row>
    <row r="272">
      <c r="A272" s="74">
        <v>278.0</v>
      </c>
      <c r="B272" s="74" t="s">
        <v>37</v>
      </c>
      <c r="C272" s="74"/>
      <c r="D272" s="75" t="s">
        <v>1604</v>
      </c>
      <c r="E272" s="76">
        <v>45700.0</v>
      </c>
      <c r="F272" s="74" t="str">
        <f>VLOOKUP(D272,Sheet15!D:H,5,FALSE)</f>
        <v>مكتمل</v>
      </c>
      <c r="G272" s="74"/>
      <c r="H272" s="74" t="s">
        <v>29</v>
      </c>
      <c r="I272" s="74" t="str">
        <f>VLOOKUP(D272,Sheet15!D:K,8,FALSE)</f>
        <v>2025-84709</v>
      </c>
      <c r="J272" s="76">
        <f t="shared" si="1"/>
        <v>-45700</v>
      </c>
      <c r="K272" s="77" t="str">
        <f>VLOOKUP(D272,Sheet15!D:G,4,FALSE)</f>
        <v/>
      </c>
      <c r="L272" s="73"/>
      <c r="M272" s="73"/>
      <c r="N272" s="73"/>
      <c r="O272" s="73"/>
      <c r="P272" s="73"/>
      <c r="Q272" s="73"/>
      <c r="R272" s="73"/>
      <c r="S272" s="73"/>
      <c r="T272" s="73"/>
      <c r="U272" s="73"/>
      <c r="V272" s="73"/>
      <c r="W272" s="73"/>
      <c r="X272" s="73"/>
    </row>
    <row r="273">
      <c r="A273" s="74">
        <v>279.0</v>
      </c>
      <c r="B273" s="74" t="s">
        <v>37</v>
      </c>
      <c r="C273" s="74"/>
      <c r="D273" s="75" t="s">
        <v>1605</v>
      </c>
      <c r="E273" s="76">
        <v>45700.0</v>
      </c>
      <c r="F273" s="74" t="str">
        <f>VLOOKUP(D273,Sheet15!D:H,5,FALSE)</f>
        <v>مكتمل</v>
      </c>
      <c r="G273" s="74"/>
      <c r="H273" s="74" t="s">
        <v>29</v>
      </c>
      <c r="I273" s="74" t="str">
        <f>VLOOKUP(D273,Sheet15!D:K,8,FALSE)</f>
        <v>2025-84722</v>
      </c>
      <c r="J273" s="76">
        <f t="shared" si="1"/>
        <v>-45700</v>
      </c>
      <c r="K273" s="77" t="str">
        <f>VLOOKUP(D273,Sheet15!D:G,4,FALSE)</f>
        <v/>
      </c>
      <c r="L273" s="73"/>
      <c r="M273" s="73"/>
      <c r="N273" s="73"/>
      <c r="O273" s="73"/>
      <c r="P273" s="73"/>
      <c r="Q273" s="73"/>
      <c r="R273" s="73"/>
      <c r="S273" s="73"/>
      <c r="T273" s="73"/>
      <c r="U273" s="73"/>
      <c r="V273" s="73"/>
      <c r="W273" s="73"/>
      <c r="X273" s="73"/>
    </row>
    <row r="274">
      <c r="A274" s="74">
        <v>280.0</v>
      </c>
      <c r="B274" s="74" t="s">
        <v>37</v>
      </c>
      <c r="C274" s="74"/>
      <c r="D274" s="75" t="s">
        <v>1606</v>
      </c>
      <c r="E274" s="76">
        <v>45700.0</v>
      </c>
      <c r="F274" s="74" t="str">
        <f>VLOOKUP(D274,Sheet15!D:H,5,FALSE)</f>
        <v>مكتمل</v>
      </c>
      <c r="G274" s="74"/>
      <c r="H274" s="74" t="s">
        <v>29</v>
      </c>
      <c r="I274" s="74" t="str">
        <f>VLOOKUP(D274,Sheet15!D:K,8,FALSE)</f>
        <v>2025-84730</v>
      </c>
      <c r="J274" s="76">
        <f t="shared" si="1"/>
        <v>-45700</v>
      </c>
      <c r="K274" s="77" t="str">
        <f>VLOOKUP(D274,Sheet15!D:G,4,FALSE)</f>
        <v/>
      </c>
      <c r="L274" s="73"/>
      <c r="M274" s="73"/>
      <c r="N274" s="73"/>
      <c r="O274" s="73"/>
      <c r="P274" s="73"/>
      <c r="Q274" s="73"/>
      <c r="R274" s="73"/>
      <c r="S274" s="73"/>
      <c r="T274" s="73"/>
      <c r="U274" s="73"/>
      <c r="V274" s="73"/>
      <c r="W274" s="73"/>
      <c r="X274" s="73"/>
    </row>
    <row r="275">
      <c r="A275" s="74">
        <v>281.0</v>
      </c>
      <c r="B275" s="74" t="s">
        <v>37</v>
      </c>
      <c r="C275" s="74"/>
      <c r="D275" s="75" t="s">
        <v>1607</v>
      </c>
      <c r="E275" s="76">
        <v>45700.0</v>
      </c>
      <c r="F275" s="74" t="str">
        <f>VLOOKUP(D275,Sheet15!D:H,5,FALSE)</f>
        <v>مكتمل</v>
      </c>
      <c r="G275" s="74"/>
      <c r="H275" s="74" t="s">
        <v>29</v>
      </c>
      <c r="I275" s="74" t="str">
        <f>VLOOKUP(D275,Sheet15!D:K,8,FALSE)</f>
        <v>2025-84738</v>
      </c>
      <c r="J275" s="76">
        <f t="shared" si="1"/>
        <v>-45700</v>
      </c>
      <c r="K275" s="77" t="str">
        <f>VLOOKUP(D275,Sheet15!D:G,4,FALSE)</f>
        <v/>
      </c>
      <c r="L275" s="73"/>
      <c r="M275" s="73"/>
      <c r="N275" s="73"/>
      <c r="O275" s="73"/>
      <c r="P275" s="73"/>
      <c r="Q275" s="73"/>
      <c r="R275" s="73"/>
      <c r="S275" s="73"/>
      <c r="T275" s="73"/>
      <c r="U275" s="73"/>
      <c r="V275" s="73"/>
      <c r="W275" s="73"/>
      <c r="X275" s="73"/>
    </row>
    <row r="276">
      <c r="A276" s="74">
        <v>282.0</v>
      </c>
      <c r="B276" s="74" t="s">
        <v>37</v>
      </c>
      <c r="C276" s="74"/>
      <c r="D276" s="75" t="s">
        <v>1608</v>
      </c>
      <c r="E276" s="76">
        <v>45700.0</v>
      </c>
      <c r="F276" s="74" t="str">
        <f>VLOOKUP(D276,Sheet15!D:H,5,FALSE)</f>
        <v>مكتمل</v>
      </c>
      <c r="G276" s="74"/>
      <c r="H276" s="74" t="s">
        <v>29</v>
      </c>
      <c r="I276" s="74" t="str">
        <f>VLOOKUP(D276,Sheet15!D:K,8,FALSE)</f>
        <v>2025-84751</v>
      </c>
      <c r="J276" s="76">
        <f t="shared" si="1"/>
        <v>-45700</v>
      </c>
      <c r="K276" s="77" t="str">
        <f>VLOOKUP(D276,Sheet15!D:G,4,FALSE)</f>
        <v/>
      </c>
      <c r="L276" s="73"/>
      <c r="M276" s="73"/>
      <c r="N276" s="73"/>
      <c r="O276" s="73"/>
      <c r="P276" s="73"/>
      <c r="Q276" s="73"/>
      <c r="R276" s="73"/>
      <c r="S276" s="73"/>
      <c r="T276" s="73"/>
      <c r="U276" s="73"/>
      <c r="V276" s="73"/>
      <c r="W276" s="73"/>
      <c r="X276" s="73"/>
    </row>
    <row r="277">
      <c r="A277" s="74">
        <v>283.0</v>
      </c>
      <c r="B277" s="74" t="s">
        <v>37</v>
      </c>
      <c r="C277" s="74"/>
      <c r="D277" s="75" t="s">
        <v>1609</v>
      </c>
      <c r="E277" s="76">
        <v>45700.0</v>
      </c>
      <c r="F277" s="74" t="str">
        <f>VLOOKUP(D277,Sheet15!D:H,5,FALSE)</f>
        <v>مكتمل</v>
      </c>
      <c r="G277" s="74"/>
      <c r="H277" s="74" t="s">
        <v>29</v>
      </c>
      <c r="I277" s="74" t="str">
        <f>VLOOKUP(D277,Sheet15!D:K,8,FALSE)</f>
        <v>2025-84822</v>
      </c>
      <c r="J277" s="76">
        <f t="shared" si="1"/>
        <v>-45700</v>
      </c>
      <c r="K277" s="77" t="str">
        <f>VLOOKUP(D277,Sheet15!D:G,4,FALSE)</f>
        <v/>
      </c>
      <c r="L277" s="73"/>
      <c r="M277" s="73"/>
      <c r="N277" s="73"/>
      <c r="O277" s="73"/>
      <c r="P277" s="73"/>
      <c r="Q277" s="73"/>
      <c r="R277" s="73"/>
      <c r="S277" s="73"/>
      <c r="T277" s="73"/>
      <c r="U277" s="73"/>
      <c r="V277" s="73"/>
      <c r="W277" s="73"/>
      <c r="X277" s="73"/>
    </row>
    <row r="278">
      <c r="A278" s="74">
        <v>284.0</v>
      </c>
      <c r="B278" s="74" t="s">
        <v>37</v>
      </c>
      <c r="C278" s="74"/>
      <c r="D278" s="75" t="s">
        <v>1610</v>
      </c>
      <c r="E278" s="76">
        <v>45700.0</v>
      </c>
      <c r="F278" s="74" t="str">
        <f>VLOOKUP(D278,Sheet15!D:H,5,FALSE)</f>
        <v>مكتمل</v>
      </c>
      <c r="G278" s="74"/>
      <c r="H278" s="74" t="s">
        <v>29</v>
      </c>
      <c r="I278" s="74" t="str">
        <f>VLOOKUP(D278,Sheet15!D:K,8,FALSE)</f>
        <v>2025-84830</v>
      </c>
      <c r="J278" s="76">
        <f t="shared" si="1"/>
        <v>-45700</v>
      </c>
      <c r="K278" s="77" t="str">
        <f>VLOOKUP(D278,Sheet15!D:G,4,FALSE)</f>
        <v/>
      </c>
      <c r="L278" s="73"/>
      <c r="M278" s="73"/>
      <c r="N278" s="73"/>
      <c r="O278" s="73"/>
      <c r="P278" s="73"/>
      <c r="Q278" s="73"/>
      <c r="R278" s="73"/>
      <c r="S278" s="73"/>
      <c r="T278" s="73"/>
      <c r="U278" s="73"/>
      <c r="V278" s="73"/>
      <c r="W278" s="73"/>
      <c r="X278" s="73"/>
    </row>
    <row r="279">
      <c r="A279" s="74">
        <v>285.0</v>
      </c>
      <c r="B279" s="74" t="s">
        <v>37</v>
      </c>
      <c r="C279" s="74"/>
      <c r="D279" s="75" t="s">
        <v>1611</v>
      </c>
      <c r="E279" s="76">
        <v>45700.0</v>
      </c>
      <c r="F279" s="74" t="str">
        <f>VLOOKUP(D279,Sheet15!D:H,5,FALSE)</f>
        <v>مكتمل</v>
      </c>
      <c r="G279" s="74"/>
      <c r="H279" s="74" t="s">
        <v>29</v>
      </c>
      <c r="I279" s="74" t="str">
        <f>VLOOKUP(D279,Sheet15!D:K,8,FALSE)</f>
        <v>2025-84836</v>
      </c>
      <c r="J279" s="76">
        <f t="shared" si="1"/>
        <v>-45700</v>
      </c>
      <c r="K279" s="77" t="str">
        <f>VLOOKUP(D279,Sheet15!D:G,4,FALSE)</f>
        <v/>
      </c>
      <c r="L279" s="73"/>
      <c r="M279" s="73"/>
      <c r="N279" s="73"/>
      <c r="O279" s="73"/>
      <c r="P279" s="73"/>
      <c r="Q279" s="73"/>
      <c r="R279" s="73"/>
      <c r="S279" s="73"/>
      <c r="T279" s="73"/>
      <c r="U279" s="73"/>
      <c r="V279" s="73"/>
      <c r="W279" s="73"/>
      <c r="X279" s="73"/>
    </row>
    <row r="280">
      <c r="A280" s="74">
        <v>286.0</v>
      </c>
      <c r="B280" s="74" t="s">
        <v>1612</v>
      </c>
      <c r="C280" s="74">
        <v>15436.0</v>
      </c>
      <c r="D280" s="79" t="s">
        <v>1613</v>
      </c>
      <c r="E280" s="76">
        <v>45704.0</v>
      </c>
      <c r="F280" s="78" t="s">
        <v>1420</v>
      </c>
      <c r="G280" s="74"/>
      <c r="H280" s="74" t="s">
        <v>29</v>
      </c>
      <c r="I280" s="74" t="str">
        <f>VLOOKUP(D280,Sheet15!D:K,8,FALSE)</f>
        <v>2025-104929</v>
      </c>
      <c r="J280" s="76">
        <f t="shared" si="1"/>
        <v>-45704</v>
      </c>
      <c r="K280" s="77" t="str">
        <f>VLOOKUP(D280,Sheet15!D:G,4,FALSE)</f>
        <v/>
      </c>
      <c r="L280" s="73"/>
      <c r="M280" s="73"/>
      <c r="N280" s="73"/>
      <c r="O280" s="73"/>
      <c r="P280" s="73"/>
      <c r="Q280" s="73"/>
      <c r="R280" s="73"/>
      <c r="S280" s="73"/>
      <c r="T280" s="73"/>
      <c r="U280" s="73"/>
      <c r="V280" s="73"/>
      <c r="W280" s="73"/>
      <c r="X280" s="73"/>
    </row>
    <row r="281">
      <c r="A281" s="74">
        <v>287.0</v>
      </c>
      <c r="B281" s="74" t="s">
        <v>1612</v>
      </c>
      <c r="C281" s="74">
        <v>15437.0</v>
      </c>
      <c r="D281" s="79" t="s">
        <v>1614</v>
      </c>
      <c r="E281" s="76">
        <v>45704.0</v>
      </c>
      <c r="F281" s="74" t="str">
        <f>VLOOKUP(D281,Sheet15!D:H,5,FALSE)</f>
        <v>مكتمل</v>
      </c>
      <c r="G281" s="74"/>
      <c r="H281" s="74" t="s">
        <v>29</v>
      </c>
      <c r="I281" s="74" t="str">
        <f>VLOOKUP(D281,Sheet15!D:K,8,FALSE)</f>
        <v>2025-105199</v>
      </c>
      <c r="J281" s="76">
        <f t="shared" si="1"/>
        <v>-45704</v>
      </c>
      <c r="K281" s="77" t="str">
        <f>VLOOKUP(D281,Sheet15!D:G,4,FALSE)</f>
        <v/>
      </c>
      <c r="L281" s="73"/>
      <c r="M281" s="73"/>
      <c r="N281" s="73"/>
      <c r="O281" s="73"/>
      <c r="P281" s="73"/>
      <c r="Q281" s="73"/>
      <c r="R281" s="73"/>
      <c r="S281" s="73"/>
      <c r="T281" s="73"/>
      <c r="U281" s="73"/>
      <c r="V281" s="73"/>
      <c r="W281" s="73"/>
      <c r="X281" s="73"/>
    </row>
    <row r="282">
      <c r="A282" s="74">
        <v>288.0</v>
      </c>
      <c r="B282" s="74" t="s">
        <v>1612</v>
      </c>
      <c r="C282" s="74">
        <v>15439.0</v>
      </c>
      <c r="D282" s="79" t="s">
        <v>1615</v>
      </c>
      <c r="E282" s="76">
        <v>45704.0</v>
      </c>
      <c r="F282" s="74" t="str">
        <f>VLOOKUP(D282,Sheet15!D:H,5,FALSE)</f>
        <v>مكتمل</v>
      </c>
      <c r="G282" s="74"/>
      <c r="H282" s="74" t="s">
        <v>29</v>
      </c>
      <c r="I282" s="74" t="str">
        <f>VLOOKUP(D282,Sheet15!D:K,8,FALSE)</f>
        <v>2025-105224</v>
      </c>
      <c r="J282" s="76">
        <f t="shared" si="1"/>
        <v>-45704</v>
      </c>
      <c r="K282" s="77" t="str">
        <f>VLOOKUP(D282,Sheet15!D:G,4,FALSE)</f>
        <v/>
      </c>
      <c r="L282" s="73"/>
      <c r="M282" s="73"/>
      <c r="N282" s="73"/>
      <c r="O282" s="73"/>
      <c r="P282" s="73"/>
      <c r="Q282" s="73"/>
      <c r="R282" s="73"/>
      <c r="S282" s="73"/>
      <c r="T282" s="73"/>
      <c r="U282" s="73"/>
      <c r="V282" s="73"/>
      <c r="W282" s="73"/>
      <c r="X282" s="73"/>
    </row>
    <row r="283">
      <c r="A283" s="74">
        <v>289.0</v>
      </c>
      <c r="B283" s="74" t="s">
        <v>1612</v>
      </c>
      <c r="C283" s="74">
        <v>15440.0</v>
      </c>
      <c r="D283" s="79" t="s">
        <v>1616</v>
      </c>
      <c r="E283" s="76">
        <v>45704.0</v>
      </c>
      <c r="F283" s="74" t="str">
        <f>VLOOKUP(D283,Sheet15!D:H,5,FALSE)</f>
        <v>مكتمل</v>
      </c>
      <c r="G283" s="74"/>
      <c r="H283" s="74" t="s">
        <v>29</v>
      </c>
      <c r="I283" s="74" t="str">
        <f>VLOOKUP(D283,Sheet15!D:K,8,FALSE)</f>
        <v>2025-105240</v>
      </c>
      <c r="J283" s="76">
        <f t="shared" si="1"/>
        <v>-45704</v>
      </c>
      <c r="K283" s="77" t="str">
        <f>VLOOKUP(D283,Sheet15!D:G,4,FALSE)</f>
        <v/>
      </c>
      <c r="L283" s="73"/>
      <c r="M283" s="73"/>
      <c r="N283" s="73"/>
      <c r="O283" s="73"/>
      <c r="P283" s="73"/>
      <c r="Q283" s="73"/>
      <c r="R283" s="73"/>
      <c r="S283" s="73"/>
      <c r="T283" s="73"/>
      <c r="U283" s="73"/>
      <c r="V283" s="73"/>
      <c r="W283" s="73"/>
      <c r="X283" s="73"/>
    </row>
    <row r="284">
      <c r="A284" s="74">
        <v>290.0</v>
      </c>
      <c r="B284" s="74" t="s">
        <v>1612</v>
      </c>
      <c r="C284" s="74">
        <v>15441.0</v>
      </c>
      <c r="D284" s="79" t="s">
        <v>1617</v>
      </c>
      <c r="E284" s="76">
        <v>45704.0</v>
      </c>
      <c r="F284" s="74" t="str">
        <f>VLOOKUP(D284,Sheet15!D:H,5,FALSE)</f>
        <v>مكتمل</v>
      </c>
      <c r="G284" s="74"/>
      <c r="H284" s="74" t="s">
        <v>29</v>
      </c>
      <c r="I284" s="74" t="str">
        <f>VLOOKUP(D284,Sheet15!D:K,8,FALSE)</f>
        <v>2025-105261</v>
      </c>
      <c r="J284" s="76">
        <f t="shared" si="1"/>
        <v>-45704</v>
      </c>
      <c r="K284" s="77" t="str">
        <f>VLOOKUP(D284,Sheet15!D:G,4,FALSE)</f>
        <v/>
      </c>
      <c r="L284" s="73"/>
      <c r="M284" s="73"/>
      <c r="N284" s="73"/>
      <c r="O284" s="73"/>
      <c r="P284" s="73"/>
      <c r="Q284" s="73"/>
      <c r="R284" s="73"/>
      <c r="S284" s="73"/>
      <c r="T284" s="73"/>
      <c r="U284" s="73"/>
      <c r="V284" s="73"/>
      <c r="W284" s="73"/>
      <c r="X284" s="73"/>
    </row>
    <row r="285">
      <c r="A285" s="74">
        <v>291.0</v>
      </c>
      <c r="B285" s="74" t="s">
        <v>1612</v>
      </c>
      <c r="C285" s="74">
        <v>15442.0</v>
      </c>
      <c r="D285" s="79" t="s">
        <v>1618</v>
      </c>
      <c r="E285" s="76">
        <v>45704.0</v>
      </c>
      <c r="F285" s="78" t="s">
        <v>1420</v>
      </c>
      <c r="G285" s="74"/>
      <c r="H285" s="74" t="s">
        <v>29</v>
      </c>
      <c r="I285" s="74" t="str">
        <f>VLOOKUP(D285,Sheet15!D:K,8,FALSE)</f>
        <v>2025-105291</v>
      </c>
      <c r="J285" s="76">
        <f t="shared" si="1"/>
        <v>-45704</v>
      </c>
      <c r="K285" s="77" t="str">
        <f>VLOOKUP(D285,Sheet15!D:G,4,FALSE)</f>
        <v/>
      </c>
      <c r="L285" s="73"/>
      <c r="M285" s="73"/>
      <c r="N285" s="73"/>
      <c r="O285" s="73"/>
      <c r="P285" s="73"/>
      <c r="Q285" s="73"/>
      <c r="R285" s="73"/>
      <c r="S285" s="73"/>
      <c r="T285" s="73"/>
      <c r="U285" s="73"/>
      <c r="V285" s="73"/>
      <c r="W285" s="73"/>
      <c r="X285" s="73"/>
    </row>
    <row r="286">
      <c r="A286" s="74">
        <v>292.0</v>
      </c>
      <c r="B286" s="74" t="s">
        <v>1612</v>
      </c>
      <c r="C286" s="74">
        <v>15443.0</v>
      </c>
      <c r="D286" s="81" t="s">
        <v>1619</v>
      </c>
      <c r="E286" s="76">
        <v>45704.0</v>
      </c>
      <c r="F286" s="74" t="str">
        <f>VLOOKUP(D286,Sheet15!D:H,5,FALSE)</f>
        <v>مكتمل</v>
      </c>
      <c r="G286" s="74"/>
      <c r="H286" s="74" t="s">
        <v>29</v>
      </c>
      <c r="I286" s="74" t="str">
        <f>VLOOKUP(D286,Sheet15!D:K,8,FALSE)</f>
        <v>2025-105313</v>
      </c>
      <c r="J286" s="76">
        <f t="shared" si="1"/>
        <v>-45704</v>
      </c>
      <c r="K286" s="77" t="str">
        <f>VLOOKUP(D286,Sheet15!D:G,4,FALSE)</f>
        <v/>
      </c>
      <c r="L286" s="73"/>
      <c r="M286" s="73"/>
      <c r="N286" s="73"/>
      <c r="O286" s="73"/>
      <c r="P286" s="73"/>
      <c r="Q286" s="73"/>
      <c r="R286" s="73"/>
      <c r="S286" s="73"/>
      <c r="T286" s="73"/>
      <c r="U286" s="73"/>
      <c r="V286" s="73"/>
      <c r="W286" s="73"/>
      <c r="X286" s="73"/>
    </row>
    <row r="287">
      <c r="A287" s="74">
        <v>293.0</v>
      </c>
      <c r="B287" s="74" t="s">
        <v>1612</v>
      </c>
      <c r="C287" s="74">
        <v>15444.0</v>
      </c>
      <c r="D287" s="75" t="s">
        <v>1620</v>
      </c>
      <c r="E287" s="76">
        <v>45704.0</v>
      </c>
      <c r="F287" s="74" t="str">
        <f>VLOOKUP(D287,Sheet15!D:H,5,FALSE)</f>
        <v>مكتمل</v>
      </c>
      <c r="G287" s="74"/>
      <c r="H287" s="74" t="s">
        <v>29</v>
      </c>
      <c r="I287" s="74" t="str">
        <f>VLOOKUP(D287,Sheet15!D:K,8,FALSE)</f>
        <v>2025-105322</v>
      </c>
      <c r="J287" s="76">
        <f t="shared" si="1"/>
        <v>-45704</v>
      </c>
      <c r="K287" s="77" t="str">
        <f>VLOOKUP(D287,Sheet15!D:G,4,FALSE)</f>
        <v/>
      </c>
      <c r="L287" s="73"/>
      <c r="M287" s="73"/>
      <c r="N287" s="73"/>
      <c r="O287" s="73"/>
      <c r="P287" s="73"/>
      <c r="Q287" s="73"/>
      <c r="R287" s="73"/>
      <c r="S287" s="73"/>
      <c r="T287" s="73"/>
      <c r="U287" s="73"/>
      <c r="V287" s="73"/>
      <c r="W287" s="73"/>
      <c r="X287" s="73"/>
    </row>
    <row r="288">
      <c r="A288" s="74">
        <v>294.0</v>
      </c>
      <c r="B288" s="74" t="s">
        <v>1612</v>
      </c>
      <c r="C288" s="74">
        <v>15445.0</v>
      </c>
      <c r="D288" s="79" t="s">
        <v>1615</v>
      </c>
      <c r="E288" s="76">
        <v>45704.0</v>
      </c>
      <c r="F288" s="74" t="str">
        <f>VLOOKUP(D288,Sheet15!D:H,5,FALSE)</f>
        <v>مكتمل</v>
      </c>
      <c r="G288" s="74"/>
      <c r="H288" s="74" t="s">
        <v>29</v>
      </c>
      <c r="I288" s="74" t="str">
        <f>VLOOKUP(D288,Sheet15!D:K,8,FALSE)</f>
        <v>2025-105224</v>
      </c>
      <c r="J288" s="76">
        <f t="shared" si="1"/>
        <v>-45704</v>
      </c>
      <c r="K288" s="77" t="str">
        <f>VLOOKUP(D288,Sheet15!D:G,4,FALSE)</f>
        <v/>
      </c>
      <c r="L288" s="73"/>
      <c r="M288" s="73"/>
      <c r="N288" s="73"/>
      <c r="O288" s="73"/>
      <c r="P288" s="73"/>
      <c r="Q288" s="73"/>
      <c r="R288" s="73"/>
      <c r="S288" s="73"/>
      <c r="T288" s="73"/>
      <c r="U288" s="73"/>
      <c r="V288" s="73"/>
      <c r="W288" s="73"/>
      <c r="X288" s="73"/>
    </row>
    <row r="289">
      <c r="A289" s="74">
        <v>295.0</v>
      </c>
      <c r="B289" s="74" t="s">
        <v>1612</v>
      </c>
      <c r="C289" s="74">
        <v>15446.0</v>
      </c>
      <c r="D289" s="79" t="s">
        <v>1616</v>
      </c>
      <c r="E289" s="76">
        <v>45704.0</v>
      </c>
      <c r="F289" s="74" t="str">
        <f>VLOOKUP(D289,Sheet15!D:H,5,FALSE)</f>
        <v>مكتمل</v>
      </c>
      <c r="G289" s="74"/>
      <c r="H289" s="74" t="s">
        <v>29</v>
      </c>
      <c r="I289" s="74" t="str">
        <f>VLOOKUP(D289,Sheet15!D:K,8,FALSE)</f>
        <v>2025-105240</v>
      </c>
      <c r="J289" s="76">
        <f t="shared" si="1"/>
        <v>-45704</v>
      </c>
      <c r="K289" s="77" t="str">
        <f>VLOOKUP(D289,Sheet15!D:G,4,FALSE)</f>
        <v/>
      </c>
      <c r="L289" s="73"/>
      <c r="M289" s="73"/>
      <c r="N289" s="73"/>
      <c r="O289" s="73"/>
      <c r="P289" s="73"/>
      <c r="Q289" s="73"/>
      <c r="R289" s="73"/>
      <c r="S289" s="73"/>
      <c r="T289" s="73"/>
      <c r="U289" s="73"/>
      <c r="V289" s="73"/>
      <c r="W289" s="73"/>
      <c r="X289" s="73"/>
    </row>
    <row r="290">
      <c r="A290" s="74">
        <v>296.0</v>
      </c>
      <c r="B290" s="74" t="s">
        <v>1612</v>
      </c>
      <c r="C290" s="74">
        <v>15447.0</v>
      </c>
      <c r="D290" s="79" t="s">
        <v>1617</v>
      </c>
      <c r="E290" s="76">
        <v>45704.0</v>
      </c>
      <c r="F290" s="74" t="str">
        <f>VLOOKUP(D290,Sheet15!D:H,5,FALSE)</f>
        <v>مكتمل</v>
      </c>
      <c r="G290" s="74"/>
      <c r="H290" s="74" t="s">
        <v>29</v>
      </c>
      <c r="I290" s="74" t="str">
        <f>VLOOKUP(D290,Sheet15!D:K,8,FALSE)</f>
        <v>2025-105261</v>
      </c>
      <c r="J290" s="76">
        <f t="shared" si="1"/>
        <v>-45704</v>
      </c>
      <c r="K290" s="77" t="str">
        <f>VLOOKUP(D290,Sheet15!D:G,4,FALSE)</f>
        <v/>
      </c>
      <c r="L290" s="73"/>
      <c r="M290" s="73"/>
      <c r="N290" s="73"/>
      <c r="O290" s="73"/>
      <c r="P290" s="73"/>
      <c r="Q290" s="73"/>
      <c r="R290" s="73"/>
      <c r="S290" s="73"/>
      <c r="T290" s="73"/>
      <c r="U290" s="73"/>
      <c r="V290" s="73"/>
      <c r="W290" s="73"/>
      <c r="X290" s="73"/>
    </row>
    <row r="291">
      <c r="A291" s="74">
        <v>297.0</v>
      </c>
      <c r="B291" s="74" t="s">
        <v>1612</v>
      </c>
      <c r="C291" s="74">
        <v>15448.0</v>
      </c>
      <c r="D291" s="79" t="s">
        <v>1621</v>
      </c>
      <c r="E291" s="76">
        <v>45704.0</v>
      </c>
      <c r="F291" s="74" t="str">
        <f>VLOOKUP(D291,Sheet15!D:H,5,FALSE)</f>
        <v>مكتمل</v>
      </c>
      <c r="G291" s="74"/>
      <c r="H291" s="74" t="s">
        <v>29</v>
      </c>
      <c r="I291" s="74" t="str">
        <f>VLOOKUP(D291,Sheet15!D:K,8,FALSE)</f>
        <v>2025-106631</v>
      </c>
      <c r="J291" s="76">
        <f t="shared" si="1"/>
        <v>-45704</v>
      </c>
      <c r="K291" s="77" t="str">
        <f>VLOOKUP(D291,Sheet15!D:G,4,FALSE)</f>
        <v/>
      </c>
      <c r="L291" s="73"/>
      <c r="M291" s="73"/>
      <c r="N291" s="73"/>
      <c r="O291" s="73"/>
      <c r="P291" s="73"/>
      <c r="Q291" s="73"/>
      <c r="R291" s="73"/>
      <c r="S291" s="73"/>
      <c r="T291" s="73"/>
      <c r="U291" s="73"/>
      <c r="V291" s="73"/>
      <c r="W291" s="73"/>
      <c r="X291" s="73"/>
    </row>
    <row r="292">
      <c r="A292" s="74">
        <v>299.0</v>
      </c>
      <c r="B292" s="74" t="s">
        <v>1612</v>
      </c>
      <c r="C292" s="74">
        <v>15450.0</v>
      </c>
      <c r="D292" s="79" t="s">
        <v>1622</v>
      </c>
      <c r="E292" s="76">
        <v>45704.0</v>
      </c>
      <c r="F292" s="74" t="str">
        <f>VLOOKUP(D292,Sheet15!D:H,5,FALSE)</f>
        <v>مكتمل</v>
      </c>
      <c r="G292" s="74"/>
      <c r="H292" s="74" t="s">
        <v>29</v>
      </c>
      <c r="I292" s="74" t="str">
        <f>VLOOKUP(D292,Sheet15!D:K,8,FALSE)</f>
        <v>2025-106603</v>
      </c>
      <c r="J292" s="76">
        <f t="shared" si="1"/>
        <v>-45704</v>
      </c>
      <c r="K292" s="77" t="str">
        <f>VLOOKUP(D292,Sheet15!D:G,4,FALSE)</f>
        <v/>
      </c>
      <c r="L292" s="73"/>
      <c r="M292" s="73"/>
      <c r="N292" s="73"/>
      <c r="O292" s="73"/>
      <c r="P292" s="73"/>
      <c r="Q292" s="73"/>
      <c r="R292" s="73"/>
      <c r="S292" s="73"/>
      <c r="T292" s="73"/>
      <c r="U292" s="73"/>
      <c r="V292" s="73"/>
      <c r="W292" s="73"/>
      <c r="X292" s="73"/>
    </row>
    <row r="293">
      <c r="A293" s="74">
        <v>301.0</v>
      </c>
      <c r="B293" s="74" t="s">
        <v>1612</v>
      </c>
      <c r="C293" s="74">
        <v>15452.0</v>
      </c>
      <c r="D293" s="79" t="s">
        <v>1623</v>
      </c>
      <c r="E293" s="76">
        <v>45704.0</v>
      </c>
      <c r="F293" s="74" t="str">
        <f>VLOOKUP(D293,Sheet15!D:H,5,FALSE)</f>
        <v>مكتمل</v>
      </c>
      <c r="G293" s="74"/>
      <c r="H293" s="74" t="s">
        <v>29</v>
      </c>
      <c r="I293" s="74" t="str">
        <f>VLOOKUP(D293,Sheet15!D:K,8,FALSE)</f>
        <v>2025-108366</v>
      </c>
      <c r="J293" s="76">
        <f t="shared" si="1"/>
        <v>-45704</v>
      </c>
      <c r="K293" s="77" t="str">
        <f>VLOOKUP(D293,Sheet15!D:G,4,FALSE)</f>
        <v/>
      </c>
      <c r="L293" s="73"/>
      <c r="M293" s="73"/>
      <c r="N293" s="73"/>
      <c r="O293" s="73"/>
      <c r="P293" s="73"/>
      <c r="Q293" s="73"/>
      <c r="R293" s="73"/>
      <c r="S293" s="73"/>
      <c r="T293" s="73"/>
      <c r="U293" s="73"/>
      <c r="V293" s="73"/>
      <c r="W293" s="73"/>
      <c r="X293" s="73"/>
    </row>
    <row r="294" ht="15.0" customHeight="1">
      <c r="A294" s="74">
        <v>303.0</v>
      </c>
      <c r="B294" s="74" t="s">
        <v>1624</v>
      </c>
      <c r="C294" s="74" t="s">
        <v>1625</v>
      </c>
      <c r="D294" s="75" t="s">
        <v>1626</v>
      </c>
      <c r="E294" s="76">
        <v>45715.0</v>
      </c>
      <c r="F294" s="74" t="str">
        <f>VLOOKUP(D294,Sheet15!D:H,5,FALSE)</f>
        <v>مكتمل</v>
      </c>
      <c r="G294" s="74"/>
      <c r="H294" s="74" t="s">
        <v>29</v>
      </c>
      <c r="I294" s="74" t="str">
        <f>VLOOKUP(D294,Sheet15!D:K,8,FALSE)</f>
        <v>2025-129713</v>
      </c>
      <c r="J294" s="76">
        <f t="shared" si="1"/>
        <v>-45715</v>
      </c>
      <c r="K294" s="77" t="str">
        <f>VLOOKUP(D294,Sheet15!D:G,4,FALSE)</f>
        <v/>
      </c>
      <c r="L294" s="73"/>
      <c r="M294" s="73"/>
      <c r="N294" s="73"/>
      <c r="O294" s="73"/>
      <c r="P294" s="73"/>
      <c r="Q294" s="73"/>
      <c r="R294" s="73"/>
      <c r="S294" s="73"/>
      <c r="T294" s="73"/>
      <c r="U294" s="73"/>
      <c r="V294" s="73"/>
      <c r="W294" s="73"/>
      <c r="X294" s="73"/>
    </row>
    <row r="295">
      <c r="A295" s="74">
        <v>304.0</v>
      </c>
      <c r="B295" s="74" t="s">
        <v>1624</v>
      </c>
      <c r="C295" s="74" t="s">
        <v>1627</v>
      </c>
      <c r="D295" s="75" t="s">
        <v>1628</v>
      </c>
      <c r="E295" s="76">
        <v>45715.0</v>
      </c>
      <c r="F295" s="74" t="str">
        <f>VLOOKUP(D295,Sheet15!D:H,5,FALSE)</f>
        <v>مكتمل</v>
      </c>
      <c r="G295" s="74"/>
      <c r="H295" s="74" t="s">
        <v>29</v>
      </c>
      <c r="I295" s="74" t="str">
        <f>VLOOKUP(D295,Sheet15!D:K,8,FALSE)</f>
        <v>2025-131126</v>
      </c>
      <c r="J295" s="76">
        <f t="shared" si="1"/>
        <v>-45715</v>
      </c>
      <c r="K295" s="77" t="str">
        <f>VLOOKUP(D295,Sheet15!D:G,4,FALSE)</f>
        <v/>
      </c>
      <c r="L295" s="73"/>
      <c r="M295" s="73"/>
      <c r="N295" s="73"/>
      <c r="O295" s="73"/>
      <c r="P295" s="73"/>
      <c r="Q295" s="73"/>
      <c r="R295" s="73"/>
      <c r="S295" s="73"/>
      <c r="T295" s="73"/>
      <c r="U295" s="73"/>
      <c r="V295" s="73"/>
      <c r="W295" s="73"/>
      <c r="X295" s="73"/>
    </row>
    <row r="296">
      <c r="A296" s="74">
        <v>305.0</v>
      </c>
      <c r="B296" s="74" t="s">
        <v>1624</v>
      </c>
      <c r="C296" s="74" t="s">
        <v>1629</v>
      </c>
      <c r="D296" s="75" t="s">
        <v>1630</v>
      </c>
      <c r="E296" s="76">
        <v>45715.0</v>
      </c>
      <c r="F296" s="74" t="str">
        <f>VLOOKUP(D296,Sheet15!D:H,5,FALSE)</f>
        <v>مكتمل</v>
      </c>
      <c r="G296" s="74"/>
      <c r="H296" s="74" t="s">
        <v>29</v>
      </c>
      <c r="I296" s="74" t="str">
        <f>VLOOKUP(D296,Sheet15!D:K,8,FALSE)</f>
        <v>2025-131131</v>
      </c>
      <c r="J296" s="76">
        <f t="shared" si="1"/>
        <v>-45715</v>
      </c>
      <c r="K296" s="77" t="str">
        <f>VLOOKUP(D296,Sheet15!D:G,4,FALSE)</f>
        <v/>
      </c>
      <c r="L296" s="73"/>
      <c r="M296" s="73"/>
      <c r="N296" s="73"/>
      <c r="O296" s="73"/>
      <c r="P296" s="73"/>
      <c r="Q296" s="73"/>
      <c r="R296" s="73"/>
      <c r="S296" s="73"/>
      <c r="T296" s="73"/>
      <c r="U296" s="73"/>
      <c r="V296" s="73"/>
      <c r="W296" s="73"/>
      <c r="X296" s="73"/>
    </row>
    <row r="297">
      <c r="A297" s="74">
        <v>306.0</v>
      </c>
      <c r="B297" s="74" t="s">
        <v>1624</v>
      </c>
      <c r="C297" s="74" t="s">
        <v>1631</v>
      </c>
      <c r="D297" s="75" t="s">
        <v>1632</v>
      </c>
      <c r="E297" s="76">
        <v>45715.0</v>
      </c>
      <c r="F297" s="74" t="str">
        <f>VLOOKUP(D297,Sheet15!D:H,5,FALSE)</f>
        <v>مكتمل</v>
      </c>
      <c r="G297" s="74"/>
      <c r="H297" s="74" t="s">
        <v>29</v>
      </c>
      <c r="I297" s="74" t="str">
        <f>VLOOKUP(D297,Sheet15!D:K,8,FALSE)</f>
        <v>2025-131137</v>
      </c>
      <c r="J297" s="76">
        <f t="shared" si="1"/>
        <v>-45715</v>
      </c>
      <c r="K297" s="77" t="str">
        <f>VLOOKUP(D297,Sheet15!D:G,4,FALSE)</f>
        <v/>
      </c>
      <c r="L297" s="73"/>
      <c r="M297" s="73"/>
      <c r="N297" s="73"/>
      <c r="O297" s="73"/>
      <c r="P297" s="73"/>
      <c r="Q297" s="73"/>
      <c r="R297" s="73"/>
      <c r="S297" s="73"/>
      <c r="T297" s="73"/>
      <c r="U297" s="73"/>
      <c r="V297" s="73"/>
      <c r="W297" s="73"/>
      <c r="X297" s="73"/>
    </row>
    <row r="298">
      <c r="A298" s="74">
        <v>307.0</v>
      </c>
      <c r="B298" s="74" t="s">
        <v>1624</v>
      </c>
      <c r="C298" s="74" t="s">
        <v>1633</v>
      </c>
      <c r="D298" s="75" t="s">
        <v>1634</v>
      </c>
      <c r="E298" s="76">
        <v>45715.0</v>
      </c>
      <c r="F298" s="74" t="str">
        <f>VLOOKUP(D298,Sheet15!D:H,5,FALSE)</f>
        <v>مكتمل</v>
      </c>
      <c r="G298" s="74"/>
      <c r="H298" s="74" t="s">
        <v>29</v>
      </c>
      <c r="I298" s="74" t="str">
        <f>VLOOKUP(D298,Sheet15!D:K,8,FALSE)</f>
        <v>2025-131142</v>
      </c>
      <c r="J298" s="76">
        <f t="shared" si="1"/>
        <v>-45715</v>
      </c>
      <c r="K298" s="77" t="str">
        <f>VLOOKUP(D298,Sheet15!D:G,4,FALSE)</f>
        <v/>
      </c>
      <c r="L298" s="73"/>
      <c r="M298" s="73"/>
      <c r="N298" s="73"/>
      <c r="O298" s="73"/>
      <c r="P298" s="73"/>
      <c r="Q298" s="73"/>
      <c r="R298" s="73"/>
      <c r="S298" s="73"/>
      <c r="T298" s="73"/>
      <c r="U298" s="73"/>
      <c r="V298" s="73"/>
      <c r="W298" s="73"/>
      <c r="X298" s="73"/>
    </row>
    <row r="299">
      <c r="A299" s="74">
        <v>308.0</v>
      </c>
      <c r="B299" s="74" t="s">
        <v>1624</v>
      </c>
      <c r="C299" s="74" t="s">
        <v>1635</v>
      </c>
      <c r="D299" s="75" t="s">
        <v>1636</v>
      </c>
      <c r="E299" s="76">
        <v>45715.0</v>
      </c>
      <c r="F299" s="74" t="str">
        <f>VLOOKUP(D299,Sheet15!D:H,5,FALSE)</f>
        <v>مكتمل</v>
      </c>
      <c r="G299" s="74"/>
      <c r="H299" s="74" t="s">
        <v>29</v>
      </c>
      <c r="I299" s="74" t="str">
        <f>VLOOKUP(D299,Sheet15!D:K,8,FALSE)</f>
        <v>2025-131154</v>
      </c>
      <c r="J299" s="76">
        <f t="shared" si="1"/>
        <v>-45715</v>
      </c>
      <c r="K299" s="77" t="str">
        <f>VLOOKUP(D299,Sheet15!D:G,4,FALSE)</f>
        <v/>
      </c>
      <c r="L299" s="73"/>
      <c r="M299" s="73"/>
      <c r="N299" s="73"/>
      <c r="O299" s="73"/>
      <c r="P299" s="73"/>
      <c r="Q299" s="73"/>
      <c r="R299" s="73"/>
      <c r="S299" s="73"/>
      <c r="T299" s="73"/>
      <c r="U299" s="73"/>
      <c r="V299" s="73"/>
      <c r="W299" s="73"/>
      <c r="X299" s="73"/>
    </row>
    <row r="300">
      <c r="A300" s="74">
        <v>309.0</v>
      </c>
      <c r="B300" s="74" t="s">
        <v>1624</v>
      </c>
      <c r="C300" s="74" t="s">
        <v>1637</v>
      </c>
      <c r="D300" s="75" t="s">
        <v>1638</v>
      </c>
      <c r="E300" s="76">
        <v>45715.0</v>
      </c>
      <c r="F300" s="74" t="str">
        <f>VLOOKUP(D300,Sheet15!D:H,5,FALSE)</f>
        <v>مكتمل</v>
      </c>
      <c r="G300" s="74"/>
      <c r="H300" s="74" t="s">
        <v>29</v>
      </c>
      <c r="I300" s="74" t="str">
        <f>VLOOKUP(D300,Sheet15!D:K,8,FALSE)</f>
        <v>2025-141883</v>
      </c>
      <c r="J300" s="76">
        <f t="shared" si="1"/>
        <v>-45715</v>
      </c>
      <c r="K300" s="77" t="str">
        <f>VLOOKUP(D300,Sheet15!D:G,4,FALSE)</f>
        <v/>
      </c>
      <c r="L300" s="73"/>
      <c r="M300" s="73"/>
      <c r="N300" s="73"/>
      <c r="O300" s="73"/>
      <c r="P300" s="73"/>
      <c r="Q300" s="73"/>
      <c r="R300" s="73"/>
      <c r="S300" s="73"/>
      <c r="T300" s="73"/>
      <c r="U300" s="73"/>
      <c r="V300" s="73"/>
      <c r="W300" s="73"/>
      <c r="X300" s="73"/>
    </row>
    <row r="301">
      <c r="A301" s="74">
        <v>310.0</v>
      </c>
      <c r="B301" s="74" t="s">
        <v>1624</v>
      </c>
      <c r="C301" s="74" t="s">
        <v>1639</v>
      </c>
      <c r="D301" s="75" t="s">
        <v>1640</v>
      </c>
      <c r="E301" s="76">
        <v>45715.0</v>
      </c>
      <c r="F301" s="74" t="str">
        <f>VLOOKUP(D301,Sheet15!D:H,5,FALSE)</f>
        <v>مكتمل</v>
      </c>
      <c r="G301" s="74"/>
      <c r="H301" s="74" t="s">
        <v>29</v>
      </c>
      <c r="I301" s="74" t="str">
        <f>VLOOKUP(D301,Sheet15!D:K,8,FALSE)</f>
        <v>2025-142378</v>
      </c>
      <c r="J301" s="76">
        <f t="shared" si="1"/>
        <v>-45715</v>
      </c>
      <c r="K301" s="77" t="str">
        <f>VLOOKUP(D301,Sheet15!D:G,4,FALSE)</f>
        <v/>
      </c>
      <c r="L301" s="73"/>
      <c r="M301" s="73"/>
      <c r="N301" s="73"/>
      <c r="O301" s="73"/>
      <c r="P301" s="73"/>
      <c r="Q301" s="73"/>
      <c r="R301" s="73"/>
      <c r="S301" s="73"/>
      <c r="T301" s="73"/>
      <c r="U301" s="73"/>
      <c r="V301" s="73"/>
      <c r="W301" s="73"/>
      <c r="X301" s="73"/>
    </row>
    <row r="302">
      <c r="A302" s="74">
        <v>311.0</v>
      </c>
      <c r="B302" s="74" t="s">
        <v>1624</v>
      </c>
      <c r="C302" s="74" t="s">
        <v>1641</v>
      </c>
      <c r="D302" s="75" t="s">
        <v>1642</v>
      </c>
      <c r="E302" s="76">
        <v>45715.0</v>
      </c>
      <c r="F302" s="74" t="str">
        <f>VLOOKUP(D302,Sheet15!D:H,5,FALSE)</f>
        <v>مكتمل</v>
      </c>
      <c r="G302" s="74"/>
      <c r="H302" s="74" t="s">
        <v>29</v>
      </c>
      <c r="I302" s="74" t="str">
        <f>VLOOKUP(D302,Sheet15!D:K,8,FALSE)</f>
        <v>2025-142399</v>
      </c>
      <c r="J302" s="76">
        <f t="shared" si="1"/>
        <v>-45715</v>
      </c>
      <c r="K302" s="77" t="str">
        <f>VLOOKUP(D302,Sheet15!D:G,4,FALSE)</f>
        <v/>
      </c>
      <c r="L302" s="73"/>
      <c r="M302" s="73"/>
      <c r="N302" s="73"/>
      <c r="O302" s="73"/>
      <c r="P302" s="73"/>
      <c r="Q302" s="73"/>
      <c r="R302" s="73"/>
      <c r="S302" s="73"/>
      <c r="T302" s="73"/>
      <c r="U302" s="73"/>
      <c r="V302" s="73"/>
      <c r="W302" s="73"/>
      <c r="X302" s="73"/>
    </row>
    <row r="303">
      <c r="A303" s="74">
        <v>312.0</v>
      </c>
      <c r="B303" s="74" t="s">
        <v>1510</v>
      </c>
      <c r="C303" s="74"/>
      <c r="D303" s="75" t="s">
        <v>1643</v>
      </c>
      <c r="E303" s="76">
        <v>45720.0</v>
      </c>
      <c r="F303" s="74" t="str">
        <f>VLOOKUP(D303,Sheet15!D:H,5,FALSE)</f>
        <v>مكتمل</v>
      </c>
      <c r="G303" s="74"/>
      <c r="H303" s="74" t="s">
        <v>29</v>
      </c>
      <c r="I303" s="74" t="str">
        <f>VLOOKUP(D303,Sheet15!D:K,8,FALSE)</f>
        <v>2024-306802</v>
      </c>
      <c r="J303" s="76">
        <f t="shared" si="1"/>
        <v>-45720</v>
      </c>
      <c r="K303" s="77" t="str">
        <f>VLOOKUP(D303,Sheet15!D:G,4,FALSE)</f>
        <v/>
      </c>
      <c r="L303" s="73"/>
      <c r="M303" s="73"/>
      <c r="N303" s="73"/>
      <c r="O303" s="73"/>
      <c r="P303" s="73"/>
      <c r="Q303" s="73"/>
      <c r="R303" s="73"/>
      <c r="S303" s="73"/>
      <c r="T303" s="73"/>
      <c r="U303" s="73"/>
      <c r="V303" s="73"/>
      <c r="W303" s="73"/>
      <c r="X303" s="73"/>
    </row>
    <row r="304">
      <c r="A304" s="74">
        <v>313.0</v>
      </c>
      <c r="B304" s="74" t="s">
        <v>1510</v>
      </c>
      <c r="C304" s="74"/>
      <c r="D304" s="75" t="s">
        <v>1644</v>
      </c>
      <c r="E304" s="76">
        <v>45720.0</v>
      </c>
      <c r="F304" s="74" t="str">
        <f>VLOOKUP(D304,Sheet15!D:H,5,FALSE)</f>
        <v>مكتمل</v>
      </c>
      <c r="G304" s="74"/>
      <c r="H304" s="74" t="s">
        <v>29</v>
      </c>
      <c r="I304" s="74" t="str">
        <f>VLOOKUP(D304,Sheet15!D:K,8,FALSE)</f>
        <v>2024-306840</v>
      </c>
      <c r="J304" s="76">
        <f t="shared" si="1"/>
        <v>-45720</v>
      </c>
      <c r="K304" s="77" t="str">
        <f>VLOOKUP(D304,Sheet15!D:G,4,FALSE)</f>
        <v/>
      </c>
      <c r="L304" s="73"/>
      <c r="M304" s="73"/>
      <c r="N304" s="73"/>
      <c r="O304" s="73"/>
      <c r="P304" s="73"/>
      <c r="Q304" s="73"/>
      <c r="R304" s="73"/>
      <c r="S304" s="73"/>
      <c r="T304" s="73"/>
      <c r="U304" s="73"/>
      <c r="V304" s="73"/>
      <c r="W304" s="73"/>
      <c r="X304" s="73"/>
    </row>
    <row r="305">
      <c r="A305" s="74">
        <v>314.0</v>
      </c>
      <c r="B305" s="74" t="s">
        <v>1510</v>
      </c>
      <c r="C305" s="74"/>
      <c r="D305" s="75" t="s">
        <v>1645</v>
      </c>
      <c r="E305" s="76">
        <v>45720.0</v>
      </c>
      <c r="F305" s="74" t="str">
        <f>VLOOKUP(D305,Sheet15!D:H,5,FALSE)</f>
        <v>مكتمل</v>
      </c>
      <c r="G305" s="74"/>
      <c r="H305" s="74" t="s">
        <v>29</v>
      </c>
      <c r="I305" s="74" t="str">
        <f>VLOOKUP(D305,Sheet15!D:K,8,FALSE)</f>
        <v>2024-306770</v>
      </c>
      <c r="J305" s="76">
        <f t="shared" si="1"/>
        <v>-45720</v>
      </c>
      <c r="K305" s="77" t="str">
        <f>VLOOKUP(D305,Sheet15!D:G,4,FALSE)</f>
        <v/>
      </c>
      <c r="L305" s="73"/>
      <c r="M305" s="73"/>
      <c r="N305" s="73"/>
      <c r="O305" s="73"/>
      <c r="P305" s="73"/>
      <c r="Q305" s="73"/>
      <c r="R305" s="73"/>
      <c r="S305" s="73"/>
      <c r="T305" s="73"/>
      <c r="U305" s="73"/>
      <c r="V305" s="73"/>
      <c r="W305" s="73"/>
      <c r="X305" s="73"/>
    </row>
    <row r="306">
      <c r="A306" s="74">
        <v>315.0</v>
      </c>
      <c r="B306" s="74" t="s">
        <v>1421</v>
      </c>
      <c r="C306" s="74"/>
      <c r="D306" s="75" t="s">
        <v>1646</v>
      </c>
      <c r="E306" s="76">
        <v>45725.0</v>
      </c>
      <c r="F306" s="78" t="s">
        <v>1427</v>
      </c>
      <c r="G306" s="74"/>
      <c r="H306" s="74" t="s">
        <v>1401</v>
      </c>
      <c r="I306" s="74" t="str">
        <f>VLOOKUP(D306,Sheet15!D:K,8,FALSE)</f>
        <v>#N/A</v>
      </c>
      <c r="J306" s="76">
        <f t="shared" si="1"/>
        <v>-45725</v>
      </c>
      <c r="K306" s="77" t="str">
        <f>VLOOKUP(D306,Sheet15!D:G,4,FALSE)</f>
        <v>#N/A</v>
      </c>
      <c r="L306" s="73"/>
      <c r="M306" s="73"/>
      <c r="N306" s="73"/>
      <c r="O306" s="73"/>
      <c r="P306" s="73"/>
      <c r="Q306" s="73"/>
      <c r="R306" s="73"/>
      <c r="S306" s="73"/>
      <c r="T306" s="73"/>
      <c r="U306" s="73"/>
      <c r="V306" s="73"/>
      <c r="W306" s="73"/>
      <c r="X306" s="73"/>
    </row>
    <row r="307">
      <c r="A307" s="74">
        <v>316.0</v>
      </c>
      <c r="B307" s="74" t="s">
        <v>1421</v>
      </c>
      <c r="C307" s="74"/>
      <c r="D307" s="75" t="s">
        <v>1647</v>
      </c>
      <c r="E307" s="76">
        <v>45725.0</v>
      </c>
      <c r="F307" s="78" t="s">
        <v>1427</v>
      </c>
      <c r="G307" s="74"/>
      <c r="H307" s="74" t="s">
        <v>1401</v>
      </c>
      <c r="I307" s="74" t="str">
        <f>VLOOKUP(D307,Sheet15!D:K,8,FALSE)</f>
        <v>#N/A</v>
      </c>
      <c r="J307" s="76">
        <f t="shared" si="1"/>
        <v>-45725</v>
      </c>
      <c r="K307" s="77" t="str">
        <f>VLOOKUP(D307,Sheet15!D:G,4,FALSE)</f>
        <v>#N/A</v>
      </c>
      <c r="L307" s="73"/>
      <c r="M307" s="73"/>
      <c r="N307" s="73"/>
      <c r="O307" s="73"/>
      <c r="P307" s="73"/>
      <c r="Q307" s="73"/>
      <c r="R307" s="73"/>
      <c r="S307" s="73"/>
      <c r="T307" s="73"/>
      <c r="U307" s="73"/>
      <c r="V307" s="73"/>
      <c r="W307" s="73"/>
      <c r="X307" s="73"/>
    </row>
    <row r="308">
      <c r="A308" s="74">
        <v>317.0</v>
      </c>
      <c r="B308" s="74" t="s">
        <v>1421</v>
      </c>
      <c r="C308" s="74"/>
      <c r="D308" s="75" t="s">
        <v>1648</v>
      </c>
      <c r="E308" s="76">
        <v>45725.0</v>
      </c>
      <c r="F308" s="78" t="s">
        <v>1427</v>
      </c>
      <c r="G308" s="74"/>
      <c r="H308" s="74" t="s">
        <v>1401</v>
      </c>
      <c r="I308" s="74" t="str">
        <f>VLOOKUP(D308,Sheet15!D:K,8,FALSE)</f>
        <v>#N/A</v>
      </c>
      <c r="J308" s="76">
        <f t="shared" si="1"/>
        <v>-45725</v>
      </c>
      <c r="K308" s="77" t="str">
        <f>VLOOKUP(D308,Sheet15!D:G,4,FALSE)</f>
        <v>#N/A</v>
      </c>
      <c r="L308" s="73"/>
      <c r="M308" s="73"/>
      <c r="N308" s="73"/>
      <c r="O308" s="73"/>
      <c r="P308" s="73"/>
      <c r="Q308" s="73"/>
      <c r="R308" s="73"/>
      <c r="S308" s="73"/>
      <c r="T308" s="73"/>
      <c r="U308" s="73"/>
      <c r="V308" s="73"/>
      <c r="W308" s="73"/>
      <c r="X308" s="73"/>
    </row>
    <row r="309">
      <c r="A309" s="74">
        <v>318.0</v>
      </c>
      <c r="B309" s="74" t="s">
        <v>1421</v>
      </c>
      <c r="C309" s="74"/>
      <c r="D309" s="75" t="s">
        <v>1649</v>
      </c>
      <c r="E309" s="76">
        <v>45725.0</v>
      </c>
      <c r="F309" s="78" t="s">
        <v>1427</v>
      </c>
      <c r="G309" s="74"/>
      <c r="H309" s="74" t="s">
        <v>1401</v>
      </c>
      <c r="I309" s="74" t="str">
        <f>VLOOKUP(D309,Sheet15!D:K,8,FALSE)</f>
        <v>#N/A</v>
      </c>
      <c r="J309" s="76">
        <f t="shared" si="1"/>
        <v>-45725</v>
      </c>
      <c r="K309" s="77" t="str">
        <f>VLOOKUP(D309,Sheet15!D:G,4,FALSE)</f>
        <v>#N/A</v>
      </c>
      <c r="L309" s="73"/>
      <c r="M309" s="73"/>
      <c r="N309" s="73"/>
      <c r="O309" s="73"/>
      <c r="P309" s="73"/>
      <c r="Q309" s="73"/>
      <c r="R309" s="73"/>
      <c r="S309" s="73"/>
      <c r="T309" s="73"/>
      <c r="U309" s="73"/>
      <c r="V309" s="73"/>
      <c r="W309" s="73"/>
      <c r="X309" s="73"/>
    </row>
    <row r="310">
      <c r="A310" s="74">
        <v>319.0</v>
      </c>
      <c r="B310" s="74" t="s">
        <v>1421</v>
      </c>
      <c r="C310" s="74"/>
      <c r="D310" s="75" t="s">
        <v>1650</v>
      </c>
      <c r="E310" s="76">
        <v>45725.0</v>
      </c>
      <c r="F310" s="78" t="s">
        <v>1427</v>
      </c>
      <c r="G310" s="74"/>
      <c r="H310" s="74" t="s">
        <v>1401</v>
      </c>
      <c r="I310" s="74" t="str">
        <f>VLOOKUP(D310,Sheet15!D:K,8,FALSE)</f>
        <v>#N/A</v>
      </c>
      <c r="J310" s="76">
        <f t="shared" si="1"/>
        <v>-45725</v>
      </c>
      <c r="K310" s="77" t="str">
        <f>VLOOKUP(D310,Sheet15!D:G,4,FALSE)</f>
        <v>#N/A</v>
      </c>
      <c r="L310" s="73"/>
      <c r="M310" s="73"/>
      <c r="N310" s="73"/>
      <c r="O310" s="73"/>
      <c r="P310" s="73"/>
      <c r="Q310" s="73"/>
      <c r="R310" s="73"/>
      <c r="S310" s="73"/>
      <c r="T310" s="73"/>
      <c r="U310" s="73"/>
      <c r="V310" s="73"/>
      <c r="W310" s="73"/>
      <c r="X310" s="73"/>
    </row>
    <row r="311">
      <c r="A311" s="74">
        <v>320.0</v>
      </c>
      <c r="B311" s="74" t="s">
        <v>1421</v>
      </c>
      <c r="C311" s="74"/>
      <c r="D311" s="75" t="s">
        <v>1651</v>
      </c>
      <c r="E311" s="76">
        <v>45725.0</v>
      </c>
      <c r="F311" s="78" t="s">
        <v>1427</v>
      </c>
      <c r="G311" s="74"/>
      <c r="H311" s="74" t="s">
        <v>1401</v>
      </c>
      <c r="I311" s="74" t="str">
        <f>VLOOKUP(D311,Sheet15!D:K,8,FALSE)</f>
        <v>#N/A</v>
      </c>
      <c r="J311" s="76">
        <f t="shared" si="1"/>
        <v>-45725</v>
      </c>
      <c r="K311" s="77" t="str">
        <f>VLOOKUP(D311,Sheet15!D:G,4,FALSE)</f>
        <v>#N/A</v>
      </c>
      <c r="L311" s="73"/>
      <c r="M311" s="73"/>
      <c r="N311" s="73"/>
      <c r="O311" s="73"/>
      <c r="P311" s="73"/>
      <c r="Q311" s="73"/>
      <c r="R311" s="73"/>
      <c r="S311" s="73"/>
      <c r="T311" s="73"/>
      <c r="U311" s="73"/>
      <c r="V311" s="73"/>
      <c r="W311" s="73"/>
      <c r="X311" s="73"/>
    </row>
    <row r="312">
      <c r="A312" s="74">
        <v>321.0</v>
      </c>
      <c r="B312" s="74" t="s">
        <v>1421</v>
      </c>
      <c r="C312" s="74"/>
      <c r="D312" s="75" t="s">
        <v>1652</v>
      </c>
      <c r="E312" s="76">
        <v>45725.0</v>
      </c>
      <c r="F312" s="74" t="str">
        <f>VLOOKUP(D312,Sheet15!D:H,5,FALSE)</f>
        <v>مرفوض</v>
      </c>
      <c r="G312" s="74"/>
      <c r="H312" s="74" t="s">
        <v>1401</v>
      </c>
      <c r="I312" s="74" t="str">
        <f>VLOOKUP(D312,Sheet15!D:K,8,FALSE)</f>
        <v>2025-501641</v>
      </c>
      <c r="J312" s="76">
        <f t="shared" si="1"/>
        <v>-45725</v>
      </c>
      <c r="K312" s="77" t="str">
        <f>VLOOKUP(D312,Sheet15!D:G,4,FALSE)</f>
        <v>المكون (potassium citrate) ليس من المدخلات العلفية</v>
      </c>
      <c r="L312" s="73"/>
      <c r="M312" s="73"/>
      <c r="N312" s="73"/>
      <c r="O312" s="73"/>
      <c r="P312" s="73"/>
      <c r="Q312" s="73"/>
      <c r="R312" s="73"/>
      <c r="S312" s="73"/>
      <c r="T312" s="73"/>
      <c r="U312" s="73"/>
      <c r="V312" s="73"/>
      <c r="W312" s="73"/>
      <c r="X312" s="73"/>
    </row>
    <row r="313">
      <c r="A313" s="74">
        <v>322.0</v>
      </c>
      <c r="B313" s="74" t="s">
        <v>1421</v>
      </c>
      <c r="C313" s="74"/>
      <c r="D313" s="75" t="s">
        <v>1653</v>
      </c>
      <c r="E313" s="76">
        <v>45725.0</v>
      </c>
      <c r="F313" s="78" t="s">
        <v>1427</v>
      </c>
      <c r="G313" s="74"/>
      <c r="H313" s="74" t="s">
        <v>1401</v>
      </c>
      <c r="I313" s="74" t="str">
        <f>VLOOKUP(D313,Sheet15!D:K,8,FALSE)</f>
        <v>#N/A</v>
      </c>
      <c r="J313" s="76">
        <f t="shared" si="1"/>
        <v>-45725</v>
      </c>
      <c r="K313" s="77" t="str">
        <f>VLOOKUP(D313,Sheet15!D:G,4,FALSE)</f>
        <v>#N/A</v>
      </c>
      <c r="L313" s="73"/>
      <c r="M313" s="73"/>
      <c r="N313" s="73"/>
      <c r="O313" s="73"/>
      <c r="P313" s="73"/>
      <c r="Q313" s="73"/>
      <c r="R313" s="73"/>
      <c r="S313" s="73"/>
      <c r="T313" s="73"/>
      <c r="U313" s="73"/>
      <c r="V313" s="73"/>
      <c r="W313" s="73"/>
      <c r="X313" s="73"/>
    </row>
    <row r="314">
      <c r="A314" s="74">
        <v>323.0</v>
      </c>
      <c r="B314" s="74" t="s">
        <v>1421</v>
      </c>
      <c r="C314" s="74"/>
      <c r="D314" s="82" t="s">
        <v>1654</v>
      </c>
      <c r="E314" s="76">
        <v>45725.0</v>
      </c>
      <c r="F314" s="74" t="str">
        <f>VLOOKUP(D314,Sheet15!D:H,5,FALSE)</f>
        <v>مكتمل</v>
      </c>
      <c r="G314" s="74"/>
      <c r="H314" s="74" t="s">
        <v>29</v>
      </c>
      <c r="I314" s="74" t="str">
        <f>VLOOKUP(D314,Sheet15!D:K,8,FALSE)</f>
        <v>2025-152818</v>
      </c>
      <c r="J314" s="76">
        <f t="shared" si="1"/>
        <v>-45725</v>
      </c>
      <c r="K314" s="77" t="str">
        <f>VLOOKUP(D314,Sheet15!D:G,4,FALSE)</f>
        <v/>
      </c>
      <c r="L314" s="73"/>
      <c r="M314" s="73"/>
      <c r="N314" s="73"/>
      <c r="O314" s="73"/>
      <c r="P314" s="73"/>
      <c r="Q314" s="73"/>
      <c r="R314" s="73"/>
      <c r="S314" s="73"/>
      <c r="T314" s="73"/>
      <c r="U314" s="73"/>
      <c r="V314" s="73"/>
      <c r="W314" s="73"/>
      <c r="X314" s="73"/>
    </row>
    <row r="315">
      <c r="A315" s="74">
        <v>324.0</v>
      </c>
      <c r="B315" s="74" t="s">
        <v>1421</v>
      </c>
      <c r="C315" s="74"/>
      <c r="D315" s="82" t="s">
        <v>1655</v>
      </c>
      <c r="E315" s="76">
        <v>45725.0</v>
      </c>
      <c r="F315" s="78" t="s">
        <v>1420</v>
      </c>
      <c r="G315" s="74"/>
      <c r="H315" s="74" t="s">
        <v>29</v>
      </c>
      <c r="I315" s="74" t="str">
        <f>VLOOKUP(D315,Sheet15!D:K,8,FALSE)</f>
        <v>#N/A</v>
      </c>
      <c r="J315" s="76">
        <f t="shared" si="1"/>
        <v>-45725</v>
      </c>
      <c r="K315" s="77" t="str">
        <f>VLOOKUP(D315,Sheet15!D:G,4,FALSE)</f>
        <v>#N/A</v>
      </c>
      <c r="L315" s="73"/>
      <c r="M315" s="73"/>
      <c r="N315" s="73"/>
      <c r="O315" s="73"/>
      <c r="P315" s="73"/>
      <c r="Q315" s="73"/>
      <c r="R315" s="73"/>
      <c r="S315" s="73"/>
      <c r="T315" s="73"/>
      <c r="U315" s="73"/>
      <c r="V315" s="73"/>
      <c r="W315" s="73"/>
      <c r="X315" s="73"/>
    </row>
    <row r="316">
      <c r="A316" s="74">
        <v>325.0</v>
      </c>
      <c r="B316" s="74" t="s">
        <v>1421</v>
      </c>
      <c r="C316" s="74"/>
      <c r="D316" s="75" t="s">
        <v>1656</v>
      </c>
      <c r="E316" s="76">
        <v>45725.0</v>
      </c>
      <c r="F316" s="78" t="s">
        <v>1420</v>
      </c>
      <c r="G316" s="74"/>
      <c r="H316" s="74" t="s">
        <v>29</v>
      </c>
      <c r="I316" s="74" t="str">
        <f>VLOOKUP(D316,Sheet15!D:K,8,FALSE)</f>
        <v>#N/A</v>
      </c>
      <c r="J316" s="76">
        <f t="shared" si="1"/>
        <v>-45725</v>
      </c>
      <c r="K316" s="77" t="str">
        <f>VLOOKUP(D316,Sheet15!D:G,4,FALSE)</f>
        <v>#N/A</v>
      </c>
      <c r="L316" s="73"/>
      <c r="M316" s="73"/>
      <c r="N316" s="73"/>
      <c r="O316" s="73"/>
      <c r="P316" s="73"/>
      <c r="Q316" s="73"/>
      <c r="R316" s="73"/>
      <c r="S316" s="73"/>
      <c r="T316" s="73"/>
      <c r="U316" s="73"/>
      <c r="V316" s="73"/>
      <c r="W316" s="73"/>
      <c r="X316" s="73"/>
    </row>
    <row r="317">
      <c r="A317" s="74">
        <v>326.0</v>
      </c>
      <c r="B317" s="74" t="s">
        <v>1421</v>
      </c>
      <c r="C317" s="74"/>
      <c r="D317" s="82" t="s">
        <v>1657</v>
      </c>
      <c r="E317" s="76">
        <v>45725.0</v>
      </c>
      <c r="F317" s="74" t="str">
        <f>VLOOKUP(D317,Sheet15!D:H,5,FALSE)</f>
        <v>مكتمل</v>
      </c>
      <c r="G317" s="74"/>
      <c r="H317" s="74" t="s">
        <v>29</v>
      </c>
      <c r="I317" s="74" t="str">
        <f>VLOOKUP(D317,Sheet15!D:K,8,FALSE)</f>
        <v>2025-152922</v>
      </c>
      <c r="J317" s="76">
        <f t="shared" si="1"/>
        <v>-45725</v>
      </c>
      <c r="K317" s="77" t="str">
        <f>VLOOKUP(D317,Sheet15!D:G,4,FALSE)</f>
        <v/>
      </c>
      <c r="L317" s="73"/>
      <c r="M317" s="73"/>
      <c r="N317" s="73"/>
      <c r="O317" s="73"/>
      <c r="P317" s="73"/>
      <c r="Q317" s="73"/>
      <c r="R317" s="73"/>
      <c r="S317" s="73"/>
      <c r="T317" s="73"/>
      <c r="U317" s="73"/>
      <c r="V317" s="73"/>
      <c r="W317" s="73"/>
      <c r="X317" s="73"/>
    </row>
    <row r="318">
      <c r="A318" s="74">
        <v>327.0</v>
      </c>
      <c r="B318" s="74" t="s">
        <v>1421</v>
      </c>
      <c r="C318" s="74"/>
      <c r="D318" s="82" t="s">
        <v>1658</v>
      </c>
      <c r="E318" s="76">
        <v>45725.0</v>
      </c>
      <c r="F318" s="74" t="str">
        <f>VLOOKUP(D318,Sheet15!D:H,5,FALSE)</f>
        <v>مكتمل</v>
      </c>
      <c r="G318" s="74"/>
      <c r="H318" s="74" t="s">
        <v>29</v>
      </c>
      <c r="I318" s="74" t="str">
        <f>VLOOKUP(D318,Sheet15!D:K,8,FALSE)</f>
        <v>2025-152946</v>
      </c>
      <c r="J318" s="76">
        <f t="shared" si="1"/>
        <v>-45725</v>
      </c>
      <c r="K318" s="77" t="str">
        <f>VLOOKUP(D318,Sheet15!D:G,4,FALSE)</f>
        <v/>
      </c>
      <c r="L318" s="73"/>
      <c r="M318" s="73"/>
      <c r="N318" s="73"/>
      <c r="O318" s="73"/>
      <c r="P318" s="73"/>
      <c r="Q318" s="73"/>
      <c r="R318" s="73"/>
      <c r="S318" s="73"/>
      <c r="T318" s="73"/>
      <c r="U318" s="73"/>
      <c r="V318" s="73"/>
      <c r="W318" s="73"/>
      <c r="X318" s="73"/>
    </row>
    <row r="319">
      <c r="A319" s="74">
        <v>328.0</v>
      </c>
      <c r="B319" s="74" t="s">
        <v>1421</v>
      </c>
      <c r="C319" s="74"/>
      <c r="D319" s="82" t="s">
        <v>1659</v>
      </c>
      <c r="E319" s="76">
        <v>45725.0</v>
      </c>
      <c r="F319" s="74" t="str">
        <f>VLOOKUP(D319,Sheet15!D:H,5,FALSE)</f>
        <v>مكتمل</v>
      </c>
      <c r="G319" s="74"/>
      <c r="H319" s="74" t="s">
        <v>29</v>
      </c>
      <c r="I319" s="74" t="str">
        <f>VLOOKUP(D319,Sheet15!D:K,8,FALSE)</f>
        <v>2025-152959</v>
      </c>
      <c r="J319" s="76">
        <f t="shared" si="1"/>
        <v>-45725</v>
      </c>
      <c r="K319" s="77" t="str">
        <f>VLOOKUP(D319,Sheet15!D:G,4,FALSE)</f>
        <v/>
      </c>
      <c r="L319" s="73"/>
      <c r="M319" s="73"/>
      <c r="N319" s="73"/>
      <c r="O319" s="73"/>
      <c r="P319" s="73"/>
      <c r="Q319" s="73"/>
      <c r="R319" s="73"/>
      <c r="S319" s="73"/>
      <c r="T319" s="73"/>
      <c r="U319" s="73"/>
      <c r="V319" s="73"/>
      <c r="W319" s="73"/>
      <c r="X319" s="73"/>
    </row>
    <row r="320">
      <c r="A320" s="74">
        <v>329.0</v>
      </c>
      <c r="B320" s="74" t="s">
        <v>1421</v>
      </c>
      <c r="C320" s="74"/>
      <c r="D320" s="82" t="s">
        <v>1660</v>
      </c>
      <c r="E320" s="76">
        <v>45725.0</v>
      </c>
      <c r="F320" s="74" t="str">
        <f>VLOOKUP(D320,Sheet15!D:H,5,FALSE)</f>
        <v>مكتمل</v>
      </c>
      <c r="G320" s="74"/>
      <c r="H320" s="74" t="s">
        <v>29</v>
      </c>
      <c r="I320" s="74" t="str">
        <f>VLOOKUP(D320,Sheet15!D:K,8,FALSE)</f>
        <v>2025-153115</v>
      </c>
      <c r="J320" s="76">
        <f t="shared" si="1"/>
        <v>-45725</v>
      </c>
      <c r="K320" s="77" t="str">
        <f>VLOOKUP(D320,Sheet15!D:G,4,FALSE)</f>
        <v/>
      </c>
      <c r="L320" s="73"/>
      <c r="M320" s="73"/>
      <c r="N320" s="73"/>
      <c r="O320" s="73"/>
      <c r="P320" s="73"/>
      <c r="Q320" s="73"/>
      <c r="R320" s="73"/>
      <c r="S320" s="73"/>
      <c r="T320" s="73"/>
      <c r="U320" s="73"/>
      <c r="V320" s="73"/>
      <c r="W320" s="73"/>
      <c r="X320" s="73"/>
    </row>
    <row r="321">
      <c r="A321" s="74">
        <v>330.0</v>
      </c>
      <c r="B321" s="74" t="s">
        <v>1421</v>
      </c>
      <c r="C321" s="74"/>
      <c r="D321" s="82" t="s">
        <v>1661</v>
      </c>
      <c r="E321" s="76">
        <v>45725.0</v>
      </c>
      <c r="F321" s="74" t="str">
        <f>VLOOKUP(D321,Sheet15!D:H,5,FALSE)</f>
        <v>مكتمل</v>
      </c>
      <c r="G321" s="74"/>
      <c r="H321" s="74" t="s">
        <v>29</v>
      </c>
      <c r="I321" s="74" t="str">
        <f>VLOOKUP(D321,Sheet15!D:K,8,FALSE)</f>
        <v>2025-153126</v>
      </c>
      <c r="J321" s="76">
        <f t="shared" si="1"/>
        <v>-45725</v>
      </c>
      <c r="K321" s="77" t="str">
        <f>VLOOKUP(D321,Sheet15!D:G,4,FALSE)</f>
        <v/>
      </c>
      <c r="L321" s="73"/>
      <c r="M321" s="73"/>
      <c r="N321" s="73"/>
      <c r="O321" s="73"/>
      <c r="P321" s="73"/>
      <c r="Q321" s="73"/>
      <c r="R321" s="73"/>
      <c r="S321" s="73"/>
      <c r="T321" s="73"/>
      <c r="U321" s="73"/>
      <c r="V321" s="73"/>
      <c r="W321" s="73"/>
      <c r="X321" s="73"/>
    </row>
    <row r="322">
      <c r="A322" s="74">
        <v>331.0</v>
      </c>
      <c r="B322" s="74" t="s">
        <v>1421</v>
      </c>
      <c r="C322" s="74"/>
      <c r="D322" s="83" t="s">
        <v>1662</v>
      </c>
      <c r="E322" s="76">
        <v>45725.0</v>
      </c>
      <c r="F322" s="74" t="str">
        <f>VLOOKUP(D322,Sheet15!D:H,5,FALSE)</f>
        <v>مكتمل</v>
      </c>
      <c r="G322" s="74"/>
      <c r="H322" s="74" t="s">
        <v>29</v>
      </c>
      <c r="I322" s="74" t="str">
        <f>VLOOKUP(D322,Sheet15!D:K,8,FALSE)</f>
        <v>2025-153151</v>
      </c>
      <c r="J322" s="76">
        <f t="shared" si="1"/>
        <v>-45725</v>
      </c>
      <c r="K322" s="77" t="str">
        <f>VLOOKUP(D322,Sheet15!D:G,4,FALSE)</f>
        <v/>
      </c>
      <c r="L322" s="73"/>
      <c r="M322" s="73"/>
      <c r="N322" s="73"/>
      <c r="O322" s="73"/>
      <c r="P322" s="73"/>
      <c r="Q322" s="73"/>
      <c r="R322" s="73"/>
      <c r="S322" s="73"/>
      <c r="T322" s="73"/>
      <c r="U322" s="73"/>
      <c r="V322" s="73"/>
      <c r="W322" s="73"/>
      <c r="X322" s="73"/>
    </row>
    <row r="323">
      <c r="A323" s="74">
        <v>332.0</v>
      </c>
      <c r="B323" s="74" t="s">
        <v>1421</v>
      </c>
      <c r="C323" s="74"/>
      <c r="D323" s="83" t="s">
        <v>1663</v>
      </c>
      <c r="E323" s="76">
        <v>45725.0</v>
      </c>
      <c r="F323" s="74" t="str">
        <f>VLOOKUP(D323,Sheet15!D:H,5,FALSE)</f>
        <v>مكتمل</v>
      </c>
      <c r="G323" s="74"/>
      <c r="H323" s="74" t="s">
        <v>29</v>
      </c>
      <c r="I323" s="74" t="str">
        <f>VLOOKUP(D323,Sheet15!D:K,8,FALSE)</f>
        <v>2025-153168</v>
      </c>
      <c r="J323" s="76">
        <f t="shared" si="1"/>
        <v>-45725</v>
      </c>
      <c r="K323" s="77" t="str">
        <f>VLOOKUP(D323,Sheet15!D:G,4,FALSE)</f>
        <v/>
      </c>
      <c r="L323" s="73"/>
      <c r="M323" s="73"/>
      <c r="N323" s="73"/>
      <c r="O323" s="73"/>
      <c r="P323" s="73"/>
      <c r="Q323" s="73"/>
      <c r="R323" s="73"/>
      <c r="S323" s="73"/>
      <c r="T323" s="73"/>
      <c r="U323" s="73"/>
      <c r="V323" s="73"/>
      <c r="W323" s="73"/>
      <c r="X323" s="73"/>
    </row>
    <row r="324">
      <c r="A324" s="74">
        <v>333.0</v>
      </c>
      <c r="B324" s="74" t="s">
        <v>1421</v>
      </c>
      <c r="C324" s="74"/>
      <c r="D324" s="83" t="s">
        <v>1664</v>
      </c>
      <c r="E324" s="76">
        <v>45725.0</v>
      </c>
      <c r="F324" s="74" t="str">
        <f>VLOOKUP(D324,Sheet15!D:H,5,FALSE)</f>
        <v>مكتمل</v>
      </c>
      <c r="G324" s="74"/>
      <c r="H324" s="74" t="s">
        <v>29</v>
      </c>
      <c r="I324" s="74" t="str">
        <f>VLOOKUP(D324,Sheet15!D:K,8,FALSE)</f>
        <v>2025-153195</v>
      </c>
      <c r="J324" s="76">
        <f t="shared" si="1"/>
        <v>-45725</v>
      </c>
      <c r="K324" s="77" t="str">
        <f>VLOOKUP(D324,Sheet15!D:G,4,FALSE)</f>
        <v/>
      </c>
      <c r="L324" s="73"/>
      <c r="M324" s="73"/>
      <c r="N324" s="73"/>
      <c r="O324" s="73"/>
      <c r="P324" s="73"/>
      <c r="Q324" s="73"/>
      <c r="R324" s="73"/>
      <c r="S324" s="73"/>
      <c r="T324" s="73"/>
      <c r="U324" s="73"/>
      <c r="V324" s="73"/>
      <c r="W324" s="73"/>
      <c r="X324" s="73"/>
    </row>
    <row r="325">
      <c r="A325" s="74">
        <v>334.0</v>
      </c>
      <c r="B325" s="74" t="s">
        <v>1421</v>
      </c>
      <c r="C325" s="74"/>
      <c r="D325" s="83" t="s">
        <v>1665</v>
      </c>
      <c r="E325" s="76">
        <v>45725.0</v>
      </c>
      <c r="F325" s="74" t="str">
        <f>VLOOKUP(D325,Sheet15!D:H,5,FALSE)</f>
        <v>مكتمل</v>
      </c>
      <c r="G325" s="74"/>
      <c r="H325" s="74" t="s">
        <v>29</v>
      </c>
      <c r="I325" s="74" t="str">
        <f>VLOOKUP(D325,Sheet15!D:K,8,FALSE)</f>
        <v>2025-153210</v>
      </c>
      <c r="J325" s="76">
        <f t="shared" si="1"/>
        <v>-45725</v>
      </c>
      <c r="K325" s="77" t="str">
        <f>VLOOKUP(D325,Sheet15!D:G,4,FALSE)</f>
        <v/>
      </c>
      <c r="L325" s="73"/>
      <c r="M325" s="73"/>
      <c r="N325" s="73"/>
      <c r="O325" s="73"/>
      <c r="P325" s="73"/>
      <c r="Q325" s="73"/>
      <c r="R325" s="73"/>
      <c r="S325" s="73"/>
      <c r="T325" s="73"/>
      <c r="U325" s="73"/>
      <c r="V325" s="73"/>
      <c r="W325" s="73"/>
      <c r="X325" s="73"/>
    </row>
    <row r="326">
      <c r="A326" s="74">
        <v>335.0</v>
      </c>
      <c r="B326" s="74" t="s">
        <v>1421</v>
      </c>
      <c r="C326" s="74"/>
      <c r="D326" s="83" t="s">
        <v>1666</v>
      </c>
      <c r="E326" s="76">
        <v>45725.0</v>
      </c>
      <c r="F326" s="74" t="str">
        <f>VLOOKUP(D326,Sheet15!D:H,5,FALSE)</f>
        <v>مكتمل</v>
      </c>
      <c r="G326" s="74"/>
      <c r="H326" s="74" t="s">
        <v>29</v>
      </c>
      <c r="I326" s="74" t="str">
        <f>VLOOKUP(D326,Sheet15!D:K,8,FALSE)</f>
        <v>2025-157883</v>
      </c>
      <c r="J326" s="76">
        <f t="shared" si="1"/>
        <v>-45725</v>
      </c>
      <c r="K326" s="77" t="str">
        <f>VLOOKUP(D326,Sheet15!D:G,4,FALSE)</f>
        <v/>
      </c>
      <c r="L326" s="73"/>
      <c r="M326" s="73"/>
      <c r="N326" s="73"/>
      <c r="O326" s="73"/>
      <c r="P326" s="73"/>
      <c r="Q326" s="73"/>
      <c r="R326" s="73"/>
      <c r="S326" s="73"/>
      <c r="T326" s="73"/>
      <c r="U326" s="73"/>
      <c r="V326" s="73"/>
      <c r="W326" s="73"/>
      <c r="X326" s="73"/>
    </row>
    <row r="327">
      <c r="A327" s="74">
        <v>336.0</v>
      </c>
      <c r="B327" s="74" t="s">
        <v>1421</v>
      </c>
      <c r="C327" s="74"/>
      <c r="D327" s="83" t="s">
        <v>1667</v>
      </c>
      <c r="E327" s="76">
        <v>45725.0</v>
      </c>
      <c r="F327" s="74" t="str">
        <f>VLOOKUP(D327,Sheet15!D:H,5,FALSE)</f>
        <v>مكتمل</v>
      </c>
      <c r="G327" s="74"/>
      <c r="H327" s="74" t="s">
        <v>29</v>
      </c>
      <c r="I327" s="74" t="str">
        <f>VLOOKUP(D327,Sheet15!D:K,8,FALSE)</f>
        <v>2025-157942</v>
      </c>
      <c r="J327" s="76">
        <f t="shared" si="1"/>
        <v>-45725</v>
      </c>
      <c r="K327" s="77" t="str">
        <f>VLOOKUP(D327,Sheet15!D:G,4,FALSE)</f>
        <v/>
      </c>
      <c r="L327" s="73"/>
      <c r="M327" s="73"/>
      <c r="N327" s="73"/>
      <c r="O327" s="73"/>
      <c r="P327" s="73"/>
      <c r="Q327" s="73"/>
      <c r="R327" s="73"/>
      <c r="S327" s="73"/>
      <c r="T327" s="73"/>
      <c r="U327" s="73"/>
      <c r="V327" s="73"/>
      <c r="W327" s="73"/>
      <c r="X327" s="73"/>
    </row>
    <row r="328">
      <c r="A328" s="74">
        <v>337.0</v>
      </c>
      <c r="B328" s="74" t="s">
        <v>1421</v>
      </c>
      <c r="C328" s="74"/>
      <c r="D328" s="83" t="s">
        <v>1668</v>
      </c>
      <c r="E328" s="76">
        <v>45725.0</v>
      </c>
      <c r="F328" s="74" t="str">
        <f>VLOOKUP(D328,Sheet15!D:H,5,FALSE)</f>
        <v>مكتمل</v>
      </c>
      <c r="G328" s="74"/>
      <c r="H328" s="74" t="s">
        <v>29</v>
      </c>
      <c r="I328" s="74" t="str">
        <f>VLOOKUP(D328,Sheet15!D:K,8,FALSE)</f>
        <v>2025-157949</v>
      </c>
      <c r="J328" s="76">
        <f t="shared" si="1"/>
        <v>-45725</v>
      </c>
      <c r="K328" s="77" t="str">
        <f>VLOOKUP(D328,Sheet15!D:G,4,FALSE)</f>
        <v/>
      </c>
      <c r="L328" s="73"/>
      <c r="M328" s="73"/>
      <c r="N328" s="73"/>
      <c r="O328" s="73"/>
      <c r="P328" s="73"/>
      <c r="Q328" s="73"/>
      <c r="R328" s="73"/>
      <c r="S328" s="73"/>
      <c r="T328" s="73"/>
      <c r="U328" s="73"/>
      <c r="V328" s="73"/>
      <c r="W328" s="73"/>
      <c r="X328" s="73"/>
    </row>
    <row r="329">
      <c r="A329" s="74">
        <v>338.0</v>
      </c>
      <c r="B329" s="74" t="s">
        <v>1421</v>
      </c>
      <c r="C329" s="74"/>
      <c r="D329" s="83" t="s">
        <v>1669</v>
      </c>
      <c r="E329" s="76">
        <v>45725.0</v>
      </c>
      <c r="F329" s="74" t="str">
        <f>VLOOKUP(D329,Sheet15!D:H,5,FALSE)</f>
        <v>مكتمل</v>
      </c>
      <c r="G329" s="74"/>
      <c r="H329" s="74" t="s">
        <v>29</v>
      </c>
      <c r="I329" s="74" t="str">
        <f>VLOOKUP(D329,Sheet15!D:K,8,FALSE)</f>
        <v>2025-158117</v>
      </c>
      <c r="J329" s="76">
        <f t="shared" si="1"/>
        <v>-45725</v>
      </c>
      <c r="K329" s="77" t="str">
        <f>VLOOKUP(D329,Sheet15!D:G,4,FALSE)</f>
        <v/>
      </c>
      <c r="L329" s="73"/>
      <c r="M329" s="73"/>
      <c r="N329" s="73"/>
      <c r="O329" s="73"/>
      <c r="P329" s="73"/>
      <c r="Q329" s="73"/>
      <c r="R329" s="73"/>
      <c r="S329" s="73"/>
      <c r="T329" s="73"/>
      <c r="U329" s="73"/>
      <c r="V329" s="73"/>
      <c r="W329" s="73"/>
      <c r="X329" s="73"/>
    </row>
    <row r="330">
      <c r="A330" s="74">
        <v>339.0</v>
      </c>
      <c r="B330" s="74" t="s">
        <v>1421</v>
      </c>
      <c r="C330" s="74"/>
      <c r="D330" s="83" t="s">
        <v>1670</v>
      </c>
      <c r="E330" s="76">
        <v>45725.0</v>
      </c>
      <c r="F330" s="74" t="str">
        <f>VLOOKUP(D330,Sheet15!D:H,5,FALSE)</f>
        <v>مكتمل</v>
      </c>
      <c r="G330" s="74"/>
      <c r="H330" s="74" t="s">
        <v>29</v>
      </c>
      <c r="I330" s="74" t="str">
        <f>VLOOKUP(D330,Sheet15!D:K,8,FALSE)</f>
        <v>2025-158130</v>
      </c>
      <c r="J330" s="76">
        <f t="shared" si="1"/>
        <v>-45725</v>
      </c>
      <c r="K330" s="77" t="str">
        <f>VLOOKUP(D330,Sheet15!D:G,4,FALSE)</f>
        <v/>
      </c>
      <c r="L330" s="73"/>
      <c r="M330" s="73"/>
      <c r="N330" s="73"/>
      <c r="O330" s="73"/>
      <c r="P330" s="73"/>
      <c r="Q330" s="73"/>
      <c r="R330" s="73"/>
      <c r="S330" s="73"/>
      <c r="T330" s="73"/>
      <c r="U330" s="73"/>
      <c r="V330" s="73"/>
      <c r="W330" s="73"/>
      <c r="X330" s="73"/>
    </row>
    <row r="331">
      <c r="A331" s="74">
        <v>340.0</v>
      </c>
      <c r="B331" s="74" t="s">
        <v>1421</v>
      </c>
      <c r="C331" s="74"/>
      <c r="D331" s="83" t="s">
        <v>1671</v>
      </c>
      <c r="E331" s="76">
        <v>45725.0</v>
      </c>
      <c r="F331" s="74" t="str">
        <f>VLOOKUP(D331,Sheet15!D:H,5,FALSE)</f>
        <v>مكتمل</v>
      </c>
      <c r="G331" s="74"/>
      <c r="H331" s="74" t="s">
        <v>29</v>
      </c>
      <c r="I331" s="74" t="str">
        <f>VLOOKUP(D331,Sheet15!D:K,8,FALSE)</f>
        <v>2025-158143</v>
      </c>
      <c r="J331" s="76">
        <f t="shared" si="1"/>
        <v>-45725</v>
      </c>
      <c r="K331" s="77" t="str">
        <f>VLOOKUP(D331,Sheet15!D:G,4,FALSE)</f>
        <v/>
      </c>
      <c r="L331" s="73"/>
      <c r="M331" s="73"/>
      <c r="N331" s="73"/>
      <c r="O331" s="73"/>
      <c r="P331" s="73"/>
      <c r="Q331" s="73"/>
      <c r="R331" s="73"/>
      <c r="S331" s="73"/>
      <c r="T331" s="73"/>
      <c r="U331" s="73"/>
      <c r="V331" s="73"/>
      <c r="W331" s="73"/>
      <c r="X331" s="73"/>
    </row>
    <row r="332">
      <c r="A332" s="74">
        <v>341.0</v>
      </c>
      <c r="B332" s="74" t="s">
        <v>1421</v>
      </c>
      <c r="C332" s="74"/>
      <c r="D332" s="83" t="s">
        <v>1672</v>
      </c>
      <c r="E332" s="76">
        <v>45725.0</v>
      </c>
      <c r="F332" s="74" t="str">
        <f>VLOOKUP(D332,Sheet15!D:H,5,FALSE)</f>
        <v>مكتمل</v>
      </c>
      <c r="G332" s="74"/>
      <c r="H332" s="74" t="s">
        <v>29</v>
      </c>
      <c r="I332" s="74" t="str">
        <f>VLOOKUP(D332,Sheet15!D:K,8,FALSE)</f>
        <v>2025-158160</v>
      </c>
      <c r="J332" s="76">
        <f t="shared" si="1"/>
        <v>-45725</v>
      </c>
      <c r="K332" s="77" t="str">
        <f>VLOOKUP(D332,Sheet15!D:G,4,FALSE)</f>
        <v/>
      </c>
      <c r="L332" s="73"/>
      <c r="M332" s="73"/>
      <c r="N332" s="73"/>
      <c r="O332" s="73"/>
      <c r="P332" s="73"/>
      <c r="Q332" s="73"/>
      <c r="R332" s="73"/>
      <c r="S332" s="73"/>
      <c r="T332" s="73"/>
      <c r="U332" s="73"/>
      <c r="V332" s="73"/>
      <c r="W332" s="73"/>
      <c r="X332" s="73"/>
    </row>
    <row r="333">
      <c r="A333" s="74">
        <v>342.0</v>
      </c>
      <c r="B333" s="74" t="s">
        <v>1421</v>
      </c>
      <c r="C333" s="74"/>
      <c r="D333" s="83" t="s">
        <v>1673</v>
      </c>
      <c r="E333" s="76">
        <v>45725.0</v>
      </c>
      <c r="F333" s="74" t="str">
        <f>VLOOKUP(D333,Sheet15!D:H,5,FALSE)</f>
        <v>مكتمل</v>
      </c>
      <c r="G333" s="74"/>
      <c r="H333" s="74" t="s">
        <v>29</v>
      </c>
      <c r="I333" s="74" t="str">
        <f>VLOOKUP(D333,Sheet15!D:K,8,FALSE)</f>
        <v>2025-159083</v>
      </c>
      <c r="J333" s="76">
        <f t="shared" si="1"/>
        <v>-45725</v>
      </c>
      <c r="K333" s="77" t="str">
        <f>VLOOKUP(D333,Sheet15!D:G,4,FALSE)</f>
        <v/>
      </c>
      <c r="L333" s="73"/>
      <c r="M333" s="73"/>
      <c r="N333" s="73"/>
      <c r="O333" s="73"/>
      <c r="P333" s="73"/>
      <c r="Q333" s="73"/>
      <c r="R333" s="73"/>
      <c r="S333" s="73"/>
      <c r="T333" s="73"/>
      <c r="U333" s="73"/>
      <c r="V333" s="73"/>
      <c r="W333" s="73"/>
      <c r="X333" s="73"/>
    </row>
    <row r="334">
      <c r="A334" s="74">
        <v>343.0</v>
      </c>
      <c r="B334" s="74" t="s">
        <v>1421</v>
      </c>
      <c r="C334" s="74"/>
      <c r="D334" s="83" t="s">
        <v>1674</v>
      </c>
      <c r="E334" s="76">
        <v>45725.0</v>
      </c>
      <c r="F334" s="74" t="str">
        <f>VLOOKUP(D334,Sheet15!D:H,5,FALSE)</f>
        <v>مكتمل</v>
      </c>
      <c r="G334" s="74"/>
      <c r="H334" s="74" t="s">
        <v>29</v>
      </c>
      <c r="I334" s="74" t="str">
        <f>VLOOKUP(D334,Sheet15!D:K,8,FALSE)</f>
        <v>2025-159103</v>
      </c>
      <c r="J334" s="76">
        <f t="shared" si="1"/>
        <v>-45725</v>
      </c>
      <c r="K334" s="77" t="str">
        <f>VLOOKUP(D334,Sheet15!D:G,4,FALSE)</f>
        <v/>
      </c>
      <c r="L334" s="73"/>
      <c r="M334" s="73"/>
      <c r="N334" s="73"/>
      <c r="O334" s="73"/>
      <c r="P334" s="73"/>
      <c r="Q334" s="73"/>
      <c r="R334" s="73"/>
      <c r="S334" s="73"/>
      <c r="T334" s="73"/>
      <c r="U334" s="73"/>
      <c r="V334" s="73"/>
      <c r="W334" s="73"/>
      <c r="X334" s="73"/>
    </row>
    <row r="335">
      <c r="A335" s="74">
        <v>344.0</v>
      </c>
      <c r="B335" s="74" t="s">
        <v>1421</v>
      </c>
      <c r="C335" s="74"/>
      <c r="D335" s="83" t="s">
        <v>1675</v>
      </c>
      <c r="E335" s="76">
        <v>45725.0</v>
      </c>
      <c r="F335" s="74" t="str">
        <f>VLOOKUP(D335,Sheet15!D:H,5,FALSE)</f>
        <v>مكتمل</v>
      </c>
      <c r="G335" s="74"/>
      <c r="H335" s="74" t="s">
        <v>29</v>
      </c>
      <c r="I335" s="74" t="str">
        <f>VLOOKUP(D335,Sheet15!D:K,8,FALSE)</f>
        <v>2025-159163</v>
      </c>
      <c r="J335" s="76">
        <f t="shared" si="1"/>
        <v>-45725</v>
      </c>
      <c r="K335" s="77" t="str">
        <f>VLOOKUP(D335,Sheet15!D:G,4,FALSE)</f>
        <v/>
      </c>
      <c r="L335" s="73"/>
      <c r="M335" s="73"/>
      <c r="N335" s="73"/>
      <c r="O335" s="73"/>
      <c r="P335" s="73"/>
      <c r="Q335" s="73"/>
      <c r="R335" s="73"/>
      <c r="S335" s="73"/>
      <c r="T335" s="73"/>
      <c r="U335" s="73"/>
      <c r="V335" s="73"/>
      <c r="W335" s="73"/>
      <c r="X335" s="73"/>
    </row>
    <row r="336">
      <c r="A336" s="74">
        <v>345.0</v>
      </c>
      <c r="B336" s="74" t="s">
        <v>1421</v>
      </c>
      <c r="C336" s="74"/>
      <c r="D336" s="83" t="s">
        <v>1676</v>
      </c>
      <c r="E336" s="76">
        <v>45725.0</v>
      </c>
      <c r="F336" s="74" t="str">
        <f>VLOOKUP(D336,Sheet15!D:H,5,FALSE)</f>
        <v>مكتمل</v>
      </c>
      <c r="G336" s="74"/>
      <c r="H336" s="74" t="s">
        <v>29</v>
      </c>
      <c r="I336" s="74" t="str">
        <f>VLOOKUP(D336,Sheet15!D:K,8,FALSE)</f>
        <v>2025-159185</v>
      </c>
      <c r="J336" s="76">
        <f t="shared" si="1"/>
        <v>-45725</v>
      </c>
      <c r="K336" s="77" t="str">
        <f>VLOOKUP(D336,Sheet15!D:G,4,FALSE)</f>
        <v/>
      </c>
      <c r="L336" s="73"/>
      <c r="M336" s="73"/>
      <c r="N336" s="73"/>
      <c r="O336" s="73"/>
      <c r="P336" s="73"/>
      <c r="Q336" s="73"/>
      <c r="R336" s="73"/>
      <c r="S336" s="73"/>
      <c r="T336" s="73"/>
      <c r="U336" s="73"/>
      <c r="V336" s="73"/>
      <c r="W336" s="73"/>
      <c r="X336" s="73"/>
    </row>
    <row r="337">
      <c r="A337" s="74">
        <v>346.0</v>
      </c>
      <c r="B337" s="74" t="s">
        <v>1421</v>
      </c>
      <c r="C337" s="74"/>
      <c r="D337" s="83" t="s">
        <v>1677</v>
      </c>
      <c r="E337" s="76">
        <v>45725.0</v>
      </c>
      <c r="F337" s="74" t="str">
        <f>VLOOKUP(D337,Sheet15!D:H,5,FALSE)</f>
        <v>مكتمل</v>
      </c>
      <c r="G337" s="74"/>
      <c r="H337" s="74" t="s">
        <v>29</v>
      </c>
      <c r="I337" s="74" t="str">
        <f>VLOOKUP(D337,Sheet15!D:K,8,FALSE)</f>
        <v>2025-159217</v>
      </c>
      <c r="J337" s="76">
        <f t="shared" si="1"/>
        <v>-45725</v>
      </c>
      <c r="K337" s="77" t="str">
        <f>VLOOKUP(D337,Sheet15!D:G,4,FALSE)</f>
        <v/>
      </c>
      <c r="L337" s="73"/>
      <c r="M337" s="73"/>
      <c r="N337" s="73"/>
      <c r="O337" s="73"/>
      <c r="P337" s="73"/>
      <c r="Q337" s="73"/>
      <c r="R337" s="73"/>
      <c r="S337" s="73"/>
      <c r="T337" s="73"/>
      <c r="U337" s="73"/>
      <c r="V337" s="73"/>
      <c r="W337" s="73"/>
      <c r="X337" s="73"/>
    </row>
    <row r="338">
      <c r="A338" s="74">
        <v>347.0</v>
      </c>
      <c r="B338" s="74" t="s">
        <v>1421</v>
      </c>
      <c r="C338" s="74"/>
      <c r="D338" s="83" t="s">
        <v>1678</v>
      </c>
      <c r="E338" s="76">
        <v>45725.0</v>
      </c>
      <c r="F338" s="74" t="str">
        <f>VLOOKUP(D338,Sheet15!D:H,5,FALSE)</f>
        <v>مكتمل</v>
      </c>
      <c r="G338" s="74"/>
      <c r="H338" s="74" t="s">
        <v>29</v>
      </c>
      <c r="I338" s="74" t="str">
        <f>VLOOKUP(D338,Sheet15!D:K,8,FALSE)</f>
        <v>2025-159273</v>
      </c>
      <c r="J338" s="76">
        <f t="shared" si="1"/>
        <v>-45725</v>
      </c>
      <c r="K338" s="77" t="str">
        <f>VLOOKUP(D338,Sheet15!D:G,4,FALSE)</f>
        <v/>
      </c>
      <c r="L338" s="73"/>
      <c r="M338" s="73"/>
      <c r="N338" s="73"/>
      <c r="O338" s="73"/>
      <c r="P338" s="73"/>
      <c r="Q338" s="73"/>
      <c r="R338" s="73"/>
      <c r="S338" s="73"/>
      <c r="T338" s="73"/>
      <c r="U338" s="73"/>
      <c r="V338" s="73"/>
      <c r="W338" s="73"/>
      <c r="X338" s="73"/>
    </row>
    <row r="339">
      <c r="A339" s="74">
        <v>348.0</v>
      </c>
      <c r="B339" s="74" t="s">
        <v>1679</v>
      </c>
      <c r="C339" s="74"/>
      <c r="D339" s="82" t="s">
        <v>1680</v>
      </c>
      <c r="E339" s="76">
        <v>45735.0</v>
      </c>
      <c r="F339" s="74" t="str">
        <f>VLOOKUP(D339,Sheet15!D:H,5,FALSE)</f>
        <v>مكتمل</v>
      </c>
      <c r="G339" s="74"/>
      <c r="H339" s="74" t="s">
        <v>29</v>
      </c>
      <c r="I339" s="74" t="str">
        <f>VLOOKUP(D339,Sheet15!D:K,8,FALSE)</f>
        <v>2025-119841</v>
      </c>
      <c r="J339" s="76">
        <f t="shared" si="1"/>
        <v>-45735</v>
      </c>
      <c r="K339" s="77" t="str">
        <f>VLOOKUP(D339,Sheet15!D:G,4,FALSE)</f>
        <v/>
      </c>
      <c r="L339" s="73"/>
      <c r="M339" s="73"/>
      <c r="N339" s="73"/>
      <c r="O339" s="73"/>
      <c r="P339" s="73"/>
      <c r="Q339" s="73"/>
      <c r="R339" s="73"/>
      <c r="S339" s="73"/>
      <c r="T339" s="73"/>
      <c r="U339" s="73"/>
      <c r="V339" s="73"/>
      <c r="W339" s="73"/>
      <c r="X339" s="73"/>
    </row>
    <row r="340">
      <c r="A340" s="74">
        <v>349.0</v>
      </c>
      <c r="B340" s="74" t="s">
        <v>1679</v>
      </c>
      <c r="C340" s="74"/>
      <c r="D340" s="82" t="s">
        <v>1681</v>
      </c>
      <c r="E340" s="76">
        <v>45735.0</v>
      </c>
      <c r="F340" s="74" t="str">
        <f>VLOOKUP(D340,Sheet15!D:H,5,FALSE)</f>
        <v>مكتمل</v>
      </c>
      <c r="G340" s="74"/>
      <c r="H340" s="74" t="s">
        <v>29</v>
      </c>
      <c r="I340" s="74" t="str">
        <f>VLOOKUP(D340,Sheet15!D:K,8,FALSE)</f>
        <v>2025-119865</v>
      </c>
      <c r="J340" s="76">
        <f t="shared" si="1"/>
        <v>-45735</v>
      </c>
      <c r="K340" s="77" t="str">
        <f>VLOOKUP(D340,Sheet15!D:G,4,FALSE)</f>
        <v/>
      </c>
      <c r="L340" s="73"/>
      <c r="M340" s="73"/>
      <c r="N340" s="73"/>
      <c r="O340" s="73"/>
      <c r="P340" s="73"/>
      <c r="Q340" s="73"/>
      <c r="R340" s="73"/>
      <c r="S340" s="73"/>
      <c r="T340" s="73"/>
      <c r="U340" s="73"/>
      <c r="V340" s="73"/>
      <c r="W340" s="73"/>
      <c r="X340" s="73"/>
    </row>
    <row r="341">
      <c r="A341" s="74">
        <v>350.0</v>
      </c>
      <c r="B341" s="74" t="s">
        <v>1679</v>
      </c>
      <c r="C341" s="74"/>
      <c r="D341" s="82" t="s">
        <v>1682</v>
      </c>
      <c r="E341" s="76">
        <v>45735.0</v>
      </c>
      <c r="F341" s="74" t="str">
        <f>VLOOKUP(D341,Sheet15!D:H,5,FALSE)</f>
        <v>مكتمل</v>
      </c>
      <c r="G341" s="74"/>
      <c r="H341" s="74" t="s">
        <v>29</v>
      </c>
      <c r="I341" s="74" t="str">
        <f>VLOOKUP(D341,Sheet15!D:K,8,FALSE)</f>
        <v>2025-119886</v>
      </c>
      <c r="J341" s="76">
        <f t="shared" si="1"/>
        <v>-45735</v>
      </c>
      <c r="K341" s="77" t="str">
        <f>VLOOKUP(D341,Sheet15!D:G,4,FALSE)</f>
        <v/>
      </c>
      <c r="L341" s="73"/>
      <c r="M341" s="73"/>
      <c r="N341" s="73"/>
      <c r="O341" s="73"/>
      <c r="P341" s="73"/>
      <c r="Q341" s="73"/>
      <c r="R341" s="73"/>
      <c r="S341" s="73"/>
      <c r="T341" s="73"/>
      <c r="U341" s="73"/>
      <c r="V341" s="73"/>
      <c r="W341" s="73"/>
      <c r="X341" s="73"/>
    </row>
    <row r="342">
      <c r="A342" s="74">
        <v>351.0</v>
      </c>
      <c r="B342" s="74" t="s">
        <v>1679</v>
      </c>
      <c r="C342" s="74"/>
      <c r="D342" s="82" t="s">
        <v>1683</v>
      </c>
      <c r="E342" s="76">
        <v>45735.0</v>
      </c>
      <c r="F342" s="74" t="str">
        <f>VLOOKUP(D342,Sheet15!D:H,5,FALSE)</f>
        <v>مكتمل</v>
      </c>
      <c r="G342" s="74"/>
      <c r="H342" s="74" t="s">
        <v>29</v>
      </c>
      <c r="I342" s="74" t="str">
        <f>VLOOKUP(D342,Sheet15!D:K,8,FALSE)</f>
        <v>2025-119894</v>
      </c>
      <c r="J342" s="76">
        <f t="shared" si="1"/>
        <v>-45735</v>
      </c>
      <c r="K342" s="77" t="str">
        <f>VLOOKUP(D342,Sheet15!D:G,4,FALSE)</f>
        <v/>
      </c>
      <c r="L342" s="73"/>
      <c r="M342" s="73"/>
      <c r="N342" s="73"/>
      <c r="O342" s="73"/>
      <c r="P342" s="73"/>
      <c r="Q342" s="73"/>
      <c r="R342" s="73"/>
      <c r="S342" s="73"/>
      <c r="T342" s="73"/>
      <c r="U342" s="73"/>
      <c r="V342" s="73"/>
      <c r="W342" s="73"/>
      <c r="X342" s="73"/>
    </row>
    <row r="343">
      <c r="A343" s="74">
        <v>352.0</v>
      </c>
      <c r="B343" s="74" t="s">
        <v>1679</v>
      </c>
      <c r="C343" s="74"/>
      <c r="D343" s="82" t="s">
        <v>1684</v>
      </c>
      <c r="E343" s="76">
        <v>45735.0</v>
      </c>
      <c r="F343" s="74" t="str">
        <f>VLOOKUP(D343,Sheet15!D:H,5,FALSE)</f>
        <v>مكتمل</v>
      </c>
      <c r="G343" s="74"/>
      <c r="H343" s="74" t="s">
        <v>29</v>
      </c>
      <c r="I343" s="74" t="str">
        <f>VLOOKUP(D343,Sheet15!D:K,8,FALSE)</f>
        <v>2025-119905</v>
      </c>
      <c r="J343" s="76">
        <f t="shared" si="1"/>
        <v>-45735</v>
      </c>
      <c r="K343" s="77" t="str">
        <f>VLOOKUP(D343,Sheet15!D:G,4,FALSE)</f>
        <v/>
      </c>
      <c r="L343" s="73"/>
      <c r="M343" s="73"/>
      <c r="N343" s="73"/>
      <c r="O343" s="73"/>
      <c r="P343" s="73"/>
      <c r="Q343" s="73"/>
      <c r="R343" s="73"/>
      <c r="S343" s="73"/>
      <c r="T343" s="73"/>
      <c r="U343" s="73"/>
      <c r="V343" s="73"/>
      <c r="W343" s="73"/>
      <c r="X343" s="73"/>
    </row>
    <row r="344">
      <c r="A344" s="74">
        <v>353.0</v>
      </c>
      <c r="B344" s="74" t="s">
        <v>1679</v>
      </c>
      <c r="C344" s="74"/>
      <c r="D344" s="82" t="s">
        <v>1685</v>
      </c>
      <c r="E344" s="76">
        <v>45735.0</v>
      </c>
      <c r="F344" s="74" t="str">
        <f>VLOOKUP(D344,Sheet15!D:H,5,FALSE)</f>
        <v>مكتمل</v>
      </c>
      <c r="G344" s="74"/>
      <c r="H344" s="74" t="s">
        <v>29</v>
      </c>
      <c r="I344" s="74" t="str">
        <f>VLOOKUP(D344,Sheet15!D:K,8,FALSE)</f>
        <v>2025-119943</v>
      </c>
      <c r="J344" s="76">
        <f t="shared" si="1"/>
        <v>-45735</v>
      </c>
      <c r="K344" s="77" t="str">
        <f>VLOOKUP(D344,Sheet15!D:G,4,FALSE)</f>
        <v/>
      </c>
      <c r="L344" s="73"/>
      <c r="M344" s="73"/>
      <c r="N344" s="73"/>
      <c r="O344" s="73"/>
      <c r="P344" s="73"/>
      <c r="Q344" s="73"/>
      <c r="R344" s="73"/>
      <c r="S344" s="73"/>
      <c r="T344" s="73"/>
      <c r="U344" s="73"/>
      <c r="V344" s="73"/>
      <c r="W344" s="73"/>
      <c r="X344" s="73"/>
    </row>
    <row r="345">
      <c r="A345" s="74">
        <v>354.0</v>
      </c>
      <c r="B345" s="74" t="s">
        <v>1679</v>
      </c>
      <c r="C345" s="74"/>
      <c r="D345" s="82" t="s">
        <v>1686</v>
      </c>
      <c r="E345" s="76">
        <v>45735.0</v>
      </c>
      <c r="F345" s="74" t="str">
        <f>VLOOKUP(D345,Sheet15!D:H,5,FALSE)</f>
        <v>مكتمل</v>
      </c>
      <c r="G345" s="74"/>
      <c r="H345" s="74" t="s">
        <v>29</v>
      </c>
      <c r="I345" s="74" t="str">
        <f>VLOOKUP(D345,Sheet15!D:K,8,FALSE)</f>
        <v>2025-119925</v>
      </c>
      <c r="J345" s="76">
        <f t="shared" si="1"/>
        <v>-45735</v>
      </c>
      <c r="K345" s="77" t="str">
        <f>VLOOKUP(D345,Sheet15!D:G,4,FALSE)</f>
        <v/>
      </c>
      <c r="L345" s="73"/>
      <c r="M345" s="73"/>
      <c r="N345" s="73"/>
      <c r="O345" s="73"/>
      <c r="P345" s="73"/>
      <c r="Q345" s="73"/>
      <c r="R345" s="73"/>
      <c r="S345" s="73"/>
      <c r="T345" s="73"/>
      <c r="U345" s="73"/>
      <c r="V345" s="73"/>
      <c r="W345" s="73"/>
      <c r="X345" s="73"/>
    </row>
    <row r="346">
      <c r="A346" s="74">
        <v>355.0</v>
      </c>
      <c r="B346" s="74" t="s">
        <v>725</v>
      </c>
      <c r="C346" s="74"/>
      <c r="D346" s="75" t="s">
        <v>1687</v>
      </c>
      <c r="E346" s="76">
        <v>45753.0</v>
      </c>
      <c r="F346" s="78" t="s">
        <v>1366</v>
      </c>
      <c r="G346" s="74"/>
      <c r="H346" s="74"/>
      <c r="I346" s="74" t="str">
        <f>VLOOKUP(D346,Sheet15!D:K,8,FALSE)</f>
        <v>2025-179775</v>
      </c>
      <c r="J346" s="76">
        <f t="shared" si="1"/>
        <v>-45753</v>
      </c>
      <c r="K346" s="77" t="str">
        <f>VLOOKUP(D346,Sheet15!D:G,4,FALSE)</f>
        <v/>
      </c>
      <c r="L346" s="73"/>
      <c r="M346" s="73"/>
      <c r="N346" s="73"/>
      <c r="O346" s="73"/>
      <c r="P346" s="73"/>
      <c r="Q346" s="73"/>
      <c r="R346" s="73"/>
      <c r="S346" s="73"/>
      <c r="T346" s="73"/>
      <c r="U346" s="73"/>
      <c r="V346" s="73"/>
      <c r="W346" s="73"/>
      <c r="X346" s="73"/>
    </row>
    <row r="347">
      <c r="A347" s="74">
        <v>356.0</v>
      </c>
      <c r="B347" s="74" t="s">
        <v>725</v>
      </c>
      <c r="C347" s="74"/>
      <c r="D347" s="75" t="s">
        <v>1688</v>
      </c>
      <c r="E347" s="76">
        <v>45753.0</v>
      </c>
      <c r="F347" s="78" t="s">
        <v>1366</v>
      </c>
      <c r="G347" s="74"/>
      <c r="H347" s="74"/>
      <c r="I347" s="74" t="str">
        <f>VLOOKUP(D347,Sheet15!D:K,8,FALSE)</f>
        <v>2025-179837</v>
      </c>
      <c r="J347" s="76">
        <f t="shared" si="1"/>
        <v>-45753</v>
      </c>
      <c r="K347" s="77" t="str">
        <f>VLOOKUP(D347,Sheet15!D:G,4,FALSE)</f>
        <v/>
      </c>
      <c r="L347" s="73"/>
      <c r="M347" s="73"/>
      <c r="N347" s="73"/>
      <c r="O347" s="73"/>
      <c r="P347" s="73"/>
      <c r="Q347" s="73"/>
      <c r="R347" s="73"/>
      <c r="S347" s="73"/>
      <c r="T347" s="73"/>
      <c r="U347" s="73"/>
      <c r="V347" s="73"/>
      <c r="W347" s="73"/>
      <c r="X347" s="73"/>
    </row>
    <row r="348">
      <c r="A348" s="74">
        <v>357.0</v>
      </c>
      <c r="B348" s="74" t="s">
        <v>725</v>
      </c>
      <c r="C348" s="74"/>
      <c r="D348" s="75" t="s">
        <v>1689</v>
      </c>
      <c r="E348" s="76">
        <v>45753.0</v>
      </c>
      <c r="F348" s="74" t="str">
        <f>VLOOKUP(D348,Sheet15!D:H,5,FALSE)</f>
        <v>مكتمل</v>
      </c>
      <c r="G348" s="74"/>
      <c r="H348" s="74" t="s">
        <v>29</v>
      </c>
      <c r="I348" s="74" t="str">
        <f>VLOOKUP(D348,Sheet15!D:K,8,FALSE)</f>
        <v>2025-179850</v>
      </c>
      <c r="J348" s="76">
        <f t="shared" si="1"/>
        <v>-45753</v>
      </c>
      <c r="K348" s="77" t="str">
        <f>VLOOKUP(D348,Sheet15!D:G,4,FALSE)</f>
        <v/>
      </c>
      <c r="L348" s="73"/>
      <c r="M348" s="73"/>
      <c r="N348" s="73"/>
      <c r="O348" s="73"/>
      <c r="P348" s="73"/>
      <c r="Q348" s="73"/>
      <c r="R348" s="73"/>
      <c r="S348" s="73"/>
      <c r="T348" s="73"/>
      <c r="U348" s="73"/>
      <c r="V348" s="73"/>
      <c r="W348" s="73"/>
      <c r="X348" s="73"/>
    </row>
    <row r="349">
      <c r="A349" s="74">
        <v>358.0</v>
      </c>
      <c r="B349" s="74" t="s">
        <v>725</v>
      </c>
      <c r="C349" s="74"/>
      <c r="D349" s="75" t="s">
        <v>1690</v>
      </c>
      <c r="E349" s="76">
        <v>45753.0</v>
      </c>
      <c r="F349" s="74" t="str">
        <f>VLOOKUP(D349,Sheet15!D:H,5,FALSE)</f>
        <v>مكتمل</v>
      </c>
      <c r="G349" s="74"/>
      <c r="H349" s="74" t="s">
        <v>29</v>
      </c>
      <c r="I349" s="74" t="str">
        <f>VLOOKUP(D349,Sheet15!D:K,8,FALSE)</f>
        <v>2025-179878</v>
      </c>
      <c r="J349" s="76">
        <f t="shared" si="1"/>
        <v>-45753</v>
      </c>
      <c r="K349" s="77" t="str">
        <f>VLOOKUP(D349,Sheet15!D:G,4,FALSE)</f>
        <v/>
      </c>
      <c r="L349" s="73"/>
      <c r="M349" s="73"/>
      <c r="N349" s="73"/>
      <c r="O349" s="73"/>
      <c r="P349" s="73"/>
      <c r="Q349" s="73"/>
      <c r="R349" s="73"/>
      <c r="S349" s="73"/>
      <c r="T349" s="73"/>
      <c r="U349" s="73"/>
      <c r="V349" s="73"/>
      <c r="W349" s="73"/>
      <c r="X349" s="73"/>
    </row>
    <row r="350">
      <c r="A350" s="74">
        <v>359.0</v>
      </c>
      <c r="B350" s="74" t="s">
        <v>725</v>
      </c>
      <c r="C350" s="74"/>
      <c r="D350" s="75" t="s">
        <v>1691</v>
      </c>
      <c r="E350" s="76">
        <v>45753.0</v>
      </c>
      <c r="F350" s="74" t="str">
        <f>VLOOKUP(D350,Sheet15!D:H,5,FALSE)</f>
        <v>مكتمل</v>
      </c>
      <c r="G350" s="74"/>
      <c r="H350" s="74" t="s">
        <v>29</v>
      </c>
      <c r="I350" s="74" t="str">
        <f>VLOOKUP(D350,Sheet15!D:K,8,FALSE)</f>
        <v>2025-179890</v>
      </c>
      <c r="J350" s="76">
        <f t="shared" si="1"/>
        <v>-45753</v>
      </c>
      <c r="K350" s="77" t="str">
        <f>VLOOKUP(D350,Sheet15!D:G,4,FALSE)</f>
        <v/>
      </c>
      <c r="L350" s="73"/>
      <c r="M350" s="73"/>
      <c r="N350" s="73"/>
      <c r="O350" s="73"/>
      <c r="P350" s="73"/>
      <c r="Q350" s="73"/>
      <c r="R350" s="73"/>
      <c r="S350" s="73"/>
      <c r="T350" s="73"/>
      <c r="U350" s="73"/>
      <c r="V350" s="73"/>
      <c r="W350" s="73"/>
      <c r="X350" s="73"/>
    </row>
    <row r="351">
      <c r="A351" s="74">
        <v>360.0</v>
      </c>
      <c r="B351" s="74" t="s">
        <v>725</v>
      </c>
      <c r="C351" s="74"/>
      <c r="D351" s="75" t="s">
        <v>1692</v>
      </c>
      <c r="E351" s="76">
        <v>45753.0</v>
      </c>
      <c r="F351" s="74" t="str">
        <f>VLOOKUP(D351,Sheet15!D:H,5,FALSE)</f>
        <v>مكتمل</v>
      </c>
      <c r="G351" s="74"/>
      <c r="H351" s="74" t="s">
        <v>29</v>
      </c>
      <c r="I351" s="74" t="str">
        <f>VLOOKUP(D351,Sheet15!D:K,8,FALSE)</f>
        <v>2025-179903</v>
      </c>
      <c r="J351" s="76">
        <f t="shared" si="1"/>
        <v>-45753</v>
      </c>
      <c r="K351" s="77" t="str">
        <f>VLOOKUP(D351,Sheet15!D:G,4,FALSE)</f>
        <v/>
      </c>
      <c r="L351" s="73"/>
      <c r="M351" s="73"/>
      <c r="N351" s="73"/>
      <c r="O351" s="73"/>
      <c r="P351" s="73"/>
      <c r="Q351" s="73"/>
      <c r="R351" s="73"/>
      <c r="S351" s="73"/>
      <c r="T351" s="73"/>
      <c r="U351" s="73"/>
      <c r="V351" s="73"/>
      <c r="W351" s="73"/>
      <c r="X351" s="73"/>
    </row>
    <row r="352" ht="15.0" customHeight="1">
      <c r="A352" s="74">
        <v>361.0</v>
      </c>
      <c r="B352" s="74" t="s">
        <v>37</v>
      </c>
      <c r="C352" s="74"/>
      <c r="D352" s="75" t="s">
        <v>1693</v>
      </c>
      <c r="E352" s="76">
        <v>45753.0</v>
      </c>
      <c r="F352" s="74" t="str">
        <f>VLOOKUP(D352,Sheet15!D:H,5,FALSE)</f>
        <v>مكتمل</v>
      </c>
      <c r="G352" s="74"/>
      <c r="H352" s="74" t="s">
        <v>29</v>
      </c>
      <c r="I352" s="74" t="str">
        <f>VLOOKUP(D352,Sheet15!D:K,8,FALSE)</f>
        <v>2025-199033</v>
      </c>
      <c r="J352" s="76">
        <f t="shared" si="1"/>
        <v>-45753</v>
      </c>
      <c r="K352" s="77" t="str">
        <f>VLOOKUP(D352,Sheet15!D:G,4,FALSE)</f>
        <v/>
      </c>
      <c r="L352" s="73"/>
      <c r="M352" s="73"/>
      <c r="N352" s="73"/>
      <c r="O352" s="73"/>
      <c r="P352" s="73"/>
      <c r="Q352" s="73"/>
      <c r="R352" s="73"/>
      <c r="S352" s="73"/>
      <c r="T352" s="73"/>
      <c r="U352" s="73"/>
      <c r="V352" s="73"/>
      <c r="W352" s="73"/>
      <c r="X352" s="73"/>
    </row>
    <row r="353" ht="15.75" customHeight="1">
      <c r="A353" s="74">
        <v>362.0</v>
      </c>
      <c r="B353" s="74" t="s">
        <v>37</v>
      </c>
      <c r="C353" s="74"/>
      <c r="D353" s="75" t="s">
        <v>1694</v>
      </c>
      <c r="E353" s="76">
        <v>45753.0</v>
      </c>
      <c r="F353" s="74" t="str">
        <f>VLOOKUP(D353,Sheet15!D:H,5,FALSE)</f>
        <v>مكتمل</v>
      </c>
      <c r="G353" s="74"/>
      <c r="H353" s="74" t="s">
        <v>29</v>
      </c>
      <c r="I353" s="74" t="str">
        <f>VLOOKUP(D353,Sheet15!D:K,8,FALSE)</f>
        <v>2025-199067</v>
      </c>
      <c r="J353" s="76">
        <f t="shared" si="1"/>
        <v>-45753</v>
      </c>
      <c r="K353" s="77" t="str">
        <f>VLOOKUP(D353,Sheet15!D:G,4,FALSE)</f>
        <v/>
      </c>
      <c r="L353" s="73"/>
      <c r="M353" s="73"/>
      <c r="N353" s="73"/>
      <c r="O353" s="73"/>
      <c r="P353" s="73"/>
      <c r="Q353" s="73"/>
      <c r="R353" s="73"/>
      <c r="S353" s="73"/>
      <c r="T353" s="73"/>
      <c r="U353" s="73"/>
      <c r="V353" s="73"/>
      <c r="W353" s="73"/>
      <c r="X353" s="73"/>
    </row>
    <row r="354" ht="16.5" customHeight="1">
      <c r="A354" s="74">
        <v>363.0</v>
      </c>
      <c r="B354" s="74" t="s">
        <v>37</v>
      </c>
      <c r="C354" s="74"/>
      <c r="D354" s="75" t="s">
        <v>1695</v>
      </c>
      <c r="E354" s="76">
        <v>45753.0</v>
      </c>
      <c r="F354" s="74" t="str">
        <f>VLOOKUP(D354,Sheet15!D:H,5,FALSE)</f>
        <v>مكتمل</v>
      </c>
      <c r="G354" s="74"/>
      <c r="H354" s="74" t="s">
        <v>29</v>
      </c>
      <c r="I354" s="74" t="str">
        <f>VLOOKUP(D354,Sheet15!D:K,8,FALSE)</f>
        <v>2025-199084</v>
      </c>
      <c r="J354" s="76">
        <f t="shared" si="1"/>
        <v>-45753</v>
      </c>
      <c r="K354" s="77" t="str">
        <f>VLOOKUP(D354,Sheet15!D:G,4,FALSE)</f>
        <v/>
      </c>
      <c r="L354" s="73"/>
      <c r="M354" s="73"/>
      <c r="N354" s="73"/>
      <c r="O354" s="73"/>
      <c r="P354" s="73"/>
      <c r="Q354" s="73"/>
      <c r="R354" s="73"/>
      <c r="S354" s="73"/>
      <c r="T354" s="73"/>
      <c r="U354" s="73"/>
      <c r="V354" s="73"/>
      <c r="W354" s="73"/>
      <c r="X354" s="73"/>
    </row>
    <row r="355" ht="15.0" customHeight="1">
      <c r="A355" s="74">
        <v>364.0</v>
      </c>
      <c r="B355" s="74" t="s">
        <v>37</v>
      </c>
      <c r="C355" s="74"/>
      <c r="D355" s="75" t="s">
        <v>1696</v>
      </c>
      <c r="E355" s="76">
        <v>45753.0</v>
      </c>
      <c r="F355" s="74" t="str">
        <f>VLOOKUP(D355,Sheet15!D:H,5,FALSE)</f>
        <v>مكتمل</v>
      </c>
      <c r="G355" s="74"/>
      <c r="H355" s="74" t="s">
        <v>29</v>
      </c>
      <c r="I355" s="74" t="str">
        <f>VLOOKUP(D355,Sheet15!D:K,8,FALSE)</f>
        <v>2025-199117</v>
      </c>
      <c r="J355" s="76">
        <f t="shared" si="1"/>
        <v>-45753</v>
      </c>
      <c r="K355" s="77" t="str">
        <f>VLOOKUP(D355,Sheet15!D:G,4,FALSE)</f>
        <v/>
      </c>
      <c r="L355" s="73"/>
      <c r="M355" s="73"/>
      <c r="N355" s="73"/>
      <c r="O355" s="73"/>
      <c r="P355" s="73"/>
      <c r="Q355" s="73"/>
      <c r="R355" s="73"/>
      <c r="S355" s="73"/>
      <c r="T355" s="73"/>
      <c r="U355" s="73"/>
      <c r="V355" s="73"/>
      <c r="W355" s="73"/>
      <c r="X355" s="73"/>
    </row>
    <row r="356" ht="19.5" customHeight="1">
      <c r="A356" s="74">
        <v>365.0</v>
      </c>
      <c r="B356" s="74" t="s">
        <v>37</v>
      </c>
      <c r="C356" s="74"/>
      <c r="D356" s="75" t="s">
        <v>1697</v>
      </c>
      <c r="E356" s="76">
        <v>45753.0</v>
      </c>
      <c r="F356" s="74" t="str">
        <f>VLOOKUP(D356,Sheet15!D:H,5,FALSE)</f>
        <v>مكتمل</v>
      </c>
      <c r="G356" s="74"/>
      <c r="H356" s="74" t="s">
        <v>29</v>
      </c>
      <c r="I356" s="74" t="str">
        <f>VLOOKUP(D356,Sheet15!D:K,8,FALSE)</f>
        <v>2025-199151</v>
      </c>
      <c r="J356" s="76">
        <f t="shared" si="1"/>
        <v>-45753</v>
      </c>
      <c r="K356" s="77" t="str">
        <f>VLOOKUP(D356,Sheet15!D:G,4,FALSE)</f>
        <v/>
      </c>
      <c r="L356" s="73"/>
      <c r="M356" s="73"/>
      <c r="N356" s="73"/>
      <c r="O356" s="73"/>
      <c r="P356" s="73"/>
      <c r="Q356" s="73"/>
      <c r="R356" s="73"/>
      <c r="S356" s="73"/>
      <c r="T356" s="73"/>
      <c r="U356" s="73"/>
      <c r="V356" s="73"/>
      <c r="W356" s="73"/>
      <c r="X356" s="73"/>
    </row>
    <row r="357" ht="15.75" customHeight="1">
      <c r="A357" s="74">
        <v>366.0</v>
      </c>
      <c r="B357" s="74" t="s">
        <v>37</v>
      </c>
      <c r="C357" s="74"/>
      <c r="D357" s="75" t="s">
        <v>1698</v>
      </c>
      <c r="E357" s="76">
        <v>45753.0</v>
      </c>
      <c r="F357" s="74" t="str">
        <f>VLOOKUP(D357,Sheet15!D:H,5,FALSE)</f>
        <v>مكتمل</v>
      </c>
      <c r="G357" s="74"/>
      <c r="H357" s="74" t="s">
        <v>29</v>
      </c>
      <c r="I357" s="74" t="str">
        <f>VLOOKUP(D357,Sheet15!D:K,8,FALSE)</f>
        <v>2025-199189</v>
      </c>
      <c r="J357" s="76">
        <f t="shared" si="1"/>
        <v>-45753</v>
      </c>
      <c r="K357" s="77" t="str">
        <f>VLOOKUP(D357,Sheet15!D:G,4,FALSE)</f>
        <v/>
      </c>
      <c r="L357" s="73"/>
      <c r="M357" s="73"/>
      <c r="N357" s="73"/>
      <c r="O357" s="73"/>
      <c r="P357" s="73"/>
      <c r="Q357" s="73"/>
      <c r="R357" s="73"/>
      <c r="S357" s="73"/>
      <c r="T357" s="73"/>
      <c r="U357" s="73"/>
      <c r="V357" s="73"/>
      <c r="W357" s="73"/>
      <c r="X357" s="73"/>
    </row>
    <row r="358" ht="19.5" customHeight="1">
      <c r="A358" s="74">
        <v>367.0</v>
      </c>
      <c r="B358" s="74" t="s">
        <v>37</v>
      </c>
      <c r="C358" s="74"/>
      <c r="D358" s="75" t="s">
        <v>1699</v>
      </c>
      <c r="E358" s="76">
        <v>45753.0</v>
      </c>
      <c r="F358" s="74" t="str">
        <f>VLOOKUP(D358,Sheet15!D:H,5,FALSE)</f>
        <v>مكتمل</v>
      </c>
      <c r="G358" s="74"/>
      <c r="H358" s="74" t="s">
        <v>29</v>
      </c>
      <c r="I358" s="74" t="str">
        <f>VLOOKUP(D358,Sheet15!D:K,8,FALSE)</f>
        <v>2025-199197</v>
      </c>
      <c r="J358" s="76">
        <f t="shared" si="1"/>
        <v>-45753</v>
      </c>
      <c r="K358" s="77" t="str">
        <f>VLOOKUP(D358,Sheet15!D:G,4,FALSE)</f>
        <v/>
      </c>
      <c r="L358" s="73"/>
      <c r="M358" s="73"/>
      <c r="N358" s="73"/>
      <c r="O358" s="73"/>
      <c r="P358" s="73"/>
      <c r="Q358" s="73"/>
      <c r="R358" s="73"/>
      <c r="S358" s="73"/>
      <c r="T358" s="73"/>
      <c r="U358" s="73"/>
      <c r="V358" s="73"/>
      <c r="W358" s="73"/>
      <c r="X358" s="73"/>
    </row>
    <row r="359" ht="19.5" customHeight="1">
      <c r="A359" s="74">
        <v>368.0</v>
      </c>
      <c r="B359" s="74" t="s">
        <v>37</v>
      </c>
      <c r="C359" s="74"/>
      <c r="D359" s="75" t="s">
        <v>1700</v>
      </c>
      <c r="E359" s="76">
        <v>45907.0</v>
      </c>
      <c r="F359" s="74" t="str">
        <f>VLOOKUP(D359,Sheet15!D:H,5,FALSE)</f>
        <v>مكتمل</v>
      </c>
      <c r="G359" s="76">
        <v>45928.0</v>
      </c>
      <c r="H359" s="74" t="s">
        <v>29</v>
      </c>
      <c r="I359" s="74" t="str">
        <f>VLOOKUP(D359,Sheet15!D:K,8,FALSE)</f>
        <v>2025-580226</v>
      </c>
      <c r="J359" s="74">
        <f t="shared" si="1"/>
        <v>21</v>
      </c>
      <c r="K359" s="77" t="str">
        <f>VLOOKUP(D359,Sheet15!D:G,4,FALSE)</f>
        <v/>
      </c>
      <c r="L359" s="73"/>
      <c r="M359" s="73"/>
      <c r="N359" s="73"/>
      <c r="O359" s="73"/>
      <c r="P359" s="73"/>
      <c r="Q359" s="73"/>
      <c r="R359" s="73"/>
      <c r="S359" s="73"/>
      <c r="T359" s="73"/>
      <c r="U359" s="73"/>
      <c r="V359" s="73"/>
      <c r="W359" s="73"/>
      <c r="X359" s="73"/>
    </row>
    <row r="360" ht="21.0" customHeight="1">
      <c r="A360" s="74">
        <v>369.0</v>
      </c>
      <c r="B360" s="74" t="s">
        <v>37</v>
      </c>
      <c r="C360" s="74"/>
      <c r="D360" s="75" t="s">
        <v>1701</v>
      </c>
      <c r="E360" s="76">
        <v>45907.0</v>
      </c>
      <c r="F360" s="74" t="str">
        <f>VLOOKUP(D360,Sheet15!D:H,5,FALSE)</f>
        <v>مكتمل</v>
      </c>
      <c r="G360" s="76">
        <v>45928.0</v>
      </c>
      <c r="H360" s="74" t="s">
        <v>29</v>
      </c>
      <c r="I360" s="74" t="str">
        <f>VLOOKUP(D360,Sheet15!D:K,8,FALSE)</f>
        <v>2025-580270</v>
      </c>
      <c r="J360" s="74">
        <f t="shared" si="1"/>
        <v>21</v>
      </c>
      <c r="K360" s="77" t="str">
        <f>VLOOKUP(D360,Sheet15!D:G,4,FALSE)</f>
        <v/>
      </c>
      <c r="L360" s="73"/>
      <c r="M360" s="73"/>
      <c r="N360" s="73"/>
      <c r="O360" s="73"/>
      <c r="P360" s="73"/>
      <c r="Q360" s="73"/>
      <c r="R360" s="73"/>
      <c r="S360" s="73"/>
      <c r="T360" s="73"/>
      <c r="U360" s="73"/>
      <c r="V360" s="73"/>
      <c r="W360" s="73"/>
      <c r="X360" s="73"/>
    </row>
    <row r="361" ht="21.75" customHeight="1">
      <c r="A361" s="74">
        <v>370.0</v>
      </c>
      <c r="B361" s="74" t="s">
        <v>37</v>
      </c>
      <c r="C361" s="74"/>
      <c r="D361" s="75" t="s">
        <v>1702</v>
      </c>
      <c r="E361" s="76">
        <v>45753.0</v>
      </c>
      <c r="F361" s="74" t="str">
        <f>VLOOKUP(D361,Sheet15!D:H,5,FALSE)</f>
        <v>مكتمل</v>
      </c>
      <c r="G361" s="74"/>
      <c r="H361" s="74" t="s">
        <v>29</v>
      </c>
      <c r="I361" s="74" t="str">
        <f>VLOOKUP(D361,Sheet15!D:K,8,FALSE)</f>
        <v>2025-199279</v>
      </c>
      <c r="J361" s="76">
        <f t="shared" si="1"/>
        <v>-45753</v>
      </c>
      <c r="K361" s="77" t="str">
        <f>VLOOKUP(D361,Sheet15!D:G,4,FALSE)</f>
        <v/>
      </c>
      <c r="L361" s="73"/>
      <c r="M361" s="73"/>
      <c r="N361" s="73"/>
      <c r="O361" s="73"/>
      <c r="P361" s="73"/>
      <c r="Q361" s="73"/>
      <c r="R361" s="73"/>
      <c r="S361" s="73"/>
      <c r="T361" s="73"/>
      <c r="U361" s="73"/>
      <c r="V361" s="73"/>
      <c r="W361" s="73"/>
      <c r="X361" s="73"/>
    </row>
    <row r="362">
      <c r="A362" s="74">
        <v>371.0</v>
      </c>
      <c r="B362" s="74" t="s">
        <v>1482</v>
      </c>
      <c r="C362" s="74" t="s">
        <v>1703</v>
      </c>
      <c r="D362" s="83" t="s">
        <v>1704</v>
      </c>
      <c r="E362" s="76">
        <v>45754.0</v>
      </c>
      <c r="F362" s="74" t="str">
        <f>VLOOKUP(D362,Sheet15!D:H,5,FALSE)</f>
        <v>مكتمل</v>
      </c>
      <c r="G362" s="74"/>
      <c r="H362" s="74" t="s">
        <v>29</v>
      </c>
      <c r="I362" s="74" t="str">
        <f>VLOOKUP(D362,Sheet15!D:K,8,FALSE)</f>
        <v>2025-143225</v>
      </c>
      <c r="J362" s="76">
        <f t="shared" si="1"/>
        <v>-45754</v>
      </c>
      <c r="K362" s="77" t="str">
        <f>VLOOKUP(D362,Sheet15!D:G,4,FALSE)</f>
        <v/>
      </c>
      <c r="L362" s="73"/>
      <c r="M362" s="73"/>
      <c r="N362" s="73"/>
      <c r="O362" s="73"/>
      <c r="P362" s="73"/>
      <c r="Q362" s="73"/>
      <c r="R362" s="73"/>
      <c r="S362" s="73"/>
      <c r="T362" s="73"/>
      <c r="U362" s="73"/>
      <c r="V362" s="73"/>
      <c r="W362" s="73"/>
      <c r="X362" s="73"/>
    </row>
    <row r="363">
      <c r="A363" s="74">
        <v>372.0</v>
      </c>
      <c r="B363" s="74" t="s">
        <v>1482</v>
      </c>
      <c r="C363" s="74" t="s">
        <v>1705</v>
      </c>
      <c r="D363" s="83" t="s">
        <v>1706</v>
      </c>
      <c r="E363" s="76">
        <v>45754.0</v>
      </c>
      <c r="F363" s="74" t="str">
        <f>VLOOKUP(D363,Sheet15!D:H,5,FALSE)</f>
        <v>مكتمل</v>
      </c>
      <c r="G363" s="74"/>
      <c r="H363" s="74" t="s">
        <v>29</v>
      </c>
      <c r="I363" s="74" t="str">
        <f>VLOOKUP(D363,Sheet15!D:K,8,FALSE)</f>
        <v>2025-143235</v>
      </c>
      <c r="J363" s="76">
        <f t="shared" si="1"/>
        <v>-45754</v>
      </c>
      <c r="K363" s="77" t="str">
        <f>VLOOKUP(D363,Sheet15!D:G,4,FALSE)</f>
        <v/>
      </c>
      <c r="L363" s="73"/>
      <c r="M363" s="73"/>
      <c r="N363" s="73"/>
      <c r="O363" s="73"/>
      <c r="P363" s="73"/>
      <c r="Q363" s="73"/>
      <c r="R363" s="73"/>
      <c r="S363" s="73"/>
      <c r="T363" s="73"/>
      <c r="U363" s="73"/>
      <c r="V363" s="73"/>
      <c r="W363" s="73"/>
      <c r="X363" s="73"/>
    </row>
    <row r="364">
      <c r="A364" s="74">
        <v>373.0</v>
      </c>
      <c r="B364" s="74" t="s">
        <v>725</v>
      </c>
      <c r="C364" s="74">
        <v>482360.0</v>
      </c>
      <c r="D364" s="75" t="s">
        <v>1707</v>
      </c>
      <c r="E364" s="76">
        <v>45757.0</v>
      </c>
      <c r="F364" s="74" t="str">
        <f>VLOOKUP(D364,Sheet15!D:H,5,FALSE)</f>
        <v>مكتمل</v>
      </c>
      <c r="G364" s="74"/>
      <c r="H364" s="74" t="s">
        <v>29</v>
      </c>
      <c r="I364" s="74" t="str">
        <f>VLOOKUP(D364,Sheet15!D:K,8,FALSE)</f>
        <v>P-1-N-260524-3274</v>
      </c>
      <c r="J364" s="76">
        <f t="shared" si="1"/>
        <v>-45757</v>
      </c>
      <c r="K364" s="77" t="str">
        <f>VLOOKUP(D364,Sheet15!D:G,4,FALSE)</f>
        <v/>
      </c>
      <c r="L364" s="73"/>
      <c r="M364" s="73"/>
      <c r="N364" s="73"/>
      <c r="O364" s="73"/>
      <c r="P364" s="73"/>
      <c r="Q364" s="73"/>
      <c r="R364" s="73"/>
      <c r="S364" s="73"/>
      <c r="T364" s="73"/>
      <c r="U364" s="73"/>
      <c r="V364" s="73"/>
      <c r="W364" s="73"/>
      <c r="X364" s="73"/>
    </row>
    <row r="365">
      <c r="A365" s="74">
        <v>374.0</v>
      </c>
      <c r="B365" s="74" t="s">
        <v>725</v>
      </c>
      <c r="C365" s="74">
        <v>482361.0</v>
      </c>
      <c r="D365" s="75" t="s">
        <v>1708</v>
      </c>
      <c r="E365" s="76">
        <v>45757.0</v>
      </c>
      <c r="F365" s="74" t="str">
        <f>VLOOKUP(D365,Sheet15!D:H,5,FALSE)</f>
        <v>مكتمل</v>
      </c>
      <c r="G365" s="74"/>
      <c r="H365" s="74" t="s">
        <v>29</v>
      </c>
      <c r="I365" s="74" t="str">
        <f>VLOOKUP(D365,Sheet15!D:K,8,FALSE)</f>
        <v>P-1-N-260524-3275</v>
      </c>
      <c r="J365" s="76">
        <f t="shared" si="1"/>
        <v>-45757</v>
      </c>
      <c r="K365" s="77" t="str">
        <f>VLOOKUP(D365,Sheet15!D:G,4,FALSE)</f>
        <v/>
      </c>
      <c r="L365" s="73"/>
      <c r="M365" s="73"/>
      <c r="N365" s="73"/>
      <c r="O365" s="73"/>
      <c r="P365" s="73"/>
      <c r="Q365" s="73"/>
      <c r="R365" s="73"/>
      <c r="S365" s="73"/>
      <c r="T365" s="73"/>
      <c r="U365" s="73"/>
      <c r="V365" s="73"/>
      <c r="W365" s="73"/>
      <c r="X365" s="73"/>
    </row>
    <row r="366">
      <c r="A366" s="74">
        <v>375.0</v>
      </c>
      <c r="B366" s="74" t="s">
        <v>725</v>
      </c>
      <c r="C366" s="74">
        <v>482362.0</v>
      </c>
      <c r="D366" s="75" t="s">
        <v>1709</v>
      </c>
      <c r="E366" s="76">
        <v>45757.0</v>
      </c>
      <c r="F366" s="74" t="str">
        <f>VLOOKUP(D366,Sheet15!D:H,5,FALSE)</f>
        <v>مكتمل</v>
      </c>
      <c r="G366" s="74"/>
      <c r="H366" s="74" t="s">
        <v>29</v>
      </c>
      <c r="I366" s="74" t="str">
        <f>VLOOKUP(D366,Sheet15!D:K,8,FALSE)</f>
        <v>P-1-N-260524-3276</v>
      </c>
      <c r="J366" s="76">
        <f t="shared" si="1"/>
        <v>-45757</v>
      </c>
      <c r="K366" s="77" t="str">
        <f>VLOOKUP(D366,Sheet15!D:G,4,FALSE)</f>
        <v/>
      </c>
      <c r="L366" s="73"/>
      <c r="M366" s="73"/>
      <c r="N366" s="73"/>
      <c r="O366" s="73"/>
      <c r="P366" s="73"/>
      <c r="Q366" s="73"/>
      <c r="R366" s="73"/>
      <c r="S366" s="73"/>
      <c r="T366" s="73"/>
      <c r="U366" s="73"/>
      <c r="V366" s="73"/>
      <c r="W366" s="73"/>
      <c r="X366" s="73"/>
    </row>
    <row r="367">
      <c r="A367" s="74">
        <v>376.0</v>
      </c>
      <c r="B367" s="74" t="s">
        <v>725</v>
      </c>
      <c r="C367" s="74">
        <v>482363.0</v>
      </c>
      <c r="D367" s="75" t="s">
        <v>1710</v>
      </c>
      <c r="E367" s="76">
        <v>45757.0</v>
      </c>
      <c r="F367" s="74" t="str">
        <f>VLOOKUP(D367,Sheet15!D:H,5,FALSE)</f>
        <v>مكتمل</v>
      </c>
      <c r="G367" s="74"/>
      <c r="H367" s="74" t="s">
        <v>29</v>
      </c>
      <c r="I367" s="74" t="str">
        <f>VLOOKUP(D367,Sheet15!D:K,8,FALSE)</f>
        <v>P-1-N-260524-3277</v>
      </c>
      <c r="J367" s="76">
        <f t="shared" si="1"/>
        <v>-45757</v>
      </c>
      <c r="K367" s="77" t="str">
        <f>VLOOKUP(D367,Sheet15!D:G,4,FALSE)</f>
        <v/>
      </c>
      <c r="L367" s="73"/>
      <c r="M367" s="73"/>
      <c r="N367" s="73"/>
      <c r="O367" s="73"/>
      <c r="P367" s="73"/>
      <c r="Q367" s="73"/>
      <c r="R367" s="73"/>
      <c r="S367" s="73"/>
      <c r="T367" s="73"/>
      <c r="U367" s="73"/>
      <c r="V367" s="73"/>
      <c r="W367" s="73"/>
      <c r="X367" s="73"/>
    </row>
    <row r="368">
      <c r="A368" s="74">
        <v>377.0</v>
      </c>
      <c r="B368" s="74" t="s">
        <v>725</v>
      </c>
      <c r="C368" s="74">
        <v>582180.0</v>
      </c>
      <c r="D368" s="75" t="s">
        <v>1711</v>
      </c>
      <c r="E368" s="76">
        <v>45757.0</v>
      </c>
      <c r="F368" s="74" t="str">
        <f>VLOOKUP(D368,Sheet15!D:H,5,FALSE)</f>
        <v>مكتمل</v>
      </c>
      <c r="G368" s="74"/>
      <c r="H368" s="74" t="s">
        <v>29</v>
      </c>
      <c r="I368" s="74" t="str">
        <f>VLOOKUP(D368,Sheet15!D:K,8,FALSE)</f>
        <v>P-1-N-260524-3278</v>
      </c>
      <c r="J368" s="76">
        <f t="shared" si="1"/>
        <v>-45757</v>
      </c>
      <c r="K368" s="77" t="str">
        <f>VLOOKUP(D368,Sheet15!D:G,4,FALSE)</f>
        <v/>
      </c>
      <c r="L368" s="73"/>
      <c r="M368" s="73"/>
      <c r="N368" s="73"/>
      <c r="O368" s="73"/>
      <c r="P368" s="73"/>
      <c r="Q368" s="73"/>
      <c r="R368" s="73"/>
      <c r="S368" s="73"/>
      <c r="T368" s="73"/>
      <c r="U368" s="73"/>
      <c r="V368" s="73"/>
      <c r="W368" s="73"/>
      <c r="X368" s="73"/>
    </row>
    <row r="369">
      <c r="A369" s="74">
        <v>378.0</v>
      </c>
      <c r="B369" s="74" t="s">
        <v>725</v>
      </c>
      <c r="C369" s="74">
        <v>582181.0</v>
      </c>
      <c r="D369" s="75" t="s">
        <v>1712</v>
      </c>
      <c r="E369" s="76">
        <v>45757.0</v>
      </c>
      <c r="F369" s="74" t="str">
        <f>VLOOKUP(D369,Sheet15!D:H,5,FALSE)</f>
        <v>مكتمل</v>
      </c>
      <c r="G369" s="74"/>
      <c r="H369" s="74" t="s">
        <v>29</v>
      </c>
      <c r="I369" s="74" t="str">
        <f>VLOOKUP(D369,Sheet15!D:K,8,FALSE)</f>
        <v>P-1-N-260524-3279</v>
      </c>
      <c r="J369" s="76">
        <f t="shared" si="1"/>
        <v>-45757</v>
      </c>
      <c r="K369" s="77" t="str">
        <f>VLOOKUP(D369,Sheet15!D:G,4,FALSE)</f>
        <v/>
      </c>
      <c r="L369" s="73"/>
      <c r="M369" s="73"/>
      <c r="N369" s="73"/>
      <c r="O369" s="73"/>
      <c r="P369" s="73"/>
      <c r="Q369" s="73"/>
      <c r="R369" s="73"/>
      <c r="S369" s="73"/>
      <c r="T369" s="73"/>
      <c r="U369" s="73"/>
      <c r="V369" s="73"/>
      <c r="W369" s="73"/>
      <c r="X369" s="73"/>
    </row>
    <row r="370">
      <c r="A370" s="74">
        <v>379.0</v>
      </c>
      <c r="B370" s="74" t="s">
        <v>725</v>
      </c>
      <c r="C370" s="74">
        <v>582182.0</v>
      </c>
      <c r="D370" s="75" t="s">
        <v>1713</v>
      </c>
      <c r="E370" s="76">
        <v>45757.0</v>
      </c>
      <c r="F370" s="74" t="str">
        <f>VLOOKUP(D370,Sheet15!D:H,5,FALSE)</f>
        <v>مكتمل</v>
      </c>
      <c r="G370" s="74"/>
      <c r="H370" s="74" t="s">
        <v>29</v>
      </c>
      <c r="I370" s="74" t="str">
        <f>VLOOKUP(D370,Sheet15!D:K,8,FALSE)</f>
        <v>P-1-N-260524-3280</v>
      </c>
      <c r="J370" s="76">
        <f t="shared" si="1"/>
        <v>-45757</v>
      </c>
      <c r="K370" s="77" t="str">
        <f>VLOOKUP(D370,Sheet15!D:G,4,FALSE)</f>
        <v/>
      </c>
      <c r="L370" s="73"/>
      <c r="M370" s="73"/>
      <c r="N370" s="73"/>
      <c r="O370" s="73"/>
      <c r="P370" s="73"/>
      <c r="Q370" s="73"/>
      <c r="R370" s="73"/>
      <c r="S370" s="73"/>
      <c r="T370" s="73"/>
      <c r="U370" s="73"/>
      <c r="V370" s="73"/>
      <c r="W370" s="73"/>
      <c r="X370" s="73"/>
    </row>
    <row r="371">
      <c r="A371" s="74">
        <v>380.0</v>
      </c>
      <c r="B371" s="74" t="s">
        <v>725</v>
      </c>
      <c r="C371" s="74">
        <v>582183.0</v>
      </c>
      <c r="D371" s="75" t="s">
        <v>1714</v>
      </c>
      <c r="E371" s="76">
        <v>45757.0</v>
      </c>
      <c r="F371" s="74" t="str">
        <f>VLOOKUP(D371,Sheet15!D:H,5,FALSE)</f>
        <v>مكتمل</v>
      </c>
      <c r="G371" s="74"/>
      <c r="H371" s="74" t="s">
        <v>29</v>
      </c>
      <c r="I371" s="74" t="str">
        <f>VLOOKUP(D371,Sheet15!D:K,8,FALSE)</f>
        <v>P-1-N-260524-3281</v>
      </c>
      <c r="J371" s="76">
        <f t="shared" si="1"/>
        <v>-45757</v>
      </c>
      <c r="K371" s="77" t="str">
        <f>VLOOKUP(D371,Sheet15!D:G,4,FALSE)</f>
        <v/>
      </c>
      <c r="L371" s="73"/>
      <c r="M371" s="73"/>
      <c r="N371" s="73"/>
      <c r="O371" s="73"/>
      <c r="P371" s="73"/>
      <c r="Q371" s="73"/>
      <c r="R371" s="73"/>
      <c r="S371" s="73"/>
      <c r="T371" s="73"/>
      <c r="U371" s="73"/>
      <c r="V371" s="73"/>
      <c r="W371" s="73"/>
      <c r="X371" s="73"/>
    </row>
    <row r="372">
      <c r="A372" s="74">
        <v>381.0</v>
      </c>
      <c r="B372" s="74" t="s">
        <v>1510</v>
      </c>
      <c r="C372" s="74"/>
      <c r="D372" s="75" t="s">
        <v>1715</v>
      </c>
      <c r="E372" s="76">
        <v>45763.0</v>
      </c>
      <c r="F372" s="74" t="str">
        <f>VLOOKUP(D372,Sheet15!D:H,5,FALSE)</f>
        <v>مكتمل</v>
      </c>
      <c r="G372" s="74"/>
      <c r="H372" s="74" t="s">
        <v>29</v>
      </c>
      <c r="I372" s="74" t="str">
        <f>VLOOKUP(D372,Sheet15!D:K,8,FALSE)</f>
        <v>2025-206755</v>
      </c>
      <c r="J372" s="76">
        <f t="shared" si="1"/>
        <v>-45763</v>
      </c>
      <c r="K372" s="77" t="str">
        <f>VLOOKUP(D372,Sheet15!D:G,4,FALSE)</f>
        <v/>
      </c>
      <c r="L372" s="73"/>
      <c r="M372" s="73"/>
      <c r="N372" s="73"/>
      <c r="O372" s="73"/>
      <c r="P372" s="73"/>
      <c r="Q372" s="73"/>
      <c r="R372" s="73"/>
      <c r="S372" s="73"/>
      <c r="T372" s="73"/>
      <c r="U372" s="73"/>
      <c r="V372" s="73"/>
      <c r="W372" s="73"/>
      <c r="X372" s="73"/>
    </row>
    <row r="373">
      <c r="A373" s="74">
        <v>382.0</v>
      </c>
      <c r="B373" s="74" t="s">
        <v>1510</v>
      </c>
      <c r="C373" s="74"/>
      <c r="D373" s="75" t="s">
        <v>1716</v>
      </c>
      <c r="E373" s="76">
        <v>45763.0</v>
      </c>
      <c r="F373" s="74" t="str">
        <f>VLOOKUP(D373,Sheet15!D:H,5,FALSE)</f>
        <v>مكتمل</v>
      </c>
      <c r="G373" s="74"/>
      <c r="H373" s="74" t="s">
        <v>29</v>
      </c>
      <c r="I373" s="74" t="str">
        <f>VLOOKUP(D373,Sheet15!D:K,8,FALSE)</f>
        <v>2024-307000</v>
      </c>
      <c r="J373" s="76">
        <f t="shared" si="1"/>
        <v>-45763</v>
      </c>
      <c r="K373" s="77" t="str">
        <f>VLOOKUP(D373,Sheet15!D:G,4,FALSE)</f>
        <v/>
      </c>
      <c r="L373" s="73"/>
      <c r="M373" s="73"/>
      <c r="N373" s="73"/>
      <c r="O373" s="73"/>
      <c r="P373" s="73"/>
      <c r="Q373" s="73"/>
      <c r="R373" s="73"/>
      <c r="S373" s="73"/>
      <c r="T373" s="73"/>
      <c r="U373" s="73"/>
      <c r="V373" s="73"/>
      <c r="W373" s="73"/>
      <c r="X373" s="73"/>
    </row>
    <row r="374">
      <c r="A374" s="74">
        <v>383.0</v>
      </c>
      <c r="B374" s="74" t="s">
        <v>1510</v>
      </c>
      <c r="C374" s="74"/>
      <c r="D374" s="75" t="s">
        <v>1717</v>
      </c>
      <c r="E374" s="76">
        <v>45763.0</v>
      </c>
      <c r="F374" s="74" t="str">
        <f>VLOOKUP(D374,Sheet15!D:H,5,FALSE)</f>
        <v>مكتمل</v>
      </c>
      <c r="G374" s="74"/>
      <c r="H374" s="74" t="s">
        <v>29</v>
      </c>
      <c r="I374" s="74" t="str">
        <f>VLOOKUP(D374,Sheet15!D:K,8,FALSE)</f>
        <v>2025-206725</v>
      </c>
      <c r="J374" s="76">
        <f t="shared" si="1"/>
        <v>-45763</v>
      </c>
      <c r="K374" s="77" t="str">
        <f>VLOOKUP(D374,Sheet15!D:G,4,FALSE)</f>
        <v/>
      </c>
      <c r="L374" s="73"/>
      <c r="M374" s="73"/>
      <c r="N374" s="73"/>
      <c r="O374" s="73"/>
      <c r="P374" s="73"/>
      <c r="Q374" s="73"/>
      <c r="R374" s="73"/>
      <c r="S374" s="73"/>
      <c r="T374" s="73"/>
      <c r="U374" s="73"/>
      <c r="V374" s="73"/>
      <c r="W374" s="73"/>
      <c r="X374" s="73"/>
    </row>
    <row r="375">
      <c r="A375" s="74">
        <v>384.0</v>
      </c>
      <c r="B375" s="74" t="s">
        <v>1510</v>
      </c>
      <c r="C375" s="74"/>
      <c r="D375" s="75" t="s">
        <v>1718</v>
      </c>
      <c r="E375" s="76">
        <v>45763.0</v>
      </c>
      <c r="F375" s="74" t="str">
        <f>VLOOKUP(D375,Sheet15!D:H,5,FALSE)</f>
        <v>مكتمل</v>
      </c>
      <c r="G375" s="74"/>
      <c r="H375" s="74" t="s">
        <v>29</v>
      </c>
      <c r="I375" s="74" t="str">
        <f>VLOOKUP(D375,Sheet15!D:K,8,FALSE)</f>
        <v>2024-306980</v>
      </c>
      <c r="J375" s="76">
        <f t="shared" si="1"/>
        <v>-45763</v>
      </c>
      <c r="K375" s="77" t="str">
        <f>VLOOKUP(D375,Sheet15!D:G,4,FALSE)</f>
        <v/>
      </c>
      <c r="L375" s="73"/>
      <c r="M375" s="73"/>
      <c r="N375" s="73"/>
      <c r="O375" s="73"/>
      <c r="P375" s="73"/>
      <c r="Q375" s="73"/>
      <c r="R375" s="73"/>
      <c r="S375" s="73"/>
      <c r="T375" s="73"/>
      <c r="U375" s="73"/>
      <c r="V375" s="73"/>
      <c r="W375" s="73"/>
      <c r="X375" s="73"/>
    </row>
    <row r="376">
      <c r="A376" s="74">
        <v>385.0</v>
      </c>
      <c r="B376" s="74" t="s">
        <v>1510</v>
      </c>
      <c r="C376" s="74"/>
      <c r="D376" s="75" t="s">
        <v>1719</v>
      </c>
      <c r="E376" s="76">
        <v>45763.0</v>
      </c>
      <c r="F376" s="74" t="str">
        <f>VLOOKUP(D376,Sheet15!D:H,5,FALSE)</f>
        <v>مكتمل</v>
      </c>
      <c r="G376" s="74"/>
      <c r="H376" s="74" t="s">
        <v>29</v>
      </c>
      <c r="I376" s="74" t="str">
        <f>VLOOKUP(D376,Sheet15!D:K,8,FALSE)</f>
        <v>2024-306641</v>
      </c>
      <c r="J376" s="76">
        <f t="shared" si="1"/>
        <v>-45763</v>
      </c>
      <c r="K376" s="77" t="str">
        <f>VLOOKUP(D376,Sheet15!D:G,4,FALSE)</f>
        <v/>
      </c>
      <c r="L376" s="73"/>
      <c r="M376" s="73"/>
      <c r="N376" s="73"/>
      <c r="O376" s="73"/>
      <c r="P376" s="73"/>
      <c r="Q376" s="73"/>
      <c r="R376" s="73"/>
      <c r="S376" s="73"/>
      <c r="T376" s="73"/>
      <c r="U376" s="73"/>
      <c r="V376" s="73"/>
      <c r="W376" s="73"/>
      <c r="X376" s="73"/>
    </row>
    <row r="377">
      <c r="A377" s="74">
        <v>386.0</v>
      </c>
      <c r="B377" s="74" t="s">
        <v>1510</v>
      </c>
      <c r="C377" s="74"/>
      <c r="D377" s="75" t="s">
        <v>1720</v>
      </c>
      <c r="E377" s="76">
        <v>45763.0</v>
      </c>
      <c r="F377" s="74" t="str">
        <f>VLOOKUP(D377,Sheet15!D:H,5,FALSE)</f>
        <v>مكتمل</v>
      </c>
      <c r="G377" s="74"/>
      <c r="H377" s="74" t="s">
        <v>29</v>
      </c>
      <c r="I377" s="74" t="str">
        <f>VLOOKUP(D377,Sheet15!D:K,8,FALSE)</f>
        <v>2025-206451</v>
      </c>
      <c r="J377" s="76">
        <f t="shared" si="1"/>
        <v>-45763</v>
      </c>
      <c r="K377" s="77" t="str">
        <f>VLOOKUP(D377,Sheet15!D:G,4,FALSE)</f>
        <v/>
      </c>
      <c r="L377" s="73"/>
      <c r="M377" s="73"/>
      <c r="N377" s="73"/>
      <c r="O377" s="73"/>
      <c r="P377" s="73"/>
      <c r="Q377" s="73"/>
      <c r="R377" s="73"/>
      <c r="S377" s="73"/>
      <c r="T377" s="73"/>
      <c r="U377" s="73"/>
      <c r="V377" s="73"/>
      <c r="W377" s="73"/>
      <c r="X377" s="73"/>
    </row>
    <row r="378">
      <c r="A378" s="74">
        <v>387.0</v>
      </c>
      <c r="B378" s="74" t="s">
        <v>1510</v>
      </c>
      <c r="C378" s="74"/>
      <c r="D378" s="75" t="s">
        <v>1721</v>
      </c>
      <c r="E378" s="76">
        <v>45763.0</v>
      </c>
      <c r="F378" s="74" t="str">
        <f>VLOOKUP(D378,Sheet15!D:H,5,FALSE)</f>
        <v>مكتمل</v>
      </c>
      <c r="G378" s="74"/>
      <c r="H378" s="74" t="s">
        <v>29</v>
      </c>
      <c r="I378" s="74" t="str">
        <f>VLOOKUP(D378,Sheet15!D:K,8,FALSE)</f>
        <v>2024-306569</v>
      </c>
      <c r="J378" s="76">
        <f t="shared" si="1"/>
        <v>-45763</v>
      </c>
      <c r="K378" s="77" t="str">
        <f>VLOOKUP(D378,Sheet15!D:G,4,FALSE)</f>
        <v/>
      </c>
      <c r="L378" s="73"/>
      <c r="M378" s="73"/>
      <c r="N378" s="73"/>
      <c r="O378" s="73"/>
      <c r="P378" s="73"/>
      <c r="Q378" s="73"/>
      <c r="R378" s="73"/>
      <c r="S378" s="73"/>
      <c r="T378" s="73"/>
      <c r="U378" s="73"/>
      <c r="V378" s="73"/>
      <c r="W378" s="73"/>
      <c r="X378" s="73"/>
    </row>
    <row r="379">
      <c r="A379" s="74">
        <v>388.0</v>
      </c>
      <c r="B379" s="74" t="s">
        <v>1510</v>
      </c>
      <c r="C379" s="74"/>
      <c r="D379" s="75" t="s">
        <v>1722</v>
      </c>
      <c r="E379" s="76">
        <v>45763.0</v>
      </c>
      <c r="F379" s="74" t="str">
        <f>VLOOKUP(D379,Sheet15!D:H,5,FALSE)</f>
        <v>#N/A</v>
      </c>
      <c r="G379" s="74"/>
      <c r="H379" s="74"/>
      <c r="I379" s="74" t="str">
        <f>VLOOKUP(D379,Sheet15!D:K,8,FALSE)</f>
        <v>#N/A</v>
      </c>
      <c r="J379" s="76">
        <f t="shared" si="1"/>
        <v>-45763</v>
      </c>
      <c r="K379" s="77" t="str">
        <f>VLOOKUP(D379,Sheet15!D:G,4,FALSE)</f>
        <v>#N/A</v>
      </c>
      <c r="L379" s="73"/>
      <c r="M379" s="73"/>
      <c r="N379" s="73"/>
      <c r="O379" s="73"/>
      <c r="P379" s="73"/>
      <c r="Q379" s="73"/>
      <c r="R379" s="73"/>
      <c r="S379" s="73"/>
      <c r="T379" s="73"/>
      <c r="U379" s="73"/>
      <c r="V379" s="73"/>
      <c r="W379" s="73"/>
      <c r="X379" s="73"/>
    </row>
    <row r="380">
      <c r="A380" s="74">
        <v>389.0</v>
      </c>
      <c r="B380" s="74" t="s">
        <v>1510</v>
      </c>
      <c r="C380" s="74"/>
      <c r="D380" s="75" t="s">
        <v>1723</v>
      </c>
      <c r="E380" s="76">
        <v>45763.0</v>
      </c>
      <c r="F380" s="78" t="s">
        <v>1420</v>
      </c>
      <c r="G380" s="74"/>
      <c r="H380" s="74"/>
      <c r="I380" s="74" t="str">
        <f>VLOOKUP(D380,Sheet15!D:K,8,FALSE)</f>
        <v>#N/A</v>
      </c>
      <c r="J380" s="76">
        <f t="shared" si="1"/>
        <v>-45763</v>
      </c>
      <c r="K380" s="77" t="str">
        <f>VLOOKUP(D380,Sheet15!D:G,4,FALSE)</f>
        <v>#N/A</v>
      </c>
      <c r="L380" s="73"/>
      <c r="M380" s="73"/>
      <c r="N380" s="73"/>
      <c r="O380" s="73"/>
      <c r="P380" s="73"/>
      <c r="Q380" s="73"/>
      <c r="R380" s="73"/>
      <c r="S380" s="73"/>
      <c r="T380" s="73"/>
      <c r="U380" s="73"/>
      <c r="V380" s="73"/>
      <c r="W380" s="73"/>
      <c r="X380" s="73"/>
    </row>
    <row r="381">
      <c r="A381" s="74">
        <v>390.0</v>
      </c>
      <c r="B381" s="74" t="s">
        <v>1510</v>
      </c>
      <c r="C381" s="74"/>
      <c r="D381" s="75" t="s">
        <v>1724</v>
      </c>
      <c r="E381" s="76">
        <v>45763.0</v>
      </c>
      <c r="F381" s="74" t="str">
        <f>VLOOKUP(D381,Sheet15!D:H,5,FALSE)</f>
        <v>مكتمل</v>
      </c>
      <c r="G381" s="74"/>
      <c r="H381" s="74" t="s">
        <v>29</v>
      </c>
      <c r="I381" s="74" t="str">
        <f>VLOOKUP(D381,Sheet15!D:K,8,FALSE)</f>
        <v>2024-308891</v>
      </c>
      <c r="J381" s="76">
        <f t="shared" si="1"/>
        <v>-45763</v>
      </c>
      <c r="K381" s="77" t="str">
        <f>VLOOKUP(D381,Sheet15!D:G,4,FALSE)</f>
        <v/>
      </c>
      <c r="L381" s="73"/>
      <c r="M381" s="73"/>
      <c r="N381" s="73"/>
      <c r="O381" s="73"/>
      <c r="P381" s="73"/>
      <c r="Q381" s="73"/>
      <c r="R381" s="73"/>
      <c r="S381" s="73"/>
      <c r="T381" s="73"/>
      <c r="U381" s="73"/>
      <c r="V381" s="73"/>
      <c r="W381" s="73"/>
      <c r="X381" s="73"/>
    </row>
    <row r="382">
      <c r="A382" s="74">
        <v>391.0</v>
      </c>
      <c r="B382" s="74" t="s">
        <v>1510</v>
      </c>
      <c r="C382" s="74"/>
      <c r="D382" s="75" t="s">
        <v>1725</v>
      </c>
      <c r="E382" s="76">
        <v>45763.0</v>
      </c>
      <c r="F382" s="74" t="str">
        <f>VLOOKUP(D382,Sheet15!D:H,5,FALSE)</f>
        <v>مكتمل</v>
      </c>
      <c r="G382" s="74"/>
      <c r="H382" s="74" t="s">
        <v>29</v>
      </c>
      <c r="I382" s="74" t="str">
        <f>VLOOKUP(D382,Sheet15!D:K,8,FALSE)</f>
        <v>2024-306941</v>
      </c>
      <c r="J382" s="76">
        <f t="shared" si="1"/>
        <v>-45763</v>
      </c>
      <c r="K382" s="77" t="str">
        <f>VLOOKUP(D382,Sheet15!D:G,4,FALSE)</f>
        <v/>
      </c>
      <c r="L382" s="73"/>
      <c r="M382" s="73"/>
      <c r="N382" s="73"/>
      <c r="O382" s="73"/>
      <c r="P382" s="73"/>
      <c r="Q382" s="73"/>
      <c r="R382" s="73"/>
      <c r="S382" s="73"/>
      <c r="T382" s="73"/>
      <c r="U382" s="73"/>
      <c r="V382" s="73"/>
      <c r="W382" s="73"/>
      <c r="X382" s="73"/>
    </row>
    <row r="383">
      <c r="A383" s="74">
        <v>392.0</v>
      </c>
      <c r="B383" s="74" t="s">
        <v>1510</v>
      </c>
      <c r="C383" s="74"/>
      <c r="D383" s="75" t="s">
        <v>1726</v>
      </c>
      <c r="E383" s="76">
        <v>45763.0</v>
      </c>
      <c r="F383" s="74" t="str">
        <f>VLOOKUP(D383,Sheet15!D:H,5,FALSE)</f>
        <v>مكتمل</v>
      </c>
      <c r="G383" s="74"/>
      <c r="H383" s="74" t="s">
        <v>29</v>
      </c>
      <c r="I383" s="74" t="str">
        <f>VLOOKUP(D383,Sheet15!D:K,8,FALSE)</f>
        <v>2025-206672</v>
      </c>
      <c r="J383" s="76">
        <f t="shared" si="1"/>
        <v>-45763</v>
      </c>
      <c r="K383" s="77" t="str">
        <f>VLOOKUP(D383,Sheet15!D:G,4,FALSE)</f>
        <v/>
      </c>
      <c r="L383" s="73"/>
      <c r="M383" s="73"/>
      <c r="N383" s="73"/>
      <c r="O383" s="73"/>
      <c r="P383" s="73"/>
      <c r="Q383" s="73"/>
      <c r="R383" s="73"/>
      <c r="S383" s="73"/>
      <c r="T383" s="73"/>
      <c r="U383" s="73"/>
      <c r="V383" s="73"/>
      <c r="W383" s="73"/>
      <c r="X383" s="73"/>
    </row>
    <row r="384">
      <c r="A384" s="74">
        <v>393.0</v>
      </c>
      <c r="B384" s="74" t="s">
        <v>1510</v>
      </c>
      <c r="C384" s="74"/>
      <c r="D384" s="75" t="s">
        <v>1727</v>
      </c>
      <c r="E384" s="76">
        <v>45763.0</v>
      </c>
      <c r="F384" s="74" t="str">
        <f>VLOOKUP(D384,Sheet15!D:H,5,FALSE)</f>
        <v>مكتمل</v>
      </c>
      <c r="G384" s="74"/>
      <c r="H384" s="74" t="s">
        <v>29</v>
      </c>
      <c r="I384" s="74" t="str">
        <f>VLOOKUP(D384,Sheet15!D:K,8,FALSE)</f>
        <v>2024-308863</v>
      </c>
      <c r="J384" s="76">
        <f t="shared" si="1"/>
        <v>-45763</v>
      </c>
      <c r="K384" s="77" t="str">
        <f>VLOOKUP(D384,Sheet15!D:G,4,FALSE)</f>
        <v/>
      </c>
      <c r="L384" s="73"/>
      <c r="M384" s="73"/>
      <c r="N384" s="73"/>
      <c r="O384" s="73"/>
      <c r="P384" s="73"/>
      <c r="Q384" s="73"/>
      <c r="R384" s="73"/>
      <c r="S384" s="73"/>
      <c r="T384" s="73"/>
      <c r="U384" s="73"/>
      <c r="V384" s="73"/>
      <c r="W384" s="73"/>
      <c r="X384" s="73"/>
    </row>
    <row r="385">
      <c r="A385" s="74">
        <v>394.0</v>
      </c>
      <c r="B385" s="74" t="s">
        <v>1510</v>
      </c>
      <c r="C385" s="74"/>
      <c r="D385" s="75" t="s">
        <v>1728</v>
      </c>
      <c r="E385" s="76">
        <v>45763.0</v>
      </c>
      <c r="F385" s="74" t="str">
        <f>VLOOKUP(D385,Sheet15!D:H,5,FALSE)</f>
        <v>مكتمل</v>
      </c>
      <c r="G385" s="74"/>
      <c r="H385" s="74" t="s">
        <v>29</v>
      </c>
      <c r="I385" s="74" t="str">
        <f>VLOOKUP(D385,Sheet15!D:K,8,FALSE)</f>
        <v>2025-206811</v>
      </c>
      <c r="J385" s="76">
        <f t="shared" si="1"/>
        <v>-45763</v>
      </c>
      <c r="K385" s="77" t="str">
        <f>VLOOKUP(D385,Sheet15!D:G,4,FALSE)</f>
        <v/>
      </c>
      <c r="L385" s="73"/>
      <c r="M385" s="73"/>
      <c r="N385" s="73"/>
      <c r="O385" s="73"/>
      <c r="P385" s="73"/>
      <c r="Q385" s="73"/>
      <c r="R385" s="73"/>
      <c r="S385" s="73"/>
      <c r="T385" s="73"/>
      <c r="U385" s="73"/>
      <c r="V385" s="73"/>
      <c r="W385" s="73"/>
      <c r="X385" s="73"/>
    </row>
    <row r="386">
      <c r="A386" s="74">
        <v>395.0</v>
      </c>
      <c r="B386" s="74" t="s">
        <v>1510</v>
      </c>
      <c r="C386" s="74"/>
      <c r="D386" s="75" t="s">
        <v>1729</v>
      </c>
      <c r="E386" s="76">
        <v>45763.0</v>
      </c>
      <c r="F386" s="74" t="str">
        <f>VLOOKUP(D386,Sheet15!D:H,5,FALSE)</f>
        <v>مكتمل</v>
      </c>
      <c r="G386" s="74"/>
      <c r="H386" s="74" t="s">
        <v>29</v>
      </c>
      <c r="I386" s="74" t="str">
        <f>VLOOKUP(D386,Sheet15!D:K,8,FALSE)</f>
        <v>2024-306884</v>
      </c>
      <c r="J386" s="76">
        <f t="shared" si="1"/>
        <v>-45763</v>
      </c>
      <c r="K386" s="77" t="str">
        <f>VLOOKUP(D386,Sheet15!D:G,4,FALSE)</f>
        <v/>
      </c>
      <c r="L386" s="73"/>
      <c r="M386" s="73"/>
      <c r="N386" s="73"/>
      <c r="O386" s="73"/>
      <c r="P386" s="73"/>
      <c r="Q386" s="73"/>
      <c r="R386" s="73"/>
      <c r="S386" s="73"/>
      <c r="T386" s="73"/>
      <c r="U386" s="73"/>
      <c r="V386" s="73"/>
      <c r="W386" s="73"/>
      <c r="X386" s="73"/>
    </row>
    <row r="387">
      <c r="A387" s="74">
        <v>396.0</v>
      </c>
      <c r="B387" s="74" t="s">
        <v>1510</v>
      </c>
      <c r="C387" s="74"/>
      <c r="D387" s="75" t="s">
        <v>1730</v>
      </c>
      <c r="E387" s="76">
        <v>45763.0</v>
      </c>
      <c r="F387" s="74" t="str">
        <f>VLOOKUP(D387,Sheet15!D:H,5,FALSE)</f>
        <v>مكتمل</v>
      </c>
      <c r="G387" s="74"/>
      <c r="H387" s="74" t="s">
        <v>29</v>
      </c>
      <c r="I387" s="74" t="str">
        <f>VLOOKUP(D387,Sheet15!D:K,8,FALSE)</f>
        <v>2025-209163</v>
      </c>
      <c r="J387" s="76">
        <f t="shared" si="1"/>
        <v>-45763</v>
      </c>
      <c r="K387" s="77" t="str">
        <f>VLOOKUP(D387,Sheet15!D:G,4,FALSE)</f>
        <v/>
      </c>
      <c r="L387" s="73"/>
      <c r="M387" s="73"/>
      <c r="N387" s="73"/>
      <c r="O387" s="73"/>
      <c r="P387" s="73"/>
      <c r="Q387" s="73"/>
      <c r="R387" s="73"/>
      <c r="S387" s="73"/>
      <c r="T387" s="73"/>
      <c r="U387" s="73"/>
      <c r="V387" s="73"/>
      <c r="W387" s="73"/>
      <c r="X387" s="73"/>
    </row>
    <row r="388">
      <c r="A388" s="74">
        <v>397.0</v>
      </c>
      <c r="B388" s="74" t="s">
        <v>1510</v>
      </c>
      <c r="C388" s="74"/>
      <c r="D388" s="75" t="s">
        <v>1731</v>
      </c>
      <c r="E388" s="76">
        <v>45763.0</v>
      </c>
      <c r="F388" s="74" t="str">
        <f>VLOOKUP(D388,Sheet15!D:H,5,FALSE)</f>
        <v>مكتمل</v>
      </c>
      <c r="G388" s="74"/>
      <c r="H388" s="74" t="s">
        <v>29</v>
      </c>
      <c r="I388" s="74" t="str">
        <f>VLOOKUP(D388,Sheet15!D:K,8,FALSE)</f>
        <v>2024-306654</v>
      </c>
      <c r="J388" s="76">
        <f t="shared" si="1"/>
        <v>-45763</v>
      </c>
      <c r="K388" s="77" t="str">
        <f>VLOOKUP(D388,Sheet15!D:G,4,FALSE)</f>
        <v/>
      </c>
      <c r="L388" s="73"/>
      <c r="M388" s="73"/>
      <c r="N388" s="73"/>
      <c r="O388" s="73"/>
      <c r="P388" s="73"/>
      <c r="Q388" s="73"/>
      <c r="R388" s="73"/>
      <c r="S388" s="73"/>
      <c r="T388" s="73"/>
      <c r="U388" s="73"/>
      <c r="V388" s="73"/>
      <c r="W388" s="73"/>
      <c r="X388" s="73"/>
    </row>
    <row r="389">
      <c r="A389" s="74">
        <v>398.0</v>
      </c>
      <c r="B389" s="74" t="s">
        <v>1510</v>
      </c>
      <c r="C389" s="74"/>
      <c r="D389" s="75" t="s">
        <v>1732</v>
      </c>
      <c r="E389" s="76">
        <v>45763.0</v>
      </c>
      <c r="F389" s="74" t="str">
        <f>VLOOKUP(D389,Sheet15!D:H,5,FALSE)</f>
        <v>مكتمل</v>
      </c>
      <c r="G389" s="74"/>
      <c r="H389" s="74" t="s">
        <v>29</v>
      </c>
      <c r="I389" s="74" t="str">
        <f>VLOOKUP(D389,Sheet15!D:K,8,FALSE)</f>
        <v>2025-209143</v>
      </c>
      <c r="J389" s="76">
        <f t="shared" si="1"/>
        <v>-45763</v>
      </c>
      <c r="K389" s="77" t="str">
        <f>VLOOKUP(D389,Sheet15!D:G,4,FALSE)</f>
        <v/>
      </c>
      <c r="L389" s="73"/>
      <c r="M389" s="73"/>
      <c r="N389" s="73"/>
      <c r="O389" s="73"/>
      <c r="P389" s="73"/>
      <c r="Q389" s="73"/>
      <c r="R389" s="73"/>
      <c r="S389" s="73"/>
      <c r="T389" s="73"/>
      <c r="U389" s="73"/>
      <c r="V389" s="73"/>
      <c r="W389" s="73"/>
      <c r="X389" s="73"/>
    </row>
    <row r="390">
      <c r="A390" s="74">
        <v>399.0</v>
      </c>
      <c r="B390" s="74" t="s">
        <v>1510</v>
      </c>
      <c r="C390" s="74"/>
      <c r="D390" s="75" t="s">
        <v>1733</v>
      </c>
      <c r="E390" s="76">
        <v>45763.0</v>
      </c>
      <c r="F390" s="74" t="str">
        <f>VLOOKUP(D390,Sheet15!D:H,5,FALSE)</f>
        <v>مكتمل</v>
      </c>
      <c r="G390" s="74"/>
      <c r="H390" s="74" t="s">
        <v>29</v>
      </c>
      <c r="I390" s="74" t="str">
        <f>VLOOKUP(D390,Sheet15!D:K,8,FALSE)</f>
        <v>2024-308910</v>
      </c>
      <c r="J390" s="76">
        <f t="shared" si="1"/>
        <v>-45763</v>
      </c>
      <c r="K390" s="77" t="str">
        <f>VLOOKUP(D390,Sheet15!D:G,4,FALSE)</f>
        <v/>
      </c>
      <c r="L390" s="73"/>
      <c r="M390" s="73"/>
      <c r="N390" s="73"/>
      <c r="O390" s="73"/>
      <c r="P390" s="73"/>
      <c r="Q390" s="73"/>
      <c r="R390" s="73"/>
      <c r="S390" s="73"/>
      <c r="T390" s="73"/>
      <c r="U390" s="73"/>
      <c r="V390" s="73"/>
      <c r="W390" s="73"/>
      <c r="X390" s="73"/>
    </row>
    <row r="391">
      <c r="A391" s="74">
        <v>400.0</v>
      </c>
      <c r="B391" s="74" t="s">
        <v>1510</v>
      </c>
      <c r="C391" s="74"/>
      <c r="D391" s="75" t="s">
        <v>1734</v>
      </c>
      <c r="E391" s="76">
        <v>45763.0</v>
      </c>
      <c r="F391" s="74" t="str">
        <f>VLOOKUP(D391,Sheet15!D:H,5,FALSE)</f>
        <v>مكتمل</v>
      </c>
      <c r="G391" s="74"/>
      <c r="H391" s="74" t="s">
        <v>29</v>
      </c>
      <c r="I391" s="74" t="str">
        <f>VLOOKUP(D391,Sheet15!D:K,8,FALSE)</f>
        <v>2025-209204</v>
      </c>
      <c r="J391" s="76">
        <f t="shared" si="1"/>
        <v>-45763</v>
      </c>
      <c r="K391" s="77" t="str">
        <f>VLOOKUP(D391,Sheet15!D:G,4,FALSE)</f>
        <v/>
      </c>
      <c r="L391" s="73"/>
      <c r="M391" s="73"/>
      <c r="N391" s="73"/>
      <c r="O391" s="73"/>
      <c r="P391" s="73"/>
      <c r="Q391" s="73"/>
      <c r="R391" s="73"/>
      <c r="S391" s="73"/>
      <c r="T391" s="73"/>
      <c r="U391" s="73"/>
      <c r="V391" s="73"/>
      <c r="W391" s="73"/>
      <c r="X391" s="73"/>
    </row>
    <row r="392">
      <c r="A392" s="74">
        <v>401.0</v>
      </c>
      <c r="B392" s="74" t="s">
        <v>1510</v>
      </c>
      <c r="C392" s="74"/>
      <c r="D392" s="75" t="s">
        <v>1735</v>
      </c>
      <c r="E392" s="76">
        <v>45763.0</v>
      </c>
      <c r="F392" s="74" t="str">
        <f>VLOOKUP(D392,Sheet15!D:H,5,FALSE)</f>
        <v>مكتمل</v>
      </c>
      <c r="G392" s="74"/>
      <c r="H392" s="74" t="s">
        <v>29</v>
      </c>
      <c r="I392" s="74" t="str">
        <f>VLOOKUP(D392,Sheet15!D:K,8,FALSE)</f>
        <v>2025-209121</v>
      </c>
      <c r="J392" s="76">
        <f t="shared" si="1"/>
        <v>-45763</v>
      </c>
      <c r="K392" s="77" t="str">
        <f>VLOOKUP(D392,Sheet15!D:G,4,FALSE)</f>
        <v/>
      </c>
      <c r="L392" s="73"/>
      <c r="M392" s="73"/>
      <c r="N392" s="73"/>
      <c r="O392" s="73"/>
      <c r="P392" s="73"/>
      <c r="Q392" s="73"/>
      <c r="R392" s="73"/>
      <c r="S392" s="73"/>
      <c r="T392" s="73"/>
      <c r="U392" s="73"/>
      <c r="V392" s="73"/>
      <c r="W392" s="73"/>
      <c r="X392" s="73"/>
    </row>
    <row r="393">
      <c r="A393" s="74">
        <v>402.0</v>
      </c>
      <c r="B393" s="74" t="s">
        <v>1510</v>
      </c>
      <c r="C393" s="74"/>
      <c r="D393" s="75" t="s">
        <v>1736</v>
      </c>
      <c r="E393" s="76">
        <v>45763.0</v>
      </c>
      <c r="F393" s="74" t="str">
        <f>VLOOKUP(D393,Sheet15!D:H,5,FALSE)</f>
        <v>مكتمل</v>
      </c>
      <c r="G393" s="74"/>
      <c r="H393" s="74" t="s">
        <v>29</v>
      </c>
      <c r="I393" s="74" t="str">
        <f>VLOOKUP(D393,Sheet15!D:K,8,FALSE)</f>
        <v>2024-306828</v>
      </c>
      <c r="J393" s="76">
        <f t="shared" si="1"/>
        <v>-45763</v>
      </c>
      <c r="K393" s="77" t="str">
        <f>VLOOKUP(D393,Sheet15!D:G,4,FALSE)</f>
        <v/>
      </c>
      <c r="L393" s="73"/>
      <c r="M393" s="73"/>
      <c r="N393" s="73"/>
      <c r="O393" s="73"/>
      <c r="P393" s="73"/>
      <c r="Q393" s="73"/>
      <c r="R393" s="73"/>
      <c r="S393" s="73"/>
      <c r="T393" s="73"/>
      <c r="U393" s="73"/>
      <c r="V393" s="73"/>
      <c r="W393" s="73"/>
      <c r="X393" s="73"/>
    </row>
    <row r="394">
      <c r="A394" s="74">
        <v>403.0</v>
      </c>
      <c r="B394" s="74" t="s">
        <v>1510</v>
      </c>
      <c r="C394" s="74"/>
      <c r="D394" s="75" t="s">
        <v>1737</v>
      </c>
      <c r="E394" s="76">
        <v>45763.0</v>
      </c>
      <c r="F394" s="74" t="str">
        <f>VLOOKUP(D394,Sheet15!D:H,5,FALSE)</f>
        <v>مكتمل</v>
      </c>
      <c r="G394" s="74"/>
      <c r="H394" s="74" t="s">
        <v>29</v>
      </c>
      <c r="I394" s="74" t="str">
        <f>VLOOKUP(D394,Sheet15!D:K,8,FALSE)</f>
        <v>2025-208803</v>
      </c>
      <c r="J394" s="76">
        <f t="shared" si="1"/>
        <v>-45763</v>
      </c>
      <c r="K394" s="77" t="str">
        <f>VLOOKUP(D394,Sheet15!D:G,4,FALSE)</f>
        <v/>
      </c>
      <c r="L394" s="73"/>
      <c r="M394" s="73"/>
      <c r="N394" s="73"/>
      <c r="O394" s="73"/>
      <c r="P394" s="73"/>
      <c r="Q394" s="73"/>
      <c r="R394" s="73"/>
      <c r="S394" s="73"/>
      <c r="T394" s="73"/>
      <c r="U394" s="73"/>
      <c r="V394" s="73"/>
      <c r="W394" s="73"/>
      <c r="X394" s="73"/>
    </row>
    <row r="395">
      <c r="A395" s="74">
        <v>404.0</v>
      </c>
      <c r="B395" s="74" t="s">
        <v>1510</v>
      </c>
      <c r="C395" s="74"/>
      <c r="D395" s="75" t="s">
        <v>1738</v>
      </c>
      <c r="E395" s="76">
        <v>45763.0</v>
      </c>
      <c r="F395" s="74" t="str">
        <f>VLOOKUP(D395,Sheet15!D:H,5,FALSE)</f>
        <v>مكتمل</v>
      </c>
      <c r="G395" s="74"/>
      <c r="H395" s="74" t="s">
        <v>29</v>
      </c>
      <c r="I395" s="74" t="str">
        <f>VLOOKUP(D395,Sheet15!D:K,8,FALSE)</f>
        <v>2024-306749</v>
      </c>
      <c r="J395" s="76">
        <f t="shared" si="1"/>
        <v>-45763</v>
      </c>
      <c r="K395" s="77" t="str">
        <f>VLOOKUP(D395,Sheet15!D:G,4,FALSE)</f>
        <v/>
      </c>
      <c r="L395" s="73"/>
      <c r="M395" s="73"/>
      <c r="N395" s="73"/>
      <c r="O395" s="73"/>
      <c r="P395" s="73"/>
      <c r="Q395" s="73"/>
      <c r="R395" s="73"/>
      <c r="S395" s="73"/>
      <c r="T395" s="73"/>
      <c r="U395" s="73"/>
      <c r="V395" s="73"/>
      <c r="W395" s="73"/>
      <c r="X395" s="73"/>
    </row>
    <row r="396">
      <c r="A396" s="74">
        <v>405.0</v>
      </c>
      <c r="B396" s="74" t="s">
        <v>1510</v>
      </c>
      <c r="C396" s="74"/>
      <c r="D396" s="75" t="s">
        <v>1739</v>
      </c>
      <c r="E396" s="76">
        <v>45763.0</v>
      </c>
      <c r="F396" s="74" t="str">
        <f>VLOOKUP(D396,Sheet15!D:H,5,FALSE)</f>
        <v>مكتمل</v>
      </c>
      <c r="G396" s="74"/>
      <c r="H396" s="74" t="s">
        <v>29</v>
      </c>
      <c r="I396" s="74" t="str">
        <f>VLOOKUP(D396,Sheet15!D:K,8,FALSE)</f>
        <v>2024-306775</v>
      </c>
      <c r="J396" s="76">
        <f t="shared" si="1"/>
        <v>-45763</v>
      </c>
      <c r="K396" s="77" t="str">
        <f>VLOOKUP(D396,Sheet15!D:G,4,FALSE)</f>
        <v/>
      </c>
      <c r="L396" s="73"/>
      <c r="M396" s="73"/>
      <c r="N396" s="73"/>
      <c r="O396" s="73"/>
      <c r="P396" s="73"/>
      <c r="Q396" s="73"/>
      <c r="R396" s="73"/>
      <c r="S396" s="73"/>
      <c r="T396" s="73"/>
      <c r="U396" s="73"/>
      <c r="V396" s="73"/>
      <c r="W396" s="73"/>
      <c r="X396" s="73"/>
    </row>
    <row r="397">
      <c r="A397" s="74">
        <v>406.0</v>
      </c>
      <c r="B397" s="74" t="s">
        <v>1510</v>
      </c>
      <c r="C397" s="74"/>
      <c r="D397" s="75" t="s">
        <v>1740</v>
      </c>
      <c r="E397" s="76">
        <v>45763.0</v>
      </c>
      <c r="F397" s="74" t="str">
        <f>VLOOKUP(D397,Sheet15!D:H,5,FALSE)</f>
        <v>مكتمل</v>
      </c>
      <c r="G397" s="74"/>
      <c r="H397" s="74" t="s">
        <v>29</v>
      </c>
      <c r="I397" s="74" t="str">
        <f>VLOOKUP(D397,Sheet15!D:K,8,FALSE)</f>
        <v>2025-208947</v>
      </c>
      <c r="J397" s="76">
        <f t="shared" si="1"/>
        <v>-45763</v>
      </c>
      <c r="K397" s="77" t="str">
        <f>VLOOKUP(D397,Sheet15!D:G,4,FALSE)</f>
        <v/>
      </c>
      <c r="L397" s="73"/>
      <c r="M397" s="73"/>
      <c r="N397" s="73"/>
      <c r="O397" s="73"/>
      <c r="P397" s="73"/>
      <c r="Q397" s="73"/>
      <c r="R397" s="73"/>
      <c r="S397" s="73"/>
      <c r="T397" s="73"/>
      <c r="U397" s="73"/>
      <c r="V397" s="73"/>
      <c r="W397" s="73"/>
      <c r="X397" s="73"/>
    </row>
    <row r="398">
      <c r="A398" s="74">
        <v>407.0</v>
      </c>
      <c r="B398" s="74" t="s">
        <v>1510</v>
      </c>
      <c r="C398" s="74"/>
      <c r="D398" s="75" t="s">
        <v>1741</v>
      </c>
      <c r="E398" s="76">
        <v>45763.0</v>
      </c>
      <c r="F398" s="74" t="str">
        <f>VLOOKUP(D398,Sheet15!D:H,5,FALSE)</f>
        <v>مكتمل</v>
      </c>
      <c r="G398" s="74"/>
      <c r="H398" s="74" t="s">
        <v>29</v>
      </c>
      <c r="I398" s="74" t="str">
        <f>VLOOKUP(D398,Sheet15!D:K,8,FALSE)</f>
        <v>2025-209000</v>
      </c>
      <c r="J398" s="76">
        <f t="shared" si="1"/>
        <v>-45763</v>
      </c>
      <c r="K398" s="77" t="str">
        <f>VLOOKUP(D398,Sheet15!D:G,4,FALSE)</f>
        <v/>
      </c>
      <c r="L398" s="73"/>
      <c r="M398" s="73"/>
      <c r="N398" s="73"/>
      <c r="O398" s="73"/>
      <c r="P398" s="73"/>
      <c r="Q398" s="73"/>
      <c r="R398" s="73"/>
      <c r="S398" s="73"/>
      <c r="T398" s="73"/>
      <c r="U398" s="73"/>
      <c r="V398" s="73"/>
      <c r="W398" s="73"/>
      <c r="X398" s="73"/>
    </row>
    <row r="399">
      <c r="A399" s="74">
        <v>408.0</v>
      </c>
      <c r="B399" s="74" t="s">
        <v>1510</v>
      </c>
      <c r="C399" s="74"/>
      <c r="D399" s="75" t="s">
        <v>1742</v>
      </c>
      <c r="E399" s="76">
        <v>45763.0</v>
      </c>
      <c r="F399" s="74" t="str">
        <f>VLOOKUP(D399,Sheet15!D:H,5,FALSE)</f>
        <v>مكتمل</v>
      </c>
      <c r="G399" s="74"/>
      <c r="H399" s="74" t="s">
        <v>29</v>
      </c>
      <c r="I399" s="74" t="str">
        <f>VLOOKUP(D399,Sheet15!D:K,8,FALSE)</f>
        <v>2024-306802</v>
      </c>
      <c r="J399" s="76">
        <f t="shared" si="1"/>
        <v>-45763</v>
      </c>
      <c r="K399" s="77" t="str">
        <f>VLOOKUP(D399,Sheet15!D:G,4,FALSE)</f>
        <v/>
      </c>
      <c r="L399" s="73"/>
      <c r="M399" s="73"/>
      <c r="N399" s="73"/>
      <c r="O399" s="73"/>
      <c r="P399" s="73"/>
      <c r="Q399" s="73"/>
      <c r="R399" s="73"/>
      <c r="S399" s="73"/>
      <c r="T399" s="73"/>
      <c r="U399" s="73"/>
      <c r="V399" s="73"/>
      <c r="W399" s="73"/>
      <c r="X399" s="73"/>
    </row>
    <row r="400">
      <c r="A400" s="74">
        <v>409.0</v>
      </c>
      <c r="B400" s="74" t="s">
        <v>1743</v>
      </c>
      <c r="C400" s="74"/>
      <c r="D400" s="75" t="s">
        <v>1744</v>
      </c>
      <c r="E400" s="76">
        <v>45763.0</v>
      </c>
      <c r="F400" s="74" t="str">
        <f>VLOOKUP(D400,Sheet15!D:H,5,FALSE)</f>
        <v>مكتمل</v>
      </c>
      <c r="G400" s="74"/>
      <c r="H400" s="74" t="s">
        <v>29</v>
      </c>
      <c r="I400" s="74" t="str">
        <f>VLOOKUP(D400,Sheet15!D:K,8,FALSE)</f>
        <v>2024-309078</v>
      </c>
      <c r="J400" s="76">
        <f t="shared" si="1"/>
        <v>-45763</v>
      </c>
      <c r="K400" s="77" t="str">
        <f>VLOOKUP(D400,Sheet15!D:G,4,FALSE)</f>
        <v/>
      </c>
      <c r="L400" s="73"/>
      <c r="M400" s="73"/>
      <c r="N400" s="73"/>
      <c r="O400" s="73"/>
      <c r="P400" s="73"/>
      <c r="Q400" s="73"/>
      <c r="R400" s="73"/>
      <c r="S400" s="73"/>
      <c r="T400" s="73"/>
      <c r="U400" s="73"/>
      <c r="V400" s="73"/>
      <c r="W400" s="73"/>
      <c r="X400" s="73"/>
    </row>
    <row r="401">
      <c r="A401" s="74">
        <v>410.0</v>
      </c>
      <c r="B401" s="74" t="s">
        <v>1743</v>
      </c>
      <c r="C401" s="74"/>
      <c r="D401" s="75" t="s">
        <v>1745</v>
      </c>
      <c r="E401" s="76">
        <v>45763.0</v>
      </c>
      <c r="F401" s="74" t="str">
        <f>VLOOKUP(D401,Sheet15!D:H,5,FALSE)</f>
        <v>مكتمل</v>
      </c>
      <c r="G401" s="74"/>
      <c r="H401" s="74" t="s">
        <v>29</v>
      </c>
      <c r="I401" s="74" t="str">
        <f>VLOOKUP(D401,Sheet15!D:K,8,FALSE)</f>
        <v>2024-309084</v>
      </c>
      <c r="J401" s="76">
        <f t="shared" si="1"/>
        <v>-45763</v>
      </c>
      <c r="K401" s="77" t="str">
        <f>VLOOKUP(D401,Sheet15!D:G,4,FALSE)</f>
        <v/>
      </c>
      <c r="L401" s="73"/>
      <c r="M401" s="73"/>
      <c r="N401" s="73"/>
      <c r="O401" s="73"/>
      <c r="P401" s="73"/>
      <c r="Q401" s="73"/>
      <c r="R401" s="73"/>
      <c r="S401" s="73"/>
      <c r="T401" s="73"/>
      <c r="U401" s="73"/>
      <c r="V401" s="73"/>
      <c r="W401" s="73"/>
      <c r="X401" s="73"/>
    </row>
    <row r="402">
      <c r="A402" s="74">
        <v>411.0</v>
      </c>
      <c r="B402" s="74" t="s">
        <v>1743</v>
      </c>
      <c r="C402" s="74"/>
      <c r="D402" s="75" t="s">
        <v>1746</v>
      </c>
      <c r="E402" s="76">
        <v>45763.0</v>
      </c>
      <c r="F402" s="74" t="str">
        <f>VLOOKUP(D402,Sheet15!D:H,5,FALSE)</f>
        <v>مكتمل</v>
      </c>
      <c r="G402" s="74"/>
      <c r="H402" s="74" t="s">
        <v>29</v>
      </c>
      <c r="I402" s="74" t="str">
        <f>VLOOKUP(D402,Sheet15!D:K,8,FALSE)</f>
        <v>2025-212324</v>
      </c>
      <c r="J402" s="76">
        <f t="shared" si="1"/>
        <v>-45763</v>
      </c>
      <c r="K402" s="77" t="str">
        <f>VLOOKUP(D402,Sheet15!D:G,4,FALSE)</f>
        <v/>
      </c>
      <c r="L402" s="73"/>
      <c r="M402" s="73"/>
      <c r="N402" s="73"/>
      <c r="O402" s="73"/>
      <c r="P402" s="73"/>
      <c r="Q402" s="73"/>
      <c r="R402" s="73"/>
      <c r="S402" s="73"/>
      <c r="T402" s="73"/>
      <c r="U402" s="73"/>
      <c r="V402" s="73"/>
      <c r="W402" s="73"/>
      <c r="X402" s="73"/>
    </row>
    <row r="403">
      <c r="A403" s="74">
        <v>412.0</v>
      </c>
      <c r="B403" s="74" t="s">
        <v>1743</v>
      </c>
      <c r="C403" s="74"/>
      <c r="D403" s="75" t="s">
        <v>1747</v>
      </c>
      <c r="E403" s="76">
        <v>45763.0</v>
      </c>
      <c r="F403" s="74" t="str">
        <f>VLOOKUP(D403,Sheet15!D:H,5,FALSE)</f>
        <v>مكتمل</v>
      </c>
      <c r="G403" s="74"/>
      <c r="H403" s="74" t="s">
        <v>29</v>
      </c>
      <c r="I403" s="74" t="str">
        <f>VLOOKUP(D403,Sheet15!D:K,8,FALSE)</f>
        <v>2024-309201</v>
      </c>
      <c r="J403" s="76">
        <f t="shared" si="1"/>
        <v>-45763</v>
      </c>
      <c r="K403" s="77" t="str">
        <f>VLOOKUP(D403,Sheet15!D:G,4,FALSE)</f>
        <v/>
      </c>
      <c r="L403" s="73"/>
      <c r="M403" s="73"/>
      <c r="N403" s="73"/>
      <c r="O403" s="73"/>
      <c r="P403" s="73"/>
      <c r="Q403" s="73"/>
      <c r="R403" s="73"/>
      <c r="S403" s="73"/>
      <c r="T403" s="73"/>
      <c r="U403" s="73"/>
      <c r="V403" s="73"/>
      <c r="W403" s="73"/>
      <c r="X403" s="73"/>
    </row>
    <row r="404">
      <c r="A404" s="74">
        <v>413.0</v>
      </c>
      <c r="B404" s="74" t="s">
        <v>1743</v>
      </c>
      <c r="C404" s="74"/>
      <c r="D404" s="84" t="s">
        <v>1748</v>
      </c>
      <c r="E404" s="76">
        <v>46021.0</v>
      </c>
      <c r="F404" s="78" t="s">
        <v>1366</v>
      </c>
      <c r="G404" s="74"/>
      <c r="H404" s="74"/>
      <c r="I404" s="74" t="str">
        <f>VLOOKUP(D404,Sheet15!D:K,8,FALSE)</f>
        <v>#N/A</v>
      </c>
      <c r="J404" s="76">
        <f t="shared" si="1"/>
        <v>-46021</v>
      </c>
      <c r="K404" s="77" t="str">
        <f>VLOOKUP(D404,Sheet15!D:G,4,FALSE)</f>
        <v>#N/A</v>
      </c>
      <c r="L404" s="73"/>
      <c r="M404" s="73"/>
      <c r="N404" s="73"/>
      <c r="O404" s="73"/>
      <c r="P404" s="73"/>
      <c r="Q404" s="73"/>
      <c r="R404" s="73"/>
      <c r="S404" s="73"/>
      <c r="T404" s="73"/>
      <c r="U404" s="73"/>
      <c r="V404" s="73"/>
      <c r="W404" s="73"/>
      <c r="X404" s="73"/>
    </row>
    <row r="405">
      <c r="A405" s="74">
        <v>414.0</v>
      </c>
      <c r="B405" s="74" t="s">
        <v>1743</v>
      </c>
      <c r="C405" s="74"/>
      <c r="D405" s="75" t="s">
        <v>1749</v>
      </c>
      <c r="E405" s="76">
        <v>45763.0</v>
      </c>
      <c r="F405" s="74" t="str">
        <f>VLOOKUP(D405,Sheet15!D:H,5,FALSE)</f>
        <v>مكتمل</v>
      </c>
      <c r="G405" s="74"/>
      <c r="H405" s="74" t="s">
        <v>29</v>
      </c>
      <c r="I405" s="74" t="str">
        <f>VLOOKUP(D405,Sheet15!D:K,8,FALSE)</f>
        <v>2025-215257</v>
      </c>
      <c r="J405" s="76">
        <f t="shared" si="1"/>
        <v>-45763</v>
      </c>
      <c r="K405" s="77" t="str">
        <f>VLOOKUP(D405,Sheet15!D:G,4,FALSE)</f>
        <v/>
      </c>
      <c r="L405" s="73"/>
      <c r="M405" s="73"/>
      <c r="N405" s="73"/>
      <c r="O405" s="73"/>
      <c r="P405" s="73"/>
      <c r="Q405" s="73"/>
      <c r="R405" s="73"/>
      <c r="S405" s="73"/>
      <c r="T405" s="73"/>
      <c r="U405" s="73"/>
      <c r="V405" s="73"/>
      <c r="W405" s="73"/>
      <c r="X405" s="73"/>
    </row>
    <row r="406">
      <c r="A406" s="74">
        <v>415.0</v>
      </c>
      <c r="B406" s="74" t="s">
        <v>1743</v>
      </c>
      <c r="C406" s="74"/>
      <c r="D406" s="75" t="s">
        <v>1750</v>
      </c>
      <c r="E406" s="76">
        <v>45763.0</v>
      </c>
      <c r="F406" s="74" t="str">
        <f>VLOOKUP(D406,Sheet15!D:H,5,FALSE)</f>
        <v>مكتمل</v>
      </c>
      <c r="G406" s="74"/>
      <c r="H406" s="74" t="s">
        <v>29</v>
      </c>
      <c r="I406" s="74" t="str">
        <f>VLOOKUP(D406,Sheet15!D:K,8,FALSE)</f>
        <v>2024-309064</v>
      </c>
      <c r="J406" s="76">
        <f t="shared" si="1"/>
        <v>-45763</v>
      </c>
      <c r="K406" s="77" t="str">
        <f>VLOOKUP(D406,Sheet15!D:G,4,FALSE)</f>
        <v/>
      </c>
      <c r="L406" s="73"/>
      <c r="M406" s="73"/>
      <c r="N406" s="73"/>
      <c r="O406" s="73"/>
      <c r="P406" s="73"/>
      <c r="Q406" s="73"/>
      <c r="R406" s="73"/>
      <c r="S406" s="73"/>
      <c r="T406" s="73"/>
      <c r="U406" s="73"/>
      <c r="V406" s="73"/>
      <c r="W406" s="73"/>
      <c r="X406" s="73"/>
    </row>
    <row r="407">
      <c r="A407" s="74">
        <v>416.0</v>
      </c>
      <c r="B407" s="74" t="s">
        <v>1743</v>
      </c>
      <c r="C407" s="74"/>
      <c r="D407" s="75" t="s">
        <v>1751</v>
      </c>
      <c r="E407" s="76">
        <v>45763.0</v>
      </c>
      <c r="F407" s="74" t="str">
        <f>VLOOKUP(D407,Sheet15!D:H,5,FALSE)</f>
        <v>مكتمل</v>
      </c>
      <c r="G407" s="74"/>
      <c r="H407" s="74" t="s">
        <v>29</v>
      </c>
      <c r="I407" s="74" t="str">
        <f>VLOOKUP(D407,Sheet15!D:K,8,FALSE)</f>
        <v>2025-212323</v>
      </c>
      <c r="J407" s="76">
        <f t="shared" si="1"/>
        <v>-45763</v>
      </c>
      <c r="K407" s="77" t="str">
        <f>VLOOKUP(D407,Sheet15!D:G,4,FALSE)</f>
        <v/>
      </c>
      <c r="L407" s="73"/>
      <c r="M407" s="73"/>
      <c r="N407" s="73"/>
      <c r="O407" s="73"/>
      <c r="P407" s="73"/>
      <c r="Q407" s="73"/>
      <c r="R407" s="73"/>
      <c r="S407" s="73"/>
      <c r="T407" s="73"/>
      <c r="U407" s="73"/>
      <c r="V407" s="73"/>
      <c r="W407" s="73"/>
      <c r="X407" s="73"/>
    </row>
    <row r="408">
      <c r="A408" s="74">
        <v>418.0</v>
      </c>
      <c r="B408" s="74" t="s">
        <v>1743</v>
      </c>
      <c r="C408" s="74"/>
      <c r="D408" s="75" t="s">
        <v>1752</v>
      </c>
      <c r="E408" s="76">
        <v>45763.0</v>
      </c>
      <c r="F408" s="74" t="str">
        <f>VLOOKUP(D408,Sheet15!D:H,5,FALSE)</f>
        <v>مكتمل</v>
      </c>
      <c r="G408" s="74"/>
      <c r="H408" s="74" t="s">
        <v>29</v>
      </c>
      <c r="I408" s="74" t="str">
        <f>VLOOKUP(D408,Sheet15!D:K,8,FALSE)</f>
        <v>2024-309108</v>
      </c>
      <c r="J408" s="76">
        <f t="shared" si="1"/>
        <v>-45763</v>
      </c>
      <c r="K408" s="77" t="str">
        <f>VLOOKUP(D408,Sheet15!D:G,4,FALSE)</f>
        <v/>
      </c>
      <c r="L408" s="73"/>
      <c r="M408" s="73"/>
      <c r="N408" s="73"/>
      <c r="O408" s="73"/>
      <c r="P408" s="73"/>
      <c r="Q408" s="73"/>
      <c r="R408" s="73"/>
      <c r="S408" s="73"/>
      <c r="T408" s="73"/>
      <c r="U408" s="73"/>
      <c r="V408" s="73"/>
      <c r="W408" s="73"/>
      <c r="X408" s="73"/>
    </row>
    <row r="409">
      <c r="A409" s="74">
        <v>419.0</v>
      </c>
      <c r="B409" s="74" t="s">
        <v>1743</v>
      </c>
      <c r="C409" s="74"/>
      <c r="D409" s="75" t="s">
        <v>1753</v>
      </c>
      <c r="E409" s="76">
        <v>45763.0</v>
      </c>
      <c r="F409" s="74" t="str">
        <f>VLOOKUP(D409,Sheet15!D:H,5,FALSE)</f>
        <v>مكتمل</v>
      </c>
      <c r="G409" s="74"/>
      <c r="H409" s="74" t="s">
        <v>29</v>
      </c>
      <c r="I409" s="74" t="str">
        <f>VLOOKUP(D409,Sheet15!D:K,8,FALSE)</f>
        <v>2025-215227</v>
      </c>
      <c r="J409" s="76">
        <f t="shared" si="1"/>
        <v>-45763</v>
      </c>
      <c r="K409" s="77" t="str">
        <f>VLOOKUP(D409,Sheet15!D:G,4,FALSE)</f>
        <v/>
      </c>
      <c r="L409" s="73"/>
      <c r="M409" s="73"/>
      <c r="N409" s="73"/>
      <c r="O409" s="73"/>
      <c r="P409" s="73"/>
      <c r="Q409" s="73"/>
      <c r="R409" s="73"/>
      <c r="S409" s="73"/>
      <c r="T409" s="73"/>
      <c r="U409" s="73"/>
      <c r="V409" s="73"/>
      <c r="W409" s="73"/>
      <c r="X409" s="73"/>
    </row>
    <row r="410">
      <c r="A410" s="74">
        <v>420.0</v>
      </c>
      <c r="B410" s="74" t="s">
        <v>1743</v>
      </c>
      <c r="C410" s="74"/>
      <c r="D410" s="75" t="s">
        <v>1754</v>
      </c>
      <c r="E410" s="76">
        <v>45763.0</v>
      </c>
      <c r="F410" s="74" t="str">
        <f>VLOOKUP(D410,Sheet15!D:H,5,FALSE)</f>
        <v>مكتمل</v>
      </c>
      <c r="G410" s="74"/>
      <c r="H410" s="74" t="s">
        <v>29</v>
      </c>
      <c r="I410" s="74" t="str">
        <f>VLOOKUP(D410,Sheet15!D:K,8,FALSE)</f>
        <v>2024-308941</v>
      </c>
      <c r="J410" s="76">
        <f t="shared" si="1"/>
        <v>-45763</v>
      </c>
      <c r="K410" s="77" t="str">
        <f>VLOOKUP(D410,Sheet15!D:G,4,FALSE)</f>
        <v/>
      </c>
      <c r="L410" s="73"/>
      <c r="M410" s="73"/>
      <c r="N410" s="73"/>
      <c r="O410" s="73"/>
      <c r="P410" s="73"/>
      <c r="Q410" s="73"/>
      <c r="R410" s="73"/>
      <c r="S410" s="73"/>
      <c r="T410" s="73"/>
      <c r="U410" s="73"/>
      <c r="V410" s="73"/>
      <c r="W410" s="73"/>
      <c r="X410" s="73"/>
    </row>
    <row r="411">
      <c r="A411" s="74">
        <v>422.0</v>
      </c>
      <c r="B411" s="74" t="s">
        <v>1743</v>
      </c>
      <c r="C411" s="74"/>
      <c r="D411" s="75" t="s">
        <v>1755</v>
      </c>
      <c r="E411" s="76">
        <v>45763.0</v>
      </c>
      <c r="F411" s="74" t="str">
        <f>VLOOKUP(D411,Sheet15!D:H,5,FALSE)</f>
        <v>مكتمل</v>
      </c>
      <c r="G411" s="74"/>
      <c r="H411" s="74" t="s">
        <v>29</v>
      </c>
      <c r="I411" s="74" t="str">
        <f>VLOOKUP(D411,Sheet15!D:K,8,FALSE)</f>
        <v>2025-212305</v>
      </c>
      <c r="J411" s="76">
        <f t="shared" si="1"/>
        <v>-45763</v>
      </c>
      <c r="K411" s="77" t="str">
        <f>VLOOKUP(D411,Sheet15!D:G,4,FALSE)</f>
        <v/>
      </c>
      <c r="L411" s="73"/>
      <c r="M411" s="73"/>
      <c r="N411" s="73"/>
      <c r="O411" s="73"/>
      <c r="P411" s="73"/>
      <c r="Q411" s="73"/>
      <c r="R411" s="73"/>
      <c r="S411" s="73"/>
      <c r="T411" s="73"/>
      <c r="U411" s="73"/>
      <c r="V411" s="73"/>
      <c r="W411" s="73"/>
      <c r="X411" s="73"/>
    </row>
    <row r="412">
      <c r="A412" s="74">
        <v>423.0</v>
      </c>
      <c r="B412" s="74" t="s">
        <v>1743</v>
      </c>
      <c r="C412" s="74"/>
      <c r="D412" s="75" t="s">
        <v>1756</v>
      </c>
      <c r="E412" s="76">
        <v>45763.0</v>
      </c>
      <c r="F412" s="74" t="str">
        <f>VLOOKUP(D412,Sheet15!D:H,5,FALSE)</f>
        <v>مكتمل</v>
      </c>
      <c r="G412" s="74"/>
      <c r="H412" s="74" t="s">
        <v>29</v>
      </c>
      <c r="I412" s="74" t="str">
        <f>VLOOKUP(D412,Sheet15!D:K,8,FALSE)</f>
        <v>2024-309090</v>
      </c>
      <c r="J412" s="76">
        <f t="shared" si="1"/>
        <v>-45763</v>
      </c>
      <c r="K412" s="77" t="str">
        <f>VLOOKUP(D412,Sheet15!D:G,4,FALSE)</f>
        <v/>
      </c>
      <c r="L412" s="73"/>
      <c r="M412" s="73"/>
      <c r="N412" s="73"/>
      <c r="O412" s="73"/>
      <c r="P412" s="73"/>
      <c r="Q412" s="73"/>
      <c r="R412" s="73"/>
      <c r="S412" s="73"/>
      <c r="T412" s="73"/>
      <c r="U412" s="73"/>
      <c r="V412" s="73"/>
      <c r="W412" s="73"/>
      <c r="X412" s="73"/>
    </row>
    <row r="413">
      <c r="A413" s="74">
        <v>424.0</v>
      </c>
      <c r="B413" s="74" t="s">
        <v>1743</v>
      </c>
      <c r="C413" s="74"/>
      <c r="D413" s="75" t="s">
        <v>1757</v>
      </c>
      <c r="E413" s="76">
        <v>45763.0</v>
      </c>
      <c r="F413" s="74" t="str">
        <f>VLOOKUP(D413,Sheet15!D:H,5,FALSE)</f>
        <v>مكتمل</v>
      </c>
      <c r="G413" s="74"/>
      <c r="H413" s="74" t="s">
        <v>29</v>
      </c>
      <c r="I413" s="74" t="str">
        <f>VLOOKUP(D413,Sheet15!D:K,8,FALSE)</f>
        <v>2025-212329</v>
      </c>
      <c r="J413" s="76">
        <f t="shared" si="1"/>
        <v>-45763</v>
      </c>
      <c r="K413" s="77" t="str">
        <f>VLOOKUP(D413,Sheet15!D:G,4,FALSE)</f>
        <v/>
      </c>
      <c r="L413" s="73"/>
      <c r="M413" s="73"/>
      <c r="N413" s="73"/>
      <c r="O413" s="73"/>
      <c r="P413" s="73"/>
      <c r="Q413" s="73"/>
      <c r="R413" s="73"/>
      <c r="S413" s="73"/>
      <c r="T413" s="73"/>
      <c r="U413" s="73"/>
      <c r="V413" s="73"/>
      <c r="W413" s="73"/>
      <c r="X413" s="73"/>
    </row>
    <row r="414">
      <c r="A414" s="74">
        <v>425.0</v>
      </c>
      <c r="B414" s="74" t="s">
        <v>1743</v>
      </c>
      <c r="C414" s="74"/>
      <c r="D414" s="84" t="s">
        <v>1758</v>
      </c>
      <c r="E414" s="76">
        <v>46021.0</v>
      </c>
      <c r="F414" s="78" t="s">
        <v>1366</v>
      </c>
      <c r="G414" s="74"/>
      <c r="H414" s="74"/>
      <c r="I414" s="74" t="str">
        <f>VLOOKUP(D414,Sheet15!D:K,8,FALSE)</f>
        <v>#N/A</v>
      </c>
      <c r="J414" s="76">
        <f t="shared" si="1"/>
        <v>-46021</v>
      </c>
      <c r="K414" s="77" t="str">
        <f>VLOOKUP(D414,Sheet15!D:G,4,FALSE)</f>
        <v>#N/A</v>
      </c>
      <c r="L414" s="73"/>
      <c r="M414" s="73"/>
      <c r="N414" s="73"/>
      <c r="O414" s="73"/>
      <c r="P414" s="73"/>
      <c r="Q414" s="73"/>
      <c r="R414" s="73"/>
      <c r="S414" s="73"/>
      <c r="T414" s="73"/>
      <c r="U414" s="73"/>
      <c r="V414" s="73"/>
      <c r="W414" s="73"/>
      <c r="X414" s="73"/>
    </row>
    <row r="415">
      <c r="A415" s="74">
        <v>426.0</v>
      </c>
      <c r="B415" s="74" t="s">
        <v>1743</v>
      </c>
      <c r="C415" s="74"/>
      <c r="D415" s="75" t="s">
        <v>1759</v>
      </c>
      <c r="E415" s="76">
        <v>45763.0</v>
      </c>
      <c r="F415" s="74" t="str">
        <f>VLOOKUP(D415,Sheet15!D:H,5,FALSE)</f>
        <v>مكتمل</v>
      </c>
      <c r="G415" s="74"/>
      <c r="H415" s="74" t="s">
        <v>29</v>
      </c>
      <c r="I415" s="74" t="str">
        <f>VLOOKUP(D415,Sheet15!D:K,8,FALSE)</f>
        <v>2025-212320</v>
      </c>
      <c r="J415" s="76">
        <f t="shared" si="1"/>
        <v>-45763</v>
      </c>
      <c r="K415" s="77" t="str">
        <f>VLOOKUP(D415,Sheet15!D:G,4,FALSE)</f>
        <v/>
      </c>
      <c r="L415" s="73"/>
      <c r="M415" s="73"/>
      <c r="N415" s="73"/>
      <c r="O415" s="73"/>
      <c r="P415" s="73"/>
      <c r="Q415" s="73"/>
      <c r="R415" s="73"/>
      <c r="S415" s="73"/>
      <c r="T415" s="73"/>
      <c r="U415" s="73"/>
      <c r="V415" s="73"/>
      <c r="W415" s="73"/>
      <c r="X415" s="73"/>
    </row>
    <row r="416">
      <c r="A416" s="74">
        <v>427.0</v>
      </c>
      <c r="B416" s="74" t="s">
        <v>1743</v>
      </c>
      <c r="C416" s="74"/>
      <c r="D416" s="75" t="s">
        <v>1760</v>
      </c>
      <c r="E416" s="76">
        <v>45763.0</v>
      </c>
      <c r="F416" s="74" t="str">
        <f>VLOOKUP(D416,Sheet15!D:H,5,FALSE)</f>
        <v>مكتمل</v>
      </c>
      <c r="G416" s="74"/>
      <c r="H416" s="74" t="s">
        <v>29</v>
      </c>
      <c r="I416" s="74" t="str">
        <f>VLOOKUP(D416,Sheet15!D:K,8,FALSE)</f>
        <v>2024-309022</v>
      </c>
      <c r="J416" s="76">
        <f t="shared" si="1"/>
        <v>-45763</v>
      </c>
      <c r="K416" s="77" t="str">
        <f>VLOOKUP(D416,Sheet15!D:G,4,FALSE)</f>
        <v/>
      </c>
      <c r="L416" s="73"/>
      <c r="M416" s="73"/>
      <c r="N416" s="73"/>
      <c r="O416" s="73"/>
      <c r="P416" s="73"/>
      <c r="Q416" s="73"/>
      <c r="R416" s="73"/>
      <c r="S416" s="73"/>
      <c r="T416" s="73"/>
      <c r="U416" s="73"/>
      <c r="V416" s="73"/>
      <c r="W416" s="73"/>
      <c r="X416" s="73"/>
    </row>
    <row r="417">
      <c r="A417" s="74">
        <v>428.0</v>
      </c>
      <c r="B417" s="74" t="s">
        <v>1743</v>
      </c>
      <c r="C417" s="74"/>
      <c r="D417" s="75" t="s">
        <v>1761</v>
      </c>
      <c r="E417" s="76">
        <v>45763.0</v>
      </c>
      <c r="F417" s="74" t="str">
        <f>VLOOKUP(D417,Sheet15!D:H,5,FALSE)</f>
        <v>مكتمل</v>
      </c>
      <c r="G417" s="74"/>
      <c r="H417" s="74" t="s">
        <v>29</v>
      </c>
      <c r="I417" s="74" t="str">
        <f>VLOOKUP(D417,Sheet15!D:K,8,FALSE)</f>
        <v>2025-212309</v>
      </c>
      <c r="J417" s="76">
        <f t="shared" si="1"/>
        <v>-45763</v>
      </c>
      <c r="K417" s="77" t="str">
        <f>VLOOKUP(D417,Sheet15!D:G,4,FALSE)</f>
        <v/>
      </c>
      <c r="L417" s="73"/>
      <c r="M417" s="73"/>
      <c r="N417" s="73"/>
      <c r="O417" s="73"/>
      <c r="P417" s="73"/>
      <c r="Q417" s="73"/>
      <c r="R417" s="73"/>
      <c r="S417" s="73"/>
      <c r="T417" s="73"/>
      <c r="U417" s="73"/>
      <c r="V417" s="73"/>
      <c r="W417" s="73"/>
      <c r="X417" s="73"/>
    </row>
    <row r="418">
      <c r="A418" s="74">
        <v>429.0</v>
      </c>
      <c r="B418" s="74" t="s">
        <v>1743</v>
      </c>
      <c r="C418" s="74"/>
      <c r="D418" s="75" t="s">
        <v>1762</v>
      </c>
      <c r="E418" s="76">
        <v>45763.0</v>
      </c>
      <c r="F418" s="74" t="str">
        <f>VLOOKUP(D418,Sheet15!D:H,5,FALSE)</f>
        <v>مكتمل</v>
      </c>
      <c r="G418" s="74"/>
      <c r="H418" s="74" t="s">
        <v>29</v>
      </c>
      <c r="I418" s="74" t="str">
        <f>VLOOKUP(D418,Sheet15!D:K,8,FALSE)</f>
        <v>2024-308947</v>
      </c>
      <c r="J418" s="76">
        <f t="shared" si="1"/>
        <v>-45763</v>
      </c>
      <c r="K418" s="77" t="str">
        <f>VLOOKUP(D418,Sheet15!D:G,4,FALSE)</f>
        <v/>
      </c>
      <c r="L418" s="73"/>
      <c r="M418" s="73"/>
      <c r="N418" s="73"/>
      <c r="O418" s="73"/>
      <c r="P418" s="73"/>
      <c r="Q418" s="73"/>
      <c r="R418" s="73"/>
      <c r="S418" s="73"/>
      <c r="T418" s="73"/>
      <c r="U418" s="73"/>
      <c r="V418" s="73"/>
      <c r="W418" s="73"/>
      <c r="X418" s="73"/>
    </row>
    <row r="419">
      <c r="A419" s="74">
        <v>430.0</v>
      </c>
      <c r="B419" s="74" t="s">
        <v>1743</v>
      </c>
      <c r="C419" s="74"/>
      <c r="D419" s="75" t="s">
        <v>1763</v>
      </c>
      <c r="E419" s="76">
        <v>45763.0</v>
      </c>
      <c r="F419" s="74" t="str">
        <f>VLOOKUP(D419,Sheet15!D:H,5,FALSE)</f>
        <v>مكتمل</v>
      </c>
      <c r="G419" s="74"/>
      <c r="H419" s="74" t="s">
        <v>29</v>
      </c>
      <c r="I419" s="74" t="str">
        <f>VLOOKUP(D419,Sheet15!D:K,8,FALSE)</f>
        <v>2025-215196</v>
      </c>
      <c r="J419" s="76">
        <f t="shared" si="1"/>
        <v>-45763</v>
      </c>
      <c r="K419" s="77" t="str">
        <f>VLOOKUP(D419,Sheet15!D:G,4,FALSE)</f>
        <v/>
      </c>
      <c r="L419" s="73"/>
      <c r="M419" s="73"/>
      <c r="N419" s="73"/>
      <c r="O419" s="73"/>
      <c r="P419" s="73"/>
      <c r="Q419" s="73"/>
      <c r="R419" s="73"/>
      <c r="S419" s="73"/>
      <c r="T419" s="73"/>
      <c r="U419" s="73"/>
      <c r="V419" s="73"/>
      <c r="W419" s="73"/>
      <c r="X419" s="73"/>
    </row>
    <row r="420">
      <c r="A420" s="74">
        <v>431.0</v>
      </c>
      <c r="B420" s="74" t="s">
        <v>1743</v>
      </c>
      <c r="C420" s="74"/>
      <c r="D420" s="75" t="s">
        <v>1764</v>
      </c>
      <c r="E420" s="76">
        <v>45763.0</v>
      </c>
      <c r="F420" s="74" t="str">
        <f>VLOOKUP(D420,Sheet15!D:H,5,FALSE)</f>
        <v>مكتمل</v>
      </c>
      <c r="G420" s="74"/>
      <c r="H420" s="74" t="s">
        <v>29</v>
      </c>
      <c r="I420" s="74" t="str">
        <f>VLOOKUP(D420,Sheet15!D:K,8,FALSE)</f>
        <v>2024-309095</v>
      </c>
      <c r="J420" s="76">
        <f t="shared" si="1"/>
        <v>-45763</v>
      </c>
      <c r="K420" s="77" t="str">
        <f>VLOOKUP(D420,Sheet15!D:G,4,FALSE)</f>
        <v/>
      </c>
      <c r="L420" s="73"/>
      <c r="M420" s="73"/>
      <c r="N420" s="73"/>
      <c r="O420" s="73"/>
      <c r="P420" s="73"/>
      <c r="Q420" s="73"/>
      <c r="R420" s="73"/>
      <c r="S420" s="73"/>
      <c r="T420" s="73"/>
      <c r="U420" s="73"/>
      <c r="V420" s="73"/>
      <c r="W420" s="73"/>
      <c r="X420" s="73"/>
    </row>
    <row r="421">
      <c r="A421" s="74">
        <v>433.0</v>
      </c>
      <c r="B421" s="74" t="s">
        <v>1743</v>
      </c>
      <c r="C421" s="74"/>
      <c r="D421" s="75" t="s">
        <v>1765</v>
      </c>
      <c r="E421" s="76">
        <v>45763.0</v>
      </c>
      <c r="F421" s="74" t="str">
        <f>VLOOKUP(D421,Sheet15!D:H,5,FALSE)</f>
        <v>مكتمل</v>
      </c>
      <c r="G421" s="74"/>
      <c r="H421" s="74" t="s">
        <v>29</v>
      </c>
      <c r="I421" s="74" t="str">
        <f>VLOOKUP(D421,Sheet15!D:K,8,FALSE)</f>
        <v>2025-212316</v>
      </c>
      <c r="J421" s="76">
        <f t="shared" si="1"/>
        <v>-45763</v>
      </c>
      <c r="K421" s="77" t="str">
        <f>VLOOKUP(D421,Sheet15!D:G,4,FALSE)</f>
        <v/>
      </c>
      <c r="L421" s="73"/>
      <c r="M421" s="73"/>
      <c r="N421" s="73"/>
      <c r="O421" s="73"/>
      <c r="P421" s="73"/>
      <c r="Q421" s="73"/>
      <c r="R421" s="73"/>
      <c r="S421" s="73"/>
      <c r="T421" s="73"/>
      <c r="U421" s="73"/>
      <c r="V421" s="73"/>
      <c r="W421" s="73"/>
      <c r="X421" s="73"/>
    </row>
    <row r="422">
      <c r="A422" s="74">
        <v>434.0</v>
      </c>
      <c r="B422" s="74" t="s">
        <v>1743</v>
      </c>
      <c r="C422" s="74"/>
      <c r="D422" s="75" t="s">
        <v>1766</v>
      </c>
      <c r="E422" s="76">
        <v>45763.0</v>
      </c>
      <c r="F422" s="74" t="str">
        <f>VLOOKUP(D422,Sheet15!D:H,5,FALSE)</f>
        <v>مكتمل</v>
      </c>
      <c r="G422" s="74"/>
      <c r="H422" s="74" t="s">
        <v>29</v>
      </c>
      <c r="I422" s="74" t="str">
        <f>VLOOKUP(D422,Sheet15!D:K,8,FALSE)</f>
        <v>2024-308992</v>
      </c>
      <c r="J422" s="76">
        <f t="shared" si="1"/>
        <v>-45763</v>
      </c>
      <c r="K422" s="77" t="str">
        <f>VLOOKUP(D422,Sheet15!D:G,4,FALSE)</f>
        <v/>
      </c>
      <c r="L422" s="73"/>
      <c r="M422" s="73"/>
      <c r="N422" s="73"/>
      <c r="O422" s="73"/>
      <c r="P422" s="73"/>
      <c r="Q422" s="73"/>
      <c r="R422" s="73"/>
      <c r="S422" s="73"/>
      <c r="T422" s="73"/>
      <c r="U422" s="73"/>
      <c r="V422" s="73"/>
      <c r="W422" s="73"/>
      <c r="X422" s="73"/>
    </row>
    <row r="423">
      <c r="A423" s="74">
        <v>435.0</v>
      </c>
      <c r="B423" s="74" t="s">
        <v>1510</v>
      </c>
      <c r="C423" s="74"/>
      <c r="D423" s="75" t="s">
        <v>1767</v>
      </c>
      <c r="E423" s="76">
        <v>45763.0</v>
      </c>
      <c r="F423" s="74" t="str">
        <f>VLOOKUP(D423,Sheet15!D:H,5,FALSE)</f>
        <v>مكتمل</v>
      </c>
      <c r="G423" s="74"/>
      <c r="H423" s="74" t="s">
        <v>29</v>
      </c>
      <c r="I423" s="74" t="str">
        <f>VLOOKUP(D423,Sheet15!D:K,8,FALSE)</f>
        <v>2024-306924</v>
      </c>
      <c r="J423" s="76">
        <f t="shared" si="1"/>
        <v>-45763</v>
      </c>
      <c r="K423" s="77" t="str">
        <f>VLOOKUP(D423,Sheet15!D:G,4,FALSE)</f>
        <v/>
      </c>
      <c r="L423" s="73"/>
      <c r="M423" s="73"/>
      <c r="N423" s="73"/>
      <c r="O423" s="73"/>
      <c r="P423" s="73"/>
      <c r="Q423" s="73"/>
      <c r="R423" s="73"/>
      <c r="S423" s="73"/>
      <c r="T423" s="73"/>
      <c r="U423" s="73"/>
      <c r="V423" s="73"/>
      <c r="W423" s="73"/>
      <c r="X423" s="73"/>
    </row>
    <row r="424">
      <c r="A424" s="74">
        <v>436.0</v>
      </c>
      <c r="B424" s="74" t="s">
        <v>1510</v>
      </c>
      <c r="C424" s="74"/>
      <c r="D424" s="75" t="s">
        <v>1768</v>
      </c>
      <c r="E424" s="76">
        <v>45763.0</v>
      </c>
      <c r="F424" s="74" t="str">
        <f>VLOOKUP(D424,Sheet15!D:H,5,FALSE)</f>
        <v>مكتمل</v>
      </c>
      <c r="G424" s="74"/>
      <c r="H424" s="74" t="s">
        <v>29</v>
      </c>
      <c r="I424" s="74" t="str">
        <f>VLOOKUP(D424,Sheet15!D:K,8,FALSE)</f>
        <v>2025-206866</v>
      </c>
      <c r="J424" s="76">
        <f t="shared" si="1"/>
        <v>-45763</v>
      </c>
      <c r="K424" s="77" t="str">
        <f>VLOOKUP(D424,Sheet15!D:G,4,FALSE)</f>
        <v/>
      </c>
      <c r="L424" s="73"/>
      <c r="M424" s="73"/>
      <c r="N424" s="73"/>
      <c r="O424" s="73"/>
      <c r="P424" s="73"/>
      <c r="Q424" s="73"/>
      <c r="R424" s="73"/>
      <c r="S424" s="73"/>
      <c r="T424" s="73"/>
      <c r="U424" s="73"/>
      <c r="V424" s="73"/>
      <c r="W424" s="73"/>
      <c r="X424" s="73"/>
    </row>
    <row r="425">
      <c r="A425" s="74">
        <v>437.0</v>
      </c>
      <c r="B425" s="74" t="s">
        <v>1769</v>
      </c>
      <c r="C425" s="74">
        <v>15776.0</v>
      </c>
      <c r="D425" s="75" t="s">
        <v>1770</v>
      </c>
      <c r="E425" s="76">
        <v>45790.0</v>
      </c>
      <c r="F425" s="74" t="str">
        <f>VLOOKUP(D425,Sheet15!D:H,5,FALSE)</f>
        <v>مكتمل</v>
      </c>
      <c r="G425" s="74"/>
      <c r="H425" s="74" t="s">
        <v>29</v>
      </c>
      <c r="I425" s="74" t="str">
        <f>VLOOKUP(D425,Sheet15!D:K,8,FALSE)</f>
        <v>2025-225960</v>
      </c>
      <c r="J425" s="76">
        <f t="shared" si="1"/>
        <v>-45790</v>
      </c>
      <c r="K425" s="77" t="str">
        <f>VLOOKUP(D425,Sheet15!D:G,4,FALSE)</f>
        <v/>
      </c>
      <c r="L425" s="73"/>
      <c r="M425" s="73"/>
      <c r="N425" s="73"/>
      <c r="O425" s="73"/>
      <c r="P425" s="73"/>
      <c r="Q425" s="73"/>
      <c r="R425" s="73"/>
      <c r="S425" s="73"/>
      <c r="T425" s="73"/>
      <c r="U425" s="73"/>
      <c r="V425" s="73"/>
      <c r="W425" s="73"/>
      <c r="X425" s="73"/>
    </row>
    <row r="426">
      <c r="A426" s="74">
        <v>438.0</v>
      </c>
      <c r="B426" s="74" t="s">
        <v>1771</v>
      </c>
      <c r="C426" s="74">
        <v>15775.0</v>
      </c>
      <c r="D426" s="75" t="s">
        <v>1772</v>
      </c>
      <c r="E426" s="76">
        <v>45790.0</v>
      </c>
      <c r="F426" s="74" t="str">
        <f>VLOOKUP(D426,Sheet15!D:H,5,FALSE)</f>
        <v>مكتمل</v>
      </c>
      <c r="G426" s="74"/>
      <c r="H426" s="74" t="s">
        <v>29</v>
      </c>
      <c r="I426" s="74" t="str">
        <f>VLOOKUP(D426,Sheet15!D:K,8,FALSE)</f>
        <v>2025-226322</v>
      </c>
      <c r="J426" s="76">
        <f t="shared" si="1"/>
        <v>-45790</v>
      </c>
      <c r="K426" s="77" t="str">
        <f>VLOOKUP(D426,Sheet15!D:G,4,FALSE)</f>
        <v/>
      </c>
      <c r="L426" s="73"/>
      <c r="M426" s="73"/>
      <c r="N426" s="73"/>
      <c r="O426" s="73"/>
      <c r="P426" s="73"/>
      <c r="Q426" s="73"/>
      <c r="R426" s="73"/>
      <c r="S426" s="73"/>
      <c r="T426" s="73"/>
      <c r="U426" s="73"/>
      <c r="V426" s="73"/>
      <c r="W426" s="73"/>
      <c r="X426" s="73"/>
    </row>
    <row r="427">
      <c r="A427" s="74">
        <v>439.0</v>
      </c>
      <c r="B427" s="74" t="s">
        <v>1771</v>
      </c>
      <c r="C427" s="74">
        <v>15777.0</v>
      </c>
      <c r="D427" s="75" t="s">
        <v>1773</v>
      </c>
      <c r="E427" s="76">
        <v>45790.0</v>
      </c>
      <c r="F427" s="74" t="str">
        <f>VLOOKUP(D427,Sheet15!D:H,5,FALSE)</f>
        <v>مكتمل</v>
      </c>
      <c r="G427" s="74"/>
      <c r="H427" s="74" t="s">
        <v>29</v>
      </c>
      <c r="I427" s="74" t="str">
        <f>VLOOKUP(D427,Sheet15!D:K,8,FALSE)</f>
        <v>2025-226624</v>
      </c>
      <c r="J427" s="76">
        <f t="shared" si="1"/>
        <v>-45790</v>
      </c>
      <c r="K427" s="77" t="str">
        <f>VLOOKUP(D427,Sheet15!D:G,4,FALSE)</f>
        <v/>
      </c>
      <c r="L427" s="73"/>
      <c r="M427" s="73"/>
      <c r="N427" s="73"/>
      <c r="O427" s="73"/>
      <c r="P427" s="73"/>
      <c r="Q427" s="73"/>
      <c r="R427" s="73"/>
      <c r="S427" s="73"/>
      <c r="T427" s="73"/>
      <c r="U427" s="73"/>
      <c r="V427" s="73"/>
      <c r="W427" s="73"/>
      <c r="X427" s="73"/>
    </row>
    <row r="428">
      <c r="A428" s="74">
        <v>440.0</v>
      </c>
      <c r="B428" s="74" t="s">
        <v>1771</v>
      </c>
      <c r="C428" s="74">
        <v>15778.0</v>
      </c>
      <c r="D428" s="75" t="s">
        <v>1774</v>
      </c>
      <c r="E428" s="76">
        <v>45790.0</v>
      </c>
      <c r="F428" s="74" t="str">
        <f>VLOOKUP(D428,Sheet15!D:H,5,FALSE)</f>
        <v>مكتمل</v>
      </c>
      <c r="G428" s="74"/>
      <c r="H428" s="74" t="s">
        <v>29</v>
      </c>
      <c r="I428" s="74" t="str">
        <f>VLOOKUP(D428,Sheet15!D:K,8,FALSE)</f>
        <v>2025-226930</v>
      </c>
      <c r="J428" s="76">
        <f t="shared" si="1"/>
        <v>-45790</v>
      </c>
      <c r="K428" s="77" t="str">
        <f>VLOOKUP(D428,Sheet15!D:G,4,FALSE)</f>
        <v/>
      </c>
      <c r="L428" s="73"/>
      <c r="M428" s="73"/>
      <c r="N428" s="73"/>
      <c r="O428" s="73"/>
      <c r="P428" s="73"/>
      <c r="Q428" s="73"/>
      <c r="R428" s="73"/>
      <c r="S428" s="73"/>
      <c r="T428" s="73"/>
      <c r="U428" s="73"/>
      <c r="V428" s="73"/>
      <c r="W428" s="73"/>
      <c r="X428" s="73"/>
    </row>
    <row r="429">
      <c r="A429" s="74">
        <v>441.0</v>
      </c>
      <c r="B429" s="74" t="s">
        <v>1771</v>
      </c>
      <c r="C429" s="74">
        <v>15739.0</v>
      </c>
      <c r="D429" s="75" t="s">
        <v>1775</v>
      </c>
      <c r="E429" s="76">
        <v>45790.0</v>
      </c>
      <c r="F429" s="74" t="str">
        <f>VLOOKUP(D429,Sheet15!D:H,5,FALSE)</f>
        <v>مكتمل</v>
      </c>
      <c r="G429" s="74"/>
      <c r="H429" s="74" t="s">
        <v>29</v>
      </c>
      <c r="I429" s="74" t="str">
        <f>VLOOKUP(D429,Sheet15!D:K,8,FALSE)</f>
        <v>2025-227505</v>
      </c>
      <c r="J429" s="76">
        <f t="shared" si="1"/>
        <v>-45790</v>
      </c>
      <c r="K429" s="77" t="str">
        <f>VLOOKUP(D429,Sheet15!D:G,4,FALSE)</f>
        <v/>
      </c>
      <c r="L429" s="73"/>
      <c r="M429" s="73"/>
      <c r="N429" s="73"/>
      <c r="O429" s="73"/>
      <c r="P429" s="73"/>
      <c r="Q429" s="73"/>
      <c r="R429" s="73"/>
      <c r="S429" s="73"/>
      <c r="T429" s="73"/>
      <c r="U429" s="73"/>
      <c r="V429" s="73"/>
      <c r="W429" s="73"/>
      <c r="X429" s="73"/>
    </row>
    <row r="430">
      <c r="A430" s="74">
        <v>442.0</v>
      </c>
      <c r="B430" s="74" t="s">
        <v>1771</v>
      </c>
      <c r="C430" s="74">
        <v>15740.0</v>
      </c>
      <c r="D430" s="75" t="s">
        <v>1776</v>
      </c>
      <c r="E430" s="76">
        <v>45790.0</v>
      </c>
      <c r="F430" s="74" t="str">
        <f>VLOOKUP(D430,Sheet15!D:H,5,FALSE)</f>
        <v>مكتمل</v>
      </c>
      <c r="G430" s="74"/>
      <c r="H430" s="74" t="s">
        <v>29</v>
      </c>
      <c r="I430" s="74" t="str">
        <f>VLOOKUP(D430,Sheet15!D:K,8,FALSE)</f>
        <v>2025-227530</v>
      </c>
      <c r="J430" s="76">
        <f t="shared" si="1"/>
        <v>-45790</v>
      </c>
      <c r="K430" s="77" t="str">
        <f>VLOOKUP(D430,Sheet15!D:G,4,FALSE)</f>
        <v/>
      </c>
      <c r="L430" s="73"/>
      <c r="M430" s="73"/>
      <c r="N430" s="73"/>
      <c r="O430" s="73"/>
      <c r="P430" s="73"/>
      <c r="Q430" s="73"/>
      <c r="R430" s="73"/>
      <c r="S430" s="73"/>
      <c r="T430" s="73"/>
      <c r="U430" s="73"/>
      <c r="V430" s="73"/>
      <c r="W430" s="73"/>
      <c r="X430" s="73"/>
    </row>
    <row r="431">
      <c r="A431" s="74">
        <v>443.0</v>
      </c>
      <c r="B431" s="74" t="s">
        <v>1771</v>
      </c>
      <c r="C431" s="74">
        <v>15741.0</v>
      </c>
      <c r="D431" s="75" t="s">
        <v>1777</v>
      </c>
      <c r="E431" s="76">
        <v>45790.0</v>
      </c>
      <c r="F431" s="74" t="str">
        <f>VLOOKUP(D431,Sheet15!D:H,5,FALSE)</f>
        <v>مكتمل</v>
      </c>
      <c r="G431" s="74"/>
      <c r="H431" s="74" t="s">
        <v>29</v>
      </c>
      <c r="I431" s="74" t="str">
        <f>VLOOKUP(D431,Sheet15!D:K,8,FALSE)</f>
        <v>2025-227565</v>
      </c>
      <c r="J431" s="76">
        <f t="shared" si="1"/>
        <v>-45790</v>
      </c>
      <c r="K431" s="77" t="str">
        <f>VLOOKUP(D431,Sheet15!D:G,4,FALSE)</f>
        <v/>
      </c>
      <c r="L431" s="73"/>
      <c r="M431" s="73"/>
      <c r="N431" s="73"/>
      <c r="O431" s="73"/>
      <c r="P431" s="73"/>
      <c r="Q431" s="73"/>
      <c r="R431" s="73"/>
      <c r="S431" s="73"/>
      <c r="T431" s="73"/>
      <c r="U431" s="73"/>
      <c r="V431" s="73"/>
      <c r="W431" s="73"/>
      <c r="X431" s="73"/>
    </row>
    <row r="432">
      <c r="A432" s="74">
        <v>444.0</v>
      </c>
      <c r="B432" s="74" t="s">
        <v>1771</v>
      </c>
      <c r="C432" s="74">
        <v>15742.0</v>
      </c>
      <c r="D432" s="75" t="s">
        <v>1778</v>
      </c>
      <c r="E432" s="76">
        <v>45790.0</v>
      </c>
      <c r="F432" s="74" t="str">
        <f>VLOOKUP(D432,Sheet15!D:H,5,FALSE)</f>
        <v>مكتمل</v>
      </c>
      <c r="G432" s="74"/>
      <c r="H432" s="74" t="s">
        <v>29</v>
      </c>
      <c r="I432" s="74" t="str">
        <f>VLOOKUP(D432,Sheet15!D:K,8,FALSE)</f>
        <v>2025-227594</v>
      </c>
      <c r="J432" s="76">
        <f t="shared" si="1"/>
        <v>-45790</v>
      </c>
      <c r="K432" s="77" t="str">
        <f>VLOOKUP(D432,Sheet15!D:G,4,FALSE)</f>
        <v/>
      </c>
      <c r="L432" s="73"/>
      <c r="M432" s="73"/>
      <c r="N432" s="73"/>
      <c r="O432" s="73"/>
      <c r="P432" s="73"/>
      <c r="Q432" s="73"/>
      <c r="R432" s="73"/>
      <c r="S432" s="73"/>
      <c r="T432" s="73"/>
      <c r="U432" s="73"/>
      <c r="V432" s="73"/>
      <c r="W432" s="73"/>
      <c r="X432" s="73"/>
    </row>
    <row r="433">
      <c r="A433" s="74">
        <v>445.0</v>
      </c>
      <c r="B433" s="74" t="s">
        <v>1771</v>
      </c>
      <c r="C433" s="74">
        <v>15743.0</v>
      </c>
      <c r="D433" s="75" t="s">
        <v>1779</v>
      </c>
      <c r="E433" s="76">
        <v>45790.0</v>
      </c>
      <c r="F433" s="74" t="str">
        <f>VLOOKUP(D433,Sheet15!D:H,5,FALSE)</f>
        <v>مكتمل</v>
      </c>
      <c r="G433" s="74"/>
      <c r="H433" s="74" t="s">
        <v>29</v>
      </c>
      <c r="I433" s="74" t="str">
        <f>VLOOKUP(D433,Sheet15!D:K,8,FALSE)</f>
        <v>2025-227608</v>
      </c>
      <c r="J433" s="76">
        <f t="shared" si="1"/>
        <v>-45790</v>
      </c>
      <c r="K433" s="77" t="str">
        <f>VLOOKUP(D433,Sheet15!D:G,4,FALSE)</f>
        <v/>
      </c>
      <c r="L433" s="73"/>
      <c r="M433" s="73"/>
      <c r="N433" s="73"/>
      <c r="O433" s="73"/>
      <c r="P433" s="73"/>
      <c r="Q433" s="73"/>
      <c r="R433" s="73"/>
      <c r="S433" s="73"/>
      <c r="T433" s="73"/>
      <c r="U433" s="73"/>
      <c r="V433" s="73"/>
      <c r="W433" s="73"/>
      <c r="X433" s="73"/>
    </row>
    <row r="434">
      <c r="A434" s="74">
        <v>446.0</v>
      </c>
      <c r="B434" s="74" t="s">
        <v>1771</v>
      </c>
      <c r="C434" s="74">
        <v>15744.0</v>
      </c>
      <c r="D434" s="75" t="s">
        <v>1780</v>
      </c>
      <c r="E434" s="76">
        <v>45790.0</v>
      </c>
      <c r="F434" s="74" t="str">
        <f>VLOOKUP(D434,Sheet15!D:H,5,FALSE)</f>
        <v>مكتمل</v>
      </c>
      <c r="G434" s="74"/>
      <c r="H434" s="74" t="s">
        <v>29</v>
      </c>
      <c r="I434" s="74" t="str">
        <f>VLOOKUP(D434,Sheet15!D:K,8,FALSE)</f>
        <v>2025-227622</v>
      </c>
      <c r="J434" s="76">
        <f t="shared" si="1"/>
        <v>-45790</v>
      </c>
      <c r="K434" s="77" t="str">
        <f>VLOOKUP(D434,Sheet15!D:G,4,FALSE)</f>
        <v/>
      </c>
      <c r="L434" s="73"/>
      <c r="M434" s="73"/>
      <c r="N434" s="73"/>
      <c r="O434" s="73"/>
      <c r="P434" s="73"/>
      <c r="Q434" s="73"/>
      <c r="R434" s="73"/>
      <c r="S434" s="73"/>
      <c r="T434" s="73"/>
      <c r="U434" s="73"/>
      <c r="V434" s="73"/>
      <c r="W434" s="73"/>
      <c r="X434" s="73"/>
    </row>
    <row r="435">
      <c r="A435" s="74">
        <v>447.0</v>
      </c>
      <c r="B435" s="74" t="s">
        <v>1771</v>
      </c>
      <c r="C435" s="74">
        <v>15745.0</v>
      </c>
      <c r="D435" s="75" t="s">
        <v>1781</v>
      </c>
      <c r="E435" s="76">
        <v>45790.0</v>
      </c>
      <c r="F435" s="74" t="str">
        <f>VLOOKUP(D435,Sheet15!D:H,5,FALSE)</f>
        <v>مكتمل</v>
      </c>
      <c r="G435" s="74"/>
      <c r="H435" s="74" t="s">
        <v>29</v>
      </c>
      <c r="I435" s="74" t="str">
        <f>VLOOKUP(D435,Sheet15!D:K,8,FALSE)</f>
        <v>2025-227628</v>
      </c>
      <c r="J435" s="76">
        <f t="shared" si="1"/>
        <v>-45790</v>
      </c>
      <c r="K435" s="77" t="str">
        <f>VLOOKUP(D435,Sheet15!D:G,4,FALSE)</f>
        <v/>
      </c>
      <c r="L435" s="73"/>
      <c r="M435" s="73"/>
      <c r="N435" s="73"/>
      <c r="O435" s="73"/>
      <c r="P435" s="73"/>
      <c r="Q435" s="73"/>
      <c r="R435" s="73"/>
      <c r="S435" s="73"/>
      <c r="T435" s="73"/>
      <c r="U435" s="73"/>
      <c r="V435" s="73"/>
      <c r="W435" s="73"/>
      <c r="X435" s="73"/>
    </row>
    <row r="436">
      <c r="A436" s="74">
        <v>448.0</v>
      </c>
      <c r="B436" s="74" t="s">
        <v>1771</v>
      </c>
      <c r="C436" s="74">
        <v>15746.0</v>
      </c>
      <c r="D436" s="75" t="s">
        <v>1782</v>
      </c>
      <c r="E436" s="76">
        <v>45790.0</v>
      </c>
      <c r="F436" s="74" t="str">
        <f>VLOOKUP(D436,Sheet15!D:H,5,FALSE)</f>
        <v>مكتمل</v>
      </c>
      <c r="G436" s="74"/>
      <c r="H436" s="74" t="s">
        <v>29</v>
      </c>
      <c r="I436" s="74" t="str">
        <f>VLOOKUP(D436,Sheet15!D:K,8,FALSE)</f>
        <v>2025-227646</v>
      </c>
      <c r="J436" s="76">
        <f t="shared" si="1"/>
        <v>-45790</v>
      </c>
      <c r="K436" s="77" t="str">
        <f>VLOOKUP(D436,Sheet15!D:G,4,FALSE)</f>
        <v/>
      </c>
      <c r="L436" s="73"/>
      <c r="M436" s="73"/>
      <c r="N436" s="73"/>
      <c r="O436" s="73"/>
      <c r="P436" s="73"/>
      <c r="Q436" s="73"/>
      <c r="R436" s="73"/>
      <c r="S436" s="73"/>
      <c r="T436" s="73"/>
      <c r="U436" s="73"/>
      <c r="V436" s="73"/>
      <c r="W436" s="73"/>
      <c r="X436" s="73"/>
    </row>
    <row r="437">
      <c r="A437" s="74">
        <v>449.0</v>
      </c>
      <c r="B437" s="74" t="s">
        <v>1771</v>
      </c>
      <c r="C437" s="74"/>
      <c r="D437" s="75" t="s">
        <v>1783</v>
      </c>
      <c r="E437" s="76">
        <v>45792.0</v>
      </c>
      <c r="F437" s="74" t="str">
        <f>VLOOKUP(D437,Sheet15!D:H,5,FALSE)</f>
        <v>مكتمل</v>
      </c>
      <c r="G437" s="74"/>
      <c r="H437" s="74" t="s">
        <v>29</v>
      </c>
      <c r="I437" s="74" t="str">
        <f>VLOOKUP(D437,Sheet15!D:K,8,FALSE)</f>
        <v>2025-232374</v>
      </c>
      <c r="J437" s="76">
        <f t="shared" si="1"/>
        <v>-45792</v>
      </c>
      <c r="K437" s="77" t="str">
        <f>VLOOKUP(D437,Sheet15!D:G,4,FALSE)</f>
        <v/>
      </c>
      <c r="L437" s="73"/>
      <c r="M437" s="73"/>
      <c r="N437" s="73"/>
      <c r="O437" s="73"/>
      <c r="P437" s="73"/>
      <c r="Q437" s="73"/>
      <c r="R437" s="73"/>
      <c r="S437" s="73"/>
      <c r="T437" s="73"/>
      <c r="U437" s="73"/>
      <c r="V437" s="73"/>
      <c r="W437" s="73"/>
      <c r="X437" s="73"/>
    </row>
    <row r="438">
      <c r="A438" s="74">
        <v>450.0</v>
      </c>
      <c r="B438" s="74" t="s">
        <v>1771</v>
      </c>
      <c r="C438" s="74"/>
      <c r="D438" s="75" t="s">
        <v>1784</v>
      </c>
      <c r="E438" s="76">
        <v>45792.0</v>
      </c>
      <c r="F438" s="74" t="str">
        <f>VLOOKUP(D438,Sheet15!D:H,5,FALSE)</f>
        <v>مكتمل</v>
      </c>
      <c r="G438" s="74"/>
      <c r="H438" s="74" t="s">
        <v>29</v>
      </c>
      <c r="I438" s="74" t="str">
        <f>VLOOKUP(D438,Sheet15!D:K,8,FALSE)</f>
        <v>2025-232415</v>
      </c>
      <c r="J438" s="76">
        <f t="shared" si="1"/>
        <v>-45792</v>
      </c>
      <c r="K438" s="77" t="str">
        <f>VLOOKUP(D438,Sheet15!D:G,4,FALSE)</f>
        <v/>
      </c>
      <c r="L438" s="73"/>
      <c r="M438" s="73"/>
      <c r="N438" s="73"/>
      <c r="O438" s="73"/>
      <c r="P438" s="73"/>
      <c r="Q438" s="73"/>
      <c r="R438" s="73"/>
      <c r="S438" s="73"/>
      <c r="T438" s="73"/>
      <c r="U438" s="73"/>
      <c r="V438" s="73"/>
      <c r="W438" s="73"/>
      <c r="X438" s="73"/>
    </row>
    <row r="439">
      <c r="A439" s="74">
        <v>451.0</v>
      </c>
      <c r="B439" s="74" t="s">
        <v>1771</v>
      </c>
      <c r="C439" s="74">
        <v>15779.0</v>
      </c>
      <c r="D439" s="75" t="s">
        <v>1785</v>
      </c>
      <c r="E439" s="76">
        <v>45795.0</v>
      </c>
      <c r="F439" s="74" t="str">
        <f>VLOOKUP(D439,Sheet15!D:H,5,FALSE)</f>
        <v>مكتمل</v>
      </c>
      <c r="G439" s="74"/>
      <c r="H439" s="74" t="s">
        <v>29</v>
      </c>
      <c r="I439" s="74" t="str">
        <f>VLOOKUP(D439,Sheet15!D:K,8,FALSE)</f>
        <v>2025-235542</v>
      </c>
      <c r="J439" s="76">
        <f t="shared" si="1"/>
        <v>-45795</v>
      </c>
      <c r="K439" s="77" t="str">
        <f>VLOOKUP(D439,Sheet15!D:G,4,FALSE)</f>
        <v/>
      </c>
      <c r="L439" s="73"/>
      <c r="M439" s="73"/>
      <c r="N439" s="73"/>
      <c r="O439" s="73"/>
      <c r="P439" s="73"/>
      <c r="Q439" s="73"/>
      <c r="R439" s="73"/>
      <c r="S439" s="73"/>
      <c r="T439" s="73"/>
      <c r="U439" s="73"/>
      <c r="V439" s="73"/>
      <c r="W439" s="73"/>
      <c r="X439" s="73"/>
    </row>
    <row r="440">
      <c r="A440" s="74">
        <v>452.0</v>
      </c>
      <c r="B440" s="74" t="s">
        <v>1771</v>
      </c>
      <c r="C440" s="74">
        <v>15780.0</v>
      </c>
      <c r="D440" s="75" t="s">
        <v>1786</v>
      </c>
      <c r="E440" s="76">
        <v>45795.0</v>
      </c>
      <c r="F440" s="74" t="str">
        <f>VLOOKUP(D440,Sheet15!D:H,5,FALSE)</f>
        <v>مكتمل</v>
      </c>
      <c r="G440" s="74"/>
      <c r="H440" s="74" t="s">
        <v>29</v>
      </c>
      <c r="I440" s="74" t="str">
        <f>VLOOKUP(D440,Sheet15!D:K,8,FALSE)</f>
        <v>2025-235420</v>
      </c>
      <c r="J440" s="76">
        <f t="shared" si="1"/>
        <v>-45795</v>
      </c>
      <c r="K440" s="77" t="str">
        <f>VLOOKUP(D440,Sheet15!D:G,4,FALSE)</f>
        <v/>
      </c>
      <c r="L440" s="73"/>
      <c r="M440" s="73"/>
      <c r="N440" s="73"/>
      <c r="O440" s="73"/>
      <c r="P440" s="73"/>
      <c r="Q440" s="73"/>
      <c r="R440" s="73"/>
      <c r="S440" s="73"/>
      <c r="T440" s="73"/>
      <c r="U440" s="73"/>
      <c r="V440" s="73"/>
      <c r="W440" s="73"/>
      <c r="X440" s="73"/>
    </row>
    <row r="441">
      <c r="A441" s="74">
        <v>453.0</v>
      </c>
      <c r="B441" s="74" t="s">
        <v>1771</v>
      </c>
      <c r="C441" s="74">
        <v>15781.0</v>
      </c>
      <c r="D441" s="75" t="s">
        <v>1787</v>
      </c>
      <c r="E441" s="76">
        <v>45795.0</v>
      </c>
      <c r="F441" s="74" t="str">
        <f>VLOOKUP(D441,Sheet15!D:H,5,FALSE)</f>
        <v>مكتمل</v>
      </c>
      <c r="G441" s="74"/>
      <c r="H441" s="74" t="s">
        <v>29</v>
      </c>
      <c r="I441" s="74" t="str">
        <f>VLOOKUP(D441,Sheet15!D:K,8,FALSE)</f>
        <v>2025-235575</v>
      </c>
      <c r="J441" s="76">
        <f t="shared" si="1"/>
        <v>-45795</v>
      </c>
      <c r="K441" s="77" t="str">
        <f>VLOOKUP(D441,Sheet15!D:G,4,FALSE)</f>
        <v>يجب ارفاق شهادة حرية بيع صادرة من الجهة الرقابية في بلد الانتاج مؤرخة ومختومة</v>
      </c>
      <c r="L441" s="73"/>
      <c r="M441" s="73"/>
      <c r="N441" s="73"/>
      <c r="O441" s="73"/>
      <c r="P441" s="73"/>
      <c r="Q441" s="73"/>
      <c r="R441" s="73"/>
      <c r="S441" s="73"/>
      <c r="T441" s="73"/>
      <c r="U441" s="73"/>
      <c r="V441" s="73"/>
      <c r="W441" s="73"/>
      <c r="X441" s="73"/>
    </row>
    <row r="442">
      <c r="A442" s="74">
        <v>454.0</v>
      </c>
      <c r="B442" s="74" t="s">
        <v>1771</v>
      </c>
      <c r="C442" s="74">
        <v>15782.0</v>
      </c>
      <c r="D442" s="75" t="s">
        <v>1788</v>
      </c>
      <c r="E442" s="76">
        <v>45795.0</v>
      </c>
      <c r="F442" s="74" t="str">
        <f>VLOOKUP(D442,Sheet15!D:H,5,FALSE)</f>
        <v>مكتمل</v>
      </c>
      <c r="G442" s="74"/>
      <c r="H442" s="74" t="s">
        <v>29</v>
      </c>
      <c r="I442" s="74" t="str">
        <f>VLOOKUP(D442,Sheet15!D:K,8,FALSE)</f>
        <v>2025-235611</v>
      </c>
      <c r="J442" s="76">
        <f t="shared" si="1"/>
        <v>-45795</v>
      </c>
      <c r="K442" s="77" t="str">
        <f>VLOOKUP(D442,Sheet15!D:G,4,FALSE)</f>
        <v/>
      </c>
      <c r="L442" s="73"/>
      <c r="M442" s="73"/>
      <c r="N442" s="73"/>
      <c r="O442" s="73"/>
      <c r="P442" s="73"/>
      <c r="Q442" s="73"/>
      <c r="R442" s="73"/>
      <c r="S442" s="73"/>
      <c r="T442" s="73"/>
      <c r="U442" s="73"/>
      <c r="V442" s="73"/>
      <c r="W442" s="73"/>
      <c r="X442" s="73"/>
    </row>
    <row r="443">
      <c r="A443" s="74">
        <v>455.0</v>
      </c>
      <c r="B443" s="74" t="s">
        <v>1771</v>
      </c>
      <c r="C443" s="74">
        <v>15783.0</v>
      </c>
      <c r="D443" s="75" t="s">
        <v>1789</v>
      </c>
      <c r="E443" s="76">
        <v>45795.0</v>
      </c>
      <c r="F443" s="74" t="str">
        <f>VLOOKUP(D443,Sheet15!D:H,5,FALSE)</f>
        <v>مكتمل</v>
      </c>
      <c r="G443" s="74"/>
      <c r="H443" s="74" t="s">
        <v>29</v>
      </c>
      <c r="I443" s="74" t="str">
        <f>VLOOKUP(D443,Sheet15!D:K,8,FALSE)</f>
        <v>2025-235635</v>
      </c>
      <c r="J443" s="76">
        <f t="shared" si="1"/>
        <v>-45795</v>
      </c>
      <c r="K443" s="77" t="str">
        <f>VLOOKUP(D443,Sheet15!D:G,4,FALSE)</f>
        <v/>
      </c>
      <c r="L443" s="73"/>
      <c r="M443" s="73"/>
      <c r="N443" s="73"/>
      <c r="O443" s="73"/>
      <c r="P443" s="73"/>
      <c r="Q443" s="73"/>
      <c r="R443" s="73"/>
      <c r="S443" s="73"/>
      <c r="T443" s="73"/>
      <c r="U443" s="73"/>
      <c r="V443" s="73"/>
      <c r="W443" s="73"/>
      <c r="X443" s="73"/>
    </row>
    <row r="444">
      <c r="A444" s="74">
        <v>456.0</v>
      </c>
      <c r="B444" s="74" t="s">
        <v>1790</v>
      </c>
      <c r="C444" s="74"/>
      <c r="D444" s="75" t="s">
        <v>1791</v>
      </c>
      <c r="E444" s="76">
        <v>45796.0</v>
      </c>
      <c r="F444" s="74" t="str">
        <f>VLOOKUP(D444,Sheet15!D:H,5,FALSE)</f>
        <v>مكتمل</v>
      </c>
      <c r="G444" s="74"/>
      <c r="H444" s="74" t="s">
        <v>29</v>
      </c>
      <c r="I444" s="74" t="str">
        <f>VLOOKUP(D444,Sheet15!D:K,8,FALSE)</f>
        <v>2025-342897</v>
      </c>
      <c r="J444" s="76">
        <f t="shared" si="1"/>
        <v>-45796</v>
      </c>
      <c r="K444" s="77" t="str">
        <f>VLOOKUP(D444,Sheet15!D:G,4,FALSE)</f>
        <v/>
      </c>
      <c r="L444" s="73"/>
      <c r="M444" s="73"/>
      <c r="N444" s="73"/>
      <c r="O444" s="73"/>
      <c r="P444" s="73"/>
      <c r="Q444" s="73"/>
      <c r="R444" s="73"/>
      <c r="S444" s="73"/>
      <c r="T444" s="73"/>
      <c r="U444" s="73"/>
      <c r="V444" s="73"/>
      <c r="W444" s="73"/>
      <c r="X444" s="73"/>
    </row>
    <row r="445">
      <c r="A445" s="74">
        <v>457.0</v>
      </c>
      <c r="B445" s="74" t="s">
        <v>1790</v>
      </c>
      <c r="C445" s="74"/>
      <c r="D445" s="75" t="s">
        <v>1792</v>
      </c>
      <c r="E445" s="76">
        <v>45796.0</v>
      </c>
      <c r="F445" s="74" t="str">
        <f>VLOOKUP(D445,Sheet15!D:H,5,FALSE)</f>
        <v>#N/A</v>
      </c>
      <c r="G445" s="74"/>
      <c r="H445" s="74"/>
      <c r="I445" s="74" t="str">
        <f>VLOOKUP(D445,Sheet15!D:K,8,FALSE)</f>
        <v>#N/A</v>
      </c>
      <c r="J445" s="76">
        <f t="shared" si="1"/>
        <v>-45796</v>
      </c>
      <c r="K445" s="77" t="str">
        <f>VLOOKUP(D445,Sheet15!D:G,4,FALSE)</f>
        <v>#N/A</v>
      </c>
      <c r="L445" s="73"/>
      <c r="M445" s="73"/>
      <c r="N445" s="73"/>
      <c r="O445" s="73"/>
      <c r="P445" s="73"/>
      <c r="Q445" s="73"/>
      <c r="R445" s="73"/>
      <c r="S445" s="73"/>
      <c r="T445" s="73"/>
      <c r="U445" s="73"/>
      <c r="V445" s="73"/>
      <c r="W445" s="73"/>
      <c r="X445" s="73"/>
    </row>
    <row r="446">
      <c r="A446" s="74">
        <v>458.0</v>
      </c>
      <c r="B446" s="74" t="s">
        <v>1790</v>
      </c>
      <c r="C446" s="74"/>
      <c r="D446" s="75" t="s">
        <v>1793</v>
      </c>
      <c r="E446" s="76">
        <v>45796.0</v>
      </c>
      <c r="F446" s="74" t="str">
        <f>VLOOKUP(D446,Sheet15!D:H,5,FALSE)</f>
        <v>تحت الاجراء</v>
      </c>
      <c r="G446" s="74"/>
      <c r="H446" s="74"/>
      <c r="I446" s="74" t="str">
        <f>VLOOKUP(D446,Sheet15!D:K,8,FALSE)</f>
        <v>2025-350682</v>
      </c>
      <c r="J446" s="76">
        <f t="shared" si="1"/>
        <v>-45796</v>
      </c>
      <c r="K446" s="77" t="str">
        <f>VLOOKUP(D446,Sheet15!D:G,4,FALSE)</f>
        <v/>
      </c>
      <c r="L446" s="73"/>
      <c r="M446" s="73"/>
      <c r="N446" s="73"/>
      <c r="O446" s="73"/>
      <c r="P446" s="73"/>
      <c r="Q446" s="73"/>
      <c r="R446" s="73"/>
      <c r="S446" s="73"/>
      <c r="T446" s="73"/>
      <c r="U446" s="73"/>
      <c r="V446" s="73"/>
      <c r="W446" s="73"/>
      <c r="X446" s="73"/>
    </row>
    <row r="447">
      <c r="A447" s="74">
        <v>459.0</v>
      </c>
      <c r="B447" s="74" t="s">
        <v>1790</v>
      </c>
      <c r="C447" s="74"/>
      <c r="D447" s="75" t="s">
        <v>1794</v>
      </c>
      <c r="E447" s="76">
        <v>45796.0</v>
      </c>
      <c r="F447" s="74" t="str">
        <f>VLOOKUP(D447,Sheet15!D:H,5,FALSE)</f>
        <v>تحت الاجراء</v>
      </c>
      <c r="G447" s="74"/>
      <c r="H447" s="74"/>
      <c r="I447" s="74" t="str">
        <f>VLOOKUP(D447,Sheet15!D:K,8,FALSE)</f>
        <v>2025-350856</v>
      </c>
      <c r="J447" s="76">
        <f t="shared" si="1"/>
        <v>-45796</v>
      </c>
      <c r="K447" s="77" t="str">
        <f>VLOOKUP(D447,Sheet15!D:G,4,FALSE)</f>
        <v/>
      </c>
      <c r="L447" s="73"/>
      <c r="M447" s="73"/>
      <c r="N447" s="73"/>
      <c r="O447" s="73"/>
      <c r="P447" s="73"/>
      <c r="Q447" s="73"/>
      <c r="R447" s="73"/>
      <c r="S447" s="73"/>
      <c r="T447" s="73"/>
      <c r="U447" s="73"/>
      <c r="V447" s="73"/>
      <c r="W447" s="73"/>
      <c r="X447" s="73"/>
    </row>
    <row r="448">
      <c r="A448" s="74">
        <v>460.0</v>
      </c>
      <c r="B448" s="74" t="s">
        <v>1790</v>
      </c>
      <c r="C448" s="74"/>
      <c r="D448" s="75" t="s">
        <v>1795</v>
      </c>
      <c r="E448" s="76">
        <v>45796.0</v>
      </c>
      <c r="F448" s="74" t="str">
        <f>VLOOKUP(D448,Sheet15!D:H,5,FALSE)</f>
        <v>تحت الاجراء</v>
      </c>
      <c r="G448" s="74"/>
      <c r="H448" s="74"/>
      <c r="I448" s="74" t="str">
        <f>VLOOKUP(D448,Sheet15!D:K,8,FALSE)</f>
        <v>2025-350880</v>
      </c>
      <c r="J448" s="76">
        <f t="shared" si="1"/>
        <v>-45796</v>
      </c>
      <c r="K448" s="77" t="str">
        <f>VLOOKUP(D448,Sheet15!D:G,4,FALSE)</f>
        <v/>
      </c>
      <c r="L448" s="73"/>
      <c r="M448" s="73"/>
      <c r="N448" s="73"/>
      <c r="O448" s="73"/>
      <c r="P448" s="73"/>
      <c r="Q448" s="73"/>
      <c r="R448" s="73"/>
      <c r="S448" s="73"/>
      <c r="T448" s="73"/>
      <c r="U448" s="73"/>
      <c r="V448" s="73"/>
      <c r="W448" s="73"/>
      <c r="X448" s="73"/>
    </row>
    <row r="449">
      <c r="A449" s="74">
        <v>461.0</v>
      </c>
      <c r="B449" s="74" t="s">
        <v>1790</v>
      </c>
      <c r="C449" s="74"/>
      <c r="D449" s="75" t="s">
        <v>1796</v>
      </c>
      <c r="E449" s="76">
        <v>45796.0</v>
      </c>
      <c r="F449" s="74" t="str">
        <f>VLOOKUP(D449,Sheet15!D:H,5,FALSE)</f>
        <v>مكتمل</v>
      </c>
      <c r="G449" s="74"/>
      <c r="H449" s="74" t="s">
        <v>29</v>
      </c>
      <c r="I449" s="74" t="str">
        <f>VLOOKUP(D449,Sheet15!D:K,8,FALSE)</f>
        <v>2025-34253</v>
      </c>
      <c r="J449" s="76">
        <f t="shared" si="1"/>
        <v>-45796</v>
      </c>
      <c r="K449" s="77" t="str">
        <f>VLOOKUP(D449,Sheet15!D:G,4,FALSE)</f>
        <v/>
      </c>
      <c r="L449" s="73"/>
      <c r="M449" s="73"/>
      <c r="N449" s="73"/>
      <c r="O449" s="73"/>
      <c r="P449" s="73"/>
      <c r="Q449" s="73"/>
      <c r="R449" s="73"/>
      <c r="S449" s="73"/>
      <c r="T449" s="73"/>
      <c r="U449" s="73"/>
      <c r="V449" s="73"/>
      <c r="W449" s="73"/>
      <c r="X449" s="73"/>
    </row>
    <row r="450">
      <c r="A450" s="74">
        <v>462.0</v>
      </c>
      <c r="B450" s="74" t="s">
        <v>1790</v>
      </c>
      <c r="C450" s="74"/>
      <c r="D450" s="75" t="s">
        <v>1797</v>
      </c>
      <c r="E450" s="76">
        <v>45796.0</v>
      </c>
      <c r="F450" s="74" t="str">
        <f>VLOOKUP(D450,Sheet15!D:H,5,FALSE)</f>
        <v>تحت الاجراء</v>
      </c>
      <c r="G450" s="74"/>
      <c r="H450" s="74"/>
      <c r="I450" s="74" t="str">
        <f>VLOOKUP(D450,Sheet15!D:K,8,FALSE)</f>
        <v>2025-350905</v>
      </c>
      <c r="J450" s="76">
        <f t="shared" si="1"/>
        <v>-45796</v>
      </c>
      <c r="K450" s="77" t="str">
        <f>VLOOKUP(D450,Sheet15!D:G,4,FALSE)</f>
        <v/>
      </c>
      <c r="L450" s="73"/>
      <c r="M450" s="73"/>
      <c r="N450" s="73"/>
      <c r="O450" s="73"/>
      <c r="P450" s="73"/>
      <c r="Q450" s="73"/>
      <c r="R450" s="73"/>
      <c r="S450" s="73"/>
      <c r="T450" s="73"/>
      <c r="U450" s="73"/>
      <c r="V450" s="73"/>
      <c r="W450" s="73"/>
      <c r="X450" s="73"/>
    </row>
    <row r="451">
      <c r="A451" s="74">
        <v>463.0</v>
      </c>
      <c r="B451" s="74" t="s">
        <v>1790</v>
      </c>
      <c r="C451" s="74"/>
      <c r="D451" s="75" t="s">
        <v>1798</v>
      </c>
      <c r="E451" s="76">
        <v>45796.0</v>
      </c>
      <c r="F451" s="74" t="str">
        <f>VLOOKUP(D451,Sheet15!D:H,5,FALSE)</f>
        <v>تحت الاجراء</v>
      </c>
      <c r="G451" s="74"/>
      <c r="H451" s="74"/>
      <c r="I451" s="74" t="str">
        <f>VLOOKUP(D451,Sheet15!D:K,8,FALSE)</f>
        <v>2025-350977</v>
      </c>
      <c r="J451" s="76">
        <f t="shared" si="1"/>
        <v>-45796</v>
      </c>
      <c r="K451" s="77" t="str">
        <f>VLOOKUP(D451,Sheet15!D:G,4,FALSE)</f>
        <v/>
      </c>
      <c r="L451" s="73"/>
      <c r="M451" s="73"/>
      <c r="N451" s="73"/>
      <c r="O451" s="73"/>
      <c r="P451" s="73"/>
      <c r="Q451" s="73"/>
      <c r="R451" s="73"/>
      <c r="S451" s="73"/>
      <c r="T451" s="73"/>
      <c r="U451" s="73"/>
      <c r="V451" s="73"/>
      <c r="W451" s="73"/>
      <c r="X451" s="73"/>
    </row>
    <row r="452">
      <c r="A452" s="74">
        <v>464.0</v>
      </c>
      <c r="B452" s="74" t="s">
        <v>1790</v>
      </c>
      <c r="C452" s="74"/>
      <c r="D452" s="75" t="s">
        <v>1799</v>
      </c>
      <c r="E452" s="76">
        <v>45796.0</v>
      </c>
      <c r="F452" s="74" t="str">
        <f>VLOOKUP(D452,Sheet15!D:H,5,FALSE)</f>
        <v>تحت الاجراء</v>
      </c>
      <c r="G452" s="74"/>
      <c r="H452" s="74"/>
      <c r="I452" s="74" t="str">
        <f>VLOOKUP(D452,Sheet15!D:K,8,FALSE)</f>
        <v>2025-351017</v>
      </c>
      <c r="J452" s="76">
        <f t="shared" si="1"/>
        <v>-45796</v>
      </c>
      <c r="K452" s="77" t="str">
        <f>VLOOKUP(D452,Sheet15!D:G,4,FALSE)</f>
        <v/>
      </c>
      <c r="L452" s="73"/>
      <c r="M452" s="73"/>
      <c r="N452" s="73"/>
      <c r="O452" s="73"/>
      <c r="P452" s="73"/>
      <c r="Q452" s="73"/>
      <c r="R452" s="73"/>
      <c r="S452" s="73"/>
      <c r="T452" s="73"/>
      <c r="U452" s="73"/>
      <c r="V452" s="73"/>
      <c r="W452" s="73"/>
      <c r="X452" s="73"/>
    </row>
    <row r="453">
      <c r="A453" s="74">
        <v>465.0</v>
      </c>
      <c r="B453" s="74" t="s">
        <v>1790</v>
      </c>
      <c r="C453" s="74"/>
      <c r="D453" s="75" t="s">
        <v>1800</v>
      </c>
      <c r="E453" s="76">
        <v>45796.0</v>
      </c>
      <c r="F453" s="74" t="str">
        <f>VLOOKUP(D453,Sheet15!D:H,5,FALSE)</f>
        <v>تحت الاجراء</v>
      </c>
      <c r="G453" s="74"/>
      <c r="H453" s="74"/>
      <c r="I453" s="74" t="str">
        <f>VLOOKUP(D453,Sheet15!D:K,8,FALSE)</f>
        <v>2025-351050</v>
      </c>
      <c r="J453" s="76">
        <f t="shared" si="1"/>
        <v>-45796</v>
      </c>
      <c r="K453" s="77" t="str">
        <f>VLOOKUP(D453,Sheet15!D:G,4,FALSE)</f>
        <v/>
      </c>
      <c r="L453" s="73"/>
      <c r="M453" s="73"/>
      <c r="N453" s="73"/>
      <c r="O453" s="73"/>
      <c r="P453" s="73"/>
      <c r="Q453" s="73"/>
      <c r="R453" s="73"/>
      <c r="S453" s="73"/>
      <c r="T453" s="73"/>
      <c r="U453" s="73"/>
      <c r="V453" s="73"/>
      <c r="W453" s="73"/>
      <c r="X453" s="73"/>
    </row>
    <row r="454">
      <c r="A454" s="74">
        <v>466.0</v>
      </c>
      <c r="B454" s="74" t="s">
        <v>1790</v>
      </c>
      <c r="C454" s="74"/>
      <c r="D454" s="75" t="s">
        <v>1801</v>
      </c>
      <c r="E454" s="76">
        <v>45796.0</v>
      </c>
      <c r="F454" s="74" t="str">
        <f>VLOOKUP(D454,Sheet15!D:H,5,FALSE)</f>
        <v>تحت الاجراء</v>
      </c>
      <c r="G454" s="74"/>
      <c r="H454" s="74"/>
      <c r="I454" s="74" t="str">
        <f>VLOOKUP(D454,Sheet15!D:K,8,FALSE)</f>
        <v>2025-351212</v>
      </c>
      <c r="J454" s="76">
        <f t="shared" si="1"/>
        <v>-45796</v>
      </c>
      <c r="K454" s="77" t="str">
        <f>VLOOKUP(D454,Sheet15!D:G,4,FALSE)</f>
        <v/>
      </c>
      <c r="L454" s="73"/>
      <c r="M454" s="73"/>
      <c r="N454" s="73"/>
      <c r="O454" s="73"/>
      <c r="P454" s="73"/>
      <c r="Q454" s="73"/>
      <c r="R454" s="73"/>
      <c r="S454" s="73"/>
      <c r="T454" s="73"/>
      <c r="U454" s="73"/>
      <c r="V454" s="73"/>
      <c r="W454" s="73"/>
      <c r="X454" s="73"/>
    </row>
    <row r="455">
      <c r="A455" s="74">
        <v>467.0</v>
      </c>
      <c r="B455" s="74" t="s">
        <v>1790</v>
      </c>
      <c r="C455" s="74"/>
      <c r="D455" s="75" t="s">
        <v>1802</v>
      </c>
      <c r="E455" s="76">
        <v>45796.0</v>
      </c>
      <c r="F455" s="74" t="str">
        <f>VLOOKUP(D455,Sheet15!D:H,5,FALSE)</f>
        <v>تحت الاجراء</v>
      </c>
      <c r="G455" s="74"/>
      <c r="H455" s="74"/>
      <c r="I455" s="74" t="str">
        <f>VLOOKUP(D455,Sheet15!D:K,8,FALSE)</f>
        <v>2025-351271</v>
      </c>
      <c r="J455" s="76">
        <f t="shared" si="1"/>
        <v>-45796</v>
      </c>
      <c r="K455" s="77" t="str">
        <f>VLOOKUP(D455,Sheet15!D:G,4,FALSE)</f>
        <v/>
      </c>
      <c r="L455" s="73"/>
      <c r="M455" s="73"/>
      <c r="N455" s="73"/>
      <c r="O455" s="73"/>
      <c r="P455" s="73"/>
      <c r="Q455" s="73"/>
      <c r="R455" s="73"/>
      <c r="S455" s="73"/>
      <c r="T455" s="73"/>
      <c r="U455" s="73"/>
      <c r="V455" s="73"/>
      <c r="W455" s="73"/>
      <c r="X455" s="73"/>
    </row>
    <row r="456">
      <c r="A456" s="74">
        <v>468.0</v>
      </c>
      <c r="B456" s="74" t="s">
        <v>1790</v>
      </c>
      <c r="C456" s="74"/>
      <c r="D456" s="75" t="s">
        <v>1803</v>
      </c>
      <c r="E456" s="76">
        <v>45796.0</v>
      </c>
      <c r="F456" s="74" t="str">
        <f>VLOOKUP(D456,Sheet15!D:H,5,FALSE)</f>
        <v>تحت الاجراء</v>
      </c>
      <c r="G456" s="74"/>
      <c r="H456" s="74"/>
      <c r="I456" s="74" t="str">
        <f>VLOOKUP(D456,Sheet15!D:K,8,FALSE)</f>
        <v>2025-351241</v>
      </c>
      <c r="J456" s="76">
        <f t="shared" si="1"/>
        <v>-45796</v>
      </c>
      <c r="K456" s="77" t="str">
        <f>VLOOKUP(D456,Sheet15!D:G,4,FALSE)</f>
        <v/>
      </c>
      <c r="L456" s="73"/>
      <c r="M456" s="73"/>
      <c r="N456" s="73"/>
      <c r="O456" s="73"/>
      <c r="P456" s="73"/>
      <c r="Q456" s="73"/>
      <c r="R456" s="73"/>
      <c r="S456" s="73"/>
      <c r="T456" s="73"/>
      <c r="U456" s="73"/>
      <c r="V456" s="73"/>
      <c r="W456" s="73"/>
      <c r="X456" s="73"/>
    </row>
    <row r="457">
      <c r="A457" s="74">
        <v>469.0</v>
      </c>
      <c r="B457" s="74" t="s">
        <v>1790</v>
      </c>
      <c r="C457" s="74"/>
      <c r="D457" s="75" t="s">
        <v>1804</v>
      </c>
      <c r="E457" s="76">
        <v>45796.0</v>
      </c>
      <c r="F457" s="74" t="str">
        <f>VLOOKUP(D457,Sheet15!D:H,5,FALSE)</f>
        <v>تحت الاجراء</v>
      </c>
      <c r="G457" s="74"/>
      <c r="H457" s="74"/>
      <c r="I457" s="74" t="str">
        <f>VLOOKUP(D457,Sheet15!D:K,8,FALSE)</f>
        <v>2025-351310</v>
      </c>
      <c r="J457" s="76">
        <f t="shared" si="1"/>
        <v>-45796</v>
      </c>
      <c r="K457" s="77" t="str">
        <f>VLOOKUP(D457,Sheet15!D:G,4,FALSE)</f>
        <v/>
      </c>
      <c r="L457" s="73"/>
      <c r="M457" s="73"/>
      <c r="N457" s="73"/>
      <c r="O457" s="73"/>
      <c r="P457" s="73"/>
      <c r="Q457" s="73"/>
      <c r="R457" s="73"/>
      <c r="S457" s="73"/>
      <c r="T457" s="73"/>
      <c r="U457" s="73"/>
      <c r="V457" s="73"/>
      <c r="W457" s="73"/>
      <c r="X457" s="73"/>
    </row>
    <row r="458">
      <c r="A458" s="74">
        <v>470.0</v>
      </c>
      <c r="B458" s="74" t="s">
        <v>1790</v>
      </c>
      <c r="C458" s="74"/>
      <c r="D458" s="75" t="s">
        <v>1805</v>
      </c>
      <c r="E458" s="76">
        <v>45796.0</v>
      </c>
      <c r="F458" s="74" t="str">
        <f>VLOOKUP(D458,Sheet15!D:H,5,FALSE)</f>
        <v>تحت الاجراء</v>
      </c>
      <c r="G458" s="74"/>
      <c r="H458" s="74"/>
      <c r="I458" s="74" t="str">
        <f>VLOOKUP(D458,Sheet15!D:K,8,FALSE)</f>
        <v>2025-351330</v>
      </c>
      <c r="J458" s="76">
        <f t="shared" si="1"/>
        <v>-45796</v>
      </c>
      <c r="K458" s="77" t="str">
        <f>VLOOKUP(D458,Sheet15!D:G,4,FALSE)</f>
        <v/>
      </c>
      <c r="L458" s="73"/>
      <c r="M458" s="73"/>
      <c r="N458" s="73"/>
      <c r="O458" s="73"/>
      <c r="P458" s="73"/>
      <c r="Q458" s="73"/>
      <c r="R458" s="73"/>
      <c r="S458" s="73"/>
      <c r="T458" s="73"/>
      <c r="U458" s="73"/>
      <c r="V458" s="73"/>
      <c r="W458" s="73"/>
      <c r="X458" s="73"/>
    </row>
    <row r="459">
      <c r="A459" s="74">
        <v>471.0</v>
      </c>
      <c r="B459" s="74" t="s">
        <v>1790</v>
      </c>
      <c r="C459" s="74"/>
      <c r="D459" s="75" t="s">
        <v>1806</v>
      </c>
      <c r="E459" s="76">
        <v>45796.0</v>
      </c>
      <c r="F459" s="74" t="str">
        <f>VLOOKUP(D459,Sheet15!D:H,5,FALSE)</f>
        <v>#N/A</v>
      </c>
      <c r="G459" s="74"/>
      <c r="H459" s="74"/>
      <c r="I459" s="74" t="str">
        <f>VLOOKUP(D459,Sheet15!D:K,8,FALSE)</f>
        <v>#N/A</v>
      </c>
      <c r="J459" s="76">
        <f t="shared" si="1"/>
        <v>-45796</v>
      </c>
      <c r="K459" s="77" t="str">
        <f>VLOOKUP(D459,Sheet15!D:G,4,FALSE)</f>
        <v>#N/A</v>
      </c>
      <c r="L459" s="73"/>
      <c r="M459" s="73"/>
      <c r="N459" s="73"/>
      <c r="O459" s="73"/>
      <c r="P459" s="73"/>
      <c r="Q459" s="73"/>
      <c r="R459" s="73"/>
      <c r="S459" s="73"/>
      <c r="T459" s="73"/>
      <c r="U459" s="73"/>
      <c r="V459" s="73"/>
      <c r="W459" s="73"/>
      <c r="X459" s="73"/>
    </row>
    <row r="460">
      <c r="A460" s="74">
        <v>472.0</v>
      </c>
      <c r="B460" s="74" t="s">
        <v>1790</v>
      </c>
      <c r="C460" s="74"/>
      <c r="D460" s="75" t="s">
        <v>1807</v>
      </c>
      <c r="E460" s="76">
        <v>45796.0</v>
      </c>
      <c r="F460" s="74" t="str">
        <f>VLOOKUP(D460,Sheet15!D:H,5,FALSE)</f>
        <v>#N/A</v>
      </c>
      <c r="G460" s="74"/>
      <c r="H460" s="74"/>
      <c r="I460" s="74" t="str">
        <f>VLOOKUP(D460,Sheet15!D:K,8,FALSE)</f>
        <v>#N/A</v>
      </c>
      <c r="J460" s="76">
        <f t="shared" si="1"/>
        <v>-45796</v>
      </c>
      <c r="K460" s="77" t="str">
        <f>VLOOKUP(D460,Sheet15!D:G,4,FALSE)</f>
        <v>#N/A</v>
      </c>
      <c r="L460" s="73"/>
      <c r="M460" s="73"/>
      <c r="N460" s="73"/>
      <c r="O460" s="73"/>
      <c r="P460" s="73"/>
      <c r="Q460" s="73"/>
      <c r="R460" s="73"/>
      <c r="S460" s="73"/>
      <c r="T460" s="73"/>
      <c r="U460" s="73"/>
      <c r="V460" s="73"/>
      <c r="W460" s="73"/>
      <c r="X460" s="73"/>
    </row>
    <row r="461">
      <c r="A461" s="74">
        <v>473.0</v>
      </c>
      <c r="B461" s="74" t="s">
        <v>1790</v>
      </c>
      <c r="C461" s="74"/>
      <c r="D461" s="75" t="s">
        <v>1808</v>
      </c>
      <c r="E461" s="76">
        <v>45796.0</v>
      </c>
      <c r="F461" s="74" t="str">
        <f>VLOOKUP(D461,Sheet15!D:H,5,FALSE)</f>
        <v>#N/A</v>
      </c>
      <c r="G461" s="74"/>
      <c r="H461" s="74"/>
      <c r="I461" s="74" t="str">
        <f>VLOOKUP(D461,Sheet15!D:K,8,FALSE)</f>
        <v>#N/A</v>
      </c>
      <c r="J461" s="76">
        <f t="shared" si="1"/>
        <v>-45796</v>
      </c>
      <c r="K461" s="77" t="str">
        <f>VLOOKUP(D461,Sheet15!D:G,4,FALSE)</f>
        <v>#N/A</v>
      </c>
      <c r="L461" s="73"/>
      <c r="M461" s="73"/>
      <c r="N461" s="73"/>
      <c r="O461" s="73"/>
      <c r="P461" s="73"/>
      <c r="Q461" s="73"/>
      <c r="R461" s="73"/>
      <c r="S461" s="73"/>
      <c r="T461" s="73"/>
      <c r="U461" s="73"/>
      <c r="V461" s="73"/>
      <c r="W461" s="73"/>
      <c r="X461" s="73"/>
    </row>
    <row r="462">
      <c r="A462" s="74">
        <v>474.0</v>
      </c>
      <c r="B462" s="74" t="s">
        <v>1790</v>
      </c>
      <c r="C462" s="74"/>
      <c r="D462" s="75" t="s">
        <v>1809</v>
      </c>
      <c r="E462" s="76">
        <v>45796.0</v>
      </c>
      <c r="F462" s="74" t="str">
        <f>VLOOKUP(D462,Sheet15!D:H,5,FALSE)</f>
        <v>#N/A</v>
      </c>
      <c r="G462" s="74"/>
      <c r="H462" s="74"/>
      <c r="I462" s="74" t="str">
        <f>VLOOKUP(D462,Sheet15!D:K,8,FALSE)</f>
        <v>#N/A</v>
      </c>
      <c r="J462" s="76">
        <f t="shared" si="1"/>
        <v>-45796</v>
      </c>
      <c r="K462" s="77" t="str">
        <f>VLOOKUP(D462,Sheet15!D:G,4,FALSE)</f>
        <v>#N/A</v>
      </c>
      <c r="L462" s="73"/>
      <c r="M462" s="73"/>
      <c r="N462" s="73"/>
      <c r="O462" s="73"/>
      <c r="P462" s="73"/>
      <c r="Q462" s="73"/>
      <c r="R462" s="73"/>
      <c r="S462" s="73"/>
      <c r="T462" s="73"/>
      <c r="U462" s="73"/>
      <c r="V462" s="73"/>
      <c r="W462" s="73"/>
      <c r="X462" s="73"/>
    </row>
    <row r="463">
      <c r="A463" s="74">
        <v>475.0</v>
      </c>
      <c r="B463" s="74" t="s">
        <v>1790</v>
      </c>
      <c r="C463" s="74"/>
      <c r="D463" s="75" t="s">
        <v>1810</v>
      </c>
      <c r="E463" s="76">
        <v>45796.0</v>
      </c>
      <c r="F463" s="74" t="str">
        <f>VLOOKUP(D463,Sheet15!D:H,5,FALSE)</f>
        <v>#N/A</v>
      </c>
      <c r="G463" s="74"/>
      <c r="H463" s="74"/>
      <c r="I463" s="74" t="str">
        <f>VLOOKUP(D463,Sheet15!D:K,8,FALSE)</f>
        <v>#N/A</v>
      </c>
      <c r="J463" s="76">
        <f t="shared" si="1"/>
        <v>-45796</v>
      </c>
      <c r="K463" s="77" t="str">
        <f>VLOOKUP(D463,Sheet15!D:G,4,FALSE)</f>
        <v>#N/A</v>
      </c>
      <c r="L463" s="73"/>
      <c r="M463" s="73"/>
      <c r="N463" s="73"/>
      <c r="O463" s="73"/>
      <c r="P463" s="73"/>
      <c r="Q463" s="73"/>
      <c r="R463" s="73"/>
      <c r="S463" s="73"/>
      <c r="T463" s="73"/>
      <c r="U463" s="73"/>
      <c r="V463" s="73"/>
      <c r="W463" s="73"/>
      <c r="X463" s="73"/>
    </row>
    <row r="464">
      <c r="A464" s="74">
        <v>476.0</v>
      </c>
      <c r="B464" s="74" t="s">
        <v>1790</v>
      </c>
      <c r="C464" s="74"/>
      <c r="D464" s="75" t="s">
        <v>1811</v>
      </c>
      <c r="E464" s="76">
        <v>45796.0</v>
      </c>
      <c r="F464" s="74" t="str">
        <f>VLOOKUP(D464,Sheet15!D:H,5,FALSE)</f>
        <v>#N/A</v>
      </c>
      <c r="G464" s="74"/>
      <c r="H464" s="74"/>
      <c r="I464" s="74" t="str">
        <f>VLOOKUP(D464,Sheet15!D:K,8,FALSE)</f>
        <v>#N/A</v>
      </c>
      <c r="J464" s="76">
        <f t="shared" si="1"/>
        <v>-45796</v>
      </c>
      <c r="K464" s="77" t="str">
        <f>VLOOKUP(D464,Sheet15!D:G,4,FALSE)</f>
        <v>#N/A</v>
      </c>
      <c r="L464" s="73"/>
      <c r="M464" s="73"/>
      <c r="N464" s="73"/>
      <c r="O464" s="73"/>
      <c r="P464" s="73"/>
      <c r="Q464" s="73"/>
      <c r="R464" s="73"/>
      <c r="S464" s="73"/>
      <c r="T464" s="73"/>
      <c r="U464" s="73"/>
      <c r="V464" s="73"/>
      <c r="W464" s="73"/>
      <c r="X464" s="73"/>
    </row>
    <row r="465">
      <c r="A465" s="74">
        <v>477.0</v>
      </c>
      <c r="B465" s="74" t="s">
        <v>1790</v>
      </c>
      <c r="C465" s="74"/>
      <c r="D465" s="75" t="s">
        <v>1812</v>
      </c>
      <c r="E465" s="76">
        <v>45796.0</v>
      </c>
      <c r="F465" s="74" t="str">
        <f>VLOOKUP(D465,Sheet15!D:H,5,FALSE)</f>
        <v>#N/A</v>
      </c>
      <c r="G465" s="74"/>
      <c r="H465" s="74"/>
      <c r="I465" s="74" t="str">
        <f>VLOOKUP(D465,Sheet15!D:K,8,FALSE)</f>
        <v>#N/A</v>
      </c>
      <c r="J465" s="76">
        <f t="shared" si="1"/>
        <v>-45796</v>
      </c>
      <c r="K465" s="77" t="str">
        <f>VLOOKUP(D465,Sheet15!D:G,4,FALSE)</f>
        <v>#N/A</v>
      </c>
      <c r="L465" s="73"/>
      <c r="M465" s="73"/>
      <c r="N465" s="73"/>
      <c r="O465" s="73"/>
      <c r="P465" s="73"/>
      <c r="Q465" s="73"/>
      <c r="R465" s="73"/>
      <c r="S465" s="73"/>
      <c r="T465" s="73"/>
      <c r="U465" s="73"/>
      <c r="V465" s="73"/>
      <c r="W465" s="73"/>
      <c r="X465" s="73"/>
    </row>
    <row r="466">
      <c r="A466" s="74">
        <v>478.0</v>
      </c>
      <c r="B466" s="74" t="s">
        <v>1790</v>
      </c>
      <c r="C466" s="74"/>
      <c r="D466" s="75" t="s">
        <v>1813</v>
      </c>
      <c r="E466" s="76">
        <v>45796.0</v>
      </c>
      <c r="F466" s="74" t="str">
        <f>VLOOKUP(D466,Sheet15!D:H,5,FALSE)</f>
        <v>#N/A</v>
      </c>
      <c r="G466" s="74"/>
      <c r="H466" s="74"/>
      <c r="I466" s="74" t="str">
        <f>VLOOKUP(D466,Sheet15!D:K,8,FALSE)</f>
        <v>#N/A</v>
      </c>
      <c r="J466" s="76">
        <f t="shared" si="1"/>
        <v>-45796</v>
      </c>
      <c r="K466" s="77" t="str">
        <f>VLOOKUP(D466,Sheet15!D:G,4,FALSE)</f>
        <v>#N/A</v>
      </c>
      <c r="L466" s="73"/>
      <c r="M466" s="73"/>
      <c r="N466" s="73"/>
      <c r="O466" s="73"/>
      <c r="P466" s="73"/>
      <c r="Q466" s="73"/>
      <c r="R466" s="73"/>
      <c r="S466" s="73"/>
      <c r="T466" s="73"/>
      <c r="U466" s="73"/>
      <c r="V466" s="73"/>
      <c r="W466" s="73"/>
      <c r="X466" s="73"/>
    </row>
    <row r="467">
      <c r="A467" s="74">
        <v>479.0</v>
      </c>
      <c r="B467" s="74" t="s">
        <v>1790</v>
      </c>
      <c r="C467" s="74"/>
      <c r="D467" s="75" t="s">
        <v>1814</v>
      </c>
      <c r="E467" s="76">
        <v>45796.0</v>
      </c>
      <c r="F467" s="74" t="str">
        <f>VLOOKUP(D467,Sheet15!D:H,5,FALSE)</f>
        <v>#N/A</v>
      </c>
      <c r="G467" s="74"/>
      <c r="H467" s="74"/>
      <c r="I467" s="74" t="str">
        <f>VLOOKUP(D467,Sheet15!D:K,8,FALSE)</f>
        <v>#N/A</v>
      </c>
      <c r="J467" s="76">
        <f t="shared" si="1"/>
        <v>-45796</v>
      </c>
      <c r="K467" s="77" t="str">
        <f>VLOOKUP(D467,Sheet15!D:G,4,FALSE)</f>
        <v>#N/A</v>
      </c>
      <c r="L467" s="73"/>
      <c r="M467" s="73"/>
      <c r="N467" s="73"/>
      <c r="O467" s="73"/>
      <c r="P467" s="73"/>
      <c r="Q467" s="73"/>
      <c r="R467" s="73"/>
      <c r="S467" s="73"/>
      <c r="T467" s="73"/>
      <c r="U467" s="73"/>
      <c r="V467" s="73"/>
      <c r="W467" s="73"/>
      <c r="X467" s="73"/>
    </row>
    <row r="468">
      <c r="A468" s="74">
        <v>480.0</v>
      </c>
      <c r="B468" s="74" t="s">
        <v>1790</v>
      </c>
      <c r="C468" s="74"/>
      <c r="D468" s="75" t="s">
        <v>1815</v>
      </c>
      <c r="E468" s="76">
        <v>45796.0</v>
      </c>
      <c r="F468" s="74" t="str">
        <f>VLOOKUP(D468,Sheet15!D:H,5,FALSE)</f>
        <v>#N/A</v>
      </c>
      <c r="G468" s="74"/>
      <c r="H468" s="74"/>
      <c r="I468" s="74" t="str">
        <f>VLOOKUP(D468,Sheet15!D:K,8,FALSE)</f>
        <v>#N/A</v>
      </c>
      <c r="J468" s="76">
        <f t="shared" si="1"/>
        <v>-45796</v>
      </c>
      <c r="K468" s="77" t="str">
        <f>VLOOKUP(D468,Sheet15!D:G,4,FALSE)</f>
        <v>#N/A</v>
      </c>
      <c r="L468" s="73"/>
      <c r="M468" s="73"/>
      <c r="N468" s="73"/>
      <c r="O468" s="73"/>
      <c r="P468" s="73"/>
      <c r="Q468" s="73"/>
      <c r="R468" s="73"/>
      <c r="S468" s="73"/>
      <c r="T468" s="73"/>
      <c r="U468" s="73"/>
      <c r="V468" s="73"/>
      <c r="W468" s="73"/>
      <c r="X468" s="73"/>
    </row>
    <row r="469">
      <c r="A469" s="74">
        <v>481.0</v>
      </c>
      <c r="B469" s="74" t="s">
        <v>1790</v>
      </c>
      <c r="C469" s="74"/>
      <c r="D469" s="75" t="s">
        <v>1816</v>
      </c>
      <c r="E469" s="76">
        <v>45796.0</v>
      </c>
      <c r="F469" s="74" t="str">
        <f>VLOOKUP(D469,Sheet15!D:H,5,FALSE)</f>
        <v>#N/A</v>
      </c>
      <c r="G469" s="74"/>
      <c r="H469" s="74"/>
      <c r="I469" s="74" t="str">
        <f>VLOOKUP(D469,Sheet15!D:K,8,FALSE)</f>
        <v>#N/A</v>
      </c>
      <c r="J469" s="76">
        <f t="shared" si="1"/>
        <v>-45796</v>
      </c>
      <c r="K469" s="77" t="str">
        <f>VLOOKUP(D469,Sheet15!D:G,4,FALSE)</f>
        <v>#N/A</v>
      </c>
      <c r="L469" s="73"/>
      <c r="M469" s="73"/>
      <c r="N469" s="73"/>
      <c r="O469" s="73"/>
      <c r="P469" s="73"/>
      <c r="Q469" s="73"/>
      <c r="R469" s="73"/>
      <c r="S469" s="73"/>
      <c r="T469" s="73"/>
      <c r="U469" s="73"/>
      <c r="V469" s="73"/>
      <c r="W469" s="73"/>
      <c r="X469" s="73"/>
    </row>
    <row r="470">
      <c r="A470" s="74">
        <v>482.0</v>
      </c>
      <c r="B470" s="74" t="s">
        <v>1790</v>
      </c>
      <c r="C470" s="74"/>
      <c r="D470" s="75" t="s">
        <v>1817</v>
      </c>
      <c r="E470" s="76">
        <v>45796.0</v>
      </c>
      <c r="F470" s="74" t="str">
        <f>VLOOKUP(D470,Sheet15!D:H,5,FALSE)</f>
        <v>#N/A</v>
      </c>
      <c r="G470" s="74"/>
      <c r="H470" s="74"/>
      <c r="I470" s="74" t="str">
        <f>VLOOKUP(D470,Sheet15!D:K,8,FALSE)</f>
        <v>#N/A</v>
      </c>
      <c r="J470" s="76">
        <f t="shared" si="1"/>
        <v>-45796</v>
      </c>
      <c r="K470" s="77" t="str">
        <f>VLOOKUP(D470,Sheet15!D:G,4,FALSE)</f>
        <v>#N/A</v>
      </c>
      <c r="L470" s="73"/>
      <c r="M470" s="73"/>
      <c r="N470" s="73"/>
      <c r="O470" s="73"/>
      <c r="P470" s="73"/>
      <c r="Q470" s="73"/>
      <c r="R470" s="73"/>
      <c r="S470" s="73"/>
      <c r="T470" s="73"/>
      <c r="U470" s="73"/>
      <c r="V470" s="73"/>
      <c r="W470" s="73"/>
      <c r="X470" s="73"/>
    </row>
    <row r="471">
      <c r="A471" s="74">
        <v>483.0</v>
      </c>
      <c r="B471" s="74" t="s">
        <v>1790</v>
      </c>
      <c r="C471" s="74"/>
      <c r="D471" s="75" t="s">
        <v>1818</v>
      </c>
      <c r="E471" s="76">
        <v>45796.0</v>
      </c>
      <c r="F471" s="74" t="str">
        <f>VLOOKUP(D471,Sheet15!D:H,5,FALSE)</f>
        <v>#N/A</v>
      </c>
      <c r="G471" s="74"/>
      <c r="H471" s="74"/>
      <c r="I471" s="74" t="str">
        <f>VLOOKUP(D471,Sheet15!D:K,8,FALSE)</f>
        <v>#N/A</v>
      </c>
      <c r="J471" s="76">
        <f t="shared" si="1"/>
        <v>-45796</v>
      </c>
      <c r="K471" s="77" t="str">
        <f>VLOOKUP(D471,Sheet15!D:G,4,FALSE)</f>
        <v>#N/A</v>
      </c>
      <c r="L471" s="73"/>
      <c r="M471" s="73"/>
      <c r="N471" s="73"/>
      <c r="O471" s="73"/>
      <c r="P471" s="73"/>
      <c r="Q471" s="73"/>
      <c r="R471" s="73"/>
      <c r="S471" s="73"/>
      <c r="T471" s="73"/>
      <c r="U471" s="73"/>
      <c r="V471" s="73"/>
      <c r="W471" s="73"/>
      <c r="X471" s="73"/>
    </row>
    <row r="472">
      <c r="A472" s="74">
        <v>484.0</v>
      </c>
      <c r="B472" s="74" t="s">
        <v>1790</v>
      </c>
      <c r="C472" s="74"/>
      <c r="D472" s="75" t="s">
        <v>1819</v>
      </c>
      <c r="E472" s="76">
        <v>45796.0</v>
      </c>
      <c r="F472" s="74" t="str">
        <f>VLOOKUP(D472,Sheet15!D:H,5,FALSE)</f>
        <v>#N/A</v>
      </c>
      <c r="G472" s="74"/>
      <c r="H472" s="74"/>
      <c r="I472" s="74" t="str">
        <f>VLOOKUP(D472,Sheet15!D:K,8,FALSE)</f>
        <v>#N/A</v>
      </c>
      <c r="J472" s="76">
        <f t="shared" si="1"/>
        <v>-45796</v>
      </c>
      <c r="K472" s="77" t="str">
        <f>VLOOKUP(D472,Sheet15!D:G,4,FALSE)</f>
        <v>#N/A</v>
      </c>
      <c r="L472" s="73"/>
      <c r="M472" s="73"/>
      <c r="N472" s="73"/>
      <c r="O472" s="73"/>
      <c r="P472" s="73"/>
      <c r="Q472" s="73"/>
      <c r="R472" s="73"/>
      <c r="S472" s="73"/>
      <c r="T472" s="73"/>
      <c r="U472" s="73"/>
      <c r="V472" s="73"/>
      <c r="W472" s="73"/>
      <c r="X472" s="73"/>
    </row>
    <row r="473">
      <c r="A473" s="74">
        <v>485.0</v>
      </c>
      <c r="B473" s="74" t="s">
        <v>1790</v>
      </c>
      <c r="C473" s="74"/>
      <c r="D473" s="75" t="s">
        <v>1820</v>
      </c>
      <c r="E473" s="76">
        <v>45796.0</v>
      </c>
      <c r="F473" s="74" t="str">
        <f>VLOOKUP(D473,Sheet15!D:H,5,FALSE)</f>
        <v>#N/A</v>
      </c>
      <c r="G473" s="74"/>
      <c r="H473" s="74"/>
      <c r="I473" s="74" t="str">
        <f>VLOOKUP(D473,Sheet15!D:K,8,FALSE)</f>
        <v>#N/A</v>
      </c>
      <c r="J473" s="76">
        <f t="shared" si="1"/>
        <v>-45796</v>
      </c>
      <c r="K473" s="77" t="str">
        <f>VLOOKUP(D473,Sheet15!D:G,4,FALSE)</f>
        <v>#N/A</v>
      </c>
      <c r="L473" s="73"/>
      <c r="M473" s="73"/>
      <c r="N473" s="73"/>
      <c r="O473" s="73"/>
      <c r="P473" s="73"/>
      <c r="Q473" s="73"/>
      <c r="R473" s="73"/>
      <c r="S473" s="73"/>
      <c r="T473" s="73"/>
      <c r="U473" s="73"/>
      <c r="V473" s="73"/>
      <c r="W473" s="73"/>
      <c r="X473" s="73"/>
    </row>
    <row r="474">
      <c r="A474" s="74">
        <v>486.0</v>
      </c>
      <c r="B474" s="74" t="s">
        <v>1790</v>
      </c>
      <c r="C474" s="74"/>
      <c r="D474" s="75" t="s">
        <v>1821</v>
      </c>
      <c r="E474" s="76">
        <v>45796.0</v>
      </c>
      <c r="F474" s="74" t="str">
        <f>VLOOKUP(D474,Sheet15!D:H,5,FALSE)</f>
        <v>#N/A</v>
      </c>
      <c r="G474" s="74"/>
      <c r="H474" s="74"/>
      <c r="I474" s="74" t="str">
        <f>VLOOKUP(D474,Sheet15!D:K,8,FALSE)</f>
        <v>#N/A</v>
      </c>
      <c r="J474" s="76">
        <f t="shared" si="1"/>
        <v>-45796</v>
      </c>
      <c r="K474" s="77" t="str">
        <f>VLOOKUP(D474,Sheet15!D:G,4,FALSE)</f>
        <v>#N/A</v>
      </c>
      <c r="L474" s="73"/>
      <c r="M474" s="73"/>
      <c r="N474" s="73"/>
      <c r="O474" s="73"/>
      <c r="P474" s="73"/>
      <c r="Q474" s="73"/>
      <c r="R474" s="73"/>
      <c r="S474" s="73"/>
      <c r="T474" s="73"/>
      <c r="U474" s="73"/>
      <c r="V474" s="73"/>
      <c r="W474" s="73"/>
      <c r="X474" s="73"/>
    </row>
    <row r="475">
      <c r="A475" s="74">
        <v>487.0</v>
      </c>
      <c r="B475" s="74" t="s">
        <v>1790</v>
      </c>
      <c r="C475" s="74"/>
      <c r="D475" s="75" t="s">
        <v>1822</v>
      </c>
      <c r="E475" s="76">
        <v>45796.0</v>
      </c>
      <c r="F475" s="74" t="str">
        <f>VLOOKUP(D475,Sheet15!D:H,5,FALSE)</f>
        <v>#N/A</v>
      </c>
      <c r="G475" s="74"/>
      <c r="H475" s="74"/>
      <c r="I475" s="74" t="str">
        <f>VLOOKUP(D475,Sheet15!D:K,8,FALSE)</f>
        <v>#N/A</v>
      </c>
      <c r="J475" s="76">
        <f t="shared" si="1"/>
        <v>-45796</v>
      </c>
      <c r="K475" s="77" t="str">
        <f>VLOOKUP(D475,Sheet15!D:G,4,FALSE)</f>
        <v>#N/A</v>
      </c>
      <c r="L475" s="73"/>
      <c r="M475" s="73"/>
      <c r="N475" s="73"/>
      <c r="O475" s="73"/>
      <c r="P475" s="73"/>
      <c r="Q475" s="73"/>
      <c r="R475" s="73"/>
      <c r="S475" s="73"/>
      <c r="T475" s="73"/>
      <c r="U475" s="73"/>
      <c r="V475" s="73"/>
      <c r="W475" s="73"/>
      <c r="X475" s="73"/>
    </row>
    <row r="476">
      <c r="A476" s="74">
        <v>488.0</v>
      </c>
      <c r="B476" s="74" t="s">
        <v>1790</v>
      </c>
      <c r="C476" s="74"/>
      <c r="D476" s="75" t="s">
        <v>1823</v>
      </c>
      <c r="E476" s="76">
        <v>45796.0</v>
      </c>
      <c r="F476" s="74" t="str">
        <f>VLOOKUP(D476,Sheet15!D:H,5,FALSE)</f>
        <v>#N/A</v>
      </c>
      <c r="G476" s="74"/>
      <c r="H476" s="74"/>
      <c r="I476" s="74" t="str">
        <f>VLOOKUP(D476,Sheet15!D:K,8,FALSE)</f>
        <v>#N/A</v>
      </c>
      <c r="J476" s="76">
        <f t="shared" si="1"/>
        <v>-45796</v>
      </c>
      <c r="K476" s="77" t="str">
        <f>VLOOKUP(D476,Sheet15!D:G,4,FALSE)</f>
        <v>#N/A</v>
      </c>
      <c r="L476" s="73"/>
      <c r="M476" s="73"/>
      <c r="N476" s="73"/>
      <c r="O476" s="73"/>
      <c r="P476" s="73"/>
      <c r="Q476" s="73"/>
      <c r="R476" s="73"/>
      <c r="S476" s="73"/>
      <c r="T476" s="73"/>
      <c r="U476" s="73"/>
      <c r="V476" s="73"/>
      <c r="W476" s="73"/>
      <c r="X476" s="73"/>
    </row>
    <row r="477">
      <c r="A477" s="74">
        <v>489.0</v>
      </c>
      <c r="B477" s="74" t="s">
        <v>1790</v>
      </c>
      <c r="C477" s="74"/>
      <c r="D477" s="75" t="s">
        <v>1824</v>
      </c>
      <c r="E477" s="76">
        <v>45796.0</v>
      </c>
      <c r="F477" s="74" t="str">
        <f>VLOOKUP(D477,Sheet15!D:H,5,FALSE)</f>
        <v>#N/A</v>
      </c>
      <c r="G477" s="74"/>
      <c r="H477" s="74"/>
      <c r="I477" s="74" t="str">
        <f>VLOOKUP(D477,Sheet15!D:K,8,FALSE)</f>
        <v>#N/A</v>
      </c>
      <c r="J477" s="76">
        <f t="shared" si="1"/>
        <v>-45796</v>
      </c>
      <c r="K477" s="77" t="str">
        <f>VLOOKUP(D477,Sheet15!D:G,4,FALSE)</f>
        <v>#N/A</v>
      </c>
      <c r="L477" s="73"/>
      <c r="M477" s="73"/>
      <c r="N477" s="73"/>
      <c r="O477" s="73"/>
      <c r="P477" s="73"/>
      <c r="Q477" s="73"/>
      <c r="R477" s="73"/>
      <c r="S477" s="73"/>
      <c r="T477" s="73"/>
      <c r="U477" s="73"/>
      <c r="V477" s="73"/>
      <c r="W477" s="73"/>
      <c r="X477" s="73"/>
    </row>
    <row r="478">
      <c r="A478" s="74">
        <v>490.0</v>
      </c>
      <c r="B478" s="74" t="s">
        <v>1790</v>
      </c>
      <c r="C478" s="74"/>
      <c r="D478" s="75" t="s">
        <v>1825</v>
      </c>
      <c r="E478" s="76">
        <v>45796.0</v>
      </c>
      <c r="F478" s="74" t="str">
        <f>VLOOKUP(D478,Sheet15!D:H,5,FALSE)</f>
        <v>#N/A</v>
      </c>
      <c r="G478" s="74"/>
      <c r="H478" s="74"/>
      <c r="I478" s="74" t="str">
        <f>VLOOKUP(D478,Sheet15!D:K,8,FALSE)</f>
        <v>#N/A</v>
      </c>
      <c r="J478" s="76">
        <f t="shared" si="1"/>
        <v>-45796</v>
      </c>
      <c r="K478" s="77" t="str">
        <f>VLOOKUP(D478,Sheet15!D:G,4,FALSE)</f>
        <v>#N/A</v>
      </c>
      <c r="L478" s="73"/>
      <c r="M478" s="73"/>
      <c r="N478" s="73"/>
      <c r="O478" s="73"/>
      <c r="P478" s="73"/>
      <c r="Q478" s="73"/>
      <c r="R478" s="73"/>
      <c r="S478" s="73"/>
      <c r="T478" s="73"/>
      <c r="U478" s="73"/>
      <c r="V478" s="73"/>
      <c r="W478" s="73"/>
      <c r="X478" s="73"/>
    </row>
    <row r="479">
      <c r="A479" s="74">
        <v>491.0</v>
      </c>
      <c r="B479" s="74" t="s">
        <v>1790</v>
      </c>
      <c r="C479" s="74"/>
      <c r="D479" s="75" t="s">
        <v>1826</v>
      </c>
      <c r="E479" s="76">
        <v>45796.0</v>
      </c>
      <c r="F479" s="74" t="str">
        <f>VLOOKUP(D479,Sheet15!D:H,5,FALSE)</f>
        <v>#N/A</v>
      </c>
      <c r="G479" s="74"/>
      <c r="H479" s="74"/>
      <c r="I479" s="74" t="str">
        <f>VLOOKUP(D479,Sheet15!D:K,8,FALSE)</f>
        <v>#N/A</v>
      </c>
      <c r="J479" s="76">
        <f t="shared" si="1"/>
        <v>-45796</v>
      </c>
      <c r="K479" s="77" t="str">
        <f>VLOOKUP(D479,Sheet15!D:G,4,FALSE)</f>
        <v>#N/A</v>
      </c>
      <c r="L479" s="73"/>
      <c r="M479" s="73"/>
      <c r="N479" s="73"/>
      <c r="O479" s="73"/>
      <c r="P479" s="73"/>
      <c r="Q479" s="73"/>
      <c r="R479" s="73"/>
      <c r="S479" s="73"/>
      <c r="T479" s="73"/>
      <c r="U479" s="73"/>
      <c r="V479" s="73"/>
      <c r="W479" s="73"/>
      <c r="X479" s="73"/>
    </row>
    <row r="480">
      <c r="A480" s="74">
        <v>492.0</v>
      </c>
      <c r="B480" s="74" t="s">
        <v>1790</v>
      </c>
      <c r="C480" s="74"/>
      <c r="D480" s="75" t="s">
        <v>1827</v>
      </c>
      <c r="E480" s="76">
        <v>45796.0</v>
      </c>
      <c r="F480" s="74" t="str">
        <f>VLOOKUP(D480,Sheet15!D:H,5,FALSE)</f>
        <v>#N/A</v>
      </c>
      <c r="G480" s="74"/>
      <c r="H480" s="74"/>
      <c r="I480" s="74" t="str">
        <f>VLOOKUP(D480,Sheet15!D:K,8,FALSE)</f>
        <v>#N/A</v>
      </c>
      <c r="J480" s="76">
        <f t="shared" si="1"/>
        <v>-45796</v>
      </c>
      <c r="K480" s="77" t="str">
        <f>VLOOKUP(D480,Sheet15!D:G,4,FALSE)</f>
        <v>#N/A</v>
      </c>
      <c r="L480" s="73"/>
      <c r="M480" s="73"/>
      <c r="N480" s="73"/>
      <c r="O480" s="73"/>
      <c r="P480" s="73"/>
      <c r="Q480" s="73"/>
      <c r="R480" s="73"/>
      <c r="S480" s="73"/>
      <c r="T480" s="73"/>
      <c r="U480" s="73"/>
      <c r="V480" s="73"/>
      <c r="W480" s="73"/>
      <c r="X480" s="73"/>
    </row>
    <row r="481">
      <c r="A481" s="74">
        <v>493.0</v>
      </c>
      <c r="B481" s="74" t="s">
        <v>1790</v>
      </c>
      <c r="C481" s="74"/>
      <c r="D481" s="75" t="s">
        <v>1828</v>
      </c>
      <c r="E481" s="76">
        <v>45796.0</v>
      </c>
      <c r="F481" s="74" t="str">
        <f>VLOOKUP(D481,Sheet15!D:H,5,FALSE)</f>
        <v>#N/A</v>
      </c>
      <c r="G481" s="74"/>
      <c r="H481" s="74"/>
      <c r="I481" s="74" t="str">
        <f>VLOOKUP(D481,Sheet15!D:K,8,FALSE)</f>
        <v>#N/A</v>
      </c>
      <c r="J481" s="76">
        <f t="shared" si="1"/>
        <v>-45796</v>
      </c>
      <c r="K481" s="77" t="str">
        <f>VLOOKUP(D481,Sheet15!D:G,4,FALSE)</f>
        <v>#N/A</v>
      </c>
      <c r="L481" s="73"/>
      <c r="M481" s="73"/>
      <c r="N481" s="73"/>
      <c r="O481" s="73"/>
      <c r="P481" s="73"/>
      <c r="Q481" s="73"/>
      <c r="R481" s="73"/>
      <c r="S481" s="73"/>
      <c r="T481" s="73"/>
      <c r="U481" s="73"/>
      <c r="V481" s="73"/>
      <c r="W481" s="73"/>
      <c r="X481" s="73"/>
    </row>
    <row r="482">
      <c r="A482" s="74">
        <v>494.0</v>
      </c>
      <c r="B482" s="74" t="s">
        <v>1790</v>
      </c>
      <c r="C482" s="74"/>
      <c r="D482" s="75" t="s">
        <v>1829</v>
      </c>
      <c r="E482" s="76">
        <v>45796.0</v>
      </c>
      <c r="F482" s="74" t="str">
        <f>VLOOKUP(D482,Sheet15!D:H,5,FALSE)</f>
        <v>#N/A</v>
      </c>
      <c r="G482" s="74"/>
      <c r="H482" s="74"/>
      <c r="I482" s="74" t="str">
        <f>VLOOKUP(D482,Sheet15!D:K,8,FALSE)</f>
        <v>#N/A</v>
      </c>
      <c r="J482" s="76">
        <f t="shared" si="1"/>
        <v>-45796</v>
      </c>
      <c r="K482" s="77" t="str">
        <f>VLOOKUP(D482,Sheet15!D:G,4,FALSE)</f>
        <v>#N/A</v>
      </c>
      <c r="L482" s="73"/>
      <c r="M482" s="73"/>
      <c r="N482" s="73"/>
      <c r="O482" s="73"/>
      <c r="P482" s="73"/>
      <c r="Q482" s="73"/>
      <c r="R482" s="73"/>
      <c r="S482" s="73"/>
      <c r="T482" s="73"/>
      <c r="U482" s="73"/>
      <c r="V482" s="73"/>
      <c r="W482" s="73"/>
      <c r="X482" s="73"/>
    </row>
    <row r="483">
      <c r="A483" s="74">
        <v>495.0</v>
      </c>
      <c r="B483" s="74" t="s">
        <v>1790</v>
      </c>
      <c r="C483" s="74"/>
      <c r="D483" s="75" t="s">
        <v>1830</v>
      </c>
      <c r="E483" s="76">
        <v>45796.0</v>
      </c>
      <c r="F483" s="74" t="str">
        <f>VLOOKUP(D483,Sheet15!D:H,5,FALSE)</f>
        <v>#N/A</v>
      </c>
      <c r="G483" s="74"/>
      <c r="H483" s="74"/>
      <c r="I483" s="74" t="str">
        <f>VLOOKUP(D483,Sheet15!D:K,8,FALSE)</f>
        <v>#N/A</v>
      </c>
      <c r="J483" s="76">
        <f t="shared" si="1"/>
        <v>-45796</v>
      </c>
      <c r="K483" s="77" t="str">
        <f>VLOOKUP(D483,Sheet15!D:G,4,FALSE)</f>
        <v>#N/A</v>
      </c>
      <c r="L483" s="73"/>
      <c r="M483" s="73"/>
      <c r="N483" s="73"/>
      <c r="O483" s="73"/>
      <c r="P483" s="73"/>
      <c r="Q483" s="73"/>
      <c r="R483" s="73"/>
      <c r="S483" s="73"/>
      <c r="T483" s="73"/>
      <c r="U483" s="73"/>
      <c r="V483" s="73"/>
      <c r="W483" s="73"/>
      <c r="X483" s="73"/>
    </row>
    <row r="484">
      <c r="A484" s="74">
        <v>496.0</v>
      </c>
      <c r="B484" s="74" t="s">
        <v>1790</v>
      </c>
      <c r="C484" s="74"/>
      <c r="D484" s="75" t="s">
        <v>1831</v>
      </c>
      <c r="E484" s="76">
        <v>45796.0</v>
      </c>
      <c r="F484" s="74" t="str">
        <f>VLOOKUP(D484,Sheet15!D:H,5,FALSE)</f>
        <v>#N/A</v>
      </c>
      <c r="G484" s="74"/>
      <c r="H484" s="74"/>
      <c r="I484" s="74" t="str">
        <f>VLOOKUP(D484,Sheet15!D:K,8,FALSE)</f>
        <v>#N/A</v>
      </c>
      <c r="J484" s="76">
        <f t="shared" si="1"/>
        <v>-45796</v>
      </c>
      <c r="K484" s="77" t="str">
        <f>VLOOKUP(D484,Sheet15!D:G,4,FALSE)</f>
        <v>#N/A</v>
      </c>
      <c r="L484" s="73"/>
      <c r="M484" s="73"/>
      <c r="N484" s="73"/>
      <c r="O484" s="73"/>
      <c r="P484" s="73"/>
      <c r="Q484" s="73"/>
      <c r="R484" s="73"/>
      <c r="S484" s="73"/>
      <c r="T484" s="73"/>
      <c r="U484" s="73"/>
      <c r="V484" s="73"/>
      <c r="W484" s="73"/>
      <c r="X484" s="73"/>
    </row>
    <row r="485">
      <c r="A485" s="74">
        <v>497.0</v>
      </c>
      <c r="B485" s="74" t="s">
        <v>1790</v>
      </c>
      <c r="C485" s="74"/>
      <c r="D485" s="75" t="s">
        <v>1832</v>
      </c>
      <c r="E485" s="76">
        <v>45796.0</v>
      </c>
      <c r="F485" s="74" t="str">
        <f>VLOOKUP(D485,Sheet15!D:H,5,FALSE)</f>
        <v>#N/A</v>
      </c>
      <c r="G485" s="74"/>
      <c r="H485" s="74"/>
      <c r="I485" s="74" t="str">
        <f>VLOOKUP(D485,Sheet15!D:K,8,FALSE)</f>
        <v>#N/A</v>
      </c>
      <c r="J485" s="76">
        <f t="shared" si="1"/>
        <v>-45796</v>
      </c>
      <c r="K485" s="77" t="str">
        <f>VLOOKUP(D485,Sheet15!D:G,4,FALSE)</f>
        <v>#N/A</v>
      </c>
      <c r="L485" s="73"/>
      <c r="M485" s="73"/>
      <c r="N485" s="73"/>
      <c r="O485" s="73"/>
      <c r="P485" s="73"/>
      <c r="Q485" s="73"/>
      <c r="R485" s="73"/>
      <c r="S485" s="73"/>
      <c r="T485" s="73"/>
      <c r="U485" s="73"/>
      <c r="V485" s="73"/>
      <c r="W485" s="73"/>
      <c r="X485" s="73"/>
    </row>
    <row r="486">
      <c r="A486" s="74">
        <v>498.0</v>
      </c>
      <c r="B486" s="74" t="s">
        <v>1790</v>
      </c>
      <c r="C486" s="74"/>
      <c r="D486" s="75" t="s">
        <v>1833</v>
      </c>
      <c r="E486" s="76">
        <v>45796.0</v>
      </c>
      <c r="F486" s="74" t="str">
        <f>VLOOKUP(D486,Sheet15!D:H,5,FALSE)</f>
        <v>#N/A</v>
      </c>
      <c r="G486" s="74"/>
      <c r="H486" s="74"/>
      <c r="I486" s="74" t="str">
        <f>VLOOKUP(D486,Sheet15!D:K,8,FALSE)</f>
        <v>#N/A</v>
      </c>
      <c r="J486" s="76">
        <f t="shared" si="1"/>
        <v>-45796</v>
      </c>
      <c r="K486" s="77" t="str">
        <f>VLOOKUP(D486,Sheet15!D:G,4,FALSE)</f>
        <v>#N/A</v>
      </c>
      <c r="L486" s="73"/>
      <c r="M486" s="73"/>
      <c r="N486" s="73"/>
      <c r="O486" s="73"/>
      <c r="P486" s="73"/>
      <c r="Q486" s="73"/>
      <c r="R486" s="73"/>
      <c r="S486" s="73"/>
      <c r="T486" s="73"/>
      <c r="U486" s="73"/>
      <c r="V486" s="73"/>
      <c r="W486" s="73"/>
      <c r="X486" s="73"/>
    </row>
    <row r="487">
      <c r="A487" s="74">
        <v>499.0</v>
      </c>
      <c r="B487" s="74" t="s">
        <v>1790</v>
      </c>
      <c r="C487" s="74"/>
      <c r="D487" s="75" t="s">
        <v>1834</v>
      </c>
      <c r="E487" s="76">
        <v>45796.0</v>
      </c>
      <c r="F487" s="74" t="str">
        <f>VLOOKUP(D487,Sheet15!D:H,5,FALSE)</f>
        <v>#N/A</v>
      </c>
      <c r="G487" s="74"/>
      <c r="H487" s="74"/>
      <c r="I487" s="74" t="str">
        <f>VLOOKUP(D487,Sheet15!D:K,8,FALSE)</f>
        <v>#N/A</v>
      </c>
      <c r="J487" s="76">
        <f t="shared" si="1"/>
        <v>-45796</v>
      </c>
      <c r="K487" s="77" t="str">
        <f>VLOOKUP(D487,Sheet15!D:G,4,FALSE)</f>
        <v>#N/A</v>
      </c>
      <c r="L487" s="73"/>
      <c r="M487" s="73"/>
      <c r="N487" s="73"/>
      <c r="O487" s="73"/>
      <c r="P487" s="73"/>
      <c r="Q487" s="73"/>
      <c r="R487" s="73"/>
      <c r="S487" s="73"/>
      <c r="T487" s="73"/>
      <c r="U487" s="73"/>
      <c r="V487" s="73"/>
      <c r="W487" s="73"/>
      <c r="X487" s="73"/>
    </row>
    <row r="488">
      <c r="A488" s="74">
        <v>500.0</v>
      </c>
      <c r="B488" s="74" t="s">
        <v>1790</v>
      </c>
      <c r="C488" s="74"/>
      <c r="D488" s="75" t="s">
        <v>1835</v>
      </c>
      <c r="E488" s="76">
        <v>45796.0</v>
      </c>
      <c r="F488" s="74" t="str">
        <f>VLOOKUP(D488,Sheet15!D:H,5,FALSE)</f>
        <v>#N/A</v>
      </c>
      <c r="G488" s="74"/>
      <c r="H488" s="74"/>
      <c r="I488" s="74" t="str">
        <f>VLOOKUP(D488,Sheet15!D:K,8,FALSE)</f>
        <v>#N/A</v>
      </c>
      <c r="J488" s="76">
        <f t="shared" si="1"/>
        <v>-45796</v>
      </c>
      <c r="K488" s="77" t="str">
        <f>VLOOKUP(D488,Sheet15!D:G,4,FALSE)</f>
        <v>#N/A</v>
      </c>
      <c r="L488" s="73"/>
      <c r="M488" s="73"/>
      <c r="N488" s="73"/>
      <c r="O488" s="73"/>
      <c r="P488" s="73"/>
      <c r="Q488" s="73"/>
      <c r="R488" s="73"/>
      <c r="S488" s="73"/>
      <c r="T488" s="73"/>
      <c r="U488" s="73"/>
      <c r="V488" s="73"/>
      <c r="W488" s="73"/>
      <c r="X488" s="73"/>
    </row>
    <row r="489">
      <c r="A489" s="74">
        <v>501.0</v>
      </c>
      <c r="B489" s="74" t="s">
        <v>1790</v>
      </c>
      <c r="C489" s="74"/>
      <c r="D489" s="75" t="s">
        <v>1836</v>
      </c>
      <c r="E489" s="76">
        <v>45796.0</v>
      </c>
      <c r="F489" s="74" t="str">
        <f>VLOOKUP(D489,Sheet15!D:H,5,FALSE)</f>
        <v>#N/A</v>
      </c>
      <c r="G489" s="74"/>
      <c r="H489" s="74"/>
      <c r="I489" s="74" t="str">
        <f>VLOOKUP(D489,Sheet15!D:K,8,FALSE)</f>
        <v>#N/A</v>
      </c>
      <c r="J489" s="76">
        <f t="shared" si="1"/>
        <v>-45796</v>
      </c>
      <c r="K489" s="77" t="str">
        <f>VLOOKUP(D489,Sheet15!D:G,4,FALSE)</f>
        <v>#N/A</v>
      </c>
      <c r="L489" s="73"/>
      <c r="M489" s="73"/>
      <c r="N489" s="73"/>
      <c r="O489" s="73"/>
      <c r="P489" s="73"/>
      <c r="Q489" s="73"/>
      <c r="R489" s="73"/>
      <c r="S489" s="73"/>
      <c r="T489" s="73"/>
      <c r="U489" s="73"/>
      <c r="V489" s="73"/>
      <c r="W489" s="73"/>
      <c r="X489" s="73"/>
    </row>
    <row r="490">
      <c r="A490" s="74">
        <v>502.0</v>
      </c>
      <c r="B490" s="74" t="s">
        <v>1790</v>
      </c>
      <c r="C490" s="74"/>
      <c r="D490" s="75" t="s">
        <v>1837</v>
      </c>
      <c r="E490" s="76">
        <v>45796.0</v>
      </c>
      <c r="F490" s="74" t="str">
        <f>VLOOKUP(D490,Sheet15!D:H,5,FALSE)</f>
        <v>#N/A</v>
      </c>
      <c r="G490" s="74"/>
      <c r="H490" s="74"/>
      <c r="I490" s="74" t="str">
        <f>VLOOKUP(D490,Sheet15!D:K,8,FALSE)</f>
        <v>#N/A</v>
      </c>
      <c r="J490" s="76">
        <f t="shared" si="1"/>
        <v>-45796</v>
      </c>
      <c r="K490" s="77" t="str">
        <f>VLOOKUP(D490,Sheet15!D:G,4,FALSE)</f>
        <v>#N/A</v>
      </c>
      <c r="L490" s="73"/>
      <c r="M490" s="73"/>
      <c r="N490" s="73"/>
      <c r="O490" s="73"/>
      <c r="P490" s="73"/>
      <c r="Q490" s="73"/>
      <c r="R490" s="73"/>
      <c r="S490" s="73"/>
      <c r="T490" s="73"/>
      <c r="U490" s="73"/>
      <c r="V490" s="73"/>
      <c r="W490" s="73"/>
      <c r="X490" s="73"/>
    </row>
    <row r="491">
      <c r="A491" s="74">
        <v>503.0</v>
      </c>
      <c r="B491" s="74" t="s">
        <v>1790</v>
      </c>
      <c r="C491" s="74"/>
      <c r="D491" s="75" t="s">
        <v>1838</v>
      </c>
      <c r="E491" s="76">
        <v>45796.0</v>
      </c>
      <c r="F491" s="74" t="str">
        <f>VLOOKUP(D491,Sheet15!D:H,5,FALSE)</f>
        <v>#N/A</v>
      </c>
      <c r="G491" s="74"/>
      <c r="H491" s="74"/>
      <c r="I491" s="74" t="str">
        <f>VLOOKUP(D491,Sheet15!D:K,8,FALSE)</f>
        <v>#N/A</v>
      </c>
      <c r="J491" s="76">
        <f t="shared" si="1"/>
        <v>-45796</v>
      </c>
      <c r="K491" s="77" t="str">
        <f>VLOOKUP(D491,Sheet15!D:G,4,FALSE)</f>
        <v>#N/A</v>
      </c>
      <c r="L491" s="73"/>
      <c r="M491" s="73"/>
      <c r="N491" s="73"/>
      <c r="O491" s="73"/>
      <c r="P491" s="73"/>
      <c r="Q491" s="73"/>
      <c r="R491" s="73"/>
      <c r="S491" s="73"/>
      <c r="T491" s="73"/>
      <c r="U491" s="73"/>
      <c r="V491" s="73"/>
      <c r="W491" s="73"/>
      <c r="X491" s="73"/>
    </row>
    <row r="492">
      <c r="A492" s="74">
        <v>504.0</v>
      </c>
      <c r="B492" s="74" t="s">
        <v>1790</v>
      </c>
      <c r="C492" s="74"/>
      <c r="D492" s="75" t="s">
        <v>1839</v>
      </c>
      <c r="E492" s="76">
        <v>45796.0</v>
      </c>
      <c r="F492" s="74" t="str">
        <f>VLOOKUP(D492,Sheet15!D:H,5,FALSE)</f>
        <v>#N/A</v>
      </c>
      <c r="G492" s="74"/>
      <c r="H492" s="74"/>
      <c r="I492" s="74" t="str">
        <f>VLOOKUP(D492,Sheet15!D:K,8,FALSE)</f>
        <v>#N/A</v>
      </c>
      <c r="J492" s="76">
        <f t="shared" si="1"/>
        <v>-45796</v>
      </c>
      <c r="K492" s="77" t="str">
        <f>VLOOKUP(D492,Sheet15!D:G,4,FALSE)</f>
        <v>#N/A</v>
      </c>
      <c r="L492" s="73"/>
      <c r="M492" s="73"/>
      <c r="N492" s="73"/>
      <c r="O492" s="73"/>
      <c r="P492" s="73"/>
      <c r="Q492" s="73"/>
      <c r="R492" s="73"/>
      <c r="S492" s="73"/>
      <c r="T492" s="73"/>
      <c r="U492" s="73"/>
      <c r="V492" s="73"/>
      <c r="W492" s="73"/>
      <c r="X492" s="73"/>
    </row>
    <row r="493">
      <c r="A493" s="74">
        <v>507.0</v>
      </c>
      <c r="B493" s="74" t="s">
        <v>89</v>
      </c>
      <c r="C493" s="74"/>
      <c r="D493" s="75" t="s">
        <v>1840</v>
      </c>
      <c r="E493" s="76">
        <v>45798.0</v>
      </c>
      <c r="F493" s="74" t="str">
        <f>VLOOKUP(D493,Sheet15!D:H,5,FALSE)</f>
        <v>مكتمل</v>
      </c>
      <c r="G493" s="74"/>
      <c r="H493" s="74" t="s">
        <v>29</v>
      </c>
      <c r="I493" s="74" t="str">
        <f>VLOOKUP(D493,Sheet15!D:K,8,FALSE)</f>
        <v>2025-362100</v>
      </c>
      <c r="J493" s="76">
        <f t="shared" si="1"/>
        <v>-45798</v>
      </c>
      <c r="K493" s="77" t="str">
        <f>VLOOKUP(D493,Sheet15!D:G,4,FALSE)</f>
        <v/>
      </c>
      <c r="L493" s="73"/>
      <c r="M493" s="73"/>
      <c r="N493" s="73"/>
      <c r="O493" s="73"/>
      <c r="P493" s="73"/>
      <c r="Q493" s="73"/>
      <c r="R493" s="73"/>
      <c r="S493" s="73"/>
      <c r="T493" s="73"/>
      <c r="U493" s="73"/>
      <c r="V493" s="73"/>
      <c r="W493" s="73"/>
      <c r="X493" s="73"/>
    </row>
    <row r="494">
      <c r="A494" s="74">
        <v>508.0</v>
      </c>
      <c r="B494" s="74" t="s">
        <v>89</v>
      </c>
      <c r="C494" s="74"/>
      <c r="D494" s="75" t="s">
        <v>1841</v>
      </c>
      <c r="E494" s="76">
        <v>45798.0</v>
      </c>
      <c r="F494" s="74" t="str">
        <f>VLOOKUP(D494,Sheet15!D:H,5,FALSE)</f>
        <v>مكتمل</v>
      </c>
      <c r="G494" s="74"/>
      <c r="H494" s="74" t="s">
        <v>29</v>
      </c>
      <c r="I494" s="74" t="str">
        <f>VLOOKUP(D494,Sheet15!D:K,8,FALSE)</f>
        <v>2025-362151</v>
      </c>
      <c r="J494" s="76">
        <f t="shared" si="1"/>
        <v>-45798</v>
      </c>
      <c r="K494" s="77" t="str">
        <f>VLOOKUP(D494,Sheet15!D:G,4,FALSE)</f>
        <v/>
      </c>
      <c r="L494" s="73"/>
      <c r="M494" s="73"/>
      <c r="N494" s="73"/>
      <c r="O494" s="73"/>
      <c r="P494" s="73"/>
      <c r="Q494" s="73"/>
      <c r="R494" s="73"/>
      <c r="S494" s="73"/>
      <c r="T494" s="73"/>
      <c r="U494" s="73"/>
      <c r="V494" s="73"/>
      <c r="W494" s="73"/>
      <c r="X494" s="73"/>
    </row>
    <row r="495">
      <c r="A495" s="74">
        <v>509.0</v>
      </c>
      <c r="B495" s="74" t="s">
        <v>89</v>
      </c>
      <c r="C495" s="74"/>
      <c r="D495" s="75" t="s">
        <v>1842</v>
      </c>
      <c r="E495" s="76">
        <v>45798.0</v>
      </c>
      <c r="F495" s="74" t="str">
        <f>VLOOKUP(D495,Sheet15!D:H,5,FALSE)</f>
        <v>مكتمل</v>
      </c>
      <c r="G495" s="74"/>
      <c r="H495" s="74" t="s">
        <v>29</v>
      </c>
      <c r="I495" s="74" t="str">
        <f>VLOOKUP(D495,Sheet15!D:K,8,FALSE)</f>
        <v>2025-362172</v>
      </c>
      <c r="J495" s="76">
        <f t="shared" si="1"/>
        <v>-45798</v>
      </c>
      <c r="K495" s="77" t="str">
        <f>VLOOKUP(D495,Sheet15!D:G,4,FALSE)</f>
        <v/>
      </c>
      <c r="L495" s="73"/>
      <c r="M495" s="73"/>
      <c r="N495" s="73"/>
      <c r="O495" s="73"/>
      <c r="P495" s="73"/>
      <c r="Q495" s="73"/>
      <c r="R495" s="73"/>
      <c r="S495" s="73"/>
      <c r="T495" s="73"/>
      <c r="U495" s="73"/>
      <c r="V495" s="73"/>
      <c r="W495" s="73"/>
      <c r="X495" s="73"/>
    </row>
    <row r="496">
      <c r="A496" s="74">
        <v>510.0</v>
      </c>
      <c r="B496" s="74" t="s">
        <v>89</v>
      </c>
      <c r="C496" s="74"/>
      <c r="D496" s="75" t="s">
        <v>1843</v>
      </c>
      <c r="E496" s="76">
        <v>45798.0</v>
      </c>
      <c r="F496" s="74" t="str">
        <f>VLOOKUP(D496,Sheet15!D:H,5,FALSE)</f>
        <v>مكتمل</v>
      </c>
      <c r="G496" s="74"/>
      <c r="H496" s="74" t="s">
        <v>29</v>
      </c>
      <c r="I496" s="74" t="str">
        <f>VLOOKUP(D496,Sheet15!D:K,8,FALSE)</f>
        <v>2025-362219</v>
      </c>
      <c r="J496" s="76">
        <f t="shared" si="1"/>
        <v>-45798</v>
      </c>
      <c r="K496" s="77" t="str">
        <f>VLOOKUP(D496,Sheet15!D:G,4,FALSE)</f>
        <v/>
      </c>
      <c r="L496" s="73"/>
      <c r="M496" s="73"/>
      <c r="N496" s="73"/>
      <c r="O496" s="73"/>
      <c r="P496" s="73"/>
      <c r="Q496" s="73"/>
      <c r="R496" s="73"/>
      <c r="S496" s="73"/>
      <c r="T496" s="73"/>
      <c r="U496" s="73"/>
      <c r="V496" s="73"/>
      <c r="W496" s="73"/>
      <c r="X496" s="73"/>
    </row>
    <row r="497">
      <c r="A497" s="74">
        <v>511.0</v>
      </c>
      <c r="B497" s="74" t="s">
        <v>89</v>
      </c>
      <c r="C497" s="74"/>
      <c r="D497" s="75" t="s">
        <v>1844</v>
      </c>
      <c r="E497" s="76">
        <v>45798.0</v>
      </c>
      <c r="F497" s="74" t="str">
        <f>VLOOKUP(D497,Sheet15!D:H,5,FALSE)</f>
        <v>مكتمل</v>
      </c>
      <c r="G497" s="74"/>
      <c r="H497" s="74" t="s">
        <v>29</v>
      </c>
      <c r="I497" s="74" t="str">
        <f>VLOOKUP(D497,Sheet15!D:K,8,FALSE)</f>
        <v>2025-362249</v>
      </c>
      <c r="J497" s="76">
        <f t="shared" si="1"/>
        <v>-45798</v>
      </c>
      <c r="K497" s="77" t="str">
        <f>VLOOKUP(D497,Sheet15!D:G,4,FALSE)</f>
        <v/>
      </c>
      <c r="L497" s="73"/>
      <c r="M497" s="73"/>
      <c r="N497" s="73"/>
      <c r="O497" s="73"/>
      <c r="P497" s="73"/>
      <c r="Q497" s="73"/>
      <c r="R497" s="73"/>
      <c r="S497" s="73"/>
      <c r="T497" s="73"/>
      <c r="U497" s="73"/>
      <c r="V497" s="73"/>
      <c r="W497" s="73"/>
      <c r="X497" s="73"/>
    </row>
    <row r="498">
      <c r="A498" s="74">
        <v>512.0</v>
      </c>
      <c r="B498" s="74" t="s">
        <v>89</v>
      </c>
      <c r="C498" s="74"/>
      <c r="D498" s="75" t="s">
        <v>1845</v>
      </c>
      <c r="E498" s="76">
        <v>45798.0</v>
      </c>
      <c r="F498" s="74" t="str">
        <f>VLOOKUP(D498,Sheet15!D:H,5,FALSE)</f>
        <v>مكتمل</v>
      </c>
      <c r="G498" s="74"/>
      <c r="H498" s="74" t="s">
        <v>29</v>
      </c>
      <c r="I498" s="74" t="str">
        <f>VLOOKUP(D498,Sheet15!D:K,8,FALSE)</f>
        <v>2025-362311</v>
      </c>
      <c r="J498" s="76">
        <f t="shared" si="1"/>
        <v>-45798</v>
      </c>
      <c r="K498" s="77" t="str">
        <f>VLOOKUP(D498,Sheet15!D:G,4,FALSE)</f>
        <v/>
      </c>
      <c r="L498" s="73"/>
      <c r="M498" s="73"/>
      <c r="N498" s="73"/>
      <c r="O498" s="73"/>
      <c r="P498" s="73"/>
      <c r="Q498" s="73"/>
      <c r="R498" s="73"/>
      <c r="S498" s="73"/>
      <c r="T498" s="73"/>
      <c r="U498" s="73"/>
      <c r="V498" s="73"/>
      <c r="W498" s="73"/>
      <c r="X498" s="73"/>
    </row>
    <row r="499">
      <c r="A499" s="74">
        <v>513.0</v>
      </c>
      <c r="B499" s="74" t="s">
        <v>725</v>
      </c>
      <c r="C499" s="74">
        <v>209282.0</v>
      </c>
      <c r="D499" s="75" t="s">
        <v>1846</v>
      </c>
      <c r="E499" s="76">
        <v>45798.0</v>
      </c>
      <c r="F499" s="74" t="str">
        <f>VLOOKUP(D499,Sheet15!D:H,5,FALSE)</f>
        <v>مكتمل</v>
      </c>
      <c r="G499" s="76">
        <v>45922.0</v>
      </c>
      <c r="H499" s="74" t="s">
        <v>29</v>
      </c>
      <c r="I499" s="74" t="str">
        <f>VLOOKUP(D499,Sheet15!D:K,8,FALSE)</f>
        <v>2025-568863</v>
      </c>
      <c r="J499" s="74">
        <f t="shared" si="1"/>
        <v>124</v>
      </c>
      <c r="K499" s="77" t="str">
        <f>VLOOKUP(D499,Sheet15!D:G,4,FALSE)</f>
        <v/>
      </c>
      <c r="L499" s="73"/>
      <c r="M499" s="73"/>
      <c r="N499" s="73"/>
      <c r="O499" s="73"/>
      <c r="P499" s="73"/>
      <c r="Q499" s="73"/>
      <c r="R499" s="73"/>
      <c r="S499" s="73"/>
      <c r="T499" s="73"/>
      <c r="U499" s="73"/>
      <c r="V499" s="73"/>
      <c r="W499" s="73"/>
      <c r="X499" s="73"/>
    </row>
    <row r="500">
      <c r="A500" s="74">
        <v>514.0</v>
      </c>
      <c r="B500" s="74" t="s">
        <v>725</v>
      </c>
      <c r="C500" s="74">
        <v>209283.0</v>
      </c>
      <c r="D500" s="75" t="s">
        <v>1847</v>
      </c>
      <c r="E500" s="76">
        <v>45802.0</v>
      </c>
      <c r="F500" s="74" t="str">
        <f>VLOOKUP(D500,Sheet15!D:H,5,FALSE)</f>
        <v>مكتمل</v>
      </c>
      <c r="G500" s="76">
        <v>45922.0</v>
      </c>
      <c r="H500" s="74" t="s">
        <v>29</v>
      </c>
      <c r="I500" s="74" t="str">
        <f>VLOOKUP(D500,Sheet15!D:K,8,FALSE)</f>
        <v>2025-569644</v>
      </c>
      <c r="J500" s="74">
        <f t="shared" si="1"/>
        <v>120</v>
      </c>
      <c r="K500" s="77" t="str">
        <f>VLOOKUP(D500,Sheet15!D:G,4,FALSE)</f>
        <v/>
      </c>
      <c r="L500" s="73"/>
      <c r="M500" s="73"/>
      <c r="N500" s="73"/>
      <c r="O500" s="73"/>
      <c r="P500" s="73"/>
      <c r="Q500" s="73"/>
      <c r="R500" s="73"/>
      <c r="S500" s="73"/>
      <c r="T500" s="73"/>
      <c r="U500" s="73"/>
      <c r="V500" s="73"/>
      <c r="W500" s="73"/>
      <c r="X500" s="73"/>
    </row>
    <row r="501">
      <c r="A501" s="74">
        <v>515.0</v>
      </c>
      <c r="B501" s="74" t="s">
        <v>725</v>
      </c>
      <c r="C501" s="74">
        <v>209284.0</v>
      </c>
      <c r="D501" s="75" t="s">
        <v>1848</v>
      </c>
      <c r="E501" s="76">
        <v>45802.0</v>
      </c>
      <c r="F501" s="74" t="str">
        <f>VLOOKUP(D501,Sheet15!D:H,5,FALSE)</f>
        <v>مكتمل</v>
      </c>
      <c r="G501" s="76">
        <v>45922.0</v>
      </c>
      <c r="H501" s="74" t="s">
        <v>29</v>
      </c>
      <c r="I501" s="74" t="str">
        <f>VLOOKUP(D501,Sheet15!D:K,8,FALSE)</f>
        <v>2025-569705</v>
      </c>
      <c r="J501" s="74">
        <f t="shared" si="1"/>
        <v>120</v>
      </c>
      <c r="K501" s="77" t="str">
        <f>VLOOKUP(D501,Sheet15!D:G,4,FALSE)</f>
        <v/>
      </c>
      <c r="L501" s="73"/>
      <c r="M501" s="73"/>
      <c r="N501" s="73"/>
      <c r="O501" s="73"/>
      <c r="P501" s="73"/>
      <c r="Q501" s="73"/>
      <c r="R501" s="73"/>
      <c r="S501" s="73"/>
      <c r="T501" s="73"/>
      <c r="U501" s="73"/>
      <c r="V501" s="73"/>
      <c r="W501" s="73"/>
      <c r="X501" s="73"/>
    </row>
    <row r="502">
      <c r="A502" s="74">
        <v>516.0</v>
      </c>
      <c r="B502" s="74" t="s">
        <v>725</v>
      </c>
      <c r="C502" s="74">
        <v>209285.0</v>
      </c>
      <c r="D502" s="75" t="s">
        <v>1849</v>
      </c>
      <c r="E502" s="76">
        <v>45802.0</v>
      </c>
      <c r="F502" s="74" t="str">
        <f>VLOOKUP(D502,Sheet15!D:H,5,FALSE)</f>
        <v>مكتمل</v>
      </c>
      <c r="G502" s="76">
        <v>45922.0</v>
      </c>
      <c r="H502" s="74" t="s">
        <v>29</v>
      </c>
      <c r="I502" s="74" t="str">
        <f>VLOOKUP(D502,Sheet15!D:K,8,FALSE)</f>
        <v>2025-569747</v>
      </c>
      <c r="J502" s="74">
        <f t="shared" si="1"/>
        <v>120</v>
      </c>
      <c r="K502" s="77" t="str">
        <f>VLOOKUP(D502,Sheet15!D:G,4,FALSE)</f>
        <v/>
      </c>
      <c r="L502" s="73"/>
      <c r="M502" s="73"/>
      <c r="N502" s="73"/>
      <c r="O502" s="73"/>
      <c r="P502" s="73"/>
      <c r="Q502" s="73"/>
      <c r="R502" s="73"/>
      <c r="S502" s="73"/>
      <c r="T502" s="73"/>
      <c r="U502" s="73"/>
      <c r="V502" s="73"/>
      <c r="W502" s="73"/>
      <c r="X502" s="73"/>
    </row>
    <row r="503">
      <c r="A503" s="74">
        <v>517.0</v>
      </c>
      <c r="B503" s="74" t="s">
        <v>725</v>
      </c>
      <c r="C503" s="74">
        <v>209286.0</v>
      </c>
      <c r="D503" s="75" t="s">
        <v>1850</v>
      </c>
      <c r="E503" s="76">
        <v>45802.0</v>
      </c>
      <c r="F503" s="78" t="s">
        <v>1366</v>
      </c>
      <c r="G503" s="76">
        <v>45922.0</v>
      </c>
      <c r="H503" s="74" t="s">
        <v>29</v>
      </c>
      <c r="I503" s="74" t="str">
        <f>VLOOKUP(D503,Sheet15!D:K,8,FALSE)</f>
        <v/>
      </c>
      <c r="J503" s="74">
        <f t="shared" si="1"/>
        <v>120</v>
      </c>
      <c r="K503" s="77" t="str">
        <f>VLOOKUP(D503,Sheet15!D:G,4,FALSE)</f>
        <v>الغرض من الاستخدام باللغة الانجليزية ادعاء غير تغذوي ***</v>
      </c>
      <c r="L503" s="73"/>
      <c r="M503" s="73"/>
      <c r="N503" s="73"/>
      <c r="O503" s="73"/>
      <c r="P503" s="73"/>
      <c r="Q503" s="73"/>
      <c r="R503" s="73"/>
      <c r="S503" s="73"/>
      <c r="T503" s="73"/>
      <c r="U503" s="73"/>
      <c r="V503" s="73"/>
      <c r="W503" s="73"/>
      <c r="X503" s="73"/>
    </row>
    <row r="504">
      <c r="A504" s="74">
        <v>518.0</v>
      </c>
      <c r="B504" s="74" t="s">
        <v>725</v>
      </c>
      <c r="C504" s="74">
        <v>209287.0</v>
      </c>
      <c r="D504" s="75" t="s">
        <v>1851</v>
      </c>
      <c r="E504" s="76">
        <v>45802.0</v>
      </c>
      <c r="F504" s="74" t="str">
        <f>VLOOKUP(D504,Sheet15!D:H,5,FALSE)</f>
        <v>مكتمل</v>
      </c>
      <c r="G504" s="76">
        <v>45922.0</v>
      </c>
      <c r="H504" s="74" t="s">
        <v>29</v>
      </c>
      <c r="I504" s="74" t="str">
        <f>VLOOKUP(D504,Sheet15!D:K,8,FALSE)</f>
        <v>2025-569848</v>
      </c>
      <c r="J504" s="74">
        <f t="shared" si="1"/>
        <v>120</v>
      </c>
      <c r="K504" s="77" t="str">
        <f>VLOOKUP(D504,Sheet15!D:G,4,FALSE)</f>
        <v/>
      </c>
      <c r="L504" s="73"/>
      <c r="M504" s="73"/>
      <c r="N504" s="73"/>
      <c r="O504" s="73"/>
      <c r="P504" s="73"/>
      <c r="Q504" s="73"/>
      <c r="R504" s="73"/>
      <c r="S504" s="73"/>
      <c r="T504" s="73"/>
      <c r="U504" s="73"/>
      <c r="V504" s="73"/>
      <c r="W504" s="73"/>
      <c r="X504" s="73"/>
    </row>
    <row r="505">
      <c r="A505" s="74">
        <v>519.0</v>
      </c>
      <c r="B505" s="74" t="s">
        <v>725</v>
      </c>
      <c r="C505" s="74">
        <v>209288.0</v>
      </c>
      <c r="D505" s="75" t="s">
        <v>1852</v>
      </c>
      <c r="E505" s="76">
        <v>45802.0</v>
      </c>
      <c r="F505" s="74" t="str">
        <f>VLOOKUP(D505,Sheet15!D:H,5,FALSE)</f>
        <v>مكتمل</v>
      </c>
      <c r="G505" s="76">
        <v>45922.0</v>
      </c>
      <c r="H505" s="74" t="s">
        <v>29</v>
      </c>
      <c r="I505" s="74" t="str">
        <f>VLOOKUP(D505,Sheet15!D:K,8,FALSE)</f>
        <v>2025-569880</v>
      </c>
      <c r="J505" s="74">
        <f t="shared" si="1"/>
        <v>120</v>
      </c>
      <c r="K505" s="77" t="str">
        <f>VLOOKUP(D505,Sheet15!D:G,4,FALSE)</f>
        <v/>
      </c>
      <c r="L505" s="73"/>
      <c r="M505" s="73"/>
      <c r="N505" s="73"/>
      <c r="O505" s="73"/>
      <c r="P505" s="73"/>
      <c r="Q505" s="73"/>
      <c r="R505" s="73"/>
      <c r="S505" s="73"/>
      <c r="T505" s="73"/>
      <c r="U505" s="73"/>
      <c r="V505" s="73"/>
      <c r="W505" s="73"/>
      <c r="X505" s="73"/>
    </row>
    <row r="506">
      <c r="A506" s="74">
        <v>520.0</v>
      </c>
      <c r="B506" s="74" t="s">
        <v>725</v>
      </c>
      <c r="C506" s="74">
        <v>209289.0</v>
      </c>
      <c r="D506" s="75" t="s">
        <v>1853</v>
      </c>
      <c r="E506" s="76">
        <v>45802.0</v>
      </c>
      <c r="F506" s="78" t="s">
        <v>1366</v>
      </c>
      <c r="G506" s="76">
        <v>45922.0</v>
      </c>
      <c r="H506" s="74" t="s">
        <v>29</v>
      </c>
      <c r="I506" s="74" t="str">
        <f>VLOOKUP(D506,Sheet15!D:K,8,FALSE)</f>
        <v>2025-389863</v>
      </c>
      <c r="J506" s="74">
        <f t="shared" si="1"/>
        <v>120</v>
      </c>
      <c r="K506" s="77" t="str">
        <f>VLOOKUP(D506,Sheet15!D:G,4,FALSE)</f>
        <v/>
      </c>
      <c r="L506" s="73"/>
      <c r="M506" s="73"/>
      <c r="N506" s="73"/>
      <c r="O506" s="73"/>
      <c r="P506" s="73"/>
      <c r="Q506" s="73"/>
      <c r="R506" s="73"/>
      <c r="S506" s="73"/>
      <c r="T506" s="73"/>
      <c r="U506" s="73"/>
      <c r="V506" s="73"/>
      <c r="W506" s="73"/>
      <c r="X506" s="73"/>
    </row>
    <row r="507">
      <c r="A507" s="74">
        <v>521.0</v>
      </c>
      <c r="B507" s="74" t="s">
        <v>725</v>
      </c>
      <c r="C507" s="74">
        <v>137126.0</v>
      </c>
      <c r="D507" s="75" t="s">
        <v>1854</v>
      </c>
      <c r="E507" s="76">
        <v>45802.0</v>
      </c>
      <c r="F507" s="74" t="str">
        <f>VLOOKUP(D507,Sheet15!D:H,5,FALSE)</f>
        <v>مكتمل</v>
      </c>
      <c r="G507" s="76">
        <v>45922.0</v>
      </c>
      <c r="H507" s="74" t="s">
        <v>29</v>
      </c>
      <c r="I507" s="74" t="str">
        <f>VLOOKUP(D507,Sheet15!D:K,8,FALSE)</f>
        <v>2025-389623</v>
      </c>
      <c r="J507" s="74">
        <f t="shared" si="1"/>
        <v>120</v>
      </c>
      <c r="K507" s="77" t="str">
        <f>VLOOKUP(D507,Sheet15!D:G,4,FALSE)</f>
        <v/>
      </c>
      <c r="L507" s="73"/>
      <c r="M507" s="73"/>
      <c r="N507" s="73"/>
      <c r="O507" s="73"/>
      <c r="P507" s="73"/>
      <c r="Q507" s="73"/>
      <c r="R507" s="73"/>
      <c r="S507" s="73"/>
      <c r="T507" s="73"/>
      <c r="U507" s="73"/>
      <c r="V507" s="73"/>
      <c r="W507" s="73"/>
      <c r="X507" s="73"/>
    </row>
    <row r="508">
      <c r="A508" s="74">
        <v>522.0</v>
      </c>
      <c r="B508" s="74" t="s">
        <v>725</v>
      </c>
      <c r="C508" s="74">
        <v>137127.0</v>
      </c>
      <c r="D508" s="75" t="s">
        <v>1855</v>
      </c>
      <c r="E508" s="76">
        <v>45802.0</v>
      </c>
      <c r="F508" s="78" t="s">
        <v>1366</v>
      </c>
      <c r="G508" s="76">
        <v>45922.0</v>
      </c>
      <c r="H508" s="74" t="s">
        <v>29</v>
      </c>
      <c r="I508" s="74" t="str">
        <f>VLOOKUP(D508,Sheet15!D:K,8,FALSE)</f>
        <v>2025-389643</v>
      </c>
      <c r="J508" s="74">
        <f t="shared" si="1"/>
        <v>120</v>
      </c>
      <c r="K508" s="77" t="str">
        <f>VLOOKUP(D508,Sheet15!D:G,4,FALSE)</f>
        <v/>
      </c>
      <c r="L508" s="73"/>
      <c r="M508" s="73"/>
      <c r="N508" s="73"/>
      <c r="O508" s="73"/>
      <c r="P508" s="73"/>
      <c r="Q508" s="73"/>
      <c r="R508" s="73"/>
      <c r="S508" s="73"/>
      <c r="T508" s="73"/>
      <c r="U508" s="73"/>
      <c r="V508" s="73"/>
      <c r="W508" s="73"/>
      <c r="X508" s="73"/>
    </row>
    <row r="509">
      <c r="A509" s="74">
        <v>523.0</v>
      </c>
      <c r="B509" s="74" t="s">
        <v>725</v>
      </c>
      <c r="C509" s="74">
        <v>137128.0</v>
      </c>
      <c r="D509" s="75" t="s">
        <v>1856</v>
      </c>
      <c r="E509" s="76">
        <v>45802.0</v>
      </c>
      <c r="F509" s="74" t="str">
        <f>VLOOKUP(D509,Sheet15!D:H,5,FALSE)</f>
        <v>مكتمل</v>
      </c>
      <c r="G509" s="76">
        <v>45922.0</v>
      </c>
      <c r="H509" s="74" t="s">
        <v>29</v>
      </c>
      <c r="I509" s="74" t="str">
        <f>VLOOKUP(D509,Sheet15!D:K,8,FALSE)</f>
        <v>2025-389660</v>
      </c>
      <c r="J509" s="74">
        <f t="shared" si="1"/>
        <v>120</v>
      </c>
      <c r="K509" s="77" t="str">
        <f>VLOOKUP(D509,Sheet15!D:G,4,FALSE)</f>
        <v/>
      </c>
      <c r="L509" s="73"/>
      <c r="M509" s="73"/>
      <c r="N509" s="73"/>
      <c r="O509" s="73"/>
      <c r="P509" s="73"/>
      <c r="Q509" s="73"/>
      <c r="R509" s="73"/>
      <c r="S509" s="73"/>
      <c r="T509" s="73"/>
      <c r="U509" s="73"/>
      <c r="V509" s="73"/>
      <c r="W509" s="73"/>
      <c r="X509" s="73"/>
    </row>
    <row r="510">
      <c r="A510" s="74">
        <v>524.0</v>
      </c>
      <c r="B510" s="74" t="s">
        <v>725</v>
      </c>
      <c r="C510" s="74">
        <v>137129.0</v>
      </c>
      <c r="D510" s="75" t="s">
        <v>1857</v>
      </c>
      <c r="E510" s="76">
        <v>45802.0</v>
      </c>
      <c r="F510" s="78" t="s">
        <v>1366</v>
      </c>
      <c r="G510" s="76">
        <v>45922.0</v>
      </c>
      <c r="H510" s="74" t="s">
        <v>29</v>
      </c>
      <c r="I510" s="74" t="str">
        <f>VLOOKUP(D510,Sheet15!D:K,8,FALSE)</f>
        <v>2025-389557</v>
      </c>
      <c r="J510" s="74">
        <f t="shared" si="1"/>
        <v>120</v>
      </c>
      <c r="K510" s="77" t="str">
        <f>VLOOKUP(D510,Sheet15!D:G,4,FALSE)</f>
        <v/>
      </c>
      <c r="L510" s="73"/>
      <c r="M510" s="73"/>
      <c r="N510" s="73"/>
      <c r="O510" s="73"/>
      <c r="P510" s="73"/>
      <c r="Q510" s="73"/>
      <c r="R510" s="73"/>
      <c r="S510" s="73"/>
      <c r="T510" s="73"/>
      <c r="U510" s="73"/>
      <c r="V510" s="73"/>
      <c r="W510" s="73"/>
      <c r="X510" s="73"/>
    </row>
    <row r="511">
      <c r="A511" s="74">
        <v>525.0</v>
      </c>
      <c r="B511" s="74" t="s">
        <v>1482</v>
      </c>
      <c r="C511" s="74" t="s">
        <v>1858</v>
      </c>
      <c r="D511" s="75" t="s">
        <v>1859</v>
      </c>
      <c r="E511" s="76">
        <v>45802.0</v>
      </c>
      <c r="F511" s="74" t="str">
        <f>VLOOKUP(D511,Sheet15!D:H,5,FALSE)</f>
        <v>#N/A</v>
      </c>
      <c r="G511" s="74"/>
      <c r="H511" s="74"/>
      <c r="I511" s="74" t="str">
        <f>VLOOKUP(D511,Sheet15!D:K,8,FALSE)</f>
        <v>#N/A</v>
      </c>
      <c r="J511" s="76">
        <f t="shared" si="1"/>
        <v>-45802</v>
      </c>
      <c r="K511" s="77" t="str">
        <f>VLOOKUP(D511,Sheet15!D:G,4,FALSE)</f>
        <v>#N/A</v>
      </c>
      <c r="L511" s="73"/>
      <c r="M511" s="73"/>
      <c r="N511" s="73"/>
      <c r="O511" s="73"/>
      <c r="P511" s="73"/>
      <c r="Q511" s="73"/>
      <c r="R511" s="73"/>
      <c r="S511" s="73"/>
      <c r="T511" s="73"/>
      <c r="U511" s="73"/>
      <c r="V511" s="73"/>
      <c r="W511" s="73"/>
      <c r="X511" s="73"/>
    </row>
    <row r="512">
      <c r="A512" s="74">
        <v>526.0</v>
      </c>
      <c r="B512" s="74" t="s">
        <v>1482</v>
      </c>
      <c r="C512" s="74" t="s">
        <v>1860</v>
      </c>
      <c r="D512" s="75" t="s">
        <v>1861</v>
      </c>
      <c r="E512" s="76">
        <v>45802.0</v>
      </c>
      <c r="F512" s="74" t="str">
        <f>VLOOKUP(D512,Sheet15!D:H,5,FALSE)</f>
        <v>#N/A</v>
      </c>
      <c r="G512" s="74"/>
      <c r="H512" s="74"/>
      <c r="I512" s="74" t="str">
        <f>VLOOKUP(D512,Sheet15!D:K,8,FALSE)</f>
        <v>#N/A</v>
      </c>
      <c r="J512" s="76">
        <f t="shared" si="1"/>
        <v>-45802</v>
      </c>
      <c r="K512" s="77" t="str">
        <f>VLOOKUP(D512,Sheet15!D:G,4,FALSE)</f>
        <v>#N/A</v>
      </c>
      <c r="L512" s="73"/>
      <c r="M512" s="73"/>
      <c r="N512" s="73"/>
      <c r="O512" s="73"/>
      <c r="P512" s="73"/>
      <c r="Q512" s="73"/>
      <c r="R512" s="73"/>
      <c r="S512" s="73"/>
      <c r="T512" s="73"/>
      <c r="U512" s="73"/>
      <c r="V512" s="73"/>
      <c r="W512" s="73"/>
      <c r="X512" s="73"/>
    </row>
    <row r="513">
      <c r="A513" s="74">
        <v>527.0</v>
      </c>
      <c r="B513" s="74" t="s">
        <v>1624</v>
      </c>
      <c r="C513" s="74"/>
      <c r="D513" s="75" t="s">
        <v>1862</v>
      </c>
      <c r="E513" s="76">
        <v>46016.0</v>
      </c>
      <c r="F513" s="78" t="s">
        <v>1420</v>
      </c>
      <c r="G513" s="76">
        <v>46029.0</v>
      </c>
      <c r="H513" s="74" t="s">
        <v>29</v>
      </c>
      <c r="I513" s="74" t="str">
        <f>VLOOKUP(D513,Sheet15!D:K,8,FALSE)</f>
        <v>2024-255102</v>
      </c>
      <c r="J513" s="74">
        <f t="shared" si="1"/>
        <v>13</v>
      </c>
      <c r="K513" s="77"/>
      <c r="L513" s="73"/>
      <c r="M513" s="73"/>
      <c r="N513" s="73"/>
      <c r="O513" s="73"/>
      <c r="P513" s="73"/>
      <c r="Q513" s="73"/>
      <c r="R513" s="73"/>
      <c r="S513" s="73"/>
      <c r="T513" s="73"/>
      <c r="U513" s="73"/>
      <c r="V513" s="73"/>
      <c r="W513" s="73"/>
      <c r="X513" s="73"/>
    </row>
    <row r="514">
      <c r="A514" s="74">
        <v>528.0</v>
      </c>
      <c r="B514" s="74" t="s">
        <v>1624</v>
      </c>
      <c r="C514" s="74"/>
      <c r="D514" s="75" t="s">
        <v>1863</v>
      </c>
      <c r="E514" s="76">
        <v>46016.0</v>
      </c>
      <c r="F514" s="78" t="s">
        <v>1420</v>
      </c>
      <c r="G514" s="76">
        <v>46029.0</v>
      </c>
      <c r="H514" s="74" t="s">
        <v>29</v>
      </c>
      <c r="I514" s="74" t="str">
        <f>VLOOKUP(D514,Sheet15!D:K,8,FALSE)</f>
        <v>2024-255074</v>
      </c>
      <c r="J514" s="74">
        <f t="shared" si="1"/>
        <v>13</v>
      </c>
      <c r="K514" s="77"/>
      <c r="L514" s="73"/>
      <c r="M514" s="73"/>
      <c r="N514" s="73"/>
      <c r="O514" s="73"/>
      <c r="P514" s="73"/>
      <c r="Q514" s="73"/>
      <c r="R514" s="73"/>
      <c r="S514" s="73"/>
      <c r="T514" s="73"/>
      <c r="U514" s="73"/>
      <c r="V514" s="73"/>
      <c r="W514" s="73"/>
      <c r="X514" s="73"/>
    </row>
    <row r="515">
      <c r="A515" s="74">
        <v>529.0</v>
      </c>
      <c r="B515" s="74" t="s">
        <v>37</v>
      </c>
      <c r="C515" s="74"/>
      <c r="D515" s="75" t="s">
        <v>1864</v>
      </c>
      <c r="E515" s="76">
        <v>45820.0</v>
      </c>
      <c r="F515" s="74" t="str">
        <f>VLOOKUP(D515,Sheet15!D:H,5,FALSE)</f>
        <v>مكتمل</v>
      </c>
      <c r="G515" s="74"/>
      <c r="H515" s="74" t="s">
        <v>29</v>
      </c>
      <c r="I515" s="74" t="str">
        <f>VLOOKUP(D515,Sheet15!D:K,8,FALSE)</f>
        <v>2025-377527</v>
      </c>
      <c r="J515" s="76">
        <f t="shared" si="1"/>
        <v>-45820</v>
      </c>
      <c r="K515" s="77" t="str">
        <f>VLOOKUP(D515,Sheet15!D:G,4,FALSE)</f>
        <v/>
      </c>
      <c r="L515" s="73"/>
      <c r="M515" s="73"/>
      <c r="N515" s="73"/>
      <c r="O515" s="73"/>
      <c r="P515" s="73"/>
      <c r="Q515" s="73"/>
      <c r="R515" s="73"/>
      <c r="S515" s="73"/>
      <c r="T515" s="73"/>
      <c r="U515" s="73"/>
      <c r="V515" s="73"/>
      <c r="W515" s="73"/>
      <c r="X515" s="73"/>
    </row>
    <row r="516">
      <c r="A516" s="74">
        <v>530.0</v>
      </c>
      <c r="B516" s="74" t="s">
        <v>37</v>
      </c>
      <c r="C516" s="74"/>
      <c r="D516" s="75" t="s">
        <v>1865</v>
      </c>
      <c r="E516" s="76">
        <v>46023.0</v>
      </c>
      <c r="F516" s="78" t="s">
        <v>1366</v>
      </c>
      <c r="G516" s="74"/>
      <c r="H516" s="74"/>
      <c r="I516" s="74" t="str">
        <f>VLOOKUP(D516,Sheet15!D:K,8,FALSE)</f>
        <v>2025-377435</v>
      </c>
      <c r="J516" s="76">
        <f t="shared" si="1"/>
        <v>-46023</v>
      </c>
      <c r="K516" s="77" t="str">
        <f>VLOOKUP(D516,Sheet15!D:G,4,FALSE)</f>
        <v/>
      </c>
      <c r="L516" s="73"/>
      <c r="M516" s="73"/>
      <c r="N516" s="73"/>
      <c r="O516" s="73"/>
      <c r="P516" s="73"/>
      <c r="Q516" s="73"/>
      <c r="R516" s="73"/>
      <c r="S516" s="73"/>
      <c r="T516" s="73"/>
      <c r="U516" s="73"/>
      <c r="V516" s="73"/>
      <c r="W516" s="73"/>
      <c r="X516" s="73"/>
    </row>
    <row r="517">
      <c r="A517" s="74">
        <v>531.0</v>
      </c>
      <c r="B517" s="74" t="s">
        <v>37</v>
      </c>
      <c r="C517" s="74"/>
      <c r="D517" s="75" t="s">
        <v>1866</v>
      </c>
      <c r="E517" s="76">
        <v>45820.0</v>
      </c>
      <c r="F517" s="74" t="str">
        <f>VLOOKUP(D517,Sheet15!D:H,5,FALSE)</f>
        <v>مكتمل</v>
      </c>
      <c r="G517" s="74"/>
      <c r="H517" s="74" t="s">
        <v>29</v>
      </c>
      <c r="I517" s="74" t="str">
        <f>VLOOKUP(D517,Sheet15!D:K,8,FALSE)</f>
        <v>2025-377568</v>
      </c>
      <c r="J517" s="76">
        <f t="shared" si="1"/>
        <v>-45820</v>
      </c>
      <c r="K517" s="77" t="str">
        <f>VLOOKUP(D517,Sheet15!D:G,4,FALSE)</f>
        <v/>
      </c>
      <c r="L517" s="73"/>
      <c r="M517" s="73"/>
      <c r="N517" s="73"/>
      <c r="O517" s="73"/>
      <c r="P517" s="73"/>
      <c r="Q517" s="73"/>
      <c r="R517" s="73"/>
      <c r="S517" s="73"/>
      <c r="T517" s="73"/>
      <c r="U517" s="73"/>
      <c r="V517" s="73"/>
      <c r="W517" s="73"/>
      <c r="X517" s="73"/>
    </row>
    <row r="518">
      <c r="A518" s="74">
        <v>532.0</v>
      </c>
      <c r="B518" s="74" t="s">
        <v>37</v>
      </c>
      <c r="C518" s="74"/>
      <c r="D518" s="75" t="s">
        <v>1867</v>
      </c>
      <c r="E518" s="76">
        <v>45820.0</v>
      </c>
      <c r="F518" s="74" t="str">
        <f>VLOOKUP(D518,Sheet15!D:H,5,FALSE)</f>
        <v>مكتمل</v>
      </c>
      <c r="G518" s="74"/>
      <c r="H518" s="74" t="s">
        <v>29</v>
      </c>
      <c r="I518" s="74" t="str">
        <f>VLOOKUP(D518,Sheet15!D:K,8,FALSE)</f>
        <v>2025-377550</v>
      </c>
      <c r="J518" s="76">
        <f t="shared" si="1"/>
        <v>-45820</v>
      </c>
      <c r="K518" s="77" t="str">
        <f>VLOOKUP(D518,Sheet15!D:G,4,FALSE)</f>
        <v/>
      </c>
      <c r="L518" s="73"/>
      <c r="M518" s="73"/>
      <c r="N518" s="73"/>
      <c r="O518" s="73"/>
      <c r="P518" s="73"/>
      <c r="Q518" s="73"/>
      <c r="R518" s="73"/>
      <c r="S518" s="73"/>
      <c r="T518" s="73"/>
      <c r="U518" s="73"/>
      <c r="V518" s="73"/>
      <c r="W518" s="73"/>
      <c r="X518" s="73"/>
    </row>
    <row r="519">
      <c r="A519" s="74">
        <v>533.0</v>
      </c>
      <c r="B519" s="74" t="s">
        <v>37</v>
      </c>
      <c r="C519" s="74"/>
      <c r="D519" s="75" t="s">
        <v>1868</v>
      </c>
      <c r="E519" s="76">
        <v>45820.0</v>
      </c>
      <c r="F519" s="74" t="str">
        <f>VLOOKUP(D519,Sheet15!D:H,5,FALSE)</f>
        <v>مكتمل</v>
      </c>
      <c r="G519" s="74"/>
      <c r="H519" s="74" t="s">
        <v>29</v>
      </c>
      <c r="I519" s="74" t="str">
        <f>VLOOKUP(D519,Sheet15!D:K,8,FALSE)</f>
        <v>2025-377494</v>
      </c>
      <c r="J519" s="76">
        <f t="shared" si="1"/>
        <v>-45820</v>
      </c>
      <c r="K519" s="77" t="str">
        <f>VLOOKUP(D519,Sheet15!D:G,4,FALSE)</f>
        <v/>
      </c>
      <c r="L519" s="73"/>
      <c r="M519" s="73"/>
      <c r="N519" s="73"/>
      <c r="O519" s="73"/>
      <c r="P519" s="73"/>
      <c r="Q519" s="73"/>
      <c r="R519" s="73"/>
      <c r="S519" s="73"/>
      <c r="T519" s="73"/>
      <c r="U519" s="73"/>
      <c r="V519" s="73"/>
      <c r="W519" s="73"/>
      <c r="X519" s="73"/>
    </row>
    <row r="520">
      <c r="A520" s="74">
        <v>534.0</v>
      </c>
      <c r="B520" s="74" t="s">
        <v>37</v>
      </c>
      <c r="C520" s="74"/>
      <c r="D520" s="75" t="s">
        <v>1869</v>
      </c>
      <c r="E520" s="76">
        <v>45820.0</v>
      </c>
      <c r="F520" s="74" t="str">
        <f>VLOOKUP(D520,Sheet15!D:H,5,FALSE)</f>
        <v>مكتمل</v>
      </c>
      <c r="G520" s="74"/>
      <c r="H520" s="74" t="s">
        <v>29</v>
      </c>
      <c r="I520" s="74" t="str">
        <f>VLOOKUP(D520,Sheet15!D:K,8,FALSE)</f>
        <v>2025-377456</v>
      </c>
      <c r="J520" s="76">
        <f t="shared" si="1"/>
        <v>-45820</v>
      </c>
      <c r="K520" s="77" t="str">
        <f>VLOOKUP(D520,Sheet15!D:G,4,FALSE)</f>
        <v/>
      </c>
      <c r="L520" s="73"/>
      <c r="M520" s="73"/>
      <c r="N520" s="73"/>
      <c r="O520" s="73"/>
      <c r="P520" s="73"/>
      <c r="Q520" s="73"/>
      <c r="R520" s="73"/>
      <c r="S520" s="73"/>
      <c r="T520" s="73"/>
      <c r="U520" s="73"/>
      <c r="V520" s="73"/>
      <c r="W520" s="73"/>
      <c r="X520" s="73"/>
    </row>
    <row r="521">
      <c r="A521" s="74">
        <v>535.0</v>
      </c>
      <c r="B521" s="74" t="s">
        <v>37</v>
      </c>
      <c r="C521" s="74"/>
      <c r="D521" s="75" t="s">
        <v>1870</v>
      </c>
      <c r="E521" s="76">
        <v>45820.0</v>
      </c>
      <c r="F521" s="74" t="str">
        <f>VLOOKUP(D521,Sheet15!D:H,5,FALSE)</f>
        <v>مكتمل</v>
      </c>
      <c r="G521" s="74"/>
      <c r="H521" s="74" t="s">
        <v>29</v>
      </c>
      <c r="I521" s="74" t="str">
        <f>VLOOKUP(D521,Sheet15!D:K,8,FALSE)</f>
        <v>2025-377472</v>
      </c>
      <c r="J521" s="76">
        <f t="shared" si="1"/>
        <v>-45820</v>
      </c>
      <c r="K521" s="77" t="str">
        <f>VLOOKUP(D521,Sheet15!D:G,4,FALSE)</f>
        <v/>
      </c>
      <c r="L521" s="73"/>
      <c r="M521" s="73"/>
      <c r="N521" s="73"/>
      <c r="O521" s="73"/>
      <c r="P521" s="73"/>
      <c r="Q521" s="73"/>
      <c r="R521" s="73"/>
      <c r="S521" s="73"/>
      <c r="T521" s="73"/>
      <c r="U521" s="73"/>
      <c r="V521" s="73"/>
      <c r="W521" s="73"/>
      <c r="X521" s="73"/>
    </row>
    <row r="522">
      <c r="A522" s="74">
        <v>536.0</v>
      </c>
      <c r="B522" s="74" t="s">
        <v>37</v>
      </c>
      <c r="C522" s="74"/>
      <c r="D522" s="75" t="s">
        <v>1871</v>
      </c>
      <c r="E522" s="76">
        <v>46023.0</v>
      </c>
      <c r="F522" s="78" t="s">
        <v>1420</v>
      </c>
      <c r="G522" s="76">
        <v>46051.0</v>
      </c>
      <c r="H522" s="74" t="s">
        <v>29</v>
      </c>
      <c r="I522" s="74" t="str">
        <f>VLOOKUP(D522,Sheet15!D:K,8,FALSE)</f>
        <v>2025-377584</v>
      </c>
      <c r="J522" s="74">
        <f t="shared" si="1"/>
        <v>28</v>
      </c>
      <c r="K522" s="77" t="str">
        <f>VLOOKUP(D522,Sheet15!D:G,4,FALSE)</f>
        <v/>
      </c>
      <c r="L522" s="73"/>
      <c r="M522" s="73"/>
      <c r="N522" s="73"/>
      <c r="O522" s="73"/>
      <c r="P522" s="73"/>
      <c r="Q522" s="73"/>
      <c r="R522" s="73"/>
      <c r="S522" s="73"/>
      <c r="T522" s="73"/>
      <c r="U522" s="73"/>
      <c r="V522" s="73"/>
      <c r="W522" s="73"/>
      <c r="X522" s="73"/>
    </row>
    <row r="523">
      <c r="A523" s="74">
        <v>537.0</v>
      </c>
      <c r="B523" s="74" t="s">
        <v>37</v>
      </c>
      <c r="C523" s="74"/>
      <c r="D523" s="75" t="s">
        <v>1872</v>
      </c>
      <c r="E523" s="76">
        <v>45820.0</v>
      </c>
      <c r="F523" s="74" t="str">
        <f>VLOOKUP(D523,Sheet15!D:H,5,FALSE)</f>
        <v>مكتمل</v>
      </c>
      <c r="G523" s="74"/>
      <c r="H523" s="74" t="s">
        <v>29</v>
      </c>
      <c r="I523" s="74" t="str">
        <f>VLOOKUP(D523,Sheet15!D:K,8,FALSE)</f>
        <v>2025-377516</v>
      </c>
      <c r="J523" s="76">
        <f t="shared" si="1"/>
        <v>-45820</v>
      </c>
      <c r="K523" s="77" t="str">
        <f>VLOOKUP(D523,Sheet15!D:G,4,FALSE)</f>
        <v/>
      </c>
      <c r="L523" s="73"/>
      <c r="M523" s="73"/>
      <c r="N523" s="73"/>
      <c r="O523" s="73"/>
      <c r="P523" s="73"/>
      <c r="Q523" s="73"/>
      <c r="R523" s="73"/>
      <c r="S523" s="73"/>
      <c r="T523" s="73"/>
      <c r="U523" s="73"/>
      <c r="V523" s="73"/>
      <c r="W523" s="73"/>
      <c r="X523" s="73"/>
    </row>
    <row r="524">
      <c r="A524" s="74">
        <v>538.0</v>
      </c>
      <c r="B524" s="74" t="s">
        <v>1510</v>
      </c>
      <c r="C524" s="74"/>
      <c r="D524" s="75" t="s">
        <v>1873</v>
      </c>
      <c r="E524" s="76">
        <v>45820.0</v>
      </c>
      <c r="F524" s="74" t="str">
        <f>VLOOKUP(D524,Sheet15!D:H,5,FALSE)</f>
        <v>#N/A</v>
      </c>
      <c r="G524" s="74"/>
      <c r="H524" s="74"/>
      <c r="I524" s="74" t="str">
        <f>VLOOKUP(D524,Sheet15!D:K,8,FALSE)</f>
        <v>#N/A</v>
      </c>
      <c r="J524" s="76">
        <f t="shared" si="1"/>
        <v>-45820</v>
      </c>
      <c r="K524" s="77" t="str">
        <f>VLOOKUP(D524,Sheet15!D:G,4,FALSE)</f>
        <v>#N/A</v>
      </c>
      <c r="L524" s="73"/>
      <c r="M524" s="73"/>
      <c r="N524" s="73"/>
      <c r="O524" s="73"/>
      <c r="P524" s="73"/>
      <c r="Q524" s="73"/>
      <c r="R524" s="73"/>
      <c r="S524" s="73"/>
      <c r="T524" s="73"/>
      <c r="U524" s="73"/>
      <c r="V524" s="73"/>
      <c r="W524" s="73"/>
      <c r="X524" s="73"/>
    </row>
    <row r="525">
      <c r="A525" s="74">
        <v>539.0</v>
      </c>
      <c r="B525" s="74" t="s">
        <v>1510</v>
      </c>
      <c r="C525" s="74"/>
      <c r="D525" s="75" t="s">
        <v>1768</v>
      </c>
      <c r="E525" s="76">
        <v>45820.0</v>
      </c>
      <c r="F525" s="74" t="str">
        <f>VLOOKUP(D525,Sheet15!D:H,5,FALSE)</f>
        <v>مكتمل</v>
      </c>
      <c r="G525" s="74"/>
      <c r="H525" s="74" t="s">
        <v>29</v>
      </c>
      <c r="I525" s="74" t="str">
        <f>VLOOKUP(D525,Sheet15!D:K,8,FALSE)</f>
        <v>2025-206866</v>
      </c>
      <c r="J525" s="76">
        <f t="shared" si="1"/>
        <v>-45820</v>
      </c>
      <c r="K525" s="77" t="str">
        <f>VLOOKUP(D525,Sheet15!D:G,4,FALSE)</f>
        <v/>
      </c>
      <c r="L525" s="73"/>
      <c r="M525" s="73"/>
      <c r="N525" s="73"/>
      <c r="O525" s="73"/>
      <c r="P525" s="73"/>
      <c r="Q525" s="73"/>
      <c r="R525" s="73"/>
      <c r="S525" s="73"/>
      <c r="T525" s="73"/>
      <c r="U525" s="73"/>
      <c r="V525" s="73"/>
      <c r="W525" s="73"/>
      <c r="X525" s="73"/>
    </row>
    <row r="526">
      <c r="A526" s="74">
        <v>540.0</v>
      </c>
      <c r="B526" s="74" t="s">
        <v>1743</v>
      </c>
      <c r="C526" s="74"/>
      <c r="D526" s="84" t="s">
        <v>1874</v>
      </c>
      <c r="E526" s="76">
        <v>46021.0</v>
      </c>
      <c r="F526" s="78" t="s">
        <v>1366</v>
      </c>
      <c r="G526" s="74"/>
      <c r="H526" s="74"/>
      <c r="I526" s="74" t="str">
        <f>VLOOKUP(D526,Sheet15!D:K,8,FALSE)</f>
        <v>#N/A</v>
      </c>
      <c r="J526" s="76">
        <f t="shared" si="1"/>
        <v>-46021</v>
      </c>
      <c r="K526" s="77" t="str">
        <f>VLOOKUP(D526,Sheet15!D:G,4,FALSE)</f>
        <v>#N/A</v>
      </c>
      <c r="L526" s="73"/>
      <c r="M526" s="73"/>
      <c r="N526" s="73"/>
      <c r="O526" s="73"/>
      <c r="P526" s="73"/>
      <c r="Q526" s="73"/>
      <c r="R526" s="73"/>
      <c r="S526" s="73"/>
      <c r="T526" s="73"/>
      <c r="U526" s="73"/>
      <c r="V526" s="73"/>
      <c r="W526" s="73"/>
      <c r="X526" s="73"/>
    </row>
    <row r="527">
      <c r="A527" s="74">
        <v>541.0</v>
      </c>
      <c r="B527" s="74" t="s">
        <v>1743</v>
      </c>
      <c r="C527" s="74"/>
      <c r="D527" s="85" t="s">
        <v>1875</v>
      </c>
      <c r="E527" s="76">
        <v>45820.0</v>
      </c>
      <c r="F527" s="74" t="str">
        <f>VLOOKUP(D527,Sheet15!D:H,5,FALSE)</f>
        <v>#N/A</v>
      </c>
      <c r="G527" s="74"/>
      <c r="H527" s="74"/>
      <c r="I527" s="74" t="str">
        <f>VLOOKUP(D527,Sheet15!D:K,8,FALSE)</f>
        <v>#N/A</v>
      </c>
      <c r="J527" s="76">
        <f t="shared" si="1"/>
        <v>-45820</v>
      </c>
      <c r="K527" s="77" t="str">
        <f>VLOOKUP(D527,Sheet15!D:G,4,FALSE)</f>
        <v>#N/A</v>
      </c>
      <c r="L527" s="73"/>
      <c r="M527" s="73"/>
      <c r="N527" s="73"/>
      <c r="O527" s="73"/>
      <c r="P527" s="73"/>
      <c r="Q527" s="73"/>
      <c r="R527" s="73"/>
      <c r="S527" s="73"/>
      <c r="T527" s="73"/>
      <c r="U527" s="73"/>
      <c r="V527" s="73"/>
      <c r="W527" s="73"/>
      <c r="X527" s="73"/>
    </row>
    <row r="528">
      <c r="A528" s="74">
        <v>542.0</v>
      </c>
      <c r="B528" s="74" t="s">
        <v>1743</v>
      </c>
      <c r="C528" s="74"/>
      <c r="D528" s="75" t="s">
        <v>1876</v>
      </c>
      <c r="E528" s="76">
        <v>45820.0</v>
      </c>
      <c r="F528" s="78" t="s">
        <v>1420</v>
      </c>
      <c r="G528" s="74"/>
      <c r="H528" s="74"/>
      <c r="I528" s="74" t="str">
        <f>VLOOKUP(D528,Sheet15!D:K,8,FALSE)</f>
        <v>#N/A</v>
      </c>
      <c r="J528" s="76">
        <f t="shared" si="1"/>
        <v>-45820</v>
      </c>
      <c r="K528" s="77" t="str">
        <f>VLOOKUP(D528,Sheet15!D:G,4,FALSE)</f>
        <v>#N/A</v>
      </c>
      <c r="L528" s="73"/>
      <c r="M528" s="73"/>
      <c r="N528" s="73"/>
      <c r="O528" s="73"/>
      <c r="P528" s="73"/>
      <c r="Q528" s="73"/>
      <c r="R528" s="73"/>
      <c r="S528" s="73"/>
      <c r="T528" s="73"/>
      <c r="U528" s="73"/>
      <c r="V528" s="73"/>
      <c r="W528" s="73"/>
      <c r="X528" s="73"/>
    </row>
    <row r="529">
      <c r="A529" s="74">
        <v>543.0</v>
      </c>
      <c r="B529" s="74" t="s">
        <v>1743</v>
      </c>
      <c r="C529" s="74"/>
      <c r="D529" s="75" t="s">
        <v>1877</v>
      </c>
      <c r="E529" s="76">
        <v>46021.0</v>
      </c>
      <c r="F529" s="78" t="s">
        <v>1366</v>
      </c>
      <c r="G529" s="74"/>
      <c r="H529" s="74"/>
      <c r="I529" s="74" t="str">
        <f>VLOOKUP(D529,Sheet15!D:K,8,FALSE)</f>
        <v>#N/A</v>
      </c>
      <c r="J529" s="76">
        <f t="shared" si="1"/>
        <v>-46021</v>
      </c>
      <c r="K529" s="77" t="str">
        <f>VLOOKUP(D529,Sheet15!D:G,4,FALSE)</f>
        <v>#N/A</v>
      </c>
      <c r="L529" s="73"/>
      <c r="M529" s="73"/>
      <c r="N529" s="73"/>
      <c r="O529" s="73"/>
      <c r="P529" s="73"/>
      <c r="Q529" s="73"/>
      <c r="R529" s="73"/>
      <c r="S529" s="73"/>
      <c r="T529" s="73"/>
      <c r="U529" s="73"/>
      <c r="V529" s="73"/>
      <c r="W529" s="73"/>
      <c r="X529" s="73"/>
    </row>
    <row r="530">
      <c r="A530" s="74">
        <v>563.0</v>
      </c>
      <c r="B530" s="74" t="s">
        <v>1878</v>
      </c>
      <c r="C530" s="74" t="s">
        <v>1879</v>
      </c>
      <c r="D530" s="75" t="s">
        <v>1880</v>
      </c>
      <c r="E530" s="76">
        <v>45823.0</v>
      </c>
      <c r="F530" s="74" t="str">
        <f>VLOOKUP(D530,Sheet15!D:H,5,FALSE)</f>
        <v>مكتمل</v>
      </c>
      <c r="G530" s="74"/>
      <c r="H530" s="74" t="s">
        <v>29</v>
      </c>
      <c r="I530" s="74" t="str">
        <f>VLOOKUP(D530,Sheet15!D:K,8,FALSE)</f>
        <v>2025-584256</v>
      </c>
      <c r="J530" s="76">
        <f t="shared" si="1"/>
        <v>-45823</v>
      </c>
      <c r="K530" s="77" t="str">
        <f>VLOOKUP(D530,Sheet15!D:G,4,FALSE)</f>
        <v/>
      </c>
      <c r="L530" s="73"/>
      <c r="M530" s="73"/>
      <c r="N530" s="73"/>
      <c r="O530" s="73"/>
      <c r="P530" s="73"/>
      <c r="Q530" s="73"/>
      <c r="R530" s="73"/>
      <c r="S530" s="73"/>
      <c r="T530" s="73"/>
      <c r="U530" s="73"/>
      <c r="V530" s="73"/>
      <c r="W530" s="73"/>
      <c r="X530" s="73"/>
    </row>
    <row r="531">
      <c r="A531" s="74">
        <v>564.0</v>
      </c>
      <c r="B531" s="74" t="s">
        <v>1878</v>
      </c>
      <c r="C531" s="74" t="s">
        <v>1881</v>
      </c>
      <c r="D531" s="75" t="s">
        <v>1882</v>
      </c>
      <c r="E531" s="76">
        <v>45823.0</v>
      </c>
      <c r="F531" s="74" t="str">
        <f>VLOOKUP(D531,Sheet15!D:H,5,FALSE)</f>
        <v>مكتمل</v>
      </c>
      <c r="G531" s="76">
        <v>45928.0</v>
      </c>
      <c r="H531" s="74" t="s">
        <v>29</v>
      </c>
      <c r="I531" s="74" t="str">
        <f>VLOOKUP(D531,Sheet15!D:K,8,FALSE)</f>
        <v>2025-584309</v>
      </c>
      <c r="J531" s="74">
        <f t="shared" si="1"/>
        <v>105</v>
      </c>
      <c r="K531" s="77" t="str">
        <f>VLOOKUP(D531,Sheet15!D:G,4,FALSE)</f>
        <v/>
      </c>
      <c r="L531" s="73"/>
      <c r="M531" s="73"/>
      <c r="N531" s="73"/>
      <c r="O531" s="73"/>
      <c r="P531" s="73"/>
      <c r="Q531" s="73"/>
      <c r="R531" s="73"/>
      <c r="S531" s="73"/>
      <c r="T531" s="73"/>
      <c r="U531" s="73"/>
      <c r="V531" s="73"/>
      <c r="W531" s="73"/>
      <c r="X531" s="73"/>
    </row>
    <row r="532">
      <c r="A532" s="74">
        <v>565.0</v>
      </c>
      <c r="B532" s="74" t="s">
        <v>1878</v>
      </c>
      <c r="C532" s="74" t="s">
        <v>1883</v>
      </c>
      <c r="D532" s="75" t="s">
        <v>1884</v>
      </c>
      <c r="E532" s="76">
        <v>45823.0</v>
      </c>
      <c r="F532" s="78" t="s">
        <v>1420</v>
      </c>
      <c r="G532" s="74"/>
      <c r="H532" s="74" t="s">
        <v>29</v>
      </c>
      <c r="I532" s="74" t="str">
        <f>VLOOKUP(D532,Sheet15!D:K,8,FALSE)</f>
        <v>2025-589914</v>
      </c>
      <c r="J532" s="76">
        <f t="shared" si="1"/>
        <v>-45823</v>
      </c>
      <c r="K532" s="77" t="str">
        <f>VLOOKUP(D532,Sheet15!D:G,4,FALSE)</f>
        <v/>
      </c>
      <c r="L532" s="73"/>
      <c r="M532" s="73"/>
      <c r="N532" s="73"/>
      <c r="O532" s="73"/>
      <c r="P532" s="73"/>
      <c r="Q532" s="73"/>
      <c r="R532" s="73"/>
      <c r="S532" s="73"/>
      <c r="T532" s="73"/>
      <c r="U532" s="73"/>
      <c r="V532" s="73"/>
      <c r="W532" s="73"/>
      <c r="X532" s="73"/>
    </row>
    <row r="533">
      <c r="A533" s="74">
        <v>566.0</v>
      </c>
      <c r="B533" s="74" t="s">
        <v>1878</v>
      </c>
      <c r="C533" s="74" t="s">
        <v>1885</v>
      </c>
      <c r="D533" s="75" t="s">
        <v>1886</v>
      </c>
      <c r="E533" s="76">
        <v>45823.0</v>
      </c>
      <c r="F533" s="78" t="s">
        <v>1427</v>
      </c>
      <c r="G533" s="74"/>
      <c r="H533" s="74" t="s">
        <v>1401</v>
      </c>
      <c r="I533" s="74" t="str">
        <f>VLOOKUP(D533,Sheet15!D:K,8,FALSE)</f>
        <v>2025-589957</v>
      </c>
      <c r="J533" s="76">
        <f t="shared" si="1"/>
        <v>-45823</v>
      </c>
      <c r="K533" s="77" t="str">
        <f>VLOOKUP(D533,Sheet15!D:G,4,FALSE)</f>
        <v/>
      </c>
      <c r="L533" s="73"/>
      <c r="M533" s="73"/>
      <c r="N533" s="73"/>
      <c r="O533" s="73"/>
      <c r="P533" s="73"/>
      <c r="Q533" s="73"/>
      <c r="R533" s="73"/>
      <c r="S533" s="73"/>
      <c r="T533" s="73"/>
      <c r="U533" s="73"/>
      <c r="V533" s="73"/>
      <c r="W533" s="73"/>
      <c r="X533" s="73"/>
    </row>
    <row r="534">
      <c r="A534" s="74">
        <v>567.0</v>
      </c>
      <c r="B534" s="74" t="s">
        <v>1878</v>
      </c>
      <c r="C534" s="74" t="s">
        <v>1887</v>
      </c>
      <c r="D534" s="75" t="s">
        <v>1888</v>
      </c>
      <c r="E534" s="76">
        <v>45823.0</v>
      </c>
      <c r="F534" s="78" t="s">
        <v>1420</v>
      </c>
      <c r="G534" s="74"/>
      <c r="H534" s="74" t="s">
        <v>29</v>
      </c>
      <c r="I534" s="74" t="str">
        <f>VLOOKUP(D534,Sheet15!D:K,8,FALSE)</f>
        <v>2025-590039</v>
      </c>
      <c r="J534" s="76">
        <f t="shared" si="1"/>
        <v>-45823</v>
      </c>
      <c r="K534" s="77" t="str">
        <f>VLOOKUP(D534,Sheet15!D:G,4,FALSE)</f>
        <v/>
      </c>
      <c r="L534" s="73"/>
      <c r="M534" s="73"/>
      <c r="N534" s="73"/>
      <c r="O534" s="73"/>
      <c r="P534" s="73"/>
      <c r="Q534" s="73"/>
      <c r="R534" s="73"/>
      <c r="S534" s="73"/>
      <c r="T534" s="73"/>
      <c r="U534" s="73"/>
      <c r="V534" s="73"/>
      <c r="W534" s="73"/>
      <c r="X534" s="73"/>
    </row>
    <row r="535">
      <c r="A535" s="74">
        <v>568.0</v>
      </c>
      <c r="B535" s="74" t="s">
        <v>1878</v>
      </c>
      <c r="C535" s="74" t="s">
        <v>1889</v>
      </c>
      <c r="D535" s="75" t="s">
        <v>1890</v>
      </c>
      <c r="E535" s="76">
        <v>45823.0</v>
      </c>
      <c r="F535" s="78" t="s">
        <v>1420</v>
      </c>
      <c r="G535" s="74"/>
      <c r="H535" s="74" t="s">
        <v>29</v>
      </c>
      <c r="I535" s="74" t="str">
        <f>VLOOKUP(D535,Sheet15!D:K,8,FALSE)</f>
        <v>2025-590061</v>
      </c>
      <c r="J535" s="76">
        <f t="shared" si="1"/>
        <v>-45823</v>
      </c>
      <c r="K535" s="77" t="str">
        <f>VLOOKUP(D535,Sheet15!D:G,4,FALSE)</f>
        <v/>
      </c>
      <c r="L535" s="73"/>
      <c r="M535" s="73"/>
      <c r="N535" s="73"/>
      <c r="O535" s="73"/>
      <c r="P535" s="73"/>
      <c r="Q535" s="73"/>
      <c r="R535" s="73"/>
      <c r="S535" s="73"/>
      <c r="T535" s="73"/>
      <c r="U535" s="73"/>
      <c r="V535" s="73"/>
      <c r="W535" s="73"/>
      <c r="X535" s="73"/>
    </row>
    <row r="536">
      <c r="A536" s="74">
        <v>619.0</v>
      </c>
      <c r="B536" s="74" t="s">
        <v>725</v>
      </c>
      <c r="C536" s="74"/>
      <c r="D536" s="75" t="s">
        <v>1891</v>
      </c>
      <c r="E536" s="76">
        <v>45840.0</v>
      </c>
      <c r="F536" s="74" t="str">
        <f>VLOOKUP(D536,Sheet15!D:H,5,FALSE)</f>
        <v>مكتمل</v>
      </c>
      <c r="G536" s="74"/>
      <c r="H536" s="74" t="s">
        <v>29</v>
      </c>
      <c r="I536" s="74" t="str">
        <f>VLOOKUP(D536,Sheet15!D:K,8,FALSE)</f>
        <v>2025-511073</v>
      </c>
      <c r="J536" s="76">
        <f t="shared" si="1"/>
        <v>-45840</v>
      </c>
      <c r="K536" s="77" t="str">
        <f>VLOOKUP(D536,Sheet15!D:G,4,FALSE)</f>
        <v/>
      </c>
      <c r="L536" s="73"/>
      <c r="M536" s="73"/>
      <c r="N536" s="73"/>
      <c r="O536" s="73"/>
      <c r="P536" s="73"/>
      <c r="Q536" s="73"/>
      <c r="R536" s="73"/>
      <c r="S536" s="73"/>
      <c r="T536" s="73"/>
      <c r="U536" s="73"/>
      <c r="V536" s="73"/>
      <c r="W536" s="73"/>
      <c r="X536" s="73"/>
    </row>
    <row r="537">
      <c r="A537" s="74">
        <v>620.0</v>
      </c>
      <c r="B537" s="74" t="s">
        <v>725</v>
      </c>
      <c r="C537" s="74"/>
      <c r="D537" s="79" t="s">
        <v>1892</v>
      </c>
      <c r="E537" s="76">
        <v>45840.0</v>
      </c>
      <c r="F537" s="74" t="str">
        <f>VLOOKUP(D537,Sheet15!D:H,5,FALSE)</f>
        <v>مكتمل</v>
      </c>
      <c r="G537" s="74"/>
      <c r="H537" s="74"/>
      <c r="I537" s="74" t="str">
        <f>VLOOKUP(D537,Sheet15!D:K,8,FALSE)</f>
        <v>2025-511154</v>
      </c>
      <c r="J537" s="76">
        <f t="shared" si="1"/>
        <v>-45840</v>
      </c>
      <c r="K537" s="77" t="str">
        <f>VLOOKUP(D537,Sheet15!D:G,4,FALSE)</f>
        <v/>
      </c>
      <c r="L537" s="73"/>
      <c r="M537" s="73"/>
      <c r="N537" s="73"/>
      <c r="O537" s="73"/>
      <c r="P537" s="73"/>
      <c r="Q537" s="73"/>
      <c r="R537" s="73"/>
      <c r="S537" s="73"/>
      <c r="T537" s="73"/>
      <c r="U537" s="73"/>
      <c r="V537" s="73"/>
      <c r="W537" s="73"/>
      <c r="X537" s="73"/>
    </row>
    <row r="538">
      <c r="A538" s="74">
        <v>621.0</v>
      </c>
      <c r="B538" s="74" t="s">
        <v>725</v>
      </c>
      <c r="C538" s="74"/>
      <c r="D538" s="75" t="s">
        <v>1893</v>
      </c>
      <c r="E538" s="76">
        <v>45840.0</v>
      </c>
      <c r="F538" s="74" t="str">
        <f>VLOOKUP(D538,Sheet15!D:H,5,FALSE)</f>
        <v>#N/A</v>
      </c>
      <c r="G538" s="74"/>
      <c r="H538" s="74"/>
      <c r="I538" s="74" t="str">
        <f>VLOOKUP(D538,Sheet15!D:K,8,FALSE)</f>
        <v>#N/A</v>
      </c>
      <c r="J538" s="76">
        <f t="shared" si="1"/>
        <v>-45840</v>
      </c>
      <c r="K538" s="77" t="str">
        <f>VLOOKUP(D538,Sheet15!D:G,4,FALSE)</f>
        <v>#N/A</v>
      </c>
      <c r="L538" s="73"/>
      <c r="M538" s="73"/>
      <c r="N538" s="73"/>
      <c r="O538" s="73"/>
      <c r="P538" s="73"/>
      <c r="Q538" s="73"/>
      <c r="R538" s="73"/>
      <c r="S538" s="73"/>
      <c r="T538" s="73"/>
      <c r="U538" s="73"/>
      <c r="V538" s="73"/>
      <c r="W538" s="73"/>
      <c r="X538" s="73"/>
    </row>
    <row r="539">
      <c r="A539" s="74">
        <v>622.0</v>
      </c>
      <c r="B539" s="74" t="s">
        <v>725</v>
      </c>
      <c r="C539" s="74"/>
      <c r="D539" s="79" t="s">
        <v>1894</v>
      </c>
      <c r="E539" s="76">
        <v>45840.0</v>
      </c>
      <c r="F539" s="74" t="str">
        <f>VLOOKUP(D539,Sheet15!D:H,5,FALSE)</f>
        <v>مكتمل</v>
      </c>
      <c r="G539" s="74"/>
      <c r="H539" s="74"/>
      <c r="I539" s="74" t="str">
        <f>VLOOKUP(D539,Sheet15!D:K,8,FALSE)</f>
        <v>2025-511304</v>
      </c>
      <c r="J539" s="76">
        <f t="shared" si="1"/>
        <v>-45840</v>
      </c>
      <c r="K539" s="77" t="str">
        <f>VLOOKUP(D539,Sheet15!D:G,4,FALSE)</f>
        <v/>
      </c>
      <c r="L539" s="73"/>
      <c r="M539" s="73"/>
      <c r="N539" s="73"/>
      <c r="O539" s="73"/>
      <c r="P539" s="73"/>
      <c r="Q539" s="73"/>
      <c r="R539" s="73"/>
      <c r="S539" s="73"/>
      <c r="T539" s="73"/>
      <c r="U539" s="73"/>
      <c r="V539" s="73"/>
      <c r="W539" s="73"/>
      <c r="X539" s="73"/>
    </row>
    <row r="540">
      <c r="A540" s="74">
        <v>623.0</v>
      </c>
      <c r="B540" s="74" t="s">
        <v>725</v>
      </c>
      <c r="C540" s="74"/>
      <c r="D540" s="75" t="s">
        <v>1895</v>
      </c>
      <c r="E540" s="76">
        <v>45840.0</v>
      </c>
      <c r="F540" s="74" t="str">
        <f>VLOOKUP(D540,Sheet15!D:H,5,FALSE)</f>
        <v>#N/A</v>
      </c>
      <c r="G540" s="74"/>
      <c r="H540" s="74"/>
      <c r="I540" s="74" t="str">
        <f>VLOOKUP(D540,Sheet15!D:K,8,FALSE)</f>
        <v>#N/A</v>
      </c>
      <c r="J540" s="76">
        <f t="shared" si="1"/>
        <v>-45840</v>
      </c>
      <c r="K540" s="77" t="str">
        <f>VLOOKUP(D540,Sheet15!D:G,4,FALSE)</f>
        <v>#N/A</v>
      </c>
      <c r="L540" s="73"/>
      <c r="M540" s="73"/>
      <c r="N540" s="73"/>
      <c r="O540" s="73"/>
      <c r="P540" s="73"/>
      <c r="Q540" s="73"/>
      <c r="R540" s="73"/>
      <c r="S540" s="73"/>
      <c r="T540" s="73"/>
      <c r="U540" s="73"/>
      <c r="V540" s="73"/>
      <c r="W540" s="73"/>
      <c r="X540" s="73"/>
    </row>
    <row r="541">
      <c r="A541" s="74">
        <v>624.0</v>
      </c>
      <c r="B541" s="74" t="s">
        <v>1896</v>
      </c>
      <c r="C541" s="74"/>
      <c r="D541" s="75" t="s">
        <v>1897</v>
      </c>
      <c r="E541" s="76">
        <v>45846.0</v>
      </c>
      <c r="F541" s="78" t="s">
        <v>1420</v>
      </c>
      <c r="G541" s="74"/>
      <c r="H541" s="74"/>
      <c r="I541" s="74" t="str">
        <f>VLOOKUP(D541,Sheet15!D:K,8,FALSE)</f>
        <v>#N/A</v>
      </c>
      <c r="J541" s="76">
        <f t="shared" si="1"/>
        <v>-45846</v>
      </c>
      <c r="K541" s="77" t="str">
        <f>VLOOKUP(D541,Sheet15!D:G,4,FALSE)</f>
        <v>#N/A</v>
      </c>
      <c r="L541" s="73"/>
      <c r="M541" s="73"/>
      <c r="N541" s="73"/>
      <c r="O541" s="73"/>
      <c r="P541" s="73"/>
      <c r="Q541" s="73"/>
      <c r="R541" s="73"/>
      <c r="S541" s="73"/>
      <c r="T541" s="73"/>
      <c r="U541" s="73"/>
      <c r="V541" s="73"/>
      <c r="W541" s="73"/>
      <c r="X541" s="73"/>
    </row>
    <row r="542">
      <c r="A542" s="74">
        <v>625.0</v>
      </c>
      <c r="B542" s="74" t="s">
        <v>1896</v>
      </c>
      <c r="C542" s="74"/>
      <c r="D542" s="75" t="s">
        <v>1898</v>
      </c>
      <c r="E542" s="76">
        <v>45846.0</v>
      </c>
      <c r="F542" s="78" t="s">
        <v>1420</v>
      </c>
      <c r="G542" s="74"/>
      <c r="H542" s="74"/>
      <c r="I542" s="74" t="str">
        <f>VLOOKUP(D542,Sheet15!D:K,8,FALSE)</f>
        <v>#N/A</v>
      </c>
      <c r="J542" s="76">
        <f t="shared" si="1"/>
        <v>-45846</v>
      </c>
      <c r="K542" s="77" t="str">
        <f>VLOOKUP(D542,Sheet15!D:G,4,FALSE)</f>
        <v>#N/A</v>
      </c>
      <c r="L542" s="73"/>
      <c r="M542" s="73"/>
      <c r="N542" s="73"/>
      <c r="O542" s="73"/>
      <c r="P542" s="73"/>
      <c r="Q542" s="73"/>
      <c r="R542" s="73"/>
      <c r="S542" s="73"/>
      <c r="T542" s="73"/>
      <c r="U542" s="73"/>
      <c r="V542" s="73"/>
      <c r="W542" s="73"/>
      <c r="X542" s="73"/>
    </row>
    <row r="543">
      <c r="A543" s="74">
        <v>626.0</v>
      </c>
      <c r="B543" s="74" t="s">
        <v>1896</v>
      </c>
      <c r="C543" s="74"/>
      <c r="D543" s="75" t="s">
        <v>1899</v>
      </c>
      <c r="E543" s="76">
        <v>45846.0</v>
      </c>
      <c r="F543" s="74" t="str">
        <f>VLOOKUP(D543,Sheet15!D:H,5,FALSE)</f>
        <v>مكتمل</v>
      </c>
      <c r="G543" s="74"/>
      <c r="H543" s="74" t="s">
        <v>29</v>
      </c>
      <c r="I543" s="74" t="str">
        <f>VLOOKUP(D543,Sheet15!D:K,8,FALSE)</f>
        <v>2025-404115</v>
      </c>
      <c r="J543" s="76">
        <f t="shared" si="1"/>
        <v>-45846</v>
      </c>
      <c r="K543" s="77" t="str">
        <f>VLOOKUP(D543,Sheet15!D:G,4,FALSE)</f>
        <v/>
      </c>
      <c r="L543" s="73"/>
      <c r="M543" s="73"/>
      <c r="N543" s="73"/>
      <c r="O543" s="73"/>
      <c r="P543" s="73"/>
      <c r="Q543" s="73"/>
      <c r="R543" s="73"/>
      <c r="S543" s="73"/>
      <c r="T543" s="73"/>
      <c r="U543" s="73"/>
      <c r="V543" s="73"/>
      <c r="W543" s="73"/>
      <c r="X543" s="73"/>
    </row>
    <row r="544">
      <c r="A544" s="74">
        <v>627.0</v>
      </c>
      <c r="B544" s="74" t="s">
        <v>1896</v>
      </c>
      <c r="C544" s="74"/>
      <c r="D544" s="75" t="s">
        <v>1900</v>
      </c>
      <c r="E544" s="76">
        <v>45846.0</v>
      </c>
      <c r="F544" s="74" t="str">
        <f>VLOOKUP(D544,Sheet15!D:H,5,FALSE)</f>
        <v>مكتمل</v>
      </c>
      <c r="G544" s="74"/>
      <c r="H544" s="74" t="s">
        <v>29</v>
      </c>
      <c r="I544" s="74" t="str">
        <f>VLOOKUP(D544,Sheet15!D:K,8,FALSE)</f>
        <v>2025-404137</v>
      </c>
      <c r="J544" s="76">
        <f t="shared" si="1"/>
        <v>-45846</v>
      </c>
      <c r="K544" s="77" t="str">
        <f>VLOOKUP(D544,Sheet15!D:G,4,FALSE)</f>
        <v/>
      </c>
      <c r="L544" s="73"/>
      <c r="M544" s="73"/>
      <c r="N544" s="73"/>
      <c r="O544" s="73"/>
      <c r="P544" s="73"/>
      <c r="Q544" s="73"/>
      <c r="R544" s="73"/>
      <c r="S544" s="73"/>
      <c r="T544" s="73"/>
      <c r="U544" s="73"/>
      <c r="V544" s="73"/>
      <c r="W544" s="73"/>
      <c r="X544" s="73"/>
    </row>
    <row r="545">
      <c r="A545" s="74">
        <v>628.0</v>
      </c>
      <c r="B545" s="74" t="s">
        <v>1896</v>
      </c>
      <c r="C545" s="74"/>
      <c r="D545" s="75" t="s">
        <v>1901</v>
      </c>
      <c r="E545" s="76">
        <v>45846.0</v>
      </c>
      <c r="F545" s="74" t="str">
        <f>VLOOKUP(D545,Sheet15!D:H,5,FALSE)</f>
        <v>مكتمل</v>
      </c>
      <c r="G545" s="74"/>
      <c r="H545" s="74" t="s">
        <v>29</v>
      </c>
      <c r="I545" s="74" t="str">
        <f>VLOOKUP(D545,Sheet15!D:K,8,FALSE)</f>
        <v>2025-404162</v>
      </c>
      <c r="J545" s="76">
        <f t="shared" si="1"/>
        <v>-45846</v>
      </c>
      <c r="K545" s="77" t="str">
        <f>VLOOKUP(D545,Sheet15!D:G,4,FALSE)</f>
        <v/>
      </c>
      <c r="L545" s="73"/>
      <c r="M545" s="73"/>
      <c r="N545" s="73"/>
      <c r="O545" s="73"/>
      <c r="P545" s="73"/>
      <c r="Q545" s="73"/>
      <c r="R545" s="73"/>
      <c r="S545" s="73"/>
      <c r="T545" s="73"/>
      <c r="U545" s="73"/>
      <c r="V545" s="73"/>
      <c r="W545" s="73"/>
      <c r="X545" s="73"/>
    </row>
    <row r="546">
      <c r="A546" s="74">
        <v>629.0</v>
      </c>
      <c r="B546" s="74" t="s">
        <v>1896</v>
      </c>
      <c r="C546" s="74"/>
      <c r="D546" s="75" t="s">
        <v>1902</v>
      </c>
      <c r="E546" s="76">
        <v>45846.0</v>
      </c>
      <c r="F546" s="74" t="str">
        <f>VLOOKUP(D546,Sheet15!D:H,5,FALSE)</f>
        <v>مكتمل</v>
      </c>
      <c r="G546" s="74"/>
      <c r="H546" s="74" t="s">
        <v>29</v>
      </c>
      <c r="I546" s="74" t="str">
        <f>VLOOKUP(D546,Sheet15!D:K,8,FALSE)</f>
        <v>2025-404192</v>
      </c>
      <c r="J546" s="76">
        <f t="shared" si="1"/>
        <v>-45846</v>
      </c>
      <c r="K546" s="77" t="str">
        <f>VLOOKUP(D546,Sheet15!D:G,4,FALSE)</f>
        <v/>
      </c>
      <c r="L546" s="73"/>
      <c r="M546" s="73"/>
      <c r="N546" s="73"/>
      <c r="O546" s="73"/>
      <c r="P546" s="73"/>
      <c r="Q546" s="73"/>
      <c r="R546" s="73"/>
      <c r="S546" s="73"/>
      <c r="T546" s="73"/>
      <c r="U546" s="73"/>
      <c r="V546" s="73"/>
      <c r="W546" s="73"/>
      <c r="X546" s="73"/>
    </row>
    <row r="547">
      <c r="A547" s="74">
        <v>630.0</v>
      </c>
      <c r="B547" s="74" t="s">
        <v>1048</v>
      </c>
      <c r="C547" s="86"/>
      <c r="D547" s="75" t="s">
        <v>1903</v>
      </c>
      <c r="E547" s="76">
        <v>45860.0</v>
      </c>
      <c r="F547" s="74" t="str">
        <f>VLOOKUP(D547,Sheet15!D:H,5,FALSE)</f>
        <v>مكتمل</v>
      </c>
      <c r="G547" s="76">
        <v>45894.0</v>
      </c>
      <c r="H547" s="74" t="s">
        <v>29</v>
      </c>
      <c r="I547" s="74" t="str">
        <f>VLOOKUP(D547,Sheet15!D:K,8,FALSE)</f>
        <v>2025-450430</v>
      </c>
      <c r="J547" s="74">
        <f t="shared" si="1"/>
        <v>34</v>
      </c>
      <c r="K547" s="77" t="str">
        <f>VLOOKUP(D547,Sheet15!D:G,4,FALSE)</f>
        <v/>
      </c>
      <c r="L547" s="73"/>
      <c r="M547" s="73"/>
      <c r="N547" s="73"/>
      <c r="O547" s="73"/>
      <c r="P547" s="73"/>
      <c r="Q547" s="73"/>
      <c r="R547" s="73"/>
      <c r="S547" s="73"/>
      <c r="T547" s="73"/>
      <c r="U547" s="73"/>
      <c r="V547" s="73"/>
      <c r="W547" s="73"/>
      <c r="X547" s="73"/>
    </row>
    <row r="548">
      <c r="A548" s="74">
        <v>631.0</v>
      </c>
      <c r="B548" s="74" t="s">
        <v>1048</v>
      </c>
      <c r="C548" s="86"/>
      <c r="D548" s="75" t="s">
        <v>1904</v>
      </c>
      <c r="E548" s="76">
        <v>45860.0</v>
      </c>
      <c r="F548" s="74" t="str">
        <f>VLOOKUP(D548,Sheet15!D:H,5,FALSE)</f>
        <v>مكتمل</v>
      </c>
      <c r="G548" s="76">
        <v>45894.0</v>
      </c>
      <c r="H548" s="74" t="s">
        <v>29</v>
      </c>
      <c r="I548" s="74" t="str">
        <f>VLOOKUP(D548,Sheet15!D:K,8,FALSE)</f>
        <v>2025-451385</v>
      </c>
      <c r="J548" s="74">
        <f t="shared" si="1"/>
        <v>34</v>
      </c>
      <c r="K548" s="77" t="str">
        <f>VLOOKUP(D548,Sheet15!D:G,4,FALSE)</f>
        <v/>
      </c>
      <c r="L548" s="73"/>
      <c r="M548" s="73"/>
      <c r="N548" s="73"/>
      <c r="O548" s="73"/>
      <c r="P548" s="73"/>
      <c r="Q548" s="73"/>
      <c r="R548" s="73"/>
      <c r="S548" s="73"/>
      <c r="T548" s="73"/>
      <c r="U548" s="73"/>
      <c r="V548" s="73"/>
      <c r="W548" s="73"/>
      <c r="X548" s="73"/>
    </row>
    <row r="549">
      <c r="A549" s="74">
        <v>632.0</v>
      </c>
      <c r="B549" s="74" t="s">
        <v>1048</v>
      </c>
      <c r="C549" s="86"/>
      <c r="D549" s="75" t="s">
        <v>1905</v>
      </c>
      <c r="E549" s="76">
        <v>45860.0</v>
      </c>
      <c r="F549" s="74" t="str">
        <f>VLOOKUP(D549,Sheet15!D:H,5,FALSE)</f>
        <v>مكتمل</v>
      </c>
      <c r="G549" s="76">
        <v>45894.0</v>
      </c>
      <c r="H549" s="74" t="s">
        <v>29</v>
      </c>
      <c r="I549" s="74" t="str">
        <f>VLOOKUP(D549,Sheet15!D:K,8,FALSE)</f>
        <v>2025-451385</v>
      </c>
      <c r="J549" s="74">
        <f t="shared" si="1"/>
        <v>34</v>
      </c>
      <c r="K549" s="77" t="str">
        <f>VLOOKUP(D549,Sheet15!D:G,4,FALSE)</f>
        <v/>
      </c>
      <c r="L549" s="73"/>
      <c r="M549" s="73"/>
      <c r="N549" s="73"/>
      <c r="O549" s="73"/>
      <c r="P549" s="73"/>
      <c r="Q549" s="73"/>
      <c r="R549" s="73"/>
      <c r="S549" s="73"/>
      <c r="T549" s="73"/>
      <c r="U549" s="73"/>
      <c r="V549" s="73"/>
      <c r="W549" s="73"/>
      <c r="X549" s="73"/>
    </row>
    <row r="550">
      <c r="A550" s="74">
        <v>633.0</v>
      </c>
      <c r="B550" s="74" t="s">
        <v>1048</v>
      </c>
      <c r="C550" s="86"/>
      <c r="D550" s="75" t="s">
        <v>1906</v>
      </c>
      <c r="E550" s="76">
        <v>45862.0</v>
      </c>
      <c r="F550" s="74" t="str">
        <f>VLOOKUP(D550,Sheet15!D:H,5,FALSE)</f>
        <v>مكتمل</v>
      </c>
      <c r="G550" s="76">
        <v>45894.0</v>
      </c>
      <c r="H550" s="74" t="s">
        <v>29</v>
      </c>
      <c r="I550" s="74" t="str">
        <f>VLOOKUP(D550,Sheet15!D:K,8,FALSE)</f>
        <v>2025-459527</v>
      </c>
      <c r="J550" s="74">
        <f t="shared" si="1"/>
        <v>32</v>
      </c>
      <c r="K550" s="77" t="str">
        <f>VLOOKUP(D550,Sheet15!D:G,4,FALSE)</f>
        <v/>
      </c>
      <c r="L550" s="73"/>
      <c r="M550" s="73"/>
      <c r="N550" s="73"/>
      <c r="O550" s="73"/>
      <c r="P550" s="73"/>
      <c r="Q550" s="73"/>
      <c r="R550" s="73"/>
      <c r="S550" s="73"/>
      <c r="T550" s="73"/>
      <c r="U550" s="73"/>
      <c r="V550" s="73"/>
      <c r="W550" s="73"/>
      <c r="X550" s="73"/>
    </row>
    <row r="551">
      <c r="A551" s="74">
        <v>634.0</v>
      </c>
      <c r="B551" s="74" t="s">
        <v>1048</v>
      </c>
      <c r="C551" s="86"/>
      <c r="D551" s="75" t="s">
        <v>1907</v>
      </c>
      <c r="E551" s="76">
        <v>45862.0</v>
      </c>
      <c r="F551" s="74" t="str">
        <f>VLOOKUP(D551,Sheet15!D:H,5,FALSE)</f>
        <v>مكتمل</v>
      </c>
      <c r="G551" s="76">
        <v>45894.0</v>
      </c>
      <c r="H551" s="74" t="s">
        <v>29</v>
      </c>
      <c r="I551" s="74" t="str">
        <f>VLOOKUP(D551,Sheet15!D:K,8,FALSE)</f>
        <v>2025-459527</v>
      </c>
      <c r="J551" s="74">
        <f t="shared" si="1"/>
        <v>32</v>
      </c>
      <c r="K551" s="77" t="str">
        <f>VLOOKUP(D551,Sheet15!D:G,4,FALSE)</f>
        <v/>
      </c>
      <c r="L551" s="73"/>
      <c r="M551" s="73"/>
      <c r="N551" s="73"/>
      <c r="O551" s="73"/>
      <c r="P551" s="73"/>
      <c r="Q551" s="73"/>
      <c r="R551" s="73"/>
      <c r="S551" s="73"/>
      <c r="T551" s="73"/>
      <c r="U551" s="73"/>
      <c r="V551" s="73"/>
      <c r="W551" s="73"/>
      <c r="X551" s="73"/>
    </row>
    <row r="552">
      <c r="A552" s="74">
        <v>635.0</v>
      </c>
      <c r="B552" s="74" t="s">
        <v>1048</v>
      </c>
      <c r="C552" s="86"/>
      <c r="D552" s="75" t="s">
        <v>1908</v>
      </c>
      <c r="E552" s="76">
        <v>45865.0</v>
      </c>
      <c r="F552" s="74" t="str">
        <f>VLOOKUP(D552,Sheet15!D:H,5,FALSE)</f>
        <v>مكتمل</v>
      </c>
      <c r="G552" s="76">
        <v>45894.0</v>
      </c>
      <c r="H552" s="74" t="s">
        <v>29</v>
      </c>
      <c r="I552" s="74" t="str">
        <f>VLOOKUP(D552,Sheet15!D:K,8,FALSE)</f>
        <v>2025-465606</v>
      </c>
      <c r="J552" s="74">
        <f t="shared" si="1"/>
        <v>29</v>
      </c>
      <c r="K552" s="77" t="str">
        <f>VLOOKUP(D552,Sheet15!D:G,4,FALSE)</f>
        <v/>
      </c>
      <c r="L552" s="73"/>
      <c r="M552" s="73"/>
      <c r="N552" s="73"/>
      <c r="O552" s="73"/>
      <c r="P552" s="73"/>
      <c r="Q552" s="73"/>
      <c r="R552" s="73"/>
      <c r="S552" s="73"/>
      <c r="T552" s="73"/>
      <c r="U552" s="73"/>
      <c r="V552" s="73"/>
      <c r="W552" s="73"/>
      <c r="X552" s="73"/>
    </row>
    <row r="553">
      <c r="A553" s="74">
        <v>636.0</v>
      </c>
      <c r="B553" s="74" t="s">
        <v>1048</v>
      </c>
      <c r="C553" s="86"/>
      <c r="D553" s="75" t="s">
        <v>1909</v>
      </c>
      <c r="E553" s="76">
        <v>45865.0</v>
      </c>
      <c r="F553" s="74" t="str">
        <f>VLOOKUP(D553,Sheet15!D:H,5,FALSE)</f>
        <v>مكتمل</v>
      </c>
      <c r="G553" s="76">
        <v>45894.0</v>
      </c>
      <c r="H553" s="74" t="s">
        <v>29</v>
      </c>
      <c r="I553" s="74" t="str">
        <f>VLOOKUP(D553,Sheet15!D:K,8,FALSE)</f>
        <v>2025-465606</v>
      </c>
      <c r="J553" s="74">
        <f t="shared" si="1"/>
        <v>29</v>
      </c>
      <c r="K553" s="77" t="str">
        <f>VLOOKUP(D553,Sheet15!D:G,4,FALSE)</f>
        <v/>
      </c>
      <c r="L553" s="73"/>
      <c r="M553" s="73"/>
      <c r="N553" s="73"/>
      <c r="O553" s="73"/>
      <c r="P553" s="73"/>
      <c r="Q553" s="73"/>
      <c r="R553" s="73"/>
      <c r="S553" s="73"/>
      <c r="T553" s="73"/>
      <c r="U553" s="73"/>
      <c r="V553" s="73"/>
      <c r="W553" s="73"/>
      <c r="X553" s="73"/>
    </row>
    <row r="554">
      <c r="A554" s="74">
        <v>637.0</v>
      </c>
      <c r="B554" s="74" t="s">
        <v>1048</v>
      </c>
      <c r="C554" s="86"/>
      <c r="D554" s="75" t="s">
        <v>1910</v>
      </c>
      <c r="E554" s="76">
        <v>45865.0</v>
      </c>
      <c r="F554" s="74" t="str">
        <f>VLOOKUP(D554,Sheet15!D:H,5,FALSE)</f>
        <v>مكتمل</v>
      </c>
      <c r="G554" s="76">
        <v>45894.0</v>
      </c>
      <c r="H554" s="74" t="s">
        <v>29</v>
      </c>
      <c r="I554" s="74" t="str">
        <f>VLOOKUP(D554,Sheet15!D:K,8,FALSE)</f>
        <v>2025-465914</v>
      </c>
      <c r="J554" s="74">
        <f t="shared" si="1"/>
        <v>29</v>
      </c>
      <c r="K554" s="77" t="str">
        <f>VLOOKUP(D554,Sheet15!D:G,4,FALSE)</f>
        <v/>
      </c>
      <c r="L554" s="73"/>
      <c r="M554" s="73"/>
      <c r="N554" s="73"/>
      <c r="O554" s="73"/>
      <c r="P554" s="73"/>
      <c r="Q554" s="73"/>
      <c r="R554" s="73"/>
      <c r="S554" s="73"/>
      <c r="T554" s="73"/>
      <c r="U554" s="73"/>
      <c r="V554" s="73"/>
      <c r="W554" s="73"/>
      <c r="X554" s="73"/>
    </row>
    <row r="555">
      <c r="A555" s="74">
        <v>638.0</v>
      </c>
      <c r="B555" s="74" t="s">
        <v>1048</v>
      </c>
      <c r="C555" s="86"/>
      <c r="D555" s="75" t="s">
        <v>1911</v>
      </c>
      <c r="E555" s="76">
        <v>45865.0</v>
      </c>
      <c r="F555" s="74" t="str">
        <f>VLOOKUP(D555,Sheet15!D:H,5,FALSE)</f>
        <v>مكتمل</v>
      </c>
      <c r="G555" s="76">
        <v>45894.0</v>
      </c>
      <c r="H555" s="74" t="s">
        <v>29</v>
      </c>
      <c r="I555" s="74" t="str">
        <f>VLOOKUP(D555,Sheet15!D:K,8,FALSE)</f>
        <v>2025-465914</v>
      </c>
      <c r="J555" s="74">
        <f t="shared" si="1"/>
        <v>29</v>
      </c>
      <c r="K555" s="77" t="str">
        <f>VLOOKUP(D555,Sheet15!D:G,4,FALSE)</f>
        <v/>
      </c>
      <c r="L555" s="73"/>
      <c r="M555" s="73"/>
      <c r="N555" s="73"/>
      <c r="O555" s="73"/>
      <c r="P555" s="73"/>
      <c r="Q555" s="73"/>
      <c r="R555" s="73"/>
      <c r="S555" s="73"/>
      <c r="T555" s="73"/>
      <c r="U555" s="73"/>
      <c r="V555" s="73"/>
      <c r="W555" s="73"/>
      <c r="X555" s="73"/>
    </row>
    <row r="556">
      <c r="A556" s="74">
        <v>639.0</v>
      </c>
      <c r="B556" s="74" t="s">
        <v>1048</v>
      </c>
      <c r="C556" s="86"/>
      <c r="D556" s="75" t="s">
        <v>1912</v>
      </c>
      <c r="E556" s="76">
        <v>45866.0</v>
      </c>
      <c r="F556" s="74" t="str">
        <f>VLOOKUP(D556,Sheet15!D:H,5,FALSE)</f>
        <v>مكتمل</v>
      </c>
      <c r="G556" s="74"/>
      <c r="H556" s="74" t="s">
        <v>29</v>
      </c>
      <c r="I556" s="74" t="str">
        <f>VLOOKUP(D556,Sheet15!D:K,8,FALSE)</f>
        <v>2025-468975</v>
      </c>
      <c r="J556" s="74"/>
      <c r="K556" s="77"/>
      <c r="L556" s="73"/>
      <c r="M556" s="73"/>
      <c r="N556" s="73"/>
      <c r="O556" s="73"/>
      <c r="P556" s="73"/>
      <c r="Q556" s="73"/>
      <c r="R556" s="73"/>
      <c r="S556" s="73"/>
      <c r="T556" s="73"/>
      <c r="U556" s="73"/>
      <c r="V556" s="73"/>
      <c r="W556" s="73"/>
      <c r="X556" s="73"/>
    </row>
    <row r="557">
      <c r="A557" s="74">
        <v>640.0</v>
      </c>
      <c r="B557" s="74" t="s">
        <v>1048</v>
      </c>
      <c r="C557" s="86"/>
      <c r="D557" s="75" t="s">
        <v>1913</v>
      </c>
      <c r="E557" s="76">
        <v>45866.0</v>
      </c>
      <c r="F557" s="74" t="str">
        <f>VLOOKUP(D557,Sheet15!D:H,5,FALSE)</f>
        <v>مكتمل</v>
      </c>
      <c r="G557" s="76">
        <v>45894.0</v>
      </c>
      <c r="H557" s="74" t="s">
        <v>29</v>
      </c>
      <c r="I557" s="74" t="str">
        <f>VLOOKUP(D557,Sheet15!D:K,8,FALSE)</f>
        <v>2025-469376</v>
      </c>
      <c r="J557" s="74">
        <f t="shared" ref="J557:J577" si="2">G557-E557</f>
        <v>28</v>
      </c>
      <c r="K557" s="77"/>
      <c r="L557" s="73"/>
      <c r="M557" s="73"/>
      <c r="N557" s="73"/>
      <c r="O557" s="73"/>
      <c r="P557" s="73"/>
      <c r="Q557" s="73"/>
      <c r="R557" s="73"/>
      <c r="S557" s="73"/>
      <c r="T557" s="73"/>
      <c r="U557" s="73"/>
      <c r="V557" s="73"/>
      <c r="W557" s="73"/>
      <c r="X557" s="73"/>
    </row>
    <row r="558">
      <c r="A558" s="74">
        <v>641.0</v>
      </c>
      <c r="B558" s="74" t="s">
        <v>1048</v>
      </c>
      <c r="C558" s="86"/>
      <c r="D558" s="75" t="s">
        <v>1914</v>
      </c>
      <c r="E558" s="76">
        <v>45866.0</v>
      </c>
      <c r="F558" s="74" t="str">
        <f>VLOOKUP(D558,Sheet15!D:H,5,FALSE)</f>
        <v>مكتمل</v>
      </c>
      <c r="G558" s="76">
        <v>45894.0</v>
      </c>
      <c r="H558" s="74" t="s">
        <v>29</v>
      </c>
      <c r="I558" s="74" t="str">
        <f>VLOOKUP(D558,Sheet15!D:K,8,FALSE)</f>
        <v>2025-469376</v>
      </c>
      <c r="J558" s="74">
        <f t="shared" si="2"/>
        <v>28</v>
      </c>
      <c r="K558" s="77"/>
      <c r="L558" s="73"/>
      <c r="M558" s="73"/>
      <c r="N558" s="73"/>
      <c r="O558" s="73"/>
      <c r="P558" s="73"/>
      <c r="Q558" s="73"/>
      <c r="R558" s="73"/>
      <c r="S558" s="73"/>
      <c r="T558" s="73"/>
      <c r="U558" s="73"/>
      <c r="V558" s="73"/>
      <c r="W558" s="73"/>
      <c r="X558" s="73"/>
    </row>
    <row r="559">
      <c r="A559" s="74">
        <v>642.0</v>
      </c>
      <c r="B559" s="74" t="s">
        <v>1048</v>
      </c>
      <c r="C559" s="86"/>
      <c r="D559" s="75" t="s">
        <v>1915</v>
      </c>
      <c r="E559" s="76">
        <v>45867.0</v>
      </c>
      <c r="F559" s="74" t="str">
        <f>VLOOKUP(D559,Sheet15!D:H,5,FALSE)</f>
        <v>مكتمل</v>
      </c>
      <c r="G559" s="76">
        <v>45894.0</v>
      </c>
      <c r="H559" s="74" t="s">
        <v>29</v>
      </c>
      <c r="I559" s="74" t="str">
        <f>VLOOKUP(D559,Sheet15!D:K,8,FALSE)</f>
        <v>2025-473188</v>
      </c>
      <c r="J559" s="74">
        <f t="shared" si="2"/>
        <v>27</v>
      </c>
      <c r="K559" s="77"/>
      <c r="L559" s="73"/>
      <c r="M559" s="73"/>
      <c r="N559" s="73"/>
      <c r="O559" s="73"/>
      <c r="P559" s="73"/>
      <c r="Q559" s="73"/>
      <c r="R559" s="73"/>
      <c r="S559" s="73"/>
      <c r="T559" s="73"/>
      <c r="U559" s="73"/>
      <c r="V559" s="73"/>
      <c r="W559" s="73"/>
      <c r="X559" s="73"/>
    </row>
    <row r="560">
      <c r="A560" s="74">
        <v>643.0</v>
      </c>
      <c r="B560" s="74" t="s">
        <v>1048</v>
      </c>
      <c r="C560" s="86"/>
      <c r="D560" s="75" t="s">
        <v>1916</v>
      </c>
      <c r="E560" s="76">
        <v>45867.0</v>
      </c>
      <c r="F560" s="74" t="str">
        <f>VLOOKUP(D560,Sheet15!D:H,5,FALSE)</f>
        <v>مكتمل</v>
      </c>
      <c r="G560" s="76">
        <v>45894.0</v>
      </c>
      <c r="H560" s="74" t="s">
        <v>29</v>
      </c>
      <c r="I560" s="74" t="str">
        <f>VLOOKUP(D560,Sheet15!D:K,8,FALSE)</f>
        <v>2025-473558</v>
      </c>
      <c r="J560" s="74">
        <f t="shared" si="2"/>
        <v>27</v>
      </c>
      <c r="K560" s="77"/>
      <c r="L560" s="73"/>
      <c r="M560" s="73"/>
      <c r="N560" s="73"/>
      <c r="O560" s="73"/>
      <c r="P560" s="73"/>
      <c r="Q560" s="73"/>
      <c r="R560" s="73"/>
      <c r="S560" s="73"/>
      <c r="T560" s="73"/>
      <c r="U560" s="73"/>
      <c r="V560" s="73"/>
      <c r="W560" s="73"/>
      <c r="X560" s="73"/>
    </row>
    <row r="561">
      <c r="A561" s="74">
        <v>644.0</v>
      </c>
      <c r="B561" s="74" t="s">
        <v>1048</v>
      </c>
      <c r="C561" s="86"/>
      <c r="D561" s="75" t="s">
        <v>1917</v>
      </c>
      <c r="E561" s="76">
        <v>45867.0</v>
      </c>
      <c r="F561" s="74" t="str">
        <f>VLOOKUP(D561,Sheet15!D:H,5,FALSE)</f>
        <v>مكتمل</v>
      </c>
      <c r="G561" s="76">
        <v>45894.0</v>
      </c>
      <c r="H561" s="74" t="s">
        <v>29</v>
      </c>
      <c r="I561" s="74" t="str">
        <f>VLOOKUP(D561,Sheet15!D:K,8,FALSE)</f>
        <v>2025-473871</v>
      </c>
      <c r="J561" s="74">
        <f t="shared" si="2"/>
        <v>27</v>
      </c>
      <c r="K561" s="77"/>
      <c r="L561" s="73"/>
      <c r="M561" s="73"/>
      <c r="N561" s="73"/>
      <c r="O561" s="73"/>
      <c r="P561" s="73"/>
      <c r="Q561" s="73"/>
      <c r="R561" s="73"/>
      <c r="S561" s="73"/>
      <c r="T561" s="73"/>
      <c r="U561" s="73"/>
      <c r="V561" s="73"/>
      <c r="W561" s="73"/>
      <c r="X561" s="73"/>
    </row>
    <row r="562">
      <c r="A562" s="74">
        <v>645.0</v>
      </c>
      <c r="B562" s="74" t="s">
        <v>1048</v>
      </c>
      <c r="C562" s="86"/>
      <c r="D562" s="75" t="s">
        <v>1918</v>
      </c>
      <c r="E562" s="76">
        <v>45867.0</v>
      </c>
      <c r="F562" s="74" t="str">
        <f>VLOOKUP(D562,Sheet15!D:H,5,FALSE)</f>
        <v>مكتمل</v>
      </c>
      <c r="G562" s="76">
        <v>45894.0</v>
      </c>
      <c r="H562" s="74" t="s">
        <v>29</v>
      </c>
      <c r="I562" s="74" t="str">
        <f>VLOOKUP(D562,Sheet15!D:K,8,FALSE)</f>
        <v>2025-473939</v>
      </c>
      <c r="J562" s="74">
        <f t="shared" si="2"/>
        <v>27</v>
      </c>
      <c r="K562" s="77"/>
      <c r="L562" s="73"/>
      <c r="M562" s="73"/>
      <c r="N562" s="73"/>
      <c r="O562" s="73"/>
      <c r="P562" s="73"/>
      <c r="Q562" s="73"/>
      <c r="R562" s="73"/>
      <c r="S562" s="73"/>
      <c r="T562" s="73"/>
      <c r="U562" s="73"/>
      <c r="V562" s="73"/>
      <c r="W562" s="73"/>
      <c r="X562" s="73"/>
    </row>
    <row r="563">
      <c r="A563" s="74">
        <v>646.0</v>
      </c>
      <c r="B563" s="74" t="s">
        <v>1048</v>
      </c>
      <c r="C563" s="86"/>
      <c r="D563" s="75" t="s">
        <v>1919</v>
      </c>
      <c r="E563" s="76">
        <v>45867.0</v>
      </c>
      <c r="F563" s="74" t="str">
        <f>VLOOKUP(D563,Sheet15!D:H,5,FALSE)</f>
        <v>مكتمل</v>
      </c>
      <c r="G563" s="76">
        <v>45894.0</v>
      </c>
      <c r="H563" s="74" t="s">
        <v>29</v>
      </c>
      <c r="I563" s="74" t="str">
        <f>VLOOKUP(D563,Sheet15!D:K,8,FALSE)</f>
        <v>2025-473999</v>
      </c>
      <c r="J563" s="74">
        <f t="shared" si="2"/>
        <v>27</v>
      </c>
      <c r="K563" s="77"/>
      <c r="L563" s="73"/>
      <c r="M563" s="73"/>
      <c r="N563" s="73"/>
      <c r="O563" s="73"/>
      <c r="P563" s="73"/>
      <c r="Q563" s="73"/>
      <c r="R563" s="73"/>
      <c r="S563" s="73"/>
      <c r="T563" s="73"/>
      <c r="U563" s="73"/>
      <c r="V563" s="73"/>
      <c r="W563" s="73"/>
      <c r="X563" s="73"/>
    </row>
    <row r="564">
      <c r="A564" s="74">
        <v>647.0</v>
      </c>
      <c r="B564" s="74" t="s">
        <v>1048</v>
      </c>
      <c r="C564" s="86"/>
      <c r="D564" s="75" t="s">
        <v>1920</v>
      </c>
      <c r="E564" s="76">
        <v>45868.0</v>
      </c>
      <c r="F564" s="74" t="str">
        <f>VLOOKUP(D564,Sheet15!D:H,5,FALSE)</f>
        <v>مكتمل</v>
      </c>
      <c r="G564" s="76">
        <v>45894.0</v>
      </c>
      <c r="H564" s="74" t="s">
        <v>29</v>
      </c>
      <c r="I564" s="74" t="str">
        <f>VLOOKUP(D564,Sheet15!D:K,8,FALSE)</f>
        <v>2025-476574</v>
      </c>
      <c r="J564" s="74">
        <f t="shared" si="2"/>
        <v>26</v>
      </c>
      <c r="K564" s="77"/>
      <c r="L564" s="73"/>
      <c r="M564" s="73"/>
      <c r="N564" s="73"/>
      <c r="O564" s="73"/>
      <c r="P564" s="73"/>
      <c r="Q564" s="73"/>
      <c r="R564" s="73"/>
      <c r="S564" s="73"/>
      <c r="T564" s="73"/>
      <c r="U564" s="73"/>
      <c r="V564" s="73"/>
      <c r="W564" s="73"/>
      <c r="X564" s="73"/>
    </row>
    <row r="565">
      <c r="A565" s="74">
        <v>648.0</v>
      </c>
      <c r="B565" s="74" t="s">
        <v>1048</v>
      </c>
      <c r="C565" s="86"/>
      <c r="D565" s="75" t="s">
        <v>1921</v>
      </c>
      <c r="E565" s="76">
        <v>45868.0</v>
      </c>
      <c r="F565" s="74" t="str">
        <f>VLOOKUP(D565,Sheet15!D:H,5,FALSE)</f>
        <v>مكتمل</v>
      </c>
      <c r="G565" s="76">
        <v>45894.0</v>
      </c>
      <c r="H565" s="74" t="s">
        <v>29</v>
      </c>
      <c r="I565" s="74" t="str">
        <f>VLOOKUP(D565,Sheet15!D:K,8,FALSE)</f>
        <v>2025-477755</v>
      </c>
      <c r="J565" s="74">
        <f t="shared" si="2"/>
        <v>26</v>
      </c>
      <c r="K565" s="77"/>
      <c r="L565" s="73"/>
      <c r="M565" s="73"/>
      <c r="N565" s="73"/>
      <c r="O565" s="73"/>
      <c r="P565" s="73"/>
      <c r="Q565" s="73"/>
      <c r="R565" s="73"/>
      <c r="S565" s="73"/>
      <c r="T565" s="73"/>
      <c r="U565" s="73"/>
      <c r="V565" s="73"/>
      <c r="W565" s="73"/>
      <c r="X565" s="73"/>
    </row>
    <row r="566">
      <c r="A566" s="74">
        <v>649.0</v>
      </c>
      <c r="B566" s="74" t="s">
        <v>1048</v>
      </c>
      <c r="C566" s="86"/>
      <c r="D566" s="75" t="s">
        <v>1922</v>
      </c>
      <c r="E566" s="76">
        <v>45868.0</v>
      </c>
      <c r="F566" s="74" t="str">
        <f>VLOOKUP(D566,Sheet15!D:H,5,FALSE)</f>
        <v>مكتمل</v>
      </c>
      <c r="G566" s="76">
        <v>45894.0</v>
      </c>
      <c r="H566" s="74" t="s">
        <v>29</v>
      </c>
      <c r="I566" s="74" t="str">
        <f>VLOOKUP(D566,Sheet15!D:K,8,FALSE)</f>
        <v>2025-477861</v>
      </c>
      <c r="J566" s="74">
        <f t="shared" si="2"/>
        <v>26</v>
      </c>
      <c r="K566" s="77"/>
      <c r="L566" s="73"/>
      <c r="M566" s="73"/>
      <c r="N566" s="73"/>
      <c r="O566" s="73"/>
      <c r="P566" s="73"/>
      <c r="Q566" s="73"/>
      <c r="R566" s="73"/>
      <c r="S566" s="73"/>
      <c r="T566" s="73"/>
      <c r="U566" s="73"/>
      <c r="V566" s="73"/>
      <c r="W566" s="73"/>
      <c r="X566" s="73"/>
    </row>
    <row r="567">
      <c r="A567" s="74">
        <v>650.0</v>
      </c>
      <c r="B567" s="74" t="s">
        <v>1048</v>
      </c>
      <c r="C567" s="86"/>
      <c r="D567" s="75" t="s">
        <v>1923</v>
      </c>
      <c r="E567" s="76">
        <v>45868.0</v>
      </c>
      <c r="F567" s="74" t="str">
        <f>VLOOKUP(D567,Sheet15!D:H,5,FALSE)</f>
        <v>مكتمل</v>
      </c>
      <c r="G567" s="76">
        <v>45894.0</v>
      </c>
      <c r="H567" s="74" t="s">
        <v>29</v>
      </c>
      <c r="I567" s="74" t="str">
        <f>VLOOKUP(D567,Sheet15!D:K,8,FALSE)</f>
        <v>2025-477950</v>
      </c>
      <c r="J567" s="74">
        <f t="shared" si="2"/>
        <v>26</v>
      </c>
      <c r="K567" s="77"/>
      <c r="L567" s="73"/>
      <c r="M567" s="73"/>
      <c r="N567" s="73"/>
      <c r="O567" s="73"/>
      <c r="P567" s="73"/>
      <c r="Q567" s="73"/>
      <c r="R567" s="73"/>
      <c r="S567" s="73"/>
      <c r="T567" s="73"/>
      <c r="U567" s="73"/>
      <c r="V567" s="73"/>
      <c r="W567" s="73"/>
      <c r="X567" s="73"/>
    </row>
    <row r="568">
      <c r="A568" s="74">
        <v>651.0</v>
      </c>
      <c r="B568" s="74" t="s">
        <v>1048</v>
      </c>
      <c r="C568" s="86"/>
      <c r="D568" s="75" t="s">
        <v>1924</v>
      </c>
      <c r="E568" s="76">
        <v>45869.0</v>
      </c>
      <c r="F568" s="74" t="str">
        <f>VLOOKUP(D568,Sheet15!D:H,5,FALSE)</f>
        <v>مرفوض</v>
      </c>
      <c r="G568" s="76">
        <v>45894.0</v>
      </c>
      <c r="H568" s="74" t="s">
        <v>1401</v>
      </c>
      <c r="I568" s="74" t="str">
        <f>VLOOKUP(D568,Sheet15!D:K,8,FALSE)</f>
        <v>2025-480190</v>
      </c>
      <c r="J568" s="74">
        <f t="shared" si="2"/>
        <v>25</v>
      </c>
      <c r="K568" s="77"/>
      <c r="L568" s="73"/>
      <c r="M568" s="73"/>
      <c r="N568" s="73"/>
      <c r="O568" s="73"/>
      <c r="P568" s="73"/>
      <c r="Q568" s="73"/>
      <c r="R568" s="73"/>
      <c r="S568" s="73"/>
      <c r="T568" s="73"/>
      <c r="U568" s="73"/>
      <c r="V568" s="73"/>
      <c r="W568" s="73"/>
      <c r="X568" s="73"/>
    </row>
    <row r="569">
      <c r="A569" s="74">
        <v>652.0</v>
      </c>
      <c r="B569" s="74" t="s">
        <v>1048</v>
      </c>
      <c r="C569" s="86"/>
      <c r="D569" s="75" t="s">
        <v>1925</v>
      </c>
      <c r="E569" s="76">
        <v>45869.0</v>
      </c>
      <c r="F569" s="74" t="str">
        <f>VLOOKUP(D569,Sheet15!D:H,5,FALSE)</f>
        <v>مكتمل</v>
      </c>
      <c r="G569" s="76">
        <v>45894.0</v>
      </c>
      <c r="H569" s="74" t="s">
        <v>29</v>
      </c>
      <c r="I569" s="74" t="str">
        <f>VLOOKUP(D569,Sheet15!D:K,8,FALSE)</f>
        <v>2025-480342</v>
      </c>
      <c r="J569" s="74">
        <f t="shared" si="2"/>
        <v>25</v>
      </c>
      <c r="K569" s="77"/>
      <c r="L569" s="73"/>
      <c r="M569" s="73"/>
      <c r="N569" s="73"/>
      <c r="O569" s="73"/>
      <c r="P569" s="73"/>
      <c r="Q569" s="73"/>
      <c r="R569" s="73"/>
      <c r="S569" s="73"/>
      <c r="T569" s="73"/>
      <c r="U569" s="73"/>
      <c r="V569" s="73"/>
      <c r="W569" s="73"/>
      <c r="X569" s="73"/>
    </row>
    <row r="570">
      <c r="A570" s="74">
        <v>653.0</v>
      </c>
      <c r="B570" s="74" t="s">
        <v>1048</v>
      </c>
      <c r="C570" s="86"/>
      <c r="D570" s="75" t="s">
        <v>1926</v>
      </c>
      <c r="E570" s="76">
        <v>45869.0</v>
      </c>
      <c r="F570" s="74" t="str">
        <f>VLOOKUP(D570,Sheet15!D:H,5,FALSE)</f>
        <v>مكتمل</v>
      </c>
      <c r="G570" s="76">
        <v>45894.0</v>
      </c>
      <c r="H570" s="74" t="s">
        <v>29</v>
      </c>
      <c r="I570" s="74" t="str">
        <f>VLOOKUP(D570,Sheet15!D:K,8,FALSE)</f>
        <v>2025-480342</v>
      </c>
      <c r="J570" s="74">
        <f t="shared" si="2"/>
        <v>25</v>
      </c>
      <c r="K570" s="77"/>
      <c r="L570" s="73"/>
      <c r="M570" s="73"/>
      <c r="N570" s="73"/>
      <c r="O570" s="73"/>
      <c r="P570" s="73"/>
      <c r="Q570" s="73"/>
      <c r="R570" s="73"/>
      <c r="S570" s="73"/>
      <c r="T570" s="73"/>
      <c r="U570" s="73"/>
      <c r="V570" s="73"/>
      <c r="W570" s="73"/>
      <c r="X570" s="73"/>
    </row>
    <row r="571">
      <c r="A571" s="74">
        <v>654.0</v>
      </c>
      <c r="B571" s="74" t="s">
        <v>1048</v>
      </c>
      <c r="C571" s="86"/>
      <c r="D571" s="75" t="s">
        <v>1927</v>
      </c>
      <c r="E571" s="76">
        <v>45869.0</v>
      </c>
      <c r="F571" s="74" t="str">
        <f>VLOOKUP(D571,Sheet15!D:H,5,FALSE)</f>
        <v>مكتمل</v>
      </c>
      <c r="G571" s="76">
        <v>45894.0</v>
      </c>
      <c r="H571" s="74" t="s">
        <v>29</v>
      </c>
      <c r="I571" s="74" t="str">
        <f>VLOOKUP(D571,Sheet15!D:K,8,FALSE)</f>
        <v>2025-480563</v>
      </c>
      <c r="J571" s="74">
        <f t="shared" si="2"/>
        <v>25</v>
      </c>
      <c r="K571" s="77"/>
      <c r="L571" s="73"/>
      <c r="M571" s="73"/>
      <c r="N571" s="73"/>
      <c r="O571" s="73"/>
      <c r="P571" s="73"/>
      <c r="Q571" s="73"/>
      <c r="R571" s="73"/>
      <c r="S571" s="73"/>
      <c r="T571" s="73"/>
      <c r="U571" s="73"/>
      <c r="V571" s="73"/>
      <c r="W571" s="73"/>
      <c r="X571" s="73"/>
    </row>
    <row r="572">
      <c r="A572" s="74">
        <v>655.0</v>
      </c>
      <c r="B572" s="74" t="s">
        <v>1048</v>
      </c>
      <c r="C572" s="86"/>
      <c r="D572" s="75" t="s">
        <v>1928</v>
      </c>
      <c r="E572" s="76">
        <v>45869.0</v>
      </c>
      <c r="F572" s="74" t="str">
        <f>VLOOKUP(D572,Sheet15!D:H,5,FALSE)</f>
        <v>مكتمل</v>
      </c>
      <c r="G572" s="76">
        <v>45894.0</v>
      </c>
      <c r="H572" s="74" t="s">
        <v>29</v>
      </c>
      <c r="I572" s="74" t="str">
        <f>VLOOKUP(D572,Sheet15!D:K,8,FALSE)</f>
        <v>2025-480623</v>
      </c>
      <c r="J572" s="74">
        <f t="shared" si="2"/>
        <v>25</v>
      </c>
      <c r="K572" s="77"/>
      <c r="L572" s="73"/>
      <c r="M572" s="73"/>
      <c r="N572" s="73"/>
      <c r="O572" s="73"/>
      <c r="P572" s="73"/>
      <c r="Q572" s="73"/>
      <c r="R572" s="73"/>
      <c r="S572" s="73"/>
      <c r="T572" s="73"/>
      <c r="U572" s="73"/>
      <c r="V572" s="73"/>
      <c r="W572" s="73"/>
      <c r="X572" s="73"/>
    </row>
    <row r="573">
      <c r="A573" s="74">
        <v>656.0</v>
      </c>
      <c r="B573" s="74" t="s">
        <v>1048</v>
      </c>
      <c r="C573" s="86"/>
      <c r="D573" s="75" t="s">
        <v>1929</v>
      </c>
      <c r="E573" s="76">
        <v>45869.0</v>
      </c>
      <c r="F573" s="74" t="str">
        <f>VLOOKUP(D573,Sheet15!D:H,5,FALSE)</f>
        <v>مكتمل</v>
      </c>
      <c r="G573" s="76">
        <v>45894.0</v>
      </c>
      <c r="H573" s="74" t="s">
        <v>29</v>
      </c>
      <c r="I573" s="74" t="str">
        <f>VLOOKUP(D573,Sheet15!D:K,8,FALSE)</f>
        <v>2025-480908</v>
      </c>
      <c r="J573" s="74">
        <f t="shared" si="2"/>
        <v>25</v>
      </c>
      <c r="K573" s="77"/>
      <c r="L573" s="73"/>
      <c r="M573" s="73"/>
      <c r="N573" s="73"/>
      <c r="O573" s="73"/>
      <c r="P573" s="73"/>
      <c r="Q573" s="73"/>
      <c r="R573" s="73"/>
      <c r="S573" s="73"/>
      <c r="T573" s="73"/>
      <c r="U573" s="73"/>
      <c r="V573" s="73"/>
      <c r="W573" s="73"/>
      <c r="X573" s="73"/>
    </row>
    <row r="574">
      <c r="A574" s="74">
        <v>657.0</v>
      </c>
      <c r="B574" s="74" t="s">
        <v>1048</v>
      </c>
      <c r="C574" s="86"/>
      <c r="D574" s="75" t="s">
        <v>1930</v>
      </c>
      <c r="E574" s="76">
        <v>45869.0</v>
      </c>
      <c r="F574" s="74" t="str">
        <f>VLOOKUP(D574,Sheet15!D:H,5,FALSE)</f>
        <v>مكتمل</v>
      </c>
      <c r="G574" s="76">
        <v>45894.0</v>
      </c>
      <c r="H574" s="74" t="s">
        <v>29</v>
      </c>
      <c r="I574" s="74" t="str">
        <f>VLOOKUP(D574,Sheet15!D:K,8,FALSE)</f>
        <v>2025-481115</v>
      </c>
      <c r="J574" s="74">
        <f t="shared" si="2"/>
        <v>25</v>
      </c>
      <c r="K574" s="77"/>
      <c r="L574" s="73"/>
      <c r="M574" s="73"/>
      <c r="N574" s="73"/>
      <c r="O574" s="73"/>
      <c r="P574" s="73"/>
      <c r="Q574" s="73"/>
      <c r="R574" s="73"/>
      <c r="S574" s="73"/>
      <c r="T574" s="73"/>
      <c r="U574" s="73"/>
      <c r="V574" s="73"/>
      <c r="W574" s="73"/>
      <c r="X574" s="73"/>
    </row>
    <row r="575">
      <c r="A575" s="74">
        <v>658.0</v>
      </c>
      <c r="B575" s="74" t="s">
        <v>1048</v>
      </c>
      <c r="C575" s="86"/>
      <c r="D575" s="75" t="s">
        <v>1931</v>
      </c>
      <c r="E575" s="76">
        <v>45869.0</v>
      </c>
      <c r="F575" s="74" t="str">
        <f>VLOOKUP(D575,Sheet15!D:H,5,FALSE)</f>
        <v>مكتمل</v>
      </c>
      <c r="G575" s="76">
        <v>45894.0</v>
      </c>
      <c r="H575" s="74" t="s">
        <v>29</v>
      </c>
      <c r="I575" s="74" t="str">
        <f>VLOOKUP(D575,Sheet15!D:K,8,FALSE)</f>
        <v>2025-481235</v>
      </c>
      <c r="J575" s="74">
        <f t="shared" si="2"/>
        <v>25</v>
      </c>
      <c r="K575" s="77"/>
      <c r="L575" s="73"/>
      <c r="M575" s="73"/>
      <c r="N575" s="73"/>
      <c r="O575" s="73"/>
      <c r="P575" s="73"/>
      <c r="Q575" s="73"/>
      <c r="R575" s="73"/>
      <c r="S575" s="73"/>
      <c r="T575" s="73"/>
      <c r="U575" s="73"/>
      <c r="V575" s="73"/>
      <c r="W575" s="73"/>
      <c r="X575" s="73"/>
    </row>
    <row r="576">
      <c r="A576" s="74">
        <v>659.0</v>
      </c>
      <c r="B576" s="74" t="s">
        <v>1048</v>
      </c>
      <c r="C576" s="86"/>
      <c r="D576" s="75" t="s">
        <v>1932</v>
      </c>
      <c r="E576" s="76">
        <v>45869.0</v>
      </c>
      <c r="F576" s="74" t="str">
        <f>VLOOKUP(D576,Sheet15!D:H,5,FALSE)</f>
        <v>مكتمل</v>
      </c>
      <c r="G576" s="76">
        <v>45894.0</v>
      </c>
      <c r="H576" s="74" t="s">
        <v>29</v>
      </c>
      <c r="I576" s="74" t="str">
        <f>VLOOKUP(D576,Sheet15!D:K,8,FALSE)</f>
        <v>2025-481235</v>
      </c>
      <c r="J576" s="74">
        <f t="shared" si="2"/>
        <v>25</v>
      </c>
      <c r="K576" s="77"/>
      <c r="L576" s="73"/>
      <c r="M576" s="73"/>
      <c r="N576" s="73"/>
      <c r="O576" s="73"/>
      <c r="P576" s="73"/>
      <c r="Q576" s="73"/>
      <c r="R576" s="73"/>
      <c r="S576" s="73"/>
      <c r="T576" s="73"/>
      <c r="U576" s="73"/>
      <c r="V576" s="73"/>
      <c r="W576" s="73"/>
      <c r="X576" s="73"/>
    </row>
    <row r="577">
      <c r="A577" s="74">
        <v>660.0</v>
      </c>
      <c r="B577" s="74" t="s">
        <v>1048</v>
      </c>
      <c r="C577" s="86"/>
      <c r="D577" s="75" t="s">
        <v>1933</v>
      </c>
      <c r="E577" s="76">
        <v>45869.0</v>
      </c>
      <c r="F577" s="74" t="str">
        <f>VLOOKUP(D577,Sheet15!D:H,5,FALSE)</f>
        <v>مكتمل</v>
      </c>
      <c r="G577" s="76">
        <v>45894.0</v>
      </c>
      <c r="H577" s="74" t="s">
        <v>29</v>
      </c>
      <c r="I577" s="74" t="str">
        <f>VLOOKUP(D577,Sheet15!D:K,8,FALSE)</f>
        <v>2025-481314</v>
      </c>
      <c r="J577" s="74">
        <f t="shared" si="2"/>
        <v>25</v>
      </c>
      <c r="K577" s="77"/>
      <c r="L577" s="73"/>
      <c r="M577" s="73"/>
      <c r="N577" s="73"/>
      <c r="O577" s="73"/>
      <c r="P577" s="73"/>
      <c r="Q577" s="73"/>
      <c r="R577" s="73"/>
      <c r="S577" s="73"/>
      <c r="T577" s="73"/>
      <c r="U577" s="73"/>
      <c r="V577" s="73"/>
      <c r="W577" s="73"/>
      <c r="X577" s="73"/>
    </row>
    <row r="578">
      <c r="A578" s="74">
        <v>661.0</v>
      </c>
      <c r="B578" s="74" t="s">
        <v>1048</v>
      </c>
      <c r="C578" s="86"/>
      <c r="D578" s="75" t="s">
        <v>1934</v>
      </c>
      <c r="E578" s="76">
        <v>45872.0</v>
      </c>
      <c r="F578" s="74" t="str">
        <f>VLOOKUP(D578,Sheet15!D:H,5,FALSE)</f>
        <v>مكتمل</v>
      </c>
      <c r="G578" s="74"/>
      <c r="H578" s="74" t="s">
        <v>29</v>
      </c>
      <c r="I578" s="74" t="str">
        <f>VLOOKUP(D578,Sheet15!D:K,8,FALSE)</f>
        <v>2025-485714</v>
      </c>
      <c r="J578" s="87">
        <v>45894.0</v>
      </c>
      <c r="K578" s="77"/>
      <c r="L578" s="73"/>
      <c r="M578" s="73"/>
      <c r="N578" s="73"/>
      <c r="O578" s="73"/>
      <c r="P578" s="73"/>
      <c r="Q578" s="73"/>
      <c r="R578" s="73"/>
      <c r="S578" s="73"/>
      <c r="T578" s="73"/>
      <c r="U578" s="73"/>
      <c r="V578" s="73"/>
      <c r="W578" s="73"/>
      <c r="X578" s="73"/>
    </row>
    <row r="579">
      <c r="A579" s="74">
        <v>662.0</v>
      </c>
      <c r="B579" s="74" t="s">
        <v>1935</v>
      </c>
      <c r="C579" s="86"/>
      <c r="D579" s="75" t="s">
        <v>1936</v>
      </c>
      <c r="E579" s="76">
        <v>45873.0</v>
      </c>
      <c r="F579" s="74" t="str">
        <f>VLOOKUP(D579,Sheet15!D:H,5,FALSE)</f>
        <v>#N/A</v>
      </c>
      <c r="G579" s="76">
        <v>45897.0</v>
      </c>
      <c r="H579" s="74" t="s">
        <v>29</v>
      </c>
      <c r="I579" s="74" t="str">
        <f>VLOOKUP(D579,Sheet15!D:K,8,FALSE)</f>
        <v>#N/A</v>
      </c>
      <c r="J579" s="74">
        <f t="shared" ref="J579:J582" si="3">G579-E579</f>
        <v>24</v>
      </c>
      <c r="K579" s="77"/>
      <c r="L579" s="73"/>
      <c r="M579" s="73"/>
      <c r="N579" s="73"/>
      <c r="O579" s="73"/>
      <c r="P579" s="73"/>
      <c r="Q579" s="73"/>
      <c r="R579" s="73"/>
      <c r="S579" s="73"/>
      <c r="T579" s="73"/>
      <c r="U579" s="73"/>
      <c r="V579" s="73"/>
      <c r="W579" s="73"/>
      <c r="X579" s="73"/>
    </row>
    <row r="580">
      <c r="A580" s="74">
        <v>663.0</v>
      </c>
      <c r="B580" s="74" t="s">
        <v>1935</v>
      </c>
      <c r="C580" s="86"/>
      <c r="D580" s="75" t="s">
        <v>1937</v>
      </c>
      <c r="E580" s="76">
        <v>45873.0</v>
      </c>
      <c r="F580" s="74" t="str">
        <f>VLOOKUP(D580,Sheet15!D:H,5,FALSE)</f>
        <v>#N/A</v>
      </c>
      <c r="G580" s="76">
        <v>45897.0</v>
      </c>
      <c r="H580" s="74" t="s">
        <v>29</v>
      </c>
      <c r="I580" s="74" t="str">
        <f>VLOOKUP(D580,Sheet15!D:K,8,FALSE)</f>
        <v>#N/A</v>
      </c>
      <c r="J580" s="74">
        <f t="shared" si="3"/>
        <v>24</v>
      </c>
      <c r="K580" s="77"/>
      <c r="L580" s="73"/>
      <c r="M580" s="73"/>
      <c r="N580" s="73"/>
      <c r="O580" s="73"/>
      <c r="P580" s="73"/>
      <c r="Q580" s="73"/>
      <c r="R580" s="73"/>
      <c r="S580" s="73"/>
      <c r="T580" s="73"/>
      <c r="U580" s="73"/>
      <c r="V580" s="73"/>
      <c r="W580" s="73"/>
      <c r="X580" s="73"/>
    </row>
    <row r="581">
      <c r="A581" s="74">
        <v>664.0</v>
      </c>
      <c r="B581" s="74" t="s">
        <v>1935</v>
      </c>
      <c r="C581" s="86"/>
      <c r="D581" s="75" t="s">
        <v>1938</v>
      </c>
      <c r="E581" s="76">
        <v>45873.0</v>
      </c>
      <c r="F581" s="74" t="str">
        <f>VLOOKUP(D581,Sheet15!D:H,5,FALSE)</f>
        <v>#N/A</v>
      </c>
      <c r="G581" s="76">
        <v>45897.0</v>
      </c>
      <c r="H581" s="74" t="s">
        <v>29</v>
      </c>
      <c r="I581" s="74" t="str">
        <f>VLOOKUP(D581,Sheet15!D:K,8,FALSE)</f>
        <v>#N/A</v>
      </c>
      <c r="J581" s="74">
        <f t="shared" si="3"/>
        <v>24</v>
      </c>
      <c r="K581" s="77"/>
      <c r="L581" s="73"/>
      <c r="M581" s="73"/>
      <c r="N581" s="73"/>
      <c r="O581" s="73"/>
      <c r="P581" s="73"/>
      <c r="Q581" s="73"/>
      <c r="R581" s="73"/>
      <c r="S581" s="73"/>
      <c r="T581" s="73"/>
      <c r="U581" s="73"/>
      <c r="V581" s="73"/>
      <c r="W581" s="73"/>
      <c r="X581" s="73"/>
    </row>
    <row r="582">
      <c r="A582" s="74">
        <v>665.0</v>
      </c>
      <c r="B582" s="74" t="s">
        <v>1935</v>
      </c>
      <c r="C582" s="86"/>
      <c r="D582" s="75" t="s">
        <v>1939</v>
      </c>
      <c r="E582" s="76">
        <v>45873.0</v>
      </c>
      <c r="F582" s="74" t="str">
        <f>VLOOKUP(D582,Sheet15!D:H,5,FALSE)</f>
        <v>#N/A</v>
      </c>
      <c r="G582" s="76">
        <v>45897.0</v>
      </c>
      <c r="H582" s="74" t="s">
        <v>29</v>
      </c>
      <c r="I582" s="74" t="str">
        <f>VLOOKUP(D582,Sheet15!D:K,8,FALSE)</f>
        <v>#N/A</v>
      </c>
      <c r="J582" s="74">
        <f t="shared" si="3"/>
        <v>24</v>
      </c>
      <c r="K582" s="77"/>
      <c r="L582" s="73"/>
      <c r="M582" s="73"/>
      <c r="N582" s="73"/>
      <c r="O582" s="73"/>
      <c r="P582" s="73"/>
      <c r="Q582" s="73"/>
      <c r="R582" s="73"/>
      <c r="S582" s="73"/>
      <c r="T582" s="73"/>
      <c r="U582" s="73"/>
      <c r="V582" s="73"/>
      <c r="W582" s="73"/>
      <c r="X582" s="73"/>
    </row>
    <row r="583">
      <c r="A583" s="74">
        <v>666.0</v>
      </c>
      <c r="B583" s="74" t="s">
        <v>1935</v>
      </c>
      <c r="C583" s="86"/>
      <c r="D583" s="75" t="s">
        <v>1940</v>
      </c>
      <c r="E583" s="76">
        <v>45873.0</v>
      </c>
      <c r="F583" s="74" t="str">
        <f>VLOOKUP(D583,Sheet15!D:H,5,FALSE)</f>
        <v>#N/A</v>
      </c>
      <c r="G583" s="74"/>
      <c r="H583" s="74"/>
      <c r="I583" s="74" t="str">
        <f>VLOOKUP(D583,Sheet15!D:K,8,FALSE)</f>
        <v>#N/A</v>
      </c>
      <c r="J583" s="74"/>
      <c r="K583" s="77"/>
      <c r="L583" s="73"/>
      <c r="M583" s="73"/>
      <c r="N583" s="73"/>
      <c r="O583" s="73"/>
      <c r="P583" s="73"/>
      <c r="Q583" s="73"/>
      <c r="R583" s="73"/>
      <c r="S583" s="73"/>
      <c r="T583" s="73"/>
      <c r="U583" s="73"/>
      <c r="V583" s="73"/>
      <c r="W583" s="73"/>
      <c r="X583" s="73"/>
    </row>
    <row r="584">
      <c r="A584" s="74">
        <v>667.0</v>
      </c>
      <c r="B584" s="74" t="s">
        <v>1935</v>
      </c>
      <c r="C584" s="86"/>
      <c r="D584" s="75" t="s">
        <v>1941</v>
      </c>
      <c r="E584" s="76">
        <v>45874.0</v>
      </c>
      <c r="F584" s="74" t="str">
        <f>VLOOKUP(D584,Sheet15!D:H,5,FALSE)</f>
        <v>#N/A</v>
      </c>
      <c r="G584" s="74"/>
      <c r="H584" s="74"/>
      <c r="I584" s="74" t="str">
        <f>VLOOKUP(D584,Sheet15!D:K,8,FALSE)</f>
        <v>#N/A</v>
      </c>
      <c r="J584" s="74"/>
      <c r="K584" s="77"/>
      <c r="L584" s="73"/>
      <c r="M584" s="73"/>
      <c r="N584" s="73"/>
      <c r="O584" s="73"/>
      <c r="P584" s="73"/>
      <c r="Q584" s="73"/>
      <c r="R584" s="73"/>
      <c r="S584" s="73"/>
      <c r="T584" s="73"/>
      <c r="U584" s="73"/>
      <c r="V584" s="73"/>
      <c r="W584" s="73"/>
      <c r="X584" s="73"/>
    </row>
    <row r="585">
      <c r="A585" s="74">
        <v>668.0</v>
      </c>
      <c r="B585" s="74" t="s">
        <v>1935</v>
      </c>
      <c r="C585" s="86"/>
      <c r="D585" s="75" t="s">
        <v>1942</v>
      </c>
      <c r="E585" s="76">
        <v>45874.0</v>
      </c>
      <c r="F585" s="74" t="str">
        <f>VLOOKUP(D585,Sheet15!D:H,5,FALSE)</f>
        <v>#N/A</v>
      </c>
      <c r="G585" s="74"/>
      <c r="H585" s="74"/>
      <c r="I585" s="74" t="str">
        <f>VLOOKUP(D585,Sheet15!D:K,8,FALSE)</f>
        <v>#N/A</v>
      </c>
      <c r="J585" s="74"/>
      <c r="K585" s="77"/>
      <c r="L585" s="73"/>
      <c r="M585" s="73"/>
      <c r="N585" s="73"/>
      <c r="O585" s="73"/>
      <c r="P585" s="73"/>
      <c r="Q585" s="73"/>
      <c r="R585" s="73"/>
      <c r="S585" s="73"/>
      <c r="T585" s="73"/>
      <c r="U585" s="73"/>
      <c r="V585" s="73"/>
      <c r="W585" s="73"/>
      <c r="X585" s="73"/>
    </row>
    <row r="586">
      <c r="A586" s="74">
        <v>669.0</v>
      </c>
      <c r="B586" s="74" t="s">
        <v>1943</v>
      </c>
      <c r="C586" s="86"/>
      <c r="D586" s="75" t="s">
        <v>1944</v>
      </c>
      <c r="E586" s="76">
        <v>45875.0</v>
      </c>
      <c r="F586" s="74" t="str">
        <f>VLOOKUP(D586,Sheet15!D:H,5,FALSE)</f>
        <v>عاد لمقدم الطلب</v>
      </c>
      <c r="G586" s="74"/>
      <c r="H586" s="74" t="s">
        <v>1401</v>
      </c>
      <c r="I586" s="74" t="str">
        <f>VLOOKUP(D586,Sheet15!D:K,8,FALSE)</f>
        <v>2025-496592</v>
      </c>
      <c r="J586" s="76">
        <f t="shared" ref="J586:J587" si="4">G586-E586</f>
        <v>-45875</v>
      </c>
      <c r="K586" s="88"/>
      <c r="L586" s="73"/>
      <c r="M586" s="73"/>
      <c r="N586" s="73"/>
      <c r="O586" s="73"/>
      <c r="P586" s="73"/>
      <c r="Q586" s="73"/>
      <c r="R586" s="73"/>
      <c r="S586" s="73"/>
      <c r="T586" s="73"/>
      <c r="U586" s="73"/>
      <c r="V586" s="73"/>
      <c r="W586" s="73"/>
      <c r="X586" s="73"/>
    </row>
    <row r="587">
      <c r="A587" s="74">
        <v>670.0</v>
      </c>
      <c r="B587" s="74" t="s">
        <v>1943</v>
      </c>
      <c r="C587" s="86"/>
      <c r="D587" s="75" t="s">
        <v>1945</v>
      </c>
      <c r="E587" s="76">
        <v>45875.0</v>
      </c>
      <c r="F587" s="74" t="str">
        <f>VLOOKUP(D587,Sheet15!D:H,5,FALSE)</f>
        <v>عاد لمقدم الطلب</v>
      </c>
      <c r="G587" s="74"/>
      <c r="H587" s="74" t="s">
        <v>1401</v>
      </c>
      <c r="I587" s="74" t="str">
        <f>VLOOKUP(D587,Sheet15!D:K,8,FALSE)</f>
        <v>2025-496742</v>
      </c>
      <c r="J587" s="76">
        <f t="shared" si="4"/>
        <v>-45875</v>
      </c>
      <c r="K587" s="88"/>
      <c r="L587" s="73"/>
      <c r="M587" s="73"/>
      <c r="N587" s="73"/>
      <c r="O587" s="73"/>
      <c r="P587" s="73"/>
      <c r="Q587" s="73"/>
      <c r="R587" s="73"/>
      <c r="S587" s="73"/>
      <c r="T587" s="73"/>
      <c r="U587" s="73"/>
      <c r="V587" s="73"/>
      <c r="W587" s="73"/>
      <c r="X587" s="73"/>
    </row>
    <row r="588">
      <c r="A588" s="74">
        <v>671.0</v>
      </c>
      <c r="B588" s="74" t="s">
        <v>1421</v>
      </c>
      <c r="C588" s="86"/>
      <c r="D588" s="75" t="s">
        <v>1946</v>
      </c>
      <c r="E588" s="76">
        <v>45876.0</v>
      </c>
      <c r="F588" s="78" t="s">
        <v>1427</v>
      </c>
      <c r="G588" s="74"/>
      <c r="H588" s="74" t="s">
        <v>1401</v>
      </c>
      <c r="I588" s="74" t="str">
        <f>VLOOKUP(D588,Sheet15!D:K,8,FALSE)</f>
        <v>2025-500988</v>
      </c>
      <c r="J588" s="74"/>
      <c r="K588" s="88"/>
      <c r="L588" s="73"/>
      <c r="M588" s="73"/>
      <c r="N588" s="73"/>
      <c r="O588" s="73"/>
      <c r="P588" s="73"/>
      <c r="Q588" s="73"/>
      <c r="R588" s="73"/>
      <c r="S588" s="73"/>
      <c r="T588" s="73"/>
      <c r="U588" s="73"/>
      <c r="V588" s="73"/>
      <c r="W588" s="73"/>
      <c r="X588" s="73"/>
    </row>
    <row r="589">
      <c r="A589" s="74">
        <v>672.0</v>
      </c>
      <c r="B589" s="74" t="s">
        <v>1421</v>
      </c>
      <c r="C589" s="89"/>
      <c r="D589" s="75" t="s">
        <v>1947</v>
      </c>
      <c r="E589" s="76">
        <v>45876.0</v>
      </c>
      <c r="F589" s="78" t="s">
        <v>1427</v>
      </c>
      <c r="G589" s="74"/>
      <c r="H589" s="74" t="s">
        <v>1401</v>
      </c>
      <c r="I589" s="74" t="str">
        <f>VLOOKUP(D589,Sheet15!D:K,8,FALSE)</f>
        <v>2025-501096</v>
      </c>
      <c r="J589" s="74"/>
      <c r="K589" s="88"/>
      <c r="L589" s="73"/>
      <c r="M589" s="73"/>
      <c r="N589" s="73"/>
      <c r="O589" s="73"/>
      <c r="P589" s="73"/>
      <c r="Q589" s="73"/>
      <c r="R589" s="73"/>
      <c r="S589" s="73"/>
      <c r="T589" s="73"/>
      <c r="U589" s="73"/>
      <c r="V589" s="73"/>
      <c r="W589" s="73"/>
      <c r="X589" s="73"/>
    </row>
    <row r="590">
      <c r="A590" s="74">
        <v>673.0</v>
      </c>
      <c r="B590" s="74" t="s">
        <v>1421</v>
      </c>
      <c r="C590" s="89"/>
      <c r="D590" s="75" t="s">
        <v>1948</v>
      </c>
      <c r="E590" s="76">
        <v>45876.0</v>
      </c>
      <c r="F590" s="78" t="s">
        <v>1427</v>
      </c>
      <c r="G590" s="74"/>
      <c r="H590" s="74" t="s">
        <v>1401</v>
      </c>
      <c r="I590" s="74" t="str">
        <f>VLOOKUP(D590,Sheet15!D:K,8,FALSE)</f>
        <v>2025-501354</v>
      </c>
      <c r="J590" s="74"/>
      <c r="K590" s="88"/>
      <c r="L590" s="73"/>
      <c r="M590" s="73"/>
      <c r="N590" s="73"/>
      <c r="O590" s="73"/>
      <c r="P590" s="73"/>
      <c r="Q590" s="73"/>
      <c r="R590" s="73"/>
      <c r="S590" s="73"/>
      <c r="T590" s="73"/>
      <c r="U590" s="73"/>
      <c r="V590" s="73"/>
      <c r="W590" s="73"/>
      <c r="X590" s="73"/>
    </row>
    <row r="591">
      <c r="A591" s="74">
        <v>674.0</v>
      </c>
      <c r="B591" s="74" t="s">
        <v>1421</v>
      </c>
      <c r="C591" s="89"/>
      <c r="D591" s="75" t="s">
        <v>1949</v>
      </c>
      <c r="E591" s="76">
        <v>45876.0</v>
      </c>
      <c r="F591" s="78" t="s">
        <v>1427</v>
      </c>
      <c r="G591" s="74"/>
      <c r="H591" s="74" t="s">
        <v>1401</v>
      </c>
      <c r="I591" s="74" t="str">
        <f>VLOOKUP(D591,Sheet15!D:K,8,FALSE)</f>
        <v>2025-501391</v>
      </c>
      <c r="J591" s="74"/>
      <c r="K591" s="88"/>
      <c r="L591" s="73"/>
      <c r="M591" s="73"/>
      <c r="N591" s="73"/>
      <c r="O591" s="73"/>
      <c r="P591" s="73"/>
      <c r="Q591" s="73"/>
      <c r="R591" s="73"/>
      <c r="S591" s="73"/>
      <c r="T591" s="73"/>
      <c r="U591" s="73"/>
      <c r="V591" s="73"/>
      <c r="W591" s="73"/>
      <c r="X591" s="73"/>
    </row>
    <row r="592">
      <c r="A592" s="74">
        <v>675.0</v>
      </c>
      <c r="B592" s="74" t="s">
        <v>1421</v>
      </c>
      <c r="C592" s="89"/>
      <c r="D592" s="75" t="s">
        <v>1950</v>
      </c>
      <c r="E592" s="76">
        <v>45876.0</v>
      </c>
      <c r="F592" s="74" t="str">
        <f>VLOOKUP(D592,Sheet15!D:H,5,FALSE)</f>
        <v>مرفوض</v>
      </c>
      <c r="G592" s="74"/>
      <c r="H592" s="74" t="s">
        <v>1401</v>
      </c>
      <c r="I592" s="74" t="str">
        <f>VLOOKUP(D592,Sheet15!D:K,8,FALSE)</f>
        <v>2025-501467</v>
      </c>
      <c r="J592" s="74"/>
      <c r="K592" s="88"/>
      <c r="L592" s="73"/>
      <c r="M592" s="73"/>
      <c r="N592" s="73"/>
      <c r="O592" s="73"/>
      <c r="P592" s="73"/>
      <c r="Q592" s="73"/>
      <c r="R592" s="73"/>
      <c r="S592" s="73"/>
      <c r="T592" s="73"/>
      <c r="U592" s="73"/>
      <c r="V592" s="73"/>
      <c r="W592" s="73"/>
      <c r="X592" s="73"/>
    </row>
    <row r="593">
      <c r="A593" s="74">
        <v>676.0</v>
      </c>
      <c r="B593" s="74" t="s">
        <v>1421</v>
      </c>
      <c r="C593" s="89"/>
      <c r="D593" s="75" t="s">
        <v>1652</v>
      </c>
      <c r="E593" s="76">
        <v>45876.0</v>
      </c>
      <c r="F593" s="74" t="str">
        <f>VLOOKUP(D593,Sheet15!D:H,5,FALSE)</f>
        <v>مرفوض</v>
      </c>
      <c r="G593" s="74"/>
      <c r="H593" s="74" t="s">
        <v>1401</v>
      </c>
      <c r="I593" s="74" t="str">
        <f>VLOOKUP(D593,Sheet15!D:K,8,FALSE)</f>
        <v>2025-501641</v>
      </c>
      <c r="J593" s="74"/>
      <c r="K593" s="88"/>
      <c r="L593" s="73"/>
      <c r="M593" s="73"/>
      <c r="N593" s="73"/>
      <c r="O593" s="73"/>
      <c r="P593" s="73"/>
      <c r="Q593" s="73"/>
      <c r="R593" s="73"/>
      <c r="S593" s="73"/>
      <c r="T593" s="73"/>
      <c r="U593" s="73"/>
      <c r="V593" s="73"/>
      <c r="W593" s="73"/>
      <c r="X593" s="73"/>
    </row>
    <row r="594">
      <c r="A594" s="74">
        <v>677.0</v>
      </c>
      <c r="B594" s="74" t="s">
        <v>1421</v>
      </c>
      <c r="C594" s="89"/>
      <c r="D594" s="75" t="s">
        <v>1951</v>
      </c>
      <c r="E594" s="76">
        <v>45876.0</v>
      </c>
      <c r="F594" s="74" t="str">
        <f>VLOOKUP(D594,Sheet15!D:H,5,FALSE)</f>
        <v>مرفوض</v>
      </c>
      <c r="G594" s="74"/>
      <c r="H594" s="74" t="s">
        <v>1401</v>
      </c>
      <c r="I594" s="74" t="str">
        <f>VLOOKUP(D594,Sheet15!D:K,8,FALSE)</f>
        <v>2025-501672</v>
      </c>
      <c r="J594" s="74"/>
      <c r="K594" s="88"/>
      <c r="L594" s="73"/>
      <c r="M594" s="73"/>
      <c r="N594" s="73"/>
      <c r="O594" s="73"/>
      <c r="P594" s="73"/>
      <c r="Q594" s="73"/>
      <c r="R594" s="73"/>
      <c r="S594" s="73"/>
      <c r="T594" s="73"/>
      <c r="U594" s="73"/>
      <c r="V594" s="73"/>
      <c r="W594" s="73"/>
      <c r="X594" s="73"/>
    </row>
    <row r="595">
      <c r="A595" s="74">
        <v>678.0</v>
      </c>
      <c r="B595" s="74" t="s">
        <v>1421</v>
      </c>
      <c r="C595" s="89"/>
      <c r="D595" s="75" t="s">
        <v>1952</v>
      </c>
      <c r="E595" s="76">
        <v>45876.0</v>
      </c>
      <c r="F595" s="74" t="str">
        <f>VLOOKUP(D595,Sheet15!D:H,5,FALSE)</f>
        <v>مرفوض</v>
      </c>
      <c r="G595" s="74"/>
      <c r="H595" s="74" t="s">
        <v>1401</v>
      </c>
      <c r="I595" s="74" t="str">
        <f>VLOOKUP(D595,Sheet15!D:K,8,FALSE)</f>
        <v>2025-501686</v>
      </c>
      <c r="J595" s="74"/>
      <c r="K595" s="88"/>
      <c r="L595" s="73"/>
      <c r="M595" s="73"/>
      <c r="N595" s="73"/>
      <c r="O595" s="73"/>
      <c r="P595" s="73"/>
      <c r="Q595" s="73"/>
      <c r="R595" s="73"/>
      <c r="S595" s="73"/>
      <c r="T595" s="73"/>
      <c r="U595" s="73"/>
      <c r="V595" s="73"/>
      <c r="W595" s="73"/>
      <c r="X595" s="73"/>
    </row>
    <row r="596">
      <c r="A596" s="74">
        <v>679.0</v>
      </c>
      <c r="B596" s="74" t="s">
        <v>1421</v>
      </c>
      <c r="C596" s="89"/>
      <c r="D596" s="75" t="s">
        <v>1953</v>
      </c>
      <c r="E596" s="76">
        <v>45880.0</v>
      </c>
      <c r="F596" s="74" t="str">
        <f>VLOOKUP(D596,Sheet15!D:H,5,FALSE)</f>
        <v>مرفوض</v>
      </c>
      <c r="G596" s="74"/>
      <c r="H596" s="74" t="s">
        <v>1401</v>
      </c>
      <c r="I596" s="74" t="str">
        <f>VLOOKUP(D596,Sheet15!D:K,8,FALSE)</f>
        <v>2025-510668</v>
      </c>
      <c r="J596" s="74"/>
      <c r="K596" s="88"/>
      <c r="L596" s="73"/>
      <c r="M596" s="73"/>
      <c r="N596" s="73"/>
      <c r="O596" s="73"/>
      <c r="P596" s="73"/>
      <c r="Q596" s="73"/>
      <c r="R596" s="73"/>
      <c r="S596" s="73"/>
      <c r="T596" s="73"/>
      <c r="U596" s="73"/>
      <c r="V596" s="73"/>
      <c r="W596" s="73"/>
      <c r="X596" s="73"/>
    </row>
    <row r="597">
      <c r="A597" s="74">
        <v>680.0</v>
      </c>
      <c r="B597" s="74" t="s">
        <v>169</v>
      </c>
      <c r="C597" s="74" t="s">
        <v>1954</v>
      </c>
      <c r="D597" s="75" t="s">
        <v>1955</v>
      </c>
      <c r="E597" s="76">
        <v>45880.0</v>
      </c>
      <c r="F597" s="74" t="str">
        <f>VLOOKUP(D597,Sheet15!D:H,5,FALSE)</f>
        <v>مكتمل</v>
      </c>
      <c r="G597" s="74"/>
      <c r="H597" s="74" t="s">
        <v>29</v>
      </c>
      <c r="I597" s="74" t="str">
        <f>VLOOKUP(D597,Sheet15!D:K,8,FALSE)</f>
        <v>2025-511073</v>
      </c>
      <c r="J597" s="76">
        <f t="shared" ref="J597:J620" si="5">G597-E597</f>
        <v>-45880</v>
      </c>
      <c r="K597" s="77"/>
      <c r="L597" s="73"/>
      <c r="M597" s="73"/>
      <c r="N597" s="73"/>
      <c r="O597" s="73"/>
      <c r="P597" s="73"/>
      <c r="Q597" s="73"/>
      <c r="R597" s="73"/>
      <c r="S597" s="73"/>
      <c r="T597" s="73"/>
      <c r="U597" s="73"/>
      <c r="V597" s="73"/>
      <c r="W597" s="73"/>
      <c r="X597" s="73"/>
    </row>
    <row r="598">
      <c r="A598" s="74">
        <v>681.0</v>
      </c>
      <c r="B598" s="74" t="s">
        <v>169</v>
      </c>
      <c r="C598" s="74" t="s">
        <v>1956</v>
      </c>
      <c r="D598" s="75" t="s">
        <v>1892</v>
      </c>
      <c r="E598" s="76">
        <v>45880.0</v>
      </c>
      <c r="F598" s="74" t="str">
        <f>VLOOKUP(D598,Sheet15!D:H,5,FALSE)</f>
        <v>مكتمل</v>
      </c>
      <c r="G598" s="74"/>
      <c r="H598" s="74" t="s">
        <v>29</v>
      </c>
      <c r="I598" s="74" t="str">
        <f>VLOOKUP(D598,Sheet15!D:K,8,FALSE)</f>
        <v>2025-511154</v>
      </c>
      <c r="J598" s="76">
        <f t="shared" si="5"/>
        <v>-45880</v>
      </c>
      <c r="K598" s="88"/>
      <c r="L598" s="73"/>
      <c r="M598" s="73"/>
      <c r="N598" s="73"/>
      <c r="O598" s="73"/>
      <c r="P598" s="73"/>
      <c r="Q598" s="73"/>
      <c r="R598" s="73"/>
      <c r="S598" s="73"/>
      <c r="T598" s="73"/>
      <c r="U598" s="73"/>
      <c r="V598" s="73"/>
      <c r="W598" s="73"/>
      <c r="X598" s="73"/>
    </row>
    <row r="599">
      <c r="A599" s="74">
        <v>682.0</v>
      </c>
      <c r="B599" s="74" t="s">
        <v>169</v>
      </c>
      <c r="C599" s="74" t="s">
        <v>1957</v>
      </c>
      <c r="D599" s="75" t="s">
        <v>1958</v>
      </c>
      <c r="E599" s="76">
        <v>45880.0</v>
      </c>
      <c r="F599" s="74" t="str">
        <f>VLOOKUP(D599,Sheet15!D:H,5,FALSE)</f>
        <v>مكتمل</v>
      </c>
      <c r="G599" s="76">
        <v>45907.0</v>
      </c>
      <c r="H599" s="74" t="s">
        <v>29</v>
      </c>
      <c r="I599" s="74" t="str">
        <f>VLOOKUP(D599,Sheet15!D:K,8,FALSE)</f>
        <v>2025-511213</v>
      </c>
      <c r="J599" s="74">
        <f t="shared" si="5"/>
        <v>27</v>
      </c>
      <c r="K599" s="77"/>
      <c r="L599" s="73"/>
      <c r="M599" s="73"/>
      <c r="N599" s="73"/>
      <c r="O599" s="73"/>
      <c r="P599" s="73"/>
      <c r="Q599" s="73"/>
      <c r="R599" s="73"/>
      <c r="S599" s="73"/>
      <c r="T599" s="73"/>
      <c r="U599" s="73"/>
      <c r="V599" s="73"/>
      <c r="W599" s="73"/>
      <c r="X599" s="73"/>
    </row>
    <row r="600">
      <c r="A600" s="74">
        <v>683.0</v>
      </c>
      <c r="B600" s="74" t="s">
        <v>169</v>
      </c>
      <c r="C600" s="74" t="s">
        <v>1959</v>
      </c>
      <c r="D600" s="75" t="s">
        <v>1894</v>
      </c>
      <c r="E600" s="76">
        <v>45880.0</v>
      </c>
      <c r="F600" s="74" t="str">
        <f>VLOOKUP(D600,Sheet15!D:H,5,FALSE)</f>
        <v>مكتمل</v>
      </c>
      <c r="G600" s="76">
        <v>45907.0</v>
      </c>
      <c r="H600" s="74" t="s">
        <v>29</v>
      </c>
      <c r="I600" s="74" t="str">
        <f>VLOOKUP(D600,Sheet15!D:K,8,FALSE)</f>
        <v>2025-511304</v>
      </c>
      <c r="J600" s="74">
        <f t="shared" si="5"/>
        <v>27</v>
      </c>
      <c r="K600" s="77"/>
      <c r="L600" s="73"/>
      <c r="M600" s="73"/>
      <c r="N600" s="73"/>
      <c r="O600" s="73"/>
      <c r="P600" s="73"/>
      <c r="Q600" s="73"/>
      <c r="R600" s="73"/>
      <c r="S600" s="73"/>
      <c r="T600" s="73"/>
      <c r="U600" s="73"/>
      <c r="V600" s="73"/>
      <c r="W600" s="73"/>
      <c r="X600" s="73"/>
    </row>
    <row r="601">
      <c r="A601" s="74">
        <v>684.0</v>
      </c>
      <c r="B601" s="74" t="s">
        <v>169</v>
      </c>
      <c r="C601" s="74" t="s">
        <v>1960</v>
      </c>
      <c r="D601" s="75" t="s">
        <v>1961</v>
      </c>
      <c r="E601" s="76">
        <v>45880.0</v>
      </c>
      <c r="F601" s="74" t="str">
        <f>VLOOKUP(D601,Sheet15!D:H,5,FALSE)</f>
        <v>مكتمل</v>
      </c>
      <c r="G601" s="76">
        <v>45907.0</v>
      </c>
      <c r="H601" s="74" t="s">
        <v>29</v>
      </c>
      <c r="I601" s="74" t="str">
        <f>VLOOKUP(D601,Sheet15!D:K,8,FALSE)</f>
        <v>2025-511311</v>
      </c>
      <c r="J601" s="74">
        <f t="shared" si="5"/>
        <v>27</v>
      </c>
      <c r="K601" s="77"/>
      <c r="L601" s="73"/>
      <c r="M601" s="73"/>
      <c r="N601" s="73"/>
      <c r="O601" s="73"/>
      <c r="P601" s="73"/>
      <c r="Q601" s="73"/>
      <c r="R601" s="73"/>
      <c r="S601" s="73"/>
      <c r="T601" s="73"/>
      <c r="U601" s="73"/>
      <c r="V601" s="73"/>
      <c r="W601" s="73"/>
      <c r="X601" s="73"/>
    </row>
    <row r="602">
      <c r="A602" s="74">
        <v>685.0</v>
      </c>
      <c r="B602" s="74" t="s">
        <v>1878</v>
      </c>
      <c r="C602" s="74" t="s">
        <v>1962</v>
      </c>
      <c r="D602" s="75" t="s">
        <v>1963</v>
      </c>
      <c r="E602" s="76">
        <v>45881.0</v>
      </c>
      <c r="F602" s="74" t="str">
        <f>VLOOKUP(D602,Sheet15!D:H,5,FALSE)</f>
        <v>مكتمل</v>
      </c>
      <c r="G602" s="76">
        <v>45907.0</v>
      </c>
      <c r="H602" s="74" t="s">
        <v>29</v>
      </c>
      <c r="I602" s="74" t="str">
        <f>VLOOKUP(D602,Sheet15!D:K,8,FALSE)</f>
        <v>2025-514798</v>
      </c>
      <c r="J602" s="74">
        <f t="shared" si="5"/>
        <v>26</v>
      </c>
      <c r="K602" s="77"/>
      <c r="L602" s="73"/>
      <c r="M602" s="73"/>
      <c r="N602" s="73"/>
      <c r="O602" s="73"/>
      <c r="P602" s="73"/>
      <c r="Q602" s="73"/>
      <c r="R602" s="73"/>
      <c r="S602" s="73"/>
      <c r="T602" s="73"/>
      <c r="U602" s="73"/>
      <c r="V602" s="73"/>
      <c r="W602" s="73"/>
      <c r="X602" s="73"/>
    </row>
    <row r="603">
      <c r="A603" s="74">
        <v>686.0</v>
      </c>
      <c r="B603" s="74" t="s">
        <v>1878</v>
      </c>
      <c r="C603" s="74" t="s">
        <v>1964</v>
      </c>
      <c r="D603" s="75" t="s">
        <v>1965</v>
      </c>
      <c r="E603" s="76">
        <v>45881.0</v>
      </c>
      <c r="F603" s="74" t="str">
        <f>VLOOKUP(D603,Sheet15!D:H,5,FALSE)</f>
        <v>مكتمل</v>
      </c>
      <c r="G603" s="76">
        <v>45907.0</v>
      </c>
      <c r="H603" s="74" t="s">
        <v>29</v>
      </c>
      <c r="I603" s="74" t="str">
        <f>VLOOKUP(D603,Sheet15!D:K,8,FALSE)</f>
        <v>2025-515648</v>
      </c>
      <c r="J603" s="74">
        <f t="shared" si="5"/>
        <v>26</v>
      </c>
      <c r="K603" s="77"/>
      <c r="L603" s="73"/>
      <c r="M603" s="73"/>
      <c r="N603" s="73"/>
      <c r="O603" s="73"/>
      <c r="P603" s="73"/>
      <c r="Q603" s="73"/>
      <c r="R603" s="73"/>
      <c r="S603" s="73"/>
      <c r="T603" s="73"/>
      <c r="U603" s="73"/>
      <c r="V603" s="73"/>
      <c r="W603" s="73"/>
      <c r="X603" s="73"/>
    </row>
    <row r="604">
      <c r="A604" s="74">
        <v>687.0</v>
      </c>
      <c r="B604" s="74" t="s">
        <v>1878</v>
      </c>
      <c r="C604" s="74" t="s">
        <v>1966</v>
      </c>
      <c r="D604" s="75" t="s">
        <v>1967</v>
      </c>
      <c r="E604" s="76">
        <v>45881.0</v>
      </c>
      <c r="F604" s="74" t="str">
        <f>VLOOKUP(D604,Sheet15!D:H,5,FALSE)</f>
        <v>مكتمل</v>
      </c>
      <c r="G604" s="76">
        <v>45907.0</v>
      </c>
      <c r="H604" s="74" t="s">
        <v>29</v>
      </c>
      <c r="I604" s="74" t="str">
        <f>VLOOKUP(D604,Sheet15!D:K,8,FALSE)</f>
        <v>2025-515678</v>
      </c>
      <c r="J604" s="74">
        <f t="shared" si="5"/>
        <v>26</v>
      </c>
      <c r="K604" s="77"/>
      <c r="L604" s="73"/>
      <c r="M604" s="73"/>
      <c r="N604" s="73"/>
      <c r="O604" s="73"/>
      <c r="P604" s="73"/>
      <c r="Q604" s="73"/>
      <c r="R604" s="73"/>
      <c r="S604" s="73"/>
      <c r="T604" s="73"/>
      <c r="U604" s="73"/>
      <c r="V604" s="73"/>
      <c r="W604" s="73"/>
      <c r="X604" s="73"/>
    </row>
    <row r="605">
      <c r="A605" s="74">
        <v>688.0</v>
      </c>
      <c r="B605" s="74" t="s">
        <v>1878</v>
      </c>
      <c r="C605" s="74" t="s">
        <v>1968</v>
      </c>
      <c r="D605" s="75" t="s">
        <v>1969</v>
      </c>
      <c r="E605" s="76">
        <v>45881.0</v>
      </c>
      <c r="F605" s="74" t="str">
        <f>VLOOKUP(D605,Sheet15!D:H,5,FALSE)</f>
        <v>مكتمل</v>
      </c>
      <c r="G605" s="76">
        <v>45907.0</v>
      </c>
      <c r="H605" s="74" t="s">
        <v>29</v>
      </c>
      <c r="I605" s="74" t="str">
        <f>VLOOKUP(D605,Sheet15!D:K,8,FALSE)</f>
        <v>2025-515705</v>
      </c>
      <c r="J605" s="74">
        <f t="shared" si="5"/>
        <v>26</v>
      </c>
      <c r="K605" s="77"/>
      <c r="L605" s="73"/>
      <c r="M605" s="73"/>
      <c r="N605" s="73"/>
      <c r="O605" s="73"/>
      <c r="P605" s="73"/>
      <c r="Q605" s="73"/>
      <c r="R605" s="73"/>
      <c r="S605" s="73"/>
      <c r="T605" s="73"/>
      <c r="U605" s="73"/>
      <c r="V605" s="73"/>
      <c r="W605" s="73"/>
      <c r="X605" s="73"/>
    </row>
    <row r="606">
      <c r="A606" s="74">
        <v>689.0</v>
      </c>
      <c r="B606" s="74" t="s">
        <v>1048</v>
      </c>
      <c r="C606" s="74"/>
      <c r="D606" s="83" t="s">
        <v>1970</v>
      </c>
      <c r="E606" s="76">
        <v>45869.0</v>
      </c>
      <c r="F606" s="74" t="str">
        <f>VLOOKUP(D606,Sheet15!D:H,5,FALSE)</f>
        <v>مكتمل</v>
      </c>
      <c r="G606" s="76">
        <v>45900.0</v>
      </c>
      <c r="H606" s="74" t="s">
        <v>29</v>
      </c>
      <c r="I606" s="74" t="str">
        <f>VLOOKUP(D606,Sheet15!D:K,8,FALSE)</f>
        <v>2025-495187</v>
      </c>
      <c r="J606" s="74">
        <f t="shared" si="5"/>
        <v>31</v>
      </c>
      <c r="K606" s="77"/>
      <c r="L606" s="73"/>
      <c r="M606" s="73"/>
      <c r="N606" s="73"/>
      <c r="O606" s="73"/>
      <c r="P606" s="73"/>
      <c r="Q606" s="73"/>
      <c r="R606" s="73"/>
      <c r="S606" s="73"/>
      <c r="T606" s="73"/>
      <c r="U606" s="73"/>
      <c r="V606" s="73"/>
      <c r="W606" s="73"/>
      <c r="X606" s="73"/>
    </row>
    <row r="607">
      <c r="A607" s="74">
        <v>690.0</v>
      </c>
      <c r="B607" s="74" t="s">
        <v>1048</v>
      </c>
      <c r="C607" s="74"/>
      <c r="D607" s="83" t="s">
        <v>1971</v>
      </c>
      <c r="E607" s="76">
        <v>45869.0</v>
      </c>
      <c r="F607" s="74" t="str">
        <f>VLOOKUP(D607,Sheet15!D:H,5,FALSE)</f>
        <v>مكتمل</v>
      </c>
      <c r="G607" s="76">
        <v>45900.0</v>
      </c>
      <c r="H607" s="74" t="s">
        <v>29</v>
      </c>
      <c r="I607" s="74" t="str">
        <f>VLOOKUP(D607,Sheet15!D:K,8,FALSE)</f>
        <v>2025-495186</v>
      </c>
      <c r="J607" s="74">
        <f t="shared" si="5"/>
        <v>31</v>
      </c>
      <c r="K607" s="77"/>
      <c r="L607" s="73"/>
      <c r="M607" s="73"/>
      <c r="N607" s="73"/>
      <c r="O607" s="73"/>
      <c r="P607" s="73"/>
      <c r="Q607" s="73"/>
      <c r="R607" s="73"/>
      <c r="S607" s="73"/>
      <c r="T607" s="73"/>
      <c r="U607" s="73"/>
      <c r="V607" s="73"/>
      <c r="W607" s="73"/>
      <c r="X607" s="73"/>
    </row>
    <row r="608">
      <c r="A608" s="74">
        <v>691.0</v>
      </c>
      <c r="B608" s="74" t="s">
        <v>1048</v>
      </c>
      <c r="C608" s="74"/>
      <c r="D608" s="83" t="s">
        <v>1972</v>
      </c>
      <c r="E608" s="76">
        <v>45869.0</v>
      </c>
      <c r="F608" s="74" t="str">
        <f>VLOOKUP(D608,Sheet15!D:H,5,FALSE)</f>
        <v>مكتمل</v>
      </c>
      <c r="G608" s="76">
        <v>45900.0</v>
      </c>
      <c r="H608" s="74" t="s">
        <v>29</v>
      </c>
      <c r="I608" s="74" t="str">
        <f>VLOOKUP(D608,Sheet15!D:K,8,FALSE)</f>
        <v>2025-495184</v>
      </c>
      <c r="J608" s="74">
        <f t="shared" si="5"/>
        <v>31</v>
      </c>
      <c r="K608" s="77"/>
      <c r="L608" s="73"/>
      <c r="M608" s="73"/>
      <c r="N608" s="73"/>
      <c r="O608" s="73"/>
      <c r="P608" s="73"/>
      <c r="Q608" s="73"/>
      <c r="R608" s="73"/>
      <c r="S608" s="73"/>
      <c r="T608" s="73"/>
      <c r="U608" s="73"/>
      <c r="V608" s="73"/>
      <c r="W608" s="73"/>
      <c r="X608" s="73"/>
    </row>
    <row r="609">
      <c r="A609" s="74">
        <v>692.0</v>
      </c>
      <c r="B609" s="74" t="s">
        <v>1048</v>
      </c>
      <c r="C609" s="74"/>
      <c r="D609" s="83" t="s">
        <v>1973</v>
      </c>
      <c r="E609" s="76">
        <v>45869.0</v>
      </c>
      <c r="F609" s="74" t="str">
        <f>VLOOKUP(D609,Sheet15!D:H,5,FALSE)</f>
        <v>مكتمل</v>
      </c>
      <c r="G609" s="76">
        <v>45900.0</v>
      </c>
      <c r="H609" s="74" t="s">
        <v>29</v>
      </c>
      <c r="I609" s="74" t="str">
        <f>VLOOKUP(D609,Sheet15!D:K,8,FALSE)</f>
        <v>2025-495183</v>
      </c>
      <c r="J609" s="74">
        <f t="shared" si="5"/>
        <v>31</v>
      </c>
      <c r="K609" s="77"/>
      <c r="L609" s="73"/>
      <c r="M609" s="73"/>
      <c r="N609" s="73"/>
      <c r="O609" s="73"/>
      <c r="P609" s="73"/>
      <c r="Q609" s="73"/>
      <c r="R609" s="73"/>
      <c r="S609" s="73"/>
      <c r="T609" s="73"/>
      <c r="U609" s="73"/>
      <c r="V609" s="73"/>
      <c r="W609" s="73"/>
      <c r="X609" s="73"/>
    </row>
    <row r="610">
      <c r="A610" s="74">
        <v>693.0</v>
      </c>
      <c r="B610" s="74" t="s">
        <v>1048</v>
      </c>
      <c r="C610" s="74"/>
      <c r="D610" s="83" t="s">
        <v>1974</v>
      </c>
      <c r="E610" s="76">
        <v>45869.0</v>
      </c>
      <c r="F610" s="74" t="str">
        <f>VLOOKUP(D610,Sheet15!D:H,5,FALSE)</f>
        <v>مكتمل</v>
      </c>
      <c r="G610" s="76">
        <v>45900.0</v>
      </c>
      <c r="H610" s="74" t="s">
        <v>29</v>
      </c>
      <c r="I610" s="74" t="str">
        <f>VLOOKUP(D610,Sheet15!D:K,8,FALSE)</f>
        <v>2025-495181</v>
      </c>
      <c r="J610" s="74">
        <f t="shared" si="5"/>
        <v>31</v>
      </c>
      <c r="K610" s="77"/>
      <c r="L610" s="73"/>
      <c r="M610" s="73"/>
      <c r="N610" s="73"/>
      <c r="O610" s="73"/>
      <c r="P610" s="73"/>
      <c r="Q610" s="73"/>
      <c r="R610" s="73"/>
      <c r="S610" s="73"/>
      <c r="T610" s="73"/>
      <c r="U610" s="73"/>
      <c r="V610" s="73"/>
      <c r="W610" s="73"/>
      <c r="X610" s="73"/>
    </row>
    <row r="611">
      <c r="A611" s="74">
        <v>694.0</v>
      </c>
      <c r="B611" s="74" t="s">
        <v>1048</v>
      </c>
      <c r="C611" s="74"/>
      <c r="D611" s="83" t="s">
        <v>1975</v>
      </c>
      <c r="E611" s="76">
        <v>45869.0</v>
      </c>
      <c r="F611" s="74" t="str">
        <f>VLOOKUP(D611,Sheet15!D:H,5,FALSE)</f>
        <v>مكتمل</v>
      </c>
      <c r="G611" s="76">
        <v>45900.0</v>
      </c>
      <c r="H611" s="74" t="s">
        <v>29</v>
      </c>
      <c r="I611" s="74" t="str">
        <f>VLOOKUP(D611,Sheet15!D:K,8,FALSE)</f>
        <v>2025-495180</v>
      </c>
      <c r="J611" s="74">
        <f t="shared" si="5"/>
        <v>31</v>
      </c>
      <c r="K611" s="77"/>
      <c r="L611" s="73"/>
      <c r="M611" s="73"/>
      <c r="N611" s="73"/>
      <c r="O611" s="73"/>
      <c r="P611" s="73"/>
      <c r="Q611" s="73"/>
      <c r="R611" s="73"/>
      <c r="S611" s="73"/>
      <c r="T611" s="73"/>
      <c r="U611" s="73"/>
      <c r="V611" s="73"/>
      <c r="W611" s="73"/>
      <c r="X611" s="73"/>
    </row>
    <row r="612">
      <c r="A612" s="74">
        <v>695.0</v>
      </c>
      <c r="B612" s="74" t="s">
        <v>1048</v>
      </c>
      <c r="C612" s="74"/>
      <c r="D612" s="83" t="s">
        <v>1976</v>
      </c>
      <c r="E612" s="76">
        <v>45869.0</v>
      </c>
      <c r="F612" s="74" t="str">
        <f>VLOOKUP(D612,Sheet15!D:H,5,FALSE)</f>
        <v>مكتمل</v>
      </c>
      <c r="G612" s="76">
        <v>45900.0</v>
      </c>
      <c r="H612" s="74" t="s">
        <v>29</v>
      </c>
      <c r="I612" s="74" t="str">
        <f>VLOOKUP(D612,Sheet15!D:K,8,FALSE)</f>
        <v>2025-495178</v>
      </c>
      <c r="J612" s="74">
        <f t="shared" si="5"/>
        <v>31</v>
      </c>
      <c r="K612" s="77"/>
      <c r="L612" s="73"/>
      <c r="M612" s="73"/>
      <c r="N612" s="73"/>
      <c r="O612" s="73"/>
      <c r="P612" s="73"/>
      <c r="Q612" s="73"/>
      <c r="R612" s="73"/>
      <c r="S612" s="73"/>
      <c r="T612" s="73"/>
      <c r="U612" s="73"/>
      <c r="V612" s="73"/>
      <c r="W612" s="73"/>
      <c r="X612" s="73"/>
    </row>
    <row r="613">
      <c r="A613" s="74">
        <v>696.0</v>
      </c>
      <c r="B613" s="74" t="s">
        <v>1048</v>
      </c>
      <c r="C613" s="74"/>
      <c r="D613" s="83" t="s">
        <v>1977</v>
      </c>
      <c r="E613" s="76">
        <v>45869.0</v>
      </c>
      <c r="F613" s="74" t="str">
        <f>VLOOKUP(D613,Sheet15!D:H,5,FALSE)</f>
        <v>مكتمل</v>
      </c>
      <c r="G613" s="76">
        <v>45900.0</v>
      </c>
      <c r="H613" s="74" t="s">
        <v>29</v>
      </c>
      <c r="I613" s="74" t="str">
        <f>VLOOKUP(D613,Sheet15!D:K,8,FALSE)</f>
        <v>2025-495177</v>
      </c>
      <c r="J613" s="74">
        <f t="shared" si="5"/>
        <v>31</v>
      </c>
      <c r="K613" s="77"/>
      <c r="L613" s="73"/>
      <c r="M613" s="73"/>
      <c r="N613" s="73"/>
      <c r="O613" s="73"/>
      <c r="P613" s="73"/>
      <c r="Q613" s="73"/>
      <c r="R613" s="73"/>
      <c r="S613" s="73"/>
      <c r="T613" s="73"/>
      <c r="U613" s="73"/>
      <c r="V613" s="73"/>
      <c r="W613" s="73"/>
      <c r="X613" s="73"/>
    </row>
    <row r="614">
      <c r="A614" s="74">
        <v>697.0</v>
      </c>
      <c r="B614" s="74" t="s">
        <v>1048</v>
      </c>
      <c r="C614" s="74"/>
      <c r="D614" s="83" t="s">
        <v>1978</v>
      </c>
      <c r="E614" s="76">
        <v>45869.0</v>
      </c>
      <c r="F614" s="74" t="str">
        <f>VLOOKUP(D614,Sheet15!D:H,5,FALSE)</f>
        <v>مكتمل</v>
      </c>
      <c r="G614" s="76">
        <v>45900.0</v>
      </c>
      <c r="H614" s="74" t="s">
        <v>29</v>
      </c>
      <c r="I614" s="74" t="str">
        <f>VLOOKUP(D614,Sheet15!D:K,8,FALSE)</f>
        <v>2025-495176</v>
      </c>
      <c r="J614" s="74">
        <f t="shared" si="5"/>
        <v>31</v>
      </c>
      <c r="K614" s="77"/>
      <c r="L614" s="73"/>
      <c r="M614" s="73"/>
      <c r="N614" s="73"/>
      <c r="O614" s="73"/>
      <c r="P614" s="73"/>
      <c r="Q614" s="73"/>
      <c r="R614" s="73"/>
      <c r="S614" s="73"/>
      <c r="T614" s="73"/>
      <c r="U614" s="73"/>
      <c r="V614" s="73"/>
      <c r="W614" s="73"/>
      <c r="X614" s="73"/>
    </row>
    <row r="615">
      <c r="A615" s="74">
        <v>698.0</v>
      </c>
      <c r="B615" s="74" t="s">
        <v>1048</v>
      </c>
      <c r="C615" s="74"/>
      <c r="D615" s="83" t="s">
        <v>1979</v>
      </c>
      <c r="E615" s="76">
        <v>45869.0</v>
      </c>
      <c r="F615" s="74" t="str">
        <f>VLOOKUP(D615,Sheet15!D:H,5,FALSE)</f>
        <v>مكتمل</v>
      </c>
      <c r="G615" s="76">
        <v>45900.0</v>
      </c>
      <c r="H615" s="74" t="s">
        <v>29</v>
      </c>
      <c r="I615" s="74" t="str">
        <f>VLOOKUP(D615,Sheet15!D:K,8,FALSE)</f>
        <v>2025-495175</v>
      </c>
      <c r="J615" s="74">
        <f t="shared" si="5"/>
        <v>31</v>
      </c>
      <c r="K615" s="77"/>
      <c r="L615" s="73"/>
      <c r="M615" s="73"/>
      <c r="N615" s="73"/>
      <c r="O615" s="73"/>
      <c r="P615" s="73"/>
      <c r="Q615" s="73"/>
      <c r="R615" s="73"/>
      <c r="S615" s="73"/>
      <c r="T615" s="73"/>
      <c r="U615" s="73"/>
      <c r="V615" s="73"/>
      <c r="W615" s="73"/>
      <c r="X615" s="73"/>
    </row>
    <row r="616">
      <c r="A616" s="74">
        <v>699.0</v>
      </c>
      <c r="B616" s="74" t="s">
        <v>1048</v>
      </c>
      <c r="C616" s="74"/>
      <c r="D616" s="83" t="s">
        <v>1980</v>
      </c>
      <c r="E616" s="76">
        <v>45869.0</v>
      </c>
      <c r="F616" s="74" t="str">
        <f>VLOOKUP(D616,Sheet15!D:H,5,FALSE)</f>
        <v>مكتمل</v>
      </c>
      <c r="G616" s="76">
        <v>45900.0</v>
      </c>
      <c r="H616" s="74" t="s">
        <v>29</v>
      </c>
      <c r="I616" s="74" t="str">
        <f>VLOOKUP(D616,Sheet15!D:K,8,FALSE)</f>
        <v>2025-495174</v>
      </c>
      <c r="J616" s="74">
        <f t="shared" si="5"/>
        <v>31</v>
      </c>
      <c r="K616" s="77"/>
      <c r="L616" s="73"/>
      <c r="M616" s="73"/>
      <c r="N616" s="73"/>
      <c r="O616" s="73"/>
      <c r="P616" s="73"/>
      <c r="Q616" s="73"/>
      <c r="R616" s="73"/>
      <c r="S616" s="73"/>
      <c r="T616" s="73"/>
      <c r="U616" s="73"/>
      <c r="V616" s="73"/>
      <c r="W616" s="73"/>
      <c r="X616" s="73"/>
    </row>
    <row r="617">
      <c r="A617" s="74">
        <v>700.0</v>
      </c>
      <c r="B617" s="74" t="s">
        <v>1048</v>
      </c>
      <c r="C617" s="74"/>
      <c r="D617" s="83" t="s">
        <v>1981</v>
      </c>
      <c r="E617" s="76">
        <v>45869.0</v>
      </c>
      <c r="F617" s="74" t="str">
        <f>VLOOKUP(D617,Sheet15!D:H,5,FALSE)</f>
        <v>مكتمل</v>
      </c>
      <c r="G617" s="76">
        <v>45900.0</v>
      </c>
      <c r="H617" s="74" t="s">
        <v>29</v>
      </c>
      <c r="I617" s="74" t="str">
        <f>VLOOKUP(D617,Sheet15!D:K,8,FALSE)</f>
        <v>2025-508405</v>
      </c>
      <c r="J617" s="74">
        <f t="shared" si="5"/>
        <v>31</v>
      </c>
      <c r="K617" s="77"/>
      <c r="L617" s="73"/>
      <c r="M617" s="73"/>
      <c r="N617" s="73"/>
      <c r="O617" s="73"/>
      <c r="P617" s="73"/>
      <c r="Q617" s="73"/>
      <c r="R617" s="73"/>
      <c r="S617" s="73"/>
      <c r="T617" s="73"/>
      <c r="U617" s="73"/>
      <c r="V617" s="73"/>
      <c r="W617" s="73"/>
      <c r="X617" s="73"/>
    </row>
    <row r="618">
      <c r="A618" s="74">
        <v>701.0</v>
      </c>
      <c r="B618" s="74" t="s">
        <v>1048</v>
      </c>
      <c r="C618" s="74"/>
      <c r="D618" s="83" t="s">
        <v>1982</v>
      </c>
      <c r="E618" s="76">
        <v>45869.0</v>
      </c>
      <c r="F618" s="74" t="str">
        <f>VLOOKUP(D618,Sheet15!D:H,5,FALSE)</f>
        <v>مكتمل</v>
      </c>
      <c r="G618" s="76">
        <v>45900.0</v>
      </c>
      <c r="H618" s="74" t="s">
        <v>29</v>
      </c>
      <c r="I618" s="74" t="str">
        <f>VLOOKUP(D618,Sheet15!D:K,8,FALSE)</f>
        <v>2025-508404</v>
      </c>
      <c r="J618" s="74">
        <f t="shared" si="5"/>
        <v>31</v>
      </c>
      <c r="K618" s="77"/>
      <c r="L618" s="73"/>
      <c r="M618" s="73"/>
      <c r="N618" s="73"/>
      <c r="O618" s="73"/>
      <c r="P618" s="73"/>
      <c r="Q618" s="73"/>
      <c r="R618" s="73"/>
      <c r="S618" s="73"/>
      <c r="T618" s="73"/>
      <c r="U618" s="73"/>
      <c r="V618" s="73"/>
      <c r="W618" s="73"/>
      <c r="X618" s="73"/>
    </row>
    <row r="619">
      <c r="A619" s="74">
        <v>702.0</v>
      </c>
      <c r="B619" s="74" t="s">
        <v>1048</v>
      </c>
      <c r="C619" s="74"/>
      <c r="D619" s="83" t="s">
        <v>1983</v>
      </c>
      <c r="E619" s="76">
        <v>45869.0</v>
      </c>
      <c r="F619" s="74" t="str">
        <f>VLOOKUP(D619,Sheet15!D:H,5,FALSE)</f>
        <v>مكتمل</v>
      </c>
      <c r="G619" s="76">
        <v>45900.0</v>
      </c>
      <c r="H619" s="74" t="s">
        <v>29</v>
      </c>
      <c r="I619" s="74" t="str">
        <f>VLOOKUP(D619,Sheet15!D:K,8,FALSE)</f>
        <v>2025-508403</v>
      </c>
      <c r="J619" s="74">
        <f t="shared" si="5"/>
        <v>31</v>
      </c>
      <c r="K619" s="77"/>
      <c r="L619" s="73"/>
      <c r="M619" s="73"/>
      <c r="N619" s="73"/>
      <c r="O619" s="73"/>
      <c r="P619" s="73"/>
      <c r="Q619" s="73"/>
      <c r="R619" s="73"/>
      <c r="S619" s="73"/>
      <c r="T619" s="73"/>
      <c r="U619" s="73"/>
      <c r="V619" s="73"/>
      <c r="W619" s="73"/>
      <c r="X619" s="73"/>
    </row>
    <row r="620">
      <c r="A620" s="74">
        <v>703.0</v>
      </c>
      <c r="B620" s="74" t="s">
        <v>1048</v>
      </c>
      <c r="C620" s="74"/>
      <c r="D620" s="83" t="s">
        <v>1984</v>
      </c>
      <c r="E620" s="76">
        <v>45869.0</v>
      </c>
      <c r="F620" s="74" t="str">
        <f>VLOOKUP(D620,Sheet15!D:H,5,FALSE)</f>
        <v>مكتمل</v>
      </c>
      <c r="G620" s="76">
        <v>45900.0</v>
      </c>
      <c r="H620" s="74" t="s">
        <v>29</v>
      </c>
      <c r="I620" s="74" t="str">
        <f>VLOOKUP(D620,Sheet15!D:K,8,FALSE)</f>
        <v>2025-508402</v>
      </c>
      <c r="J620" s="74">
        <f t="shared" si="5"/>
        <v>31</v>
      </c>
      <c r="K620" s="77"/>
      <c r="L620" s="73"/>
      <c r="M620" s="73"/>
      <c r="N620" s="73"/>
      <c r="O620" s="73"/>
      <c r="P620" s="73"/>
      <c r="Q620" s="73"/>
      <c r="R620" s="73"/>
      <c r="S620" s="73"/>
      <c r="T620" s="73"/>
      <c r="U620" s="73"/>
      <c r="V620" s="73"/>
      <c r="W620" s="73"/>
      <c r="X620" s="73"/>
    </row>
    <row r="621">
      <c r="A621" s="74">
        <v>704.0</v>
      </c>
      <c r="B621" s="74" t="s">
        <v>1878</v>
      </c>
      <c r="C621" s="74"/>
      <c r="D621" s="75" t="s">
        <v>1985</v>
      </c>
      <c r="E621" s="76">
        <v>45904.0</v>
      </c>
      <c r="F621" s="78" t="s">
        <v>1420</v>
      </c>
      <c r="G621" s="74"/>
      <c r="H621" s="74" t="s">
        <v>29</v>
      </c>
      <c r="I621" s="74" t="str">
        <f>VLOOKUP(D621,Sheet15!D:K,8,FALSE)</f>
        <v>2025-576189</v>
      </c>
      <c r="J621" s="74"/>
      <c r="K621" s="77"/>
      <c r="L621" s="73"/>
      <c r="M621" s="73"/>
      <c r="N621" s="73"/>
      <c r="O621" s="73"/>
      <c r="P621" s="73"/>
      <c r="Q621" s="73"/>
      <c r="R621" s="73"/>
      <c r="S621" s="73"/>
      <c r="T621" s="73"/>
      <c r="U621" s="73"/>
      <c r="V621" s="73"/>
      <c r="W621" s="73"/>
      <c r="X621" s="73"/>
    </row>
    <row r="622">
      <c r="A622" s="74">
        <v>705.0</v>
      </c>
      <c r="B622" s="74" t="s">
        <v>1878</v>
      </c>
      <c r="C622" s="74"/>
      <c r="D622" s="75" t="s">
        <v>1986</v>
      </c>
      <c r="E622" s="76">
        <v>45904.0</v>
      </c>
      <c r="F622" s="78" t="s">
        <v>1420</v>
      </c>
      <c r="G622" s="74"/>
      <c r="H622" s="74" t="s">
        <v>29</v>
      </c>
      <c r="I622" s="74" t="str">
        <f>VLOOKUP(D622,Sheet15!D:K,8,FALSE)</f>
        <v>2025-576252</v>
      </c>
      <c r="J622" s="74"/>
      <c r="K622" s="77"/>
      <c r="L622" s="73"/>
      <c r="M622" s="73"/>
      <c r="N622" s="73"/>
      <c r="O622" s="73"/>
      <c r="P622" s="73"/>
      <c r="Q622" s="73"/>
      <c r="R622" s="73"/>
      <c r="S622" s="73"/>
      <c r="T622" s="73"/>
      <c r="U622" s="73"/>
      <c r="V622" s="73"/>
      <c r="W622" s="73"/>
      <c r="X622" s="73"/>
    </row>
    <row r="623">
      <c r="A623" s="74">
        <v>706.0</v>
      </c>
      <c r="B623" s="74" t="s">
        <v>1878</v>
      </c>
      <c r="C623" s="74"/>
      <c r="D623" s="82" t="s">
        <v>1987</v>
      </c>
      <c r="E623" s="76">
        <v>45904.0</v>
      </c>
      <c r="F623" s="78" t="s">
        <v>1420</v>
      </c>
      <c r="G623" s="74"/>
      <c r="H623" s="74" t="s">
        <v>29</v>
      </c>
      <c r="I623" s="74" t="str">
        <f>VLOOKUP(D623,Sheet15!D:K,8,FALSE)</f>
        <v>2025-576341</v>
      </c>
      <c r="J623" s="74"/>
      <c r="K623" s="77"/>
      <c r="L623" s="73"/>
      <c r="M623" s="73"/>
      <c r="N623" s="73"/>
      <c r="O623" s="73"/>
      <c r="P623" s="73"/>
      <c r="Q623" s="73"/>
      <c r="R623" s="73"/>
      <c r="S623" s="73"/>
      <c r="T623" s="73"/>
      <c r="U623" s="73"/>
      <c r="V623" s="73"/>
      <c r="W623" s="73"/>
      <c r="X623" s="73"/>
    </row>
    <row r="624">
      <c r="A624" s="74">
        <v>707.0</v>
      </c>
      <c r="B624" s="74" t="s">
        <v>1878</v>
      </c>
      <c r="C624" s="74"/>
      <c r="D624" s="82" t="s">
        <v>1988</v>
      </c>
      <c r="E624" s="76">
        <v>45904.0</v>
      </c>
      <c r="F624" s="78" t="s">
        <v>1420</v>
      </c>
      <c r="G624" s="74"/>
      <c r="H624" s="74" t="s">
        <v>29</v>
      </c>
      <c r="I624" s="74" t="str">
        <f>VLOOKUP(D624,Sheet15!D:K,8,FALSE)</f>
        <v>2025-576365</v>
      </c>
      <c r="J624" s="74"/>
      <c r="K624" s="77"/>
      <c r="L624" s="73"/>
      <c r="M624" s="73"/>
      <c r="N624" s="73"/>
      <c r="O624" s="73"/>
      <c r="P624" s="73"/>
      <c r="Q624" s="73"/>
      <c r="R624" s="73"/>
      <c r="S624" s="73"/>
      <c r="T624" s="73"/>
      <c r="U624" s="73"/>
      <c r="V624" s="73"/>
      <c r="W624" s="73"/>
      <c r="X624" s="73"/>
    </row>
    <row r="625">
      <c r="A625" s="74">
        <v>708.0</v>
      </c>
      <c r="B625" s="74" t="s">
        <v>1048</v>
      </c>
      <c r="C625" s="74"/>
      <c r="D625" s="83" t="s">
        <v>1989</v>
      </c>
      <c r="E625" s="76">
        <v>45880.0</v>
      </c>
      <c r="F625" s="78" t="s">
        <v>1420</v>
      </c>
      <c r="G625" s="76">
        <v>45907.0</v>
      </c>
      <c r="H625" s="74" t="s">
        <v>29</v>
      </c>
      <c r="I625" s="74" t="str">
        <f>VLOOKUP(D625,Sheet15!D:K,8,FALSE)</f>
        <v>#N/A</v>
      </c>
      <c r="J625" s="74">
        <f t="shared" ref="J625:J1099" si="6">G625-E625</f>
        <v>27</v>
      </c>
      <c r="K625" s="77"/>
      <c r="L625" s="73"/>
      <c r="M625" s="73"/>
      <c r="N625" s="73"/>
      <c r="O625" s="73"/>
      <c r="P625" s="73"/>
      <c r="Q625" s="73"/>
      <c r="R625" s="73"/>
      <c r="S625" s="73"/>
      <c r="T625" s="73"/>
      <c r="U625" s="73"/>
      <c r="V625" s="73"/>
      <c r="W625" s="73"/>
      <c r="X625" s="73"/>
    </row>
    <row r="626">
      <c r="A626" s="74">
        <v>709.0</v>
      </c>
      <c r="B626" s="74" t="s">
        <v>1048</v>
      </c>
      <c r="C626" s="74"/>
      <c r="D626" s="83" t="s">
        <v>1990</v>
      </c>
      <c r="E626" s="76">
        <v>45880.0</v>
      </c>
      <c r="F626" s="78" t="s">
        <v>1420</v>
      </c>
      <c r="G626" s="76">
        <v>45907.0</v>
      </c>
      <c r="H626" s="74" t="s">
        <v>29</v>
      </c>
      <c r="I626" s="74" t="str">
        <f>VLOOKUP(D626,Sheet15!D:K,8,FALSE)</f>
        <v>#N/A</v>
      </c>
      <c r="J626" s="74">
        <f t="shared" si="6"/>
        <v>27</v>
      </c>
      <c r="K626" s="77"/>
      <c r="L626" s="73"/>
      <c r="M626" s="73"/>
      <c r="N626" s="73"/>
      <c r="O626" s="73"/>
      <c r="P626" s="73"/>
      <c r="Q626" s="73"/>
      <c r="R626" s="73"/>
      <c r="S626" s="73"/>
      <c r="T626" s="73"/>
      <c r="U626" s="73"/>
      <c r="V626" s="73"/>
      <c r="W626" s="73"/>
      <c r="X626" s="73"/>
    </row>
    <row r="627">
      <c r="A627" s="74">
        <v>710.0</v>
      </c>
      <c r="B627" s="74" t="s">
        <v>1048</v>
      </c>
      <c r="C627" s="74"/>
      <c r="D627" s="83" t="s">
        <v>1991</v>
      </c>
      <c r="E627" s="76">
        <v>45880.0</v>
      </c>
      <c r="F627" s="74" t="str">
        <f>VLOOKUP(D627,Sheet15!D:H,5,FALSE)</f>
        <v>مكتمل</v>
      </c>
      <c r="G627" s="76">
        <v>45907.0</v>
      </c>
      <c r="H627" s="74" t="s">
        <v>29</v>
      </c>
      <c r="I627" s="74" t="str">
        <f>VLOOKUP(D627,Sheet15!D:K,8,FALSE)</f>
        <v>2025-509065</v>
      </c>
      <c r="J627" s="74">
        <f t="shared" si="6"/>
        <v>27</v>
      </c>
      <c r="K627" s="77"/>
      <c r="L627" s="73"/>
      <c r="M627" s="73"/>
      <c r="N627" s="73"/>
      <c r="O627" s="73"/>
      <c r="P627" s="73"/>
      <c r="Q627" s="73"/>
      <c r="R627" s="73"/>
      <c r="S627" s="73"/>
      <c r="T627" s="73"/>
      <c r="U627" s="73"/>
      <c r="V627" s="73"/>
      <c r="W627" s="73"/>
      <c r="X627" s="73"/>
    </row>
    <row r="628">
      <c r="A628" s="74">
        <v>711.0</v>
      </c>
      <c r="B628" s="74" t="s">
        <v>1048</v>
      </c>
      <c r="C628" s="74"/>
      <c r="D628" s="83" t="s">
        <v>1992</v>
      </c>
      <c r="E628" s="76">
        <v>45880.0</v>
      </c>
      <c r="F628" s="74" t="str">
        <f>VLOOKUP(D628,Sheet15!D:H,5,FALSE)</f>
        <v>مكتمل</v>
      </c>
      <c r="G628" s="76">
        <v>45907.0</v>
      </c>
      <c r="H628" s="74" t="s">
        <v>29</v>
      </c>
      <c r="I628" s="74" t="str">
        <f>VLOOKUP(D628,Sheet15!D:K,8,FALSE)</f>
        <v>2025-509065</v>
      </c>
      <c r="J628" s="74">
        <f t="shared" si="6"/>
        <v>27</v>
      </c>
      <c r="K628" s="77"/>
      <c r="L628" s="73"/>
      <c r="M628" s="73"/>
      <c r="N628" s="73"/>
      <c r="O628" s="73"/>
      <c r="P628" s="73"/>
      <c r="Q628" s="73"/>
      <c r="R628" s="73"/>
      <c r="S628" s="73"/>
      <c r="T628" s="73"/>
      <c r="U628" s="73"/>
      <c r="V628" s="73"/>
      <c r="W628" s="73"/>
      <c r="X628" s="73"/>
    </row>
    <row r="629">
      <c r="A629" s="74">
        <v>712.0</v>
      </c>
      <c r="B629" s="74" t="s">
        <v>1048</v>
      </c>
      <c r="C629" s="74"/>
      <c r="D629" s="83" t="s">
        <v>1993</v>
      </c>
      <c r="E629" s="76">
        <v>45880.0</v>
      </c>
      <c r="F629" s="74" t="str">
        <f>VLOOKUP(D629,Sheet15!D:H,5,FALSE)</f>
        <v>مكتمل</v>
      </c>
      <c r="G629" s="76">
        <v>45907.0</v>
      </c>
      <c r="H629" s="74" t="s">
        <v>29</v>
      </c>
      <c r="I629" s="74" t="str">
        <f>VLOOKUP(D629,Sheet15!D:K,8,FALSE)</f>
        <v>2025-509067</v>
      </c>
      <c r="J629" s="74">
        <f t="shared" si="6"/>
        <v>27</v>
      </c>
      <c r="K629" s="77"/>
      <c r="L629" s="73"/>
      <c r="M629" s="73"/>
      <c r="N629" s="73"/>
      <c r="O629" s="73"/>
      <c r="P629" s="73"/>
      <c r="Q629" s="73"/>
      <c r="R629" s="73"/>
      <c r="S629" s="73"/>
      <c r="T629" s="73"/>
      <c r="U629" s="73"/>
      <c r="V629" s="73"/>
      <c r="W629" s="73"/>
      <c r="X629" s="73"/>
    </row>
    <row r="630">
      <c r="A630" s="74">
        <v>713.0</v>
      </c>
      <c r="B630" s="74" t="s">
        <v>1048</v>
      </c>
      <c r="C630" s="74"/>
      <c r="D630" s="83" t="s">
        <v>1994</v>
      </c>
      <c r="E630" s="76">
        <v>45880.0</v>
      </c>
      <c r="F630" s="74" t="str">
        <f>VLOOKUP(D630,Sheet15!D:H,5,FALSE)</f>
        <v>مكتمل</v>
      </c>
      <c r="G630" s="76">
        <v>45907.0</v>
      </c>
      <c r="H630" s="74" t="s">
        <v>29</v>
      </c>
      <c r="I630" s="74" t="str">
        <f>VLOOKUP(D630,Sheet15!D:K,8,FALSE)</f>
        <v>2025-509067</v>
      </c>
      <c r="J630" s="74">
        <f t="shared" si="6"/>
        <v>27</v>
      </c>
      <c r="K630" s="77"/>
      <c r="L630" s="73"/>
      <c r="M630" s="73"/>
      <c r="N630" s="73"/>
      <c r="O630" s="73"/>
      <c r="P630" s="73"/>
      <c r="Q630" s="73"/>
      <c r="R630" s="73"/>
      <c r="S630" s="73"/>
      <c r="T630" s="73"/>
      <c r="U630" s="73"/>
      <c r="V630" s="73"/>
      <c r="W630" s="73"/>
      <c r="X630" s="73"/>
    </row>
    <row r="631">
      <c r="A631" s="74">
        <v>714.0</v>
      </c>
      <c r="B631" s="74" t="s">
        <v>1878</v>
      </c>
      <c r="C631" s="90" t="s">
        <v>1995</v>
      </c>
      <c r="D631" s="83" t="s">
        <v>1996</v>
      </c>
      <c r="E631" s="76">
        <v>45907.0</v>
      </c>
      <c r="F631" s="74" t="str">
        <f>VLOOKUP(D631,Sheet15!D:H,5,FALSE)</f>
        <v>مكتمل</v>
      </c>
      <c r="G631" s="76">
        <v>45930.0</v>
      </c>
      <c r="H631" s="74" t="s">
        <v>29</v>
      </c>
      <c r="I631" s="74" t="str">
        <f>VLOOKUP(D631,Sheet15!D:K,8,FALSE)</f>
        <v>2025-581092</v>
      </c>
      <c r="J631" s="74">
        <f t="shared" si="6"/>
        <v>23</v>
      </c>
      <c r="K631" s="77"/>
      <c r="L631" s="73"/>
      <c r="M631" s="73"/>
      <c r="N631" s="73"/>
      <c r="O631" s="73"/>
      <c r="P631" s="73"/>
      <c r="Q631" s="73"/>
      <c r="R631" s="73"/>
      <c r="S631" s="73"/>
      <c r="T631" s="73"/>
      <c r="U631" s="73"/>
      <c r="V631" s="73"/>
      <c r="W631" s="73"/>
      <c r="X631" s="73"/>
    </row>
    <row r="632">
      <c r="A632" s="74">
        <v>715.0</v>
      </c>
      <c r="B632" s="74" t="s">
        <v>1878</v>
      </c>
      <c r="C632" s="90" t="s">
        <v>1997</v>
      </c>
      <c r="D632" s="83" t="s">
        <v>1998</v>
      </c>
      <c r="E632" s="76">
        <v>45907.0</v>
      </c>
      <c r="F632" s="74" t="str">
        <f>VLOOKUP(D632,Sheet15!D:H,5,FALSE)</f>
        <v>مكتمل</v>
      </c>
      <c r="G632" s="76">
        <v>45930.0</v>
      </c>
      <c r="H632" s="74" t="s">
        <v>29</v>
      </c>
      <c r="I632" s="74" t="str">
        <f>VLOOKUP(D632,Sheet15!D:K,8,FALSE)</f>
        <v>2025-581161</v>
      </c>
      <c r="J632" s="74">
        <f t="shared" si="6"/>
        <v>23</v>
      </c>
      <c r="K632" s="77"/>
      <c r="L632" s="73"/>
      <c r="M632" s="73"/>
      <c r="N632" s="73"/>
      <c r="O632" s="73"/>
      <c r="P632" s="73"/>
      <c r="Q632" s="73"/>
      <c r="R632" s="73"/>
      <c r="S632" s="73"/>
      <c r="T632" s="73"/>
      <c r="U632" s="73"/>
      <c r="V632" s="73"/>
      <c r="W632" s="73"/>
      <c r="X632" s="73"/>
    </row>
    <row r="633">
      <c r="A633" s="74">
        <v>716.0</v>
      </c>
      <c r="B633" s="74" t="s">
        <v>1878</v>
      </c>
      <c r="C633" s="90" t="s">
        <v>1999</v>
      </c>
      <c r="D633" s="83" t="s">
        <v>2000</v>
      </c>
      <c r="E633" s="76">
        <v>45907.0</v>
      </c>
      <c r="F633" s="74" t="str">
        <f>VLOOKUP(D633,Sheet15!D:H,5,FALSE)</f>
        <v>مكتمل</v>
      </c>
      <c r="G633" s="76">
        <v>45930.0</v>
      </c>
      <c r="H633" s="74" t="s">
        <v>29</v>
      </c>
      <c r="I633" s="74" t="str">
        <f>VLOOKUP(D633,Sheet15!D:K,8,FALSE)</f>
        <v>2025-581189</v>
      </c>
      <c r="J633" s="74">
        <f t="shared" si="6"/>
        <v>23</v>
      </c>
      <c r="K633" s="77"/>
      <c r="L633" s="73"/>
      <c r="M633" s="73"/>
      <c r="N633" s="73"/>
      <c r="O633" s="73"/>
      <c r="P633" s="73"/>
      <c r="Q633" s="73"/>
      <c r="R633" s="73"/>
      <c r="S633" s="73"/>
      <c r="T633" s="73"/>
      <c r="U633" s="73"/>
      <c r="V633" s="73"/>
      <c r="W633" s="73"/>
      <c r="X633" s="73"/>
    </row>
    <row r="634">
      <c r="A634" s="74">
        <v>717.0</v>
      </c>
      <c r="B634" s="74" t="s">
        <v>1878</v>
      </c>
      <c r="C634" s="90" t="s">
        <v>2001</v>
      </c>
      <c r="D634" s="83" t="s">
        <v>2002</v>
      </c>
      <c r="E634" s="76">
        <v>45907.0</v>
      </c>
      <c r="F634" s="74" t="str">
        <f>VLOOKUP(D634,Sheet15!D:H,5,FALSE)</f>
        <v>مكتمل</v>
      </c>
      <c r="G634" s="76">
        <v>45930.0</v>
      </c>
      <c r="H634" s="74" t="s">
        <v>29</v>
      </c>
      <c r="I634" s="74" t="str">
        <f>VLOOKUP(D634,Sheet15!D:K,8,FALSE)</f>
        <v>2025-581228</v>
      </c>
      <c r="J634" s="74">
        <f t="shared" si="6"/>
        <v>23</v>
      </c>
      <c r="K634" s="77"/>
      <c r="L634" s="73"/>
      <c r="M634" s="73"/>
      <c r="N634" s="73"/>
      <c r="O634" s="73"/>
      <c r="P634" s="73"/>
      <c r="Q634" s="73"/>
      <c r="R634" s="73"/>
      <c r="S634" s="73"/>
      <c r="T634" s="73"/>
      <c r="U634" s="73"/>
      <c r="V634" s="73"/>
      <c r="W634" s="73"/>
      <c r="X634" s="73"/>
    </row>
    <row r="635">
      <c r="A635" s="74">
        <v>718.0</v>
      </c>
      <c r="B635" s="74" t="s">
        <v>1878</v>
      </c>
      <c r="C635" s="90" t="s">
        <v>2003</v>
      </c>
      <c r="D635" s="83" t="s">
        <v>2004</v>
      </c>
      <c r="E635" s="76">
        <v>45907.0</v>
      </c>
      <c r="F635" s="74" t="str">
        <f>VLOOKUP(D635,Sheet15!D:H,5,FALSE)</f>
        <v>مكتمل</v>
      </c>
      <c r="G635" s="76">
        <v>45930.0</v>
      </c>
      <c r="H635" s="74" t="s">
        <v>29</v>
      </c>
      <c r="I635" s="74" t="str">
        <f>VLOOKUP(D635,Sheet15!D:K,8,FALSE)</f>
        <v>2025-581245</v>
      </c>
      <c r="J635" s="74">
        <f t="shared" si="6"/>
        <v>23</v>
      </c>
      <c r="K635" s="77"/>
      <c r="L635" s="73"/>
      <c r="M635" s="73"/>
      <c r="N635" s="73"/>
      <c r="O635" s="73"/>
      <c r="P635" s="73"/>
      <c r="Q635" s="73"/>
      <c r="R635" s="73"/>
      <c r="S635" s="73"/>
      <c r="T635" s="73"/>
      <c r="U635" s="73"/>
      <c r="V635" s="73"/>
      <c r="W635" s="73"/>
      <c r="X635" s="73"/>
    </row>
    <row r="636">
      <c r="A636" s="74">
        <v>719.0</v>
      </c>
      <c r="B636" s="74" t="s">
        <v>1878</v>
      </c>
      <c r="C636" s="90" t="s">
        <v>2005</v>
      </c>
      <c r="D636" s="83" t="s">
        <v>2006</v>
      </c>
      <c r="E636" s="76">
        <v>45907.0</v>
      </c>
      <c r="F636" s="74" t="str">
        <f>VLOOKUP(D636,Sheet15!D:H,5,FALSE)</f>
        <v>مكتمل</v>
      </c>
      <c r="G636" s="76">
        <v>45930.0</v>
      </c>
      <c r="H636" s="74" t="s">
        <v>29</v>
      </c>
      <c r="I636" s="74" t="str">
        <f>VLOOKUP(D636,Sheet15!D:K,8,FALSE)</f>
        <v>2025-581288</v>
      </c>
      <c r="J636" s="74">
        <f t="shared" si="6"/>
        <v>23</v>
      </c>
      <c r="K636" s="77"/>
      <c r="L636" s="73"/>
      <c r="M636" s="73"/>
      <c r="N636" s="73"/>
      <c r="O636" s="73"/>
      <c r="P636" s="73"/>
      <c r="Q636" s="73"/>
      <c r="R636" s="73"/>
      <c r="S636" s="73"/>
      <c r="T636" s="73"/>
      <c r="U636" s="73"/>
      <c r="V636" s="73"/>
      <c r="W636" s="73"/>
      <c r="X636" s="73"/>
    </row>
    <row r="637">
      <c r="A637" s="74">
        <v>720.0</v>
      </c>
      <c r="B637" s="74" t="s">
        <v>1878</v>
      </c>
      <c r="C637" s="90" t="s">
        <v>2007</v>
      </c>
      <c r="D637" s="82" t="s">
        <v>2008</v>
      </c>
      <c r="E637" s="76">
        <v>45907.0</v>
      </c>
      <c r="F637" s="74" t="str">
        <f>VLOOKUP(D637,Sheet15!D:H,5,FALSE)</f>
        <v>مكتمل</v>
      </c>
      <c r="G637" s="76">
        <v>45930.0</v>
      </c>
      <c r="H637" s="74" t="s">
        <v>29</v>
      </c>
      <c r="I637" s="74" t="str">
        <f>VLOOKUP(D637,Sheet15!D:K,8,FALSE)</f>
        <v>2025-581328</v>
      </c>
      <c r="J637" s="74">
        <f t="shared" si="6"/>
        <v>23</v>
      </c>
      <c r="K637" s="77"/>
      <c r="L637" s="73"/>
      <c r="M637" s="73"/>
      <c r="N637" s="73"/>
      <c r="O637" s="73"/>
      <c r="P637" s="73"/>
      <c r="Q637" s="73"/>
      <c r="R637" s="73"/>
      <c r="S637" s="73"/>
      <c r="T637" s="73"/>
      <c r="U637" s="73"/>
      <c r="V637" s="73"/>
      <c r="W637" s="73"/>
      <c r="X637" s="73"/>
    </row>
    <row r="638">
      <c r="A638" s="74">
        <v>721.0</v>
      </c>
      <c r="B638" s="74" t="s">
        <v>1878</v>
      </c>
      <c r="C638" s="90" t="s">
        <v>2009</v>
      </c>
      <c r="D638" s="83" t="s">
        <v>2010</v>
      </c>
      <c r="E638" s="76">
        <v>45908.0</v>
      </c>
      <c r="F638" s="74" t="str">
        <f>VLOOKUP(D638,Sheet15!D:H,5,FALSE)</f>
        <v>مكتمل</v>
      </c>
      <c r="G638" s="76">
        <v>45930.0</v>
      </c>
      <c r="H638" s="74" t="s">
        <v>29</v>
      </c>
      <c r="I638" s="74" t="str">
        <f>VLOOKUP(D638,Sheet15!D:K,8,FALSE)</f>
        <v>2025-583539</v>
      </c>
      <c r="J638" s="74">
        <f t="shared" si="6"/>
        <v>22</v>
      </c>
      <c r="K638" s="77"/>
      <c r="L638" s="73"/>
      <c r="M638" s="73"/>
      <c r="N638" s="73"/>
      <c r="O638" s="73"/>
      <c r="P638" s="73"/>
      <c r="Q638" s="73"/>
      <c r="R638" s="73"/>
      <c r="S638" s="73"/>
      <c r="T638" s="73"/>
      <c r="U638" s="73"/>
      <c r="V638" s="73"/>
      <c r="W638" s="73"/>
      <c r="X638" s="73"/>
    </row>
    <row r="639">
      <c r="A639" s="74">
        <v>722.0</v>
      </c>
      <c r="B639" s="74" t="s">
        <v>1878</v>
      </c>
      <c r="C639" s="90" t="s">
        <v>2011</v>
      </c>
      <c r="D639" s="83" t="s">
        <v>2012</v>
      </c>
      <c r="E639" s="76">
        <v>45908.0</v>
      </c>
      <c r="F639" s="74" t="str">
        <f>VLOOKUP(D639,Sheet15!D:H,5,FALSE)</f>
        <v>مكتمل</v>
      </c>
      <c r="G639" s="76">
        <v>45930.0</v>
      </c>
      <c r="H639" s="74" t="s">
        <v>29</v>
      </c>
      <c r="I639" s="74" t="str">
        <f>VLOOKUP(D639,Sheet15!D:K,8,FALSE)</f>
        <v>2025-583603</v>
      </c>
      <c r="J639" s="74">
        <f t="shared" si="6"/>
        <v>22</v>
      </c>
      <c r="K639" s="77"/>
      <c r="L639" s="73"/>
      <c r="M639" s="73"/>
      <c r="N639" s="73"/>
      <c r="O639" s="73"/>
      <c r="P639" s="73"/>
      <c r="Q639" s="73"/>
      <c r="R639" s="73"/>
      <c r="S639" s="73"/>
      <c r="T639" s="73"/>
      <c r="U639" s="73"/>
      <c r="V639" s="73"/>
      <c r="W639" s="73"/>
      <c r="X639" s="73"/>
    </row>
    <row r="640">
      <c r="A640" s="74">
        <v>723.0</v>
      </c>
      <c r="B640" s="74" t="s">
        <v>1878</v>
      </c>
      <c r="C640" s="90" t="s">
        <v>2013</v>
      </c>
      <c r="D640" s="83" t="s">
        <v>2014</v>
      </c>
      <c r="E640" s="76">
        <v>45908.0</v>
      </c>
      <c r="F640" s="74" t="str">
        <f>VLOOKUP(D640,Sheet15!D:H,5,FALSE)</f>
        <v>مكتمل</v>
      </c>
      <c r="G640" s="76">
        <v>45930.0</v>
      </c>
      <c r="H640" s="74" t="s">
        <v>29</v>
      </c>
      <c r="I640" s="74" t="str">
        <f>VLOOKUP(D640,Sheet15!D:K,8,FALSE)</f>
        <v>2025-583650</v>
      </c>
      <c r="J640" s="74">
        <f t="shared" si="6"/>
        <v>22</v>
      </c>
      <c r="K640" s="77"/>
      <c r="L640" s="73"/>
      <c r="M640" s="73"/>
      <c r="N640" s="73"/>
      <c r="O640" s="73"/>
      <c r="P640" s="73"/>
      <c r="Q640" s="73"/>
      <c r="R640" s="73"/>
      <c r="S640" s="73"/>
      <c r="T640" s="73"/>
      <c r="U640" s="73"/>
      <c r="V640" s="73"/>
      <c r="W640" s="73"/>
      <c r="X640" s="73"/>
    </row>
    <row r="641">
      <c r="A641" s="74">
        <v>724.0</v>
      </c>
      <c r="B641" s="74" t="s">
        <v>1878</v>
      </c>
      <c r="C641" s="90" t="s">
        <v>2015</v>
      </c>
      <c r="D641" s="83" t="s">
        <v>2016</v>
      </c>
      <c r="E641" s="76">
        <v>45908.0</v>
      </c>
      <c r="F641" s="74" t="str">
        <f>VLOOKUP(D641,Sheet15!D:H,5,FALSE)</f>
        <v>مكتمل</v>
      </c>
      <c r="G641" s="76">
        <v>45930.0</v>
      </c>
      <c r="H641" s="74" t="s">
        <v>29</v>
      </c>
      <c r="I641" s="74" t="str">
        <f>VLOOKUP(D641,Sheet15!D:K,8,FALSE)</f>
        <v>2025-583733</v>
      </c>
      <c r="J641" s="74">
        <f t="shared" si="6"/>
        <v>22</v>
      </c>
      <c r="K641" s="77"/>
      <c r="L641" s="73"/>
      <c r="M641" s="73"/>
      <c r="N641" s="73"/>
      <c r="O641" s="73"/>
      <c r="P641" s="73"/>
      <c r="Q641" s="73"/>
      <c r="R641" s="73"/>
      <c r="S641" s="73"/>
      <c r="T641" s="73"/>
      <c r="U641" s="73"/>
      <c r="V641" s="73"/>
      <c r="W641" s="73"/>
      <c r="X641" s="73"/>
    </row>
    <row r="642">
      <c r="A642" s="74">
        <v>725.0</v>
      </c>
      <c r="B642" s="74" t="s">
        <v>1878</v>
      </c>
      <c r="C642" s="90"/>
      <c r="D642" s="83" t="s">
        <v>2017</v>
      </c>
      <c r="E642" s="76">
        <v>45910.0</v>
      </c>
      <c r="F642" s="78" t="s">
        <v>1420</v>
      </c>
      <c r="G642" s="76">
        <v>45928.0</v>
      </c>
      <c r="H642" s="74" t="s">
        <v>29</v>
      </c>
      <c r="I642" s="74" t="str">
        <f>VLOOKUP(D642,Sheet15!D:K,8,FALSE)</f>
        <v>#N/A</v>
      </c>
      <c r="J642" s="74">
        <f t="shared" si="6"/>
        <v>18</v>
      </c>
      <c r="K642" s="77"/>
      <c r="L642" s="73"/>
      <c r="M642" s="73"/>
      <c r="N642" s="73"/>
      <c r="O642" s="73"/>
      <c r="P642" s="73"/>
      <c r="Q642" s="73"/>
      <c r="R642" s="73"/>
      <c r="S642" s="73"/>
      <c r="T642" s="73"/>
      <c r="U642" s="73"/>
      <c r="V642" s="73"/>
      <c r="W642" s="73"/>
      <c r="X642" s="73"/>
    </row>
    <row r="643">
      <c r="A643" s="74">
        <v>726.0</v>
      </c>
      <c r="B643" s="74" t="s">
        <v>1878</v>
      </c>
      <c r="C643" s="90"/>
      <c r="D643" s="83" t="s">
        <v>1882</v>
      </c>
      <c r="E643" s="76">
        <v>45910.0</v>
      </c>
      <c r="F643" s="74" t="str">
        <f>VLOOKUP(D643,Sheet15!D:H,5,FALSE)</f>
        <v>مكتمل</v>
      </c>
      <c r="G643" s="76">
        <v>45930.0</v>
      </c>
      <c r="H643" s="74" t="s">
        <v>29</v>
      </c>
      <c r="I643" s="74" t="str">
        <f>VLOOKUP(D643,Sheet15!D:K,8,FALSE)</f>
        <v>2025-584309</v>
      </c>
      <c r="J643" s="74">
        <f t="shared" si="6"/>
        <v>20</v>
      </c>
      <c r="K643" s="77"/>
      <c r="L643" s="73"/>
      <c r="M643" s="73"/>
      <c r="N643" s="73"/>
      <c r="O643" s="73"/>
      <c r="P643" s="73"/>
      <c r="Q643" s="73"/>
      <c r="R643" s="73"/>
      <c r="S643" s="73"/>
      <c r="T643" s="73"/>
      <c r="U643" s="73"/>
      <c r="V643" s="73"/>
      <c r="W643" s="73"/>
      <c r="X643" s="73"/>
    </row>
    <row r="644">
      <c r="A644" s="74">
        <v>727.0</v>
      </c>
      <c r="B644" s="74" t="s">
        <v>1878</v>
      </c>
      <c r="C644" s="90"/>
      <c r="D644" s="83" t="s">
        <v>1884</v>
      </c>
      <c r="E644" s="76">
        <v>45910.0</v>
      </c>
      <c r="F644" s="78" t="s">
        <v>1420</v>
      </c>
      <c r="G644" s="76">
        <v>45936.0</v>
      </c>
      <c r="H644" s="74" t="s">
        <v>29</v>
      </c>
      <c r="I644" s="74" t="str">
        <f>VLOOKUP(D644,Sheet15!D:K,8,FALSE)</f>
        <v>2025-589914</v>
      </c>
      <c r="J644" s="74">
        <f t="shared" si="6"/>
        <v>26</v>
      </c>
      <c r="K644" s="77"/>
      <c r="L644" s="73"/>
      <c r="M644" s="73"/>
      <c r="N644" s="73"/>
      <c r="O644" s="73"/>
      <c r="P644" s="73"/>
      <c r="Q644" s="73"/>
      <c r="R644" s="73"/>
      <c r="S644" s="73"/>
      <c r="T644" s="73"/>
      <c r="U644" s="73"/>
      <c r="V644" s="73"/>
      <c r="W644" s="73"/>
      <c r="X644" s="73"/>
    </row>
    <row r="645">
      <c r="A645" s="74">
        <v>729.0</v>
      </c>
      <c r="B645" s="74" t="s">
        <v>1878</v>
      </c>
      <c r="C645" s="90"/>
      <c r="D645" s="83" t="s">
        <v>2018</v>
      </c>
      <c r="E645" s="76">
        <v>45910.0</v>
      </c>
      <c r="F645" s="78" t="s">
        <v>1420</v>
      </c>
      <c r="G645" s="76">
        <v>45936.0</v>
      </c>
      <c r="H645" s="74" t="s">
        <v>29</v>
      </c>
      <c r="I645" s="74" t="str">
        <f>VLOOKUP(D645,Sheet15!D:K,8,FALSE)</f>
        <v>#N/A</v>
      </c>
      <c r="J645" s="74">
        <f t="shared" si="6"/>
        <v>26</v>
      </c>
      <c r="K645" s="77"/>
      <c r="L645" s="73"/>
      <c r="M645" s="73"/>
      <c r="N645" s="73"/>
      <c r="O645" s="73"/>
      <c r="P645" s="73"/>
      <c r="Q645" s="73"/>
      <c r="R645" s="73"/>
      <c r="S645" s="73"/>
      <c r="T645" s="73"/>
      <c r="U645" s="73"/>
      <c r="V645" s="73"/>
      <c r="W645" s="73"/>
      <c r="X645" s="73"/>
    </row>
    <row r="646" ht="14.25" customHeight="1">
      <c r="A646" s="74">
        <v>730.0</v>
      </c>
      <c r="B646" s="74" t="s">
        <v>1878</v>
      </c>
      <c r="C646" s="90"/>
      <c r="D646" s="83" t="s">
        <v>2019</v>
      </c>
      <c r="E646" s="76">
        <v>45910.0</v>
      </c>
      <c r="F646" s="78" t="s">
        <v>1420</v>
      </c>
      <c r="G646" s="76">
        <v>45936.0</v>
      </c>
      <c r="H646" s="74" t="s">
        <v>29</v>
      </c>
      <c r="I646" s="74" t="str">
        <f>VLOOKUP(D646,Sheet15!D:K,8,FALSE)</f>
        <v>#N/A</v>
      </c>
      <c r="J646" s="74">
        <f t="shared" si="6"/>
        <v>26</v>
      </c>
      <c r="K646" s="77"/>
      <c r="L646" s="73"/>
      <c r="M646" s="73"/>
      <c r="N646" s="73"/>
      <c r="O646" s="73"/>
      <c r="P646" s="73"/>
      <c r="Q646" s="73"/>
      <c r="R646" s="73"/>
      <c r="S646" s="73"/>
      <c r="T646" s="73"/>
      <c r="U646" s="73"/>
      <c r="V646" s="73"/>
      <c r="W646" s="73"/>
      <c r="X646" s="73"/>
    </row>
    <row r="647">
      <c r="A647" s="74">
        <v>731.0</v>
      </c>
      <c r="B647" s="74" t="s">
        <v>1878</v>
      </c>
      <c r="C647" s="90"/>
      <c r="D647" s="83" t="s">
        <v>2020</v>
      </c>
      <c r="E647" s="76">
        <v>45910.0</v>
      </c>
      <c r="F647" s="78" t="s">
        <v>1420</v>
      </c>
      <c r="G647" s="76">
        <v>45936.0</v>
      </c>
      <c r="H647" s="74" t="s">
        <v>29</v>
      </c>
      <c r="I647" s="74" t="str">
        <f>VLOOKUP(D647,Sheet15!D:K,8,FALSE)</f>
        <v>2025-590366</v>
      </c>
      <c r="J647" s="74">
        <f t="shared" si="6"/>
        <v>26</v>
      </c>
      <c r="K647" s="77"/>
      <c r="L647" s="73"/>
      <c r="M647" s="73"/>
      <c r="N647" s="73"/>
      <c r="O647" s="73"/>
      <c r="P647" s="73"/>
      <c r="Q647" s="73"/>
      <c r="R647" s="73"/>
      <c r="S647" s="73"/>
      <c r="T647" s="73"/>
      <c r="U647" s="73"/>
      <c r="V647" s="73"/>
      <c r="W647" s="73"/>
      <c r="X647" s="73"/>
    </row>
    <row r="648">
      <c r="A648" s="74">
        <v>732.0</v>
      </c>
      <c r="B648" s="74" t="s">
        <v>1878</v>
      </c>
      <c r="C648" s="90"/>
      <c r="D648" s="83" t="s">
        <v>2021</v>
      </c>
      <c r="E648" s="76">
        <v>45910.0</v>
      </c>
      <c r="F648" s="78" t="s">
        <v>1420</v>
      </c>
      <c r="G648" s="76">
        <v>45936.0</v>
      </c>
      <c r="H648" s="74" t="s">
        <v>29</v>
      </c>
      <c r="I648" s="74"/>
      <c r="J648" s="74">
        <f t="shared" si="6"/>
        <v>26</v>
      </c>
      <c r="K648" s="77"/>
      <c r="L648" s="73"/>
      <c r="M648" s="73"/>
      <c r="N648" s="73"/>
      <c r="O648" s="73"/>
      <c r="P648" s="73"/>
      <c r="Q648" s="73"/>
      <c r="R648" s="73"/>
      <c r="S648" s="73"/>
      <c r="T648" s="73"/>
      <c r="U648" s="73"/>
      <c r="V648" s="73"/>
      <c r="W648" s="73"/>
      <c r="X648" s="73"/>
    </row>
    <row r="649">
      <c r="A649" s="74">
        <v>733.0</v>
      </c>
      <c r="B649" s="74" t="s">
        <v>2022</v>
      </c>
      <c r="C649" s="90"/>
      <c r="D649" s="83" t="s">
        <v>2023</v>
      </c>
      <c r="E649" s="76">
        <v>45911.0</v>
      </c>
      <c r="F649" s="78" t="s">
        <v>1420</v>
      </c>
      <c r="G649" s="76">
        <v>45936.0</v>
      </c>
      <c r="H649" s="74" t="s">
        <v>29</v>
      </c>
      <c r="I649" s="74" t="str">
        <f>VLOOKUP(D649,Sheet15!D:K,8,FALSE)</f>
        <v>2025-593339</v>
      </c>
      <c r="J649" s="74">
        <f t="shared" si="6"/>
        <v>25</v>
      </c>
      <c r="K649" s="91" t="s">
        <v>2024</v>
      </c>
      <c r="L649" s="73"/>
      <c r="M649" s="73"/>
      <c r="N649" s="73"/>
      <c r="O649" s="73"/>
      <c r="P649" s="73"/>
      <c r="Q649" s="73"/>
      <c r="R649" s="73"/>
      <c r="S649" s="73"/>
      <c r="T649" s="73"/>
      <c r="U649" s="73"/>
      <c r="V649" s="73"/>
      <c r="W649" s="73"/>
      <c r="X649" s="73"/>
    </row>
    <row r="650">
      <c r="A650" s="74">
        <v>734.0</v>
      </c>
      <c r="B650" s="74" t="s">
        <v>2022</v>
      </c>
      <c r="C650" s="90"/>
      <c r="D650" s="83" t="s">
        <v>2025</v>
      </c>
      <c r="E650" s="76">
        <v>45911.0</v>
      </c>
      <c r="F650" s="78" t="s">
        <v>1420</v>
      </c>
      <c r="G650" s="74"/>
      <c r="H650" s="74" t="s">
        <v>29</v>
      </c>
      <c r="I650" s="74" t="str">
        <f>VLOOKUP(D650,Sheet15!D:K,8,FALSE)</f>
        <v>#N/A</v>
      </c>
      <c r="J650" s="76">
        <f t="shared" si="6"/>
        <v>-45911</v>
      </c>
      <c r="K650" s="77"/>
      <c r="L650" s="73"/>
      <c r="M650" s="73"/>
      <c r="N650" s="73"/>
      <c r="O650" s="73"/>
      <c r="P650" s="73"/>
      <c r="Q650" s="73"/>
      <c r="R650" s="73"/>
      <c r="S650" s="73"/>
      <c r="T650" s="73"/>
      <c r="U650" s="73"/>
      <c r="V650" s="73"/>
      <c r="W650" s="73"/>
      <c r="X650" s="73"/>
    </row>
    <row r="651">
      <c r="A651" s="74">
        <v>735.0</v>
      </c>
      <c r="B651" s="74" t="s">
        <v>2022</v>
      </c>
      <c r="C651" s="90"/>
      <c r="D651" s="83" t="s">
        <v>2026</v>
      </c>
      <c r="E651" s="76">
        <v>45911.0</v>
      </c>
      <c r="F651" s="78" t="s">
        <v>1420</v>
      </c>
      <c r="G651" s="76">
        <v>45937.0</v>
      </c>
      <c r="H651" s="74" t="s">
        <v>29</v>
      </c>
      <c r="I651" s="74" t="str">
        <f>VLOOKUP(D651,Sheet15!D:K,8,FALSE)</f>
        <v>2025-593841</v>
      </c>
      <c r="J651" s="74">
        <f t="shared" si="6"/>
        <v>26</v>
      </c>
      <c r="K651" s="77"/>
      <c r="L651" s="73"/>
      <c r="M651" s="73"/>
      <c r="N651" s="73"/>
      <c r="O651" s="73"/>
      <c r="P651" s="73"/>
      <c r="Q651" s="73"/>
      <c r="R651" s="73"/>
      <c r="S651" s="73"/>
      <c r="T651" s="73"/>
      <c r="U651" s="73"/>
      <c r="V651" s="73"/>
      <c r="W651" s="73"/>
      <c r="X651" s="73"/>
    </row>
    <row r="652">
      <c r="A652" s="74">
        <v>736.0</v>
      </c>
      <c r="B652" s="74" t="s">
        <v>2022</v>
      </c>
      <c r="C652" s="90"/>
      <c r="D652" s="92" t="s">
        <v>2027</v>
      </c>
      <c r="E652" s="76">
        <v>45914.0</v>
      </c>
      <c r="F652" s="78" t="s">
        <v>1420</v>
      </c>
      <c r="G652" s="76">
        <v>45937.0</v>
      </c>
      <c r="H652" s="74" t="s">
        <v>29</v>
      </c>
      <c r="I652" s="74" t="str">
        <f>VLOOKUP(D652,Sheet15!D:K,8,FALSE)</f>
        <v>#N/A</v>
      </c>
      <c r="J652" s="74">
        <f t="shared" si="6"/>
        <v>23</v>
      </c>
      <c r="K652" s="77"/>
      <c r="L652" s="73"/>
      <c r="M652" s="73"/>
      <c r="N652" s="73"/>
      <c r="O652" s="73"/>
      <c r="P652" s="73"/>
      <c r="Q652" s="73"/>
      <c r="R652" s="73"/>
      <c r="S652" s="73"/>
      <c r="T652" s="73"/>
      <c r="U652" s="73"/>
      <c r="V652" s="73"/>
      <c r="W652" s="73"/>
      <c r="X652" s="73"/>
    </row>
    <row r="653">
      <c r="A653" s="74">
        <v>737.0</v>
      </c>
      <c r="B653" s="74" t="s">
        <v>2022</v>
      </c>
      <c r="C653" s="90"/>
      <c r="D653" s="83" t="s">
        <v>2028</v>
      </c>
      <c r="E653" s="76">
        <v>45914.0</v>
      </c>
      <c r="F653" s="78" t="s">
        <v>1420</v>
      </c>
      <c r="G653" s="76">
        <v>45937.0</v>
      </c>
      <c r="H653" s="74" t="s">
        <v>29</v>
      </c>
      <c r="I653" s="74" t="str">
        <f>VLOOKUP(D653,Sheet15!D:K,8,FALSE)</f>
        <v>2025-597709</v>
      </c>
      <c r="J653" s="74">
        <f t="shared" si="6"/>
        <v>23</v>
      </c>
      <c r="K653" s="77"/>
      <c r="L653" s="73"/>
      <c r="M653" s="73"/>
      <c r="N653" s="73"/>
      <c r="O653" s="73"/>
      <c r="P653" s="73"/>
      <c r="Q653" s="73"/>
      <c r="R653" s="73"/>
      <c r="S653" s="73"/>
      <c r="T653" s="73"/>
      <c r="U653" s="73"/>
      <c r="V653" s="73"/>
      <c r="W653" s="73"/>
      <c r="X653" s="73"/>
    </row>
    <row r="654">
      <c r="A654" s="74">
        <v>738.0</v>
      </c>
      <c r="B654" s="74" t="s">
        <v>2022</v>
      </c>
      <c r="C654" s="90"/>
      <c r="D654" s="83" t="s">
        <v>2029</v>
      </c>
      <c r="E654" s="76">
        <v>45914.0</v>
      </c>
      <c r="F654" s="78" t="s">
        <v>1420</v>
      </c>
      <c r="G654" s="76">
        <v>45936.0</v>
      </c>
      <c r="H654" s="74" t="s">
        <v>29</v>
      </c>
      <c r="I654" s="74" t="str">
        <f>VLOOKUP(D654,Sheet15!D:K,8,FALSE)</f>
        <v>2025-597775</v>
      </c>
      <c r="J654" s="74">
        <f t="shared" si="6"/>
        <v>22</v>
      </c>
      <c r="K654" s="77"/>
      <c r="L654" s="73"/>
      <c r="M654" s="73"/>
      <c r="N654" s="73"/>
      <c r="O654" s="73"/>
      <c r="P654" s="73"/>
      <c r="Q654" s="73"/>
      <c r="R654" s="73"/>
      <c r="S654" s="73"/>
      <c r="T654" s="73"/>
      <c r="U654" s="73"/>
      <c r="V654" s="73"/>
      <c r="W654" s="73"/>
      <c r="X654" s="73"/>
    </row>
    <row r="655" ht="21.0" customHeight="1">
      <c r="A655" s="74">
        <v>739.0</v>
      </c>
      <c r="B655" s="74" t="s">
        <v>2022</v>
      </c>
      <c r="C655" s="90"/>
      <c r="D655" s="83" t="s">
        <v>2030</v>
      </c>
      <c r="E655" s="76">
        <v>45914.0</v>
      </c>
      <c r="F655" s="78" t="s">
        <v>1420</v>
      </c>
      <c r="G655" s="74"/>
      <c r="H655" s="74" t="s">
        <v>29</v>
      </c>
      <c r="I655" s="93" t="s">
        <v>2031</v>
      </c>
      <c r="J655" s="76">
        <f t="shared" si="6"/>
        <v>-45914</v>
      </c>
      <c r="K655" s="91" t="s">
        <v>2032</v>
      </c>
      <c r="L655" s="73"/>
      <c r="M655" s="73"/>
      <c r="N655" s="73"/>
      <c r="O655" s="73"/>
      <c r="P655" s="73"/>
      <c r="Q655" s="73"/>
      <c r="R655" s="73"/>
      <c r="S655" s="73"/>
      <c r="T655" s="73"/>
      <c r="U655" s="73"/>
      <c r="V655" s="73"/>
      <c r="W655" s="73"/>
      <c r="X655" s="73"/>
    </row>
    <row r="656">
      <c r="A656" s="74">
        <v>740.0</v>
      </c>
      <c r="B656" s="74" t="s">
        <v>2022</v>
      </c>
      <c r="C656" s="90"/>
      <c r="D656" s="83" t="s">
        <v>2033</v>
      </c>
      <c r="E656" s="76">
        <v>45914.0</v>
      </c>
      <c r="F656" s="78" t="s">
        <v>1420</v>
      </c>
      <c r="G656" s="76">
        <v>45936.0</v>
      </c>
      <c r="H656" s="74" t="s">
        <v>29</v>
      </c>
      <c r="I656" s="74" t="str">
        <f>VLOOKUP(D656,Sheet15!D:K,8,FALSE)</f>
        <v>2025-597895</v>
      </c>
      <c r="J656" s="74">
        <f t="shared" si="6"/>
        <v>22</v>
      </c>
      <c r="K656" s="77"/>
      <c r="L656" s="73"/>
      <c r="M656" s="73"/>
      <c r="N656" s="73"/>
      <c r="O656" s="73"/>
      <c r="P656" s="73"/>
      <c r="Q656" s="73"/>
      <c r="R656" s="73"/>
      <c r="S656" s="73"/>
      <c r="T656" s="73"/>
      <c r="U656" s="73"/>
      <c r="V656" s="73"/>
      <c r="W656" s="73"/>
      <c r="X656" s="73"/>
    </row>
    <row r="657">
      <c r="A657" s="74">
        <v>741.0</v>
      </c>
      <c r="B657" s="74" t="s">
        <v>2022</v>
      </c>
      <c r="C657" s="90"/>
      <c r="D657" s="83" t="s">
        <v>2034</v>
      </c>
      <c r="E657" s="76">
        <v>45914.0</v>
      </c>
      <c r="F657" s="78" t="s">
        <v>1420</v>
      </c>
      <c r="G657" s="76">
        <v>45953.0</v>
      </c>
      <c r="H657" s="74" t="s">
        <v>29</v>
      </c>
      <c r="I657" s="74" t="str">
        <f>VLOOKUP(D657,Sheet15!D:K,8,FALSE)</f>
        <v>2025-597988</v>
      </c>
      <c r="J657" s="74">
        <f t="shared" si="6"/>
        <v>39</v>
      </c>
      <c r="K657" s="77"/>
      <c r="L657" s="73"/>
      <c r="M657" s="73"/>
      <c r="N657" s="73"/>
      <c r="O657" s="73"/>
      <c r="P657" s="73"/>
      <c r="Q657" s="73"/>
      <c r="R657" s="73"/>
      <c r="S657" s="73"/>
      <c r="T657" s="73"/>
      <c r="U657" s="73"/>
      <c r="V657" s="73"/>
      <c r="W657" s="73"/>
      <c r="X657" s="73"/>
    </row>
    <row r="658">
      <c r="A658" s="74">
        <v>742.0</v>
      </c>
      <c r="B658" s="74" t="s">
        <v>2022</v>
      </c>
      <c r="C658" s="90"/>
      <c r="D658" s="83" t="s">
        <v>2035</v>
      </c>
      <c r="E658" s="76">
        <v>45914.0</v>
      </c>
      <c r="F658" s="78" t="s">
        <v>1420</v>
      </c>
      <c r="G658" s="76">
        <v>45936.0</v>
      </c>
      <c r="H658" s="74" t="s">
        <v>29</v>
      </c>
      <c r="I658" s="74" t="str">
        <f>VLOOKUP(D658,Sheet15!D:K,8,FALSE)</f>
        <v>2025-598187</v>
      </c>
      <c r="J658" s="74">
        <f t="shared" si="6"/>
        <v>22</v>
      </c>
      <c r="K658" s="77"/>
      <c r="L658" s="73"/>
      <c r="M658" s="73"/>
      <c r="N658" s="73"/>
      <c r="O658" s="73"/>
      <c r="P658" s="73"/>
      <c r="Q658" s="73"/>
      <c r="R658" s="73"/>
      <c r="S658" s="73"/>
      <c r="T658" s="73"/>
      <c r="U658" s="73"/>
      <c r="V658" s="73"/>
      <c r="W658" s="73"/>
      <c r="X658" s="73"/>
    </row>
    <row r="659">
      <c r="A659" s="74">
        <v>743.0</v>
      </c>
      <c r="B659" s="74" t="s">
        <v>1878</v>
      </c>
      <c r="C659" s="90" t="s">
        <v>2036</v>
      </c>
      <c r="D659" s="83" t="s">
        <v>2037</v>
      </c>
      <c r="E659" s="76">
        <v>45914.0</v>
      </c>
      <c r="F659" s="78" t="s">
        <v>1420</v>
      </c>
      <c r="G659" s="76">
        <v>45936.0</v>
      </c>
      <c r="H659" s="74" t="s">
        <v>29</v>
      </c>
      <c r="I659" s="74" t="str">
        <f>VLOOKUP(D659,Sheet15!D:K,8,FALSE)</f>
        <v>2025-598303</v>
      </c>
      <c r="J659" s="74">
        <f t="shared" si="6"/>
        <v>22</v>
      </c>
      <c r="K659" s="77"/>
      <c r="L659" s="73"/>
      <c r="M659" s="73"/>
      <c r="N659" s="73"/>
      <c r="O659" s="73"/>
      <c r="P659" s="73"/>
      <c r="Q659" s="73"/>
      <c r="R659" s="73"/>
      <c r="S659" s="73"/>
      <c r="T659" s="73"/>
      <c r="U659" s="73"/>
      <c r="V659" s="73"/>
      <c r="W659" s="73"/>
      <c r="X659" s="73"/>
    </row>
    <row r="660">
      <c r="A660" s="74">
        <v>744.0</v>
      </c>
      <c r="B660" s="74" t="s">
        <v>1878</v>
      </c>
      <c r="C660" s="90" t="s">
        <v>2038</v>
      </c>
      <c r="D660" s="83" t="s">
        <v>2039</v>
      </c>
      <c r="E660" s="76">
        <v>45914.0</v>
      </c>
      <c r="F660" s="78" t="s">
        <v>1420</v>
      </c>
      <c r="G660" s="74"/>
      <c r="H660" s="74" t="s">
        <v>29</v>
      </c>
      <c r="I660" s="74" t="str">
        <f>VLOOKUP(D660,Sheet15!D:K,8,FALSE)</f>
        <v>2025-598374</v>
      </c>
      <c r="J660" s="76">
        <f t="shared" si="6"/>
        <v>-45914</v>
      </c>
      <c r="K660" s="77"/>
      <c r="L660" s="73"/>
      <c r="M660" s="73"/>
      <c r="N660" s="73"/>
      <c r="O660" s="73"/>
      <c r="P660" s="73"/>
      <c r="Q660" s="73"/>
      <c r="R660" s="73"/>
      <c r="S660" s="73"/>
      <c r="T660" s="73"/>
      <c r="U660" s="73"/>
      <c r="V660" s="73"/>
      <c r="W660" s="73"/>
      <c r="X660" s="73"/>
    </row>
    <row r="661">
      <c r="A661" s="74">
        <v>745.0</v>
      </c>
      <c r="B661" s="74" t="s">
        <v>1878</v>
      </c>
      <c r="C661" s="90" t="s">
        <v>2040</v>
      </c>
      <c r="D661" s="83" t="s">
        <v>2041</v>
      </c>
      <c r="E661" s="76">
        <v>45914.0</v>
      </c>
      <c r="F661" s="78" t="s">
        <v>1420</v>
      </c>
      <c r="G661" s="76">
        <v>45936.0</v>
      </c>
      <c r="H661" s="74" t="s">
        <v>29</v>
      </c>
      <c r="I661" s="74" t="str">
        <f>VLOOKUP(D661,Sheet15!D:K,8,FALSE)</f>
        <v>2025-598749</v>
      </c>
      <c r="J661" s="74">
        <f t="shared" si="6"/>
        <v>22</v>
      </c>
      <c r="K661" s="77"/>
      <c r="L661" s="73"/>
      <c r="M661" s="73"/>
      <c r="N661" s="73"/>
      <c r="O661" s="73"/>
      <c r="P661" s="73"/>
      <c r="Q661" s="73"/>
      <c r="R661" s="73"/>
      <c r="S661" s="73"/>
      <c r="T661" s="73"/>
      <c r="U661" s="73"/>
      <c r="V661" s="73"/>
      <c r="W661" s="73"/>
      <c r="X661" s="73"/>
    </row>
    <row r="662">
      <c r="A662" s="74">
        <v>746.0</v>
      </c>
      <c r="B662" s="74" t="s">
        <v>1878</v>
      </c>
      <c r="C662" s="90" t="s">
        <v>2042</v>
      </c>
      <c r="D662" s="83" t="s">
        <v>2043</v>
      </c>
      <c r="E662" s="76">
        <v>45914.0</v>
      </c>
      <c r="F662" s="78" t="s">
        <v>1420</v>
      </c>
      <c r="G662" s="76">
        <v>45970.0</v>
      </c>
      <c r="H662" s="74" t="s">
        <v>29</v>
      </c>
      <c r="I662" s="74" t="str">
        <f>VLOOKUP(D662,Sheet15!D:K,8,FALSE)</f>
        <v>2025-598780</v>
      </c>
      <c r="J662" s="74">
        <f t="shared" si="6"/>
        <v>56</v>
      </c>
      <c r="K662" s="77"/>
      <c r="L662" s="73"/>
      <c r="M662" s="73"/>
      <c r="N662" s="73"/>
      <c r="O662" s="73"/>
      <c r="P662" s="73"/>
      <c r="Q662" s="73"/>
      <c r="R662" s="73"/>
      <c r="S662" s="73"/>
      <c r="T662" s="73"/>
      <c r="U662" s="73"/>
      <c r="V662" s="73"/>
      <c r="W662" s="73"/>
      <c r="X662" s="73"/>
    </row>
    <row r="663">
      <c r="A663" s="74">
        <v>747.0</v>
      </c>
      <c r="B663" s="74" t="s">
        <v>1878</v>
      </c>
      <c r="C663" s="90" t="s">
        <v>2044</v>
      </c>
      <c r="D663" s="83" t="s">
        <v>2045</v>
      </c>
      <c r="E663" s="76">
        <v>45914.0</v>
      </c>
      <c r="F663" s="78" t="s">
        <v>1420</v>
      </c>
      <c r="G663" s="76">
        <v>45936.0</v>
      </c>
      <c r="H663" s="74" t="s">
        <v>29</v>
      </c>
      <c r="I663" s="74" t="str">
        <f>VLOOKUP(D663,Sheet15!D:K,8,FALSE)</f>
        <v>2025-598875</v>
      </c>
      <c r="J663" s="74">
        <f t="shared" si="6"/>
        <v>22</v>
      </c>
      <c r="K663" s="77"/>
      <c r="L663" s="73"/>
      <c r="M663" s="73"/>
      <c r="N663" s="73"/>
      <c r="O663" s="73"/>
      <c r="P663" s="73"/>
      <c r="Q663" s="73"/>
      <c r="R663" s="73"/>
      <c r="S663" s="73"/>
      <c r="T663" s="73"/>
      <c r="U663" s="73"/>
      <c r="V663" s="73"/>
      <c r="W663" s="73"/>
      <c r="X663" s="73"/>
    </row>
    <row r="664">
      <c r="A664" s="74">
        <v>748.0</v>
      </c>
      <c r="B664" s="74" t="s">
        <v>1878</v>
      </c>
      <c r="C664" s="90" t="s">
        <v>2046</v>
      </c>
      <c r="D664" s="83" t="s">
        <v>2047</v>
      </c>
      <c r="E664" s="76">
        <v>45914.0</v>
      </c>
      <c r="F664" s="78" t="s">
        <v>1420</v>
      </c>
      <c r="G664" s="76">
        <v>45936.0</v>
      </c>
      <c r="H664" s="74" t="s">
        <v>29</v>
      </c>
      <c r="I664" s="74" t="str">
        <f>VLOOKUP(D664,Sheet15!D:K,8,FALSE)</f>
        <v>2025-598906</v>
      </c>
      <c r="J664" s="74">
        <f t="shared" si="6"/>
        <v>22</v>
      </c>
      <c r="K664" s="77"/>
      <c r="L664" s="73"/>
      <c r="M664" s="73"/>
      <c r="N664" s="73"/>
      <c r="O664" s="73"/>
      <c r="P664" s="73"/>
      <c r="Q664" s="73"/>
      <c r="R664" s="73"/>
      <c r="S664" s="73"/>
      <c r="T664" s="73"/>
      <c r="U664" s="73"/>
      <c r="V664" s="73"/>
      <c r="W664" s="73"/>
      <c r="X664" s="73"/>
    </row>
    <row r="665">
      <c r="A665" s="74">
        <v>749.0</v>
      </c>
      <c r="B665" s="74" t="s">
        <v>1878</v>
      </c>
      <c r="C665" s="90" t="s">
        <v>2048</v>
      </c>
      <c r="D665" s="83" t="s">
        <v>2049</v>
      </c>
      <c r="E665" s="76">
        <v>45915.0</v>
      </c>
      <c r="F665" s="78" t="s">
        <v>1420</v>
      </c>
      <c r="G665" s="87">
        <v>45936.0</v>
      </c>
      <c r="H665" s="74" t="s">
        <v>29</v>
      </c>
      <c r="I665" s="74" t="str">
        <f>VLOOKUP(D665,Sheet15!D:K,8,FALSE)</f>
        <v>2025-601466</v>
      </c>
      <c r="J665" s="74">
        <f t="shared" si="6"/>
        <v>21</v>
      </c>
      <c r="K665" s="77"/>
      <c r="L665" s="73"/>
      <c r="M665" s="73"/>
      <c r="N665" s="73"/>
      <c r="O665" s="73"/>
      <c r="P665" s="73"/>
      <c r="Q665" s="73"/>
      <c r="R665" s="73"/>
      <c r="S665" s="73"/>
      <c r="T665" s="73"/>
      <c r="U665" s="73"/>
      <c r="V665" s="73"/>
      <c r="W665" s="73"/>
      <c r="X665" s="73"/>
    </row>
    <row r="666">
      <c r="A666" s="74">
        <v>750.0</v>
      </c>
      <c r="B666" s="74" t="s">
        <v>1878</v>
      </c>
      <c r="C666" s="90" t="s">
        <v>2050</v>
      </c>
      <c r="D666" s="83" t="s">
        <v>2051</v>
      </c>
      <c r="E666" s="76">
        <v>45915.0</v>
      </c>
      <c r="F666" s="78" t="s">
        <v>1420</v>
      </c>
      <c r="G666" s="87">
        <v>45936.0</v>
      </c>
      <c r="H666" s="74" t="s">
        <v>29</v>
      </c>
      <c r="I666" s="74" t="str">
        <f>VLOOKUP(D666,Sheet15!D:K,8,FALSE)</f>
        <v>2025-601982</v>
      </c>
      <c r="J666" s="74">
        <f t="shared" si="6"/>
        <v>21</v>
      </c>
      <c r="K666" s="77"/>
      <c r="L666" s="73"/>
      <c r="M666" s="73"/>
      <c r="N666" s="73"/>
      <c r="O666" s="73"/>
      <c r="P666" s="73"/>
      <c r="Q666" s="73"/>
      <c r="R666" s="73"/>
      <c r="S666" s="73"/>
      <c r="T666" s="73"/>
      <c r="U666" s="73"/>
      <c r="V666" s="73"/>
      <c r="W666" s="73"/>
      <c r="X666" s="73"/>
    </row>
    <row r="667">
      <c r="A667" s="74">
        <v>751.0</v>
      </c>
      <c r="B667" s="74" t="s">
        <v>1878</v>
      </c>
      <c r="C667" s="90" t="s">
        <v>2052</v>
      </c>
      <c r="D667" s="83" t="s">
        <v>2053</v>
      </c>
      <c r="E667" s="76">
        <v>45915.0</v>
      </c>
      <c r="F667" s="78" t="s">
        <v>1420</v>
      </c>
      <c r="G667" s="87">
        <v>45936.0</v>
      </c>
      <c r="H667" s="74" t="s">
        <v>29</v>
      </c>
      <c r="I667" s="74" t="str">
        <f>VLOOKUP(D667,Sheet15!D:K,8,FALSE)</f>
        <v>2025-602018</v>
      </c>
      <c r="J667" s="74">
        <f t="shared" si="6"/>
        <v>21</v>
      </c>
      <c r="K667" s="77"/>
      <c r="L667" s="73"/>
      <c r="M667" s="73"/>
      <c r="N667" s="73"/>
      <c r="O667" s="73"/>
      <c r="P667" s="73"/>
      <c r="Q667" s="73"/>
      <c r="R667" s="73"/>
      <c r="S667" s="73"/>
      <c r="T667" s="73"/>
      <c r="U667" s="73"/>
      <c r="V667" s="73"/>
      <c r="W667" s="73"/>
      <c r="X667" s="73"/>
    </row>
    <row r="668">
      <c r="A668" s="74">
        <v>752.0</v>
      </c>
      <c r="B668" s="74" t="s">
        <v>1878</v>
      </c>
      <c r="C668" s="90" t="s">
        <v>2054</v>
      </c>
      <c r="D668" s="83" t="s">
        <v>2055</v>
      </c>
      <c r="E668" s="76">
        <v>45915.0</v>
      </c>
      <c r="F668" s="78" t="s">
        <v>1420</v>
      </c>
      <c r="G668" s="87">
        <v>45937.0</v>
      </c>
      <c r="H668" s="74" t="s">
        <v>29</v>
      </c>
      <c r="I668" s="74" t="str">
        <f>VLOOKUP(D668,Sheet15!D:K,8,FALSE)</f>
        <v>2025-602064</v>
      </c>
      <c r="J668" s="74">
        <f t="shared" si="6"/>
        <v>22</v>
      </c>
      <c r="K668" s="77"/>
      <c r="L668" s="73"/>
      <c r="M668" s="73"/>
      <c r="N668" s="73"/>
      <c r="O668" s="73"/>
      <c r="P668" s="73"/>
      <c r="Q668" s="73"/>
      <c r="R668" s="73"/>
      <c r="S668" s="73"/>
      <c r="T668" s="73"/>
      <c r="U668" s="73"/>
      <c r="V668" s="73"/>
      <c r="W668" s="73"/>
      <c r="X668" s="73"/>
    </row>
    <row r="669">
      <c r="A669" s="74">
        <v>753.0</v>
      </c>
      <c r="B669" s="74" t="s">
        <v>1878</v>
      </c>
      <c r="C669" s="90" t="s">
        <v>2056</v>
      </c>
      <c r="D669" s="83" t="s">
        <v>2057</v>
      </c>
      <c r="E669" s="76">
        <v>45915.0</v>
      </c>
      <c r="F669" s="78" t="s">
        <v>1420</v>
      </c>
      <c r="G669" s="87">
        <v>45937.0</v>
      </c>
      <c r="H669" s="74" t="s">
        <v>29</v>
      </c>
      <c r="I669" s="74" t="str">
        <f>VLOOKUP(D669,Sheet15!D:K,8,FALSE)</f>
        <v>2025-602090</v>
      </c>
      <c r="J669" s="74">
        <f t="shared" si="6"/>
        <v>22</v>
      </c>
      <c r="K669" s="77"/>
      <c r="L669" s="73"/>
      <c r="M669" s="73"/>
      <c r="N669" s="73"/>
      <c r="O669" s="73"/>
      <c r="P669" s="73"/>
      <c r="Q669" s="73"/>
      <c r="R669" s="73"/>
      <c r="S669" s="73"/>
      <c r="T669" s="73"/>
      <c r="U669" s="73"/>
      <c r="V669" s="73"/>
      <c r="W669" s="73"/>
      <c r="X669" s="73"/>
    </row>
    <row r="670">
      <c r="A670" s="74">
        <v>754.0</v>
      </c>
      <c r="B670" s="74" t="s">
        <v>1878</v>
      </c>
      <c r="C670" s="90" t="s">
        <v>2058</v>
      </c>
      <c r="D670" s="83" t="s">
        <v>2059</v>
      </c>
      <c r="E670" s="76">
        <v>45915.0</v>
      </c>
      <c r="F670" s="78" t="s">
        <v>1420</v>
      </c>
      <c r="G670" s="87">
        <v>45937.0</v>
      </c>
      <c r="H670" s="74" t="s">
        <v>29</v>
      </c>
      <c r="I670" s="74" t="str">
        <f>VLOOKUP(D670,Sheet15!D:K,8,FALSE)</f>
        <v>2025-602142</v>
      </c>
      <c r="J670" s="74">
        <f t="shared" si="6"/>
        <v>22</v>
      </c>
      <c r="K670" s="77"/>
      <c r="L670" s="73"/>
      <c r="M670" s="73"/>
      <c r="N670" s="73"/>
      <c r="O670" s="73"/>
      <c r="P670" s="73"/>
      <c r="Q670" s="73"/>
      <c r="R670" s="73"/>
      <c r="S670" s="73"/>
      <c r="T670" s="73"/>
      <c r="U670" s="73"/>
      <c r="V670" s="73"/>
      <c r="W670" s="73"/>
      <c r="X670" s="73"/>
    </row>
    <row r="671">
      <c r="A671" s="74">
        <v>755.0</v>
      </c>
      <c r="B671" s="74" t="s">
        <v>1878</v>
      </c>
      <c r="C671" s="90" t="s">
        <v>2060</v>
      </c>
      <c r="D671" s="83" t="s">
        <v>2061</v>
      </c>
      <c r="E671" s="76">
        <v>45915.0</v>
      </c>
      <c r="F671" s="78" t="s">
        <v>1420</v>
      </c>
      <c r="G671" s="87">
        <v>45937.0</v>
      </c>
      <c r="H671" s="74" t="s">
        <v>29</v>
      </c>
      <c r="I671" s="74" t="str">
        <f>VLOOKUP(D671,Sheet15!D:K,8,FALSE)</f>
        <v>2025-602159</v>
      </c>
      <c r="J671" s="74">
        <f t="shared" si="6"/>
        <v>22</v>
      </c>
      <c r="K671" s="77"/>
      <c r="L671" s="73"/>
      <c r="M671" s="73"/>
      <c r="N671" s="73"/>
      <c r="O671" s="73"/>
      <c r="P671" s="73"/>
      <c r="Q671" s="73"/>
      <c r="R671" s="73"/>
      <c r="S671" s="73"/>
      <c r="T671" s="73"/>
      <c r="U671" s="73"/>
      <c r="V671" s="73"/>
      <c r="W671" s="73"/>
      <c r="X671" s="73"/>
    </row>
    <row r="672">
      <c r="A672" s="74">
        <v>756.0</v>
      </c>
      <c r="B672" s="74" t="s">
        <v>1878</v>
      </c>
      <c r="C672" s="90" t="s">
        <v>2062</v>
      </c>
      <c r="D672" s="83" t="s">
        <v>2063</v>
      </c>
      <c r="E672" s="76">
        <v>45915.0</v>
      </c>
      <c r="F672" s="78" t="s">
        <v>1420</v>
      </c>
      <c r="G672" s="87">
        <v>45937.0</v>
      </c>
      <c r="H672" s="74" t="s">
        <v>29</v>
      </c>
      <c r="I672" s="74" t="str">
        <f>VLOOKUP(D672,Sheet15!D:K,8,FALSE)</f>
        <v>2025-602236</v>
      </c>
      <c r="J672" s="74">
        <f t="shared" si="6"/>
        <v>22</v>
      </c>
      <c r="K672" s="77"/>
      <c r="L672" s="73"/>
      <c r="M672" s="73"/>
      <c r="N672" s="73"/>
      <c r="O672" s="73"/>
      <c r="P672" s="73"/>
      <c r="Q672" s="73"/>
      <c r="R672" s="73"/>
      <c r="S672" s="73"/>
      <c r="T672" s="73"/>
      <c r="U672" s="73"/>
      <c r="V672" s="73"/>
      <c r="W672" s="73"/>
      <c r="X672" s="73"/>
    </row>
    <row r="673">
      <c r="A673" s="74">
        <v>757.0</v>
      </c>
      <c r="B673" s="74" t="s">
        <v>1878</v>
      </c>
      <c r="C673" s="90" t="s">
        <v>2064</v>
      </c>
      <c r="D673" s="83" t="s">
        <v>2065</v>
      </c>
      <c r="E673" s="76">
        <v>45915.0</v>
      </c>
      <c r="F673" s="78" t="s">
        <v>1420</v>
      </c>
      <c r="G673" s="87">
        <v>45937.0</v>
      </c>
      <c r="H673" s="74" t="s">
        <v>29</v>
      </c>
      <c r="I673" s="74" t="str">
        <f>VLOOKUP(D673,Sheet15!D:K,8,FALSE)</f>
        <v>2025-602250</v>
      </c>
      <c r="J673" s="74">
        <f t="shared" si="6"/>
        <v>22</v>
      </c>
      <c r="K673" s="77"/>
      <c r="L673" s="73"/>
      <c r="M673" s="73"/>
      <c r="N673" s="73"/>
      <c r="O673" s="73"/>
      <c r="P673" s="73"/>
      <c r="Q673" s="73"/>
      <c r="R673" s="73"/>
      <c r="S673" s="73"/>
      <c r="T673" s="73"/>
      <c r="U673" s="73"/>
      <c r="V673" s="73"/>
      <c r="W673" s="73"/>
      <c r="X673" s="73"/>
    </row>
    <row r="674">
      <c r="A674" s="74">
        <v>758.0</v>
      </c>
      <c r="B674" s="74" t="s">
        <v>1878</v>
      </c>
      <c r="C674" s="90" t="s">
        <v>2066</v>
      </c>
      <c r="D674" s="75" t="s">
        <v>2067</v>
      </c>
      <c r="E674" s="76">
        <v>45916.0</v>
      </c>
      <c r="F674" s="78" t="s">
        <v>1420</v>
      </c>
      <c r="G674" s="87">
        <v>45937.0</v>
      </c>
      <c r="H674" s="74" t="s">
        <v>29</v>
      </c>
      <c r="I674" s="74" t="str">
        <f>VLOOKUP(D674,Sheet15!D:K,8,FALSE)</f>
        <v>2025-604718</v>
      </c>
      <c r="J674" s="74">
        <f t="shared" si="6"/>
        <v>21</v>
      </c>
      <c r="K674" s="77"/>
      <c r="L674" s="73"/>
      <c r="M674" s="73"/>
      <c r="N674" s="73"/>
      <c r="O674" s="73"/>
      <c r="P674" s="73"/>
      <c r="Q674" s="73"/>
      <c r="R674" s="73"/>
      <c r="S674" s="73"/>
      <c r="T674" s="73"/>
      <c r="U674" s="73"/>
      <c r="V674" s="73"/>
      <c r="W674" s="73"/>
      <c r="X674" s="73"/>
    </row>
    <row r="675">
      <c r="A675" s="74">
        <v>759.0</v>
      </c>
      <c r="B675" s="74" t="s">
        <v>1048</v>
      </c>
      <c r="C675" s="90"/>
      <c r="D675" s="83" t="s">
        <v>2068</v>
      </c>
      <c r="E675" s="76">
        <v>45869.0</v>
      </c>
      <c r="F675" s="74" t="str">
        <f>VLOOKUP(D675,Sheet15!D:H,5,FALSE)</f>
        <v>مكتمل</v>
      </c>
      <c r="G675" s="76">
        <v>45907.0</v>
      </c>
      <c r="H675" s="74" t="s">
        <v>29</v>
      </c>
      <c r="I675" s="74" t="str">
        <f>VLOOKUP(D675,Sheet15!D:K,8,FALSE)</f>
        <v>2025-533509</v>
      </c>
      <c r="J675" s="74">
        <f t="shared" si="6"/>
        <v>38</v>
      </c>
      <c r="K675" s="77"/>
      <c r="L675" s="73"/>
      <c r="M675" s="73"/>
      <c r="N675" s="73"/>
      <c r="O675" s="73"/>
      <c r="P675" s="73"/>
      <c r="Q675" s="73"/>
      <c r="R675" s="73"/>
      <c r="S675" s="73"/>
      <c r="T675" s="73"/>
      <c r="U675" s="73"/>
      <c r="V675" s="73"/>
      <c r="W675" s="73"/>
      <c r="X675" s="73"/>
    </row>
    <row r="676">
      <c r="A676" s="74">
        <v>760.0</v>
      </c>
      <c r="B676" s="74" t="s">
        <v>1048</v>
      </c>
      <c r="C676" s="90"/>
      <c r="D676" s="83" t="s">
        <v>2069</v>
      </c>
      <c r="E676" s="76">
        <v>45869.0</v>
      </c>
      <c r="F676" s="74" t="str">
        <f>VLOOKUP(D676,Sheet15!D:H,5,FALSE)</f>
        <v>مكتمل</v>
      </c>
      <c r="G676" s="76">
        <v>45907.0</v>
      </c>
      <c r="H676" s="74" t="s">
        <v>29</v>
      </c>
      <c r="I676" s="74" t="str">
        <f>VLOOKUP(D676,Sheet15!D:K,8,FALSE)</f>
        <v>2025-533509</v>
      </c>
      <c r="J676" s="74">
        <f t="shared" si="6"/>
        <v>38</v>
      </c>
      <c r="K676" s="77"/>
      <c r="L676" s="73"/>
      <c r="M676" s="73"/>
      <c r="N676" s="73"/>
      <c r="O676" s="73"/>
      <c r="P676" s="73"/>
      <c r="Q676" s="73"/>
      <c r="R676" s="73"/>
      <c r="S676" s="73"/>
      <c r="T676" s="73"/>
      <c r="U676" s="73"/>
      <c r="V676" s="73"/>
      <c r="W676" s="73"/>
      <c r="X676" s="73"/>
    </row>
    <row r="677">
      <c r="A677" s="74">
        <v>761.0</v>
      </c>
      <c r="B677" s="74" t="s">
        <v>1048</v>
      </c>
      <c r="C677" s="90"/>
      <c r="D677" s="83" t="s">
        <v>2070</v>
      </c>
      <c r="E677" s="76">
        <v>45869.0</v>
      </c>
      <c r="F677" s="78" t="s">
        <v>1420</v>
      </c>
      <c r="G677" s="76">
        <v>45907.0</v>
      </c>
      <c r="H677" s="74" t="s">
        <v>29</v>
      </c>
      <c r="I677" s="74" t="str">
        <f>VLOOKUP(D677,Sheet15!D:K,8,FALSE)</f>
        <v>#N/A</v>
      </c>
      <c r="J677" s="74">
        <f t="shared" si="6"/>
        <v>38</v>
      </c>
      <c r="K677" s="77"/>
      <c r="L677" s="73"/>
      <c r="M677" s="73"/>
      <c r="N677" s="73"/>
      <c r="O677" s="73"/>
      <c r="P677" s="73"/>
      <c r="Q677" s="73"/>
      <c r="R677" s="73"/>
      <c r="S677" s="73"/>
      <c r="T677" s="73"/>
      <c r="U677" s="73"/>
      <c r="V677" s="73"/>
      <c r="W677" s="73"/>
      <c r="X677" s="73"/>
    </row>
    <row r="678">
      <c r="A678" s="74">
        <v>762.0</v>
      </c>
      <c r="B678" s="74" t="s">
        <v>1048</v>
      </c>
      <c r="C678" s="90"/>
      <c r="D678" s="83" t="s">
        <v>2071</v>
      </c>
      <c r="E678" s="76">
        <v>45869.0</v>
      </c>
      <c r="F678" s="74" t="str">
        <f>VLOOKUP(D678,Sheet15!D:H,5,FALSE)</f>
        <v>مكتمل</v>
      </c>
      <c r="G678" s="76">
        <v>45907.0</v>
      </c>
      <c r="H678" s="74" t="s">
        <v>29</v>
      </c>
      <c r="I678" s="74" t="str">
        <f>VLOOKUP(D678,Sheet15!D:K,8,FALSE)</f>
        <v>2025-514647</v>
      </c>
      <c r="J678" s="74">
        <f t="shared" si="6"/>
        <v>38</v>
      </c>
      <c r="K678" s="77"/>
      <c r="L678" s="73"/>
      <c r="M678" s="73"/>
      <c r="N678" s="73"/>
      <c r="O678" s="73"/>
      <c r="P678" s="73"/>
      <c r="Q678" s="73"/>
      <c r="R678" s="73"/>
      <c r="S678" s="73"/>
      <c r="T678" s="73"/>
      <c r="U678" s="73"/>
      <c r="V678" s="73"/>
      <c r="W678" s="73"/>
      <c r="X678" s="73"/>
    </row>
    <row r="679">
      <c r="A679" s="74">
        <v>763.0</v>
      </c>
      <c r="B679" s="74" t="s">
        <v>1048</v>
      </c>
      <c r="C679" s="90"/>
      <c r="D679" s="83" t="s">
        <v>2072</v>
      </c>
      <c r="E679" s="76">
        <v>45869.0</v>
      </c>
      <c r="F679" s="74" t="str">
        <f>VLOOKUP(D679,Sheet15!D:H,5,FALSE)</f>
        <v>مكتمل</v>
      </c>
      <c r="G679" s="76">
        <v>45907.0</v>
      </c>
      <c r="H679" s="74" t="s">
        <v>29</v>
      </c>
      <c r="I679" s="74" t="str">
        <f>VLOOKUP(D679,Sheet15!D:K,8,FALSE)</f>
        <v>2025-533780</v>
      </c>
      <c r="J679" s="74">
        <f t="shared" si="6"/>
        <v>38</v>
      </c>
      <c r="K679" s="77"/>
      <c r="L679" s="73"/>
      <c r="M679" s="73"/>
      <c r="N679" s="73"/>
      <c r="O679" s="73"/>
      <c r="P679" s="73"/>
      <c r="Q679" s="73"/>
      <c r="R679" s="73"/>
      <c r="S679" s="73"/>
      <c r="T679" s="73"/>
      <c r="U679" s="73"/>
      <c r="V679" s="73"/>
      <c r="W679" s="73"/>
      <c r="X679" s="73"/>
    </row>
    <row r="680">
      <c r="A680" s="74">
        <v>764.0</v>
      </c>
      <c r="B680" s="74" t="s">
        <v>1048</v>
      </c>
      <c r="C680" s="90"/>
      <c r="D680" s="83" t="s">
        <v>2073</v>
      </c>
      <c r="E680" s="76">
        <v>45869.0</v>
      </c>
      <c r="F680" s="74" t="str">
        <f>VLOOKUP(D680,Sheet15!D:H,5,FALSE)</f>
        <v>مكتمل</v>
      </c>
      <c r="G680" s="76">
        <v>45907.0</v>
      </c>
      <c r="H680" s="74" t="s">
        <v>29</v>
      </c>
      <c r="I680" s="74" t="str">
        <f>VLOOKUP(D680,Sheet15!D:K,8,FALSE)</f>
        <v>2025-514642</v>
      </c>
      <c r="J680" s="74">
        <f t="shared" si="6"/>
        <v>38</v>
      </c>
      <c r="K680" s="77"/>
      <c r="L680" s="73"/>
      <c r="M680" s="73"/>
      <c r="N680" s="73"/>
      <c r="O680" s="73"/>
      <c r="P680" s="73"/>
      <c r="Q680" s="73"/>
      <c r="R680" s="73"/>
      <c r="S680" s="73"/>
      <c r="T680" s="73"/>
      <c r="U680" s="73"/>
      <c r="V680" s="73"/>
      <c r="W680" s="73"/>
      <c r="X680" s="73"/>
    </row>
    <row r="681">
      <c r="A681" s="74">
        <v>765.0</v>
      </c>
      <c r="B681" s="74" t="s">
        <v>1048</v>
      </c>
      <c r="C681" s="90"/>
      <c r="D681" s="83" t="s">
        <v>2074</v>
      </c>
      <c r="E681" s="76">
        <v>45869.0</v>
      </c>
      <c r="F681" s="74" t="str">
        <f>VLOOKUP(D681,Sheet15!D:H,5,FALSE)</f>
        <v>مكتمل</v>
      </c>
      <c r="G681" s="76">
        <v>45907.0</v>
      </c>
      <c r="H681" s="74" t="s">
        <v>29</v>
      </c>
      <c r="I681" s="74" t="str">
        <f>VLOOKUP(D681,Sheet15!D:K,8,FALSE)</f>
        <v>2025-514651</v>
      </c>
      <c r="J681" s="74">
        <f t="shared" si="6"/>
        <v>38</v>
      </c>
      <c r="K681" s="77"/>
      <c r="L681" s="73"/>
      <c r="M681" s="73"/>
      <c r="N681" s="73"/>
      <c r="O681" s="73"/>
      <c r="P681" s="73"/>
      <c r="Q681" s="73"/>
      <c r="R681" s="73"/>
      <c r="S681" s="73"/>
      <c r="T681" s="73"/>
      <c r="U681" s="73"/>
      <c r="V681" s="73"/>
      <c r="W681" s="73"/>
      <c r="X681" s="73"/>
    </row>
    <row r="682">
      <c r="A682" s="74">
        <v>766.0</v>
      </c>
      <c r="B682" s="74" t="s">
        <v>1048</v>
      </c>
      <c r="C682" s="90"/>
      <c r="D682" s="83" t="s">
        <v>2075</v>
      </c>
      <c r="E682" s="76">
        <v>45869.0</v>
      </c>
      <c r="F682" s="74" t="str">
        <f>VLOOKUP(D682,Sheet15!D:H,5,FALSE)</f>
        <v>مكتمل</v>
      </c>
      <c r="G682" s="76">
        <v>45907.0</v>
      </c>
      <c r="H682" s="74" t="s">
        <v>29</v>
      </c>
      <c r="I682" s="74" t="str">
        <f>VLOOKUP(D682,Sheet15!D:K,8,FALSE)</f>
        <v>2025-533189</v>
      </c>
      <c r="J682" s="74">
        <f t="shared" si="6"/>
        <v>38</v>
      </c>
      <c r="K682" s="77"/>
      <c r="L682" s="73"/>
      <c r="M682" s="73"/>
      <c r="N682" s="73"/>
      <c r="O682" s="73"/>
      <c r="P682" s="73"/>
      <c r="Q682" s="73"/>
      <c r="R682" s="73"/>
      <c r="S682" s="73"/>
      <c r="T682" s="73"/>
      <c r="U682" s="73"/>
      <c r="V682" s="73"/>
      <c r="W682" s="73"/>
      <c r="X682" s="73"/>
    </row>
    <row r="683">
      <c r="A683" s="74">
        <v>767.0</v>
      </c>
      <c r="B683" s="74" t="s">
        <v>1048</v>
      </c>
      <c r="C683" s="90"/>
      <c r="D683" s="83" t="s">
        <v>2076</v>
      </c>
      <c r="E683" s="76">
        <v>45869.0</v>
      </c>
      <c r="F683" s="78" t="s">
        <v>1420</v>
      </c>
      <c r="G683" s="76">
        <v>45907.0</v>
      </c>
      <c r="H683" s="74" t="s">
        <v>29</v>
      </c>
      <c r="I683" s="74" t="str">
        <f>VLOOKUP(D683,Sheet15!D:K,8,FALSE)</f>
        <v>#N/A</v>
      </c>
      <c r="J683" s="74">
        <f t="shared" si="6"/>
        <v>38</v>
      </c>
      <c r="K683" s="77"/>
      <c r="L683" s="73"/>
      <c r="M683" s="73"/>
      <c r="N683" s="73"/>
      <c r="O683" s="73"/>
      <c r="P683" s="73"/>
      <c r="Q683" s="73"/>
      <c r="R683" s="73"/>
      <c r="S683" s="73"/>
      <c r="T683" s="73"/>
      <c r="U683" s="73"/>
      <c r="V683" s="73"/>
      <c r="W683" s="73"/>
      <c r="X683" s="73"/>
    </row>
    <row r="684">
      <c r="A684" s="74">
        <v>768.0</v>
      </c>
      <c r="B684" s="74" t="s">
        <v>1048</v>
      </c>
      <c r="C684" s="90"/>
      <c r="D684" s="83" t="s">
        <v>2077</v>
      </c>
      <c r="E684" s="76">
        <v>45869.0</v>
      </c>
      <c r="F684" s="74" t="str">
        <f>VLOOKUP(D684,Sheet15!D:H,5,FALSE)</f>
        <v>مكتمل</v>
      </c>
      <c r="G684" s="76">
        <v>45907.0</v>
      </c>
      <c r="H684" s="74" t="s">
        <v>29</v>
      </c>
      <c r="I684" s="74" t="str">
        <f>VLOOKUP(D684,Sheet15!D:K,8,FALSE)</f>
        <v>2025-514649</v>
      </c>
      <c r="J684" s="74">
        <f t="shared" si="6"/>
        <v>38</v>
      </c>
      <c r="K684" s="77"/>
      <c r="L684" s="73"/>
      <c r="M684" s="73"/>
      <c r="N684" s="73"/>
      <c r="O684" s="73"/>
      <c r="P684" s="73"/>
      <c r="Q684" s="73"/>
      <c r="R684" s="73"/>
      <c r="S684" s="73"/>
      <c r="T684" s="73"/>
      <c r="U684" s="73"/>
      <c r="V684" s="73"/>
      <c r="W684" s="73"/>
      <c r="X684" s="73"/>
    </row>
    <row r="685">
      <c r="A685" s="74">
        <v>769.0</v>
      </c>
      <c r="B685" s="74" t="s">
        <v>1048</v>
      </c>
      <c r="C685" s="90"/>
      <c r="D685" s="83" t="s">
        <v>2078</v>
      </c>
      <c r="E685" s="76">
        <v>45869.0</v>
      </c>
      <c r="F685" s="74" t="str">
        <f>VLOOKUP(D685,Sheet15!D:H,5,FALSE)</f>
        <v>مكتمل</v>
      </c>
      <c r="G685" s="76">
        <v>45907.0</v>
      </c>
      <c r="H685" s="74" t="s">
        <v>29</v>
      </c>
      <c r="I685" s="74" t="str">
        <f>VLOOKUP(D685,Sheet15!D:K,8,FALSE)</f>
        <v>2025-514648</v>
      </c>
      <c r="J685" s="74">
        <f t="shared" si="6"/>
        <v>38</v>
      </c>
      <c r="K685" s="77"/>
      <c r="L685" s="73"/>
      <c r="M685" s="73"/>
      <c r="N685" s="73"/>
      <c r="O685" s="73"/>
      <c r="P685" s="73"/>
      <c r="Q685" s="73"/>
      <c r="R685" s="73"/>
      <c r="S685" s="73"/>
      <c r="T685" s="73"/>
      <c r="U685" s="73"/>
      <c r="V685" s="73"/>
      <c r="W685" s="73"/>
      <c r="X685" s="73"/>
    </row>
    <row r="686">
      <c r="A686" s="74">
        <v>770.0</v>
      </c>
      <c r="B686" s="74" t="s">
        <v>1048</v>
      </c>
      <c r="C686" s="90"/>
      <c r="D686" s="83" t="s">
        <v>2079</v>
      </c>
      <c r="E686" s="76">
        <v>45869.0</v>
      </c>
      <c r="F686" s="74" t="str">
        <f>VLOOKUP(D686,Sheet15!D:H,5,FALSE)</f>
        <v>مكتمل</v>
      </c>
      <c r="G686" s="76">
        <v>45907.0</v>
      </c>
      <c r="H686" s="74" t="s">
        <v>29</v>
      </c>
      <c r="I686" s="74" t="str">
        <f>VLOOKUP(D686,Sheet15!D:K,8,FALSE)</f>
        <v>2025-533083</v>
      </c>
      <c r="J686" s="74">
        <f t="shared" si="6"/>
        <v>38</v>
      </c>
      <c r="K686" s="77"/>
      <c r="L686" s="73"/>
      <c r="M686" s="73"/>
      <c r="N686" s="73"/>
      <c r="O686" s="73"/>
      <c r="P686" s="73"/>
      <c r="Q686" s="73"/>
      <c r="R686" s="73"/>
      <c r="S686" s="73"/>
      <c r="T686" s="73"/>
      <c r="U686" s="73"/>
      <c r="V686" s="73"/>
      <c r="W686" s="73"/>
      <c r="X686" s="73"/>
    </row>
    <row r="687">
      <c r="A687" s="74">
        <v>771.0</v>
      </c>
      <c r="B687" s="74" t="s">
        <v>1048</v>
      </c>
      <c r="C687" s="90"/>
      <c r="D687" s="83" t="s">
        <v>2080</v>
      </c>
      <c r="E687" s="76">
        <v>45869.0</v>
      </c>
      <c r="F687" s="74" t="str">
        <f>VLOOKUP(D687,Sheet15!D:H,5,FALSE)</f>
        <v>مكتمل</v>
      </c>
      <c r="G687" s="76">
        <v>45907.0</v>
      </c>
      <c r="H687" s="74" t="s">
        <v>29</v>
      </c>
      <c r="I687" s="74" t="str">
        <f>VLOOKUP(D687,Sheet15!D:K,8,FALSE)</f>
        <v>2025-514644</v>
      </c>
      <c r="J687" s="74">
        <f t="shared" si="6"/>
        <v>38</v>
      </c>
      <c r="K687" s="77"/>
      <c r="L687" s="73"/>
      <c r="M687" s="73"/>
      <c r="N687" s="73"/>
      <c r="O687" s="73"/>
      <c r="P687" s="73"/>
      <c r="Q687" s="73"/>
      <c r="R687" s="73"/>
      <c r="S687" s="73"/>
      <c r="T687" s="73"/>
      <c r="U687" s="73"/>
      <c r="V687" s="73"/>
      <c r="W687" s="73"/>
      <c r="X687" s="73"/>
    </row>
    <row r="688">
      <c r="A688" s="74">
        <v>772.0</v>
      </c>
      <c r="B688" s="74" t="s">
        <v>1896</v>
      </c>
      <c r="C688" s="90"/>
      <c r="D688" s="83" t="s">
        <v>2081</v>
      </c>
      <c r="E688" s="76">
        <v>45922.0</v>
      </c>
      <c r="F688" s="78" t="s">
        <v>1427</v>
      </c>
      <c r="G688" s="74"/>
      <c r="H688" s="74" t="s">
        <v>1401</v>
      </c>
      <c r="I688" s="74" t="str">
        <f>VLOOKUP(D688,Sheet15!D:K,8,FALSE)</f>
        <v>#N/A</v>
      </c>
      <c r="J688" s="76">
        <f t="shared" si="6"/>
        <v>-45922</v>
      </c>
      <c r="K688" s="77"/>
      <c r="L688" s="73"/>
      <c r="M688" s="73"/>
      <c r="N688" s="73"/>
      <c r="O688" s="73"/>
      <c r="P688" s="73"/>
      <c r="Q688" s="73"/>
      <c r="R688" s="73"/>
      <c r="S688" s="73"/>
      <c r="T688" s="73"/>
      <c r="U688" s="73"/>
      <c r="V688" s="73"/>
      <c r="W688" s="73"/>
      <c r="X688" s="73"/>
    </row>
    <row r="689">
      <c r="A689" s="74">
        <v>773.0</v>
      </c>
      <c r="B689" s="74" t="s">
        <v>1896</v>
      </c>
      <c r="C689" s="90"/>
      <c r="D689" s="83" t="s">
        <v>2082</v>
      </c>
      <c r="E689" s="76">
        <v>45922.0</v>
      </c>
      <c r="F689" s="78" t="s">
        <v>1427</v>
      </c>
      <c r="G689" s="74"/>
      <c r="H689" s="74" t="s">
        <v>1401</v>
      </c>
      <c r="I689" s="74" t="str">
        <f>VLOOKUP(D689,Sheet15!D:K,8,FALSE)</f>
        <v>#N/A</v>
      </c>
      <c r="J689" s="76">
        <f t="shared" si="6"/>
        <v>-45922</v>
      </c>
      <c r="K689" s="77"/>
      <c r="L689" s="73"/>
      <c r="M689" s="73"/>
      <c r="N689" s="73"/>
      <c r="O689" s="73"/>
      <c r="P689" s="73"/>
      <c r="Q689" s="73"/>
      <c r="R689" s="73"/>
      <c r="S689" s="73"/>
      <c r="T689" s="73"/>
      <c r="U689" s="73"/>
      <c r="V689" s="73"/>
      <c r="W689" s="73"/>
      <c r="X689" s="73"/>
    </row>
    <row r="690">
      <c r="A690" s="74">
        <v>774.0</v>
      </c>
      <c r="B690" s="74" t="s">
        <v>1896</v>
      </c>
      <c r="C690" s="90"/>
      <c r="D690" s="83" t="s">
        <v>2083</v>
      </c>
      <c r="E690" s="76">
        <v>45922.0</v>
      </c>
      <c r="F690" s="78" t="s">
        <v>1420</v>
      </c>
      <c r="G690" s="76">
        <v>45968.0</v>
      </c>
      <c r="H690" s="74" t="s">
        <v>29</v>
      </c>
      <c r="I690" s="74"/>
      <c r="J690" s="74">
        <f t="shared" si="6"/>
        <v>46</v>
      </c>
      <c r="K690" s="77"/>
      <c r="L690" s="73"/>
      <c r="M690" s="73"/>
      <c r="N690" s="73"/>
      <c r="O690" s="73"/>
      <c r="P690" s="73"/>
      <c r="Q690" s="73"/>
      <c r="R690" s="73"/>
      <c r="S690" s="73"/>
      <c r="T690" s="73"/>
      <c r="U690" s="73"/>
      <c r="V690" s="73"/>
      <c r="W690" s="73"/>
      <c r="X690" s="73"/>
    </row>
    <row r="691">
      <c r="A691" s="74">
        <v>775.0</v>
      </c>
      <c r="B691" s="74" t="s">
        <v>1896</v>
      </c>
      <c r="C691" s="90"/>
      <c r="D691" s="83" t="s">
        <v>2084</v>
      </c>
      <c r="E691" s="76">
        <v>45922.0</v>
      </c>
      <c r="F691" s="78" t="s">
        <v>1427</v>
      </c>
      <c r="G691" s="74"/>
      <c r="H691" s="74" t="s">
        <v>1401</v>
      </c>
      <c r="I691" s="74" t="str">
        <f>VLOOKUP(D691,Sheet15!D:K,8,FALSE)</f>
        <v>#N/A</v>
      </c>
      <c r="J691" s="76">
        <f t="shared" si="6"/>
        <v>-45922</v>
      </c>
      <c r="K691" s="77"/>
      <c r="L691" s="73"/>
      <c r="M691" s="73"/>
      <c r="N691" s="73"/>
      <c r="O691" s="73"/>
      <c r="P691" s="73"/>
      <c r="Q691" s="73"/>
      <c r="R691" s="73"/>
      <c r="S691" s="73"/>
      <c r="T691" s="73"/>
      <c r="U691" s="73"/>
      <c r="V691" s="73"/>
      <c r="W691" s="73"/>
      <c r="X691" s="73"/>
    </row>
    <row r="692">
      <c r="A692" s="74">
        <v>776.0</v>
      </c>
      <c r="B692" s="74" t="s">
        <v>1896</v>
      </c>
      <c r="C692" s="90"/>
      <c r="D692" s="83" t="s">
        <v>2085</v>
      </c>
      <c r="E692" s="76">
        <v>45922.0</v>
      </c>
      <c r="F692" s="78" t="s">
        <v>1420</v>
      </c>
      <c r="G692" s="76">
        <v>45953.0</v>
      </c>
      <c r="H692" s="74" t="s">
        <v>29</v>
      </c>
      <c r="I692" s="74" t="str">
        <f>VLOOKUP(D692,Sheet15!D:K,8,FALSE)</f>
        <v>#N/A</v>
      </c>
      <c r="J692" s="74">
        <f t="shared" si="6"/>
        <v>31</v>
      </c>
      <c r="K692" s="77"/>
      <c r="L692" s="73"/>
      <c r="M692" s="73"/>
      <c r="N692" s="73"/>
      <c r="O692" s="73"/>
      <c r="P692" s="73"/>
      <c r="Q692" s="73"/>
      <c r="R692" s="73"/>
      <c r="S692" s="73"/>
      <c r="T692" s="73"/>
      <c r="U692" s="73"/>
      <c r="V692" s="73"/>
      <c r="W692" s="73"/>
      <c r="X692" s="73"/>
    </row>
    <row r="693">
      <c r="A693" s="74">
        <v>777.0</v>
      </c>
      <c r="B693" s="74" t="s">
        <v>1896</v>
      </c>
      <c r="C693" s="90"/>
      <c r="D693" s="83" t="s">
        <v>2086</v>
      </c>
      <c r="E693" s="76">
        <v>45922.0</v>
      </c>
      <c r="F693" s="78" t="s">
        <v>1420</v>
      </c>
      <c r="G693" s="76">
        <v>45965.0</v>
      </c>
      <c r="H693" s="74" t="s">
        <v>29</v>
      </c>
      <c r="I693" s="74" t="str">
        <f>VLOOKUP(D693,Sheet15!D:K,8,FALSE)</f>
        <v>#N/A</v>
      </c>
      <c r="J693" s="74">
        <f t="shared" si="6"/>
        <v>43</v>
      </c>
      <c r="K693" s="77"/>
      <c r="L693" s="73"/>
      <c r="M693" s="73"/>
      <c r="N693" s="73"/>
      <c r="O693" s="73"/>
      <c r="P693" s="73"/>
      <c r="Q693" s="73"/>
      <c r="R693" s="73"/>
      <c r="S693" s="73"/>
      <c r="T693" s="73"/>
      <c r="U693" s="73"/>
      <c r="V693" s="73"/>
      <c r="W693" s="73"/>
      <c r="X693" s="73"/>
    </row>
    <row r="694">
      <c r="A694" s="74">
        <v>778.0</v>
      </c>
      <c r="B694" s="74" t="s">
        <v>1896</v>
      </c>
      <c r="C694" s="90"/>
      <c r="D694" s="83" t="s">
        <v>2087</v>
      </c>
      <c r="E694" s="76">
        <v>45922.0</v>
      </c>
      <c r="F694" s="78" t="s">
        <v>1420</v>
      </c>
      <c r="G694" s="76">
        <v>45953.0</v>
      </c>
      <c r="H694" s="74" t="s">
        <v>29</v>
      </c>
      <c r="I694" s="74" t="str">
        <f>VLOOKUP(D694,Sheet15!D:K,8,FALSE)</f>
        <v>#N/A</v>
      </c>
      <c r="J694" s="74">
        <f t="shared" si="6"/>
        <v>31</v>
      </c>
      <c r="K694" s="77"/>
      <c r="L694" s="73"/>
      <c r="M694" s="73"/>
      <c r="N694" s="73"/>
      <c r="O694" s="73"/>
      <c r="P694" s="73"/>
      <c r="Q694" s="73"/>
      <c r="R694" s="73"/>
      <c r="S694" s="73"/>
      <c r="T694" s="73"/>
      <c r="U694" s="73"/>
      <c r="V694" s="73"/>
      <c r="W694" s="73"/>
      <c r="X694" s="73"/>
    </row>
    <row r="695">
      <c r="A695" s="74">
        <v>779.0</v>
      </c>
      <c r="B695" s="74" t="s">
        <v>1896</v>
      </c>
      <c r="C695" s="90"/>
      <c r="D695" s="83" t="s">
        <v>2088</v>
      </c>
      <c r="E695" s="76">
        <v>45922.0</v>
      </c>
      <c r="F695" s="78" t="s">
        <v>1420</v>
      </c>
      <c r="G695" s="76">
        <v>45953.0</v>
      </c>
      <c r="H695" s="74" t="s">
        <v>29</v>
      </c>
      <c r="I695" s="74" t="str">
        <f>VLOOKUP(D695,Sheet15!D:K,8,FALSE)</f>
        <v>#N/A</v>
      </c>
      <c r="J695" s="74">
        <f t="shared" si="6"/>
        <v>31</v>
      </c>
      <c r="K695" s="77"/>
      <c r="L695" s="73"/>
      <c r="M695" s="73"/>
      <c r="N695" s="73"/>
      <c r="O695" s="73"/>
      <c r="P695" s="73"/>
      <c r="Q695" s="73"/>
      <c r="R695" s="73"/>
      <c r="S695" s="73"/>
      <c r="T695" s="73"/>
      <c r="U695" s="73"/>
      <c r="V695" s="73"/>
      <c r="W695" s="73"/>
      <c r="X695" s="73"/>
    </row>
    <row r="696">
      <c r="A696" s="74">
        <v>780.0</v>
      </c>
      <c r="B696" s="74" t="s">
        <v>1896</v>
      </c>
      <c r="C696" s="90"/>
      <c r="D696" s="83" t="s">
        <v>2089</v>
      </c>
      <c r="E696" s="76">
        <v>45922.0</v>
      </c>
      <c r="F696" s="78" t="s">
        <v>1427</v>
      </c>
      <c r="G696" s="74"/>
      <c r="H696" s="74" t="s">
        <v>1401</v>
      </c>
      <c r="I696" s="74" t="str">
        <f>VLOOKUP(D696,Sheet15!D:K,8,FALSE)</f>
        <v>#N/A</v>
      </c>
      <c r="J696" s="76">
        <f t="shared" si="6"/>
        <v>-45922</v>
      </c>
      <c r="K696" s="77"/>
      <c r="L696" s="73"/>
      <c r="M696" s="73"/>
      <c r="N696" s="73"/>
      <c r="O696" s="73"/>
      <c r="P696" s="73"/>
      <c r="Q696" s="73"/>
      <c r="R696" s="73"/>
      <c r="S696" s="73"/>
      <c r="T696" s="73"/>
      <c r="U696" s="73"/>
      <c r="V696" s="73"/>
      <c r="W696" s="73"/>
      <c r="X696" s="73"/>
    </row>
    <row r="697">
      <c r="A697" s="74">
        <v>781.0</v>
      </c>
      <c r="B697" s="74" t="s">
        <v>1896</v>
      </c>
      <c r="C697" s="90"/>
      <c r="D697" s="83" t="s">
        <v>2090</v>
      </c>
      <c r="E697" s="76">
        <v>45922.0</v>
      </c>
      <c r="F697" s="78" t="s">
        <v>1427</v>
      </c>
      <c r="G697" s="74"/>
      <c r="H697" s="74" t="s">
        <v>1401</v>
      </c>
      <c r="I697" s="74" t="str">
        <f>VLOOKUP(D697,Sheet15!D:K,8,FALSE)</f>
        <v>#N/A</v>
      </c>
      <c r="J697" s="76">
        <f t="shared" si="6"/>
        <v>-45922</v>
      </c>
      <c r="K697" s="77"/>
      <c r="L697" s="73"/>
      <c r="M697" s="73"/>
      <c r="N697" s="73"/>
      <c r="O697" s="73"/>
      <c r="P697" s="73"/>
      <c r="Q697" s="73"/>
      <c r="R697" s="73"/>
      <c r="S697" s="73"/>
      <c r="T697" s="73"/>
      <c r="U697" s="73"/>
      <c r="V697" s="73"/>
      <c r="W697" s="73"/>
      <c r="X697" s="73"/>
    </row>
    <row r="698">
      <c r="A698" s="74">
        <v>782.0</v>
      </c>
      <c r="B698" s="74" t="s">
        <v>1896</v>
      </c>
      <c r="C698" s="90"/>
      <c r="D698" s="83" t="s">
        <v>2091</v>
      </c>
      <c r="E698" s="76">
        <v>45922.0</v>
      </c>
      <c r="F698" s="78" t="s">
        <v>1427</v>
      </c>
      <c r="G698" s="74"/>
      <c r="H698" s="74" t="s">
        <v>1401</v>
      </c>
      <c r="I698" s="74" t="str">
        <f>VLOOKUP(D698,Sheet15!D:K,8,FALSE)</f>
        <v>#N/A</v>
      </c>
      <c r="J698" s="76">
        <f t="shared" si="6"/>
        <v>-45922</v>
      </c>
      <c r="K698" s="77"/>
      <c r="L698" s="73"/>
      <c r="M698" s="73"/>
      <c r="N698" s="73"/>
      <c r="O698" s="73"/>
      <c r="P698" s="73"/>
      <c r="Q698" s="73"/>
      <c r="R698" s="73"/>
      <c r="S698" s="73"/>
      <c r="T698" s="73"/>
      <c r="U698" s="73"/>
      <c r="V698" s="73"/>
      <c r="W698" s="73"/>
      <c r="X698" s="73"/>
    </row>
    <row r="699">
      <c r="A699" s="74">
        <v>783.0</v>
      </c>
      <c r="B699" s="74" t="s">
        <v>1896</v>
      </c>
      <c r="C699" s="90"/>
      <c r="D699" s="83" t="s">
        <v>2092</v>
      </c>
      <c r="E699" s="76">
        <v>45922.0</v>
      </c>
      <c r="F699" s="78" t="s">
        <v>1427</v>
      </c>
      <c r="G699" s="74"/>
      <c r="H699" s="74" t="s">
        <v>1401</v>
      </c>
      <c r="I699" s="74" t="str">
        <f>VLOOKUP(D699,Sheet15!D:K,8,FALSE)</f>
        <v>#N/A</v>
      </c>
      <c r="J699" s="76">
        <f t="shared" si="6"/>
        <v>-45922</v>
      </c>
      <c r="K699" s="77"/>
      <c r="L699" s="73"/>
      <c r="M699" s="73"/>
      <c r="N699" s="73"/>
      <c r="O699" s="73"/>
      <c r="P699" s="73"/>
      <c r="Q699" s="73"/>
      <c r="R699" s="73"/>
      <c r="S699" s="73"/>
      <c r="T699" s="73"/>
      <c r="U699" s="73"/>
      <c r="V699" s="73"/>
      <c r="W699" s="73"/>
      <c r="X699" s="73"/>
    </row>
    <row r="700">
      <c r="A700" s="74">
        <v>784.0</v>
      </c>
      <c r="B700" s="74" t="s">
        <v>1896</v>
      </c>
      <c r="C700" s="90"/>
      <c r="D700" s="83" t="s">
        <v>2093</v>
      </c>
      <c r="E700" s="76">
        <v>45922.0</v>
      </c>
      <c r="F700" s="78" t="s">
        <v>1427</v>
      </c>
      <c r="G700" s="74"/>
      <c r="H700" s="74" t="s">
        <v>1401</v>
      </c>
      <c r="I700" s="74" t="str">
        <f>VLOOKUP(D700,Sheet15!D:K,8,FALSE)</f>
        <v>#N/A</v>
      </c>
      <c r="J700" s="76">
        <f t="shared" si="6"/>
        <v>-45922</v>
      </c>
      <c r="K700" s="77"/>
      <c r="L700" s="73"/>
      <c r="M700" s="73"/>
      <c r="N700" s="73"/>
      <c r="O700" s="73"/>
      <c r="P700" s="73"/>
      <c r="Q700" s="73"/>
      <c r="R700" s="73"/>
      <c r="S700" s="73"/>
      <c r="T700" s="73"/>
      <c r="U700" s="73"/>
      <c r="V700" s="73"/>
      <c r="W700" s="73"/>
      <c r="X700" s="73"/>
    </row>
    <row r="701">
      <c r="A701" s="74">
        <v>785.0</v>
      </c>
      <c r="B701" s="74" t="s">
        <v>1896</v>
      </c>
      <c r="C701" s="90"/>
      <c r="D701" s="83" t="s">
        <v>2094</v>
      </c>
      <c r="E701" s="76">
        <v>45922.0</v>
      </c>
      <c r="F701" s="78" t="s">
        <v>1420</v>
      </c>
      <c r="G701" s="74"/>
      <c r="H701" s="74" t="s">
        <v>29</v>
      </c>
      <c r="I701" s="74" t="str">
        <f>VLOOKUP(D701,Sheet15!D:K,8,FALSE)</f>
        <v>#N/A</v>
      </c>
      <c r="J701" s="76">
        <f t="shared" si="6"/>
        <v>-45922</v>
      </c>
      <c r="K701" s="77"/>
      <c r="L701" s="73"/>
      <c r="M701" s="73"/>
      <c r="N701" s="73"/>
      <c r="O701" s="73"/>
      <c r="P701" s="73"/>
      <c r="Q701" s="73"/>
      <c r="R701" s="73"/>
      <c r="S701" s="73"/>
      <c r="T701" s="73"/>
      <c r="U701" s="73"/>
      <c r="V701" s="73"/>
      <c r="W701" s="73"/>
      <c r="X701" s="73"/>
    </row>
    <row r="702">
      <c r="A702" s="74">
        <v>786.0</v>
      </c>
      <c r="B702" s="74" t="s">
        <v>1896</v>
      </c>
      <c r="C702" s="90"/>
      <c r="D702" s="83" t="s">
        <v>2095</v>
      </c>
      <c r="E702" s="76">
        <v>45922.0</v>
      </c>
      <c r="F702" s="78" t="s">
        <v>1427</v>
      </c>
      <c r="G702" s="74"/>
      <c r="H702" s="74" t="s">
        <v>1401</v>
      </c>
      <c r="I702" s="74" t="str">
        <f>VLOOKUP(D702,Sheet15!D:K,8,FALSE)</f>
        <v>#N/A</v>
      </c>
      <c r="J702" s="76">
        <f t="shared" si="6"/>
        <v>-45922</v>
      </c>
      <c r="K702" s="77"/>
      <c r="L702" s="73"/>
      <c r="M702" s="73"/>
      <c r="N702" s="73"/>
      <c r="O702" s="73"/>
      <c r="P702" s="73"/>
      <c r="Q702" s="73"/>
      <c r="R702" s="73"/>
      <c r="S702" s="73"/>
      <c r="T702" s="73"/>
      <c r="U702" s="73"/>
      <c r="V702" s="73"/>
      <c r="W702" s="73"/>
      <c r="X702" s="73"/>
    </row>
    <row r="703">
      <c r="A703" s="74">
        <v>787.0</v>
      </c>
      <c r="B703" s="74" t="s">
        <v>1896</v>
      </c>
      <c r="C703" s="90"/>
      <c r="D703" s="83" t="s">
        <v>2096</v>
      </c>
      <c r="E703" s="76">
        <v>45924.0</v>
      </c>
      <c r="F703" s="78" t="s">
        <v>1420</v>
      </c>
      <c r="G703" s="76">
        <v>45939.0</v>
      </c>
      <c r="H703" s="74" t="s">
        <v>29</v>
      </c>
      <c r="I703" s="74" t="str">
        <f>VLOOKUP(D703,Sheet15!D:K,8,FALSE)</f>
        <v>#N/A</v>
      </c>
      <c r="J703" s="74">
        <f t="shared" si="6"/>
        <v>15</v>
      </c>
      <c r="K703" s="77"/>
      <c r="L703" s="73"/>
      <c r="M703" s="73"/>
      <c r="N703" s="73"/>
      <c r="O703" s="73"/>
      <c r="P703" s="73"/>
      <c r="Q703" s="73"/>
      <c r="R703" s="73"/>
      <c r="S703" s="73"/>
      <c r="T703" s="73"/>
      <c r="U703" s="73"/>
      <c r="V703" s="73"/>
      <c r="W703" s="73"/>
      <c r="X703" s="73"/>
    </row>
    <row r="704">
      <c r="A704" s="74">
        <v>788.0</v>
      </c>
      <c r="B704" s="74" t="s">
        <v>1896</v>
      </c>
      <c r="C704" s="90"/>
      <c r="D704" s="83" t="s">
        <v>2097</v>
      </c>
      <c r="E704" s="76">
        <v>45924.0</v>
      </c>
      <c r="F704" s="78" t="s">
        <v>1420</v>
      </c>
      <c r="G704" s="76">
        <v>45939.0</v>
      </c>
      <c r="H704" s="74" t="s">
        <v>29</v>
      </c>
      <c r="I704" s="74" t="str">
        <f>VLOOKUP(D704,Sheet15!D:K,8,FALSE)</f>
        <v>#N/A</v>
      </c>
      <c r="J704" s="74">
        <f t="shared" si="6"/>
        <v>15</v>
      </c>
      <c r="K704" s="77"/>
      <c r="L704" s="73"/>
      <c r="M704" s="73"/>
      <c r="N704" s="73"/>
      <c r="O704" s="73"/>
      <c r="P704" s="73"/>
      <c r="Q704" s="73"/>
      <c r="R704" s="73"/>
      <c r="S704" s="73"/>
      <c r="T704" s="73"/>
      <c r="U704" s="73"/>
      <c r="V704" s="73"/>
      <c r="W704" s="73"/>
      <c r="X704" s="73"/>
    </row>
    <row r="705">
      <c r="A705" s="74">
        <v>789.0</v>
      </c>
      <c r="B705" s="74" t="s">
        <v>1896</v>
      </c>
      <c r="C705" s="90"/>
      <c r="D705" s="83" t="s">
        <v>2098</v>
      </c>
      <c r="E705" s="76">
        <v>45924.0</v>
      </c>
      <c r="F705" s="78" t="s">
        <v>1420</v>
      </c>
      <c r="G705" s="76">
        <v>45939.0</v>
      </c>
      <c r="H705" s="74" t="s">
        <v>29</v>
      </c>
      <c r="I705" s="74" t="str">
        <f>VLOOKUP(D705,Sheet15!D:K,8,FALSE)</f>
        <v>#N/A</v>
      </c>
      <c r="J705" s="74">
        <f t="shared" si="6"/>
        <v>15</v>
      </c>
      <c r="K705" s="77"/>
      <c r="L705" s="73"/>
      <c r="M705" s="73"/>
      <c r="N705" s="73"/>
      <c r="O705" s="73"/>
      <c r="P705" s="73"/>
      <c r="Q705" s="73"/>
      <c r="R705" s="73"/>
      <c r="S705" s="73"/>
      <c r="T705" s="73"/>
      <c r="U705" s="73"/>
      <c r="V705" s="73"/>
      <c r="W705" s="73"/>
      <c r="X705" s="73"/>
    </row>
    <row r="706">
      <c r="A706" s="74">
        <v>790.0</v>
      </c>
      <c r="B706" s="74" t="s">
        <v>1896</v>
      </c>
      <c r="C706" s="90"/>
      <c r="D706" s="83" t="s">
        <v>2099</v>
      </c>
      <c r="E706" s="76">
        <v>45924.0</v>
      </c>
      <c r="F706" s="78" t="s">
        <v>1420</v>
      </c>
      <c r="G706" s="76">
        <v>45939.0</v>
      </c>
      <c r="H706" s="74" t="s">
        <v>29</v>
      </c>
      <c r="I706" s="74" t="str">
        <f>VLOOKUP(D706,Sheet15!D:K,8,FALSE)</f>
        <v>#N/A</v>
      </c>
      <c r="J706" s="74">
        <f t="shared" si="6"/>
        <v>15</v>
      </c>
      <c r="K706" s="77"/>
      <c r="L706" s="73"/>
      <c r="M706" s="73"/>
      <c r="N706" s="73"/>
      <c r="O706" s="73"/>
      <c r="P706" s="73"/>
      <c r="Q706" s="73"/>
      <c r="R706" s="73"/>
      <c r="S706" s="73"/>
      <c r="T706" s="73"/>
      <c r="U706" s="73"/>
      <c r="V706" s="73"/>
      <c r="W706" s="73"/>
      <c r="X706" s="73"/>
    </row>
    <row r="707">
      <c r="A707" s="74">
        <v>791.0</v>
      </c>
      <c r="B707" s="74" t="s">
        <v>2100</v>
      </c>
      <c r="C707" s="90"/>
      <c r="D707" s="83" t="s">
        <v>2101</v>
      </c>
      <c r="E707" s="76">
        <v>45930.0</v>
      </c>
      <c r="F707" s="78" t="s">
        <v>1420</v>
      </c>
      <c r="G707" s="76">
        <v>45946.0</v>
      </c>
      <c r="H707" s="74" t="s">
        <v>29</v>
      </c>
      <c r="I707" s="74" t="str">
        <f>VLOOKUP(D707,Sheet15!D:K,8,FALSE)</f>
        <v>#N/A</v>
      </c>
      <c r="J707" s="74">
        <f t="shared" si="6"/>
        <v>16</v>
      </c>
      <c r="K707" s="77"/>
      <c r="L707" s="73"/>
      <c r="M707" s="73"/>
      <c r="N707" s="73"/>
      <c r="O707" s="73"/>
      <c r="P707" s="73"/>
      <c r="Q707" s="73"/>
      <c r="R707" s="73"/>
      <c r="S707" s="73"/>
      <c r="T707" s="73"/>
      <c r="U707" s="73"/>
      <c r="V707" s="73"/>
      <c r="W707" s="73"/>
      <c r="X707" s="73"/>
    </row>
    <row r="708">
      <c r="A708" s="74">
        <v>792.0</v>
      </c>
      <c r="B708" s="74" t="s">
        <v>2100</v>
      </c>
      <c r="C708" s="90"/>
      <c r="D708" s="83" t="s">
        <v>2102</v>
      </c>
      <c r="E708" s="76">
        <v>45930.0</v>
      </c>
      <c r="F708" s="78" t="s">
        <v>1420</v>
      </c>
      <c r="G708" s="76">
        <v>45946.0</v>
      </c>
      <c r="H708" s="74" t="s">
        <v>29</v>
      </c>
      <c r="I708" s="74" t="str">
        <f>VLOOKUP(D708,Sheet15!D:K,8,FALSE)</f>
        <v>#N/A</v>
      </c>
      <c r="J708" s="74">
        <f t="shared" si="6"/>
        <v>16</v>
      </c>
      <c r="K708" s="77"/>
      <c r="L708" s="73"/>
      <c r="M708" s="73"/>
      <c r="N708" s="73"/>
      <c r="O708" s="73"/>
      <c r="P708" s="73"/>
      <c r="Q708" s="73"/>
      <c r="R708" s="73"/>
      <c r="S708" s="73"/>
      <c r="T708" s="73"/>
      <c r="U708" s="73"/>
      <c r="V708" s="73"/>
      <c r="W708" s="73"/>
      <c r="X708" s="73"/>
    </row>
    <row r="709">
      <c r="A709" s="74">
        <v>793.0</v>
      </c>
      <c r="B709" s="74" t="s">
        <v>2100</v>
      </c>
      <c r="C709" s="90"/>
      <c r="D709" s="83" t="s">
        <v>2103</v>
      </c>
      <c r="E709" s="76">
        <v>45930.0</v>
      </c>
      <c r="F709" s="78" t="s">
        <v>1420</v>
      </c>
      <c r="G709" s="76">
        <v>45976.0</v>
      </c>
      <c r="H709" s="74" t="s">
        <v>29</v>
      </c>
      <c r="I709" s="74" t="str">
        <f>VLOOKUP(D709,Sheet15!D:K,8,FALSE)</f>
        <v>#N/A</v>
      </c>
      <c r="J709" s="74">
        <f t="shared" si="6"/>
        <v>46</v>
      </c>
      <c r="K709" s="77"/>
      <c r="L709" s="73"/>
      <c r="M709" s="73"/>
      <c r="N709" s="73"/>
      <c r="O709" s="73"/>
      <c r="P709" s="73"/>
      <c r="Q709" s="73"/>
      <c r="R709" s="73"/>
      <c r="S709" s="73"/>
      <c r="T709" s="73"/>
      <c r="U709" s="73"/>
      <c r="V709" s="73"/>
      <c r="W709" s="73"/>
      <c r="X709" s="73"/>
    </row>
    <row r="710">
      <c r="A710" s="74">
        <v>794.0</v>
      </c>
      <c r="B710" s="74" t="s">
        <v>2100</v>
      </c>
      <c r="C710" s="90"/>
      <c r="D710" s="83" t="s">
        <v>2104</v>
      </c>
      <c r="E710" s="76">
        <v>45930.0</v>
      </c>
      <c r="F710" s="78" t="s">
        <v>1420</v>
      </c>
      <c r="G710" s="76">
        <v>45946.0</v>
      </c>
      <c r="H710" s="74" t="s">
        <v>29</v>
      </c>
      <c r="I710" s="74" t="str">
        <f>VLOOKUP(D710,Sheet15!D:K,8,FALSE)</f>
        <v>#N/A</v>
      </c>
      <c r="J710" s="74">
        <f t="shared" si="6"/>
        <v>16</v>
      </c>
      <c r="K710" s="77"/>
      <c r="L710" s="73"/>
      <c r="M710" s="73"/>
      <c r="N710" s="73"/>
      <c r="O710" s="73"/>
      <c r="P710" s="73"/>
      <c r="Q710" s="73"/>
      <c r="R710" s="73"/>
      <c r="S710" s="73"/>
      <c r="T710" s="73"/>
      <c r="U710" s="73"/>
      <c r="V710" s="73"/>
      <c r="W710" s="73"/>
      <c r="X710" s="73"/>
    </row>
    <row r="711">
      <c r="A711" s="74">
        <v>795.0</v>
      </c>
      <c r="B711" s="74" t="s">
        <v>1048</v>
      </c>
      <c r="C711" s="90"/>
      <c r="D711" s="83" t="s">
        <v>2105</v>
      </c>
      <c r="E711" s="76">
        <v>45931.0</v>
      </c>
      <c r="F711" s="78" t="s">
        <v>1420</v>
      </c>
      <c r="G711" s="76">
        <v>45970.0</v>
      </c>
      <c r="H711" s="74" t="s">
        <v>29</v>
      </c>
      <c r="I711" s="74" t="str">
        <f>VLOOKUP(D711,Sheet15!D:K,8,FALSE)</f>
        <v>#N/A</v>
      </c>
      <c r="J711" s="74">
        <f t="shared" si="6"/>
        <v>39</v>
      </c>
      <c r="K711" s="77"/>
      <c r="L711" s="73"/>
      <c r="M711" s="73"/>
      <c r="N711" s="73"/>
      <c r="O711" s="73"/>
      <c r="P711" s="73"/>
      <c r="Q711" s="73"/>
      <c r="R711" s="73"/>
      <c r="S711" s="73"/>
      <c r="T711" s="73"/>
      <c r="U711" s="73"/>
      <c r="V711" s="73"/>
      <c r="W711" s="73"/>
      <c r="X711" s="73"/>
    </row>
    <row r="712">
      <c r="A712" s="74">
        <v>796.0</v>
      </c>
      <c r="B712" s="74" t="s">
        <v>2100</v>
      </c>
      <c r="C712" s="90"/>
      <c r="D712" s="83" t="s">
        <v>2106</v>
      </c>
      <c r="E712" s="76">
        <v>45931.0</v>
      </c>
      <c r="F712" s="78" t="s">
        <v>1420</v>
      </c>
      <c r="G712" s="76">
        <v>45946.0</v>
      </c>
      <c r="H712" s="74" t="s">
        <v>29</v>
      </c>
      <c r="I712" s="74" t="str">
        <f>VLOOKUP(D712,Sheet15!D:K,8,FALSE)</f>
        <v>#N/A</v>
      </c>
      <c r="J712" s="74">
        <f t="shared" si="6"/>
        <v>15</v>
      </c>
      <c r="K712" s="77"/>
      <c r="L712" s="73"/>
      <c r="M712" s="73"/>
      <c r="N712" s="73"/>
      <c r="O712" s="73"/>
      <c r="P712" s="73"/>
      <c r="Q712" s="73"/>
      <c r="R712" s="73"/>
      <c r="S712" s="73"/>
      <c r="T712" s="73"/>
      <c r="U712" s="73"/>
      <c r="V712" s="73"/>
      <c r="W712" s="73"/>
      <c r="X712" s="73"/>
    </row>
    <row r="713">
      <c r="A713" s="74">
        <v>797.0</v>
      </c>
      <c r="B713" s="74" t="s">
        <v>2100</v>
      </c>
      <c r="C713" s="90"/>
      <c r="D713" s="83" t="s">
        <v>2107</v>
      </c>
      <c r="E713" s="76">
        <v>45931.0</v>
      </c>
      <c r="F713" s="78" t="s">
        <v>1420</v>
      </c>
      <c r="G713" s="76">
        <v>45946.0</v>
      </c>
      <c r="H713" s="74" t="s">
        <v>29</v>
      </c>
      <c r="I713" s="74" t="str">
        <f>VLOOKUP(D713,Sheet15!D:K,8,FALSE)</f>
        <v>#N/A</v>
      </c>
      <c r="J713" s="74">
        <f t="shared" si="6"/>
        <v>15</v>
      </c>
      <c r="K713" s="77"/>
      <c r="L713" s="73"/>
      <c r="M713" s="73"/>
      <c r="N713" s="73"/>
      <c r="O713" s="73"/>
      <c r="P713" s="73"/>
      <c r="Q713" s="73"/>
      <c r="R713" s="73"/>
      <c r="S713" s="73"/>
      <c r="T713" s="73"/>
      <c r="U713" s="73"/>
      <c r="V713" s="73"/>
      <c r="W713" s="73"/>
      <c r="X713" s="73"/>
    </row>
    <row r="714">
      <c r="A714" s="74">
        <v>798.0</v>
      </c>
      <c r="B714" s="74" t="s">
        <v>2100</v>
      </c>
      <c r="C714" s="90"/>
      <c r="D714" s="83" t="s">
        <v>2108</v>
      </c>
      <c r="E714" s="76">
        <v>45931.0</v>
      </c>
      <c r="F714" s="78" t="s">
        <v>1427</v>
      </c>
      <c r="G714" s="74"/>
      <c r="H714" s="74"/>
      <c r="I714" s="74" t="str">
        <f>VLOOKUP(D714,Sheet15!D:K,8,FALSE)</f>
        <v>#N/A</v>
      </c>
      <c r="J714" s="76">
        <f t="shared" si="6"/>
        <v>-45931</v>
      </c>
      <c r="K714" s="91" t="s">
        <v>2109</v>
      </c>
      <c r="L714" s="73"/>
      <c r="M714" s="73"/>
      <c r="N714" s="73"/>
      <c r="O714" s="73"/>
      <c r="P714" s="73"/>
      <c r="Q714" s="73"/>
      <c r="R714" s="73"/>
      <c r="S714" s="73"/>
      <c r="T714" s="73"/>
      <c r="U714" s="73"/>
      <c r="V714" s="73"/>
      <c r="W714" s="73"/>
      <c r="X714" s="73"/>
    </row>
    <row r="715">
      <c r="A715" s="74">
        <v>799.0</v>
      </c>
      <c r="B715" s="74" t="s">
        <v>2100</v>
      </c>
      <c r="C715" s="90"/>
      <c r="D715" s="83" t="s">
        <v>2110</v>
      </c>
      <c r="E715" s="76">
        <v>45931.0</v>
      </c>
      <c r="F715" s="78" t="s">
        <v>1420</v>
      </c>
      <c r="G715" s="76">
        <v>45946.0</v>
      </c>
      <c r="H715" s="74" t="s">
        <v>29</v>
      </c>
      <c r="I715" s="74" t="str">
        <f>VLOOKUP(D715,Sheet15!D:K,8,FALSE)</f>
        <v>#N/A</v>
      </c>
      <c r="J715" s="74">
        <f t="shared" si="6"/>
        <v>15</v>
      </c>
      <c r="K715" s="77"/>
      <c r="L715" s="73"/>
      <c r="M715" s="73"/>
      <c r="N715" s="73"/>
      <c r="O715" s="73"/>
      <c r="P715" s="73"/>
      <c r="Q715" s="73"/>
      <c r="R715" s="73"/>
      <c r="S715" s="73"/>
      <c r="T715" s="73"/>
      <c r="U715" s="73"/>
      <c r="V715" s="73"/>
      <c r="W715" s="73"/>
      <c r="X715" s="73"/>
    </row>
    <row r="716">
      <c r="A716" s="74">
        <v>800.0</v>
      </c>
      <c r="B716" s="74" t="s">
        <v>2100</v>
      </c>
      <c r="C716" s="90"/>
      <c r="D716" s="83" t="s">
        <v>2111</v>
      </c>
      <c r="E716" s="76">
        <v>45931.0</v>
      </c>
      <c r="F716" s="78" t="s">
        <v>1420</v>
      </c>
      <c r="G716" s="76">
        <v>45946.0</v>
      </c>
      <c r="H716" s="74" t="s">
        <v>29</v>
      </c>
      <c r="I716" s="74" t="str">
        <f>VLOOKUP(D716,Sheet15!D:K,8,FALSE)</f>
        <v>#N/A</v>
      </c>
      <c r="J716" s="74">
        <f t="shared" si="6"/>
        <v>15</v>
      </c>
      <c r="K716" s="77"/>
      <c r="L716" s="73"/>
      <c r="M716" s="73"/>
      <c r="N716" s="73"/>
      <c r="O716" s="73"/>
      <c r="P716" s="73"/>
      <c r="Q716" s="73"/>
      <c r="R716" s="73"/>
      <c r="S716" s="73"/>
      <c r="T716" s="73"/>
      <c r="U716" s="73"/>
      <c r="V716" s="73"/>
      <c r="W716" s="73"/>
      <c r="X716" s="73"/>
    </row>
    <row r="717">
      <c r="A717" s="74">
        <v>801.0</v>
      </c>
      <c r="B717" s="74" t="s">
        <v>1048</v>
      </c>
      <c r="C717" s="90"/>
      <c r="D717" s="75" t="s">
        <v>2112</v>
      </c>
      <c r="E717" s="74"/>
      <c r="F717" s="78" t="s">
        <v>1420</v>
      </c>
      <c r="G717" s="74"/>
      <c r="H717" s="74" t="s">
        <v>29</v>
      </c>
      <c r="I717" s="74" t="s">
        <v>2113</v>
      </c>
      <c r="J717" s="74">
        <f t="shared" si="6"/>
        <v>0</v>
      </c>
      <c r="K717" s="77"/>
      <c r="L717" s="73"/>
      <c r="M717" s="73"/>
      <c r="N717" s="73"/>
      <c r="O717" s="73"/>
      <c r="P717" s="73"/>
      <c r="Q717" s="73"/>
      <c r="R717" s="73"/>
      <c r="S717" s="73"/>
      <c r="T717" s="73"/>
      <c r="U717" s="73"/>
      <c r="V717" s="73"/>
      <c r="W717" s="73"/>
      <c r="X717" s="73"/>
    </row>
    <row r="718">
      <c r="A718" s="74">
        <v>802.0</v>
      </c>
      <c r="B718" s="74" t="s">
        <v>1048</v>
      </c>
      <c r="C718" s="90"/>
      <c r="D718" s="75" t="s">
        <v>2114</v>
      </c>
      <c r="E718" s="76">
        <v>45932.0</v>
      </c>
      <c r="F718" s="78" t="s">
        <v>1420</v>
      </c>
      <c r="G718" s="76">
        <v>45949.0</v>
      </c>
      <c r="H718" s="74" t="s">
        <v>29</v>
      </c>
      <c r="I718" s="74" t="str">
        <f>VLOOKUP(D718,Sheet15!D:K,8,FALSE)</f>
        <v>#N/A</v>
      </c>
      <c r="J718" s="74">
        <f t="shared" si="6"/>
        <v>17</v>
      </c>
      <c r="K718" s="77"/>
      <c r="L718" s="73"/>
      <c r="M718" s="73"/>
      <c r="N718" s="73"/>
      <c r="O718" s="73"/>
      <c r="P718" s="73"/>
      <c r="Q718" s="73"/>
      <c r="R718" s="73"/>
      <c r="S718" s="73"/>
      <c r="T718" s="73"/>
      <c r="U718" s="73"/>
      <c r="V718" s="73"/>
      <c r="W718" s="73"/>
      <c r="X718" s="73"/>
    </row>
    <row r="719">
      <c r="A719" s="74">
        <v>803.0</v>
      </c>
      <c r="B719" s="74" t="s">
        <v>1048</v>
      </c>
      <c r="C719" s="90"/>
      <c r="D719" s="75" t="s">
        <v>2115</v>
      </c>
      <c r="E719" s="76">
        <v>45938.0</v>
      </c>
      <c r="F719" s="78" t="s">
        <v>1420</v>
      </c>
      <c r="G719" s="76">
        <v>45952.0</v>
      </c>
      <c r="H719" s="74" t="s">
        <v>29</v>
      </c>
      <c r="I719" s="74" t="str">
        <f>VLOOKUP(D719,Sheet15!D:K,8,FALSE)</f>
        <v>#N/A</v>
      </c>
      <c r="J719" s="74">
        <f t="shared" si="6"/>
        <v>14</v>
      </c>
      <c r="K719" s="77"/>
      <c r="L719" s="73"/>
      <c r="M719" s="73"/>
      <c r="N719" s="73"/>
      <c r="O719" s="73"/>
      <c r="P719" s="73"/>
      <c r="Q719" s="73"/>
      <c r="R719" s="73"/>
      <c r="S719" s="73"/>
      <c r="T719" s="73"/>
      <c r="U719" s="73"/>
      <c r="V719" s="73"/>
      <c r="W719" s="73"/>
      <c r="X719" s="73"/>
    </row>
    <row r="720">
      <c r="A720" s="74">
        <v>804.0</v>
      </c>
      <c r="B720" s="74" t="s">
        <v>1048</v>
      </c>
      <c r="C720" s="90"/>
      <c r="D720" s="75" t="s">
        <v>2116</v>
      </c>
      <c r="E720" s="76">
        <v>45938.0</v>
      </c>
      <c r="F720" s="78" t="s">
        <v>1420</v>
      </c>
      <c r="G720" s="76">
        <v>45952.0</v>
      </c>
      <c r="H720" s="74" t="s">
        <v>29</v>
      </c>
      <c r="I720" s="74" t="str">
        <f>VLOOKUP(D720,Sheet15!D:K,8,FALSE)</f>
        <v>#N/A</v>
      </c>
      <c r="J720" s="74">
        <f t="shared" si="6"/>
        <v>14</v>
      </c>
      <c r="K720" s="77"/>
      <c r="L720" s="73"/>
      <c r="M720" s="73"/>
      <c r="N720" s="73"/>
      <c r="O720" s="73"/>
      <c r="P720" s="73"/>
      <c r="Q720" s="73"/>
      <c r="R720" s="73"/>
      <c r="S720" s="73"/>
      <c r="T720" s="73"/>
      <c r="U720" s="73"/>
      <c r="V720" s="73"/>
      <c r="W720" s="73"/>
      <c r="X720" s="73"/>
    </row>
    <row r="721">
      <c r="A721" s="74">
        <v>805.0</v>
      </c>
      <c r="B721" s="74" t="s">
        <v>1048</v>
      </c>
      <c r="C721" s="90"/>
      <c r="D721" s="75" t="s">
        <v>2117</v>
      </c>
      <c r="E721" s="76">
        <v>45938.0</v>
      </c>
      <c r="F721" s="78" t="s">
        <v>1420</v>
      </c>
      <c r="G721" s="76">
        <v>45952.0</v>
      </c>
      <c r="H721" s="74" t="s">
        <v>29</v>
      </c>
      <c r="I721" s="74" t="str">
        <f>VLOOKUP(D721,Sheet15!D:K,8,FALSE)</f>
        <v>#N/A</v>
      </c>
      <c r="J721" s="74">
        <f t="shared" si="6"/>
        <v>14</v>
      </c>
      <c r="K721" s="77"/>
      <c r="L721" s="73"/>
      <c r="M721" s="73"/>
      <c r="N721" s="73"/>
      <c r="O721" s="73"/>
      <c r="P721" s="73"/>
      <c r="Q721" s="73"/>
      <c r="R721" s="73"/>
      <c r="S721" s="73"/>
      <c r="T721" s="73"/>
      <c r="U721" s="73"/>
      <c r="V721" s="73"/>
      <c r="W721" s="73"/>
      <c r="X721" s="73"/>
    </row>
    <row r="722">
      <c r="A722" s="74">
        <v>806.0</v>
      </c>
      <c r="B722" s="74" t="s">
        <v>1048</v>
      </c>
      <c r="C722" s="90"/>
      <c r="D722" s="75" t="s">
        <v>2118</v>
      </c>
      <c r="E722" s="76">
        <v>45938.0</v>
      </c>
      <c r="F722" s="78" t="s">
        <v>1420</v>
      </c>
      <c r="G722" s="76">
        <v>45952.0</v>
      </c>
      <c r="H722" s="74" t="s">
        <v>29</v>
      </c>
      <c r="I722" s="74" t="str">
        <f>VLOOKUP(D722,Sheet15!D:K,8,FALSE)</f>
        <v>#N/A</v>
      </c>
      <c r="J722" s="74">
        <f t="shared" si="6"/>
        <v>14</v>
      </c>
      <c r="K722" s="77"/>
      <c r="L722" s="73"/>
      <c r="M722" s="73"/>
      <c r="N722" s="73"/>
      <c r="O722" s="73"/>
      <c r="P722" s="73"/>
      <c r="Q722" s="73"/>
      <c r="R722" s="73"/>
      <c r="S722" s="73"/>
      <c r="T722" s="73"/>
      <c r="U722" s="73"/>
      <c r="V722" s="73"/>
      <c r="W722" s="73"/>
      <c r="X722" s="73"/>
    </row>
    <row r="723">
      <c r="A723" s="74">
        <v>807.0</v>
      </c>
      <c r="B723" s="74" t="s">
        <v>1421</v>
      </c>
      <c r="C723" s="90"/>
      <c r="D723" s="75" t="s">
        <v>2119</v>
      </c>
      <c r="E723" s="76">
        <v>45938.0</v>
      </c>
      <c r="F723" s="78" t="s">
        <v>1420</v>
      </c>
      <c r="G723" s="76">
        <v>45952.0</v>
      </c>
      <c r="H723" s="74" t="s">
        <v>29</v>
      </c>
      <c r="I723" s="74" t="str">
        <f>VLOOKUP(D723,Sheet15!D:K,8,FALSE)</f>
        <v>#N/A</v>
      </c>
      <c r="J723" s="74">
        <f t="shared" si="6"/>
        <v>14</v>
      </c>
      <c r="K723" s="77"/>
      <c r="L723" s="73"/>
      <c r="M723" s="73"/>
      <c r="N723" s="73"/>
      <c r="O723" s="73"/>
      <c r="P723" s="73"/>
      <c r="Q723" s="73"/>
      <c r="R723" s="73"/>
      <c r="S723" s="73"/>
      <c r="T723" s="73"/>
      <c r="U723" s="73"/>
      <c r="V723" s="73"/>
      <c r="W723" s="73"/>
      <c r="X723" s="73"/>
    </row>
    <row r="724">
      <c r="A724" s="74">
        <v>808.0</v>
      </c>
      <c r="B724" s="74" t="s">
        <v>1421</v>
      </c>
      <c r="C724" s="90"/>
      <c r="D724" s="75" t="s">
        <v>2120</v>
      </c>
      <c r="E724" s="76">
        <v>45938.0</v>
      </c>
      <c r="F724" s="78" t="s">
        <v>1420</v>
      </c>
      <c r="G724" s="76">
        <v>45952.0</v>
      </c>
      <c r="H724" s="74" t="s">
        <v>29</v>
      </c>
      <c r="I724" s="74" t="str">
        <f>VLOOKUP(D724,Sheet15!D:K,8,FALSE)</f>
        <v>#N/A</v>
      </c>
      <c r="J724" s="74">
        <f t="shared" si="6"/>
        <v>14</v>
      </c>
      <c r="K724" s="77"/>
      <c r="L724" s="73"/>
      <c r="M724" s="73"/>
      <c r="N724" s="73"/>
      <c r="O724" s="73"/>
      <c r="P724" s="73"/>
      <c r="Q724" s="73"/>
      <c r="R724" s="73"/>
      <c r="S724" s="73"/>
      <c r="T724" s="73"/>
      <c r="U724" s="73"/>
      <c r="V724" s="73"/>
      <c r="W724" s="73"/>
      <c r="X724" s="73"/>
    </row>
    <row r="725">
      <c r="A725" s="74">
        <v>809.0</v>
      </c>
      <c r="B725" s="74" t="s">
        <v>1421</v>
      </c>
      <c r="C725" s="90"/>
      <c r="D725" s="75" t="s">
        <v>2121</v>
      </c>
      <c r="E725" s="76">
        <v>45938.0</v>
      </c>
      <c r="F725" s="78" t="s">
        <v>1420</v>
      </c>
      <c r="G725" s="76">
        <v>45952.0</v>
      </c>
      <c r="H725" s="74" t="s">
        <v>29</v>
      </c>
      <c r="I725" s="74" t="str">
        <f>VLOOKUP(D725,Sheet15!D:K,8,FALSE)</f>
        <v>#N/A</v>
      </c>
      <c r="J725" s="74">
        <f t="shared" si="6"/>
        <v>14</v>
      </c>
      <c r="K725" s="77"/>
      <c r="L725" s="73"/>
      <c r="M725" s="73"/>
      <c r="N725" s="73"/>
      <c r="O725" s="73"/>
      <c r="P725" s="73"/>
      <c r="Q725" s="73"/>
      <c r="R725" s="73"/>
      <c r="S725" s="73"/>
      <c r="T725" s="73"/>
      <c r="U725" s="73"/>
      <c r="V725" s="73"/>
      <c r="W725" s="73"/>
      <c r="X725" s="73"/>
    </row>
    <row r="726">
      <c r="A726" s="74">
        <v>810.0</v>
      </c>
      <c r="B726" s="74" t="s">
        <v>1421</v>
      </c>
      <c r="C726" s="90"/>
      <c r="D726" s="75" t="s">
        <v>2122</v>
      </c>
      <c r="E726" s="76">
        <v>45938.0</v>
      </c>
      <c r="F726" s="78" t="s">
        <v>1420</v>
      </c>
      <c r="G726" s="76">
        <v>45952.0</v>
      </c>
      <c r="H726" s="74" t="s">
        <v>29</v>
      </c>
      <c r="I726" s="74" t="str">
        <f>VLOOKUP(D726,Sheet15!D:K,8,FALSE)</f>
        <v>#N/A</v>
      </c>
      <c r="J726" s="74">
        <f t="shared" si="6"/>
        <v>14</v>
      </c>
      <c r="K726" s="77"/>
      <c r="L726" s="73"/>
      <c r="M726" s="73"/>
      <c r="N726" s="73"/>
      <c r="O726" s="73"/>
      <c r="P726" s="73"/>
      <c r="Q726" s="73"/>
      <c r="R726" s="73"/>
      <c r="S726" s="73"/>
      <c r="T726" s="73"/>
      <c r="U726" s="73"/>
      <c r="V726" s="73"/>
      <c r="W726" s="73"/>
      <c r="X726" s="73"/>
    </row>
    <row r="727">
      <c r="A727" s="74">
        <v>811.0</v>
      </c>
      <c r="B727" s="74" t="s">
        <v>1421</v>
      </c>
      <c r="C727" s="90"/>
      <c r="D727" s="75" t="s">
        <v>2123</v>
      </c>
      <c r="E727" s="76">
        <v>45943.0</v>
      </c>
      <c r="F727" s="78" t="s">
        <v>1366</v>
      </c>
      <c r="G727" s="74"/>
      <c r="H727" s="74"/>
      <c r="I727" s="74" t="str">
        <f>VLOOKUP(D727,Sheet15!D:K,8,FALSE)</f>
        <v>#N/A</v>
      </c>
      <c r="J727" s="76">
        <f t="shared" si="6"/>
        <v>-45943</v>
      </c>
      <c r="K727" s="77"/>
      <c r="L727" s="73"/>
      <c r="M727" s="73"/>
      <c r="N727" s="73"/>
      <c r="O727" s="73"/>
      <c r="P727" s="73"/>
      <c r="Q727" s="73"/>
      <c r="R727" s="73"/>
      <c r="S727" s="73"/>
      <c r="T727" s="73"/>
      <c r="U727" s="73"/>
      <c r="V727" s="73"/>
      <c r="W727" s="73"/>
      <c r="X727" s="73"/>
    </row>
    <row r="728">
      <c r="A728" s="74">
        <v>812.0</v>
      </c>
      <c r="B728" s="74" t="s">
        <v>1421</v>
      </c>
      <c r="C728" s="90"/>
      <c r="D728" s="75" t="s">
        <v>2124</v>
      </c>
      <c r="E728" s="76">
        <v>45943.0</v>
      </c>
      <c r="F728" s="78" t="s">
        <v>1420</v>
      </c>
      <c r="G728" s="76">
        <v>45955.0</v>
      </c>
      <c r="H728" s="74" t="s">
        <v>29</v>
      </c>
      <c r="I728" s="74" t="str">
        <f>VLOOKUP(D728,Sheet15!D:K,8,FALSE)</f>
        <v>#N/A</v>
      </c>
      <c r="J728" s="74">
        <f t="shared" si="6"/>
        <v>12</v>
      </c>
      <c r="K728" s="77"/>
      <c r="L728" s="73"/>
      <c r="M728" s="73"/>
      <c r="N728" s="73"/>
      <c r="O728" s="73"/>
      <c r="P728" s="73"/>
      <c r="Q728" s="73"/>
      <c r="R728" s="73"/>
      <c r="S728" s="73"/>
      <c r="T728" s="73"/>
      <c r="U728" s="73"/>
      <c r="V728" s="73"/>
      <c r="W728" s="73"/>
      <c r="X728" s="73"/>
    </row>
    <row r="729">
      <c r="A729" s="74">
        <v>813.0</v>
      </c>
      <c r="B729" s="74" t="s">
        <v>1421</v>
      </c>
      <c r="C729" s="90"/>
      <c r="D729" s="75" t="s">
        <v>2125</v>
      </c>
      <c r="E729" s="76">
        <v>45943.0</v>
      </c>
      <c r="F729" s="78" t="s">
        <v>1420</v>
      </c>
      <c r="G729" s="76">
        <v>45953.0</v>
      </c>
      <c r="H729" s="74" t="s">
        <v>29</v>
      </c>
      <c r="I729" s="74" t="str">
        <f>VLOOKUP(D729,Sheet15!D:K,8,FALSE)</f>
        <v>#N/A</v>
      </c>
      <c r="J729" s="74">
        <f t="shared" si="6"/>
        <v>10</v>
      </c>
      <c r="K729" s="77"/>
      <c r="L729" s="73"/>
      <c r="M729" s="73"/>
      <c r="N729" s="73"/>
      <c r="O729" s="73"/>
      <c r="P729" s="73"/>
      <c r="Q729" s="73"/>
      <c r="R729" s="73"/>
      <c r="S729" s="73"/>
      <c r="T729" s="73"/>
      <c r="U729" s="73"/>
      <c r="V729" s="73"/>
      <c r="W729" s="73"/>
      <c r="X729" s="73"/>
    </row>
    <row r="730">
      <c r="A730" s="74">
        <v>814.0</v>
      </c>
      <c r="B730" s="74" t="s">
        <v>1421</v>
      </c>
      <c r="C730" s="90"/>
      <c r="D730" s="75" t="s">
        <v>2126</v>
      </c>
      <c r="E730" s="76">
        <v>45943.0</v>
      </c>
      <c r="F730" s="78" t="s">
        <v>1420</v>
      </c>
      <c r="G730" s="76">
        <v>45953.0</v>
      </c>
      <c r="H730" s="74" t="s">
        <v>29</v>
      </c>
      <c r="I730" s="74" t="str">
        <f>VLOOKUP(D730,Sheet15!D:K,8,FALSE)</f>
        <v>#N/A</v>
      </c>
      <c r="J730" s="74">
        <f t="shared" si="6"/>
        <v>10</v>
      </c>
      <c r="K730" s="77"/>
      <c r="L730" s="73"/>
      <c r="M730" s="73"/>
      <c r="N730" s="73"/>
      <c r="O730" s="73"/>
      <c r="P730" s="73"/>
      <c r="Q730" s="73"/>
      <c r="R730" s="73"/>
      <c r="S730" s="73"/>
      <c r="T730" s="73"/>
      <c r="U730" s="73"/>
      <c r="V730" s="73"/>
      <c r="W730" s="73"/>
      <c r="X730" s="73"/>
    </row>
    <row r="731">
      <c r="A731" s="74">
        <v>815.0</v>
      </c>
      <c r="B731" s="74" t="s">
        <v>1421</v>
      </c>
      <c r="C731" s="90"/>
      <c r="D731" s="75" t="s">
        <v>2127</v>
      </c>
      <c r="E731" s="76">
        <v>45943.0</v>
      </c>
      <c r="F731" s="78" t="s">
        <v>1427</v>
      </c>
      <c r="G731" s="76">
        <v>45958.0</v>
      </c>
      <c r="H731" s="74" t="s">
        <v>1401</v>
      </c>
      <c r="I731" s="74" t="str">
        <f>VLOOKUP(D731,Sheet15!D:K,8,FALSE)</f>
        <v>#N/A</v>
      </c>
      <c r="J731" s="74">
        <f t="shared" si="6"/>
        <v>15</v>
      </c>
      <c r="K731" s="94" t="s">
        <v>2128</v>
      </c>
      <c r="L731" s="73"/>
      <c r="M731" s="73"/>
      <c r="N731" s="73"/>
      <c r="O731" s="73"/>
      <c r="P731" s="73"/>
      <c r="Q731" s="73"/>
      <c r="R731" s="73"/>
      <c r="S731" s="73"/>
      <c r="T731" s="73"/>
      <c r="U731" s="73"/>
      <c r="V731" s="73"/>
      <c r="W731" s="73"/>
      <c r="X731" s="73"/>
    </row>
    <row r="732">
      <c r="A732" s="74">
        <v>816.0</v>
      </c>
      <c r="B732" s="74" t="s">
        <v>1421</v>
      </c>
      <c r="C732" s="90"/>
      <c r="D732" s="75" t="s">
        <v>2129</v>
      </c>
      <c r="E732" s="76">
        <v>45943.0</v>
      </c>
      <c r="F732" s="78" t="s">
        <v>1420</v>
      </c>
      <c r="G732" s="76">
        <v>45953.0</v>
      </c>
      <c r="H732" s="74" t="s">
        <v>29</v>
      </c>
      <c r="I732" s="74" t="str">
        <f>VLOOKUP(D732,Sheet15!D:K,8,FALSE)</f>
        <v>#N/A</v>
      </c>
      <c r="J732" s="74">
        <f t="shared" si="6"/>
        <v>10</v>
      </c>
      <c r="K732" s="77"/>
      <c r="L732" s="73"/>
      <c r="M732" s="73"/>
      <c r="N732" s="73"/>
      <c r="O732" s="73"/>
      <c r="P732" s="73"/>
      <c r="Q732" s="73"/>
      <c r="R732" s="73"/>
      <c r="S732" s="73"/>
      <c r="T732" s="73"/>
      <c r="U732" s="73"/>
      <c r="V732" s="73"/>
      <c r="W732" s="73"/>
      <c r="X732" s="73"/>
    </row>
    <row r="733">
      <c r="A733" s="74">
        <v>817.0</v>
      </c>
      <c r="B733" s="74" t="s">
        <v>1421</v>
      </c>
      <c r="C733" s="90"/>
      <c r="D733" s="75" t="s">
        <v>2130</v>
      </c>
      <c r="E733" s="76">
        <v>45943.0</v>
      </c>
      <c r="F733" s="78" t="s">
        <v>1420</v>
      </c>
      <c r="G733" s="76">
        <v>45953.0</v>
      </c>
      <c r="H733" s="74" t="s">
        <v>29</v>
      </c>
      <c r="I733" s="74" t="str">
        <f>VLOOKUP(D733,Sheet15!D:K,8,FALSE)</f>
        <v>#N/A</v>
      </c>
      <c r="J733" s="74">
        <f t="shared" si="6"/>
        <v>10</v>
      </c>
      <c r="K733" s="77"/>
      <c r="L733" s="73"/>
      <c r="M733" s="73"/>
      <c r="N733" s="73"/>
      <c r="O733" s="73"/>
      <c r="P733" s="73"/>
      <c r="Q733" s="73"/>
      <c r="R733" s="73"/>
      <c r="S733" s="73"/>
      <c r="T733" s="73"/>
      <c r="U733" s="73"/>
      <c r="V733" s="73"/>
      <c r="W733" s="73"/>
      <c r="X733" s="73"/>
    </row>
    <row r="734">
      <c r="A734" s="74">
        <v>818.0</v>
      </c>
      <c r="B734" s="74" t="s">
        <v>1421</v>
      </c>
      <c r="C734" s="90"/>
      <c r="D734" s="75" t="s">
        <v>2131</v>
      </c>
      <c r="E734" s="76">
        <v>45943.0</v>
      </c>
      <c r="F734" s="78" t="s">
        <v>1420</v>
      </c>
      <c r="G734" s="76">
        <v>45953.0</v>
      </c>
      <c r="H734" s="74" t="s">
        <v>29</v>
      </c>
      <c r="I734" s="74" t="str">
        <f>VLOOKUP(D734,Sheet15!D:K,8,FALSE)</f>
        <v>#N/A</v>
      </c>
      <c r="J734" s="74">
        <f t="shared" si="6"/>
        <v>10</v>
      </c>
      <c r="K734" s="77"/>
      <c r="L734" s="73"/>
      <c r="M734" s="73"/>
      <c r="N734" s="73"/>
      <c r="O734" s="73"/>
      <c r="P734" s="73"/>
      <c r="Q734" s="73"/>
      <c r="R734" s="73"/>
      <c r="S734" s="73"/>
      <c r="T734" s="73"/>
      <c r="U734" s="73"/>
      <c r="V734" s="73"/>
      <c r="W734" s="73"/>
      <c r="X734" s="73"/>
    </row>
    <row r="735">
      <c r="A735" s="74">
        <v>819.0</v>
      </c>
      <c r="B735" s="74" t="s">
        <v>1421</v>
      </c>
      <c r="C735" s="90"/>
      <c r="D735" s="75" t="s">
        <v>2132</v>
      </c>
      <c r="E735" s="76">
        <v>45943.0</v>
      </c>
      <c r="F735" s="78" t="s">
        <v>1420</v>
      </c>
      <c r="G735" s="76">
        <v>45953.0</v>
      </c>
      <c r="H735" s="74" t="s">
        <v>29</v>
      </c>
      <c r="I735" s="74" t="str">
        <f>VLOOKUP(D735,Sheet15!D:K,8,FALSE)</f>
        <v>#N/A</v>
      </c>
      <c r="J735" s="74">
        <f t="shared" si="6"/>
        <v>10</v>
      </c>
      <c r="K735" s="77"/>
      <c r="L735" s="73"/>
      <c r="M735" s="73"/>
      <c r="N735" s="73"/>
      <c r="O735" s="73"/>
      <c r="P735" s="73"/>
      <c r="Q735" s="73"/>
      <c r="R735" s="73"/>
      <c r="S735" s="73"/>
      <c r="T735" s="73"/>
      <c r="U735" s="73"/>
      <c r="V735" s="73"/>
      <c r="W735" s="73"/>
      <c r="X735" s="73"/>
    </row>
    <row r="736">
      <c r="A736" s="74">
        <v>820.0</v>
      </c>
      <c r="B736" s="74" t="s">
        <v>1421</v>
      </c>
      <c r="C736" s="90"/>
      <c r="D736" s="75" t="s">
        <v>2133</v>
      </c>
      <c r="E736" s="76">
        <v>45944.0</v>
      </c>
      <c r="F736" s="78" t="s">
        <v>1420</v>
      </c>
      <c r="G736" s="76">
        <v>45956.0</v>
      </c>
      <c r="H736" s="74" t="s">
        <v>29</v>
      </c>
      <c r="I736" s="74" t="str">
        <f>VLOOKUP(D736,Sheet15!D:K,8,FALSE)</f>
        <v>#N/A</v>
      </c>
      <c r="J736" s="74">
        <f t="shared" si="6"/>
        <v>12</v>
      </c>
      <c r="K736" s="77"/>
      <c r="L736" s="73"/>
      <c r="M736" s="73"/>
      <c r="N736" s="73"/>
      <c r="O736" s="73"/>
      <c r="P736" s="73"/>
      <c r="Q736" s="73"/>
      <c r="R736" s="73"/>
      <c r="S736" s="73"/>
      <c r="T736" s="73"/>
      <c r="U736" s="73"/>
      <c r="V736" s="73"/>
      <c r="W736" s="73"/>
      <c r="X736" s="73"/>
    </row>
    <row r="737">
      <c r="A737" s="74">
        <v>821.0</v>
      </c>
      <c r="B737" s="74" t="s">
        <v>89</v>
      </c>
      <c r="C737" s="90"/>
      <c r="D737" s="75" t="s">
        <v>2134</v>
      </c>
      <c r="E737" s="76">
        <v>45950.0</v>
      </c>
      <c r="F737" s="78" t="s">
        <v>1420</v>
      </c>
      <c r="G737" s="76">
        <v>45967.0</v>
      </c>
      <c r="H737" s="74" t="s">
        <v>29</v>
      </c>
      <c r="I737" s="74" t="str">
        <f>VLOOKUP(D737,Sheet15!D:K,8,FALSE)</f>
        <v>#N/A</v>
      </c>
      <c r="J737" s="74">
        <f t="shared" si="6"/>
        <v>17</v>
      </c>
      <c r="K737" s="77"/>
      <c r="L737" s="73"/>
      <c r="M737" s="73"/>
      <c r="N737" s="73"/>
      <c r="O737" s="73"/>
      <c r="P737" s="73"/>
      <c r="Q737" s="73"/>
      <c r="R737" s="73"/>
      <c r="S737" s="73"/>
      <c r="T737" s="73"/>
      <c r="U737" s="73"/>
      <c r="V737" s="73"/>
      <c r="W737" s="73"/>
      <c r="X737" s="73"/>
    </row>
    <row r="738">
      <c r="A738" s="74">
        <v>822.0</v>
      </c>
      <c r="B738" s="74" t="s">
        <v>89</v>
      </c>
      <c r="C738" s="90"/>
      <c r="D738" s="75" t="s">
        <v>2135</v>
      </c>
      <c r="E738" s="76">
        <v>45950.0</v>
      </c>
      <c r="F738" s="78" t="s">
        <v>1420</v>
      </c>
      <c r="G738" s="76">
        <v>45967.0</v>
      </c>
      <c r="H738" s="74" t="s">
        <v>29</v>
      </c>
      <c r="I738" s="74" t="str">
        <f>VLOOKUP(D738,Sheet15!D:K,8,FALSE)</f>
        <v>#N/A</v>
      </c>
      <c r="J738" s="74">
        <f t="shared" si="6"/>
        <v>17</v>
      </c>
      <c r="K738" s="77"/>
      <c r="L738" s="73"/>
      <c r="M738" s="73"/>
      <c r="N738" s="73"/>
      <c r="O738" s="73"/>
      <c r="P738" s="73"/>
      <c r="Q738" s="73"/>
      <c r="R738" s="73"/>
      <c r="S738" s="73"/>
      <c r="T738" s="73"/>
      <c r="U738" s="73"/>
      <c r="V738" s="73"/>
      <c r="W738" s="73"/>
      <c r="X738" s="73"/>
    </row>
    <row r="739">
      <c r="A739" s="74">
        <v>823.0</v>
      </c>
      <c r="B739" s="74" t="s">
        <v>89</v>
      </c>
      <c r="C739" s="90"/>
      <c r="D739" s="75" t="s">
        <v>2136</v>
      </c>
      <c r="E739" s="76">
        <v>45950.0</v>
      </c>
      <c r="F739" s="78" t="s">
        <v>1420</v>
      </c>
      <c r="G739" s="76">
        <v>45967.0</v>
      </c>
      <c r="H739" s="74" t="s">
        <v>29</v>
      </c>
      <c r="I739" s="74" t="str">
        <f>VLOOKUP(D739,Sheet15!D:K,8,FALSE)</f>
        <v>#N/A</v>
      </c>
      <c r="J739" s="74">
        <f t="shared" si="6"/>
        <v>17</v>
      </c>
      <c r="K739" s="77"/>
      <c r="L739" s="73"/>
      <c r="M739" s="73"/>
      <c r="N739" s="73"/>
      <c r="O739" s="73"/>
      <c r="P739" s="73"/>
      <c r="Q739" s="73"/>
      <c r="R739" s="73"/>
      <c r="S739" s="73"/>
      <c r="T739" s="73"/>
      <c r="U739" s="73"/>
      <c r="V739" s="73"/>
      <c r="W739" s="73"/>
      <c r="X739" s="73"/>
    </row>
    <row r="740">
      <c r="A740" s="74">
        <v>824.0</v>
      </c>
      <c r="B740" s="74" t="s">
        <v>89</v>
      </c>
      <c r="C740" s="90"/>
      <c r="D740" s="75" t="s">
        <v>2137</v>
      </c>
      <c r="E740" s="76">
        <v>45950.0</v>
      </c>
      <c r="F740" s="78" t="s">
        <v>1420</v>
      </c>
      <c r="G740" s="76">
        <v>45967.0</v>
      </c>
      <c r="H740" s="74" t="s">
        <v>29</v>
      </c>
      <c r="I740" s="74" t="str">
        <f>VLOOKUP(D740,Sheet15!D:K,8,FALSE)</f>
        <v>#N/A</v>
      </c>
      <c r="J740" s="74">
        <f t="shared" si="6"/>
        <v>17</v>
      </c>
      <c r="K740" s="77"/>
      <c r="L740" s="73"/>
      <c r="M740" s="73"/>
      <c r="N740" s="73"/>
      <c r="O740" s="73"/>
      <c r="P740" s="73"/>
      <c r="Q740" s="73"/>
      <c r="R740" s="73"/>
      <c r="S740" s="73"/>
      <c r="T740" s="73"/>
      <c r="U740" s="73"/>
      <c r="V740" s="73"/>
      <c r="W740" s="73"/>
      <c r="X740" s="73"/>
    </row>
    <row r="741">
      <c r="A741" s="74">
        <v>825.0</v>
      </c>
      <c r="B741" s="74" t="s">
        <v>89</v>
      </c>
      <c r="C741" s="90"/>
      <c r="D741" s="75" t="s">
        <v>2138</v>
      </c>
      <c r="E741" s="76">
        <v>45950.0</v>
      </c>
      <c r="F741" s="78" t="s">
        <v>1420</v>
      </c>
      <c r="G741" s="76">
        <v>45967.0</v>
      </c>
      <c r="H741" s="74" t="s">
        <v>29</v>
      </c>
      <c r="I741" s="74" t="str">
        <f>VLOOKUP(D741,Sheet15!D:K,8,FALSE)</f>
        <v>#N/A</v>
      </c>
      <c r="J741" s="74">
        <f t="shared" si="6"/>
        <v>17</v>
      </c>
      <c r="K741" s="77"/>
      <c r="L741" s="73"/>
      <c r="M741" s="73"/>
      <c r="N741" s="73"/>
      <c r="O741" s="73"/>
      <c r="P741" s="73"/>
      <c r="Q741" s="73"/>
      <c r="R741" s="73"/>
      <c r="S741" s="73"/>
      <c r="T741" s="73"/>
      <c r="U741" s="73"/>
      <c r="V741" s="73"/>
      <c r="W741" s="73"/>
      <c r="X741" s="73"/>
    </row>
    <row r="742">
      <c r="A742" s="74">
        <v>826.0</v>
      </c>
      <c r="B742" s="74" t="s">
        <v>89</v>
      </c>
      <c r="C742" s="90"/>
      <c r="D742" s="75" t="s">
        <v>2139</v>
      </c>
      <c r="E742" s="76">
        <v>45950.0</v>
      </c>
      <c r="F742" s="78" t="s">
        <v>1420</v>
      </c>
      <c r="G742" s="76">
        <v>45967.0</v>
      </c>
      <c r="H742" s="74" t="s">
        <v>29</v>
      </c>
      <c r="I742" s="74" t="str">
        <f>VLOOKUP(D742,Sheet15!D:K,8,FALSE)</f>
        <v>#N/A</v>
      </c>
      <c r="J742" s="74">
        <f t="shared" si="6"/>
        <v>17</v>
      </c>
      <c r="K742" s="77"/>
      <c r="L742" s="73"/>
      <c r="M742" s="73"/>
      <c r="N742" s="73"/>
      <c r="O742" s="73"/>
      <c r="P742" s="73"/>
      <c r="Q742" s="73"/>
      <c r="R742" s="73"/>
      <c r="S742" s="73"/>
      <c r="T742" s="73"/>
      <c r="U742" s="73"/>
      <c r="V742" s="73"/>
      <c r="W742" s="73"/>
      <c r="X742" s="73"/>
    </row>
    <row r="743">
      <c r="A743" s="74">
        <v>827.0</v>
      </c>
      <c r="B743" s="74" t="s">
        <v>89</v>
      </c>
      <c r="C743" s="90"/>
      <c r="D743" s="75" t="s">
        <v>2140</v>
      </c>
      <c r="E743" s="76">
        <v>45950.0</v>
      </c>
      <c r="F743" s="78" t="s">
        <v>1420</v>
      </c>
      <c r="G743" s="76">
        <v>45967.0</v>
      </c>
      <c r="H743" s="74" t="s">
        <v>29</v>
      </c>
      <c r="I743" s="74" t="str">
        <f>VLOOKUP(D743,Sheet15!D:K,8,FALSE)</f>
        <v>#N/A</v>
      </c>
      <c r="J743" s="74">
        <f t="shared" si="6"/>
        <v>17</v>
      </c>
      <c r="K743" s="77"/>
      <c r="L743" s="73"/>
      <c r="M743" s="73"/>
      <c r="N743" s="73"/>
      <c r="O743" s="73"/>
      <c r="P743" s="73"/>
      <c r="Q743" s="73"/>
      <c r="R743" s="73"/>
      <c r="S743" s="73"/>
      <c r="T743" s="73"/>
      <c r="U743" s="73"/>
      <c r="V743" s="73"/>
      <c r="W743" s="73"/>
      <c r="X743" s="73"/>
    </row>
    <row r="744">
      <c r="A744" s="74">
        <v>828.0</v>
      </c>
      <c r="B744" s="74" t="s">
        <v>89</v>
      </c>
      <c r="C744" s="90"/>
      <c r="D744" s="75" t="s">
        <v>2141</v>
      </c>
      <c r="E744" s="76">
        <v>45950.0</v>
      </c>
      <c r="F744" s="78" t="s">
        <v>1420</v>
      </c>
      <c r="G744" s="76">
        <v>45979.0</v>
      </c>
      <c r="H744" s="74" t="s">
        <v>29</v>
      </c>
      <c r="I744" s="74" t="str">
        <f>VLOOKUP(D744,Sheet15!D:K,8,FALSE)</f>
        <v>#N/A</v>
      </c>
      <c r="J744" s="74">
        <f t="shared" si="6"/>
        <v>29</v>
      </c>
      <c r="K744" s="77"/>
      <c r="L744" s="73"/>
      <c r="M744" s="73"/>
      <c r="N744" s="73"/>
      <c r="O744" s="73"/>
      <c r="P744" s="73"/>
      <c r="Q744" s="73"/>
      <c r="R744" s="73"/>
      <c r="S744" s="73"/>
      <c r="T744" s="73"/>
      <c r="U744" s="73"/>
      <c r="V744" s="73"/>
      <c r="W744" s="73"/>
      <c r="X744" s="73"/>
    </row>
    <row r="745">
      <c r="A745" s="74">
        <v>829.0</v>
      </c>
      <c r="B745" s="74" t="s">
        <v>89</v>
      </c>
      <c r="C745" s="90"/>
      <c r="D745" s="75" t="s">
        <v>2142</v>
      </c>
      <c r="E745" s="76">
        <v>45965.0</v>
      </c>
      <c r="F745" s="78" t="s">
        <v>1420</v>
      </c>
      <c r="G745" s="76">
        <v>45979.0</v>
      </c>
      <c r="H745" s="74" t="s">
        <v>29</v>
      </c>
      <c r="I745" s="74" t="str">
        <f>VLOOKUP(D745,Sheet15!D:K,8,FALSE)</f>
        <v>#N/A</v>
      </c>
      <c r="J745" s="74">
        <f t="shared" si="6"/>
        <v>14</v>
      </c>
      <c r="K745" s="77"/>
      <c r="L745" s="73"/>
      <c r="M745" s="73"/>
      <c r="N745" s="73"/>
      <c r="O745" s="73"/>
      <c r="P745" s="73"/>
      <c r="Q745" s="73"/>
      <c r="R745" s="73"/>
      <c r="S745" s="73"/>
      <c r="T745" s="73"/>
      <c r="U745" s="73"/>
      <c r="V745" s="73"/>
      <c r="W745" s="73"/>
      <c r="X745" s="73"/>
    </row>
    <row r="746">
      <c r="A746" s="74">
        <v>830.0</v>
      </c>
      <c r="B746" s="74" t="s">
        <v>89</v>
      </c>
      <c r="C746" s="90"/>
      <c r="D746" s="75" t="s">
        <v>2143</v>
      </c>
      <c r="E746" s="76">
        <v>45965.0</v>
      </c>
      <c r="F746" s="78" t="s">
        <v>1420</v>
      </c>
      <c r="G746" s="76">
        <v>45979.0</v>
      </c>
      <c r="H746" s="74" t="s">
        <v>29</v>
      </c>
      <c r="I746" s="74" t="str">
        <f>VLOOKUP(D746,Sheet15!D:K,8,FALSE)</f>
        <v>#N/A</v>
      </c>
      <c r="J746" s="74">
        <f t="shared" si="6"/>
        <v>14</v>
      </c>
      <c r="K746" s="77"/>
      <c r="L746" s="73"/>
      <c r="M746" s="73"/>
      <c r="N746" s="73"/>
      <c r="O746" s="73"/>
      <c r="P746" s="73"/>
      <c r="Q746" s="73"/>
      <c r="R746" s="73"/>
      <c r="S746" s="73"/>
      <c r="T746" s="73"/>
      <c r="U746" s="73"/>
      <c r="V746" s="73"/>
      <c r="W746" s="73"/>
      <c r="X746" s="73"/>
    </row>
    <row r="747">
      <c r="A747" s="74">
        <v>831.0</v>
      </c>
      <c r="B747" s="74" t="s">
        <v>89</v>
      </c>
      <c r="C747" s="90"/>
      <c r="D747" s="75" t="s">
        <v>2144</v>
      </c>
      <c r="E747" s="76">
        <v>45965.0</v>
      </c>
      <c r="F747" s="78" t="s">
        <v>1420</v>
      </c>
      <c r="G747" s="76">
        <v>45979.0</v>
      </c>
      <c r="H747" s="74" t="s">
        <v>29</v>
      </c>
      <c r="I747" s="74" t="str">
        <f>VLOOKUP(D747,Sheet15!D:K,8,FALSE)</f>
        <v>#N/A</v>
      </c>
      <c r="J747" s="74">
        <f t="shared" si="6"/>
        <v>14</v>
      </c>
      <c r="K747" s="77"/>
      <c r="L747" s="73"/>
      <c r="M747" s="73"/>
      <c r="N747" s="73"/>
      <c r="O747" s="73"/>
      <c r="P747" s="73"/>
      <c r="Q747" s="73"/>
      <c r="R747" s="73"/>
      <c r="S747" s="73"/>
      <c r="T747" s="73"/>
      <c r="U747" s="73"/>
      <c r="V747" s="73"/>
      <c r="W747" s="73"/>
      <c r="X747" s="73"/>
    </row>
    <row r="748">
      <c r="A748" s="74">
        <v>832.0</v>
      </c>
      <c r="B748" s="74" t="s">
        <v>89</v>
      </c>
      <c r="C748" s="90"/>
      <c r="D748" s="75" t="s">
        <v>2145</v>
      </c>
      <c r="E748" s="76">
        <v>45965.0</v>
      </c>
      <c r="F748" s="78" t="s">
        <v>1420</v>
      </c>
      <c r="G748" s="76">
        <v>45979.0</v>
      </c>
      <c r="H748" s="74" t="s">
        <v>29</v>
      </c>
      <c r="I748" s="74" t="str">
        <f>VLOOKUP(D748,Sheet15!D:K,8,FALSE)</f>
        <v>#N/A</v>
      </c>
      <c r="J748" s="74">
        <f t="shared" si="6"/>
        <v>14</v>
      </c>
      <c r="K748" s="77"/>
      <c r="L748" s="73"/>
      <c r="M748" s="73"/>
      <c r="N748" s="73"/>
      <c r="O748" s="73"/>
      <c r="P748" s="73"/>
      <c r="Q748" s="73"/>
      <c r="R748" s="73"/>
      <c r="S748" s="73"/>
      <c r="T748" s="73"/>
      <c r="U748" s="73"/>
      <c r="V748" s="73"/>
      <c r="W748" s="73"/>
      <c r="X748" s="73"/>
    </row>
    <row r="749">
      <c r="A749" s="74">
        <v>833.0</v>
      </c>
      <c r="B749" s="74" t="s">
        <v>1048</v>
      </c>
      <c r="C749" s="90"/>
      <c r="D749" s="75" t="s">
        <v>2146</v>
      </c>
      <c r="E749" s="76">
        <v>45965.0</v>
      </c>
      <c r="F749" s="78" t="s">
        <v>1420</v>
      </c>
      <c r="G749" s="76">
        <v>45983.0</v>
      </c>
      <c r="H749" s="74" t="s">
        <v>29</v>
      </c>
      <c r="I749" s="74" t="str">
        <f>VLOOKUP(D749,Sheet15!D:K,8,FALSE)</f>
        <v>#N/A</v>
      </c>
      <c r="J749" s="74">
        <f t="shared" si="6"/>
        <v>18</v>
      </c>
      <c r="K749" s="77"/>
      <c r="L749" s="73"/>
      <c r="M749" s="73"/>
      <c r="N749" s="73"/>
      <c r="O749" s="73"/>
      <c r="P749" s="73"/>
      <c r="Q749" s="73"/>
      <c r="R749" s="73"/>
      <c r="S749" s="73"/>
      <c r="T749" s="73"/>
      <c r="U749" s="73"/>
      <c r="V749" s="73"/>
      <c r="W749" s="73"/>
      <c r="X749" s="73"/>
    </row>
    <row r="750">
      <c r="A750" s="74">
        <v>834.0</v>
      </c>
      <c r="B750" s="74" t="s">
        <v>89</v>
      </c>
      <c r="C750" s="90"/>
      <c r="D750" s="75" t="s">
        <v>2147</v>
      </c>
      <c r="E750" s="76">
        <v>45966.0</v>
      </c>
      <c r="F750" s="78" t="s">
        <v>1420</v>
      </c>
      <c r="G750" s="76">
        <v>45983.0</v>
      </c>
      <c r="H750" s="74" t="s">
        <v>29</v>
      </c>
      <c r="I750" s="74" t="str">
        <f>VLOOKUP(D750,Sheet15!D:K,8,FALSE)</f>
        <v>#N/A</v>
      </c>
      <c r="J750" s="74">
        <f t="shared" si="6"/>
        <v>17</v>
      </c>
      <c r="K750" s="77"/>
      <c r="L750" s="73"/>
      <c r="M750" s="73"/>
      <c r="N750" s="73"/>
      <c r="O750" s="73"/>
      <c r="P750" s="73"/>
      <c r="Q750" s="73"/>
      <c r="R750" s="73"/>
      <c r="S750" s="73"/>
      <c r="T750" s="73"/>
      <c r="U750" s="73"/>
      <c r="V750" s="73"/>
      <c r="W750" s="73"/>
      <c r="X750" s="73"/>
    </row>
    <row r="751">
      <c r="A751" s="74">
        <v>835.0</v>
      </c>
      <c r="B751" s="74" t="s">
        <v>89</v>
      </c>
      <c r="C751" s="90"/>
      <c r="D751" s="75" t="s">
        <v>2148</v>
      </c>
      <c r="E751" s="76">
        <v>45966.0</v>
      </c>
      <c r="F751" s="78" t="s">
        <v>1420</v>
      </c>
      <c r="G751" s="76">
        <v>45983.0</v>
      </c>
      <c r="H751" s="74" t="s">
        <v>29</v>
      </c>
      <c r="I751" s="74" t="str">
        <f>VLOOKUP(D751,Sheet15!D:K,8,FALSE)</f>
        <v>#N/A</v>
      </c>
      <c r="J751" s="74">
        <f t="shared" si="6"/>
        <v>17</v>
      </c>
      <c r="K751" s="77"/>
      <c r="L751" s="73"/>
      <c r="M751" s="73"/>
      <c r="N751" s="73"/>
      <c r="O751" s="73"/>
      <c r="P751" s="73"/>
      <c r="Q751" s="73"/>
      <c r="R751" s="73"/>
      <c r="S751" s="73"/>
      <c r="T751" s="73"/>
      <c r="U751" s="73"/>
      <c r="V751" s="73"/>
      <c r="W751" s="73"/>
      <c r="X751" s="73"/>
    </row>
    <row r="752">
      <c r="A752" s="74">
        <v>836.0</v>
      </c>
      <c r="B752" s="74" t="s">
        <v>89</v>
      </c>
      <c r="C752" s="90"/>
      <c r="D752" s="75" t="s">
        <v>2149</v>
      </c>
      <c r="E752" s="76">
        <v>45966.0</v>
      </c>
      <c r="F752" s="78" t="s">
        <v>1420</v>
      </c>
      <c r="G752" s="76">
        <v>45983.0</v>
      </c>
      <c r="H752" s="74" t="s">
        <v>29</v>
      </c>
      <c r="I752" s="74" t="str">
        <f>VLOOKUP(D752,Sheet15!D:K,8,FALSE)</f>
        <v>#N/A</v>
      </c>
      <c r="J752" s="74">
        <f t="shared" si="6"/>
        <v>17</v>
      </c>
      <c r="K752" s="77"/>
      <c r="L752" s="73"/>
      <c r="M752" s="73"/>
      <c r="N752" s="73"/>
      <c r="O752" s="73"/>
      <c r="P752" s="73"/>
      <c r="Q752" s="73"/>
      <c r="R752" s="73"/>
      <c r="S752" s="73"/>
      <c r="T752" s="73"/>
      <c r="U752" s="73"/>
      <c r="V752" s="73"/>
      <c r="W752" s="73"/>
      <c r="X752" s="73"/>
    </row>
    <row r="753">
      <c r="A753" s="74">
        <v>837.0</v>
      </c>
      <c r="B753" s="74" t="s">
        <v>89</v>
      </c>
      <c r="C753" s="90"/>
      <c r="D753" s="75" t="s">
        <v>2150</v>
      </c>
      <c r="E753" s="76">
        <v>45966.0</v>
      </c>
      <c r="F753" s="78" t="s">
        <v>1420</v>
      </c>
      <c r="G753" s="76">
        <v>45983.0</v>
      </c>
      <c r="H753" s="74" t="s">
        <v>29</v>
      </c>
      <c r="I753" s="74" t="str">
        <f>VLOOKUP(D753,Sheet15!D:K,8,FALSE)</f>
        <v>#N/A</v>
      </c>
      <c r="J753" s="74">
        <f t="shared" si="6"/>
        <v>17</v>
      </c>
      <c r="K753" s="77"/>
      <c r="L753" s="73"/>
      <c r="M753" s="73"/>
      <c r="N753" s="73"/>
      <c r="O753" s="73"/>
      <c r="P753" s="73"/>
      <c r="Q753" s="73"/>
      <c r="R753" s="73"/>
      <c r="S753" s="73"/>
      <c r="T753" s="73"/>
      <c r="U753" s="73"/>
      <c r="V753" s="73"/>
      <c r="W753" s="73"/>
      <c r="X753" s="73"/>
    </row>
    <row r="754">
      <c r="A754" s="74">
        <v>838.0</v>
      </c>
      <c r="B754" s="74" t="s">
        <v>89</v>
      </c>
      <c r="C754" s="90"/>
      <c r="D754" s="75" t="s">
        <v>2151</v>
      </c>
      <c r="E754" s="76">
        <v>45966.0</v>
      </c>
      <c r="F754" s="78" t="s">
        <v>1420</v>
      </c>
      <c r="G754" s="76">
        <v>45983.0</v>
      </c>
      <c r="H754" s="74" t="s">
        <v>29</v>
      </c>
      <c r="I754" s="74" t="str">
        <f>VLOOKUP(D754,Sheet15!D:K,8,FALSE)</f>
        <v>#N/A</v>
      </c>
      <c r="J754" s="74">
        <f t="shared" si="6"/>
        <v>17</v>
      </c>
      <c r="K754" s="77"/>
      <c r="L754" s="73"/>
      <c r="M754" s="73"/>
      <c r="N754" s="73"/>
      <c r="O754" s="73"/>
      <c r="P754" s="73"/>
      <c r="Q754" s="73"/>
      <c r="R754" s="73"/>
      <c r="S754" s="73"/>
      <c r="T754" s="73"/>
      <c r="U754" s="73"/>
      <c r="V754" s="73"/>
      <c r="W754" s="73"/>
      <c r="X754" s="73"/>
    </row>
    <row r="755">
      <c r="A755" s="74">
        <v>839.0</v>
      </c>
      <c r="B755" s="74" t="s">
        <v>89</v>
      </c>
      <c r="C755" s="90"/>
      <c r="D755" s="75" t="s">
        <v>2152</v>
      </c>
      <c r="E755" s="76">
        <v>45966.0</v>
      </c>
      <c r="F755" s="78" t="s">
        <v>1420</v>
      </c>
      <c r="G755" s="76">
        <v>45983.0</v>
      </c>
      <c r="H755" s="74" t="s">
        <v>29</v>
      </c>
      <c r="I755" s="74" t="str">
        <f>VLOOKUP(D755,Sheet15!D:K,8,FALSE)</f>
        <v>#N/A</v>
      </c>
      <c r="J755" s="74">
        <f t="shared" si="6"/>
        <v>17</v>
      </c>
      <c r="K755" s="77"/>
      <c r="L755" s="73"/>
      <c r="M755" s="73"/>
      <c r="N755" s="73"/>
      <c r="O755" s="73"/>
      <c r="P755" s="73"/>
      <c r="Q755" s="73"/>
      <c r="R755" s="73"/>
      <c r="S755" s="73"/>
      <c r="T755" s="73"/>
      <c r="U755" s="73"/>
      <c r="V755" s="73"/>
      <c r="W755" s="73"/>
      <c r="X755" s="73"/>
    </row>
    <row r="756">
      <c r="A756" s="74">
        <v>840.0</v>
      </c>
      <c r="B756" s="74" t="s">
        <v>89</v>
      </c>
      <c r="C756" s="90"/>
      <c r="D756" s="75" t="s">
        <v>2153</v>
      </c>
      <c r="E756" s="76">
        <v>45966.0</v>
      </c>
      <c r="F756" s="78" t="s">
        <v>1420</v>
      </c>
      <c r="G756" s="76">
        <v>45983.0</v>
      </c>
      <c r="H756" s="74" t="s">
        <v>29</v>
      </c>
      <c r="I756" s="74" t="str">
        <f>VLOOKUP(D756,Sheet15!D:K,8,FALSE)</f>
        <v>#N/A</v>
      </c>
      <c r="J756" s="74">
        <f t="shared" si="6"/>
        <v>17</v>
      </c>
      <c r="K756" s="77"/>
      <c r="L756" s="73"/>
      <c r="M756" s="73"/>
      <c r="N756" s="73"/>
      <c r="O756" s="73"/>
      <c r="P756" s="73"/>
      <c r="Q756" s="73"/>
      <c r="R756" s="73"/>
      <c r="S756" s="73"/>
      <c r="T756" s="73"/>
      <c r="U756" s="73"/>
      <c r="V756" s="73"/>
      <c r="W756" s="73"/>
      <c r="X756" s="73"/>
    </row>
    <row r="757">
      <c r="A757" s="74">
        <v>841.0</v>
      </c>
      <c r="B757" s="74" t="s">
        <v>89</v>
      </c>
      <c r="C757" s="90"/>
      <c r="D757" s="75" t="s">
        <v>2154</v>
      </c>
      <c r="E757" s="76">
        <v>45967.0</v>
      </c>
      <c r="F757" s="78" t="s">
        <v>1420</v>
      </c>
      <c r="G757" s="76">
        <v>45983.0</v>
      </c>
      <c r="H757" s="74" t="s">
        <v>29</v>
      </c>
      <c r="I757" s="74" t="str">
        <f>VLOOKUP(D757,Sheet15!D:K,8,FALSE)</f>
        <v>#N/A</v>
      </c>
      <c r="J757" s="74">
        <f t="shared" si="6"/>
        <v>16</v>
      </c>
      <c r="K757" s="77"/>
      <c r="L757" s="73"/>
      <c r="M757" s="73"/>
      <c r="N757" s="73"/>
      <c r="O757" s="73"/>
      <c r="P757" s="73"/>
      <c r="Q757" s="73"/>
      <c r="R757" s="73"/>
      <c r="S757" s="73"/>
      <c r="T757" s="73"/>
      <c r="U757" s="73"/>
      <c r="V757" s="73"/>
      <c r="W757" s="73"/>
      <c r="X757" s="73"/>
    </row>
    <row r="758">
      <c r="A758" s="74">
        <v>842.0</v>
      </c>
      <c r="B758" s="74" t="s">
        <v>89</v>
      </c>
      <c r="C758" s="90"/>
      <c r="D758" s="75" t="s">
        <v>2155</v>
      </c>
      <c r="E758" s="76">
        <v>45967.0</v>
      </c>
      <c r="F758" s="78" t="s">
        <v>1420</v>
      </c>
      <c r="G758" s="76">
        <v>45983.0</v>
      </c>
      <c r="H758" s="74" t="s">
        <v>29</v>
      </c>
      <c r="I758" s="74" t="str">
        <f>VLOOKUP(D758,Sheet15!D:K,8,FALSE)</f>
        <v>#N/A</v>
      </c>
      <c r="J758" s="74">
        <f t="shared" si="6"/>
        <v>16</v>
      </c>
      <c r="K758" s="77"/>
      <c r="L758" s="73"/>
      <c r="M758" s="73"/>
      <c r="N758" s="73"/>
      <c r="O758" s="73"/>
      <c r="P758" s="73"/>
      <c r="Q758" s="73"/>
      <c r="R758" s="73"/>
      <c r="S758" s="73"/>
      <c r="T758" s="73"/>
      <c r="U758" s="73"/>
      <c r="V758" s="73"/>
      <c r="W758" s="73"/>
      <c r="X758" s="73"/>
    </row>
    <row r="759">
      <c r="A759" s="74">
        <v>843.0</v>
      </c>
      <c r="B759" s="74" t="s">
        <v>89</v>
      </c>
      <c r="C759" s="90"/>
      <c r="D759" s="75" t="s">
        <v>2156</v>
      </c>
      <c r="E759" s="76">
        <v>45967.0</v>
      </c>
      <c r="F759" s="78" t="s">
        <v>1420</v>
      </c>
      <c r="G759" s="76">
        <v>45983.0</v>
      </c>
      <c r="H759" s="74" t="s">
        <v>29</v>
      </c>
      <c r="I759" s="74" t="str">
        <f>VLOOKUP(D759,Sheet15!D:K,8,FALSE)</f>
        <v>#N/A</v>
      </c>
      <c r="J759" s="74">
        <f t="shared" si="6"/>
        <v>16</v>
      </c>
      <c r="K759" s="77"/>
      <c r="L759" s="73"/>
      <c r="M759" s="73"/>
      <c r="N759" s="73"/>
      <c r="O759" s="73"/>
      <c r="P759" s="73"/>
      <c r="Q759" s="73"/>
      <c r="R759" s="73"/>
      <c r="S759" s="73"/>
      <c r="T759" s="73"/>
      <c r="U759" s="73"/>
      <c r="V759" s="73"/>
      <c r="W759" s="73"/>
      <c r="X759" s="73"/>
    </row>
    <row r="760">
      <c r="A760" s="74">
        <v>844.0</v>
      </c>
      <c r="B760" s="74" t="s">
        <v>89</v>
      </c>
      <c r="C760" s="90"/>
      <c r="D760" s="75" t="s">
        <v>2157</v>
      </c>
      <c r="E760" s="76">
        <v>45967.0</v>
      </c>
      <c r="F760" s="78" t="s">
        <v>1420</v>
      </c>
      <c r="G760" s="76">
        <v>45983.0</v>
      </c>
      <c r="H760" s="74" t="s">
        <v>29</v>
      </c>
      <c r="I760" s="74" t="str">
        <f>VLOOKUP(D760,Sheet15!D:K,8,FALSE)</f>
        <v>#N/A</v>
      </c>
      <c r="J760" s="74">
        <f t="shared" si="6"/>
        <v>16</v>
      </c>
      <c r="K760" s="77"/>
      <c r="L760" s="73"/>
      <c r="M760" s="73"/>
      <c r="N760" s="73"/>
      <c r="O760" s="73"/>
      <c r="P760" s="73"/>
      <c r="Q760" s="73"/>
      <c r="R760" s="73"/>
      <c r="S760" s="73"/>
      <c r="T760" s="73"/>
      <c r="U760" s="73"/>
      <c r="V760" s="73"/>
      <c r="W760" s="73"/>
      <c r="X760" s="73"/>
    </row>
    <row r="761">
      <c r="A761" s="74">
        <v>845.0</v>
      </c>
      <c r="B761" s="74" t="s">
        <v>89</v>
      </c>
      <c r="C761" s="90"/>
      <c r="D761" s="75" t="s">
        <v>2158</v>
      </c>
      <c r="E761" s="76">
        <v>45967.0</v>
      </c>
      <c r="F761" s="78" t="s">
        <v>1420</v>
      </c>
      <c r="G761" s="76">
        <v>45983.0</v>
      </c>
      <c r="H761" s="74" t="s">
        <v>29</v>
      </c>
      <c r="I761" s="74" t="str">
        <f>VLOOKUP(D761,Sheet15!D:K,8,FALSE)</f>
        <v>#N/A</v>
      </c>
      <c r="J761" s="74">
        <f t="shared" si="6"/>
        <v>16</v>
      </c>
      <c r="K761" s="77"/>
      <c r="L761" s="73"/>
      <c r="M761" s="73"/>
      <c r="N761" s="73"/>
      <c r="O761" s="73"/>
      <c r="P761" s="73"/>
      <c r="Q761" s="73"/>
      <c r="R761" s="73"/>
      <c r="S761" s="73"/>
      <c r="T761" s="73"/>
      <c r="U761" s="73"/>
      <c r="V761" s="73"/>
      <c r="W761" s="73"/>
      <c r="X761" s="73"/>
    </row>
    <row r="762">
      <c r="A762" s="74">
        <v>846.0</v>
      </c>
      <c r="B762" s="74" t="s">
        <v>89</v>
      </c>
      <c r="C762" s="90"/>
      <c r="D762" s="75" t="s">
        <v>2159</v>
      </c>
      <c r="E762" s="76">
        <v>45967.0</v>
      </c>
      <c r="F762" s="78" t="s">
        <v>1420</v>
      </c>
      <c r="G762" s="76">
        <v>45983.0</v>
      </c>
      <c r="H762" s="74" t="s">
        <v>29</v>
      </c>
      <c r="I762" s="74" t="str">
        <f>VLOOKUP(D762,Sheet15!D:K,8,FALSE)</f>
        <v>#N/A</v>
      </c>
      <c r="J762" s="74">
        <f t="shared" si="6"/>
        <v>16</v>
      </c>
      <c r="K762" s="77"/>
      <c r="L762" s="73"/>
      <c r="M762" s="73"/>
      <c r="N762" s="73"/>
      <c r="O762" s="73"/>
      <c r="P762" s="73"/>
      <c r="Q762" s="73"/>
      <c r="R762" s="73"/>
      <c r="S762" s="73"/>
      <c r="T762" s="73"/>
      <c r="U762" s="73"/>
      <c r="V762" s="73"/>
      <c r="W762" s="73"/>
      <c r="X762" s="73"/>
    </row>
    <row r="763">
      <c r="A763" s="74">
        <v>847.0</v>
      </c>
      <c r="B763" s="74" t="s">
        <v>89</v>
      </c>
      <c r="C763" s="90"/>
      <c r="D763" s="75" t="s">
        <v>2160</v>
      </c>
      <c r="E763" s="76">
        <v>45970.0</v>
      </c>
      <c r="F763" s="78" t="s">
        <v>1420</v>
      </c>
      <c r="G763" s="76"/>
      <c r="H763" s="74" t="s">
        <v>29</v>
      </c>
      <c r="I763" s="74" t="str">
        <f>VLOOKUP(D763,Sheet15!D:K,8,FALSE)</f>
        <v>#N/A</v>
      </c>
      <c r="J763" s="74">
        <f t="shared" si="6"/>
        <v>-45970</v>
      </c>
      <c r="K763" s="77"/>
      <c r="L763" s="73"/>
      <c r="M763" s="73"/>
      <c r="N763" s="73"/>
      <c r="O763" s="73"/>
      <c r="P763" s="73"/>
      <c r="Q763" s="73"/>
      <c r="R763" s="73"/>
      <c r="S763" s="73"/>
      <c r="T763" s="73"/>
      <c r="U763" s="73"/>
      <c r="V763" s="73"/>
      <c r="W763" s="73"/>
      <c r="X763" s="73"/>
    </row>
    <row r="764">
      <c r="A764" s="74">
        <v>848.0</v>
      </c>
      <c r="B764" s="74" t="s">
        <v>89</v>
      </c>
      <c r="C764" s="90"/>
      <c r="D764" s="75" t="s">
        <v>2161</v>
      </c>
      <c r="E764" s="76">
        <v>45970.0</v>
      </c>
      <c r="F764" s="78" t="s">
        <v>1420</v>
      </c>
      <c r="G764" s="95"/>
      <c r="H764" s="74" t="s">
        <v>29</v>
      </c>
      <c r="I764" s="74" t="str">
        <f>VLOOKUP(D764,Sheet15!D:K,8,FALSE)</f>
        <v>#N/A</v>
      </c>
      <c r="J764" s="74">
        <f t="shared" si="6"/>
        <v>-45970</v>
      </c>
      <c r="K764" s="77"/>
      <c r="L764" s="73"/>
      <c r="M764" s="73"/>
      <c r="N764" s="73"/>
      <c r="O764" s="73"/>
      <c r="P764" s="73"/>
      <c r="Q764" s="73"/>
      <c r="R764" s="73"/>
      <c r="S764" s="73"/>
      <c r="T764" s="73"/>
      <c r="U764" s="73"/>
      <c r="V764" s="73"/>
      <c r="W764" s="73"/>
      <c r="X764" s="73"/>
    </row>
    <row r="765">
      <c r="A765" s="74">
        <v>849.0</v>
      </c>
      <c r="B765" s="74" t="s">
        <v>89</v>
      </c>
      <c r="C765" s="90"/>
      <c r="D765" s="75" t="s">
        <v>2162</v>
      </c>
      <c r="E765" s="76">
        <v>45970.0</v>
      </c>
      <c r="F765" s="78" t="s">
        <v>1420</v>
      </c>
      <c r="G765" s="95"/>
      <c r="H765" s="74" t="s">
        <v>29</v>
      </c>
      <c r="I765" s="74" t="str">
        <f>VLOOKUP(D765,Sheet15!D:K,8,FALSE)</f>
        <v>#N/A</v>
      </c>
      <c r="J765" s="74">
        <f t="shared" si="6"/>
        <v>-45970</v>
      </c>
      <c r="K765" s="77"/>
      <c r="L765" s="73"/>
      <c r="M765" s="73"/>
      <c r="N765" s="73"/>
      <c r="O765" s="73"/>
      <c r="P765" s="73"/>
      <c r="Q765" s="73"/>
      <c r="R765" s="73"/>
      <c r="S765" s="73"/>
      <c r="T765" s="73"/>
      <c r="U765" s="73"/>
      <c r="V765" s="73"/>
      <c r="W765" s="73"/>
      <c r="X765" s="73"/>
    </row>
    <row r="766">
      <c r="A766" s="74">
        <v>850.0</v>
      </c>
      <c r="B766" s="74" t="s">
        <v>89</v>
      </c>
      <c r="C766" s="90"/>
      <c r="D766" s="75" t="s">
        <v>2163</v>
      </c>
      <c r="E766" s="76">
        <v>45970.0</v>
      </c>
      <c r="F766" s="78" t="s">
        <v>1420</v>
      </c>
      <c r="G766" s="95"/>
      <c r="H766" s="74" t="s">
        <v>29</v>
      </c>
      <c r="I766" s="74" t="str">
        <f>VLOOKUP(D766,Sheet15!D:K,8,FALSE)</f>
        <v>#N/A</v>
      </c>
      <c r="J766" s="74">
        <f t="shared" si="6"/>
        <v>-45970</v>
      </c>
      <c r="K766" s="77"/>
      <c r="L766" s="73"/>
      <c r="M766" s="73"/>
      <c r="N766" s="73"/>
      <c r="O766" s="73"/>
      <c r="P766" s="73"/>
      <c r="Q766" s="73"/>
      <c r="R766" s="73"/>
      <c r="S766" s="73"/>
      <c r="T766" s="73"/>
      <c r="U766" s="73"/>
      <c r="V766" s="73"/>
      <c r="W766" s="73"/>
      <c r="X766" s="73"/>
    </row>
    <row r="767">
      <c r="A767" s="74">
        <v>851.0</v>
      </c>
      <c r="B767" s="74" t="s">
        <v>89</v>
      </c>
      <c r="C767" s="90"/>
      <c r="D767" s="75" t="s">
        <v>2164</v>
      </c>
      <c r="E767" s="76">
        <v>45971.0</v>
      </c>
      <c r="F767" s="78" t="s">
        <v>1420</v>
      </c>
      <c r="G767" s="95"/>
      <c r="H767" s="74" t="s">
        <v>29</v>
      </c>
      <c r="I767" s="74" t="str">
        <f>VLOOKUP(D767,Sheet15!D:K,8,FALSE)</f>
        <v>#N/A</v>
      </c>
      <c r="J767" s="74">
        <f t="shared" si="6"/>
        <v>-45971</v>
      </c>
      <c r="K767" s="77"/>
      <c r="L767" s="73"/>
      <c r="M767" s="73"/>
      <c r="N767" s="73"/>
      <c r="O767" s="73"/>
      <c r="P767" s="73"/>
      <c r="Q767" s="73"/>
      <c r="R767" s="73"/>
      <c r="S767" s="73"/>
      <c r="T767" s="73"/>
      <c r="U767" s="73"/>
      <c r="V767" s="73"/>
      <c r="W767" s="73"/>
      <c r="X767" s="73"/>
    </row>
    <row r="768" ht="16.5" customHeight="1">
      <c r="A768" s="74">
        <v>852.0</v>
      </c>
      <c r="B768" s="74" t="s">
        <v>89</v>
      </c>
      <c r="C768" s="90"/>
      <c r="D768" s="75" t="s">
        <v>2165</v>
      </c>
      <c r="E768" s="76">
        <v>45971.0</v>
      </c>
      <c r="F768" s="78" t="s">
        <v>1420</v>
      </c>
      <c r="G768" s="95"/>
      <c r="H768" s="74" t="s">
        <v>29</v>
      </c>
      <c r="I768" s="74" t="str">
        <f>VLOOKUP(D768,Sheet15!D:K,8,FALSE)</f>
        <v>#N/A</v>
      </c>
      <c r="J768" s="74">
        <f t="shared" si="6"/>
        <v>-45971</v>
      </c>
      <c r="K768" s="77"/>
      <c r="L768" s="73"/>
      <c r="M768" s="73"/>
      <c r="N768" s="73"/>
      <c r="O768" s="73"/>
      <c r="P768" s="73"/>
      <c r="Q768" s="73"/>
      <c r="R768" s="73"/>
      <c r="S768" s="73"/>
      <c r="T768" s="73"/>
      <c r="U768" s="73"/>
      <c r="V768" s="73"/>
      <c r="W768" s="73"/>
      <c r="X768" s="73"/>
    </row>
    <row r="769">
      <c r="A769" s="74">
        <v>853.0</v>
      </c>
      <c r="B769" s="74" t="s">
        <v>89</v>
      </c>
      <c r="C769" s="90"/>
      <c r="D769" s="75" t="s">
        <v>2166</v>
      </c>
      <c r="E769" s="76">
        <v>45971.0</v>
      </c>
      <c r="F769" s="78" t="s">
        <v>1420</v>
      </c>
      <c r="G769" s="95"/>
      <c r="H769" s="74" t="s">
        <v>29</v>
      </c>
      <c r="I769" s="74" t="str">
        <f>VLOOKUP(D769,Sheet15!D:K,8,FALSE)</f>
        <v>#N/A</v>
      </c>
      <c r="J769" s="74">
        <f t="shared" si="6"/>
        <v>-45971</v>
      </c>
      <c r="K769" s="77"/>
      <c r="L769" s="73"/>
      <c r="M769" s="73"/>
      <c r="N769" s="73"/>
      <c r="O769" s="73"/>
      <c r="P769" s="73"/>
      <c r="Q769" s="73"/>
      <c r="R769" s="73"/>
      <c r="S769" s="73"/>
      <c r="T769" s="73"/>
      <c r="U769" s="73"/>
      <c r="V769" s="73"/>
      <c r="W769" s="73"/>
      <c r="X769" s="73"/>
    </row>
    <row r="770">
      <c r="A770" s="74">
        <v>854.0</v>
      </c>
      <c r="B770" s="74" t="s">
        <v>2100</v>
      </c>
      <c r="C770" s="90"/>
      <c r="D770" s="75" t="s">
        <v>2167</v>
      </c>
      <c r="E770" s="76">
        <v>45987.0</v>
      </c>
      <c r="F770" s="78" t="s">
        <v>1420</v>
      </c>
      <c r="G770" s="76">
        <v>46001.0</v>
      </c>
      <c r="H770" s="96" t="s">
        <v>29</v>
      </c>
      <c r="I770" s="74" t="str">
        <f>VLOOKUP(D770,Sheet15!D:K,8,FALSE)</f>
        <v>#N/A</v>
      </c>
      <c r="J770" s="74">
        <f t="shared" si="6"/>
        <v>14</v>
      </c>
      <c r="K770" s="77"/>
      <c r="L770" s="73"/>
      <c r="M770" s="73"/>
      <c r="N770" s="73"/>
      <c r="O770" s="73"/>
      <c r="P770" s="73"/>
      <c r="Q770" s="73"/>
      <c r="R770" s="73"/>
      <c r="S770" s="73"/>
      <c r="T770" s="73"/>
      <c r="U770" s="73"/>
      <c r="V770" s="73"/>
      <c r="W770" s="73"/>
      <c r="X770" s="73"/>
    </row>
    <row r="771">
      <c r="A771" s="74">
        <v>855.0</v>
      </c>
      <c r="B771" s="74" t="s">
        <v>2168</v>
      </c>
      <c r="C771" s="90"/>
      <c r="D771" s="75" t="s">
        <v>2169</v>
      </c>
      <c r="E771" s="76">
        <v>45992.0</v>
      </c>
      <c r="F771" s="78" t="s">
        <v>1420</v>
      </c>
      <c r="G771" s="76">
        <v>46009.0</v>
      </c>
      <c r="H771" s="96" t="s">
        <v>29</v>
      </c>
      <c r="I771" s="74" t="str">
        <f>VLOOKUP(D771,Sheet15!D:K,8,FALSE)</f>
        <v>#N/A</v>
      </c>
      <c r="J771" s="74">
        <f t="shared" si="6"/>
        <v>17</v>
      </c>
      <c r="K771" s="77"/>
      <c r="L771" s="73"/>
      <c r="M771" s="73"/>
      <c r="N771" s="73"/>
      <c r="O771" s="73"/>
      <c r="P771" s="73"/>
      <c r="Q771" s="73"/>
      <c r="R771" s="73"/>
      <c r="S771" s="73"/>
      <c r="T771" s="73"/>
      <c r="U771" s="73"/>
      <c r="V771" s="73"/>
      <c r="W771" s="73"/>
      <c r="X771" s="73"/>
    </row>
    <row r="772">
      <c r="A772" s="74">
        <v>856.0</v>
      </c>
      <c r="B772" s="74" t="s">
        <v>2168</v>
      </c>
      <c r="C772" s="90"/>
      <c r="D772" s="75" t="s">
        <v>2170</v>
      </c>
      <c r="E772" s="76">
        <v>45992.0</v>
      </c>
      <c r="F772" s="78" t="s">
        <v>1420</v>
      </c>
      <c r="G772" s="76">
        <v>46009.0</v>
      </c>
      <c r="H772" s="96" t="s">
        <v>29</v>
      </c>
      <c r="I772" s="74" t="str">
        <f>VLOOKUP(D772,Sheet15!D:K,8,FALSE)</f>
        <v>#N/A</v>
      </c>
      <c r="J772" s="74">
        <f t="shared" si="6"/>
        <v>17</v>
      </c>
      <c r="K772" s="77"/>
      <c r="L772" s="73"/>
      <c r="M772" s="73"/>
      <c r="N772" s="73"/>
      <c r="O772" s="73"/>
      <c r="P772" s="73"/>
      <c r="Q772" s="73"/>
      <c r="R772" s="73"/>
      <c r="S772" s="73"/>
      <c r="T772" s="73"/>
      <c r="U772" s="73"/>
      <c r="V772" s="73"/>
      <c r="W772" s="73"/>
      <c r="X772" s="73"/>
    </row>
    <row r="773">
      <c r="A773" s="74">
        <v>857.0</v>
      </c>
      <c r="B773" s="74" t="s">
        <v>2168</v>
      </c>
      <c r="C773" s="90"/>
      <c r="D773" s="75" t="s">
        <v>2171</v>
      </c>
      <c r="E773" s="76">
        <v>45992.0</v>
      </c>
      <c r="F773" s="78" t="s">
        <v>1420</v>
      </c>
      <c r="G773" s="76">
        <v>46014.0</v>
      </c>
      <c r="H773" s="96" t="s">
        <v>29</v>
      </c>
      <c r="I773" s="74" t="str">
        <f>VLOOKUP(D773,Sheet15!D:K,8,FALSE)</f>
        <v>#N/A</v>
      </c>
      <c r="J773" s="74">
        <f t="shared" si="6"/>
        <v>22</v>
      </c>
      <c r="K773" s="77"/>
      <c r="L773" s="73"/>
      <c r="M773" s="73"/>
      <c r="N773" s="73"/>
      <c r="O773" s="73"/>
      <c r="P773" s="73"/>
      <c r="Q773" s="73"/>
      <c r="R773" s="73"/>
      <c r="S773" s="73"/>
      <c r="T773" s="73"/>
      <c r="U773" s="73"/>
      <c r="V773" s="73"/>
      <c r="W773" s="73"/>
      <c r="X773" s="73"/>
    </row>
    <row r="774">
      <c r="A774" s="74">
        <v>858.0</v>
      </c>
      <c r="B774" s="74" t="s">
        <v>2168</v>
      </c>
      <c r="C774" s="90"/>
      <c r="D774" s="75" t="s">
        <v>2172</v>
      </c>
      <c r="E774" s="76">
        <v>45992.0</v>
      </c>
      <c r="F774" s="78" t="s">
        <v>1420</v>
      </c>
      <c r="G774" s="76">
        <v>46014.0</v>
      </c>
      <c r="H774" s="96" t="s">
        <v>29</v>
      </c>
      <c r="I774" s="74" t="str">
        <f>VLOOKUP(D774,Sheet15!D:K,8,FALSE)</f>
        <v>#N/A</v>
      </c>
      <c r="J774" s="74">
        <f t="shared" si="6"/>
        <v>22</v>
      </c>
      <c r="K774" s="77"/>
      <c r="L774" s="73"/>
      <c r="M774" s="73"/>
      <c r="N774" s="73"/>
      <c r="O774" s="73"/>
      <c r="P774" s="73"/>
      <c r="Q774" s="73"/>
      <c r="R774" s="73"/>
      <c r="S774" s="73"/>
      <c r="T774" s="73"/>
      <c r="U774" s="73"/>
      <c r="V774" s="73"/>
      <c r="W774" s="73"/>
      <c r="X774" s="73"/>
    </row>
    <row r="775">
      <c r="A775" s="74">
        <v>859.0</v>
      </c>
      <c r="B775" s="74" t="s">
        <v>2168</v>
      </c>
      <c r="C775" s="90"/>
      <c r="D775" s="75" t="s">
        <v>2173</v>
      </c>
      <c r="E775" s="76">
        <v>45992.0</v>
      </c>
      <c r="F775" s="78" t="s">
        <v>1420</v>
      </c>
      <c r="G775" s="76">
        <v>46014.0</v>
      </c>
      <c r="H775" s="96" t="s">
        <v>29</v>
      </c>
      <c r="I775" s="74" t="str">
        <f>VLOOKUP(D775,Sheet15!D:K,8,FALSE)</f>
        <v>#N/A</v>
      </c>
      <c r="J775" s="74">
        <f t="shared" si="6"/>
        <v>22</v>
      </c>
      <c r="K775" s="77"/>
      <c r="L775" s="73"/>
      <c r="M775" s="73"/>
      <c r="N775" s="73"/>
      <c r="O775" s="73"/>
      <c r="P775" s="73"/>
      <c r="Q775" s="73"/>
      <c r="R775" s="73"/>
      <c r="S775" s="73"/>
      <c r="T775" s="73"/>
      <c r="U775" s="73"/>
      <c r="V775" s="73"/>
      <c r="W775" s="73"/>
      <c r="X775" s="73"/>
    </row>
    <row r="776">
      <c r="A776" s="74">
        <v>860.0</v>
      </c>
      <c r="B776" s="74" t="s">
        <v>2168</v>
      </c>
      <c r="C776" s="90"/>
      <c r="D776" s="75" t="s">
        <v>2174</v>
      </c>
      <c r="E776" s="76">
        <v>45992.0</v>
      </c>
      <c r="F776" s="78" t="s">
        <v>1420</v>
      </c>
      <c r="G776" s="76">
        <v>46014.0</v>
      </c>
      <c r="H776" s="96" t="s">
        <v>29</v>
      </c>
      <c r="I776" s="74" t="str">
        <f>VLOOKUP(D776,Sheet15!D:K,8,FALSE)</f>
        <v>#N/A</v>
      </c>
      <c r="J776" s="74">
        <f t="shared" si="6"/>
        <v>22</v>
      </c>
      <c r="K776" s="77"/>
      <c r="L776" s="73"/>
      <c r="M776" s="73"/>
      <c r="N776" s="73"/>
      <c r="O776" s="73"/>
      <c r="P776" s="73"/>
      <c r="Q776" s="73"/>
      <c r="R776" s="73"/>
      <c r="S776" s="73"/>
      <c r="T776" s="73"/>
      <c r="U776" s="73"/>
      <c r="V776" s="73"/>
      <c r="W776" s="73"/>
      <c r="X776" s="73"/>
    </row>
    <row r="777">
      <c r="A777" s="74">
        <v>861.0</v>
      </c>
      <c r="B777" s="74" t="s">
        <v>2168</v>
      </c>
      <c r="C777" s="90"/>
      <c r="D777" s="75" t="s">
        <v>2175</v>
      </c>
      <c r="E777" s="76">
        <v>45992.0</v>
      </c>
      <c r="F777" s="78" t="s">
        <v>1420</v>
      </c>
      <c r="G777" s="76">
        <v>46014.0</v>
      </c>
      <c r="H777" s="96" t="s">
        <v>29</v>
      </c>
      <c r="I777" s="74" t="str">
        <f>VLOOKUP(D777,Sheet15!D:K,8,FALSE)</f>
        <v>#N/A</v>
      </c>
      <c r="J777" s="74">
        <f t="shared" si="6"/>
        <v>22</v>
      </c>
      <c r="K777" s="77"/>
      <c r="L777" s="73"/>
      <c r="M777" s="73"/>
      <c r="N777" s="73"/>
      <c r="O777" s="73"/>
      <c r="P777" s="73"/>
      <c r="Q777" s="73"/>
      <c r="R777" s="73"/>
      <c r="S777" s="73"/>
      <c r="T777" s="73"/>
      <c r="U777" s="73"/>
      <c r="V777" s="73"/>
      <c r="W777" s="73"/>
      <c r="X777" s="73"/>
    </row>
    <row r="778">
      <c r="A778" s="74">
        <v>862.0</v>
      </c>
      <c r="B778" s="74" t="s">
        <v>2168</v>
      </c>
      <c r="C778" s="90"/>
      <c r="D778" s="75" t="s">
        <v>2176</v>
      </c>
      <c r="E778" s="76">
        <v>45992.0</v>
      </c>
      <c r="F778" s="78" t="s">
        <v>1420</v>
      </c>
      <c r="G778" s="76">
        <v>46014.0</v>
      </c>
      <c r="H778" s="96" t="s">
        <v>29</v>
      </c>
      <c r="I778" s="74" t="str">
        <f>VLOOKUP(D778,Sheet15!D:K,8,FALSE)</f>
        <v>#N/A</v>
      </c>
      <c r="J778" s="74">
        <f t="shared" si="6"/>
        <v>22</v>
      </c>
      <c r="K778" s="77"/>
      <c r="L778" s="73"/>
      <c r="M778" s="73"/>
      <c r="N778" s="73"/>
      <c r="O778" s="73"/>
      <c r="P778" s="73"/>
      <c r="Q778" s="73"/>
      <c r="R778" s="73"/>
      <c r="S778" s="73"/>
      <c r="T778" s="73"/>
      <c r="U778" s="73"/>
      <c r="V778" s="73"/>
      <c r="W778" s="73"/>
      <c r="X778" s="73"/>
    </row>
    <row r="779">
      <c r="A779" s="74">
        <v>863.0</v>
      </c>
      <c r="B779" s="74" t="s">
        <v>2168</v>
      </c>
      <c r="C779" s="90"/>
      <c r="D779" s="75" t="s">
        <v>2177</v>
      </c>
      <c r="E779" s="76">
        <v>45992.0</v>
      </c>
      <c r="F779" s="78" t="s">
        <v>1420</v>
      </c>
      <c r="G779" s="76">
        <v>46014.0</v>
      </c>
      <c r="H779" s="96" t="s">
        <v>29</v>
      </c>
      <c r="I779" s="74" t="str">
        <f>VLOOKUP(D779,Sheet15!D:K,8,FALSE)</f>
        <v>#N/A</v>
      </c>
      <c r="J779" s="74">
        <f t="shared" si="6"/>
        <v>22</v>
      </c>
      <c r="K779" s="77"/>
      <c r="L779" s="73"/>
      <c r="M779" s="73"/>
      <c r="N779" s="73"/>
      <c r="O779" s="73"/>
      <c r="P779" s="73"/>
      <c r="Q779" s="73"/>
      <c r="R779" s="73"/>
      <c r="S779" s="73"/>
      <c r="T779" s="73"/>
      <c r="U779" s="73"/>
      <c r="V779" s="73"/>
      <c r="W779" s="73"/>
      <c r="X779" s="73"/>
    </row>
    <row r="780">
      <c r="A780" s="74">
        <v>864.0</v>
      </c>
      <c r="B780" s="74" t="s">
        <v>2168</v>
      </c>
      <c r="C780" s="90"/>
      <c r="D780" s="75" t="s">
        <v>2178</v>
      </c>
      <c r="E780" s="76">
        <v>45992.0</v>
      </c>
      <c r="F780" s="78" t="s">
        <v>1420</v>
      </c>
      <c r="G780" s="76">
        <v>46014.0</v>
      </c>
      <c r="H780" s="96" t="s">
        <v>29</v>
      </c>
      <c r="I780" s="74" t="str">
        <f>VLOOKUP(D780,Sheet15!D:K,8,FALSE)</f>
        <v>#N/A</v>
      </c>
      <c r="J780" s="74">
        <f t="shared" si="6"/>
        <v>22</v>
      </c>
      <c r="K780" s="77"/>
      <c r="L780" s="73"/>
      <c r="M780" s="73"/>
      <c r="N780" s="73"/>
      <c r="O780" s="73"/>
      <c r="P780" s="73"/>
      <c r="Q780" s="73"/>
      <c r="R780" s="73"/>
      <c r="S780" s="73"/>
      <c r="T780" s="73"/>
      <c r="U780" s="73"/>
      <c r="V780" s="73"/>
      <c r="W780" s="73"/>
      <c r="X780" s="73"/>
    </row>
    <row r="781">
      <c r="A781" s="74">
        <v>865.0</v>
      </c>
      <c r="B781" s="74" t="s">
        <v>2168</v>
      </c>
      <c r="C781" s="90"/>
      <c r="D781" s="75" t="s">
        <v>2179</v>
      </c>
      <c r="E781" s="76">
        <v>45992.0</v>
      </c>
      <c r="F781" s="78" t="s">
        <v>1420</v>
      </c>
      <c r="G781" s="76">
        <v>46014.0</v>
      </c>
      <c r="H781" s="96" t="s">
        <v>29</v>
      </c>
      <c r="I781" s="74" t="str">
        <f>VLOOKUP(D781,Sheet15!D:K,8,FALSE)</f>
        <v>#N/A</v>
      </c>
      <c r="J781" s="74">
        <f t="shared" si="6"/>
        <v>22</v>
      </c>
      <c r="K781" s="77"/>
      <c r="L781" s="73"/>
      <c r="M781" s="73"/>
      <c r="N781" s="73"/>
      <c r="O781" s="73"/>
      <c r="P781" s="73"/>
      <c r="Q781" s="73"/>
      <c r="R781" s="73"/>
      <c r="S781" s="73"/>
      <c r="T781" s="73"/>
      <c r="U781" s="73"/>
      <c r="V781" s="73"/>
      <c r="W781" s="73"/>
      <c r="X781" s="73"/>
    </row>
    <row r="782" ht="15.0" customHeight="1">
      <c r="A782" s="74">
        <v>866.0</v>
      </c>
      <c r="B782" s="74" t="s">
        <v>2168</v>
      </c>
      <c r="C782" s="90"/>
      <c r="D782" s="75" t="s">
        <v>2180</v>
      </c>
      <c r="E782" s="76">
        <v>45992.0</v>
      </c>
      <c r="F782" s="78" t="s">
        <v>1420</v>
      </c>
      <c r="G782" s="76">
        <v>46014.0</v>
      </c>
      <c r="H782" s="96" t="s">
        <v>29</v>
      </c>
      <c r="I782" s="74" t="str">
        <f>VLOOKUP(D782,Sheet15!D:K,8,FALSE)</f>
        <v>#N/A</v>
      </c>
      <c r="J782" s="74">
        <f t="shared" si="6"/>
        <v>22</v>
      </c>
      <c r="K782" s="77"/>
      <c r="L782" s="73"/>
      <c r="M782" s="73"/>
      <c r="N782" s="73"/>
      <c r="O782" s="73"/>
      <c r="P782" s="73"/>
      <c r="Q782" s="73"/>
      <c r="R782" s="73"/>
      <c r="S782" s="73"/>
      <c r="T782" s="73"/>
      <c r="U782" s="73"/>
      <c r="V782" s="73"/>
      <c r="W782" s="73"/>
      <c r="X782" s="73"/>
    </row>
    <row r="783">
      <c r="A783" s="74">
        <v>867.0</v>
      </c>
      <c r="B783" s="74" t="s">
        <v>2168</v>
      </c>
      <c r="C783" s="90"/>
      <c r="D783" s="75" t="s">
        <v>2181</v>
      </c>
      <c r="E783" s="76">
        <v>45992.0</v>
      </c>
      <c r="F783" s="78" t="s">
        <v>1420</v>
      </c>
      <c r="G783" s="76">
        <v>46014.0</v>
      </c>
      <c r="H783" s="96" t="s">
        <v>29</v>
      </c>
      <c r="I783" s="96" t="str">
        <f>VLOOKUP(D783,Sheet12!A:C,3,0)</f>
        <v>#N/A</v>
      </c>
      <c r="J783" s="74">
        <f t="shared" si="6"/>
        <v>22</v>
      </c>
      <c r="K783" s="77"/>
      <c r="L783" s="73"/>
      <c r="M783" s="73"/>
      <c r="N783" s="73"/>
      <c r="O783" s="73"/>
      <c r="P783" s="73"/>
      <c r="Q783" s="73"/>
      <c r="R783" s="73"/>
      <c r="S783" s="73"/>
      <c r="T783" s="73"/>
      <c r="U783" s="73"/>
      <c r="V783" s="73"/>
      <c r="W783" s="73"/>
      <c r="X783" s="73"/>
    </row>
    <row r="784" ht="18.0" customHeight="1">
      <c r="A784" s="74">
        <v>868.0</v>
      </c>
      <c r="B784" s="74" t="s">
        <v>2168</v>
      </c>
      <c r="C784" s="90"/>
      <c r="D784" s="75" t="s">
        <v>2182</v>
      </c>
      <c r="E784" s="76">
        <v>45992.0</v>
      </c>
      <c r="F784" s="78" t="s">
        <v>1420</v>
      </c>
      <c r="G784" s="76">
        <v>46014.0</v>
      </c>
      <c r="H784" s="96" t="s">
        <v>29</v>
      </c>
      <c r="I784" s="96" t="str">
        <f>VLOOKUP(D784,Sheet12!A:C,3,0)</f>
        <v>#N/A</v>
      </c>
      <c r="J784" s="74">
        <f t="shared" si="6"/>
        <v>22</v>
      </c>
      <c r="K784" s="77"/>
      <c r="L784" s="73"/>
      <c r="M784" s="73"/>
      <c r="N784" s="73"/>
      <c r="O784" s="73"/>
      <c r="P784" s="73"/>
      <c r="Q784" s="73"/>
      <c r="R784" s="73"/>
      <c r="S784" s="73"/>
      <c r="T784" s="73"/>
      <c r="U784" s="73"/>
      <c r="V784" s="73"/>
      <c r="W784" s="73"/>
      <c r="X784" s="73"/>
    </row>
    <row r="785">
      <c r="A785" s="74">
        <v>869.0</v>
      </c>
      <c r="B785" s="74" t="s">
        <v>2168</v>
      </c>
      <c r="C785" s="90"/>
      <c r="D785" s="75" t="s">
        <v>2183</v>
      </c>
      <c r="E785" s="76">
        <v>45992.0</v>
      </c>
      <c r="F785" s="78" t="s">
        <v>1420</v>
      </c>
      <c r="G785" s="76">
        <v>46014.0</v>
      </c>
      <c r="H785" s="96" t="s">
        <v>29</v>
      </c>
      <c r="I785" s="96" t="str">
        <f>VLOOKUP(D785,Sheet12!A:C,3,0)</f>
        <v>#N/A</v>
      </c>
      <c r="J785" s="74">
        <f t="shared" si="6"/>
        <v>22</v>
      </c>
      <c r="K785" s="77"/>
      <c r="L785" s="73"/>
      <c r="M785" s="73"/>
      <c r="N785" s="73"/>
      <c r="O785" s="73"/>
      <c r="P785" s="73"/>
      <c r="Q785" s="73"/>
      <c r="R785" s="73"/>
      <c r="S785" s="73"/>
      <c r="T785" s="73"/>
      <c r="U785" s="73"/>
      <c r="V785" s="73"/>
      <c r="W785" s="73"/>
      <c r="X785" s="73"/>
    </row>
    <row r="786">
      <c r="A786" s="74">
        <v>870.0</v>
      </c>
      <c r="B786" s="74" t="s">
        <v>2168</v>
      </c>
      <c r="C786" s="90"/>
      <c r="D786" s="75" t="s">
        <v>2184</v>
      </c>
      <c r="E786" s="76">
        <v>45992.0</v>
      </c>
      <c r="F786" s="78" t="s">
        <v>1420</v>
      </c>
      <c r="G786" s="76">
        <v>46014.0</v>
      </c>
      <c r="H786" s="96" t="s">
        <v>29</v>
      </c>
      <c r="I786" s="96" t="str">
        <f>VLOOKUP(D786,Sheet12!A:C,3,0)</f>
        <v>#N/A</v>
      </c>
      <c r="J786" s="74">
        <f t="shared" si="6"/>
        <v>22</v>
      </c>
      <c r="K786" s="77"/>
      <c r="L786" s="73"/>
      <c r="M786" s="73"/>
      <c r="N786" s="73"/>
      <c r="O786" s="73"/>
      <c r="P786" s="73"/>
      <c r="Q786" s="73"/>
      <c r="R786" s="73"/>
      <c r="S786" s="73"/>
      <c r="T786" s="73"/>
      <c r="U786" s="73"/>
      <c r="V786" s="73"/>
      <c r="W786" s="73"/>
      <c r="X786" s="73"/>
    </row>
    <row r="787">
      <c r="A787" s="74">
        <v>871.0</v>
      </c>
      <c r="B787" s="74" t="s">
        <v>2168</v>
      </c>
      <c r="C787" s="90"/>
      <c r="D787" s="75" t="s">
        <v>2185</v>
      </c>
      <c r="E787" s="76">
        <v>45992.0</v>
      </c>
      <c r="F787" s="78" t="s">
        <v>1420</v>
      </c>
      <c r="G787" s="76">
        <v>46015.0</v>
      </c>
      <c r="H787" s="96" t="s">
        <v>29</v>
      </c>
      <c r="I787" s="96" t="str">
        <f>VLOOKUP(D787,Sheet12!A:C,3,0)</f>
        <v>#N/A</v>
      </c>
      <c r="J787" s="74">
        <f t="shared" si="6"/>
        <v>23</v>
      </c>
      <c r="K787" s="77"/>
      <c r="L787" s="73"/>
      <c r="M787" s="73"/>
      <c r="N787" s="73"/>
      <c r="O787" s="73"/>
      <c r="P787" s="73"/>
      <c r="Q787" s="73"/>
      <c r="R787" s="73"/>
      <c r="S787" s="73"/>
      <c r="T787" s="73"/>
      <c r="U787" s="73"/>
      <c r="V787" s="73"/>
      <c r="W787" s="73"/>
      <c r="X787" s="73"/>
    </row>
    <row r="788">
      <c r="A788" s="74">
        <v>872.0</v>
      </c>
      <c r="B788" s="74" t="s">
        <v>2168</v>
      </c>
      <c r="C788" s="90"/>
      <c r="D788" s="75" t="s">
        <v>2186</v>
      </c>
      <c r="E788" s="76">
        <v>45992.0</v>
      </c>
      <c r="F788" s="78" t="s">
        <v>1420</v>
      </c>
      <c r="G788" s="76">
        <v>46015.0</v>
      </c>
      <c r="H788" s="96" t="s">
        <v>29</v>
      </c>
      <c r="I788" s="96" t="str">
        <f>VLOOKUP(D788,Sheet12!A:C,3,0)</f>
        <v>#N/A</v>
      </c>
      <c r="J788" s="74">
        <f t="shared" si="6"/>
        <v>23</v>
      </c>
      <c r="K788" s="77"/>
      <c r="L788" s="73"/>
      <c r="M788" s="73"/>
      <c r="N788" s="73"/>
      <c r="O788" s="73"/>
      <c r="P788" s="73"/>
      <c r="Q788" s="73"/>
      <c r="R788" s="73"/>
      <c r="S788" s="73"/>
      <c r="T788" s="73"/>
      <c r="U788" s="73"/>
      <c r="V788" s="73"/>
      <c r="W788" s="73"/>
      <c r="X788" s="73"/>
    </row>
    <row r="789">
      <c r="A789" s="74">
        <v>873.0</v>
      </c>
      <c r="B789" s="74" t="s">
        <v>2168</v>
      </c>
      <c r="C789" s="90"/>
      <c r="D789" s="75" t="s">
        <v>2187</v>
      </c>
      <c r="E789" s="76">
        <v>45992.0</v>
      </c>
      <c r="F789" s="78" t="s">
        <v>1420</v>
      </c>
      <c r="G789" s="76">
        <v>46015.0</v>
      </c>
      <c r="H789" s="96" t="s">
        <v>29</v>
      </c>
      <c r="I789" s="96" t="str">
        <f>VLOOKUP(D789,Sheet12!A:C,3,0)</f>
        <v>#N/A</v>
      </c>
      <c r="J789" s="74">
        <f t="shared" si="6"/>
        <v>23</v>
      </c>
      <c r="K789" s="77"/>
      <c r="L789" s="73"/>
      <c r="M789" s="73"/>
      <c r="N789" s="73"/>
      <c r="O789" s="73"/>
      <c r="P789" s="73"/>
      <c r="Q789" s="73"/>
      <c r="R789" s="73"/>
      <c r="S789" s="73"/>
      <c r="T789" s="73"/>
      <c r="U789" s="73"/>
      <c r="V789" s="73"/>
      <c r="W789" s="73"/>
      <c r="X789" s="73"/>
    </row>
    <row r="790">
      <c r="A790" s="74">
        <v>874.0</v>
      </c>
      <c r="B790" s="74" t="s">
        <v>2168</v>
      </c>
      <c r="C790" s="90"/>
      <c r="D790" s="75" t="s">
        <v>2188</v>
      </c>
      <c r="E790" s="76">
        <v>45992.0</v>
      </c>
      <c r="F790" s="78" t="s">
        <v>1420</v>
      </c>
      <c r="G790" s="76">
        <v>46015.0</v>
      </c>
      <c r="H790" s="96" t="s">
        <v>29</v>
      </c>
      <c r="I790" s="96" t="str">
        <f>VLOOKUP(D790,Sheet12!A:C,3,0)</f>
        <v>#N/A</v>
      </c>
      <c r="J790" s="74">
        <f t="shared" si="6"/>
        <v>23</v>
      </c>
      <c r="K790" s="77"/>
      <c r="L790" s="73"/>
      <c r="M790" s="73"/>
      <c r="N790" s="73"/>
      <c r="O790" s="73"/>
      <c r="P790" s="73"/>
      <c r="Q790" s="73"/>
      <c r="R790" s="73"/>
      <c r="S790" s="73"/>
      <c r="T790" s="73"/>
      <c r="U790" s="73"/>
      <c r="V790" s="73"/>
      <c r="W790" s="73"/>
      <c r="X790" s="73"/>
    </row>
    <row r="791">
      <c r="A791" s="74">
        <v>875.0</v>
      </c>
      <c r="B791" s="74" t="s">
        <v>2168</v>
      </c>
      <c r="C791" s="90"/>
      <c r="D791" s="75" t="s">
        <v>2189</v>
      </c>
      <c r="E791" s="76">
        <v>45992.0</v>
      </c>
      <c r="F791" s="78" t="s">
        <v>1420</v>
      </c>
      <c r="G791" s="76">
        <v>46015.0</v>
      </c>
      <c r="H791" s="96" t="s">
        <v>29</v>
      </c>
      <c r="I791" s="96" t="str">
        <f>VLOOKUP(D791,Sheet12!A:C,3,0)</f>
        <v>#N/A</v>
      </c>
      <c r="J791" s="74">
        <f t="shared" si="6"/>
        <v>23</v>
      </c>
      <c r="K791" s="77"/>
      <c r="L791" s="73"/>
      <c r="M791" s="73"/>
      <c r="N791" s="73"/>
      <c r="O791" s="73"/>
      <c r="P791" s="73"/>
      <c r="Q791" s="73"/>
      <c r="R791" s="73"/>
      <c r="S791" s="73"/>
      <c r="T791" s="73"/>
      <c r="U791" s="73"/>
      <c r="V791" s="73"/>
      <c r="W791" s="73"/>
      <c r="X791" s="73"/>
    </row>
    <row r="792">
      <c r="A792" s="74">
        <v>876.0</v>
      </c>
      <c r="B792" s="74" t="s">
        <v>1943</v>
      </c>
      <c r="C792" s="90"/>
      <c r="D792" s="75" t="s">
        <v>2190</v>
      </c>
      <c r="E792" s="76">
        <v>45995.0</v>
      </c>
      <c r="F792" s="78" t="s">
        <v>1420</v>
      </c>
      <c r="G792" s="76">
        <v>46015.0</v>
      </c>
      <c r="H792" s="96" t="s">
        <v>29</v>
      </c>
      <c r="I792" s="96" t="str">
        <f>VLOOKUP(D792,Sheet12!A:C,3,0)</f>
        <v>#N/A</v>
      </c>
      <c r="J792" s="74">
        <f t="shared" si="6"/>
        <v>20</v>
      </c>
      <c r="K792" s="77"/>
      <c r="L792" s="73"/>
      <c r="M792" s="73"/>
      <c r="N792" s="73"/>
      <c r="O792" s="73"/>
      <c r="P792" s="73"/>
      <c r="Q792" s="73"/>
      <c r="R792" s="73"/>
      <c r="S792" s="73"/>
      <c r="T792" s="73"/>
      <c r="U792" s="73"/>
      <c r="V792" s="73"/>
      <c r="W792" s="73"/>
      <c r="X792" s="73"/>
    </row>
    <row r="793">
      <c r="A793" s="74">
        <v>877.0</v>
      </c>
      <c r="B793" s="74" t="s">
        <v>1943</v>
      </c>
      <c r="C793" s="90"/>
      <c r="D793" s="75" t="s">
        <v>2191</v>
      </c>
      <c r="E793" s="76">
        <v>45995.0</v>
      </c>
      <c r="F793" s="78" t="s">
        <v>1420</v>
      </c>
      <c r="G793" s="76">
        <v>46015.0</v>
      </c>
      <c r="H793" s="96" t="s">
        <v>29</v>
      </c>
      <c r="I793" s="96" t="str">
        <f>VLOOKUP(D793,Sheet12!A:C,3,0)</f>
        <v>#N/A</v>
      </c>
      <c r="J793" s="74">
        <f t="shared" si="6"/>
        <v>20</v>
      </c>
      <c r="K793" s="77"/>
      <c r="L793" s="73"/>
      <c r="M793" s="73"/>
      <c r="N793" s="73"/>
      <c r="O793" s="73"/>
      <c r="P793" s="73"/>
      <c r="Q793" s="73"/>
      <c r="R793" s="73"/>
      <c r="S793" s="73"/>
      <c r="T793" s="73"/>
      <c r="U793" s="73"/>
      <c r="V793" s="73"/>
      <c r="W793" s="73"/>
      <c r="X793" s="73"/>
    </row>
    <row r="794">
      <c r="A794" s="74">
        <v>878.0</v>
      </c>
      <c r="B794" s="74" t="s">
        <v>1943</v>
      </c>
      <c r="C794" s="90"/>
      <c r="D794" s="75" t="s">
        <v>2192</v>
      </c>
      <c r="E794" s="76">
        <v>45995.0</v>
      </c>
      <c r="F794" s="78" t="s">
        <v>1420</v>
      </c>
      <c r="G794" s="76">
        <v>46015.0</v>
      </c>
      <c r="H794" s="96" t="s">
        <v>29</v>
      </c>
      <c r="I794" s="96" t="str">
        <f>VLOOKUP(D794,Sheet12!A:C,3,0)</f>
        <v>#N/A</v>
      </c>
      <c r="J794" s="74">
        <f t="shared" si="6"/>
        <v>20</v>
      </c>
      <c r="K794" s="77"/>
      <c r="L794" s="73"/>
      <c r="M794" s="73"/>
      <c r="N794" s="73"/>
      <c r="O794" s="73"/>
      <c r="P794" s="73"/>
      <c r="Q794" s="73"/>
      <c r="R794" s="73"/>
      <c r="S794" s="73"/>
      <c r="T794" s="73"/>
      <c r="U794" s="73"/>
      <c r="V794" s="73"/>
      <c r="W794" s="73"/>
      <c r="X794" s="73"/>
    </row>
    <row r="795">
      <c r="A795" s="74">
        <v>879.0</v>
      </c>
      <c r="B795" s="74" t="s">
        <v>1943</v>
      </c>
      <c r="C795" s="90"/>
      <c r="D795" s="75" t="s">
        <v>2193</v>
      </c>
      <c r="E795" s="76">
        <v>45995.0</v>
      </c>
      <c r="F795" s="78" t="s">
        <v>1420</v>
      </c>
      <c r="G795" s="76">
        <v>46016.0</v>
      </c>
      <c r="H795" s="96" t="s">
        <v>29</v>
      </c>
      <c r="I795" s="96" t="str">
        <f>VLOOKUP(D795,Sheet12!A:C,3,0)</f>
        <v>#N/A</v>
      </c>
      <c r="J795" s="74">
        <f t="shared" si="6"/>
        <v>21</v>
      </c>
      <c r="K795" s="77"/>
      <c r="L795" s="73"/>
      <c r="M795" s="73"/>
      <c r="N795" s="73"/>
      <c r="O795" s="73"/>
      <c r="P795" s="73"/>
      <c r="Q795" s="73"/>
      <c r="R795" s="73"/>
      <c r="S795" s="73"/>
      <c r="T795" s="73"/>
      <c r="U795" s="73"/>
      <c r="V795" s="73"/>
      <c r="W795" s="73"/>
      <c r="X795" s="73"/>
    </row>
    <row r="796" ht="16.5" customHeight="1">
      <c r="A796" s="74">
        <v>880.0</v>
      </c>
      <c r="B796" s="74" t="s">
        <v>1943</v>
      </c>
      <c r="C796" s="90"/>
      <c r="D796" s="75" t="s">
        <v>2194</v>
      </c>
      <c r="E796" s="76">
        <v>45995.0</v>
      </c>
      <c r="F796" s="78" t="s">
        <v>1420</v>
      </c>
      <c r="G796" s="76">
        <v>46016.0</v>
      </c>
      <c r="H796" s="96" t="s">
        <v>29</v>
      </c>
      <c r="I796" s="96" t="str">
        <f>VLOOKUP(D796,Sheet12!A:C,3,0)</f>
        <v>#N/A</v>
      </c>
      <c r="J796" s="74">
        <f t="shared" si="6"/>
        <v>21</v>
      </c>
      <c r="K796" s="77"/>
      <c r="L796" s="73"/>
      <c r="M796" s="73"/>
      <c r="N796" s="73"/>
      <c r="O796" s="73"/>
      <c r="P796" s="73"/>
      <c r="Q796" s="73"/>
      <c r="R796" s="73"/>
      <c r="S796" s="73"/>
      <c r="T796" s="73"/>
      <c r="U796" s="73"/>
      <c r="V796" s="73"/>
      <c r="W796" s="73"/>
      <c r="X796" s="73"/>
    </row>
    <row r="797">
      <c r="A797" s="74">
        <v>881.0</v>
      </c>
      <c r="B797" s="74" t="s">
        <v>1624</v>
      </c>
      <c r="C797" s="90"/>
      <c r="D797" s="75" t="s">
        <v>2195</v>
      </c>
      <c r="E797" s="76">
        <v>45995.0</v>
      </c>
      <c r="F797" s="78" t="s">
        <v>1366</v>
      </c>
      <c r="G797" s="95"/>
      <c r="H797" s="97"/>
      <c r="I797" s="96" t="str">
        <f>VLOOKUP(D797,Sheet12!A:C,3,0)</f>
        <v>#N/A</v>
      </c>
      <c r="J797" s="74">
        <f t="shared" si="6"/>
        <v>-45995</v>
      </c>
      <c r="K797" s="77"/>
      <c r="L797" s="73"/>
      <c r="M797" s="73"/>
      <c r="N797" s="73"/>
      <c r="O797" s="73"/>
      <c r="P797" s="73"/>
      <c r="Q797" s="73"/>
      <c r="R797" s="73"/>
      <c r="S797" s="73"/>
      <c r="T797" s="73"/>
      <c r="U797" s="73"/>
      <c r="V797" s="73"/>
      <c r="W797" s="73"/>
      <c r="X797" s="73"/>
    </row>
    <row r="798">
      <c r="A798" s="74">
        <v>882.0</v>
      </c>
      <c r="B798" s="74" t="s">
        <v>2100</v>
      </c>
      <c r="C798" s="90"/>
      <c r="D798" s="75" t="s">
        <v>2196</v>
      </c>
      <c r="E798" s="76">
        <v>46009.0</v>
      </c>
      <c r="F798" s="78" t="s">
        <v>1420</v>
      </c>
      <c r="G798" s="76">
        <v>46026.0</v>
      </c>
      <c r="H798" s="96" t="s">
        <v>29</v>
      </c>
      <c r="I798" s="96" t="str">
        <f>VLOOKUP(D798,Sheet12!A:C,3,0)</f>
        <v>#N/A</v>
      </c>
      <c r="J798" s="74">
        <f t="shared" si="6"/>
        <v>17</v>
      </c>
      <c r="K798" s="77"/>
      <c r="L798" s="73"/>
      <c r="M798" s="73"/>
      <c r="N798" s="73"/>
      <c r="O798" s="73"/>
      <c r="P798" s="73"/>
      <c r="Q798" s="73"/>
      <c r="R798" s="73"/>
      <c r="S798" s="73"/>
      <c r="T798" s="73"/>
      <c r="U798" s="73"/>
      <c r="V798" s="73"/>
      <c r="W798" s="73"/>
      <c r="X798" s="73"/>
    </row>
    <row r="799">
      <c r="A799" s="74">
        <v>883.0</v>
      </c>
      <c r="B799" s="74" t="s">
        <v>2168</v>
      </c>
      <c r="C799" s="90"/>
      <c r="D799" s="75" t="s">
        <v>2197</v>
      </c>
      <c r="E799" s="76">
        <v>46009.0</v>
      </c>
      <c r="F799" s="78" t="s">
        <v>1420</v>
      </c>
      <c r="G799" s="76">
        <v>46026.0</v>
      </c>
      <c r="H799" s="96" t="s">
        <v>29</v>
      </c>
      <c r="I799" s="96" t="str">
        <f>VLOOKUP(D799,Sheet12!A:C,3,0)</f>
        <v>#N/A</v>
      </c>
      <c r="J799" s="74">
        <f t="shared" si="6"/>
        <v>17</v>
      </c>
      <c r="K799" s="77"/>
      <c r="L799" s="73"/>
      <c r="M799" s="73"/>
      <c r="N799" s="73"/>
      <c r="O799" s="73"/>
      <c r="P799" s="73"/>
      <c r="Q799" s="73"/>
      <c r="R799" s="73"/>
      <c r="S799" s="73"/>
      <c r="T799" s="73"/>
      <c r="U799" s="73"/>
      <c r="V799" s="73"/>
      <c r="W799" s="73"/>
      <c r="X799" s="73"/>
    </row>
    <row r="800" ht="16.5" customHeight="1">
      <c r="A800" s="74">
        <v>884.0</v>
      </c>
      <c r="B800" s="74" t="s">
        <v>2168</v>
      </c>
      <c r="C800" s="90"/>
      <c r="D800" s="75" t="s">
        <v>2198</v>
      </c>
      <c r="E800" s="76">
        <v>46009.0</v>
      </c>
      <c r="F800" s="78" t="s">
        <v>1420</v>
      </c>
      <c r="G800" s="76">
        <v>46026.0</v>
      </c>
      <c r="H800" s="96" t="s">
        <v>29</v>
      </c>
      <c r="I800" s="96" t="str">
        <f>VLOOKUP(D800,Sheet12!A:C,3,0)</f>
        <v>#N/A</v>
      </c>
      <c r="J800" s="74">
        <f t="shared" si="6"/>
        <v>17</v>
      </c>
      <c r="K800" s="77"/>
      <c r="L800" s="73"/>
      <c r="M800" s="73"/>
      <c r="N800" s="73"/>
      <c r="O800" s="73"/>
      <c r="P800" s="73"/>
      <c r="Q800" s="73"/>
      <c r="R800" s="73"/>
      <c r="S800" s="73"/>
      <c r="T800" s="73"/>
      <c r="U800" s="73"/>
      <c r="V800" s="73"/>
      <c r="W800" s="73"/>
      <c r="X800" s="73"/>
    </row>
    <row r="801">
      <c r="A801" s="74">
        <v>888.0</v>
      </c>
      <c r="B801" s="74" t="s">
        <v>2100</v>
      </c>
      <c r="C801" s="90"/>
      <c r="D801" s="75" t="s">
        <v>2199</v>
      </c>
      <c r="E801" s="76">
        <v>46013.0</v>
      </c>
      <c r="F801" s="78" t="s">
        <v>1366</v>
      </c>
      <c r="G801" s="95"/>
      <c r="H801" s="97"/>
      <c r="I801" s="96" t="str">
        <f>VLOOKUP(D801,Sheet12!A:C,3,0)</f>
        <v/>
      </c>
      <c r="J801" s="74">
        <f t="shared" si="6"/>
        <v>-46013</v>
      </c>
      <c r="K801" s="77"/>
      <c r="L801" s="73"/>
      <c r="M801" s="73"/>
      <c r="N801" s="73"/>
      <c r="O801" s="73"/>
      <c r="P801" s="73"/>
      <c r="Q801" s="73"/>
      <c r="R801" s="73"/>
      <c r="S801" s="73"/>
      <c r="T801" s="73"/>
      <c r="U801" s="73"/>
      <c r="V801" s="73"/>
      <c r="W801" s="73"/>
      <c r="X801" s="73"/>
    </row>
    <row r="802">
      <c r="A802" s="74">
        <v>889.0</v>
      </c>
      <c r="B802" s="74" t="s">
        <v>2100</v>
      </c>
      <c r="C802" s="90"/>
      <c r="D802" s="75" t="s">
        <v>2200</v>
      </c>
      <c r="E802" s="76">
        <v>46013.0</v>
      </c>
      <c r="F802" s="78" t="s">
        <v>1366</v>
      </c>
      <c r="G802" s="95"/>
      <c r="H802" s="97"/>
      <c r="I802" s="96" t="str">
        <f>VLOOKUP(D802,Sheet12!A:C,3,0)</f>
        <v>P-1-N-231120-4365</v>
      </c>
      <c r="J802" s="74">
        <f t="shared" si="6"/>
        <v>-46013</v>
      </c>
      <c r="K802" s="77"/>
      <c r="L802" s="73"/>
      <c r="M802" s="73"/>
      <c r="N802" s="73"/>
      <c r="O802" s="73"/>
      <c r="P802" s="73"/>
      <c r="Q802" s="73"/>
      <c r="R802" s="73"/>
      <c r="S802" s="73"/>
      <c r="T802" s="73"/>
      <c r="U802" s="73"/>
      <c r="V802" s="73"/>
      <c r="W802" s="73"/>
      <c r="X802" s="73"/>
    </row>
    <row r="803">
      <c r="A803" s="74">
        <v>890.0</v>
      </c>
      <c r="B803" s="74" t="s">
        <v>2100</v>
      </c>
      <c r="C803" s="90"/>
      <c r="D803" s="75" t="s">
        <v>2201</v>
      </c>
      <c r="E803" s="76">
        <v>46013.0</v>
      </c>
      <c r="F803" s="78" t="s">
        <v>1366</v>
      </c>
      <c r="G803" s="95"/>
      <c r="H803" s="97"/>
      <c r="I803" s="96" t="str">
        <f>VLOOKUP(D803,Sheet12!A:C,3,0)</f>
        <v>P-1-N-231120-4363</v>
      </c>
      <c r="J803" s="74">
        <f t="shared" si="6"/>
        <v>-46013</v>
      </c>
      <c r="K803" s="77"/>
      <c r="L803" s="73"/>
      <c r="M803" s="73"/>
      <c r="N803" s="73"/>
      <c r="O803" s="73"/>
      <c r="P803" s="73"/>
      <c r="Q803" s="73"/>
      <c r="R803" s="73"/>
      <c r="S803" s="73"/>
      <c r="T803" s="73"/>
      <c r="U803" s="73"/>
      <c r="V803" s="73"/>
      <c r="W803" s="73"/>
      <c r="X803" s="73"/>
    </row>
    <row r="804">
      <c r="A804" s="74">
        <v>891.0</v>
      </c>
      <c r="B804" s="74" t="s">
        <v>2100</v>
      </c>
      <c r="C804" s="90"/>
      <c r="D804" s="75" t="s">
        <v>2202</v>
      </c>
      <c r="E804" s="76">
        <v>46013.0</v>
      </c>
      <c r="F804" s="78" t="s">
        <v>1420</v>
      </c>
      <c r="G804" s="76">
        <v>46034.0</v>
      </c>
      <c r="H804" s="96" t="s">
        <v>29</v>
      </c>
      <c r="I804" s="96" t="str">
        <f>VLOOKUP(D804,Sheet12!A:C,3,0)</f>
        <v>P-1-N-231120-4360</v>
      </c>
      <c r="J804" s="74">
        <f t="shared" si="6"/>
        <v>21</v>
      </c>
      <c r="K804" s="77"/>
      <c r="L804" s="73"/>
      <c r="M804" s="73"/>
      <c r="N804" s="73"/>
      <c r="O804" s="73"/>
      <c r="P804" s="73"/>
      <c r="Q804" s="73"/>
      <c r="R804" s="73"/>
      <c r="S804" s="73"/>
      <c r="T804" s="73"/>
      <c r="U804" s="73"/>
      <c r="V804" s="73"/>
      <c r="W804" s="73"/>
      <c r="X804" s="73"/>
    </row>
    <row r="805">
      <c r="A805" s="74">
        <v>892.0</v>
      </c>
      <c r="B805" s="74" t="s">
        <v>2100</v>
      </c>
      <c r="C805" s="90"/>
      <c r="D805" s="75" t="s">
        <v>2203</v>
      </c>
      <c r="E805" s="76">
        <v>46013.0</v>
      </c>
      <c r="F805" s="78" t="s">
        <v>1420</v>
      </c>
      <c r="G805" s="76">
        <v>46034.0</v>
      </c>
      <c r="H805" s="96" t="s">
        <v>29</v>
      </c>
      <c r="I805" s="96" t="str">
        <f>VLOOKUP(D805,Sheet12!A:C,3,0)</f>
        <v>#N/A</v>
      </c>
      <c r="J805" s="74">
        <f t="shared" si="6"/>
        <v>21</v>
      </c>
      <c r="K805" s="77"/>
      <c r="L805" s="73"/>
      <c r="M805" s="73"/>
      <c r="N805" s="73"/>
      <c r="O805" s="73"/>
      <c r="P805" s="73"/>
      <c r="Q805" s="73"/>
      <c r="R805" s="73"/>
      <c r="S805" s="73"/>
      <c r="T805" s="73"/>
      <c r="U805" s="73"/>
      <c r="V805" s="73"/>
      <c r="W805" s="73"/>
      <c r="X805" s="73"/>
    </row>
    <row r="806">
      <c r="A806" s="74">
        <v>893.0</v>
      </c>
      <c r="B806" s="74" t="s">
        <v>2100</v>
      </c>
      <c r="C806" s="90"/>
      <c r="D806" s="75" t="s">
        <v>2204</v>
      </c>
      <c r="E806" s="76">
        <v>46013.0</v>
      </c>
      <c r="F806" s="78" t="s">
        <v>1420</v>
      </c>
      <c r="G806" s="76">
        <v>46034.0</v>
      </c>
      <c r="H806" s="96" t="s">
        <v>29</v>
      </c>
      <c r="I806" s="96" t="str">
        <f>VLOOKUP(D806,Sheet12!A:C,3,0)</f>
        <v>P-1-N-231120-4346</v>
      </c>
      <c r="J806" s="74">
        <f t="shared" si="6"/>
        <v>21</v>
      </c>
      <c r="K806" s="77"/>
      <c r="L806" s="73"/>
      <c r="M806" s="73"/>
      <c r="N806" s="73"/>
      <c r="O806" s="73"/>
      <c r="P806" s="73"/>
      <c r="Q806" s="73"/>
      <c r="R806" s="73"/>
      <c r="S806" s="73"/>
      <c r="T806" s="73"/>
      <c r="U806" s="73"/>
      <c r="V806" s="73"/>
      <c r="W806" s="73"/>
      <c r="X806" s="73"/>
    </row>
    <row r="807">
      <c r="A807" s="74">
        <v>894.0</v>
      </c>
      <c r="B807" s="74" t="s">
        <v>2205</v>
      </c>
      <c r="C807" s="90"/>
      <c r="D807" s="75" t="s">
        <v>2206</v>
      </c>
      <c r="E807" s="76">
        <v>46013.0</v>
      </c>
      <c r="F807" s="78" t="s">
        <v>1420</v>
      </c>
      <c r="G807" s="76">
        <v>46034.0</v>
      </c>
      <c r="H807" s="96" t="s">
        <v>29</v>
      </c>
      <c r="I807" s="96" t="str">
        <f>VLOOKUP(D807,Sheet12!A:C,3,0)</f>
        <v>#N/A</v>
      </c>
      <c r="J807" s="74">
        <f t="shared" si="6"/>
        <v>21</v>
      </c>
      <c r="K807" s="77"/>
      <c r="L807" s="73"/>
      <c r="M807" s="73"/>
      <c r="N807" s="73"/>
      <c r="O807" s="73"/>
      <c r="P807" s="73"/>
      <c r="Q807" s="73"/>
      <c r="R807" s="73"/>
      <c r="S807" s="73"/>
      <c r="T807" s="73"/>
      <c r="U807" s="73"/>
      <c r="V807" s="73"/>
      <c r="W807" s="73"/>
      <c r="X807" s="73"/>
    </row>
    <row r="808">
      <c r="A808" s="74">
        <v>895.0</v>
      </c>
      <c r="B808" s="74" t="s">
        <v>2205</v>
      </c>
      <c r="C808" s="90"/>
      <c r="D808" s="75" t="s">
        <v>2207</v>
      </c>
      <c r="E808" s="76">
        <v>46013.0</v>
      </c>
      <c r="F808" s="78" t="s">
        <v>1420</v>
      </c>
      <c r="G808" s="76">
        <v>46028.0</v>
      </c>
      <c r="H808" s="96" t="s">
        <v>29</v>
      </c>
      <c r="I808" s="96" t="str">
        <f>VLOOKUP(D808,Sheet12!A:C,3,0)</f>
        <v>#N/A</v>
      </c>
      <c r="J808" s="74">
        <f t="shared" si="6"/>
        <v>15</v>
      </c>
      <c r="K808" s="77"/>
      <c r="L808" s="73"/>
      <c r="M808" s="73"/>
      <c r="N808" s="73"/>
      <c r="O808" s="73"/>
      <c r="P808" s="73"/>
      <c r="Q808" s="73"/>
      <c r="R808" s="73"/>
      <c r="S808" s="73"/>
      <c r="T808" s="73"/>
      <c r="U808" s="73"/>
      <c r="V808" s="73"/>
      <c r="W808" s="73"/>
      <c r="X808" s="73"/>
    </row>
    <row r="809">
      <c r="A809" s="74">
        <v>896.0</v>
      </c>
      <c r="B809" s="74" t="s">
        <v>2205</v>
      </c>
      <c r="C809" s="90"/>
      <c r="D809" s="75" t="s">
        <v>2208</v>
      </c>
      <c r="E809" s="76">
        <v>46013.0</v>
      </c>
      <c r="F809" s="78" t="s">
        <v>1420</v>
      </c>
      <c r="G809" s="76">
        <v>46028.0</v>
      </c>
      <c r="H809" s="96" t="s">
        <v>29</v>
      </c>
      <c r="I809" s="96" t="str">
        <f>VLOOKUP(D809,Sheet12!A:C,3,0)</f>
        <v>#N/A</v>
      </c>
      <c r="J809" s="74">
        <f t="shared" si="6"/>
        <v>15</v>
      </c>
      <c r="K809" s="77"/>
      <c r="L809" s="73"/>
      <c r="M809" s="73"/>
      <c r="N809" s="73"/>
      <c r="O809" s="73"/>
      <c r="P809" s="73"/>
      <c r="Q809" s="73"/>
      <c r="R809" s="73"/>
      <c r="S809" s="73"/>
      <c r="T809" s="73"/>
      <c r="U809" s="73"/>
      <c r="V809" s="73"/>
      <c r="W809" s="73"/>
      <c r="X809" s="73"/>
    </row>
    <row r="810">
      <c r="A810" s="74">
        <v>897.0</v>
      </c>
      <c r="B810" s="74" t="s">
        <v>2205</v>
      </c>
      <c r="C810" s="90"/>
      <c r="D810" s="75" t="s">
        <v>2209</v>
      </c>
      <c r="E810" s="76">
        <v>46015.0</v>
      </c>
      <c r="F810" s="78" t="s">
        <v>1420</v>
      </c>
      <c r="G810" s="76">
        <v>46028.0</v>
      </c>
      <c r="H810" s="96" t="s">
        <v>29</v>
      </c>
      <c r="I810" s="96" t="str">
        <f>VLOOKUP(D810,Sheet12!A:C,3,0)</f>
        <v>#N/A</v>
      </c>
      <c r="J810" s="74">
        <f t="shared" si="6"/>
        <v>13</v>
      </c>
      <c r="K810" s="77"/>
      <c r="L810" s="73"/>
      <c r="M810" s="73"/>
      <c r="N810" s="73"/>
      <c r="O810" s="73"/>
      <c r="P810" s="73"/>
      <c r="Q810" s="73"/>
      <c r="R810" s="73"/>
      <c r="S810" s="73"/>
      <c r="T810" s="73"/>
      <c r="U810" s="73"/>
      <c r="V810" s="73"/>
      <c r="W810" s="73"/>
      <c r="X810" s="73"/>
    </row>
    <row r="811">
      <c r="A811" s="74">
        <v>898.0</v>
      </c>
      <c r="B811" s="74" t="s">
        <v>2205</v>
      </c>
      <c r="C811" s="90"/>
      <c r="D811" s="75" t="s">
        <v>2210</v>
      </c>
      <c r="E811" s="76">
        <v>46015.0</v>
      </c>
      <c r="F811" s="78" t="s">
        <v>1420</v>
      </c>
      <c r="G811" s="76">
        <v>46028.0</v>
      </c>
      <c r="H811" s="96" t="s">
        <v>29</v>
      </c>
      <c r="I811" s="96" t="str">
        <f>VLOOKUP(D811,Sheet12!A:C,3,0)</f>
        <v>#N/A</v>
      </c>
      <c r="J811" s="74">
        <f t="shared" si="6"/>
        <v>13</v>
      </c>
      <c r="K811" s="77"/>
      <c r="L811" s="73"/>
      <c r="M811" s="73"/>
      <c r="N811" s="73"/>
      <c r="O811" s="73"/>
      <c r="P811" s="73"/>
      <c r="Q811" s="73"/>
      <c r="R811" s="73"/>
      <c r="S811" s="73"/>
      <c r="T811" s="73"/>
      <c r="U811" s="73"/>
      <c r="V811" s="73"/>
      <c r="W811" s="73"/>
      <c r="X811" s="73"/>
    </row>
    <row r="812">
      <c r="A812" s="74">
        <v>899.0</v>
      </c>
      <c r="B812" s="74" t="s">
        <v>2205</v>
      </c>
      <c r="C812" s="90"/>
      <c r="D812" s="75" t="s">
        <v>2211</v>
      </c>
      <c r="E812" s="76">
        <v>46015.0</v>
      </c>
      <c r="F812" s="78" t="s">
        <v>1420</v>
      </c>
      <c r="G812" s="76">
        <v>46028.0</v>
      </c>
      <c r="H812" s="96" t="s">
        <v>29</v>
      </c>
      <c r="I812" s="96" t="str">
        <f>VLOOKUP(D812,Sheet12!A:C,3,0)</f>
        <v>#N/A</v>
      </c>
      <c r="J812" s="74">
        <f t="shared" si="6"/>
        <v>13</v>
      </c>
      <c r="K812" s="77"/>
      <c r="L812" s="73"/>
      <c r="M812" s="73"/>
      <c r="N812" s="73"/>
      <c r="O812" s="73"/>
      <c r="P812" s="73"/>
      <c r="Q812" s="73"/>
      <c r="R812" s="73"/>
      <c r="S812" s="73"/>
      <c r="T812" s="73"/>
      <c r="U812" s="73"/>
      <c r="V812" s="73"/>
      <c r="W812" s="73"/>
      <c r="X812" s="73"/>
    </row>
    <row r="813">
      <c r="A813" s="74">
        <v>900.0</v>
      </c>
      <c r="B813" s="74" t="s">
        <v>2205</v>
      </c>
      <c r="C813" s="90"/>
      <c r="D813" s="75" t="s">
        <v>2212</v>
      </c>
      <c r="E813" s="76">
        <v>46015.0</v>
      </c>
      <c r="F813" s="78" t="s">
        <v>1420</v>
      </c>
      <c r="G813" s="76">
        <v>46028.0</v>
      </c>
      <c r="H813" s="96" t="s">
        <v>29</v>
      </c>
      <c r="I813" s="96" t="str">
        <f>VLOOKUP(D813,Sheet12!A:C,3,0)</f>
        <v>#N/A</v>
      </c>
      <c r="J813" s="74">
        <f t="shared" si="6"/>
        <v>13</v>
      </c>
      <c r="K813" s="77"/>
      <c r="L813" s="73"/>
      <c r="M813" s="73"/>
      <c r="N813" s="73"/>
      <c r="O813" s="73"/>
      <c r="P813" s="73"/>
      <c r="Q813" s="73"/>
      <c r="R813" s="73"/>
      <c r="S813" s="73"/>
      <c r="T813" s="73"/>
      <c r="U813" s="73"/>
      <c r="V813" s="73"/>
      <c r="W813" s="73"/>
      <c r="X813" s="73"/>
    </row>
    <row r="814">
      <c r="A814" s="74">
        <v>901.0</v>
      </c>
      <c r="B814" s="74" t="s">
        <v>2205</v>
      </c>
      <c r="C814" s="90"/>
      <c r="D814" s="75" t="s">
        <v>2213</v>
      </c>
      <c r="E814" s="76">
        <v>46015.0</v>
      </c>
      <c r="F814" s="78" t="s">
        <v>1420</v>
      </c>
      <c r="G814" s="76">
        <v>46028.0</v>
      </c>
      <c r="H814" s="96" t="s">
        <v>29</v>
      </c>
      <c r="I814" s="96" t="str">
        <f>VLOOKUP(D814,Sheet12!A:C,3,0)</f>
        <v>#N/A</v>
      </c>
      <c r="J814" s="74">
        <f t="shared" si="6"/>
        <v>13</v>
      </c>
      <c r="K814" s="77"/>
      <c r="L814" s="73"/>
      <c r="M814" s="73"/>
      <c r="N814" s="73"/>
      <c r="O814" s="73"/>
      <c r="P814" s="73"/>
      <c r="Q814" s="73"/>
      <c r="R814" s="73"/>
      <c r="S814" s="73"/>
      <c r="T814" s="73"/>
      <c r="U814" s="73"/>
      <c r="V814" s="73"/>
      <c r="W814" s="73"/>
      <c r="X814" s="73"/>
    </row>
    <row r="815">
      <c r="A815" s="74">
        <v>902.0</v>
      </c>
      <c r="B815" s="74" t="s">
        <v>2205</v>
      </c>
      <c r="C815" s="90"/>
      <c r="D815" s="75" t="s">
        <v>2214</v>
      </c>
      <c r="E815" s="76">
        <v>46015.0</v>
      </c>
      <c r="F815" s="78" t="s">
        <v>1420</v>
      </c>
      <c r="G815" s="76">
        <v>46028.0</v>
      </c>
      <c r="H815" s="96" t="s">
        <v>29</v>
      </c>
      <c r="I815" s="96" t="str">
        <f>VLOOKUP(D815,Sheet12!A:C,3,0)</f>
        <v>#N/A</v>
      </c>
      <c r="J815" s="74">
        <f t="shared" si="6"/>
        <v>13</v>
      </c>
      <c r="K815" s="77"/>
      <c r="L815" s="73"/>
      <c r="M815" s="73"/>
      <c r="N815" s="73"/>
      <c r="O815" s="73"/>
      <c r="P815" s="73"/>
      <c r="Q815" s="73"/>
      <c r="R815" s="73"/>
      <c r="S815" s="73"/>
      <c r="T815" s="73"/>
      <c r="U815" s="73"/>
      <c r="V815" s="73"/>
      <c r="W815" s="73"/>
      <c r="X815" s="73"/>
    </row>
    <row r="816">
      <c r="A816" s="74">
        <v>903.0</v>
      </c>
      <c r="B816" s="74" t="s">
        <v>2168</v>
      </c>
      <c r="C816" s="90"/>
      <c r="D816" s="75" t="s">
        <v>2215</v>
      </c>
      <c r="E816" s="76">
        <v>46015.0</v>
      </c>
      <c r="F816" s="78" t="s">
        <v>1420</v>
      </c>
      <c r="G816" s="76">
        <v>46028.0</v>
      </c>
      <c r="H816" s="96" t="s">
        <v>29</v>
      </c>
      <c r="I816" s="96" t="str">
        <f>VLOOKUP(D816,Sheet12!A:C,3,0)</f>
        <v>#N/A</v>
      </c>
      <c r="J816" s="74">
        <f t="shared" si="6"/>
        <v>13</v>
      </c>
      <c r="K816" s="77"/>
      <c r="L816" s="73"/>
      <c r="M816" s="73"/>
      <c r="N816" s="73"/>
      <c r="O816" s="73"/>
      <c r="P816" s="73"/>
      <c r="Q816" s="73"/>
      <c r="R816" s="73"/>
      <c r="S816" s="73"/>
      <c r="T816" s="73"/>
      <c r="U816" s="73"/>
      <c r="V816" s="73"/>
      <c r="W816" s="73"/>
      <c r="X816" s="73"/>
    </row>
    <row r="817">
      <c r="A817" s="74">
        <v>904.0</v>
      </c>
      <c r="B817" s="74" t="s">
        <v>2168</v>
      </c>
      <c r="C817" s="90"/>
      <c r="D817" s="75" t="s">
        <v>2216</v>
      </c>
      <c r="E817" s="76">
        <v>46019.0</v>
      </c>
      <c r="F817" s="78" t="s">
        <v>1420</v>
      </c>
      <c r="G817" s="76">
        <v>46034.0</v>
      </c>
      <c r="H817" s="96" t="s">
        <v>29</v>
      </c>
      <c r="I817" s="96" t="str">
        <f>VLOOKUP(D817,Sheet12!A:C,3,0)</f>
        <v>#N/A</v>
      </c>
      <c r="J817" s="74">
        <f t="shared" si="6"/>
        <v>15</v>
      </c>
      <c r="K817" s="77"/>
      <c r="L817" s="73"/>
      <c r="M817" s="73"/>
      <c r="N817" s="73"/>
      <c r="O817" s="73"/>
      <c r="P817" s="73"/>
      <c r="Q817" s="73"/>
      <c r="R817" s="73"/>
      <c r="S817" s="73"/>
      <c r="T817" s="73"/>
      <c r="U817" s="73"/>
      <c r="V817" s="73"/>
      <c r="W817" s="73"/>
      <c r="X817" s="73"/>
    </row>
    <row r="818" ht="13.5" customHeight="1">
      <c r="A818" s="74">
        <v>909.0</v>
      </c>
      <c r="B818" s="74" t="s">
        <v>1679</v>
      </c>
      <c r="C818" s="90"/>
      <c r="D818" s="75" t="s">
        <v>2217</v>
      </c>
      <c r="E818" s="76">
        <v>46022.0</v>
      </c>
      <c r="F818" s="78" t="s">
        <v>1420</v>
      </c>
      <c r="G818" s="76">
        <v>46034.0</v>
      </c>
      <c r="H818" s="96" t="s">
        <v>29</v>
      </c>
      <c r="I818" s="96" t="str">
        <f>VLOOKUP(D818,Sheet12!A:C,3,0)</f>
        <v>#N/A</v>
      </c>
      <c r="J818" s="74">
        <f t="shared" si="6"/>
        <v>12</v>
      </c>
      <c r="K818" s="77"/>
      <c r="L818" s="73"/>
      <c r="M818" s="73"/>
      <c r="N818" s="73"/>
      <c r="O818" s="73"/>
      <c r="P818" s="73"/>
      <c r="Q818" s="73"/>
      <c r="R818" s="73"/>
      <c r="S818" s="73"/>
      <c r="T818" s="73"/>
      <c r="U818" s="73"/>
      <c r="V818" s="73"/>
      <c r="W818" s="73"/>
      <c r="X818" s="73"/>
    </row>
    <row r="819">
      <c r="A819" s="74">
        <v>910.0</v>
      </c>
      <c r="B819" s="74" t="s">
        <v>1679</v>
      </c>
      <c r="C819" s="90"/>
      <c r="D819" s="75" t="s">
        <v>2218</v>
      </c>
      <c r="E819" s="76">
        <v>46023.0</v>
      </c>
      <c r="F819" s="78" t="s">
        <v>1420</v>
      </c>
      <c r="G819" s="76">
        <v>46037.0</v>
      </c>
      <c r="H819" s="96" t="s">
        <v>29</v>
      </c>
      <c r="I819" s="96" t="str">
        <f>VLOOKUP(D819,Sheet12!A:C,3,0)</f>
        <v>#N/A</v>
      </c>
      <c r="J819" s="74">
        <f t="shared" si="6"/>
        <v>14</v>
      </c>
      <c r="K819" s="77"/>
      <c r="L819" s="73"/>
      <c r="M819" s="73"/>
      <c r="N819" s="73"/>
      <c r="O819" s="73"/>
      <c r="P819" s="73"/>
      <c r="Q819" s="73"/>
      <c r="R819" s="73"/>
      <c r="S819" s="73"/>
      <c r="T819" s="73"/>
      <c r="U819" s="73"/>
      <c r="V819" s="73"/>
      <c r="W819" s="73"/>
      <c r="X819" s="73"/>
    </row>
    <row r="820" ht="15.0" customHeight="1">
      <c r="A820" s="74">
        <v>911.0</v>
      </c>
      <c r="B820" s="74" t="s">
        <v>1743</v>
      </c>
      <c r="C820" s="90"/>
      <c r="D820" s="75" t="s">
        <v>2219</v>
      </c>
      <c r="E820" s="76">
        <v>46015.0</v>
      </c>
      <c r="F820" s="78"/>
      <c r="G820" s="95"/>
      <c r="H820" s="97"/>
      <c r="I820" s="96" t="str">
        <f>VLOOKUP(D820,Sheet12!A:C,3,0)</f>
        <v>#N/A</v>
      </c>
      <c r="J820" s="74">
        <f t="shared" si="6"/>
        <v>-46015</v>
      </c>
      <c r="K820" s="77"/>
      <c r="L820" s="73"/>
      <c r="M820" s="73"/>
      <c r="N820" s="73"/>
      <c r="O820" s="73"/>
      <c r="P820" s="73"/>
      <c r="Q820" s="73"/>
      <c r="R820" s="73"/>
      <c r="S820" s="73"/>
      <c r="T820" s="73"/>
      <c r="U820" s="73"/>
      <c r="V820" s="73"/>
      <c r="W820" s="73"/>
      <c r="X820" s="73"/>
    </row>
    <row r="821">
      <c r="A821" s="74">
        <v>912.0</v>
      </c>
      <c r="B821" s="74" t="s">
        <v>1743</v>
      </c>
      <c r="C821" s="90"/>
      <c r="D821" s="75" t="s">
        <v>2220</v>
      </c>
      <c r="E821" s="76">
        <v>46015.0</v>
      </c>
      <c r="F821" s="78" t="s">
        <v>1420</v>
      </c>
      <c r="G821" s="76">
        <v>46028.0</v>
      </c>
      <c r="H821" s="96" t="s">
        <v>29</v>
      </c>
      <c r="I821" s="96" t="str">
        <f>VLOOKUP(D821,Sheet12!A:C,3,0)</f>
        <v>#N/A</v>
      </c>
      <c r="J821" s="74">
        <f t="shared" si="6"/>
        <v>13</v>
      </c>
      <c r="K821" s="77"/>
      <c r="L821" s="73"/>
      <c r="M821" s="73"/>
      <c r="N821" s="73"/>
      <c r="O821" s="73"/>
      <c r="P821" s="73"/>
      <c r="Q821" s="73"/>
      <c r="R821" s="73"/>
      <c r="S821" s="73"/>
      <c r="T821" s="73"/>
      <c r="U821" s="73"/>
      <c r="V821" s="73"/>
      <c r="W821" s="73"/>
      <c r="X821" s="73"/>
    </row>
    <row r="822" ht="12.0" customHeight="1">
      <c r="A822" s="74">
        <v>913.0</v>
      </c>
      <c r="B822" s="74" t="s">
        <v>1743</v>
      </c>
      <c r="C822" s="90"/>
      <c r="D822" s="75" t="s">
        <v>2221</v>
      </c>
      <c r="E822" s="76">
        <v>46015.0</v>
      </c>
      <c r="F822" s="78" t="s">
        <v>1420</v>
      </c>
      <c r="G822" s="76">
        <v>46028.0</v>
      </c>
      <c r="H822" s="96" t="s">
        <v>29</v>
      </c>
      <c r="I822" s="96" t="str">
        <f>VLOOKUP(D822,Sheet12!A:C,3,0)</f>
        <v>#N/A</v>
      </c>
      <c r="J822" s="74">
        <f t="shared" si="6"/>
        <v>13</v>
      </c>
      <c r="K822" s="77"/>
      <c r="L822" s="73"/>
      <c r="M822" s="73"/>
      <c r="N822" s="73"/>
      <c r="O822" s="73"/>
      <c r="P822" s="73"/>
      <c r="Q822" s="73"/>
      <c r="R822" s="73"/>
      <c r="S822" s="73"/>
      <c r="T822" s="73"/>
      <c r="U822" s="73"/>
      <c r="V822" s="73"/>
      <c r="W822" s="73"/>
      <c r="X822" s="73"/>
    </row>
    <row r="823">
      <c r="A823" s="74">
        <v>914.0</v>
      </c>
      <c r="B823" s="74" t="s">
        <v>1743</v>
      </c>
      <c r="C823" s="90"/>
      <c r="D823" s="75" t="s">
        <v>2222</v>
      </c>
      <c r="E823" s="76">
        <v>46015.0</v>
      </c>
      <c r="F823" s="78" t="s">
        <v>1420</v>
      </c>
      <c r="G823" s="76">
        <v>46028.0</v>
      </c>
      <c r="H823" s="96" t="s">
        <v>29</v>
      </c>
      <c r="I823" s="96" t="str">
        <f>VLOOKUP(D823,Sheet12!A:C,3,0)</f>
        <v>#N/A</v>
      </c>
      <c r="J823" s="74">
        <f t="shared" si="6"/>
        <v>13</v>
      </c>
      <c r="K823" s="77"/>
      <c r="L823" s="73"/>
      <c r="M823" s="73"/>
      <c r="N823" s="73"/>
      <c r="O823" s="73"/>
      <c r="P823" s="73"/>
      <c r="Q823" s="73"/>
      <c r="R823" s="73"/>
      <c r="S823" s="73"/>
      <c r="T823" s="73"/>
      <c r="U823" s="73"/>
      <c r="V823" s="73"/>
      <c r="W823" s="73"/>
      <c r="X823" s="73"/>
    </row>
    <row r="824">
      <c r="A824" s="74">
        <v>915.0</v>
      </c>
      <c r="B824" s="74" t="s">
        <v>2168</v>
      </c>
      <c r="C824" s="90"/>
      <c r="D824" s="75" t="s">
        <v>2223</v>
      </c>
      <c r="E824" s="76">
        <v>46034.0</v>
      </c>
      <c r="F824" s="78" t="s">
        <v>1420</v>
      </c>
      <c r="G824" s="76">
        <v>46044.0</v>
      </c>
      <c r="H824" s="96" t="s">
        <v>29</v>
      </c>
      <c r="I824" s="96" t="str">
        <f>VLOOKUP(D824,Sheet12!A:C,3,0)</f>
        <v>#N/A</v>
      </c>
      <c r="J824" s="74">
        <f t="shared" si="6"/>
        <v>10</v>
      </c>
      <c r="K824" s="77"/>
      <c r="L824" s="73"/>
      <c r="M824" s="73"/>
      <c r="N824" s="73"/>
      <c r="O824" s="73"/>
      <c r="P824" s="73"/>
      <c r="Q824" s="73"/>
      <c r="R824" s="73"/>
      <c r="S824" s="73"/>
      <c r="T824" s="73"/>
      <c r="U824" s="73"/>
      <c r="V824" s="73"/>
      <c r="W824" s="73"/>
      <c r="X824" s="73"/>
    </row>
    <row r="825">
      <c r="A825" s="74">
        <v>918.0</v>
      </c>
      <c r="B825" s="74" t="s">
        <v>2100</v>
      </c>
      <c r="C825" s="90"/>
      <c r="D825" s="75" t="s">
        <v>2224</v>
      </c>
      <c r="E825" s="76">
        <v>46034.0</v>
      </c>
      <c r="F825" s="78" t="s">
        <v>1420</v>
      </c>
      <c r="G825" s="76">
        <v>46044.0</v>
      </c>
      <c r="H825" s="96" t="s">
        <v>29</v>
      </c>
      <c r="I825" s="96" t="str">
        <f>VLOOKUP(D825,Sheet12!A:C,3,0)</f>
        <v>P-1-N-181120-4252</v>
      </c>
      <c r="J825" s="74">
        <f t="shared" si="6"/>
        <v>10</v>
      </c>
      <c r="K825" s="77"/>
      <c r="L825" s="73"/>
      <c r="M825" s="73"/>
      <c r="N825" s="73"/>
      <c r="O825" s="73"/>
      <c r="P825" s="73"/>
      <c r="Q825" s="73"/>
      <c r="R825" s="73"/>
      <c r="S825" s="73"/>
      <c r="T825" s="73"/>
      <c r="U825" s="73"/>
      <c r="V825" s="73"/>
      <c r="W825" s="73"/>
      <c r="X825" s="73"/>
    </row>
    <row r="826">
      <c r="A826" s="74">
        <v>919.0</v>
      </c>
      <c r="B826" s="74" t="s">
        <v>2100</v>
      </c>
      <c r="C826" s="90"/>
      <c r="D826" s="75" t="s">
        <v>2225</v>
      </c>
      <c r="E826" s="76">
        <v>46034.0</v>
      </c>
      <c r="F826" s="78" t="s">
        <v>1420</v>
      </c>
      <c r="G826" s="76">
        <v>46044.0</v>
      </c>
      <c r="H826" s="96" t="s">
        <v>29</v>
      </c>
      <c r="I826" s="96" t="str">
        <f>VLOOKUP(D826,Sheet12!A:C,3,0)</f>
        <v>P-1-N-181120-4257</v>
      </c>
      <c r="J826" s="74">
        <f t="shared" si="6"/>
        <v>10</v>
      </c>
      <c r="K826" s="77"/>
      <c r="L826" s="73"/>
      <c r="M826" s="73"/>
      <c r="N826" s="73"/>
      <c r="O826" s="73"/>
      <c r="P826" s="73"/>
      <c r="Q826" s="73"/>
      <c r="R826" s="73"/>
      <c r="S826" s="73"/>
      <c r="T826" s="73"/>
      <c r="U826" s="73"/>
      <c r="V826" s="73"/>
      <c r="W826" s="73"/>
      <c r="X826" s="73"/>
    </row>
    <row r="827">
      <c r="A827" s="74">
        <v>920.0</v>
      </c>
      <c r="B827" s="74" t="s">
        <v>2100</v>
      </c>
      <c r="C827" s="90"/>
      <c r="D827" s="75" t="s">
        <v>2226</v>
      </c>
      <c r="E827" s="76">
        <v>46034.0</v>
      </c>
      <c r="F827" s="78" t="s">
        <v>1420</v>
      </c>
      <c r="G827" s="76">
        <v>46044.0</v>
      </c>
      <c r="H827" s="96" t="s">
        <v>29</v>
      </c>
      <c r="I827" s="96" t="str">
        <f>VLOOKUP(D827,Sheet12!A:C,3,0)</f>
        <v>P-1-N-181120-4256</v>
      </c>
      <c r="J827" s="74">
        <f t="shared" si="6"/>
        <v>10</v>
      </c>
      <c r="K827" s="77"/>
      <c r="L827" s="73"/>
      <c r="M827" s="73"/>
      <c r="N827" s="73"/>
      <c r="O827" s="73"/>
      <c r="P827" s="73"/>
      <c r="Q827" s="73"/>
      <c r="R827" s="73"/>
      <c r="S827" s="73"/>
      <c r="T827" s="73"/>
      <c r="U827" s="73"/>
      <c r="V827" s="73"/>
      <c r="W827" s="73"/>
      <c r="X827" s="73"/>
    </row>
    <row r="828">
      <c r="A828" s="74">
        <v>921.0</v>
      </c>
      <c r="B828" s="74" t="s">
        <v>2100</v>
      </c>
      <c r="C828" s="90"/>
      <c r="D828" s="75" t="s">
        <v>2227</v>
      </c>
      <c r="E828" s="76">
        <v>46034.0</v>
      </c>
      <c r="F828" s="78" t="s">
        <v>1420</v>
      </c>
      <c r="G828" s="76">
        <v>46044.0</v>
      </c>
      <c r="H828" s="96" t="s">
        <v>29</v>
      </c>
      <c r="I828" s="96" t="str">
        <f>VLOOKUP(D828,Sheet12!A:C,3,0)</f>
        <v>P-1-N-181120-4254</v>
      </c>
      <c r="J828" s="74">
        <f t="shared" si="6"/>
        <v>10</v>
      </c>
      <c r="K828" s="77"/>
      <c r="L828" s="73"/>
      <c r="M828" s="73"/>
      <c r="N828" s="73"/>
      <c r="O828" s="73"/>
      <c r="P828" s="73"/>
      <c r="Q828" s="73"/>
      <c r="R828" s="73"/>
      <c r="S828" s="73"/>
      <c r="T828" s="73"/>
      <c r="U828" s="73"/>
      <c r="V828" s="73"/>
      <c r="W828" s="73"/>
      <c r="X828" s="73"/>
    </row>
    <row r="829">
      <c r="A829" s="74">
        <v>922.0</v>
      </c>
      <c r="B829" s="74" t="s">
        <v>2100</v>
      </c>
      <c r="C829" s="90"/>
      <c r="D829" s="75" t="s">
        <v>2228</v>
      </c>
      <c r="E829" s="76">
        <v>46034.0</v>
      </c>
      <c r="F829" s="78" t="s">
        <v>1420</v>
      </c>
      <c r="G829" s="76">
        <v>46044.0</v>
      </c>
      <c r="H829" s="96" t="s">
        <v>29</v>
      </c>
      <c r="I829" s="96" t="str">
        <f>VLOOKUP(D829,Sheet12!A:C,3,0)</f>
        <v>#N/A</v>
      </c>
      <c r="J829" s="74">
        <f t="shared" si="6"/>
        <v>10</v>
      </c>
      <c r="K829" s="77"/>
      <c r="L829" s="73"/>
      <c r="M829" s="73"/>
      <c r="N829" s="73"/>
      <c r="O829" s="73"/>
      <c r="P829" s="73"/>
      <c r="Q829" s="73"/>
      <c r="R829" s="73"/>
      <c r="S829" s="73"/>
      <c r="T829" s="73"/>
      <c r="U829" s="73"/>
      <c r="V829" s="73"/>
      <c r="W829" s="73"/>
      <c r="X829" s="73"/>
    </row>
    <row r="830">
      <c r="A830" s="74">
        <v>923.0</v>
      </c>
      <c r="B830" s="74" t="s">
        <v>2100</v>
      </c>
      <c r="C830" s="90"/>
      <c r="D830" s="75" t="s">
        <v>2229</v>
      </c>
      <c r="E830" s="76">
        <v>46035.0</v>
      </c>
      <c r="F830" s="78" t="s">
        <v>1420</v>
      </c>
      <c r="G830" s="76">
        <v>46044.0</v>
      </c>
      <c r="H830" s="96" t="s">
        <v>29</v>
      </c>
      <c r="I830" s="96" t="str">
        <f>VLOOKUP(D830,Sheet12!A:C,3,0)</f>
        <v>#N/A</v>
      </c>
      <c r="J830" s="74">
        <f t="shared" si="6"/>
        <v>9</v>
      </c>
      <c r="K830" s="77"/>
      <c r="L830" s="73"/>
      <c r="M830" s="73"/>
      <c r="N830" s="73"/>
      <c r="O830" s="73"/>
      <c r="P830" s="73"/>
      <c r="Q830" s="73"/>
      <c r="R830" s="73"/>
      <c r="S830" s="73"/>
      <c r="T830" s="73"/>
      <c r="U830" s="73"/>
      <c r="V830" s="73"/>
      <c r="W830" s="73"/>
      <c r="X830" s="73"/>
    </row>
    <row r="831">
      <c r="A831" s="74">
        <v>924.0</v>
      </c>
      <c r="B831" s="74" t="s">
        <v>2100</v>
      </c>
      <c r="C831" s="90"/>
      <c r="D831" s="75" t="s">
        <v>2230</v>
      </c>
      <c r="E831" s="76">
        <v>46035.0</v>
      </c>
      <c r="F831" s="78" t="s">
        <v>1420</v>
      </c>
      <c r="G831" s="76">
        <v>46044.0</v>
      </c>
      <c r="H831" s="96" t="s">
        <v>29</v>
      </c>
      <c r="I831" s="96" t="str">
        <f>VLOOKUP(D831,Sheet12!A:C,3,0)</f>
        <v>#N/A</v>
      </c>
      <c r="J831" s="74">
        <f t="shared" si="6"/>
        <v>9</v>
      </c>
      <c r="K831" s="77"/>
      <c r="L831" s="73"/>
      <c r="M831" s="73"/>
      <c r="N831" s="73"/>
      <c r="O831" s="73"/>
      <c r="P831" s="73"/>
      <c r="Q831" s="73"/>
      <c r="R831" s="73"/>
      <c r="S831" s="73"/>
      <c r="T831" s="73"/>
      <c r="U831" s="73"/>
      <c r="V831" s="73"/>
      <c r="W831" s="73"/>
      <c r="X831" s="73"/>
    </row>
    <row r="832">
      <c r="A832" s="74">
        <v>925.0</v>
      </c>
      <c r="B832" s="74" t="s">
        <v>2100</v>
      </c>
      <c r="C832" s="90"/>
      <c r="D832" s="75" t="s">
        <v>2231</v>
      </c>
      <c r="E832" s="76">
        <v>46035.0</v>
      </c>
      <c r="F832" s="78" t="s">
        <v>1420</v>
      </c>
      <c r="G832" s="76">
        <v>46044.0</v>
      </c>
      <c r="H832" s="96" t="s">
        <v>29</v>
      </c>
      <c r="I832" s="96" t="str">
        <f>VLOOKUP(D832,Sheet12!A:C,3,0)</f>
        <v>P-1-N-151120-4203</v>
      </c>
      <c r="J832" s="74">
        <f t="shared" si="6"/>
        <v>9</v>
      </c>
      <c r="K832" s="77"/>
      <c r="L832" s="73"/>
      <c r="M832" s="73"/>
      <c r="N832" s="73"/>
      <c r="O832" s="73"/>
      <c r="P832" s="73"/>
      <c r="Q832" s="73"/>
      <c r="R832" s="73"/>
      <c r="S832" s="73"/>
      <c r="T832" s="73"/>
      <c r="U832" s="73"/>
      <c r="V832" s="73"/>
      <c r="W832" s="73"/>
      <c r="X832" s="73"/>
    </row>
    <row r="833">
      <c r="A833" s="74">
        <v>926.0</v>
      </c>
      <c r="B833" s="74" t="s">
        <v>2100</v>
      </c>
      <c r="C833" s="90"/>
      <c r="D833" s="75" t="s">
        <v>2232</v>
      </c>
      <c r="E833" s="76">
        <v>46035.0</v>
      </c>
      <c r="F833" s="78" t="s">
        <v>1420</v>
      </c>
      <c r="G833" s="76">
        <v>46044.0</v>
      </c>
      <c r="H833" s="96" t="s">
        <v>29</v>
      </c>
      <c r="I833" s="96" t="str">
        <f>VLOOKUP(D833,Sheet12!A:C,3,0)</f>
        <v>#N/A</v>
      </c>
      <c r="J833" s="74">
        <f t="shared" si="6"/>
        <v>9</v>
      </c>
      <c r="K833" s="77"/>
      <c r="L833" s="73"/>
      <c r="M833" s="73"/>
      <c r="N833" s="73"/>
      <c r="O833" s="73"/>
      <c r="P833" s="73"/>
      <c r="Q833" s="73"/>
      <c r="R833" s="73"/>
      <c r="S833" s="73"/>
      <c r="T833" s="73"/>
      <c r="U833" s="73"/>
      <c r="V833" s="73"/>
      <c r="W833" s="73"/>
      <c r="X833" s="73"/>
    </row>
    <row r="834">
      <c r="A834" s="74">
        <v>927.0</v>
      </c>
      <c r="B834" s="74" t="s">
        <v>2100</v>
      </c>
      <c r="C834" s="90"/>
      <c r="D834" s="75" t="s">
        <v>2233</v>
      </c>
      <c r="E834" s="76">
        <v>46037.0</v>
      </c>
      <c r="F834" s="78" t="s">
        <v>1420</v>
      </c>
      <c r="G834" s="76">
        <v>46044.0</v>
      </c>
      <c r="H834" s="96" t="s">
        <v>29</v>
      </c>
      <c r="I834" s="96" t="str">
        <f>VLOOKUP(D834,Sheet12!A:C,3,0)</f>
        <v>#N/A</v>
      </c>
      <c r="J834" s="74">
        <f t="shared" si="6"/>
        <v>7</v>
      </c>
      <c r="K834" s="77"/>
      <c r="L834" s="73"/>
      <c r="M834" s="73"/>
      <c r="N834" s="73"/>
      <c r="O834" s="73"/>
      <c r="P834" s="73"/>
      <c r="Q834" s="73"/>
      <c r="R834" s="73"/>
      <c r="S834" s="73"/>
      <c r="T834" s="73"/>
      <c r="U834" s="73"/>
      <c r="V834" s="73"/>
      <c r="W834" s="73"/>
      <c r="X834" s="73"/>
    </row>
    <row r="835" ht="15.75" customHeight="1">
      <c r="A835" s="74">
        <v>928.0</v>
      </c>
      <c r="B835" s="74" t="s">
        <v>2100</v>
      </c>
      <c r="C835" s="90"/>
      <c r="D835" s="75" t="s">
        <v>2234</v>
      </c>
      <c r="E835" s="76">
        <v>46040.0</v>
      </c>
      <c r="F835" s="78" t="s">
        <v>1420</v>
      </c>
      <c r="G835" s="76">
        <v>46050.0</v>
      </c>
      <c r="H835" s="96" t="s">
        <v>29</v>
      </c>
      <c r="I835" s="96" t="str">
        <f>VLOOKUP(D835,Sheet12!A:C,3,0)</f>
        <v>#N/A</v>
      </c>
      <c r="J835" s="74">
        <f t="shared" si="6"/>
        <v>10</v>
      </c>
      <c r="K835" s="77"/>
      <c r="L835" s="73"/>
      <c r="M835" s="73"/>
      <c r="N835" s="73"/>
      <c r="O835" s="73"/>
      <c r="P835" s="73"/>
      <c r="Q835" s="73"/>
      <c r="R835" s="73"/>
      <c r="S835" s="73"/>
      <c r="T835" s="73"/>
      <c r="U835" s="73"/>
      <c r="V835" s="73"/>
      <c r="W835" s="73"/>
      <c r="X835" s="73"/>
    </row>
    <row r="836" ht="12.75" customHeight="1">
      <c r="A836" s="74">
        <v>929.0</v>
      </c>
      <c r="B836" s="74" t="s">
        <v>2100</v>
      </c>
      <c r="C836" s="90"/>
      <c r="D836" s="75" t="s">
        <v>2235</v>
      </c>
      <c r="E836" s="76">
        <v>46040.0</v>
      </c>
      <c r="F836" s="78" t="s">
        <v>1420</v>
      </c>
      <c r="G836" s="76">
        <v>46050.0</v>
      </c>
      <c r="H836" s="96" t="s">
        <v>29</v>
      </c>
      <c r="I836" s="96" t="str">
        <f>VLOOKUP(D836,Sheet12!A:C,3,0)</f>
        <v>#N/A</v>
      </c>
      <c r="J836" s="74">
        <f t="shared" si="6"/>
        <v>10</v>
      </c>
      <c r="K836" s="77"/>
      <c r="L836" s="73"/>
      <c r="M836" s="73"/>
      <c r="N836" s="73"/>
      <c r="O836" s="73"/>
      <c r="P836" s="73"/>
      <c r="Q836" s="73"/>
      <c r="R836" s="73"/>
      <c r="S836" s="73"/>
      <c r="T836" s="73"/>
      <c r="U836" s="73"/>
      <c r="V836" s="73"/>
      <c r="W836" s="73"/>
      <c r="X836" s="73"/>
    </row>
    <row r="837">
      <c r="A837" s="74">
        <v>930.0</v>
      </c>
      <c r="B837" s="74" t="s">
        <v>2236</v>
      </c>
      <c r="C837" s="90"/>
      <c r="D837" s="75" t="s">
        <v>2237</v>
      </c>
      <c r="E837" s="76">
        <v>46042.0</v>
      </c>
      <c r="F837" s="78" t="s">
        <v>1420</v>
      </c>
      <c r="G837" s="76">
        <v>46051.0</v>
      </c>
      <c r="H837" s="96" t="s">
        <v>29</v>
      </c>
      <c r="I837" s="96" t="str">
        <f>VLOOKUP(D837,Sheet12!A:C,3,0)</f>
        <v>#N/A</v>
      </c>
      <c r="J837" s="74">
        <f t="shared" si="6"/>
        <v>9</v>
      </c>
      <c r="K837" s="77"/>
      <c r="L837" s="73"/>
      <c r="M837" s="73"/>
      <c r="N837" s="73"/>
      <c r="O837" s="73"/>
      <c r="P837" s="73"/>
      <c r="Q837" s="73"/>
      <c r="R837" s="73"/>
      <c r="S837" s="73"/>
      <c r="T837" s="73"/>
      <c r="U837" s="73"/>
      <c r="V837" s="73"/>
      <c r="W837" s="73"/>
      <c r="X837" s="73"/>
    </row>
    <row r="838" ht="15.0" customHeight="1">
      <c r="A838" s="74">
        <v>931.0</v>
      </c>
      <c r="B838" s="74" t="s">
        <v>2236</v>
      </c>
      <c r="C838" s="90"/>
      <c r="D838" s="75" t="s">
        <v>2238</v>
      </c>
      <c r="E838" s="76">
        <v>46042.0</v>
      </c>
      <c r="F838" s="78" t="s">
        <v>1420</v>
      </c>
      <c r="G838" s="76">
        <v>46051.0</v>
      </c>
      <c r="H838" s="96" t="s">
        <v>29</v>
      </c>
      <c r="I838" s="96" t="str">
        <f>VLOOKUP(D838,Sheet12!A:C,3,0)</f>
        <v>#N/A</v>
      </c>
      <c r="J838" s="74">
        <f t="shared" si="6"/>
        <v>9</v>
      </c>
      <c r="K838" s="77"/>
      <c r="L838" s="73"/>
      <c r="M838" s="73"/>
      <c r="N838" s="73"/>
      <c r="O838" s="73"/>
      <c r="P838" s="73"/>
      <c r="Q838" s="73"/>
      <c r="R838" s="73"/>
      <c r="S838" s="73"/>
      <c r="T838" s="73"/>
      <c r="U838" s="73"/>
      <c r="V838" s="73"/>
      <c r="W838" s="73"/>
      <c r="X838" s="73"/>
    </row>
    <row r="839">
      <c r="A839" s="74">
        <v>932.0</v>
      </c>
      <c r="B839" s="74" t="s">
        <v>2236</v>
      </c>
      <c r="C839" s="90"/>
      <c r="D839" s="75" t="s">
        <v>2239</v>
      </c>
      <c r="E839" s="76">
        <v>46042.0</v>
      </c>
      <c r="F839" s="78" t="s">
        <v>1420</v>
      </c>
      <c r="G839" s="76">
        <v>46051.0</v>
      </c>
      <c r="H839" s="96" t="s">
        <v>29</v>
      </c>
      <c r="I839" s="96" t="str">
        <f>VLOOKUP(D839,Sheet12!A:C,3,0)</f>
        <v>#N/A</v>
      </c>
      <c r="J839" s="74">
        <f t="shared" si="6"/>
        <v>9</v>
      </c>
      <c r="K839" s="77"/>
      <c r="L839" s="73"/>
      <c r="M839" s="73"/>
      <c r="N839" s="73"/>
      <c r="O839" s="73"/>
      <c r="P839" s="73"/>
      <c r="Q839" s="73"/>
      <c r="R839" s="73"/>
      <c r="S839" s="73"/>
      <c r="T839" s="73"/>
      <c r="U839" s="73"/>
      <c r="V839" s="73"/>
      <c r="W839" s="73"/>
      <c r="X839" s="73"/>
    </row>
    <row r="840" ht="13.5" customHeight="1">
      <c r="A840" s="74">
        <v>933.0</v>
      </c>
      <c r="B840" s="74" t="s">
        <v>2236</v>
      </c>
      <c r="C840" s="90"/>
      <c r="D840" s="75" t="s">
        <v>2240</v>
      </c>
      <c r="E840" s="76">
        <v>46042.0</v>
      </c>
      <c r="F840" s="78" t="s">
        <v>1420</v>
      </c>
      <c r="G840" s="76">
        <v>46051.0</v>
      </c>
      <c r="H840" s="96" t="s">
        <v>29</v>
      </c>
      <c r="I840" s="96" t="str">
        <f>VLOOKUP(D840,Sheet12!A:C,3,0)</f>
        <v>#N/A</v>
      </c>
      <c r="J840" s="74">
        <f t="shared" si="6"/>
        <v>9</v>
      </c>
      <c r="K840" s="77"/>
      <c r="L840" s="73"/>
      <c r="M840" s="73"/>
      <c r="N840" s="73"/>
      <c r="O840" s="73"/>
      <c r="P840" s="73"/>
      <c r="Q840" s="73"/>
      <c r="R840" s="73"/>
      <c r="S840" s="73"/>
      <c r="T840" s="73"/>
      <c r="U840" s="73"/>
      <c r="V840" s="73"/>
      <c r="W840" s="73"/>
      <c r="X840" s="73"/>
    </row>
    <row r="841" ht="13.5" customHeight="1">
      <c r="A841" s="74">
        <v>934.0</v>
      </c>
      <c r="B841" s="74" t="s">
        <v>2236</v>
      </c>
      <c r="C841" s="90"/>
      <c r="D841" s="75" t="s">
        <v>2241</v>
      </c>
      <c r="E841" s="76">
        <v>46042.0</v>
      </c>
      <c r="F841" s="78" t="s">
        <v>1420</v>
      </c>
      <c r="G841" s="76">
        <v>46051.0</v>
      </c>
      <c r="H841" s="96" t="s">
        <v>29</v>
      </c>
      <c r="I841" s="96" t="str">
        <f>VLOOKUP(D841,Sheet12!A:C,3,0)</f>
        <v>#N/A</v>
      </c>
      <c r="J841" s="74">
        <f t="shared" si="6"/>
        <v>9</v>
      </c>
      <c r="K841" s="77"/>
      <c r="L841" s="73"/>
      <c r="M841" s="73"/>
      <c r="N841" s="73"/>
      <c r="O841" s="73"/>
      <c r="P841" s="73"/>
      <c r="Q841" s="73"/>
      <c r="R841" s="73"/>
      <c r="S841" s="73"/>
      <c r="T841" s="73"/>
      <c r="U841" s="73"/>
      <c r="V841" s="73"/>
      <c r="W841" s="73"/>
      <c r="X841" s="73"/>
    </row>
    <row r="842">
      <c r="A842" s="74">
        <v>935.0</v>
      </c>
      <c r="B842" s="74" t="s">
        <v>2236</v>
      </c>
      <c r="C842" s="90"/>
      <c r="D842" s="75" t="s">
        <v>2242</v>
      </c>
      <c r="E842" s="76">
        <v>46042.0</v>
      </c>
      <c r="F842" s="78" t="s">
        <v>1420</v>
      </c>
      <c r="G842" s="76">
        <v>46051.0</v>
      </c>
      <c r="H842" s="96" t="s">
        <v>29</v>
      </c>
      <c r="I842" s="96" t="str">
        <f>VLOOKUP(D842,Sheet12!A:C,3,0)</f>
        <v>#N/A</v>
      </c>
      <c r="J842" s="74">
        <f t="shared" si="6"/>
        <v>9</v>
      </c>
      <c r="K842" s="77"/>
      <c r="L842" s="73"/>
      <c r="M842" s="73"/>
      <c r="N842" s="73"/>
      <c r="O842" s="73"/>
      <c r="P842" s="73"/>
      <c r="Q842" s="73"/>
      <c r="R842" s="73"/>
      <c r="S842" s="73"/>
      <c r="T842" s="73"/>
      <c r="U842" s="73"/>
      <c r="V842" s="73"/>
      <c r="W842" s="73"/>
      <c r="X842" s="73"/>
    </row>
    <row r="843">
      <c r="A843" s="74">
        <v>936.0</v>
      </c>
      <c r="B843" s="74" t="s">
        <v>2236</v>
      </c>
      <c r="C843" s="90"/>
      <c r="D843" s="75" t="s">
        <v>2243</v>
      </c>
      <c r="E843" s="76">
        <v>46042.0</v>
      </c>
      <c r="F843" s="78" t="s">
        <v>1420</v>
      </c>
      <c r="G843" s="76">
        <v>46051.0</v>
      </c>
      <c r="H843" s="96" t="s">
        <v>29</v>
      </c>
      <c r="I843" s="96" t="str">
        <f>VLOOKUP(D843,Sheet12!A:C,3,0)</f>
        <v>#N/A</v>
      </c>
      <c r="J843" s="74">
        <f t="shared" si="6"/>
        <v>9</v>
      </c>
      <c r="K843" s="77"/>
      <c r="L843" s="73"/>
      <c r="M843" s="73"/>
      <c r="N843" s="73"/>
      <c r="O843" s="73"/>
      <c r="P843" s="73"/>
      <c r="Q843" s="73"/>
      <c r="R843" s="73"/>
      <c r="S843" s="73"/>
      <c r="T843" s="73"/>
      <c r="U843" s="73"/>
      <c r="V843" s="73"/>
      <c r="W843" s="73"/>
      <c r="X843" s="73"/>
    </row>
    <row r="844">
      <c r="A844" s="74">
        <v>937.0</v>
      </c>
      <c r="B844" s="74" t="s">
        <v>2236</v>
      </c>
      <c r="C844" s="90"/>
      <c r="D844" s="75" t="s">
        <v>2244</v>
      </c>
      <c r="E844" s="76">
        <v>46042.0</v>
      </c>
      <c r="F844" s="78" t="s">
        <v>1420</v>
      </c>
      <c r="G844" s="76">
        <v>46051.0</v>
      </c>
      <c r="H844" s="96" t="s">
        <v>29</v>
      </c>
      <c r="I844" s="96" t="str">
        <f>VLOOKUP(D844,Sheet12!A:C,3,0)</f>
        <v>#N/A</v>
      </c>
      <c r="J844" s="74">
        <f t="shared" si="6"/>
        <v>9</v>
      </c>
      <c r="K844" s="77"/>
      <c r="L844" s="73"/>
      <c r="M844" s="73"/>
      <c r="N844" s="73"/>
      <c r="O844" s="73"/>
      <c r="P844" s="73"/>
      <c r="Q844" s="73"/>
      <c r="R844" s="73"/>
      <c r="S844" s="73"/>
      <c r="T844" s="73"/>
      <c r="U844" s="73"/>
      <c r="V844" s="73"/>
      <c r="W844" s="73"/>
      <c r="X844" s="73"/>
    </row>
    <row r="845" ht="15.75" customHeight="1">
      <c r="A845" s="74">
        <v>938.0</v>
      </c>
      <c r="B845" s="74" t="s">
        <v>2236</v>
      </c>
      <c r="C845" s="90"/>
      <c r="D845" s="75" t="s">
        <v>2245</v>
      </c>
      <c r="E845" s="76">
        <v>46042.0</v>
      </c>
      <c r="F845" s="78" t="s">
        <v>1420</v>
      </c>
      <c r="G845" s="76">
        <v>46051.0</v>
      </c>
      <c r="H845" s="96" t="s">
        <v>29</v>
      </c>
      <c r="I845" s="96" t="str">
        <f>VLOOKUP(D845,Sheet12!A:C,3,0)</f>
        <v>#N/A</v>
      </c>
      <c r="J845" s="74">
        <f t="shared" si="6"/>
        <v>9</v>
      </c>
      <c r="K845" s="77"/>
      <c r="L845" s="73"/>
      <c r="M845" s="73"/>
      <c r="N845" s="73"/>
      <c r="O845" s="73"/>
      <c r="P845" s="73"/>
      <c r="Q845" s="73"/>
      <c r="R845" s="73"/>
      <c r="S845" s="73"/>
      <c r="T845" s="73"/>
      <c r="U845" s="73"/>
      <c r="V845" s="73"/>
      <c r="W845" s="73"/>
      <c r="X845" s="73"/>
    </row>
    <row r="846" ht="15.75" customHeight="1">
      <c r="A846" s="74">
        <v>939.0</v>
      </c>
      <c r="B846" s="74" t="s">
        <v>2236</v>
      </c>
      <c r="C846" s="90"/>
      <c r="D846" s="75" t="s">
        <v>2246</v>
      </c>
      <c r="E846" s="76">
        <v>46042.0</v>
      </c>
      <c r="F846" s="78" t="s">
        <v>1420</v>
      </c>
      <c r="G846" s="76">
        <v>46051.0</v>
      </c>
      <c r="H846" s="96" t="s">
        <v>29</v>
      </c>
      <c r="I846" s="96" t="str">
        <f>VLOOKUP(D846,Sheet12!A:C,3,0)</f>
        <v>#N/A</v>
      </c>
      <c r="J846" s="74">
        <f t="shared" si="6"/>
        <v>9</v>
      </c>
      <c r="K846" s="77"/>
      <c r="L846" s="73"/>
      <c r="M846" s="73"/>
      <c r="N846" s="73"/>
      <c r="O846" s="73"/>
      <c r="P846" s="73"/>
      <c r="Q846" s="73"/>
      <c r="R846" s="73"/>
      <c r="S846" s="73"/>
      <c r="T846" s="73"/>
      <c r="U846" s="73"/>
      <c r="V846" s="73"/>
      <c r="W846" s="73"/>
      <c r="X846" s="73"/>
    </row>
    <row r="847">
      <c r="A847" s="74">
        <v>940.0</v>
      </c>
      <c r="B847" s="74" t="s">
        <v>2236</v>
      </c>
      <c r="C847" s="90"/>
      <c r="D847" s="75" t="s">
        <v>2247</v>
      </c>
      <c r="E847" s="76">
        <v>46042.0</v>
      </c>
      <c r="F847" s="78" t="s">
        <v>1420</v>
      </c>
      <c r="G847" s="76">
        <v>46051.0</v>
      </c>
      <c r="H847" s="96" t="s">
        <v>29</v>
      </c>
      <c r="I847" s="96"/>
      <c r="J847" s="74">
        <f t="shared" si="6"/>
        <v>9</v>
      </c>
      <c r="L847" s="73"/>
      <c r="M847" s="73"/>
      <c r="N847" s="73"/>
      <c r="O847" s="73"/>
      <c r="P847" s="73"/>
      <c r="Q847" s="73"/>
      <c r="R847" s="73"/>
      <c r="S847" s="73"/>
      <c r="T847" s="73"/>
      <c r="U847" s="73"/>
      <c r="V847" s="73"/>
      <c r="W847" s="73"/>
      <c r="X847" s="73"/>
    </row>
    <row r="848" ht="14.25" customHeight="1">
      <c r="A848" s="74">
        <v>941.0</v>
      </c>
      <c r="B848" s="74" t="s">
        <v>2236</v>
      </c>
      <c r="C848" s="90"/>
      <c r="D848" s="75" t="s">
        <v>2248</v>
      </c>
      <c r="E848" s="76">
        <v>46042.0</v>
      </c>
      <c r="F848" s="78" t="s">
        <v>1420</v>
      </c>
      <c r="G848" s="76">
        <v>46051.0</v>
      </c>
      <c r="H848" s="96" t="s">
        <v>29</v>
      </c>
      <c r="I848" s="96"/>
      <c r="J848" s="74">
        <f t="shared" si="6"/>
        <v>9</v>
      </c>
      <c r="L848" s="73"/>
      <c r="M848" s="73"/>
      <c r="N848" s="73"/>
      <c r="O848" s="73"/>
      <c r="P848" s="73"/>
      <c r="Q848" s="73"/>
      <c r="R848" s="73"/>
      <c r="S848" s="73"/>
      <c r="T848" s="73"/>
      <c r="U848" s="73"/>
      <c r="V848" s="73"/>
      <c r="W848" s="73"/>
      <c r="X848" s="73"/>
    </row>
    <row r="849" ht="16.5" customHeight="1">
      <c r="A849" s="74">
        <v>942.0</v>
      </c>
      <c r="B849" s="74" t="s">
        <v>2236</v>
      </c>
      <c r="C849" s="90"/>
      <c r="D849" s="75" t="s">
        <v>2249</v>
      </c>
      <c r="E849" s="76">
        <v>46042.0</v>
      </c>
      <c r="F849" s="78" t="s">
        <v>1420</v>
      </c>
      <c r="G849" s="76">
        <v>46051.0</v>
      </c>
      <c r="H849" s="96" t="s">
        <v>29</v>
      </c>
      <c r="I849" s="96"/>
      <c r="J849" s="74">
        <f t="shared" si="6"/>
        <v>9</v>
      </c>
      <c r="L849" s="73"/>
      <c r="M849" s="73"/>
      <c r="N849" s="73"/>
      <c r="O849" s="73"/>
      <c r="P849" s="73"/>
      <c r="Q849" s="73"/>
      <c r="R849" s="73"/>
      <c r="S849" s="73"/>
      <c r="T849" s="73"/>
      <c r="U849" s="73"/>
      <c r="V849" s="73"/>
      <c r="W849" s="73"/>
      <c r="X849" s="73"/>
    </row>
    <row r="850">
      <c r="A850" s="74">
        <v>943.0</v>
      </c>
      <c r="B850" s="74" t="s">
        <v>2100</v>
      </c>
      <c r="C850" s="90"/>
      <c r="D850" s="75" t="s">
        <v>2250</v>
      </c>
      <c r="E850" s="76">
        <v>46047.0</v>
      </c>
      <c r="F850" s="78" t="s">
        <v>1420</v>
      </c>
      <c r="G850" s="76">
        <v>46057.0</v>
      </c>
      <c r="H850" s="96" t="s">
        <v>29</v>
      </c>
      <c r="I850" s="96"/>
      <c r="J850" s="74">
        <f t="shared" si="6"/>
        <v>10</v>
      </c>
      <c r="L850" s="73"/>
      <c r="M850" s="73"/>
      <c r="N850" s="73"/>
      <c r="O850" s="73"/>
      <c r="P850" s="73"/>
      <c r="Q850" s="73"/>
      <c r="R850" s="73"/>
      <c r="S850" s="73"/>
      <c r="T850" s="73"/>
      <c r="U850" s="73"/>
      <c r="V850" s="73"/>
      <c r="W850" s="73"/>
      <c r="X850" s="73"/>
    </row>
    <row r="851">
      <c r="A851" s="74">
        <v>944.0</v>
      </c>
      <c r="B851" s="74" t="s">
        <v>2100</v>
      </c>
      <c r="C851" s="90"/>
      <c r="D851" s="75" t="s">
        <v>2251</v>
      </c>
      <c r="E851" s="76">
        <v>46047.0</v>
      </c>
      <c r="F851" s="78" t="s">
        <v>1420</v>
      </c>
      <c r="G851" s="76">
        <v>46057.0</v>
      </c>
      <c r="H851" s="96" t="s">
        <v>29</v>
      </c>
      <c r="I851" s="96"/>
      <c r="J851" s="74">
        <f t="shared" si="6"/>
        <v>10</v>
      </c>
      <c r="L851" s="73"/>
      <c r="M851" s="73"/>
      <c r="N851" s="73"/>
      <c r="O851" s="73"/>
      <c r="P851" s="73"/>
      <c r="Q851" s="73"/>
      <c r="R851" s="73"/>
      <c r="S851" s="73"/>
      <c r="T851" s="73"/>
      <c r="U851" s="73"/>
      <c r="V851" s="73"/>
      <c r="W851" s="73"/>
      <c r="X851" s="73"/>
    </row>
    <row r="852">
      <c r="A852" s="74">
        <v>945.0</v>
      </c>
      <c r="B852" s="74" t="s">
        <v>2252</v>
      </c>
      <c r="C852" s="90"/>
      <c r="D852" s="75" t="s">
        <v>2253</v>
      </c>
      <c r="E852" s="76">
        <v>46048.0</v>
      </c>
      <c r="F852" s="78" t="s">
        <v>1420</v>
      </c>
      <c r="G852" s="76">
        <v>46057.0</v>
      </c>
      <c r="H852" s="96" t="s">
        <v>29</v>
      </c>
      <c r="I852" s="96"/>
      <c r="J852" s="74">
        <f t="shared" si="6"/>
        <v>9</v>
      </c>
      <c r="L852" s="73"/>
      <c r="M852" s="73"/>
      <c r="N852" s="73"/>
      <c r="O852" s="73"/>
      <c r="P852" s="73"/>
      <c r="Q852" s="73"/>
      <c r="R852" s="73"/>
      <c r="S852" s="73"/>
      <c r="T852" s="73"/>
      <c r="U852" s="73"/>
      <c r="V852" s="73"/>
      <c r="W852" s="73"/>
      <c r="X852" s="73"/>
    </row>
    <row r="853">
      <c r="A853" s="74">
        <v>946.0</v>
      </c>
      <c r="B853" s="74" t="s">
        <v>2254</v>
      </c>
      <c r="C853" s="90"/>
      <c r="D853" s="75" t="s">
        <v>2255</v>
      </c>
      <c r="E853" s="76">
        <v>46055.0</v>
      </c>
      <c r="F853" s="78" t="s">
        <v>1420</v>
      </c>
      <c r="G853" s="76">
        <v>46064.0</v>
      </c>
      <c r="H853" s="96" t="s">
        <v>29</v>
      </c>
      <c r="I853" s="96"/>
      <c r="J853" s="74">
        <f t="shared" si="6"/>
        <v>9</v>
      </c>
      <c r="L853" s="73"/>
      <c r="M853" s="73"/>
      <c r="N853" s="73"/>
      <c r="O853" s="73"/>
      <c r="P853" s="73"/>
      <c r="Q853" s="73"/>
      <c r="R853" s="73"/>
      <c r="S853" s="73"/>
      <c r="T853" s="73"/>
      <c r="U853" s="73"/>
      <c r="V853" s="73"/>
      <c r="W853" s="73"/>
      <c r="X853" s="73"/>
    </row>
    <row r="854">
      <c r="A854" s="74">
        <v>947.0</v>
      </c>
      <c r="B854" s="74" t="s">
        <v>2254</v>
      </c>
      <c r="C854" s="90"/>
      <c r="D854" s="75" t="s">
        <v>2256</v>
      </c>
      <c r="E854" s="76">
        <v>46055.0</v>
      </c>
      <c r="F854" s="78" t="s">
        <v>1420</v>
      </c>
      <c r="G854" s="76">
        <v>46064.0</v>
      </c>
      <c r="H854" s="96" t="s">
        <v>29</v>
      </c>
      <c r="I854" s="96"/>
      <c r="J854" s="74">
        <f t="shared" si="6"/>
        <v>9</v>
      </c>
      <c r="L854" s="73"/>
      <c r="M854" s="73"/>
      <c r="N854" s="73"/>
      <c r="O854" s="73"/>
      <c r="P854" s="73"/>
      <c r="Q854" s="73"/>
      <c r="R854" s="73"/>
      <c r="S854" s="73"/>
      <c r="T854" s="73"/>
      <c r="U854" s="73"/>
      <c r="V854" s="73"/>
      <c r="W854" s="73"/>
      <c r="X854" s="73"/>
    </row>
    <row r="855">
      <c r="A855" s="74">
        <v>948.0</v>
      </c>
      <c r="B855" s="74" t="s">
        <v>2254</v>
      </c>
      <c r="C855" s="90"/>
      <c r="D855" s="75" t="s">
        <v>2257</v>
      </c>
      <c r="E855" s="76">
        <v>46055.0</v>
      </c>
      <c r="F855" s="78" t="s">
        <v>1420</v>
      </c>
      <c r="G855" s="76">
        <v>46064.0</v>
      </c>
      <c r="H855" s="96" t="s">
        <v>29</v>
      </c>
      <c r="I855" s="96"/>
      <c r="J855" s="74">
        <f t="shared" si="6"/>
        <v>9</v>
      </c>
      <c r="L855" s="73"/>
      <c r="M855" s="73"/>
      <c r="N855" s="73"/>
      <c r="O855" s="73"/>
      <c r="P855" s="73"/>
      <c r="Q855" s="73"/>
      <c r="R855" s="73"/>
      <c r="S855" s="73"/>
      <c r="T855" s="73"/>
      <c r="U855" s="73"/>
      <c r="V855" s="73"/>
      <c r="W855" s="73"/>
      <c r="X855" s="73"/>
    </row>
    <row r="856">
      <c r="A856" s="74">
        <v>949.0</v>
      </c>
      <c r="B856" s="74" t="s">
        <v>2254</v>
      </c>
      <c r="C856" s="90"/>
      <c r="D856" s="75" t="s">
        <v>2258</v>
      </c>
      <c r="E856" s="76">
        <v>46055.0</v>
      </c>
      <c r="F856" s="78" t="s">
        <v>1420</v>
      </c>
      <c r="G856" s="76">
        <v>46064.0</v>
      </c>
      <c r="H856" s="96" t="s">
        <v>29</v>
      </c>
      <c r="I856" s="96"/>
      <c r="J856" s="74">
        <f t="shared" si="6"/>
        <v>9</v>
      </c>
      <c r="L856" s="73"/>
      <c r="M856" s="73"/>
      <c r="N856" s="73"/>
      <c r="O856" s="73"/>
      <c r="P856" s="73"/>
      <c r="Q856" s="73"/>
      <c r="R856" s="73"/>
      <c r="S856" s="73"/>
      <c r="T856" s="73"/>
      <c r="U856" s="73"/>
      <c r="V856" s="73"/>
      <c r="W856" s="73"/>
      <c r="X856" s="73"/>
    </row>
    <row r="857" ht="16.5" customHeight="1">
      <c r="A857" s="74">
        <v>950.0</v>
      </c>
      <c r="B857" s="74" t="s">
        <v>2254</v>
      </c>
      <c r="C857" s="90"/>
      <c r="D857" s="75" t="s">
        <v>2259</v>
      </c>
      <c r="E857" s="76">
        <v>46055.0</v>
      </c>
      <c r="F857" s="78" t="s">
        <v>1420</v>
      </c>
      <c r="G857" s="76">
        <v>46064.0</v>
      </c>
      <c r="H857" s="96" t="s">
        <v>29</v>
      </c>
      <c r="I857" s="96"/>
      <c r="J857" s="74">
        <f t="shared" si="6"/>
        <v>9</v>
      </c>
      <c r="L857" s="73"/>
      <c r="M857" s="73"/>
      <c r="N857" s="73"/>
      <c r="O857" s="73"/>
      <c r="P857" s="73"/>
      <c r="Q857" s="73"/>
      <c r="R857" s="73"/>
      <c r="S857" s="73"/>
      <c r="T857" s="73"/>
      <c r="U857" s="73"/>
      <c r="V857" s="73"/>
      <c r="W857" s="73"/>
      <c r="X857" s="73"/>
    </row>
    <row r="858">
      <c r="A858" s="74">
        <v>951.0</v>
      </c>
      <c r="B858" s="74" t="s">
        <v>2100</v>
      </c>
      <c r="C858" s="90"/>
      <c r="D858" s="75" t="s">
        <v>2260</v>
      </c>
      <c r="E858" s="76">
        <v>46051.0</v>
      </c>
      <c r="F858" s="78" t="s">
        <v>1420</v>
      </c>
      <c r="G858" s="76">
        <v>46064.0</v>
      </c>
      <c r="H858" s="96" t="s">
        <v>29</v>
      </c>
      <c r="I858" s="96"/>
      <c r="J858" s="74">
        <f t="shared" si="6"/>
        <v>13</v>
      </c>
      <c r="L858" s="73"/>
      <c r="M858" s="73"/>
      <c r="N858" s="73"/>
      <c r="O858" s="73"/>
      <c r="P858" s="73"/>
      <c r="Q858" s="73"/>
      <c r="R858" s="73"/>
      <c r="S858" s="73"/>
      <c r="T858" s="73"/>
      <c r="U858" s="73"/>
      <c r="V858" s="73"/>
      <c r="W858" s="73"/>
      <c r="X858" s="73"/>
    </row>
    <row r="859" ht="13.5" customHeight="1">
      <c r="A859" s="74">
        <v>952.0</v>
      </c>
      <c r="B859" s="74" t="s">
        <v>2168</v>
      </c>
      <c r="C859" s="90"/>
      <c r="D859" s="75" t="s">
        <v>2261</v>
      </c>
      <c r="E859" s="76">
        <v>46056.0</v>
      </c>
      <c r="F859" s="78" t="s">
        <v>1420</v>
      </c>
      <c r="G859" s="76">
        <v>46064.0</v>
      </c>
      <c r="H859" s="96" t="s">
        <v>29</v>
      </c>
      <c r="I859" s="96"/>
      <c r="J859" s="74">
        <f t="shared" si="6"/>
        <v>8</v>
      </c>
      <c r="L859" s="73"/>
      <c r="M859" s="73"/>
      <c r="N859" s="73"/>
      <c r="O859" s="73"/>
      <c r="P859" s="73"/>
      <c r="Q859" s="73"/>
      <c r="R859" s="73"/>
      <c r="S859" s="73"/>
      <c r="T859" s="73"/>
      <c r="U859" s="73"/>
      <c r="V859" s="73"/>
      <c r="W859" s="73"/>
      <c r="X859" s="73"/>
    </row>
    <row r="860">
      <c r="A860" s="74">
        <v>953.0</v>
      </c>
      <c r="B860" s="74" t="s">
        <v>2168</v>
      </c>
      <c r="C860" s="90"/>
      <c r="D860" s="75" t="s">
        <v>2262</v>
      </c>
      <c r="E860" s="76">
        <v>46056.0</v>
      </c>
      <c r="F860" s="78" t="s">
        <v>1420</v>
      </c>
      <c r="G860" s="76">
        <v>46064.0</v>
      </c>
      <c r="H860" s="96" t="s">
        <v>29</v>
      </c>
      <c r="I860" s="96"/>
      <c r="J860" s="74">
        <f t="shared" si="6"/>
        <v>8</v>
      </c>
      <c r="L860" s="73"/>
      <c r="M860" s="73"/>
      <c r="N860" s="73"/>
      <c r="O860" s="73"/>
      <c r="P860" s="73"/>
      <c r="Q860" s="73"/>
      <c r="R860" s="73"/>
      <c r="S860" s="73"/>
      <c r="T860" s="73"/>
      <c r="U860" s="73"/>
      <c r="V860" s="73"/>
      <c r="W860" s="73"/>
      <c r="X860" s="73"/>
    </row>
    <row r="861">
      <c r="A861" s="74">
        <v>954.0</v>
      </c>
      <c r="B861" s="74" t="s">
        <v>2168</v>
      </c>
      <c r="C861" s="90"/>
      <c r="D861" s="75" t="s">
        <v>2263</v>
      </c>
      <c r="E861" s="76">
        <v>46056.0</v>
      </c>
      <c r="F861" s="78" t="s">
        <v>1420</v>
      </c>
      <c r="G861" s="76">
        <v>46065.0</v>
      </c>
      <c r="H861" s="96" t="s">
        <v>29</v>
      </c>
      <c r="I861" s="96"/>
      <c r="J861" s="74">
        <f t="shared" si="6"/>
        <v>9</v>
      </c>
      <c r="L861" s="73"/>
      <c r="M861" s="73"/>
      <c r="N861" s="73"/>
      <c r="O861" s="73"/>
      <c r="P861" s="73"/>
      <c r="Q861" s="73"/>
      <c r="R861" s="73"/>
      <c r="S861" s="73"/>
      <c r="T861" s="73"/>
      <c r="U861" s="73"/>
      <c r="V861" s="73"/>
      <c r="W861" s="73"/>
      <c r="X861" s="73"/>
    </row>
    <row r="862">
      <c r="A862" s="74">
        <v>955.0</v>
      </c>
      <c r="B862" s="74" t="s">
        <v>2168</v>
      </c>
      <c r="C862" s="90"/>
      <c r="D862" s="75" t="s">
        <v>2264</v>
      </c>
      <c r="E862" s="76">
        <v>46056.0</v>
      </c>
      <c r="F862" s="78" t="s">
        <v>1420</v>
      </c>
      <c r="G862" s="76">
        <v>46065.0</v>
      </c>
      <c r="H862" s="96" t="s">
        <v>29</v>
      </c>
      <c r="I862" s="96"/>
      <c r="J862" s="74">
        <f t="shared" si="6"/>
        <v>9</v>
      </c>
      <c r="L862" s="73"/>
      <c r="M862" s="73"/>
      <c r="N862" s="73"/>
      <c r="O862" s="73"/>
      <c r="P862" s="73"/>
      <c r="Q862" s="73"/>
      <c r="R862" s="73"/>
      <c r="S862" s="73"/>
      <c r="T862" s="73"/>
      <c r="U862" s="73"/>
      <c r="V862" s="73"/>
      <c r="W862" s="73"/>
      <c r="X862" s="73"/>
    </row>
    <row r="863">
      <c r="A863" s="74">
        <v>956.0</v>
      </c>
      <c r="B863" s="74" t="s">
        <v>2168</v>
      </c>
      <c r="C863" s="90"/>
      <c r="D863" s="75" t="s">
        <v>2265</v>
      </c>
      <c r="E863" s="76">
        <v>46056.0</v>
      </c>
      <c r="F863" s="78" t="s">
        <v>1420</v>
      </c>
      <c r="G863" s="76">
        <v>46065.0</v>
      </c>
      <c r="H863" s="96" t="s">
        <v>29</v>
      </c>
      <c r="I863" s="96"/>
      <c r="J863" s="74">
        <f t="shared" si="6"/>
        <v>9</v>
      </c>
      <c r="L863" s="73"/>
      <c r="M863" s="73"/>
      <c r="N863" s="73"/>
      <c r="O863" s="73"/>
      <c r="P863" s="73"/>
      <c r="Q863" s="73"/>
      <c r="R863" s="73"/>
      <c r="S863" s="73"/>
      <c r="T863" s="73"/>
      <c r="U863" s="73"/>
      <c r="V863" s="73"/>
      <c r="W863" s="73"/>
      <c r="X863" s="73"/>
    </row>
    <row r="864" ht="16.5" customHeight="1">
      <c r="A864" s="74">
        <v>957.0</v>
      </c>
      <c r="B864" s="74" t="s">
        <v>2168</v>
      </c>
      <c r="C864" s="90"/>
      <c r="D864" s="75" t="s">
        <v>2266</v>
      </c>
      <c r="E864" s="76">
        <v>46056.0</v>
      </c>
      <c r="F864" s="78" t="s">
        <v>1420</v>
      </c>
      <c r="G864" s="76">
        <v>46065.0</v>
      </c>
      <c r="H864" s="96" t="s">
        <v>29</v>
      </c>
      <c r="I864" s="96"/>
      <c r="J864" s="74">
        <f t="shared" si="6"/>
        <v>9</v>
      </c>
      <c r="L864" s="73"/>
      <c r="M864" s="73"/>
      <c r="N864" s="73"/>
      <c r="O864" s="73"/>
      <c r="P864" s="73"/>
      <c r="Q864" s="73"/>
      <c r="R864" s="73"/>
      <c r="S864" s="73"/>
      <c r="T864" s="73"/>
      <c r="U864" s="73"/>
      <c r="V864" s="73"/>
      <c r="W864" s="73"/>
      <c r="X864" s="73"/>
    </row>
    <row r="865">
      <c r="A865" s="74">
        <v>958.0</v>
      </c>
      <c r="B865" s="74" t="s">
        <v>2168</v>
      </c>
      <c r="C865" s="90"/>
      <c r="D865" s="75" t="s">
        <v>2267</v>
      </c>
      <c r="E865" s="76">
        <v>46056.0</v>
      </c>
      <c r="F865" s="78" t="s">
        <v>1420</v>
      </c>
      <c r="G865" s="76">
        <v>46065.0</v>
      </c>
      <c r="H865" s="96" t="s">
        <v>29</v>
      </c>
      <c r="I865" s="96"/>
      <c r="J865" s="74">
        <f t="shared" si="6"/>
        <v>9</v>
      </c>
      <c r="L865" s="73"/>
      <c r="M865" s="73"/>
      <c r="N865" s="73"/>
      <c r="O865" s="73"/>
      <c r="P865" s="73"/>
      <c r="Q865" s="73"/>
      <c r="R865" s="73"/>
      <c r="S865" s="73"/>
      <c r="T865" s="73"/>
      <c r="U865" s="73"/>
      <c r="V865" s="73"/>
      <c r="W865" s="73"/>
      <c r="X865" s="73"/>
    </row>
    <row r="866">
      <c r="A866" s="74">
        <v>959.0</v>
      </c>
      <c r="B866" s="74" t="s">
        <v>2168</v>
      </c>
      <c r="C866" s="90"/>
      <c r="D866" s="75" t="s">
        <v>2268</v>
      </c>
      <c r="E866" s="76">
        <v>46056.0</v>
      </c>
      <c r="F866" s="78" t="s">
        <v>1420</v>
      </c>
      <c r="G866" s="76">
        <v>46065.0</v>
      </c>
      <c r="H866" s="96" t="s">
        <v>29</v>
      </c>
      <c r="I866" s="96"/>
      <c r="J866" s="74">
        <f t="shared" si="6"/>
        <v>9</v>
      </c>
      <c r="L866" s="73"/>
      <c r="M866" s="73"/>
      <c r="N866" s="73"/>
      <c r="O866" s="73"/>
      <c r="P866" s="73"/>
      <c r="Q866" s="73"/>
      <c r="R866" s="73"/>
      <c r="S866" s="73"/>
      <c r="T866" s="73"/>
      <c r="U866" s="73"/>
      <c r="V866" s="73"/>
      <c r="W866" s="73"/>
      <c r="X866" s="73"/>
    </row>
    <row r="867">
      <c r="A867" s="74">
        <v>960.0</v>
      </c>
      <c r="B867" s="74" t="s">
        <v>2205</v>
      </c>
      <c r="C867" s="90"/>
      <c r="D867" s="75" t="s">
        <v>2269</v>
      </c>
      <c r="E867" s="76">
        <v>46056.0</v>
      </c>
      <c r="F867" s="78" t="s">
        <v>1420</v>
      </c>
      <c r="G867" s="76">
        <v>46064.0</v>
      </c>
      <c r="H867" s="96" t="s">
        <v>29</v>
      </c>
      <c r="I867" s="96"/>
      <c r="J867" s="74">
        <f t="shared" si="6"/>
        <v>8</v>
      </c>
      <c r="L867" s="73"/>
      <c r="M867" s="73"/>
      <c r="N867" s="73"/>
      <c r="O867" s="73"/>
      <c r="P867" s="73"/>
      <c r="Q867" s="73"/>
      <c r="R867" s="73"/>
      <c r="S867" s="73"/>
      <c r="T867" s="73"/>
      <c r="U867" s="73"/>
      <c r="V867" s="73"/>
      <c r="W867" s="73"/>
      <c r="X867" s="73"/>
    </row>
    <row r="868">
      <c r="A868" s="74">
        <v>961.0</v>
      </c>
      <c r="B868" s="74" t="s">
        <v>2205</v>
      </c>
      <c r="C868" s="90"/>
      <c r="D868" s="75" t="s">
        <v>2270</v>
      </c>
      <c r="E868" s="76">
        <v>46056.0</v>
      </c>
      <c r="F868" s="78" t="s">
        <v>1420</v>
      </c>
      <c r="G868" s="76">
        <v>46064.0</v>
      </c>
      <c r="H868" s="96" t="s">
        <v>29</v>
      </c>
      <c r="I868" s="96"/>
      <c r="J868" s="74">
        <f t="shared" si="6"/>
        <v>8</v>
      </c>
      <c r="L868" s="73"/>
      <c r="M868" s="73"/>
      <c r="N868" s="73"/>
      <c r="O868" s="73"/>
      <c r="P868" s="73"/>
      <c r="Q868" s="73"/>
      <c r="R868" s="73"/>
      <c r="S868" s="73"/>
      <c r="T868" s="73"/>
      <c r="U868" s="73"/>
      <c r="V868" s="73"/>
      <c r="W868" s="73"/>
      <c r="X868" s="73"/>
    </row>
    <row r="869">
      <c r="A869" s="74">
        <v>962.0</v>
      </c>
      <c r="B869" s="74" t="s">
        <v>2205</v>
      </c>
      <c r="C869" s="90"/>
      <c r="D869" s="75" t="s">
        <v>2271</v>
      </c>
      <c r="E869" s="76">
        <v>46056.0</v>
      </c>
      <c r="F869" s="78" t="s">
        <v>1420</v>
      </c>
      <c r="G869" s="76">
        <v>46068.0</v>
      </c>
      <c r="H869" s="96" t="s">
        <v>29</v>
      </c>
      <c r="I869" s="96"/>
      <c r="J869" s="74">
        <f t="shared" si="6"/>
        <v>12</v>
      </c>
      <c r="L869" s="73"/>
      <c r="M869" s="73"/>
      <c r="N869" s="73"/>
      <c r="O869" s="73"/>
      <c r="P869" s="73"/>
      <c r="Q869" s="73"/>
      <c r="R869" s="73"/>
      <c r="S869" s="73"/>
      <c r="T869" s="73"/>
      <c r="U869" s="73"/>
      <c r="V869" s="73"/>
      <c r="W869" s="73"/>
      <c r="X869" s="73"/>
    </row>
    <row r="870">
      <c r="A870" s="74">
        <v>963.0</v>
      </c>
      <c r="B870" s="74" t="s">
        <v>2205</v>
      </c>
      <c r="C870" s="90"/>
      <c r="D870" s="75" t="s">
        <v>2272</v>
      </c>
      <c r="E870" s="76">
        <v>46056.0</v>
      </c>
      <c r="F870" s="78" t="s">
        <v>1420</v>
      </c>
      <c r="G870" s="76">
        <v>46068.0</v>
      </c>
      <c r="H870" s="96" t="s">
        <v>29</v>
      </c>
      <c r="I870" s="96"/>
      <c r="J870" s="74">
        <f t="shared" si="6"/>
        <v>12</v>
      </c>
      <c r="L870" s="73"/>
      <c r="M870" s="73"/>
      <c r="N870" s="73"/>
      <c r="O870" s="73"/>
      <c r="P870" s="73"/>
      <c r="Q870" s="73"/>
      <c r="R870" s="73"/>
      <c r="S870" s="73"/>
      <c r="T870" s="73"/>
      <c r="U870" s="73"/>
      <c r="V870" s="73"/>
      <c r="W870" s="73"/>
      <c r="X870" s="73"/>
    </row>
    <row r="871">
      <c r="A871" s="74">
        <v>964.0</v>
      </c>
      <c r="B871" s="74" t="s">
        <v>2205</v>
      </c>
      <c r="C871" s="90"/>
      <c r="D871" s="75" t="s">
        <v>2273</v>
      </c>
      <c r="E871" s="76">
        <v>46056.0</v>
      </c>
      <c r="F871" s="78" t="s">
        <v>1420</v>
      </c>
      <c r="G871" s="76">
        <v>46068.0</v>
      </c>
      <c r="H871" s="96" t="s">
        <v>29</v>
      </c>
      <c r="I871" s="96"/>
      <c r="J871" s="74">
        <f t="shared" si="6"/>
        <v>12</v>
      </c>
      <c r="L871" s="73"/>
      <c r="M871" s="73"/>
      <c r="N871" s="73"/>
      <c r="O871" s="73"/>
      <c r="P871" s="73"/>
      <c r="Q871" s="73"/>
      <c r="R871" s="73"/>
      <c r="S871" s="73"/>
      <c r="T871" s="73"/>
      <c r="U871" s="73"/>
      <c r="V871" s="73"/>
      <c r="W871" s="73"/>
      <c r="X871" s="73"/>
    </row>
    <row r="872">
      <c r="A872" s="74">
        <v>965.0</v>
      </c>
      <c r="B872" s="74" t="s">
        <v>2205</v>
      </c>
      <c r="C872" s="90"/>
      <c r="D872" s="75" t="s">
        <v>2274</v>
      </c>
      <c r="E872" s="76">
        <v>46056.0</v>
      </c>
      <c r="F872" s="78" t="s">
        <v>1420</v>
      </c>
      <c r="G872" s="76">
        <v>46068.0</v>
      </c>
      <c r="H872" s="96" t="s">
        <v>29</v>
      </c>
      <c r="I872" s="98"/>
      <c r="J872" s="74">
        <f t="shared" si="6"/>
        <v>12</v>
      </c>
      <c r="L872" s="73"/>
      <c r="M872" s="73"/>
      <c r="N872" s="73"/>
      <c r="O872" s="73"/>
      <c r="P872" s="73"/>
      <c r="Q872" s="73"/>
      <c r="R872" s="73"/>
      <c r="S872" s="73"/>
      <c r="T872" s="73"/>
      <c r="U872" s="73"/>
      <c r="V872" s="73"/>
      <c r="W872" s="73"/>
      <c r="X872" s="73"/>
    </row>
    <row r="873">
      <c r="A873" s="74">
        <v>966.0</v>
      </c>
      <c r="B873" s="74" t="s">
        <v>2205</v>
      </c>
      <c r="C873" s="90"/>
      <c r="D873" s="75" t="s">
        <v>2275</v>
      </c>
      <c r="E873" s="76">
        <v>46058.0</v>
      </c>
      <c r="F873" s="78" t="s">
        <v>1420</v>
      </c>
      <c r="G873" s="76">
        <v>46068.0</v>
      </c>
      <c r="H873" s="96" t="s">
        <v>29</v>
      </c>
      <c r="I873" s="96"/>
      <c r="J873" s="74">
        <f t="shared" si="6"/>
        <v>10</v>
      </c>
      <c r="L873" s="73"/>
      <c r="M873" s="73"/>
      <c r="N873" s="73"/>
      <c r="O873" s="73"/>
      <c r="P873" s="73"/>
      <c r="Q873" s="73"/>
      <c r="R873" s="73"/>
      <c r="S873" s="73"/>
      <c r="T873" s="73"/>
      <c r="U873" s="73"/>
      <c r="V873" s="73"/>
      <c r="W873" s="73"/>
      <c r="X873" s="73"/>
    </row>
    <row r="874">
      <c r="A874" s="74">
        <v>967.0</v>
      </c>
      <c r="B874" s="74" t="s">
        <v>2205</v>
      </c>
      <c r="C874" s="90"/>
      <c r="D874" s="75" t="s">
        <v>2276</v>
      </c>
      <c r="E874" s="76">
        <v>46058.0</v>
      </c>
      <c r="F874" s="78" t="s">
        <v>1420</v>
      </c>
      <c r="G874" s="76">
        <v>46068.0</v>
      </c>
      <c r="H874" s="96" t="s">
        <v>29</v>
      </c>
      <c r="I874" s="96"/>
      <c r="J874" s="74">
        <f t="shared" si="6"/>
        <v>10</v>
      </c>
      <c r="L874" s="73"/>
      <c r="M874" s="73"/>
      <c r="N874" s="73"/>
      <c r="O874" s="73"/>
      <c r="P874" s="73"/>
      <c r="Q874" s="73"/>
      <c r="R874" s="73"/>
      <c r="S874" s="73"/>
      <c r="T874" s="73"/>
      <c r="U874" s="73"/>
      <c r="V874" s="73"/>
      <c r="W874" s="73"/>
      <c r="X874" s="73"/>
    </row>
    <row r="875">
      <c r="A875" s="74">
        <v>968.0</v>
      </c>
      <c r="B875" s="74" t="s">
        <v>2205</v>
      </c>
      <c r="C875" s="90"/>
      <c r="D875" s="75" t="s">
        <v>2277</v>
      </c>
      <c r="E875" s="76">
        <v>46058.0</v>
      </c>
      <c r="F875" s="78" t="s">
        <v>1420</v>
      </c>
      <c r="G875" s="76">
        <v>46068.0</v>
      </c>
      <c r="H875" s="96" t="s">
        <v>29</v>
      </c>
      <c r="I875" s="98"/>
      <c r="J875" s="74">
        <f t="shared" si="6"/>
        <v>10</v>
      </c>
      <c r="L875" s="73"/>
      <c r="M875" s="73"/>
      <c r="N875" s="73"/>
      <c r="O875" s="73"/>
      <c r="P875" s="73"/>
      <c r="Q875" s="73"/>
      <c r="R875" s="73"/>
      <c r="S875" s="73"/>
      <c r="T875" s="73"/>
      <c r="U875" s="73"/>
      <c r="V875" s="73"/>
      <c r="W875" s="73"/>
      <c r="X875" s="73"/>
    </row>
    <row r="876">
      <c r="A876" s="74">
        <v>969.0</v>
      </c>
      <c r="B876" s="74" t="s">
        <v>2205</v>
      </c>
      <c r="C876" s="90"/>
      <c r="D876" s="75" t="s">
        <v>2278</v>
      </c>
      <c r="E876" s="76">
        <v>46058.0</v>
      </c>
      <c r="F876" s="78" t="s">
        <v>1420</v>
      </c>
      <c r="G876" s="76">
        <v>46068.0</v>
      </c>
      <c r="H876" s="96" t="s">
        <v>29</v>
      </c>
      <c r="I876" s="96"/>
      <c r="J876" s="74">
        <f t="shared" si="6"/>
        <v>10</v>
      </c>
      <c r="L876" s="73"/>
      <c r="M876" s="73"/>
      <c r="N876" s="73"/>
      <c r="O876" s="73"/>
      <c r="P876" s="73"/>
      <c r="Q876" s="73"/>
      <c r="R876" s="73"/>
      <c r="S876" s="73"/>
      <c r="T876" s="73"/>
      <c r="U876" s="73"/>
      <c r="V876" s="73"/>
      <c r="W876" s="73"/>
      <c r="X876" s="73"/>
    </row>
    <row r="877">
      <c r="A877" s="74">
        <v>970.0</v>
      </c>
      <c r="B877" s="74" t="s">
        <v>2205</v>
      </c>
      <c r="C877" s="90"/>
      <c r="D877" s="75" t="s">
        <v>2279</v>
      </c>
      <c r="E877" s="76">
        <v>46058.0</v>
      </c>
      <c r="F877" s="78" t="s">
        <v>1420</v>
      </c>
      <c r="G877" s="76">
        <v>46068.0</v>
      </c>
      <c r="H877" s="96" t="s">
        <v>29</v>
      </c>
      <c r="I877" s="96"/>
      <c r="J877" s="74">
        <f t="shared" si="6"/>
        <v>10</v>
      </c>
      <c r="L877" s="73"/>
      <c r="M877" s="73"/>
      <c r="N877" s="73"/>
      <c r="O877" s="73"/>
      <c r="P877" s="73"/>
      <c r="Q877" s="73"/>
      <c r="R877" s="73"/>
      <c r="S877" s="73"/>
      <c r="T877" s="73"/>
      <c r="U877" s="73"/>
      <c r="V877" s="73"/>
      <c r="W877" s="73"/>
      <c r="X877" s="73"/>
    </row>
    <row r="878">
      <c r="A878" s="74">
        <v>971.0</v>
      </c>
      <c r="B878" s="74" t="s">
        <v>2205</v>
      </c>
      <c r="C878" s="90"/>
      <c r="D878" s="75" t="s">
        <v>2280</v>
      </c>
      <c r="E878" s="76">
        <v>46058.0</v>
      </c>
      <c r="F878" s="78" t="s">
        <v>1420</v>
      </c>
      <c r="G878" s="76">
        <v>46068.0</v>
      </c>
      <c r="H878" s="96" t="s">
        <v>29</v>
      </c>
      <c r="I878" s="98"/>
      <c r="J878" s="74">
        <f t="shared" si="6"/>
        <v>10</v>
      </c>
      <c r="L878" s="73"/>
      <c r="M878" s="73"/>
      <c r="N878" s="73"/>
      <c r="O878" s="73"/>
      <c r="P878" s="73"/>
      <c r="Q878" s="73"/>
      <c r="R878" s="73"/>
      <c r="S878" s="73"/>
      <c r="T878" s="73"/>
      <c r="U878" s="73"/>
      <c r="V878" s="73"/>
      <c r="W878" s="73"/>
      <c r="X878" s="73"/>
    </row>
    <row r="879">
      <c r="A879" s="74">
        <v>972.0</v>
      </c>
      <c r="B879" s="74" t="s">
        <v>2205</v>
      </c>
      <c r="C879" s="90"/>
      <c r="D879" s="75" t="s">
        <v>2281</v>
      </c>
      <c r="E879" s="76">
        <v>46058.0</v>
      </c>
      <c r="F879" s="78" t="s">
        <v>1420</v>
      </c>
      <c r="G879" s="76">
        <v>46068.0</v>
      </c>
      <c r="H879" s="96" t="s">
        <v>29</v>
      </c>
      <c r="I879" s="96"/>
      <c r="J879" s="74">
        <f t="shared" si="6"/>
        <v>10</v>
      </c>
      <c r="L879" s="73"/>
      <c r="M879" s="73"/>
      <c r="N879" s="73"/>
      <c r="O879" s="73"/>
      <c r="P879" s="73"/>
      <c r="Q879" s="73"/>
      <c r="R879" s="73"/>
      <c r="S879" s="73"/>
      <c r="T879" s="73"/>
      <c r="U879" s="73"/>
      <c r="V879" s="73"/>
      <c r="W879" s="73"/>
      <c r="X879" s="73"/>
    </row>
    <row r="880">
      <c r="A880" s="74">
        <v>973.0</v>
      </c>
      <c r="B880" s="74" t="s">
        <v>2205</v>
      </c>
      <c r="C880" s="90"/>
      <c r="D880" s="75" t="s">
        <v>2282</v>
      </c>
      <c r="E880" s="76">
        <v>46058.0</v>
      </c>
      <c r="F880" s="78" t="s">
        <v>1420</v>
      </c>
      <c r="G880" s="76">
        <v>46068.0</v>
      </c>
      <c r="H880" s="96" t="s">
        <v>29</v>
      </c>
      <c r="I880" s="96"/>
      <c r="J880" s="74">
        <f t="shared" si="6"/>
        <v>10</v>
      </c>
      <c r="L880" s="73"/>
      <c r="M880" s="73"/>
      <c r="N880" s="73"/>
      <c r="O880" s="73"/>
      <c r="P880" s="73"/>
      <c r="Q880" s="73"/>
      <c r="R880" s="73"/>
      <c r="S880" s="73"/>
      <c r="T880" s="73"/>
      <c r="U880" s="73"/>
      <c r="V880" s="73"/>
      <c r="W880" s="73"/>
      <c r="X880" s="73"/>
    </row>
    <row r="881">
      <c r="A881" s="74">
        <v>974.0</v>
      </c>
      <c r="B881" s="74" t="s">
        <v>2205</v>
      </c>
      <c r="C881" s="90"/>
      <c r="D881" s="75" t="s">
        <v>2283</v>
      </c>
      <c r="E881" s="76">
        <v>46058.0</v>
      </c>
      <c r="F881" s="78" t="s">
        <v>1420</v>
      </c>
      <c r="G881" s="76">
        <v>46068.0</v>
      </c>
      <c r="H881" s="96" t="s">
        <v>29</v>
      </c>
      <c r="I881" s="98"/>
      <c r="J881" s="74">
        <f t="shared" si="6"/>
        <v>10</v>
      </c>
      <c r="L881" s="73"/>
      <c r="M881" s="73"/>
      <c r="N881" s="73"/>
      <c r="O881" s="73"/>
      <c r="P881" s="73"/>
      <c r="Q881" s="73"/>
      <c r="R881" s="73"/>
      <c r="S881" s="73"/>
      <c r="T881" s="73"/>
      <c r="U881" s="73"/>
      <c r="V881" s="73"/>
      <c r="W881" s="73"/>
      <c r="X881" s="73"/>
    </row>
    <row r="882">
      <c r="A882" s="74">
        <v>975.0</v>
      </c>
      <c r="B882" s="74" t="s">
        <v>2205</v>
      </c>
      <c r="C882" s="90"/>
      <c r="D882" s="75" t="s">
        <v>2284</v>
      </c>
      <c r="E882" s="76">
        <v>46058.0</v>
      </c>
      <c r="F882" s="78" t="s">
        <v>1420</v>
      </c>
      <c r="G882" s="76">
        <v>46065.0</v>
      </c>
      <c r="H882" s="96" t="s">
        <v>29</v>
      </c>
      <c r="I882" s="96"/>
      <c r="J882" s="74">
        <f t="shared" si="6"/>
        <v>7</v>
      </c>
      <c r="L882" s="73"/>
      <c r="M882" s="73"/>
      <c r="N882" s="73"/>
      <c r="O882" s="73"/>
      <c r="P882" s="73"/>
      <c r="Q882" s="73"/>
      <c r="R882" s="73"/>
      <c r="S882" s="73"/>
      <c r="T882" s="73"/>
      <c r="U882" s="73"/>
      <c r="V882" s="73"/>
      <c r="W882" s="73"/>
      <c r="X882" s="73"/>
    </row>
    <row r="883">
      <c r="A883" s="74">
        <v>976.0</v>
      </c>
      <c r="B883" s="74" t="s">
        <v>2205</v>
      </c>
      <c r="C883" s="90"/>
      <c r="D883" s="75" t="s">
        <v>2285</v>
      </c>
      <c r="E883" s="76">
        <v>46058.0</v>
      </c>
      <c r="F883" s="78" t="s">
        <v>1420</v>
      </c>
      <c r="G883" s="76">
        <v>46065.0</v>
      </c>
      <c r="H883" s="96" t="s">
        <v>29</v>
      </c>
      <c r="I883" s="96"/>
      <c r="J883" s="74">
        <f t="shared" si="6"/>
        <v>7</v>
      </c>
      <c r="L883" s="73"/>
      <c r="M883" s="73"/>
      <c r="N883" s="73"/>
      <c r="O883" s="73"/>
      <c r="P883" s="73"/>
      <c r="Q883" s="73"/>
      <c r="R883" s="73"/>
      <c r="S883" s="73"/>
      <c r="T883" s="73"/>
      <c r="U883" s="73"/>
      <c r="V883" s="73"/>
      <c r="W883" s="73"/>
      <c r="X883" s="73"/>
    </row>
    <row r="884">
      <c r="A884" s="74">
        <v>977.0</v>
      </c>
      <c r="B884" s="74" t="s">
        <v>2205</v>
      </c>
      <c r="C884" s="90"/>
      <c r="D884" s="75" t="s">
        <v>2286</v>
      </c>
      <c r="E884" s="76">
        <v>46058.0</v>
      </c>
      <c r="F884" s="78" t="s">
        <v>1420</v>
      </c>
      <c r="G884" s="76">
        <v>46065.0</v>
      </c>
      <c r="H884" s="96" t="s">
        <v>29</v>
      </c>
      <c r="I884" s="98"/>
      <c r="J884" s="74">
        <f t="shared" si="6"/>
        <v>7</v>
      </c>
      <c r="L884" s="73"/>
      <c r="M884" s="73"/>
      <c r="N884" s="73"/>
      <c r="O884" s="73"/>
      <c r="P884" s="73"/>
      <c r="Q884" s="73"/>
      <c r="R884" s="73"/>
      <c r="S884" s="73"/>
      <c r="T884" s="73"/>
      <c r="U884" s="73"/>
      <c r="V884" s="73"/>
      <c r="W884" s="73"/>
      <c r="X884" s="73"/>
    </row>
    <row r="885">
      <c r="A885" s="74">
        <v>978.0</v>
      </c>
      <c r="B885" s="74" t="s">
        <v>2205</v>
      </c>
      <c r="C885" s="90"/>
      <c r="D885" s="75" t="s">
        <v>2287</v>
      </c>
      <c r="E885" s="76">
        <v>46058.0</v>
      </c>
      <c r="F885" s="78" t="s">
        <v>1420</v>
      </c>
      <c r="G885" s="76">
        <v>46065.0</v>
      </c>
      <c r="H885" s="96" t="s">
        <v>29</v>
      </c>
      <c r="I885" s="96"/>
      <c r="J885" s="74">
        <f t="shared" si="6"/>
        <v>7</v>
      </c>
      <c r="L885" s="73"/>
      <c r="M885" s="73"/>
      <c r="N885" s="73"/>
      <c r="O885" s="73"/>
      <c r="P885" s="73"/>
      <c r="Q885" s="73"/>
      <c r="R885" s="73"/>
      <c r="S885" s="73"/>
      <c r="T885" s="73"/>
      <c r="U885" s="73"/>
      <c r="V885" s="73"/>
      <c r="W885" s="73"/>
      <c r="X885" s="73"/>
    </row>
    <row r="886">
      <c r="A886" s="74">
        <v>979.0</v>
      </c>
      <c r="B886" s="74" t="s">
        <v>2205</v>
      </c>
      <c r="C886" s="90"/>
      <c r="D886" s="75" t="s">
        <v>2288</v>
      </c>
      <c r="E886" s="76">
        <v>46058.0</v>
      </c>
      <c r="F886" s="78" t="s">
        <v>1420</v>
      </c>
      <c r="G886" s="76">
        <v>46065.0</v>
      </c>
      <c r="H886" s="96" t="s">
        <v>29</v>
      </c>
      <c r="I886" s="96"/>
      <c r="J886" s="74">
        <f t="shared" si="6"/>
        <v>7</v>
      </c>
      <c r="L886" s="73"/>
      <c r="M886" s="73"/>
      <c r="N886" s="73"/>
      <c r="O886" s="73"/>
      <c r="P886" s="73"/>
      <c r="Q886" s="73"/>
      <c r="R886" s="73"/>
      <c r="S886" s="73"/>
      <c r="T886" s="73"/>
      <c r="U886" s="73"/>
      <c r="V886" s="73"/>
      <c r="W886" s="73"/>
      <c r="X886" s="73"/>
    </row>
    <row r="887">
      <c r="A887" s="74">
        <v>980.0</v>
      </c>
      <c r="B887" s="74" t="s">
        <v>2205</v>
      </c>
      <c r="C887" s="90"/>
      <c r="D887" s="75" t="s">
        <v>2289</v>
      </c>
      <c r="E887" s="76">
        <v>46061.0</v>
      </c>
      <c r="F887" s="78" t="s">
        <v>1420</v>
      </c>
      <c r="G887" s="76">
        <v>46075.0</v>
      </c>
      <c r="H887" s="98" t="s">
        <v>29</v>
      </c>
      <c r="I887" s="98"/>
      <c r="J887" s="74">
        <f t="shared" si="6"/>
        <v>14</v>
      </c>
      <c r="L887" s="73"/>
      <c r="M887" s="73"/>
      <c r="N887" s="73"/>
      <c r="O887" s="73"/>
      <c r="P887" s="73"/>
      <c r="Q887" s="73"/>
      <c r="R887" s="73"/>
      <c r="S887" s="73"/>
      <c r="T887" s="73"/>
      <c r="U887" s="73"/>
      <c r="V887" s="73"/>
      <c r="W887" s="73"/>
      <c r="X887" s="73"/>
    </row>
    <row r="888">
      <c r="A888" s="74">
        <v>981.0</v>
      </c>
      <c r="B888" s="74" t="s">
        <v>2205</v>
      </c>
      <c r="C888" s="90"/>
      <c r="D888" s="75" t="s">
        <v>2290</v>
      </c>
      <c r="E888" s="76">
        <v>46061.0</v>
      </c>
      <c r="F888" s="78" t="s">
        <v>1420</v>
      </c>
      <c r="G888" s="76">
        <v>46075.0</v>
      </c>
      <c r="H888" s="98" t="s">
        <v>29</v>
      </c>
      <c r="I888" s="96"/>
      <c r="J888" s="74">
        <f t="shared" si="6"/>
        <v>14</v>
      </c>
      <c r="L888" s="73"/>
      <c r="M888" s="73"/>
      <c r="N888" s="73"/>
      <c r="O888" s="73"/>
      <c r="P888" s="73"/>
      <c r="Q888" s="73"/>
      <c r="R888" s="73"/>
      <c r="S888" s="73"/>
      <c r="T888" s="73"/>
      <c r="U888" s="73"/>
      <c r="V888" s="73"/>
      <c r="W888" s="73"/>
      <c r="X888" s="73"/>
    </row>
    <row r="889">
      <c r="A889" s="74">
        <v>982.0</v>
      </c>
      <c r="B889" s="74" t="s">
        <v>2205</v>
      </c>
      <c r="C889" s="90"/>
      <c r="D889" s="75" t="s">
        <v>2291</v>
      </c>
      <c r="E889" s="76">
        <v>46061.0</v>
      </c>
      <c r="F889" s="78" t="s">
        <v>1420</v>
      </c>
      <c r="G889" s="76">
        <v>46075.0</v>
      </c>
      <c r="H889" s="98" t="s">
        <v>29</v>
      </c>
      <c r="I889" s="96"/>
      <c r="J889" s="74">
        <f t="shared" si="6"/>
        <v>14</v>
      </c>
      <c r="L889" s="73"/>
      <c r="M889" s="73"/>
      <c r="N889" s="73"/>
      <c r="O889" s="73"/>
      <c r="P889" s="73"/>
      <c r="Q889" s="73"/>
      <c r="R889" s="73"/>
      <c r="S889" s="73"/>
      <c r="T889" s="73"/>
      <c r="U889" s="73"/>
      <c r="V889" s="73"/>
      <c r="W889" s="73"/>
      <c r="X889" s="73"/>
    </row>
    <row r="890">
      <c r="A890" s="74">
        <v>983.0</v>
      </c>
      <c r="B890" s="74" t="s">
        <v>2205</v>
      </c>
      <c r="C890" s="90"/>
      <c r="D890" s="75" t="s">
        <v>2292</v>
      </c>
      <c r="E890" s="76">
        <v>46061.0</v>
      </c>
      <c r="F890" s="78" t="s">
        <v>1420</v>
      </c>
      <c r="G890" s="76">
        <v>46075.0</v>
      </c>
      <c r="H890" s="98" t="s">
        <v>29</v>
      </c>
      <c r="I890" s="98"/>
      <c r="J890" s="74">
        <f t="shared" si="6"/>
        <v>14</v>
      </c>
      <c r="L890" s="73"/>
      <c r="M890" s="73"/>
      <c r="N890" s="73"/>
      <c r="O890" s="73"/>
      <c r="P890" s="73"/>
      <c r="Q890" s="73"/>
      <c r="R890" s="73"/>
      <c r="S890" s="73"/>
      <c r="T890" s="73"/>
      <c r="U890" s="73"/>
      <c r="V890" s="73"/>
      <c r="W890" s="73"/>
      <c r="X890" s="73"/>
    </row>
    <row r="891">
      <c r="A891" s="74">
        <v>984.0</v>
      </c>
      <c r="B891" s="74" t="s">
        <v>2205</v>
      </c>
      <c r="C891" s="90"/>
      <c r="D891" s="75" t="s">
        <v>2293</v>
      </c>
      <c r="E891" s="76">
        <v>46061.0</v>
      </c>
      <c r="F891" s="78" t="s">
        <v>1420</v>
      </c>
      <c r="G891" s="76">
        <v>46075.0</v>
      </c>
      <c r="H891" s="98" t="s">
        <v>29</v>
      </c>
      <c r="I891" s="96"/>
      <c r="J891" s="74">
        <f t="shared" si="6"/>
        <v>14</v>
      </c>
      <c r="L891" s="73"/>
      <c r="M891" s="73"/>
      <c r="N891" s="73"/>
      <c r="O891" s="73"/>
      <c r="P891" s="73"/>
      <c r="Q891" s="73"/>
      <c r="R891" s="73"/>
      <c r="S891" s="73"/>
      <c r="T891" s="73"/>
      <c r="U891" s="73"/>
      <c r="V891" s="73"/>
      <c r="W891" s="73"/>
      <c r="X891" s="73"/>
    </row>
    <row r="892" hidden="1">
      <c r="A892" s="74">
        <v>985.0</v>
      </c>
      <c r="B892" s="74" t="s">
        <v>2205</v>
      </c>
      <c r="C892" s="90"/>
      <c r="D892" s="75" t="s">
        <v>2294</v>
      </c>
      <c r="E892" s="76">
        <v>46061.0</v>
      </c>
      <c r="F892" s="78" t="s">
        <v>1420</v>
      </c>
      <c r="G892" s="76">
        <v>46075.0</v>
      </c>
      <c r="H892" s="98" t="s">
        <v>29</v>
      </c>
      <c r="I892" s="96"/>
      <c r="J892" s="74">
        <f t="shared" si="6"/>
        <v>14</v>
      </c>
      <c r="L892" s="73"/>
      <c r="M892" s="73"/>
      <c r="N892" s="73"/>
      <c r="O892" s="73"/>
      <c r="P892" s="73"/>
      <c r="Q892" s="73"/>
      <c r="R892" s="73"/>
      <c r="S892" s="73"/>
      <c r="T892" s="73"/>
      <c r="U892" s="73"/>
      <c r="V892" s="73"/>
      <c r="W892" s="73"/>
      <c r="X892" s="73"/>
    </row>
    <row r="893" hidden="1">
      <c r="A893" s="74">
        <v>986.0</v>
      </c>
      <c r="B893" s="74" t="s">
        <v>2205</v>
      </c>
      <c r="C893" s="90"/>
      <c r="D893" s="75" t="s">
        <v>2295</v>
      </c>
      <c r="E893" s="76">
        <v>46061.0</v>
      </c>
      <c r="F893" s="78" t="s">
        <v>1420</v>
      </c>
      <c r="G893" s="76">
        <v>46075.0</v>
      </c>
      <c r="H893" s="98" t="s">
        <v>29</v>
      </c>
      <c r="I893" s="98"/>
      <c r="J893" s="74">
        <f t="shared" si="6"/>
        <v>14</v>
      </c>
      <c r="L893" s="73"/>
      <c r="M893" s="73"/>
      <c r="N893" s="73"/>
      <c r="O893" s="73"/>
      <c r="P893" s="73"/>
      <c r="Q893" s="73"/>
      <c r="R893" s="73"/>
      <c r="S893" s="73"/>
      <c r="T893" s="73"/>
      <c r="U893" s="73"/>
      <c r="V893" s="73"/>
      <c r="W893" s="73"/>
      <c r="X893" s="73"/>
    </row>
    <row r="894" hidden="1">
      <c r="A894" s="74">
        <v>987.0</v>
      </c>
      <c r="B894" s="74" t="s">
        <v>2168</v>
      </c>
      <c r="C894" s="90"/>
      <c r="D894" s="75" t="s">
        <v>2296</v>
      </c>
      <c r="E894" s="76">
        <v>46061.0</v>
      </c>
      <c r="F894" s="78" t="s">
        <v>1420</v>
      </c>
      <c r="G894" s="76">
        <v>46075.0</v>
      </c>
      <c r="H894" s="98" t="s">
        <v>29</v>
      </c>
      <c r="I894" s="96"/>
      <c r="J894" s="74">
        <f t="shared" si="6"/>
        <v>14</v>
      </c>
      <c r="L894" s="73"/>
      <c r="M894" s="73"/>
      <c r="N894" s="73"/>
      <c r="O894" s="73"/>
      <c r="P894" s="73"/>
      <c r="Q894" s="73"/>
      <c r="R894" s="73"/>
      <c r="S894" s="73"/>
      <c r="T894" s="73"/>
      <c r="U894" s="73"/>
      <c r="V894" s="73"/>
      <c r="W894" s="73"/>
      <c r="X894" s="73"/>
    </row>
    <row r="895" hidden="1">
      <c r="A895" s="74">
        <v>988.0</v>
      </c>
      <c r="B895" s="74" t="s">
        <v>2168</v>
      </c>
      <c r="C895" s="90"/>
      <c r="D895" s="75" t="s">
        <v>2297</v>
      </c>
      <c r="E895" s="76">
        <v>46061.0</v>
      </c>
      <c r="F895" s="78" t="s">
        <v>1420</v>
      </c>
      <c r="G895" s="76">
        <v>46075.0</v>
      </c>
      <c r="H895" s="98" t="s">
        <v>29</v>
      </c>
      <c r="I895" s="96"/>
      <c r="J895" s="74">
        <f t="shared" si="6"/>
        <v>14</v>
      </c>
      <c r="L895" s="73"/>
      <c r="M895" s="73"/>
      <c r="N895" s="73"/>
      <c r="O895" s="73"/>
      <c r="P895" s="73"/>
      <c r="Q895" s="73"/>
      <c r="R895" s="73"/>
      <c r="S895" s="73"/>
      <c r="T895" s="73"/>
      <c r="U895" s="73"/>
      <c r="V895" s="73"/>
      <c r="W895" s="73"/>
      <c r="X895" s="73"/>
    </row>
    <row r="896" hidden="1">
      <c r="A896" s="74">
        <v>989.0</v>
      </c>
      <c r="B896" s="74" t="s">
        <v>1624</v>
      </c>
      <c r="C896" s="90"/>
      <c r="D896" s="75" t="s">
        <v>2298</v>
      </c>
      <c r="E896" s="76">
        <v>46062.0</v>
      </c>
      <c r="F896" s="78" t="s">
        <v>1420</v>
      </c>
      <c r="G896" s="76">
        <v>46075.0</v>
      </c>
      <c r="H896" s="98" t="s">
        <v>29</v>
      </c>
      <c r="I896" s="98"/>
      <c r="J896" s="74">
        <f t="shared" si="6"/>
        <v>13</v>
      </c>
      <c r="L896" s="73"/>
      <c r="M896" s="73"/>
      <c r="N896" s="73"/>
      <c r="O896" s="73"/>
      <c r="P896" s="73"/>
      <c r="Q896" s="73"/>
      <c r="R896" s="73"/>
      <c r="S896" s="73"/>
      <c r="T896" s="73"/>
      <c r="U896" s="73"/>
      <c r="V896" s="73"/>
      <c r="W896" s="73"/>
      <c r="X896" s="73"/>
    </row>
    <row r="897" hidden="1">
      <c r="A897" s="74">
        <v>990.0</v>
      </c>
      <c r="B897" s="74" t="s">
        <v>1624</v>
      </c>
      <c r="C897" s="90"/>
      <c r="D897" s="75" t="s">
        <v>2299</v>
      </c>
      <c r="E897" s="76">
        <v>46062.0</v>
      </c>
      <c r="F897" s="78" t="s">
        <v>1420</v>
      </c>
      <c r="G897" s="76">
        <v>46075.0</v>
      </c>
      <c r="H897" s="98" t="s">
        <v>29</v>
      </c>
      <c r="I897" s="96"/>
      <c r="J897" s="74">
        <f t="shared" si="6"/>
        <v>13</v>
      </c>
      <c r="L897" s="73"/>
      <c r="M897" s="73"/>
      <c r="N897" s="73"/>
      <c r="O897" s="73"/>
      <c r="P897" s="73"/>
      <c r="Q897" s="73"/>
      <c r="R897" s="73"/>
      <c r="S897" s="73"/>
      <c r="T897" s="73"/>
      <c r="U897" s="73"/>
      <c r="V897" s="73"/>
      <c r="W897" s="73"/>
      <c r="X897" s="73"/>
    </row>
    <row r="898" hidden="1">
      <c r="A898" s="74">
        <v>991.0</v>
      </c>
      <c r="B898" s="74" t="s">
        <v>1624</v>
      </c>
      <c r="C898" s="90"/>
      <c r="D898" s="75" t="s">
        <v>2300</v>
      </c>
      <c r="E898" s="76">
        <v>46062.0</v>
      </c>
      <c r="F898" s="78" t="s">
        <v>1420</v>
      </c>
      <c r="G898" s="76">
        <v>46075.0</v>
      </c>
      <c r="H898" s="98" t="s">
        <v>29</v>
      </c>
      <c r="I898" s="96"/>
      <c r="J898" s="74">
        <f t="shared" si="6"/>
        <v>13</v>
      </c>
      <c r="L898" s="73"/>
      <c r="M898" s="73"/>
      <c r="N898" s="73"/>
      <c r="O898" s="73"/>
      <c r="P898" s="73"/>
      <c r="Q898" s="73"/>
      <c r="R898" s="73"/>
      <c r="S898" s="73"/>
      <c r="T898" s="73"/>
      <c r="U898" s="73"/>
      <c r="V898" s="73"/>
      <c r="W898" s="73"/>
      <c r="X898" s="73"/>
    </row>
    <row r="899" hidden="1">
      <c r="A899" s="74">
        <v>992.0</v>
      </c>
      <c r="B899" s="74" t="s">
        <v>1624</v>
      </c>
      <c r="C899" s="90"/>
      <c r="D899" s="75" t="s">
        <v>2301</v>
      </c>
      <c r="E899" s="76">
        <v>46062.0</v>
      </c>
      <c r="F899" s="78" t="s">
        <v>1420</v>
      </c>
      <c r="G899" s="76">
        <v>46075.0</v>
      </c>
      <c r="H899" s="98" t="s">
        <v>29</v>
      </c>
      <c r="I899" s="98"/>
      <c r="J899" s="74">
        <f t="shared" si="6"/>
        <v>13</v>
      </c>
      <c r="L899" s="73"/>
      <c r="M899" s="73"/>
      <c r="N899" s="73"/>
      <c r="O899" s="73"/>
      <c r="P899" s="73"/>
      <c r="Q899" s="73"/>
      <c r="R899" s="73"/>
      <c r="S899" s="73"/>
      <c r="T899" s="73"/>
      <c r="U899" s="73"/>
      <c r="V899" s="73"/>
      <c r="W899" s="73"/>
      <c r="X899" s="73"/>
    </row>
    <row r="900" hidden="1">
      <c r="A900" s="74">
        <v>993.0</v>
      </c>
      <c r="B900" s="74" t="s">
        <v>1624</v>
      </c>
      <c r="C900" s="90"/>
      <c r="D900" s="75" t="s">
        <v>2302</v>
      </c>
      <c r="E900" s="76">
        <v>46062.0</v>
      </c>
      <c r="F900" s="78" t="s">
        <v>1420</v>
      </c>
      <c r="G900" s="76">
        <v>46075.0</v>
      </c>
      <c r="H900" s="98" t="s">
        <v>29</v>
      </c>
      <c r="I900" s="96"/>
      <c r="J900" s="74">
        <f t="shared" si="6"/>
        <v>13</v>
      </c>
      <c r="L900" s="73"/>
      <c r="M900" s="73"/>
      <c r="N900" s="73"/>
      <c r="O900" s="73"/>
      <c r="P900" s="73"/>
      <c r="Q900" s="73"/>
      <c r="R900" s="73"/>
      <c r="S900" s="73"/>
      <c r="T900" s="73"/>
      <c r="U900" s="73"/>
      <c r="V900" s="73"/>
      <c r="W900" s="73"/>
      <c r="X900" s="73"/>
    </row>
    <row r="901" hidden="1">
      <c r="A901" s="74">
        <v>994.0</v>
      </c>
      <c r="B901" s="74" t="s">
        <v>1624</v>
      </c>
      <c r="C901" s="90"/>
      <c r="D901" s="75" t="s">
        <v>2303</v>
      </c>
      <c r="E901" s="76">
        <v>46062.0</v>
      </c>
      <c r="F901" s="78" t="s">
        <v>1420</v>
      </c>
      <c r="G901" s="76">
        <v>46075.0</v>
      </c>
      <c r="H901" s="98" t="s">
        <v>29</v>
      </c>
      <c r="I901" s="96"/>
      <c r="J901" s="74">
        <f t="shared" si="6"/>
        <v>13</v>
      </c>
      <c r="L901" s="73"/>
      <c r="M901" s="73"/>
      <c r="N901" s="73"/>
      <c r="O901" s="73"/>
      <c r="P901" s="73"/>
      <c r="Q901" s="73"/>
      <c r="R901" s="73"/>
      <c r="S901" s="73"/>
      <c r="T901" s="73"/>
      <c r="U901" s="73"/>
      <c r="V901" s="73"/>
      <c r="W901" s="73"/>
      <c r="X901" s="73"/>
    </row>
    <row r="902" hidden="1">
      <c r="A902" s="74">
        <v>995.0</v>
      </c>
      <c r="B902" s="74" t="s">
        <v>1624</v>
      </c>
      <c r="C902" s="90"/>
      <c r="D902" s="75" t="s">
        <v>2300</v>
      </c>
      <c r="E902" s="76">
        <v>46062.0</v>
      </c>
      <c r="F902" s="78" t="s">
        <v>1420</v>
      </c>
      <c r="G902" s="76">
        <v>46075.0</v>
      </c>
      <c r="H902" s="98" t="s">
        <v>29</v>
      </c>
      <c r="I902" s="98"/>
      <c r="J902" s="74">
        <f t="shared" si="6"/>
        <v>13</v>
      </c>
      <c r="L902" s="73"/>
      <c r="M902" s="73"/>
      <c r="N902" s="73"/>
      <c r="O902" s="73"/>
      <c r="P902" s="73"/>
      <c r="Q902" s="73"/>
      <c r="R902" s="73"/>
      <c r="S902" s="73"/>
      <c r="T902" s="73"/>
      <c r="U902" s="73"/>
      <c r="V902" s="73"/>
      <c r="W902" s="73"/>
      <c r="X902" s="73"/>
    </row>
    <row r="903" hidden="1">
      <c r="A903" s="74">
        <v>996.0</v>
      </c>
      <c r="B903" s="74" t="s">
        <v>1624</v>
      </c>
      <c r="C903" s="90"/>
      <c r="D903" s="75" t="s">
        <v>2304</v>
      </c>
      <c r="E903" s="76">
        <v>46062.0</v>
      </c>
      <c r="F903" s="78" t="s">
        <v>1420</v>
      </c>
      <c r="G903" s="76">
        <v>46075.0</v>
      </c>
      <c r="H903" s="98" t="s">
        <v>29</v>
      </c>
      <c r="I903" s="96"/>
      <c r="J903" s="74">
        <f t="shared" si="6"/>
        <v>13</v>
      </c>
      <c r="L903" s="73"/>
      <c r="M903" s="73"/>
      <c r="N903" s="73"/>
      <c r="O903" s="73"/>
      <c r="P903" s="73"/>
      <c r="Q903" s="73"/>
      <c r="R903" s="73"/>
      <c r="S903" s="73"/>
      <c r="T903" s="73"/>
      <c r="U903" s="73"/>
      <c r="V903" s="73"/>
      <c r="W903" s="73"/>
      <c r="X903" s="73"/>
    </row>
    <row r="904" hidden="1">
      <c r="A904" s="74">
        <v>997.0</v>
      </c>
      <c r="B904" s="74" t="s">
        <v>2168</v>
      </c>
      <c r="C904" s="90"/>
      <c r="D904" s="75" t="s">
        <v>2305</v>
      </c>
      <c r="E904" s="76">
        <v>46062.0</v>
      </c>
      <c r="F904" s="78" t="s">
        <v>1420</v>
      </c>
      <c r="G904" s="76">
        <v>46075.0</v>
      </c>
      <c r="H904" s="98" t="s">
        <v>29</v>
      </c>
      <c r="I904" s="96"/>
      <c r="J904" s="74">
        <f t="shared" si="6"/>
        <v>13</v>
      </c>
      <c r="L904" s="73"/>
      <c r="M904" s="73"/>
      <c r="N904" s="73"/>
      <c r="O904" s="73"/>
      <c r="P904" s="73"/>
      <c r="Q904" s="73"/>
      <c r="R904" s="73"/>
      <c r="S904" s="73"/>
      <c r="T904" s="73"/>
      <c r="U904" s="73"/>
      <c r="V904" s="73"/>
      <c r="W904" s="73"/>
      <c r="X904" s="73"/>
    </row>
    <row r="905" hidden="1">
      <c r="A905" s="74">
        <v>998.0</v>
      </c>
      <c r="B905" s="74" t="s">
        <v>2168</v>
      </c>
      <c r="C905" s="90"/>
      <c r="D905" s="75" t="s">
        <v>2306</v>
      </c>
      <c r="E905" s="76">
        <v>46062.0</v>
      </c>
      <c r="F905" s="78" t="s">
        <v>1420</v>
      </c>
      <c r="G905" s="76">
        <v>46075.0</v>
      </c>
      <c r="H905" s="98" t="s">
        <v>29</v>
      </c>
      <c r="I905" s="98"/>
      <c r="J905" s="74">
        <f t="shared" si="6"/>
        <v>13</v>
      </c>
      <c r="L905" s="73"/>
      <c r="M905" s="73"/>
      <c r="N905" s="73"/>
      <c r="O905" s="73"/>
      <c r="P905" s="73"/>
      <c r="Q905" s="73"/>
      <c r="R905" s="73"/>
      <c r="S905" s="73"/>
      <c r="T905" s="73"/>
      <c r="U905" s="73"/>
      <c r="V905" s="73"/>
      <c r="W905" s="73"/>
      <c r="X905" s="73"/>
    </row>
    <row r="906" hidden="1">
      <c r="A906" s="74">
        <v>999.0</v>
      </c>
      <c r="B906" s="74" t="s">
        <v>2168</v>
      </c>
      <c r="C906" s="90"/>
      <c r="D906" s="75" t="s">
        <v>2307</v>
      </c>
      <c r="E906" s="76">
        <v>46063.0</v>
      </c>
      <c r="F906" s="78" t="s">
        <v>1420</v>
      </c>
      <c r="G906" s="76">
        <v>46075.0</v>
      </c>
      <c r="H906" s="98" t="s">
        <v>29</v>
      </c>
      <c r="I906" s="96"/>
      <c r="J906" s="74">
        <f t="shared" si="6"/>
        <v>12</v>
      </c>
      <c r="L906" s="73"/>
      <c r="M906" s="73"/>
      <c r="N906" s="73"/>
      <c r="O906" s="73"/>
      <c r="P906" s="73"/>
      <c r="Q906" s="73"/>
      <c r="R906" s="73"/>
      <c r="S906" s="73"/>
      <c r="T906" s="73"/>
      <c r="U906" s="73"/>
      <c r="V906" s="73"/>
      <c r="W906" s="73"/>
      <c r="X906" s="73"/>
    </row>
    <row r="907" ht="16.5" hidden="1" customHeight="1">
      <c r="A907" s="74">
        <v>1000.0</v>
      </c>
      <c r="B907" s="74" t="s">
        <v>2168</v>
      </c>
      <c r="C907" s="90"/>
      <c r="D907" s="75" t="s">
        <v>2308</v>
      </c>
      <c r="E907" s="76">
        <v>46063.0</v>
      </c>
      <c r="F907" s="78" t="s">
        <v>1420</v>
      </c>
      <c r="G907" s="76">
        <v>46075.0</v>
      </c>
      <c r="H907" s="98" t="s">
        <v>29</v>
      </c>
      <c r="I907" s="96"/>
      <c r="J907" s="74">
        <f t="shared" si="6"/>
        <v>12</v>
      </c>
      <c r="L907" s="73"/>
      <c r="M907" s="73"/>
      <c r="N907" s="73"/>
      <c r="O907" s="73"/>
      <c r="P907" s="73"/>
      <c r="Q907" s="73"/>
      <c r="R907" s="73"/>
      <c r="S907" s="73"/>
      <c r="T907" s="73"/>
      <c r="U907" s="73"/>
      <c r="V907" s="73"/>
      <c r="W907" s="73"/>
      <c r="X907" s="73"/>
    </row>
    <row r="908" ht="15.0" hidden="1" customHeight="1">
      <c r="A908" s="74">
        <v>1001.0</v>
      </c>
      <c r="B908" s="74" t="s">
        <v>2168</v>
      </c>
      <c r="C908" s="90"/>
      <c r="D908" s="75" t="s">
        <v>2309</v>
      </c>
      <c r="E908" s="76">
        <v>46063.0</v>
      </c>
      <c r="F908" s="78" t="s">
        <v>1420</v>
      </c>
      <c r="G908" s="76">
        <v>46075.0</v>
      </c>
      <c r="H908" s="98" t="s">
        <v>29</v>
      </c>
      <c r="I908" s="98"/>
      <c r="J908" s="74">
        <f t="shared" si="6"/>
        <v>12</v>
      </c>
      <c r="L908" s="73"/>
      <c r="M908" s="73"/>
      <c r="N908" s="73"/>
      <c r="O908" s="73"/>
      <c r="P908" s="73"/>
      <c r="Q908" s="73"/>
      <c r="R908" s="73"/>
      <c r="S908" s="73"/>
      <c r="T908" s="73"/>
      <c r="U908" s="73"/>
      <c r="V908" s="73"/>
      <c r="W908" s="73"/>
      <c r="X908" s="73"/>
    </row>
    <row r="909" hidden="1">
      <c r="A909" s="74">
        <v>1002.0</v>
      </c>
      <c r="B909" s="74" t="s">
        <v>2100</v>
      </c>
      <c r="C909" s="90"/>
      <c r="D909" s="75" t="s">
        <v>2310</v>
      </c>
      <c r="E909" s="76">
        <v>46063.0</v>
      </c>
      <c r="F909" s="78" t="s">
        <v>1420</v>
      </c>
      <c r="G909" s="76">
        <v>46075.0</v>
      </c>
      <c r="H909" s="98" t="s">
        <v>29</v>
      </c>
      <c r="I909" s="96"/>
      <c r="J909" s="74">
        <f t="shared" si="6"/>
        <v>12</v>
      </c>
      <c r="L909" s="73"/>
      <c r="M909" s="73"/>
      <c r="N909" s="73"/>
      <c r="O909" s="73"/>
      <c r="P909" s="73"/>
      <c r="Q909" s="73"/>
      <c r="R909" s="73"/>
      <c r="S909" s="73"/>
      <c r="T909" s="73"/>
      <c r="U909" s="73"/>
      <c r="V909" s="73"/>
      <c r="W909" s="73"/>
      <c r="X909" s="73"/>
    </row>
    <row r="910" hidden="1">
      <c r="A910" s="74">
        <v>1003.0</v>
      </c>
      <c r="B910" s="74" t="s">
        <v>1679</v>
      </c>
      <c r="C910" s="90"/>
      <c r="D910" s="75" t="s">
        <v>2311</v>
      </c>
      <c r="E910" s="76">
        <v>46063.0</v>
      </c>
      <c r="F910" s="78" t="s">
        <v>1420</v>
      </c>
      <c r="G910" s="76">
        <v>46075.0</v>
      </c>
      <c r="H910" s="96" t="s">
        <v>29</v>
      </c>
      <c r="I910" s="96"/>
      <c r="J910" s="74">
        <f t="shared" si="6"/>
        <v>12</v>
      </c>
      <c r="L910" s="73"/>
      <c r="M910" s="73"/>
      <c r="N910" s="73"/>
      <c r="O910" s="73"/>
      <c r="P910" s="73"/>
      <c r="Q910" s="73"/>
      <c r="R910" s="73"/>
      <c r="S910" s="73"/>
      <c r="T910" s="73"/>
      <c r="U910" s="73"/>
      <c r="V910" s="73"/>
      <c r="W910" s="73"/>
      <c r="X910" s="73"/>
    </row>
    <row r="911" hidden="1">
      <c r="A911" s="74">
        <v>1004.0</v>
      </c>
      <c r="B911" s="74" t="s">
        <v>2205</v>
      </c>
      <c r="C911" s="90"/>
      <c r="D911" s="75" t="s">
        <v>2312</v>
      </c>
      <c r="E911" s="76">
        <v>46054.0</v>
      </c>
      <c r="F911" s="78" t="s">
        <v>1420</v>
      </c>
      <c r="G911" s="76">
        <v>46063.0</v>
      </c>
      <c r="H911" s="98" t="s">
        <v>29</v>
      </c>
      <c r="I911" s="98"/>
      <c r="J911" s="74">
        <f t="shared" si="6"/>
        <v>9</v>
      </c>
      <c r="L911" s="73"/>
      <c r="M911" s="73"/>
      <c r="N911" s="73"/>
      <c r="O911" s="73"/>
      <c r="P911" s="73"/>
      <c r="Q911" s="73"/>
      <c r="R911" s="73"/>
      <c r="S911" s="73"/>
      <c r="T911" s="73"/>
      <c r="U911" s="73"/>
      <c r="V911" s="73"/>
      <c r="W911" s="73"/>
      <c r="X911" s="73"/>
    </row>
    <row r="912" hidden="1">
      <c r="A912" s="74">
        <v>1005.0</v>
      </c>
      <c r="B912" s="74" t="s">
        <v>2205</v>
      </c>
      <c r="C912" s="90"/>
      <c r="D912" s="75" t="s">
        <v>2313</v>
      </c>
      <c r="E912" s="76">
        <v>46054.0</v>
      </c>
      <c r="F912" s="78" t="s">
        <v>1420</v>
      </c>
      <c r="G912" s="76">
        <v>46063.0</v>
      </c>
      <c r="H912" s="98" t="s">
        <v>29</v>
      </c>
      <c r="I912" s="96"/>
      <c r="J912" s="74">
        <f t="shared" si="6"/>
        <v>9</v>
      </c>
      <c r="L912" s="73"/>
      <c r="M912" s="73"/>
      <c r="N912" s="73"/>
      <c r="O912" s="73"/>
      <c r="P912" s="73"/>
      <c r="Q912" s="73"/>
      <c r="R912" s="73"/>
      <c r="S912" s="73"/>
      <c r="T912" s="73"/>
      <c r="U912" s="73"/>
      <c r="V912" s="73"/>
      <c r="W912" s="73"/>
      <c r="X912" s="73"/>
    </row>
    <row r="913" hidden="1">
      <c r="A913" s="74">
        <v>1006.0</v>
      </c>
      <c r="B913" s="74" t="s">
        <v>2205</v>
      </c>
      <c r="C913" s="90"/>
      <c r="D913" s="75" t="s">
        <v>2314</v>
      </c>
      <c r="E913" s="76">
        <v>46054.0</v>
      </c>
      <c r="F913" s="78" t="s">
        <v>1420</v>
      </c>
      <c r="G913" s="76">
        <v>46063.0</v>
      </c>
      <c r="H913" s="98" t="s">
        <v>29</v>
      </c>
      <c r="I913" s="96"/>
      <c r="J913" s="74">
        <f t="shared" si="6"/>
        <v>9</v>
      </c>
      <c r="L913" s="73"/>
      <c r="M913" s="73"/>
      <c r="N913" s="73"/>
      <c r="O913" s="73"/>
      <c r="P913" s="73"/>
      <c r="Q913" s="73"/>
      <c r="R913" s="73"/>
      <c r="S913" s="73"/>
      <c r="T913" s="73"/>
      <c r="U913" s="73"/>
      <c r="V913" s="73"/>
      <c r="W913" s="73"/>
      <c r="X913" s="73"/>
    </row>
    <row r="914" hidden="1">
      <c r="A914" s="74">
        <v>1007.0</v>
      </c>
      <c r="B914" s="74" t="s">
        <v>2205</v>
      </c>
      <c r="C914" s="90"/>
      <c r="D914" s="75" t="s">
        <v>2315</v>
      </c>
      <c r="E914" s="76">
        <v>46054.0</v>
      </c>
      <c r="F914" s="78" t="s">
        <v>1420</v>
      </c>
      <c r="G914" s="76">
        <v>46063.0</v>
      </c>
      <c r="H914" s="98" t="s">
        <v>29</v>
      </c>
      <c r="I914" s="98"/>
      <c r="J914" s="74">
        <f t="shared" si="6"/>
        <v>9</v>
      </c>
      <c r="L914" s="73"/>
      <c r="M914" s="73"/>
      <c r="N914" s="73"/>
      <c r="O914" s="73"/>
      <c r="P914" s="73"/>
      <c r="Q914" s="73"/>
      <c r="R914" s="73"/>
      <c r="S914" s="73"/>
      <c r="T914" s="73"/>
      <c r="U914" s="73"/>
      <c r="V914" s="73"/>
      <c r="W914" s="73"/>
      <c r="X914" s="73"/>
    </row>
    <row r="915" hidden="1">
      <c r="A915" s="74">
        <v>1008.0</v>
      </c>
      <c r="B915" s="74" t="s">
        <v>2205</v>
      </c>
      <c r="C915" s="90"/>
      <c r="D915" s="75" t="s">
        <v>2316</v>
      </c>
      <c r="E915" s="76">
        <v>46068.0</v>
      </c>
      <c r="F915" s="78" t="s">
        <v>1420</v>
      </c>
      <c r="G915" s="76">
        <v>46082.0</v>
      </c>
      <c r="H915" s="98" t="s">
        <v>29</v>
      </c>
      <c r="I915" s="96"/>
      <c r="J915" s="74">
        <f t="shared" si="6"/>
        <v>14</v>
      </c>
      <c r="L915" s="73"/>
      <c r="M915" s="73"/>
      <c r="N915" s="73"/>
      <c r="O915" s="73"/>
      <c r="P915" s="73"/>
      <c r="Q915" s="73"/>
      <c r="R915" s="73"/>
      <c r="S915" s="73"/>
      <c r="T915" s="73"/>
      <c r="U915" s="73"/>
      <c r="V915" s="73"/>
      <c r="W915" s="73"/>
      <c r="X915" s="73"/>
    </row>
    <row r="916" hidden="1">
      <c r="A916" s="74">
        <v>1009.0</v>
      </c>
      <c r="B916" s="74" t="s">
        <v>2205</v>
      </c>
      <c r="C916" s="74"/>
      <c r="D916" s="75" t="s">
        <v>2317</v>
      </c>
      <c r="E916" s="76">
        <v>46068.0</v>
      </c>
      <c r="F916" s="78" t="s">
        <v>1420</v>
      </c>
      <c r="G916" s="76">
        <v>46082.0</v>
      </c>
      <c r="H916" s="98" t="s">
        <v>29</v>
      </c>
      <c r="I916" s="96"/>
      <c r="J916" s="74">
        <f t="shared" si="6"/>
        <v>14</v>
      </c>
      <c r="L916" s="73"/>
      <c r="M916" s="73"/>
      <c r="N916" s="73"/>
      <c r="O916" s="73"/>
      <c r="P916" s="73"/>
      <c r="Q916" s="73"/>
      <c r="R916" s="73"/>
      <c r="S916" s="73"/>
      <c r="T916" s="73"/>
      <c r="U916" s="73"/>
      <c r="V916" s="73"/>
      <c r="W916" s="73"/>
      <c r="X916" s="73"/>
    </row>
    <row r="917" hidden="1">
      <c r="A917" s="74">
        <v>1010.0</v>
      </c>
      <c r="B917" s="74" t="s">
        <v>2205</v>
      </c>
      <c r="C917" s="74"/>
      <c r="D917" s="75" t="s">
        <v>2318</v>
      </c>
      <c r="E917" s="76">
        <v>46068.0</v>
      </c>
      <c r="F917" s="78" t="s">
        <v>1420</v>
      </c>
      <c r="G917" s="76">
        <v>46082.0</v>
      </c>
      <c r="H917" s="98" t="s">
        <v>29</v>
      </c>
      <c r="I917" s="98"/>
      <c r="J917" s="74">
        <f t="shared" si="6"/>
        <v>14</v>
      </c>
      <c r="L917" s="73"/>
      <c r="M917" s="73"/>
      <c r="N917" s="73"/>
      <c r="O917" s="73"/>
      <c r="P917" s="73"/>
      <c r="Q917" s="73"/>
      <c r="R917" s="73"/>
      <c r="S917" s="73"/>
      <c r="T917" s="73"/>
      <c r="U917" s="73"/>
      <c r="V917" s="73"/>
      <c r="W917" s="73"/>
      <c r="X917" s="73"/>
    </row>
    <row r="918" hidden="1">
      <c r="A918" s="74">
        <v>1011.0</v>
      </c>
      <c r="B918" s="74" t="s">
        <v>2205</v>
      </c>
      <c r="C918" s="74"/>
      <c r="D918" s="75" t="s">
        <v>2319</v>
      </c>
      <c r="E918" s="76">
        <v>46068.0</v>
      </c>
      <c r="F918" s="78" t="s">
        <v>1420</v>
      </c>
      <c r="G918" s="76">
        <v>46082.0</v>
      </c>
      <c r="H918" s="98" t="s">
        <v>29</v>
      </c>
      <c r="I918" s="96"/>
      <c r="J918" s="74">
        <f t="shared" si="6"/>
        <v>14</v>
      </c>
      <c r="L918" s="73"/>
      <c r="M918" s="73"/>
      <c r="N918" s="73"/>
      <c r="O918" s="73"/>
      <c r="P918" s="73"/>
      <c r="Q918" s="73"/>
      <c r="R918" s="73"/>
      <c r="S918" s="73"/>
      <c r="T918" s="73"/>
      <c r="U918" s="73"/>
      <c r="V918" s="73"/>
      <c r="W918" s="73"/>
      <c r="X918" s="73"/>
    </row>
    <row r="919" hidden="1">
      <c r="A919" s="74">
        <v>1012.0</v>
      </c>
      <c r="B919" s="74" t="s">
        <v>2205</v>
      </c>
      <c r="C919" s="74"/>
      <c r="D919" s="75" t="s">
        <v>2320</v>
      </c>
      <c r="E919" s="76">
        <v>46068.0</v>
      </c>
      <c r="F919" s="78" t="s">
        <v>1420</v>
      </c>
      <c r="G919" s="76">
        <v>46082.0</v>
      </c>
      <c r="H919" s="98" t="s">
        <v>29</v>
      </c>
      <c r="I919" s="96"/>
      <c r="J919" s="74">
        <f t="shared" si="6"/>
        <v>14</v>
      </c>
      <c r="L919" s="73"/>
      <c r="M919" s="73"/>
      <c r="N919" s="73"/>
      <c r="O919" s="73"/>
      <c r="P919" s="73"/>
      <c r="Q919" s="73"/>
      <c r="R919" s="73"/>
      <c r="S919" s="73"/>
      <c r="T919" s="73"/>
      <c r="U919" s="73"/>
      <c r="V919" s="73"/>
      <c r="W919" s="73"/>
      <c r="X919" s="73"/>
    </row>
    <row r="920" hidden="1">
      <c r="A920" s="74">
        <v>1013.0</v>
      </c>
      <c r="B920" s="74" t="s">
        <v>2205</v>
      </c>
      <c r="C920" s="74"/>
      <c r="D920" s="75" t="s">
        <v>2321</v>
      </c>
      <c r="E920" s="76">
        <v>46068.0</v>
      </c>
      <c r="F920" s="78" t="s">
        <v>1420</v>
      </c>
      <c r="G920" s="76">
        <v>46082.0</v>
      </c>
      <c r="H920" s="98" t="s">
        <v>29</v>
      </c>
      <c r="I920" s="98"/>
      <c r="J920" s="74">
        <f t="shared" si="6"/>
        <v>14</v>
      </c>
      <c r="L920" s="73"/>
      <c r="M920" s="73"/>
      <c r="N920" s="73"/>
      <c r="O920" s="73"/>
      <c r="P920" s="73"/>
      <c r="Q920" s="73"/>
      <c r="R920" s="73"/>
      <c r="S920" s="73"/>
      <c r="T920" s="73"/>
      <c r="U920" s="73"/>
      <c r="V920" s="73"/>
      <c r="W920" s="73"/>
      <c r="X920" s="73"/>
    </row>
    <row r="921" hidden="1">
      <c r="A921" s="74">
        <v>1014.0</v>
      </c>
      <c r="B921" s="74" t="s">
        <v>2205</v>
      </c>
      <c r="C921" s="74"/>
      <c r="D921" s="75" t="s">
        <v>2322</v>
      </c>
      <c r="E921" s="76">
        <v>46068.0</v>
      </c>
      <c r="F921" s="78" t="s">
        <v>1420</v>
      </c>
      <c r="G921" s="76">
        <v>46082.0</v>
      </c>
      <c r="H921" s="98" t="s">
        <v>29</v>
      </c>
      <c r="I921" s="96"/>
      <c r="J921" s="74">
        <f t="shared" si="6"/>
        <v>14</v>
      </c>
      <c r="L921" s="73"/>
      <c r="M921" s="73"/>
      <c r="N921" s="73"/>
      <c r="O921" s="73"/>
      <c r="P921" s="73"/>
      <c r="Q921" s="73"/>
      <c r="R921" s="73"/>
      <c r="S921" s="73"/>
      <c r="T921" s="73"/>
      <c r="U921" s="73"/>
      <c r="V921" s="73"/>
      <c r="W921" s="73"/>
      <c r="X921" s="73"/>
    </row>
    <row r="922" ht="14.25" customHeight="1">
      <c r="A922" s="74">
        <v>1015.0</v>
      </c>
      <c r="B922" s="74" t="s">
        <v>2100</v>
      </c>
      <c r="C922" s="74"/>
      <c r="D922" s="75" t="s">
        <v>2323</v>
      </c>
      <c r="E922" s="76">
        <v>46068.0</v>
      </c>
      <c r="F922" s="78" t="s">
        <v>1420</v>
      </c>
      <c r="G922" s="76">
        <v>46082.0</v>
      </c>
      <c r="H922" s="98" t="s">
        <v>29</v>
      </c>
      <c r="I922" s="96"/>
      <c r="J922" s="74">
        <f t="shared" si="6"/>
        <v>14</v>
      </c>
      <c r="L922" s="73"/>
      <c r="M922" s="73"/>
      <c r="N922" s="73"/>
      <c r="O922" s="73"/>
      <c r="P922" s="73"/>
      <c r="Q922" s="73"/>
      <c r="R922" s="73"/>
      <c r="S922" s="73"/>
      <c r="T922" s="73"/>
      <c r="U922" s="73"/>
      <c r="V922" s="73"/>
      <c r="W922" s="73"/>
      <c r="X922" s="73"/>
    </row>
    <row r="923" ht="15.0" customHeight="1">
      <c r="A923" s="74">
        <v>1016.0</v>
      </c>
      <c r="B923" s="74" t="s">
        <v>2100</v>
      </c>
      <c r="C923" s="74"/>
      <c r="D923" s="75" t="s">
        <v>2324</v>
      </c>
      <c r="E923" s="76">
        <v>46068.0</v>
      </c>
      <c r="F923" s="78" t="s">
        <v>1420</v>
      </c>
      <c r="G923" s="76">
        <v>46082.0</v>
      </c>
      <c r="H923" s="98" t="s">
        <v>29</v>
      </c>
      <c r="I923" s="98"/>
      <c r="J923" s="74">
        <f t="shared" si="6"/>
        <v>14</v>
      </c>
      <c r="L923" s="73"/>
      <c r="M923" s="73"/>
      <c r="N923" s="73"/>
      <c r="O923" s="73"/>
      <c r="P923" s="73"/>
      <c r="Q923" s="73"/>
      <c r="R923" s="73"/>
      <c r="S923" s="73"/>
      <c r="T923" s="73"/>
      <c r="U923" s="73"/>
      <c r="V923" s="73"/>
      <c r="W923" s="73"/>
      <c r="X923" s="73"/>
    </row>
    <row r="924">
      <c r="A924" s="74">
        <v>1017.0</v>
      </c>
      <c r="B924" s="74" t="s">
        <v>2100</v>
      </c>
      <c r="C924" s="74"/>
      <c r="D924" s="75" t="s">
        <v>2325</v>
      </c>
      <c r="E924" s="76">
        <v>46068.0</v>
      </c>
      <c r="F924" s="78" t="s">
        <v>1420</v>
      </c>
      <c r="G924" s="76">
        <v>46082.0</v>
      </c>
      <c r="H924" s="98" t="s">
        <v>29</v>
      </c>
      <c r="I924" s="96"/>
      <c r="J924" s="74">
        <f t="shared" si="6"/>
        <v>14</v>
      </c>
      <c r="L924" s="73"/>
      <c r="M924" s="73"/>
      <c r="N924" s="73"/>
      <c r="O924" s="73"/>
      <c r="P924" s="73"/>
      <c r="Q924" s="73"/>
      <c r="R924" s="73"/>
      <c r="S924" s="73"/>
      <c r="T924" s="73"/>
      <c r="U924" s="73"/>
      <c r="V924" s="73"/>
      <c r="W924" s="73"/>
      <c r="X924" s="73"/>
    </row>
    <row r="925" ht="15.0" customHeight="1">
      <c r="A925" s="74">
        <v>1018.0</v>
      </c>
      <c r="B925" s="74" t="s">
        <v>89</v>
      </c>
      <c r="C925" s="74"/>
      <c r="D925" s="75" t="s">
        <v>2326</v>
      </c>
      <c r="E925" s="76">
        <v>46069.0</v>
      </c>
      <c r="F925" s="78" t="s">
        <v>1420</v>
      </c>
      <c r="G925" s="76">
        <v>46084.0</v>
      </c>
      <c r="H925" s="98" t="s">
        <v>29</v>
      </c>
      <c r="I925" s="96"/>
      <c r="J925" s="74">
        <f t="shared" si="6"/>
        <v>15</v>
      </c>
      <c r="L925" s="73"/>
      <c r="M925" s="73"/>
      <c r="N925" s="73"/>
      <c r="O925" s="73"/>
      <c r="P925" s="73"/>
      <c r="Q925" s="73"/>
      <c r="R925" s="73"/>
      <c r="S925" s="73"/>
      <c r="T925" s="73"/>
      <c r="U925" s="73"/>
      <c r="V925" s="73"/>
      <c r="W925" s="73"/>
      <c r="X925" s="73"/>
    </row>
    <row r="926">
      <c r="A926" s="74">
        <v>1019.0</v>
      </c>
      <c r="B926" s="74" t="s">
        <v>89</v>
      </c>
      <c r="C926" s="74"/>
      <c r="D926" s="75" t="s">
        <v>2327</v>
      </c>
      <c r="E926" s="76">
        <v>46069.0</v>
      </c>
      <c r="F926" s="78" t="s">
        <v>1420</v>
      </c>
      <c r="G926" s="76">
        <v>46084.0</v>
      </c>
      <c r="H926" s="98" t="s">
        <v>29</v>
      </c>
      <c r="I926" s="98"/>
      <c r="J926" s="74">
        <f t="shared" si="6"/>
        <v>15</v>
      </c>
      <c r="L926" s="73"/>
      <c r="M926" s="73"/>
      <c r="N926" s="73"/>
      <c r="O926" s="73"/>
      <c r="P926" s="73"/>
      <c r="Q926" s="73"/>
      <c r="R926" s="73"/>
      <c r="S926" s="73"/>
      <c r="T926" s="73"/>
      <c r="U926" s="73"/>
      <c r="V926" s="73"/>
      <c r="W926" s="73"/>
      <c r="X926" s="73"/>
    </row>
    <row r="927">
      <c r="A927" s="74">
        <v>1020.0</v>
      </c>
      <c r="B927" s="74" t="s">
        <v>89</v>
      </c>
      <c r="C927" s="74"/>
      <c r="D927" s="75" t="s">
        <v>2328</v>
      </c>
      <c r="E927" s="76">
        <v>46069.0</v>
      </c>
      <c r="F927" s="78" t="s">
        <v>1420</v>
      </c>
      <c r="G927" s="76">
        <v>46084.0</v>
      </c>
      <c r="H927" s="98" t="s">
        <v>29</v>
      </c>
      <c r="I927" s="96"/>
      <c r="J927" s="74">
        <f t="shared" si="6"/>
        <v>15</v>
      </c>
      <c r="L927" s="73"/>
      <c r="M927" s="73"/>
      <c r="N927" s="73"/>
      <c r="O927" s="73"/>
      <c r="P927" s="73"/>
      <c r="Q927" s="73"/>
      <c r="R927" s="73"/>
      <c r="S927" s="73"/>
      <c r="T927" s="73"/>
      <c r="U927" s="73"/>
      <c r="V927" s="73"/>
      <c r="W927" s="73"/>
      <c r="X927" s="73"/>
    </row>
    <row r="928">
      <c r="A928" s="74">
        <v>1021.0</v>
      </c>
      <c r="B928" s="74" t="s">
        <v>89</v>
      </c>
      <c r="C928" s="74"/>
      <c r="D928" s="75" t="s">
        <v>2329</v>
      </c>
      <c r="E928" s="76">
        <v>46069.0</v>
      </c>
      <c r="F928" s="78" t="s">
        <v>1420</v>
      </c>
      <c r="G928" s="76">
        <v>46084.0</v>
      </c>
      <c r="H928" s="98" t="s">
        <v>29</v>
      </c>
      <c r="I928" s="96"/>
      <c r="J928" s="74">
        <f t="shared" si="6"/>
        <v>15</v>
      </c>
      <c r="L928" s="73"/>
      <c r="M928" s="73"/>
      <c r="N928" s="73"/>
      <c r="O928" s="73"/>
      <c r="P928" s="73"/>
      <c r="Q928" s="73"/>
      <c r="R928" s="73"/>
      <c r="S928" s="73"/>
      <c r="T928" s="73"/>
      <c r="U928" s="73"/>
      <c r="V928" s="73"/>
      <c r="W928" s="73"/>
      <c r="X928" s="73"/>
    </row>
    <row r="929">
      <c r="A929" s="74">
        <v>1022.0</v>
      </c>
      <c r="B929" s="74" t="s">
        <v>89</v>
      </c>
      <c r="C929" s="74"/>
      <c r="D929" s="75" t="s">
        <v>2330</v>
      </c>
      <c r="E929" s="76">
        <v>46069.0</v>
      </c>
      <c r="F929" s="78" t="s">
        <v>1420</v>
      </c>
      <c r="G929" s="76">
        <v>46084.0</v>
      </c>
      <c r="H929" s="98" t="s">
        <v>29</v>
      </c>
      <c r="I929" s="98"/>
      <c r="J929" s="74">
        <f t="shared" si="6"/>
        <v>15</v>
      </c>
      <c r="L929" s="73"/>
      <c r="M929" s="73"/>
      <c r="N929" s="73"/>
      <c r="O929" s="73"/>
      <c r="P929" s="73"/>
      <c r="Q929" s="73"/>
      <c r="R929" s="73"/>
      <c r="S929" s="73"/>
      <c r="T929" s="73"/>
      <c r="U929" s="73"/>
      <c r="V929" s="73"/>
      <c r="W929" s="73"/>
      <c r="X929" s="73"/>
    </row>
    <row r="930">
      <c r="A930" s="74">
        <v>1023.0</v>
      </c>
      <c r="B930" s="74" t="s">
        <v>89</v>
      </c>
      <c r="C930" s="74"/>
      <c r="D930" s="75" t="s">
        <v>2331</v>
      </c>
      <c r="E930" s="76">
        <v>46069.0</v>
      </c>
      <c r="F930" s="78" t="s">
        <v>1427</v>
      </c>
      <c r="G930" s="76">
        <v>46084.0</v>
      </c>
      <c r="H930" s="98" t="s">
        <v>1401</v>
      </c>
      <c r="I930" s="96"/>
      <c r="J930" s="74">
        <f t="shared" si="6"/>
        <v>15</v>
      </c>
      <c r="L930" s="73"/>
      <c r="M930" s="73"/>
      <c r="N930" s="73"/>
      <c r="O930" s="73"/>
      <c r="P930" s="73"/>
      <c r="Q930" s="73"/>
      <c r="R930" s="73"/>
      <c r="S930" s="73"/>
      <c r="T930" s="73"/>
      <c r="U930" s="73"/>
      <c r="V930" s="73"/>
      <c r="W930" s="73"/>
      <c r="X930" s="73"/>
    </row>
    <row r="931">
      <c r="A931" s="74">
        <v>1024.0</v>
      </c>
      <c r="B931" s="74" t="s">
        <v>89</v>
      </c>
      <c r="C931" s="74"/>
      <c r="D931" s="75" t="s">
        <v>2332</v>
      </c>
      <c r="E931" s="76">
        <v>46069.0</v>
      </c>
      <c r="F931" s="78" t="s">
        <v>1420</v>
      </c>
      <c r="G931" s="76">
        <v>46084.0</v>
      </c>
      <c r="H931" s="98" t="s">
        <v>29</v>
      </c>
      <c r="I931" s="96"/>
      <c r="J931" s="74">
        <f t="shared" si="6"/>
        <v>15</v>
      </c>
      <c r="L931" s="73"/>
      <c r="M931" s="73"/>
      <c r="N931" s="73"/>
      <c r="O931" s="73"/>
      <c r="P931" s="73"/>
      <c r="Q931" s="73"/>
      <c r="R931" s="73"/>
      <c r="S931" s="73"/>
      <c r="T931" s="73"/>
      <c r="U931" s="73"/>
      <c r="V931" s="73"/>
      <c r="W931" s="73"/>
      <c r="X931" s="73"/>
    </row>
    <row r="932">
      <c r="A932" s="74">
        <v>1025.0</v>
      </c>
      <c r="B932" s="74" t="s">
        <v>89</v>
      </c>
      <c r="C932" s="74"/>
      <c r="D932" s="75" t="s">
        <v>2333</v>
      </c>
      <c r="E932" s="76">
        <v>46069.0</v>
      </c>
      <c r="F932" s="78" t="s">
        <v>1420</v>
      </c>
      <c r="G932" s="76">
        <v>46084.0</v>
      </c>
      <c r="H932" s="98" t="s">
        <v>29</v>
      </c>
      <c r="I932" s="98"/>
      <c r="J932" s="74">
        <f t="shared" si="6"/>
        <v>15</v>
      </c>
      <c r="L932" s="73"/>
      <c r="M932" s="73"/>
      <c r="N932" s="73"/>
      <c r="O932" s="73"/>
      <c r="P932" s="73"/>
      <c r="Q932" s="73"/>
      <c r="R932" s="73"/>
      <c r="S932" s="73"/>
      <c r="T932" s="73"/>
      <c r="U932" s="73"/>
      <c r="V932" s="73"/>
      <c r="W932" s="73"/>
      <c r="X932" s="73"/>
    </row>
    <row r="933">
      <c r="A933" s="74">
        <v>1026.0</v>
      </c>
      <c r="B933" s="74" t="s">
        <v>89</v>
      </c>
      <c r="C933" s="74"/>
      <c r="D933" s="75" t="s">
        <v>2334</v>
      </c>
      <c r="E933" s="76">
        <v>46069.0</v>
      </c>
      <c r="F933" s="78" t="s">
        <v>1420</v>
      </c>
      <c r="G933" s="76">
        <v>46084.0</v>
      </c>
      <c r="H933" s="98" t="s">
        <v>29</v>
      </c>
      <c r="I933" s="96"/>
      <c r="J933" s="74">
        <f t="shared" si="6"/>
        <v>15</v>
      </c>
      <c r="L933" s="73"/>
      <c r="M933" s="73"/>
      <c r="N933" s="73"/>
      <c r="O933" s="73"/>
      <c r="P933" s="73"/>
      <c r="Q933" s="73"/>
      <c r="R933" s="73"/>
      <c r="S933" s="73"/>
      <c r="T933" s="73"/>
      <c r="U933" s="73"/>
      <c r="V933" s="73"/>
      <c r="W933" s="73"/>
      <c r="X933" s="73"/>
    </row>
    <row r="934">
      <c r="A934" s="74">
        <v>1027.0</v>
      </c>
      <c r="B934" s="74" t="s">
        <v>89</v>
      </c>
      <c r="C934" s="74"/>
      <c r="D934" s="75" t="s">
        <v>2335</v>
      </c>
      <c r="E934" s="76">
        <v>46076.0</v>
      </c>
      <c r="F934" s="78" t="s">
        <v>1420</v>
      </c>
      <c r="G934" s="76">
        <v>46112.0</v>
      </c>
      <c r="H934" s="96" t="s">
        <v>29</v>
      </c>
      <c r="I934" s="96"/>
      <c r="J934" s="74">
        <f t="shared" si="6"/>
        <v>36</v>
      </c>
      <c r="L934" s="73"/>
      <c r="M934" s="73"/>
      <c r="N934" s="73"/>
      <c r="O934" s="73"/>
      <c r="P934" s="73"/>
      <c r="Q934" s="73"/>
      <c r="R934" s="73"/>
      <c r="S934" s="73"/>
      <c r="T934" s="73"/>
      <c r="U934" s="73"/>
      <c r="V934" s="73"/>
      <c r="W934" s="73"/>
      <c r="X934" s="73"/>
    </row>
    <row r="935">
      <c r="A935" s="74">
        <v>1028.0</v>
      </c>
      <c r="B935" s="74" t="s">
        <v>89</v>
      </c>
      <c r="C935" s="74"/>
      <c r="D935" s="75" t="s">
        <v>2336</v>
      </c>
      <c r="E935" s="76">
        <v>46076.0</v>
      </c>
      <c r="F935" s="78" t="s">
        <v>1420</v>
      </c>
      <c r="G935" s="76">
        <v>46112.0</v>
      </c>
      <c r="H935" s="96" t="s">
        <v>29</v>
      </c>
      <c r="I935" s="98"/>
      <c r="J935" s="74">
        <f t="shared" si="6"/>
        <v>36</v>
      </c>
      <c r="L935" s="73"/>
      <c r="M935" s="73"/>
      <c r="N935" s="73"/>
      <c r="O935" s="73"/>
      <c r="P935" s="73"/>
      <c r="Q935" s="73"/>
      <c r="R935" s="73"/>
      <c r="S935" s="73"/>
      <c r="T935" s="73"/>
      <c r="U935" s="73"/>
      <c r="V935" s="73"/>
      <c r="W935" s="73"/>
      <c r="X935" s="73"/>
    </row>
    <row r="936">
      <c r="A936" s="74">
        <v>1029.0</v>
      </c>
      <c r="B936" s="74" t="s">
        <v>89</v>
      </c>
      <c r="C936" s="74"/>
      <c r="D936" s="75" t="s">
        <v>2337</v>
      </c>
      <c r="E936" s="76">
        <v>46076.0</v>
      </c>
      <c r="F936" s="78" t="s">
        <v>1420</v>
      </c>
      <c r="G936" s="76">
        <v>46112.0</v>
      </c>
      <c r="H936" s="96" t="s">
        <v>29</v>
      </c>
      <c r="I936" s="96"/>
      <c r="J936" s="74">
        <f t="shared" si="6"/>
        <v>36</v>
      </c>
      <c r="L936" s="73"/>
      <c r="M936" s="73"/>
      <c r="N936" s="73"/>
      <c r="O936" s="73"/>
      <c r="P936" s="73"/>
      <c r="Q936" s="73"/>
      <c r="R936" s="73"/>
      <c r="S936" s="73"/>
      <c r="T936" s="73"/>
      <c r="U936" s="73"/>
      <c r="V936" s="73"/>
      <c r="W936" s="73"/>
      <c r="X936" s="73"/>
    </row>
    <row r="937">
      <c r="A937" s="74">
        <v>1030.0</v>
      </c>
      <c r="B937" s="74" t="s">
        <v>89</v>
      </c>
      <c r="C937" s="74"/>
      <c r="D937" s="75" t="s">
        <v>2338</v>
      </c>
      <c r="E937" s="76">
        <v>46076.0</v>
      </c>
      <c r="F937" s="78" t="s">
        <v>1420</v>
      </c>
      <c r="G937" s="76">
        <v>46112.0</v>
      </c>
      <c r="H937" s="96" t="s">
        <v>29</v>
      </c>
      <c r="I937" s="96"/>
      <c r="J937" s="74">
        <f t="shared" si="6"/>
        <v>36</v>
      </c>
      <c r="L937" s="73"/>
      <c r="M937" s="73"/>
      <c r="N937" s="73"/>
      <c r="O937" s="73"/>
      <c r="P937" s="73"/>
      <c r="Q937" s="73"/>
      <c r="R937" s="73"/>
      <c r="S937" s="73"/>
      <c r="T937" s="73"/>
      <c r="U937" s="73"/>
      <c r="V937" s="73"/>
      <c r="W937" s="73"/>
      <c r="X937" s="73"/>
    </row>
    <row r="938">
      <c r="A938" s="74">
        <v>1031.0</v>
      </c>
      <c r="B938" s="74" t="s">
        <v>89</v>
      </c>
      <c r="C938" s="74"/>
      <c r="D938" s="75" t="s">
        <v>2339</v>
      </c>
      <c r="E938" s="76">
        <v>46076.0</v>
      </c>
      <c r="F938" s="78" t="s">
        <v>1420</v>
      </c>
      <c r="G938" s="76">
        <v>46112.0</v>
      </c>
      <c r="H938" s="96" t="s">
        <v>29</v>
      </c>
      <c r="I938" s="98"/>
      <c r="J938" s="74">
        <f t="shared" si="6"/>
        <v>36</v>
      </c>
      <c r="L938" s="73"/>
      <c r="M938" s="73"/>
      <c r="N938" s="73"/>
      <c r="O938" s="73"/>
      <c r="P938" s="73"/>
      <c r="Q938" s="73"/>
      <c r="R938" s="73"/>
      <c r="S938" s="73"/>
      <c r="T938" s="73"/>
      <c r="U938" s="73"/>
      <c r="V938" s="73"/>
      <c r="W938" s="73"/>
      <c r="X938" s="73"/>
    </row>
    <row r="939">
      <c r="A939" s="74">
        <v>1032.0</v>
      </c>
      <c r="B939" s="74" t="s">
        <v>89</v>
      </c>
      <c r="C939" s="74"/>
      <c r="D939" s="75" t="s">
        <v>2340</v>
      </c>
      <c r="E939" s="76">
        <v>46076.0</v>
      </c>
      <c r="F939" s="78" t="s">
        <v>1420</v>
      </c>
      <c r="G939" s="76">
        <v>46112.0</v>
      </c>
      <c r="H939" s="96" t="s">
        <v>29</v>
      </c>
      <c r="I939" s="96"/>
      <c r="J939" s="74">
        <f t="shared" si="6"/>
        <v>36</v>
      </c>
      <c r="L939" s="73"/>
      <c r="M939" s="73"/>
      <c r="N939" s="73"/>
      <c r="O939" s="73"/>
      <c r="P939" s="73"/>
      <c r="Q939" s="73"/>
      <c r="R939" s="73"/>
      <c r="S939" s="73"/>
      <c r="T939" s="73"/>
      <c r="U939" s="73"/>
      <c r="V939" s="73"/>
      <c r="W939" s="73"/>
      <c r="X939" s="73"/>
    </row>
    <row r="940">
      <c r="A940" s="74">
        <v>1033.0</v>
      </c>
      <c r="B940" s="74" t="s">
        <v>89</v>
      </c>
      <c r="C940" s="74"/>
      <c r="D940" s="75" t="s">
        <v>2341</v>
      </c>
      <c r="E940" s="76">
        <v>46076.0</v>
      </c>
      <c r="F940" s="78" t="s">
        <v>1420</v>
      </c>
      <c r="G940" s="76">
        <v>46112.0</v>
      </c>
      <c r="H940" s="96" t="s">
        <v>29</v>
      </c>
      <c r="I940" s="96"/>
      <c r="J940" s="74">
        <f t="shared" si="6"/>
        <v>36</v>
      </c>
      <c r="L940" s="73"/>
      <c r="M940" s="73"/>
      <c r="N940" s="73"/>
      <c r="O940" s="73"/>
      <c r="P940" s="73"/>
      <c r="Q940" s="73"/>
      <c r="R940" s="73"/>
      <c r="S940" s="73"/>
      <c r="T940" s="73"/>
      <c r="U940" s="73"/>
      <c r="V940" s="73"/>
      <c r="W940" s="73"/>
      <c r="X940" s="73"/>
    </row>
    <row r="941" ht="12.0" customHeight="1">
      <c r="A941" s="74">
        <v>1034.0</v>
      </c>
      <c r="B941" s="74" t="s">
        <v>2342</v>
      </c>
      <c r="C941" s="74"/>
      <c r="D941" s="75" t="s">
        <v>2343</v>
      </c>
      <c r="E941" s="76">
        <v>46076.0</v>
      </c>
      <c r="F941" s="78" t="s">
        <v>1420</v>
      </c>
      <c r="G941" s="76">
        <v>46112.0</v>
      </c>
      <c r="H941" s="96" t="s">
        <v>29</v>
      </c>
      <c r="I941" s="98"/>
      <c r="J941" s="74">
        <f t="shared" si="6"/>
        <v>36</v>
      </c>
      <c r="L941" s="73"/>
      <c r="M941" s="73"/>
      <c r="N941" s="73"/>
      <c r="O941" s="73"/>
      <c r="P941" s="73"/>
      <c r="Q941" s="73"/>
      <c r="R941" s="73"/>
      <c r="S941" s="73"/>
      <c r="T941" s="73"/>
      <c r="U941" s="73"/>
      <c r="V941" s="73"/>
      <c r="W941" s="73"/>
      <c r="X941" s="73"/>
    </row>
    <row r="942">
      <c r="A942" s="74">
        <v>1035.0</v>
      </c>
      <c r="B942" s="74" t="s">
        <v>89</v>
      </c>
      <c r="C942" s="74"/>
      <c r="D942" s="75" t="s">
        <v>2344</v>
      </c>
      <c r="E942" s="76">
        <v>46083.0</v>
      </c>
      <c r="F942" s="78" t="s">
        <v>1420</v>
      </c>
      <c r="G942" s="76">
        <v>46112.0</v>
      </c>
      <c r="H942" s="96" t="s">
        <v>29</v>
      </c>
      <c r="I942" s="96"/>
      <c r="J942" s="74">
        <f t="shared" si="6"/>
        <v>29</v>
      </c>
      <c r="L942" s="73"/>
      <c r="M942" s="73"/>
      <c r="N942" s="73"/>
      <c r="O942" s="73"/>
      <c r="P942" s="73"/>
      <c r="Q942" s="73"/>
      <c r="R942" s="73"/>
      <c r="S942" s="73"/>
      <c r="T942" s="73"/>
      <c r="U942" s="73"/>
      <c r="V942" s="73"/>
      <c r="W942" s="73"/>
      <c r="X942" s="73"/>
    </row>
    <row r="943">
      <c r="A943" s="74">
        <v>1036.0</v>
      </c>
      <c r="B943" s="74" t="s">
        <v>89</v>
      </c>
      <c r="C943" s="74"/>
      <c r="D943" s="75" t="s">
        <v>2345</v>
      </c>
      <c r="E943" s="76">
        <v>46083.0</v>
      </c>
      <c r="F943" s="78" t="s">
        <v>1420</v>
      </c>
      <c r="G943" s="76">
        <v>46112.0</v>
      </c>
      <c r="H943" s="96" t="s">
        <v>29</v>
      </c>
      <c r="I943" s="96"/>
      <c r="J943" s="74">
        <f t="shared" si="6"/>
        <v>29</v>
      </c>
      <c r="L943" s="73"/>
      <c r="M943" s="73"/>
      <c r="N943" s="73"/>
      <c r="O943" s="73"/>
      <c r="P943" s="73"/>
      <c r="Q943" s="73"/>
      <c r="R943" s="73"/>
      <c r="S943" s="73"/>
      <c r="T943" s="73"/>
      <c r="U943" s="73"/>
      <c r="V943" s="73"/>
      <c r="W943" s="73"/>
      <c r="X943" s="73"/>
    </row>
    <row r="944">
      <c r="A944" s="74">
        <v>1037.0</v>
      </c>
      <c r="B944" s="74" t="s">
        <v>89</v>
      </c>
      <c r="C944" s="74"/>
      <c r="D944" s="75" t="s">
        <v>2346</v>
      </c>
      <c r="E944" s="76">
        <v>46083.0</v>
      </c>
      <c r="F944" s="78" t="s">
        <v>1420</v>
      </c>
      <c r="G944" s="76">
        <v>46112.0</v>
      </c>
      <c r="H944" s="98" t="s">
        <v>29</v>
      </c>
      <c r="I944" s="98"/>
      <c r="J944" s="74">
        <f t="shared" si="6"/>
        <v>29</v>
      </c>
      <c r="L944" s="73"/>
      <c r="M944" s="73"/>
      <c r="N944" s="73"/>
      <c r="O944" s="73"/>
      <c r="P944" s="73"/>
      <c r="Q944" s="73"/>
      <c r="R944" s="73"/>
      <c r="S944" s="73"/>
      <c r="T944" s="73"/>
      <c r="U944" s="73"/>
      <c r="V944" s="73"/>
      <c r="W944" s="73"/>
      <c r="X944" s="73"/>
    </row>
    <row r="945">
      <c r="A945" s="74">
        <v>1038.0</v>
      </c>
      <c r="B945" s="74" t="s">
        <v>89</v>
      </c>
      <c r="C945" s="74"/>
      <c r="D945" s="75" t="s">
        <v>2347</v>
      </c>
      <c r="E945" s="76">
        <v>46083.0</v>
      </c>
      <c r="F945" s="78" t="s">
        <v>1420</v>
      </c>
      <c r="G945" s="76">
        <v>46112.0</v>
      </c>
      <c r="H945" s="98" t="s">
        <v>29</v>
      </c>
      <c r="I945" s="98"/>
      <c r="J945" s="74">
        <f t="shared" si="6"/>
        <v>29</v>
      </c>
      <c r="L945" s="73"/>
      <c r="M945" s="73"/>
      <c r="N945" s="73"/>
      <c r="O945" s="73"/>
      <c r="P945" s="73"/>
      <c r="Q945" s="73"/>
      <c r="R945" s="73"/>
      <c r="S945" s="73"/>
      <c r="T945" s="73"/>
      <c r="U945" s="73"/>
      <c r="V945" s="73"/>
      <c r="W945" s="73"/>
      <c r="X945" s="73"/>
    </row>
    <row r="946">
      <c r="A946" s="74">
        <v>1039.0</v>
      </c>
      <c r="B946" s="74" t="s">
        <v>89</v>
      </c>
      <c r="C946" s="74"/>
      <c r="D946" s="75" t="s">
        <v>2348</v>
      </c>
      <c r="E946" s="76">
        <v>46083.0</v>
      </c>
      <c r="F946" s="78" t="s">
        <v>1420</v>
      </c>
      <c r="G946" s="76">
        <v>46112.0</v>
      </c>
      <c r="H946" s="98" t="s">
        <v>29</v>
      </c>
      <c r="I946" s="98"/>
      <c r="J946" s="74">
        <f t="shared" si="6"/>
        <v>29</v>
      </c>
      <c r="L946" s="73"/>
      <c r="M946" s="73"/>
      <c r="N946" s="73"/>
      <c r="O946" s="73"/>
      <c r="P946" s="73"/>
      <c r="Q946" s="73"/>
      <c r="R946" s="73"/>
      <c r="S946" s="73"/>
      <c r="T946" s="73"/>
      <c r="U946" s="73"/>
      <c r="V946" s="73"/>
      <c r="W946" s="73"/>
      <c r="X946" s="73"/>
    </row>
    <row r="947">
      <c r="A947" s="74">
        <v>1040.0</v>
      </c>
      <c r="B947" s="74" t="s">
        <v>2349</v>
      </c>
      <c r="C947" s="74"/>
      <c r="D947" s="75" t="s">
        <v>2350</v>
      </c>
      <c r="E947" s="76">
        <v>46111.0</v>
      </c>
      <c r="F947" s="78" t="s">
        <v>1420</v>
      </c>
      <c r="G947" s="76">
        <v>46124.0</v>
      </c>
      <c r="H947" s="98" t="s">
        <v>29</v>
      </c>
      <c r="I947" s="98"/>
      <c r="J947" s="74">
        <f t="shared" si="6"/>
        <v>13</v>
      </c>
      <c r="L947" s="73"/>
      <c r="M947" s="73"/>
      <c r="N947" s="73"/>
      <c r="O947" s="73"/>
      <c r="P947" s="73"/>
      <c r="Q947" s="73"/>
      <c r="R947" s="73"/>
      <c r="S947" s="73"/>
      <c r="T947" s="73"/>
      <c r="U947" s="73"/>
      <c r="V947" s="73"/>
      <c r="W947" s="73"/>
      <c r="X947" s="73"/>
    </row>
    <row r="948">
      <c r="A948" s="74">
        <v>1041.0</v>
      </c>
      <c r="B948" s="74" t="s">
        <v>2349</v>
      </c>
      <c r="C948" s="74"/>
      <c r="D948" s="75" t="s">
        <v>2351</v>
      </c>
      <c r="E948" s="76">
        <v>46111.0</v>
      </c>
      <c r="F948" s="78" t="s">
        <v>1420</v>
      </c>
      <c r="G948" s="76">
        <v>46124.0</v>
      </c>
      <c r="H948" s="98" t="s">
        <v>29</v>
      </c>
      <c r="I948" s="98"/>
      <c r="J948" s="74">
        <f t="shared" si="6"/>
        <v>13</v>
      </c>
      <c r="L948" s="73"/>
      <c r="M948" s="73"/>
      <c r="N948" s="73"/>
      <c r="O948" s="73"/>
      <c r="P948" s="73"/>
      <c r="Q948" s="73"/>
      <c r="R948" s="73"/>
      <c r="S948" s="73"/>
      <c r="T948" s="73"/>
      <c r="U948" s="73"/>
      <c r="V948" s="73"/>
      <c r="W948" s="73"/>
      <c r="X948" s="73"/>
    </row>
    <row r="949">
      <c r="A949" s="74">
        <v>1042.0</v>
      </c>
      <c r="B949" s="74" t="s">
        <v>2349</v>
      </c>
      <c r="C949" s="74"/>
      <c r="D949" s="75" t="s">
        <v>2352</v>
      </c>
      <c r="E949" s="76">
        <v>46111.0</v>
      </c>
      <c r="F949" s="78" t="s">
        <v>1420</v>
      </c>
      <c r="G949" s="76">
        <v>46124.0</v>
      </c>
      <c r="H949" s="98" t="s">
        <v>29</v>
      </c>
      <c r="I949" s="98"/>
      <c r="J949" s="74">
        <f t="shared" si="6"/>
        <v>13</v>
      </c>
      <c r="L949" s="73"/>
      <c r="M949" s="73"/>
      <c r="N949" s="73"/>
      <c r="O949" s="73"/>
      <c r="P949" s="73"/>
      <c r="Q949" s="73"/>
      <c r="R949" s="73"/>
      <c r="S949" s="73"/>
      <c r="T949" s="73"/>
      <c r="U949" s="73"/>
      <c r="V949" s="73"/>
      <c r="W949" s="73"/>
      <c r="X949" s="73"/>
    </row>
    <row r="950">
      <c r="A950" s="74">
        <v>1043.0</v>
      </c>
      <c r="B950" s="74" t="s">
        <v>2349</v>
      </c>
      <c r="C950" s="74"/>
      <c r="D950" s="75" t="s">
        <v>2353</v>
      </c>
      <c r="E950" s="76">
        <v>46111.0</v>
      </c>
      <c r="F950" s="78" t="s">
        <v>1420</v>
      </c>
      <c r="G950" s="76">
        <v>46124.0</v>
      </c>
      <c r="H950" s="98" t="s">
        <v>29</v>
      </c>
      <c r="I950" s="98"/>
      <c r="J950" s="74">
        <f t="shared" si="6"/>
        <v>13</v>
      </c>
      <c r="L950" s="73"/>
      <c r="M950" s="73"/>
      <c r="N950" s="73"/>
      <c r="O950" s="73"/>
      <c r="P950" s="73"/>
      <c r="Q950" s="73"/>
      <c r="R950" s="73"/>
      <c r="S950" s="73"/>
      <c r="T950" s="73"/>
      <c r="U950" s="73"/>
      <c r="V950" s="73"/>
      <c r="W950" s="73"/>
      <c r="X950" s="73"/>
    </row>
    <row r="951">
      <c r="A951" s="74">
        <v>1044.0</v>
      </c>
      <c r="B951" s="74" t="s">
        <v>2349</v>
      </c>
      <c r="C951" s="74"/>
      <c r="D951" s="75" t="s">
        <v>2354</v>
      </c>
      <c r="E951" s="76">
        <v>46111.0</v>
      </c>
      <c r="F951" s="78" t="s">
        <v>1420</v>
      </c>
      <c r="G951" s="76">
        <v>46124.0</v>
      </c>
      <c r="H951" s="98" t="s">
        <v>29</v>
      </c>
      <c r="I951" s="98"/>
      <c r="J951" s="74">
        <f t="shared" si="6"/>
        <v>13</v>
      </c>
      <c r="L951" s="73"/>
      <c r="M951" s="73"/>
      <c r="N951" s="73"/>
      <c r="O951" s="73"/>
      <c r="P951" s="73"/>
      <c r="Q951" s="73"/>
      <c r="R951" s="73"/>
      <c r="S951" s="73"/>
      <c r="T951" s="73"/>
      <c r="U951" s="73"/>
      <c r="V951" s="73"/>
      <c r="W951" s="73"/>
      <c r="X951" s="73"/>
    </row>
    <row r="952">
      <c r="A952" s="74">
        <v>1045.0</v>
      </c>
      <c r="B952" s="74" t="s">
        <v>2349</v>
      </c>
      <c r="C952" s="74"/>
      <c r="D952" s="75" t="s">
        <v>2355</v>
      </c>
      <c r="E952" s="76">
        <v>46111.0</v>
      </c>
      <c r="F952" s="78" t="s">
        <v>1420</v>
      </c>
      <c r="G952" s="76">
        <v>46124.0</v>
      </c>
      <c r="H952" s="98" t="s">
        <v>29</v>
      </c>
      <c r="I952" s="98"/>
      <c r="J952" s="74">
        <f t="shared" si="6"/>
        <v>13</v>
      </c>
      <c r="L952" s="73"/>
      <c r="M952" s="73"/>
      <c r="N952" s="73"/>
      <c r="O952" s="73"/>
      <c r="P952" s="73"/>
      <c r="Q952" s="73"/>
      <c r="R952" s="73"/>
      <c r="S952" s="73"/>
      <c r="T952" s="73"/>
      <c r="U952" s="73"/>
      <c r="V952" s="73"/>
      <c r="W952" s="73"/>
      <c r="X952" s="73"/>
    </row>
    <row r="953">
      <c r="A953" s="74">
        <v>1046.0</v>
      </c>
      <c r="B953" s="74" t="s">
        <v>2349</v>
      </c>
      <c r="C953" s="74"/>
      <c r="D953" s="75" t="s">
        <v>2356</v>
      </c>
      <c r="E953" s="76">
        <v>46111.0</v>
      </c>
      <c r="F953" s="78" t="s">
        <v>1420</v>
      </c>
      <c r="G953" s="76">
        <v>46124.0</v>
      </c>
      <c r="H953" s="98" t="s">
        <v>29</v>
      </c>
      <c r="I953" s="98"/>
      <c r="J953" s="74">
        <f t="shared" si="6"/>
        <v>13</v>
      </c>
      <c r="L953" s="73"/>
      <c r="M953" s="73"/>
      <c r="N953" s="73"/>
      <c r="O953" s="73"/>
      <c r="P953" s="73"/>
      <c r="Q953" s="73"/>
      <c r="R953" s="73"/>
      <c r="S953" s="73"/>
      <c r="T953" s="73"/>
      <c r="U953" s="73"/>
      <c r="V953" s="73"/>
      <c r="W953" s="73"/>
      <c r="X953" s="73"/>
    </row>
    <row r="954">
      <c r="A954" s="74">
        <v>1047.0</v>
      </c>
      <c r="B954" s="74" t="s">
        <v>2349</v>
      </c>
      <c r="C954" s="74"/>
      <c r="D954" s="75" t="s">
        <v>2357</v>
      </c>
      <c r="E954" s="76">
        <v>46111.0</v>
      </c>
      <c r="F954" s="78" t="s">
        <v>1420</v>
      </c>
      <c r="G954" s="76">
        <v>46124.0</v>
      </c>
      <c r="H954" s="98" t="s">
        <v>29</v>
      </c>
      <c r="I954" s="98"/>
      <c r="J954" s="74">
        <f t="shared" si="6"/>
        <v>13</v>
      </c>
      <c r="L954" s="73"/>
      <c r="M954" s="73"/>
      <c r="N954" s="73"/>
      <c r="O954" s="73"/>
      <c r="P954" s="73"/>
      <c r="Q954" s="73"/>
      <c r="R954" s="73"/>
      <c r="S954" s="73"/>
      <c r="T954" s="73"/>
      <c r="U954" s="73"/>
      <c r="V954" s="73"/>
      <c r="W954" s="73"/>
      <c r="X954" s="73"/>
    </row>
    <row r="955">
      <c r="A955" s="74">
        <v>1048.0</v>
      </c>
      <c r="B955" s="74" t="s">
        <v>2349</v>
      </c>
      <c r="C955" s="74"/>
      <c r="D955" s="75" t="s">
        <v>2358</v>
      </c>
      <c r="E955" s="76">
        <v>46111.0</v>
      </c>
      <c r="F955" s="78" t="s">
        <v>1420</v>
      </c>
      <c r="G955" s="76">
        <v>46124.0</v>
      </c>
      <c r="H955" s="98" t="s">
        <v>29</v>
      </c>
      <c r="I955" s="98"/>
      <c r="J955" s="74">
        <f t="shared" si="6"/>
        <v>13</v>
      </c>
      <c r="L955" s="73"/>
      <c r="M955" s="73"/>
      <c r="N955" s="73"/>
      <c r="O955" s="73"/>
      <c r="P955" s="73"/>
      <c r="Q955" s="73"/>
      <c r="R955" s="73"/>
      <c r="S955" s="73"/>
      <c r="T955" s="73"/>
      <c r="U955" s="73"/>
      <c r="V955" s="73"/>
      <c r="W955" s="73"/>
      <c r="X955" s="73"/>
    </row>
    <row r="956">
      <c r="A956" s="74">
        <v>1049.0</v>
      </c>
      <c r="B956" s="74" t="s">
        <v>2349</v>
      </c>
      <c r="C956" s="74"/>
      <c r="D956" s="75" t="s">
        <v>2359</v>
      </c>
      <c r="E956" s="76">
        <v>46111.0</v>
      </c>
      <c r="F956" s="78" t="s">
        <v>1420</v>
      </c>
      <c r="G956" s="76">
        <v>46124.0</v>
      </c>
      <c r="H956" s="98" t="s">
        <v>29</v>
      </c>
      <c r="I956" s="98"/>
      <c r="J956" s="74">
        <f t="shared" si="6"/>
        <v>13</v>
      </c>
      <c r="L956" s="73"/>
      <c r="M956" s="73"/>
      <c r="N956" s="73"/>
      <c r="O956" s="73"/>
      <c r="P956" s="73"/>
      <c r="Q956" s="73"/>
      <c r="R956" s="73"/>
      <c r="S956" s="73"/>
      <c r="T956" s="73"/>
      <c r="U956" s="73"/>
      <c r="V956" s="73"/>
      <c r="W956" s="73"/>
      <c r="X956" s="73"/>
    </row>
    <row r="957">
      <c r="A957" s="74">
        <v>1050.0</v>
      </c>
      <c r="B957" s="74" t="s">
        <v>2349</v>
      </c>
      <c r="C957" s="74"/>
      <c r="D957" s="75" t="s">
        <v>2360</v>
      </c>
      <c r="E957" s="76">
        <v>46111.0</v>
      </c>
      <c r="F957" s="78" t="s">
        <v>1420</v>
      </c>
      <c r="G957" s="76">
        <v>46124.0</v>
      </c>
      <c r="H957" s="98" t="s">
        <v>29</v>
      </c>
      <c r="I957" s="98"/>
      <c r="J957" s="74">
        <f t="shared" si="6"/>
        <v>13</v>
      </c>
      <c r="L957" s="73"/>
      <c r="M957" s="73"/>
      <c r="N957" s="73"/>
      <c r="O957" s="73"/>
      <c r="P957" s="73"/>
      <c r="Q957" s="73"/>
      <c r="R957" s="73"/>
      <c r="S957" s="73"/>
      <c r="T957" s="73"/>
      <c r="U957" s="73"/>
      <c r="V957" s="73"/>
      <c r="W957" s="73"/>
      <c r="X957" s="73"/>
    </row>
    <row r="958">
      <c r="A958" s="74">
        <v>1051.0</v>
      </c>
      <c r="B958" s="74" t="s">
        <v>2349</v>
      </c>
      <c r="C958" s="74"/>
      <c r="D958" s="75" t="s">
        <v>2361</v>
      </c>
      <c r="E958" s="76">
        <v>46111.0</v>
      </c>
      <c r="F958" s="78" t="s">
        <v>1420</v>
      </c>
      <c r="G958" s="76">
        <v>46124.0</v>
      </c>
      <c r="H958" s="98" t="s">
        <v>29</v>
      </c>
      <c r="I958" s="98"/>
      <c r="J958" s="74">
        <f t="shared" si="6"/>
        <v>13</v>
      </c>
      <c r="L958" s="73"/>
      <c r="M958" s="73"/>
      <c r="N958" s="73"/>
      <c r="O958" s="73"/>
      <c r="P958" s="73"/>
      <c r="Q958" s="73"/>
      <c r="R958" s="73"/>
      <c r="S958" s="73"/>
      <c r="T958" s="73"/>
      <c r="U958" s="73"/>
      <c r="V958" s="73"/>
      <c r="W958" s="73"/>
      <c r="X958" s="73"/>
    </row>
    <row r="959">
      <c r="A959" s="74">
        <v>1052.0</v>
      </c>
      <c r="B959" s="74" t="s">
        <v>2349</v>
      </c>
      <c r="C959" s="74"/>
      <c r="D959" s="75" t="s">
        <v>2362</v>
      </c>
      <c r="E959" s="76">
        <v>46111.0</v>
      </c>
      <c r="F959" s="78" t="s">
        <v>1420</v>
      </c>
      <c r="G959" s="76">
        <v>46124.0</v>
      </c>
      <c r="H959" s="98" t="s">
        <v>29</v>
      </c>
      <c r="I959" s="98"/>
      <c r="J959" s="74">
        <f t="shared" si="6"/>
        <v>13</v>
      </c>
      <c r="L959" s="73"/>
      <c r="M959" s="73"/>
      <c r="N959" s="73"/>
      <c r="O959" s="73"/>
      <c r="P959" s="73"/>
      <c r="Q959" s="73"/>
      <c r="R959" s="73"/>
      <c r="S959" s="73"/>
      <c r="T959" s="73"/>
      <c r="U959" s="73"/>
      <c r="V959" s="73"/>
      <c r="W959" s="73"/>
      <c r="X959" s="73"/>
    </row>
    <row r="960">
      <c r="A960" s="74">
        <v>1053.0</v>
      </c>
      <c r="B960" s="74" t="s">
        <v>2349</v>
      </c>
      <c r="C960" s="74"/>
      <c r="D960" s="75" t="s">
        <v>2363</v>
      </c>
      <c r="E960" s="76">
        <v>46111.0</v>
      </c>
      <c r="F960" s="78" t="s">
        <v>1420</v>
      </c>
      <c r="G960" s="76">
        <v>46124.0</v>
      </c>
      <c r="H960" s="98" t="s">
        <v>29</v>
      </c>
      <c r="I960" s="98"/>
      <c r="J960" s="74">
        <f t="shared" si="6"/>
        <v>13</v>
      </c>
      <c r="L960" s="73"/>
      <c r="M960" s="73"/>
      <c r="N960" s="73"/>
      <c r="O960" s="73"/>
      <c r="P960" s="73"/>
      <c r="Q960" s="73"/>
      <c r="R960" s="73"/>
      <c r="S960" s="73"/>
      <c r="T960" s="73"/>
      <c r="U960" s="73"/>
      <c r="V960" s="73"/>
      <c r="W960" s="73"/>
      <c r="X960" s="73"/>
    </row>
    <row r="961" ht="15.0" customHeight="1">
      <c r="A961" s="74">
        <v>1054.0</v>
      </c>
      <c r="B961" s="74" t="s">
        <v>2349</v>
      </c>
      <c r="C961" s="74"/>
      <c r="D961" s="75" t="s">
        <v>2364</v>
      </c>
      <c r="E961" s="76">
        <v>46111.0</v>
      </c>
      <c r="F961" s="78" t="s">
        <v>1420</v>
      </c>
      <c r="G961" s="76">
        <v>46124.0</v>
      </c>
      <c r="H961" s="98" t="s">
        <v>29</v>
      </c>
      <c r="I961" s="98"/>
      <c r="J961" s="74">
        <f t="shared" si="6"/>
        <v>13</v>
      </c>
      <c r="L961" s="73"/>
      <c r="M961" s="73"/>
      <c r="N961" s="73"/>
      <c r="O961" s="73"/>
      <c r="P961" s="73"/>
      <c r="Q961" s="73"/>
      <c r="R961" s="73"/>
      <c r="S961" s="73"/>
      <c r="T961" s="73"/>
      <c r="U961" s="73"/>
      <c r="V961" s="73"/>
      <c r="W961" s="73"/>
      <c r="X961" s="73"/>
    </row>
    <row r="962">
      <c r="A962" s="74">
        <v>1055.0</v>
      </c>
      <c r="B962" s="74" t="s">
        <v>2349</v>
      </c>
      <c r="C962" s="74"/>
      <c r="D962" s="75" t="s">
        <v>2365</v>
      </c>
      <c r="E962" s="76">
        <v>46111.0</v>
      </c>
      <c r="F962" s="78" t="s">
        <v>1420</v>
      </c>
      <c r="G962" s="76">
        <v>46124.0</v>
      </c>
      <c r="H962" s="98" t="s">
        <v>29</v>
      </c>
      <c r="I962" s="98"/>
      <c r="J962" s="74">
        <f t="shared" si="6"/>
        <v>13</v>
      </c>
      <c r="L962" s="73"/>
      <c r="M962" s="73"/>
      <c r="N962" s="73"/>
      <c r="O962" s="73"/>
      <c r="P962" s="73"/>
      <c r="Q962" s="73"/>
      <c r="R962" s="73"/>
      <c r="S962" s="73"/>
      <c r="T962" s="73"/>
      <c r="U962" s="73"/>
      <c r="V962" s="73"/>
      <c r="W962" s="73"/>
      <c r="X962" s="73"/>
    </row>
    <row r="963">
      <c r="A963" s="74">
        <v>1056.0</v>
      </c>
      <c r="B963" s="74" t="s">
        <v>2349</v>
      </c>
      <c r="C963" s="74"/>
      <c r="D963" s="75" t="s">
        <v>2366</v>
      </c>
      <c r="E963" s="76">
        <v>46111.0</v>
      </c>
      <c r="F963" s="78" t="s">
        <v>1420</v>
      </c>
      <c r="G963" s="76">
        <v>46124.0</v>
      </c>
      <c r="H963" s="98" t="s">
        <v>29</v>
      </c>
      <c r="I963" s="98"/>
      <c r="J963" s="74">
        <f t="shared" si="6"/>
        <v>13</v>
      </c>
      <c r="L963" s="73"/>
      <c r="M963" s="73"/>
      <c r="N963" s="73"/>
      <c r="O963" s="73"/>
      <c r="P963" s="73"/>
      <c r="Q963" s="73"/>
      <c r="R963" s="73"/>
      <c r="S963" s="73"/>
      <c r="T963" s="73"/>
      <c r="U963" s="73"/>
      <c r="V963" s="73"/>
      <c r="W963" s="73"/>
      <c r="X963" s="73"/>
    </row>
    <row r="964">
      <c r="A964" s="74">
        <v>1057.0</v>
      </c>
      <c r="B964" s="74" t="s">
        <v>2349</v>
      </c>
      <c r="C964" s="74"/>
      <c r="D964" s="75" t="s">
        <v>2367</v>
      </c>
      <c r="E964" s="76">
        <v>46111.0</v>
      </c>
      <c r="F964" s="78" t="s">
        <v>1420</v>
      </c>
      <c r="G964" s="76">
        <v>46124.0</v>
      </c>
      <c r="H964" s="98" t="s">
        <v>29</v>
      </c>
      <c r="I964" s="98"/>
      <c r="J964" s="74">
        <f t="shared" si="6"/>
        <v>13</v>
      </c>
      <c r="L964" s="73"/>
      <c r="M964" s="73"/>
      <c r="N964" s="73"/>
      <c r="O964" s="73"/>
      <c r="P964" s="73"/>
      <c r="Q964" s="73"/>
      <c r="R964" s="73"/>
      <c r="S964" s="73"/>
      <c r="T964" s="73"/>
      <c r="U964" s="73"/>
      <c r="V964" s="73"/>
      <c r="W964" s="73"/>
      <c r="X964" s="73"/>
    </row>
    <row r="965">
      <c r="A965" s="74">
        <v>1058.0</v>
      </c>
      <c r="B965" s="74" t="s">
        <v>2349</v>
      </c>
      <c r="C965" s="74"/>
      <c r="D965" s="75" t="s">
        <v>2368</v>
      </c>
      <c r="E965" s="76">
        <v>46112.0</v>
      </c>
      <c r="F965" s="78" t="s">
        <v>1420</v>
      </c>
      <c r="G965" s="76">
        <v>46124.0</v>
      </c>
      <c r="H965" s="98" t="s">
        <v>29</v>
      </c>
      <c r="I965" s="98"/>
      <c r="J965" s="74">
        <f t="shared" si="6"/>
        <v>12</v>
      </c>
      <c r="L965" s="73"/>
      <c r="M965" s="73"/>
      <c r="N965" s="73"/>
      <c r="O965" s="73"/>
      <c r="P965" s="73"/>
      <c r="Q965" s="73"/>
      <c r="R965" s="73"/>
      <c r="S965" s="73"/>
      <c r="T965" s="73"/>
      <c r="U965" s="73"/>
      <c r="V965" s="73"/>
      <c r="W965" s="73"/>
      <c r="X965" s="73"/>
    </row>
    <row r="966">
      <c r="A966" s="74">
        <v>1059.0</v>
      </c>
      <c r="B966" s="74" t="s">
        <v>2349</v>
      </c>
      <c r="C966" s="74"/>
      <c r="D966" s="75" t="s">
        <v>2369</v>
      </c>
      <c r="E966" s="76">
        <v>46112.0</v>
      </c>
      <c r="F966" s="78" t="s">
        <v>1420</v>
      </c>
      <c r="G966" s="76">
        <v>46124.0</v>
      </c>
      <c r="H966" s="98" t="s">
        <v>29</v>
      </c>
      <c r="I966" s="98"/>
      <c r="J966" s="74">
        <f t="shared" si="6"/>
        <v>12</v>
      </c>
      <c r="L966" s="73"/>
      <c r="M966" s="73"/>
      <c r="N966" s="73"/>
      <c r="O966" s="73"/>
      <c r="P966" s="73"/>
      <c r="Q966" s="73"/>
      <c r="R966" s="73"/>
      <c r="S966" s="73"/>
      <c r="T966" s="73"/>
      <c r="U966" s="73"/>
      <c r="V966" s="73"/>
      <c r="W966" s="73"/>
      <c r="X966" s="73"/>
    </row>
    <row r="967">
      <c r="A967" s="74">
        <v>1060.0</v>
      </c>
      <c r="B967" s="74" t="s">
        <v>2349</v>
      </c>
      <c r="C967" s="74"/>
      <c r="D967" s="75" t="s">
        <v>2370</v>
      </c>
      <c r="E967" s="76">
        <v>46112.0</v>
      </c>
      <c r="F967" s="78" t="s">
        <v>1420</v>
      </c>
      <c r="G967" s="76">
        <v>46124.0</v>
      </c>
      <c r="H967" s="98" t="s">
        <v>29</v>
      </c>
      <c r="I967" s="98"/>
      <c r="J967" s="74">
        <f t="shared" si="6"/>
        <v>12</v>
      </c>
      <c r="L967" s="73"/>
      <c r="M967" s="73"/>
      <c r="N967" s="73"/>
      <c r="O967" s="73"/>
      <c r="P967" s="73"/>
      <c r="Q967" s="73"/>
      <c r="R967" s="73"/>
      <c r="S967" s="73"/>
      <c r="T967" s="73"/>
      <c r="U967" s="73"/>
      <c r="V967" s="73"/>
      <c r="W967" s="73"/>
      <c r="X967" s="73"/>
    </row>
    <row r="968">
      <c r="A968" s="74">
        <v>1061.0</v>
      </c>
      <c r="B968" s="74" t="s">
        <v>2349</v>
      </c>
      <c r="C968" s="74"/>
      <c r="D968" s="75" t="s">
        <v>2371</v>
      </c>
      <c r="E968" s="76">
        <v>46112.0</v>
      </c>
      <c r="F968" s="78" t="s">
        <v>1420</v>
      </c>
      <c r="G968" s="76">
        <v>46124.0</v>
      </c>
      <c r="H968" s="98" t="s">
        <v>29</v>
      </c>
      <c r="I968" s="98"/>
      <c r="J968" s="74">
        <f t="shared" si="6"/>
        <v>12</v>
      </c>
      <c r="L968" s="73"/>
      <c r="M968" s="73"/>
      <c r="N968" s="73"/>
      <c r="O968" s="73"/>
      <c r="P968" s="73"/>
      <c r="Q968" s="73"/>
      <c r="R968" s="73"/>
      <c r="S968" s="73"/>
      <c r="T968" s="73"/>
      <c r="U968" s="73"/>
      <c r="V968" s="73"/>
      <c r="W968" s="73"/>
      <c r="X968" s="73"/>
    </row>
    <row r="969" ht="14.25" customHeight="1">
      <c r="A969" s="74">
        <v>1062.0</v>
      </c>
      <c r="B969" s="74" t="s">
        <v>2349</v>
      </c>
      <c r="C969" s="74"/>
      <c r="D969" s="75" t="s">
        <v>2372</v>
      </c>
      <c r="E969" s="76">
        <v>46112.0</v>
      </c>
      <c r="F969" s="78" t="s">
        <v>1420</v>
      </c>
      <c r="G969" s="76">
        <v>46124.0</v>
      </c>
      <c r="H969" s="98" t="s">
        <v>29</v>
      </c>
      <c r="I969" s="98"/>
      <c r="J969" s="74">
        <f t="shared" si="6"/>
        <v>12</v>
      </c>
      <c r="L969" s="73"/>
      <c r="M969" s="73"/>
      <c r="N969" s="73"/>
      <c r="O969" s="73"/>
      <c r="P969" s="73"/>
      <c r="Q969" s="73"/>
      <c r="R969" s="73"/>
      <c r="S969" s="73"/>
      <c r="T969" s="73"/>
      <c r="U969" s="73"/>
      <c r="V969" s="73"/>
      <c r="W969" s="73"/>
      <c r="X969" s="73"/>
    </row>
    <row r="970">
      <c r="A970" s="74">
        <v>1063.0</v>
      </c>
      <c r="B970" s="74" t="s">
        <v>89</v>
      </c>
      <c r="C970" s="74"/>
      <c r="D970" s="75" t="s">
        <v>2373</v>
      </c>
      <c r="E970" s="76">
        <v>46117.0</v>
      </c>
      <c r="F970" s="78" t="s">
        <v>1420</v>
      </c>
      <c r="G970" s="76"/>
      <c r="H970" s="98" t="s">
        <v>29</v>
      </c>
      <c r="I970" s="98"/>
      <c r="J970" s="74">
        <f t="shared" si="6"/>
        <v>-46117</v>
      </c>
      <c r="L970" s="73"/>
      <c r="M970" s="73"/>
      <c r="N970" s="73"/>
      <c r="O970" s="73"/>
      <c r="P970" s="73"/>
      <c r="Q970" s="73"/>
      <c r="R970" s="73"/>
      <c r="S970" s="73"/>
      <c r="T970" s="73"/>
      <c r="U970" s="73"/>
      <c r="V970" s="73"/>
      <c r="W970" s="73"/>
      <c r="X970" s="73"/>
    </row>
    <row r="971">
      <c r="A971" s="74">
        <v>1064.0</v>
      </c>
      <c r="B971" s="74" t="s">
        <v>89</v>
      </c>
      <c r="C971" s="74"/>
      <c r="D971" s="75" t="s">
        <v>2374</v>
      </c>
      <c r="E971" s="76">
        <v>46117.0</v>
      </c>
      <c r="F971" s="78" t="s">
        <v>1420</v>
      </c>
      <c r="G971" s="76"/>
      <c r="H971" s="98" t="s">
        <v>29</v>
      </c>
      <c r="I971" s="98"/>
      <c r="J971" s="74">
        <f t="shared" si="6"/>
        <v>-46117</v>
      </c>
      <c r="L971" s="73"/>
      <c r="M971" s="73"/>
      <c r="N971" s="73"/>
      <c r="O971" s="73"/>
      <c r="P971" s="73"/>
      <c r="Q971" s="73"/>
      <c r="R971" s="73"/>
      <c r="S971" s="73"/>
      <c r="T971" s="73"/>
      <c r="U971" s="73"/>
      <c r="V971" s="73"/>
      <c r="W971" s="73"/>
      <c r="X971" s="73"/>
    </row>
    <row r="972">
      <c r="A972" s="74">
        <v>1065.0</v>
      </c>
      <c r="B972" s="74" t="s">
        <v>89</v>
      </c>
      <c r="C972" s="74"/>
      <c r="D972" s="75" t="s">
        <v>2375</v>
      </c>
      <c r="E972" s="76">
        <v>46117.0</v>
      </c>
      <c r="F972" s="78" t="s">
        <v>1420</v>
      </c>
      <c r="G972" s="76"/>
      <c r="H972" s="98" t="s">
        <v>29</v>
      </c>
      <c r="I972" s="98"/>
      <c r="J972" s="74">
        <f t="shared" si="6"/>
        <v>-46117</v>
      </c>
      <c r="L972" s="73"/>
      <c r="M972" s="73"/>
      <c r="N972" s="73"/>
      <c r="O972" s="73"/>
      <c r="P972" s="73"/>
      <c r="Q972" s="73"/>
      <c r="R972" s="73"/>
      <c r="S972" s="73"/>
      <c r="T972" s="73"/>
      <c r="U972" s="73"/>
      <c r="V972" s="73"/>
      <c r="W972" s="73"/>
      <c r="X972" s="73"/>
    </row>
    <row r="973">
      <c r="A973" s="74">
        <v>1066.0</v>
      </c>
      <c r="B973" s="74" t="s">
        <v>89</v>
      </c>
      <c r="C973" s="74"/>
      <c r="D973" s="75" t="s">
        <v>2376</v>
      </c>
      <c r="E973" s="76">
        <v>46117.0</v>
      </c>
      <c r="F973" s="78" t="s">
        <v>1420</v>
      </c>
      <c r="G973" s="76"/>
      <c r="H973" s="98" t="s">
        <v>29</v>
      </c>
      <c r="I973" s="98"/>
      <c r="J973" s="74">
        <f t="shared" si="6"/>
        <v>-46117</v>
      </c>
      <c r="L973" s="73"/>
      <c r="M973" s="73"/>
      <c r="N973" s="73"/>
      <c r="O973" s="73"/>
      <c r="P973" s="73"/>
      <c r="Q973" s="73"/>
      <c r="R973" s="73"/>
      <c r="S973" s="73"/>
      <c r="T973" s="73"/>
      <c r="U973" s="73"/>
      <c r="V973" s="73"/>
      <c r="W973" s="73"/>
      <c r="X973" s="73"/>
    </row>
    <row r="974">
      <c r="A974" s="74">
        <v>1067.0</v>
      </c>
      <c r="B974" s="74" t="s">
        <v>89</v>
      </c>
      <c r="C974" s="74"/>
      <c r="D974" s="75" t="s">
        <v>2377</v>
      </c>
      <c r="E974" s="76">
        <v>46117.0</v>
      </c>
      <c r="F974" s="78" t="s">
        <v>1420</v>
      </c>
      <c r="G974" s="76"/>
      <c r="H974" s="98" t="s">
        <v>29</v>
      </c>
      <c r="I974" s="98"/>
      <c r="J974" s="74">
        <f t="shared" si="6"/>
        <v>-46117</v>
      </c>
      <c r="L974" s="73"/>
      <c r="M974" s="73"/>
      <c r="N974" s="73"/>
      <c r="O974" s="73"/>
      <c r="P974" s="73"/>
      <c r="Q974" s="73"/>
      <c r="R974" s="73"/>
      <c r="S974" s="73"/>
      <c r="T974" s="73"/>
      <c r="U974" s="73"/>
      <c r="V974" s="73"/>
      <c r="W974" s="73"/>
      <c r="X974" s="73"/>
    </row>
    <row r="975">
      <c r="A975" s="74">
        <v>1068.0</v>
      </c>
      <c r="B975" s="74" t="s">
        <v>89</v>
      </c>
      <c r="C975" s="74"/>
      <c r="D975" s="75" t="s">
        <v>2378</v>
      </c>
      <c r="E975" s="76">
        <v>46117.0</v>
      </c>
      <c r="F975" s="78" t="s">
        <v>1420</v>
      </c>
      <c r="G975" s="76"/>
      <c r="H975" s="98" t="s">
        <v>29</v>
      </c>
      <c r="I975" s="98"/>
      <c r="J975" s="74">
        <f t="shared" si="6"/>
        <v>-46117</v>
      </c>
      <c r="L975" s="73"/>
      <c r="M975" s="73"/>
      <c r="N975" s="73"/>
      <c r="O975" s="73"/>
      <c r="P975" s="73"/>
      <c r="Q975" s="73"/>
      <c r="R975" s="73"/>
      <c r="S975" s="73"/>
      <c r="T975" s="73"/>
      <c r="U975" s="73"/>
      <c r="V975" s="73"/>
      <c r="W975" s="73"/>
      <c r="X975" s="73"/>
    </row>
    <row r="976">
      <c r="A976" s="74">
        <v>1069.0</v>
      </c>
      <c r="B976" s="74" t="s">
        <v>89</v>
      </c>
      <c r="C976" s="74"/>
      <c r="D976" s="75" t="s">
        <v>2379</v>
      </c>
      <c r="E976" s="76">
        <v>46117.0</v>
      </c>
      <c r="F976" s="78" t="s">
        <v>1420</v>
      </c>
      <c r="G976" s="76"/>
      <c r="H976" s="98" t="s">
        <v>29</v>
      </c>
      <c r="I976" s="98"/>
      <c r="J976" s="74">
        <f t="shared" si="6"/>
        <v>-46117</v>
      </c>
      <c r="L976" s="73"/>
      <c r="M976" s="73"/>
      <c r="N976" s="73"/>
      <c r="O976" s="73"/>
      <c r="P976" s="73"/>
      <c r="Q976" s="73"/>
      <c r="R976" s="73"/>
      <c r="S976" s="73"/>
      <c r="T976" s="73"/>
      <c r="U976" s="73"/>
      <c r="V976" s="73"/>
      <c r="W976" s="73"/>
      <c r="X976" s="73"/>
    </row>
    <row r="977">
      <c r="A977" s="74">
        <v>1072.0</v>
      </c>
      <c r="B977" s="74" t="s">
        <v>1624</v>
      </c>
      <c r="C977" s="74"/>
      <c r="D977" s="75" t="s">
        <v>2380</v>
      </c>
      <c r="E977" s="76">
        <v>46117.0</v>
      </c>
      <c r="F977" s="78" t="s">
        <v>1366</v>
      </c>
      <c r="G977" s="76"/>
      <c r="H977" s="73"/>
      <c r="I977" s="98"/>
      <c r="J977" s="74">
        <f t="shared" si="6"/>
        <v>-46117</v>
      </c>
      <c r="L977" s="73"/>
      <c r="M977" s="73"/>
      <c r="N977" s="73"/>
      <c r="O977" s="73"/>
      <c r="P977" s="73"/>
      <c r="Q977" s="73"/>
      <c r="R977" s="73"/>
      <c r="S977" s="73"/>
      <c r="T977" s="73"/>
      <c r="U977" s="73"/>
      <c r="V977" s="73"/>
      <c r="W977" s="73"/>
      <c r="X977" s="73"/>
    </row>
    <row r="978">
      <c r="A978" s="74">
        <v>1073.0</v>
      </c>
      <c r="B978" s="74" t="s">
        <v>1896</v>
      </c>
      <c r="C978" s="74"/>
      <c r="D978" s="75" t="s">
        <v>2381</v>
      </c>
      <c r="E978" s="76">
        <v>46125.0</v>
      </c>
      <c r="F978" s="78" t="s">
        <v>1420</v>
      </c>
      <c r="G978" s="76">
        <v>46146.0</v>
      </c>
      <c r="H978" s="98" t="s">
        <v>29</v>
      </c>
      <c r="I978" s="98"/>
      <c r="J978" s="74">
        <f t="shared" si="6"/>
        <v>21</v>
      </c>
      <c r="L978" s="73"/>
      <c r="M978" s="73"/>
      <c r="N978" s="73"/>
      <c r="O978" s="73"/>
      <c r="P978" s="73"/>
      <c r="Q978" s="73"/>
      <c r="R978" s="73"/>
      <c r="S978" s="73"/>
      <c r="T978" s="73"/>
      <c r="U978" s="73"/>
      <c r="V978" s="73"/>
      <c r="W978" s="73"/>
      <c r="X978" s="73"/>
    </row>
    <row r="979">
      <c r="A979" s="74">
        <v>1074.0</v>
      </c>
      <c r="B979" s="74" t="s">
        <v>1896</v>
      </c>
      <c r="C979" s="74"/>
      <c r="D979" s="75" t="s">
        <v>2382</v>
      </c>
      <c r="E979" s="76">
        <v>46125.0</v>
      </c>
      <c r="F979" s="78" t="s">
        <v>1420</v>
      </c>
      <c r="G979" s="76">
        <v>46146.0</v>
      </c>
      <c r="H979" s="98" t="s">
        <v>29</v>
      </c>
      <c r="I979" s="98"/>
      <c r="J979" s="74">
        <f t="shared" si="6"/>
        <v>21</v>
      </c>
      <c r="L979" s="73"/>
      <c r="M979" s="73"/>
      <c r="N979" s="73"/>
      <c r="O979" s="73"/>
      <c r="P979" s="73"/>
      <c r="Q979" s="73"/>
      <c r="R979" s="73"/>
      <c r="S979" s="73"/>
      <c r="T979" s="73"/>
      <c r="U979" s="73"/>
      <c r="V979" s="73"/>
      <c r="W979" s="73"/>
      <c r="X979" s="73"/>
    </row>
    <row r="980">
      <c r="A980" s="74">
        <v>1075.0</v>
      </c>
      <c r="B980" s="74" t="s">
        <v>1896</v>
      </c>
      <c r="C980" s="74"/>
      <c r="D980" s="75" t="s">
        <v>2383</v>
      </c>
      <c r="E980" s="76">
        <v>46125.0</v>
      </c>
      <c r="F980" s="78" t="s">
        <v>1420</v>
      </c>
      <c r="G980" s="76">
        <v>46146.0</v>
      </c>
      <c r="H980" s="98" t="s">
        <v>29</v>
      </c>
      <c r="I980" s="98"/>
      <c r="J980" s="74">
        <f t="shared" si="6"/>
        <v>21</v>
      </c>
      <c r="L980" s="73"/>
      <c r="M980" s="73"/>
      <c r="N980" s="73"/>
      <c r="O980" s="73"/>
      <c r="P980" s="73"/>
      <c r="Q980" s="73"/>
      <c r="R980" s="73"/>
      <c r="S980" s="73"/>
      <c r="T980" s="73"/>
      <c r="U980" s="73"/>
      <c r="V980" s="73"/>
      <c r="W980" s="73"/>
      <c r="X980" s="73"/>
    </row>
    <row r="981">
      <c r="A981" s="74">
        <v>1076.0</v>
      </c>
      <c r="B981" s="74" t="s">
        <v>1896</v>
      </c>
      <c r="C981" s="74"/>
      <c r="D981" s="75" t="s">
        <v>2384</v>
      </c>
      <c r="E981" s="76">
        <v>46125.0</v>
      </c>
      <c r="F981" s="78" t="s">
        <v>1366</v>
      </c>
      <c r="G981" s="76"/>
      <c r="H981" s="73"/>
      <c r="I981" s="98"/>
      <c r="J981" s="74">
        <f t="shared" si="6"/>
        <v>-46125</v>
      </c>
      <c r="L981" s="73"/>
      <c r="M981" s="73"/>
      <c r="N981" s="73"/>
      <c r="O981" s="73"/>
      <c r="P981" s="73"/>
      <c r="Q981" s="73"/>
      <c r="R981" s="73"/>
      <c r="S981" s="73"/>
      <c r="T981" s="73"/>
      <c r="U981" s="73"/>
      <c r="V981" s="73"/>
      <c r="W981" s="73"/>
      <c r="X981" s="73"/>
    </row>
    <row r="982">
      <c r="A982" s="74">
        <v>1077.0</v>
      </c>
      <c r="B982" s="74" t="s">
        <v>1896</v>
      </c>
      <c r="C982" s="74"/>
      <c r="D982" s="75" t="s">
        <v>2385</v>
      </c>
      <c r="E982" s="76">
        <v>46125.0</v>
      </c>
      <c r="F982" s="78" t="s">
        <v>1420</v>
      </c>
      <c r="G982" s="76">
        <v>46146.0</v>
      </c>
      <c r="H982" s="98" t="s">
        <v>29</v>
      </c>
      <c r="I982" s="98"/>
      <c r="J982" s="74">
        <f t="shared" si="6"/>
        <v>21</v>
      </c>
      <c r="L982" s="73"/>
      <c r="M982" s="73"/>
      <c r="N982" s="73"/>
      <c r="O982" s="73"/>
      <c r="P982" s="73"/>
      <c r="Q982" s="73"/>
      <c r="R982" s="73"/>
      <c r="S982" s="73"/>
      <c r="T982" s="73"/>
      <c r="U982" s="73"/>
      <c r="V982" s="73"/>
      <c r="W982" s="73"/>
      <c r="X982" s="73"/>
    </row>
    <row r="983">
      <c r="A983" s="74">
        <v>1078.0</v>
      </c>
      <c r="B983" s="74" t="s">
        <v>1896</v>
      </c>
      <c r="C983" s="74"/>
      <c r="D983" s="75" t="s">
        <v>2386</v>
      </c>
      <c r="E983" s="76">
        <v>46125.0</v>
      </c>
      <c r="F983" s="78" t="s">
        <v>1420</v>
      </c>
      <c r="G983" s="76">
        <v>46146.0</v>
      </c>
      <c r="H983" s="98" t="s">
        <v>29</v>
      </c>
      <c r="I983" s="98"/>
      <c r="J983" s="74">
        <f t="shared" si="6"/>
        <v>21</v>
      </c>
      <c r="L983" s="73"/>
      <c r="M983" s="73"/>
      <c r="N983" s="73"/>
      <c r="O983" s="73"/>
      <c r="P983" s="73"/>
      <c r="Q983" s="73"/>
      <c r="R983" s="73"/>
      <c r="S983" s="73"/>
      <c r="T983" s="73"/>
      <c r="U983" s="73"/>
      <c r="V983" s="73"/>
      <c r="W983" s="73"/>
      <c r="X983" s="73"/>
    </row>
    <row r="984">
      <c r="A984" s="74">
        <v>1079.0</v>
      </c>
      <c r="B984" s="74" t="s">
        <v>1896</v>
      </c>
      <c r="C984" s="74"/>
      <c r="D984" s="75" t="s">
        <v>2387</v>
      </c>
      <c r="E984" s="76">
        <v>46125.0</v>
      </c>
      <c r="F984" s="78" t="s">
        <v>1420</v>
      </c>
      <c r="G984" s="76">
        <v>46146.0</v>
      </c>
      <c r="H984" s="98" t="s">
        <v>29</v>
      </c>
      <c r="I984" s="98"/>
      <c r="J984" s="74">
        <f t="shared" si="6"/>
        <v>21</v>
      </c>
      <c r="L984" s="73"/>
      <c r="M984" s="73"/>
      <c r="N984" s="73"/>
      <c r="O984" s="73"/>
      <c r="P984" s="73"/>
      <c r="Q984" s="73"/>
      <c r="R984" s="73"/>
      <c r="S984" s="73"/>
      <c r="T984" s="73"/>
      <c r="U984" s="73"/>
      <c r="V984" s="73"/>
      <c r="W984" s="73"/>
      <c r="X984" s="73"/>
    </row>
    <row r="985">
      <c r="A985" s="74">
        <v>1080.0</v>
      </c>
      <c r="B985" s="74" t="s">
        <v>1896</v>
      </c>
      <c r="C985" s="74"/>
      <c r="D985" s="75" t="s">
        <v>2388</v>
      </c>
      <c r="E985" s="76">
        <v>46125.0</v>
      </c>
      <c r="F985" s="78" t="s">
        <v>1420</v>
      </c>
      <c r="G985" s="76">
        <v>46146.0</v>
      </c>
      <c r="H985" s="98" t="s">
        <v>29</v>
      </c>
      <c r="I985" s="98"/>
      <c r="J985" s="74">
        <f t="shared" si="6"/>
        <v>21</v>
      </c>
      <c r="L985" s="73"/>
      <c r="M985" s="73"/>
      <c r="N985" s="73"/>
      <c r="O985" s="73"/>
      <c r="P985" s="73"/>
      <c r="Q985" s="73"/>
      <c r="R985" s="73"/>
      <c r="S985" s="73"/>
      <c r="T985" s="73"/>
      <c r="U985" s="73"/>
      <c r="V985" s="73"/>
      <c r="W985" s="73"/>
      <c r="X985" s="73"/>
    </row>
    <row r="986">
      <c r="A986" s="74">
        <v>1081.0</v>
      </c>
      <c r="B986" s="74" t="s">
        <v>1896</v>
      </c>
      <c r="C986" s="74"/>
      <c r="D986" s="75" t="s">
        <v>2389</v>
      </c>
      <c r="E986" s="76">
        <v>46125.0</v>
      </c>
      <c r="F986" s="78" t="s">
        <v>1366</v>
      </c>
      <c r="G986" s="76"/>
      <c r="H986" s="73"/>
      <c r="I986" s="98"/>
      <c r="J986" s="74">
        <f t="shared" si="6"/>
        <v>-46125</v>
      </c>
      <c r="L986" s="73"/>
      <c r="M986" s="73"/>
      <c r="N986" s="73"/>
      <c r="O986" s="73"/>
      <c r="P986" s="73"/>
      <c r="Q986" s="73"/>
      <c r="R986" s="73"/>
      <c r="S986" s="73"/>
      <c r="T986" s="73"/>
      <c r="U986" s="73"/>
      <c r="V986" s="73"/>
      <c r="W986" s="73"/>
      <c r="X986" s="73"/>
    </row>
    <row r="987">
      <c r="A987" s="74">
        <v>1082.0</v>
      </c>
      <c r="B987" s="74" t="s">
        <v>1896</v>
      </c>
      <c r="C987" s="74"/>
      <c r="D987" s="75" t="s">
        <v>2390</v>
      </c>
      <c r="E987" s="76">
        <v>46125.0</v>
      </c>
      <c r="F987" s="78" t="s">
        <v>1366</v>
      </c>
      <c r="G987" s="76"/>
      <c r="H987" s="73"/>
      <c r="I987" s="98"/>
      <c r="J987" s="74">
        <f t="shared" si="6"/>
        <v>-46125</v>
      </c>
      <c r="L987" s="73"/>
      <c r="M987" s="73"/>
      <c r="N987" s="73"/>
      <c r="O987" s="73"/>
      <c r="P987" s="73"/>
      <c r="Q987" s="73"/>
      <c r="R987" s="73"/>
      <c r="S987" s="73"/>
      <c r="T987" s="73"/>
      <c r="U987" s="73"/>
      <c r="V987" s="73"/>
      <c r="W987" s="73"/>
      <c r="X987" s="73"/>
    </row>
    <row r="988">
      <c r="A988" s="74">
        <v>1083.0</v>
      </c>
      <c r="B988" s="74" t="s">
        <v>1896</v>
      </c>
      <c r="C988" s="74"/>
      <c r="D988" s="75" t="s">
        <v>2391</v>
      </c>
      <c r="E988" s="76">
        <v>46125.0</v>
      </c>
      <c r="F988" s="78" t="s">
        <v>1420</v>
      </c>
      <c r="G988" s="76">
        <v>46146.0</v>
      </c>
      <c r="H988" s="98" t="s">
        <v>29</v>
      </c>
      <c r="I988" s="98"/>
      <c r="J988" s="74">
        <f t="shared" si="6"/>
        <v>21</v>
      </c>
      <c r="L988" s="73"/>
      <c r="M988" s="73"/>
      <c r="N988" s="73"/>
      <c r="O988" s="73"/>
      <c r="P988" s="73"/>
      <c r="Q988" s="73"/>
      <c r="R988" s="73"/>
      <c r="S988" s="73"/>
      <c r="T988" s="73"/>
      <c r="U988" s="73"/>
      <c r="V988" s="73"/>
      <c r="W988" s="73"/>
      <c r="X988" s="73"/>
    </row>
    <row r="989">
      <c r="A989" s="74">
        <v>1084.0</v>
      </c>
      <c r="B989" s="74" t="s">
        <v>1896</v>
      </c>
      <c r="C989" s="74"/>
      <c r="D989" s="75" t="s">
        <v>2392</v>
      </c>
      <c r="E989" s="76">
        <v>46125.0</v>
      </c>
      <c r="F989" s="78" t="s">
        <v>1420</v>
      </c>
      <c r="G989" s="76">
        <v>46146.0</v>
      </c>
      <c r="H989" s="98" t="s">
        <v>29</v>
      </c>
      <c r="I989" s="98"/>
      <c r="J989" s="74">
        <f t="shared" si="6"/>
        <v>21</v>
      </c>
      <c r="L989" s="73"/>
      <c r="M989" s="73"/>
      <c r="N989" s="73"/>
      <c r="O989" s="73"/>
      <c r="P989" s="73"/>
      <c r="Q989" s="73"/>
      <c r="R989" s="73"/>
      <c r="S989" s="73"/>
      <c r="T989" s="73"/>
      <c r="U989" s="73"/>
      <c r="V989" s="73"/>
      <c r="W989" s="73"/>
      <c r="X989" s="73"/>
    </row>
    <row r="990">
      <c r="A990" s="74">
        <v>1085.0</v>
      </c>
      <c r="B990" s="74" t="s">
        <v>1896</v>
      </c>
      <c r="C990" s="74"/>
      <c r="D990" s="75" t="s">
        <v>2393</v>
      </c>
      <c r="E990" s="76">
        <v>46125.0</v>
      </c>
      <c r="F990" s="78" t="s">
        <v>1420</v>
      </c>
      <c r="G990" s="76">
        <v>46146.0</v>
      </c>
      <c r="H990" s="98" t="s">
        <v>29</v>
      </c>
      <c r="I990" s="98"/>
      <c r="J990" s="74">
        <f t="shared" si="6"/>
        <v>21</v>
      </c>
      <c r="L990" s="73"/>
      <c r="M990" s="73"/>
      <c r="N990" s="73"/>
      <c r="O990" s="73"/>
      <c r="P990" s="73"/>
      <c r="Q990" s="73"/>
      <c r="R990" s="73"/>
      <c r="S990" s="73"/>
      <c r="T990" s="73"/>
      <c r="U990" s="73"/>
      <c r="V990" s="73"/>
      <c r="W990" s="73"/>
      <c r="X990" s="73"/>
    </row>
    <row r="991">
      <c r="A991" s="74">
        <v>1086.0</v>
      </c>
      <c r="B991" s="74" t="s">
        <v>1896</v>
      </c>
      <c r="C991" s="74"/>
      <c r="D991" s="75" t="s">
        <v>2394</v>
      </c>
      <c r="E991" s="76">
        <v>46125.0</v>
      </c>
      <c r="F991" s="78" t="s">
        <v>1420</v>
      </c>
      <c r="G991" s="76">
        <v>46146.0</v>
      </c>
      <c r="H991" s="98" t="s">
        <v>29</v>
      </c>
      <c r="I991" s="98"/>
      <c r="J991" s="74">
        <f t="shared" si="6"/>
        <v>21</v>
      </c>
      <c r="L991" s="73"/>
      <c r="M991" s="73"/>
      <c r="N991" s="73"/>
      <c r="O991" s="73"/>
      <c r="P991" s="73"/>
      <c r="Q991" s="73"/>
      <c r="R991" s="73"/>
      <c r="S991" s="73"/>
      <c r="T991" s="73"/>
      <c r="U991" s="73"/>
      <c r="V991" s="73"/>
      <c r="W991" s="73"/>
      <c r="X991" s="73"/>
    </row>
    <row r="992">
      <c r="A992" s="74">
        <v>1087.0</v>
      </c>
      <c r="B992" s="74" t="s">
        <v>1896</v>
      </c>
      <c r="C992" s="74"/>
      <c r="D992" s="75" t="s">
        <v>2395</v>
      </c>
      <c r="E992" s="76">
        <v>46126.0</v>
      </c>
      <c r="F992" s="78" t="s">
        <v>1420</v>
      </c>
      <c r="G992" s="76">
        <v>46146.0</v>
      </c>
      <c r="H992" s="98" t="s">
        <v>29</v>
      </c>
      <c r="I992" s="98"/>
      <c r="J992" s="74">
        <f t="shared" si="6"/>
        <v>20</v>
      </c>
      <c r="L992" s="73"/>
      <c r="M992" s="73"/>
      <c r="N992" s="73"/>
      <c r="O992" s="73"/>
      <c r="P992" s="73"/>
      <c r="Q992" s="73"/>
      <c r="R992" s="73"/>
      <c r="S992" s="73"/>
      <c r="T992" s="73"/>
      <c r="U992" s="73"/>
      <c r="V992" s="73"/>
      <c r="W992" s="73"/>
      <c r="X992" s="73"/>
    </row>
    <row r="993">
      <c r="A993" s="74">
        <v>1088.0</v>
      </c>
      <c r="B993" s="74" t="s">
        <v>1896</v>
      </c>
      <c r="C993" s="74"/>
      <c r="D993" s="75" t="s">
        <v>2396</v>
      </c>
      <c r="E993" s="76">
        <v>46126.0</v>
      </c>
      <c r="F993" s="78" t="s">
        <v>1420</v>
      </c>
      <c r="G993" s="76">
        <v>46146.0</v>
      </c>
      <c r="H993" s="98" t="s">
        <v>29</v>
      </c>
      <c r="I993" s="98"/>
      <c r="J993" s="74">
        <f t="shared" si="6"/>
        <v>20</v>
      </c>
      <c r="L993" s="73"/>
      <c r="M993" s="73"/>
      <c r="N993" s="73"/>
      <c r="O993" s="73"/>
      <c r="P993" s="73"/>
      <c r="Q993" s="73"/>
      <c r="R993" s="73"/>
      <c r="S993" s="73"/>
      <c r="T993" s="73"/>
      <c r="U993" s="73"/>
      <c r="V993" s="73"/>
      <c r="W993" s="73"/>
      <c r="X993" s="73"/>
    </row>
    <row r="994">
      <c r="A994" s="74">
        <v>1089.0</v>
      </c>
      <c r="B994" s="74" t="s">
        <v>1896</v>
      </c>
      <c r="C994" s="74"/>
      <c r="D994" s="75" t="s">
        <v>2397</v>
      </c>
      <c r="E994" s="76">
        <v>46126.0</v>
      </c>
      <c r="F994" s="78" t="s">
        <v>1420</v>
      </c>
      <c r="G994" s="76">
        <v>46146.0</v>
      </c>
      <c r="H994" s="98" t="s">
        <v>29</v>
      </c>
      <c r="I994" s="98"/>
      <c r="J994" s="74">
        <f t="shared" si="6"/>
        <v>20</v>
      </c>
      <c r="L994" s="73"/>
      <c r="M994" s="73"/>
      <c r="N994" s="73"/>
      <c r="O994" s="73"/>
      <c r="P994" s="73"/>
      <c r="Q994" s="73"/>
      <c r="R994" s="73"/>
      <c r="S994" s="73"/>
      <c r="T994" s="73"/>
      <c r="U994" s="73"/>
      <c r="V994" s="73"/>
      <c r="W994" s="73"/>
      <c r="X994" s="73"/>
    </row>
    <row r="995">
      <c r="A995" s="74">
        <v>1090.0</v>
      </c>
      <c r="B995" s="74" t="s">
        <v>1896</v>
      </c>
      <c r="C995" s="74"/>
      <c r="D995" s="75" t="s">
        <v>2398</v>
      </c>
      <c r="E995" s="76">
        <v>46126.0</v>
      </c>
      <c r="F995" s="78" t="s">
        <v>1420</v>
      </c>
      <c r="G995" s="76">
        <v>46146.0</v>
      </c>
      <c r="H995" s="98" t="s">
        <v>29</v>
      </c>
      <c r="I995" s="98"/>
      <c r="J995" s="74">
        <f t="shared" si="6"/>
        <v>20</v>
      </c>
      <c r="L995" s="73"/>
      <c r="M995" s="73"/>
      <c r="N995" s="73"/>
      <c r="O995" s="73"/>
      <c r="P995" s="73"/>
      <c r="Q995" s="73"/>
      <c r="R995" s="73"/>
      <c r="S995" s="73"/>
      <c r="T995" s="73"/>
      <c r="U995" s="73"/>
      <c r="V995" s="73"/>
      <c r="W995" s="73"/>
      <c r="X995" s="73"/>
    </row>
    <row r="996">
      <c r="A996" s="74">
        <v>1091.0</v>
      </c>
      <c r="B996" s="74" t="s">
        <v>1896</v>
      </c>
      <c r="C996" s="74"/>
      <c r="D996" s="75" t="s">
        <v>2399</v>
      </c>
      <c r="E996" s="76">
        <v>46126.0</v>
      </c>
      <c r="F996" s="78" t="s">
        <v>1420</v>
      </c>
      <c r="G996" s="76">
        <v>46146.0</v>
      </c>
      <c r="H996" s="98" t="s">
        <v>29</v>
      </c>
      <c r="I996" s="98"/>
      <c r="J996" s="74">
        <f t="shared" si="6"/>
        <v>20</v>
      </c>
      <c r="L996" s="73"/>
      <c r="M996" s="73"/>
      <c r="N996" s="73"/>
      <c r="O996" s="73"/>
      <c r="P996" s="73"/>
      <c r="Q996" s="73"/>
      <c r="R996" s="73"/>
      <c r="S996" s="73"/>
      <c r="T996" s="73"/>
      <c r="U996" s="73"/>
      <c r="V996" s="73"/>
      <c r="W996" s="73"/>
      <c r="X996" s="73"/>
    </row>
    <row r="997" ht="14.25" customHeight="1">
      <c r="A997" s="74">
        <v>1092.0</v>
      </c>
      <c r="B997" s="74" t="s">
        <v>1896</v>
      </c>
      <c r="C997" s="74"/>
      <c r="D997" s="75" t="s">
        <v>2400</v>
      </c>
      <c r="E997" s="76">
        <v>46126.0</v>
      </c>
      <c r="F997" s="78" t="s">
        <v>1366</v>
      </c>
      <c r="G997" s="76"/>
      <c r="H997" s="73"/>
      <c r="I997" s="98"/>
      <c r="J997" s="74">
        <f t="shared" si="6"/>
        <v>-46126</v>
      </c>
      <c r="L997" s="73"/>
      <c r="M997" s="73"/>
      <c r="N997" s="73"/>
      <c r="O997" s="73"/>
      <c r="P997" s="73"/>
      <c r="Q997" s="73"/>
      <c r="R997" s="73"/>
      <c r="S997" s="73"/>
      <c r="T997" s="73"/>
      <c r="U997" s="73"/>
      <c r="V997" s="73"/>
      <c r="W997" s="73"/>
      <c r="X997" s="73"/>
    </row>
    <row r="998">
      <c r="A998" s="74">
        <v>1093.0</v>
      </c>
      <c r="B998" s="74" t="s">
        <v>1896</v>
      </c>
      <c r="C998" s="74"/>
      <c r="D998" s="75" t="s">
        <v>2401</v>
      </c>
      <c r="E998" s="76">
        <v>46126.0</v>
      </c>
      <c r="F998" s="78" t="s">
        <v>1366</v>
      </c>
      <c r="G998" s="76"/>
      <c r="H998" s="73"/>
      <c r="I998" s="98"/>
      <c r="J998" s="74">
        <f t="shared" si="6"/>
        <v>-46126</v>
      </c>
      <c r="L998" s="73"/>
      <c r="M998" s="73"/>
      <c r="N998" s="73"/>
      <c r="O998" s="73"/>
      <c r="P998" s="73"/>
      <c r="Q998" s="73"/>
      <c r="R998" s="73"/>
      <c r="S998" s="73"/>
      <c r="T998" s="73"/>
      <c r="U998" s="73"/>
      <c r="V998" s="73"/>
      <c r="W998" s="73"/>
      <c r="X998" s="73"/>
    </row>
    <row r="999">
      <c r="A999" s="74">
        <v>1094.0</v>
      </c>
      <c r="B999" s="74" t="s">
        <v>1896</v>
      </c>
      <c r="C999" s="74"/>
      <c r="D999" s="75" t="s">
        <v>2402</v>
      </c>
      <c r="E999" s="76">
        <v>46127.0</v>
      </c>
      <c r="F999" s="78" t="s">
        <v>1420</v>
      </c>
      <c r="G999" s="76">
        <v>46146.0</v>
      </c>
      <c r="H999" s="98" t="s">
        <v>29</v>
      </c>
      <c r="I999" s="98"/>
      <c r="J999" s="74">
        <f t="shared" si="6"/>
        <v>19</v>
      </c>
      <c r="L999" s="73"/>
      <c r="M999" s="73"/>
      <c r="N999" s="73"/>
      <c r="O999" s="73"/>
      <c r="P999" s="73"/>
      <c r="Q999" s="73"/>
      <c r="R999" s="73"/>
      <c r="S999" s="73"/>
      <c r="T999" s="73"/>
      <c r="U999" s="73"/>
      <c r="V999" s="73"/>
      <c r="W999" s="73"/>
      <c r="X999" s="73"/>
    </row>
    <row r="1000">
      <c r="A1000" s="74">
        <v>1095.0</v>
      </c>
      <c r="B1000" s="74" t="s">
        <v>1896</v>
      </c>
      <c r="C1000" s="74"/>
      <c r="D1000" s="75" t="s">
        <v>2403</v>
      </c>
      <c r="E1000" s="76">
        <v>46127.0</v>
      </c>
      <c r="F1000" s="78" t="s">
        <v>1420</v>
      </c>
      <c r="G1000" s="76">
        <v>46146.0</v>
      </c>
      <c r="H1000" s="98" t="s">
        <v>29</v>
      </c>
      <c r="I1000" s="98"/>
      <c r="J1000" s="74">
        <f t="shared" si="6"/>
        <v>19</v>
      </c>
      <c r="L1000" s="73"/>
      <c r="M1000" s="73"/>
      <c r="N1000" s="73"/>
      <c r="O1000" s="73"/>
      <c r="P1000" s="73"/>
      <c r="Q1000" s="73"/>
      <c r="R1000" s="73"/>
      <c r="S1000" s="73"/>
      <c r="T1000" s="73"/>
      <c r="U1000" s="73"/>
      <c r="V1000" s="73"/>
      <c r="W1000" s="73"/>
      <c r="X1000" s="73"/>
    </row>
    <row r="1001">
      <c r="A1001" s="74">
        <v>1096.0</v>
      </c>
      <c r="B1001" s="74" t="s">
        <v>1896</v>
      </c>
      <c r="C1001" s="74"/>
      <c r="D1001" s="75" t="s">
        <v>2404</v>
      </c>
      <c r="E1001" s="76">
        <v>46127.0</v>
      </c>
      <c r="F1001" s="78" t="s">
        <v>1420</v>
      </c>
      <c r="G1001" s="76">
        <v>46146.0</v>
      </c>
      <c r="H1001" s="98" t="s">
        <v>29</v>
      </c>
      <c r="I1001" s="98"/>
      <c r="J1001" s="74">
        <f t="shared" si="6"/>
        <v>19</v>
      </c>
      <c r="L1001" s="73"/>
      <c r="M1001" s="73"/>
      <c r="N1001" s="73"/>
      <c r="O1001" s="73"/>
      <c r="P1001" s="73"/>
      <c r="Q1001" s="73"/>
      <c r="R1001" s="73"/>
      <c r="S1001" s="73"/>
      <c r="T1001" s="73"/>
      <c r="U1001" s="73"/>
      <c r="V1001" s="73"/>
      <c r="W1001" s="73"/>
      <c r="X1001" s="73"/>
    </row>
    <row r="1002">
      <c r="A1002" s="74">
        <v>1097.0</v>
      </c>
      <c r="B1002" s="74" t="s">
        <v>1896</v>
      </c>
      <c r="C1002" s="74"/>
      <c r="D1002" s="75" t="s">
        <v>2405</v>
      </c>
      <c r="E1002" s="76">
        <v>46127.0</v>
      </c>
      <c r="F1002" s="78" t="s">
        <v>1420</v>
      </c>
      <c r="G1002" s="76">
        <v>46146.0</v>
      </c>
      <c r="H1002" s="98" t="s">
        <v>29</v>
      </c>
      <c r="I1002" s="98"/>
      <c r="J1002" s="74">
        <f t="shared" si="6"/>
        <v>19</v>
      </c>
      <c r="L1002" s="73"/>
      <c r="M1002" s="73"/>
      <c r="N1002" s="73"/>
      <c r="O1002" s="73"/>
      <c r="P1002" s="73"/>
      <c r="Q1002" s="73"/>
      <c r="R1002" s="73"/>
      <c r="S1002" s="73"/>
      <c r="T1002" s="73"/>
      <c r="U1002" s="73"/>
      <c r="V1002" s="73"/>
      <c r="W1002" s="73"/>
      <c r="X1002" s="73"/>
    </row>
    <row r="1003">
      <c r="A1003" s="74">
        <v>1098.0</v>
      </c>
      <c r="B1003" s="74" t="s">
        <v>1896</v>
      </c>
      <c r="C1003" s="74"/>
      <c r="D1003" s="75" t="s">
        <v>2406</v>
      </c>
      <c r="E1003" s="76">
        <v>46127.0</v>
      </c>
      <c r="F1003" s="78" t="s">
        <v>1420</v>
      </c>
      <c r="G1003" s="76">
        <v>46146.0</v>
      </c>
      <c r="H1003" s="98" t="s">
        <v>29</v>
      </c>
      <c r="I1003" s="98"/>
      <c r="J1003" s="74">
        <f t="shared" si="6"/>
        <v>19</v>
      </c>
      <c r="L1003" s="73"/>
      <c r="M1003" s="73"/>
      <c r="N1003" s="73"/>
      <c r="O1003" s="73"/>
      <c r="P1003" s="73"/>
      <c r="Q1003" s="73"/>
      <c r="R1003" s="73"/>
      <c r="S1003" s="73"/>
      <c r="T1003" s="73"/>
      <c r="U1003" s="73"/>
      <c r="V1003" s="73"/>
      <c r="W1003" s="73"/>
      <c r="X1003" s="73"/>
    </row>
    <row r="1004">
      <c r="A1004" s="74">
        <v>1099.0</v>
      </c>
      <c r="B1004" s="74" t="s">
        <v>1896</v>
      </c>
      <c r="C1004" s="74"/>
      <c r="D1004" s="75" t="s">
        <v>2407</v>
      </c>
      <c r="E1004" s="76">
        <v>46127.0</v>
      </c>
      <c r="F1004" s="78" t="s">
        <v>1420</v>
      </c>
      <c r="G1004" s="76">
        <v>46146.0</v>
      </c>
      <c r="H1004" s="98" t="s">
        <v>29</v>
      </c>
      <c r="I1004" s="98"/>
      <c r="J1004" s="74">
        <f t="shared" si="6"/>
        <v>19</v>
      </c>
      <c r="L1004" s="73"/>
      <c r="M1004" s="73"/>
      <c r="N1004" s="73"/>
      <c r="O1004" s="73"/>
      <c r="P1004" s="73"/>
      <c r="Q1004" s="73"/>
      <c r="R1004" s="73"/>
      <c r="S1004" s="73"/>
      <c r="T1004" s="73"/>
      <c r="U1004" s="73"/>
      <c r="V1004" s="73"/>
      <c r="W1004" s="73"/>
      <c r="X1004" s="73"/>
    </row>
    <row r="1005">
      <c r="A1005" s="74">
        <v>1100.0</v>
      </c>
      <c r="B1005" s="74" t="s">
        <v>1896</v>
      </c>
      <c r="C1005" s="74"/>
      <c r="D1005" s="75" t="s">
        <v>2408</v>
      </c>
      <c r="E1005" s="76">
        <v>46127.0</v>
      </c>
      <c r="F1005" s="78" t="s">
        <v>1420</v>
      </c>
      <c r="G1005" s="76">
        <v>46146.0</v>
      </c>
      <c r="H1005" s="98" t="s">
        <v>29</v>
      </c>
      <c r="I1005" s="98"/>
      <c r="J1005" s="74">
        <f t="shared" si="6"/>
        <v>19</v>
      </c>
      <c r="L1005" s="73"/>
      <c r="M1005" s="73"/>
      <c r="N1005" s="73"/>
      <c r="O1005" s="73"/>
      <c r="P1005" s="73"/>
      <c r="Q1005" s="73"/>
      <c r="R1005" s="73"/>
      <c r="S1005" s="73"/>
      <c r="T1005" s="73"/>
      <c r="U1005" s="73"/>
      <c r="V1005" s="73"/>
      <c r="W1005" s="73"/>
      <c r="X1005" s="73"/>
    </row>
    <row r="1006">
      <c r="A1006" s="74">
        <v>1101.0</v>
      </c>
      <c r="B1006" s="74" t="s">
        <v>1896</v>
      </c>
      <c r="C1006" s="74"/>
      <c r="D1006" s="75" t="s">
        <v>2409</v>
      </c>
      <c r="E1006" s="76">
        <v>46127.0</v>
      </c>
      <c r="F1006" s="78" t="s">
        <v>1420</v>
      </c>
      <c r="G1006" s="76">
        <v>46146.0</v>
      </c>
      <c r="H1006" s="98" t="s">
        <v>29</v>
      </c>
      <c r="I1006" s="98"/>
      <c r="J1006" s="74">
        <f t="shared" si="6"/>
        <v>19</v>
      </c>
      <c r="L1006" s="73"/>
      <c r="M1006" s="73"/>
      <c r="N1006" s="73"/>
      <c r="O1006" s="73"/>
      <c r="P1006" s="73"/>
      <c r="Q1006" s="73"/>
      <c r="R1006" s="73"/>
      <c r="S1006" s="73"/>
      <c r="T1006" s="73"/>
      <c r="U1006" s="73"/>
      <c r="V1006" s="73"/>
      <c r="W1006" s="73"/>
      <c r="X1006" s="73"/>
    </row>
    <row r="1007" ht="15.75" customHeight="1">
      <c r="A1007" s="74">
        <v>1102.0</v>
      </c>
      <c r="B1007" s="74" t="s">
        <v>1896</v>
      </c>
      <c r="C1007" s="74"/>
      <c r="D1007" s="75" t="s">
        <v>2410</v>
      </c>
      <c r="E1007" s="76">
        <v>46127.0</v>
      </c>
      <c r="F1007" s="78" t="s">
        <v>1420</v>
      </c>
      <c r="G1007" s="76">
        <v>46146.0</v>
      </c>
      <c r="H1007" s="98" t="s">
        <v>29</v>
      </c>
      <c r="I1007" s="98"/>
      <c r="J1007" s="74">
        <f t="shared" si="6"/>
        <v>19</v>
      </c>
      <c r="L1007" s="73"/>
      <c r="M1007" s="73"/>
      <c r="N1007" s="73"/>
      <c r="O1007" s="73"/>
      <c r="P1007" s="73"/>
      <c r="Q1007" s="73"/>
      <c r="R1007" s="73"/>
      <c r="S1007" s="73"/>
      <c r="T1007" s="73"/>
      <c r="U1007" s="73"/>
      <c r="V1007" s="73"/>
      <c r="W1007" s="73"/>
      <c r="X1007" s="73"/>
    </row>
    <row r="1008">
      <c r="A1008" s="74">
        <v>1103.0</v>
      </c>
      <c r="B1008" s="74" t="s">
        <v>1896</v>
      </c>
      <c r="C1008" s="74"/>
      <c r="D1008" s="75" t="s">
        <v>2411</v>
      </c>
      <c r="E1008" s="76">
        <v>46127.0</v>
      </c>
      <c r="F1008" s="78" t="s">
        <v>1420</v>
      </c>
      <c r="G1008" s="76">
        <v>46146.0</v>
      </c>
      <c r="H1008" s="98" t="s">
        <v>29</v>
      </c>
      <c r="I1008" s="98"/>
      <c r="J1008" s="74">
        <f t="shared" si="6"/>
        <v>19</v>
      </c>
      <c r="L1008" s="73"/>
      <c r="M1008" s="73"/>
      <c r="N1008" s="73"/>
      <c r="O1008" s="73"/>
      <c r="P1008" s="73"/>
      <c r="Q1008" s="73"/>
      <c r="R1008" s="73"/>
      <c r="S1008" s="73"/>
      <c r="T1008" s="73"/>
      <c r="U1008" s="73"/>
      <c r="V1008" s="73"/>
      <c r="W1008" s="73"/>
      <c r="X1008" s="73"/>
    </row>
    <row r="1009">
      <c r="A1009" s="74">
        <v>1104.0</v>
      </c>
      <c r="B1009" s="74" t="s">
        <v>1896</v>
      </c>
      <c r="C1009" s="74"/>
      <c r="D1009" s="75" t="s">
        <v>2412</v>
      </c>
      <c r="E1009" s="76">
        <v>46127.0</v>
      </c>
      <c r="F1009" s="78" t="s">
        <v>1420</v>
      </c>
      <c r="G1009" s="76">
        <v>46146.0</v>
      </c>
      <c r="H1009" s="98" t="s">
        <v>29</v>
      </c>
      <c r="I1009" s="98"/>
      <c r="J1009" s="74">
        <f t="shared" si="6"/>
        <v>19</v>
      </c>
      <c r="L1009" s="73"/>
      <c r="M1009" s="73"/>
      <c r="N1009" s="73"/>
      <c r="O1009" s="73"/>
      <c r="P1009" s="73"/>
      <c r="Q1009" s="73"/>
      <c r="R1009" s="73"/>
      <c r="S1009" s="73"/>
      <c r="T1009" s="73"/>
      <c r="U1009" s="73"/>
      <c r="V1009" s="73"/>
      <c r="W1009" s="73"/>
      <c r="X1009" s="73"/>
    </row>
    <row r="1010">
      <c r="A1010" s="74">
        <v>1105.0</v>
      </c>
      <c r="B1010" s="74" t="s">
        <v>1896</v>
      </c>
      <c r="C1010" s="74"/>
      <c r="D1010" s="75" t="s">
        <v>2413</v>
      </c>
      <c r="E1010" s="76">
        <v>46127.0</v>
      </c>
      <c r="F1010" s="78" t="s">
        <v>1420</v>
      </c>
      <c r="G1010" s="76">
        <v>46146.0</v>
      </c>
      <c r="H1010" s="98" t="s">
        <v>29</v>
      </c>
      <c r="I1010" s="98"/>
      <c r="J1010" s="74">
        <f t="shared" si="6"/>
        <v>19</v>
      </c>
      <c r="L1010" s="73"/>
      <c r="M1010" s="73"/>
      <c r="N1010" s="73"/>
      <c r="O1010" s="73"/>
      <c r="P1010" s="73"/>
      <c r="Q1010" s="73"/>
      <c r="R1010" s="73"/>
      <c r="S1010" s="73"/>
      <c r="T1010" s="73"/>
      <c r="U1010" s="73"/>
      <c r="V1010" s="73"/>
      <c r="W1010" s="73"/>
      <c r="X1010" s="73"/>
    </row>
    <row r="1011">
      <c r="A1011" s="74">
        <v>1106.0</v>
      </c>
      <c r="B1011" s="74" t="s">
        <v>1896</v>
      </c>
      <c r="C1011" s="74"/>
      <c r="D1011" s="75" t="s">
        <v>2414</v>
      </c>
      <c r="E1011" s="76">
        <v>46127.0</v>
      </c>
      <c r="F1011" s="78" t="s">
        <v>1420</v>
      </c>
      <c r="G1011" s="76">
        <v>46146.0</v>
      </c>
      <c r="H1011" s="98" t="s">
        <v>29</v>
      </c>
      <c r="I1011" s="98"/>
      <c r="J1011" s="74">
        <f t="shared" si="6"/>
        <v>19</v>
      </c>
      <c r="L1011" s="73"/>
      <c r="M1011" s="73"/>
      <c r="N1011" s="73"/>
      <c r="O1011" s="73"/>
      <c r="P1011" s="73"/>
      <c r="Q1011" s="73"/>
      <c r="R1011" s="73"/>
      <c r="S1011" s="73"/>
      <c r="T1011" s="73"/>
      <c r="U1011" s="73"/>
      <c r="V1011" s="73"/>
      <c r="W1011" s="73"/>
      <c r="X1011" s="73"/>
    </row>
    <row r="1012">
      <c r="A1012" s="74">
        <v>1107.0</v>
      </c>
      <c r="B1012" s="74" t="s">
        <v>1896</v>
      </c>
      <c r="C1012" s="74"/>
      <c r="D1012" s="75" t="s">
        <v>2415</v>
      </c>
      <c r="E1012" s="76">
        <v>46127.0</v>
      </c>
      <c r="F1012" s="78" t="s">
        <v>1420</v>
      </c>
      <c r="G1012" s="76">
        <v>46146.0</v>
      </c>
      <c r="H1012" s="98" t="s">
        <v>29</v>
      </c>
      <c r="I1012" s="98"/>
      <c r="J1012" s="74">
        <f t="shared" si="6"/>
        <v>19</v>
      </c>
      <c r="L1012" s="73"/>
      <c r="M1012" s="73"/>
      <c r="N1012" s="73"/>
      <c r="O1012" s="73"/>
      <c r="P1012" s="73"/>
      <c r="Q1012" s="73"/>
      <c r="R1012" s="73"/>
      <c r="S1012" s="73"/>
      <c r="T1012" s="73"/>
      <c r="U1012" s="73"/>
      <c r="V1012" s="73"/>
      <c r="W1012" s="73"/>
      <c r="X1012" s="73"/>
    </row>
    <row r="1013">
      <c r="A1013" s="74">
        <v>1108.0</v>
      </c>
      <c r="B1013" s="74" t="s">
        <v>1896</v>
      </c>
      <c r="C1013" s="74"/>
      <c r="D1013" s="75" t="s">
        <v>2416</v>
      </c>
      <c r="E1013" s="76">
        <v>46127.0</v>
      </c>
      <c r="F1013" s="78" t="s">
        <v>1420</v>
      </c>
      <c r="G1013" s="76">
        <v>46146.0</v>
      </c>
      <c r="H1013" s="98" t="s">
        <v>29</v>
      </c>
      <c r="I1013" s="98"/>
      <c r="J1013" s="74">
        <f t="shared" si="6"/>
        <v>19</v>
      </c>
      <c r="L1013" s="73"/>
      <c r="M1013" s="73"/>
      <c r="N1013" s="73"/>
      <c r="O1013" s="73"/>
      <c r="P1013" s="73"/>
      <c r="Q1013" s="73"/>
      <c r="R1013" s="73"/>
      <c r="S1013" s="73"/>
      <c r="T1013" s="73"/>
      <c r="U1013" s="73"/>
      <c r="V1013" s="73"/>
      <c r="W1013" s="73"/>
      <c r="X1013" s="73"/>
    </row>
    <row r="1014">
      <c r="A1014" s="74">
        <v>1109.0</v>
      </c>
      <c r="B1014" s="74" t="s">
        <v>1896</v>
      </c>
      <c r="C1014" s="74"/>
      <c r="D1014" s="75" t="s">
        <v>2417</v>
      </c>
      <c r="E1014" s="76">
        <v>46127.0</v>
      </c>
      <c r="F1014" s="78" t="s">
        <v>1420</v>
      </c>
      <c r="G1014" s="76">
        <v>46146.0</v>
      </c>
      <c r="H1014" s="98" t="s">
        <v>29</v>
      </c>
      <c r="I1014" s="98"/>
      <c r="J1014" s="74">
        <f t="shared" si="6"/>
        <v>19</v>
      </c>
      <c r="L1014" s="73"/>
      <c r="M1014" s="73"/>
      <c r="N1014" s="73"/>
      <c r="O1014" s="73"/>
      <c r="P1014" s="73"/>
      <c r="Q1014" s="73"/>
      <c r="R1014" s="73"/>
      <c r="S1014" s="73"/>
      <c r="T1014" s="73"/>
      <c r="U1014" s="73"/>
      <c r="V1014" s="73"/>
      <c r="W1014" s="73"/>
      <c r="X1014" s="73"/>
    </row>
    <row r="1015">
      <c r="A1015" s="74">
        <v>1110.0</v>
      </c>
      <c r="B1015" s="74" t="s">
        <v>1510</v>
      </c>
      <c r="C1015" s="74"/>
      <c r="D1015" s="75" t="s">
        <v>2418</v>
      </c>
      <c r="E1015" s="76">
        <v>46149.0</v>
      </c>
      <c r="F1015" s="78" t="s">
        <v>1420</v>
      </c>
      <c r="G1015" s="76">
        <v>46177.0</v>
      </c>
      <c r="H1015" s="98" t="s">
        <v>29</v>
      </c>
      <c r="I1015" s="98"/>
      <c r="J1015" s="74">
        <f t="shared" si="6"/>
        <v>28</v>
      </c>
      <c r="L1015" s="73"/>
      <c r="M1015" s="73"/>
      <c r="N1015" s="73"/>
      <c r="O1015" s="73"/>
      <c r="P1015" s="73"/>
      <c r="Q1015" s="73"/>
      <c r="R1015" s="73"/>
      <c r="S1015" s="73"/>
      <c r="T1015" s="73"/>
      <c r="U1015" s="73"/>
      <c r="V1015" s="73"/>
      <c r="W1015" s="73"/>
      <c r="X1015" s="73"/>
    </row>
    <row r="1016">
      <c r="A1016" s="74">
        <v>1111.0</v>
      </c>
      <c r="B1016" s="74" t="s">
        <v>1510</v>
      </c>
      <c r="C1016" s="74"/>
      <c r="D1016" s="75" t="s">
        <v>2419</v>
      </c>
      <c r="E1016" s="76">
        <v>46149.0</v>
      </c>
      <c r="F1016" s="78" t="s">
        <v>1420</v>
      </c>
      <c r="G1016" s="76">
        <v>46177.0</v>
      </c>
      <c r="H1016" s="98" t="s">
        <v>29</v>
      </c>
      <c r="I1016" s="98"/>
      <c r="J1016" s="74">
        <f t="shared" si="6"/>
        <v>28</v>
      </c>
      <c r="L1016" s="73"/>
      <c r="M1016" s="73"/>
      <c r="N1016" s="73"/>
      <c r="O1016" s="73"/>
      <c r="P1016" s="73"/>
      <c r="Q1016" s="73"/>
      <c r="R1016" s="73"/>
      <c r="S1016" s="73"/>
      <c r="T1016" s="73"/>
      <c r="U1016" s="73"/>
      <c r="V1016" s="73"/>
      <c r="W1016" s="73"/>
      <c r="X1016" s="73"/>
    </row>
    <row r="1017">
      <c r="A1017" s="74">
        <v>1112.0</v>
      </c>
      <c r="B1017" s="74" t="s">
        <v>1896</v>
      </c>
      <c r="C1017" s="74"/>
      <c r="D1017" s="75" t="s">
        <v>2420</v>
      </c>
      <c r="E1017" s="76">
        <v>46159.0</v>
      </c>
      <c r="F1017" s="78" t="s">
        <v>1427</v>
      </c>
      <c r="G1017" s="76">
        <v>46183.0</v>
      </c>
      <c r="H1017" s="98" t="s">
        <v>1401</v>
      </c>
      <c r="I1017" s="98"/>
      <c r="J1017" s="74">
        <f t="shared" si="6"/>
        <v>24</v>
      </c>
      <c r="L1017" s="73"/>
      <c r="M1017" s="73"/>
      <c r="N1017" s="73"/>
      <c r="O1017" s="73"/>
      <c r="P1017" s="73"/>
      <c r="Q1017" s="73"/>
      <c r="R1017" s="73"/>
      <c r="S1017" s="73"/>
      <c r="T1017" s="73"/>
      <c r="U1017" s="73"/>
      <c r="V1017" s="73"/>
      <c r="W1017" s="73"/>
      <c r="X1017" s="73"/>
    </row>
    <row r="1018">
      <c r="A1018" s="74">
        <v>1113.0</v>
      </c>
      <c r="B1018" s="74" t="s">
        <v>1896</v>
      </c>
      <c r="C1018" s="74"/>
      <c r="D1018" s="75" t="s">
        <v>2421</v>
      </c>
      <c r="E1018" s="76">
        <v>46159.0</v>
      </c>
      <c r="F1018" s="78" t="s">
        <v>1427</v>
      </c>
      <c r="G1018" s="76">
        <v>46183.0</v>
      </c>
      <c r="H1018" s="98" t="s">
        <v>1401</v>
      </c>
      <c r="I1018" s="98"/>
      <c r="J1018" s="74">
        <f t="shared" si="6"/>
        <v>24</v>
      </c>
      <c r="L1018" s="73"/>
      <c r="M1018" s="73"/>
      <c r="N1018" s="73"/>
      <c r="O1018" s="73"/>
      <c r="P1018" s="73"/>
      <c r="Q1018" s="73"/>
      <c r="R1018" s="73"/>
      <c r="S1018" s="73"/>
      <c r="T1018" s="73"/>
      <c r="U1018" s="73"/>
      <c r="V1018" s="73"/>
      <c r="W1018" s="73"/>
      <c r="X1018" s="73"/>
    </row>
    <row r="1019">
      <c r="A1019" s="74">
        <v>1114.0</v>
      </c>
      <c r="B1019" s="74" t="s">
        <v>1896</v>
      </c>
      <c r="C1019" s="74"/>
      <c r="D1019" s="75" t="s">
        <v>2422</v>
      </c>
      <c r="E1019" s="76">
        <v>46159.0</v>
      </c>
      <c r="F1019" s="78" t="s">
        <v>1427</v>
      </c>
      <c r="G1019" s="76">
        <v>46183.0</v>
      </c>
      <c r="H1019" s="98" t="s">
        <v>1401</v>
      </c>
      <c r="I1019" s="98"/>
      <c r="J1019" s="74">
        <f t="shared" si="6"/>
        <v>24</v>
      </c>
      <c r="L1019" s="73"/>
      <c r="M1019" s="73"/>
      <c r="N1019" s="73"/>
      <c r="O1019" s="73"/>
      <c r="P1019" s="73"/>
      <c r="Q1019" s="73"/>
      <c r="R1019" s="73"/>
      <c r="S1019" s="73"/>
      <c r="T1019" s="73"/>
      <c r="U1019" s="73"/>
      <c r="V1019" s="73"/>
      <c r="W1019" s="73"/>
      <c r="X1019" s="73"/>
    </row>
    <row r="1020">
      <c r="A1020" s="74">
        <v>1115.0</v>
      </c>
      <c r="B1020" s="74" t="s">
        <v>1896</v>
      </c>
      <c r="C1020" s="74"/>
      <c r="D1020" s="75" t="s">
        <v>2423</v>
      </c>
      <c r="E1020" s="76">
        <v>46159.0</v>
      </c>
      <c r="F1020" s="78" t="s">
        <v>1420</v>
      </c>
      <c r="G1020" s="76">
        <v>46183.0</v>
      </c>
      <c r="H1020" s="98" t="s">
        <v>29</v>
      </c>
      <c r="I1020" s="98"/>
      <c r="J1020" s="74">
        <f t="shared" si="6"/>
        <v>24</v>
      </c>
      <c r="L1020" s="73"/>
      <c r="M1020" s="73"/>
      <c r="N1020" s="73"/>
      <c r="O1020" s="73"/>
      <c r="P1020" s="73"/>
      <c r="Q1020" s="73"/>
      <c r="R1020" s="73"/>
      <c r="S1020" s="73"/>
      <c r="T1020" s="73"/>
      <c r="U1020" s="73"/>
      <c r="V1020" s="73"/>
      <c r="W1020" s="73"/>
      <c r="X1020" s="73"/>
    </row>
    <row r="1021">
      <c r="A1021" s="74">
        <v>1116.0</v>
      </c>
      <c r="B1021" s="74" t="s">
        <v>1896</v>
      </c>
      <c r="C1021" s="74"/>
      <c r="D1021" s="75" t="s">
        <v>2424</v>
      </c>
      <c r="E1021" s="76">
        <v>46159.0</v>
      </c>
      <c r="F1021" s="78" t="s">
        <v>1420</v>
      </c>
      <c r="G1021" s="76">
        <v>46183.0</v>
      </c>
      <c r="H1021" s="98" t="s">
        <v>29</v>
      </c>
      <c r="I1021" s="98"/>
      <c r="J1021" s="74">
        <f t="shared" si="6"/>
        <v>24</v>
      </c>
      <c r="L1021" s="73"/>
      <c r="M1021" s="73"/>
      <c r="N1021" s="73"/>
      <c r="O1021" s="73"/>
      <c r="P1021" s="73"/>
      <c r="Q1021" s="73"/>
      <c r="R1021" s="73"/>
      <c r="S1021" s="73"/>
      <c r="T1021" s="73"/>
      <c r="U1021" s="73"/>
      <c r="V1021" s="73"/>
      <c r="W1021" s="73"/>
      <c r="X1021" s="73"/>
    </row>
    <row r="1022">
      <c r="A1022" s="74">
        <v>1117.0</v>
      </c>
      <c r="B1022" s="74" t="s">
        <v>1896</v>
      </c>
      <c r="C1022" s="74"/>
      <c r="D1022" s="75" t="s">
        <v>2425</v>
      </c>
      <c r="E1022" s="76">
        <v>46159.0</v>
      </c>
      <c r="F1022" s="78" t="s">
        <v>1420</v>
      </c>
      <c r="G1022" s="76">
        <v>46183.0</v>
      </c>
      <c r="H1022" s="98" t="s">
        <v>29</v>
      </c>
      <c r="I1022" s="98"/>
      <c r="J1022" s="74">
        <f t="shared" si="6"/>
        <v>24</v>
      </c>
      <c r="L1022" s="73"/>
      <c r="M1022" s="73"/>
      <c r="N1022" s="73"/>
      <c r="O1022" s="73"/>
      <c r="P1022" s="73"/>
      <c r="Q1022" s="73"/>
      <c r="R1022" s="73"/>
      <c r="S1022" s="73"/>
      <c r="T1022" s="73"/>
      <c r="U1022" s="73"/>
      <c r="V1022" s="73"/>
      <c r="W1022" s="73"/>
      <c r="X1022" s="73"/>
    </row>
    <row r="1023">
      <c r="A1023" s="74">
        <v>1118.0</v>
      </c>
      <c r="B1023" s="74" t="s">
        <v>1896</v>
      </c>
      <c r="C1023" s="74"/>
      <c r="D1023" s="75" t="s">
        <v>2426</v>
      </c>
      <c r="E1023" s="76">
        <v>46159.0</v>
      </c>
      <c r="F1023" s="78" t="s">
        <v>1420</v>
      </c>
      <c r="G1023" s="76">
        <v>46183.0</v>
      </c>
      <c r="H1023" s="98" t="s">
        <v>29</v>
      </c>
      <c r="I1023" s="98"/>
      <c r="J1023" s="74">
        <f t="shared" si="6"/>
        <v>24</v>
      </c>
      <c r="L1023" s="73"/>
      <c r="M1023" s="73"/>
      <c r="N1023" s="73"/>
      <c r="O1023" s="73"/>
      <c r="P1023" s="73"/>
      <c r="Q1023" s="73"/>
      <c r="R1023" s="73"/>
      <c r="S1023" s="73"/>
      <c r="T1023" s="73"/>
      <c r="U1023" s="73"/>
      <c r="V1023" s="73"/>
      <c r="W1023" s="73"/>
      <c r="X1023" s="73"/>
    </row>
    <row r="1024">
      <c r="A1024" s="74">
        <v>1119.0</v>
      </c>
      <c r="B1024" s="74" t="s">
        <v>1896</v>
      </c>
      <c r="C1024" s="74"/>
      <c r="D1024" s="75" t="s">
        <v>2427</v>
      </c>
      <c r="E1024" s="76">
        <v>46159.0</v>
      </c>
      <c r="F1024" s="78" t="s">
        <v>1420</v>
      </c>
      <c r="G1024" s="76">
        <v>46183.0</v>
      </c>
      <c r="H1024" s="98" t="s">
        <v>29</v>
      </c>
      <c r="I1024" s="98"/>
      <c r="J1024" s="74">
        <f t="shared" si="6"/>
        <v>24</v>
      </c>
      <c r="L1024" s="73"/>
      <c r="M1024" s="73"/>
      <c r="N1024" s="73"/>
      <c r="O1024" s="73"/>
      <c r="P1024" s="73"/>
      <c r="Q1024" s="73"/>
      <c r="R1024" s="73"/>
      <c r="S1024" s="73"/>
      <c r="T1024" s="73"/>
      <c r="U1024" s="73"/>
      <c r="V1024" s="73"/>
      <c r="W1024" s="73"/>
      <c r="X1024" s="73"/>
    </row>
    <row r="1025">
      <c r="A1025" s="74">
        <v>1120.0</v>
      </c>
      <c r="B1025" s="74" t="s">
        <v>1896</v>
      </c>
      <c r="C1025" s="74"/>
      <c r="D1025" s="75" t="s">
        <v>2428</v>
      </c>
      <c r="E1025" s="76">
        <v>46159.0</v>
      </c>
      <c r="F1025" s="78" t="s">
        <v>1420</v>
      </c>
      <c r="G1025" s="76">
        <v>46183.0</v>
      </c>
      <c r="H1025" s="98" t="s">
        <v>29</v>
      </c>
      <c r="I1025" s="98"/>
      <c r="J1025" s="74">
        <f t="shared" si="6"/>
        <v>24</v>
      </c>
      <c r="L1025" s="73"/>
      <c r="M1025" s="73"/>
      <c r="N1025" s="73"/>
      <c r="O1025" s="73"/>
      <c r="P1025" s="73"/>
      <c r="Q1025" s="73"/>
      <c r="R1025" s="73"/>
      <c r="S1025" s="73"/>
      <c r="T1025" s="73"/>
      <c r="U1025" s="73"/>
      <c r="V1025" s="73"/>
      <c r="W1025" s="73"/>
      <c r="X1025" s="73"/>
    </row>
    <row r="1026">
      <c r="A1026" s="74">
        <v>1121.0</v>
      </c>
      <c r="B1026" s="74" t="s">
        <v>1896</v>
      </c>
      <c r="C1026" s="74"/>
      <c r="D1026" s="75" t="s">
        <v>2429</v>
      </c>
      <c r="E1026" s="76">
        <v>46159.0</v>
      </c>
      <c r="F1026" s="78" t="s">
        <v>1420</v>
      </c>
      <c r="G1026" s="76">
        <v>46183.0</v>
      </c>
      <c r="H1026" s="98" t="s">
        <v>29</v>
      </c>
      <c r="I1026" s="98"/>
      <c r="J1026" s="74">
        <f t="shared" si="6"/>
        <v>24</v>
      </c>
      <c r="L1026" s="73"/>
      <c r="M1026" s="73"/>
      <c r="N1026" s="73"/>
      <c r="O1026" s="73"/>
      <c r="P1026" s="73"/>
      <c r="Q1026" s="73"/>
      <c r="R1026" s="73"/>
      <c r="S1026" s="73"/>
      <c r="T1026" s="73"/>
      <c r="U1026" s="73"/>
      <c r="V1026" s="73"/>
      <c r="W1026" s="73"/>
      <c r="X1026" s="73"/>
    </row>
    <row r="1027">
      <c r="A1027" s="74">
        <v>1122.0</v>
      </c>
      <c r="B1027" s="74" t="s">
        <v>1896</v>
      </c>
      <c r="C1027" s="74"/>
      <c r="D1027" s="75" t="s">
        <v>2430</v>
      </c>
      <c r="E1027" s="76">
        <v>46159.0</v>
      </c>
      <c r="F1027" s="78" t="s">
        <v>1420</v>
      </c>
      <c r="G1027" s="76">
        <v>46183.0</v>
      </c>
      <c r="H1027" s="98" t="s">
        <v>29</v>
      </c>
      <c r="I1027" s="98"/>
      <c r="J1027" s="74">
        <f t="shared" si="6"/>
        <v>24</v>
      </c>
      <c r="L1027" s="73"/>
      <c r="M1027" s="73"/>
      <c r="N1027" s="73"/>
      <c r="O1027" s="73"/>
      <c r="P1027" s="73"/>
      <c r="Q1027" s="73"/>
      <c r="R1027" s="73"/>
      <c r="S1027" s="73"/>
      <c r="T1027" s="73"/>
      <c r="U1027" s="73"/>
      <c r="V1027" s="73"/>
      <c r="W1027" s="73"/>
      <c r="X1027" s="73"/>
    </row>
    <row r="1028">
      <c r="A1028" s="74">
        <v>1123.0</v>
      </c>
      <c r="B1028" s="74" t="s">
        <v>2205</v>
      </c>
      <c r="C1028" s="74"/>
      <c r="D1028" s="75" t="s">
        <v>2431</v>
      </c>
      <c r="E1028" s="76">
        <v>46159.0</v>
      </c>
      <c r="F1028" s="78" t="s">
        <v>1420</v>
      </c>
      <c r="G1028" s="76">
        <v>46183.0</v>
      </c>
      <c r="H1028" s="98" t="s">
        <v>29</v>
      </c>
      <c r="I1028" s="98"/>
      <c r="J1028" s="74">
        <f t="shared" si="6"/>
        <v>24</v>
      </c>
      <c r="L1028" s="73"/>
      <c r="M1028" s="73"/>
      <c r="N1028" s="73"/>
      <c r="O1028" s="73"/>
      <c r="P1028" s="73"/>
      <c r="Q1028" s="73"/>
      <c r="R1028" s="73"/>
      <c r="S1028" s="73"/>
      <c r="T1028" s="73"/>
      <c r="U1028" s="73"/>
      <c r="V1028" s="73"/>
      <c r="W1028" s="73"/>
      <c r="X1028" s="73"/>
    </row>
    <row r="1029">
      <c r="A1029" s="74">
        <v>1124.0</v>
      </c>
      <c r="B1029" s="74" t="s">
        <v>2205</v>
      </c>
      <c r="C1029" s="74"/>
      <c r="D1029" s="75" t="s">
        <v>2432</v>
      </c>
      <c r="E1029" s="76">
        <v>46159.0</v>
      </c>
      <c r="F1029" s="78" t="s">
        <v>1420</v>
      </c>
      <c r="G1029" s="76">
        <v>46183.0</v>
      </c>
      <c r="H1029" s="98" t="s">
        <v>29</v>
      </c>
      <c r="I1029" s="98"/>
      <c r="J1029" s="74">
        <f t="shared" si="6"/>
        <v>24</v>
      </c>
      <c r="L1029" s="73"/>
      <c r="M1029" s="73"/>
      <c r="N1029" s="73"/>
      <c r="O1029" s="73"/>
      <c r="P1029" s="73"/>
      <c r="Q1029" s="73"/>
      <c r="R1029" s="73"/>
      <c r="S1029" s="73"/>
      <c r="T1029" s="73"/>
      <c r="U1029" s="73"/>
      <c r="V1029" s="73"/>
      <c r="W1029" s="73"/>
      <c r="X1029" s="73"/>
    </row>
    <row r="1030">
      <c r="A1030" s="74">
        <v>1125.0</v>
      </c>
      <c r="B1030" s="74" t="s">
        <v>2205</v>
      </c>
      <c r="C1030" s="74"/>
      <c r="D1030" s="75" t="s">
        <v>2433</v>
      </c>
      <c r="E1030" s="76">
        <v>46159.0</v>
      </c>
      <c r="F1030" s="78" t="s">
        <v>1420</v>
      </c>
      <c r="G1030" s="76">
        <v>46183.0</v>
      </c>
      <c r="H1030" s="98" t="s">
        <v>29</v>
      </c>
      <c r="I1030" s="98"/>
      <c r="J1030" s="74">
        <f t="shared" si="6"/>
        <v>24</v>
      </c>
      <c r="L1030" s="73"/>
      <c r="M1030" s="73"/>
      <c r="N1030" s="73"/>
      <c r="O1030" s="73"/>
      <c r="P1030" s="73"/>
      <c r="Q1030" s="73"/>
      <c r="R1030" s="73"/>
      <c r="S1030" s="73"/>
      <c r="T1030" s="73"/>
      <c r="U1030" s="73"/>
      <c r="V1030" s="73"/>
      <c r="W1030" s="73"/>
      <c r="X1030" s="73"/>
    </row>
    <row r="1031">
      <c r="A1031" s="74">
        <v>1126.0</v>
      </c>
      <c r="B1031" s="74" t="s">
        <v>2205</v>
      </c>
      <c r="C1031" s="74"/>
      <c r="D1031" s="75" t="s">
        <v>2434</v>
      </c>
      <c r="E1031" s="76">
        <v>46159.0</v>
      </c>
      <c r="F1031" s="78" t="s">
        <v>1420</v>
      </c>
      <c r="G1031" s="76">
        <v>46183.0</v>
      </c>
      <c r="H1031" s="98" t="s">
        <v>29</v>
      </c>
      <c r="I1031" s="98"/>
      <c r="J1031" s="74">
        <f t="shared" si="6"/>
        <v>24</v>
      </c>
      <c r="L1031" s="73"/>
      <c r="M1031" s="73"/>
      <c r="N1031" s="73"/>
      <c r="O1031" s="73"/>
      <c r="P1031" s="73"/>
      <c r="Q1031" s="73"/>
      <c r="R1031" s="73"/>
      <c r="S1031" s="73"/>
      <c r="T1031" s="73"/>
      <c r="U1031" s="73"/>
      <c r="V1031" s="73"/>
      <c r="W1031" s="73"/>
      <c r="X1031" s="73"/>
    </row>
    <row r="1032">
      <c r="A1032" s="74">
        <v>1127.0</v>
      </c>
      <c r="B1032" s="74" t="s">
        <v>2205</v>
      </c>
      <c r="C1032" s="74"/>
      <c r="D1032" s="75" t="s">
        <v>2435</v>
      </c>
      <c r="E1032" s="76">
        <v>46159.0</v>
      </c>
      <c r="F1032" s="78" t="s">
        <v>1420</v>
      </c>
      <c r="G1032" s="76">
        <v>46183.0</v>
      </c>
      <c r="H1032" s="98" t="s">
        <v>29</v>
      </c>
      <c r="I1032" s="98"/>
      <c r="J1032" s="74">
        <f t="shared" si="6"/>
        <v>24</v>
      </c>
      <c r="L1032" s="73"/>
      <c r="M1032" s="73"/>
      <c r="N1032" s="73"/>
      <c r="O1032" s="73"/>
      <c r="P1032" s="73"/>
      <c r="Q1032" s="73"/>
      <c r="R1032" s="73"/>
      <c r="S1032" s="73"/>
      <c r="T1032" s="73"/>
      <c r="U1032" s="73"/>
      <c r="V1032" s="73"/>
      <c r="W1032" s="73"/>
      <c r="X1032" s="73"/>
    </row>
    <row r="1033">
      <c r="A1033" s="74">
        <v>1128.0</v>
      </c>
      <c r="B1033" s="74" t="s">
        <v>2205</v>
      </c>
      <c r="C1033" s="74"/>
      <c r="D1033" s="75" t="s">
        <v>2436</v>
      </c>
      <c r="E1033" s="76">
        <v>46159.0</v>
      </c>
      <c r="F1033" s="78" t="s">
        <v>1420</v>
      </c>
      <c r="G1033" s="76">
        <v>46183.0</v>
      </c>
      <c r="H1033" s="98" t="s">
        <v>29</v>
      </c>
      <c r="I1033" s="98"/>
      <c r="J1033" s="74">
        <f t="shared" si="6"/>
        <v>24</v>
      </c>
      <c r="L1033" s="73"/>
      <c r="M1033" s="73"/>
      <c r="N1033" s="73"/>
      <c r="O1033" s="73"/>
      <c r="P1033" s="73"/>
      <c r="Q1033" s="73"/>
      <c r="R1033" s="73"/>
      <c r="S1033" s="73"/>
      <c r="T1033" s="73"/>
      <c r="U1033" s="73"/>
      <c r="V1033" s="73"/>
      <c r="W1033" s="73"/>
      <c r="X1033" s="73"/>
    </row>
    <row r="1034">
      <c r="A1034" s="74">
        <v>1129.0</v>
      </c>
      <c r="B1034" s="74" t="s">
        <v>2205</v>
      </c>
      <c r="C1034" s="74"/>
      <c r="D1034" s="75" t="s">
        <v>2437</v>
      </c>
      <c r="E1034" s="76">
        <v>46160.0</v>
      </c>
      <c r="F1034" s="78" t="s">
        <v>1420</v>
      </c>
      <c r="G1034" s="76">
        <v>46183.0</v>
      </c>
      <c r="H1034" s="98" t="s">
        <v>29</v>
      </c>
      <c r="I1034" s="98"/>
      <c r="J1034" s="74">
        <f t="shared" si="6"/>
        <v>23</v>
      </c>
      <c r="L1034" s="73"/>
      <c r="M1034" s="73"/>
      <c r="N1034" s="73"/>
      <c r="O1034" s="73"/>
      <c r="P1034" s="73"/>
      <c r="Q1034" s="73"/>
      <c r="R1034" s="73"/>
      <c r="S1034" s="73"/>
      <c r="T1034" s="73"/>
      <c r="U1034" s="73"/>
      <c r="V1034" s="73"/>
      <c r="W1034" s="73"/>
      <c r="X1034" s="73"/>
    </row>
    <row r="1035" ht="13.5" customHeight="1">
      <c r="A1035" s="74">
        <v>1130.0</v>
      </c>
      <c r="B1035" s="74" t="s">
        <v>2205</v>
      </c>
      <c r="C1035" s="74"/>
      <c r="D1035" s="75" t="s">
        <v>2438</v>
      </c>
      <c r="E1035" s="76">
        <v>46160.0</v>
      </c>
      <c r="F1035" s="78" t="s">
        <v>1420</v>
      </c>
      <c r="G1035" s="76">
        <v>46183.0</v>
      </c>
      <c r="H1035" s="98" t="s">
        <v>29</v>
      </c>
      <c r="I1035" s="98"/>
      <c r="J1035" s="74">
        <f t="shared" si="6"/>
        <v>23</v>
      </c>
      <c r="L1035" s="73"/>
      <c r="M1035" s="73"/>
      <c r="N1035" s="73"/>
      <c r="O1035" s="73"/>
      <c r="P1035" s="73"/>
      <c r="Q1035" s="73"/>
      <c r="R1035" s="73"/>
      <c r="S1035" s="73"/>
      <c r="T1035" s="73"/>
      <c r="U1035" s="73"/>
      <c r="V1035" s="73"/>
      <c r="W1035" s="73"/>
      <c r="X1035" s="73"/>
    </row>
    <row r="1036">
      <c r="A1036" s="74">
        <v>1131.0</v>
      </c>
      <c r="B1036" s="74" t="s">
        <v>2205</v>
      </c>
      <c r="C1036" s="74"/>
      <c r="D1036" s="75" t="s">
        <v>2439</v>
      </c>
      <c r="E1036" s="76">
        <v>46160.0</v>
      </c>
      <c r="F1036" s="78" t="s">
        <v>1420</v>
      </c>
      <c r="G1036" s="76">
        <v>46183.0</v>
      </c>
      <c r="H1036" s="98" t="s">
        <v>29</v>
      </c>
      <c r="I1036" s="98"/>
      <c r="J1036" s="74">
        <f t="shared" si="6"/>
        <v>23</v>
      </c>
      <c r="L1036" s="73"/>
      <c r="M1036" s="73"/>
      <c r="N1036" s="73"/>
      <c r="O1036" s="73"/>
      <c r="P1036" s="73"/>
      <c r="Q1036" s="73"/>
      <c r="R1036" s="73"/>
      <c r="S1036" s="73"/>
      <c r="T1036" s="73"/>
      <c r="U1036" s="73"/>
      <c r="V1036" s="73"/>
      <c r="W1036" s="73"/>
      <c r="X1036" s="73"/>
    </row>
    <row r="1037">
      <c r="A1037" s="74">
        <v>1132.0</v>
      </c>
      <c r="B1037" s="74" t="s">
        <v>2205</v>
      </c>
      <c r="C1037" s="74"/>
      <c r="D1037" s="75" t="s">
        <v>2440</v>
      </c>
      <c r="E1037" s="76">
        <v>46160.0</v>
      </c>
      <c r="F1037" s="78" t="s">
        <v>1420</v>
      </c>
      <c r="G1037" s="76">
        <v>46183.0</v>
      </c>
      <c r="H1037" s="98" t="s">
        <v>29</v>
      </c>
      <c r="I1037" s="98"/>
      <c r="J1037" s="74">
        <f t="shared" si="6"/>
        <v>23</v>
      </c>
      <c r="L1037" s="73"/>
      <c r="M1037" s="73"/>
      <c r="N1037" s="73"/>
      <c r="O1037" s="73"/>
      <c r="P1037" s="73"/>
      <c r="Q1037" s="73"/>
      <c r="R1037" s="73"/>
      <c r="S1037" s="73"/>
      <c r="T1037" s="73"/>
      <c r="U1037" s="73"/>
      <c r="V1037" s="73"/>
      <c r="W1037" s="73"/>
      <c r="X1037" s="73"/>
    </row>
    <row r="1038">
      <c r="A1038" s="74">
        <v>1133.0</v>
      </c>
      <c r="B1038" s="74" t="s">
        <v>2205</v>
      </c>
      <c r="C1038" s="74"/>
      <c r="D1038" s="75" t="s">
        <v>2441</v>
      </c>
      <c r="E1038" s="76">
        <v>46160.0</v>
      </c>
      <c r="F1038" s="78" t="s">
        <v>1420</v>
      </c>
      <c r="G1038" s="76">
        <v>46183.0</v>
      </c>
      <c r="H1038" s="98" t="s">
        <v>29</v>
      </c>
      <c r="I1038" s="98"/>
      <c r="J1038" s="74">
        <f t="shared" si="6"/>
        <v>23</v>
      </c>
      <c r="L1038" s="73"/>
      <c r="M1038" s="73"/>
      <c r="N1038" s="73"/>
      <c r="O1038" s="73"/>
      <c r="P1038" s="73"/>
      <c r="Q1038" s="73"/>
      <c r="R1038" s="73"/>
      <c r="S1038" s="73"/>
      <c r="T1038" s="73"/>
      <c r="U1038" s="73"/>
      <c r="V1038" s="73"/>
      <c r="W1038" s="73"/>
      <c r="X1038" s="73"/>
    </row>
    <row r="1039">
      <c r="A1039" s="74">
        <v>1134.0</v>
      </c>
      <c r="B1039" s="74" t="s">
        <v>2205</v>
      </c>
      <c r="C1039" s="74"/>
      <c r="D1039" s="75" t="s">
        <v>2442</v>
      </c>
      <c r="E1039" s="76">
        <v>46160.0</v>
      </c>
      <c r="F1039" s="78" t="s">
        <v>1420</v>
      </c>
      <c r="G1039" s="76">
        <v>46183.0</v>
      </c>
      <c r="H1039" s="98" t="s">
        <v>29</v>
      </c>
      <c r="I1039" s="98"/>
      <c r="J1039" s="74">
        <f t="shared" si="6"/>
        <v>23</v>
      </c>
      <c r="L1039" s="73"/>
      <c r="M1039" s="73"/>
      <c r="N1039" s="73"/>
      <c r="O1039" s="73"/>
      <c r="P1039" s="73"/>
      <c r="Q1039" s="73"/>
      <c r="R1039" s="73"/>
      <c r="S1039" s="73"/>
      <c r="T1039" s="73"/>
      <c r="U1039" s="73"/>
      <c r="V1039" s="73"/>
      <c r="W1039" s="73"/>
      <c r="X1039" s="73"/>
    </row>
    <row r="1040">
      <c r="A1040" s="74">
        <v>1135.0</v>
      </c>
      <c r="B1040" s="74" t="s">
        <v>2205</v>
      </c>
      <c r="C1040" s="74"/>
      <c r="D1040" s="75" t="s">
        <v>2443</v>
      </c>
      <c r="E1040" s="76">
        <v>46160.0</v>
      </c>
      <c r="F1040" s="78" t="s">
        <v>1420</v>
      </c>
      <c r="G1040" s="76">
        <v>46183.0</v>
      </c>
      <c r="H1040" s="98" t="s">
        <v>29</v>
      </c>
      <c r="I1040" s="98"/>
      <c r="J1040" s="74">
        <f t="shared" si="6"/>
        <v>23</v>
      </c>
      <c r="L1040" s="73"/>
      <c r="M1040" s="73"/>
      <c r="N1040" s="73"/>
      <c r="O1040" s="73"/>
      <c r="P1040" s="73"/>
      <c r="Q1040" s="73"/>
      <c r="R1040" s="73"/>
      <c r="S1040" s="73"/>
      <c r="T1040" s="73"/>
      <c r="U1040" s="73"/>
      <c r="V1040" s="73"/>
      <c r="W1040" s="73"/>
      <c r="X1040" s="73"/>
    </row>
    <row r="1041">
      <c r="A1041" s="74">
        <v>1136.0</v>
      </c>
      <c r="B1041" s="74" t="s">
        <v>2205</v>
      </c>
      <c r="C1041" s="74"/>
      <c r="D1041" s="75" t="s">
        <v>2444</v>
      </c>
      <c r="E1041" s="76">
        <v>46160.0</v>
      </c>
      <c r="F1041" s="78" t="s">
        <v>1420</v>
      </c>
      <c r="G1041" s="76">
        <v>46183.0</v>
      </c>
      <c r="H1041" s="98" t="s">
        <v>29</v>
      </c>
      <c r="I1041" s="98"/>
      <c r="J1041" s="74">
        <f t="shared" si="6"/>
        <v>23</v>
      </c>
      <c r="L1041" s="73"/>
      <c r="M1041" s="73"/>
      <c r="N1041" s="73"/>
      <c r="O1041" s="73"/>
      <c r="P1041" s="73"/>
      <c r="Q1041" s="73"/>
      <c r="R1041" s="73"/>
      <c r="S1041" s="73"/>
      <c r="T1041" s="73"/>
      <c r="U1041" s="73"/>
      <c r="V1041" s="73"/>
      <c r="W1041" s="73"/>
      <c r="X1041" s="73"/>
    </row>
    <row r="1042">
      <c r="A1042" s="74">
        <v>1137.0</v>
      </c>
      <c r="B1042" s="74" t="s">
        <v>2205</v>
      </c>
      <c r="C1042" s="74"/>
      <c r="D1042" s="75" t="s">
        <v>2445</v>
      </c>
      <c r="E1042" s="76">
        <v>46160.0</v>
      </c>
      <c r="F1042" s="78" t="s">
        <v>1420</v>
      </c>
      <c r="G1042" s="76">
        <v>46183.0</v>
      </c>
      <c r="H1042" s="98" t="s">
        <v>29</v>
      </c>
      <c r="I1042" s="98"/>
      <c r="J1042" s="74">
        <f t="shared" si="6"/>
        <v>23</v>
      </c>
      <c r="L1042" s="73"/>
      <c r="M1042" s="73"/>
      <c r="N1042" s="73"/>
      <c r="O1042" s="73"/>
      <c r="P1042" s="73"/>
      <c r="Q1042" s="73"/>
      <c r="R1042" s="73"/>
      <c r="S1042" s="73"/>
      <c r="T1042" s="73"/>
      <c r="U1042" s="73"/>
      <c r="V1042" s="73"/>
      <c r="W1042" s="73"/>
      <c r="X1042" s="73"/>
    </row>
    <row r="1043">
      <c r="A1043" s="74">
        <v>1138.0</v>
      </c>
      <c r="B1043" s="74" t="s">
        <v>2205</v>
      </c>
      <c r="C1043" s="74"/>
      <c r="D1043" s="75" t="s">
        <v>2446</v>
      </c>
      <c r="E1043" s="76">
        <v>46160.0</v>
      </c>
      <c r="F1043" s="78" t="s">
        <v>1420</v>
      </c>
      <c r="G1043" s="76">
        <v>46183.0</v>
      </c>
      <c r="H1043" s="98" t="s">
        <v>29</v>
      </c>
      <c r="I1043" s="98"/>
      <c r="J1043" s="74">
        <f t="shared" si="6"/>
        <v>23</v>
      </c>
      <c r="L1043" s="73"/>
      <c r="M1043" s="73"/>
      <c r="N1043" s="73"/>
      <c r="O1043" s="73"/>
      <c r="P1043" s="73"/>
      <c r="Q1043" s="73"/>
      <c r="R1043" s="73"/>
      <c r="S1043" s="73"/>
      <c r="T1043" s="73"/>
      <c r="U1043" s="73"/>
      <c r="V1043" s="73"/>
      <c r="W1043" s="73"/>
      <c r="X1043" s="73"/>
    </row>
    <row r="1044">
      <c r="A1044" s="74">
        <v>1139.0</v>
      </c>
      <c r="B1044" s="74" t="s">
        <v>2205</v>
      </c>
      <c r="C1044" s="74"/>
      <c r="D1044" s="75" t="s">
        <v>2447</v>
      </c>
      <c r="E1044" s="76">
        <v>46160.0</v>
      </c>
      <c r="F1044" s="78" t="s">
        <v>1420</v>
      </c>
      <c r="G1044" s="76">
        <v>46183.0</v>
      </c>
      <c r="H1044" s="98" t="s">
        <v>29</v>
      </c>
      <c r="I1044" s="98"/>
      <c r="J1044" s="74">
        <f t="shared" si="6"/>
        <v>23</v>
      </c>
      <c r="L1044" s="73"/>
      <c r="M1044" s="73"/>
      <c r="N1044" s="73"/>
      <c r="O1044" s="73"/>
      <c r="P1044" s="73"/>
      <c r="Q1044" s="73"/>
      <c r="R1044" s="73"/>
      <c r="S1044" s="73"/>
      <c r="T1044" s="73"/>
      <c r="U1044" s="73"/>
      <c r="V1044" s="73"/>
      <c r="W1044" s="73"/>
      <c r="X1044" s="73"/>
    </row>
    <row r="1045">
      <c r="A1045" s="74">
        <v>1140.0</v>
      </c>
      <c r="B1045" s="74" t="s">
        <v>2205</v>
      </c>
      <c r="C1045" s="74"/>
      <c r="D1045" s="75" t="s">
        <v>2448</v>
      </c>
      <c r="E1045" s="76">
        <v>46160.0</v>
      </c>
      <c r="F1045" s="78" t="s">
        <v>1420</v>
      </c>
      <c r="G1045" s="76">
        <v>46183.0</v>
      </c>
      <c r="H1045" s="98" t="s">
        <v>29</v>
      </c>
      <c r="I1045" s="98"/>
      <c r="J1045" s="74">
        <f t="shared" si="6"/>
        <v>23</v>
      </c>
      <c r="L1045" s="73"/>
      <c r="M1045" s="73"/>
      <c r="N1045" s="73"/>
      <c r="O1045" s="73"/>
      <c r="P1045" s="73"/>
      <c r="Q1045" s="73"/>
      <c r="R1045" s="73"/>
      <c r="S1045" s="73"/>
      <c r="T1045" s="73"/>
      <c r="U1045" s="73"/>
      <c r="V1045" s="73"/>
      <c r="W1045" s="73"/>
      <c r="X1045" s="73"/>
    </row>
    <row r="1046">
      <c r="A1046" s="74">
        <v>1141.0</v>
      </c>
      <c r="B1046" s="74" t="s">
        <v>2205</v>
      </c>
      <c r="C1046" s="74"/>
      <c r="D1046" s="75" t="s">
        <v>2449</v>
      </c>
      <c r="E1046" s="76">
        <v>46162.0</v>
      </c>
      <c r="F1046" s="78" t="s">
        <v>1366</v>
      </c>
      <c r="G1046" s="76"/>
      <c r="H1046" s="98" t="s">
        <v>1401</v>
      </c>
      <c r="I1046" s="98"/>
      <c r="J1046" s="74">
        <f t="shared" si="6"/>
        <v>-46162</v>
      </c>
      <c r="L1046" s="73"/>
      <c r="M1046" s="73"/>
      <c r="N1046" s="73"/>
      <c r="O1046" s="73"/>
      <c r="P1046" s="73"/>
      <c r="Q1046" s="73"/>
      <c r="R1046" s="73"/>
      <c r="S1046" s="73"/>
      <c r="T1046" s="73"/>
      <c r="U1046" s="73"/>
      <c r="V1046" s="73"/>
      <c r="W1046" s="73"/>
      <c r="X1046" s="73"/>
    </row>
    <row r="1047">
      <c r="A1047" s="74">
        <v>1142.0</v>
      </c>
      <c r="B1047" s="74" t="s">
        <v>1896</v>
      </c>
      <c r="C1047" s="74"/>
      <c r="D1047" s="75" t="s">
        <v>2450</v>
      </c>
      <c r="E1047" s="76">
        <v>46162.0</v>
      </c>
      <c r="F1047" s="78" t="s">
        <v>1420</v>
      </c>
      <c r="G1047" s="76">
        <v>46188.0</v>
      </c>
      <c r="H1047" s="98" t="s">
        <v>29</v>
      </c>
      <c r="I1047" s="98"/>
      <c r="J1047" s="74">
        <f t="shared" si="6"/>
        <v>26</v>
      </c>
      <c r="L1047" s="73"/>
      <c r="M1047" s="73"/>
      <c r="N1047" s="73"/>
      <c r="O1047" s="73"/>
      <c r="P1047" s="73"/>
      <c r="Q1047" s="73"/>
      <c r="R1047" s="73"/>
      <c r="S1047" s="73"/>
      <c r="T1047" s="73"/>
      <c r="U1047" s="73"/>
      <c r="V1047" s="73"/>
      <c r="W1047" s="73"/>
      <c r="X1047" s="73"/>
    </row>
    <row r="1048">
      <c r="A1048" s="74">
        <v>1143.0</v>
      </c>
      <c r="B1048" s="74" t="s">
        <v>1896</v>
      </c>
      <c r="C1048" s="74"/>
      <c r="D1048" s="75" t="s">
        <v>2451</v>
      </c>
      <c r="E1048" s="76">
        <v>46162.0</v>
      </c>
      <c r="F1048" s="78" t="s">
        <v>1420</v>
      </c>
      <c r="G1048" s="76">
        <v>46188.0</v>
      </c>
      <c r="H1048" s="98" t="s">
        <v>29</v>
      </c>
      <c r="I1048" s="98"/>
      <c r="J1048" s="74">
        <f t="shared" si="6"/>
        <v>26</v>
      </c>
      <c r="L1048" s="73"/>
      <c r="M1048" s="73"/>
      <c r="N1048" s="73"/>
      <c r="O1048" s="73"/>
      <c r="P1048" s="73"/>
      <c r="Q1048" s="73"/>
      <c r="R1048" s="73"/>
      <c r="S1048" s="73"/>
      <c r="T1048" s="73"/>
      <c r="U1048" s="73"/>
      <c r="V1048" s="73"/>
      <c r="W1048" s="73"/>
      <c r="X1048" s="73"/>
    </row>
    <row r="1049">
      <c r="A1049" s="74">
        <v>1144.0</v>
      </c>
      <c r="B1049" s="74" t="s">
        <v>1896</v>
      </c>
      <c r="C1049" s="74"/>
      <c r="D1049" s="75" t="s">
        <v>2452</v>
      </c>
      <c r="E1049" s="76">
        <v>46162.0</v>
      </c>
      <c r="F1049" s="78" t="s">
        <v>1420</v>
      </c>
      <c r="G1049" s="76">
        <v>46188.0</v>
      </c>
      <c r="H1049" s="98" t="s">
        <v>29</v>
      </c>
      <c r="I1049" s="98"/>
      <c r="J1049" s="74">
        <f t="shared" si="6"/>
        <v>26</v>
      </c>
      <c r="L1049" s="73"/>
      <c r="M1049" s="73"/>
      <c r="N1049" s="73"/>
      <c r="O1049" s="73"/>
      <c r="P1049" s="73"/>
      <c r="Q1049" s="73"/>
      <c r="R1049" s="73"/>
      <c r="S1049" s="73"/>
      <c r="T1049" s="73"/>
      <c r="U1049" s="73"/>
      <c r="V1049" s="73"/>
      <c r="W1049" s="73"/>
      <c r="X1049" s="73"/>
    </row>
    <row r="1050">
      <c r="A1050" s="74">
        <v>1145.0</v>
      </c>
      <c r="B1050" s="74" t="s">
        <v>1896</v>
      </c>
      <c r="C1050" s="74"/>
      <c r="D1050" s="75" t="s">
        <v>2453</v>
      </c>
      <c r="E1050" s="76">
        <v>46162.0</v>
      </c>
      <c r="F1050" s="78" t="s">
        <v>1420</v>
      </c>
      <c r="G1050" s="76">
        <v>46188.0</v>
      </c>
      <c r="H1050" s="98" t="s">
        <v>29</v>
      </c>
      <c r="I1050" s="98"/>
      <c r="J1050" s="74">
        <f t="shared" si="6"/>
        <v>26</v>
      </c>
      <c r="L1050" s="73"/>
      <c r="M1050" s="73"/>
      <c r="N1050" s="73"/>
      <c r="O1050" s="73"/>
      <c r="P1050" s="73"/>
      <c r="Q1050" s="73"/>
      <c r="R1050" s="73"/>
      <c r="S1050" s="73"/>
      <c r="T1050" s="73"/>
      <c r="U1050" s="73"/>
      <c r="V1050" s="73"/>
      <c r="W1050" s="73"/>
      <c r="X1050" s="73"/>
    </row>
    <row r="1051">
      <c r="A1051" s="74">
        <v>1146.0</v>
      </c>
      <c r="B1051" s="74" t="s">
        <v>1896</v>
      </c>
      <c r="C1051" s="74"/>
      <c r="D1051" s="75" t="s">
        <v>2454</v>
      </c>
      <c r="E1051" s="76">
        <v>46162.0</v>
      </c>
      <c r="F1051" s="78" t="s">
        <v>1420</v>
      </c>
      <c r="G1051" s="76">
        <v>46188.0</v>
      </c>
      <c r="H1051" s="98" t="s">
        <v>29</v>
      </c>
      <c r="I1051" s="98"/>
      <c r="J1051" s="74">
        <f t="shared" si="6"/>
        <v>26</v>
      </c>
      <c r="L1051" s="73"/>
      <c r="M1051" s="73"/>
      <c r="N1051" s="73"/>
      <c r="O1051" s="73"/>
      <c r="P1051" s="73"/>
      <c r="Q1051" s="73"/>
      <c r="R1051" s="73"/>
      <c r="S1051" s="73"/>
      <c r="T1051" s="73"/>
      <c r="U1051" s="73"/>
      <c r="V1051" s="73"/>
      <c r="W1051" s="73"/>
      <c r="X1051" s="73"/>
    </row>
    <row r="1052">
      <c r="A1052" s="74">
        <v>1147.0</v>
      </c>
      <c r="B1052" s="74" t="s">
        <v>1896</v>
      </c>
      <c r="C1052" s="74"/>
      <c r="D1052" s="75" t="s">
        <v>2455</v>
      </c>
      <c r="E1052" s="76">
        <v>46162.0</v>
      </c>
      <c r="F1052" s="78" t="s">
        <v>1420</v>
      </c>
      <c r="G1052" s="76">
        <v>46188.0</v>
      </c>
      <c r="H1052" s="98" t="s">
        <v>29</v>
      </c>
      <c r="I1052" s="98"/>
      <c r="J1052" s="74">
        <f t="shared" si="6"/>
        <v>26</v>
      </c>
      <c r="L1052" s="73"/>
      <c r="M1052" s="73"/>
      <c r="N1052" s="73"/>
      <c r="O1052" s="73"/>
      <c r="P1052" s="73"/>
      <c r="Q1052" s="73"/>
      <c r="R1052" s="73"/>
      <c r="S1052" s="73"/>
      <c r="T1052" s="73"/>
      <c r="U1052" s="73"/>
      <c r="V1052" s="73"/>
      <c r="W1052" s="73"/>
      <c r="X1052" s="73"/>
    </row>
    <row r="1053">
      <c r="A1053" s="74">
        <v>1148.0</v>
      </c>
      <c r="B1053" s="74" t="s">
        <v>2456</v>
      </c>
      <c r="C1053" s="74"/>
      <c r="D1053" s="75" t="s">
        <v>2457</v>
      </c>
      <c r="E1053" s="76">
        <v>46166.0</v>
      </c>
      <c r="F1053" s="78" t="s">
        <v>1420</v>
      </c>
      <c r="G1053" s="76">
        <v>46188.0</v>
      </c>
      <c r="H1053" s="98" t="s">
        <v>29</v>
      </c>
      <c r="I1053" s="98"/>
      <c r="J1053" s="74">
        <f t="shared" si="6"/>
        <v>22</v>
      </c>
      <c r="L1053" s="73"/>
      <c r="M1053" s="73"/>
      <c r="N1053" s="73"/>
      <c r="O1053" s="73"/>
      <c r="P1053" s="73"/>
      <c r="Q1053" s="73"/>
      <c r="R1053" s="73"/>
      <c r="S1053" s="73"/>
      <c r="T1053" s="73"/>
      <c r="U1053" s="73"/>
      <c r="V1053" s="73"/>
      <c r="W1053" s="73"/>
      <c r="X1053" s="73"/>
    </row>
    <row r="1054">
      <c r="A1054" s="74">
        <v>1149.0</v>
      </c>
      <c r="B1054" s="74" t="s">
        <v>2456</v>
      </c>
      <c r="C1054" s="74"/>
      <c r="D1054" s="75" t="s">
        <v>2458</v>
      </c>
      <c r="E1054" s="76">
        <v>46166.0</v>
      </c>
      <c r="F1054" s="78" t="s">
        <v>1420</v>
      </c>
      <c r="G1054" s="76">
        <v>46188.0</v>
      </c>
      <c r="H1054" s="98" t="s">
        <v>29</v>
      </c>
      <c r="I1054" s="98"/>
      <c r="J1054" s="74">
        <f t="shared" si="6"/>
        <v>22</v>
      </c>
      <c r="L1054" s="73"/>
      <c r="M1054" s="73"/>
      <c r="N1054" s="73"/>
      <c r="O1054" s="73"/>
      <c r="P1054" s="73"/>
      <c r="Q1054" s="73"/>
      <c r="R1054" s="73"/>
      <c r="S1054" s="73"/>
      <c r="T1054" s="73"/>
      <c r="U1054" s="73"/>
      <c r="V1054" s="73"/>
      <c r="W1054" s="73"/>
      <c r="X1054" s="73"/>
    </row>
    <row r="1055">
      <c r="A1055" s="74">
        <v>1150.0</v>
      </c>
      <c r="B1055" s="74" t="s">
        <v>2100</v>
      </c>
      <c r="C1055" s="74"/>
      <c r="D1055" s="75" t="s">
        <v>2459</v>
      </c>
      <c r="E1055" s="76">
        <v>46166.0</v>
      </c>
      <c r="F1055" s="78" t="s">
        <v>1420</v>
      </c>
      <c r="G1055" s="76">
        <v>46188.0</v>
      </c>
      <c r="H1055" s="98" t="s">
        <v>29</v>
      </c>
      <c r="I1055" s="98"/>
      <c r="J1055" s="74">
        <f t="shared" si="6"/>
        <v>22</v>
      </c>
      <c r="L1055" s="73"/>
      <c r="M1055" s="73"/>
      <c r="N1055" s="73"/>
      <c r="O1055" s="73"/>
      <c r="P1055" s="73"/>
      <c r="Q1055" s="73"/>
      <c r="R1055" s="73"/>
      <c r="S1055" s="73"/>
      <c r="T1055" s="73"/>
      <c r="U1055" s="73"/>
      <c r="V1055" s="73"/>
      <c r="W1055" s="73"/>
      <c r="X1055" s="73"/>
    </row>
    <row r="1056" ht="15.0" customHeight="1">
      <c r="A1056" s="74">
        <v>1151.0</v>
      </c>
      <c r="B1056" s="74" t="s">
        <v>54</v>
      </c>
      <c r="C1056" s="74"/>
      <c r="D1056" s="75" t="s">
        <v>2460</v>
      </c>
      <c r="E1056" s="76">
        <v>46166.0</v>
      </c>
      <c r="F1056" s="78" t="s">
        <v>1420</v>
      </c>
      <c r="G1056" s="76">
        <v>46188.0</v>
      </c>
      <c r="H1056" s="98" t="s">
        <v>29</v>
      </c>
      <c r="I1056" s="98"/>
      <c r="J1056" s="74">
        <f t="shared" si="6"/>
        <v>22</v>
      </c>
      <c r="L1056" s="73"/>
      <c r="M1056" s="73"/>
      <c r="N1056" s="73"/>
      <c r="O1056" s="73"/>
      <c r="P1056" s="73"/>
      <c r="Q1056" s="73"/>
      <c r="R1056" s="73"/>
      <c r="S1056" s="73"/>
      <c r="T1056" s="73"/>
      <c r="U1056" s="73"/>
      <c r="V1056" s="73"/>
      <c r="W1056" s="73"/>
      <c r="X1056" s="73"/>
    </row>
    <row r="1057" ht="16.5" customHeight="1">
      <c r="A1057" s="74">
        <v>1152.0</v>
      </c>
      <c r="B1057" s="74" t="s">
        <v>1743</v>
      </c>
      <c r="C1057" s="74"/>
      <c r="D1057" s="75" t="s">
        <v>2461</v>
      </c>
      <c r="E1057" s="76">
        <v>46167.0</v>
      </c>
      <c r="F1057" s="78" t="s">
        <v>1420</v>
      </c>
      <c r="G1057" s="76">
        <v>46188.0</v>
      </c>
      <c r="H1057" s="98" t="s">
        <v>29</v>
      </c>
      <c r="I1057" s="98"/>
      <c r="J1057" s="74">
        <f t="shared" si="6"/>
        <v>21</v>
      </c>
      <c r="L1057" s="73"/>
      <c r="M1057" s="73"/>
      <c r="N1057" s="73"/>
      <c r="O1057" s="73"/>
      <c r="P1057" s="73"/>
      <c r="Q1057" s="73"/>
      <c r="R1057" s="73"/>
      <c r="S1057" s="73"/>
      <c r="T1057" s="73"/>
      <c r="U1057" s="73"/>
      <c r="V1057" s="73"/>
      <c r="W1057" s="73"/>
      <c r="X1057" s="73"/>
    </row>
    <row r="1058" ht="15.0" customHeight="1">
      <c r="A1058" s="74">
        <v>1153.0</v>
      </c>
      <c r="B1058" s="74" t="s">
        <v>1743</v>
      </c>
      <c r="C1058" s="74"/>
      <c r="D1058" s="75" t="s">
        <v>2462</v>
      </c>
      <c r="E1058" s="76">
        <v>46167.0</v>
      </c>
      <c r="F1058" s="78" t="s">
        <v>1420</v>
      </c>
      <c r="G1058" s="76">
        <v>46188.0</v>
      </c>
      <c r="H1058" s="98" t="s">
        <v>29</v>
      </c>
      <c r="I1058" s="98"/>
      <c r="J1058" s="74">
        <f t="shared" si="6"/>
        <v>21</v>
      </c>
      <c r="L1058" s="73"/>
      <c r="M1058" s="73"/>
      <c r="N1058" s="73"/>
      <c r="O1058" s="73"/>
      <c r="P1058" s="73"/>
      <c r="Q1058" s="73"/>
      <c r="R1058" s="73"/>
      <c r="S1058" s="73"/>
      <c r="T1058" s="73"/>
      <c r="U1058" s="73"/>
      <c r="V1058" s="73"/>
      <c r="W1058" s="73"/>
      <c r="X1058" s="73"/>
    </row>
    <row r="1059" ht="15.75" customHeight="1">
      <c r="A1059" s="74">
        <v>1154.0</v>
      </c>
      <c r="B1059" s="74" t="s">
        <v>1743</v>
      </c>
      <c r="C1059" s="74"/>
      <c r="D1059" s="75" t="s">
        <v>2463</v>
      </c>
      <c r="E1059" s="76">
        <v>46167.0</v>
      </c>
      <c r="F1059" s="78" t="s">
        <v>1420</v>
      </c>
      <c r="G1059" s="76">
        <v>46188.0</v>
      </c>
      <c r="H1059" s="98" t="s">
        <v>29</v>
      </c>
      <c r="I1059" s="98"/>
      <c r="J1059" s="74">
        <f t="shared" si="6"/>
        <v>21</v>
      </c>
      <c r="L1059" s="73"/>
      <c r="M1059" s="73"/>
      <c r="N1059" s="73"/>
      <c r="O1059" s="73"/>
      <c r="P1059" s="73"/>
      <c r="Q1059" s="73"/>
      <c r="R1059" s="73"/>
      <c r="S1059" s="73"/>
      <c r="T1059" s="73"/>
      <c r="U1059" s="73"/>
      <c r="V1059" s="73"/>
      <c r="W1059" s="73"/>
      <c r="X1059" s="73"/>
    </row>
    <row r="1060">
      <c r="A1060" s="74">
        <v>1155.0</v>
      </c>
      <c r="B1060" s="74" t="s">
        <v>1743</v>
      </c>
      <c r="C1060" s="74"/>
      <c r="D1060" s="75" t="s">
        <v>2464</v>
      </c>
      <c r="E1060" s="76">
        <v>46167.0</v>
      </c>
      <c r="F1060" s="78" t="s">
        <v>1420</v>
      </c>
      <c r="G1060" s="76">
        <v>46188.0</v>
      </c>
      <c r="H1060" s="98" t="s">
        <v>29</v>
      </c>
      <c r="I1060" s="98"/>
      <c r="J1060" s="74">
        <f t="shared" si="6"/>
        <v>21</v>
      </c>
      <c r="L1060" s="73"/>
      <c r="M1060" s="73"/>
      <c r="N1060" s="73"/>
      <c r="O1060" s="73"/>
      <c r="P1060" s="73"/>
      <c r="Q1060" s="73"/>
      <c r="R1060" s="73"/>
      <c r="S1060" s="73"/>
      <c r="T1060" s="73"/>
      <c r="U1060" s="73"/>
      <c r="V1060" s="73"/>
      <c r="W1060" s="73"/>
      <c r="X1060" s="73"/>
    </row>
    <row r="1061">
      <c r="A1061" s="74">
        <v>1156.0</v>
      </c>
      <c r="B1061" s="74" t="s">
        <v>89</v>
      </c>
      <c r="C1061" s="74"/>
      <c r="D1061" s="75" t="s">
        <v>2154</v>
      </c>
      <c r="E1061" s="76">
        <v>46174.0</v>
      </c>
      <c r="F1061" s="78" t="s">
        <v>1420</v>
      </c>
      <c r="G1061" s="76">
        <v>46188.0</v>
      </c>
      <c r="H1061" s="98" t="s">
        <v>29</v>
      </c>
      <c r="I1061" s="98"/>
      <c r="J1061" s="74">
        <f t="shared" si="6"/>
        <v>14</v>
      </c>
      <c r="L1061" s="73"/>
      <c r="M1061" s="73"/>
      <c r="N1061" s="73"/>
      <c r="O1061" s="73"/>
      <c r="P1061" s="73"/>
      <c r="Q1061" s="73"/>
      <c r="R1061" s="73"/>
      <c r="S1061" s="73"/>
      <c r="T1061" s="73"/>
      <c r="U1061" s="73"/>
      <c r="V1061" s="73"/>
      <c r="W1061" s="73"/>
      <c r="X1061" s="73"/>
    </row>
    <row r="1062" ht="15.0" customHeight="1">
      <c r="A1062" s="74">
        <v>1157.0</v>
      </c>
      <c r="B1062" s="74" t="s">
        <v>89</v>
      </c>
      <c r="C1062" s="74"/>
      <c r="D1062" s="75" t="s">
        <v>2465</v>
      </c>
      <c r="E1062" s="76">
        <v>46174.0</v>
      </c>
      <c r="F1062" s="78" t="s">
        <v>1366</v>
      </c>
      <c r="G1062" s="76"/>
      <c r="H1062" s="98"/>
      <c r="I1062" s="98"/>
      <c r="J1062" s="74">
        <f t="shared" si="6"/>
        <v>-46174</v>
      </c>
      <c r="L1062" s="73"/>
      <c r="M1062" s="73"/>
      <c r="N1062" s="73"/>
      <c r="O1062" s="73"/>
      <c r="P1062" s="73"/>
      <c r="Q1062" s="73"/>
      <c r="R1062" s="73"/>
      <c r="S1062" s="73"/>
      <c r="T1062" s="73"/>
      <c r="U1062" s="73"/>
      <c r="V1062" s="73"/>
      <c r="W1062" s="73"/>
      <c r="X1062" s="73"/>
    </row>
    <row r="1063">
      <c r="A1063" s="74">
        <v>1158.0</v>
      </c>
      <c r="B1063" s="74" t="s">
        <v>2456</v>
      </c>
      <c r="C1063" s="74"/>
      <c r="D1063" s="75" t="s">
        <v>2466</v>
      </c>
      <c r="E1063" s="76">
        <v>46174.0</v>
      </c>
      <c r="F1063" s="78" t="s">
        <v>1420</v>
      </c>
      <c r="G1063" s="76">
        <v>46195.0</v>
      </c>
      <c r="H1063" s="98" t="s">
        <v>29</v>
      </c>
      <c r="I1063" s="98"/>
      <c r="J1063" s="74">
        <f t="shared" si="6"/>
        <v>21</v>
      </c>
      <c r="L1063" s="73"/>
      <c r="M1063" s="73"/>
      <c r="N1063" s="73"/>
      <c r="O1063" s="73"/>
      <c r="P1063" s="73"/>
      <c r="Q1063" s="73"/>
      <c r="R1063" s="73"/>
      <c r="S1063" s="73"/>
      <c r="T1063" s="73"/>
      <c r="U1063" s="73"/>
      <c r="V1063" s="73"/>
      <c r="W1063" s="73"/>
      <c r="X1063" s="73"/>
    </row>
    <row r="1064">
      <c r="A1064" s="74">
        <v>1159.0</v>
      </c>
      <c r="B1064" s="74" t="s">
        <v>2456</v>
      </c>
      <c r="C1064" s="74"/>
      <c r="D1064" s="75" t="s">
        <v>2467</v>
      </c>
      <c r="E1064" s="76">
        <v>46174.0</v>
      </c>
      <c r="F1064" s="78" t="s">
        <v>1420</v>
      </c>
      <c r="G1064" s="76">
        <v>46195.0</v>
      </c>
      <c r="H1064" s="98" t="s">
        <v>29</v>
      </c>
      <c r="I1064" s="98"/>
      <c r="J1064" s="74">
        <f t="shared" si="6"/>
        <v>21</v>
      </c>
      <c r="L1064" s="73"/>
      <c r="M1064" s="73"/>
      <c r="N1064" s="73"/>
      <c r="O1064" s="73"/>
      <c r="P1064" s="73"/>
      <c r="Q1064" s="73"/>
      <c r="R1064" s="73"/>
      <c r="S1064" s="73"/>
      <c r="T1064" s="73"/>
      <c r="U1064" s="73"/>
      <c r="V1064" s="73"/>
      <c r="W1064" s="73"/>
      <c r="X1064" s="73"/>
    </row>
    <row r="1065">
      <c r="A1065" s="74">
        <v>1160.0</v>
      </c>
      <c r="B1065" s="74" t="s">
        <v>2456</v>
      </c>
      <c r="C1065" s="74"/>
      <c r="D1065" s="75" t="s">
        <v>2468</v>
      </c>
      <c r="E1065" s="76">
        <v>46174.0</v>
      </c>
      <c r="F1065" s="78" t="s">
        <v>1420</v>
      </c>
      <c r="G1065" s="76">
        <v>46195.0</v>
      </c>
      <c r="H1065" s="98" t="s">
        <v>29</v>
      </c>
      <c r="I1065" s="98"/>
      <c r="J1065" s="74">
        <f t="shared" si="6"/>
        <v>21</v>
      </c>
      <c r="L1065" s="73"/>
      <c r="M1065" s="73"/>
      <c r="N1065" s="73"/>
      <c r="O1065" s="73"/>
      <c r="P1065" s="73"/>
      <c r="Q1065" s="73"/>
      <c r="R1065" s="73"/>
      <c r="S1065" s="73"/>
      <c r="T1065" s="73"/>
      <c r="U1065" s="73"/>
      <c r="V1065" s="73"/>
      <c r="W1065" s="73"/>
      <c r="X1065" s="73"/>
    </row>
    <row r="1066">
      <c r="A1066" s="74">
        <v>1161.0</v>
      </c>
      <c r="B1066" s="74" t="s">
        <v>2456</v>
      </c>
      <c r="C1066" s="74"/>
      <c r="D1066" s="75" t="s">
        <v>2469</v>
      </c>
      <c r="E1066" s="76">
        <v>46174.0</v>
      </c>
      <c r="F1066" s="78" t="s">
        <v>1427</v>
      </c>
      <c r="G1066" s="76">
        <v>46195.0</v>
      </c>
      <c r="H1066" s="98" t="s">
        <v>1401</v>
      </c>
      <c r="I1066" s="98"/>
      <c r="J1066" s="74">
        <f t="shared" si="6"/>
        <v>21</v>
      </c>
      <c r="L1066" s="73"/>
      <c r="M1066" s="73"/>
      <c r="N1066" s="73"/>
      <c r="O1066" s="73"/>
      <c r="P1066" s="73"/>
      <c r="Q1066" s="73"/>
      <c r="R1066" s="73"/>
      <c r="S1066" s="73"/>
      <c r="T1066" s="73"/>
      <c r="U1066" s="73"/>
      <c r="V1066" s="73"/>
      <c r="W1066" s="73"/>
      <c r="X1066" s="73"/>
    </row>
    <row r="1067">
      <c r="A1067" s="74">
        <v>1162.0</v>
      </c>
      <c r="B1067" s="74" t="s">
        <v>2100</v>
      </c>
      <c r="C1067" s="74"/>
      <c r="D1067" s="75" t="s">
        <v>2470</v>
      </c>
      <c r="E1067" s="76">
        <v>46175.0</v>
      </c>
      <c r="F1067" s="78" t="s">
        <v>1420</v>
      </c>
      <c r="G1067" s="76">
        <v>46195.0</v>
      </c>
      <c r="H1067" s="98" t="s">
        <v>29</v>
      </c>
      <c r="I1067" s="98"/>
      <c r="J1067" s="74">
        <f t="shared" si="6"/>
        <v>20</v>
      </c>
      <c r="L1067" s="73"/>
      <c r="M1067" s="73"/>
      <c r="N1067" s="73"/>
      <c r="O1067" s="73"/>
      <c r="P1067" s="73"/>
      <c r="Q1067" s="73"/>
      <c r="R1067" s="73"/>
      <c r="S1067" s="73"/>
      <c r="T1067" s="73"/>
      <c r="U1067" s="73"/>
      <c r="V1067" s="73"/>
      <c r="W1067" s="73"/>
      <c r="X1067" s="73"/>
    </row>
    <row r="1068">
      <c r="A1068" s="74">
        <v>1163.0</v>
      </c>
      <c r="B1068" s="74" t="s">
        <v>2100</v>
      </c>
      <c r="C1068" s="74"/>
      <c r="D1068" s="75" t="s">
        <v>2471</v>
      </c>
      <c r="E1068" s="76">
        <v>46175.0</v>
      </c>
      <c r="F1068" s="78" t="s">
        <v>1420</v>
      </c>
      <c r="G1068" s="76">
        <v>46195.0</v>
      </c>
      <c r="H1068" s="98" t="s">
        <v>29</v>
      </c>
      <c r="I1068" s="98"/>
      <c r="J1068" s="74">
        <f t="shared" si="6"/>
        <v>20</v>
      </c>
      <c r="L1068" s="73"/>
      <c r="M1068" s="73"/>
      <c r="N1068" s="73"/>
      <c r="O1068" s="73"/>
      <c r="P1068" s="73"/>
      <c r="Q1068" s="73"/>
      <c r="R1068" s="73"/>
      <c r="S1068" s="73"/>
      <c r="T1068" s="73"/>
      <c r="U1068" s="73"/>
      <c r="V1068" s="73"/>
      <c r="W1068" s="73"/>
      <c r="X1068" s="73"/>
    </row>
    <row r="1069">
      <c r="A1069" s="74">
        <v>1164.0</v>
      </c>
      <c r="B1069" s="74" t="s">
        <v>2100</v>
      </c>
      <c r="C1069" s="74"/>
      <c r="D1069" s="75" t="s">
        <v>2472</v>
      </c>
      <c r="E1069" s="76">
        <v>46175.0</v>
      </c>
      <c r="F1069" s="78" t="s">
        <v>1420</v>
      </c>
      <c r="G1069" s="76">
        <v>46195.0</v>
      </c>
      <c r="H1069" s="98" t="s">
        <v>29</v>
      </c>
      <c r="I1069" s="98"/>
      <c r="J1069" s="74">
        <f t="shared" si="6"/>
        <v>20</v>
      </c>
      <c r="L1069" s="73"/>
      <c r="M1069" s="73"/>
      <c r="N1069" s="73"/>
      <c r="O1069" s="73"/>
      <c r="P1069" s="73"/>
      <c r="Q1069" s="73"/>
      <c r="R1069" s="73"/>
      <c r="S1069" s="73"/>
      <c r="T1069" s="73"/>
      <c r="U1069" s="73"/>
      <c r="V1069" s="73"/>
      <c r="W1069" s="73"/>
      <c r="X1069" s="73"/>
    </row>
    <row r="1070">
      <c r="A1070" s="74">
        <v>1165.0</v>
      </c>
      <c r="B1070" s="74" t="s">
        <v>2100</v>
      </c>
      <c r="C1070" s="74"/>
      <c r="D1070" s="75" t="s">
        <v>2473</v>
      </c>
      <c r="E1070" s="76">
        <v>46175.0</v>
      </c>
      <c r="F1070" s="78" t="s">
        <v>1420</v>
      </c>
      <c r="G1070" s="76">
        <v>46195.0</v>
      </c>
      <c r="H1070" s="98" t="s">
        <v>29</v>
      </c>
      <c r="I1070" s="98"/>
      <c r="J1070" s="74">
        <f t="shared" si="6"/>
        <v>20</v>
      </c>
      <c r="L1070" s="73"/>
      <c r="M1070" s="73"/>
      <c r="N1070" s="73"/>
      <c r="O1070" s="73"/>
      <c r="P1070" s="73"/>
      <c r="Q1070" s="73"/>
      <c r="R1070" s="73"/>
      <c r="S1070" s="73"/>
      <c r="T1070" s="73"/>
      <c r="U1070" s="73"/>
      <c r="V1070" s="73"/>
      <c r="W1070" s="73"/>
      <c r="X1070" s="73"/>
    </row>
    <row r="1071">
      <c r="A1071" s="74">
        <v>1166.0</v>
      </c>
      <c r="B1071" s="74" t="s">
        <v>2100</v>
      </c>
      <c r="C1071" s="74"/>
      <c r="D1071" s="75" t="s">
        <v>2474</v>
      </c>
      <c r="E1071" s="76">
        <v>46175.0</v>
      </c>
      <c r="F1071" s="78" t="s">
        <v>1420</v>
      </c>
      <c r="G1071" s="76">
        <v>46195.0</v>
      </c>
      <c r="H1071" s="98" t="s">
        <v>29</v>
      </c>
      <c r="I1071" s="98"/>
      <c r="J1071" s="74">
        <f t="shared" si="6"/>
        <v>20</v>
      </c>
      <c r="L1071" s="73"/>
      <c r="M1071" s="73"/>
      <c r="N1071" s="73"/>
      <c r="O1071" s="73"/>
      <c r="P1071" s="73"/>
      <c r="Q1071" s="73"/>
      <c r="R1071" s="73"/>
      <c r="S1071" s="73"/>
      <c r="T1071" s="73"/>
      <c r="U1071" s="73"/>
      <c r="V1071" s="73"/>
      <c r="W1071" s="73"/>
      <c r="X1071" s="73"/>
    </row>
    <row r="1072">
      <c r="A1072" s="74">
        <v>1167.0</v>
      </c>
      <c r="B1072" s="74" t="s">
        <v>2100</v>
      </c>
      <c r="C1072" s="74"/>
      <c r="D1072" s="75" t="s">
        <v>2475</v>
      </c>
      <c r="E1072" s="76">
        <v>46175.0</v>
      </c>
      <c r="F1072" s="78" t="s">
        <v>1420</v>
      </c>
      <c r="G1072" s="76">
        <v>46195.0</v>
      </c>
      <c r="H1072" s="98" t="s">
        <v>29</v>
      </c>
      <c r="I1072" s="98"/>
      <c r="J1072" s="74">
        <f t="shared" si="6"/>
        <v>20</v>
      </c>
      <c r="L1072" s="73"/>
      <c r="M1072" s="73"/>
      <c r="N1072" s="73"/>
      <c r="O1072" s="73"/>
      <c r="P1072" s="73"/>
      <c r="Q1072" s="73"/>
      <c r="R1072" s="73"/>
      <c r="S1072" s="73"/>
      <c r="T1072" s="73"/>
      <c r="U1072" s="73"/>
      <c r="V1072" s="73"/>
      <c r="W1072" s="73"/>
      <c r="X1072" s="73"/>
    </row>
    <row r="1073" ht="15.75" customHeight="1">
      <c r="A1073" s="74">
        <v>1168.0</v>
      </c>
      <c r="B1073" s="74" t="s">
        <v>2100</v>
      </c>
      <c r="C1073" s="74"/>
      <c r="D1073" s="75" t="s">
        <v>2476</v>
      </c>
      <c r="E1073" s="76">
        <v>46180.0</v>
      </c>
      <c r="F1073" s="78" t="s">
        <v>1420</v>
      </c>
      <c r="G1073" s="76">
        <v>46195.0</v>
      </c>
      <c r="H1073" s="98" t="s">
        <v>29</v>
      </c>
      <c r="I1073" s="98"/>
      <c r="J1073" s="74">
        <f t="shared" si="6"/>
        <v>15</v>
      </c>
      <c r="L1073" s="73"/>
      <c r="M1073" s="73"/>
      <c r="N1073" s="73"/>
      <c r="O1073" s="73"/>
      <c r="P1073" s="73"/>
      <c r="Q1073" s="73"/>
      <c r="R1073" s="73"/>
      <c r="S1073" s="73"/>
      <c r="T1073" s="73"/>
      <c r="U1073" s="73"/>
      <c r="V1073" s="73"/>
      <c r="W1073" s="73"/>
      <c r="X1073" s="73"/>
    </row>
    <row r="1074">
      <c r="A1074" s="74">
        <v>1169.0</v>
      </c>
      <c r="B1074" s="74" t="s">
        <v>1421</v>
      </c>
      <c r="C1074" s="74"/>
      <c r="D1074" s="75" t="s">
        <v>1952</v>
      </c>
      <c r="E1074" s="76">
        <v>46180.0</v>
      </c>
      <c r="F1074" s="78" t="s">
        <v>1427</v>
      </c>
      <c r="G1074" s="76">
        <v>46195.0</v>
      </c>
      <c r="H1074" s="98" t="s">
        <v>1401</v>
      </c>
      <c r="I1074" s="98"/>
      <c r="J1074" s="74">
        <f t="shared" si="6"/>
        <v>15</v>
      </c>
      <c r="L1074" s="73"/>
      <c r="M1074" s="73"/>
      <c r="N1074" s="73"/>
      <c r="O1074" s="73"/>
      <c r="P1074" s="73"/>
      <c r="Q1074" s="73"/>
      <c r="R1074" s="73"/>
      <c r="S1074" s="73"/>
      <c r="T1074" s="73"/>
      <c r="U1074" s="73"/>
      <c r="V1074" s="73"/>
      <c r="W1074" s="73"/>
      <c r="X1074" s="73"/>
    </row>
    <row r="1075">
      <c r="A1075" s="74">
        <v>1170.0</v>
      </c>
      <c r="B1075" s="74" t="s">
        <v>1421</v>
      </c>
      <c r="C1075" s="74"/>
      <c r="D1075" s="75" t="s">
        <v>2477</v>
      </c>
      <c r="E1075" s="76">
        <v>46180.0</v>
      </c>
      <c r="F1075" s="78" t="s">
        <v>1427</v>
      </c>
      <c r="G1075" s="76">
        <v>46195.0</v>
      </c>
      <c r="H1075" s="98" t="s">
        <v>1401</v>
      </c>
      <c r="I1075" s="98"/>
      <c r="J1075" s="74">
        <f t="shared" si="6"/>
        <v>15</v>
      </c>
      <c r="L1075" s="73"/>
      <c r="M1075" s="73"/>
      <c r="N1075" s="73"/>
      <c r="O1075" s="73"/>
      <c r="P1075" s="73"/>
      <c r="Q1075" s="73"/>
      <c r="R1075" s="73"/>
      <c r="S1075" s="73"/>
      <c r="T1075" s="73"/>
      <c r="U1075" s="73"/>
      <c r="V1075" s="73"/>
      <c r="W1075" s="73"/>
      <c r="X1075" s="73"/>
    </row>
    <row r="1076">
      <c r="A1076" s="74">
        <v>1171.0</v>
      </c>
      <c r="B1076" s="74" t="s">
        <v>1421</v>
      </c>
      <c r="C1076" s="74"/>
      <c r="D1076" s="75" t="s">
        <v>2478</v>
      </c>
      <c r="E1076" s="76">
        <v>46180.0</v>
      </c>
      <c r="F1076" s="78" t="s">
        <v>1420</v>
      </c>
      <c r="G1076" s="76">
        <v>46195.0</v>
      </c>
      <c r="H1076" s="98" t="s">
        <v>29</v>
      </c>
      <c r="I1076" s="98"/>
      <c r="J1076" s="74">
        <f t="shared" si="6"/>
        <v>15</v>
      </c>
      <c r="L1076" s="73"/>
      <c r="M1076" s="73"/>
      <c r="N1076" s="73"/>
      <c r="O1076" s="73"/>
      <c r="P1076" s="73"/>
      <c r="Q1076" s="73"/>
      <c r="R1076" s="73"/>
      <c r="S1076" s="73"/>
      <c r="T1076" s="73"/>
      <c r="U1076" s="73"/>
      <c r="V1076" s="73"/>
      <c r="W1076" s="73"/>
      <c r="X1076" s="73"/>
    </row>
    <row r="1077">
      <c r="A1077" s="74">
        <v>1172.0</v>
      </c>
      <c r="B1077" s="74" t="s">
        <v>1421</v>
      </c>
      <c r="C1077" s="74"/>
      <c r="D1077" s="75" t="s">
        <v>2479</v>
      </c>
      <c r="E1077" s="76">
        <v>46180.0</v>
      </c>
      <c r="F1077" s="78" t="s">
        <v>1420</v>
      </c>
      <c r="G1077" s="76">
        <v>46195.0</v>
      </c>
      <c r="H1077" s="98" t="s">
        <v>29</v>
      </c>
      <c r="I1077" s="98"/>
      <c r="J1077" s="74">
        <f t="shared" si="6"/>
        <v>15</v>
      </c>
      <c r="L1077" s="73"/>
      <c r="M1077" s="73"/>
      <c r="N1077" s="73"/>
      <c r="O1077" s="73"/>
      <c r="P1077" s="73"/>
      <c r="Q1077" s="73"/>
      <c r="R1077" s="73"/>
      <c r="S1077" s="73"/>
      <c r="T1077" s="73"/>
      <c r="U1077" s="73"/>
      <c r="V1077" s="73"/>
      <c r="W1077" s="73"/>
      <c r="X1077" s="73"/>
    </row>
    <row r="1078">
      <c r="A1078" s="74">
        <v>1173.0</v>
      </c>
      <c r="B1078" s="74" t="s">
        <v>2456</v>
      </c>
      <c r="C1078" s="74"/>
      <c r="D1078" s="75" t="s">
        <v>2480</v>
      </c>
      <c r="E1078" s="76">
        <v>46181.0</v>
      </c>
      <c r="F1078" s="78" t="s">
        <v>1420</v>
      </c>
      <c r="G1078" s="76">
        <v>46195.0</v>
      </c>
      <c r="H1078" s="98" t="s">
        <v>29</v>
      </c>
      <c r="I1078" s="98"/>
      <c r="J1078" s="74">
        <f t="shared" si="6"/>
        <v>14</v>
      </c>
      <c r="L1078" s="73"/>
      <c r="M1078" s="73"/>
      <c r="N1078" s="73"/>
      <c r="O1078" s="73"/>
      <c r="P1078" s="73"/>
      <c r="Q1078" s="73"/>
      <c r="R1078" s="73"/>
      <c r="S1078" s="73"/>
      <c r="T1078" s="73"/>
      <c r="U1078" s="73"/>
      <c r="V1078" s="73"/>
      <c r="W1078" s="73"/>
      <c r="X1078" s="73"/>
    </row>
    <row r="1079">
      <c r="A1079" s="74">
        <v>1174.0</v>
      </c>
      <c r="B1079" s="74" t="s">
        <v>653</v>
      </c>
      <c r="C1079" s="74"/>
      <c r="D1079" s="75" t="s">
        <v>2481</v>
      </c>
      <c r="E1079" s="76">
        <v>46181.0</v>
      </c>
      <c r="F1079" s="78" t="s">
        <v>1420</v>
      </c>
      <c r="G1079" s="76">
        <v>46195.0</v>
      </c>
      <c r="H1079" s="98" t="s">
        <v>29</v>
      </c>
      <c r="I1079" s="98"/>
      <c r="J1079" s="74">
        <f t="shared" si="6"/>
        <v>14</v>
      </c>
      <c r="L1079" s="73"/>
      <c r="M1079" s="73"/>
      <c r="N1079" s="73"/>
      <c r="O1079" s="73"/>
      <c r="P1079" s="73"/>
      <c r="Q1079" s="73"/>
      <c r="R1079" s="73"/>
      <c r="S1079" s="73"/>
      <c r="T1079" s="73"/>
      <c r="U1079" s="73"/>
      <c r="V1079" s="73"/>
      <c r="W1079" s="73"/>
      <c r="X1079" s="73"/>
    </row>
    <row r="1080">
      <c r="A1080" s="74">
        <v>1175.0</v>
      </c>
      <c r="B1080" s="74" t="s">
        <v>653</v>
      </c>
      <c r="C1080" s="74"/>
      <c r="D1080" s="75" t="s">
        <v>2482</v>
      </c>
      <c r="E1080" s="76">
        <v>46181.0</v>
      </c>
      <c r="F1080" s="78" t="s">
        <v>1420</v>
      </c>
      <c r="G1080" s="76">
        <v>46195.0</v>
      </c>
      <c r="H1080" s="98" t="s">
        <v>29</v>
      </c>
      <c r="I1080" s="98"/>
      <c r="J1080" s="74">
        <f t="shared" si="6"/>
        <v>14</v>
      </c>
      <c r="L1080" s="73"/>
      <c r="M1080" s="73"/>
      <c r="N1080" s="73"/>
      <c r="O1080" s="73"/>
      <c r="P1080" s="73"/>
      <c r="Q1080" s="73"/>
      <c r="R1080" s="73"/>
      <c r="S1080" s="73"/>
      <c r="T1080" s="73"/>
      <c r="U1080" s="73"/>
      <c r="V1080" s="73"/>
      <c r="W1080" s="73"/>
      <c r="X1080" s="73"/>
    </row>
    <row r="1081">
      <c r="A1081" s="74">
        <v>1176.0</v>
      </c>
      <c r="B1081" s="74" t="s">
        <v>653</v>
      </c>
      <c r="C1081" s="74"/>
      <c r="D1081" s="75" t="s">
        <v>2483</v>
      </c>
      <c r="E1081" s="76">
        <v>46181.0</v>
      </c>
      <c r="F1081" s="78" t="s">
        <v>1420</v>
      </c>
      <c r="G1081" s="76">
        <v>46195.0</v>
      </c>
      <c r="H1081" s="98" t="s">
        <v>29</v>
      </c>
      <c r="I1081" s="98"/>
      <c r="J1081" s="74">
        <f t="shared" si="6"/>
        <v>14</v>
      </c>
      <c r="L1081" s="73"/>
      <c r="M1081" s="73"/>
      <c r="N1081" s="73"/>
      <c r="O1081" s="73"/>
      <c r="P1081" s="73"/>
      <c r="Q1081" s="73"/>
      <c r="R1081" s="73"/>
      <c r="S1081" s="73"/>
      <c r="T1081" s="73"/>
      <c r="U1081" s="73"/>
      <c r="V1081" s="73"/>
      <c r="W1081" s="73"/>
      <c r="X1081" s="73"/>
    </row>
    <row r="1082">
      <c r="A1082" s="74">
        <v>1177.0</v>
      </c>
      <c r="B1082" s="74" t="s">
        <v>653</v>
      </c>
      <c r="C1082" s="74"/>
      <c r="D1082" s="75" t="s">
        <v>2484</v>
      </c>
      <c r="E1082" s="76">
        <v>46181.0</v>
      </c>
      <c r="F1082" s="78" t="s">
        <v>1420</v>
      </c>
      <c r="G1082" s="76">
        <v>46195.0</v>
      </c>
      <c r="H1082" s="98" t="s">
        <v>29</v>
      </c>
      <c r="I1082" s="98"/>
      <c r="J1082" s="74">
        <f t="shared" si="6"/>
        <v>14</v>
      </c>
      <c r="L1082" s="73"/>
      <c r="M1082" s="73"/>
      <c r="N1082" s="73"/>
      <c r="O1082" s="73"/>
      <c r="P1082" s="73"/>
      <c r="Q1082" s="73"/>
      <c r="R1082" s="73"/>
      <c r="S1082" s="73"/>
      <c r="T1082" s="73"/>
      <c r="U1082" s="73"/>
      <c r="V1082" s="73"/>
      <c r="W1082" s="73"/>
      <c r="X1082" s="73"/>
    </row>
    <row r="1083">
      <c r="A1083" s="74">
        <v>1178.0</v>
      </c>
      <c r="B1083" s="74" t="s">
        <v>653</v>
      </c>
      <c r="C1083" s="74"/>
      <c r="D1083" s="75" t="s">
        <v>2485</v>
      </c>
      <c r="E1083" s="76">
        <v>46181.0</v>
      </c>
      <c r="F1083" s="78" t="s">
        <v>1420</v>
      </c>
      <c r="G1083" s="76">
        <v>46195.0</v>
      </c>
      <c r="H1083" s="98" t="s">
        <v>29</v>
      </c>
      <c r="I1083" s="98"/>
      <c r="J1083" s="74">
        <f t="shared" si="6"/>
        <v>14</v>
      </c>
      <c r="L1083" s="73"/>
      <c r="M1083" s="73"/>
      <c r="N1083" s="73"/>
      <c r="O1083" s="73"/>
      <c r="P1083" s="73"/>
      <c r="Q1083" s="73"/>
      <c r="R1083" s="73"/>
      <c r="S1083" s="73"/>
      <c r="T1083" s="73"/>
      <c r="U1083" s="73"/>
      <c r="V1083" s="73"/>
      <c r="W1083" s="73"/>
      <c r="X1083" s="73"/>
    </row>
    <row r="1084">
      <c r="A1084" s="74">
        <v>1179.0</v>
      </c>
      <c r="B1084" s="74" t="s">
        <v>653</v>
      </c>
      <c r="C1084" s="74"/>
      <c r="D1084" s="75" t="s">
        <v>2486</v>
      </c>
      <c r="E1084" s="76">
        <v>46181.0</v>
      </c>
      <c r="F1084" s="78" t="s">
        <v>1420</v>
      </c>
      <c r="G1084" s="76">
        <v>46195.0</v>
      </c>
      <c r="H1084" s="98" t="s">
        <v>29</v>
      </c>
      <c r="I1084" s="98"/>
      <c r="J1084" s="74">
        <f t="shared" si="6"/>
        <v>14</v>
      </c>
      <c r="L1084" s="73"/>
      <c r="M1084" s="73"/>
      <c r="N1084" s="73"/>
      <c r="O1084" s="73"/>
      <c r="P1084" s="73"/>
      <c r="Q1084" s="73"/>
      <c r="R1084" s="73"/>
      <c r="S1084" s="73"/>
      <c r="T1084" s="73"/>
      <c r="U1084" s="73"/>
      <c r="V1084" s="73"/>
      <c r="W1084" s="73"/>
      <c r="X1084" s="73"/>
    </row>
    <row r="1085">
      <c r="A1085" s="74">
        <v>1180.0</v>
      </c>
      <c r="B1085" s="74" t="s">
        <v>653</v>
      </c>
      <c r="C1085" s="74"/>
      <c r="D1085" s="75" t="s">
        <v>2487</v>
      </c>
      <c r="E1085" s="76">
        <v>46181.0</v>
      </c>
      <c r="F1085" s="78" t="s">
        <v>1420</v>
      </c>
      <c r="G1085" s="76">
        <v>46195.0</v>
      </c>
      <c r="H1085" s="98" t="s">
        <v>29</v>
      </c>
      <c r="I1085" s="98"/>
      <c r="J1085" s="74">
        <f t="shared" si="6"/>
        <v>14</v>
      </c>
      <c r="L1085" s="73"/>
      <c r="M1085" s="73"/>
      <c r="N1085" s="73"/>
      <c r="O1085" s="73"/>
      <c r="P1085" s="73"/>
      <c r="Q1085" s="73"/>
      <c r="R1085" s="73"/>
      <c r="S1085" s="73"/>
      <c r="T1085" s="73"/>
      <c r="U1085" s="73"/>
      <c r="V1085" s="73"/>
      <c r="W1085" s="73"/>
      <c r="X1085" s="73"/>
    </row>
    <row r="1086">
      <c r="A1086" s="74">
        <v>1181.0</v>
      </c>
      <c r="B1086" s="74" t="s">
        <v>653</v>
      </c>
      <c r="C1086" s="74"/>
      <c r="D1086" s="75" t="s">
        <v>2488</v>
      </c>
      <c r="E1086" s="76">
        <v>46181.0</v>
      </c>
      <c r="F1086" s="78" t="s">
        <v>1420</v>
      </c>
      <c r="G1086" s="76">
        <v>46195.0</v>
      </c>
      <c r="H1086" s="98" t="s">
        <v>29</v>
      </c>
      <c r="I1086" s="98"/>
      <c r="J1086" s="74">
        <f t="shared" si="6"/>
        <v>14</v>
      </c>
      <c r="L1086" s="73"/>
      <c r="M1086" s="73"/>
      <c r="N1086" s="73"/>
      <c r="O1086" s="73"/>
      <c r="P1086" s="73"/>
      <c r="Q1086" s="73"/>
      <c r="R1086" s="73"/>
      <c r="S1086" s="73"/>
      <c r="T1086" s="73"/>
      <c r="U1086" s="73"/>
      <c r="V1086" s="73"/>
      <c r="W1086" s="73"/>
      <c r="X1086" s="73"/>
    </row>
    <row r="1087">
      <c r="A1087" s="74">
        <v>1182.0</v>
      </c>
      <c r="B1087" s="74" t="s">
        <v>653</v>
      </c>
      <c r="C1087" s="74"/>
      <c r="D1087" s="75" t="s">
        <v>2489</v>
      </c>
      <c r="E1087" s="76">
        <v>46181.0</v>
      </c>
      <c r="F1087" s="78" t="s">
        <v>1420</v>
      </c>
      <c r="G1087" s="76">
        <v>46195.0</v>
      </c>
      <c r="H1087" s="98" t="s">
        <v>29</v>
      </c>
      <c r="I1087" s="98"/>
      <c r="J1087" s="74">
        <f t="shared" si="6"/>
        <v>14</v>
      </c>
      <c r="L1087" s="73"/>
      <c r="M1087" s="73"/>
      <c r="N1087" s="73"/>
      <c r="O1087" s="73"/>
      <c r="P1087" s="73"/>
      <c r="Q1087" s="73"/>
      <c r="R1087" s="73"/>
      <c r="S1087" s="73"/>
      <c r="T1087" s="73"/>
      <c r="U1087" s="73"/>
      <c r="V1087" s="73"/>
      <c r="W1087" s="73"/>
      <c r="X1087" s="73"/>
    </row>
    <row r="1088">
      <c r="A1088" s="74">
        <v>1183.0</v>
      </c>
      <c r="B1088" s="74" t="s">
        <v>2168</v>
      </c>
      <c r="C1088" s="74"/>
      <c r="D1088" s="75" t="s">
        <v>2490</v>
      </c>
      <c r="E1088" s="76">
        <v>46182.0</v>
      </c>
      <c r="F1088" s="78" t="s">
        <v>1420</v>
      </c>
      <c r="G1088" s="76">
        <v>46195.0</v>
      </c>
      <c r="H1088" s="98" t="s">
        <v>29</v>
      </c>
      <c r="I1088" s="98"/>
      <c r="J1088" s="74">
        <f t="shared" si="6"/>
        <v>13</v>
      </c>
      <c r="L1088" s="73"/>
      <c r="M1088" s="73"/>
      <c r="N1088" s="73"/>
      <c r="O1088" s="73"/>
      <c r="P1088" s="73"/>
      <c r="Q1088" s="73"/>
      <c r="R1088" s="73"/>
      <c r="S1088" s="73"/>
      <c r="T1088" s="73"/>
      <c r="U1088" s="73"/>
      <c r="V1088" s="73"/>
      <c r="W1088" s="73"/>
      <c r="X1088" s="73"/>
    </row>
    <row r="1089">
      <c r="A1089" s="74">
        <v>1184.0</v>
      </c>
      <c r="B1089" s="74" t="s">
        <v>653</v>
      </c>
      <c r="C1089" s="74"/>
      <c r="D1089" s="75" t="s">
        <v>2491</v>
      </c>
      <c r="E1089" s="76">
        <v>46182.0</v>
      </c>
      <c r="F1089" s="78" t="s">
        <v>1420</v>
      </c>
      <c r="G1089" s="76">
        <v>46195.0</v>
      </c>
      <c r="H1089" s="98" t="s">
        <v>29</v>
      </c>
      <c r="I1089" s="98"/>
      <c r="J1089" s="74">
        <f t="shared" si="6"/>
        <v>13</v>
      </c>
      <c r="L1089" s="73"/>
      <c r="M1089" s="73"/>
      <c r="N1089" s="73"/>
      <c r="O1089" s="73"/>
      <c r="P1089" s="73"/>
      <c r="Q1089" s="73"/>
      <c r="R1089" s="73"/>
      <c r="S1089" s="73"/>
      <c r="T1089" s="73"/>
      <c r="U1089" s="73"/>
      <c r="V1089" s="73"/>
      <c r="W1089" s="73"/>
      <c r="X1089" s="73"/>
    </row>
    <row r="1090">
      <c r="A1090" s="74">
        <v>1185.0</v>
      </c>
      <c r="B1090" s="74" t="s">
        <v>653</v>
      </c>
      <c r="C1090" s="74"/>
      <c r="D1090" s="75" t="s">
        <v>2492</v>
      </c>
      <c r="E1090" s="76">
        <v>46182.0</v>
      </c>
      <c r="F1090" s="78" t="s">
        <v>1420</v>
      </c>
      <c r="G1090" s="76">
        <v>46195.0</v>
      </c>
      <c r="H1090" s="98" t="s">
        <v>29</v>
      </c>
      <c r="I1090" s="98"/>
      <c r="J1090" s="74">
        <f t="shared" si="6"/>
        <v>13</v>
      </c>
      <c r="L1090" s="73"/>
      <c r="M1090" s="73"/>
      <c r="N1090" s="73"/>
      <c r="O1090" s="73"/>
      <c r="P1090" s="73"/>
      <c r="Q1090" s="73"/>
      <c r="R1090" s="73"/>
      <c r="S1090" s="73"/>
      <c r="T1090" s="73"/>
      <c r="U1090" s="73"/>
      <c r="V1090" s="73"/>
      <c r="W1090" s="73"/>
      <c r="X1090" s="73"/>
    </row>
    <row r="1091">
      <c r="A1091" s="74">
        <v>1186.0</v>
      </c>
      <c r="B1091" s="74" t="s">
        <v>653</v>
      </c>
      <c r="C1091" s="74"/>
      <c r="D1091" s="75" t="s">
        <v>2493</v>
      </c>
      <c r="E1091" s="76">
        <v>46182.0</v>
      </c>
      <c r="F1091" s="78" t="s">
        <v>1420</v>
      </c>
      <c r="G1091" s="76">
        <v>46196.0</v>
      </c>
      <c r="H1091" s="98" t="s">
        <v>29</v>
      </c>
      <c r="I1091" s="98"/>
      <c r="J1091" s="74">
        <f t="shared" si="6"/>
        <v>14</v>
      </c>
      <c r="L1091" s="73"/>
      <c r="M1091" s="73"/>
      <c r="N1091" s="73"/>
      <c r="O1091" s="73"/>
      <c r="P1091" s="73"/>
      <c r="Q1091" s="73"/>
      <c r="R1091" s="73"/>
      <c r="S1091" s="73"/>
      <c r="T1091" s="73"/>
      <c r="U1091" s="73"/>
      <c r="V1091" s="73"/>
      <c r="W1091" s="73"/>
      <c r="X1091" s="73"/>
    </row>
    <row r="1092">
      <c r="A1092" s="74">
        <v>1187.0</v>
      </c>
      <c r="B1092" s="74" t="s">
        <v>653</v>
      </c>
      <c r="C1092" s="74"/>
      <c r="D1092" s="75" t="s">
        <v>2494</v>
      </c>
      <c r="E1092" s="76">
        <v>46182.0</v>
      </c>
      <c r="F1092" s="78" t="s">
        <v>1420</v>
      </c>
      <c r="G1092" s="76">
        <v>46195.0</v>
      </c>
      <c r="H1092" s="98" t="s">
        <v>29</v>
      </c>
      <c r="I1092" s="98"/>
      <c r="J1092" s="74">
        <f t="shared" si="6"/>
        <v>13</v>
      </c>
      <c r="L1092" s="73"/>
      <c r="M1092" s="73"/>
      <c r="N1092" s="73"/>
      <c r="O1092" s="73"/>
      <c r="P1092" s="73"/>
      <c r="Q1092" s="73"/>
      <c r="R1092" s="73"/>
      <c r="S1092" s="73"/>
      <c r="T1092" s="73"/>
      <c r="U1092" s="73"/>
      <c r="V1092" s="73"/>
      <c r="W1092" s="73"/>
      <c r="X1092" s="73"/>
    </row>
    <row r="1093">
      <c r="A1093" s="74">
        <v>1188.0</v>
      </c>
      <c r="B1093" s="74" t="s">
        <v>653</v>
      </c>
      <c r="C1093" s="74"/>
      <c r="D1093" s="75" t="s">
        <v>2495</v>
      </c>
      <c r="E1093" s="76">
        <v>46182.0</v>
      </c>
      <c r="F1093" s="78" t="s">
        <v>1420</v>
      </c>
      <c r="G1093" s="76">
        <v>46196.0</v>
      </c>
      <c r="H1093" s="98" t="s">
        <v>29</v>
      </c>
      <c r="I1093" s="98"/>
      <c r="J1093" s="74">
        <f t="shared" si="6"/>
        <v>14</v>
      </c>
      <c r="L1093" s="73"/>
      <c r="M1093" s="73"/>
      <c r="N1093" s="73"/>
      <c r="O1093" s="73"/>
      <c r="P1093" s="73"/>
      <c r="Q1093" s="73"/>
      <c r="R1093" s="73"/>
      <c r="S1093" s="73"/>
      <c r="T1093" s="73"/>
      <c r="U1093" s="73"/>
      <c r="V1093" s="73"/>
      <c r="W1093" s="73"/>
      <c r="X1093" s="73"/>
    </row>
    <row r="1094">
      <c r="A1094" s="74">
        <v>1189.0</v>
      </c>
      <c r="B1094" s="74" t="s">
        <v>653</v>
      </c>
      <c r="C1094" s="74"/>
      <c r="D1094" s="75" t="s">
        <v>2496</v>
      </c>
      <c r="E1094" s="76">
        <v>46182.0</v>
      </c>
      <c r="F1094" s="78" t="s">
        <v>1420</v>
      </c>
      <c r="G1094" s="76">
        <v>46195.0</v>
      </c>
      <c r="H1094" s="98" t="s">
        <v>29</v>
      </c>
      <c r="I1094" s="98"/>
      <c r="J1094" s="74">
        <f t="shared" si="6"/>
        <v>13</v>
      </c>
      <c r="L1094" s="73"/>
      <c r="M1094" s="73"/>
      <c r="N1094" s="73"/>
      <c r="O1094" s="73"/>
      <c r="P1094" s="73"/>
      <c r="Q1094" s="73"/>
      <c r="R1094" s="73"/>
      <c r="S1094" s="73"/>
      <c r="T1094" s="73"/>
      <c r="U1094" s="73"/>
      <c r="V1094" s="73"/>
      <c r="W1094" s="73"/>
      <c r="X1094" s="73"/>
    </row>
    <row r="1095">
      <c r="A1095" s="74">
        <v>1190.0</v>
      </c>
      <c r="B1095" s="74" t="s">
        <v>653</v>
      </c>
      <c r="C1095" s="74"/>
      <c r="D1095" s="75" t="s">
        <v>2497</v>
      </c>
      <c r="E1095" s="76">
        <v>46183.0</v>
      </c>
      <c r="F1095" s="78" t="s">
        <v>1420</v>
      </c>
      <c r="G1095" s="76">
        <v>46196.0</v>
      </c>
      <c r="H1095" s="98" t="s">
        <v>29</v>
      </c>
      <c r="I1095" s="98"/>
      <c r="J1095" s="74">
        <f t="shared" si="6"/>
        <v>13</v>
      </c>
      <c r="L1095" s="73"/>
      <c r="M1095" s="73"/>
      <c r="N1095" s="73"/>
      <c r="O1095" s="73"/>
      <c r="P1095" s="73"/>
      <c r="Q1095" s="73"/>
      <c r="R1095" s="73"/>
      <c r="S1095" s="73"/>
      <c r="T1095" s="73"/>
      <c r="U1095" s="73"/>
      <c r="V1095" s="73"/>
      <c r="W1095" s="73"/>
      <c r="X1095" s="73"/>
    </row>
    <row r="1096">
      <c r="A1096" s="74">
        <v>1191.0</v>
      </c>
      <c r="B1096" s="74" t="s">
        <v>653</v>
      </c>
      <c r="C1096" s="74"/>
      <c r="D1096" s="75" t="s">
        <v>2498</v>
      </c>
      <c r="E1096" s="76">
        <v>46183.0</v>
      </c>
      <c r="F1096" s="78" t="s">
        <v>1420</v>
      </c>
      <c r="G1096" s="76">
        <v>46195.0</v>
      </c>
      <c r="H1096" s="98" t="s">
        <v>29</v>
      </c>
      <c r="I1096" s="98"/>
      <c r="J1096" s="74">
        <f t="shared" si="6"/>
        <v>12</v>
      </c>
      <c r="L1096" s="73"/>
      <c r="M1096" s="73"/>
      <c r="N1096" s="73"/>
      <c r="O1096" s="73"/>
      <c r="P1096" s="73"/>
      <c r="Q1096" s="73"/>
      <c r="R1096" s="73"/>
      <c r="S1096" s="73"/>
      <c r="T1096" s="73"/>
      <c r="U1096" s="73"/>
      <c r="V1096" s="73"/>
      <c r="W1096" s="73"/>
      <c r="X1096" s="73"/>
    </row>
    <row r="1097">
      <c r="A1097" s="74">
        <v>1192.0</v>
      </c>
      <c r="B1097" s="74" t="s">
        <v>653</v>
      </c>
      <c r="C1097" s="74"/>
      <c r="D1097" s="75" t="s">
        <v>2499</v>
      </c>
      <c r="E1097" s="76">
        <v>46183.0</v>
      </c>
      <c r="F1097" s="78" t="s">
        <v>1420</v>
      </c>
      <c r="G1097" s="76">
        <v>46196.0</v>
      </c>
      <c r="H1097" s="98" t="s">
        <v>29</v>
      </c>
      <c r="I1097" s="98"/>
      <c r="J1097" s="74">
        <f t="shared" si="6"/>
        <v>13</v>
      </c>
      <c r="L1097" s="73"/>
      <c r="M1097" s="73"/>
      <c r="N1097" s="73"/>
      <c r="O1097" s="73"/>
      <c r="P1097" s="73"/>
      <c r="Q1097" s="73"/>
      <c r="R1097" s="73"/>
      <c r="S1097" s="73"/>
      <c r="T1097" s="73"/>
      <c r="U1097" s="73"/>
      <c r="V1097" s="73"/>
      <c r="W1097" s="73"/>
      <c r="X1097" s="73"/>
    </row>
    <row r="1098">
      <c r="A1098" s="74">
        <v>1193.0</v>
      </c>
      <c r="B1098" s="74" t="s">
        <v>653</v>
      </c>
      <c r="C1098" s="74"/>
      <c r="D1098" s="75" t="s">
        <v>2500</v>
      </c>
      <c r="E1098" s="76">
        <v>46183.0</v>
      </c>
      <c r="F1098" s="78" t="s">
        <v>1420</v>
      </c>
      <c r="G1098" s="76">
        <v>46195.0</v>
      </c>
      <c r="H1098" s="98" t="s">
        <v>29</v>
      </c>
      <c r="I1098" s="98"/>
      <c r="J1098" s="74">
        <f t="shared" si="6"/>
        <v>12</v>
      </c>
      <c r="L1098" s="73"/>
      <c r="M1098" s="73"/>
      <c r="N1098" s="73"/>
      <c r="O1098" s="73"/>
      <c r="P1098" s="73"/>
      <c r="Q1098" s="73"/>
      <c r="R1098" s="73"/>
      <c r="S1098" s="73"/>
      <c r="T1098" s="73"/>
      <c r="U1098" s="73"/>
      <c r="V1098" s="73"/>
      <c r="W1098" s="73"/>
      <c r="X1098" s="73"/>
    </row>
    <row r="1099">
      <c r="A1099" s="74">
        <v>1194.0</v>
      </c>
      <c r="B1099" s="74" t="s">
        <v>653</v>
      </c>
      <c r="C1099" s="74"/>
      <c r="D1099" s="75" t="s">
        <v>2501</v>
      </c>
      <c r="E1099" s="76">
        <v>46183.0</v>
      </c>
      <c r="F1099" s="78" t="s">
        <v>1420</v>
      </c>
      <c r="G1099" s="76">
        <v>46196.0</v>
      </c>
      <c r="H1099" s="98" t="s">
        <v>29</v>
      </c>
      <c r="I1099" s="98"/>
      <c r="J1099" s="74">
        <f t="shared" si="6"/>
        <v>13</v>
      </c>
      <c r="L1099" s="73"/>
      <c r="M1099" s="73"/>
      <c r="N1099" s="73"/>
      <c r="O1099" s="73"/>
      <c r="P1099" s="73"/>
      <c r="Q1099" s="73"/>
      <c r="R1099" s="73"/>
      <c r="S1099" s="73"/>
      <c r="T1099" s="73"/>
      <c r="U1099" s="73"/>
      <c r="V1099" s="73"/>
      <c r="W1099" s="73"/>
      <c r="X1099" s="73"/>
    </row>
    <row r="1100">
      <c r="A1100" s="74">
        <v>1195.0</v>
      </c>
      <c r="B1100" s="74" t="s">
        <v>653</v>
      </c>
      <c r="C1100" s="74"/>
      <c r="D1100" s="75" t="s">
        <v>2502</v>
      </c>
      <c r="E1100" s="76">
        <v>46183.0</v>
      </c>
      <c r="F1100" s="78" t="s">
        <v>1366</v>
      </c>
      <c r="G1100" s="76"/>
      <c r="H1100" s="98"/>
      <c r="I1100" s="98"/>
      <c r="J1100" s="74"/>
      <c r="L1100" s="73"/>
      <c r="M1100" s="73"/>
      <c r="N1100" s="73"/>
      <c r="O1100" s="73"/>
      <c r="P1100" s="73"/>
      <c r="Q1100" s="73"/>
      <c r="R1100" s="73"/>
      <c r="S1100" s="73"/>
      <c r="T1100" s="73"/>
      <c r="U1100" s="73"/>
      <c r="V1100" s="73"/>
      <c r="W1100" s="73"/>
      <c r="X1100" s="73"/>
    </row>
    <row r="1101">
      <c r="A1101" s="74">
        <v>1196.0</v>
      </c>
      <c r="B1101" s="74" t="s">
        <v>1896</v>
      </c>
      <c r="C1101" s="74"/>
      <c r="D1101" s="75" t="s">
        <v>2420</v>
      </c>
      <c r="E1101" s="76">
        <v>46184.0</v>
      </c>
      <c r="F1101" s="78" t="s">
        <v>1420</v>
      </c>
      <c r="G1101" s="76">
        <v>46196.0</v>
      </c>
      <c r="H1101" s="98" t="s">
        <v>29</v>
      </c>
      <c r="I1101" s="98"/>
      <c r="J1101" s="74">
        <f t="shared" ref="J1101:J1103" si="7">G1101-E1101</f>
        <v>12</v>
      </c>
      <c r="L1101" s="73"/>
      <c r="M1101" s="73"/>
      <c r="N1101" s="73"/>
      <c r="O1101" s="73"/>
      <c r="P1101" s="73"/>
      <c r="Q1101" s="73"/>
      <c r="R1101" s="73"/>
      <c r="S1101" s="73"/>
      <c r="T1101" s="73"/>
      <c r="U1101" s="73"/>
      <c r="V1101" s="73"/>
      <c r="W1101" s="73"/>
      <c r="X1101" s="73"/>
    </row>
    <row r="1102" ht="15.0" customHeight="1">
      <c r="A1102" s="74">
        <v>1197.0</v>
      </c>
      <c r="B1102" s="74" t="s">
        <v>1896</v>
      </c>
      <c r="C1102" s="74"/>
      <c r="D1102" s="75" t="s">
        <v>2503</v>
      </c>
      <c r="E1102" s="76">
        <v>46184.0</v>
      </c>
      <c r="F1102" s="78" t="s">
        <v>1420</v>
      </c>
      <c r="G1102" s="76">
        <v>46196.0</v>
      </c>
      <c r="H1102" s="98" t="s">
        <v>29</v>
      </c>
      <c r="I1102" s="98"/>
      <c r="J1102" s="74">
        <f t="shared" si="7"/>
        <v>12</v>
      </c>
      <c r="L1102" s="73"/>
      <c r="M1102" s="73"/>
      <c r="N1102" s="73"/>
      <c r="O1102" s="73"/>
      <c r="P1102" s="73"/>
      <c r="Q1102" s="73"/>
      <c r="R1102" s="73"/>
      <c r="S1102" s="73"/>
      <c r="T1102" s="73"/>
      <c r="U1102" s="73"/>
      <c r="V1102" s="73"/>
      <c r="W1102" s="73"/>
      <c r="X1102" s="73"/>
    </row>
    <row r="1103" ht="12.0" customHeight="1">
      <c r="A1103" s="74">
        <v>1198.0</v>
      </c>
      <c r="B1103" s="74" t="s">
        <v>1896</v>
      </c>
      <c r="C1103" s="74"/>
      <c r="D1103" s="75" t="s">
        <v>2422</v>
      </c>
      <c r="E1103" s="76">
        <v>46184.0</v>
      </c>
      <c r="F1103" s="78" t="s">
        <v>1420</v>
      </c>
      <c r="G1103" s="76">
        <v>46196.0</v>
      </c>
      <c r="H1103" s="98" t="s">
        <v>29</v>
      </c>
      <c r="I1103" s="98"/>
      <c r="J1103" s="74">
        <f t="shared" si="7"/>
        <v>12</v>
      </c>
      <c r="L1103" s="73"/>
      <c r="M1103" s="73"/>
      <c r="N1103" s="73"/>
      <c r="O1103" s="73"/>
      <c r="P1103" s="73"/>
      <c r="Q1103" s="73"/>
      <c r="R1103" s="73"/>
      <c r="S1103" s="73"/>
      <c r="T1103" s="73"/>
      <c r="U1103" s="73"/>
      <c r="V1103" s="73"/>
      <c r="W1103" s="73"/>
      <c r="X1103" s="73"/>
    </row>
    <row r="1104" ht="15.75" customHeight="1">
      <c r="A1104" s="74">
        <v>1199.0</v>
      </c>
      <c r="B1104" s="74" t="s">
        <v>2100</v>
      </c>
      <c r="C1104" s="74"/>
      <c r="D1104" s="75" t="s">
        <v>2504</v>
      </c>
      <c r="E1104" s="76">
        <v>46187.0</v>
      </c>
      <c r="F1104" s="78" t="s">
        <v>1366</v>
      </c>
      <c r="G1104" s="76"/>
      <c r="H1104" s="98"/>
      <c r="I1104" s="98"/>
      <c r="J1104" s="74"/>
      <c r="L1104" s="73"/>
      <c r="M1104" s="73"/>
      <c r="N1104" s="73"/>
      <c r="O1104" s="73"/>
      <c r="P1104" s="73"/>
      <c r="Q1104" s="73"/>
      <c r="R1104" s="73"/>
      <c r="S1104" s="73"/>
      <c r="T1104" s="73"/>
      <c r="U1104" s="73"/>
      <c r="V1104" s="73"/>
      <c r="W1104" s="73"/>
      <c r="X1104" s="73"/>
    </row>
    <row r="1105">
      <c r="A1105" s="74">
        <v>1200.0</v>
      </c>
      <c r="B1105" s="74" t="s">
        <v>653</v>
      </c>
      <c r="C1105" s="74"/>
      <c r="D1105" s="75" t="s">
        <v>2505</v>
      </c>
      <c r="E1105" s="76">
        <v>46187.0</v>
      </c>
      <c r="F1105" s="78" t="s">
        <v>1366</v>
      </c>
      <c r="G1105" s="76"/>
      <c r="H1105" s="98"/>
      <c r="I1105" s="98"/>
      <c r="J1105" s="74"/>
      <c r="L1105" s="73"/>
      <c r="M1105" s="73"/>
      <c r="N1105" s="73"/>
      <c r="O1105" s="73"/>
      <c r="P1105" s="73"/>
      <c r="Q1105" s="73"/>
      <c r="R1105" s="73"/>
      <c r="S1105" s="73"/>
      <c r="T1105" s="73"/>
      <c r="U1105" s="73"/>
      <c r="V1105" s="73"/>
      <c r="W1105" s="73"/>
      <c r="X1105" s="73"/>
    </row>
    <row r="1106">
      <c r="A1106" s="74">
        <v>1201.0</v>
      </c>
      <c r="B1106" s="74" t="s">
        <v>653</v>
      </c>
      <c r="C1106" s="74"/>
      <c r="D1106" s="75" t="s">
        <v>2506</v>
      </c>
      <c r="E1106" s="76">
        <v>46187.0</v>
      </c>
      <c r="F1106" s="78" t="s">
        <v>1366</v>
      </c>
      <c r="G1106" s="76"/>
      <c r="H1106" s="98"/>
      <c r="I1106" s="98"/>
      <c r="J1106" s="74"/>
      <c r="L1106" s="73"/>
      <c r="M1106" s="73"/>
      <c r="N1106" s="73"/>
      <c r="O1106" s="73"/>
      <c r="P1106" s="73"/>
      <c r="Q1106" s="73"/>
      <c r="R1106" s="73"/>
      <c r="S1106" s="73"/>
      <c r="T1106" s="73"/>
      <c r="U1106" s="73"/>
      <c r="V1106" s="73"/>
      <c r="W1106" s="73"/>
      <c r="X1106" s="73"/>
    </row>
    <row r="1107">
      <c r="A1107" s="74">
        <v>1202.0</v>
      </c>
      <c r="B1107" s="74" t="s">
        <v>653</v>
      </c>
      <c r="C1107" s="74"/>
      <c r="D1107" s="75" t="s">
        <v>2507</v>
      </c>
      <c r="E1107" s="76">
        <v>46187.0</v>
      </c>
      <c r="F1107" s="78" t="s">
        <v>1366</v>
      </c>
      <c r="G1107" s="76"/>
      <c r="H1107" s="98"/>
      <c r="I1107" s="98"/>
      <c r="J1107" s="74"/>
      <c r="L1107" s="73"/>
      <c r="M1107" s="73"/>
      <c r="N1107" s="73"/>
      <c r="O1107" s="73"/>
      <c r="P1107" s="73"/>
      <c r="Q1107" s="73"/>
      <c r="R1107" s="73"/>
      <c r="S1107" s="73"/>
      <c r="T1107" s="73"/>
      <c r="U1107" s="73"/>
      <c r="V1107" s="73"/>
      <c r="W1107" s="73"/>
      <c r="X1107" s="73"/>
    </row>
    <row r="1108">
      <c r="A1108" s="74">
        <v>1203.0</v>
      </c>
      <c r="B1108" s="74" t="s">
        <v>653</v>
      </c>
      <c r="C1108" s="74"/>
      <c r="D1108" s="75" t="s">
        <v>2508</v>
      </c>
      <c r="E1108" s="76">
        <v>46187.0</v>
      </c>
      <c r="F1108" s="78" t="s">
        <v>1366</v>
      </c>
      <c r="G1108" s="76"/>
      <c r="H1108" s="98"/>
      <c r="I1108" s="98"/>
      <c r="J1108" s="74"/>
      <c r="L1108" s="73"/>
      <c r="M1108" s="73"/>
      <c r="N1108" s="73"/>
      <c r="O1108" s="73"/>
      <c r="P1108" s="73"/>
      <c r="Q1108" s="73"/>
      <c r="R1108" s="73"/>
      <c r="S1108" s="73"/>
      <c r="T1108" s="73"/>
      <c r="U1108" s="73"/>
      <c r="V1108" s="73"/>
      <c r="W1108" s="73"/>
      <c r="X1108" s="73"/>
    </row>
    <row r="1109">
      <c r="A1109" s="74">
        <v>1204.0</v>
      </c>
      <c r="B1109" s="74" t="s">
        <v>653</v>
      </c>
      <c r="C1109" s="74"/>
      <c r="D1109" s="75" t="s">
        <v>2509</v>
      </c>
      <c r="E1109" s="76">
        <v>46187.0</v>
      </c>
      <c r="F1109" s="78" t="s">
        <v>1366</v>
      </c>
      <c r="G1109" s="76"/>
      <c r="H1109" s="98"/>
      <c r="I1109" s="98"/>
      <c r="J1109" s="74"/>
      <c r="L1109" s="73"/>
      <c r="M1109" s="73"/>
      <c r="N1109" s="73"/>
      <c r="O1109" s="73"/>
      <c r="P1109" s="73"/>
      <c r="Q1109" s="73"/>
      <c r="R1109" s="73"/>
      <c r="S1109" s="73"/>
      <c r="T1109" s="73"/>
      <c r="U1109" s="73"/>
      <c r="V1109" s="73"/>
      <c r="W1109" s="73"/>
      <c r="X1109" s="73"/>
    </row>
    <row r="1110">
      <c r="A1110" s="74">
        <v>1205.0</v>
      </c>
      <c r="B1110" s="74" t="s">
        <v>653</v>
      </c>
      <c r="C1110" s="74"/>
      <c r="D1110" s="75" t="s">
        <v>2510</v>
      </c>
      <c r="E1110" s="76">
        <v>46187.0</v>
      </c>
      <c r="F1110" s="78" t="s">
        <v>1420</v>
      </c>
      <c r="G1110" s="76">
        <v>46202.0</v>
      </c>
      <c r="H1110" s="98" t="s">
        <v>29</v>
      </c>
      <c r="I1110" s="98"/>
      <c r="J1110" s="74"/>
      <c r="L1110" s="73"/>
      <c r="M1110" s="73"/>
      <c r="N1110" s="73"/>
      <c r="O1110" s="73"/>
      <c r="P1110" s="73"/>
      <c r="Q1110" s="73"/>
      <c r="R1110" s="73"/>
      <c r="S1110" s="73"/>
      <c r="T1110" s="73"/>
      <c r="U1110" s="73"/>
      <c r="V1110" s="73"/>
      <c r="W1110" s="73"/>
      <c r="X1110" s="73"/>
    </row>
    <row r="1111">
      <c r="A1111" s="74">
        <v>1206.0</v>
      </c>
      <c r="B1111" s="74" t="s">
        <v>653</v>
      </c>
      <c r="C1111" s="74"/>
      <c r="D1111" s="75" t="s">
        <v>2511</v>
      </c>
      <c r="E1111" s="76">
        <v>46187.0</v>
      </c>
      <c r="F1111" s="78" t="s">
        <v>1366</v>
      </c>
      <c r="G1111" s="76">
        <v>46202.0</v>
      </c>
      <c r="H1111" s="98" t="s">
        <v>29</v>
      </c>
      <c r="I1111" s="98"/>
      <c r="J1111" s="74"/>
      <c r="L1111" s="73"/>
      <c r="M1111" s="73"/>
      <c r="N1111" s="73"/>
      <c r="O1111" s="73"/>
      <c r="P1111" s="73"/>
      <c r="Q1111" s="73"/>
      <c r="R1111" s="73"/>
      <c r="S1111" s="73"/>
      <c r="T1111" s="73"/>
      <c r="U1111" s="73"/>
      <c r="V1111" s="73"/>
      <c r="W1111" s="73"/>
      <c r="X1111" s="73"/>
    </row>
    <row r="1112">
      <c r="A1112" s="74">
        <v>1207.0</v>
      </c>
      <c r="B1112" s="74" t="s">
        <v>653</v>
      </c>
      <c r="C1112" s="74"/>
      <c r="D1112" s="75" t="s">
        <v>2512</v>
      </c>
      <c r="E1112" s="76">
        <v>46187.0</v>
      </c>
      <c r="F1112" s="78" t="s">
        <v>1366</v>
      </c>
      <c r="G1112" s="76"/>
      <c r="H1112" s="98"/>
      <c r="I1112" s="98"/>
      <c r="J1112" s="74"/>
      <c r="L1112" s="73"/>
      <c r="M1112" s="73"/>
      <c r="N1112" s="73"/>
      <c r="O1112" s="73"/>
      <c r="P1112" s="73"/>
      <c r="Q1112" s="73"/>
      <c r="R1112" s="73"/>
      <c r="S1112" s="73"/>
      <c r="T1112" s="73"/>
      <c r="U1112" s="73"/>
      <c r="V1112" s="73"/>
      <c r="W1112" s="73"/>
      <c r="X1112" s="73"/>
    </row>
    <row r="1113">
      <c r="A1113" s="74">
        <v>1208.0</v>
      </c>
      <c r="B1113" s="74" t="s">
        <v>653</v>
      </c>
      <c r="C1113" s="74"/>
      <c r="D1113" s="75" t="s">
        <v>2513</v>
      </c>
      <c r="E1113" s="76">
        <v>46187.0</v>
      </c>
      <c r="F1113" s="78" t="s">
        <v>1366</v>
      </c>
      <c r="G1113" s="76"/>
      <c r="H1113" s="98"/>
      <c r="I1113" s="98"/>
      <c r="J1113" s="74"/>
      <c r="L1113" s="73"/>
      <c r="M1113" s="73"/>
      <c r="N1113" s="73"/>
      <c r="O1113" s="73"/>
      <c r="P1113" s="73"/>
      <c r="Q1113" s="73"/>
      <c r="R1113" s="73"/>
      <c r="S1113" s="73"/>
      <c r="T1113" s="73"/>
      <c r="U1113" s="73"/>
      <c r="V1113" s="73"/>
      <c r="W1113" s="73"/>
      <c r="X1113" s="73"/>
    </row>
    <row r="1114">
      <c r="A1114" s="74">
        <v>1209.0</v>
      </c>
      <c r="B1114" s="74" t="s">
        <v>653</v>
      </c>
      <c r="C1114" s="74"/>
      <c r="D1114" s="75" t="s">
        <v>2514</v>
      </c>
      <c r="E1114" s="76">
        <v>46187.0</v>
      </c>
      <c r="F1114" s="78" t="s">
        <v>1366</v>
      </c>
      <c r="G1114" s="76"/>
      <c r="H1114" s="98"/>
      <c r="I1114" s="98"/>
      <c r="J1114" s="74"/>
      <c r="L1114" s="73"/>
      <c r="M1114" s="73"/>
      <c r="N1114" s="73"/>
      <c r="O1114" s="73"/>
      <c r="P1114" s="73"/>
      <c r="Q1114" s="73"/>
      <c r="R1114" s="73"/>
      <c r="S1114" s="73"/>
      <c r="T1114" s="73"/>
      <c r="U1114" s="73"/>
      <c r="V1114" s="73"/>
      <c r="W1114" s="73"/>
      <c r="X1114" s="73"/>
    </row>
    <row r="1115">
      <c r="A1115" s="74">
        <v>1210.0</v>
      </c>
      <c r="B1115" s="74" t="s">
        <v>653</v>
      </c>
      <c r="C1115" s="74"/>
      <c r="D1115" s="75" t="s">
        <v>2515</v>
      </c>
      <c r="E1115" s="76">
        <v>46187.0</v>
      </c>
      <c r="F1115" s="78" t="s">
        <v>1420</v>
      </c>
      <c r="G1115" s="76">
        <v>46202.0</v>
      </c>
      <c r="H1115" s="98" t="s">
        <v>29</v>
      </c>
      <c r="I1115" s="98"/>
      <c r="J1115" s="74"/>
      <c r="L1115" s="73"/>
      <c r="M1115" s="73"/>
      <c r="N1115" s="73"/>
      <c r="O1115" s="73"/>
      <c r="P1115" s="73"/>
      <c r="Q1115" s="73"/>
      <c r="R1115" s="73"/>
      <c r="S1115" s="73"/>
      <c r="T1115" s="73"/>
      <c r="U1115" s="73"/>
      <c r="V1115" s="73"/>
      <c r="W1115" s="73"/>
      <c r="X1115" s="73"/>
    </row>
    <row r="1116">
      <c r="A1116" s="74">
        <v>1211.0</v>
      </c>
      <c r="B1116" s="74" t="s">
        <v>653</v>
      </c>
      <c r="C1116" s="74"/>
      <c r="D1116" s="75" t="s">
        <v>2516</v>
      </c>
      <c r="E1116" s="76">
        <v>46187.0</v>
      </c>
      <c r="F1116" s="78" t="s">
        <v>1420</v>
      </c>
      <c r="G1116" s="76">
        <v>46202.0</v>
      </c>
      <c r="H1116" s="98" t="s">
        <v>29</v>
      </c>
      <c r="I1116" s="98"/>
      <c r="J1116" s="74"/>
      <c r="L1116" s="73"/>
      <c r="M1116" s="73"/>
      <c r="N1116" s="73"/>
      <c r="O1116" s="73"/>
      <c r="P1116" s="73"/>
      <c r="Q1116" s="73"/>
      <c r="R1116" s="73"/>
      <c r="S1116" s="73"/>
      <c r="T1116" s="73"/>
      <c r="U1116" s="73"/>
      <c r="V1116" s="73"/>
      <c r="W1116" s="73"/>
      <c r="X1116" s="73"/>
    </row>
    <row r="1117">
      <c r="A1117" s="74">
        <v>1212.0</v>
      </c>
      <c r="B1117" s="74" t="s">
        <v>2100</v>
      </c>
      <c r="C1117" s="74"/>
      <c r="D1117" s="75" t="s">
        <v>2517</v>
      </c>
      <c r="E1117" s="76">
        <v>46188.0</v>
      </c>
      <c r="F1117" s="78" t="s">
        <v>1366</v>
      </c>
      <c r="G1117" s="76"/>
      <c r="H1117" s="98"/>
      <c r="I1117" s="98"/>
      <c r="J1117" s="74"/>
      <c r="L1117" s="73"/>
      <c r="M1117" s="73"/>
      <c r="N1117" s="73"/>
      <c r="O1117" s="73"/>
      <c r="P1117" s="73"/>
      <c r="Q1117" s="73"/>
      <c r="R1117" s="73"/>
      <c r="S1117" s="73"/>
      <c r="T1117" s="73"/>
      <c r="U1117" s="73"/>
      <c r="V1117" s="73"/>
      <c r="W1117" s="73"/>
      <c r="X1117" s="73"/>
    </row>
    <row r="1118">
      <c r="A1118" s="74">
        <v>1213.0</v>
      </c>
      <c r="B1118" s="74" t="s">
        <v>2100</v>
      </c>
      <c r="C1118" s="74"/>
      <c r="D1118" s="75" t="s">
        <v>2518</v>
      </c>
      <c r="E1118" s="76">
        <v>46188.0</v>
      </c>
      <c r="F1118" s="78" t="s">
        <v>1366</v>
      </c>
      <c r="G1118" s="76"/>
      <c r="H1118" s="98"/>
      <c r="I1118" s="98"/>
      <c r="J1118" s="74"/>
      <c r="L1118" s="73"/>
      <c r="M1118" s="73"/>
      <c r="N1118" s="73"/>
      <c r="O1118" s="73"/>
      <c r="P1118" s="73"/>
      <c r="Q1118" s="73"/>
      <c r="R1118" s="73"/>
      <c r="S1118" s="73"/>
      <c r="T1118" s="73"/>
      <c r="U1118" s="73"/>
      <c r="V1118" s="73"/>
      <c r="W1118" s="73"/>
      <c r="X1118" s="73"/>
    </row>
    <row r="1119">
      <c r="A1119" s="74">
        <v>1214.0</v>
      </c>
      <c r="B1119" s="74" t="s">
        <v>2205</v>
      </c>
      <c r="C1119" s="74"/>
      <c r="D1119" s="75" t="s">
        <v>2519</v>
      </c>
      <c r="E1119" s="76">
        <v>46188.0</v>
      </c>
      <c r="F1119" s="78" t="s">
        <v>1366</v>
      </c>
      <c r="G1119" s="76"/>
      <c r="H1119" s="98"/>
      <c r="I1119" s="98"/>
      <c r="J1119" s="74"/>
      <c r="L1119" s="73"/>
      <c r="M1119" s="73"/>
      <c r="N1119" s="73"/>
      <c r="O1119" s="73"/>
      <c r="P1119" s="73"/>
      <c r="Q1119" s="73"/>
      <c r="R1119" s="73"/>
      <c r="S1119" s="73"/>
      <c r="T1119" s="73"/>
      <c r="U1119" s="73"/>
      <c r="V1119" s="73"/>
      <c r="W1119" s="73"/>
      <c r="X1119" s="73"/>
    </row>
    <row r="1120">
      <c r="A1120" s="74">
        <v>1215.0</v>
      </c>
      <c r="B1120" s="74" t="s">
        <v>2205</v>
      </c>
      <c r="C1120" s="74"/>
      <c r="D1120" s="75" t="s">
        <v>2520</v>
      </c>
      <c r="E1120" s="76">
        <v>46188.0</v>
      </c>
      <c r="F1120" s="78" t="s">
        <v>1366</v>
      </c>
      <c r="G1120" s="76"/>
      <c r="H1120" s="98"/>
      <c r="I1120" s="98"/>
      <c r="J1120" s="74"/>
      <c r="L1120" s="73"/>
      <c r="M1120" s="73"/>
      <c r="N1120" s="73"/>
      <c r="O1120" s="73"/>
      <c r="P1120" s="73"/>
      <c r="Q1120" s="73"/>
      <c r="R1120" s="73"/>
      <c r="S1120" s="73"/>
      <c r="T1120" s="73"/>
      <c r="U1120" s="73"/>
      <c r="V1120" s="73"/>
      <c r="W1120" s="73"/>
      <c r="X1120" s="73"/>
    </row>
    <row r="1121">
      <c r="A1121" s="74">
        <v>1216.0</v>
      </c>
      <c r="B1121" s="74" t="s">
        <v>2205</v>
      </c>
      <c r="C1121" s="74"/>
      <c r="D1121" s="75" t="s">
        <v>2521</v>
      </c>
      <c r="E1121" s="76">
        <v>46188.0</v>
      </c>
      <c r="F1121" s="78" t="s">
        <v>1366</v>
      </c>
      <c r="G1121" s="76"/>
      <c r="H1121" s="98"/>
      <c r="I1121" s="98"/>
      <c r="J1121" s="74"/>
      <c r="L1121" s="73"/>
      <c r="M1121" s="73"/>
      <c r="N1121" s="73"/>
      <c r="O1121" s="73"/>
      <c r="P1121" s="73"/>
      <c r="Q1121" s="73"/>
      <c r="R1121" s="73"/>
      <c r="S1121" s="73"/>
      <c r="T1121" s="73"/>
      <c r="U1121" s="73"/>
      <c r="V1121" s="73"/>
      <c r="W1121" s="73"/>
      <c r="X1121" s="73"/>
    </row>
    <row r="1122" ht="17.25" customHeight="1">
      <c r="A1122" s="74">
        <v>1217.0</v>
      </c>
      <c r="B1122" s="74" t="s">
        <v>1935</v>
      </c>
      <c r="C1122" s="74"/>
      <c r="D1122" s="75" t="s">
        <v>2522</v>
      </c>
      <c r="E1122" s="76">
        <v>46189.0</v>
      </c>
      <c r="F1122" s="78" t="s">
        <v>1366</v>
      </c>
      <c r="G1122" s="76"/>
      <c r="H1122" s="98"/>
      <c r="I1122" s="98"/>
      <c r="J1122" s="74"/>
      <c r="L1122" s="73"/>
      <c r="M1122" s="73"/>
      <c r="N1122" s="73"/>
      <c r="O1122" s="73"/>
      <c r="P1122" s="73"/>
      <c r="Q1122" s="73"/>
      <c r="R1122" s="73"/>
      <c r="S1122" s="73"/>
      <c r="T1122" s="73"/>
      <c r="U1122" s="73"/>
      <c r="V1122" s="73"/>
      <c r="W1122" s="73"/>
      <c r="X1122" s="73"/>
    </row>
    <row r="1123" ht="15.75" customHeight="1">
      <c r="A1123" s="74">
        <v>1218.0</v>
      </c>
      <c r="B1123" s="74" t="s">
        <v>1935</v>
      </c>
      <c r="C1123" s="74"/>
      <c r="D1123" s="75" t="s">
        <v>2523</v>
      </c>
      <c r="E1123" s="76">
        <v>46189.0</v>
      </c>
      <c r="F1123" s="78" t="s">
        <v>1366</v>
      </c>
      <c r="G1123" s="76"/>
      <c r="H1123" s="98"/>
      <c r="I1123" s="98"/>
      <c r="J1123" s="74"/>
      <c r="L1123" s="73"/>
      <c r="M1123" s="73"/>
      <c r="N1123" s="73"/>
      <c r="O1123" s="73"/>
      <c r="P1123" s="73"/>
      <c r="Q1123" s="73"/>
      <c r="R1123" s="73"/>
      <c r="S1123" s="73"/>
      <c r="T1123" s="73"/>
      <c r="U1123" s="73"/>
      <c r="V1123" s="73"/>
      <c r="W1123" s="73"/>
      <c r="X1123" s="73"/>
    </row>
    <row r="1124" ht="15.75" customHeight="1">
      <c r="A1124" s="74">
        <v>1219.0</v>
      </c>
      <c r="B1124" s="74" t="s">
        <v>1935</v>
      </c>
      <c r="C1124" s="74"/>
      <c r="D1124" s="75" t="s">
        <v>2524</v>
      </c>
      <c r="E1124" s="76">
        <v>46189.0</v>
      </c>
      <c r="F1124" s="78" t="s">
        <v>1366</v>
      </c>
      <c r="G1124" s="76"/>
      <c r="H1124" s="98"/>
      <c r="I1124" s="98"/>
      <c r="J1124" s="74"/>
      <c r="L1124" s="73"/>
      <c r="M1124" s="73"/>
      <c r="N1124" s="73"/>
      <c r="O1124" s="73"/>
      <c r="P1124" s="73"/>
      <c r="Q1124" s="73"/>
      <c r="R1124" s="73"/>
      <c r="S1124" s="73"/>
      <c r="T1124" s="73"/>
      <c r="U1124" s="73"/>
      <c r="V1124" s="73"/>
      <c r="W1124" s="73"/>
      <c r="X1124" s="73"/>
    </row>
    <row r="1125" ht="17.25" customHeight="1">
      <c r="A1125" s="74">
        <v>1220.0</v>
      </c>
      <c r="B1125" s="74" t="s">
        <v>1935</v>
      </c>
      <c r="C1125" s="74"/>
      <c r="D1125" s="75" t="s">
        <v>2525</v>
      </c>
      <c r="E1125" s="76">
        <v>46189.0</v>
      </c>
      <c r="F1125" s="78" t="s">
        <v>1366</v>
      </c>
      <c r="G1125" s="76"/>
      <c r="H1125" s="98"/>
      <c r="I1125" s="98"/>
      <c r="J1125" s="74"/>
      <c r="L1125" s="73"/>
      <c r="M1125" s="73"/>
      <c r="N1125" s="73"/>
      <c r="O1125" s="73"/>
      <c r="P1125" s="73"/>
      <c r="Q1125" s="73"/>
      <c r="R1125" s="73"/>
      <c r="S1125" s="73"/>
      <c r="T1125" s="73"/>
      <c r="U1125" s="73"/>
      <c r="V1125" s="73"/>
      <c r="W1125" s="73"/>
      <c r="X1125" s="73"/>
    </row>
    <row r="1126" ht="17.25" customHeight="1">
      <c r="A1126" s="74">
        <v>1221.0</v>
      </c>
      <c r="B1126" s="74" t="s">
        <v>1935</v>
      </c>
      <c r="C1126" s="74"/>
      <c r="D1126" s="75" t="s">
        <v>2526</v>
      </c>
      <c r="E1126" s="76">
        <v>46189.0</v>
      </c>
      <c r="F1126" s="78" t="s">
        <v>1366</v>
      </c>
      <c r="G1126" s="76"/>
      <c r="H1126" s="98"/>
      <c r="I1126" s="98"/>
      <c r="J1126" s="74"/>
      <c r="L1126" s="73"/>
      <c r="M1126" s="73"/>
      <c r="N1126" s="73"/>
      <c r="O1126" s="73"/>
      <c r="P1126" s="73"/>
      <c r="Q1126" s="73"/>
      <c r="R1126" s="73"/>
      <c r="S1126" s="73"/>
      <c r="T1126" s="73"/>
      <c r="U1126" s="73"/>
      <c r="V1126" s="73"/>
      <c r="W1126" s="73"/>
      <c r="X1126" s="73"/>
    </row>
    <row r="1127" ht="15.75" customHeight="1">
      <c r="A1127" s="74">
        <v>1222.0</v>
      </c>
      <c r="B1127" s="74" t="s">
        <v>1935</v>
      </c>
      <c r="C1127" s="74"/>
      <c r="D1127" s="75" t="s">
        <v>2527</v>
      </c>
      <c r="E1127" s="76">
        <v>46190.0</v>
      </c>
      <c r="F1127" s="78" t="s">
        <v>1366</v>
      </c>
      <c r="G1127" s="76"/>
      <c r="H1127" s="98"/>
      <c r="I1127" s="98"/>
      <c r="J1127" s="74"/>
      <c r="L1127" s="73"/>
      <c r="M1127" s="73"/>
      <c r="N1127" s="73"/>
      <c r="O1127" s="73"/>
      <c r="P1127" s="73"/>
      <c r="Q1127" s="73"/>
      <c r="R1127" s="73"/>
      <c r="S1127" s="73"/>
      <c r="T1127" s="73"/>
      <c r="U1127" s="73"/>
      <c r="V1127" s="73"/>
      <c r="W1127" s="73"/>
      <c r="X1127" s="73"/>
    </row>
    <row r="1128" ht="18.0" customHeight="1">
      <c r="A1128" s="74">
        <v>1223.0</v>
      </c>
      <c r="B1128" s="74" t="s">
        <v>1935</v>
      </c>
      <c r="C1128" s="74"/>
      <c r="D1128" s="75" t="s">
        <v>2528</v>
      </c>
      <c r="E1128" s="76">
        <v>46190.0</v>
      </c>
      <c r="F1128" s="78" t="s">
        <v>1366</v>
      </c>
      <c r="G1128" s="76"/>
      <c r="H1128" s="98"/>
      <c r="I1128" s="98"/>
      <c r="J1128" s="74"/>
      <c r="L1128" s="73"/>
      <c r="M1128" s="73"/>
      <c r="N1128" s="73"/>
      <c r="O1128" s="73"/>
      <c r="P1128" s="73"/>
      <c r="Q1128" s="73"/>
      <c r="R1128" s="73"/>
      <c r="S1128" s="73"/>
      <c r="T1128" s="73"/>
      <c r="U1128" s="73"/>
      <c r="V1128" s="73"/>
      <c r="W1128" s="73"/>
      <c r="X1128" s="73"/>
    </row>
    <row r="1129" ht="15.0" customHeight="1">
      <c r="A1129" s="74">
        <v>1224.0</v>
      </c>
      <c r="B1129" s="74" t="s">
        <v>1935</v>
      </c>
      <c r="C1129" s="74"/>
      <c r="D1129" s="75" t="s">
        <v>2529</v>
      </c>
      <c r="E1129" s="76">
        <v>46190.0</v>
      </c>
      <c r="F1129" s="78" t="s">
        <v>1366</v>
      </c>
      <c r="G1129" s="76"/>
      <c r="H1129" s="98"/>
      <c r="I1129" s="98"/>
      <c r="J1129" s="74"/>
      <c r="L1129" s="73"/>
      <c r="M1129" s="73"/>
      <c r="N1129" s="73"/>
      <c r="O1129" s="73"/>
      <c r="P1129" s="73"/>
      <c r="Q1129" s="73"/>
      <c r="R1129" s="73"/>
      <c r="S1129" s="73"/>
      <c r="T1129" s="73"/>
      <c r="U1129" s="73"/>
      <c r="V1129" s="73"/>
      <c r="W1129" s="73"/>
      <c r="X1129" s="73"/>
    </row>
    <row r="1130" ht="15.75" customHeight="1">
      <c r="A1130" s="74">
        <v>1225.0</v>
      </c>
      <c r="B1130" s="74" t="s">
        <v>1935</v>
      </c>
      <c r="C1130" s="74"/>
      <c r="D1130" s="75" t="s">
        <v>2530</v>
      </c>
      <c r="E1130" s="76">
        <v>46190.0</v>
      </c>
      <c r="F1130" s="78" t="s">
        <v>1366</v>
      </c>
      <c r="G1130" s="76"/>
      <c r="H1130" s="98"/>
      <c r="I1130" s="98"/>
      <c r="J1130" s="74"/>
      <c r="L1130" s="73"/>
      <c r="M1130" s="73"/>
      <c r="N1130" s="73"/>
      <c r="O1130" s="73"/>
      <c r="P1130" s="73"/>
      <c r="Q1130" s="73"/>
      <c r="R1130" s="73"/>
      <c r="S1130" s="73"/>
      <c r="T1130" s="73"/>
      <c r="U1130" s="73"/>
      <c r="V1130" s="73"/>
      <c r="W1130" s="73"/>
      <c r="X1130" s="73"/>
    </row>
    <row r="1131" ht="15.75" customHeight="1">
      <c r="A1131" s="74">
        <v>1226.0</v>
      </c>
      <c r="B1131" s="74" t="s">
        <v>1935</v>
      </c>
      <c r="C1131" s="74"/>
      <c r="D1131" s="75" t="s">
        <v>2531</v>
      </c>
      <c r="E1131" s="76">
        <v>46194.0</v>
      </c>
      <c r="F1131" s="78" t="s">
        <v>1366</v>
      </c>
      <c r="G1131" s="76"/>
      <c r="H1131" s="98"/>
      <c r="I1131" s="98"/>
      <c r="J1131" s="74"/>
      <c r="L1131" s="73"/>
      <c r="M1131" s="73"/>
      <c r="N1131" s="73"/>
      <c r="O1131" s="73"/>
      <c r="P1131" s="73"/>
      <c r="Q1131" s="73"/>
      <c r="R1131" s="73"/>
      <c r="S1131" s="73"/>
      <c r="T1131" s="73"/>
      <c r="U1131" s="73"/>
      <c r="V1131" s="73"/>
      <c r="W1131" s="73"/>
      <c r="X1131" s="73"/>
    </row>
    <row r="1132" ht="16.5" customHeight="1">
      <c r="A1132" s="74">
        <v>1227.0</v>
      </c>
      <c r="B1132" s="74" t="s">
        <v>1935</v>
      </c>
      <c r="C1132" s="74"/>
      <c r="D1132" s="75" t="s">
        <v>2532</v>
      </c>
      <c r="E1132" s="76">
        <v>46194.0</v>
      </c>
      <c r="F1132" s="78" t="s">
        <v>1366</v>
      </c>
      <c r="G1132" s="76"/>
      <c r="H1132" s="98"/>
      <c r="I1132" s="98"/>
      <c r="J1132" s="74"/>
      <c r="L1132" s="73"/>
      <c r="M1132" s="73"/>
      <c r="N1132" s="73"/>
      <c r="O1132" s="73"/>
      <c r="P1132" s="73"/>
      <c r="Q1132" s="73"/>
      <c r="R1132" s="73"/>
      <c r="S1132" s="73"/>
      <c r="T1132" s="73"/>
      <c r="U1132" s="73"/>
      <c r="V1132" s="73"/>
      <c r="W1132" s="73"/>
      <c r="X1132" s="73"/>
    </row>
    <row r="1133" ht="17.25" customHeight="1">
      <c r="A1133" s="74">
        <v>1228.0</v>
      </c>
      <c r="B1133" s="74" t="s">
        <v>1935</v>
      </c>
      <c r="C1133" s="74"/>
      <c r="D1133" s="75" t="s">
        <v>2533</v>
      </c>
      <c r="E1133" s="76">
        <v>46194.0</v>
      </c>
      <c r="F1133" s="78" t="s">
        <v>1366</v>
      </c>
      <c r="G1133" s="76"/>
      <c r="H1133" s="98"/>
      <c r="I1133" s="98"/>
      <c r="J1133" s="74"/>
      <c r="L1133" s="73"/>
      <c r="M1133" s="73"/>
      <c r="N1133" s="73"/>
      <c r="O1133" s="73"/>
      <c r="P1133" s="73"/>
      <c r="Q1133" s="73"/>
      <c r="R1133" s="73"/>
      <c r="S1133" s="73"/>
      <c r="T1133" s="73"/>
      <c r="U1133" s="73"/>
      <c r="V1133" s="73"/>
      <c r="W1133" s="73"/>
      <c r="X1133" s="73"/>
    </row>
    <row r="1134" ht="15.75" customHeight="1">
      <c r="A1134" s="74">
        <v>1229.0</v>
      </c>
      <c r="B1134" s="74" t="s">
        <v>1935</v>
      </c>
      <c r="C1134" s="74"/>
      <c r="D1134" s="75" t="s">
        <v>2534</v>
      </c>
      <c r="E1134" s="76">
        <v>46194.0</v>
      </c>
      <c r="F1134" s="78" t="s">
        <v>1366</v>
      </c>
      <c r="G1134" s="76"/>
      <c r="H1134" s="98"/>
      <c r="I1134" s="98"/>
      <c r="J1134" s="74"/>
      <c r="L1134" s="73"/>
      <c r="M1134" s="73"/>
      <c r="N1134" s="73"/>
      <c r="O1134" s="73"/>
      <c r="P1134" s="73"/>
      <c r="Q1134" s="73"/>
      <c r="R1134" s="73"/>
      <c r="S1134" s="73"/>
      <c r="T1134" s="73"/>
      <c r="U1134" s="73"/>
      <c r="V1134" s="73"/>
      <c r="W1134" s="73"/>
      <c r="X1134" s="73"/>
    </row>
    <row r="1135" ht="15.0" customHeight="1">
      <c r="A1135" s="74">
        <v>1230.0</v>
      </c>
      <c r="B1135" s="74" t="s">
        <v>1935</v>
      </c>
      <c r="C1135" s="74"/>
      <c r="D1135" s="75" t="s">
        <v>2535</v>
      </c>
      <c r="E1135" s="76">
        <v>46194.0</v>
      </c>
      <c r="F1135" s="78" t="s">
        <v>1366</v>
      </c>
      <c r="G1135" s="76"/>
      <c r="H1135" s="98"/>
      <c r="I1135" s="98"/>
      <c r="J1135" s="74"/>
      <c r="L1135" s="73"/>
      <c r="M1135" s="73"/>
      <c r="N1135" s="73"/>
      <c r="O1135" s="73"/>
      <c r="P1135" s="73"/>
      <c r="Q1135" s="73"/>
      <c r="R1135" s="73"/>
      <c r="S1135" s="73"/>
      <c r="T1135" s="73"/>
      <c r="U1135" s="73"/>
      <c r="V1135" s="73"/>
      <c r="W1135" s="73"/>
      <c r="X1135" s="73"/>
    </row>
    <row r="1136" ht="17.25" customHeight="1">
      <c r="A1136" s="74">
        <v>1231.0</v>
      </c>
      <c r="B1136" s="74" t="s">
        <v>1935</v>
      </c>
      <c r="C1136" s="74"/>
      <c r="D1136" s="75" t="s">
        <v>2536</v>
      </c>
      <c r="E1136" s="76">
        <v>46194.0</v>
      </c>
      <c r="F1136" s="78" t="s">
        <v>1366</v>
      </c>
      <c r="G1136" s="76"/>
      <c r="H1136" s="98"/>
      <c r="I1136" s="98"/>
      <c r="J1136" s="74"/>
      <c r="L1136" s="73"/>
      <c r="M1136" s="73"/>
      <c r="N1136" s="73"/>
      <c r="O1136" s="73"/>
      <c r="P1136" s="73"/>
      <c r="Q1136" s="73"/>
      <c r="R1136" s="73"/>
      <c r="S1136" s="73"/>
      <c r="T1136" s="73"/>
      <c r="U1136" s="73"/>
      <c r="V1136" s="73"/>
      <c r="W1136" s="73"/>
      <c r="X1136" s="73"/>
    </row>
    <row r="1137" ht="16.5" customHeight="1">
      <c r="A1137" s="74">
        <v>1232.0</v>
      </c>
      <c r="B1137" s="74" t="s">
        <v>1935</v>
      </c>
      <c r="C1137" s="74"/>
      <c r="D1137" s="75" t="s">
        <v>2537</v>
      </c>
      <c r="E1137" s="76">
        <v>46194.0</v>
      </c>
      <c r="F1137" s="78" t="s">
        <v>1366</v>
      </c>
      <c r="G1137" s="76"/>
      <c r="H1137" s="98"/>
      <c r="I1137" s="98"/>
      <c r="J1137" s="74"/>
      <c r="L1137" s="73"/>
      <c r="M1137" s="73"/>
      <c r="N1137" s="73"/>
      <c r="O1137" s="73"/>
      <c r="P1137" s="73"/>
      <c r="Q1137" s="73"/>
      <c r="R1137" s="73"/>
      <c r="S1137" s="73"/>
      <c r="T1137" s="73"/>
      <c r="U1137" s="73"/>
      <c r="V1137" s="73"/>
      <c r="W1137" s="73"/>
      <c r="X1137" s="73"/>
    </row>
    <row r="1138">
      <c r="A1138" s="74">
        <v>1233.0</v>
      </c>
      <c r="B1138" s="74" t="s">
        <v>2205</v>
      </c>
      <c r="C1138" s="74"/>
      <c r="D1138" s="75" t="s">
        <v>2538</v>
      </c>
      <c r="E1138" s="76">
        <v>46195.0</v>
      </c>
      <c r="F1138" s="78" t="s">
        <v>1366</v>
      </c>
      <c r="G1138" s="76"/>
      <c r="H1138" s="98"/>
      <c r="I1138" s="98"/>
      <c r="J1138" s="74"/>
      <c r="L1138" s="73"/>
      <c r="M1138" s="73"/>
      <c r="N1138" s="73"/>
      <c r="O1138" s="73"/>
      <c r="P1138" s="73"/>
      <c r="Q1138" s="73"/>
      <c r="R1138" s="73"/>
      <c r="S1138" s="73"/>
      <c r="T1138" s="73"/>
      <c r="U1138" s="73"/>
      <c r="V1138" s="73"/>
      <c r="W1138" s="73"/>
      <c r="X1138" s="73"/>
    </row>
    <row r="1139" ht="14.25" customHeight="1">
      <c r="A1139" s="74">
        <v>1234.0</v>
      </c>
      <c r="B1139" s="74" t="s">
        <v>2205</v>
      </c>
      <c r="C1139" s="74"/>
      <c r="D1139" s="75" t="s">
        <v>2539</v>
      </c>
      <c r="E1139" s="76">
        <v>46196.0</v>
      </c>
      <c r="F1139" s="78" t="s">
        <v>1366</v>
      </c>
      <c r="G1139" s="76"/>
      <c r="H1139" s="98"/>
      <c r="I1139" s="98"/>
      <c r="J1139" s="74"/>
      <c r="L1139" s="73"/>
      <c r="M1139" s="73"/>
      <c r="N1139" s="73"/>
      <c r="O1139" s="73"/>
      <c r="P1139" s="73"/>
      <c r="Q1139" s="73"/>
      <c r="R1139" s="73"/>
      <c r="S1139" s="73"/>
      <c r="T1139" s="73"/>
      <c r="U1139" s="73"/>
      <c r="V1139" s="73"/>
      <c r="W1139" s="73"/>
      <c r="X1139" s="73"/>
    </row>
    <row r="1140">
      <c r="A1140" s="74">
        <v>1235.0</v>
      </c>
      <c r="B1140" s="74" t="s">
        <v>2205</v>
      </c>
      <c r="C1140" s="74"/>
      <c r="D1140" s="75" t="s">
        <v>2540</v>
      </c>
      <c r="E1140" s="76">
        <v>46196.0</v>
      </c>
      <c r="F1140" s="78" t="s">
        <v>1366</v>
      </c>
      <c r="G1140" s="76"/>
      <c r="H1140" s="98"/>
      <c r="I1140" s="98"/>
      <c r="J1140" s="74"/>
      <c r="L1140" s="73"/>
      <c r="M1140" s="73"/>
      <c r="N1140" s="73"/>
      <c r="O1140" s="73"/>
      <c r="P1140" s="73"/>
      <c r="Q1140" s="73"/>
      <c r="R1140" s="73"/>
      <c r="S1140" s="73"/>
      <c r="T1140" s="73"/>
      <c r="U1140" s="73"/>
      <c r="V1140" s="73"/>
      <c r="W1140" s="73"/>
      <c r="X1140" s="73"/>
    </row>
    <row r="1141" ht="16.5" customHeight="1">
      <c r="A1141" s="74">
        <v>1236.0</v>
      </c>
      <c r="B1141" s="74" t="s">
        <v>2205</v>
      </c>
      <c r="C1141" s="74"/>
      <c r="D1141" s="75" t="s">
        <v>2541</v>
      </c>
      <c r="E1141" s="76">
        <v>46196.0</v>
      </c>
      <c r="F1141" s="78" t="s">
        <v>1366</v>
      </c>
      <c r="G1141" s="76"/>
      <c r="H1141" s="98"/>
      <c r="I1141" s="98"/>
      <c r="J1141" s="74"/>
      <c r="L1141" s="73"/>
      <c r="M1141" s="73"/>
      <c r="N1141" s="73"/>
      <c r="O1141" s="73"/>
      <c r="P1141" s="73"/>
      <c r="Q1141" s="73"/>
      <c r="R1141" s="73"/>
      <c r="S1141" s="73"/>
      <c r="T1141" s="73"/>
      <c r="U1141" s="73"/>
      <c r="V1141" s="73"/>
      <c r="W1141" s="73"/>
      <c r="X1141" s="73"/>
    </row>
    <row r="1142" ht="16.5" customHeight="1">
      <c r="A1142" s="74">
        <v>1237.0</v>
      </c>
      <c r="B1142" s="74" t="s">
        <v>2205</v>
      </c>
      <c r="C1142" s="74"/>
      <c r="D1142" s="75" t="s">
        <v>2542</v>
      </c>
      <c r="E1142" s="76">
        <v>46196.0</v>
      </c>
      <c r="F1142" s="78" t="s">
        <v>1366</v>
      </c>
      <c r="G1142" s="76"/>
      <c r="H1142" s="73"/>
      <c r="I1142" s="98"/>
      <c r="J1142" s="99"/>
      <c r="L1142" s="73"/>
      <c r="M1142" s="73"/>
      <c r="N1142" s="73"/>
      <c r="O1142" s="73"/>
      <c r="P1142" s="73"/>
      <c r="Q1142" s="73"/>
      <c r="R1142" s="73"/>
      <c r="S1142" s="73"/>
      <c r="T1142" s="73"/>
      <c r="U1142" s="73"/>
      <c r="V1142" s="73"/>
      <c r="W1142" s="73"/>
      <c r="X1142" s="73"/>
    </row>
    <row r="1143">
      <c r="A1143" s="74">
        <v>1238.0</v>
      </c>
      <c r="B1143" s="74" t="s">
        <v>2100</v>
      </c>
      <c r="C1143" s="74"/>
      <c r="D1143" s="75" t="s">
        <v>2543</v>
      </c>
      <c r="E1143" s="76">
        <v>46196.0</v>
      </c>
      <c r="F1143" s="78" t="s">
        <v>1366</v>
      </c>
      <c r="G1143" s="76"/>
      <c r="H1143" s="73"/>
      <c r="I1143" s="98"/>
      <c r="J1143" s="99"/>
      <c r="L1143" s="73"/>
      <c r="M1143" s="73"/>
      <c r="N1143" s="73"/>
      <c r="O1143" s="73"/>
      <c r="P1143" s="73"/>
      <c r="Q1143" s="73"/>
      <c r="R1143" s="73"/>
      <c r="S1143" s="73"/>
      <c r="T1143" s="73"/>
      <c r="U1143" s="73"/>
      <c r="V1143" s="73"/>
      <c r="W1143" s="73"/>
      <c r="X1143" s="73"/>
    </row>
    <row r="1144" ht="14.25" customHeight="1">
      <c r="A1144" s="74">
        <v>1239.0</v>
      </c>
      <c r="B1144" s="74" t="s">
        <v>2100</v>
      </c>
      <c r="C1144" s="74"/>
      <c r="D1144" s="75" t="s">
        <v>2544</v>
      </c>
      <c r="E1144" s="76">
        <v>46196.0</v>
      </c>
      <c r="F1144" s="78" t="s">
        <v>1366</v>
      </c>
      <c r="G1144" s="76"/>
      <c r="H1144" s="73"/>
      <c r="I1144" s="98"/>
      <c r="J1144" s="99"/>
      <c r="L1144" s="73"/>
      <c r="M1144" s="73"/>
      <c r="N1144" s="73"/>
      <c r="O1144" s="73"/>
      <c r="P1144" s="73"/>
      <c r="Q1144" s="73"/>
      <c r="R1144" s="73"/>
      <c r="S1144" s="73"/>
      <c r="T1144" s="73"/>
      <c r="U1144" s="73"/>
      <c r="V1144" s="73"/>
      <c r="W1144" s="73"/>
      <c r="X1144" s="73"/>
    </row>
    <row r="1145">
      <c r="A1145" s="74">
        <v>1240.0</v>
      </c>
      <c r="B1145" s="74" t="s">
        <v>2205</v>
      </c>
      <c r="C1145" s="74"/>
      <c r="D1145" s="75" t="s">
        <v>2545</v>
      </c>
      <c r="E1145" s="76">
        <v>46196.0</v>
      </c>
      <c r="F1145" s="76" t="s">
        <v>1366</v>
      </c>
      <c r="G1145" s="76"/>
      <c r="H1145" s="73"/>
      <c r="I1145" s="98"/>
      <c r="J1145" s="99"/>
      <c r="L1145" s="73"/>
      <c r="M1145" s="73"/>
      <c r="N1145" s="73"/>
      <c r="O1145" s="73"/>
      <c r="P1145" s="73"/>
      <c r="Q1145" s="73"/>
      <c r="R1145" s="73"/>
      <c r="S1145" s="73"/>
      <c r="T1145" s="73"/>
      <c r="U1145" s="73"/>
      <c r="V1145" s="73"/>
      <c r="W1145" s="73"/>
      <c r="X1145" s="73"/>
    </row>
    <row r="1146">
      <c r="A1146" s="74">
        <v>1241.0</v>
      </c>
      <c r="B1146" s="74" t="s">
        <v>2205</v>
      </c>
      <c r="C1146" s="74"/>
      <c r="D1146" s="75" t="s">
        <v>2546</v>
      </c>
      <c r="E1146" s="76">
        <v>46197.0</v>
      </c>
      <c r="F1146" s="76" t="s">
        <v>1366</v>
      </c>
      <c r="G1146" s="76"/>
      <c r="H1146" s="73"/>
      <c r="I1146" s="98"/>
      <c r="J1146" s="99"/>
      <c r="L1146" s="73"/>
      <c r="M1146" s="73"/>
      <c r="N1146" s="73"/>
      <c r="O1146" s="73"/>
      <c r="P1146" s="73"/>
      <c r="Q1146" s="73"/>
      <c r="R1146" s="73"/>
      <c r="S1146" s="73"/>
      <c r="T1146" s="73"/>
      <c r="U1146" s="73"/>
      <c r="V1146" s="73"/>
      <c r="W1146" s="73"/>
      <c r="X1146" s="73"/>
    </row>
    <row r="1147">
      <c r="A1147" s="74">
        <v>1242.0</v>
      </c>
      <c r="B1147" s="74" t="s">
        <v>2205</v>
      </c>
      <c r="C1147" s="74"/>
      <c r="D1147" s="75" t="s">
        <v>2547</v>
      </c>
      <c r="E1147" s="76">
        <v>46197.0</v>
      </c>
      <c r="F1147" s="76" t="s">
        <v>1366</v>
      </c>
      <c r="G1147" s="76"/>
      <c r="H1147" s="73"/>
      <c r="I1147" s="98"/>
      <c r="J1147" s="99"/>
      <c r="L1147" s="73"/>
      <c r="M1147" s="73"/>
      <c r="N1147" s="73"/>
      <c r="O1147" s="73"/>
      <c r="P1147" s="73"/>
      <c r="Q1147" s="73"/>
      <c r="R1147" s="73"/>
      <c r="S1147" s="73"/>
      <c r="T1147" s="73"/>
      <c r="U1147" s="73"/>
      <c r="V1147" s="73"/>
      <c r="W1147" s="73"/>
      <c r="X1147" s="73"/>
    </row>
    <row r="1148">
      <c r="A1148" s="74">
        <v>1243.0</v>
      </c>
      <c r="B1148" s="74" t="s">
        <v>2205</v>
      </c>
      <c r="C1148" s="74"/>
      <c r="D1148" s="75" t="s">
        <v>2548</v>
      </c>
      <c r="E1148" s="76">
        <v>46197.0</v>
      </c>
      <c r="F1148" s="76" t="s">
        <v>1366</v>
      </c>
      <c r="G1148" s="76"/>
      <c r="H1148" s="73"/>
      <c r="I1148" s="98"/>
      <c r="J1148" s="99"/>
      <c r="L1148" s="73"/>
      <c r="M1148" s="73"/>
      <c r="N1148" s="73"/>
      <c r="O1148" s="73"/>
      <c r="P1148" s="73"/>
      <c r="Q1148" s="73"/>
      <c r="R1148" s="73"/>
      <c r="S1148" s="73"/>
      <c r="T1148" s="73"/>
      <c r="U1148" s="73"/>
      <c r="V1148" s="73"/>
      <c r="W1148" s="73"/>
      <c r="X1148" s="73"/>
    </row>
    <row r="1149">
      <c r="A1149" s="74">
        <v>1244.0</v>
      </c>
      <c r="B1149" s="74" t="s">
        <v>2205</v>
      </c>
      <c r="C1149" s="74"/>
      <c r="D1149" s="75" t="s">
        <v>2549</v>
      </c>
      <c r="E1149" s="76">
        <v>46197.0</v>
      </c>
      <c r="F1149" s="76" t="s">
        <v>1366</v>
      </c>
      <c r="G1149" s="76"/>
      <c r="H1149" s="73"/>
      <c r="I1149" s="98"/>
      <c r="J1149" s="99"/>
      <c r="L1149" s="73"/>
      <c r="M1149" s="73"/>
      <c r="N1149" s="73"/>
      <c r="O1149" s="73"/>
      <c r="P1149" s="73"/>
      <c r="Q1149" s="73"/>
      <c r="R1149" s="73"/>
      <c r="S1149" s="73"/>
      <c r="T1149" s="73"/>
      <c r="U1149" s="73"/>
      <c r="V1149" s="73"/>
      <c r="W1149" s="73"/>
      <c r="X1149" s="73"/>
    </row>
    <row r="1150" ht="17.25" customHeight="1">
      <c r="A1150" s="74">
        <v>1245.0</v>
      </c>
      <c r="B1150" s="74" t="s">
        <v>1935</v>
      </c>
      <c r="C1150" s="74"/>
      <c r="D1150" s="75" t="s">
        <v>2550</v>
      </c>
      <c r="E1150" s="76">
        <v>46201.0</v>
      </c>
      <c r="F1150" s="76" t="s">
        <v>1366</v>
      </c>
      <c r="G1150" s="76"/>
      <c r="H1150" s="73"/>
      <c r="I1150" s="98"/>
      <c r="J1150" s="99"/>
      <c r="L1150" s="73"/>
      <c r="M1150" s="73"/>
      <c r="N1150" s="73"/>
      <c r="O1150" s="73"/>
      <c r="P1150" s="73"/>
      <c r="Q1150" s="73"/>
      <c r="R1150" s="73"/>
      <c r="S1150" s="73"/>
      <c r="T1150" s="73"/>
      <c r="U1150" s="73"/>
      <c r="V1150" s="73"/>
      <c r="W1150" s="73"/>
      <c r="X1150" s="73"/>
    </row>
    <row r="1151" ht="14.25" customHeight="1">
      <c r="A1151" s="74">
        <v>1246.0</v>
      </c>
      <c r="B1151" s="74" t="s">
        <v>1935</v>
      </c>
      <c r="C1151" s="74"/>
      <c r="D1151" s="75" t="s">
        <v>2551</v>
      </c>
      <c r="E1151" s="76">
        <v>46201.0</v>
      </c>
      <c r="F1151" s="76" t="s">
        <v>1366</v>
      </c>
      <c r="G1151" s="76"/>
      <c r="H1151" s="73"/>
      <c r="I1151" s="98"/>
      <c r="J1151" s="99"/>
      <c r="L1151" s="73"/>
      <c r="M1151" s="73"/>
      <c r="N1151" s="73"/>
      <c r="O1151" s="73"/>
      <c r="P1151" s="73"/>
      <c r="Q1151" s="73"/>
      <c r="R1151" s="73"/>
      <c r="S1151" s="73"/>
      <c r="T1151" s="73"/>
      <c r="U1151" s="73"/>
      <c r="V1151" s="73"/>
      <c r="W1151" s="73"/>
      <c r="X1151" s="73"/>
    </row>
    <row r="1152" ht="16.5" customHeight="1">
      <c r="A1152" s="74">
        <v>1247.0</v>
      </c>
      <c r="B1152" s="74" t="s">
        <v>1935</v>
      </c>
      <c r="C1152" s="74"/>
      <c r="D1152" s="75" t="s">
        <v>2552</v>
      </c>
      <c r="E1152" s="76">
        <v>46201.0</v>
      </c>
      <c r="F1152" s="76" t="s">
        <v>1366</v>
      </c>
      <c r="G1152" s="76"/>
      <c r="H1152" s="73"/>
      <c r="I1152" s="98"/>
      <c r="J1152" s="99"/>
      <c r="L1152" s="73"/>
      <c r="M1152" s="73"/>
      <c r="N1152" s="73"/>
      <c r="O1152" s="73"/>
      <c r="P1152" s="73"/>
      <c r="Q1152" s="73"/>
      <c r="R1152" s="73"/>
      <c r="S1152" s="73"/>
      <c r="T1152" s="73"/>
      <c r="U1152" s="73"/>
      <c r="V1152" s="73"/>
      <c r="W1152" s="73"/>
      <c r="X1152" s="73"/>
    </row>
    <row r="1153" ht="16.5" customHeight="1">
      <c r="A1153" s="74">
        <v>1248.0</v>
      </c>
      <c r="B1153" s="74" t="s">
        <v>1935</v>
      </c>
      <c r="C1153" s="74"/>
      <c r="D1153" s="75" t="s">
        <v>2553</v>
      </c>
      <c r="E1153" s="76">
        <v>46202.0</v>
      </c>
      <c r="F1153" s="76" t="s">
        <v>1366</v>
      </c>
      <c r="G1153" s="76"/>
      <c r="H1153" s="73"/>
      <c r="I1153" s="98"/>
      <c r="J1153" s="99"/>
      <c r="L1153" s="73"/>
      <c r="M1153" s="73"/>
      <c r="N1153" s="73"/>
      <c r="O1153" s="73"/>
      <c r="P1153" s="73"/>
      <c r="Q1153" s="73"/>
      <c r="R1153" s="73"/>
      <c r="S1153" s="73"/>
      <c r="T1153" s="73"/>
      <c r="U1153" s="73"/>
      <c r="V1153" s="73"/>
      <c r="W1153" s="73"/>
      <c r="X1153" s="73"/>
    </row>
    <row r="1154" ht="15.75" customHeight="1">
      <c r="A1154" s="74">
        <v>1249.0</v>
      </c>
      <c r="B1154" s="74" t="s">
        <v>1935</v>
      </c>
      <c r="C1154" s="74"/>
      <c r="D1154" s="75" t="s">
        <v>2554</v>
      </c>
      <c r="E1154" s="76">
        <v>46202.0</v>
      </c>
      <c r="F1154" s="76" t="s">
        <v>1366</v>
      </c>
      <c r="G1154" s="76"/>
      <c r="H1154" s="73"/>
      <c r="I1154" s="98"/>
      <c r="J1154" s="99"/>
      <c r="L1154" s="73"/>
      <c r="M1154" s="73"/>
      <c r="N1154" s="73"/>
      <c r="O1154" s="73"/>
      <c r="P1154" s="73"/>
      <c r="Q1154" s="73"/>
      <c r="R1154" s="73"/>
      <c r="S1154" s="73"/>
      <c r="T1154" s="73"/>
      <c r="U1154" s="73"/>
      <c r="V1154" s="73"/>
      <c r="W1154" s="73"/>
      <c r="X1154" s="73"/>
    </row>
    <row r="1155" ht="15.75" customHeight="1">
      <c r="A1155" s="74">
        <v>1250.0</v>
      </c>
      <c r="B1155" s="74" t="s">
        <v>1935</v>
      </c>
      <c r="C1155" s="74"/>
      <c r="D1155" s="75" t="s">
        <v>2555</v>
      </c>
      <c r="E1155" s="76">
        <v>46202.0</v>
      </c>
      <c r="F1155" s="76" t="s">
        <v>1366</v>
      </c>
      <c r="G1155" s="76"/>
      <c r="H1155" s="73"/>
      <c r="I1155" s="98"/>
      <c r="J1155" s="99"/>
      <c r="L1155" s="73"/>
      <c r="M1155" s="73"/>
      <c r="N1155" s="73"/>
      <c r="O1155" s="73"/>
      <c r="P1155" s="73"/>
      <c r="Q1155" s="73"/>
      <c r="R1155" s="73"/>
      <c r="S1155" s="73"/>
      <c r="T1155" s="73"/>
      <c r="U1155" s="73"/>
      <c r="V1155" s="73"/>
      <c r="W1155" s="73"/>
      <c r="X1155" s="73"/>
    </row>
    <row r="1156" ht="15.0" customHeight="1">
      <c r="A1156" s="74">
        <v>1251.0</v>
      </c>
      <c r="B1156" s="74" t="s">
        <v>1935</v>
      </c>
      <c r="C1156" s="74"/>
      <c r="D1156" s="75" t="s">
        <v>2556</v>
      </c>
      <c r="E1156" s="76">
        <v>46202.0</v>
      </c>
      <c r="F1156" s="76" t="s">
        <v>1366</v>
      </c>
      <c r="G1156" s="76"/>
      <c r="H1156" s="73"/>
      <c r="I1156" s="98"/>
      <c r="J1156" s="99"/>
      <c r="L1156" s="73"/>
      <c r="M1156" s="73"/>
      <c r="N1156" s="73"/>
      <c r="O1156" s="73"/>
      <c r="P1156" s="73"/>
      <c r="Q1156" s="73"/>
      <c r="R1156" s="73"/>
      <c r="S1156" s="73"/>
      <c r="T1156" s="73"/>
      <c r="U1156" s="73"/>
      <c r="V1156" s="73"/>
      <c r="W1156" s="73"/>
      <c r="X1156" s="73"/>
    </row>
    <row r="1157" ht="17.25" customHeight="1">
      <c r="A1157" s="74">
        <v>1252.0</v>
      </c>
      <c r="B1157" s="74" t="s">
        <v>1935</v>
      </c>
      <c r="C1157" s="74"/>
      <c r="D1157" s="75" t="s">
        <v>2557</v>
      </c>
      <c r="E1157" s="76">
        <v>46202.0</v>
      </c>
      <c r="F1157" s="76" t="s">
        <v>1366</v>
      </c>
      <c r="G1157" s="76"/>
      <c r="H1157" s="73"/>
      <c r="I1157" s="98"/>
      <c r="J1157" s="99"/>
      <c r="L1157" s="73"/>
      <c r="M1157" s="73"/>
      <c r="N1157" s="73"/>
      <c r="O1157" s="73"/>
      <c r="P1157" s="73"/>
      <c r="Q1157" s="73"/>
      <c r="R1157" s="73"/>
      <c r="S1157" s="73"/>
      <c r="T1157" s="73"/>
      <c r="U1157" s="73"/>
      <c r="V1157" s="73"/>
      <c r="W1157" s="73"/>
      <c r="X1157" s="73"/>
    </row>
    <row r="1158" ht="15.75" customHeight="1">
      <c r="A1158" s="74">
        <v>1253.0</v>
      </c>
      <c r="B1158" s="74" t="s">
        <v>1935</v>
      </c>
      <c r="C1158" s="74"/>
      <c r="D1158" s="75" t="s">
        <v>2558</v>
      </c>
      <c r="E1158" s="76">
        <v>46202.0</v>
      </c>
      <c r="F1158" s="76" t="s">
        <v>1366</v>
      </c>
      <c r="G1158" s="76"/>
      <c r="H1158" s="73"/>
      <c r="I1158" s="98"/>
      <c r="J1158" s="99"/>
      <c r="L1158" s="73"/>
      <c r="M1158" s="73"/>
      <c r="N1158" s="73"/>
      <c r="O1158" s="73"/>
      <c r="P1158" s="73"/>
      <c r="Q1158" s="73"/>
      <c r="R1158" s="73"/>
      <c r="S1158" s="73"/>
      <c r="T1158" s="73"/>
      <c r="U1158" s="73"/>
      <c r="V1158" s="73"/>
      <c r="W1158" s="73"/>
      <c r="X1158" s="73"/>
    </row>
    <row r="1159">
      <c r="A1159" s="74">
        <v>1254.0</v>
      </c>
      <c r="B1159" s="74" t="s">
        <v>2456</v>
      </c>
      <c r="C1159" s="74"/>
      <c r="D1159" s="75" t="s">
        <v>2559</v>
      </c>
      <c r="E1159" s="76">
        <v>46208.0</v>
      </c>
      <c r="F1159" s="76" t="s">
        <v>1366</v>
      </c>
      <c r="G1159" s="76"/>
      <c r="H1159" s="73"/>
      <c r="I1159" s="98"/>
      <c r="J1159" s="99"/>
      <c r="L1159" s="73"/>
      <c r="M1159" s="73"/>
      <c r="N1159" s="73"/>
      <c r="O1159" s="73"/>
      <c r="P1159" s="73"/>
      <c r="Q1159" s="73"/>
      <c r="R1159" s="73"/>
      <c r="S1159" s="73"/>
      <c r="T1159" s="73"/>
      <c r="U1159" s="73"/>
      <c r="V1159" s="73"/>
      <c r="W1159" s="73"/>
      <c r="X1159" s="73"/>
    </row>
    <row r="1160">
      <c r="A1160" s="74">
        <v>1255.0</v>
      </c>
      <c r="B1160" s="74" t="s">
        <v>2456</v>
      </c>
      <c r="C1160" s="74"/>
      <c r="D1160" s="75" t="s">
        <v>2560</v>
      </c>
      <c r="E1160" s="76">
        <v>46208.0</v>
      </c>
      <c r="F1160" s="76" t="s">
        <v>1366</v>
      </c>
      <c r="G1160" s="76"/>
      <c r="H1160" s="73"/>
      <c r="I1160" s="98"/>
      <c r="J1160" s="99"/>
      <c r="L1160" s="73"/>
      <c r="M1160" s="73"/>
      <c r="N1160" s="73"/>
      <c r="O1160" s="73"/>
      <c r="P1160" s="73"/>
      <c r="Q1160" s="73"/>
      <c r="R1160" s="73"/>
      <c r="S1160" s="73"/>
      <c r="T1160" s="73"/>
      <c r="U1160" s="73"/>
      <c r="V1160" s="73"/>
      <c r="W1160" s="73"/>
      <c r="X1160" s="73"/>
    </row>
    <row r="1161" ht="16.5" customHeight="1">
      <c r="A1161" s="74">
        <v>1256.0</v>
      </c>
      <c r="B1161" s="74" t="s">
        <v>2456</v>
      </c>
      <c r="C1161" s="74"/>
      <c r="D1161" s="75" t="s">
        <v>2561</v>
      </c>
      <c r="E1161" s="76">
        <v>46208.0</v>
      </c>
      <c r="F1161" s="76" t="s">
        <v>1366</v>
      </c>
      <c r="G1161" s="76"/>
      <c r="H1161" s="73"/>
      <c r="I1161" s="98"/>
      <c r="J1161" s="99"/>
      <c r="L1161" s="73"/>
      <c r="M1161" s="73"/>
      <c r="N1161" s="73"/>
      <c r="O1161" s="73"/>
      <c r="P1161" s="73"/>
      <c r="Q1161" s="73"/>
      <c r="R1161" s="73"/>
      <c r="S1161" s="73"/>
      <c r="T1161" s="73"/>
      <c r="U1161" s="73"/>
      <c r="V1161" s="73"/>
      <c r="W1161" s="73"/>
      <c r="X1161" s="73"/>
    </row>
    <row r="1162">
      <c r="A1162" s="74">
        <v>1257.0</v>
      </c>
      <c r="B1162" s="74" t="s">
        <v>2456</v>
      </c>
      <c r="C1162" s="74"/>
      <c r="D1162" s="75" t="s">
        <v>2562</v>
      </c>
      <c r="E1162" s="76">
        <v>46208.0</v>
      </c>
      <c r="F1162" s="76" t="s">
        <v>1366</v>
      </c>
      <c r="G1162" s="76"/>
      <c r="H1162" s="73"/>
      <c r="I1162" s="98"/>
      <c r="J1162" s="99"/>
      <c r="L1162" s="73"/>
      <c r="M1162" s="73"/>
      <c r="N1162" s="73"/>
      <c r="O1162" s="73"/>
      <c r="P1162" s="73"/>
      <c r="Q1162" s="73"/>
      <c r="R1162" s="73"/>
      <c r="S1162" s="73"/>
      <c r="T1162" s="73"/>
      <c r="U1162" s="73"/>
      <c r="V1162" s="73"/>
      <c r="W1162" s="73"/>
      <c r="X1162" s="73"/>
    </row>
    <row r="1163">
      <c r="A1163" s="74">
        <v>1258.0</v>
      </c>
      <c r="B1163" s="74" t="s">
        <v>2456</v>
      </c>
      <c r="C1163" s="74"/>
      <c r="D1163" s="75" t="s">
        <v>2563</v>
      </c>
      <c r="E1163" s="76">
        <v>46208.0</v>
      </c>
      <c r="F1163" s="76" t="s">
        <v>1366</v>
      </c>
      <c r="G1163" s="76"/>
      <c r="H1163" s="73"/>
      <c r="I1163" s="98"/>
      <c r="J1163" s="99"/>
      <c r="L1163" s="73"/>
      <c r="M1163" s="73"/>
      <c r="N1163" s="73"/>
      <c r="O1163" s="73"/>
      <c r="P1163" s="73"/>
      <c r="Q1163" s="73"/>
      <c r="R1163" s="73"/>
      <c r="S1163" s="73"/>
      <c r="T1163" s="73"/>
      <c r="U1163" s="73"/>
      <c r="V1163" s="73"/>
      <c r="W1163" s="73"/>
      <c r="X1163" s="73"/>
    </row>
    <row r="1164">
      <c r="A1164" s="74">
        <v>1259.0</v>
      </c>
      <c r="B1164" s="74" t="s">
        <v>2456</v>
      </c>
      <c r="C1164" s="74"/>
      <c r="D1164" s="75" t="s">
        <v>2564</v>
      </c>
      <c r="E1164" s="76">
        <v>46208.0</v>
      </c>
      <c r="F1164" s="76" t="s">
        <v>1366</v>
      </c>
      <c r="G1164" s="76"/>
      <c r="H1164" s="73"/>
      <c r="I1164" s="98"/>
      <c r="J1164" s="99"/>
      <c r="L1164" s="73"/>
      <c r="M1164" s="73"/>
      <c r="N1164" s="73"/>
      <c r="O1164" s="73"/>
      <c r="P1164" s="73"/>
      <c r="Q1164" s="73"/>
      <c r="R1164" s="73"/>
      <c r="S1164" s="73"/>
      <c r="T1164" s="73"/>
      <c r="U1164" s="73"/>
      <c r="V1164" s="73"/>
      <c r="W1164" s="73"/>
      <c r="X1164" s="73"/>
    </row>
    <row r="1165">
      <c r="A1165" s="74">
        <v>1260.0</v>
      </c>
      <c r="B1165" s="74" t="s">
        <v>2456</v>
      </c>
      <c r="C1165" s="74"/>
      <c r="D1165" s="75" t="s">
        <v>2565</v>
      </c>
      <c r="E1165" s="76">
        <v>46209.0</v>
      </c>
      <c r="F1165" s="76" t="s">
        <v>1366</v>
      </c>
      <c r="G1165" s="76"/>
      <c r="H1165" s="73"/>
      <c r="I1165" s="98"/>
      <c r="J1165" s="99"/>
      <c r="L1165" s="73"/>
      <c r="M1165" s="73"/>
      <c r="N1165" s="73"/>
      <c r="O1165" s="73"/>
      <c r="P1165" s="73"/>
      <c r="Q1165" s="73"/>
      <c r="R1165" s="73"/>
      <c r="S1165" s="73"/>
      <c r="T1165" s="73"/>
      <c r="U1165" s="73"/>
      <c r="V1165" s="73"/>
      <c r="W1165" s="73"/>
      <c r="X1165" s="73"/>
    </row>
    <row r="1166">
      <c r="A1166" s="74">
        <v>1261.0</v>
      </c>
      <c r="B1166" s="74" t="s">
        <v>2456</v>
      </c>
      <c r="C1166" s="74"/>
      <c r="D1166" s="75" t="s">
        <v>2566</v>
      </c>
      <c r="E1166" s="76">
        <v>46209.0</v>
      </c>
      <c r="F1166" s="76" t="s">
        <v>1366</v>
      </c>
      <c r="G1166" s="76"/>
      <c r="H1166" s="73"/>
      <c r="I1166" s="98"/>
      <c r="J1166" s="99"/>
      <c r="L1166" s="73"/>
      <c r="M1166" s="73"/>
      <c r="N1166" s="73"/>
      <c r="O1166" s="73"/>
      <c r="P1166" s="73"/>
      <c r="Q1166" s="73"/>
      <c r="R1166" s="73"/>
      <c r="S1166" s="73"/>
      <c r="T1166" s="73"/>
      <c r="U1166" s="73"/>
      <c r="V1166" s="73"/>
      <c r="W1166" s="73"/>
      <c r="X1166" s="73"/>
    </row>
    <row r="1167" ht="14.25" customHeight="1">
      <c r="A1167" s="74">
        <v>1262.0</v>
      </c>
      <c r="B1167" s="74" t="s">
        <v>2567</v>
      </c>
      <c r="C1167" s="74"/>
      <c r="D1167" s="75" t="s">
        <v>2568</v>
      </c>
      <c r="E1167" s="76">
        <v>46210.0</v>
      </c>
      <c r="F1167" s="76" t="s">
        <v>1366</v>
      </c>
      <c r="G1167" s="76"/>
      <c r="H1167" s="73"/>
      <c r="I1167" s="98"/>
      <c r="J1167" s="99"/>
      <c r="L1167" s="73"/>
      <c r="M1167" s="73"/>
      <c r="N1167" s="73"/>
      <c r="O1167" s="73"/>
      <c r="P1167" s="73"/>
      <c r="Q1167" s="73"/>
      <c r="R1167" s="73"/>
      <c r="S1167" s="73"/>
      <c r="T1167" s="73"/>
      <c r="U1167" s="73"/>
      <c r="V1167" s="73"/>
      <c r="W1167" s="73"/>
      <c r="X1167" s="73"/>
    </row>
    <row r="1168" ht="17.25" customHeight="1">
      <c r="A1168" s="74">
        <v>1263.0</v>
      </c>
      <c r="B1168" s="74" t="s">
        <v>2567</v>
      </c>
      <c r="C1168" s="74"/>
      <c r="D1168" s="75" t="s">
        <v>2569</v>
      </c>
      <c r="E1168" s="76">
        <v>46210.0</v>
      </c>
      <c r="F1168" s="76" t="s">
        <v>1366</v>
      </c>
      <c r="G1168" s="76"/>
      <c r="H1168" s="73"/>
      <c r="I1168" s="98"/>
      <c r="J1168" s="99"/>
      <c r="L1168" s="73"/>
      <c r="M1168" s="73"/>
      <c r="N1168" s="73"/>
      <c r="O1168" s="73"/>
      <c r="P1168" s="73"/>
      <c r="Q1168" s="73"/>
      <c r="R1168" s="73"/>
      <c r="S1168" s="73"/>
      <c r="T1168" s="73"/>
      <c r="U1168" s="73"/>
      <c r="V1168" s="73"/>
      <c r="W1168" s="73"/>
      <c r="X1168" s="73"/>
    </row>
    <row r="1169">
      <c r="A1169" s="74">
        <v>1264.0</v>
      </c>
      <c r="B1169" s="74" t="s">
        <v>2567</v>
      </c>
      <c r="C1169" s="74"/>
      <c r="D1169" s="75" t="s">
        <v>2570</v>
      </c>
      <c r="E1169" s="76">
        <v>46210.0</v>
      </c>
      <c r="F1169" s="76" t="s">
        <v>1366</v>
      </c>
      <c r="G1169" s="76"/>
      <c r="H1169" s="73"/>
      <c r="I1169" s="98"/>
      <c r="J1169" s="99"/>
      <c r="L1169" s="73"/>
      <c r="M1169" s="73"/>
      <c r="N1169" s="73"/>
      <c r="O1169" s="73"/>
      <c r="P1169" s="73"/>
      <c r="Q1169" s="73"/>
      <c r="R1169" s="73"/>
      <c r="S1169" s="73"/>
      <c r="T1169" s="73"/>
      <c r="U1169" s="73"/>
      <c r="V1169" s="73"/>
      <c r="W1169" s="73"/>
      <c r="X1169" s="73"/>
    </row>
    <row r="1170">
      <c r="A1170" s="74">
        <v>1265.0</v>
      </c>
      <c r="B1170" s="74" t="s">
        <v>2567</v>
      </c>
      <c r="C1170" s="74"/>
      <c r="D1170" s="75" t="s">
        <v>2571</v>
      </c>
      <c r="E1170" s="76">
        <v>46210.0</v>
      </c>
      <c r="F1170" s="76" t="s">
        <v>1366</v>
      </c>
      <c r="G1170" s="76"/>
      <c r="H1170" s="73"/>
      <c r="I1170" s="98"/>
      <c r="J1170" s="99"/>
      <c r="L1170" s="73"/>
      <c r="M1170" s="73"/>
      <c r="N1170" s="73"/>
      <c r="O1170" s="73"/>
      <c r="P1170" s="73"/>
      <c r="Q1170" s="73"/>
      <c r="R1170" s="73"/>
      <c r="S1170" s="73"/>
      <c r="T1170" s="73"/>
      <c r="U1170" s="73"/>
      <c r="V1170" s="73"/>
      <c r="W1170" s="73"/>
      <c r="X1170" s="73"/>
    </row>
    <row r="1171" ht="18.0" customHeight="1">
      <c r="A1171" s="74">
        <v>1266.0</v>
      </c>
      <c r="B1171" s="74" t="s">
        <v>2567</v>
      </c>
      <c r="C1171" s="74"/>
      <c r="D1171" s="75" t="s">
        <v>2572</v>
      </c>
      <c r="E1171" s="76">
        <v>46210.0</v>
      </c>
      <c r="F1171" s="76" t="s">
        <v>1366</v>
      </c>
      <c r="G1171" s="76"/>
      <c r="H1171" s="73"/>
      <c r="I1171" s="98"/>
      <c r="J1171" s="99"/>
      <c r="L1171" s="73"/>
      <c r="M1171" s="73"/>
      <c r="N1171" s="73"/>
      <c r="O1171" s="73"/>
      <c r="P1171" s="73"/>
      <c r="Q1171" s="73"/>
      <c r="R1171" s="73"/>
      <c r="S1171" s="73"/>
      <c r="T1171" s="73"/>
      <c r="U1171" s="73"/>
      <c r="V1171" s="73"/>
      <c r="W1171" s="73"/>
      <c r="X1171" s="73"/>
    </row>
    <row r="1172">
      <c r="A1172" s="74">
        <v>1267.0</v>
      </c>
      <c r="B1172" s="74" t="s">
        <v>2567</v>
      </c>
      <c r="C1172" s="74"/>
      <c r="D1172" s="75" t="s">
        <v>2573</v>
      </c>
      <c r="E1172" s="76">
        <v>46210.0</v>
      </c>
      <c r="F1172" s="76" t="s">
        <v>1366</v>
      </c>
      <c r="G1172" s="76"/>
      <c r="H1172" s="73"/>
      <c r="I1172" s="98"/>
      <c r="J1172" s="99"/>
      <c r="L1172" s="73"/>
      <c r="M1172" s="73"/>
      <c r="N1172" s="73"/>
      <c r="O1172" s="73"/>
      <c r="P1172" s="73"/>
      <c r="Q1172" s="73"/>
      <c r="R1172" s="73"/>
      <c r="S1172" s="73"/>
      <c r="T1172" s="73"/>
      <c r="U1172" s="73"/>
      <c r="V1172" s="73"/>
      <c r="W1172" s="73"/>
      <c r="X1172" s="73"/>
    </row>
    <row r="1173" ht="18.75" customHeight="1">
      <c r="A1173" s="74">
        <v>1268.0</v>
      </c>
      <c r="B1173" s="74" t="s">
        <v>2567</v>
      </c>
      <c r="C1173" s="74"/>
      <c r="D1173" s="75" t="s">
        <v>2574</v>
      </c>
      <c r="E1173" s="76">
        <v>46210.0</v>
      </c>
      <c r="F1173" s="76" t="s">
        <v>1366</v>
      </c>
      <c r="G1173" s="76"/>
      <c r="H1173" s="73"/>
      <c r="I1173" s="98"/>
      <c r="J1173" s="99"/>
      <c r="L1173" s="73"/>
      <c r="M1173" s="73"/>
      <c r="N1173" s="73"/>
      <c r="O1173" s="73"/>
      <c r="P1173" s="73"/>
      <c r="Q1173" s="73"/>
      <c r="R1173" s="73"/>
      <c r="S1173" s="73"/>
      <c r="T1173" s="73"/>
      <c r="U1173" s="73"/>
      <c r="V1173" s="73"/>
      <c r="W1173" s="73"/>
      <c r="X1173" s="73"/>
    </row>
    <row r="1174" ht="16.5" customHeight="1">
      <c r="A1174" s="74">
        <v>1269.0</v>
      </c>
      <c r="B1174" s="74" t="s">
        <v>2567</v>
      </c>
      <c r="C1174" s="74"/>
      <c r="D1174" s="75" t="s">
        <v>2575</v>
      </c>
      <c r="E1174" s="76">
        <v>46210.0</v>
      </c>
      <c r="F1174" s="76" t="s">
        <v>1366</v>
      </c>
      <c r="G1174" s="76"/>
      <c r="H1174" s="73"/>
      <c r="I1174" s="98"/>
      <c r="J1174" s="99"/>
      <c r="L1174" s="73"/>
      <c r="M1174" s="73"/>
      <c r="N1174" s="73"/>
      <c r="O1174" s="73"/>
      <c r="P1174" s="73"/>
      <c r="Q1174" s="73"/>
      <c r="R1174" s="73"/>
      <c r="S1174" s="73"/>
      <c r="T1174" s="73"/>
      <c r="U1174" s="73"/>
      <c r="V1174" s="73"/>
      <c r="W1174" s="73"/>
      <c r="X1174" s="73"/>
    </row>
    <row r="1175" ht="16.5" customHeight="1">
      <c r="A1175" s="74">
        <v>1270.0</v>
      </c>
      <c r="B1175" s="74" t="s">
        <v>2567</v>
      </c>
      <c r="C1175" s="74"/>
      <c r="D1175" s="75" t="s">
        <v>2576</v>
      </c>
      <c r="E1175" s="76">
        <v>46210.0</v>
      </c>
      <c r="F1175" s="76" t="s">
        <v>1366</v>
      </c>
      <c r="G1175" s="76"/>
      <c r="H1175" s="73"/>
      <c r="I1175" s="98"/>
      <c r="J1175" s="99"/>
      <c r="L1175" s="73"/>
      <c r="M1175" s="73"/>
      <c r="N1175" s="73"/>
      <c r="O1175" s="73"/>
      <c r="P1175" s="73"/>
      <c r="Q1175" s="73"/>
      <c r="R1175" s="73"/>
      <c r="S1175" s="73"/>
      <c r="T1175" s="73"/>
      <c r="U1175" s="73"/>
      <c r="V1175" s="73"/>
      <c r="W1175" s="73"/>
      <c r="X1175" s="73"/>
    </row>
    <row r="1176" ht="18.75" customHeight="1">
      <c r="A1176" s="74">
        <v>1271.0</v>
      </c>
      <c r="B1176" s="74" t="s">
        <v>2567</v>
      </c>
      <c r="C1176" s="74"/>
      <c r="D1176" s="75" t="s">
        <v>2577</v>
      </c>
      <c r="E1176" s="76">
        <v>46210.0</v>
      </c>
      <c r="F1176" s="76" t="s">
        <v>1366</v>
      </c>
      <c r="G1176" s="76"/>
      <c r="H1176" s="73"/>
      <c r="I1176" s="98"/>
      <c r="J1176" s="99"/>
      <c r="L1176" s="73"/>
      <c r="M1176" s="73"/>
      <c r="N1176" s="73"/>
      <c r="O1176" s="73"/>
      <c r="P1176" s="73"/>
      <c r="Q1176" s="73"/>
      <c r="R1176" s="73"/>
      <c r="S1176" s="73"/>
      <c r="T1176" s="73"/>
      <c r="U1176" s="73"/>
      <c r="V1176" s="73"/>
      <c r="W1176" s="73"/>
      <c r="X1176" s="73"/>
    </row>
    <row r="1177" ht="14.25" customHeight="1">
      <c r="A1177" s="74">
        <v>1272.0</v>
      </c>
      <c r="B1177" s="74" t="s">
        <v>2567</v>
      </c>
      <c r="C1177" s="74"/>
      <c r="D1177" s="75" t="s">
        <v>2578</v>
      </c>
      <c r="E1177" s="76">
        <v>46210.0</v>
      </c>
      <c r="F1177" s="76" t="s">
        <v>1366</v>
      </c>
      <c r="G1177" s="76"/>
      <c r="H1177" s="73"/>
      <c r="I1177" s="98"/>
      <c r="J1177" s="99"/>
      <c r="L1177" s="73"/>
      <c r="M1177" s="73"/>
      <c r="N1177" s="73"/>
      <c r="O1177" s="73"/>
      <c r="P1177" s="73"/>
      <c r="Q1177" s="73"/>
      <c r="R1177" s="73"/>
      <c r="S1177" s="73"/>
      <c r="T1177" s="73"/>
      <c r="U1177" s="73"/>
      <c r="V1177" s="73"/>
      <c r="W1177" s="73"/>
      <c r="X1177" s="73"/>
    </row>
    <row r="1178" ht="18.75" customHeight="1">
      <c r="A1178" s="74">
        <v>1273.0</v>
      </c>
      <c r="B1178" s="74" t="s">
        <v>2567</v>
      </c>
      <c r="C1178" s="74"/>
      <c r="D1178" s="75" t="s">
        <v>2579</v>
      </c>
      <c r="E1178" s="76">
        <v>46210.0</v>
      </c>
      <c r="F1178" s="76" t="s">
        <v>1366</v>
      </c>
      <c r="G1178" s="76"/>
      <c r="H1178" s="73"/>
      <c r="I1178" s="98"/>
      <c r="J1178" s="99"/>
      <c r="L1178" s="73"/>
      <c r="M1178" s="73"/>
      <c r="N1178" s="73"/>
      <c r="O1178" s="73"/>
      <c r="P1178" s="73"/>
      <c r="Q1178" s="73"/>
      <c r="R1178" s="73"/>
      <c r="S1178" s="73"/>
      <c r="T1178" s="73"/>
      <c r="U1178" s="73"/>
      <c r="V1178" s="73"/>
      <c r="W1178" s="73"/>
      <c r="X1178" s="73"/>
    </row>
    <row r="1179" ht="17.25" customHeight="1">
      <c r="A1179" s="74">
        <v>1274.0</v>
      </c>
      <c r="B1179" s="74" t="s">
        <v>2567</v>
      </c>
      <c r="C1179" s="74"/>
      <c r="D1179" s="75" t="s">
        <v>2580</v>
      </c>
      <c r="E1179" s="76">
        <v>46210.0</v>
      </c>
      <c r="F1179" s="76" t="s">
        <v>1366</v>
      </c>
      <c r="G1179" s="76"/>
      <c r="H1179" s="73"/>
      <c r="I1179" s="98"/>
      <c r="J1179" s="99"/>
      <c r="L1179" s="73"/>
      <c r="M1179" s="73"/>
      <c r="N1179" s="73"/>
      <c r="O1179" s="73"/>
      <c r="P1179" s="73"/>
      <c r="Q1179" s="73"/>
      <c r="R1179" s="73"/>
      <c r="S1179" s="73"/>
      <c r="T1179" s="73"/>
      <c r="U1179" s="73"/>
      <c r="V1179" s="73"/>
      <c r="W1179" s="73"/>
      <c r="X1179" s="73"/>
    </row>
    <row r="1180" ht="16.5" customHeight="1">
      <c r="A1180" s="74">
        <v>1275.0</v>
      </c>
      <c r="B1180" s="74" t="s">
        <v>2567</v>
      </c>
      <c r="C1180" s="74"/>
      <c r="D1180" s="75" t="s">
        <v>2581</v>
      </c>
      <c r="E1180" s="76">
        <v>46210.0</v>
      </c>
      <c r="F1180" s="76" t="s">
        <v>1366</v>
      </c>
      <c r="G1180" s="76"/>
      <c r="H1180" s="73"/>
      <c r="I1180" s="98"/>
      <c r="J1180" s="99"/>
      <c r="L1180" s="73"/>
      <c r="M1180" s="73"/>
      <c r="N1180" s="73"/>
      <c r="O1180" s="73"/>
      <c r="P1180" s="73"/>
      <c r="Q1180" s="73"/>
      <c r="R1180" s="73"/>
      <c r="S1180" s="73"/>
      <c r="T1180" s="73"/>
      <c r="U1180" s="73"/>
      <c r="V1180" s="73"/>
      <c r="W1180" s="73"/>
      <c r="X1180" s="73"/>
    </row>
    <row r="1181" ht="16.5" customHeight="1">
      <c r="A1181" s="74">
        <v>1276.0</v>
      </c>
      <c r="B1181" s="74" t="s">
        <v>2567</v>
      </c>
      <c r="C1181" s="74"/>
      <c r="D1181" s="75" t="s">
        <v>2582</v>
      </c>
      <c r="E1181" s="76">
        <v>46210.0</v>
      </c>
      <c r="F1181" s="76" t="s">
        <v>1366</v>
      </c>
      <c r="G1181" s="76"/>
      <c r="H1181" s="73"/>
      <c r="I1181" s="98"/>
      <c r="J1181" s="99"/>
      <c r="L1181" s="73"/>
      <c r="M1181" s="73"/>
      <c r="N1181" s="73"/>
      <c r="O1181" s="73"/>
      <c r="P1181" s="73"/>
      <c r="Q1181" s="73"/>
      <c r="R1181" s="73"/>
      <c r="S1181" s="73"/>
      <c r="T1181" s="73"/>
      <c r="U1181" s="73"/>
      <c r="V1181" s="73"/>
      <c r="W1181" s="73"/>
      <c r="X1181" s="73"/>
    </row>
    <row r="1182" ht="17.25" customHeight="1">
      <c r="A1182" s="74">
        <v>1277.0</v>
      </c>
      <c r="B1182" s="74" t="s">
        <v>2567</v>
      </c>
      <c r="C1182" s="74"/>
      <c r="D1182" s="75" t="s">
        <v>2583</v>
      </c>
      <c r="E1182" s="76">
        <v>46210.0</v>
      </c>
      <c r="F1182" s="76" t="s">
        <v>1366</v>
      </c>
      <c r="G1182" s="76"/>
      <c r="H1182" s="73"/>
      <c r="I1182" s="98"/>
      <c r="J1182" s="99"/>
      <c r="L1182" s="73"/>
      <c r="M1182" s="73"/>
      <c r="N1182" s="73"/>
      <c r="O1182" s="73"/>
      <c r="P1182" s="73"/>
      <c r="Q1182" s="73"/>
      <c r="R1182" s="73"/>
      <c r="S1182" s="73"/>
      <c r="T1182" s="73"/>
      <c r="U1182" s="73"/>
      <c r="V1182" s="73"/>
      <c r="W1182" s="73"/>
      <c r="X1182" s="73"/>
    </row>
    <row r="1183">
      <c r="A1183" s="74"/>
      <c r="B1183" s="74"/>
      <c r="C1183" s="74"/>
      <c r="D1183" s="75"/>
      <c r="E1183" s="76"/>
      <c r="F1183" s="76"/>
      <c r="G1183" s="99"/>
      <c r="H1183" s="73"/>
      <c r="I1183" s="98"/>
      <c r="J1183" s="99"/>
      <c r="L1183" s="73"/>
      <c r="M1183" s="73"/>
      <c r="N1183" s="73"/>
      <c r="O1183" s="73"/>
      <c r="P1183" s="73"/>
      <c r="Q1183" s="73"/>
      <c r="R1183" s="73"/>
      <c r="S1183" s="73"/>
      <c r="T1183" s="73"/>
      <c r="U1183" s="73"/>
      <c r="V1183" s="73"/>
      <c r="W1183" s="73"/>
      <c r="X1183" s="73"/>
    </row>
    <row r="1184">
      <c r="A1184" s="74"/>
      <c r="B1184" s="74"/>
      <c r="C1184" s="74"/>
      <c r="D1184" s="75"/>
      <c r="E1184" s="76"/>
      <c r="F1184" s="76"/>
      <c r="G1184" s="99"/>
      <c r="H1184" s="73"/>
      <c r="I1184" s="98"/>
      <c r="J1184" s="99"/>
      <c r="L1184" s="73"/>
      <c r="M1184" s="73"/>
      <c r="N1184" s="73"/>
      <c r="O1184" s="73"/>
      <c r="P1184" s="73"/>
      <c r="Q1184" s="73"/>
      <c r="R1184" s="73"/>
      <c r="S1184" s="73"/>
      <c r="T1184" s="73"/>
      <c r="U1184" s="73"/>
      <c r="V1184" s="73"/>
      <c r="W1184" s="73"/>
      <c r="X1184" s="73"/>
    </row>
    <row r="1185">
      <c r="A1185" s="74"/>
      <c r="B1185" s="74"/>
      <c r="C1185" s="74"/>
      <c r="D1185" s="75"/>
      <c r="E1185" s="76"/>
      <c r="F1185" s="76"/>
      <c r="G1185" s="99"/>
      <c r="H1185" s="73"/>
      <c r="I1185" s="98"/>
      <c r="J1185" s="99"/>
      <c r="L1185" s="73"/>
      <c r="M1185" s="73"/>
      <c r="N1185" s="73"/>
      <c r="O1185" s="73"/>
      <c r="P1185" s="73"/>
      <c r="Q1185" s="73"/>
      <c r="R1185" s="73"/>
      <c r="S1185" s="73"/>
      <c r="T1185" s="73"/>
      <c r="U1185" s="73"/>
      <c r="V1185" s="73"/>
      <c r="W1185" s="73"/>
      <c r="X1185" s="73"/>
    </row>
    <row r="1186">
      <c r="A1186" s="74"/>
      <c r="B1186" s="74"/>
      <c r="C1186" s="74"/>
      <c r="D1186" s="75"/>
      <c r="E1186" s="76"/>
      <c r="F1186" s="76"/>
      <c r="G1186" s="99"/>
      <c r="H1186" s="73"/>
      <c r="I1186" s="98"/>
      <c r="J1186" s="99"/>
      <c r="L1186" s="73"/>
      <c r="M1186" s="73"/>
      <c r="N1186" s="73"/>
      <c r="O1186" s="73"/>
      <c r="P1186" s="73"/>
      <c r="Q1186" s="73"/>
      <c r="R1186" s="73"/>
      <c r="S1186" s="73"/>
      <c r="T1186" s="73"/>
      <c r="U1186" s="73"/>
      <c r="V1186" s="73"/>
      <c r="W1186" s="73"/>
      <c r="X1186" s="73"/>
    </row>
    <row r="1187">
      <c r="A1187" s="74"/>
      <c r="B1187" s="74"/>
      <c r="C1187" s="74"/>
      <c r="D1187" s="75"/>
      <c r="E1187" s="76"/>
      <c r="F1187" s="76"/>
      <c r="G1187" s="99"/>
      <c r="H1187" s="73"/>
      <c r="I1187" s="98"/>
      <c r="J1187" s="99"/>
      <c r="L1187" s="73"/>
      <c r="M1187" s="73"/>
      <c r="N1187" s="73"/>
      <c r="O1187" s="73"/>
      <c r="P1187" s="73"/>
      <c r="Q1187" s="73"/>
      <c r="R1187" s="73"/>
      <c r="S1187" s="73"/>
      <c r="T1187" s="73"/>
      <c r="U1187" s="73"/>
      <c r="V1187" s="73"/>
      <c r="W1187" s="73"/>
      <c r="X1187" s="73"/>
    </row>
    <row r="1188">
      <c r="A1188" s="74"/>
      <c r="B1188" s="74"/>
      <c r="C1188" s="74"/>
      <c r="D1188" s="75"/>
      <c r="E1188" s="76"/>
      <c r="F1188" s="76"/>
      <c r="G1188" s="99"/>
      <c r="H1188" s="73"/>
      <c r="I1188" s="98"/>
      <c r="J1188" s="99"/>
      <c r="L1188" s="73"/>
      <c r="M1188" s="73"/>
      <c r="N1188" s="73"/>
      <c r="O1188" s="73"/>
      <c r="P1188" s="73"/>
      <c r="Q1188" s="73"/>
      <c r="R1188" s="73"/>
      <c r="S1188" s="73"/>
      <c r="T1188" s="73"/>
      <c r="U1188" s="73"/>
      <c r="V1188" s="73"/>
      <c r="W1188" s="73"/>
      <c r="X1188" s="73"/>
    </row>
    <row r="1189">
      <c r="A1189" s="74"/>
      <c r="B1189" s="74"/>
      <c r="C1189" s="74"/>
      <c r="D1189" s="75"/>
      <c r="E1189" s="76"/>
      <c r="F1189" s="76"/>
      <c r="G1189" s="99"/>
      <c r="H1189" s="73"/>
      <c r="I1189" s="98"/>
      <c r="J1189" s="99"/>
      <c r="L1189" s="73"/>
      <c r="M1189" s="73"/>
      <c r="N1189" s="73"/>
      <c r="O1189" s="73"/>
      <c r="P1189" s="73"/>
      <c r="Q1189" s="73"/>
      <c r="R1189" s="73"/>
      <c r="S1189" s="73"/>
      <c r="T1189" s="73"/>
      <c r="U1189" s="73"/>
      <c r="V1189" s="73"/>
      <c r="W1189" s="73"/>
      <c r="X1189" s="73"/>
    </row>
    <row r="1190">
      <c r="A1190" s="74"/>
      <c r="B1190" s="74"/>
      <c r="C1190" s="74"/>
      <c r="D1190" s="75"/>
      <c r="E1190" s="76"/>
      <c r="F1190" s="76"/>
      <c r="G1190" s="99"/>
      <c r="H1190" s="73"/>
      <c r="I1190" s="98"/>
      <c r="J1190" s="99"/>
      <c r="L1190" s="73"/>
      <c r="M1190" s="73"/>
      <c r="N1190" s="73"/>
      <c r="O1190" s="73"/>
      <c r="P1190" s="73"/>
      <c r="Q1190" s="73"/>
      <c r="R1190" s="73"/>
      <c r="S1190" s="73"/>
      <c r="T1190" s="73"/>
      <c r="U1190" s="73"/>
      <c r="V1190" s="73"/>
      <c r="W1190" s="73"/>
      <c r="X1190" s="73"/>
    </row>
    <row r="1191">
      <c r="A1191" s="74"/>
      <c r="B1191" s="74"/>
      <c r="C1191" s="74"/>
      <c r="D1191" s="75"/>
      <c r="E1191" s="76"/>
      <c r="F1191" s="76"/>
      <c r="G1191" s="99"/>
      <c r="H1191" s="73"/>
      <c r="I1191" s="98"/>
      <c r="J1191" s="99"/>
      <c r="L1191" s="73"/>
      <c r="M1191" s="73"/>
      <c r="N1191" s="73"/>
      <c r="O1191" s="73"/>
      <c r="P1191" s="73"/>
      <c r="Q1191" s="73"/>
      <c r="R1191" s="73"/>
      <c r="S1191" s="73"/>
      <c r="T1191" s="73"/>
      <c r="U1191" s="73"/>
      <c r="V1191" s="73"/>
      <c r="W1191" s="73"/>
      <c r="X1191" s="73"/>
    </row>
    <row r="1192">
      <c r="A1192" s="74"/>
      <c r="B1192" s="74"/>
      <c r="C1192" s="74"/>
      <c r="D1192" s="75"/>
      <c r="E1192" s="76"/>
      <c r="F1192" s="76"/>
      <c r="G1192" s="99"/>
      <c r="H1192" s="73"/>
      <c r="I1192" s="98"/>
      <c r="J1192" s="99"/>
      <c r="L1192" s="73"/>
      <c r="M1192" s="73"/>
      <c r="N1192" s="73"/>
      <c r="O1192" s="73"/>
      <c r="P1192" s="73"/>
      <c r="Q1192" s="73"/>
      <c r="R1192" s="73"/>
      <c r="S1192" s="73"/>
      <c r="T1192" s="73"/>
      <c r="U1192" s="73"/>
      <c r="V1192" s="73"/>
      <c r="W1192" s="73"/>
      <c r="X1192" s="73"/>
    </row>
    <row r="1193">
      <c r="A1193" s="74"/>
      <c r="B1193" s="74"/>
      <c r="C1193" s="74"/>
      <c r="D1193" s="75"/>
      <c r="E1193" s="100"/>
      <c r="F1193" s="101"/>
      <c r="G1193" s="99"/>
      <c r="H1193" s="73"/>
      <c r="I1193" s="98"/>
      <c r="J1193" s="99"/>
      <c r="L1193" s="73"/>
      <c r="M1193" s="73"/>
      <c r="N1193" s="73"/>
      <c r="O1193" s="73"/>
      <c r="P1193" s="73"/>
      <c r="Q1193" s="73"/>
      <c r="R1193" s="73"/>
      <c r="S1193" s="73"/>
      <c r="T1193" s="73"/>
      <c r="U1193" s="73"/>
      <c r="V1193" s="73"/>
      <c r="W1193" s="73"/>
      <c r="X1193" s="73"/>
    </row>
    <row r="1194">
      <c r="A1194" s="74"/>
      <c r="B1194" s="74"/>
      <c r="C1194" s="74"/>
      <c r="D1194" s="75"/>
      <c r="E1194" s="100"/>
      <c r="F1194" s="101"/>
      <c r="G1194" s="99"/>
      <c r="H1194" s="73"/>
      <c r="I1194" s="98"/>
      <c r="J1194" s="99"/>
      <c r="L1194" s="73"/>
      <c r="M1194" s="73"/>
      <c r="N1194" s="73"/>
      <c r="O1194" s="73"/>
      <c r="P1194" s="73"/>
      <c r="Q1194" s="73"/>
      <c r="R1194" s="73"/>
      <c r="S1194" s="73"/>
      <c r="T1194" s="73"/>
      <c r="U1194" s="73"/>
      <c r="V1194" s="73"/>
      <c r="W1194" s="73"/>
      <c r="X1194" s="73"/>
    </row>
    <row r="1195">
      <c r="A1195" s="74"/>
      <c r="B1195" s="74"/>
      <c r="C1195" s="74"/>
      <c r="D1195" s="75"/>
      <c r="E1195" s="100"/>
      <c r="F1195" s="101"/>
      <c r="G1195" s="99"/>
      <c r="H1195" s="73"/>
      <c r="I1195" s="98"/>
      <c r="J1195" s="99"/>
      <c r="L1195" s="73"/>
      <c r="M1195" s="73"/>
      <c r="N1195" s="73"/>
      <c r="O1195" s="73"/>
      <c r="P1195" s="73"/>
      <c r="Q1195" s="73"/>
      <c r="R1195" s="73"/>
      <c r="S1195" s="73"/>
      <c r="T1195" s="73"/>
      <c r="U1195" s="73"/>
      <c r="V1195" s="73"/>
      <c r="W1195" s="73"/>
      <c r="X1195" s="73"/>
    </row>
    <row r="1196">
      <c r="A1196" s="74"/>
      <c r="B1196" s="74"/>
      <c r="C1196" s="74"/>
      <c r="D1196" s="75"/>
      <c r="E1196" s="100"/>
      <c r="F1196" s="101"/>
      <c r="G1196" s="99"/>
      <c r="H1196" s="73"/>
      <c r="I1196" s="98"/>
      <c r="J1196" s="99"/>
      <c r="L1196" s="73"/>
      <c r="M1196" s="73"/>
      <c r="N1196" s="73"/>
      <c r="O1196" s="73"/>
      <c r="P1196" s="73"/>
      <c r="Q1196" s="73"/>
      <c r="R1196" s="73"/>
      <c r="S1196" s="73"/>
      <c r="T1196" s="73"/>
      <c r="U1196" s="73"/>
      <c r="V1196" s="73"/>
      <c r="W1196" s="73"/>
      <c r="X1196" s="73"/>
    </row>
    <row r="1197">
      <c r="A1197" s="74"/>
      <c r="B1197" s="74"/>
      <c r="C1197" s="74"/>
      <c r="D1197" s="75"/>
      <c r="E1197" s="100"/>
      <c r="F1197" s="101"/>
      <c r="G1197" s="99"/>
      <c r="H1197" s="73"/>
      <c r="I1197" s="98"/>
      <c r="J1197" s="99"/>
      <c r="L1197" s="73"/>
      <c r="M1197" s="73"/>
      <c r="N1197" s="73"/>
      <c r="O1197" s="73"/>
      <c r="P1197" s="73"/>
      <c r="Q1197" s="73"/>
      <c r="R1197" s="73"/>
      <c r="S1197" s="73"/>
      <c r="T1197" s="73"/>
      <c r="U1197" s="73"/>
      <c r="V1197" s="73"/>
      <c r="W1197" s="73"/>
      <c r="X1197" s="73"/>
    </row>
    <row r="1198">
      <c r="A1198" s="74"/>
      <c r="B1198" s="74"/>
      <c r="C1198" s="74"/>
      <c r="D1198" s="75"/>
      <c r="E1198" s="100"/>
      <c r="F1198" s="101"/>
      <c r="G1198" s="99"/>
      <c r="H1198" s="73"/>
      <c r="I1198" s="98"/>
      <c r="J1198" s="99"/>
      <c r="L1198" s="73"/>
      <c r="M1198" s="73"/>
      <c r="N1198" s="73"/>
      <c r="O1198" s="73"/>
      <c r="P1198" s="73"/>
      <c r="Q1198" s="73"/>
      <c r="R1198" s="73"/>
      <c r="S1198" s="73"/>
      <c r="T1198" s="73"/>
      <c r="U1198" s="73"/>
      <c r="V1198" s="73"/>
      <c r="W1198" s="73"/>
      <c r="X1198" s="73"/>
    </row>
    <row r="1199">
      <c r="A1199" s="74"/>
      <c r="B1199" s="74"/>
      <c r="C1199" s="74"/>
      <c r="D1199" s="75"/>
      <c r="E1199" s="100"/>
      <c r="F1199" s="101"/>
      <c r="G1199" s="99"/>
      <c r="H1199" s="73"/>
      <c r="I1199" s="98"/>
      <c r="J1199" s="99"/>
      <c r="L1199" s="73"/>
      <c r="M1199" s="73"/>
      <c r="N1199" s="73"/>
      <c r="O1199" s="73"/>
      <c r="P1199" s="73"/>
      <c r="Q1199" s="73"/>
      <c r="R1199" s="73"/>
      <c r="S1199" s="73"/>
      <c r="T1199" s="73"/>
      <c r="U1199" s="73"/>
      <c r="V1199" s="73"/>
      <c r="W1199" s="73"/>
      <c r="X1199" s="73"/>
    </row>
    <row r="1200">
      <c r="A1200" s="74"/>
      <c r="B1200" s="74"/>
      <c r="C1200" s="74"/>
      <c r="D1200" s="75"/>
      <c r="E1200" s="100"/>
      <c r="F1200" s="101"/>
      <c r="G1200" s="99"/>
      <c r="H1200" s="73"/>
      <c r="I1200" s="98"/>
      <c r="J1200" s="99"/>
      <c r="L1200" s="73"/>
      <c r="M1200" s="73"/>
      <c r="N1200" s="73"/>
      <c r="O1200" s="73"/>
      <c r="P1200" s="73"/>
      <c r="Q1200" s="73"/>
      <c r="R1200" s="73"/>
      <c r="S1200" s="73"/>
      <c r="T1200" s="73"/>
      <c r="U1200" s="73"/>
      <c r="V1200" s="73"/>
      <c r="W1200" s="73"/>
      <c r="X1200" s="73"/>
    </row>
    <row r="1201">
      <c r="A1201" s="74"/>
      <c r="B1201" s="74"/>
      <c r="C1201" s="74"/>
      <c r="D1201" s="75"/>
      <c r="E1201" s="100"/>
      <c r="F1201" s="101"/>
      <c r="G1201" s="99"/>
      <c r="H1201" s="73"/>
      <c r="I1201" s="98"/>
      <c r="J1201" s="99"/>
      <c r="L1201" s="73"/>
      <c r="M1201" s="73"/>
      <c r="N1201" s="73"/>
      <c r="O1201" s="73"/>
      <c r="P1201" s="73"/>
      <c r="Q1201" s="73"/>
      <c r="R1201" s="73"/>
      <c r="S1201" s="73"/>
      <c r="T1201" s="73"/>
      <c r="U1201" s="73"/>
      <c r="V1201" s="73"/>
      <c r="W1201" s="73"/>
      <c r="X1201" s="73"/>
    </row>
    <row r="1202">
      <c r="A1202" s="74"/>
      <c r="B1202" s="74"/>
      <c r="C1202" s="74"/>
      <c r="D1202" s="75"/>
      <c r="E1202" s="100"/>
      <c r="F1202" s="101"/>
      <c r="G1202" s="99"/>
      <c r="H1202" s="73"/>
      <c r="I1202" s="98"/>
      <c r="J1202" s="99"/>
      <c r="L1202" s="73"/>
      <c r="M1202" s="73"/>
      <c r="N1202" s="73"/>
      <c r="O1202" s="73"/>
      <c r="P1202" s="73"/>
      <c r="Q1202" s="73"/>
      <c r="R1202" s="73"/>
      <c r="S1202" s="73"/>
      <c r="T1202" s="73"/>
      <c r="U1202" s="73"/>
      <c r="V1202" s="73"/>
      <c r="W1202" s="73"/>
      <c r="X1202" s="73"/>
    </row>
    <row r="1203">
      <c r="A1203" s="74"/>
      <c r="B1203" s="74"/>
      <c r="C1203" s="74"/>
      <c r="D1203" s="75"/>
      <c r="E1203" s="100"/>
      <c r="F1203" s="101"/>
      <c r="G1203" s="99"/>
      <c r="H1203" s="73"/>
      <c r="I1203" s="98"/>
      <c r="J1203" s="99"/>
      <c r="L1203" s="73"/>
      <c r="M1203" s="73"/>
      <c r="N1203" s="73"/>
      <c r="O1203" s="73"/>
      <c r="P1203" s="73"/>
      <c r="Q1203" s="73"/>
      <c r="R1203" s="73"/>
      <c r="S1203" s="73"/>
      <c r="T1203" s="73"/>
      <c r="U1203" s="73"/>
      <c r="V1203" s="73"/>
      <c r="W1203" s="73"/>
      <c r="X1203" s="73"/>
    </row>
    <row r="1204">
      <c r="A1204" s="74"/>
      <c r="B1204" s="74"/>
      <c r="C1204" s="74"/>
      <c r="D1204" s="75"/>
      <c r="E1204" s="100"/>
      <c r="F1204" s="101"/>
      <c r="G1204" s="99"/>
      <c r="H1204" s="73"/>
      <c r="I1204" s="98"/>
      <c r="J1204" s="99"/>
      <c r="L1204" s="73"/>
      <c r="M1204" s="73"/>
      <c r="N1204" s="73"/>
      <c r="O1204" s="73"/>
      <c r="P1204" s="73"/>
      <c r="Q1204" s="73"/>
      <c r="R1204" s="73"/>
      <c r="S1204" s="73"/>
      <c r="T1204" s="73"/>
      <c r="U1204" s="73"/>
      <c r="V1204" s="73"/>
      <c r="W1204" s="73"/>
      <c r="X1204" s="73"/>
    </row>
    <row r="1205">
      <c r="A1205" s="74"/>
      <c r="B1205" s="74"/>
      <c r="C1205" s="74"/>
      <c r="D1205" s="75"/>
      <c r="E1205" s="100"/>
      <c r="F1205" s="101"/>
      <c r="G1205" s="99"/>
      <c r="H1205" s="73"/>
      <c r="I1205" s="98"/>
      <c r="J1205" s="99"/>
      <c r="L1205" s="73"/>
      <c r="M1205" s="73"/>
      <c r="N1205" s="73"/>
      <c r="O1205" s="73"/>
      <c r="P1205" s="73"/>
      <c r="Q1205" s="73"/>
      <c r="R1205" s="73"/>
      <c r="S1205" s="73"/>
      <c r="T1205" s="73"/>
      <c r="U1205" s="73"/>
      <c r="V1205" s="73"/>
      <c r="W1205" s="73"/>
      <c r="X1205" s="73"/>
    </row>
    <row r="1206">
      <c r="A1206" s="74"/>
      <c r="B1206" s="74"/>
      <c r="C1206" s="74"/>
      <c r="D1206" s="75"/>
      <c r="E1206" s="100"/>
      <c r="F1206" s="101"/>
      <c r="G1206" s="99"/>
      <c r="H1206" s="73"/>
      <c r="I1206" s="98"/>
      <c r="J1206" s="99"/>
      <c r="L1206" s="73"/>
      <c r="M1206" s="73"/>
      <c r="N1206" s="73"/>
      <c r="O1206" s="73"/>
      <c r="P1206" s="73"/>
      <c r="Q1206" s="73"/>
      <c r="R1206" s="73"/>
      <c r="S1206" s="73"/>
      <c r="T1206" s="73"/>
      <c r="U1206" s="73"/>
      <c r="V1206" s="73"/>
      <c r="W1206" s="73"/>
      <c r="X1206" s="73"/>
    </row>
    <row r="1207">
      <c r="A1207" s="74"/>
      <c r="B1207" s="74"/>
      <c r="C1207" s="74"/>
      <c r="D1207" s="75"/>
      <c r="E1207" s="100"/>
      <c r="F1207" s="101"/>
      <c r="G1207" s="99"/>
      <c r="H1207" s="73"/>
      <c r="I1207" s="98"/>
      <c r="J1207" s="99"/>
      <c r="L1207" s="73"/>
      <c r="M1207" s="73"/>
      <c r="N1207" s="73"/>
      <c r="O1207" s="73"/>
      <c r="P1207" s="73"/>
      <c r="Q1207" s="73"/>
      <c r="R1207" s="73"/>
      <c r="S1207" s="73"/>
      <c r="T1207" s="73"/>
      <c r="U1207" s="73"/>
      <c r="V1207" s="73"/>
      <c r="W1207" s="73"/>
      <c r="X1207" s="73"/>
    </row>
    <row r="1208">
      <c r="A1208" s="74"/>
      <c r="B1208" s="74"/>
      <c r="C1208" s="74"/>
      <c r="D1208" s="75"/>
      <c r="E1208" s="100"/>
      <c r="F1208" s="101"/>
      <c r="G1208" s="99"/>
      <c r="H1208" s="73"/>
      <c r="I1208" s="98"/>
      <c r="J1208" s="99"/>
      <c r="L1208" s="73"/>
      <c r="M1208" s="73"/>
      <c r="N1208" s="73"/>
      <c r="O1208" s="73"/>
      <c r="P1208" s="73"/>
      <c r="Q1208" s="73"/>
      <c r="R1208" s="73"/>
      <c r="S1208" s="73"/>
      <c r="T1208" s="73"/>
      <c r="U1208" s="73"/>
      <c r="V1208" s="73"/>
      <c r="W1208" s="73"/>
      <c r="X1208" s="73"/>
    </row>
    <row r="1209">
      <c r="A1209" s="74"/>
      <c r="B1209" s="74"/>
      <c r="C1209" s="74"/>
      <c r="D1209" s="75"/>
      <c r="E1209" s="100"/>
      <c r="F1209" s="101"/>
      <c r="G1209" s="99"/>
      <c r="H1209" s="73"/>
      <c r="I1209" s="98"/>
      <c r="J1209" s="99"/>
      <c r="L1209" s="73"/>
      <c r="M1209" s="73"/>
      <c r="N1209" s="73"/>
      <c r="O1209" s="73"/>
      <c r="P1209" s="73"/>
      <c r="Q1209" s="73"/>
      <c r="R1209" s="73"/>
      <c r="S1209" s="73"/>
      <c r="T1209" s="73"/>
      <c r="U1209" s="73"/>
      <c r="V1209" s="73"/>
      <c r="W1209" s="73"/>
      <c r="X1209" s="73"/>
    </row>
    <row r="1210">
      <c r="A1210" s="74"/>
      <c r="B1210" s="74"/>
      <c r="C1210" s="74"/>
      <c r="D1210" s="75"/>
      <c r="E1210" s="100"/>
      <c r="F1210" s="101"/>
      <c r="G1210" s="99"/>
      <c r="H1210" s="73"/>
      <c r="I1210" s="98"/>
      <c r="J1210" s="99"/>
      <c r="L1210" s="73"/>
      <c r="M1210" s="73"/>
      <c r="N1210" s="73"/>
      <c r="O1210" s="73"/>
      <c r="P1210" s="73"/>
      <c r="Q1210" s="73"/>
      <c r="R1210" s="73"/>
      <c r="S1210" s="73"/>
      <c r="T1210" s="73"/>
      <c r="U1210" s="73"/>
      <c r="V1210" s="73"/>
      <c r="W1210" s="73"/>
      <c r="X1210" s="73"/>
    </row>
    <row r="1211">
      <c r="A1211" s="74"/>
      <c r="B1211" s="74"/>
      <c r="C1211" s="74"/>
      <c r="D1211" s="75"/>
      <c r="E1211" s="100"/>
      <c r="F1211" s="101"/>
      <c r="G1211" s="99"/>
      <c r="H1211" s="73"/>
      <c r="I1211" s="98"/>
      <c r="J1211" s="99"/>
      <c r="L1211" s="73"/>
      <c r="M1211" s="73"/>
      <c r="N1211" s="73"/>
      <c r="O1211" s="73"/>
      <c r="P1211" s="73"/>
      <c r="Q1211" s="73"/>
      <c r="R1211" s="73"/>
      <c r="S1211" s="73"/>
      <c r="T1211" s="73"/>
      <c r="U1211" s="73"/>
      <c r="V1211" s="73"/>
      <c r="W1211" s="73"/>
      <c r="X1211" s="73"/>
    </row>
    <row r="1212">
      <c r="A1212" s="74"/>
      <c r="B1212" s="74"/>
      <c r="C1212" s="74"/>
      <c r="D1212" s="75"/>
      <c r="E1212" s="100"/>
      <c r="F1212" s="101"/>
      <c r="G1212" s="99"/>
      <c r="H1212" s="73"/>
      <c r="I1212" s="98"/>
      <c r="J1212" s="99"/>
      <c r="L1212" s="73"/>
      <c r="M1212" s="73"/>
      <c r="N1212" s="73"/>
      <c r="O1212" s="73"/>
      <c r="P1212" s="73"/>
      <c r="Q1212" s="73"/>
      <c r="R1212" s="73"/>
      <c r="S1212" s="73"/>
      <c r="T1212" s="73"/>
      <c r="U1212" s="73"/>
      <c r="V1212" s="73"/>
      <c r="W1212" s="73"/>
      <c r="X1212" s="73"/>
    </row>
    <row r="1213">
      <c r="A1213" s="74"/>
      <c r="B1213" s="74"/>
      <c r="C1213" s="74"/>
      <c r="D1213" s="75"/>
      <c r="E1213" s="100"/>
      <c r="F1213" s="101"/>
      <c r="G1213" s="99"/>
      <c r="H1213" s="73"/>
      <c r="I1213" s="98"/>
      <c r="J1213" s="99"/>
      <c r="L1213" s="73"/>
      <c r="M1213" s="73"/>
      <c r="N1213" s="73"/>
      <c r="O1213" s="73"/>
      <c r="P1213" s="73"/>
      <c r="Q1213" s="73"/>
      <c r="R1213" s="73"/>
      <c r="S1213" s="73"/>
      <c r="T1213" s="73"/>
      <c r="U1213" s="73"/>
      <c r="V1213" s="73"/>
      <c r="W1213" s="73"/>
      <c r="X1213" s="73"/>
    </row>
    <row r="1214">
      <c r="A1214" s="74"/>
      <c r="B1214" s="74"/>
      <c r="C1214" s="74"/>
      <c r="D1214" s="75"/>
      <c r="E1214" s="100"/>
      <c r="F1214" s="101"/>
      <c r="G1214" s="99"/>
      <c r="H1214" s="73"/>
      <c r="I1214" s="98"/>
      <c r="J1214" s="99"/>
      <c r="L1214" s="73"/>
      <c r="M1214" s="73"/>
      <c r="N1214" s="73"/>
      <c r="O1214" s="73"/>
      <c r="P1214" s="73"/>
      <c r="Q1214" s="73"/>
      <c r="R1214" s="73"/>
      <c r="S1214" s="73"/>
      <c r="T1214" s="73"/>
      <c r="U1214" s="73"/>
      <c r="V1214" s="73"/>
      <c r="W1214" s="73"/>
      <c r="X1214" s="73"/>
    </row>
    <row r="1215">
      <c r="A1215" s="74"/>
      <c r="B1215" s="74"/>
      <c r="C1215" s="74"/>
      <c r="D1215" s="75"/>
      <c r="E1215" s="100"/>
      <c r="F1215" s="101"/>
      <c r="G1215" s="99"/>
      <c r="H1215" s="73"/>
      <c r="I1215" s="98"/>
      <c r="J1215" s="99"/>
      <c r="L1215" s="73"/>
      <c r="M1215" s="73"/>
      <c r="N1215" s="73"/>
      <c r="O1215" s="73"/>
      <c r="P1215" s="73"/>
      <c r="Q1215" s="73"/>
      <c r="R1215" s="73"/>
      <c r="S1215" s="73"/>
      <c r="T1215" s="73"/>
      <c r="U1215" s="73"/>
      <c r="V1215" s="73"/>
      <c r="W1215" s="73"/>
      <c r="X1215" s="73"/>
    </row>
    <row r="1216">
      <c r="A1216" s="74"/>
      <c r="B1216" s="74"/>
      <c r="C1216" s="74"/>
      <c r="D1216" s="75"/>
      <c r="E1216" s="100"/>
      <c r="F1216" s="101"/>
      <c r="G1216" s="99"/>
      <c r="H1216" s="73"/>
      <c r="I1216" s="98"/>
      <c r="J1216" s="99"/>
      <c r="L1216" s="73"/>
      <c r="M1216" s="73"/>
      <c r="N1216" s="73"/>
      <c r="O1216" s="73"/>
      <c r="P1216" s="73"/>
      <c r="Q1216" s="73"/>
      <c r="R1216" s="73"/>
      <c r="S1216" s="73"/>
      <c r="T1216" s="73"/>
      <c r="U1216" s="73"/>
      <c r="V1216" s="73"/>
      <c r="W1216" s="73"/>
      <c r="X1216" s="73"/>
    </row>
    <row r="1217">
      <c r="A1217" s="74"/>
      <c r="B1217" s="74"/>
      <c r="C1217" s="74"/>
      <c r="D1217" s="75"/>
      <c r="E1217" s="100"/>
      <c r="F1217" s="101"/>
      <c r="G1217" s="99"/>
      <c r="H1217" s="73"/>
      <c r="I1217" s="98"/>
      <c r="J1217" s="99"/>
      <c r="L1217" s="73"/>
      <c r="M1217" s="73"/>
      <c r="N1217" s="73"/>
      <c r="O1217" s="73"/>
      <c r="P1217" s="73"/>
      <c r="Q1217" s="73"/>
      <c r="R1217" s="73"/>
      <c r="S1217" s="73"/>
      <c r="T1217" s="73"/>
      <c r="U1217" s="73"/>
      <c r="V1217" s="73"/>
      <c r="W1217" s="73"/>
      <c r="X1217" s="73"/>
    </row>
    <row r="1218">
      <c r="A1218" s="74"/>
      <c r="B1218" s="74"/>
      <c r="C1218" s="74"/>
      <c r="D1218" s="75"/>
      <c r="E1218" s="100"/>
      <c r="F1218" s="101"/>
      <c r="G1218" s="99"/>
      <c r="H1218" s="73"/>
      <c r="I1218" s="98"/>
      <c r="J1218" s="99"/>
      <c r="L1218" s="73"/>
      <c r="M1218" s="73"/>
      <c r="N1218" s="73"/>
      <c r="O1218" s="73"/>
      <c r="P1218" s="73"/>
      <c r="Q1218" s="73"/>
      <c r="R1218" s="73"/>
      <c r="S1218" s="73"/>
      <c r="T1218" s="73"/>
      <c r="U1218" s="73"/>
      <c r="V1218" s="73"/>
      <c r="W1218" s="73"/>
      <c r="X1218" s="73"/>
    </row>
    <row r="1219">
      <c r="A1219" s="74"/>
      <c r="B1219" s="74"/>
      <c r="C1219" s="74"/>
      <c r="D1219" s="75"/>
      <c r="E1219" s="100"/>
      <c r="F1219" s="101"/>
      <c r="G1219" s="99"/>
      <c r="H1219" s="73"/>
      <c r="I1219" s="98"/>
      <c r="J1219" s="99"/>
      <c r="L1219" s="73"/>
      <c r="M1219" s="73"/>
      <c r="N1219" s="73"/>
      <c r="O1219" s="73"/>
      <c r="P1219" s="73"/>
      <c r="Q1219" s="73"/>
      <c r="R1219" s="73"/>
      <c r="S1219" s="73"/>
      <c r="T1219" s="73"/>
      <c r="U1219" s="73"/>
      <c r="V1219" s="73"/>
      <c r="W1219" s="73"/>
      <c r="X1219" s="73"/>
    </row>
    <row r="1220">
      <c r="A1220" s="74"/>
      <c r="B1220" s="74"/>
      <c r="C1220" s="74"/>
      <c r="D1220" s="75"/>
      <c r="E1220" s="100"/>
      <c r="F1220" s="101"/>
      <c r="G1220" s="99"/>
      <c r="H1220" s="73"/>
      <c r="I1220" s="98"/>
      <c r="J1220" s="99"/>
      <c r="L1220" s="73"/>
      <c r="M1220" s="73"/>
      <c r="N1220" s="73"/>
      <c r="O1220" s="73"/>
      <c r="P1220" s="73"/>
      <c r="Q1220" s="73"/>
      <c r="R1220" s="73"/>
      <c r="S1220" s="73"/>
      <c r="T1220" s="73"/>
      <c r="U1220" s="73"/>
      <c r="V1220" s="73"/>
      <c r="W1220" s="73"/>
      <c r="X1220" s="73"/>
    </row>
    <row r="1221">
      <c r="A1221" s="74"/>
      <c r="B1221" s="74"/>
      <c r="C1221" s="74"/>
      <c r="D1221" s="75"/>
      <c r="E1221" s="100"/>
      <c r="F1221" s="101"/>
      <c r="G1221" s="99"/>
      <c r="H1221" s="73"/>
      <c r="I1221" s="98"/>
      <c r="J1221" s="99"/>
      <c r="L1221" s="73"/>
      <c r="M1221" s="73"/>
      <c r="N1221" s="73"/>
      <c r="O1221" s="73"/>
      <c r="P1221" s="73"/>
      <c r="Q1221" s="73"/>
      <c r="R1221" s="73"/>
      <c r="S1221" s="73"/>
      <c r="T1221" s="73"/>
      <c r="U1221" s="73"/>
      <c r="V1221" s="73"/>
      <c r="W1221" s="73"/>
      <c r="X1221" s="73"/>
    </row>
    <row r="1222">
      <c r="A1222" s="74"/>
      <c r="B1222" s="74"/>
      <c r="C1222" s="74"/>
      <c r="D1222" s="75"/>
      <c r="E1222" s="100"/>
      <c r="F1222" s="101"/>
      <c r="G1222" s="99"/>
      <c r="H1222" s="73"/>
      <c r="I1222" s="98"/>
      <c r="J1222" s="99"/>
      <c r="L1222" s="73"/>
      <c r="M1222" s="73"/>
      <c r="N1222" s="73"/>
      <c r="O1222" s="73"/>
      <c r="P1222" s="73"/>
      <c r="Q1222" s="73"/>
      <c r="R1222" s="73"/>
      <c r="S1222" s="73"/>
      <c r="T1222" s="73"/>
      <c r="U1222" s="73"/>
      <c r="V1222" s="73"/>
      <c r="W1222" s="73"/>
      <c r="X1222" s="73"/>
    </row>
    <row r="1223">
      <c r="A1223" s="74"/>
      <c r="B1223" s="74"/>
      <c r="C1223" s="74"/>
      <c r="D1223" s="75"/>
      <c r="E1223" s="100"/>
      <c r="F1223" s="101"/>
      <c r="G1223" s="99"/>
      <c r="H1223" s="73"/>
      <c r="I1223" s="98"/>
      <c r="J1223" s="99"/>
      <c r="L1223" s="73"/>
      <c r="M1223" s="73"/>
      <c r="N1223" s="73"/>
      <c r="O1223" s="73"/>
      <c r="P1223" s="73"/>
      <c r="Q1223" s="73"/>
      <c r="R1223" s="73"/>
      <c r="S1223" s="73"/>
      <c r="T1223" s="73"/>
      <c r="U1223" s="73"/>
      <c r="V1223" s="73"/>
      <c r="W1223" s="73"/>
      <c r="X1223" s="73"/>
    </row>
    <row r="1224">
      <c r="A1224" s="74"/>
      <c r="B1224" s="74"/>
      <c r="C1224" s="74"/>
      <c r="D1224" s="75"/>
      <c r="E1224" s="100"/>
      <c r="F1224" s="101"/>
      <c r="G1224" s="99"/>
      <c r="H1224" s="73"/>
      <c r="I1224" s="98"/>
      <c r="J1224" s="99"/>
      <c r="L1224" s="73"/>
      <c r="M1224" s="73"/>
      <c r="N1224" s="73"/>
      <c r="O1224" s="73"/>
      <c r="P1224" s="73"/>
      <c r="Q1224" s="73"/>
      <c r="R1224" s="73"/>
      <c r="S1224" s="73"/>
      <c r="T1224" s="73"/>
      <c r="U1224" s="73"/>
      <c r="V1224" s="73"/>
      <c r="W1224" s="73"/>
      <c r="X1224" s="73"/>
    </row>
    <row r="1225">
      <c r="A1225" s="74"/>
      <c r="B1225" s="74"/>
      <c r="C1225" s="74"/>
      <c r="D1225" s="75"/>
      <c r="E1225" s="100"/>
      <c r="F1225" s="101"/>
      <c r="G1225" s="99"/>
      <c r="H1225" s="73"/>
      <c r="I1225" s="98"/>
      <c r="J1225" s="99"/>
      <c r="L1225" s="73"/>
      <c r="M1225" s="73"/>
      <c r="N1225" s="73"/>
      <c r="O1225" s="73"/>
      <c r="P1225" s="73"/>
      <c r="Q1225" s="73"/>
      <c r="R1225" s="73"/>
      <c r="S1225" s="73"/>
      <c r="T1225" s="73"/>
      <c r="U1225" s="73"/>
      <c r="V1225" s="73"/>
      <c r="W1225" s="73"/>
      <c r="X1225" s="73"/>
    </row>
    <row r="1226">
      <c r="A1226" s="74"/>
      <c r="B1226" s="74"/>
      <c r="C1226" s="74"/>
      <c r="D1226" s="75"/>
      <c r="E1226" s="100"/>
      <c r="F1226" s="101"/>
      <c r="G1226" s="99"/>
      <c r="H1226" s="73"/>
      <c r="I1226" s="98"/>
      <c r="J1226" s="99"/>
      <c r="L1226" s="73"/>
      <c r="M1226" s="73"/>
      <c r="N1226" s="73"/>
      <c r="O1226" s="73"/>
      <c r="P1226" s="73"/>
      <c r="Q1226" s="73"/>
      <c r="R1226" s="73"/>
      <c r="S1226" s="73"/>
      <c r="T1226" s="73"/>
      <c r="U1226" s="73"/>
      <c r="V1226" s="73"/>
      <c r="W1226" s="73"/>
      <c r="X1226" s="73"/>
    </row>
    <row r="1227">
      <c r="A1227" s="74"/>
      <c r="B1227" s="74"/>
      <c r="C1227" s="74"/>
      <c r="D1227" s="75"/>
      <c r="E1227" s="100"/>
      <c r="F1227" s="101"/>
      <c r="G1227" s="99"/>
      <c r="H1227" s="73"/>
      <c r="I1227" s="98"/>
      <c r="J1227" s="99"/>
      <c r="L1227" s="73"/>
      <c r="M1227" s="73"/>
      <c r="N1227" s="73"/>
      <c r="O1227" s="73"/>
      <c r="P1227" s="73"/>
      <c r="Q1227" s="73"/>
      <c r="R1227" s="73"/>
      <c r="S1227" s="73"/>
      <c r="T1227" s="73"/>
      <c r="U1227" s="73"/>
      <c r="V1227" s="73"/>
      <c r="W1227" s="73"/>
      <c r="X1227" s="73"/>
    </row>
    <row r="1228">
      <c r="A1228" s="74"/>
      <c r="B1228" s="74"/>
      <c r="C1228" s="74"/>
      <c r="D1228" s="75"/>
      <c r="E1228" s="100"/>
      <c r="F1228" s="101"/>
      <c r="G1228" s="99"/>
      <c r="H1228" s="73"/>
      <c r="I1228" s="98"/>
      <c r="J1228" s="99"/>
      <c r="L1228" s="73"/>
      <c r="M1228" s="73"/>
      <c r="N1228" s="73"/>
      <c r="O1228" s="73"/>
      <c r="P1228" s="73"/>
      <c r="Q1228" s="73"/>
      <c r="R1228" s="73"/>
      <c r="S1228" s="73"/>
      <c r="T1228" s="73"/>
      <c r="U1228" s="73"/>
      <c r="V1228" s="73"/>
      <c r="W1228" s="73"/>
      <c r="X1228" s="73"/>
    </row>
    <row r="1229">
      <c r="A1229" s="74"/>
      <c r="B1229" s="74"/>
      <c r="C1229" s="74"/>
      <c r="D1229" s="75"/>
      <c r="E1229" s="100"/>
      <c r="F1229" s="101"/>
      <c r="G1229" s="99"/>
      <c r="H1229" s="73"/>
      <c r="I1229" s="98"/>
      <c r="J1229" s="99"/>
      <c r="L1229" s="73"/>
      <c r="M1229" s="73"/>
      <c r="N1229" s="73"/>
      <c r="O1229" s="73"/>
      <c r="P1229" s="73"/>
      <c r="Q1229" s="73"/>
      <c r="R1229" s="73"/>
      <c r="S1229" s="73"/>
      <c r="T1229" s="73"/>
      <c r="U1229" s="73"/>
      <c r="V1229" s="73"/>
      <c r="W1229" s="73"/>
      <c r="X1229" s="73"/>
    </row>
    <row r="1230">
      <c r="A1230" s="74"/>
      <c r="B1230" s="74"/>
      <c r="C1230" s="74"/>
      <c r="D1230" s="75"/>
      <c r="E1230" s="100"/>
      <c r="F1230" s="101"/>
      <c r="G1230" s="99"/>
      <c r="H1230" s="73"/>
      <c r="I1230" s="98"/>
      <c r="J1230" s="99"/>
      <c r="L1230" s="73"/>
      <c r="M1230" s="73"/>
      <c r="N1230" s="73"/>
      <c r="O1230" s="73"/>
      <c r="P1230" s="73"/>
      <c r="Q1230" s="73"/>
      <c r="R1230" s="73"/>
      <c r="S1230" s="73"/>
      <c r="T1230" s="73"/>
      <c r="U1230" s="73"/>
      <c r="V1230" s="73"/>
      <c r="W1230" s="73"/>
      <c r="X1230" s="73"/>
    </row>
    <row r="1231">
      <c r="A1231" s="74"/>
      <c r="B1231" s="74"/>
      <c r="C1231" s="74"/>
      <c r="D1231" s="75"/>
      <c r="E1231" s="100"/>
      <c r="F1231" s="101"/>
      <c r="G1231" s="99"/>
      <c r="H1231" s="73"/>
      <c r="I1231" s="98"/>
      <c r="J1231" s="99"/>
      <c r="L1231" s="73"/>
      <c r="M1231" s="73"/>
      <c r="N1231" s="73"/>
      <c r="O1231" s="73"/>
      <c r="P1231" s="73"/>
      <c r="Q1231" s="73"/>
      <c r="R1231" s="73"/>
      <c r="S1231" s="73"/>
      <c r="T1231" s="73"/>
      <c r="U1231" s="73"/>
      <c r="V1231" s="73"/>
      <c r="W1231" s="73"/>
      <c r="X1231" s="73"/>
    </row>
    <row r="1232">
      <c r="A1232" s="74"/>
      <c r="B1232" s="74"/>
      <c r="C1232" s="74"/>
      <c r="D1232" s="75"/>
      <c r="E1232" s="100"/>
      <c r="F1232" s="101"/>
      <c r="G1232" s="99"/>
      <c r="H1232" s="73"/>
      <c r="I1232" s="98"/>
      <c r="J1232" s="99"/>
      <c r="L1232" s="73"/>
      <c r="M1232" s="73"/>
      <c r="N1232" s="73"/>
      <c r="O1232" s="73"/>
      <c r="P1232" s="73"/>
      <c r="Q1232" s="73"/>
      <c r="R1232" s="73"/>
      <c r="S1232" s="73"/>
      <c r="T1232" s="73"/>
      <c r="U1232" s="73"/>
      <c r="V1232" s="73"/>
      <c r="W1232" s="73"/>
      <c r="X1232" s="73"/>
    </row>
    <row r="1233">
      <c r="A1233" s="74"/>
      <c r="B1233" s="74"/>
      <c r="C1233" s="74"/>
      <c r="D1233" s="75"/>
      <c r="E1233" s="100"/>
      <c r="F1233" s="101"/>
      <c r="G1233" s="99"/>
      <c r="H1233" s="73"/>
      <c r="I1233" s="98"/>
      <c r="J1233" s="99"/>
      <c r="L1233" s="73"/>
      <c r="M1233" s="73"/>
      <c r="N1233" s="73"/>
      <c r="O1233" s="73"/>
      <c r="P1233" s="73"/>
      <c r="Q1233" s="73"/>
      <c r="R1233" s="73"/>
      <c r="S1233" s="73"/>
      <c r="T1233" s="73"/>
      <c r="U1233" s="73"/>
      <c r="V1233" s="73"/>
      <c r="W1233" s="73"/>
      <c r="X1233" s="73"/>
    </row>
    <row r="1234">
      <c r="A1234" s="74"/>
      <c r="B1234" s="74"/>
      <c r="C1234" s="74"/>
      <c r="D1234" s="75"/>
      <c r="E1234" s="100"/>
      <c r="F1234" s="101"/>
      <c r="G1234" s="99"/>
      <c r="H1234" s="73"/>
      <c r="I1234" s="98"/>
      <c r="J1234" s="99"/>
      <c r="L1234" s="73"/>
      <c r="M1234" s="73"/>
      <c r="N1234" s="73"/>
      <c r="O1234" s="73"/>
      <c r="P1234" s="73"/>
      <c r="Q1234" s="73"/>
      <c r="R1234" s="73"/>
      <c r="S1234" s="73"/>
      <c r="T1234" s="73"/>
      <c r="U1234" s="73"/>
      <c r="V1234" s="73"/>
      <c r="W1234" s="73"/>
      <c r="X1234" s="73"/>
    </row>
    <row r="1235">
      <c r="A1235" s="74"/>
      <c r="B1235" s="74"/>
      <c r="C1235" s="74"/>
      <c r="D1235" s="75"/>
      <c r="E1235" s="100"/>
      <c r="F1235" s="101"/>
      <c r="G1235" s="99"/>
      <c r="H1235" s="73"/>
      <c r="I1235" s="98"/>
      <c r="J1235" s="99"/>
      <c r="L1235" s="73"/>
      <c r="M1235" s="73"/>
      <c r="N1235" s="73"/>
      <c r="O1235" s="73"/>
      <c r="P1235" s="73"/>
      <c r="Q1235" s="73"/>
      <c r="R1235" s="73"/>
      <c r="S1235" s="73"/>
      <c r="T1235" s="73"/>
      <c r="U1235" s="73"/>
      <c r="V1235" s="73"/>
      <c r="W1235" s="73"/>
      <c r="X1235" s="73"/>
    </row>
    <row r="1236">
      <c r="A1236" s="74"/>
      <c r="B1236" s="74"/>
      <c r="C1236" s="74"/>
      <c r="D1236" s="75"/>
      <c r="E1236" s="100"/>
      <c r="F1236" s="101"/>
      <c r="G1236" s="99"/>
      <c r="H1236" s="73"/>
      <c r="I1236" s="98"/>
      <c r="J1236" s="99"/>
      <c r="L1236" s="73"/>
      <c r="M1236" s="73"/>
      <c r="N1236" s="73"/>
      <c r="O1236" s="73"/>
      <c r="P1236" s="73"/>
      <c r="Q1236" s="73"/>
      <c r="R1236" s="73"/>
      <c r="S1236" s="73"/>
      <c r="T1236" s="73"/>
      <c r="U1236" s="73"/>
      <c r="V1236" s="73"/>
      <c r="W1236" s="73"/>
      <c r="X1236" s="73"/>
    </row>
    <row r="1237">
      <c r="A1237" s="74"/>
      <c r="B1237" s="74"/>
      <c r="C1237" s="74"/>
      <c r="D1237" s="75"/>
      <c r="E1237" s="100"/>
      <c r="F1237" s="101"/>
      <c r="G1237" s="99"/>
      <c r="H1237" s="73"/>
      <c r="I1237" s="98"/>
      <c r="J1237" s="99"/>
      <c r="L1237" s="73"/>
      <c r="M1237" s="73"/>
      <c r="N1237" s="73"/>
      <c r="O1237" s="73"/>
      <c r="P1237" s="73"/>
      <c r="Q1237" s="73"/>
      <c r="R1237" s="73"/>
      <c r="S1237" s="73"/>
      <c r="T1237" s="73"/>
      <c r="U1237" s="73"/>
      <c r="V1237" s="73"/>
      <c r="W1237" s="73"/>
      <c r="X1237" s="73"/>
    </row>
    <row r="1238">
      <c r="A1238" s="74"/>
      <c r="B1238" s="74"/>
      <c r="C1238" s="74"/>
      <c r="D1238" s="75"/>
      <c r="E1238" s="100"/>
      <c r="F1238" s="101"/>
      <c r="G1238" s="99"/>
      <c r="H1238" s="73"/>
      <c r="I1238" s="98"/>
      <c r="J1238" s="99"/>
      <c r="L1238" s="73"/>
      <c r="M1238" s="73"/>
      <c r="N1238" s="73"/>
      <c r="O1238" s="73"/>
      <c r="P1238" s="73"/>
      <c r="Q1238" s="73"/>
      <c r="R1238" s="73"/>
      <c r="S1238" s="73"/>
      <c r="T1238" s="73"/>
      <c r="U1238" s="73"/>
      <c r="V1238" s="73"/>
      <c r="W1238" s="73"/>
      <c r="X1238" s="73"/>
    </row>
    <row r="1239">
      <c r="A1239" s="74"/>
      <c r="B1239" s="74"/>
      <c r="C1239" s="74"/>
      <c r="D1239" s="75"/>
      <c r="E1239" s="100"/>
      <c r="F1239" s="101"/>
      <c r="G1239" s="99"/>
      <c r="H1239" s="73"/>
      <c r="I1239" s="98"/>
      <c r="J1239" s="99"/>
      <c r="L1239" s="73"/>
      <c r="M1239" s="73"/>
      <c r="N1239" s="73"/>
      <c r="O1239" s="73"/>
      <c r="P1239" s="73"/>
      <c r="Q1239" s="73"/>
      <c r="R1239" s="73"/>
      <c r="S1239" s="73"/>
      <c r="T1239" s="73"/>
      <c r="U1239" s="73"/>
      <c r="V1239" s="73"/>
      <c r="W1239" s="73"/>
      <c r="X1239" s="73"/>
    </row>
    <row r="1240">
      <c r="A1240" s="74"/>
      <c r="B1240" s="74"/>
      <c r="C1240" s="74"/>
      <c r="D1240" s="75"/>
      <c r="E1240" s="100"/>
      <c r="F1240" s="101"/>
      <c r="G1240" s="99"/>
      <c r="H1240" s="73"/>
      <c r="I1240" s="98"/>
      <c r="J1240" s="99"/>
      <c r="L1240" s="73"/>
      <c r="M1240" s="73"/>
      <c r="N1240" s="73"/>
      <c r="O1240" s="73"/>
      <c r="P1240" s="73"/>
      <c r="Q1240" s="73"/>
      <c r="R1240" s="73"/>
      <c r="S1240" s="73"/>
      <c r="T1240" s="73"/>
      <c r="U1240" s="73"/>
      <c r="V1240" s="73"/>
      <c r="W1240" s="73"/>
      <c r="X1240" s="73"/>
    </row>
    <row r="1241">
      <c r="A1241" s="74"/>
      <c r="B1241" s="74"/>
      <c r="C1241" s="74"/>
      <c r="D1241" s="75"/>
      <c r="E1241" s="100"/>
      <c r="F1241" s="101"/>
      <c r="G1241" s="99"/>
      <c r="H1241" s="73"/>
      <c r="I1241" s="98"/>
      <c r="J1241" s="99"/>
      <c r="L1241" s="73"/>
      <c r="M1241" s="73"/>
      <c r="N1241" s="73"/>
      <c r="O1241" s="73"/>
      <c r="P1241" s="73"/>
      <c r="Q1241" s="73"/>
      <c r="R1241" s="73"/>
      <c r="S1241" s="73"/>
      <c r="T1241" s="73"/>
      <c r="U1241" s="73"/>
      <c r="V1241" s="73"/>
      <c r="W1241" s="73"/>
      <c r="X1241" s="73"/>
    </row>
    <row r="1242">
      <c r="A1242" s="74"/>
      <c r="B1242" s="74"/>
      <c r="C1242" s="74"/>
      <c r="D1242" s="75"/>
      <c r="E1242" s="100"/>
      <c r="F1242" s="101"/>
      <c r="G1242" s="99"/>
      <c r="H1242" s="73"/>
      <c r="I1242" s="98"/>
      <c r="J1242" s="99"/>
      <c r="L1242" s="73"/>
      <c r="M1242" s="73"/>
      <c r="N1242" s="73"/>
      <c r="O1242" s="73"/>
      <c r="P1242" s="73"/>
      <c r="Q1242" s="73"/>
      <c r="R1242" s="73"/>
      <c r="S1242" s="73"/>
      <c r="T1242" s="73"/>
      <c r="U1242" s="73"/>
      <c r="V1242" s="73"/>
      <c r="W1242" s="73"/>
      <c r="X1242" s="73"/>
    </row>
    <row r="1243">
      <c r="A1243" s="74"/>
      <c r="B1243" s="74"/>
      <c r="C1243" s="74"/>
      <c r="D1243" s="75"/>
      <c r="E1243" s="100"/>
      <c r="F1243" s="101"/>
      <c r="G1243" s="99"/>
      <c r="H1243" s="73"/>
      <c r="I1243" s="98"/>
      <c r="J1243" s="99"/>
      <c r="L1243" s="73"/>
      <c r="M1243" s="73"/>
      <c r="N1243" s="73"/>
      <c r="O1243" s="73"/>
      <c r="P1243" s="73"/>
      <c r="Q1243" s="73"/>
      <c r="R1243" s="73"/>
      <c r="S1243" s="73"/>
      <c r="T1243" s="73"/>
      <c r="U1243" s="73"/>
      <c r="V1243" s="73"/>
      <c r="W1243" s="73"/>
      <c r="X1243" s="73"/>
    </row>
    <row r="1244">
      <c r="A1244" s="74"/>
      <c r="B1244" s="74"/>
      <c r="C1244" s="74"/>
      <c r="D1244" s="75"/>
      <c r="E1244" s="100"/>
      <c r="F1244" s="101"/>
      <c r="G1244" s="99"/>
      <c r="H1244" s="73"/>
      <c r="I1244" s="98"/>
      <c r="J1244" s="99"/>
      <c r="L1244" s="73"/>
      <c r="M1244" s="73"/>
      <c r="N1244" s="73"/>
      <c r="O1244" s="73"/>
      <c r="P1244" s="73"/>
      <c r="Q1244" s="73"/>
      <c r="R1244" s="73"/>
      <c r="S1244" s="73"/>
      <c r="T1244" s="73"/>
      <c r="U1244" s="73"/>
      <c r="V1244" s="73"/>
      <c r="W1244" s="73"/>
      <c r="X1244" s="73"/>
    </row>
    <row r="1245">
      <c r="A1245" s="74"/>
      <c r="B1245" s="74"/>
      <c r="C1245" s="74"/>
      <c r="D1245" s="75"/>
      <c r="E1245" s="100"/>
      <c r="F1245" s="101"/>
      <c r="G1245" s="99"/>
      <c r="H1245" s="73"/>
      <c r="I1245" s="98"/>
      <c r="J1245" s="99"/>
      <c r="L1245" s="73"/>
      <c r="M1245" s="73"/>
      <c r="N1245" s="73"/>
      <c r="O1245" s="73"/>
      <c r="P1245" s="73"/>
      <c r="Q1245" s="73"/>
      <c r="R1245" s="73"/>
      <c r="S1245" s="73"/>
      <c r="T1245" s="73"/>
      <c r="U1245" s="73"/>
      <c r="V1245" s="73"/>
      <c r="W1245" s="73"/>
      <c r="X1245" s="73"/>
    </row>
    <row r="1246">
      <c r="A1246" s="74"/>
      <c r="B1246" s="74"/>
      <c r="C1246" s="74"/>
      <c r="D1246" s="75"/>
      <c r="E1246" s="100"/>
      <c r="F1246" s="101"/>
      <c r="G1246" s="99"/>
      <c r="H1246" s="73"/>
      <c r="I1246" s="98"/>
      <c r="J1246" s="99"/>
      <c r="L1246" s="73"/>
      <c r="M1246" s="73"/>
      <c r="N1246" s="73"/>
      <c r="O1246" s="73"/>
      <c r="P1246" s="73"/>
      <c r="Q1246" s="73"/>
      <c r="R1246" s="73"/>
      <c r="S1246" s="73"/>
      <c r="T1246" s="73"/>
      <c r="U1246" s="73"/>
      <c r="V1246" s="73"/>
      <c r="W1246" s="73"/>
      <c r="X1246" s="73"/>
    </row>
    <row r="1247">
      <c r="A1247" s="74"/>
      <c r="B1247" s="74"/>
      <c r="C1247" s="74"/>
      <c r="D1247" s="75"/>
      <c r="E1247" s="100"/>
      <c r="F1247" s="101"/>
      <c r="G1247" s="99"/>
      <c r="H1247" s="73"/>
      <c r="I1247" s="98"/>
      <c r="J1247" s="99"/>
      <c r="L1247" s="73"/>
      <c r="M1247" s="73"/>
      <c r="N1247" s="73"/>
      <c r="O1247" s="73"/>
      <c r="P1247" s="73"/>
      <c r="Q1247" s="73"/>
      <c r="R1247" s="73"/>
      <c r="S1247" s="73"/>
      <c r="T1247" s="73"/>
      <c r="U1247" s="73"/>
      <c r="V1247" s="73"/>
      <c r="W1247" s="73"/>
      <c r="X1247" s="73"/>
    </row>
    <row r="1248">
      <c r="A1248" s="74"/>
      <c r="B1248" s="74"/>
      <c r="C1248" s="74"/>
      <c r="D1248" s="75"/>
      <c r="E1248" s="100"/>
      <c r="F1248" s="101"/>
      <c r="G1248" s="99"/>
      <c r="H1248" s="73"/>
      <c r="I1248" s="98"/>
      <c r="J1248" s="99"/>
      <c r="L1248" s="73"/>
      <c r="M1248" s="73"/>
      <c r="N1248" s="73"/>
      <c r="O1248" s="73"/>
      <c r="P1248" s="73"/>
      <c r="Q1248" s="73"/>
      <c r="R1248" s="73"/>
      <c r="S1248" s="73"/>
      <c r="T1248" s="73"/>
      <c r="U1248" s="73"/>
      <c r="V1248" s="73"/>
      <c r="W1248" s="73"/>
      <c r="X1248" s="73"/>
    </row>
    <row r="1249">
      <c r="A1249" s="74"/>
      <c r="B1249" s="74"/>
      <c r="C1249" s="74"/>
      <c r="D1249" s="75"/>
      <c r="E1249" s="100"/>
      <c r="F1249" s="101"/>
      <c r="G1249" s="99"/>
      <c r="H1249" s="73"/>
      <c r="I1249" s="98"/>
      <c r="J1249" s="99"/>
      <c r="L1249" s="73"/>
      <c r="M1249" s="73"/>
      <c r="N1249" s="73"/>
      <c r="O1249" s="73"/>
      <c r="P1249" s="73"/>
      <c r="Q1249" s="73"/>
      <c r="R1249" s="73"/>
      <c r="S1249" s="73"/>
      <c r="T1249" s="73"/>
      <c r="U1249" s="73"/>
      <c r="V1249" s="73"/>
      <c r="W1249" s="73"/>
      <c r="X1249" s="73"/>
    </row>
    <row r="1250">
      <c r="A1250" s="74"/>
      <c r="B1250" s="74"/>
      <c r="C1250" s="74"/>
      <c r="D1250" s="75"/>
      <c r="E1250" s="100"/>
      <c r="F1250" s="101"/>
      <c r="G1250" s="99"/>
      <c r="H1250" s="73"/>
      <c r="I1250" s="98"/>
      <c r="J1250" s="99"/>
      <c r="L1250" s="73"/>
      <c r="M1250" s="73"/>
      <c r="N1250" s="73"/>
      <c r="O1250" s="73"/>
      <c r="P1250" s="73"/>
      <c r="Q1250" s="73"/>
      <c r="R1250" s="73"/>
      <c r="S1250" s="73"/>
      <c r="T1250" s="73"/>
      <c r="U1250" s="73"/>
      <c r="V1250" s="73"/>
      <c r="W1250" s="73"/>
      <c r="X1250" s="73"/>
    </row>
    <row r="1251">
      <c r="A1251" s="74"/>
      <c r="B1251" s="74"/>
      <c r="C1251" s="74"/>
      <c r="D1251" s="75"/>
      <c r="E1251" s="100"/>
      <c r="F1251" s="101"/>
      <c r="G1251" s="99"/>
      <c r="H1251" s="73"/>
      <c r="I1251" s="98"/>
      <c r="J1251" s="99"/>
      <c r="L1251" s="73"/>
      <c r="M1251" s="73"/>
      <c r="N1251" s="73"/>
      <c r="O1251" s="73"/>
      <c r="P1251" s="73"/>
      <c r="Q1251" s="73"/>
      <c r="R1251" s="73"/>
      <c r="S1251" s="73"/>
      <c r="T1251" s="73"/>
      <c r="U1251" s="73"/>
      <c r="V1251" s="73"/>
      <c r="W1251" s="73"/>
      <c r="X1251" s="73"/>
    </row>
    <row r="1252">
      <c r="A1252" s="74"/>
      <c r="B1252" s="74"/>
      <c r="C1252" s="74"/>
      <c r="D1252" s="75"/>
      <c r="E1252" s="100"/>
      <c r="F1252" s="101"/>
      <c r="G1252" s="99"/>
      <c r="H1252" s="73"/>
      <c r="I1252" s="98"/>
      <c r="J1252" s="99"/>
      <c r="L1252" s="73"/>
      <c r="M1252" s="73"/>
      <c r="N1252" s="73"/>
      <c r="O1252" s="73"/>
      <c r="P1252" s="73"/>
      <c r="Q1252" s="73"/>
      <c r="R1252" s="73"/>
      <c r="S1252" s="73"/>
      <c r="T1252" s="73"/>
      <c r="U1252" s="73"/>
      <c r="V1252" s="73"/>
      <c r="W1252" s="73"/>
      <c r="X1252" s="73"/>
    </row>
    <row r="1253">
      <c r="A1253" s="74"/>
      <c r="B1253" s="74"/>
      <c r="C1253" s="74"/>
      <c r="D1253" s="75"/>
      <c r="E1253" s="100"/>
      <c r="F1253" s="101"/>
      <c r="G1253" s="99"/>
      <c r="H1253" s="73"/>
      <c r="I1253" s="98"/>
      <c r="J1253" s="99"/>
      <c r="L1253" s="73"/>
      <c r="M1253" s="73"/>
      <c r="N1253" s="73"/>
      <c r="O1253" s="73"/>
      <c r="P1253" s="73"/>
      <c r="Q1253" s="73"/>
      <c r="R1253" s="73"/>
      <c r="S1253" s="73"/>
      <c r="T1253" s="73"/>
      <c r="U1253" s="73"/>
      <c r="V1253" s="73"/>
      <c r="W1253" s="73"/>
      <c r="X1253" s="73"/>
    </row>
    <row r="1254">
      <c r="A1254" s="74"/>
      <c r="B1254" s="74"/>
      <c r="C1254" s="74"/>
      <c r="D1254" s="75"/>
      <c r="E1254" s="100"/>
      <c r="F1254" s="101"/>
      <c r="G1254" s="99"/>
      <c r="H1254" s="73"/>
      <c r="I1254" s="98"/>
      <c r="J1254" s="99"/>
      <c r="L1254" s="73"/>
      <c r="M1254" s="73"/>
      <c r="N1254" s="73"/>
      <c r="O1254" s="73"/>
      <c r="P1254" s="73"/>
      <c r="Q1254" s="73"/>
      <c r="R1254" s="73"/>
      <c r="S1254" s="73"/>
      <c r="T1254" s="73"/>
      <c r="U1254" s="73"/>
      <c r="V1254" s="73"/>
      <c r="W1254" s="73"/>
      <c r="X1254" s="73"/>
    </row>
    <row r="1255">
      <c r="A1255" s="74"/>
      <c r="B1255" s="74"/>
      <c r="C1255" s="74"/>
      <c r="D1255" s="75"/>
      <c r="E1255" s="100"/>
      <c r="F1255" s="101"/>
      <c r="G1255" s="99"/>
      <c r="H1255" s="73"/>
      <c r="I1255" s="98"/>
      <c r="J1255" s="99"/>
      <c r="L1255" s="73"/>
      <c r="M1255" s="73"/>
      <c r="N1255" s="73"/>
      <c r="O1255" s="73"/>
      <c r="P1255" s="73"/>
      <c r="Q1255" s="73"/>
      <c r="R1255" s="73"/>
      <c r="S1255" s="73"/>
      <c r="T1255" s="73"/>
      <c r="U1255" s="73"/>
      <c r="V1255" s="73"/>
      <c r="W1255" s="73"/>
      <c r="X1255" s="73"/>
    </row>
    <row r="1256">
      <c r="A1256" s="74"/>
      <c r="B1256" s="74"/>
      <c r="C1256" s="74"/>
      <c r="D1256" s="75"/>
      <c r="E1256" s="100"/>
      <c r="F1256" s="101"/>
      <c r="G1256" s="99"/>
      <c r="H1256" s="73"/>
      <c r="I1256" s="98"/>
      <c r="J1256" s="99"/>
      <c r="L1256" s="73"/>
      <c r="M1256" s="73"/>
      <c r="N1256" s="73"/>
      <c r="O1256" s="73"/>
      <c r="P1256" s="73"/>
      <c r="Q1256" s="73"/>
      <c r="R1256" s="73"/>
      <c r="S1256" s="73"/>
      <c r="T1256" s="73"/>
      <c r="U1256" s="73"/>
      <c r="V1256" s="73"/>
      <c r="W1256" s="73"/>
      <c r="X1256" s="73"/>
    </row>
    <row r="1257">
      <c r="A1257" s="74"/>
      <c r="B1257" s="74"/>
      <c r="C1257" s="74"/>
      <c r="D1257" s="75"/>
      <c r="E1257" s="100"/>
      <c r="F1257" s="101"/>
      <c r="G1257" s="99"/>
      <c r="H1257" s="73"/>
      <c r="I1257" s="98"/>
      <c r="J1257" s="99"/>
      <c r="L1257" s="73"/>
      <c r="M1257" s="73"/>
      <c r="N1257" s="73"/>
      <c r="O1257" s="73"/>
      <c r="P1257" s="73"/>
      <c r="Q1257" s="73"/>
      <c r="R1257" s="73"/>
      <c r="S1257" s="73"/>
      <c r="T1257" s="73"/>
      <c r="U1257" s="73"/>
      <c r="V1257" s="73"/>
      <c r="W1257" s="73"/>
      <c r="X1257" s="73"/>
    </row>
    <row r="1258">
      <c r="A1258" s="74"/>
      <c r="B1258" s="74"/>
      <c r="C1258" s="74"/>
      <c r="D1258" s="75"/>
      <c r="E1258" s="100"/>
      <c r="F1258" s="101"/>
      <c r="G1258" s="99"/>
      <c r="H1258" s="73"/>
      <c r="I1258" s="98"/>
      <c r="J1258" s="99"/>
      <c r="L1258" s="73"/>
      <c r="M1258" s="73"/>
      <c r="N1258" s="73"/>
      <c r="O1258" s="73"/>
      <c r="P1258" s="73"/>
      <c r="Q1258" s="73"/>
      <c r="R1258" s="73"/>
      <c r="S1258" s="73"/>
      <c r="T1258" s="73"/>
      <c r="U1258" s="73"/>
      <c r="V1258" s="73"/>
      <c r="W1258" s="73"/>
      <c r="X1258" s="73"/>
    </row>
    <row r="1259">
      <c r="A1259" s="74"/>
      <c r="B1259" s="74"/>
      <c r="C1259" s="74"/>
      <c r="D1259" s="75"/>
      <c r="E1259" s="100"/>
      <c r="F1259" s="101"/>
      <c r="G1259" s="99"/>
      <c r="H1259" s="73"/>
      <c r="I1259" s="98"/>
      <c r="J1259" s="99"/>
      <c r="L1259" s="73"/>
      <c r="M1259" s="73"/>
      <c r="N1259" s="73"/>
      <c r="O1259" s="73"/>
      <c r="P1259" s="73"/>
      <c r="Q1259" s="73"/>
      <c r="R1259" s="73"/>
      <c r="S1259" s="73"/>
      <c r="T1259" s="73"/>
      <c r="U1259" s="73"/>
      <c r="V1259" s="73"/>
      <c r="W1259" s="73"/>
      <c r="X1259" s="73"/>
    </row>
    <row r="1260">
      <c r="A1260" s="74"/>
      <c r="B1260" s="74"/>
      <c r="C1260" s="74"/>
      <c r="D1260" s="75"/>
      <c r="E1260" s="100"/>
      <c r="F1260" s="101"/>
      <c r="G1260" s="99"/>
      <c r="H1260" s="73"/>
      <c r="I1260" s="98"/>
      <c r="J1260" s="99"/>
      <c r="L1260" s="73"/>
      <c r="M1260" s="73"/>
      <c r="N1260" s="73"/>
      <c r="O1260" s="73"/>
      <c r="P1260" s="73"/>
      <c r="Q1260" s="73"/>
      <c r="R1260" s="73"/>
      <c r="S1260" s="73"/>
      <c r="T1260" s="73"/>
      <c r="U1260" s="73"/>
      <c r="V1260" s="73"/>
      <c r="W1260" s="73"/>
      <c r="X1260" s="73"/>
    </row>
    <row r="1261">
      <c r="A1261" s="74"/>
      <c r="B1261" s="74"/>
      <c r="C1261" s="74"/>
      <c r="D1261" s="75"/>
      <c r="E1261" s="100"/>
      <c r="F1261" s="101"/>
      <c r="G1261" s="99"/>
      <c r="H1261" s="73"/>
      <c r="I1261" s="98"/>
      <c r="J1261" s="99"/>
      <c r="L1261" s="73"/>
      <c r="M1261" s="73"/>
      <c r="N1261" s="73"/>
      <c r="O1261" s="73"/>
      <c r="P1261" s="73"/>
      <c r="Q1261" s="73"/>
      <c r="R1261" s="73"/>
      <c r="S1261" s="73"/>
      <c r="T1261" s="73"/>
      <c r="U1261" s="73"/>
      <c r="V1261" s="73"/>
      <c r="W1261" s="73"/>
      <c r="X1261" s="73"/>
    </row>
    <row r="1262">
      <c r="A1262" s="74"/>
      <c r="B1262" s="74"/>
      <c r="C1262" s="74"/>
      <c r="D1262" s="75"/>
      <c r="E1262" s="100"/>
      <c r="F1262" s="101"/>
      <c r="G1262" s="99"/>
      <c r="H1262" s="73"/>
      <c r="I1262" s="98"/>
      <c r="J1262" s="99"/>
      <c r="L1262" s="73"/>
      <c r="M1262" s="73"/>
      <c r="N1262" s="73"/>
      <c r="O1262" s="73"/>
      <c r="P1262" s="73"/>
      <c r="Q1262" s="73"/>
      <c r="R1262" s="73"/>
      <c r="S1262" s="73"/>
      <c r="T1262" s="73"/>
      <c r="U1262" s="73"/>
      <c r="V1262" s="73"/>
      <c r="W1262" s="73"/>
      <c r="X1262" s="73"/>
    </row>
    <row r="1263">
      <c r="A1263" s="74"/>
      <c r="B1263" s="74"/>
      <c r="C1263" s="74"/>
      <c r="D1263" s="75"/>
      <c r="E1263" s="100"/>
      <c r="F1263" s="101"/>
      <c r="G1263" s="99"/>
      <c r="H1263" s="73"/>
      <c r="I1263" s="98"/>
      <c r="J1263" s="99"/>
      <c r="L1263" s="73"/>
      <c r="M1263" s="73"/>
      <c r="N1263" s="73"/>
      <c r="O1263" s="73"/>
      <c r="P1263" s="73"/>
      <c r="Q1263" s="73"/>
      <c r="R1263" s="73"/>
      <c r="S1263" s="73"/>
      <c r="T1263" s="73"/>
      <c r="U1263" s="73"/>
      <c r="V1263" s="73"/>
      <c r="W1263" s="73"/>
      <c r="X1263" s="73"/>
    </row>
    <row r="1264">
      <c r="A1264" s="74"/>
      <c r="B1264" s="74"/>
      <c r="C1264" s="74"/>
      <c r="D1264" s="75"/>
      <c r="E1264" s="100"/>
      <c r="F1264" s="101"/>
      <c r="G1264" s="99"/>
      <c r="H1264" s="73"/>
      <c r="I1264" s="98"/>
      <c r="J1264" s="99"/>
      <c r="L1264" s="73"/>
      <c r="M1264" s="73"/>
      <c r="N1264" s="73"/>
      <c r="O1264" s="73"/>
      <c r="P1264" s="73"/>
      <c r="Q1264" s="73"/>
      <c r="R1264" s="73"/>
      <c r="S1264" s="73"/>
      <c r="T1264" s="73"/>
      <c r="U1264" s="73"/>
      <c r="V1264" s="73"/>
      <c r="W1264" s="73"/>
      <c r="X1264" s="73"/>
    </row>
    <row r="1265">
      <c r="A1265" s="74"/>
      <c r="B1265" s="74"/>
      <c r="C1265" s="74"/>
      <c r="D1265" s="75"/>
      <c r="E1265" s="100"/>
      <c r="F1265" s="101"/>
      <c r="G1265" s="99"/>
      <c r="H1265" s="73"/>
      <c r="I1265" s="98"/>
      <c r="J1265" s="99"/>
      <c r="L1265" s="73"/>
      <c r="M1265" s="73"/>
      <c r="N1265" s="73"/>
      <c r="O1265" s="73"/>
      <c r="P1265" s="73"/>
      <c r="Q1265" s="73"/>
      <c r="R1265" s="73"/>
      <c r="S1265" s="73"/>
      <c r="T1265" s="73"/>
      <c r="U1265" s="73"/>
      <c r="V1265" s="73"/>
      <c r="W1265" s="73"/>
      <c r="X1265" s="73"/>
    </row>
    <row r="1266">
      <c r="A1266" s="74"/>
      <c r="B1266" s="74"/>
      <c r="C1266" s="74"/>
      <c r="D1266" s="75"/>
      <c r="E1266" s="100"/>
      <c r="F1266" s="101"/>
      <c r="G1266" s="99"/>
      <c r="H1266" s="73"/>
      <c r="I1266" s="98"/>
      <c r="J1266" s="99"/>
      <c r="L1266" s="73"/>
      <c r="M1266" s="73"/>
      <c r="N1266" s="73"/>
      <c r="O1266" s="73"/>
      <c r="P1266" s="73"/>
      <c r="Q1266" s="73"/>
      <c r="R1266" s="73"/>
      <c r="S1266" s="73"/>
      <c r="T1266" s="73"/>
      <c r="U1266" s="73"/>
      <c r="V1266" s="73"/>
      <c r="W1266" s="73"/>
      <c r="X1266" s="73"/>
    </row>
    <row r="1267">
      <c r="A1267" s="74"/>
      <c r="B1267" s="74"/>
      <c r="C1267" s="74"/>
      <c r="D1267" s="75"/>
      <c r="E1267" s="100"/>
      <c r="F1267" s="101"/>
      <c r="G1267" s="99"/>
      <c r="H1267" s="73"/>
      <c r="I1267" s="98"/>
      <c r="J1267" s="99"/>
      <c r="L1267" s="73"/>
      <c r="M1267" s="73"/>
      <c r="N1267" s="73"/>
      <c r="O1267" s="73"/>
      <c r="P1267" s="73"/>
      <c r="Q1267" s="73"/>
      <c r="R1267" s="73"/>
      <c r="S1267" s="73"/>
      <c r="T1267" s="73"/>
      <c r="U1267" s="73"/>
      <c r="V1267" s="73"/>
      <c r="W1267" s="73"/>
      <c r="X1267" s="73"/>
    </row>
    <row r="1268">
      <c r="A1268" s="74"/>
      <c r="B1268" s="74"/>
      <c r="C1268" s="74"/>
      <c r="D1268" s="75"/>
      <c r="E1268" s="100"/>
      <c r="F1268" s="101"/>
      <c r="G1268" s="99"/>
      <c r="H1268" s="73"/>
      <c r="I1268" s="98"/>
      <c r="J1268" s="99"/>
      <c r="L1268" s="73"/>
      <c r="M1268" s="73"/>
      <c r="N1268" s="73"/>
      <c r="O1268" s="73"/>
      <c r="P1268" s="73"/>
      <c r="Q1268" s="73"/>
      <c r="R1268" s="73"/>
      <c r="S1268" s="73"/>
      <c r="T1268" s="73"/>
      <c r="U1268" s="73"/>
      <c r="V1268" s="73"/>
      <c r="W1268" s="73"/>
      <c r="X1268" s="73"/>
    </row>
    <row r="1269">
      <c r="A1269" s="74"/>
      <c r="B1269" s="74"/>
      <c r="C1269" s="74"/>
      <c r="D1269" s="75"/>
      <c r="E1269" s="100"/>
      <c r="F1269" s="101"/>
      <c r="G1269" s="99"/>
      <c r="H1269" s="73"/>
      <c r="I1269" s="98"/>
      <c r="J1269" s="99"/>
      <c r="L1269" s="73"/>
      <c r="M1269" s="73"/>
      <c r="N1269" s="73"/>
      <c r="O1269" s="73"/>
      <c r="P1269" s="73"/>
      <c r="Q1269" s="73"/>
      <c r="R1269" s="73"/>
      <c r="S1269" s="73"/>
      <c r="T1269" s="73"/>
      <c r="U1269" s="73"/>
      <c r="V1269" s="73"/>
      <c r="W1269" s="73"/>
      <c r="X1269" s="73"/>
    </row>
    <row r="1270">
      <c r="A1270" s="74"/>
      <c r="B1270" s="74"/>
      <c r="C1270" s="74"/>
      <c r="D1270" s="75"/>
      <c r="E1270" s="100"/>
      <c r="F1270" s="101"/>
      <c r="G1270" s="99"/>
      <c r="H1270" s="73"/>
      <c r="I1270" s="98"/>
      <c r="J1270" s="99"/>
      <c r="L1270" s="73"/>
      <c r="M1270" s="73"/>
      <c r="N1270" s="73"/>
      <c r="O1270" s="73"/>
      <c r="P1270" s="73"/>
      <c r="Q1270" s="73"/>
      <c r="R1270" s="73"/>
      <c r="S1270" s="73"/>
      <c r="T1270" s="73"/>
      <c r="U1270" s="73"/>
      <c r="V1270" s="73"/>
      <c r="W1270" s="73"/>
      <c r="X1270" s="73"/>
    </row>
    <row r="1271">
      <c r="A1271" s="74"/>
      <c r="B1271" s="74"/>
      <c r="C1271" s="74"/>
      <c r="D1271" s="75"/>
      <c r="E1271" s="100"/>
      <c r="F1271" s="101"/>
      <c r="G1271" s="99"/>
      <c r="H1271" s="73"/>
      <c r="I1271" s="98"/>
      <c r="J1271" s="99"/>
      <c r="L1271" s="73"/>
      <c r="M1271" s="73"/>
      <c r="N1271" s="73"/>
      <c r="O1271" s="73"/>
      <c r="P1271" s="73"/>
      <c r="Q1271" s="73"/>
      <c r="R1271" s="73"/>
      <c r="S1271" s="73"/>
      <c r="T1271" s="73"/>
      <c r="U1271" s="73"/>
      <c r="V1271" s="73"/>
      <c r="W1271" s="73"/>
      <c r="X1271" s="73"/>
    </row>
    <row r="1272">
      <c r="A1272" s="74"/>
      <c r="B1272" s="74"/>
      <c r="C1272" s="74"/>
      <c r="D1272" s="75"/>
      <c r="E1272" s="100"/>
      <c r="F1272" s="101"/>
      <c r="G1272" s="99"/>
      <c r="H1272" s="73"/>
      <c r="I1272" s="98"/>
      <c r="J1272" s="99"/>
      <c r="L1272" s="73"/>
      <c r="M1272" s="73"/>
      <c r="N1272" s="73"/>
      <c r="O1272" s="73"/>
      <c r="P1272" s="73"/>
      <c r="Q1272" s="73"/>
      <c r="R1272" s="73"/>
      <c r="S1272" s="73"/>
      <c r="T1272" s="73"/>
      <c r="U1272" s="73"/>
      <c r="V1272" s="73"/>
      <c r="W1272" s="73"/>
      <c r="X1272" s="73"/>
    </row>
    <row r="1273">
      <c r="A1273" s="74"/>
      <c r="B1273" s="74"/>
      <c r="C1273" s="74"/>
      <c r="D1273" s="75"/>
      <c r="E1273" s="100"/>
      <c r="F1273" s="101"/>
      <c r="G1273" s="99"/>
      <c r="H1273" s="73"/>
      <c r="I1273" s="98"/>
      <c r="J1273" s="99"/>
      <c r="L1273" s="73"/>
      <c r="M1273" s="73"/>
      <c r="N1273" s="73"/>
      <c r="O1273" s="73"/>
      <c r="P1273" s="73"/>
      <c r="Q1273" s="73"/>
      <c r="R1273" s="73"/>
      <c r="S1273" s="73"/>
      <c r="T1273" s="73"/>
      <c r="U1273" s="73"/>
      <c r="V1273" s="73"/>
      <c r="W1273" s="73"/>
      <c r="X1273" s="73"/>
    </row>
    <row r="1274">
      <c r="A1274" s="74"/>
      <c r="B1274" s="74"/>
      <c r="C1274" s="74"/>
      <c r="D1274" s="75"/>
      <c r="E1274" s="100"/>
      <c r="F1274" s="101"/>
      <c r="G1274" s="99"/>
      <c r="H1274" s="73"/>
      <c r="I1274" s="98"/>
      <c r="J1274" s="99"/>
      <c r="L1274" s="73"/>
      <c r="M1274" s="73"/>
      <c r="N1274" s="73"/>
      <c r="O1274" s="73"/>
      <c r="P1274" s="73"/>
      <c r="Q1274" s="73"/>
      <c r="R1274" s="73"/>
      <c r="S1274" s="73"/>
      <c r="T1274" s="73"/>
      <c r="U1274" s="73"/>
      <c r="V1274" s="73"/>
      <c r="W1274" s="73"/>
      <c r="X1274" s="73"/>
    </row>
    <row r="1275">
      <c r="A1275" s="74"/>
      <c r="B1275" s="74"/>
      <c r="C1275" s="74"/>
      <c r="D1275" s="75"/>
      <c r="E1275" s="100"/>
      <c r="F1275" s="101"/>
      <c r="G1275" s="99"/>
      <c r="H1275" s="73"/>
      <c r="I1275" s="98"/>
      <c r="J1275" s="99"/>
      <c r="L1275" s="73"/>
      <c r="M1275" s="73"/>
      <c r="N1275" s="73"/>
      <c r="O1275" s="73"/>
      <c r="P1275" s="73"/>
      <c r="Q1275" s="73"/>
      <c r="R1275" s="73"/>
      <c r="S1275" s="73"/>
      <c r="T1275" s="73"/>
      <c r="U1275" s="73"/>
      <c r="V1275" s="73"/>
      <c r="W1275" s="73"/>
      <c r="X1275" s="73"/>
    </row>
    <row r="1276">
      <c r="A1276" s="74"/>
      <c r="B1276" s="74"/>
      <c r="C1276" s="74"/>
      <c r="D1276" s="75"/>
      <c r="E1276" s="100"/>
      <c r="F1276" s="101"/>
      <c r="G1276" s="99"/>
      <c r="H1276" s="73"/>
      <c r="I1276" s="98"/>
      <c r="J1276" s="99"/>
      <c r="L1276" s="73"/>
      <c r="M1276" s="73"/>
      <c r="N1276" s="73"/>
      <c r="O1276" s="73"/>
      <c r="P1276" s="73"/>
      <c r="Q1276" s="73"/>
      <c r="R1276" s="73"/>
      <c r="S1276" s="73"/>
      <c r="T1276" s="73"/>
      <c r="U1276" s="73"/>
      <c r="V1276" s="73"/>
      <c r="W1276" s="73"/>
      <c r="X1276" s="73"/>
    </row>
    <row r="1277">
      <c r="A1277" s="74"/>
      <c r="B1277" s="74"/>
      <c r="C1277" s="74"/>
      <c r="D1277" s="75"/>
      <c r="E1277" s="100"/>
      <c r="F1277" s="101"/>
      <c r="G1277" s="99"/>
      <c r="H1277" s="73"/>
      <c r="I1277" s="98"/>
      <c r="J1277" s="99"/>
      <c r="L1277" s="73"/>
      <c r="M1277" s="73"/>
      <c r="N1277" s="73"/>
      <c r="O1277" s="73"/>
      <c r="P1277" s="73"/>
      <c r="Q1277" s="73"/>
      <c r="R1277" s="73"/>
      <c r="S1277" s="73"/>
      <c r="T1277" s="73"/>
      <c r="U1277" s="73"/>
      <c r="V1277" s="73"/>
      <c r="W1277" s="73"/>
      <c r="X1277" s="73"/>
    </row>
    <row r="1278">
      <c r="A1278" s="74"/>
      <c r="B1278" s="74"/>
      <c r="C1278" s="74"/>
      <c r="D1278" s="75"/>
      <c r="E1278" s="100"/>
      <c r="F1278" s="101"/>
      <c r="G1278" s="99"/>
      <c r="H1278" s="73"/>
      <c r="I1278" s="98"/>
      <c r="J1278" s="99"/>
      <c r="L1278" s="73"/>
      <c r="M1278" s="73"/>
      <c r="N1278" s="73"/>
      <c r="O1278" s="73"/>
      <c r="P1278" s="73"/>
      <c r="Q1278" s="73"/>
      <c r="R1278" s="73"/>
      <c r="S1278" s="73"/>
      <c r="T1278" s="73"/>
      <c r="U1278" s="73"/>
      <c r="V1278" s="73"/>
      <c r="W1278" s="73"/>
      <c r="X1278" s="73"/>
    </row>
    <row r="1279">
      <c r="A1279" s="74"/>
      <c r="B1279" s="74"/>
      <c r="C1279" s="74"/>
      <c r="D1279" s="75"/>
      <c r="E1279" s="100"/>
      <c r="F1279" s="101"/>
      <c r="G1279" s="99"/>
      <c r="H1279" s="73"/>
      <c r="I1279" s="98"/>
      <c r="J1279" s="99"/>
      <c r="L1279" s="73"/>
      <c r="M1279" s="73"/>
      <c r="N1279" s="73"/>
      <c r="O1279" s="73"/>
      <c r="P1279" s="73"/>
      <c r="Q1279" s="73"/>
      <c r="R1279" s="73"/>
      <c r="S1279" s="73"/>
      <c r="T1279" s="73"/>
      <c r="U1279" s="73"/>
      <c r="V1279" s="73"/>
      <c r="W1279" s="73"/>
      <c r="X1279" s="73"/>
    </row>
    <row r="1280">
      <c r="A1280" s="74"/>
      <c r="B1280" s="74"/>
      <c r="C1280" s="74"/>
      <c r="D1280" s="75"/>
      <c r="E1280" s="100"/>
      <c r="F1280" s="101"/>
      <c r="G1280" s="99"/>
      <c r="H1280" s="73"/>
      <c r="I1280" s="98"/>
      <c r="J1280" s="99"/>
      <c r="L1280" s="73"/>
      <c r="M1280" s="73"/>
      <c r="N1280" s="73"/>
      <c r="O1280" s="73"/>
      <c r="P1280" s="73"/>
      <c r="Q1280" s="73"/>
      <c r="R1280" s="73"/>
      <c r="S1280" s="73"/>
      <c r="T1280" s="73"/>
      <c r="U1280" s="73"/>
      <c r="V1280" s="73"/>
      <c r="W1280" s="73"/>
      <c r="X1280" s="73"/>
    </row>
    <row r="1281">
      <c r="A1281" s="74"/>
      <c r="B1281" s="74"/>
      <c r="C1281" s="74"/>
      <c r="D1281" s="75"/>
      <c r="E1281" s="100"/>
      <c r="F1281" s="101"/>
      <c r="G1281" s="99"/>
      <c r="H1281" s="73"/>
      <c r="I1281" s="98"/>
      <c r="J1281" s="99"/>
      <c r="L1281" s="73"/>
      <c r="M1281" s="73"/>
      <c r="N1281" s="73"/>
      <c r="O1281" s="73"/>
      <c r="P1281" s="73"/>
      <c r="Q1281" s="73"/>
      <c r="R1281" s="73"/>
      <c r="S1281" s="73"/>
      <c r="T1281" s="73"/>
      <c r="U1281" s="73"/>
      <c r="V1281" s="73"/>
      <c r="W1281" s="73"/>
      <c r="X1281" s="73"/>
    </row>
    <row r="1282">
      <c r="A1282" s="74"/>
      <c r="B1282" s="74"/>
      <c r="C1282" s="74"/>
      <c r="D1282" s="75"/>
      <c r="E1282" s="100"/>
      <c r="F1282" s="101"/>
      <c r="G1282" s="99"/>
      <c r="H1282" s="73"/>
      <c r="I1282" s="98"/>
      <c r="J1282" s="99"/>
      <c r="L1282" s="73"/>
      <c r="M1282" s="73"/>
      <c r="N1282" s="73"/>
      <c r="O1282" s="73"/>
      <c r="P1282" s="73"/>
      <c r="Q1282" s="73"/>
      <c r="R1282" s="73"/>
      <c r="S1282" s="73"/>
      <c r="T1282" s="73"/>
      <c r="U1282" s="73"/>
      <c r="V1282" s="73"/>
      <c r="W1282" s="73"/>
      <c r="X1282" s="73"/>
    </row>
    <row r="1283">
      <c r="A1283" s="74"/>
      <c r="B1283" s="74"/>
      <c r="C1283" s="74"/>
      <c r="D1283" s="75"/>
      <c r="E1283" s="100"/>
      <c r="F1283" s="101"/>
      <c r="G1283" s="99"/>
      <c r="H1283" s="73"/>
      <c r="I1283" s="98"/>
      <c r="J1283" s="99"/>
      <c r="L1283" s="73"/>
      <c r="M1283" s="73"/>
      <c r="N1283" s="73"/>
      <c r="O1283" s="73"/>
      <c r="P1283" s="73"/>
      <c r="Q1283" s="73"/>
      <c r="R1283" s="73"/>
      <c r="S1283" s="73"/>
      <c r="T1283" s="73"/>
      <c r="U1283" s="73"/>
      <c r="V1283" s="73"/>
      <c r="W1283" s="73"/>
      <c r="X1283" s="73"/>
    </row>
    <row r="1284">
      <c r="A1284" s="74"/>
      <c r="B1284" s="74"/>
      <c r="C1284" s="74"/>
      <c r="D1284" s="75"/>
      <c r="E1284" s="100"/>
      <c r="F1284" s="101"/>
      <c r="G1284" s="99"/>
      <c r="H1284" s="73"/>
      <c r="I1284" s="98"/>
      <c r="J1284" s="99"/>
      <c r="L1284" s="73"/>
      <c r="M1284" s="73"/>
      <c r="N1284" s="73"/>
      <c r="O1284" s="73"/>
      <c r="P1284" s="73"/>
      <c r="Q1284" s="73"/>
      <c r="R1284" s="73"/>
      <c r="S1284" s="73"/>
      <c r="T1284" s="73"/>
      <c r="U1284" s="73"/>
      <c r="V1284" s="73"/>
      <c r="W1284" s="73"/>
      <c r="X1284" s="73"/>
    </row>
    <row r="1285">
      <c r="A1285" s="74"/>
      <c r="B1285" s="74"/>
      <c r="C1285" s="74"/>
      <c r="D1285" s="75"/>
      <c r="E1285" s="100"/>
      <c r="F1285" s="101"/>
      <c r="G1285" s="99"/>
      <c r="H1285" s="73"/>
      <c r="I1285" s="98"/>
      <c r="J1285" s="99"/>
      <c r="L1285" s="73"/>
      <c r="M1285" s="73"/>
      <c r="N1285" s="73"/>
      <c r="O1285" s="73"/>
      <c r="P1285" s="73"/>
      <c r="Q1285" s="73"/>
      <c r="R1285" s="73"/>
      <c r="S1285" s="73"/>
      <c r="T1285" s="73"/>
      <c r="U1285" s="73"/>
      <c r="V1285" s="73"/>
      <c r="W1285" s="73"/>
      <c r="X1285" s="73"/>
    </row>
    <row r="1286">
      <c r="A1286" s="74"/>
      <c r="B1286" s="74"/>
      <c r="C1286" s="74"/>
      <c r="D1286" s="75"/>
      <c r="E1286" s="100"/>
      <c r="F1286" s="101"/>
      <c r="G1286" s="99"/>
      <c r="H1286" s="73"/>
      <c r="I1286" s="98"/>
      <c r="J1286" s="99"/>
      <c r="L1286" s="73"/>
      <c r="M1286" s="73"/>
      <c r="N1286" s="73"/>
      <c r="O1286" s="73"/>
      <c r="P1286" s="73"/>
      <c r="Q1286" s="73"/>
      <c r="R1286" s="73"/>
      <c r="S1286" s="73"/>
      <c r="T1286" s="73"/>
      <c r="U1286" s="73"/>
      <c r="V1286" s="73"/>
      <c r="W1286" s="73"/>
      <c r="X1286" s="73"/>
    </row>
    <row r="1287">
      <c r="A1287" s="74"/>
      <c r="B1287" s="74"/>
      <c r="C1287" s="74"/>
      <c r="D1287" s="75"/>
      <c r="E1287" s="100"/>
      <c r="F1287" s="101"/>
      <c r="G1287" s="99"/>
      <c r="H1287" s="73"/>
      <c r="I1287" s="98"/>
      <c r="J1287" s="99"/>
      <c r="L1287" s="73"/>
      <c r="M1287" s="73"/>
      <c r="N1287" s="73"/>
      <c r="O1287" s="73"/>
      <c r="P1287" s="73"/>
      <c r="Q1287" s="73"/>
      <c r="R1287" s="73"/>
      <c r="S1287" s="73"/>
      <c r="T1287" s="73"/>
      <c r="U1287" s="73"/>
      <c r="V1287" s="73"/>
      <c r="W1287" s="73"/>
      <c r="X1287" s="73"/>
    </row>
    <row r="1288">
      <c r="A1288" s="74"/>
      <c r="B1288" s="74"/>
      <c r="C1288" s="74"/>
      <c r="D1288" s="75"/>
      <c r="E1288" s="100"/>
      <c r="F1288" s="101"/>
      <c r="G1288" s="99"/>
      <c r="H1288" s="73"/>
      <c r="I1288" s="98"/>
      <c r="J1288" s="99"/>
      <c r="L1288" s="73"/>
      <c r="M1288" s="73"/>
      <c r="N1288" s="73"/>
      <c r="O1288" s="73"/>
      <c r="P1288" s="73"/>
      <c r="Q1288" s="73"/>
      <c r="R1288" s="73"/>
      <c r="S1288" s="73"/>
      <c r="T1288" s="73"/>
      <c r="U1288" s="73"/>
      <c r="V1288" s="73"/>
      <c r="W1288" s="73"/>
      <c r="X1288" s="73"/>
    </row>
    <row r="1289">
      <c r="A1289" s="74"/>
      <c r="B1289" s="74"/>
      <c r="C1289" s="74"/>
      <c r="D1289" s="75"/>
      <c r="E1289" s="100"/>
      <c r="F1289" s="101"/>
      <c r="G1289" s="99"/>
      <c r="H1289" s="73"/>
      <c r="I1289" s="98"/>
      <c r="J1289" s="99"/>
      <c r="L1289" s="73"/>
      <c r="M1289" s="73"/>
      <c r="N1289" s="73"/>
      <c r="O1289" s="73"/>
      <c r="P1289" s="73"/>
      <c r="Q1289" s="73"/>
      <c r="R1289" s="73"/>
      <c r="S1289" s="73"/>
      <c r="T1289" s="73"/>
      <c r="U1289" s="73"/>
      <c r="V1289" s="73"/>
      <c r="W1289" s="73"/>
      <c r="X1289" s="73"/>
    </row>
    <row r="1290">
      <c r="A1290" s="74"/>
      <c r="B1290" s="74"/>
      <c r="C1290" s="74"/>
      <c r="D1290" s="75"/>
      <c r="E1290" s="100"/>
      <c r="F1290" s="101"/>
      <c r="G1290" s="99"/>
      <c r="H1290" s="73"/>
      <c r="I1290" s="98"/>
      <c r="J1290" s="99"/>
      <c r="L1290" s="73"/>
      <c r="M1290" s="73"/>
      <c r="N1290" s="73"/>
      <c r="O1290" s="73"/>
      <c r="P1290" s="73"/>
      <c r="Q1290" s="73"/>
      <c r="R1290" s="73"/>
      <c r="S1290" s="73"/>
      <c r="T1290" s="73"/>
      <c r="U1290" s="73"/>
      <c r="V1290" s="73"/>
      <c r="W1290" s="73"/>
      <c r="X1290" s="73"/>
    </row>
    <row r="1291">
      <c r="A1291" s="74"/>
      <c r="B1291" s="74"/>
      <c r="C1291" s="74"/>
      <c r="D1291" s="75"/>
      <c r="E1291" s="100"/>
      <c r="F1291" s="101"/>
      <c r="G1291" s="99"/>
      <c r="H1291" s="73"/>
      <c r="I1291" s="98"/>
      <c r="J1291" s="99"/>
      <c r="L1291" s="73"/>
      <c r="M1291" s="73"/>
      <c r="N1291" s="73"/>
      <c r="O1291" s="73"/>
      <c r="P1291" s="73"/>
      <c r="Q1291" s="73"/>
      <c r="R1291" s="73"/>
      <c r="S1291" s="73"/>
      <c r="T1291" s="73"/>
      <c r="U1291" s="73"/>
      <c r="V1291" s="73"/>
      <c r="W1291" s="73"/>
      <c r="X1291" s="73"/>
    </row>
    <row r="1292">
      <c r="A1292" s="74"/>
      <c r="B1292" s="74"/>
      <c r="C1292" s="74"/>
      <c r="D1292" s="75"/>
      <c r="E1292" s="100"/>
      <c r="F1292" s="101"/>
      <c r="G1292" s="99"/>
      <c r="H1292" s="73"/>
      <c r="I1292" s="98"/>
      <c r="J1292" s="99"/>
      <c r="L1292" s="73"/>
      <c r="M1292" s="73"/>
      <c r="N1292" s="73"/>
      <c r="O1292" s="73"/>
      <c r="P1292" s="73"/>
      <c r="Q1292" s="73"/>
      <c r="R1292" s="73"/>
      <c r="S1292" s="73"/>
      <c r="T1292" s="73"/>
      <c r="U1292" s="73"/>
      <c r="V1292" s="73"/>
      <c r="W1292" s="73"/>
      <c r="X1292" s="73"/>
    </row>
    <row r="1293">
      <c r="A1293" s="74"/>
      <c r="B1293" s="74"/>
      <c r="C1293" s="74"/>
      <c r="D1293" s="75"/>
      <c r="E1293" s="100"/>
      <c r="F1293" s="101"/>
      <c r="G1293" s="99"/>
      <c r="H1293" s="73"/>
      <c r="I1293" s="98"/>
      <c r="J1293" s="99"/>
      <c r="L1293" s="73"/>
      <c r="M1293" s="73"/>
      <c r="N1293" s="73"/>
      <c r="O1293" s="73"/>
      <c r="P1293" s="73"/>
      <c r="Q1293" s="73"/>
      <c r="R1293" s="73"/>
      <c r="S1293" s="73"/>
      <c r="T1293" s="73"/>
      <c r="U1293" s="73"/>
      <c r="V1293" s="73"/>
      <c r="W1293" s="73"/>
      <c r="X1293" s="73"/>
    </row>
    <row r="1294">
      <c r="A1294" s="74"/>
      <c r="B1294" s="74"/>
      <c r="C1294" s="74"/>
      <c r="D1294" s="75"/>
      <c r="E1294" s="100"/>
      <c r="F1294" s="101"/>
      <c r="G1294" s="99"/>
      <c r="H1294" s="73"/>
      <c r="I1294" s="98"/>
      <c r="J1294" s="99"/>
      <c r="L1294" s="73"/>
      <c r="M1294" s="73"/>
      <c r="N1294" s="73"/>
      <c r="O1294" s="73"/>
      <c r="P1294" s="73"/>
      <c r="Q1294" s="73"/>
      <c r="R1294" s="73"/>
      <c r="S1294" s="73"/>
      <c r="T1294" s="73"/>
      <c r="U1294" s="73"/>
      <c r="V1294" s="73"/>
      <c r="W1294" s="73"/>
      <c r="X1294" s="73"/>
    </row>
    <row r="1295">
      <c r="A1295" s="74"/>
      <c r="B1295" s="74"/>
      <c r="C1295" s="74"/>
      <c r="D1295" s="75"/>
      <c r="E1295" s="100"/>
      <c r="F1295" s="101"/>
      <c r="G1295" s="99"/>
      <c r="H1295" s="73"/>
      <c r="I1295" s="98"/>
      <c r="J1295" s="99"/>
      <c r="L1295" s="73"/>
      <c r="M1295" s="73"/>
      <c r="N1295" s="73"/>
      <c r="O1295" s="73"/>
      <c r="P1295" s="73"/>
      <c r="Q1295" s="73"/>
      <c r="R1295" s="73"/>
      <c r="S1295" s="73"/>
      <c r="T1295" s="73"/>
      <c r="U1295" s="73"/>
      <c r="V1295" s="73"/>
      <c r="W1295" s="73"/>
      <c r="X1295" s="73"/>
    </row>
    <row r="1296">
      <c r="A1296" s="74"/>
      <c r="B1296" s="74"/>
      <c r="C1296" s="74"/>
      <c r="D1296" s="75"/>
      <c r="E1296" s="100"/>
      <c r="F1296" s="101"/>
      <c r="G1296" s="99"/>
      <c r="H1296" s="73"/>
      <c r="I1296" s="98"/>
      <c r="J1296" s="99"/>
      <c r="L1296" s="73"/>
      <c r="M1296" s="73"/>
      <c r="N1296" s="73"/>
      <c r="O1296" s="73"/>
      <c r="P1296" s="73"/>
      <c r="Q1296" s="73"/>
      <c r="R1296" s="73"/>
      <c r="S1296" s="73"/>
      <c r="T1296" s="73"/>
      <c r="U1296" s="73"/>
      <c r="V1296" s="73"/>
      <c r="W1296" s="73"/>
      <c r="X1296" s="73"/>
    </row>
    <row r="1297">
      <c r="A1297" s="74"/>
      <c r="B1297" s="74"/>
      <c r="C1297" s="74"/>
      <c r="D1297" s="75"/>
      <c r="E1297" s="100"/>
      <c r="F1297" s="101"/>
      <c r="G1297" s="99"/>
      <c r="H1297" s="73"/>
      <c r="I1297" s="98"/>
      <c r="J1297" s="99"/>
      <c r="L1297" s="73"/>
      <c r="M1297" s="73"/>
      <c r="N1297" s="73"/>
      <c r="O1297" s="73"/>
      <c r="P1297" s="73"/>
      <c r="Q1297" s="73"/>
      <c r="R1297" s="73"/>
      <c r="S1297" s="73"/>
      <c r="T1297" s="73"/>
      <c r="U1297" s="73"/>
      <c r="V1297" s="73"/>
      <c r="W1297" s="73"/>
      <c r="X1297" s="73"/>
    </row>
    <row r="1298">
      <c r="A1298" s="74"/>
      <c r="B1298" s="74"/>
      <c r="C1298" s="74"/>
      <c r="D1298" s="75"/>
      <c r="E1298" s="100"/>
      <c r="F1298" s="101"/>
      <c r="G1298" s="99"/>
      <c r="H1298" s="73"/>
      <c r="I1298" s="98"/>
      <c r="J1298" s="99"/>
      <c r="L1298" s="73"/>
      <c r="M1298" s="73"/>
      <c r="N1298" s="73"/>
      <c r="O1298" s="73"/>
      <c r="P1298" s="73"/>
      <c r="Q1298" s="73"/>
      <c r="R1298" s="73"/>
      <c r="S1298" s="73"/>
      <c r="T1298" s="73"/>
      <c r="U1298" s="73"/>
      <c r="V1298" s="73"/>
      <c r="W1298" s="73"/>
      <c r="X1298" s="73"/>
    </row>
    <row r="1299">
      <c r="A1299" s="74"/>
      <c r="B1299" s="74"/>
      <c r="C1299" s="74"/>
      <c r="D1299" s="75"/>
      <c r="E1299" s="100"/>
      <c r="F1299" s="101"/>
      <c r="G1299" s="99"/>
      <c r="H1299" s="73"/>
      <c r="I1299" s="98"/>
      <c r="J1299" s="99"/>
      <c r="L1299" s="73"/>
      <c r="M1299" s="73"/>
      <c r="N1299" s="73"/>
      <c r="O1299" s="73"/>
      <c r="P1299" s="73"/>
      <c r="Q1299" s="73"/>
      <c r="R1299" s="73"/>
      <c r="S1299" s="73"/>
      <c r="T1299" s="73"/>
      <c r="U1299" s="73"/>
      <c r="V1299" s="73"/>
      <c r="W1299" s="73"/>
      <c r="X1299" s="73"/>
    </row>
    <row r="1300">
      <c r="A1300" s="74"/>
      <c r="B1300" s="74"/>
      <c r="C1300" s="74"/>
      <c r="D1300" s="75"/>
      <c r="E1300" s="100"/>
      <c r="F1300" s="101"/>
      <c r="G1300" s="99"/>
      <c r="H1300" s="73"/>
      <c r="I1300" s="98"/>
      <c r="J1300" s="99"/>
      <c r="L1300" s="73"/>
      <c r="M1300" s="73"/>
      <c r="N1300" s="73"/>
      <c r="O1300" s="73"/>
      <c r="P1300" s="73"/>
      <c r="Q1300" s="73"/>
      <c r="R1300" s="73"/>
      <c r="S1300" s="73"/>
      <c r="T1300" s="73"/>
      <c r="U1300" s="73"/>
      <c r="V1300" s="73"/>
      <c r="W1300" s="73"/>
      <c r="X1300" s="73"/>
    </row>
    <row r="1301">
      <c r="A1301" s="74"/>
      <c r="B1301" s="74"/>
      <c r="C1301" s="74"/>
      <c r="D1301" s="75"/>
      <c r="E1301" s="100"/>
      <c r="F1301" s="101"/>
      <c r="G1301" s="99"/>
      <c r="H1301" s="73"/>
      <c r="I1301" s="98"/>
      <c r="J1301" s="99"/>
      <c r="L1301" s="73"/>
      <c r="M1301" s="73"/>
      <c r="N1301" s="73"/>
      <c r="O1301" s="73"/>
      <c r="P1301" s="73"/>
      <c r="Q1301" s="73"/>
      <c r="R1301" s="73"/>
      <c r="S1301" s="73"/>
      <c r="T1301" s="73"/>
      <c r="U1301" s="73"/>
      <c r="V1301" s="73"/>
      <c r="W1301" s="73"/>
      <c r="X1301" s="73"/>
    </row>
    <row r="1302">
      <c r="A1302" s="74"/>
      <c r="B1302" s="74"/>
      <c r="C1302" s="74"/>
      <c r="D1302" s="75"/>
      <c r="E1302" s="100"/>
      <c r="F1302" s="101"/>
      <c r="G1302" s="99"/>
      <c r="H1302" s="73"/>
      <c r="I1302" s="98"/>
      <c r="J1302" s="99"/>
      <c r="L1302" s="73"/>
      <c r="M1302" s="73"/>
      <c r="N1302" s="73"/>
      <c r="O1302" s="73"/>
      <c r="P1302" s="73"/>
      <c r="Q1302" s="73"/>
      <c r="R1302" s="73"/>
      <c r="S1302" s="73"/>
      <c r="T1302" s="73"/>
      <c r="U1302" s="73"/>
      <c r="V1302" s="73"/>
      <c r="W1302" s="73"/>
      <c r="X1302" s="73"/>
    </row>
    <row r="1303">
      <c r="A1303" s="74"/>
      <c r="B1303" s="74"/>
      <c r="C1303" s="74"/>
      <c r="D1303" s="75"/>
      <c r="E1303" s="100"/>
      <c r="F1303" s="101"/>
      <c r="G1303" s="99"/>
      <c r="H1303" s="73"/>
      <c r="I1303" s="98"/>
      <c r="J1303" s="99"/>
      <c r="L1303" s="73"/>
      <c r="M1303" s="73"/>
      <c r="N1303" s="73"/>
      <c r="O1303" s="73"/>
      <c r="P1303" s="73"/>
      <c r="Q1303" s="73"/>
      <c r="R1303" s="73"/>
      <c r="S1303" s="73"/>
      <c r="T1303" s="73"/>
      <c r="U1303" s="73"/>
      <c r="V1303" s="73"/>
      <c r="W1303" s="73"/>
      <c r="X1303" s="73"/>
    </row>
    <row r="1304">
      <c r="A1304" s="74"/>
      <c r="B1304" s="74"/>
      <c r="C1304" s="74"/>
      <c r="D1304" s="75"/>
      <c r="E1304" s="100"/>
      <c r="F1304" s="101"/>
      <c r="G1304" s="99"/>
      <c r="H1304" s="73"/>
      <c r="I1304" s="98"/>
      <c r="J1304" s="99"/>
      <c r="L1304" s="73"/>
      <c r="M1304" s="73"/>
      <c r="N1304" s="73"/>
      <c r="O1304" s="73"/>
      <c r="P1304" s="73"/>
      <c r="Q1304" s="73"/>
      <c r="R1304" s="73"/>
      <c r="S1304" s="73"/>
      <c r="T1304" s="73"/>
      <c r="U1304" s="73"/>
      <c r="V1304" s="73"/>
      <c r="W1304" s="73"/>
      <c r="X1304" s="73"/>
    </row>
    <row r="1305">
      <c r="A1305" s="74"/>
      <c r="B1305" s="74"/>
      <c r="C1305" s="74"/>
      <c r="D1305" s="75"/>
      <c r="E1305" s="100"/>
      <c r="F1305" s="101"/>
      <c r="G1305" s="99"/>
      <c r="H1305" s="73"/>
      <c r="I1305" s="98"/>
      <c r="J1305" s="99"/>
      <c r="L1305" s="73"/>
      <c r="M1305" s="73"/>
      <c r="N1305" s="73"/>
      <c r="O1305" s="73"/>
      <c r="P1305" s="73"/>
      <c r="Q1305" s="73"/>
      <c r="R1305" s="73"/>
      <c r="S1305" s="73"/>
      <c r="T1305" s="73"/>
      <c r="U1305" s="73"/>
      <c r="V1305" s="73"/>
      <c r="W1305" s="73"/>
      <c r="X1305" s="73"/>
    </row>
    <row r="1306">
      <c r="A1306" s="74"/>
      <c r="B1306" s="74"/>
      <c r="C1306" s="74"/>
      <c r="D1306" s="75"/>
      <c r="E1306" s="100"/>
      <c r="F1306" s="101"/>
      <c r="G1306" s="99"/>
      <c r="H1306" s="73"/>
      <c r="I1306" s="98"/>
      <c r="J1306" s="99"/>
      <c r="L1306" s="73"/>
      <c r="M1306" s="73"/>
      <c r="N1306" s="73"/>
      <c r="O1306" s="73"/>
      <c r="P1306" s="73"/>
      <c r="Q1306" s="73"/>
      <c r="R1306" s="73"/>
      <c r="S1306" s="73"/>
      <c r="T1306" s="73"/>
      <c r="U1306" s="73"/>
      <c r="V1306" s="73"/>
      <c r="W1306" s="73"/>
      <c r="X1306" s="73"/>
    </row>
    <row r="1307">
      <c r="A1307" s="74"/>
      <c r="B1307" s="74"/>
      <c r="C1307" s="74"/>
      <c r="D1307" s="75"/>
      <c r="E1307" s="100"/>
      <c r="F1307" s="101"/>
      <c r="G1307" s="99"/>
      <c r="H1307" s="73"/>
      <c r="I1307" s="98"/>
      <c r="J1307" s="99"/>
      <c r="L1307" s="73"/>
      <c r="M1307" s="73"/>
      <c r="N1307" s="73"/>
      <c r="O1307" s="73"/>
      <c r="P1307" s="73"/>
      <c r="Q1307" s="73"/>
      <c r="R1307" s="73"/>
      <c r="S1307" s="73"/>
      <c r="T1307" s="73"/>
      <c r="U1307" s="73"/>
      <c r="V1307" s="73"/>
      <c r="W1307" s="73"/>
      <c r="X1307" s="73"/>
    </row>
    <row r="1308">
      <c r="A1308" s="74"/>
      <c r="B1308" s="74"/>
      <c r="C1308" s="74"/>
      <c r="D1308" s="75"/>
      <c r="E1308" s="100"/>
      <c r="F1308" s="101"/>
      <c r="G1308" s="99"/>
      <c r="H1308" s="73"/>
      <c r="I1308" s="98"/>
      <c r="J1308" s="99"/>
      <c r="L1308" s="73"/>
      <c r="M1308" s="73"/>
      <c r="N1308" s="73"/>
      <c r="O1308" s="73"/>
      <c r="P1308" s="73"/>
      <c r="Q1308" s="73"/>
      <c r="R1308" s="73"/>
      <c r="S1308" s="73"/>
      <c r="T1308" s="73"/>
      <c r="U1308" s="73"/>
      <c r="V1308" s="73"/>
      <c r="W1308" s="73"/>
      <c r="X1308" s="73"/>
    </row>
    <row r="1309">
      <c r="A1309" s="74"/>
      <c r="B1309" s="74"/>
      <c r="C1309" s="74"/>
      <c r="D1309" s="75"/>
      <c r="E1309" s="100"/>
      <c r="F1309" s="101"/>
      <c r="G1309" s="99"/>
      <c r="H1309" s="73"/>
      <c r="I1309" s="98"/>
      <c r="J1309" s="99"/>
      <c r="L1309" s="73"/>
      <c r="M1309" s="73"/>
      <c r="N1309" s="73"/>
      <c r="O1309" s="73"/>
      <c r="P1309" s="73"/>
      <c r="Q1309" s="73"/>
      <c r="R1309" s="73"/>
      <c r="S1309" s="73"/>
      <c r="T1309" s="73"/>
      <c r="U1309" s="73"/>
      <c r="V1309" s="73"/>
      <c r="W1309" s="73"/>
      <c r="X1309" s="73"/>
    </row>
    <row r="1310">
      <c r="A1310" s="74"/>
      <c r="B1310" s="74"/>
      <c r="C1310" s="74"/>
      <c r="D1310" s="75"/>
      <c r="E1310" s="100"/>
      <c r="F1310" s="101"/>
      <c r="G1310" s="99"/>
      <c r="H1310" s="73"/>
      <c r="I1310" s="98"/>
      <c r="J1310" s="99"/>
      <c r="L1310" s="73"/>
      <c r="M1310" s="73"/>
      <c r="N1310" s="73"/>
      <c r="O1310" s="73"/>
      <c r="P1310" s="73"/>
      <c r="Q1310" s="73"/>
      <c r="R1310" s="73"/>
      <c r="S1310" s="73"/>
      <c r="T1310" s="73"/>
      <c r="U1310" s="73"/>
      <c r="V1310" s="73"/>
      <c r="W1310" s="73"/>
      <c r="X1310" s="73"/>
    </row>
    <row r="1311">
      <c r="A1311" s="74"/>
      <c r="B1311" s="74"/>
      <c r="C1311" s="74"/>
      <c r="D1311" s="75"/>
      <c r="E1311" s="100"/>
      <c r="F1311" s="101"/>
      <c r="G1311" s="99"/>
      <c r="H1311" s="73"/>
      <c r="I1311" s="98"/>
      <c r="J1311" s="99"/>
      <c r="L1311" s="73"/>
      <c r="M1311" s="73"/>
      <c r="N1311" s="73"/>
      <c r="O1311" s="73"/>
      <c r="P1311" s="73"/>
      <c r="Q1311" s="73"/>
      <c r="R1311" s="73"/>
      <c r="S1311" s="73"/>
      <c r="T1311" s="73"/>
      <c r="U1311" s="73"/>
      <c r="V1311" s="73"/>
      <c r="W1311" s="73"/>
      <c r="X1311" s="73"/>
    </row>
    <row r="1312">
      <c r="A1312" s="74"/>
      <c r="B1312" s="74"/>
      <c r="C1312" s="74"/>
      <c r="D1312" s="75"/>
      <c r="E1312" s="100"/>
      <c r="F1312" s="101"/>
      <c r="G1312" s="99"/>
      <c r="H1312" s="73"/>
      <c r="I1312" s="98"/>
      <c r="J1312" s="99"/>
      <c r="L1312" s="73"/>
      <c r="M1312" s="73"/>
      <c r="N1312" s="73"/>
      <c r="O1312" s="73"/>
      <c r="P1312" s="73"/>
      <c r="Q1312" s="73"/>
      <c r="R1312" s="73"/>
      <c r="S1312" s="73"/>
      <c r="T1312" s="73"/>
      <c r="U1312" s="73"/>
      <c r="V1312" s="73"/>
      <c r="W1312" s="73"/>
      <c r="X1312" s="73"/>
    </row>
    <row r="1313">
      <c r="A1313" s="74"/>
      <c r="B1313" s="74"/>
      <c r="C1313" s="74"/>
      <c r="D1313" s="75"/>
      <c r="E1313" s="100"/>
      <c r="F1313" s="101"/>
      <c r="G1313" s="99"/>
      <c r="H1313" s="73"/>
      <c r="I1313" s="98"/>
      <c r="J1313" s="99"/>
      <c r="L1313" s="73"/>
      <c r="M1313" s="73"/>
      <c r="N1313" s="73"/>
      <c r="O1313" s="73"/>
      <c r="P1313" s="73"/>
      <c r="Q1313" s="73"/>
      <c r="R1313" s="73"/>
      <c r="S1313" s="73"/>
      <c r="T1313" s="73"/>
      <c r="U1313" s="73"/>
      <c r="V1313" s="73"/>
      <c r="W1313" s="73"/>
      <c r="X1313" s="73"/>
    </row>
    <row r="1314">
      <c r="A1314" s="74"/>
      <c r="B1314" s="74"/>
      <c r="C1314" s="74"/>
      <c r="D1314" s="75"/>
      <c r="E1314" s="100"/>
      <c r="F1314" s="101"/>
      <c r="G1314" s="99"/>
      <c r="H1314" s="73"/>
      <c r="I1314" s="98"/>
      <c r="J1314" s="99"/>
      <c r="L1314" s="73"/>
      <c r="M1314" s="73"/>
      <c r="N1314" s="73"/>
      <c r="O1314" s="73"/>
      <c r="P1314" s="73"/>
      <c r="Q1314" s="73"/>
      <c r="R1314" s="73"/>
      <c r="S1314" s="73"/>
      <c r="T1314" s="73"/>
      <c r="U1314" s="73"/>
      <c r="V1314" s="73"/>
      <c r="W1314" s="73"/>
      <c r="X1314" s="73"/>
    </row>
    <row r="1315">
      <c r="A1315" s="74"/>
      <c r="B1315" s="74"/>
      <c r="C1315" s="74"/>
      <c r="D1315" s="75"/>
      <c r="E1315" s="100"/>
      <c r="F1315" s="101"/>
      <c r="G1315" s="99"/>
      <c r="H1315" s="73"/>
      <c r="I1315" s="98"/>
      <c r="J1315" s="99"/>
      <c r="L1315" s="73"/>
      <c r="M1315" s="73"/>
      <c r="N1315" s="73"/>
      <c r="O1315" s="73"/>
      <c r="P1315" s="73"/>
      <c r="Q1315" s="73"/>
      <c r="R1315" s="73"/>
      <c r="S1315" s="73"/>
      <c r="T1315" s="73"/>
      <c r="U1315" s="73"/>
      <c r="V1315" s="73"/>
      <c r="W1315" s="73"/>
      <c r="X1315" s="73"/>
    </row>
    <row r="1316">
      <c r="A1316" s="74"/>
      <c r="B1316" s="74"/>
      <c r="C1316" s="74"/>
      <c r="D1316" s="75"/>
      <c r="E1316" s="100"/>
      <c r="F1316" s="101"/>
      <c r="G1316" s="99"/>
      <c r="H1316" s="73"/>
      <c r="I1316" s="98"/>
      <c r="J1316" s="99"/>
      <c r="L1316" s="73"/>
      <c r="M1316" s="73"/>
      <c r="N1316" s="73"/>
      <c r="O1316" s="73"/>
      <c r="P1316" s="73"/>
      <c r="Q1316" s="73"/>
      <c r="R1316" s="73"/>
      <c r="S1316" s="73"/>
      <c r="T1316" s="73"/>
      <c r="U1316" s="73"/>
      <c r="V1316" s="73"/>
      <c r="W1316" s="73"/>
      <c r="X1316" s="73"/>
    </row>
    <row r="1317">
      <c r="A1317" s="74"/>
      <c r="B1317" s="74"/>
      <c r="C1317" s="74"/>
      <c r="D1317" s="75"/>
      <c r="E1317" s="100"/>
      <c r="F1317" s="101"/>
      <c r="G1317" s="99"/>
      <c r="H1317" s="73"/>
      <c r="I1317" s="98"/>
      <c r="J1317" s="99"/>
      <c r="L1317" s="73"/>
      <c r="M1317" s="73"/>
      <c r="N1317" s="73"/>
      <c r="O1317" s="73"/>
      <c r="P1317" s="73"/>
      <c r="Q1317" s="73"/>
      <c r="R1317" s="73"/>
      <c r="S1317" s="73"/>
      <c r="T1317" s="73"/>
      <c r="U1317" s="73"/>
      <c r="V1317" s="73"/>
      <c r="W1317" s="73"/>
      <c r="X1317" s="73"/>
    </row>
    <row r="1318">
      <c r="A1318" s="74"/>
      <c r="B1318" s="74"/>
      <c r="C1318" s="74"/>
      <c r="D1318" s="75"/>
      <c r="E1318" s="100"/>
      <c r="F1318" s="101"/>
      <c r="G1318" s="99"/>
      <c r="H1318" s="73"/>
      <c r="I1318" s="98"/>
      <c r="J1318" s="99"/>
      <c r="L1318" s="73"/>
      <c r="M1318" s="73"/>
      <c r="N1318" s="73"/>
      <c r="O1318" s="73"/>
      <c r="P1318" s="73"/>
      <c r="Q1318" s="73"/>
      <c r="R1318" s="73"/>
      <c r="S1318" s="73"/>
      <c r="T1318" s="73"/>
      <c r="U1318" s="73"/>
      <c r="V1318" s="73"/>
      <c r="W1318" s="73"/>
      <c r="X1318" s="73"/>
    </row>
    <row r="1319">
      <c r="A1319" s="74"/>
      <c r="B1319" s="74"/>
      <c r="C1319" s="74"/>
      <c r="D1319" s="75"/>
      <c r="E1319" s="100"/>
      <c r="F1319" s="101"/>
      <c r="G1319" s="99"/>
      <c r="H1319" s="73"/>
      <c r="I1319" s="98"/>
      <c r="J1319" s="99"/>
      <c r="L1319" s="73"/>
      <c r="M1319" s="73"/>
      <c r="N1319" s="73"/>
      <c r="O1319" s="73"/>
      <c r="P1319" s="73"/>
      <c r="Q1319" s="73"/>
      <c r="R1319" s="73"/>
      <c r="S1319" s="73"/>
      <c r="T1319" s="73"/>
      <c r="U1319" s="73"/>
      <c r="V1319" s="73"/>
      <c r="W1319" s="73"/>
      <c r="X1319" s="73"/>
    </row>
    <row r="1320">
      <c r="A1320" s="74"/>
      <c r="B1320" s="74"/>
      <c r="C1320" s="74"/>
      <c r="D1320" s="75"/>
      <c r="E1320" s="100"/>
      <c r="F1320" s="101"/>
      <c r="G1320" s="99"/>
      <c r="H1320" s="73"/>
      <c r="I1320" s="98"/>
      <c r="J1320" s="99"/>
      <c r="L1320" s="73"/>
      <c r="M1320" s="73"/>
      <c r="N1320" s="73"/>
      <c r="O1320" s="73"/>
      <c r="P1320" s="73"/>
      <c r="Q1320" s="73"/>
      <c r="R1320" s="73"/>
      <c r="S1320" s="73"/>
      <c r="T1320" s="73"/>
      <c r="U1320" s="73"/>
      <c r="V1320" s="73"/>
      <c r="W1320" s="73"/>
      <c r="X1320" s="73"/>
    </row>
    <row r="1321">
      <c r="A1321" s="74"/>
      <c r="B1321" s="74"/>
      <c r="C1321" s="74"/>
      <c r="D1321" s="75"/>
      <c r="E1321" s="100"/>
      <c r="F1321" s="101"/>
      <c r="G1321" s="99"/>
      <c r="H1321" s="73"/>
      <c r="I1321" s="98"/>
      <c r="J1321" s="99"/>
      <c r="L1321" s="73"/>
      <c r="M1321" s="73"/>
      <c r="N1321" s="73"/>
      <c r="O1321" s="73"/>
      <c r="P1321" s="73"/>
      <c r="Q1321" s="73"/>
      <c r="R1321" s="73"/>
      <c r="S1321" s="73"/>
      <c r="T1321" s="73"/>
      <c r="U1321" s="73"/>
      <c r="V1321" s="73"/>
      <c r="W1321" s="73"/>
      <c r="X1321" s="73"/>
    </row>
    <row r="1322">
      <c r="A1322" s="74"/>
      <c r="B1322" s="74"/>
      <c r="C1322" s="74"/>
      <c r="D1322" s="75"/>
      <c r="E1322" s="100"/>
      <c r="F1322" s="101"/>
      <c r="G1322" s="99"/>
      <c r="H1322" s="73"/>
      <c r="I1322" s="98"/>
      <c r="J1322" s="99"/>
      <c r="L1322" s="73"/>
      <c r="M1322" s="73"/>
      <c r="N1322" s="73"/>
      <c r="O1322" s="73"/>
      <c r="P1322" s="73"/>
      <c r="Q1322" s="73"/>
      <c r="R1322" s="73"/>
      <c r="S1322" s="73"/>
      <c r="T1322" s="73"/>
      <c r="U1322" s="73"/>
      <c r="V1322" s="73"/>
      <c r="W1322" s="73"/>
      <c r="X1322" s="73"/>
    </row>
    <row r="1323">
      <c r="A1323" s="74"/>
      <c r="B1323" s="74"/>
      <c r="C1323" s="74"/>
      <c r="D1323" s="75"/>
      <c r="E1323" s="100"/>
      <c r="F1323" s="101"/>
      <c r="G1323" s="99"/>
      <c r="H1323" s="73"/>
      <c r="I1323" s="98"/>
      <c r="J1323" s="99"/>
      <c r="L1323" s="73"/>
      <c r="M1323" s="73"/>
      <c r="N1323" s="73"/>
      <c r="O1323" s="73"/>
      <c r="P1323" s="73"/>
      <c r="Q1323" s="73"/>
      <c r="R1323" s="73"/>
      <c r="S1323" s="73"/>
      <c r="T1323" s="73"/>
      <c r="U1323" s="73"/>
      <c r="V1323" s="73"/>
      <c r="W1323" s="73"/>
      <c r="X1323" s="73"/>
    </row>
    <row r="1324">
      <c r="A1324" s="74"/>
      <c r="B1324" s="74"/>
      <c r="C1324" s="74"/>
      <c r="D1324" s="75"/>
      <c r="E1324" s="100"/>
      <c r="F1324" s="101"/>
      <c r="G1324" s="99"/>
      <c r="H1324" s="73"/>
      <c r="I1324" s="98"/>
      <c r="J1324" s="99"/>
      <c r="L1324" s="73"/>
      <c r="M1324" s="73"/>
      <c r="N1324" s="73"/>
      <c r="O1324" s="73"/>
      <c r="P1324" s="73"/>
      <c r="Q1324" s="73"/>
      <c r="R1324" s="73"/>
      <c r="S1324" s="73"/>
      <c r="T1324" s="73"/>
      <c r="U1324" s="73"/>
      <c r="V1324" s="73"/>
      <c r="W1324" s="73"/>
      <c r="X1324" s="73"/>
    </row>
    <row r="1325">
      <c r="A1325" s="74"/>
      <c r="B1325" s="74"/>
      <c r="C1325" s="74"/>
      <c r="D1325" s="75"/>
      <c r="E1325" s="100"/>
      <c r="F1325" s="101"/>
      <c r="G1325" s="99"/>
      <c r="H1325" s="73"/>
      <c r="I1325" s="98"/>
      <c r="J1325" s="99"/>
      <c r="L1325" s="73"/>
      <c r="M1325" s="73"/>
      <c r="N1325" s="73"/>
      <c r="O1325" s="73"/>
      <c r="P1325" s="73"/>
      <c r="Q1325" s="73"/>
      <c r="R1325" s="73"/>
      <c r="S1325" s="73"/>
      <c r="T1325" s="73"/>
      <c r="U1325" s="73"/>
      <c r="V1325" s="73"/>
      <c r="W1325" s="73"/>
      <c r="X1325" s="73"/>
    </row>
    <row r="1326">
      <c r="A1326" s="74"/>
      <c r="B1326" s="74"/>
      <c r="C1326" s="74"/>
      <c r="D1326" s="75"/>
      <c r="E1326" s="100"/>
      <c r="F1326" s="101"/>
      <c r="G1326" s="99"/>
      <c r="H1326" s="73"/>
      <c r="I1326" s="98"/>
      <c r="J1326" s="99"/>
      <c r="L1326" s="73"/>
      <c r="M1326" s="73"/>
      <c r="N1326" s="73"/>
      <c r="O1326" s="73"/>
      <c r="P1326" s="73"/>
      <c r="Q1326" s="73"/>
      <c r="R1326" s="73"/>
      <c r="S1326" s="73"/>
      <c r="T1326" s="73"/>
      <c r="U1326" s="73"/>
      <c r="V1326" s="73"/>
      <c r="W1326" s="73"/>
      <c r="X1326" s="73"/>
    </row>
    <row r="1327">
      <c r="A1327" s="74"/>
      <c r="B1327" s="74"/>
      <c r="C1327" s="74"/>
      <c r="D1327" s="75"/>
      <c r="E1327" s="100"/>
      <c r="F1327" s="101"/>
      <c r="G1327" s="99"/>
      <c r="H1327" s="73"/>
      <c r="I1327" s="98"/>
      <c r="J1327" s="99"/>
      <c r="L1327" s="73"/>
      <c r="M1327" s="73"/>
      <c r="N1327" s="73"/>
      <c r="O1327" s="73"/>
      <c r="P1327" s="73"/>
      <c r="Q1327" s="73"/>
      <c r="R1327" s="73"/>
      <c r="S1327" s="73"/>
      <c r="T1327" s="73"/>
      <c r="U1327" s="73"/>
      <c r="V1327" s="73"/>
      <c r="W1327" s="73"/>
      <c r="X1327" s="73"/>
    </row>
    <row r="1328">
      <c r="A1328" s="74"/>
      <c r="B1328" s="74"/>
      <c r="C1328" s="74"/>
      <c r="D1328" s="75"/>
      <c r="E1328" s="100"/>
      <c r="F1328" s="101"/>
      <c r="G1328" s="99"/>
      <c r="H1328" s="73"/>
      <c r="I1328" s="98"/>
      <c r="J1328" s="99"/>
      <c r="L1328" s="73"/>
      <c r="M1328" s="73"/>
      <c r="N1328" s="73"/>
      <c r="O1328" s="73"/>
      <c r="P1328" s="73"/>
      <c r="Q1328" s="73"/>
      <c r="R1328" s="73"/>
      <c r="S1328" s="73"/>
      <c r="T1328" s="73"/>
      <c r="U1328" s="73"/>
      <c r="V1328" s="73"/>
      <c r="W1328" s="73"/>
      <c r="X1328" s="73"/>
    </row>
    <row r="1329">
      <c r="A1329" s="74"/>
      <c r="B1329" s="74"/>
      <c r="C1329" s="74"/>
      <c r="D1329" s="75"/>
      <c r="E1329" s="100"/>
      <c r="F1329" s="101"/>
      <c r="G1329" s="99"/>
      <c r="H1329" s="73"/>
      <c r="I1329" s="98"/>
      <c r="J1329" s="99"/>
      <c r="L1329" s="73"/>
      <c r="M1329" s="73"/>
      <c r="N1329" s="73"/>
      <c r="O1329" s="73"/>
      <c r="P1329" s="73"/>
      <c r="Q1329" s="73"/>
      <c r="R1329" s="73"/>
      <c r="S1329" s="73"/>
      <c r="T1329" s="73"/>
      <c r="U1329" s="73"/>
      <c r="V1329" s="73"/>
      <c r="W1329" s="73"/>
      <c r="X1329" s="73"/>
    </row>
    <row r="1330">
      <c r="A1330" s="74"/>
      <c r="B1330" s="74"/>
      <c r="C1330" s="74"/>
      <c r="D1330" s="75"/>
      <c r="E1330" s="100"/>
      <c r="F1330" s="101"/>
      <c r="G1330" s="99"/>
      <c r="H1330" s="73"/>
      <c r="I1330" s="98"/>
      <c r="J1330" s="99"/>
      <c r="L1330" s="73"/>
      <c r="M1330" s="73"/>
      <c r="N1330" s="73"/>
      <c r="O1330" s="73"/>
      <c r="P1330" s="73"/>
      <c r="Q1330" s="73"/>
      <c r="R1330" s="73"/>
      <c r="S1330" s="73"/>
      <c r="T1330" s="73"/>
      <c r="U1330" s="73"/>
      <c r="V1330" s="73"/>
      <c r="W1330" s="73"/>
      <c r="X1330" s="73"/>
    </row>
    <row r="1331">
      <c r="A1331" s="74"/>
      <c r="B1331" s="74"/>
      <c r="C1331" s="74"/>
      <c r="D1331" s="75"/>
      <c r="E1331" s="100"/>
      <c r="F1331" s="101"/>
      <c r="G1331" s="99"/>
      <c r="H1331" s="73"/>
      <c r="I1331" s="98"/>
      <c r="J1331" s="99"/>
      <c r="L1331" s="73"/>
      <c r="M1331" s="73"/>
      <c r="N1331" s="73"/>
      <c r="O1331" s="73"/>
      <c r="P1331" s="73"/>
      <c r="Q1331" s="73"/>
      <c r="R1331" s="73"/>
      <c r="S1331" s="73"/>
      <c r="T1331" s="73"/>
      <c r="U1331" s="73"/>
      <c r="V1331" s="73"/>
      <c r="W1331" s="73"/>
      <c r="X1331" s="73"/>
    </row>
    <row r="1332">
      <c r="A1332" s="74"/>
      <c r="B1332" s="74"/>
      <c r="C1332" s="74"/>
      <c r="D1332" s="75"/>
      <c r="E1332" s="100"/>
      <c r="F1332" s="101"/>
      <c r="G1332" s="99"/>
      <c r="H1332" s="73"/>
      <c r="I1332" s="98"/>
      <c r="J1332" s="99"/>
      <c r="L1332" s="73"/>
      <c r="M1332" s="73"/>
      <c r="N1332" s="73"/>
      <c r="O1332" s="73"/>
      <c r="P1332" s="73"/>
      <c r="Q1332" s="73"/>
      <c r="R1332" s="73"/>
      <c r="S1332" s="73"/>
      <c r="T1332" s="73"/>
      <c r="U1332" s="73"/>
      <c r="V1332" s="73"/>
      <c r="W1332" s="73"/>
      <c r="X1332" s="73"/>
    </row>
    <row r="1333">
      <c r="A1333" s="74"/>
      <c r="B1333" s="74"/>
      <c r="C1333" s="74"/>
      <c r="D1333" s="75"/>
      <c r="E1333" s="100"/>
      <c r="F1333" s="101"/>
      <c r="G1333" s="99"/>
      <c r="H1333" s="73"/>
      <c r="I1333" s="98"/>
      <c r="J1333" s="99"/>
      <c r="L1333" s="73"/>
      <c r="M1333" s="73"/>
      <c r="N1333" s="73"/>
      <c r="O1333" s="73"/>
      <c r="P1333" s="73"/>
      <c r="Q1333" s="73"/>
      <c r="R1333" s="73"/>
      <c r="S1333" s="73"/>
      <c r="T1333" s="73"/>
      <c r="U1333" s="73"/>
      <c r="V1333" s="73"/>
      <c r="W1333" s="73"/>
      <c r="X1333" s="73"/>
    </row>
    <row r="1334">
      <c r="A1334" s="74"/>
      <c r="B1334" s="74"/>
      <c r="C1334" s="74"/>
      <c r="D1334" s="75"/>
      <c r="E1334" s="100"/>
      <c r="F1334" s="101"/>
      <c r="G1334" s="99"/>
      <c r="H1334" s="73"/>
      <c r="I1334" s="98"/>
      <c r="J1334" s="99"/>
      <c r="L1334" s="73"/>
      <c r="M1334" s="73"/>
      <c r="N1334" s="73"/>
      <c r="O1334" s="73"/>
      <c r="P1334" s="73"/>
      <c r="Q1334" s="73"/>
      <c r="R1334" s="73"/>
      <c r="S1334" s="73"/>
      <c r="T1334" s="73"/>
      <c r="U1334" s="73"/>
      <c r="V1334" s="73"/>
      <c r="W1334" s="73"/>
      <c r="X1334" s="73"/>
    </row>
    <row r="1335">
      <c r="A1335" s="74"/>
      <c r="B1335" s="74"/>
      <c r="C1335" s="74"/>
      <c r="D1335" s="75"/>
      <c r="E1335" s="100"/>
      <c r="F1335" s="101"/>
      <c r="G1335" s="99"/>
      <c r="H1335" s="73"/>
      <c r="I1335" s="98"/>
      <c r="J1335" s="99"/>
      <c r="L1335" s="73"/>
      <c r="M1335" s="73"/>
      <c r="N1335" s="73"/>
      <c r="O1335" s="73"/>
      <c r="P1335" s="73"/>
      <c r="Q1335" s="73"/>
      <c r="R1335" s="73"/>
      <c r="S1335" s="73"/>
      <c r="T1335" s="73"/>
      <c r="U1335" s="73"/>
      <c r="V1335" s="73"/>
      <c r="W1335" s="73"/>
      <c r="X1335" s="73"/>
    </row>
    <row r="1336">
      <c r="A1336" s="74"/>
      <c r="B1336" s="74"/>
      <c r="C1336" s="74"/>
      <c r="D1336" s="75"/>
      <c r="E1336" s="100"/>
      <c r="F1336" s="101"/>
      <c r="G1336" s="99"/>
      <c r="H1336" s="73"/>
      <c r="I1336" s="98"/>
      <c r="J1336" s="99"/>
      <c r="L1336" s="73"/>
      <c r="M1336" s="73"/>
      <c r="N1336" s="73"/>
      <c r="O1336" s="73"/>
      <c r="P1336" s="73"/>
      <c r="Q1336" s="73"/>
      <c r="R1336" s="73"/>
      <c r="S1336" s="73"/>
      <c r="T1336" s="73"/>
      <c r="U1336" s="73"/>
      <c r="V1336" s="73"/>
      <c r="W1336" s="73"/>
      <c r="X1336" s="73"/>
    </row>
    <row r="1337">
      <c r="A1337" s="74"/>
      <c r="B1337" s="74"/>
      <c r="C1337" s="74"/>
      <c r="D1337" s="75"/>
      <c r="E1337" s="100"/>
      <c r="F1337" s="101"/>
      <c r="G1337" s="99"/>
      <c r="H1337" s="73"/>
      <c r="I1337" s="98"/>
      <c r="J1337" s="99"/>
      <c r="L1337" s="73"/>
      <c r="M1337" s="73"/>
      <c r="N1337" s="73"/>
      <c r="O1337" s="73"/>
      <c r="P1337" s="73"/>
      <c r="Q1337" s="73"/>
      <c r="R1337" s="73"/>
      <c r="S1337" s="73"/>
      <c r="T1337" s="73"/>
      <c r="U1337" s="73"/>
      <c r="V1337" s="73"/>
      <c r="W1337" s="73"/>
      <c r="X1337" s="73"/>
    </row>
    <row r="1338">
      <c r="A1338" s="74"/>
      <c r="B1338" s="74"/>
      <c r="C1338" s="74"/>
      <c r="D1338" s="75"/>
      <c r="E1338" s="100"/>
      <c r="F1338" s="101"/>
      <c r="G1338" s="99"/>
      <c r="H1338" s="73"/>
      <c r="I1338" s="98"/>
      <c r="J1338" s="99"/>
      <c r="L1338" s="73"/>
      <c r="M1338" s="73"/>
      <c r="N1338" s="73"/>
      <c r="O1338" s="73"/>
      <c r="P1338" s="73"/>
      <c r="Q1338" s="73"/>
      <c r="R1338" s="73"/>
      <c r="S1338" s="73"/>
      <c r="T1338" s="73"/>
      <c r="U1338" s="73"/>
      <c r="V1338" s="73"/>
      <c r="W1338" s="73"/>
      <c r="X1338" s="73"/>
    </row>
    <row r="1339">
      <c r="A1339" s="74"/>
      <c r="B1339" s="74"/>
      <c r="C1339" s="74"/>
      <c r="D1339" s="75"/>
      <c r="E1339" s="100"/>
      <c r="F1339" s="101"/>
      <c r="G1339" s="99"/>
      <c r="H1339" s="73"/>
      <c r="I1339" s="98"/>
      <c r="J1339" s="99"/>
      <c r="L1339" s="73"/>
      <c r="M1339" s="73"/>
      <c r="N1339" s="73"/>
      <c r="O1339" s="73"/>
      <c r="P1339" s="73"/>
      <c r="Q1339" s="73"/>
      <c r="R1339" s="73"/>
      <c r="S1339" s="73"/>
      <c r="T1339" s="73"/>
      <c r="U1339" s="73"/>
      <c r="V1339" s="73"/>
      <c r="W1339" s="73"/>
      <c r="X1339" s="73"/>
    </row>
    <row r="1340">
      <c r="A1340" s="74"/>
      <c r="B1340" s="74"/>
      <c r="C1340" s="74"/>
      <c r="D1340" s="75"/>
      <c r="E1340" s="100"/>
      <c r="F1340" s="101"/>
      <c r="G1340" s="99"/>
      <c r="H1340" s="73"/>
      <c r="I1340" s="98"/>
      <c r="J1340" s="99"/>
      <c r="L1340" s="73"/>
      <c r="M1340" s="73"/>
      <c r="N1340" s="73"/>
      <c r="O1340" s="73"/>
      <c r="P1340" s="73"/>
      <c r="Q1340" s="73"/>
      <c r="R1340" s="73"/>
      <c r="S1340" s="73"/>
      <c r="T1340" s="73"/>
      <c r="U1340" s="73"/>
      <c r="V1340" s="73"/>
      <c r="W1340" s="73"/>
      <c r="X1340" s="73"/>
    </row>
    <row r="1341">
      <c r="A1341" s="74"/>
      <c r="B1341" s="74"/>
      <c r="C1341" s="74"/>
      <c r="D1341" s="75"/>
      <c r="E1341" s="100"/>
      <c r="F1341" s="101"/>
      <c r="G1341" s="99"/>
      <c r="H1341" s="73"/>
      <c r="I1341" s="98"/>
      <c r="J1341" s="99"/>
      <c r="L1341" s="73"/>
      <c r="M1341" s="73"/>
      <c r="N1341" s="73"/>
      <c r="O1341" s="73"/>
      <c r="P1341" s="73"/>
      <c r="Q1341" s="73"/>
      <c r="R1341" s="73"/>
      <c r="S1341" s="73"/>
      <c r="T1341" s="73"/>
      <c r="U1341" s="73"/>
      <c r="V1341" s="73"/>
      <c r="W1341" s="73"/>
      <c r="X1341" s="73"/>
    </row>
    <row r="1342">
      <c r="A1342" s="74"/>
      <c r="B1342" s="74"/>
      <c r="C1342" s="74"/>
      <c r="D1342" s="75"/>
      <c r="E1342" s="100"/>
      <c r="F1342" s="101"/>
      <c r="G1342" s="99"/>
      <c r="H1342" s="73"/>
      <c r="I1342" s="98"/>
      <c r="J1342" s="99"/>
      <c r="L1342" s="73"/>
      <c r="M1342" s="73"/>
      <c r="N1342" s="73"/>
      <c r="O1342" s="73"/>
      <c r="P1342" s="73"/>
      <c r="Q1342" s="73"/>
      <c r="R1342" s="73"/>
      <c r="S1342" s="73"/>
      <c r="T1342" s="73"/>
      <c r="U1342" s="73"/>
      <c r="V1342" s="73"/>
      <c r="W1342" s="73"/>
      <c r="X1342" s="73"/>
    </row>
    <row r="1343">
      <c r="A1343" s="74"/>
      <c r="B1343" s="74"/>
      <c r="C1343" s="74"/>
      <c r="D1343" s="75"/>
      <c r="E1343" s="100"/>
      <c r="F1343" s="101"/>
      <c r="G1343" s="99"/>
      <c r="H1343" s="73"/>
      <c r="I1343" s="98"/>
      <c r="J1343" s="99"/>
      <c r="L1343" s="73"/>
      <c r="M1343" s="73"/>
      <c r="N1343" s="73"/>
      <c r="O1343" s="73"/>
      <c r="P1343" s="73"/>
      <c r="Q1343" s="73"/>
      <c r="R1343" s="73"/>
      <c r="S1343" s="73"/>
      <c r="T1343" s="73"/>
      <c r="U1343" s="73"/>
      <c r="V1343" s="73"/>
      <c r="W1343" s="73"/>
      <c r="X1343" s="73"/>
    </row>
    <row r="1344">
      <c r="A1344" s="74"/>
      <c r="B1344" s="74"/>
      <c r="C1344" s="74"/>
      <c r="D1344" s="75"/>
      <c r="E1344" s="100"/>
      <c r="F1344" s="101"/>
      <c r="G1344" s="99"/>
      <c r="H1344" s="73"/>
      <c r="I1344" s="98"/>
      <c r="J1344" s="99"/>
      <c r="L1344" s="73"/>
      <c r="M1344" s="73"/>
      <c r="N1344" s="73"/>
      <c r="O1344" s="73"/>
      <c r="P1344" s="73"/>
      <c r="Q1344" s="73"/>
      <c r="R1344" s="73"/>
      <c r="S1344" s="73"/>
      <c r="T1344" s="73"/>
      <c r="U1344" s="73"/>
      <c r="V1344" s="73"/>
      <c r="W1344" s="73"/>
      <c r="X1344" s="73"/>
    </row>
    <row r="1345">
      <c r="A1345" s="74"/>
      <c r="B1345" s="74"/>
      <c r="C1345" s="74"/>
      <c r="D1345" s="75"/>
      <c r="E1345" s="100"/>
      <c r="F1345" s="101"/>
      <c r="G1345" s="99"/>
      <c r="H1345" s="73"/>
      <c r="I1345" s="98"/>
      <c r="J1345" s="99"/>
      <c r="L1345" s="73"/>
      <c r="M1345" s="73"/>
      <c r="N1345" s="73"/>
      <c r="O1345" s="73"/>
      <c r="P1345" s="73"/>
      <c r="Q1345" s="73"/>
      <c r="R1345" s="73"/>
      <c r="S1345" s="73"/>
      <c r="T1345" s="73"/>
      <c r="U1345" s="73"/>
      <c r="V1345" s="73"/>
      <c r="W1345" s="73"/>
      <c r="X1345" s="73"/>
    </row>
    <row r="1346">
      <c r="A1346" s="74"/>
      <c r="B1346" s="74"/>
      <c r="C1346" s="74"/>
      <c r="D1346" s="75"/>
      <c r="E1346" s="100"/>
      <c r="F1346" s="101"/>
      <c r="G1346" s="99"/>
      <c r="H1346" s="73"/>
      <c r="I1346" s="98"/>
      <c r="J1346" s="99"/>
      <c r="L1346" s="73"/>
      <c r="M1346" s="73"/>
      <c r="N1346" s="73"/>
      <c r="O1346" s="73"/>
      <c r="P1346" s="73"/>
      <c r="Q1346" s="73"/>
      <c r="R1346" s="73"/>
      <c r="S1346" s="73"/>
      <c r="T1346" s="73"/>
      <c r="U1346" s="73"/>
      <c r="V1346" s="73"/>
      <c r="W1346" s="73"/>
      <c r="X1346" s="73"/>
    </row>
    <row r="1347">
      <c r="A1347" s="74"/>
      <c r="B1347" s="74"/>
      <c r="C1347" s="74"/>
      <c r="D1347" s="75"/>
      <c r="E1347" s="100"/>
      <c r="F1347" s="101"/>
      <c r="G1347" s="99"/>
      <c r="H1347" s="73"/>
      <c r="I1347" s="98"/>
      <c r="J1347" s="99"/>
      <c r="L1347" s="73"/>
      <c r="M1347" s="73"/>
      <c r="N1347" s="73"/>
      <c r="O1347" s="73"/>
      <c r="P1347" s="73"/>
      <c r="Q1347" s="73"/>
      <c r="R1347" s="73"/>
      <c r="S1347" s="73"/>
      <c r="T1347" s="73"/>
      <c r="U1347" s="73"/>
      <c r="V1347" s="73"/>
      <c r="W1347" s="73"/>
      <c r="X1347" s="73"/>
    </row>
    <row r="1348">
      <c r="A1348" s="74"/>
      <c r="B1348" s="74"/>
      <c r="C1348" s="74"/>
      <c r="D1348" s="75"/>
      <c r="E1348" s="100"/>
      <c r="F1348" s="101"/>
      <c r="G1348" s="99"/>
      <c r="H1348" s="73"/>
      <c r="I1348" s="98"/>
      <c r="J1348" s="99"/>
      <c r="L1348" s="73"/>
      <c r="M1348" s="73"/>
      <c r="N1348" s="73"/>
      <c r="O1348" s="73"/>
      <c r="P1348" s="73"/>
      <c r="Q1348" s="73"/>
      <c r="R1348" s="73"/>
      <c r="S1348" s="73"/>
      <c r="T1348" s="73"/>
      <c r="U1348" s="73"/>
      <c r="V1348" s="73"/>
      <c r="W1348" s="73"/>
      <c r="X1348" s="73"/>
    </row>
    <row r="1349">
      <c r="A1349" s="74"/>
      <c r="B1349" s="74"/>
      <c r="C1349" s="74"/>
      <c r="D1349" s="75"/>
      <c r="E1349" s="100"/>
      <c r="F1349" s="101"/>
      <c r="G1349" s="99"/>
      <c r="H1349" s="73"/>
      <c r="I1349" s="98"/>
      <c r="J1349" s="99"/>
      <c r="L1349" s="73"/>
      <c r="M1349" s="73"/>
      <c r="N1349" s="73"/>
      <c r="O1349" s="73"/>
      <c r="P1349" s="73"/>
      <c r="Q1349" s="73"/>
      <c r="R1349" s="73"/>
      <c r="S1349" s="73"/>
      <c r="T1349" s="73"/>
      <c r="U1349" s="73"/>
      <c r="V1349" s="73"/>
      <c r="W1349" s="73"/>
      <c r="X1349" s="73"/>
    </row>
    <row r="1350">
      <c r="A1350" s="74"/>
      <c r="B1350" s="74"/>
      <c r="C1350" s="74"/>
      <c r="D1350" s="75"/>
      <c r="E1350" s="100"/>
      <c r="F1350" s="101"/>
      <c r="G1350" s="99"/>
      <c r="H1350" s="73"/>
      <c r="I1350" s="98"/>
      <c r="J1350" s="99"/>
      <c r="L1350" s="73"/>
      <c r="M1350" s="73"/>
      <c r="N1350" s="73"/>
      <c r="O1350" s="73"/>
      <c r="P1350" s="73"/>
      <c r="Q1350" s="73"/>
      <c r="R1350" s="73"/>
      <c r="S1350" s="73"/>
      <c r="T1350" s="73"/>
      <c r="U1350" s="73"/>
      <c r="V1350" s="73"/>
      <c r="W1350" s="73"/>
      <c r="X1350" s="73"/>
    </row>
    <row r="1351">
      <c r="A1351" s="74"/>
      <c r="B1351" s="74"/>
      <c r="C1351" s="74"/>
      <c r="D1351" s="75"/>
      <c r="E1351" s="100"/>
      <c r="F1351" s="101"/>
      <c r="G1351" s="99"/>
      <c r="H1351" s="73"/>
      <c r="I1351" s="98"/>
      <c r="J1351" s="99"/>
      <c r="L1351" s="73"/>
      <c r="M1351" s="73"/>
      <c r="N1351" s="73"/>
      <c r="O1351" s="73"/>
      <c r="P1351" s="73"/>
      <c r="Q1351" s="73"/>
      <c r="R1351" s="73"/>
      <c r="S1351" s="73"/>
      <c r="T1351" s="73"/>
      <c r="U1351" s="73"/>
      <c r="V1351" s="73"/>
      <c r="W1351" s="73"/>
      <c r="X1351" s="73"/>
    </row>
    <row r="1352">
      <c r="A1352" s="74"/>
      <c r="B1352" s="74"/>
      <c r="C1352" s="74"/>
      <c r="D1352" s="75"/>
      <c r="E1352" s="100"/>
      <c r="F1352" s="101"/>
      <c r="G1352" s="99"/>
      <c r="H1352" s="73"/>
      <c r="I1352" s="98"/>
      <c r="J1352" s="99"/>
      <c r="L1352" s="73"/>
      <c r="M1352" s="73"/>
      <c r="N1352" s="73"/>
      <c r="O1352" s="73"/>
      <c r="P1352" s="73"/>
      <c r="Q1352" s="73"/>
      <c r="R1352" s="73"/>
      <c r="S1352" s="73"/>
      <c r="T1352" s="73"/>
      <c r="U1352" s="73"/>
      <c r="V1352" s="73"/>
      <c r="W1352" s="73"/>
      <c r="X1352" s="73"/>
    </row>
    <row r="1353">
      <c r="A1353" s="74"/>
      <c r="B1353" s="74"/>
      <c r="C1353" s="74"/>
      <c r="D1353" s="75"/>
      <c r="E1353" s="100"/>
      <c r="F1353" s="101"/>
      <c r="G1353" s="99"/>
      <c r="H1353" s="73"/>
      <c r="I1353" s="98"/>
      <c r="J1353" s="99"/>
      <c r="L1353" s="73"/>
      <c r="M1353" s="73"/>
      <c r="N1353" s="73"/>
      <c r="O1353" s="73"/>
      <c r="P1353" s="73"/>
      <c r="Q1353" s="73"/>
      <c r="R1353" s="73"/>
      <c r="S1353" s="73"/>
      <c r="T1353" s="73"/>
      <c r="U1353" s="73"/>
      <c r="V1353" s="73"/>
      <c r="W1353" s="73"/>
      <c r="X1353" s="73"/>
    </row>
    <row r="1354">
      <c r="A1354" s="74"/>
      <c r="B1354" s="74"/>
      <c r="C1354" s="74"/>
      <c r="D1354" s="75"/>
      <c r="E1354" s="100"/>
      <c r="F1354" s="101"/>
      <c r="G1354" s="99"/>
      <c r="H1354" s="73"/>
      <c r="I1354" s="98"/>
      <c r="J1354" s="99"/>
      <c r="L1354" s="73"/>
      <c r="M1354" s="73"/>
      <c r="N1354" s="73"/>
      <c r="O1354" s="73"/>
      <c r="P1354" s="73"/>
      <c r="Q1354" s="73"/>
      <c r="R1354" s="73"/>
      <c r="S1354" s="73"/>
      <c r="T1354" s="73"/>
      <c r="U1354" s="73"/>
      <c r="V1354" s="73"/>
      <c r="W1354" s="73"/>
      <c r="X1354" s="73"/>
    </row>
    <row r="1355">
      <c r="A1355" s="74"/>
      <c r="B1355" s="74"/>
      <c r="C1355" s="74"/>
      <c r="D1355" s="75"/>
      <c r="E1355" s="100"/>
      <c r="F1355" s="101"/>
      <c r="G1355" s="99"/>
      <c r="H1355" s="73"/>
      <c r="I1355" s="98"/>
      <c r="J1355" s="99"/>
      <c r="L1355" s="73"/>
      <c r="M1355" s="73"/>
      <c r="N1355" s="73"/>
      <c r="O1355" s="73"/>
      <c r="P1355" s="73"/>
      <c r="Q1355" s="73"/>
      <c r="R1355" s="73"/>
      <c r="S1355" s="73"/>
      <c r="T1355" s="73"/>
      <c r="U1355" s="73"/>
      <c r="V1355" s="73"/>
      <c r="W1355" s="73"/>
      <c r="X1355" s="73"/>
    </row>
    <row r="1356">
      <c r="A1356" s="74"/>
      <c r="B1356" s="74"/>
      <c r="C1356" s="74"/>
      <c r="D1356" s="75"/>
      <c r="E1356" s="100"/>
      <c r="F1356" s="101"/>
      <c r="G1356" s="99"/>
      <c r="H1356" s="73"/>
      <c r="I1356" s="98"/>
      <c r="J1356" s="99"/>
      <c r="L1356" s="73"/>
      <c r="M1356" s="73"/>
      <c r="N1356" s="73"/>
      <c r="O1356" s="73"/>
      <c r="P1356" s="73"/>
      <c r="Q1356" s="73"/>
      <c r="R1356" s="73"/>
      <c r="S1356" s="73"/>
      <c r="T1356" s="73"/>
      <c r="U1356" s="73"/>
      <c r="V1356" s="73"/>
      <c r="W1356" s="73"/>
      <c r="X1356" s="73"/>
    </row>
    <row r="1357">
      <c r="A1357" s="74"/>
      <c r="B1357" s="74"/>
      <c r="C1357" s="74"/>
      <c r="D1357" s="75"/>
      <c r="E1357" s="100"/>
      <c r="F1357" s="101"/>
      <c r="G1357" s="99"/>
      <c r="H1357" s="73"/>
      <c r="I1357" s="98"/>
      <c r="J1357" s="99"/>
      <c r="L1357" s="73"/>
      <c r="M1357" s="73"/>
      <c r="N1357" s="73"/>
      <c r="O1357" s="73"/>
      <c r="P1357" s="73"/>
      <c r="Q1357" s="73"/>
      <c r="R1357" s="73"/>
      <c r="S1357" s="73"/>
      <c r="T1357" s="73"/>
      <c r="U1357" s="73"/>
      <c r="V1357" s="73"/>
      <c r="W1357" s="73"/>
      <c r="X1357" s="73"/>
    </row>
    <row r="1358">
      <c r="A1358" s="74"/>
      <c r="B1358" s="74"/>
      <c r="C1358" s="74"/>
      <c r="D1358" s="75"/>
      <c r="E1358" s="100"/>
      <c r="F1358" s="101"/>
      <c r="G1358" s="99"/>
      <c r="H1358" s="73"/>
      <c r="I1358" s="98"/>
      <c r="J1358" s="99"/>
      <c r="L1358" s="73"/>
      <c r="M1358" s="73"/>
      <c r="N1358" s="73"/>
      <c r="O1358" s="73"/>
      <c r="P1358" s="73"/>
      <c r="Q1358" s="73"/>
      <c r="R1358" s="73"/>
      <c r="S1358" s="73"/>
      <c r="T1358" s="73"/>
      <c r="U1358" s="73"/>
      <c r="V1358" s="73"/>
      <c r="W1358" s="73"/>
      <c r="X1358" s="73"/>
    </row>
    <row r="1359">
      <c r="A1359" s="74"/>
      <c r="B1359" s="74"/>
      <c r="C1359" s="74"/>
      <c r="D1359" s="75"/>
      <c r="E1359" s="100"/>
      <c r="F1359" s="101"/>
      <c r="G1359" s="99"/>
      <c r="H1359" s="73"/>
      <c r="I1359" s="98"/>
      <c r="J1359" s="99"/>
      <c r="L1359" s="73"/>
      <c r="M1359" s="73"/>
      <c r="N1359" s="73"/>
      <c r="O1359" s="73"/>
      <c r="P1359" s="73"/>
      <c r="Q1359" s="73"/>
      <c r="R1359" s="73"/>
      <c r="S1359" s="73"/>
      <c r="T1359" s="73"/>
      <c r="U1359" s="73"/>
      <c r="V1359" s="73"/>
      <c r="W1359" s="73"/>
      <c r="X1359" s="73"/>
    </row>
    <row r="1360">
      <c r="A1360" s="74"/>
      <c r="B1360" s="74"/>
      <c r="C1360" s="74"/>
      <c r="D1360" s="75"/>
      <c r="E1360" s="100"/>
      <c r="F1360" s="101"/>
      <c r="G1360" s="99"/>
      <c r="H1360" s="73"/>
      <c r="I1360" s="98"/>
      <c r="J1360" s="99"/>
      <c r="L1360" s="73"/>
      <c r="M1360" s="73"/>
      <c r="N1360" s="73"/>
      <c r="O1360" s="73"/>
      <c r="P1360" s="73"/>
      <c r="Q1360" s="73"/>
      <c r="R1360" s="73"/>
      <c r="S1360" s="73"/>
      <c r="T1360" s="73"/>
      <c r="U1360" s="73"/>
      <c r="V1360" s="73"/>
      <c r="W1360" s="73"/>
      <c r="X1360" s="73"/>
    </row>
    <row r="1361">
      <c r="A1361" s="74"/>
      <c r="B1361" s="74"/>
      <c r="C1361" s="74"/>
      <c r="D1361" s="75"/>
      <c r="E1361" s="100"/>
      <c r="F1361" s="101"/>
      <c r="G1361" s="99"/>
      <c r="H1361" s="73"/>
      <c r="I1361" s="98"/>
      <c r="J1361" s="99"/>
      <c r="L1361" s="73"/>
      <c r="M1361" s="73"/>
      <c r="N1361" s="73"/>
      <c r="O1361" s="73"/>
      <c r="P1361" s="73"/>
      <c r="Q1361" s="73"/>
      <c r="R1361" s="73"/>
      <c r="S1361" s="73"/>
      <c r="T1361" s="73"/>
      <c r="U1361" s="73"/>
      <c r="V1361" s="73"/>
      <c r="W1361" s="73"/>
      <c r="X1361" s="73"/>
    </row>
    <row r="1362">
      <c r="A1362" s="74"/>
      <c r="B1362" s="74"/>
      <c r="C1362" s="74"/>
      <c r="D1362" s="75"/>
      <c r="E1362" s="100"/>
      <c r="F1362" s="101"/>
      <c r="G1362" s="99"/>
      <c r="H1362" s="73"/>
      <c r="I1362" s="98"/>
      <c r="J1362" s="99"/>
      <c r="L1362" s="73"/>
      <c r="M1362" s="73"/>
      <c r="N1362" s="73"/>
      <c r="O1362" s="73"/>
      <c r="P1362" s="73"/>
      <c r="Q1362" s="73"/>
      <c r="R1362" s="73"/>
      <c r="S1362" s="73"/>
      <c r="T1362" s="73"/>
      <c r="U1362" s="73"/>
      <c r="V1362" s="73"/>
      <c r="W1362" s="73"/>
      <c r="X1362" s="73"/>
    </row>
    <row r="1363">
      <c r="A1363" s="74"/>
      <c r="B1363" s="74"/>
      <c r="C1363" s="74"/>
      <c r="D1363" s="75"/>
      <c r="E1363" s="100"/>
      <c r="F1363" s="101"/>
      <c r="G1363" s="99"/>
      <c r="H1363" s="73"/>
      <c r="I1363" s="98"/>
      <c r="J1363" s="99"/>
      <c r="L1363" s="73"/>
      <c r="M1363" s="73"/>
      <c r="N1363" s="73"/>
      <c r="O1363" s="73"/>
      <c r="P1363" s="73"/>
      <c r="Q1363" s="73"/>
      <c r="R1363" s="73"/>
      <c r="S1363" s="73"/>
      <c r="T1363" s="73"/>
      <c r="U1363" s="73"/>
      <c r="V1363" s="73"/>
      <c r="W1363" s="73"/>
      <c r="X1363" s="73"/>
    </row>
    <row r="1364">
      <c r="A1364" s="74"/>
      <c r="B1364" s="74"/>
      <c r="C1364" s="74"/>
      <c r="D1364" s="75"/>
      <c r="E1364" s="100"/>
      <c r="F1364" s="101"/>
      <c r="G1364" s="99"/>
      <c r="H1364" s="73"/>
      <c r="I1364" s="98"/>
      <c r="J1364" s="99"/>
      <c r="L1364" s="73"/>
      <c r="M1364" s="73"/>
      <c r="N1364" s="73"/>
      <c r="O1364" s="73"/>
      <c r="P1364" s="73"/>
      <c r="Q1364" s="73"/>
      <c r="R1364" s="73"/>
      <c r="S1364" s="73"/>
      <c r="T1364" s="73"/>
      <c r="U1364" s="73"/>
      <c r="V1364" s="73"/>
      <c r="W1364" s="73"/>
      <c r="X1364" s="73"/>
    </row>
    <row r="1365">
      <c r="A1365" s="74"/>
      <c r="B1365" s="74"/>
      <c r="C1365" s="74"/>
      <c r="D1365" s="75"/>
      <c r="E1365" s="100"/>
      <c r="F1365" s="101"/>
      <c r="G1365" s="99"/>
      <c r="H1365" s="73"/>
      <c r="I1365" s="98"/>
      <c r="J1365" s="99"/>
      <c r="L1365" s="73"/>
      <c r="M1365" s="73"/>
      <c r="N1365" s="73"/>
      <c r="O1365" s="73"/>
      <c r="P1365" s="73"/>
      <c r="Q1365" s="73"/>
      <c r="R1365" s="73"/>
      <c r="S1365" s="73"/>
      <c r="T1365" s="73"/>
      <c r="U1365" s="73"/>
      <c r="V1365" s="73"/>
      <c r="W1365" s="73"/>
      <c r="X1365" s="73"/>
    </row>
    <row r="1366">
      <c r="A1366" s="74"/>
      <c r="B1366" s="74"/>
      <c r="C1366" s="74"/>
      <c r="D1366" s="75"/>
      <c r="E1366" s="100"/>
      <c r="F1366" s="101"/>
      <c r="G1366" s="99"/>
      <c r="H1366" s="73"/>
      <c r="I1366" s="98"/>
      <c r="J1366" s="99"/>
      <c r="L1366" s="73"/>
      <c r="M1366" s="73"/>
      <c r="N1366" s="73"/>
      <c r="O1366" s="73"/>
      <c r="P1366" s="73"/>
      <c r="Q1366" s="73"/>
      <c r="R1366" s="73"/>
      <c r="S1366" s="73"/>
      <c r="T1366" s="73"/>
      <c r="U1366" s="73"/>
      <c r="V1366" s="73"/>
      <c r="W1366" s="73"/>
      <c r="X1366" s="73"/>
    </row>
    <row r="1367">
      <c r="A1367" s="74"/>
      <c r="B1367" s="74"/>
      <c r="C1367" s="74"/>
      <c r="D1367" s="75"/>
      <c r="E1367" s="100"/>
      <c r="F1367" s="101"/>
      <c r="G1367" s="99"/>
      <c r="H1367" s="73"/>
      <c r="I1367" s="98"/>
      <c r="J1367" s="99"/>
      <c r="L1367" s="73"/>
      <c r="M1367" s="73"/>
      <c r="N1367" s="73"/>
      <c r="O1367" s="73"/>
      <c r="P1367" s="73"/>
      <c r="Q1367" s="73"/>
      <c r="R1367" s="73"/>
      <c r="S1367" s="73"/>
      <c r="T1367" s="73"/>
      <c r="U1367" s="73"/>
      <c r="V1367" s="73"/>
      <c r="W1367" s="73"/>
      <c r="X1367" s="73"/>
    </row>
    <row r="1368">
      <c r="A1368" s="74"/>
      <c r="B1368" s="74"/>
      <c r="C1368" s="74"/>
      <c r="D1368" s="75"/>
      <c r="E1368" s="100"/>
      <c r="F1368" s="101"/>
      <c r="G1368" s="99"/>
      <c r="H1368" s="73"/>
      <c r="I1368" s="98"/>
      <c r="J1368" s="99"/>
      <c r="L1368" s="73"/>
      <c r="M1368" s="73"/>
      <c r="N1368" s="73"/>
      <c r="O1368" s="73"/>
      <c r="P1368" s="73"/>
      <c r="Q1368" s="73"/>
      <c r="R1368" s="73"/>
      <c r="S1368" s="73"/>
      <c r="T1368" s="73"/>
      <c r="U1368" s="73"/>
      <c r="V1368" s="73"/>
      <c r="W1368" s="73"/>
      <c r="X1368" s="73"/>
    </row>
    <row r="1369">
      <c r="A1369" s="74"/>
      <c r="B1369" s="74"/>
      <c r="C1369" s="74"/>
      <c r="D1369" s="75"/>
      <c r="E1369" s="100"/>
      <c r="F1369" s="101"/>
      <c r="G1369" s="99"/>
      <c r="H1369" s="73"/>
      <c r="I1369" s="98"/>
      <c r="J1369" s="99"/>
      <c r="L1369" s="73"/>
      <c r="M1369" s="73"/>
      <c r="N1369" s="73"/>
      <c r="O1369" s="73"/>
      <c r="P1369" s="73"/>
      <c r="Q1369" s="73"/>
      <c r="R1369" s="73"/>
      <c r="S1369" s="73"/>
      <c r="T1369" s="73"/>
      <c r="U1369" s="73"/>
      <c r="V1369" s="73"/>
      <c r="W1369" s="73"/>
      <c r="X1369" s="73"/>
    </row>
    <row r="1370">
      <c r="A1370" s="74"/>
      <c r="B1370" s="74"/>
      <c r="C1370" s="74"/>
      <c r="D1370" s="75"/>
      <c r="E1370" s="100"/>
      <c r="F1370" s="101"/>
      <c r="G1370" s="99"/>
      <c r="H1370" s="73"/>
      <c r="I1370" s="98"/>
      <c r="J1370" s="99"/>
      <c r="L1370" s="73"/>
      <c r="M1370" s="73"/>
      <c r="N1370" s="73"/>
      <c r="O1370" s="73"/>
      <c r="P1370" s="73"/>
      <c r="Q1370" s="73"/>
      <c r="R1370" s="73"/>
      <c r="S1370" s="73"/>
      <c r="T1370" s="73"/>
      <c r="U1370" s="73"/>
      <c r="V1370" s="73"/>
      <c r="W1370" s="73"/>
      <c r="X1370" s="73"/>
    </row>
    <row r="1371">
      <c r="A1371" s="74"/>
      <c r="B1371" s="74"/>
      <c r="C1371" s="74"/>
      <c r="D1371" s="75"/>
      <c r="E1371" s="100"/>
      <c r="F1371" s="101"/>
      <c r="G1371" s="99"/>
      <c r="H1371" s="73"/>
      <c r="I1371" s="98"/>
      <c r="J1371" s="99"/>
      <c r="L1371" s="73"/>
      <c r="M1371" s="73"/>
      <c r="N1371" s="73"/>
      <c r="O1371" s="73"/>
      <c r="P1371" s="73"/>
      <c r="Q1371" s="73"/>
      <c r="R1371" s="73"/>
      <c r="S1371" s="73"/>
      <c r="T1371" s="73"/>
      <c r="U1371" s="73"/>
      <c r="V1371" s="73"/>
      <c r="W1371" s="73"/>
      <c r="X1371" s="73"/>
    </row>
    <row r="1372">
      <c r="A1372" s="74"/>
      <c r="B1372" s="74"/>
      <c r="C1372" s="74"/>
      <c r="D1372" s="75"/>
      <c r="E1372" s="100"/>
      <c r="F1372" s="101"/>
      <c r="G1372" s="99"/>
      <c r="H1372" s="73"/>
      <c r="I1372" s="98"/>
      <c r="J1372" s="99"/>
      <c r="L1372" s="73"/>
      <c r="M1372" s="73"/>
      <c r="N1372" s="73"/>
      <c r="O1372" s="73"/>
      <c r="P1372" s="73"/>
      <c r="Q1372" s="73"/>
      <c r="R1372" s="73"/>
      <c r="S1372" s="73"/>
      <c r="T1372" s="73"/>
      <c r="U1372" s="73"/>
      <c r="V1372" s="73"/>
      <c r="W1372" s="73"/>
      <c r="X1372" s="73"/>
    </row>
    <row r="1373">
      <c r="A1373" s="74"/>
      <c r="B1373" s="74"/>
      <c r="C1373" s="74"/>
      <c r="D1373" s="75"/>
      <c r="E1373" s="100"/>
      <c r="F1373" s="101"/>
      <c r="G1373" s="99"/>
      <c r="H1373" s="73"/>
      <c r="I1373" s="98"/>
      <c r="J1373" s="99"/>
      <c r="L1373" s="73"/>
      <c r="M1373" s="73"/>
      <c r="N1373" s="73"/>
      <c r="O1373" s="73"/>
      <c r="P1373" s="73"/>
      <c r="Q1373" s="73"/>
      <c r="R1373" s="73"/>
      <c r="S1373" s="73"/>
      <c r="T1373" s="73"/>
      <c r="U1373" s="73"/>
      <c r="V1373" s="73"/>
      <c r="W1373" s="73"/>
      <c r="X1373" s="73"/>
    </row>
    <row r="1374">
      <c r="A1374" s="74"/>
      <c r="B1374" s="74"/>
      <c r="C1374" s="74"/>
      <c r="D1374" s="75"/>
      <c r="E1374" s="100"/>
      <c r="F1374" s="101"/>
      <c r="G1374" s="99"/>
      <c r="H1374" s="73"/>
      <c r="I1374" s="98"/>
      <c r="J1374" s="99"/>
      <c r="L1374" s="73"/>
      <c r="M1374" s="73"/>
      <c r="N1374" s="73"/>
      <c r="O1374" s="73"/>
      <c r="P1374" s="73"/>
      <c r="Q1374" s="73"/>
      <c r="R1374" s="73"/>
      <c r="S1374" s="73"/>
      <c r="T1374" s="73"/>
      <c r="U1374" s="73"/>
      <c r="V1374" s="73"/>
      <c r="W1374" s="73"/>
      <c r="X1374" s="73"/>
    </row>
    <row r="1375">
      <c r="A1375" s="74"/>
      <c r="B1375" s="74"/>
      <c r="C1375" s="74"/>
      <c r="D1375" s="75"/>
      <c r="E1375" s="100"/>
      <c r="F1375" s="101"/>
      <c r="G1375" s="99"/>
      <c r="H1375" s="73"/>
      <c r="I1375" s="98"/>
      <c r="J1375" s="99"/>
      <c r="L1375" s="73"/>
      <c r="M1375" s="73"/>
      <c r="N1375" s="73"/>
      <c r="O1375" s="73"/>
      <c r="P1375" s="73"/>
      <c r="Q1375" s="73"/>
      <c r="R1375" s="73"/>
      <c r="S1375" s="73"/>
      <c r="T1375" s="73"/>
      <c r="U1375" s="73"/>
      <c r="V1375" s="73"/>
      <c r="W1375" s="73"/>
      <c r="X1375" s="73"/>
    </row>
    <row r="1376">
      <c r="A1376" s="74"/>
      <c r="B1376" s="74"/>
      <c r="C1376" s="74"/>
      <c r="D1376" s="75"/>
      <c r="E1376" s="100"/>
      <c r="F1376" s="101"/>
      <c r="G1376" s="99"/>
      <c r="H1376" s="73"/>
      <c r="I1376" s="98"/>
      <c r="J1376" s="99"/>
      <c r="L1376" s="73"/>
      <c r="M1376" s="73"/>
      <c r="N1376" s="73"/>
      <c r="O1376" s="73"/>
      <c r="P1376" s="73"/>
      <c r="Q1376" s="73"/>
      <c r="R1376" s="73"/>
      <c r="S1376" s="73"/>
      <c r="T1376" s="73"/>
      <c r="U1376" s="73"/>
      <c r="V1376" s="73"/>
      <c r="W1376" s="73"/>
      <c r="X1376" s="73"/>
    </row>
    <row r="1377">
      <c r="A1377" s="74"/>
      <c r="B1377" s="74"/>
      <c r="C1377" s="74"/>
      <c r="D1377" s="75"/>
      <c r="E1377" s="100"/>
      <c r="F1377" s="101"/>
      <c r="G1377" s="99"/>
      <c r="H1377" s="73"/>
      <c r="I1377" s="98"/>
      <c r="J1377" s="99"/>
      <c r="L1377" s="73"/>
      <c r="M1377" s="73"/>
      <c r="N1377" s="73"/>
      <c r="O1377" s="73"/>
      <c r="P1377" s="73"/>
      <c r="Q1377" s="73"/>
      <c r="R1377" s="73"/>
      <c r="S1377" s="73"/>
      <c r="T1377" s="73"/>
      <c r="U1377" s="73"/>
      <c r="V1377" s="73"/>
      <c r="W1377" s="73"/>
      <c r="X1377" s="73"/>
    </row>
    <row r="1378">
      <c r="A1378" s="74"/>
      <c r="B1378" s="74"/>
      <c r="C1378" s="74"/>
      <c r="D1378" s="75"/>
      <c r="E1378" s="100"/>
      <c r="F1378" s="101"/>
      <c r="G1378" s="99"/>
      <c r="H1378" s="73"/>
      <c r="I1378" s="98"/>
      <c r="J1378" s="99"/>
      <c r="L1378" s="73"/>
      <c r="M1378" s="73"/>
      <c r="N1378" s="73"/>
      <c r="O1378" s="73"/>
      <c r="P1378" s="73"/>
      <c r="Q1378" s="73"/>
      <c r="R1378" s="73"/>
      <c r="S1378" s="73"/>
      <c r="T1378" s="73"/>
      <c r="U1378" s="73"/>
      <c r="V1378" s="73"/>
      <c r="W1378" s="73"/>
      <c r="X1378" s="73"/>
    </row>
    <row r="1379">
      <c r="A1379" s="74"/>
      <c r="B1379" s="74"/>
      <c r="C1379" s="74"/>
      <c r="D1379" s="75"/>
      <c r="E1379" s="100"/>
      <c r="F1379" s="101"/>
      <c r="G1379" s="99"/>
      <c r="H1379" s="73"/>
      <c r="I1379" s="98"/>
      <c r="J1379" s="99"/>
      <c r="L1379" s="73"/>
      <c r="M1379" s="73"/>
      <c r="N1379" s="73"/>
      <c r="O1379" s="73"/>
      <c r="P1379" s="73"/>
      <c r="Q1379" s="73"/>
      <c r="R1379" s="73"/>
      <c r="S1379" s="73"/>
      <c r="T1379" s="73"/>
      <c r="U1379" s="73"/>
      <c r="V1379" s="73"/>
      <c r="W1379" s="73"/>
      <c r="X1379" s="73"/>
    </row>
    <row r="1380">
      <c r="A1380" s="74"/>
      <c r="B1380" s="74"/>
      <c r="C1380" s="74"/>
      <c r="D1380" s="75"/>
      <c r="E1380" s="100"/>
      <c r="F1380" s="101"/>
      <c r="G1380" s="99"/>
      <c r="H1380" s="73"/>
      <c r="I1380" s="98"/>
      <c r="J1380" s="99"/>
      <c r="L1380" s="73"/>
      <c r="M1380" s="73"/>
      <c r="N1380" s="73"/>
      <c r="O1380" s="73"/>
      <c r="P1380" s="73"/>
      <c r="Q1380" s="73"/>
      <c r="R1380" s="73"/>
      <c r="S1380" s="73"/>
      <c r="T1380" s="73"/>
      <c r="U1380" s="73"/>
      <c r="V1380" s="73"/>
      <c r="W1380" s="73"/>
      <c r="X1380" s="73"/>
    </row>
    <row r="1381">
      <c r="A1381" s="74"/>
      <c r="B1381" s="74"/>
      <c r="C1381" s="74"/>
      <c r="D1381" s="75"/>
      <c r="E1381" s="100"/>
      <c r="F1381" s="101"/>
      <c r="G1381" s="99"/>
      <c r="H1381" s="73"/>
      <c r="I1381" s="98"/>
      <c r="J1381" s="99"/>
      <c r="L1381" s="73"/>
      <c r="M1381" s="73"/>
      <c r="N1381" s="73"/>
      <c r="O1381" s="73"/>
      <c r="P1381" s="73"/>
      <c r="Q1381" s="73"/>
      <c r="R1381" s="73"/>
      <c r="S1381" s="73"/>
      <c r="T1381" s="73"/>
      <c r="U1381" s="73"/>
      <c r="V1381" s="73"/>
      <c r="W1381" s="73"/>
      <c r="X1381" s="73"/>
    </row>
    <row r="1382">
      <c r="A1382" s="74"/>
      <c r="B1382" s="74"/>
      <c r="C1382" s="74"/>
      <c r="D1382" s="75"/>
      <c r="E1382" s="100"/>
      <c r="F1382" s="101"/>
      <c r="G1382" s="99"/>
      <c r="H1382" s="73"/>
      <c r="I1382" s="98"/>
      <c r="J1382" s="99"/>
      <c r="L1382" s="73"/>
      <c r="M1382" s="73"/>
      <c r="N1382" s="73"/>
      <c r="O1382" s="73"/>
      <c r="P1382" s="73"/>
      <c r="Q1382" s="73"/>
      <c r="R1382" s="73"/>
      <c r="S1382" s="73"/>
      <c r="T1382" s="73"/>
      <c r="U1382" s="73"/>
      <c r="V1382" s="73"/>
      <c r="W1382" s="73"/>
      <c r="X1382" s="73"/>
    </row>
    <row r="1383">
      <c r="A1383" s="74"/>
      <c r="B1383" s="74"/>
      <c r="C1383" s="74"/>
      <c r="D1383" s="75"/>
      <c r="E1383" s="100"/>
      <c r="F1383" s="101"/>
      <c r="G1383" s="99"/>
      <c r="H1383" s="73"/>
      <c r="I1383" s="98"/>
      <c r="J1383" s="99"/>
      <c r="L1383" s="73"/>
      <c r="M1383" s="73"/>
      <c r="N1383" s="73"/>
      <c r="O1383" s="73"/>
      <c r="P1383" s="73"/>
      <c r="Q1383" s="73"/>
      <c r="R1383" s="73"/>
      <c r="S1383" s="73"/>
      <c r="T1383" s="73"/>
      <c r="U1383" s="73"/>
      <c r="V1383" s="73"/>
      <c r="W1383" s="73"/>
      <c r="X1383" s="73"/>
    </row>
    <row r="1384">
      <c r="A1384" s="74"/>
      <c r="B1384" s="74"/>
      <c r="C1384" s="74"/>
      <c r="D1384" s="75"/>
      <c r="E1384" s="100"/>
      <c r="F1384" s="101"/>
      <c r="G1384" s="99"/>
      <c r="H1384" s="73"/>
      <c r="I1384" s="98"/>
      <c r="J1384" s="99"/>
      <c r="L1384" s="73"/>
      <c r="M1384" s="73"/>
      <c r="N1384" s="73"/>
      <c r="O1384" s="73"/>
      <c r="P1384" s="73"/>
      <c r="Q1384" s="73"/>
      <c r="R1384" s="73"/>
      <c r="S1384" s="73"/>
      <c r="T1384" s="73"/>
      <c r="U1384" s="73"/>
      <c r="V1384" s="73"/>
      <c r="W1384" s="73"/>
      <c r="X1384" s="73"/>
    </row>
    <row r="1385">
      <c r="A1385" s="74"/>
      <c r="B1385" s="74"/>
      <c r="C1385" s="74"/>
      <c r="D1385" s="75"/>
      <c r="E1385" s="100"/>
      <c r="F1385" s="101"/>
      <c r="G1385" s="99"/>
      <c r="H1385" s="73"/>
      <c r="I1385" s="98"/>
      <c r="J1385" s="99"/>
      <c r="L1385" s="73"/>
      <c r="M1385" s="73"/>
      <c r="N1385" s="73"/>
      <c r="O1385" s="73"/>
      <c r="P1385" s="73"/>
      <c r="Q1385" s="73"/>
      <c r="R1385" s="73"/>
      <c r="S1385" s="73"/>
      <c r="T1385" s="73"/>
      <c r="U1385" s="73"/>
      <c r="V1385" s="73"/>
      <c r="W1385" s="73"/>
      <c r="X1385" s="73"/>
    </row>
    <row r="1386">
      <c r="A1386" s="74"/>
      <c r="B1386" s="74"/>
      <c r="C1386" s="74"/>
      <c r="D1386" s="75"/>
      <c r="E1386" s="100"/>
      <c r="F1386" s="101"/>
      <c r="G1386" s="99"/>
      <c r="H1386" s="73"/>
      <c r="I1386" s="98"/>
      <c r="J1386" s="99"/>
      <c r="L1386" s="73"/>
      <c r="M1386" s="73"/>
      <c r="N1386" s="73"/>
      <c r="O1386" s="73"/>
      <c r="P1386" s="73"/>
      <c r="Q1386" s="73"/>
      <c r="R1386" s="73"/>
      <c r="S1386" s="73"/>
      <c r="T1386" s="73"/>
      <c r="U1386" s="73"/>
      <c r="V1386" s="73"/>
      <c r="W1386" s="73"/>
      <c r="X1386" s="73"/>
    </row>
    <row r="1387">
      <c r="A1387" s="74"/>
      <c r="B1387" s="74"/>
      <c r="C1387" s="74"/>
      <c r="D1387" s="75"/>
      <c r="E1387" s="100"/>
      <c r="F1387" s="101"/>
      <c r="G1387" s="99"/>
      <c r="H1387" s="73"/>
      <c r="I1387" s="98"/>
      <c r="J1387" s="99"/>
      <c r="L1387" s="73"/>
      <c r="M1387" s="73"/>
      <c r="N1387" s="73"/>
      <c r="O1387" s="73"/>
      <c r="P1387" s="73"/>
      <c r="Q1387" s="73"/>
      <c r="R1387" s="73"/>
      <c r="S1387" s="73"/>
      <c r="T1387" s="73"/>
      <c r="U1387" s="73"/>
      <c r="V1387" s="73"/>
      <c r="W1387" s="73"/>
      <c r="X1387" s="73"/>
    </row>
    <row r="1388">
      <c r="A1388" s="74"/>
      <c r="B1388" s="74"/>
      <c r="C1388" s="74"/>
      <c r="D1388" s="75"/>
      <c r="E1388" s="100"/>
      <c r="F1388" s="101"/>
      <c r="G1388" s="99"/>
      <c r="H1388" s="73"/>
      <c r="I1388" s="98"/>
      <c r="J1388" s="99"/>
      <c r="L1388" s="73"/>
      <c r="M1388" s="73"/>
      <c r="N1388" s="73"/>
      <c r="O1388" s="73"/>
      <c r="P1388" s="73"/>
      <c r="Q1388" s="73"/>
      <c r="R1388" s="73"/>
      <c r="S1388" s="73"/>
      <c r="T1388" s="73"/>
      <c r="U1388" s="73"/>
      <c r="V1388" s="73"/>
      <c r="W1388" s="73"/>
      <c r="X1388" s="73"/>
    </row>
    <row r="1389">
      <c r="A1389" s="74"/>
      <c r="B1389" s="74"/>
      <c r="C1389" s="74"/>
      <c r="D1389" s="75"/>
      <c r="E1389" s="100"/>
      <c r="F1389" s="101"/>
      <c r="G1389" s="99"/>
      <c r="H1389" s="73"/>
      <c r="I1389" s="98"/>
      <c r="J1389" s="99"/>
      <c r="L1389" s="73"/>
      <c r="M1389" s="73"/>
      <c r="N1389" s="73"/>
      <c r="O1389" s="73"/>
      <c r="P1389" s="73"/>
      <c r="Q1389" s="73"/>
      <c r="R1389" s="73"/>
      <c r="S1389" s="73"/>
      <c r="T1389" s="73"/>
      <c r="U1389" s="73"/>
      <c r="V1389" s="73"/>
      <c r="W1389" s="73"/>
      <c r="X1389" s="73"/>
    </row>
    <row r="1390">
      <c r="A1390" s="74"/>
      <c r="B1390" s="74"/>
      <c r="C1390" s="74"/>
      <c r="D1390" s="75"/>
      <c r="E1390" s="100"/>
      <c r="F1390" s="101"/>
      <c r="G1390" s="99"/>
      <c r="H1390" s="73"/>
      <c r="I1390" s="98"/>
      <c r="J1390" s="99"/>
      <c r="L1390" s="73"/>
      <c r="M1390" s="73"/>
      <c r="N1390" s="73"/>
      <c r="O1390" s="73"/>
      <c r="P1390" s="73"/>
      <c r="Q1390" s="73"/>
      <c r="R1390" s="73"/>
      <c r="S1390" s="73"/>
      <c r="T1390" s="73"/>
      <c r="U1390" s="73"/>
      <c r="V1390" s="73"/>
      <c r="W1390" s="73"/>
      <c r="X1390" s="73"/>
    </row>
    <row r="1391">
      <c r="A1391" s="74"/>
      <c r="B1391" s="74"/>
      <c r="C1391" s="74"/>
      <c r="D1391" s="75"/>
      <c r="E1391" s="100"/>
      <c r="F1391" s="101"/>
      <c r="G1391" s="99"/>
      <c r="H1391" s="73"/>
      <c r="I1391" s="98"/>
      <c r="J1391" s="99"/>
      <c r="L1391" s="73"/>
      <c r="M1391" s="73"/>
      <c r="N1391" s="73"/>
      <c r="O1391" s="73"/>
      <c r="P1391" s="73"/>
      <c r="Q1391" s="73"/>
      <c r="R1391" s="73"/>
      <c r="S1391" s="73"/>
      <c r="T1391" s="73"/>
      <c r="U1391" s="73"/>
      <c r="V1391" s="73"/>
      <c r="W1391" s="73"/>
      <c r="X1391" s="73"/>
    </row>
    <row r="1392">
      <c r="A1392" s="74"/>
      <c r="B1392" s="74"/>
      <c r="C1392" s="74"/>
      <c r="D1392" s="75"/>
      <c r="E1392" s="100"/>
      <c r="F1392" s="101"/>
      <c r="G1392" s="99"/>
      <c r="H1392" s="73"/>
      <c r="I1392" s="98"/>
      <c r="J1392" s="99"/>
      <c r="L1392" s="73"/>
      <c r="M1392" s="73"/>
      <c r="N1392" s="73"/>
      <c r="O1392" s="73"/>
      <c r="P1392" s="73"/>
      <c r="Q1392" s="73"/>
      <c r="R1392" s="73"/>
      <c r="S1392" s="73"/>
      <c r="T1392" s="73"/>
      <c r="U1392" s="73"/>
      <c r="V1392" s="73"/>
      <c r="W1392" s="73"/>
      <c r="X1392" s="73"/>
    </row>
    <row r="1393">
      <c r="A1393" s="74"/>
      <c r="B1393" s="74"/>
      <c r="C1393" s="74"/>
      <c r="D1393" s="75"/>
      <c r="E1393" s="100"/>
      <c r="F1393" s="101"/>
      <c r="G1393" s="99"/>
      <c r="H1393" s="73"/>
      <c r="I1393" s="98"/>
      <c r="J1393" s="99"/>
      <c r="L1393" s="73"/>
      <c r="M1393" s="73"/>
      <c r="N1393" s="73"/>
      <c r="O1393" s="73"/>
      <c r="P1393" s="73"/>
      <c r="Q1393" s="73"/>
      <c r="R1393" s="73"/>
      <c r="S1393" s="73"/>
      <c r="T1393" s="73"/>
      <c r="U1393" s="73"/>
      <c r="V1393" s="73"/>
      <c r="W1393" s="73"/>
      <c r="X1393" s="73"/>
    </row>
    <row r="1394">
      <c r="A1394" s="74"/>
      <c r="B1394" s="74"/>
      <c r="C1394" s="74"/>
      <c r="D1394" s="75"/>
      <c r="E1394" s="100"/>
      <c r="F1394" s="101"/>
      <c r="G1394" s="99"/>
      <c r="H1394" s="73"/>
      <c r="I1394" s="98"/>
      <c r="J1394" s="99"/>
      <c r="L1394" s="73"/>
      <c r="M1394" s="73"/>
      <c r="N1394" s="73"/>
      <c r="O1394" s="73"/>
      <c r="P1394" s="73"/>
      <c r="Q1394" s="73"/>
      <c r="R1394" s="73"/>
      <c r="S1394" s="73"/>
      <c r="T1394" s="73"/>
      <c r="U1394" s="73"/>
      <c r="V1394" s="73"/>
      <c r="W1394" s="73"/>
      <c r="X1394" s="73"/>
    </row>
    <row r="1395">
      <c r="A1395" s="74"/>
      <c r="B1395" s="74"/>
      <c r="C1395" s="74"/>
      <c r="D1395" s="75"/>
      <c r="E1395" s="100"/>
      <c r="F1395" s="101"/>
      <c r="G1395" s="99"/>
      <c r="H1395" s="73"/>
      <c r="I1395" s="98"/>
      <c r="J1395" s="99"/>
      <c r="L1395" s="73"/>
      <c r="M1395" s="73"/>
      <c r="N1395" s="73"/>
      <c r="O1395" s="73"/>
      <c r="P1395" s="73"/>
      <c r="Q1395" s="73"/>
      <c r="R1395" s="73"/>
      <c r="S1395" s="73"/>
      <c r="T1395" s="73"/>
      <c r="U1395" s="73"/>
      <c r="V1395" s="73"/>
      <c r="W1395" s="73"/>
      <c r="X1395" s="73"/>
    </row>
    <row r="1396">
      <c r="A1396" s="74"/>
      <c r="B1396" s="74"/>
      <c r="C1396" s="74"/>
      <c r="D1396" s="75"/>
      <c r="E1396" s="100"/>
      <c r="F1396" s="101"/>
      <c r="G1396" s="99"/>
      <c r="H1396" s="73"/>
      <c r="I1396" s="98"/>
      <c r="J1396" s="99"/>
      <c r="L1396" s="73"/>
      <c r="M1396" s="73"/>
      <c r="N1396" s="73"/>
      <c r="O1396" s="73"/>
      <c r="P1396" s="73"/>
      <c r="Q1396" s="73"/>
      <c r="R1396" s="73"/>
      <c r="S1396" s="73"/>
      <c r="T1396" s="73"/>
      <c r="U1396" s="73"/>
      <c r="V1396" s="73"/>
      <c r="W1396" s="73"/>
      <c r="X1396" s="73"/>
    </row>
    <row r="1397">
      <c r="A1397" s="74"/>
      <c r="B1397" s="74"/>
      <c r="C1397" s="74"/>
      <c r="D1397" s="75"/>
      <c r="E1397" s="100"/>
      <c r="F1397" s="101"/>
      <c r="G1397" s="99"/>
      <c r="H1397" s="73"/>
      <c r="I1397" s="98"/>
      <c r="J1397" s="99"/>
      <c r="L1397" s="73"/>
      <c r="M1397" s="73"/>
      <c r="N1397" s="73"/>
      <c r="O1397" s="73"/>
      <c r="P1397" s="73"/>
      <c r="Q1397" s="73"/>
      <c r="R1397" s="73"/>
      <c r="S1397" s="73"/>
      <c r="T1397" s="73"/>
      <c r="U1397" s="73"/>
      <c r="V1397" s="73"/>
      <c r="W1397" s="73"/>
      <c r="X1397" s="73"/>
    </row>
    <row r="1398">
      <c r="A1398" s="74"/>
      <c r="B1398" s="74"/>
      <c r="C1398" s="74"/>
      <c r="D1398" s="75"/>
      <c r="E1398" s="100"/>
      <c r="F1398" s="101"/>
      <c r="G1398" s="99"/>
      <c r="H1398" s="73"/>
      <c r="I1398" s="98"/>
      <c r="J1398" s="99"/>
      <c r="L1398" s="73"/>
      <c r="M1398" s="73"/>
      <c r="N1398" s="73"/>
      <c r="O1398" s="73"/>
      <c r="P1398" s="73"/>
      <c r="Q1398" s="73"/>
      <c r="R1398" s="73"/>
      <c r="S1398" s="73"/>
      <c r="T1398" s="73"/>
      <c r="U1398" s="73"/>
      <c r="V1398" s="73"/>
      <c r="W1398" s="73"/>
      <c r="X1398" s="73"/>
    </row>
    <row r="1399">
      <c r="A1399" s="74"/>
      <c r="B1399" s="74"/>
      <c r="C1399" s="74"/>
      <c r="D1399" s="75"/>
      <c r="E1399" s="100"/>
      <c r="F1399" s="101"/>
      <c r="G1399" s="99"/>
      <c r="H1399" s="73"/>
      <c r="I1399" s="98"/>
      <c r="J1399" s="99"/>
      <c r="L1399" s="73"/>
      <c r="M1399" s="73"/>
      <c r="N1399" s="73"/>
      <c r="O1399" s="73"/>
      <c r="P1399" s="73"/>
      <c r="Q1399" s="73"/>
      <c r="R1399" s="73"/>
      <c r="S1399" s="73"/>
      <c r="T1399" s="73"/>
      <c r="U1399" s="73"/>
      <c r="V1399" s="73"/>
      <c r="W1399" s="73"/>
      <c r="X1399" s="73"/>
    </row>
    <row r="1400">
      <c r="A1400" s="74"/>
      <c r="B1400" s="74"/>
      <c r="C1400" s="74"/>
      <c r="D1400" s="75"/>
      <c r="E1400" s="100"/>
      <c r="F1400" s="101"/>
      <c r="G1400" s="99"/>
      <c r="H1400" s="73"/>
      <c r="I1400" s="98"/>
      <c r="J1400" s="99"/>
      <c r="L1400" s="73"/>
      <c r="M1400" s="73"/>
      <c r="N1400" s="73"/>
      <c r="O1400" s="73"/>
      <c r="P1400" s="73"/>
      <c r="Q1400" s="73"/>
      <c r="R1400" s="73"/>
      <c r="S1400" s="73"/>
      <c r="T1400" s="73"/>
      <c r="U1400" s="73"/>
      <c r="V1400" s="73"/>
      <c r="W1400" s="73"/>
      <c r="X1400" s="73"/>
    </row>
    <row r="1401">
      <c r="A1401" s="74"/>
      <c r="B1401" s="74"/>
      <c r="C1401" s="74"/>
      <c r="D1401" s="75"/>
      <c r="E1401" s="100"/>
      <c r="F1401" s="101"/>
      <c r="G1401" s="99"/>
      <c r="H1401" s="73"/>
      <c r="I1401" s="98"/>
      <c r="J1401" s="99"/>
      <c r="L1401" s="73"/>
      <c r="M1401" s="73"/>
      <c r="N1401" s="73"/>
      <c r="O1401" s="73"/>
      <c r="P1401" s="73"/>
      <c r="Q1401" s="73"/>
      <c r="R1401" s="73"/>
      <c r="S1401" s="73"/>
      <c r="T1401" s="73"/>
      <c r="U1401" s="73"/>
      <c r="V1401" s="73"/>
      <c r="W1401" s="73"/>
      <c r="X1401" s="73"/>
    </row>
    <row r="1402">
      <c r="A1402" s="74"/>
      <c r="B1402" s="74"/>
      <c r="C1402" s="74"/>
      <c r="D1402" s="75"/>
      <c r="E1402" s="100"/>
      <c r="F1402" s="101"/>
      <c r="G1402" s="99"/>
      <c r="H1402" s="73"/>
      <c r="I1402" s="98"/>
      <c r="J1402" s="99"/>
      <c r="L1402" s="73"/>
      <c r="M1402" s="73"/>
      <c r="N1402" s="73"/>
      <c r="O1402" s="73"/>
      <c r="P1402" s="73"/>
      <c r="Q1402" s="73"/>
      <c r="R1402" s="73"/>
      <c r="S1402" s="73"/>
      <c r="T1402" s="73"/>
      <c r="U1402" s="73"/>
      <c r="V1402" s="73"/>
      <c r="W1402" s="73"/>
      <c r="X1402" s="73"/>
    </row>
    <row r="1403">
      <c r="A1403" s="74"/>
      <c r="B1403" s="74"/>
      <c r="C1403" s="74"/>
      <c r="D1403" s="75"/>
      <c r="E1403" s="100"/>
      <c r="F1403" s="101"/>
      <c r="G1403" s="99"/>
      <c r="H1403" s="73"/>
      <c r="I1403" s="98"/>
      <c r="J1403" s="99"/>
      <c r="L1403" s="73"/>
      <c r="M1403" s="73"/>
      <c r="N1403" s="73"/>
      <c r="O1403" s="73"/>
      <c r="P1403" s="73"/>
      <c r="Q1403" s="73"/>
      <c r="R1403" s="73"/>
      <c r="S1403" s="73"/>
      <c r="T1403" s="73"/>
      <c r="U1403" s="73"/>
      <c r="V1403" s="73"/>
      <c r="W1403" s="73"/>
      <c r="X1403" s="73"/>
    </row>
    <row r="1404">
      <c r="A1404" s="74"/>
      <c r="B1404" s="74"/>
      <c r="C1404" s="74"/>
      <c r="D1404" s="75"/>
      <c r="E1404" s="100"/>
      <c r="F1404" s="101"/>
      <c r="G1404" s="99"/>
      <c r="H1404" s="73"/>
      <c r="I1404" s="98"/>
      <c r="J1404" s="99"/>
      <c r="L1404" s="73"/>
      <c r="M1404" s="73"/>
      <c r="N1404" s="73"/>
      <c r="O1404" s="73"/>
      <c r="P1404" s="73"/>
      <c r="Q1404" s="73"/>
      <c r="R1404" s="73"/>
      <c r="S1404" s="73"/>
      <c r="T1404" s="73"/>
      <c r="U1404" s="73"/>
      <c r="V1404" s="73"/>
      <c r="W1404" s="73"/>
      <c r="X1404" s="73"/>
    </row>
    <row r="1405">
      <c r="A1405" s="74"/>
      <c r="B1405" s="74"/>
      <c r="C1405" s="74"/>
      <c r="D1405" s="75"/>
      <c r="E1405" s="100"/>
      <c r="F1405" s="101"/>
      <c r="G1405" s="99"/>
      <c r="H1405" s="73"/>
      <c r="I1405" s="98"/>
      <c r="J1405" s="99"/>
      <c r="L1405" s="73"/>
      <c r="M1405" s="73"/>
      <c r="N1405" s="73"/>
      <c r="O1405" s="73"/>
      <c r="P1405" s="73"/>
      <c r="Q1405" s="73"/>
      <c r="R1405" s="73"/>
      <c r="S1405" s="73"/>
      <c r="T1405" s="73"/>
      <c r="U1405" s="73"/>
      <c r="V1405" s="73"/>
      <c r="W1405" s="73"/>
      <c r="X1405" s="73"/>
    </row>
    <row r="1406">
      <c r="A1406" s="74"/>
      <c r="B1406" s="74"/>
      <c r="C1406" s="74"/>
      <c r="D1406" s="75"/>
      <c r="E1406" s="100"/>
      <c r="F1406" s="101"/>
      <c r="G1406" s="99"/>
      <c r="H1406" s="73"/>
      <c r="I1406" s="98"/>
      <c r="J1406" s="99"/>
      <c r="L1406" s="73"/>
      <c r="M1406" s="73"/>
      <c r="N1406" s="73"/>
      <c r="O1406" s="73"/>
      <c r="P1406" s="73"/>
      <c r="Q1406" s="73"/>
      <c r="R1406" s="73"/>
      <c r="S1406" s="73"/>
      <c r="T1406" s="73"/>
      <c r="U1406" s="73"/>
      <c r="V1406" s="73"/>
      <c r="W1406" s="73"/>
      <c r="X1406" s="73"/>
    </row>
    <row r="1407">
      <c r="A1407" s="74"/>
      <c r="B1407" s="74"/>
      <c r="C1407" s="74"/>
      <c r="D1407" s="75"/>
      <c r="E1407" s="100"/>
      <c r="F1407" s="101"/>
      <c r="G1407" s="99"/>
      <c r="H1407" s="73"/>
      <c r="I1407" s="98"/>
      <c r="J1407" s="99"/>
      <c r="L1407" s="73"/>
      <c r="M1407" s="73"/>
      <c r="N1407" s="73"/>
      <c r="O1407" s="73"/>
      <c r="P1407" s="73"/>
      <c r="Q1407" s="73"/>
      <c r="R1407" s="73"/>
      <c r="S1407" s="73"/>
      <c r="T1407" s="73"/>
      <c r="U1407" s="73"/>
      <c r="V1407" s="73"/>
      <c r="W1407" s="73"/>
      <c r="X1407" s="73"/>
    </row>
    <row r="1408">
      <c r="A1408" s="74"/>
      <c r="B1408" s="74"/>
      <c r="C1408" s="74"/>
      <c r="D1408" s="75"/>
      <c r="E1408" s="100"/>
      <c r="F1408" s="101"/>
      <c r="G1408" s="99"/>
      <c r="H1408" s="73"/>
      <c r="I1408" s="98"/>
      <c r="J1408" s="99"/>
      <c r="L1408" s="73"/>
      <c r="M1408" s="73"/>
      <c r="N1408" s="73"/>
      <c r="O1408" s="73"/>
      <c r="P1408" s="73"/>
      <c r="Q1408" s="73"/>
      <c r="R1408" s="73"/>
      <c r="S1408" s="73"/>
      <c r="T1408" s="73"/>
      <c r="U1408" s="73"/>
      <c r="V1408" s="73"/>
      <c r="W1408" s="73"/>
      <c r="X1408" s="73"/>
    </row>
    <row r="1409">
      <c r="A1409" s="74"/>
      <c r="B1409" s="74"/>
      <c r="C1409" s="74"/>
      <c r="D1409" s="75"/>
      <c r="E1409" s="100"/>
      <c r="F1409" s="101"/>
      <c r="G1409" s="99"/>
      <c r="H1409" s="73"/>
      <c r="I1409" s="98"/>
      <c r="J1409" s="99"/>
      <c r="L1409" s="73"/>
      <c r="M1409" s="73"/>
      <c r="N1409" s="73"/>
      <c r="O1409" s="73"/>
      <c r="P1409" s="73"/>
      <c r="Q1409" s="73"/>
      <c r="R1409" s="73"/>
      <c r="S1409" s="73"/>
      <c r="T1409" s="73"/>
      <c r="U1409" s="73"/>
      <c r="V1409" s="73"/>
      <c r="W1409" s="73"/>
      <c r="X1409" s="73"/>
    </row>
    <row r="1410">
      <c r="A1410" s="74"/>
      <c r="B1410" s="74"/>
      <c r="C1410" s="74"/>
      <c r="D1410" s="75"/>
      <c r="E1410" s="100"/>
      <c r="F1410" s="101"/>
      <c r="G1410" s="99"/>
      <c r="H1410" s="73"/>
      <c r="I1410" s="98"/>
      <c r="J1410" s="99"/>
      <c r="L1410" s="73"/>
      <c r="M1410" s="73"/>
      <c r="N1410" s="73"/>
      <c r="O1410" s="73"/>
      <c r="P1410" s="73"/>
      <c r="Q1410" s="73"/>
      <c r="R1410" s="73"/>
      <c r="S1410" s="73"/>
      <c r="T1410" s="73"/>
      <c r="U1410" s="73"/>
      <c r="V1410" s="73"/>
      <c r="W1410" s="73"/>
      <c r="X1410" s="73"/>
    </row>
    <row r="1411">
      <c r="A1411" s="74"/>
      <c r="B1411" s="74"/>
      <c r="C1411" s="74"/>
      <c r="D1411" s="75"/>
      <c r="E1411" s="100"/>
      <c r="F1411" s="101"/>
      <c r="G1411" s="99"/>
      <c r="H1411" s="73"/>
      <c r="I1411" s="98"/>
      <c r="J1411" s="99"/>
      <c r="L1411" s="73"/>
      <c r="M1411" s="73"/>
      <c r="N1411" s="73"/>
      <c r="O1411" s="73"/>
      <c r="P1411" s="73"/>
      <c r="Q1411" s="73"/>
      <c r="R1411" s="73"/>
      <c r="S1411" s="73"/>
      <c r="T1411" s="73"/>
      <c r="U1411" s="73"/>
      <c r="V1411" s="73"/>
      <c r="W1411" s="73"/>
      <c r="X1411" s="73"/>
    </row>
    <row r="1412">
      <c r="A1412" s="74"/>
      <c r="B1412" s="74"/>
      <c r="C1412" s="74"/>
      <c r="D1412" s="75"/>
      <c r="E1412" s="100"/>
      <c r="F1412" s="101"/>
      <c r="G1412" s="99"/>
      <c r="H1412" s="73"/>
      <c r="I1412" s="98"/>
      <c r="J1412" s="99"/>
      <c r="L1412" s="73"/>
      <c r="M1412" s="73"/>
      <c r="N1412" s="73"/>
      <c r="O1412" s="73"/>
      <c r="P1412" s="73"/>
      <c r="Q1412" s="73"/>
      <c r="R1412" s="73"/>
      <c r="S1412" s="73"/>
      <c r="T1412" s="73"/>
      <c r="U1412" s="73"/>
      <c r="V1412" s="73"/>
      <c r="W1412" s="73"/>
      <c r="X1412" s="73"/>
    </row>
    <row r="1413">
      <c r="A1413" s="74"/>
      <c r="B1413" s="74"/>
      <c r="C1413" s="74"/>
      <c r="D1413" s="75"/>
      <c r="E1413" s="100"/>
      <c r="F1413" s="101"/>
      <c r="G1413" s="99"/>
      <c r="H1413" s="73"/>
      <c r="I1413" s="98"/>
      <c r="J1413" s="99"/>
      <c r="L1413" s="73"/>
      <c r="M1413" s="73"/>
      <c r="N1413" s="73"/>
      <c r="O1413" s="73"/>
      <c r="P1413" s="73"/>
      <c r="Q1413" s="73"/>
      <c r="R1413" s="73"/>
      <c r="S1413" s="73"/>
      <c r="T1413" s="73"/>
      <c r="U1413" s="73"/>
      <c r="V1413" s="73"/>
      <c r="W1413" s="73"/>
      <c r="X1413" s="73"/>
    </row>
    <row r="1414">
      <c r="A1414" s="74"/>
      <c r="B1414" s="74"/>
      <c r="C1414" s="74"/>
      <c r="D1414" s="75"/>
      <c r="E1414" s="100"/>
      <c r="F1414" s="101"/>
      <c r="G1414" s="99"/>
      <c r="H1414" s="73"/>
      <c r="I1414" s="98"/>
      <c r="J1414" s="99"/>
      <c r="L1414" s="73"/>
      <c r="M1414" s="73"/>
      <c r="N1414" s="73"/>
      <c r="O1414" s="73"/>
      <c r="P1414" s="73"/>
      <c r="Q1414" s="73"/>
      <c r="R1414" s="73"/>
      <c r="S1414" s="73"/>
      <c r="T1414" s="73"/>
      <c r="U1414" s="73"/>
      <c r="V1414" s="73"/>
      <c r="W1414" s="73"/>
      <c r="X1414" s="73"/>
    </row>
    <row r="1415">
      <c r="A1415" s="74"/>
      <c r="B1415" s="74"/>
      <c r="C1415" s="74"/>
      <c r="D1415" s="75"/>
      <c r="E1415" s="100"/>
      <c r="F1415" s="101"/>
      <c r="G1415" s="99"/>
      <c r="H1415" s="73"/>
      <c r="I1415" s="98"/>
      <c r="J1415" s="99"/>
      <c r="L1415" s="73"/>
      <c r="M1415" s="73"/>
      <c r="N1415" s="73"/>
      <c r="O1415" s="73"/>
      <c r="P1415" s="73"/>
      <c r="Q1415" s="73"/>
      <c r="R1415" s="73"/>
      <c r="S1415" s="73"/>
      <c r="T1415" s="73"/>
      <c r="U1415" s="73"/>
      <c r="V1415" s="73"/>
      <c r="W1415" s="73"/>
      <c r="X1415" s="73"/>
    </row>
    <row r="1416">
      <c r="A1416" s="74"/>
      <c r="B1416" s="74"/>
      <c r="C1416" s="74"/>
      <c r="D1416" s="75"/>
      <c r="E1416" s="100"/>
      <c r="F1416" s="101"/>
      <c r="G1416" s="99"/>
      <c r="H1416" s="73"/>
      <c r="I1416" s="98"/>
      <c r="J1416" s="99"/>
      <c r="L1416" s="73"/>
      <c r="M1416" s="73"/>
      <c r="N1416" s="73"/>
      <c r="O1416" s="73"/>
      <c r="P1416" s="73"/>
      <c r="Q1416" s="73"/>
      <c r="R1416" s="73"/>
      <c r="S1416" s="73"/>
      <c r="T1416" s="73"/>
      <c r="U1416" s="73"/>
      <c r="V1416" s="73"/>
      <c r="W1416" s="73"/>
      <c r="X1416" s="73"/>
    </row>
    <row r="1417">
      <c r="A1417" s="74"/>
      <c r="B1417" s="74"/>
      <c r="C1417" s="74"/>
      <c r="D1417" s="75"/>
      <c r="E1417" s="100"/>
      <c r="F1417" s="101"/>
      <c r="G1417" s="99"/>
      <c r="H1417" s="73"/>
      <c r="I1417" s="98"/>
      <c r="J1417" s="99"/>
      <c r="L1417" s="73"/>
      <c r="M1417" s="73"/>
      <c r="N1417" s="73"/>
      <c r="O1417" s="73"/>
      <c r="P1417" s="73"/>
      <c r="Q1417" s="73"/>
      <c r="R1417" s="73"/>
      <c r="S1417" s="73"/>
      <c r="T1417" s="73"/>
      <c r="U1417" s="73"/>
      <c r="V1417" s="73"/>
      <c r="W1417" s="73"/>
      <c r="X1417" s="73"/>
    </row>
    <row r="1418">
      <c r="A1418" s="74"/>
      <c r="B1418" s="74"/>
      <c r="C1418" s="74"/>
      <c r="D1418" s="75"/>
      <c r="E1418" s="100"/>
      <c r="F1418" s="101"/>
      <c r="G1418" s="99"/>
      <c r="H1418" s="73"/>
      <c r="I1418" s="98"/>
      <c r="J1418" s="99"/>
      <c r="L1418" s="73"/>
      <c r="M1418" s="73"/>
      <c r="N1418" s="73"/>
      <c r="O1418" s="73"/>
      <c r="P1418" s="73"/>
      <c r="Q1418" s="73"/>
      <c r="R1418" s="73"/>
      <c r="S1418" s="73"/>
      <c r="T1418" s="73"/>
      <c r="U1418" s="73"/>
      <c r="V1418" s="73"/>
      <c r="W1418" s="73"/>
      <c r="X1418" s="73"/>
    </row>
    <row r="1419">
      <c r="A1419" s="74"/>
      <c r="B1419" s="74"/>
      <c r="C1419" s="74"/>
      <c r="D1419" s="75"/>
      <c r="E1419" s="100"/>
      <c r="F1419" s="101"/>
      <c r="G1419" s="99"/>
      <c r="H1419" s="73"/>
      <c r="I1419" s="98"/>
      <c r="J1419" s="99"/>
      <c r="L1419" s="73"/>
      <c r="M1419" s="73"/>
      <c r="N1419" s="73"/>
      <c r="O1419" s="73"/>
      <c r="P1419" s="73"/>
      <c r="Q1419" s="73"/>
      <c r="R1419" s="73"/>
      <c r="S1419" s="73"/>
      <c r="T1419" s="73"/>
      <c r="U1419" s="73"/>
      <c r="V1419" s="73"/>
      <c r="W1419" s="73"/>
      <c r="X1419" s="73"/>
    </row>
    <row r="1420">
      <c r="A1420" s="74"/>
      <c r="B1420" s="74"/>
      <c r="C1420" s="74"/>
      <c r="D1420" s="75"/>
      <c r="E1420" s="100"/>
      <c r="F1420" s="101"/>
      <c r="G1420" s="99"/>
      <c r="H1420" s="73"/>
      <c r="I1420" s="98"/>
      <c r="J1420" s="99"/>
      <c r="L1420" s="73"/>
      <c r="M1420" s="73"/>
      <c r="N1420" s="73"/>
      <c r="O1420" s="73"/>
      <c r="P1420" s="73"/>
      <c r="Q1420" s="73"/>
      <c r="R1420" s="73"/>
      <c r="S1420" s="73"/>
      <c r="T1420" s="73"/>
      <c r="U1420" s="73"/>
      <c r="V1420" s="73"/>
      <c r="W1420" s="73"/>
      <c r="X1420" s="73"/>
    </row>
    <row r="1421">
      <c r="A1421" s="74"/>
      <c r="B1421" s="74"/>
      <c r="C1421" s="74"/>
      <c r="D1421" s="75"/>
      <c r="E1421" s="100"/>
      <c r="F1421" s="101"/>
      <c r="G1421" s="99"/>
      <c r="H1421" s="73"/>
      <c r="I1421" s="98"/>
      <c r="J1421" s="99"/>
      <c r="L1421" s="73"/>
      <c r="M1421" s="73"/>
      <c r="N1421" s="73"/>
      <c r="O1421" s="73"/>
      <c r="P1421" s="73"/>
      <c r="Q1421" s="73"/>
      <c r="R1421" s="73"/>
      <c r="S1421" s="73"/>
      <c r="T1421" s="73"/>
      <c r="U1421" s="73"/>
      <c r="V1421" s="73"/>
      <c r="W1421" s="73"/>
      <c r="X1421" s="73"/>
    </row>
    <row r="1422">
      <c r="A1422" s="74"/>
      <c r="B1422" s="74"/>
      <c r="C1422" s="74"/>
      <c r="D1422" s="75"/>
      <c r="E1422" s="100"/>
      <c r="F1422" s="101"/>
      <c r="G1422" s="99"/>
      <c r="H1422" s="73"/>
      <c r="I1422" s="98"/>
      <c r="J1422" s="99"/>
      <c r="L1422" s="73"/>
      <c r="M1422" s="73"/>
      <c r="N1422" s="73"/>
      <c r="O1422" s="73"/>
      <c r="P1422" s="73"/>
      <c r="Q1422" s="73"/>
      <c r="R1422" s="73"/>
      <c r="S1422" s="73"/>
      <c r="T1422" s="73"/>
      <c r="U1422" s="73"/>
      <c r="V1422" s="73"/>
      <c r="W1422" s="73"/>
      <c r="X1422" s="73"/>
    </row>
    <row r="1423">
      <c r="A1423" s="74"/>
      <c r="B1423" s="74"/>
      <c r="C1423" s="74"/>
      <c r="D1423" s="75"/>
      <c r="E1423" s="100"/>
      <c r="F1423" s="101"/>
      <c r="G1423" s="99"/>
      <c r="H1423" s="73"/>
      <c r="I1423" s="98"/>
      <c r="J1423" s="99"/>
      <c r="L1423" s="73"/>
      <c r="M1423" s="73"/>
      <c r="N1423" s="73"/>
      <c r="O1423" s="73"/>
      <c r="P1423" s="73"/>
      <c r="Q1423" s="73"/>
      <c r="R1423" s="73"/>
      <c r="S1423" s="73"/>
      <c r="T1423" s="73"/>
      <c r="U1423" s="73"/>
      <c r="V1423" s="73"/>
      <c r="W1423" s="73"/>
      <c r="X1423" s="73"/>
    </row>
    <row r="1424">
      <c r="A1424" s="74"/>
      <c r="B1424" s="74"/>
      <c r="C1424" s="74"/>
      <c r="D1424" s="75"/>
      <c r="E1424" s="100"/>
      <c r="F1424" s="101"/>
      <c r="G1424" s="99"/>
      <c r="H1424" s="73"/>
      <c r="I1424" s="98"/>
      <c r="J1424" s="99"/>
      <c r="L1424" s="73"/>
      <c r="M1424" s="73"/>
      <c r="N1424" s="73"/>
      <c r="O1424" s="73"/>
      <c r="P1424" s="73"/>
      <c r="Q1424" s="73"/>
      <c r="R1424" s="73"/>
      <c r="S1424" s="73"/>
      <c r="T1424" s="73"/>
      <c r="U1424" s="73"/>
      <c r="V1424" s="73"/>
      <c r="W1424" s="73"/>
      <c r="X1424" s="73"/>
    </row>
    <row r="1425">
      <c r="A1425" s="74"/>
      <c r="B1425" s="74"/>
      <c r="C1425" s="74"/>
      <c r="D1425" s="75"/>
      <c r="E1425" s="100"/>
      <c r="F1425" s="101"/>
      <c r="G1425" s="99"/>
      <c r="H1425" s="73"/>
      <c r="I1425" s="98"/>
      <c r="J1425" s="99"/>
      <c r="L1425" s="73"/>
      <c r="M1425" s="73"/>
      <c r="N1425" s="73"/>
      <c r="O1425" s="73"/>
      <c r="P1425" s="73"/>
      <c r="Q1425" s="73"/>
      <c r="R1425" s="73"/>
      <c r="S1425" s="73"/>
      <c r="T1425" s="73"/>
      <c r="U1425" s="73"/>
      <c r="V1425" s="73"/>
      <c r="W1425" s="73"/>
      <c r="X1425" s="73"/>
    </row>
    <row r="1426">
      <c r="A1426" s="74"/>
      <c r="B1426" s="74"/>
      <c r="C1426" s="74"/>
      <c r="D1426" s="75"/>
      <c r="E1426" s="100"/>
      <c r="F1426" s="101"/>
      <c r="G1426" s="99"/>
      <c r="H1426" s="73"/>
      <c r="I1426" s="98"/>
      <c r="J1426" s="99"/>
      <c r="L1426" s="73"/>
      <c r="M1426" s="73"/>
      <c r="N1426" s="73"/>
      <c r="O1426" s="73"/>
      <c r="P1426" s="73"/>
      <c r="Q1426" s="73"/>
      <c r="R1426" s="73"/>
      <c r="S1426" s="73"/>
      <c r="T1426" s="73"/>
      <c r="U1426" s="73"/>
      <c r="V1426" s="73"/>
      <c r="W1426" s="73"/>
      <c r="X1426" s="73"/>
    </row>
    <row r="1427">
      <c r="A1427" s="74"/>
      <c r="B1427" s="74"/>
      <c r="C1427" s="74"/>
      <c r="D1427" s="75"/>
      <c r="E1427" s="100"/>
      <c r="F1427" s="101"/>
      <c r="G1427" s="99"/>
      <c r="H1427" s="73"/>
      <c r="I1427" s="98"/>
      <c r="J1427" s="99"/>
      <c r="L1427" s="73"/>
      <c r="M1427" s="73"/>
      <c r="N1427" s="73"/>
      <c r="O1427" s="73"/>
      <c r="P1427" s="73"/>
      <c r="Q1427" s="73"/>
      <c r="R1427" s="73"/>
      <c r="S1427" s="73"/>
      <c r="T1427" s="73"/>
      <c r="U1427" s="73"/>
      <c r="V1427" s="73"/>
      <c r="W1427" s="73"/>
      <c r="X1427" s="73"/>
    </row>
    <row r="1428">
      <c r="A1428" s="74"/>
      <c r="B1428" s="74"/>
      <c r="C1428" s="74"/>
      <c r="D1428" s="75"/>
      <c r="E1428" s="100"/>
      <c r="F1428" s="101"/>
      <c r="G1428" s="99"/>
      <c r="H1428" s="73"/>
      <c r="I1428" s="98"/>
      <c r="J1428" s="99"/>
      <c r="L1428" s="73"/>
      <c r="M1428" s="73"/>
      <c r="N1428" s="73"/>
      <c r="O1428" s="73"/>
      <c r="P1428" s="73"/>
      <c r="Q1428" s="73"/>
      <c r="R1428" s="73"/>
      <c r="S1428" s="73"/>
      <c r="T1428" s="73"/>
      <c r="U1428" s="73"/>
      <c r="V1428" s="73"/>
      <c r="W1428" s="73"/>
      <c r="X1428" s="73"/>
    </row>
    <row r="1429">
      <c r="A1429" s="74"/>
      <c r="B1429" s="74"/>
      <c r="C1429" s="74"/>
      <c r="D1429" s="75"/>
      <c r="E1429" s="100"/>
      <c r="F1429" s="101"/>
      <c r="G1429" s="99"/>
      <c r="H1429" s="73"/>
      <c r="I1429" s="98"/>
      <c r="J1429" s="99"/>
      <c r="L1429" s="73"/>
      <c r="M1429" s="73"/>
      <c r="N1429" s="73"/>
      <c r="O1429" s="73"/>
      <c r="P1429" s="73"/>
      <c r="Q1429" s="73"/>
      <c r="R1429" s="73"/>
      <c r="S1429" s="73"/>
      <c r="T1429" s="73"/>
      <c r="U1429" s="73"/>
      <c r="V1429" s="73"/>
      <c r="W1429" s="73"/>
      <c r="X1429" s="73"/>
    </row>
    <row r="1430">
      <c r="A1430" s="74"/>
      <c r="B1430" s="74"/>
      <c r="C1430" s="74"/>
      <c r="D1430" s="75"/>
      <c r="E1430" s="100"/>
      <c r="F1430" s="101"/>
      <c r="G1430" s="99"/>
      <c r="H1430" s="73"/>
      <c r="I1430" s="98"/>
      <c r="J1430" s="99"/>
      <c r="L1430" s="73"/>
      <c r="M1430" s="73"/>
      <c r="N1430" s="73"/>
      <c r="O1430" s="73"/>
      <c r="P1430" s="73"/>
      <c r="Q1430" s="73"/>
      <c r="R1430" s="73"/>
      <c r="S1430" s="73"/>
      <c r="T1430" s="73"/>
      <c r="U1430" s="73"/>
      <c r="V1430" s="73"/>
      <c r="W1430" s="73"/>
      <c r="X1430" s="73"/>
    </row>
    <row r="1431">
      <c r="A1431" s="74"/>
      <c r="B1431" s="74"/>
      <c r="C1431" s="74"/>
      <c r="D1431" s="75"/>
      <c r="E1431" s="100"/>
      <c r="F1431" s="101"/>
      <c r="G1431" s="99"/>
      <c r="H1431" s="73"/>
      <c r="I1431" s="98"/>
      <c r="J1431" s="99"/>
      <c r="L1431" s="73"/>
      <c r="M1431" s="73"/>
      <c r="N1431" s="73"/>
      <c r="O1431" s="73"/>
      <c r="P1431" s="73"/>
      <c r="Q1431" s="73"/>
      <c r="R1431" s="73"/>
      <c r="S1431" s="73"/>
      <c r="T1431" s="73"/>
      <c r="U1431" s="73"/>
      <c r="V1431" s="73"/>
      <c r="W1431" s="73"/>
      <c r="X1431" s="73"/>
    </row>
    <row r="1432">
      <c r="A1432" s="74"/>
      <c r="B1432" s="74"/>
      <c r="C1432" s="74"/>
      <c r="D1432" s="75"/>
      <c r="E1432" s="100"/>
      <c r="F1432" s="101"/>
      <c r="G1432" s="99"/>
      <c r="H1432" s="73"/>
      <c r="I1432" s="98"/>
      <c r="J1432" s="99"/>
      <c r="L1432" s="73"/>
      <c r="M1432" s="73"/>
      <c r="N1432" s="73"/>
      <c r="O1432" s="73"/>
      <c r="P1432" s="73"/>
      <c r="Q1432" s="73"/>
      <c r="R1432" s="73"/>
      <c r="S1432" s="73"/>
      <c r="T1432" s="73"/>
      <c r="U1432" s="73"/>
      <c r="V1432" s="73"/>
      <c r="W1432" s="73"/>
      <c r="X1432" s="73"/>
    </row>
    <row r="1433">
      <c r="A1433" s="74"/>
      <c r="B1433" s="74"/>
      <c r="C1433" s="74"/>
      <c r="D1433" s="75"/>
      <c r="E1433" s="100"/>
      <c r="F1433" s="101"/>
      <c r="G1433" s="99"/>
      <c r="H1433" s="73"/>
      <c r="I1433" s="98"/>
      <c r="J1433" s="99"/>
      <c r="L1433" s="73"/>
      <c r="M1433" s="73"/>
      <c r="N1433" s="73"/>
      <c r="O1433" s="73"/>
      <c r="P1433" s="73"/>
      <c r="Q1433" s="73"/>
      <c r="R1433" s="73"/>
      <c r="S1433" s="73"/>
      <c r="T1433" s="73"/>
      <c r="U1433" s="73"/>
      <c r="V1433" s="73"/>
      <c r="W1433" s="73"/>
      <c r="X1433" s="73"/>
    </row>
    <row r="1434">
      <c r="A1434" s="74"/>
      <c r="B1434" s="74"/>
      <c r="C1434" s="74"/>
      <c r="D1434" s="75"/>
      <c r="E1434" s="100"/>
      <c r="F1434" s="101"/>
      <c r="G1434" s="99"/>
      <c r="H1434" s="73"/>
      <c r="I1434" s="98"/>
      <c r="J1434" s="99"/>
      <c r="L1434" s="73"/>
      <c r="M1434" s="73"/>
      <c r="N1434" s="73"/>
      <c r="O1434" s="73"/>
      <c r="P1434" s="73"/>
      <c r="Q1434" s="73"/>
      <c r="R1434" s="73"/>
      <c r="S1434" s="73"/>
      <c r="T1434" s="73"/>
      <c r="U1434" s="73"/>
      <c r="V1434" s="73"/>
      <c r="W1434" s="73"/>
      <c r="X1434" s="73"/>
    </row>
    <row r="1435">
      <c r="A1435" s="74"/>
      <c r="B1435" s="74"/>
      <c r="C1435" s="74"/>
      <c r="D1435" s="75"/>
      <c r="E1435" s="100"/>
      <c r="F1435" s="101"/>
      <c r="G1435" s="99"/>
      <c r="H1435" s="73"/>
      <c r="I1435" s="98"/>
      <c r="J1435" s="99"/>
      <c r="L1435" s="73"/>
      <c r="M1435" s="73"/>
      <c r="N1435" s="73"/>
      <c r="O1435" s="73"/>
      <c r="P1435" s="73"/>
      <c r="Q1435" s="73"/>
      <c r="R1435" s="73"/>
      <c r="S1435" s="73"/>
      <c r="T1435" s="73"/>
      <c r="U1435" s="73"/>
      <c r="V1435" s="73"/>
      <c r="W1435" s="73"/>
      <c r="X1435" s="73"/>
    </row>
    <row r="1436">
      <c r="A1436" s="74"/>
      <c r="B1436" s="74"/>
      <c r="C1436" s="74"/>
      <c r="D1436" s="75"/>
      <c r="E1436" s="100"/>
      <c r="F1436" s="101"/>
      <c r="G1436" s="99"/>
      <c r="H1436" s="73"/>
      <c r="I1436" s="98"/>
      <c r="J1436" s="99"/>
      <c r="L1436" s="73"/>
      <c r="M1436" s="73"/>
      <c r="N1436" s="73"/>
      <c r="O1436" s="73"/>
      <c r="P1436" s="73"/>
      <c r="Q1436" s="73"/>
      <c r="R1436" s="73"/>
      <c r="S1436" s="73"/>
      <c r="T1436" s="73"/>
      <c r="U1436" s="73"/>
      <c r="V1436" s="73"/>
      <c r="W1436" s="73"/>
      <c r="X1436" s="73"/>
    </row>
    <row r="1437">
      <c r="A1437" s="74"/>
      <c r="B1437" s="74"/>
      <c r="C1437" s="74"/>
      <c r="D1437" s="75"/>
      <c r="E1437" s="100"/>
      <c r="F1437" s="101"/>
      <c r="G1437" s="99"/>
      <c r="H1437" s="73"/>
      <c r="I1437" s="98"/>
      <c r="J1437" s="99"/>
      <c r="L1437" s="73"/>
      <c r="M1437" s="73"/>
      <c r="N1437" s="73"/>
      <c r="O1437" s="73"/>
      <c r="P1437" s="73"/>
      <c r="Q1437" s="73"/>
      <c r="R1437" s="73"/>
      <c r="S1437" s="73"/>
      <c r="T1437" s="73"/>
      <c r="U1437" s="73"/>
      <c r="V1437" s="73"/>
      <c r="W1437" s="73"/>
      <c r="X1437" s="73"/>
    </row>
    <row r="1438">
      <c r="A1438" s="74"/>
      <c r="B1438" s="74"/>
      <c r="C1438" s="74"/>
      <c r="D1438" s="75"/>
      <c r="E1438" s="100"/>
      <c r="F1438" s="101"/>
      <c r="G1438" s="99"/>
      <c r="H1438" s="73"/>
      <c r="I1438" s="98"/>
      <c r="J1438" s="99"/>
      <c r="L1438" s="73"/>
      <c r="M1438" s="73"/>
      <c r="N1438" s="73"/>
      <c r="O1438" s="73"/>
      <c r="P1438" s="73"/>
      <c r="Q1438" s="73"/>
      <c r="R1438" s="73"/>
      <c r="S1438" s="73"/>
      <c r="T1438" s="73"/>
      <c r="U1438" s="73"/>
      <c r="V1438" s="73"/>
      <c r="W1438" s="73"/>
      <c r="X1438" s="73"/>
    </row>
    <row r="1439">
      <c r="A1439" s="74"/>
      <c r="B1439" s="74"/>
      <c r="C1439" s="74"/>
      <c r="D1439" s="75"/>
      <c r="E1439" s="100"/>
      <c r="F1439" s="101"/>
      <c r="G1439" s="99"/>
      <c r="H1439" s="73"/>
      <c r="I1439" s="98"/>
      <c r="J1439" s="99"/>
      <c r="L1439" s="73"/>
      <c r="M1439" s="73"/>
      <c r="N1439" s="73"/>
      <c r="O1439" s="73"/>
      <c r="P1439" s="73"/>
      <c r="Q1439" s="73"/>
      <c r="R1439" s="73"/>
      <c r="S1439" s="73"/>
      <c r="T1439" s="73"/>
      <c r="U1439" s="73"/>
      <c r="V1439" s="73"/>
      <c r="W1439" s="73"/>
      <c r="X1439" s="73"/>
    </row>
    <row r="1440">
      <c r="A1440" s="74"/>
      <c r="B1440" s="74"/>
      <c r="C1440" s="74"/>
      <c r="D1440" s="75"/>
      <c r="E1440" s="100"/>
      <c r="F1440" s="101"/>
      <c r="G1440" s="99"/>
      <c r="H1440" s="73"/>
      <c r="I1440" s="98"/>
      <c r="J1440" s="99"/>
      <c r="L1440" s="73"/>
      <c r="M1440" s="73"/>
      <c r="N1440" s="73"/>
      <c r="O1440" s="73"/>
      <c r="P1440" s="73"/>
      <c r="Q1440" s="73"/>
      <c r="R1440" s="73"/>
      <c r="S1440" s="73"/>
      <c r="T1440" s="73"/>
      <c r="U1440" s="73"/>
      <c r="V1440" s="73"/>
      <c r="W1440" s="73"/>
      <c r="X1440" s="73"/>
    </row>
    <row r="1441">
      <c r="A1441" s="74"/>
      <c r="B1441" s="74"/>
      <c r="C1441" s="74"/>
      <c r="D1441" s="75"/>
      <c r="E1441" s="100"/>
      <c r="F1441" s="101"/>
      <c r="G1441" s="99"/>
      <c r="H1441" s="73"/>
      <c r="I1441" s="98"/>
      <c r="J1441" s="99"/>
      <c r="L1441" s="73"/>
      <c r="M1441" s="73"/>
      <c r="N1441" s="73"/>
      <c r="O1441" s="73"/>
      <c r="P1441" s="73"/>
      <c r="Q1441" s="73"/>
      <c r="R1441" s="73"/>
      <c r="S1441" s="73"/>
      <c r="T1441" s="73"/>
      <c r="U1441" s="73"/>
      <c r="V1441" s="73"/>
      <c r="W1441" s="73"/>
      <c r="X1441" s="73"/>
    </row>
    <row r="1442">
      <c r="A1442" s="74"/>
      <c r="B1442" s="74"/>
      <c r="C1442" s="74"/>
      <c r="D1442" s="75"/>
      <c r="E1442" s="100"/>
      <c r="F1442" s="101"/>
      <c r="G1442" s="99"/>
      <c r="H1442" s="73"/>
      <c r="I1442" s="98"/>
      <c r="J1442" s="99"/>
      <c r="L1442" s="73"/>
      <c r="M1442" s="73"/>
      <c r="N1442" s="73"/>
      <c r="O1442" s="73"/>
      <c r="P1442" s="73"/>
      <c r="Q1442" s="73"/>
      <c r="R1442" s="73"/>
      <c r="S1442" s="73"/>
      <c r="T1442" s="73"/>
      <c r="U1442" s="73"/>
      <c r="V1442" s="73"/>
      <c r="W1442" s="73"/>
      <c r="X1442" s="73"/>
    </row>
    <row r="1443">
      <c r="A1443" s="74"/>
      <c r="B1443" s="74"/>
      <c r="C1443" s="74"/>
      <c r="D1443" s="75"/>
      <c r="E1443" s="100"/>
      <c r="F1443" s="101"/>
      <c r="G1443" s="99"/>
      <c r="H1443" s="73"/>
      <c r="I1443" s="98"/>
      <c r="J1443" s="99"/>
      <c r="L1443" s="73"/>
      <c r="M1443" s="73"/>
      <c r="N1443" s="73"/>
      <c r="O1443" s="73"/>
      <c r="P1443" s="73"/>
      <c r="Q1443" s="73"/>
      <c r="R1443" s="73"/>
      <c r="S1443" s="73"/>
      <c r="T1443" s="73"/>
      <c r="U1443" s="73"/>
      <c r="V1443" s="73"/>
      <c r="W1443" s="73"/>
      <c r="X1443" s="73"/>
    </row>
    <row r="1444">
      <c r="A1444" s="74"/>
      <c r="B1444" s="74"/>
      <c r="C1444" s="74"/>
      <c r="D1444" s="75"/>
      <c r="E1444" s="100"/>
      <c r="F1444" s="101"/>
      <c r="G1444" s="99"/>
      <c r="H1444" s="73"/>
      <c r="I1444" s="98"/>
      <c r="J1444" s="99"/>
      <c r="L1444" s="73"/>
      <c r="M1444" s="73"/>
      <c r="N1444" s="73"/>
      <c r="O1444" s="73"/>
      <c r="P1444" s="73"/>
      <c r="Q1444" s="73"/>
      <c r="R1444" s="73"/>
      <c r="S1444" s="73"/>
      <c r="T1444" s="73"/>
      <c r="U1444" s="73"/>
      <c r="V1444" s="73"/>
      <c r="W1444" s="73"/>
      <c r="X1444" s="73"/>
    </row>
    <row r="1445">
      <c r="A1445" s="74"/>
      <c r="B1445" s="74"/>
      <c r="C1445" s="74"/>
      <c r="D1445" s="75"/>
      <c r="E1445" s="100"/>
      <c r="F1445" s="101"/>
      <c r="G1445" s="99"/>
      <c r="H1445" s="73"/>
      <c r="I1445" s="98"/>
      <c r="J1445" s="99"/>
      <c r="L1445" s="73"/>
      <c r="M1445" s="73"/>
      <c r="N1445" s="73"/>
      <c r="O1445" s="73"/>
      <c r="P1445" s="73"/>
      <c r="Q1445" s="73"/>
      <c r="R1445" s="73"/>
      <c r="S1445" s="73"/>
      <c r="T1445" s="73"/>
      <c r="U1445" s="73"/>
      <c r="V1445" s="73"/>
      <c r="W1445" s="73"/>
      <c r="X1445" s="73"/>
    </row>
    <row r="1446">
      <c r="A1446" s="74"/>
      <c r="B1446" s="74"/>
      <c r="C1446" s="74"/>
      <c r="D1446" s="75"/>
      <c r="E1446" s="100"/>
      <c r="F1446" s="101"/>
      <c r="G1446" s="99"/>
      <c r="H1446" s="73"/>
      <c r="I1446" s="98"/>
      <c r="J1446" s="99"/>
      <c r="L1446" s="73"/>
      <c r="M1446" s="73"/>
      <c r="N1446" s="73"/>
      <c r="O1446" s="73"/>
      <c r="P1446" s="73"/>
      <c r="Q1446" s="73"/>
      <c r="R1446" s="73"/>
      <c r="S1446" s="73"/>
      <c r="T1446" s="73"/>
      <c r="U1446" s="73"/>
      <c r="V1446" s="73"/>
      <c r="W1446" s="73"/>
      <c r="X1446" s="73"/>
    </row>
    <row r="1447">
      <c r="A1447" s="74"/>
      <c r="B1447" s="74"/>
      <c r="C1447" s="74"/>
      <c r="D1447" s="75"/>
      <c r="E1447" s="100"/>
      <c r="F1447" s="101"/>
      <c r="G1447" s="99"/>
      <c r="H1447" s="73"/>
      <c r="I1447" s="98"/>
      <c r="J1447" s="99"/>
      <c r="L1447" s="73"/>
      <c r="M1447" s="73"/>
      <c r="N1447" s="73"/>
      <c r="O1447" s="73"/>
      <c r="P1447" s="73"/>
      <c r="Q1447" s="73"/>
      <c r="R1447" s="73"/>
      <c r="S1447" s="73"/>
      <c r="T1447" s="73"/>
      <c r="U1447" s="73"/>
      <c r="V1447" s="73"/>
      <c r="W1447" s="73"/>
      <c r="X1447" s="73"/>
    </row>
    <row r="1448">
      <c r="A1448" s="74"/>
      <c r="B1448" s="74"/>
      <c r="C1448" s="74"/>
      <c r="D1448" s="75"/>
      <c r="E1448" s="100"/>
      <c r="F1448" s="101"/>
      <c r="G1448" s="99"/>
      <c r="H1448" s="73"/>
      <c r="I1448" s="98"/>
      <c r="J1448" s="99"/>
      <c r="L1448" s="73"/>
      <c r="M1448" s="73"/>
      <c r="N1448" s="73"/>
      <c r="O1448" s="73"/>
      <c r="P1448" s="73"/>
      <c r="Q1448" s="73"/>
      <c r="R1448" s="73"/>
      <c r="S1448" s="73"/>
      <c r="T1448" s="73"/>
      <c r="U1448" s="73"/>
      <c r="V1448" s="73"/>
      <c r="W1448" s="73"/>
      <c r="X1448" s="73"/>
    </row>
    <row r="1449">
      <c r="A1449" s="74"/>
      <c r="B1449" s="74"/>
      <c r="C1449" s="74"/>
      <c r="D1449" s="75"/>
      <c r="E1449" s="100"/>
      <c r="F1449" s="101"/>
      <c r="G1449" s="99"/>
      <c r="H1449" s="73"/>
      <c r="I1449" s="98"/>
      <c r="J1449" s="99"/>
      <c r="L1449" s="73"/>
      <c r="M1449" s="73"/>
      <c r="N1449" s="73"/>
      <c r="O1449" s="73"/>
      <c r="P1449" s="73"/>
      <c r="Q1449" s="73"/>
      <c r="R1449" s="73"/>
      <c r="S1449" s="73"/>
      <c r="T1449" s="73"/>
      <c r="U1449" s="73"/>
      <c r="V1449" s="73"/>
      <c r="W1449" s="73"/>
      <c r="X1449" s="73"/>
    </row>
    <row r="1450">
      <c r="A1450" s="74"/>
      <c r="B1450" s="74"/>
      <c r="C1450" s="74"/>
      <c r="D1450" s="75"/>
      <c r="E1450" s="100"/>
      <c r="F1450" s="101"/>
      <c r="G1450" s="99"/>
      <c r="H1450" s="73"/>
      <c r="I1450" s="98"/>
      <c r="J1450" s="99"/>
      <c r="L1450" s="73"/>
      <c r="M1450" s="73"/>
      <c r="N1450" s="73"/>
      <c r="O1450" s="73"/>
      <c r="P1450" s="73"/>
      <c r="Q1450" s="73"/>
      <c r="R1450" s="73"/>
      <c r="S1450" s="73"/>
      <c r="T1450" s="73"/>
      <c r="U1450" s="73"/>
      <c r="V1450" s="73"/>
      <c r="W1450" s="73"/>
      <c r="X1450" s="73"/>
    </row>
    <row r="1451">
      <c r="A1451" s="74"/>
      <c r="B1451" s="74"/>
      <c r="C1451" s="74"/>
      <c r="D1451" s="75"/>
      <c r="E1451" s="100"/>
      <c r="F1451" s="101"/>
      <c r="G1451" s="99"/>
      <c r="H1451" s="73"/>
      <c r="I1451" s="98"/>
      <c r="J1451" s="99"/>
      <c r="L1451" s="73"/>
      <c r="M1451" s="73"/>
      <c r="N1451" s="73"/>
      <c r="O1451" s="73"/>
      <c r="P1451" s="73"/>
      <c r="Q1451" s="73"/>
      <c r="R1451" s="73"/>
      <c r="S1451" s="73"/>
      <c r="T1451" s="73"/>
      <c r="U1451" s="73"/>
      <c r="V1451" s="73"/>
      <c r="W1451" s="73"/>
      <c r="X1451" s="73"/>
    </row>
    <row r="1452">
      <c r="A1452" s="74"/>
      <c r="B1452" s="74"/>
      <c r="C1452" s="74"/>
      <c r="D1452" s="75"/>
      <c r="E1452" s="100"/>
      <c r="F1452" s="101"/>
      <c r="G1452" s="99"/>
      <c r="H1452" s="73"/>
      <c r="I1452" s="98"/>
      <c r="J1452" s="99"/>
      <c r="L1452" s="73"/>
      <c r="M1452" s="73"/>
      <c r="N1452" s="73"/>
      <c r="O1452" s="73"/>
      <c r="P1452" s="73"/>
      <c r="Q1452" s="73"/>
      <c r="R1452" s="73"/>
      <c r="S1452" s="73"/>
      <c r="T1452" s="73"/>
      <c r="U1452" s="73"/>
      <c r="V1452" s="73"/>
      <c r="W1452" s="73"/>
      <c r="X1452" s="73"/>
    </row>
    <row r="1453">
      <c r="A1453" s="74"/>
      <c r="B1453" s="74"/>
      <c r="C1453" s="74"/>
      <c r="D1453" s="75"/>
      <c r="E1453" s="100"/>
      <c r="F1453" s="101"/>
      <c r="G1453" s="99"/>
      <c r="H1453" s="73"/>
      <c r="I1453" s="98"/>
      <c r="J1453" s="99"/>
      <c r="L1453" s="73"/>
      <c r="M1453" s="73"/>
      <c r="N1453" s="73"/>
      <c r="O1453" s="73"/>
      <c r="P1453" s="73"/>
      <c r="Q1453" s="73"/>
      <c r="R1453" s="73"/>
      <c r="S1453" s="73"/>
      <c r="T1453" s="73"/>
      <c r="U1453" s="73"/>
      <c r="V1453" s="73"/>
      <c r="W1453" s="73"/>
      <c r="X1453" s="73"/>
    </row>
    <row r="1454">
      <c r="A1454" s="74"/>
      <c r="B1454" s="74"/>
      <c r="C1454" s="74"/>
      <c r="D1454" s="75"/>
      <c r="E1454" s="100"/>
      <c r="F1454" s="101"/>
      <c r="G1454" s="99"/>
      <c r="H1454" s="73"/>
      <c r="I1454" s="98"/>
      <c r="J1454" s="99"/>
      <c r="L1454" s="73"/>
      <c r="M1454" s="73"/>
      <c r="N1454" s="73"/>
      <c r="O1454" s="73"/>
      <c r="P1454" s="73"/>
      <c r="Q1454" s="73"/>
      <c r="R1454" s="73"/>
      <c r="S1454" s="73"/>
      <c r="T1454" s="73"/>
      <c r="U1454" s="73"/>
      <c r="V1454" s="73"/>
      <c r="W1454" s="73"/>
      <c r="X1454" s="73"/>
    </row>
    <row r="1455">
      <c r="A1455" s="74"/>
      <c r="B1455" s="74"/>
      <c r="C1455" s="74"/>
      <c r="D1455" s="75"/>
      <c r="E1455" s="100"/>
      <c r="F1455" s="101"/>
      <c r="G1455" s="99"/>
      <c r="H1455" s="73"/>
      <c r="I1455" s="98"/>
      <c r="J1455" s="99"/>
      <c r="L1455" s="73"/>
      <c r="M1455" s="73"/>
      <c r="N1455" s="73"/>
      <c r="O1455" s="73"/>
      <c r="P1455" s="73"/>
      <c r="Q1455" s="73"/>
      <c r="R1455" s="73"/>
      <c r="S1455" s="73"/>
      <c r="T1455" s="73"/>
      <c r="U1455" s="73"/>
      <c r="V1455" s="73"/>
      <c r="W1455" s="73"/>
      <c r="X1455" s="73"/>
    </row>
    <row r="1456">
      <c r="A1456" s="74"/>
      <c r="B1456" s="74"/>
      <c r="C1456" s="74"/>
      <c r="D1456" s="75"/>
      <c r="E1456" s="100"/>
      <c r="F1456" s="101"/>
      <c r="G1456" s="99"/>
      <c r="H1456" s="73"/>
      <c r="I1456" s="98"/>
      <c r="J1456" s="99"/>
      <c r="L1456" s="73"/>
      <c r="M1456" s="73"/>
      <c r="N1456" s="73"/>
      <c r="O1456" s="73"/>
      <c r="P1456" s="73"/>
      <c r="Q1456" s="73"/>
      <c r="R1456" s="73"/>
      <c r="S1456" s="73"/>
      <c r="T1456" s="73"/>
      <c r="U1456" s="73"/>
      <c r="V1456" s="73"/>
      <c r="W1456" s="73"/>
      <c r="X1456" s="73"/>
    </row>
    <row r="1457">
      <c r="A1457" s="74"/>
      <c r="B1457" s="74"/>
      <c r="C1457" s="74"/>
      <c r="D1457" s="75"/>
      <c r="E1457" s="100"/>
      <c r="F1457" s="101"/>
      <c r="G1457" s="99"/>
      <c r="H1457" s="73"/>
      <c r="I1457" s="98"/>
      <c r="J1457" s="99"/>
      <c r="L1457" s="73"/>
      <c r="M1457" s="73"/>
      <c r="N1457" s="73"/>
      <c r="O1457" s="73"/>
      <c r="P1457" s="73"/>
      <c r="Q1457" s="73"/>
      <c r="R1457" s="73"/>
      <c r="S1457" s="73"/>
      <c r="T1457" s="73"/>
      <c r="U1457" s="73"/>
      <c r="V1457" s="73"/>
      <c r="W1457" s="73"/>
      <c r="X1457" s="73"/>
    </row>
    <row r="1458">
      <c r="A1458" s="74"/>
      <c r="B1458" s="74"/>
      <c r="C1458" s="74"/>
      <c r="D1458" s="75"/>
      <c r="E1458" s="100"/>
      <c r="F1458" s="101"/>
      <c r="G1458" s="99"/>
      <c r="H1458" s="73"/>
      <c r="I1458" s="98"/>
      <c r="J1458" s="99"/>
      <c r="L1458" s="73"/>
      <c r="M1458" s="73"/>
      <c r="N1458" s="73"/>
      <c r="O1458" s="73"/>
      <c r="P1458" s="73"/>
      <c r="Q1458" s="73"/>
      <c r="R1458" s="73"/>
      <c r="S1458" s="73"/>
      <c r="T1458" s="73"/>
      <c r="U1458" s="73"/>
      <c r="V1458" s="73"/>
      <c r="W1458" s="73"/>
      <c r="X1458" s="73"/>
    </row>
    <row r="1459">
      <c r="A1459" s="74"/>
      <c r="B1459" s="74"/>
      <c r="C1459" s="74"/>
      <c r="D1459" s="75"/>
      <c r="E1459" s="100"/>
      <c r="F1459" s="101"/>
      <c r="G1459" s="99"/>
      <c r="H1459" s="73"/>
      <c r="I1459" s="98"/>
      <c r="J1459" s="99"/>
      <c r="L1459" s="73"/>
      <c r="M1459" s="73"/>
      <c r="N1459" s="73"/>
      <c r="O1459" s="73"/>
      <c r="P1459" s="73"/>
      <c r="Q1459" s="73"/>
      <c r="R1459" s="73"/>
      <c r="S1459" s="73"/>
      <c r="T1459" s="73"/>
      <c r="U1459" s="73"/>
      <c r="V1459" s="73"/>
      <c r="W1459" s="73"/>
      <c r="X1459" s="73"/>
    </row>
    <row r="1460">
      <c r="A1460" s="74"/>
      <c r="B1460" s="74"/>
      <c r="C1460" s="74"/>
      <c r="D1460" s="75"/>
      <c r="E1460" s="100"/>
      <c r="F1460" s="101"/>
      <c r="G1460" s="99"/>
      <c r="H1460" s="73"/>
      <c r="I1460" s="98"/>
      <c r="J1460" s="99"/>
      <c r="L1460" s="73"/>
      <c r="M1460" s="73"/>
      <c r="N1460" s="73"/>
      <c r="O1460" s="73"/>
      <c r="P1460" s="73"/>
      <c r="Q1460" s="73"/>
      <c r="R1460" s="73"/>
      <c r="S1460" s="73"/>
      <c r="T1460" s="73"/>
      <c r="U1460" s="73"/>
      <c r="V1460" s="73"/>
      <c r="W1460" s="73"/>
      <c r="X1460" s="73"/>
    </row>
    <row r="1461">
      <c r="A1461" s="74"/>
      <c r="B1461" s="74"/>
      <c r="C1461" s="74"/>
      <c r="D1461" s="75"/>
      <c r="E1461" s="100"/>
      <c r="F1461" s="101"/>
      <c r="G1461" s="99"/>
      <c r="H1461" s="73"/>
      <c r="I1461" s="98"/>
      <c r="J1461" s="99"/>
      <c r="L1461" s="73"/>
      <c r="M1461" s="73"/>
      <c r="N1461" s="73"/>
      <c r="O1461" s="73"/>
      <c r="P1461" s="73"/>
      <c r="Q1461" s="73"/>
      <c r="R1461" s="73"/>
      <c r="S1461" s="73"/>
      <c r="T1461" s="73"/>
      <c r="U1461" s="73"/>
      <c r="V1461" s="73"/>
      <c r="W1461" s="73"/>
      <c r="X1461" s="73"/>
    </row>
    <row r="1462">
      <c r="A1462" s="74"/>
      <c r="B1462" s="74"/>
      <c r="C1462" s="74"/>
      <c r="D1462" s="75"/>
      <c r="E1462" s="100"/>
      <c r="F1462" s="101"/>
      <c r="G1462" s="99"/>
      <c r="H1462" s="73"/>
      <c r="I1462" s="98"/>
      <c r="J1462" s="99"/>
      <c r="L1462" s="73"/>
      <c r="M1462" s="73"/>
      <c r="N1462" s="73"/>
      <c r="O1462" s="73"/>
      <c r="P1462" s="73"/>
      <c r="Q1462" s="73"/>
      <c r="R1462" s="73"/>
      <c r="S1462" s="73"/>
      <c r="T1462" s="73"/>
      <c r="U1462" s="73"/>
      <c r="V1462" s="73"/>
      <c r="W1462" s="73"/>
      <c r="X1462" s="73"/>
    </row>
    <row r="1463">
      <c r="A1463" s="74"/>
      <c r="B1463" s="74"/>
      <c r="C1463" s="74"/>
      <c r="D1463" s="75"/>
      <c r="E1463" s="100"/>
      <c r="F1463" s="101"/>
      <c r="G1463" s="99"/>
      <c r="H1463" s="73"/>
      <c r="I1463" s="98"/>
      <c r="J1463" s="99"/>
      <c r="L1463" s="73"/>
      <c r="M1463" s="73"/>
      <c r="N1463" s="73"/>
      <c r="O1463" s="73"/>
      <c r="P1463" s="73"/>
      <c r="Q1463" s="73"/>
      <c r="R1463" s="73"/>
      <c r="S1463" s="73"/>
      <c r="T1463" s="73"/>
      <c r="U1463" s="73"/>
      <c r="V1463" s="73"/>
      <c r="W1463" s="73"/>
      <c r="X1463" s="73"/>
    </row>
    <row r="1464">
      <c r="A1464" s="74"/>
      <c r="B1464" s="74"/>
      <c r="C1464" s="74"/>
      <c r="D1464" s="75"/>
      <c r="E1464" s="100"/>
      <c r="F1464" s="101"/>
      <c r="G1464" s="99"/>
      <c r="H1464" s="73"/>
      <c r="I1464" s="98"/>
      <c r="J1464" s="99"/>
      <c r="L1464" s="73"/>
      <c r="M1464" s="73"/>
      <c r="N1464" s="73"/>
      <c r="O1464" s="73"/>
      <c r="P1464" s="73"/>
      <c r="Q1464" s="73"/>
      <c r="R1464" s="73"/>
      <c r="S1464" s="73"/>
      <c r="T1464" s="73"/>
      <c r="U1464" s="73"/>
      <c r="V1464" s="73"/>
      <c r="W1464" s="73"/>
      <c r="X1464" s="73"/>
    </row>
    <row r="1465">
      <c r="A1465" s="74"/>
      <c r="B1465" s="74"/>
      <c r="C1465" s="74"/>
      <c r="D1465" s="75"/>
      <c r="E1465" s="100"/>
      <c r="F1465" s="101"/>
      <c r="G1465" s="99"/>
      <c r="H1465" s="73"/>
      <c r="I1465" s="98"/>
      <c r="J1465" s="99"/>
      <c r="L1465" s="73"/>
      <c r="M1465" s="73"/>
      <c r="N1465" s="73"/>
      <c r="O1465" s="73"/>
      <c r="P1465" s="73"/>
      <c r="Q1465" s="73"/>
      <c r="R1465" s="73"/>
      <c r="S1465" s="73"/>
      <c r="T1465" s="73"/>
      <c r="U1465" s="73"/>
      <c r="V1465" s="73"/>
      <c r="W1465" s="73"/>
      <c r="X1465" s="73"/>
    </row>
    <row r="1466">
      <c r="A1466" s="74"/>
      <c r="B1466" s="74"/>
      <c r="C1466" s="74"/>
      <c r="D1466" s="75"/>
      <c r="E1466" s="100"/>
      <c r="F1466" s="101"/>
      <c r="G1466" s="99"/>
      <c r="H1466" s="73"/>
      <c r="I1466" s="98"/>
      <c r="J1466" s="99"/>
      <c r="L1466" s="73"/>
      <c r="M1466" s="73"/>
      <c r="N1466" s="73"/>
      <c r="O1466" s="73"/>
      <c r="P1466" s="73"/>
      <c r="Q1466" s="73"/>
      <c r="R1466" s="73"/>
      <c r="S1466" s="73"/>
      <c r="T1466" s="73"/>
      <c r="U1466" s="73"/>
      <c r="V1466" s="73"/>
      <c r="W1466" s="73"/>
      <c r="X1466" s="73"/>
    </row>
    <row r="1467">
      <c r="A1467" s="74"/>
      <c r="B1467" s="74"/>
      <c r="C1467" s="74"/>
      <c r="D1467" s="75"/>
      <c r="E1467" s="100"/>
      <c r="F1467" s="101"/>
      <c r="G1467" s="99"/>
      <c r="H1467" s="73"/>
      <c r="I1467" s="98"/>
      <c r="J1467" s="99"/>
      <c r="L1467" s="73"/>
      <c r="M1467" s="73"/>
      <c r="N1467" s="73"/>
      <c r="O1467" s="73"/>
      <c r="P1467" s="73"/>
      <c r="Q1467" s="73"/>
      <c r="R1467" s="73"/>
      <c r="S1467" s="73"/>
      <c r="T1467" s="73"/>
      <c r="U1467" s="73"/>
      <c r="V1467" s="73"/>
      <c r="W1467" s="73"/>
      <c r="X1467" s="73"/>
    </row>
    <row r="1468">
      <c r="A1468" s="74"/>
      <c r="B1468" s="74"/>
      <c r="C1468" s="74"/>
      <c r="D1468" s="75"/>
      <c r="E1468" s="100"/>
      <c r="F1468" s="101"/>
      <c r="G1468" s="99"/>
      <c r="H1468" s="73"/>
      <c r="I1468" s="98"/>
      <c r="J1468" s="99"/>
      <c r="L1468" s="73"/>
      <c r="M1468" s="73"/>
      <c r="N1468" s="73"/>
      <c r="O1468" s="73"/>
      <c r="P1468" s="73"/>
      <c r="Q1468" s="73"/>
      <c r="R1468" s="73"/>
      <c r="S1468" s="73"/>
      <c r="T1468" s="73"/>
      <c r="U1468" s="73"/>
      <c r="V1468" s="73"/>
      <c r="W1468" s="73"/>
      <c r="X1468" s="73"/>
    </row>
    <row r="1469">
      <c r="A1469" s="74"/>
      <c r="B1469" s="74"/>
      <c r="C1469" s="74"/>
      <c r="D1469" s="75"/>
      <c r="E1469" s="100"/>
      <c r="F1469" s="101"/>
      <c r="G1469" s="99"/>
      <c r="H1469" s="73"/>
      <c r="I1469" s="98"/>
      <c r="J1469" s="99"/>
      <c r="L1469" s="73"/>
      <c r="M1469" s="73"/>
      <c r="N1469" s="73"/>
      <c r="O1469" s="73"/>
      <c r="P1469" s="73"/>
      <c r="Q1469" s="73"/>
      <c r="R1469" s="73"/>
      <c r="S1469" s="73"/>
      <c r="T1469" s="73"/>
      <c r="U1469" s="73"/>
      <c r="V1469" s="73"/>
      <c r="W1469" s="73"/>
      <c r="X1469" s="73"/>
    </row>
    <row r="1470">
      <c r="A1470" s="74"/>
      <c r="B1470" s="74"/>
      <c r="C1470" s="74"/>
      <c r="D1470" s="75"/>
      <c r="E1470" s="100"/>
      <c r="F1470" s="101"/>
      <c r="G1470" s="99"/>
      <c r="H1470" s="73"/>
      <c r="I1470" s="98"/>
      <c r="J1470" s="99"/>
      <c r="L1470" s="73"/>
      <c r="M1470" s="73"/>
      <c r="N1470" s="73"/>
      <c r="O1470" s="73"/>
      <c r="P1470" s="73"/>
      <c r="Q1470" s="73"/>
      <c r="R1470" s="73"/>
      <c r="S1470" s="73"/>
      <c r="T1470" s="73"/>
      <c r="U1470" s="73"/>
      <c r="V1470" s="73"/>
      <c r="W1470" s="73"/>
      <c r="X1470" s="73"/>
    </row>
    <row r="1471">
      <c r="A1471" s="74"/>
      <c r="B1471" s="74"/>
      <c r="C1471" s="74"/>
      <c r="D1471" s="75"/>
      <c r="E1471" s="100"/>
      <c r="F1471" s="101"/>
      <c r="G1471" s="99"/>
      <c r="H1471" s="73"/>
      <c r="I1471" s="98"/>
      <c r="J1471" s="99"/>
      <c r="L1471" s="73"/>
      <c r="M1471" s="73"/>
      <c r="N1471" s="73"/>
      <c r="O1471" s="73"/>
      <c r="P1471" s="73"/>
      <c r="Q1471" s="73"/>
      <c r="R1471" s="73"/>
      <c r="S1471" s="73"/>
      <c r="T1471" s="73"/>
      <c r="U1471" s="73"/>
      <c r="V1471" s="73"/>
      <c r="W1471" s="73"/>
      <c r="X1471" s="73"/>
    </row>
    <row r="1472">
      <c r="A1472" s="74"/>
      <c r="B1472" s="74"/>
      <c r="C1472" s="74"/>
      <c r="D1472" s="75"/>
      <c r="E1472" s="100"/>
      <c r="F1472" s="101"/>
      <c r="G1472" s="99"/>
      <c r="H1472" s="73"/>
      <c r="I1472" s="98"/>
      <c r="J1472" s="99"/>
      <c r="L1472" s="73"/>
      <c r="M1472" s="73"/>
      <c r="N1472" s="73"/>
      <c r="O1472" s="73"/>
      <c r="P1472" s="73"/>
      <c r="Q1472" s="73"/>
      <c r="R1472" s="73"/>
      <c r="S1472" s="73"/>
      <c r="T1472" s="73"/>
      <c r="U1472" s="73"/>
      <c r="V1472" s="73"/>
      <c r="W1472" s="73"/>
      <c r="X1472" s="73"/>
    </row>
    <row r="1473">
      <c r="A1473" s="74"/>
      <c r="B1473" s="74"/>
      <c r="C1473" s="74"/>
      <c r="D1473" s="75"/>
      <c r="E1473" s="100"/>
      <c r="F1473" s="101"/>
      <c r="G1473" s="99"/>
      <c r="H1473" s="73"/>
      <c r="I1473" s="98"/>
      <c r="J1473" s="99"/>
      <c r="L1473" s="73"/>
      <c r="M1473" s="73"/>
      <c r="N1473" s="73"/>
      <c r="O1473" s="73"/>
      <c r="P1473" s="73"/>
      <c r="Q1473" s="73"/>
      <c r="R1473" s="73"/>
      <c r="S1473" s="73"/>
      <c r="T1473" s="73"/>
      <c r="U1473" s="73"/>
      <c r="V1473" s="73"/>
      <c r="W1473" s="73"/>
      <c r="X1473" s="73"/>
    </row>
    <row r="1474">
      <c r="A1474" s="74"/>
      <c r="B1474" s="74"/>
      <c r="C1474" s="74"/>
      <c r="D1474" s="75"/>
      <c r="E1474" s="100"/>
      <c r="F1474" s="101"/>
      <c r="G1474" s="99"/>
      <c r="H1474" s="73"/>
      <c r="I1474" s="98"/>
      <c r="J1474" s="99"/>
      <c r="L1474" s="73"/>
      <c r="M1474" s="73"/>
      <c r="N1474" s="73"/>
      <c r="O1474" s="73"/>
      <c r="P1474" s="73"/>
      <c r="Q1474" s="73"/>
      <c r="R1474" s="73"/>
      <c r="S1474" s="73"/>
      <c r="T1474" s="73"/>
      <c r="U1474" s="73"/>
      <c r="V1474" s="73"/>
      <c r="W1474" s="73"/>
      <c r="X1474" s="73"/>
    </row>
    <row r="1475">
      <c r="A1475" s="74"/>
      <c r="B1475" s="74"/>
      <c r="C1475" s="74"/>
      <c r="D1475" s="75"/>
      <c r="E1475" s="100"/>
      <c r="F1475" s="101"/>
      <c r="G1475" s="99"/>
      <c r="H1475" s="73"/>
      <c r="I1475" s="98"/>
      <c r="J1475" s="99"/>
      <c r="L1475" s="73"/>
      <c r="M1475" s="73"/>
      <c r="N1475" s="73"/>
      <c r="O1475" s="73"/>
      <c r="P1475" s="73"/>
      <c r="Q1475" s="73"/>
      <c r="R1475" s="73"/>
      <c r="S1475" s="73"/>
      <c r="T1475" s="73"/>
      <c r="U1475" s="73"/>
      <c r="V1475" s="73"/>
      <c r="W1475" s="73"/>
      <c r="X1475" s="73"/>
    </row>
    <row r="1476">
      <c r="A1476" s="74"/>
      <c r="B1476" s="74"/>
      <c r="C1476" s="74"/>
      <c r="D1476" s="75"/>
      <c r="E1476" s="100"/>
      <c r="F1476" s="101"/>
      <c r="G1476" s="99"/>
      <c r="H1476" s="73"/>
      <c r="I1476" s="98"/>
      <c r="J1476" s="99"/>
      <c r="L1476" s="73"/>
      <c r="M1476" s="73"/>
      <c r="N1476" s="73"/>
      <c r="O1476" s="73"/>
      <c r="P1476" s="73"/>
      <c r="Q1476" s="73"/>
      <c r="R1476" s="73"/>
      <c r="S1476" s="73"/>
      <c r="T1476" s="73"/>
      <c r="U1476" s="73"/>
      <c r="V1476" s="73"/>
      <c r="W1476" s="73"/>
      <c r="X1476" s="73"/>
    </row>
    <row r="1477">
      <c r="A1477" s="74"/>
      <c r="B1477" s="74"/>
      <c r="C1477" s="74"/>
      <c r="D1477" s="75"/>
      <c r="E1477" s="100"/>
      <c r="F1477" s="101"/>
      <c r="G1477" s="99"/>
      <c r="H1477" s="73"/>
      <c r="I1477" s="98"/>
      <c r="J1477" s="99"/>
      <c r="L1477" s="73"/>
      <c r="M1477" s="73"/>
      <c r="N1477" s="73"/>
      <c r="O1477" s="73"/>
      <c r="P1477" s="73"/>
      <c r="Q1477" s="73"/>
      <c r="R1477" s="73"/>
      <c r="S1477" s="73"/>
      <c r="T1477" s="73"/>
      <c r="U1477" s="73"/>
      <c r="V1477" s="73"/>
      <c r="W1477" s="73"/>
      <c r="X1477" s="73"/>
    </row>
    <row r="1478">
      <c r="A1478" s="74"/>
      <c r="B1478" s="74"/>
      <c r="C1478" s="74"/>
      <c r="D1478" s="75"/>
      <c r="E1478" s="100"/>
      <c r="F1478" s="101"/>
      <c r="G1478" s="99"/>
      <c r="H1478" s="73"/>
      <c r="I1478" s="98"/>
      <c r="J1478" s="99"/>
      <c r="L1478" s="73"/>
      <c r="M1478" s="73"/>
      <c r="N1478" s="73"/>
      <c r="O1478" s="73"/>
      <c r="P1478" s="73"/>
      <c r="Q1478" s="73"/>
      <c r="R1478" s="73"/>
      <c r="S1478" s="73"/>
      <c r="T1478" s="73"/>
      <c r="U1478" s="73"/>
      <c r="V1478" s="73"/>
      <c r="W1478" s="73"/>
      <c r="X1478" s="73"/>
    </row>
    <row r="1479">
      <c r="A1479" s="74"/>
      <c r="B1479" s="74"/>
      <c r="C1479" s="74"/>
      <c r="D1479" s="75"/>
      <c r="E1479" s="100"/>
      <c r="F1479" s="101"/>
      <c r="G1479" s="99"/>
      <c r="H1479" s="73"/>
      <c r="I1479" s="98"/>
      <c r="J1479" s="99"/>
      <c r="L1479" s="73"/>
      <c r="M1479" s="73"/>
      <c r="N1479" s="73"/>
      <c r="O1479" s="73"/>
      <c r="P1479" s="73"/>
      <c r="Q1479" s="73"/>
      <c r="R1479" s="73"/>
      <c r="S1479" s="73"/>
      <c r="T1479" s="73"/>
      <c r="U1479" s="73"/>
      <c r="V1479" s="73"/>
      <c r="W1479" s="73"/>
      <c r="X1479" s="73"/>
    </row>
    <row r="1480">
      <c r="A1480" s="74"/>
      <c r="B1480" s="74"/>
      <c r="C1480" s="74"/>
      <c r="D1480" s="75"/>
      <c r="E1480" s="100"/>
      <c r="F1480" s="101"/>
      <c r="G1480" s="99"/>
      <c r="H1480" s="73"/>
      <c r="I1480" s="98"/>
      <c r="J1480" s="99"/>
      <c r="L1480" s="73"/>
      <c r="M1480" s="73"/>
      <c r="N1480" s="73"/>
      <c r="O1480" s="73"/>
      <c r="P1480" s="73"/>
      <c r="Q1480" s="73"/>
      <c r="R1480" s="73"/>
      <c r="S1480" s="73"/>
      <c r="T1480" s="73"/>
      <c r="U1480" s="73"/>
      <c r="V1480" s="73"/>
      <c r="W1480" s="73"/>
      <c r="X1480" s="73"/>
    </row>
    <row r="1481">
      <c r="A1481" s="74"/>
      <c r="B1481" s="74"/>
      <c r="C1481" s="74"/>
      <c r="D1481" s="75"/>
      <c r="E1481" s="100"/>
      <c r="F1481" s="101"/>
      <c r="G1481" s="99"/>
      <c r="H1481" s="73"/>
      <c r="I1481" s="98"/>
      <c r="J1481" s="99"/>
      <c r="L1481" s="73"/>
      <c r="M1481" s="73"/>
      <c r="N1481" s="73"/>
      <c r="O1481" s="73"/>
      <c r="P1481" s="73"/>
      <c r="Q1481" s="73"/>
      <c r="R1481" s="73"/>
      <c r="S1481" s="73"/>
      <c r="T1481" s="73"/>
      <c r="U1481" s="73"/>
      <c r="V1481" s="73"/>
      <c r="W1481" s="73"/>
      <c r="X1481" s="73"/>
    </row>
    <row r="1482">
      <c r="A1482" s="74"/>
      <c r="B1482" s="74"/>
      <c r="C1482" s="74"/>
      <c r="D1482" s="75"/>
      <c r="E1482" s="100"/>
      <c r="F1482" s="101"/>
      <c r="G1482" s="99"/>
      <c r="H1482" s="73"/>
      <c r="I1482" s="98"/>
      <c r="J1482" s="99"/>
      <c r="L1482" s="73"/>
      <c r="M1482" s="73"/>
      <c r="N1482" s="73"/>
      <c r="O1482" s="73"/>
      <c r="P1482" s="73"/>
      <c r="Q1482" s="73"/>
      <c r="R1482" s="73"/>
      <c r="S1482" s="73"/>
      <c r="T1482" s="73"/>
      <c r="U1482" s="73"/>
      <c r="V1482" s="73"/>
      <c r="W1482" s="73"/>
      <c r="X1482" s="73"/>
    </row>
    <row r="1483">
      <c r="A1483" s="74"/>
      <c r="B1483" s="74"/>
      <c r="C1483" s="74"/>
      <c r="D1483" s="75"/>
      <c r="E1483" s="100"/>
      <c r="F1483" s="101"/>
      <c r="G1483" s="99"/>
      <c r="H1483" s="73"/>
      <c r="I1483" s="98"/>
      <c r="J1483" s="99"/>
      <c r="L1483" s="73"/>
      <c r="M1483" s="73"/>
      <c r="N1483" s="73"/>
      <c r="O1483" s="73"/>
      <c r="P1483" s="73"/>
      <c r="Q1483" s="73"/>
      <c r="R1483" s="73"/>
      <c r="S1483" s="73"/>
      <c r="T1483" s="73"/>
      <c r="U1483" s="73"/>
      <c r="V1483" s="73"/>
      <c r="W1483" s="73"/>
      <c r="X1483" s="73"/>
    </row>
    <row r="1484">
      <c r="A1484" s="74"/>
      <c r="B1484" s="74"/>
      <c r="C1484" s="74"/>
      <c r="D1484" s="75"/>
      <c r="E1484" s="100"/>
      <c r="F1484" s="101"/>
      <c r="G1484" s="99"/>
      <c r="H1484" s="73"/>
      <c r="I1484" s="98"/>
      <c r="J1484" s="99"/>
      <c r="L1484" s="73"/>
      <c r="M1484" s="73"/>
      <c r="N1484" s="73"/>
      <c r="O1484" s="73"/>
      <c r="P1484" s="73"/>
      <c r="Q1484" s="73"/>
      <c r="R1484" s="73"/>
      <c r="S1484" s="73"/>
      <c r="T1484" s="73"/>
      <c r="U1484" s="73"/>
      <c r="V1484" s="73"/>
      <c r="W1484" s="73"/>
      <c r="X1484" s="73"/>
    </row>
    <row r="1485">
      <c r="A1485" s="74"/>
      <c r="B1485" s="74"/>
      <c r="C1485" s="74"/>
      <c r="D1485" s="75"/>
      <c r="E1485" s="100"/>
      <c r="F1485" s="101"/>
      <c r="G1485" s="99"/>
      <c r="H1485" s="73"/>
      <c r="I1485" s="98"/>
      <c r="J1485" s="99"/>
      <c r="L1485" s="73"/>
      <c r="M1485" s="73"/>
      <c r="N1485" s="73"/>
      <c r="O1485" s="73"/>
      <c r="P1485" s="73"/>
      <c r="Q1485" s="73"/>
      <c r="R1485" s="73"/>
      <c r="S1485" s="73"/>
      <c r="T1485" s="73"/>
      <c r="U1485" s="73"/>
      <c r="V1485" s="73"/>
      <c r="W1485" s="73"/>
      <c r="X1485" s="73"/>
    </row>
    <row r="1486">
      <c r="A1486" s="74"/>
      <c r="B1486" s="74"/>
      <c r="C1486" s="74"/>
      <c r="D1486" s="75"/>
      <c r="E1486" s="100"/>
      <c r="F1486" s="101"/>
      <c r="G1486" s="99"/>
      <c r="H1486" s="73"/>
      <c r="I1486" s="98"/>
      <c r="J1486" s="99"/>
      <c r="L1486" s="73"/>
      <c r="M1486" s="73"/>
      <c r="N1486" s="73"/>
      <c r="O1486" s="73"/>
      <c r="P1486" s="73"/>
      <c r="Q1486" s="73"/>
      <c r="R1486" s="73"/>
      <c r="S1486" s="73"/>
      <c r="T1486" s="73"/>
      <c r="U1486" s="73"/>
      <c r="V1486" s="73"/>
      <c r="W1486" s="73"/>
      <c r="X1486" s="73"/>
    </row>
    <row r="1487">
      <c r="A1487" s="74"/>
      <c r="B1487" s="74"/>
      <c r="C1487" s="74"/>
      <c r="D1487" s="75"/>
      <c r="E1487" s="100"/>
      <c r="F1487" s="101"/>
      <c r="G1487" s="99"/>
      <c r="H1487" s="73"/>
      <c r="I1487" s="98"/>
      <c r="J1487" s="99"/>
      <c r="L1487" s="73"/>
      <c r="M1487" s="73"/>
      <c r="N1487" s="73"/>
      <c r="O1487" s="73"/>
      <c r="P1487" s="73"/>
      <c r="Q1487" s="73"/>
      <c r="R1487" s="73"/>
      <c r="S1487" s="73"/>
      <c r="T1487" s="73"/>
      <c r="U1487" s="73"/>
      <c r="V1487" s="73"/>
      <c r="W1487" s="73"/>
      <c r="X1487" s="73"/>
    </row>
    <row r="1488">
      <c r="A1488" s="74"/>
      <c r="B1488" s="74"/>
      <c r="C1488" s="74"/>
      <c r="D1488" s="75"/>
      <c r="E1488" s="100"/>
      <c r="F1488" s="101"/>
      <c r="G1488" s="99"/>
      <c r="H1488" s="73"/>
      <c r="I1488" s="98"/>
      <c r="J1488" s="99"/>
      <c r="L1488" s="73"/>
      <c r="M1488" s="73"/>
      <c r="N1488" s="73"/>
      <c r="O1488" s="73"/>
      <c r="P1488" s="73"/>
      <c r="Q1488" s="73"/>
      <c r="R1488" s="73"/>
      <c r="S1488" s="73"/>
      <c r="T1488" s="73"/>
      <c r="U1488" s="73"/>
      <c r="V1488" s="73"/>
      <c r="W1488" s="73"/>
      <c r="X1488" s="73"/>
    </row>
    <row r="1489">
      <c r="A1489" s="74"/>
      <c r="B1489" s="74"/>
      <c r="C1489" s="74"/>
      <c r="D1489" s="75"/>
      <c r="E1489" s="100"/>
      <c r="F1489" s="101"/>
      <c r="G1489" s="99"/>
      <c r="H1489" s="73"/>
      <c r="I1489" s="98"/>
      <c r="J1489" s="99"/>
      <c r="L1489" s="73"/>
      <c r="M1489" s="73"/>
      <c r="N1489" s="73"/>
      <c r="O1489" s="73"/>
      <c r="P1489" s="73"/>
      <c r="Q1489" s="73"/>
      <c r="R1489" s="73"/>
      <c r="S1489" s="73"/>
      <c r="T1489" s="73"/>
      <c r="U1489" s="73"/>
      <c r="V1489" s="73"/>
      <c r="W1489" s="73"/>
      <c r="X1489" s="73"/>
    </row>
    <row r="1490">
      <c r="A1490" s="74"/>
      <c r="B1490" s="74"/>
      <c r="C1490" s="74"/>
      <c r="D1490" s="75"/>
      <c r="E1490" s="100"/>
      <c r="F1490" s="101"/>
      <c r="G1490" s="99"/>
      <c r="H1490" s="73"/>
      <c r="I1490" s="98"/>
      <c r="J1490" s="99"/>
      <c r="L1490" s="73"/>
      <c r="M1490" s="73"/>
      <c r="N1490" s="73"/>
      <c r="O1490" s="73"/>
      <c r="P1490" s="73"/>
      <c r="Q1490" s="73"/>
      <c r="R1490" s="73"/>
      <c r="S1490" s="73"/>
      <c r="T1490" s="73"/>
      <c r="U1490" s="73"/>
      <c r="V1490" s="73"/>
      <c r="W1490" s="73"/>
      <c r="X1490" s="73"/>
    </row>
    <row r="1491">
      <c r="A1491" s="74"/>
      <c r="B1491" s="74"/>
      <c r="C1491" s="74"/>
      <c r="D1491" s="75"/>
      <c r="E1491" s="100"/>
      <c r="F1491" s="101"/>
      <c r="G1491" s="99"/>
      <c r="H1491" s="73"/>
      <c r="I1491" s="98"/>
      <c r="J1491" s="99"/>
      <c r="L1491" s="73"/>
      <c r="M1491" s="73"/>
      <c r="N1491" s="73"/>
      <c r="O1491" s="73"/>
      <c r="P1491" s="73"/>
      <c r="Q1491" s="73"/>
      <c r="R1491" s="73"/>
      <c r="S1491" s="73"/>
      <c r="T1491" s="73"/>
      <c r="U1491" s="73"/>
      <c r="V1491" s="73"/>
      <c r="W1491" s="73"/>
      <c r="X1491" s="73"/>
    </row>
    <row r="1492">
      <c r="A1492" s="74"/>
      <c r="B1492" s="74"/>
      <c r="C1492" s="74"/>
      <c r="D1492" s="75"/>
      <c r="E1492" s="100"/>
      <c r="F1492" s="101"/>
      <c r="G1492" s="99"/>
      <c r="H1492" s="73"/>
      <c r="I1492" s="98"/>
      <c r="J1492" s="99"/>
      <c r="L1492" s="73"/>
      <c r="M1492" s="73"/>
      <c r="N1492" s="73"/>
      <c r="O1492" s="73"/>
      <c r="P1492" s="73"/>
      <c r="Q1492" s="73"/>
      <c r="R1492" s="73"/>
      <c r="S1492" s="73"/>
      <c r="T1492" s="73"/>
      <c r="U1492" s="73"/>
      <c r="V1492" s="73"/>
      <c r="W1492" s="73"/>
      <c r="X1492" s="73"/>
    </row>
    <row r="1493">
      <c r="A1493" s="74"/>
      <c r="B1493" s="74"/>
      <c r="C1493" s="74"/>
      <c r="D1493" s="75"/>
      <c r="E1493" s="100"/>
      <c r="F1493" s="101"/>
      <c r="G1493" s="99"/>
      <c r="H1493" s="73"/>
      <c r="I1493" s="98"/>
      <c r="J1493" s="99"/>
      <c r="L1493" s="73"/>
      <c r="M1493" s="73"/>
      <c r="N1493" s="73"/>
      <c r="O1493" s="73"/>
      <c r="P1493" s="73"/>
      <c r="Q1493" s="73"/>
      <c r="R1493" s="73"/>
      <c r="S1493" s="73"/>
      <c r="T1493" s="73"/>
      <c r="U1493" s="73"/>
      <c r="V1493" s="73"/>
      <c r="W1493" s="73"/>
      <c r="X1493" s="73"/>
    </row>
    <row r="1494">
      <c r="A1494" s="74"/>
      <c r="B1494" s="74"/>
      <c r="C1494" s="74"/>
      <c r="D1494" s="75"/>
      <c r="E1494" s="100"/>
      <c r="F1494" s="101"/>
      <c r="G1494" s="99"/>
      <c r="H1494" s="73"/>
      <c r="I1494" s="98"/>
      <c r="J1494" s="99"/>
      <c r="L1494" s="73"/>
      <c r="M1494" s="73"/>
      <c r="N1494" s="73"/>
      <c r="O1494" s="73"/>
      <c r="P1494" s="73"/>
      <c r="Q1494" s="73"/>
      <c r="R1494" s="73"/>
      <c r="S1494" s="73"/>
      <c r="T1494" s="73"/>
      <c r="U1494" s="73"/>
      <c r="V1494" s="73"/>
      <c r="W1494" s="73"/>
      <c r="X1494" s="73"/>
    </row>
    <row r="1495">
      <c r="A1495" s="74"/>
      <c r="B1495" s="74"/>
      <c r="C1495" s="74"/>
      <c r="D1495" s="75"/>
      <c r="E1495" s="100"/>
      <c r="F1495" s="101"/>
      <c r="G1495" s="99"/>
      <c r="H1495" s="73"/>
      <c r="I1495" s="98"/>
      <c r="J1495" s="99"/>
      <c r="L1495" s="73"/>
      <c r="M1495" s="73"/>
      <c r="N1495" s="73"/>
      <c r="O1495" s="73"/>
      <c r="P1495" s="73"/>
      <c r="Q1495" s="73"/>
      <c r="R1495" s="73"/>
      <c r="S1495" s="73"/>
      <c r="T1495" s="73"/>
      <c r="U1495" s="73"/>
      <c r="V1495" s="73"/>
      <c r="W1495" s="73"/>
      <c r="X1495" s="73"/>
    </row>
    <row r="1496">
      <c r="A1496" s="74"/>
      <c r="B1496" s="74"/>
      <c r="C1496" s="74"/>
      <c r="D1496" s="75"/>
      <c r="E1496" s="100"/>
      <c r="F1496" s="101"/>
      <c r="G1496" s="99"/>
      <c r="H1496" s="73"/>
      <c r="I1496" s="98"/>
      <c r="J1496" s="99"/>
      <c r="L1496" s="73"/>
      <c r="M1496" s="73"/>
      <c r="N1496" s="73"/>
      <c r="O1496" s="73"/>
      <c r="P1496" s="73"/>
      <c r="Q1496" s="73"/>
      <c r="R1496" s="73"/>
      <c r="S1496" s="73"/>
      <c r="T1496" s="73"/>
      <c r="U1496" s="73"/>
      <c r="V1496" s="73"/>
      <c r="W1496" s="73"/>
      <c r="X1496" s="73"/>
    </row>
    <row r="1497">
      <c r="A1497" s="74"/>
      <c r="B1497" s="74"/>
      <c r="C1497" s="74"/>
      <c r="D1497" s="75"/>
      <c r="E1497" s="100"/>
      <c r="F1497" s="101"/>
      <c r="G1497" s="99"/>
      <c r="H1497" s="73"/>
      <c r="I1497" s="98"/>
      <c r="J1497" s="99"/>
      <c r="L1497" s="73"/>
      <c r="M1497" s="73"/>
      <c r="N1497" s="73"/>
      <c r="O1497" s="73"/>
      <c r="P1497" s="73"/>
      <c r="Q1497" s="73"/>
      <c r="R1497" s="73"/>
      <c r="S1497" s="73"/>
      <c r="T1497" s="73"/>
      <c r="U1497" s="73"/>
      <c r="V1497" s="73"/>
      <c r="W1497" s="73"/>
      <c r="X1497" s="73"/>
    </row>
    <row r="1498">
      <c r="A1498" s="74"/>
      <c r="B1498" s="74"/>
      <c r="C1498" s="74"/>
      <c r="D1498" s="75"/>
      <c r="E1498" s="100"/>
      <c r="F1498" s="101"/>
      <c r="G1498" s="99"/>
      <c r="H1498" s="73"/>
      <c r="I1498" s="98"/>
      <c r="J1498" s="99"/>
      <c r="L1498" s="73"/>
      <c r="M1498" s="73"/>
      <c r="N1498" s="73"/>
      <c r="O1498" s="73"/>
      <c r="P1498" s="73"/>
      <c r="Q1498" s="73"/>
      <c r="R1498" s="73"/>
      <c r="S1498" s="73"/>
      <c r="T1498" s="73"/>
      <c r="U1498" s="73"/>
      <c r="V1498" s="73"/>
      <c r="W1498" s="73"/>
      <c r="X1498" s="73"/>
    </row>
    <row r="1499">
      <c r="A1499" s="74"/>
      <c r="B1499" s="74"/>
      <c r="C1499" s="74"/>
      <c r="D1499" s="75"/>
      <c r="E1499" s="100"/>
      <c r="F1499" s="101"/>
      <c r="G1499" s="99"/>
      <c r="H1499" s="73"/>
      <c r="I1499" s="98"/>
      <c r="J1499" s="99"/>
      <c r="L1499" s="73"/>
      <c r="M1499" s="73"/>
      <c r="N1499" s="73"/>
      <c r="O1499" s="73"/>
      <c r="P1499" s="73"/>
      <c r="Q1499" s="73"/>
      <c r="R1499" s="73"/>
      <c r="S1499" s="73"/>
      <c r="T1499" s="73"/>
      <c r="U1499" s="73"/>
      <c r="V1499" s="73"/>
      <c r="W1499" s="73"/>
      <c r="X1499" s="73"/>
    </row>
    <row r="1500">
      <c r="A1500" s="74"/>
      <c r="B1500" s="74"/>
      <c r="C1500" s="74"/>
      <c r="D1500" s="75"/>
      <c r="E1500" s="100"/>
      <c r="F1500" s="101"/>
      <c r="G1500" s="99"/>
      <c r="H1500" s="73"/>
      <c r="I1500" s="98"/>
      <c r="J1500" s="99"/>
      <c r="L1500" s="73"/>
      <c r="M1500" s="73"/>
      <c r="N1500" s="73"/>
      <c r="O1500" s="73"/>
      <c r="P1500" s="73"/>
      <c r="Q1500" s="73"/>
      <c r="R1500" s="73"/>
      <c r="S1500" s="73"/>
      <c r="T1500" s="73"/>
      <c r="U1500" s="73"/>
      <c r="V1500" s="73"/>
      <c r="W1500" s="73"/>
      <c r="X1500" s="73"/>
    </row>
    <row r="1501">
      <c r="A1501" s="74"/>
      <c r="B1501" s="74"/>
      <c r="C1501" s="74"/>
      <c r="D1501" s="75"/>
      <c r="E1501" s="100"/>
      <c r="F1501" s="101"/>
      <c r="G1501" s="99"/>
      <c r="H1501" s="73"/>
      <c r="I1501" s="98"/>
      <c r="J1501" s="99"/>
      <c r="L1501" s="73"/>
      <c r="M1501" s="73"/>
      <c r="N1501" s="73"/>
      <c r="O1501" s="73"/>
      <c r="P1501" s="73"/>
      <c r="Q1501" s="73"/>
      <c r="R1501" s="73"/>
      <c r="S1501" s="73"/>
      <c r="T1501" s="73"/>
      <c r="U1501" s="73"/>
      <c r="V1501" s="73"/>
      <c r="W1501" s="73"/>
      <c r="X1501" s="73"/>
    </row>
    <row r="1502">
      <c r="A1502" s="74"/>
      <c r="B1502" s="74"/>
      <c r="C1502" s="74"/>
      <c r="D1502" s="75"/>
      <c r="E1502" s="100"/>
      <c r="F1502" s="101"/>
      <c r="G1502" s="99"/>
      <c r="H1502" s="73"/>
      <c r="I1502" s="98"/>
      <c r="J1502" s="99"/>
      <c r="L1502" s="73"/>
      <c r="M1502" s="73"/>
      <c r="N1502" s="73"/>
      <c r="O1502" s="73"/>
      <c r="P1502" s="73"/>
      <c r="Q1502" s="73"/>
      <c r="R1502" s="73"/>
      <c r="S1502" s="73"/>
      <c r="T1502" s="73"/>
      <c r="U1502" s="73"/>
      <c r="V1502" s="73"/>
      <c r="W1502" s="73"/>
      <c r="X1502" s="73"/>
    </row>
    <row r="1503">
      <c r="A1503" s="74"/>
      <c r="B1503" s="74"/>
      <c r="C1503" s="74"/>
      <c r="D1503" s="75"/>
      <c r="E1503" s="100"/>
      <c r="F1503" s="101"/>
      <c r="G1503" s="99"/>
      <c r="H1503" s="73"/>
      <c r="I1503" s="98"/>
      <c r="J1503" s="99"/>
      <c r="L1503" s="73"/>
      <c r="M1503" s="73"/>
      <c r="N1503" s="73"/>
      <c r="O1503" s="73"/>
      <c r="P1503" s="73"/>
      <c r="Q1503" s="73"/>
      <c r="R1503" s="73"/>
      <c r="S1503" s="73"/>
      <c r="T1503" s="73"/>
      <c r="U1503" s="73"/>
      <c r="V1503" s="73"/>
      <c r="W1503" s="73"/>
      <c r="X1503" s="73"/>
    </row>
    <row r="1504">
      <c r="A1504" s="74"/>
      <c r="B1504" s="74"/>
      <c r="C1504" s="74"/>
      <c r="D1504" s="75"/>
      <c r="E1504" s="100"/>
      <c r="F1504" s="101"/>
      <c r="G1504" s="99"/>
      <c r="H1504" s="73"/>
      <c r="I1504" s="98"/>
      <c r="J1504" s="99"/>
      <c r="L1504" s="73"/>
      <c r="M1504" s="73"/>
      <c r="N1504" s="73"/>
      <c r="O1504" s="73"/>
      <c r="P1504" s="73"/>
      <c r="Q1504" s="73"/>
      <c r="R1504" s="73"/>
      <c r="S1504" s="73"/>
      <c r="T1504" s="73"/>
      <c r="U1504" s="73"/>
      <c r="V1504" s="73"/>
      <c r="W1504" s="73"/>
      <c r="X1504" s="73"/>
    </row>
    <row r="1505">
      <c r="A1505" s="74"/>
      <c r="B1505" s="74"/>
      <c r="C1505" s="74"/>
      <c r="D1505" s="75"/>
      <c r="E1505" s="100"/>
      <c r="F1505" s="101"/>
      <c r="G1505" s="99"/>
      <c r="H1505" s="73"/>
      <c r="I1505" s="98"/>
      <c r="J1505" s="99"/>
      <c r="L1505" s="73"/>
      <c r="M1505" s="73"/>
      <c r="N1505" s="73"/>
      <c r="O1505" s="73"/>
      <c r="P1505" s="73"/>
      <c r="Q1505" s="73"/>
      <c r="R1505" s="73"/>
      <c r="S1505" s="73"/>
      <c r="T1505" s="73"/>
      <c r="U1505" s="73"/>
      <c r="V1505" s="73"/>
      <c r="W1505" s="73"/>
      <c r="X1505" s="73"/>
    </row>
    <row r="1506">
      <c r="A1506" s="74"/>
      <c r="B1506" s="74"/>
      <c r="C1506" s="74"/>
      <c r="D1506" s="75"/>
      <c r="E1506" s="100"/>
      <c r="F1506" s="101"/>
      <c r="G1506" s="99"/>
      <c r="H1506" s="73"/>
      <c r="I1506" s="98"/>
      <c r="J1506" s="99"/>
      <c r="L1506" s="73"/>
      <c r="M1506" s="73"/>
      <c r="N1506" s="73"/>
      <c r="O1506" s="73"/>
      <c r="P1506" s="73"/>
      <c r="Q1506" s="73"/>
      <c r="R1506" s="73"/>
      <c r="S1506" s="73"/>
      <c r="T1506" s="73"/>
      <c r="U1506" s="73"/>
      <c r="V1506" s="73"/>
      <c r="W1506" s="73"/>
      <c r="X1506" s="73"/>
    </row>
    <row r="1507">
      <c r="A1507" s="74"/>
      <c r="B1507" s="74"/>
      <c r="C1507" s="74"/>
      <c r="D1507" s="75"/>
      <c r="E1507" s="100"/>
      <c r="F1507" s="101"/>
      <c r="G1507" s="99"/>
      <c r="H1507" s="73"/>
      <c r="I1507" s="98"/>
      <c r="J1507" s="99"/>
      <c r="L1507" s="73"/>
      <c r="M1507" s="73"/>
      <c r="N1507" s="73"/>
      <c r="O1507" s="73"/>
      <c r="P1507" s="73"/>
      <c r="Q1507" s="73"/>
      <c r="R1507" s="73"/>
      <c r="S1507" s="73"/>
      <c r="T1507" s="73"/>
      <c r="U1507" s="73"/>
      <c r="V1507" s="73"/>
      <c r="W1507" s="73"/>
      <c r="X1507" s="73"/>
    </row>
    <row r="1508">
      <c r="A1508" s="74"/>
      <c r="B1508" s="74"/>
      <c r="C1508" s="74"/>
      <c r="D1508" s="75"/>
      <c r="E1508" s="100"/>
      <c r="F1508" s="101"/>
      <c r="G1508" s="99"/>
      <c r="H1508" s="73"/>
      <c r="I1508" s="98"/>
      <c r="J1508" s="99"/>
      <c r="L1508" s="73"/>
      <c r="M1508" s="73"/>
      <c r="N1508" s="73"/>
      <c r="O1508" s="73"/>
      <c r="P1508" s="73"/>
      <c r="Q1508" s="73"/>
      <c r="R1508" s="73"/>
      <c r="S1508" s="73"/>
      <c r="T1508" s="73"/>
      <c r="U1508" s="73"/>
      <c r="V1508" s="73"/>
      <c r="W1508" s="73"/>
      <c r="X1508" s="73"/>
    </row>
    <row r="1509">
      <c r="A1509" s="74"/>
      <c r="B1509" s="74"/>
      <c r="C1509" s="74"/>
      <c r="D1509" s="75"/>
      <c r="E1509" s="100"/>
      <c r="F1509" s="101"/>
      <c r="G1509" s="99"/>
      <c r="H1509" s="73"/>
      <c r="I1509" s="98"/>
      <c r="J1509" s="99"/>
      <c r="L1509" s="73"/>
      <c r="M1509" s="73"/>
      <c r="N1509" s="73"/>
      <c r="O1509" s="73"/>
      <c r="P1509" s="73"/>
      <c r="Q1509" s="73"/>
      <c r="R1509" s="73"/>
      <c r="S1509" s="73"/>
      <c r="T1509" s="73"/>
      <c r="U1509" s="73"/>
      <c r="V1509" s="73"/>
      <c r="W1509" s="73"/>
      <c r="X1509" s="73"/>
    </row>
    <row r="1510">
      <c r="A1510" s="74"/>
      <c r="B1510" s="74"/>
      <c r="C1510" s="74"/>
      <c r="D1510" s="75"/>
      <c r="E1510" s="100"/>
      <c r="F1510" s="101"/>
      <c r="G1510" s="99"/>
      <c r="H1510" s="73"/>
      <c r="I1510" s="98"/>
      <c r="J1510" s="99"/>
      <c r="L1510" s="73"/>
      <c r="M1510" s="73"/>
      <c r="N1510" s="73"/>
      <c r="O1510" s="73"/>
      <c r="P1510" s="73"/>
      <c r="Q1510" s="73"/>
      <c r="R1510" s="73"/>
      <c r="S1510" s="73"/>
      <c r="T1510" s="73"/>
      <c r="U1510" s="73"/>
      <c r="V1510" s="73"/>
      <c r="W1510" s="73"/>
      <c r="X1510" s="73"/>
    </row>
    <row r="1511">
      <c r="A1511" s="74"/>
      <c r="B1511" s="74"/>
      <c r="C1511" s="74"/>
      <c r="D1511" s="75"/>
      <c r="E1511" s="100"/>
      <c r="F1511" s="101"/>
      <c r="G1511" s="99"/>
      <c r="H1511" s="73"/>
      <c r="I1511" s="98"/>
      <c r="J1511" s="99"/>
      <c r="L1511" s="73"/>
      <c r="M1511" s="73"/>
      <c r="N1511" s="73"/>
      <c r="O1511" s="73"/>
      <c r="P1511" s="73"/>
      <c r="Q1511" s="73"/>
      <c r="R1511" s="73"/>
      <c r="S1511" s="73"/>
      <c r="T1511" s="73"/>
      <c r="U1511" s="73"/>
      <c r="V1511" s="73"/>
      <c r="W1511" s="73"/>
      <c r="X1511" s="73"/>
    </row>
    <row r="1512">
      <c r="A1512" s="74"/>
      <c r="B1512" s="74"/>
      <c r="C1512" s="74"/>
      <c r="D1512" s="75"/>
      <c r="E1512" s="100"/>
      <c r="F1512" s="101"/>
      <c r="G1512" s="99"/>
      <c r="H1512" s="73"/>
      <c r="I1512" s="98"/>
      <c r="J1512" s="99"/>
      <c r="L1512" s="73"/>
      <c r="M1512" s="73"/>
      <c r="N1512" s="73"/>
      <c r="O1512" s="73"/>
      <c r="P1512" s="73"/>
      <c r="Q1512" s="73"/>
      <c r="R1512" s="73"/>
      <c r="S1512" s="73"/>
      <c r="T1512" s="73"/>
      <c r="U1512" s="73"/>
      <c r="V1512" s="73"/>
      <c r="W1512" s="73"/>
      <c r="X1512" s="73"/>
    </row>
    <row r="1513">
      <c r="A1513" s="74"/>
      <c r="B1513" s="74"/>
      <c r="C1513" s="74"/>
      <c r="D1513" s="75"/>
      <c r="E1513" s="100"/>
      <c r="F1513" s="101"/>
      <c r="G1513" s="99"/>
      <c r="H1513" s="73"/>
      <c r="I1513" s="98"/>
      <c r="J1513" s="99"/>
      <c r="L1513" s="73"/>
      <c r="M1513" s="73"/>
      <c r="N1513" s="73"/>
      <c r="O1513" s="73"/>
      <c r="P1513" s="73"/>
      <c r="Q1513" s="73"/>
      <c r="R1513" s="73"/>
      <c r="S1513" s="73"/>
      <c r="T1513" s="73"/>
      <c r="U1513" s="73"/>
      <c r="V1513" s="73"/>
      <c r="W1513" s="73"/>
      <c r="X1513" s="73"/>
    </row>
    <row r="1514">
      <c r="A1514" s="74"/>
      <c r="B1514" s="74"/>
      <c r="C1514" s="74"/>
      <c r="D1514" s="75"/>
      <c r="E1514" s="100"/>
      <c r="F1514" s="101"/>
      <c r="G1514" s="99"/>
      <c r="H1514" s="73"/>
      <c r="I1514" s="98"/>
      <c r="J1514" s="99"/>
      <c r="L1514" s="73"/>
      <c r="M1514" s="73"/>
      <c r="N1514" s="73"/>
      <c r="O1514" s="73"/>
      <c r="P1514" s="73"/>
      <c r="Q1514" s="73"/>
      <c r="R1514" s="73"/>
      <c r="S1514" s="73"/>
      <c r="T1514" s="73"/>
      <c r="U1514" s="73"/>
      <c r="V1514" s="73"/>
      <c r="W1514" s="73"/>
      <c r="X1514" s="73"/>
    </row>
    <row r="1515">
      <c r="A1515" s="74"/>
      <c r="B1515" s="74"/>
      <c r="C1515" s="74"/>
      <c r="D1515" s="75"/>
      <c r="E1515" s="100"/>
      <c r="F1515" s="101"/>
      <c r="G1515" s="99"/>
      <c r="H1515" s="73"/>
      <c r="I1515" s="98"/>
      <c r="J1515" s="99"/>
      <c r="L1515" s="73"/>
      <c r="M1515" s="73"/>
      <c r="N1515" s="73"/>
      <c r="O1515" s="73"/>
      <c r="P1515" s="73"/>
      <c r="Q1515" s="73"/>
      <c r="R1515" s="73"/>
      <c r="S1515" s="73"/>
      <c r="T1515" s="73"/>
      <c r="U1515" s="73"/>
      <c r="V1515" s="73"/>
      <c r="W1515" s="73"/>
      <c r="X1515" s="73"/>
    </row>
    <row r="1516">
      <c r="A1516" s="74"/>
      <c r="B1516" s="74"/>
      <c r="C1516" s="74"/>
      <c r="D1516" s="75"/>
      <c r="E1516" s="100"/>
      <c r="F1516" s="101"/>
      <c r="G1516" s="99"/>
      <c r="H1516" s="73"/>
      <c r="I1516" s="98"/>
      <c r="J1516" s="99"/>
      <c r="L1516" s="73"/>
      <c r="M1516" s="73"/>
      <c r="N1516" s="73"/>
      <c r="O1516" s="73"/>
      <c r="P1516" s="73"/>
      <c r="Q1516" s="73"/>
      <c r="R1516" s="73"/>
      <c r="S1516" s="73"/>
      <c r="T1516" s="73"/>
      <c r="U1516" s="73"/>
      <c r="V1516" s="73"/>
      <c r="W1516" s="73"/>
      <c r="X1516" s="73"/>
    </row>
    <row r="1517">
      <c r="A1517" s="74"/>
      <c r="B1517" s="74"/>
      <c r="C1517" s="74"/>
      <c r="D1517" s="75"/>
      <c r="E1517" s="100"/>
      <c r="F1517" s="101"/>
      <c r="G1517" s="99"/>
      <c r="H1517" s="73"/>
      <c r="I1517" s="98"/>
      <c r="J1517" s="99"/>
      <c r="L1517" s="73"/>
      <c r="M1517" s="73"/>
      <c r="N1517" s="73"/>
      <c r="O1517" s="73"/>
      <c r="P1517" s="73"/>
      <c r="Q1517" s="73"/>
      <c r="R1517" s="73"/>
      <c r="S1517" s="73"/>
      <c r="T1517" s="73"/>
      <c r="U1517" s="73"/>
      <c r="V1517" s="73"/>
      <c r="W1517" s="73"/>
      <c r="X1517" s="73"/>
    </row>
    <row r="1518">
      <c r="A1518" s="74"/>
      <c r="B1518" s="74"/>
      <c r="C1518" s="74"/>
      <c r="D1518" s="75"/>
      <c r="E1518" s="100"/>
      <c r="F1518" s="101"/>
      <c r="G1518" s="99"/>
      <c r="H1518" s="73"/>
      <c r="I1518" s="98"/>
      <c r="J1518" s="99"/>
      <c r="L1518" s="73"/>
      <c r="M1518" s="73"/>
      <c r="N1518" s="73"/>
      <c r="O1518" s="73"/>
      <c r="P1518" s="73"/>
      <c r="Q1518" s="73"/>
      <c r="R1518" s="73"/>
      <c r="S1518" s="73"/>
      <c r="T1518" s="73"/>
      <c r="U1518" s="73"/>
      <c r="V1518" s="73"/>
      <c r="W1518" s="73"/>
      <c r="X1518" s="73"/>
    </row>
    <row r="1519">
      <c r="A1519" s="74"/>
      <c r="B1519" s="74"/>
      <c r="C1519" s="74"/>
      <c r="D1519" s="75"/>
      <c r="E1519" s="100"/>
      <c r="F1519" s="101"/>
      <c r="G1519" s="99"/>
      <c r="H1519" s="73"/>
      <c r="I1519" s="98"/>
      <c r="J1519" s="99"/>
      <c r="L1519" s="73"/>
      <c r="M1519" s="73"/>
      <c r="N1519" s="73"/>
      <c r="O1519" s="73"/>
      <c r="P1519" s="73"/>
      <c r="Q1519" s="73"/>
      <c r="R1519" s="73"/>
      <c r="S1519" s="73"/>
      <c r="T1519" s="73"/>
      <c r="U1519" s="73"/>
      <c r="V1519" s="73"/>
      <c r="W1519" s="73"/>
      <c r="X1519" s="73"/>
    </row>
    <row r="1520">
      <c r="A1520" s="74"/>
      <c r="B1520" s="74"/>
      <c r="C1520" s="74"/>
      <c r="D1520" s="75"/>
      <c r="E1520" s="100"/>
      <c r="F1520" s="101"/>
      <c r="G1520" s="99"/>
      <c r="H1520" s="73"/>
      <c r="I1520" s="98"/>
      <c r="J1520" s="99"/>
      <c r="L1520" s="73"/>
      <c r="M1520" s="73"/>
      <c r="N1520" s="73"/>
      <c r="O1520" s="73"/>
      <c r="P1520" s="73"/>
      <c r="Q1520" s="73"/>
      <c r="R1520" s="73"/>
      <c r="S1520" s="73"/>
      <c r="T1520" s="73"/>
      <c r="U1520" s="73"/>
      <c r="V1520" s="73"/>
      <c r="W1520" s="73"/>
      <c r="X1520" s="73"/>
    </row>
    <row r="1521">
      <c r="A1521" s="74"/>
      <c r="B1521" s="74"/>
      <c r="C1521" s="74"/>
      <c r="D1521" s="75"/>
      <c r="E1521" s="100"/>
      <c r="F1521" s="101"/>
      <c r="G1521" s="99"/>
      <c r="H1521" s="73"/>
      <c r="I1521" s="98"/>
      <c r="J1521" s="99"/>
      <c r="L1521" s="73"/>
      <c r="M1521" s="73"/>
      <c r="N1521" s="73"/>
      <c r="O1521" s="73"/>
      <c r="P1521" s="73"/>
      <c r="Q1521" s="73"/>
      <c r="R1521" s="73"/>
      <c r="S1521" s="73"/>
      <c r="T1521" s="73"/>
      <c r="U1521" s="73"/>
      <c r="V1521" s="73"/>
      <c r="W1521" s="73"/>
      <c r="X1521" s="73"/>
    </row>
    <row r="1522">
      <c r="A1522" s="74"/>
      <c r="B1522" s="74"/>
      <c r="C1522" s="74"/>
      <c r="D1522" s="75"/>
      <c r="E1522" s="100"/>
      <c r="F1522" s="101"/>
      <c r="G1522" s="99"/>
      <c r="H1522" s="73"/>
      <c r="I1522" s="98"/>
      <c r="J1522" s="99"/>
      <c r="L1522" s="73"/>
      <c r="M1522" s="73"/>
      <c r="N1522" s="73"/>
      <c r="O1522" s="73"/>
      <c r="P1522" s="73"/>
      <c r="Q1522" s="73"/>
      <c r="R1522" s="73"/>
      <c r="S1522" s="73"/>
      <c r="T1522" s="73"/>
      <c r="U1522" s="73"/>
      <c r="V1522" s="73"/>
      <c r="W1522" s="73"/>
      <c r="X1522" s="73"/>
    </row>
    <row r="1523">
      <c r="A1523" s="74"/>
      <c r="B1523" s="74"/>
      <c r="C1523" s="74"/>
      <c r="D1523" s="75"/>
      <c r="E1523" s="100"/>
      <c r="F1523" s="101"/>
      <c r="G1523" s="99"/>
      <c r="H1523" s="73"/>
      <c r="I1523" s="98"/>
      <c r="J1523" s="99"/>
      <c r="L1523" s="73"/>
      <c r="M1523" s="73"/>
      <c r="N1523" s="73"/>
      <c r="O1523" s="73"/>
      <c r="P1523" s="73"/>
      <c r="Q1523" s="73"/>
      <c r="R1523" s="73"/>
      <c r="S1523" s="73"/>
      <c r="T1523" s="73"/>
      <c r="U1523" s="73"/>
      <c r="V1523" s="73"/>
      <c r="W1523" s="73"/>
      <c r="X1523" s="73"/>
    </row>
    <row r="1524">
      <c r="A1524" s="74"/>
      <c r="B1524" s="74"/>
      <c r="C1524" s="74"/>
      <c r="D1524" s="75"/>
      <c r="E1524" s="100"/>
      <c r="F1524" s="101"/>
      <c r="G1524" s="99"/>
      <c r="H1524" s="73"/>
      <c r="I1524" s="98"/>
      <c r="J1524" s="99"/>
      <c r="L1524" s="73"/>
      <c r="M1524" s="73"/>
      <c r="N1524" s="73"/>
      <c r="O1524" s="73"/>
      <c r="P1524" s="73"/>
      <c r="Q1524" s="73"/>
      <c r="R1524" s="73"/>
      <c r="S1524" s="73"/>
      <c r="T1524" s="73"/>
      <c r="U1524" s="73"/>
      <c r="V1524" s="73"/>
      <c r="W1524" s="73"/>
      <c r="X1524" s="73"/>
    </row>
    <row r="1525">
      <c r="A1525" s="74"/>
      <c r="B1525" s="74"/>
      <c r="C1525" s="74"/>
      <c r="D1525" s="75"/>
      <c r="E1525" s="100"/>
      <c r="F1525" s="101"/>
      <c r="G1525" s="99"/>
      <c r="H1525" s="73"/>
      <c r="I1525" s="98"/>
      <c r="J1525" s="99"/>
      <c r="L1525" s="73"/>
      <c r="M1525" s="73"/>
      <c r="N1525" s="73"/>
      <c r="O1525" s="73"/>
      <c r="P1525" s="73"/>
      <c r="Q1525" s="73"/>
      <c r="R1525" s="73"/>
      <c r="S1525" s="73"/>
      <c r="T1525" s="73"/>
      <c r="U1525" s="73"/>
      <c r="V1525" s="73"/>
      <c r="W1525" s="73"/>
      <c r="X1525" s="73"/>
    </row>
    <row r="1526">
      <c r="A1526" s="74"/>
      <c r="B1526" s="74"/>
      <c r="C1526" s="74"/>
      <c r="D1526" s="75"/>
      <c r="E1526" s="100"/>
      <c r="F1526" s="101"/>
      <c r="G1526" s="99"/>
      <c r="H1526" s="73"/>
      <c r="I1526" s="98"/>
      <c r="J1526" s="99"/>
      <c r="L1526" s="73"/>
      <c r="M1526" s="73"/>
      <c r="N1526" s="73"/>
      <c r="O1526" s="73"/>
      <c r="P1526" s="73"/>
      <c r="Q1526" s="73"/>
      <c r="R1526" s="73"/>
      <c r="S1526" s="73"/>
      <c r="T1526" s="73"/>
      <c r="U1526" s="73"/>
      <c r="V1526" s="73"/>
      <c r="W1526" s="73"/>
      <c r="X1526" s="73"/>
    </row>
    <row r="1527">
      <c r="A1527" s="74"/>
      <c r="B1527" s="74"/>
      <c r="C1527" s="74"/>
      <c r="D1527" s="75"/>
      <c r="E1527" s="100"/>
      <c r="F1527" s="101"/>
      <c r="G1527" s="99"/>
      <c r="H1527" s="73"/>
      <c r="I1527" s="98"/>
      <c r="J1527" s="99"/>
      <c r="L1527" s="73"/>
      <c r="M1527" s="73"/>
      <c r="N1527" s="73"/>
      <c r="O1527" s="73"/>
      <c r="P1527" s="73"/>
      <c r="Q1527" s="73"/>
      <c r="R1527" s="73"/>
      <c r="S1527" s="73"/>
      <c r="T1527" s="73"/>
      <c r="U1527" s="73"/>
      <c r="V1527" s="73"/>
      <c r="W1527" s="73"/>
      <c r="X1527" s="73"/>
    </row>
    <row r="1528">
      <c r="A1528" s="74"/>
      <c r="B1528" s="74"/>
      <c r="C1528" s="74"/>
      <c r="D1528" s="75"/>
      <c r="E1528" s="100"/>
      <c r="F1528" s="101"/>
      <c r="G1528" s="99"/>
      <c r="H1528" s="73"/>
      <c r="I1528" s="98"/>
      <c r="J1528" s="99"/>
      <c r="L1528" s="73"/>
      <c r="M1528" s="73"/>
      <c r="N1528" s="73"/>
      <c r="O1528" s="73"/>
      <c r="P1528" s="73"/>
      <c r="Q1528" s="73"/>
      <c r="R1528" s="73"/>
      <c r="S1528" s="73"/>
      <c r="T1528" s="73"/>
      <c r="U1528" s="73"/>
      <c r="V1528" s="73"/>
      <c r="W1528" s="73"/>
      <c r="X1528" s="73"/>
    </row>
    <row r="1529">
      <c r="A1529" s="74"/>
      <c r="B1529" s="74"/>
      <c r="C1529" s="74"/>
      <c r="D1529" s="75"/>
      <c r="E1529" s="100"/>
      <c r="F1529" s="101"/>
      <c r="G1529" s="99"/>
      <c r="H1529" s="73"/>
      <c r="I1529" s="98"/>
      <c r="J1529" s="99"/>
      <c r="L1529" s="73"/>
      <c r="M1529" s="73"/>
      <c r="N1529" s="73"/>
      <c r="O1529" s="73"/>
      <c r="P1529" s="73"/>
      <c r="Q1529" s="73"/>
      <c r="R1529" s="73"/>
      <c r="S1529" s="73"/>
      <c r="T1529" s="73"/>
      <c r="U1529" s="73"/>
      <c r="V1529" s="73"/>
      <c r="W1529" s="73"/>
      <c r="X1529" s="73"/>
    </row>
    <row r="1530">
      <c r="A1530" s="74"/>
      <c r="B1530" s="74"/>
      <c r="C1530" s="74"/>
      <c r="D1530" s="75"/>
      <c r="E1530" s="100"/>
      <c r="F1530" s="101"/>
      <c r="G1530" s="99"/>
      <c r="H1530" s="73"/>
      <c r="I1530" s="98"/>
      <c r="J1530" s="99"/>
      <c r="L1530" s="73"/>
      <c r="M1530" s="73"/>
      <c r="N1530" s="73"/>
      <c r="O1530" s="73"/>
      <c r="P1530" s="73"/>
      <c r="Q1530" s="73"/>
      <c r="R1530" s="73"/>
      <c r="S1530" s="73"/>
      <c r="T1530" s="73"/>
      <c r="U1530" s="73"/>
      <c r="V1530" s="73"/>
      <c r="W1530" s="73"/>
      <c r="X1530" s="73"/>
    </row>
    <row r="1531">
      <c r="A1531" s="74"/>
      <c r="B1531" s="74"/>
      <c r="C1531" s="74"/>
      <c r="D1531" s="75"/>
      <c r="E1531" s="100"/>
      <c r="F1531" s="101"/>
      <c r="G1531" s="99"/>
      <c r="H1531" s="73"/>
      <c r="I1531" s="98"/>
      <c r="J1531" s="99"/>
      <c r="L1531" s="73"/>
      <c r="M1531" s="73"/>
      <c r="N1531" s="73"/>
      <c r="O1531" s="73"/>
      <c r="P1531" s="73"/>
      <c r="Q1531" s="73"/>
      <c r="R1531" s="73"/>
      <c r="S1531" s="73"/>
      <c r="T1531" s="73"/>
      <c r="U1531" s="73"/>
      <c r="V1531" s="73"/>
      <c r="W1531" s="73"/>
      <c r="X1531" s="73"/>
    </row>
    <row r="1532">
      <c r="A1532" s="74"/>
      <c r="B1532" s="74"/>
      <c r="C1532" s="74"/>
      <c r="D1532" s="75"/>
      <c r="E1532" s="100"/>
      <c r="F1532" s="101"/>
      <c r="G1532" s="99"/>
      <c r="H1532" s="73"/>
      <c r="I1532" s="98"/>
      <c r="J1532" s="99"/>
      <c r="L1532" s="73"/>
      <c r="M1532" s="73"/>
      <c r="N1532" s="73"/>
      <c r="O1532" s="73"/>
      <c r="P1532" s="73"/>
      <c r="Q1532" s="73"/>
      <c r="R1532" s="73"/>
      <c r="S1532" s="73"/>
      <c r="T1532" s="73"/>
      <c r="U1532" s="73"/>
      <c r="V1532" s="73"/>
      <c r="W1532" s="73"/>
      <c r="X1532" s="73"/>
    </row>
    <row r="1533">
      <c r="A1533" s="74"/>
      <c r="B1533" s="74"/>
      <c r="C1533" s="74"/>
      <c r="D1533" s="75"/>
      <c r="E1533" s="100"/>
      <c r="F1533" s="101"/>
      <c r="G1533" s="99"/>
      <c r="H1533" s="73"/>
      <c r="I1533" s="98"/>
      <c r="J1533" s="99"/>
      <c r="L1533" s="73"/>
      <c r="M1533" s="73"/>
      <c r="N1533" s="73"/>
      <c r="O1533" s="73"/>
      <c r="P1533" s="73"/>
      <c r="Q1533" s="73"/>
      <c r="R1533" s="73"/>
      <c r="S1533" s="73"/>
      <c r="T1533" s="73"/>
      <c r="U1533" s="73"/>
      <c r="V1533" s="73"/>
      <c r="W1533" s="73"/>
      <c r="X1533" s="73"/>
    </row>
    <row r="1534">
      <c r="A1534" s="74"/>
      <c r="B1534" s="74"/>
      <c r="C1534" s="74"/>
      <c r="D1534" s="75"/>
      <c r="E1534" s="100"/>
      <c r="F1534" s="101"/>
      <c r="G1534" s="99"/>
      <c r="H1534" s="73"/>
      <c r="I1534" s="98"/>
      <c r="J1534" s="99"/>
      <c r="L1534" s="73"/>
      <c r="M1534" s="73"/>
      <c r="N1534" s="73"/>
      <c r="O1534" s="73"/>
      <c r="P1534" s="73"/>
      <c r="Q1534" s="73"/>
      <c r="R1534" s="73"/>
      <c r="S1534" s="73"/>
      <c r="T1534" s="73"/>
      <c r="U1534" s="73"/>
      <c r="V1534" s="73"/>
      <c r="W1534" s="73"/>
      <c r="X1534" s="73"/>
    </row>
    <row r="1535">
      <c r="A1535" s="74"/>
      <c r="B1535" s="74"/>
      <c r="C1535" s="74"/>
      <c r="D1535" s="75"/>
      <c r="E1535" s="100"/>
      <c r="F1535" s="101"/>
      <c r="G1535" s="99"/>
      <c r="H1535" s="73"/>
      <c r="I1535" s="98"/>
      <c r="J1535" s="99"/>
      <c r="L1535" s="73"/>
      <c r="M1535" s="73"/>
      <c r="N1535" s="73"/>
      <c r="O1535" s="73"/>
      <c r="P1535" s="73"/>
      <c r="Q1535" s="73"/>
      <c r="R1535" s="73"/>
      <c r="S1535" s="73"/>
      <c r="T1535" s="73"/>
      <c r="U1535" s="73"/>
      <c r="V1535" s="73"/>
      <c r="W1535" s="73"/>
      <c r="X1535" s="73"/>
    </row>
    <row r="1536">
      <c r="A1536" s="74"/>
      <c r="B1536" s="74"/>
      <c r="C1536" s="74"/>
      <c r="D1536" s="75"/>
      <c r="E1536" s="100"/>
      <c r="F1536" s="101"/>
      <c r="G1536" s="99"/>
      <c r="H1536" s="73"/>
      <c r="I1536" s="98"/>
      <c r="J1536" s="99"/>
      <c r="L1536" s="73"/>
      <c r="M1536" s="73"/>
      <c r="N1536" s="73"/>
      <c r="O1536" s="73"/>
      <c r="P1536" s="73"/>
      <c r="Q1536" s="73"/>
      <c r="R1536" s="73"/>
      <c r="S1536" s="73"/>
      <c r="T1536" s="73"/>
      <c r="U1536" s="73"/>
      <c r="V1536" s="73"/>
      <c r="W1536" s="73"/>
      <c r="X1536" s="73"/>
    </row>
    <row r="1537">
      <c r="A1537" s="74"/>
      <c r="B1537" s="74"/>
      <c r="C1537" s="74"/>
      <c r="D1537" s="75"/>
      <c r="E1537" s="100"/>
      <c r="F1537" s="101"/>
      <c r="G1537" s="99"/>
      <c r="H1537" s="73"/>
      <c r="I1537" s="98"/>
      <c r="J1537" s="99"/>
      <c r="L1537" s="73"/>
      <c r="M1537" s="73"/>
      <c r="N1537" s="73"/>
      <c r="O1537" s="73"/>
      <c r="P1537" s="73"/>
      <c r="Q1537" s="73"/>
      <c r="R1537" s="73"/>
      <c r="S1537" s="73"/>
      <c r="T1537" s="73"/>
      <c r="U1537" s="73"/>
      <c r="V1537" s="73"/>
      <c r="W1537" s="73"/>
      <c r="X1537" s="73"/>
    </row>
    <row r="1538">
      <c r="A1538" s="74"/>
      <c r="B1538" s="74"/>
      <c r="C1538" s="74"/>
      <c r="D1538" s="75"/>
      <c r="E1538" s="100"/>
      <c r="F1538" s="101"/>
      <c r="G1538" s="99"/>
      <c r="H1538" s="73"/>
      <c r="I1538" s="98"/>
      <c r="J1538" s="99"/>
      <c r="L1538" s="73"/>
      <c r="M1538" s="73"/>
      <c r="N1538" s="73"/>
      <c r="O1538" s="73"/>
      <c r="P1538" s="73"/>
      <c r="Q1538" s="73"/>
      <c r="R1538" s="73"/>
      <c r="S1538" s="73"/>
      <c r="T1538" s="73"/>
      <c r="U1538" s="73"/>
      <c r="V1538" s="73"/>
      <c r="W1538" s="73"/>
      <c r="X1538" s="73"/>
    </row>
    <row r="1539">
      <c r="A1539" s="74"/>
      <c r="B1539" s="74"/>
      <c r="C1539" s="74"/>
      <c r="D1539" s="75"/>
      <c r="E1539" s="100"/>
      <c r="F1539" s="101"/>
      <c r="G1539" s="99"/>
      <c r="H1539" s="73"/>
      <c r="I1539" s="98"/>
      <c r="J1539" s="99"/>
      <c r="L1539" s="73"/>
      <c r="M1539" s="73"/>
      <c r="N1539" s="73"/>
      <c r="O1539" s="73"/>
      <c r="P1539" s="73"/>
      <c r="Q1539" s="73"/>
      <c r="R1539" s="73"/>
      <c r="S1539" s="73"/>
      <c r="T1539" s="73"/>
      <c r="U1539" s="73"/>
      <c r="V1539" s="73"/>
      <c r="W1539" s="73"/>
      <c r="X1539" s="73"/>
    </row>
    <row r="1540">
      <c r="A1540" s="74"/>
      <c r="B1540" s="74"/>
      <c r="C1540" s="74"/>
      <c r="D1540" s="75"/>
      <c r="E1540" s="100"/>
      <c r="F1540" s="101"/>
      <c r="G1540" s="99"/>
      <c r="H1540" s="73"/>
      <c r="I1540" s="98"/>
      <c r="J1540" s="99"/>
      <c r="L1540" s="73"/>
      <c r="M1540" s="73"/>
      <c r="N1540" s="73"/>
      <c r="O1540" s="73"/>
      <c r="P1540" s="73"/>
      <c r="Q1540" s="73"/>
      <c r="R1540" s="73"/>
      <c r="S1540" s="73"/>
      <c r="T1540" s="73"/>
      <c r="U1540" s="73"/>
      <c r="V1540" s="73"/>
      <c r="W1540" s="73"/>
      <c r="X1540" s="73"/>
    </row>
    <row r="1541">
      <c r="A1541" s="74"/>
      <c r="B1541" s="74"/>
      <c r="C1541" s="74"/>
      <c r="D1541" s="75"/>
      <c r="E1541" s="100"/>
      <c r="F1541" s="101"/>
      <c r="G1541" s="99"/>
      <c r="H1541" s="73"/>
      <c r="I1541" s="98"/>
      <c r="J1541" s="99"/>
      <c r="L1541" s="73"/>
      <c r="M1541" s="73"/>
      <c r="N1541" s="73"/>
      <c r="O1541" s="73"/>
      <c r="P1541" s="73"/>
      <c r="Q1541" s="73"/>
      <c r="R1541" s="73"/>
      <c r="S1541" s="73"/>
      <c r="T1541" s="73"/>
      <c r="U1541" s="73"/>
      <c r="V1541" s="73"/>
      <c r="W1541" s="73"/>
      <c r="X1541" s="73"/>
    </row>
    <row r="1542">
      <c r="A1542" s="74"/>
      <c r="B1542" s="74"/>
      <c r="C1542" s="74"/>
      <c r="D1542" s="75"/>
      <c r="E1542" s="100"/>
      <c r="F1542" s="101"/>
      <c r="G1542" s="99"/>
      <c r="H1542" s="73"/>
      <c r="I1542" s="98"/>
      <c r="J1542" s="99"/>
      <c r="L1542" s="73"/>
      <c r="M1542" s="73"/>
      <c r="N1542" s="73"/>
      <c r="O1542" s="73"/>
      <c r="P1542" s="73"/>
      <c r="Q1542" s="73"/>
      <c r="R1542" s="73"/>
      <c r="S1542" s="73"/>
      <c r="T1542" s="73"/>
      <c r="U1542" s="73"/>
      <c r="V1542" s="73"/>
      <c r="W1542" s="73"/>
      <c r="X1542" s="73"/>
    </row>
    <row r="1543">
      <c r="A1543" s="74"/>
      <c r="B1543" s="74"/>
      <c r="C1543" s="74"/>
      <c r="D1543" s="75"/>
      <c r="E1543" s="100"/>
      <c r="F1543" s="101"/>
      <c r="G1543" s="99"/>
      <c r="H1543" s="73"/>
      <c r="I1543" s="98"/>
      <c r="J1543" s="99"/>
      <c r="L1543" s="73"/>
      <c r="M1543" s="73"/>
      <c r="N1543" s="73"/>
      <c r="O1543" s="73"/>
      <c r="P1543" s="73"/>
      <c r="Q1543" s="73"/>
      <c r="R1543" s="73"/>
      <c r="S1543" s="73"/>
      <c r="T1543" s="73"/>
      <c r="U1543" s="73"/>
      <c r="V1543" s="73"/>
      <c r="W1543" s="73"/>
      <c r="X1543" s="73"/>
    </row>
    <row r="1544">
      <c r="A1544" s="74"/>
      <c r="B1544" s="74"/>
      <c r="C1544" s="74"/>
      <c r="D1544" s="75"/>
      <c r="E1544" s="100"/>
      <c r="F1544" s="101"/>
      <c r="G1544" s="99"/>
      <c r="H1544" s="73"/>
      <c r="I1544" s="98"/>
      <c r="J1544" s="99"/>
      <c r="L1544" s="73"/>
      <c r="M1544" s="73"/>
      <c r="N1544" s="73"/>
      <c r="O1544" s="73"/>
      <c r="P1544" s="73"/>
      <c r="Q1544" s="73"/>
      <c r="R1544" s="73"/>
      <c r="S1544" s="73"/>
      <c r="T1544" s="73"/>
      <c r="U1544" s="73"/>
      <c r="V1544" s="73"/>
      <c r="W1544" s="73"/>
      <c r="X1544" s="73"/>
    </row>
    <row r="1545">
      <c r="A1545" s="74"/>
      <c r="B1545" s="74"/>
      <c r="C1545" s="74"/>
      <c r="D1545" s="75"/>
      <c r="E1545" s="100"/>
      <c r="F1545" s="101"/>
      <c r="G1545" s="99"/>
      <c r="H1545" s="73"/>
      <c r="I1545" s="98"/>
      <c r="J1545" s="99"/>
      <c r="L1545" s="73"/>
      <c r="M1545" s="73"/>
      <c r="N1545" s="73"/>
      <c r="O1545" s="73"/>
      <c r="P1545" s="73"/>
      <c r="Q1545" s="73"/>
      <c r="R1545" s="73"/>
      <c r="S1545" s="73"/>
      <c r="T1545" s="73"/>
      <c r="U1545" s="73"/>
      <c r="V1545" s="73"/>
      <c r="W1545" s="73"/>
      <c r="X1545" s="73"/>
    </row>
    <row r="1546">
      <c r="A1546" s="74"/>
      <c r="B1546" s="74"/>
      <c r="C1546" s="74"/>
      <c r="D1546" s="75"/>
      <c r="E1546" s="100"/>
      <c r="F1546" s="101"/>
      <c r="G1546" s="99"/>
      <c r="H1546" s="73"/>
      <c r="I1546" s="98"/>
      <c r="J1546" s="99"/>
      <c r="L1546" s="73"/>
      <c r="M1546" s="73"/>
      <c r="N1546" s="73"/>
      <c r="O1546" s="73"/>
      <c r="P1546" s="73"/>
      <c r="Q1546" s="73"/>
      <c r="R1546" s="73"/>
      <c r="S1546" s="73"/>
      <c r="T1546" s="73"/>
      <c r="U1546" s="73"/>
      <c r="V1546" s="73"/>
      <c r="W1546" s="73"/>
      <c r="X1546" s="73"/>
    </row>
    <row r="1547">
      <c r="A1547" s="74"/>
      <c r="B1547" s="74"/>
      <c r="C1547" s="74"/>
      <c r="D1547" s="75"/>
      <c r="E1547" s="100"/>
      <c r="F1547" s="101"/>
      <c r="G1547" s="99"/>
      <c r="H1547" s="73"/>
      <c r="I1547" s="98"/>
      <c r="J1547" s="99"/>
      <c r="L1547" s="73"/>
      <c r="M1547" s="73"/>
      <c r="N1547" s="73"/>
      <c r="O1547" s="73"/>
      <c r="P1547" s="73"/>
      <c r="Q1547" s="73"/>
      <c r="R1547" s="73"/>
      <c r="S1547" s="73"/>
      <c r="T1547" s="73"/>
      <c r="U1547" s="73"/>
      <c r="V1547" s="73"/>
      <c r="W1547" s="73"/>
      <c r="X1547" s="73"/>
    </row>
    <row r="1548">
      <c r="A1548" s="74"/>
      <c r="B1548" s="74"/>
      <c r="C1548" s="74"/>
      <c r="D1548" s="75"/>
      <c r="E1548" s="100"/>
      <c r="F1548" s="101"/>
      <c r="G1548" s="99"/>
      <c r="H1548" s="73"/>
      <c r="I1548" s="98"/>
      <c r="J1548" s="99"/>
      <c r="L1548" s="73"/>
      <c r="M1548" s="73"/>
      <c r="N1548" s="73"/>
      <c r="O1548" s="73"/>
      <c r="P1548" s="73"/>
      <c r="Q1548" s="73"/>
      <c r="R1548" s="73"/>
      <c r="S1548" s="73"/>
      <c r="T1548" s="73"/>
      <c r="U1548" s="73"/>
      <c r="V1548" s="73"/>
      <c r="W1548" s="73"/>
      <c r="X1548" s="73"/>
    </row>
    <row r="1549">
      <c r="A1549" s="74"/>
      <c r="B1549" s="74"/>
      <c r="C1549" s="74"/>
      <c r="D1549" s="75"/>
      <c r="E1549" s="100"/>
      <c r="F1549" s="101"/>
      <c r="G1549" s="99"/>
      <c r="H1549" s="73"/>
      <c r="I1549" s="98"/>
      <c r="J1549" s="99"/>
      <c r="L1549" s="73"/>
      <c r="M1549" s="73"/>
      <c r="N1549" s="73"/>
      <c r="O1549" s="73"/>
      <c r="P1549" s="73"/>
      <c r="Q1549" s="73"/>
      <c r="R1549" s="73"/>
      <c r="S1549" s="73"/>
      <c r="T1549" s="73"/>
      <c r="U1549" s="73"/>
      <c r="V1549" s="73"/>
      <c r="W1549" s="73"/>
      <c r="X1549" s="73"/>
    </row>
    <row r="1550">
      <c r="A1550" s="74"/>
      <c r="B1550" s="74"/>
      <c r="C1550" s="74"/>
      <c r="D1550" s="75"/>
      <c r="E1550" s="100"/>
      <c r="F1550" s="101"/>
      <c r="G1550" s="99"/>
      <c r="H1550" s="73"/>
      <c r="I1550" s="98"/>
      <c r="J1550" s="99"/>
      <c r="L1550" s="73"/>
      <c r="M1550" s="73"/>
      <c r="N1550" s="73"/>
      <c r="O1550" s="73"/>
      <c r="P1550" s="73"/>
      <c r="Q1550" s="73"/>
      <c r="R1550" s="73"/>
      <c r="S1550" s="73"/>
      <c r="T1550" s="73"/>
      <c r="U1550" s="73"/>
      <c r="V1550" s="73"/>
      <c r="W1550" s="73"/>
      <c r="X1550" s="73"/>
    </row>
    <row r="1551">
      <c r="A1551" s="74"/>
      <c r="B1551" s="74"/>
      <c r="C1551" s="74"/>
      <c r="D1551" s="75"/>
      <c r="E1551" s="100"/>
      <c r="F1551" s="101"/>
      <c r="G1551" s="99"/>
      <c r="H1551" s="73"/>
      <c r="I1551" s="98"/>
      <c r="J1551" s="99"/>
      <c r="L1551" s="73"/>
      <c r="M1551" s="73"/>
      <c r="N1551" s="73"/>
      <c r="O1551" s="73"/>
      <c r="P1551" s="73"/>
      <c r="Q1551" s="73"/>
      <c r="R1551" s="73"/>
      <c r="S1551" s="73"/>
      <c r="T1551" s="73"/>
      <c r="U1551" s="73"/>
      <c r="V1551" s="73"/>
      <c r="W1551" s="73"/>
      <c r="X1551" s="73"/>
    </row>
    <row r="1552">
      <c r="A1552" s="74"/>
      <c r="B1552" s="74"/>
      <c r="C1552" s="74"/>
      <c r="D1552" s="75"/>
      <c r="E1552" s="100"/>
      <c r="F1552" s="101"/>
      <c r="G1552" s="99"/>
      <c r="H1552" s="73"/>
      <c r="I1552" s="98"/>
      <c r="J1552" s="99"/>
      <c r="L1552" s="73"/>
      <c r="M1552" s="73"/>
      <c r="N1552" s="73"/>
      <c r="O1552" s="73"/>
      <c r="P1552" s="73"/>
      <c r="Q1552" s="73"/>
      <c r="R1552" s="73"/>
      <c r="S1552" s="73"/>
      <c r="T1552" s="73"/>
      <c r="U1552" s="73"/>
      <c r="V1552" s="73"/>
      <c r="W1552" s="73"/>
      <c r="X1552" s="73"/>
    </row>
    <row r="1553">
      <c r="A1553" s="74"/>
      <c r="B1553" s="74"/>
      <c r="C1553" s="74"/>
      <c r="D1553" s="75"/>
      <c r="E1553" s="100"/>
      <c r="F1553" s="101"/>
      <c r="G1553" s="99"/>
      <c r="H1553" s="73"/>
      <c r="I1553" s="98"/>
      <c r="J1553" s="99"/>
      <c r="L1553" s="73"/>
      <c r="M1553" s="73"/>
      <c r="N1553" s="73"/>
      <c r="O1553" s="73"/>
      <c r="P1553" s="73"/>
      <c r="Q1553" s="73"/>
      <c r="R1553" s="73"/>
      <c r="S1553" s="73"/>
      <c r="T1553" s="73"/>
      <c r="U1553" s="73"/>
      <c r="V1553" s="73"/>
      <c r="W1553" s="73"/>
      <c r="X1553" s="73"/>
    </row>
    <row r="1554">
      <c r="A1554" s="74"/>
      <c r="B1554" s="74"/>
      <c r="C1554" s="74"/>
      <c r="D1554" s="75"/>
      <c r="E1554" s="100"/>
      <c r="F1554" s="101"/>
      <c r="G1554" s="99"/>
      <c r="H1554" s="73"/>
      <c r="I1554" s="98"/>
      <c r="J1554" s="99"/>
      <c r="L1554" s="73"/>
      <c r="M1554" s="73"/>
      <c r="N1554" s="73"/>
      <c r="O1554" s="73"/>
      <c r="P1554" s="73"/>
      <c r="Q1554" s="73"/>
      <c r="R1554" s="73"/>
      <c r="S1554" s="73"/>
      <c r="T1554" s="73"/>
      <c r="U1554" s="73"/>
      <c r="V1554" s="73"/>
      <c r="W1554" s="73"/>
      <c r="X1554" s="73"/>
    </row>
    <row r="1555">
      <c r="A1555" s="74"/>
      <c r="B1555" s="74"/>
      <c r="C1555" s="74"/>
      <c r="D1555" s="75"/>
      <c r="E1555" s="100"/>
      <c r="F1555" s="101"/>
      <c r="G1555" s="99"/>
      <c r="H1555" s="73"/>
      <c r="I1555" s="98"/>
      <c r="J1555" s="99"/>
      <c r="L1555" s="73"/>
      <c r="M1555" s="73"/>
      <c r="N1555" s="73"/>
      <c r="O1555" s="73"/>
      <c r="P1555" s="73"/>
      <c r="Q1555" s="73"/>
      <c r="R1555" s="73"/>
      <c r="S1555" s="73"/>
      <c r="T1555" s="73"/>
      <c r="U1555" s="73"/>
      <c r="V1555" s="73"/>
      <c r="W1555" s="73"/>
      <c r="X1555" s="73"/>
    </row>
    <row r="1556">
      <c r="A1556" s="74"/>
      <c r="B1556" s="74"/>
      <c r="C1556" s="74"/>
      <c r="D1556" s="75"/>
      <c r="E1556" s="100"/>
      <c r="F1556" s="101"/>
      <c r="G1556" s="99"/>
      <c r="H1556" s="73"/>
      <c r="I1556" s="98"/>
      <c r="J1556" s="99"/>
      <c r="L1556" s="73"/>
      <c r="M1556" s="73"/>
      <c r="N1556" s="73"/>
      <c r="O1556" s="73"/>
      <c r="P1556" s="73"/>
      <c r="Q1556" s="73"/>
      <c r="R1556" s="73"/>
      <c r="S1556" s="73"/>
      <c r="T1556" s="73"/>
      <c r="U1556" s="73"/>
      <c r="V1556" s="73"/>
      <c r="W1556" s="73"/>
      <c r="X1556" s="73"/>
    </row>
    <row r="1557">
      <c r="A1557" s="74"/>
      <c r="B1557" s="74"/>
      <c r="C1557" s="74"/>
      <c r="D1557" s="75"/>
      <c r="E1557" s="100"/>
      <c r="F1557" s="101"/>
      <c r="G1557" s="99"/>
      <c r="H1557" s="73"/>
      <c r="I1557" s="98"/>
      <c r="J1557" s="99"/>
      <c r="L1557" s="73"/>
      <c r="M1557" s="73"/>
      <c r="N1557" s="73"/>
      <c r="O1557" s="73"/>
      <c r="P1557" s="73"/>
      <c r="Q1557" s="73"/>
      <c r="R1557" s="73"/>
      <c r="S1557" s="73"/>
      <c r="T1557" s="73"/>
      <c r="U1557" s="73"/>
      <c r="V1557" s="73"/>
      <c r="W1557" s="73"/>
      <c r="X1557" s="73"/>
    </row>
    <row r="1558">
      <c r="A1558" s="74"/>
      <c r="B1558" s="74"/>
      <c r="C1558" s="74"/>
      <c r="D1558" s="75"/>
      <c r="E1558" s="100"/>
      <c r="F1558" s="101"/>
      <c r="G1558" s="99"/>
      <c r="H1558" s="73"/>
      <c r="I1558" s="98"/>
      <c r="J1558" s="99"/>
      <c r="L1558" s="73"/>
      <c r="M1558" s="73"/>
      <c r="N1558" s="73"/>
      <c r="O1558" s="73"/>
      <c r="P1558" s="73"/>
      <c r="Q1558" s="73"/>
      <c r="R1558" s="73"/>
      <c r="S1558" s="73"/>
      <c r="T1558" s="73"/>
      <c r="U1558" s="73"/>
      <c r="V1558" s="73"/>
      <c r="W1558" s="73"/>
      <c r="X1558" s="73"/>
    </row>
    <row r="1559">
      <c r="A1559" s="74"/>
      <c r="B1559" s="74"/>
      <c r="C1559" s="74"/>
      <c r="D1559" s="75"/>
      <c r="E1559" s="100"/>
      <c r="F1559" s="101"/>
      <c r="G1559" s="99"/>
      <c r="H1559" s="73"/>
      <c r="I1559" s="98"/>
      <c r="J1559" s="99"/>
      <c r="L1559" s="73"/>
      <c r="M1559" s="73"/>
      <c r="N1559" s="73"/>
      <c r="O1559" s="73"/>
      <c r="P1559" s="73"/>
      <c r="Q1559" s="73"/>
      <c r="R1559" s="73"/>
      <c r="S1559" s="73"/>
      <c r="T1559" s="73"/>
      <c r="U1559" s="73"/>
      <c r="V1559" s="73"/>
      <c r="W1559" s="73"/>
      <c r="X1559" s="73"/>
    </row>
    <row r="1560">
      <c r="A1560" s="74"/>
      <c r="B1560" s="74"/>
      <c r="C1560" s="74"/>
      <c r="D1560" s="75"/>
      <c r="E1560" s="100"/>
      <c r="F1560" s="101"/>
      <c r="G1560" s="99"/>
      <c r="H1560" s="73"/>
      <c r="I1560" s="98"/>
      <c r="J1560" s="99"/>
      <c r="L1560" s="73"/>
      <c r="M1560" s="73"/>
      <c r="N1560" s="73"/>
      <c r="O1560" s="73"/>
      <c r="P1560" s="73"/>
      <c r="Q1560" s="73"/>
      <c r="R1560" s="73"/>
      <c r="S1560" s="73"/>
      <c r="T1560" s="73"/>
      <c r="U1560" s="73"/>
      <c r="V1560" s="73"/>
      <c r="W1560" s="73"/>
      <c r="X1560" s="73"/>
    </row>
    <row r="1561">
      <c r="A1561" s="74"/>
      <c r="B1561" s="74"/>
      <c r="C1561" s="74"/>
      <c r="D1561" s="75"/>
      <c r="E1561" s="100"/>
      <c r="F1561" s="101"/>
      <c r="G1561" s="99"/>
      <c r="H1561" s="73"/>
      <c r="I1561" s="98"/>
      <c r="J1561" s="99"/>
      <c r="L1561" s="73"/>
      <c r="M1561" s="73"/>
      <c r="N1561" s="73"/>
      <c r="O1561" s="73"/>
      <c r="P1561" s="73"/>
      <c r="Q1561" s="73"/>
      <c r="R1561" s="73"/>
      <c r="S1561" s="73"/>
      <c r="T1561" s="73"/>
      <c r="U1561" s="73"/>
      <c r="V1561" s="73"/>
      <c r="W1561" s="73"/>
      <c r="X1561" s="73"/>
    </row>
    <row r="1562">
      <c r="A1562" s="74"/>
      <c r="B1562" s="74"/>
      <c r="C1562" s="74"/>
      <c r="D1562" s="75"/>
      <c r="E1562" s="100"/>
      <c r="F1562" s="101"/>
      <c r="G1562" s="99"/>
      <c r="H1562" s="73"/>
      <c r="I1562" s="98"/>
      <c r="J1562" s="99"/>
      <c r="L1562" s="73"/>
      <c r="M1562" s="73"/>
      <c r="N1562" s="73"/>
      <c r="O1562" s="73"/>
      <c r="P1562" s="73"/>
      <c r="Q1562" s="73"/>
      <c r="R1562" s="73"/>
      <c r="S1562" s="73"/>
      <c r="T1562" s="73"/>
      <c r="U1562" s="73"/>
      <c r="V1562" s="73"/>
      <c r="W1562" s="73"/>
      <c r="X1562" s="73"/>
    </row>
    <row r="1563">
      <c r="A1563" s="74"/>
      <c r="B1563" s="74"/>
      <c r="C1563" s="74"/>
      <c r="D1563" s="75"/>
      <c r="E1563" s="100"/>
      <c r="F1563" s="101"/>
      <c r="G1563" s="99"/>
      <c r="H1563" s="73"/>
      <c r="I1563" s="98"/>
      <c r="J1563" s="99"/>
      <c r="L1563" s="73"/>
      <c r="M1563" s="73"/>
      <c r="N1563" s="73"/>
      <c r="O1563" s="73"/>
      <c r="P1563" s="73"/>
      <c r="Q1563" s="73"/>
      <c r="R1563" s="73"/>
      <c r="S1563" s="73"/>
      <c r="T1563" s="73"/>
      <c r="U1563" s="73"/>
      <c r="V1563" s="73"/>
      <c r="W1563" s="73"/>
      <c r="X1563" s="73"/>
    </row>
    <row r="1564">
      <c r="A1564" s="74"/>
      <c r="B1564" s="74"/>
      <c r="C1564" s="74"/>
      <c r="D1564" s="75"/>
      <c r="E1564" s="100"/>
      <c r="F1564" s="101"/>
      <c r="G1564" s="99"/>
      <c r="H1564" s="73"/>
      <c r="I1564" s="98"/>
      <c r="J1564" s="99"/>
      <c r="L1564" s="73"/>
      <c r="M1564" s="73"/>
      <c r="N1564" s="73"/>
      <c r="O1564" s="73"/>
      <c r="P1564" s="73"/>
      <c r="Q1564" s="73"/>
      <c r="R1564" s="73"/>
      <c r="S1564" s="73"/>
      <c r="T1564" s="73"/>
      <c r="U1564" s="73"/>
      <c r="V1564" s="73"/>
      <c r="W1564" s="73"/>
      <c r="X1564" s="73"/>
    </row>
    <row r="1565">
      <c r="A1565" s="74"/>
      <c r="B1565" s="74"/>
      <c r="C1565" s="74"/>
      <c r="D1565" s="75"/>
      <c r="E1565" s="100"/>
      <c r="F1565" s="101"/>
      <c r="G1565" s="99"/>
      <c r="H1565" s="73"/>
      <c r="I1565" s="98"/>
      <c r="J1565" s="99"/>
      <c r="L1565" s="73"/>
      <c r="M1565" s="73"/>
      <c r="N1565" s="73"/>
      <c r="O1565" s="73"/>
      <c r="P1565" s="73"/>
      <c r="Q1565" s="73"/>
      <c r="R1565" s="73"/>
      <c r="S1565" s="73"/>
      <c r="T1565" s="73"/>
      <c r="U1565" s="73"/>
      <c r="V1565" s="73"/>
      <c r="W1565" s="73"/>
      <c r="X1565" s="73"/>
    </row>
    <row r="1566">
      <c r="A1566" s="74"/>
      <c r="B1566" s="74"/>
      <c r="C1566" s="74"/>
      <c r="D1566" s="75"/>
      <c r="E1566" s="100"/>
      <c r="F1566" s="101"/>
      <c r="G1566" s="99"/>
      <c r="H1566" s="73"/>
      <c r="I1566" s="98"/>
      <c r="J1566" s="99"/>
      <c r="L1566" s="73"/>
      <c r="M1566" s="73"/>
      <c r="N1566" s="73"/>
      <c r="O1566" s="73"/>
      <c r="P1566" s="73"/>
      <c r="Q1566" s="73"/>
      <c r="R1566" s="73"/>
      <c r="S1566" s="73"/>
      <c r="T1566" s="73"/>
      <c r="U1566" s="73"/>
      <c r="V1566" s="73"/>
      <c r="W1566" s="73"/>
      <c r="X1566" s="73"/>
    </row>
    <row r="1567">
      <c r="A1567" s="74"/>
      <c r="B1567" s="74"/>
      <c r="C1567" s="74"/>
      <c r="D1567" s="75"/>
      <c r="E1567" s="100"/>
      <c r="F1567" s="101"/>
      <c r="G1567" s="99"/>
      <c r="H1567" s="73"/>
      <c r="I1567" s="98"/>
      <c r="J1567" s="99"/>
      <c r="L1567" s="73"/>
      <c r="M1567" s="73"/>
      <c r="N1567" s="73"/>
      <c r="O1567" s="73"/>
      <c r="P1567" s="73"/>
      <c r="Q1567" s="73"/>
      <c r="R1567" s="73"/>
      <c r="S1567" s="73"/>
      <c r="T1567" s="73"/>
      <c r="U1567" s="73"/>
      <c r="V1567" s="73"/>
      <c r="W1567" s="73"/>
      <c r="X1567" s="73"/>
    </row>
    <row r="1568">
      <c r="A1568" s="74"/>
      <c r="B1568" s="74"/>
      <c r="C1568" s="74"/>
      <c r="D1568" s="75"/>
      <c r="E1568" s="100"/>
      <c r="F1568" s="101"/>
      <c r="G1568" s="99"/>
      <c r="H1568" s="73"/>
      <c r="I1568" s="98"/>
      <c r="J1568" s="99"/>
      <c r="L1568" s="73"/>
      <c r="M1568" s="73"/>
      <c r="N1568" s="73"/>
      <c r="O1568" s="73"/>
      <c r="P1568" s="73"/>
      <c r="Q1568" s="73"/>
      <c r="R1568" s="73"/>
      <c r="S1568" s="73"/>
      <c r="T1568" s="73"/>
      <c r="U1568" s="73"/>
      <c r="V1568" s="73"/>
      <c r="W1568" s="73"/>
      <c r="X1568" s="73"/>
    </row>
    <row r="1569">
      <c r="A1569" s="74"/>
      <c r="B1569" s="74"/>
      <c r="C1569" s="74"/>
      <c r="D1569" s="75"/>
      <c r="E1569" s="100"/>
      <c r="F1569" s="101"/>
      <c r="G1569" s="99"/>
      <c r="H1569" s="73"/>
      <c r="I1569" s="98"/>
      <c r="J1569" s="99"/>
      <c r="L1569" s="73"/>
      <c r="M1569" s="73"/>
      <c r="N1569" s="73"/>
      <c r="O1569" s="73"/>
      <c r="P1569" s="73"/>
      <c r="Q1569" s="73"/>
      <c r="R1569" s="73"/>
      <c r="S1569" s="73"/>
      <c r="T1569" s="73"/>
      <c r="U1569" s="73"/>
      <c r="V1569" s="73"/>
      <c r="W1569" s="73"/>
      <c r="X1569" s="73"/>
    </row>
    <row r="1570">
      <c r="A1570" s="74"/>
      <c r="B1570" s="74"/>
      <c r="C1570" s="74"/>
      <c r="D1570" s="75"/>
      <c r="E1570" s="100"/>
      <c r="F1570" s="101"/>
      <c r="G1570" s="99"/>
      <c r="H1570" s="73"/>
      <c r="I1570" s="98"/>
      <c r="J1570" s="99"/>
      <c r="L1570" s="73"/>
      <c r="M1570" s="73"/>
      <c r="N1570" s="73"/>
      <c r="O1570" s="73"/>
      <c r="P1570" s="73"/>
      <c r="Q1570" s="73"/>
      <c r="R1570" s="73"/>
      <c r="S1570" s="73"/>
      <c r="T1570" s="73"/>
      <c r="U1570" s="73"/>
      <c r="V1570" s="73"/>
      <c r="W1570" s="73"/>
      <c r="X1570" s="73"/>
    </row>
    <row r="1571">
      <c r="A1571" s="74"/>
      <c r="B1571" s="74"/>
      <c r="C1571" s="74"/>
      <c r="D1571" s="75"/>
      <c r="E1571" s="100"/>
      <c r="F1571" s="101"/>
      <c r="G1571" s="99"/>
      <c r="H1571" s="73"/>
      <c r="I1571" s="98"/>
      <c r="J1571" s="99"/>
      <c r="L1571" s="73"/>
      <c r="M1571" s="73"/>
      <c r="N1571" s="73"/>
      <c r="O1571" s="73"/>
      <c r="P1571" s="73"/>
      <c r="Q1571" s="73"/>
      <c r="R1571" s="73"/>
      <c r="S1571" s="73"/>
      <c r="T1571" s="73"/>
      <c r="U1571" s="73"/>
      <c r="V1571" s="73"/>
      <c r="W1571" s="73"/>
      <c r="X1571" s="73"/>
    </row>
    <row r="1572">
      <c r="A1572" s="74"/>
      <c r="B1572" s="74"/>
      <c r="C1572" s="74"/>
      <c r="D1572" s="75"/>
      <c r="E1572" s="100"/>
      <c r="F1572" s="101"/>
      <c r="G1572" s="99"/>
      <c r="H1572" s="73"/>
      <c r="I1572" s="98"/>
      <c r="J1572" s="99"/>
      <c r="L1572" s="73"/>
      <c r="M1572" s="73"/>
      <c r="N1572" s="73"/>
      <c r="O1572" s="73"/>
      <c r="P1572" s="73"/>
      <c r="Q1572" s="73"/>
      <c r="R1572" s="73"/>
      <c r="S1572" s="73"/>
      <c r="T1572" s="73"/>
      <c r="U1572" s="73"/>
      <c r="V1572" s="73"/>
      <c r="W1572" s="73"/>
      <c r="X1572" s="73"/>
    </row>
    <row r="1573">
      <c r="A1573" s="74"/>
      <c r="B1573" s="74"/>
      <c r="C1573" s="74"/>
      <c r="D1573" s="75"/>
      <c r="E1573" s="100"/>
      <c r="F1573" s="101"/>
      <c r="G1573" s="99"/>
      <c r="H1573" s="73"/>
      <c r="I1573" s="98"/>
      <c r="J1573" s="99"/>
      <c r="L1573" s="73"/>
      <c r="M1573" s="73"/>
      <c r="N1573" s="73"/>
      <c r="O1573" s="73"/>
      <c r="P1573" s="73"/>
      <c r="Q1573" s="73"/>
      <c r="R1573" s="73"/>
      <c r="S1573" s="73"/>
      <c r="T1573" s="73"/>
      <c r="U1573" s="73"/>
      <c r="V1573" s="73"/>
      <c r="W1573" s="73"/>
      <c r="X1573" s="73"/>
    </row>
    <row r="1574">
      <c r="A1574" s="74"/>
      <c r="B1574" s="74"/>
      <c r="C1574" s="74"/>
      <c r="D1574" s="75"/>
      <c r="E1574" s="100"/>
      <c r="F1574" s="101"/>
      <c r="G1574" s="99"/>
      <c r="H1574" s="73"/>
      <c r="I1574" s="98"/>
      <c r="J1574" s="99"/>
      <c r="L1574" s="73"/>
      <c r="M1574" s="73"/>
      <c r="N1574" s="73"/>
      <c r="O1574" s="73"/>
      <c r="P1574" s="73"/>
      <c r="Q1574" s="73"/>
      <c r="R1574" s="73"/>
      <c r="S1574" s="73"/>
      <c r="T1574" s="73"/>
      <c r="U1574" s="73"/>
      <c r="V1574" s="73"/>
      <c r="W1574" s="73"/>
      <c r="X1574" s="73"/>
    </row>
    <row r="1575">
      <c r="A1575" s="74"/>
      <c r="B1575" s="74"/>
      <c r="C1575" s="74"/>
      <c r="D1575" s="75"/>
      <c r="E1575" s="100"/>
      <c r="F1575" s="101"/>
      <c r="G1575" s="99"/>
      <c r="H1575" s="73"/>
      <c r="I1575" s="98"/>
      <c r="J1575" s="99"/>
      <c r="L1575" s="73"/>
      <c r="M1575" s="73"/>
      <c r="N1575" s="73"/>
      <c r="O1575" s="73"/>
      <c r="P1575" s="73"/>
      <c r="Q1575" s="73"/>
      <c r="R1575" s="73"/>
      <c r="S1575" s="73"/>
      <c r="T1575" s="73"/>
      <c r="U1575" s="73"/>
      <c r="V1575" s="73"/>
      <c r="W1575" s="73"/>
      <c r="X1575" s="73"/>
    </row>
    <row r="1576">
      <c r="A1576" s="74"/>
      <c r="B1576" s="74"/>
      <c r="C1576" s="74"/>
      <c r="D1576" s="75"/>
      <c r="E1576" s="100"/>
      <c r="F1576" s="101"/>
      <c r="G1576" s="99"/>
      <c r="H1576" s="73"/>
      <c r="I1576" s="98"/>
      <c r="J1576" s="99"/>
      <c r="L1576" s="73"/>
      <c r="M1576" s="73"/>
      <c r="N1576" s="73"/>
      <c r="O1576" s="73"/>
      <c r="P1576" s="73"/>
      <c r="Q1576" s="73"/>
      <c r="R1576" s="73"/>
      <c r="S1576" s="73"/>
      <c r="T1576" s="73"/>
      <c r="U1576" s="73"/>
      <c r="V1576" s="73"/>
      <c r="W1576" s="73"/>
      <c r="X1576" s="73"/>
    </row>
    <row r="1577">
      <c r="A1577" s="74"/>
      <c r="B1577" s="74"/>
      <c r="C1577" s="74"/>
      <c r="D1577" s="75"/>
      <c r="E1577" s="100"/>
      <c r="F1577" s="101"/>
      <c r="G1577" s="99"/>
      <c r="H1577" s="73"/>
      <c r="I1577" s="98"/>
      <c r="J1577" s="99"/>
      <c r="L1577" s="73"/>
      <c r="M1577" s="73"/>
      <c r="N1577" s="73"/>
      <c r="O1577" s="73"/>
      <c r="P1577" s="73"/>
      <c r="Q1577" s="73"/>
      <c r="R1577" s="73"/>
      <c r="S1577" s="73"/>
      <c r="T1577" s="73"/>
      <c r="U1577" s="73"/>
      <c r="V1577" s="73"/>
      <c r="W1577" s="73"/>
      <c r="X1577" s="73"/>
    </row>
    <row r="1578">
      <c r="A1578" s="74"/>
      <c r="B1578" s="74"/>
      <c r="C1578" s="74"/>
      <c r="D1578" s="75"/>
      <c r="E1578" s="100"/>
      <c r="F1578" s="101"/>
      <c r="G1578" s="99"/>
      <c r="H1578" s="73"/>
      <c r="I1578" s="98"/>
      <c r="J1578" s="99"/>
      <c r="L1578" s="73"/>
      <c r="M1578" s="73"/>
      <c r="N1578" s="73"/>
      <c r="O1578" s="73"/>
      <c r="P1578" s="73"/>
      <c r="Q1578" s="73"/>
      <c r="R1578" s="73"/>
      <c r="S1578" s="73"/>
      <c r="T1578" s="73"/>
      <c r="U1578" s="73"/>
      <c r="V1578" s="73"/>
      <c r="W1578" s="73"/>
      <c r="X1578" s="73"/>
    </row>
    <row r="1579">
      <c r="A1579" s="74"/>
      <c r="B1579" s="74"/>
      <c r="C1579" s="74"/>
      <c r="D1579" s="75"/>
      <c r="E1579" s="100"/>
      <c r="F1579" s="101"/>
      <c r="G1579" s="99"/>
      <c r="H1579" s="73"/>
      <c r="I1579" s="98"/>
      <c r="J1579" s="99"/>
      <c r="L1579" s="73"/>
      <c r="M1579" s="73"/>
      <c r="N1579" s="73"/>
      <c r="O1579" s="73"/>
      <c r="P1579" s="73"/>
      <c r="Q1579" s="73"/>
      <c r="R1579" s="73"/>
      <c r="S1579" s="73"/>
      <c r="T1579" s="73"/>
      <c r="U1579" s="73"/>
      <c r="V1579" s="73"/>
      <c r="W1579" s="73"/>
      <c r="X1579" s="73"/>
    </row>
    <row r="1580">
      <c r="A1580" s="74"/>
      <c r="B1580" s="74"/>
      <c r="C1580" s="74"/>
      <c r="D1580" s="75"/>
      <c r="E1580" s="100"/>
      <c r="F1580" s="101"/>
      <c r="G1580" s="99"/>
      <c r="H1580" s="73"/>
      <c r="I1580" s="98"/>
      <c r="J1580" s="99"/>
      <c r="L1580" s="73"/>
      <c r="M1580" s="73"/>
      <c r="N1580" s="73"/>
      <c r="O1580" s="73"/>
      <c r="P1580" s="73"/>
      <c r="Q1580" s="73"/>
      <c r="R1580" s="73"/>
      <c r="S1580" s="73"/>
      <c r="T1580" s="73"/>
      <c r="U1580" s="73"/>
      <c r="V1580" s="73"/>
      <c r="W1580" s="73"/>
      <c r="X1580" s="73"/>
    </row>
    <row r="1581">
      <c r="A1581" s="74"/>
      <c r="B1581" s="74"/>
      <c r="C1581" s="74"/>
      <c r="D1581" s="75"/>
      <c r="E1581" s="100"/>
      <c r="F1581" s="101"/>
      <c r="G1581" s="99"/>
      <c r="H1581" s="73"/>
      <c r="I1581" s="98"/>
      <c r="J1581" s="99"/>
      <c r="L1581" s="73"/>
      <c r="M1581" s="73"/>
      <c r="N1581" s="73"/>
      <c r="O1581" s="73"/>
      <c r="P1581" s="73"/>
      <c r="Q1581" s="73"/>
      <c r="R1581" s="73"/>
      <c r="S1581" s="73"/>
      <c r="T1581" s="73"/>
      <c r="U1581" s="73"/>
      <c r="V1581" s="73"/>
      <c r="W1581" s="73"/>
      <c r="X1581" s="73"/>
    </row>
    <row r="1582">
      <c r="A1582" s="74"/>
      <c r="B1582" s="74"/>
      <c r="C1582" s="74"/>
      <c r="D1582" s="75"/>
      <c r="E1582" s="100"/>
      <c r="F1582" s="101"/>
      <c r="G1582" s="99"/>
      <c r="H1582" s="73"/>
      <c r="I1582" s="98"/>
      <c r="J1582" s="99"/>
      <c r="L1582" s="73"/>
      <c r="M1582" s="73"/>
      <c r="N1582" s="73"/>
      <c r="O1582" s="73"/>
      <c r="P1582" s="73"/>
      <c r="Q1582" s="73"/>
      <c r="R1582" s="73"/>
      <c r="S1582" s="73"/>
      <c r="T1582" s="73"/>
      <c r="U1582" s="73"/>
      <c r="V1582" s="73"/>
      <c r="W1582" s="73"/>
      <c r="X1582" s="73"/>
    </row>
    <row r="1583">
      <c r="A1583" s="74"/>
      <c r="B1583" s="74"/>
      <c r="C1583" s="74"/>
      <c r="D1583" s="75"/>
      <c r="E1583" s="100"/>
      <c r="F1583" s="101"/>
      <c r="G1583" s="99"/>
      <c r="H1583" s="73"/>
      <c r="I1583" s="98"/>
      <c r="J1583" s="99"/>
      <c r="L1583" s="73"/>
      <c r="M1583" s="73"/>
      <c r="N1583" s="73"/>
      <c r="O1583" s="73"/>
      <c r="P1583" s="73"/>
      <c r="Q1583" s="73"/>
      <c r="R1583" s="73"/>
      <c r="S1583" s="73"/>
      <c r="T1583" s="73"/>
      <c r="U1583" s="73"/>
      <c r="V1583" s="73"/>
      <c r="W1583" s="73"/>
      <c r="X1583" s="73"/>
    </row>
    <row r="1584">
      <c r="A1584" s="74"/>
      <c r="B1584" s="74"/>
      <c r="C1584" s="74"/>
      <c r="D1584" s="75"/>
      <c r="E1584" s="100"/>
      <c r="F1584" s="101"/>
      <c r="G1584" s="99"/>
      <c r="H1584" s="73"/>
      <c r="I1584" s="98"/>
      <c r="J1584" s="99"/>
      <c r="L1584" s="73"/>
      <c r="M1584" s="73"/>
      <c r="N1584" s="73"/>
      <c r="O1584" s="73"/>
      <c r="P1584" s="73"/>
      <c r="Q1584" s="73"/>
      <c r="R1584" s="73"/>
      <c r="S1584" s="73"/>
      <c r="T1584" s="73"/>
      <c r="U1584" s="73"/>
      <c r="V1584" s="73"/>
      <c r="W1584" s="73"/>
      <c r="X1584" s="73"/>
    </row>
    <row r="1585">
      <c r="A1585" s="74"/>
      <c r="B1585" s="74"/>
      <c r="C1585" s="74"/>
      <c r="D1585" s="75"/>
      <c r="E1585" s="100"/>
      <c r="F1585" s="101"/>
      <c r="G1585" s="99"/>
      <c r="H1585" s="73"/>
      <c r="I1585" s="98"/>
      <c r="J1585" s="99"/>
      <c r="L1585" s="73"/>
      <c r="M1585" s="73"/>
      <c r="N1585" s="73"/>
      <c r="O1585" s="73"/>
      <c r="P1585" s="73"/>
      <c r="Q1585" s="73"/>
      <c r="R1585" s="73"/>
      <c r="S1585" s="73"/>
      <c r="T1585" s="73"/>
      <c r="U1585" s="73"/>
      <c r="V1585" s="73"/>
      <c r="W1585" s="73"/>
      <c r="X1585" s="73"/>
    </row>
    <row r="1586">
      <c r="A1586" s="74"/>
      <c r="B1586" s="74"/>
      <c r="C1586" s="74"/>
      <c r="D1586" s="75"/>
      <c r="E1586" s="100"/>
      <c r="F1586" s="101"/>
      <c r="G1586" s="99"/>
      <c r="H1586" s="73"/>
      <c r="I1586" s="98"/>
      <c r="J1586" s="99"/>
      <c r="L1586" s="73"/>
      <c r="M1586" s="73"/>
      <c r="N1586" s="73"/>
      <c r="O1586" s="73"/>
      <c r="P1586" s="73"/>
      <c r="Q1586" s="73"/>
      <c r="R1586" s="73"/>
      <c r="S1586" s="73"/>
      <c r="T1586" s="73"/>
      <c r="U1586" s="73"/>
      <c r="V1586" s="73"/>
      <c r="W1586" s="73"/>
      <c r="X1586" s="73"/>
    </row>
    <row r="1587">
      <c r="A1587" s="74"/>
      <c r="B1587" s="74"/>
      <c r="C1587" s="74"/>
      <c r="D1587" s="75"/>
      <c r="E1587" s="100"/>
      <c r="F1587" s="101"/>
      <c r="G1587" s="99"/>
      <c r="H1587" s="73"/>
      <c r="I1587" s="98"/>
      <c r="J1587" s="99"/>
      <c r="L1587" s="73"/>
      <c r="M1587" s="73"/>
      <c r="N1587" s="73"/>
      <c r="O1587" s="73"/>
      <c r="P1587" s="73"/>
      <c r="Q1587" s="73"/>
      <c r="R1587" s="73"/>
      <c r="S1587" s="73"/>
      <c r="T1587" s="73"/>
      <c r="U1587" s="73"/>
      <c r="V1587" s="73"/>
      <c r="W1587" s="73"/>
      <c r="X1587" s="73"/>
    </row>
    <row r="1588">
      <c r="A1588" s="74"/>
      <c r="B1588" s="74"/>
      <c r="C1588" s="74"/>
      <c r="D1588" s="75"/>
      <c r="E1588" s="100"/>
      <c r="F1588" s="101"/>
      <c r="G1588" s="99"/>
      <c r="H1588" s="73"/>
      <c r="I1588" s="98"/>
      <c r="J1588" s="99"/>
      <c r="L1588" s="73"/>
      <c r="M1588" s="73"/>
      <c r="N1588" s="73"/>
      <c r="O1588" s="73"/>
      <c r="P1588" s="73"/>
      <c r="Q1588" s="73"/>
      <c r="R1588" s="73"/>
      <c r="S1588" s="73"/>
      <c r="T1588" s="73"/>
      <c r="U1588" s="73"/>
      <c r="V1588" s="73"/>
      <c r="W1588" s="73"/>
      <c r="X1588" s="73"/>
    </row>
    <row r="1589">
      <c r="A1589" s="74"/>
      <c r="B1589" s="74"/>
      <c r="C1589" s="74"/>
      <c r="D1589" s="75"/>
      <c r="E1589" s="100"/>
      <c r="F1589" s="101"/>
      <c r="G1589" s="99"/>
      <c r="H1589" s="73"/>
      <c r="I1589" s="98"/>
      <c r="J1589" s="99"/>
      <c r="L1589" s="73"/>
      <c r="M1589" s="73"/>
      <c r="N1589" s="73"/>
      <c r="O1589" s="73"/>
      <c r="P1589" s="73"/>
      <c r="Q1589" s="73"/>
      <c r="R1589" s="73"/>
      <c r="S1589" s="73"/>
      <c r="T1589" s="73"/>
      <c r="U1589" s="73"/>
      <c r="V1589" s="73"/>
      <c r="W1589" s="73"/>
      <c r="X1589" s="73"/>
    </row>
    <row r="1590">
      <c r="A1590" s="74"/>
      <c r="B1590" s="74"/>
      <c r="C1590" s="74"/>
      <c r="D1590" s="75"/>
      <c r="E1590" s="100"/>
      <c r="F1590" s="101"/>
      <c r="G1590" s="99"/>
      <c r="H1590" s="73"/>
      <c r="I1590" s="98"/>
      <c r="J1590" s="99"/>
      <c r="L1590" s="73"/>
      <c r="M1590" s="73"/>
      <c r="N1590" s="73"/>
      <c r="O1590" s="73"/>
      <c r="P1590" s="73"/>
      <c r="Q1590" s="73"/>
      <c r="R1590" s="73"/>
      <c r="S1590" s="73"/>
      <c r="T1590" s="73"/>
      <c r="U1590" s="73"/>
      <c r="V1590" s="73"/>
      <c r="W1590" s="73"/>
      <c r="X1590" s="73"/>
    </row>
    <row r="1591">
      <c r="A1591" s="74"/>
      <c r="B1591" s="74"/>
      <c r="C1591" s="74"/>
      <c r="D1591" s="75"/>
      <c r="E1591" s="100"/>
      <c r="F1591" s="101"/>
      <c r="G1591" s="99"/>
      <c r="H1591" s="73"/>
      <c r="I1591" s="98"/>
      <c r="J1591" s="99"/>
      <c r="L1591" s="73"/>
      <c r="M1591" s="73"/>
      <c r="N1591" s="73"/>
      <c r="O1591" s="73"/>
      <c r="P1591" s="73"/>
      <c r="Q1591" s="73"/>
      <c r="R1591" s="73"/>
      <c r="S1591" s="73"/>
      <c r="T1591" s="73"/>
      <c r="U1591" s="73"/>
      <c r="V1591" s="73"/>
      <c r="W1591" s="73"/>
      <c r="X1591" s="73"/>
    </row>
    <row r="1592">
      <c r="A1592" s="74"/>
      <c r="B1592" s="74"/>
      <c r="C1592" s="74"/>
      <c r="D1592" s="75"/>
      <c r="E1592" s="100"/>
      <c r="F1592" s="101"/>
      <c r="G1592" s="99"/>
      <c r="H1592" s="73"/>
      <c r="I1592" s="98"/>
      <c r="J1592" s="99"/>
      <c r="L1592" s="73"/>
      <c r="M1592" s="73"/>
      <c r="N1592" s="73"/>
      <c r="O1592" s="73"/>
      <c r="P1592" s="73"/>
      <c r="Q1592" s="73"/>
      <c r="R1592" s="73"/>
      <c r="S1592" s="73"/>
      <c r="T1592" s="73"/>
      <c r="U1592" s="73"/>
      <c r="V1592" s="73"/>
      <c r="W1592" s="73"/>
      <c r="X1592" s="73"/>
    </row>
    <row r="1593">
      <c r="A1593" s="74"/>
      <c r="B1593" s="74"/>
      <c r="C1593" s="74"/>
      <c r="D1593" s="75"/>
      <c r="E1593" s="100"/>
      <c r="F1593" s="101"/>
      <c r="G1593" s="99"/>
      <c r="H1593" s="73"/>
      <c r="I1593" s="98"/>
      <c r="J1593" s="99"/>
      <c r="L1593" s="73"/>
      <c r="M1593" s="73"/>
      <c r="N1593" s="73"/>
      <c r="O1593" s="73"/>
      <c r="P1593" s="73"/>
      <c r="Q1593" s="73"/>
      <c r="R1593" s="73"/>
      <c r="S1593" s="73"/>
      <c r="T1593" s="73"/>
      <c r="U1593" s="73"/>
      <c r="V1593" s="73"/>
      <c r="W1593" s="73"/>
      <c r="X1593" s="73"/>
    </row>
    <row r="1594">
      <c r="A1594" s="74"/>
      <c r="B1594" s="74"/>
      <c r="C1594" s="74"/>
      <c r="D1594" s="75"/>
      <c r="E1594" s="100"/>
      <c r="F1594" s="101"/>
      <c r="G1594" s="99"/>
      <c r="H1594" s="73"/>
      <c r="I1594" s="98"/>
      <c r="J1594" s="99"/>
      <c r="L1594" s="73"/>
      <c r="M1594" s="73"/>
      <c r="N1594" s="73"/>
      <c r="O1594" s="73"/>
      <c r="P1594" s="73"/>
      <c r="Q1594" s="73"/>
      <c r="R1594" s="73"/>
      <c r="S1594" s="73"/>
      <c r="T1594" s="73"/>
      <c r="U1594" s="73"/>
      <c r="V1594" s="73"/>
      <c r="W1594" s="73"/>
      <c r="X1594" s="73"/>
    </row>
    <row r="1595">
      <c r="A1595" s="74"/>
      <c r="B1595" s="74"/>
      <c r="C1595" s="74"/>
      <c r="D1595" s="75"/>
      <c r="E1595" s="100"/>
      <c r="F1595" s="101"/>
      <c r="G1595" s="99"/>
      <c r="H1595" s="73"/>
      <c r="I1595" s="98"/>
      <c r="J1595" s="99"/>
      <c r="L1595" s="73"/>
      <c r="M1595" s="73"/>
      <c r="N1595" s="73"/>
      <c r="O1595" s="73"/>
      <c r="P1595" s="73"/>
      <c r="Q1595" s="73"/>
      <c r="R1595" s="73"/>
      <c r="S1595" s="73"/>
      <c r="T1595" s="73"/>
      <c r="U1595" s="73"/>
      <c r="V1595" s="73"/>
      <c r="W1595" s="73"/>
      <c r="X1595" s="73"/>
    </row>
    <row r="1596">
      <c r="A1596" s="74"/>
      <c r="B1596" s="74"/>
      <c r="C1596" s="74"/>
      <c r="D1596" s="75"/>
      <c r="E1596" s="100"/>
      <c r="F1596" s="101"/>
      <c r="G1596" s="99"/>
      <c r="H1596" s="73"/>
      <c r="I1596" s="98"/>
      <c r="J1596" s="99"/>
      <c r="L1596" s="73"/>
      <c r="M1596" s="73"/>
      <c r="N1596" s="73"/>
      <c r="O1596" s="73"/>
      <c r="P1596" s="73"/>
      <c r="Q1596" s="73"/>
      <c r="R1596" s="73"/>
      <c r="S1596" s="73"/>
      <c r="T1596" s="73"/>
      <c r="U1596" s="73"/>
      <c r="V1596" s="73"/>
      <c r="W1596" s="73"/>
      <c r="X1596" s="73"/>
    </row>
    <row r="1597">
      <c r="A1597" s="74"/>
      <c r="B1597" s="74"/>
      <c r="C1597" s="74"/>
      <c r="D1597" s="75"/>
      <c r="E1597" s="100"/>
      <c r="F1597" s="101"/>
      <c r="G1597" s="99"/>
      <c r="H1597" s="73"/>
      <c r="I1597" s="98"/>
      <c r="J1597" s="99"/>
      <c r="L1597" s="73"/>
      <c r="M1597" s="73"/>
      <c r="N1597" s="73"/>
      <c r="O1597" s="73"/>
      <c r="P1597" s="73"/>
      <c r="Q1597" s="73"/>
      <c r="R1597" s="73"/>
      <c r="S1597" s="73"/>
      <c r="T1597" s="73"/>
      <c r="U1597" s="73"/>
      <c r="V1597" s="73"/>
      <c r="W1597" s="73"/>
      <c r="X1597" s="73"/>
    </row>
    <row r="1598">
      <c r="A1598" s="74"/>
      <c r="B1598" s="74"/>
      <c r="C1598" s="74"/>
      <c r="D1598" s="75"/>
      <c r="E1598" s="100"/>
      <c r="F1598" s="101"/>
      <c r="G1598" s="99"/>
      <c r="H1598" s="73"/>
      <c r="I1598" s="98"/>
      <c r="J1598" s="99"/>
      <c r="L1598" s="73"/>
      <c r="M1598" s="73"/>
      <c r="N1598" s="73"/>
      <c r="O1598" s="73"/>
      <c r="P1598" s="73"/>
      <c r="Q1598" s="73"/>
      <c r="R1598" s="73"/>
      <c r="S1598" s="73"/>
      <c r="T1598" s="73"/>
      <c r="U1598" s="73"/>
      <c r="V1598" s="73"/>
      <c r="W1598" s="73"/>
      <c r="X1598" s="73"/>
    </row>
    <row r="1599">
      <c r="A1599" s="74"/>
      <c r="B1599" s="74"/>
      <c r="C1599" s="74"/>
      <c r="D1599" s="75"/>
      <c r="E1599" s="100"/>
      <c r="F1599" s="101"/>
      <c r="G1599" s="99"/>
      <c r="H1599" s="73"/>
      <c r="I1599" s="98"/>
      <c r="J1599" s="99"/>
      <c r="L1599" s="73"/>
      <c r="M1599" s="73"/>
      <c r="N1599" s="73"/>
      <c r="O1599" s="73"/>
      <c r="P1599" s="73"/>
      <c r="Q1599" s="73"/>
      <c r="R1599" s="73"/>
      <c r="S1599" s="73"/>
      <c r="T1599" s="73"/>
      <c r="U1599" s="73"/>
      <c r="V1599" s="73"/>
      <c r="W1599" s="73"/>
      <c r="X1599" s="73"/>
    </row>
    <row r="1600">
      <c r="A1600" s="74"/>
      <c r="B1600" s="74"/>
      <c r="C1600" s="74"/>
      <c r="D1600" s="75"/>
      <c r="E1600" s="100"/>
      <c r="F1600" s="101"/>
      <c r="G1600" s="99"/>
      <c r="H1600" s="73"/>
      <c r="I1600" s="98"/>
      <c r="J1600" s="99"/>
      <c r="L1600" s="73"/>
      <c r="M1600" s="73"/>
      <c r="N1600" s="73"/>
      <c r="O1600" s="73"/>
      <c r="P1600" s="73"/>
      <c r="Q1600" s="73"/>
      <c r="R1600" s="73"/>
      <c r="S1600" s="73"/>
      <c r="T1600" s="73"/>
      <c r="U1600" s="73"/>
      <c r="V1600" s="73"/>
      <c r="W1600" s="73"/>
      <c r="X1600" s="73"/>
    </row>
    <row r="1601">
      <c r="A1601" s="74"/>
      <c r="B1601" s="74"/>
      <c r="C1601" s="74"/>
      <c r="D1601" s="75"/>
      <c r="E1601" s="100"/>
      <c r="F1601" s="101"/>
      <c r="G1601" s="99"/>
      <c r="H1601" s="73"/>
      <c r="I1601" s="98"/>
      <c r="J1601" s="99"/>
      <c r="L1601" s="73"/>
      <c r="M1601" s="73"/>
      <c r="N1601" s="73"/>
      <c r="O1601" s="73"/>
      <c r="P1601" s="73"/>
      <c r="Q1601" s="73"/>
      <c r="R1601" s="73"/>
      <c r="S1601" s="73"/>
      <c r="T1601" s="73"/>
      <c r="U1601" s="73"/>
      <c r="V1601" s="73"/>
      <c r="W1601" s="73"/>
      <c r="X1601" s="73"/>
    </row>
    <row r="1602">
      <c r="A1602" s="74"/>
      <c r="B1602" s="74"/>
      <c r="C1602" s="74"/>
      <c r="D1602" s="75"/>
      <c r="E1602" s="100"/>
      <c r="F1602" s="101"/>
      <c r="G1602" s="99"/>
      <c r="H1602" s="73"/>
      <c r="I1602" s="98"/>
      <c r="J1602" s="99"/>
      <c r="L1602" s="73"/>
      <c r="M1602" s="73"/>
      <c r="N1602" s="73"/>
      <c r="O1602" s="73"/>
      <c r="P1602" s="73"/>
      <c r="Q1602" s="73"/>
      <c r="R1602" s="73"/>
      <c r="S1602" s="73"/>
      <c r="T1602" s="73"/>
      <c r="U1602" s="73"/>
      <c r="V1602" s="73"/>
      <c r="W1602" s="73"/>
      <c r="X1602" s="73"/>
    </row>
    <row r="1603">
      <c r="A1603" s="74"/>
      <c r="B1603" s="74"/>
      <c r="C1603" s="74"/>
      <c r="D1603" s="75"/>
      <c r="E1603" s="100"/>
      <c r="F1603" s="101"/>
      <c r="G1603" s="99"/>
      <c r="H1603" s="73"/>
      <c r="I1603" s="98"/>
      <c r="J1603" s="99"/>
      <c r="L1603" s="73"/>
      <c r="M1603" s="73"/>
      <c r="N1603" s="73"/>
      <c r="O1603" s="73"/>
      <c r="P1603" s="73"/>
      <c r="Q1603" s="73"/>
      <c r="R1603" s="73"/>
      <c r="S1603" s="73"/>
      <c r="T1603" s="73"/>
      <c r="U1603" s="73"/>
      <c r="V1603" s="73"/>
      <c r="W1603" s="73"/>
      <c r="X1603" s="73"/>
    </row>
    <row r="1604">
      <c r="A1604" s="74"/>
      <c r="B1604" s="74"/>
      <c r="C1604" s="74"/>
      <c r="D1604" s="75"/>
      <c r="E1604" s="100"/>
      <c r="F1604" s="101"/>
      <c r="G1604" s="99"/>
      <c r="H1604" s="73"/>
      <c r="I1604" s="98"/>
      <c r="J1604" s="99"/>
      <c r="L1604" s="73"/>
      <c r="M1604" s="73"/>
      <c r="N1604" s="73"/>
      <c r="O1604" s="73"/>
      <c r="P1604" s="73"/>
      <c r="Q1604" s="73"/>
      <c r="R1604" s="73"/>
      <c r="S1604" s="73"/>
      <c r="T1604" s="73"/>
      <c r="U1604" s="73"/>
      <c r="V1604" s="73"/>
      <c r="W1604" s="73"/>
      <c r="X1604" s="73"/>
    </row>
    <row r="1605">
      <c r="A1605" s="74"/>
      <c r="B1605" s="74"/>
      <c r="C1605" s="74"/>
      <c r="D1605" s="75"/>
      <c r="E1605" s="100"/>
      <c r="F1605" s="101"/>
      <c r="G1605" s="99"/>
      <c r="H1605" s="73"/>
      <c r="I1605" s="98"/>
      <c r="J1605" s="99"/>
      <c r="L1605" s="73"/>
      <c r="M1605" s="73"/>
      <c r="N1605" s="73"/>
      <c r="O1605" s="73"/>
      <c r="P1605" s="73"/>
      <c r="Q1605" s="73"/>
      <c r="R1605" s="73"/>
      <c r="S1605" s="73"/>
      <c r="T1605" s="73"/>
      <c r="U1605" s="73"/>
      <c r="V1605" s="73"/>
      <c r="W1605" s="73"/>
      <c r="X1605" s="73"/>
    </row>
    <row r="1606">
      <c r="A1606" s="74"/>
      <c r="B1606" s="74"/>
      <c r="C1606" s="74"/>
      <c r="D1606" s="75"/>
      <c r="E1606" s="100"/>
      <c r="F1606" s="101"/>
      <c r="G1606" s="99"/>
      <c r="H1606" s="73"/>
      <c r="I1606" s="98"/>
      <c r="J1606" s="99"/>
      <c r="L1606" s="73"/>
      <c r="M1606" s="73"/>
      <c r="N1606" s="73"/>
      <c r="O1606" s="73"/>
      <c r="P1606" s="73"/>
      <c r="Q1606" s="73"/>
      <c r="R1606" s="73"/>
      <c r="S1606" s="73"/>
      <c r="T1606" s="73"/>
      <c r="U1606" s="73"/>
      <c r="V1606" s="73"/>
      <c r="W1606" s="73"/>
      <c r="X1606" s="73"/>
    </row>
    <row r="1607">
      <c r="A1607" s="74"/>
      <c r="B1607" s="74"/>
      <c r="C1607" s="74"/>
      <c r="D1607" s="75"/>
      <c r="E1607" s="100"/>
      <c r="F1607" s="101"/>
      <c r="G1607" s="99"/>
      <c r="H1607" s="73"/>
      <c r="I1607" s="98"/>
      <c r="J1607" s="99"/>
      <c r="L1607" s="73"/>
      <c r="M1607" s="73"/>
      <c r="N1607" s="73"/>
      <c r="O1607" s="73"/>
      <c r="P1607" s="73"/>
      <c r="Q1607" s="73"/>
      <c r="R1607" s="73"/>
      <c r="S1607" s="73"/>
      <c r="T1607" s="73"/>
      <c r="U1607" s="73"/>
      <c r="V1607" s="73"/>
      <c r="W1607" s="73"/>
      <c r="X1607" s="73"/>
    </row>
    <row r="1608">
      <c r="A1608" s="74"/>
      <c r="B1608" s="74"/>
      <c r="C1608" s="74"/>
      <c r="D1608" s="75"/>
      <c r="E1608" s="100"/>
      <c r="F1608" s="101"/>
      <c r="G1608" s="99"/>
      <c r="H1608" s="73"/>
      <c r="I1608" s="98"/>
      <c r="J1608" s="99"/>
      <c r="L1608" s="73"/>
      <c r="M1608" s="73"/>
      <c r="N1608" s="73"/>
      <c r="O1608" s="73"/>
      <c r="P1608" s="73"/>
      <c r="Q1608" s="73"/>
      <c r="R1608" s="73"/>
      <c r="S1608" s="73"/>
      <c r="T1608" s="73"/>
      <c r="U1608" s="73"/>
      <c r="V1608" s="73"/>
      <c r="W1608" s="73"/>
      <c r="X1608" s="73"/>
    </row>
    <row r="1609">
      <c r="A1609" s="74"/>
      <c r="B1609" s="74"/>
      <c r="C1609" s="74"/>
      <c r="D1609" s="75"/>
      <c r="E1609" s="100"/>
      <c r="F1609" s="101"/>
      <c r="G1609" s="99"/>
      <c r="H1609" s="73"/>
      <c r="I1609" s="98"/>
      <c r="J1609" s="99"/>
      <c r="L1609" s="73"/>
      <c r="M1609" s="73"/>
      <c r="N1609" s="73"/>
      <c r="O1609" s="73"/>
      <c r="P1609" s="73"/>
      <c r="Q1609" s="73"/>
      <c r="R1609" s="73"/>
      <c r="S1609" s="73"/>
      <c r="T1609" s="73"/>
      <c r="U1609" s="73"/>
      <c r="V1609" s="73"/>
      <c r="W1609" s="73"/>
      <c r="X1609" s="73"/>
    </row>
    <row r="1610">
      <c r="A1610" s="74"/>
      <c r="B1610" s="74"/>
      <c r="C1610" s="74"/>
      <c r="D1610" s="75"/>
      <c r="E1610" s="100"/>
      <c r="F1610" s="101"/>
      <c r="G1610" s="99"/>
      <c r="H1610" s="73"/>
      <c r="I1610" s="98"/>
      <c r="J1610" s="99"/>
      <c r="L1610" s="73"/>
      <c r="M1610" s="73"/>
      <c r="N1610" s="73"/>
      <c r="O1610" s="73"/>
      <c r="P1610" s="73"/>
      <c r="Q1610" s="73"/>
      <c r="R1610" s="73"/>
      <c r="S1610" s="73"/>
      <c r="T1610" s="73"/>
      <c r="U1610" s="73"/>
      <c r="V1610" s="73"/>
      <c r="W1610" s="73"/>
      <c r="X1610" s="73"/>
    </row>
    <row r="1611">
      <c r="A1611" s="74"/>
      <c r="B1611" s="74"/>
      <c r="C1611" s="74"/>
      <c r="D1611" s="75"/>
      <c r="E1611" s="100"/>
      <c r="F1611" s="101"/>
      <c r="G1611" s="99"/>
      <c r="H1611" s="73"/>
      <c r="I1611" s="98"/>
      <c r="J1611" s="99"/>
      <c r="L1611" s="73"/>
      <c r="M1611" s="73"/>
      <c r="N1611" s="73"/>
      <c r="O1611" s="73"/>
      <c r="P1611" s="73"/>
      <c r="Q1611" s="73"/>
      <c r="R1611" s="73"/>
      <c r="S1611" s="73"/>
      <c r="T1611" s="73"/>
      <c r="U1611" s="73"/>
      <c r="V1611" s="73"/>
      <c r="W1611" s="73"/>
      <c r="X1611" s="73"/>
    </row>
    <row r="1612">
      <c r="A1612" s="74"/>
      <c r="B1612" s="74"/>
      <c r="C1612" s="74"/>
      <c r="D1612" s="75"/>
      <c r="E1612" s="100"/>
      <c r="F1612" s="101"/>
      <c r="G1612" s="99"/>
      <c r="H1612" s="73"/>
      <c r="I1612" s="98"/>
      <c r="J1612" s="99"/>
      <c r="L1612" s="73"/>
      <c r="M1612" s="73"/>
      <c r="N1612" s="73"/>
      <c r="O1612" s="73"/>
      <c r="P1612" s="73"/>
      <c r="Q1612" s="73"/>
      <c r="R1612" s="73"/>
      <c r="S1612" s="73"/>
      <c r="T1612" s="73"/>
      <c r="U1612" s="73"/>
      <c r="V1612" s="73"/>
      <c r="W1612" s="73"/>
      <c r="X1612" s="73"/>
    </row>
    <row r="1613">
      <c r="A1613" s="74"/>
      <c r="B1613" s="74"/>
      <c r="C1613" s="74"/>
      <c r="D1613" s="75"/>
      <c r="E1613" s="100"/>
      <c r="F1613" s="101"/>
      <c r="G1613" s="99"/>
      <c r="H1613" s="73"/>
      <c r="I1613" s="98"/>
      <c r="J1613" s="99"/>
      <c r="L1613" s="73"/>
      <c r="M1613" s="73"/>
      <c r="N1613" s="73"/>
      <c r="O1613" s="73"/>
      <c r="P1613" s="73"/>
      <c r="Q1613" s="73"/>
      <c r="R1613" s="73"/>
      <c r="S1613" s="73"/>
      <c r="T1613" s="73"/>
      <c r="U1613" s="73"/>
      <c r="V1613" s="73"/>
      <c r="W1613" s="73"/>
      <c r="X1613" s="73"/>
    </row>
    <row r="1614">
      <c r="A1614" s="74"/>
      <c r="B1614" s="74"/>
      <c r="C1614" s="74"/>
      <c r="D1614" s="75"/>
      <c r="E1614" s="100"/>
      <c r="F1614" s="101"/>
      <c r="G1614" s="99"/>
      <c r="H1614" s="73"/>
      <c r="I1614" s="98"/>
      <c r="J1614" s="99"/>
      <c r="L1614" s="73"/>
      <c r="M1614" s="73"/>
      <c r="N1614" s="73"/>
      <c r="O1614" s="73"/>
      <c r="P1614" s="73"/>
      <c r="Q1614" s="73"/>
      <c r="R1614" s="73"/>
      <c r="S1614" s="73"/>
      <c r="T1614" s="73"/>
      <c r="U1614" s="73"/>
      <c r="V1614" s="73"/>
      <c r="W1614" s="73"/>
      <c r="X1614" s="73"/>
    </row>
    <row r="1615">
      <c r="A1615" s="74"/>
      <c r="B1615" s="74"/>
      <c r="C1615" s="74"/>
      <c r="D1615" s="75"/>
      <c r="E1615" s="100"/>
      <c r="F1615" s="101"/>
      <c r="G1615" s="99"/>
      <c r="H1615" s="73"/>
      <c r="I1615" s="98"/>
      <c r="J1615" s="99"/>
      <c r="L1615" s="73"/>
      <c r="M1615" s="73"/>
      <c r="N1615" s="73"/>
      <c r="O1615" s="73"/>
      <c r="P1615" s="73"/>
      <c r="Q1615" s="73"/>
      <c r="R1615" s="73"/>
      <c r="S1615" s="73"/>
      <c r="T1615" s="73"/>
      <c r="U1615" s="73"/>
      <c r="V1615" s="73"/>
      <c r="W1615" s="73"/>
      <c r="X1615" s="73"/>
    </row>
    <row r="1616">
      <c r="A1616" s="74"/>
      <c r="B1616" s="74"/>
      <c r="C1616" s="74"/>
      <c r="D1616" s="75"/>
      <c r="E1616" s="100"/>
      <c r="F1616" s="101"/>
      <c r="G1616" s="99"/>
      <c r="H1616" s="73"/>
      <c r="I1616" s="98"/>
      <c r="J1616" s="99"/>
      <c r="L1616" s="73"/>
      <c r="M1616" s="73"/>
      <c r="N1616" s="73"/>
      <c r="O1616" s="73"/>
      <c r="P1616" s="73"/>
      <c r="Q1616" s="73"/>
      <c r="R1616" s="73"/>
      <c r="S1616" s="73"/>
      <c r="T1616" s="73"/>
      <c r="U1616" s="73"/>
      <c r="V1616" s="73"/>
      <c r="W1616" s="73"/>
      <c r="X1616" s="73"/>
    </row>
    <row r="1617">
      <c r="A1617" s="74"/>
      <c r="B1617" s="74"/>
      <c r="C1617" s="74"/>
      <c r="D1617" s="75"/>
      <c r="E1617" s="100"/>
      <c r="F1617" s="101"/>
      <c r="G1617" s="99"/>
      <c r="H1617" s="73"/>
      <c r="I1617" s="98"/>
      <c r="J1617" s="99"/>
      <c r="L1617" s="73"/>
      <c r="M1617" s="73"/>
      <c r="N1617" s="73"/>
      <c r="O1617" s="73"/>
      <c r="P1617" s="73"/>
      <c r="Q1617" s="73"/>
      <c r="R1617" s="73"/>
      <c r="S1617" s="73"/>
      <c r="T1617" s="73"/>
      <c r="U1617" s="73"/>
      <c r="V1617" s="73"/>
      <c r="W1617" s="73"/>
      <c r="X1617" s="73"/>
    </row>
    <row r="1618">
      <c r="A1618" s="74"/>
      <c r="B1618" s="74"/>
      <c r="C1618" s="74"/>
      <c r="D1618" s="75"/>
      <c r="E1618" s="100"/>
      <c r="F1618" s="101"/>
      <c r="G1618" s="99"/>
      <c r="H1618" s="73"/>
      <c r="I1618" s="98"/>
      <c r="J1618" s="99"/>
      <c r="L1618" s="73"/>
      <c r="M1618" s="73"/>
      <c r="N1618" s="73"/>
      <c r="O1618" s="73"/>
      <c r="P1618" s="73"/>
      <c r="Q1618" s="73"/>
      <c r="R1618" s="73"/>
      <c r="S1618" s="73"/>
      <c r="T1618" s="73"/>
      <c r="U1618" s="73"/>
      <c r="V1618" s="73"/>
      <c r="W1618" s="73"/>
      <c r="X1618" s="73"/>
    </row>
    <row r="1619">
      <c r="A1619" s="74"/>
      <c r="B1619" s="74"/>
      <c r="C1619" s="74"/>
      <c r="D1619" s="75"/>
      <c r="E1619" s="100"/>
      <c r="F1619" s="101"/>
      <c r="G1619" s="99"/>
      <c r="H1619" s="73"/>
      <c r="I1619" s="98"/>
      <c r="J1619" s="99"/>
      <c r="L1619" s="73"/>
      <c r="M1619" s="73"/>
      <c r="N1619" s="73"/>
      <c r="O1619" s="73"/>
      <c r="P1619" s="73"/>
      <c r="Q1619" s="73"/>
      <c r="R1619" s="73"/>
      <c r="S1619" s="73"/>
      <c r="T1619" s="73"/>
      <c r="U1619" s="73"/>
      <c r="V1619" s="73"/>
      <c r="W1619" s="73"/>
      <c r="X1619" s="73"/>
    </row>
    <row r="1620">
      <c r="A1620" s="74"/>
      <c r="B1620" s="74"/>
      <c r="C1620" s="74"/>
      <c r="D1620" s="75"/>
      <c r="E1620" s="100"/>
      <c r="F1620" s="101"/>
      <c r="G1620" s="99"/>
      <c r="H1620" s="73"/>
      <c r="I1620" s="98"/>
      <c r="J1620" s="99"/>
      <c r="L1620" s="73"/>
      <c r="M1620" s="73"/>
      <c r="N1620" s="73"/>
      <c r="O1620" s="73"/>
      <c r="P1620" s="73"/>
      <c r="Q1620" s="73"/>
      <c r="R1620" s="73"/>
      <c r="S1620" s="73"/>
      <c r="T1620" s="73"/>
      <c r="U1620" s="73"/>
      <c r="V1620" s="73"/>
      <c r="W1620" s="73"/>
      <c r="X1620" s="73"/>
    </row>
    <row r="1621">
      <c r="A1621" s="74"/>
      <c r="B1621" s="74"/>
      <c r="C1621" s="74"/>
      <c r="D1621" s="75"/>
      <c r="E1621" s="100"/>
      <c r="F1621" s="101"/>
      <c r="G1621" s="99"/>
      <c r="H1621" s="73"/>
      <c r="I1621" s="98"/>
      <c r="J1621" s="99"/>
      <c r="L1621" s="73"/>
      <c r="M1621" s="73"/>
      <c r="N1621" s="73"/>
      <c r="O1621" s="73"/>
      <c r="P1621" s="73"/>
      <c r="Q1621" s="73"/>
      <c r="R1621" s="73"/>
      <c r="S1621" s="73"/>
      <c r="T1621" s="73"/>
      <c r="U1621" s="73"/>
      <c r="V1621" s="73"/>
      <c r="W1621" s="73"/>
      <c r="X1621" s="73"/>
    </row>
    <row r="1622">
      <c r="A1622" s="74"/>
      <c r="B1622" s="74"/>
      <c r="C1622" s="74"/>
      <c r="D1622" s="75"/>
      <c r="E1622" s="100"/>
      <c r="F1622" s="101"/>
      <c r="G1622" s="99"/>
      <c r="H1622" s="73"/>
      <c r="I1622" s="98"/>
      <c r="J1622" s="99"/>
      <c r="L1622" s="73"/>
      <c r="M1622" s="73"/>
      <c r="N1622" s="73"/>
      <c r="O1622" s="73"/>
      <c r="P1622" s="73"/>
      <c r="Q1622" s="73"/>
      <c r="R1622" s="73"/>
      <c r="S1622" s="73"/>
      <c r="T1622" s="73"/>
      <c r="U1622" s="73"/>
      <c r="V1622" s="73"/>
      <c r="W1622" s="73"/>
      <c r="X1622" s="73"/>
    </row>
    <row r="1623">
      <c r="A1623" s="74"/>
      <c r="B1623" s="74"/>
      <c r="C1623" s="74"/>
      <c r="D1623" s="75"/>
      <c r="E1623" s="100"/>
      <c r="F1623" s="101"/>
      <c r="G1623" s="99"/>
      <c r="H1623" s="73"/>
      <c r="I1623" s="98"/>
      <c r="J1623" s="99"/>
      <c r="L1623" s="73"/>
      <c r="M1623" s="73"/>
      <c r="N1623" s="73"/>
      <c r="O1623" s="73"/>
      <c r="P1623" s="73"/>
      <c r="Q1623" s="73"/>
      <c r="R1623" s="73"/>
      <c r="S1623" s="73"/>
      <c r="T1623" s="73"/>
      <c r="U1623" s="73"/>
      <c r="V1623" s="73"/>
      <c r="W1623" s="73"/>
      <c r="X1623" s="73"/>
    </row>
    <row r="1624">
      <c r="A1624" s="74"/>
      <c r="B1624" s="74"/>
      <c r="C1624" s="74"/>
      <c r="D1624" s="75"/>
      <c r="E1624" s="100"/>
      <c r="F1624" s="101"/>
      <c r="G1624" s="99"/>
      <c r="H1624" s="73"/>
      <c r="I1624" s="98"/>
      <c r="J1624" s="99"/>
      <c r="L1624" s="73"/>
      <c r="M1624" s="73"/>
      <c r="N1624" s="73"/>
      <c r="O1624" s="73"/>
      <c r="P1624" s="73"/>
      <c r="Q1624" s="73"/>
      <c r="R1624" s="73"/>
      <c r="S1624" s="73"/>
      <c r="T1624" s="73"/>
      <c r="U1624" s="73"/>
      <c r="V1624" s="73"/>
      <c r="W1624" s="73"/>
      <c r="X1624" s="73"/>
    </row>
    <row r="1625">
      <c r="A1625" s="74"/>
      <c r="B1625" s="74"/>
      <c r="C1625" s="74"/>
      <c r="D1625" s="75"/>
      <c r="E1625" s="100"/>
      <c r="F1625" s="101"/>
      <c r="G1625" s="99"/>
      <c r="H1625" s="73"/>
      <c r="I1625" s="98"/>
      <c r="J1625" s="99"/>
      <c r="L1625" s="73"/>
      <c r="M1625" s="73"/>
      <c r="N1625" s="73"/>
      <c r="O1625" s="73"/>
      <c r="P1625" s="73"/>
      <c r="Q1625" s="73"/>
      <c r="R1625" s="73"/>
      <c r="S1625" s="73"/>
      <c r="T1625" s="73"/>
      <c r="U1625" s="73"/>
      <c r="V1625" s="73"/>
      <c r="W1625" s="73"/>
      <c r="X1625" s="73"/>
    </row>
    <row r="1626">
      <c r="A1626" s="74"/>
      <c r="B1626" s="74"/>
      <c r="C1626" s="74"/>
      <c r="D1626" s="75"/>
      <c r="E1626" s="100"/>
      <c r="F1626" s="101"/>
      <c r="G1626" s="99"/>
      <c r="H1626" s="73"/>
      <c r="I1626" s="98"/>
      <c r="J1626" s="99"/>
      <c r="L1626" s="73"/>
      <c r="M1626" s="73"/>
      <c r="N1626" s="73"/>
      <c r="O1626" s="73"/>
      <c r="P1626" s="73"/>
      <c r="Q1626" s="73"/>
      <c r="R1626" s="73"/>
      <c r="S1626" s="73"/>
      <c r="T1626" s="73"/>
      <c r="U1626" s="73"/>
      <c r="V1626" s="73"/>
      <c r="W1626" s="73"/>
      <c r="X1626" s="73"/>
    </row>
    <row r="1627">
      <c r="A1627" s="74"/>
      <c r="B1627" s="74"/>
      <c r="C1627" s="74"/>
      <c r="D1627" s="75"/>
      <c r="E1627" s="100"/>
      <c r="F1627" s="101"/>
      <c r="G1627" s="99"/>
      <c r="H1627" s="73"/>
      <c r="I1627" s="98"/>
      <c r="J1627" s="99"/>
      <c r="L1627" s="73"/>
      <c r="M1627" s="73"/>
      <c r="N1627" s="73"/>
      <c r="O1627" s="73"/>
      <c r="P1627" s="73"/>
      <c r="Q1627" s="73"/>
      <c r="R1627" s="73"/>
      <c r="S1627" s="73"/>
      <c r="T1627" s="73"/>
      <c r="U1627" s="73"/>
      <c r="V1627" s="73"/>
      <c r="W1627" s="73"/>
      <c r="X1627" s="73"/>
    </row>
    <row r="1628">
      <c r="A1628" s="74"/>
      <c r="B1628" s="74"/>
      <c r="C1628" s="74"/>
      <c r="D1628" s="75"/>
      <c r="E1628" s="100"/>
      <c r="F1628" s="101"/>
      <c r="G1628" s="99"/>
      <c r="H1628" s="73"/>
      <c r="I1628" s="98"/>
      <c r="J1628" s="99"/>
      <c r="L1628" s="73"/>
      <c r="M1628" s="73"/>
      <c r="N1628" s="73"/>
      <c r="O1628" s="73"/>
      <c r="P1628" s="73"/>
      <c r="Q1628" s="73"/>
      <c r="R1628" s="73"/>
      <c r="S1628" s="73"/>
      <c r="T1628" s="73"/>
      <c r="U1628" s="73"/>
      <c r="V1628" s="73"/>
      <c r="W1628" s="73"/>
      <c r="X1628" s="73"/>
    </row>
    <row r="1629">
      <c r="A1629" s="74"/>
      <c r="B1629" s="74"/>
      <c r="C1629" s="74"/>
      <c r="D1629" s="75"/>
      <c r="E1629" s="100"/>
      <c r="F1629" s="101"/>
      <c r="G1629" s="99"/>
      <c r="H1629" s="73"/>
      <c r="I1629" s="98"/>
      <c r="J1629" s="99"/>
      <c r="L1629" s="73"/>
      <c r="M1629" s="73"/>
      <c r="N1629" s="73"/>
      <c r="O1629" s="73"/>
      <c r="P1629" s="73"/>
      <c r="Q1629" s="73"/>
      <c r="R1629" s="73"/>
      <c r="S1629" s="73"/>
      <c r="T1629" s="73"/>
      <c r="U1629" s="73"/>
      <c r="V1629" s="73"/>
      <c r="W1629" s="73"/>
      <c r="X1629" s="73"/>
    </row>
    <row r="1630">
      <c r="A1630" s="74"/>
      <c r="B1630" s="74"/>
      <c r="C1630" s="74"/>
      <c r="D1630" s="75"/>
      <c r="E1630" s="100"/>
      <c r="F1630" s="101"/>
      <c r="G1630" s="99"/>
      <c r="H1630" s="73"/>
      <c r="I1630" s="98"/>
      <c r="J1630" s="99"/>
      <c r="L1630" s="73"/>
      <c r="M1630" s="73"/>
      <c r="N1630" s="73"/>
      <c r="O1630" s="73"/>
      <c r="P1630" s="73"/>
      <c r="Q1630" s="73"/>
      <c r="R1630" s="73"/>
      <c r="S1630" s="73"/>
      <c r="T1630" s="73"/>
      <c r="U1630" s="73"/>
      <c r="V1630" s="73"/>
      <c r="W1630" s="73"/>
      <c r="X1630" s="73"/>
    </row>
    <row r="1631">
      <c r="A1631" s="74"/>
      <c r="B1631" s="74"/>
      <c r="C1631" s="74"/>
      <c r="D1631" s="75"/>
      <c r="E1631" s="100"/>
      <c r="F1631" s="101"/>
      <c r="G1631" s="99"/>
      <c r="H1631" s="73"/>
      <c r="I1631" s="98"/>
      <c r="J1631" s="99"/>
      <c r="L1631" s="73"/>
      <c r="M1631" s="73"/>
      <c r="N1631" s="73"/>
      <c r="O1631" s="73"/>
      <c r="P1631" s="73"/>
      <c r="Q1631" s="73"/>
      <c r="R1631" s="73"/>
      <c r="S1631" s="73"/>
      <c r="T1631" s="73"/>
      <c r="U1631" s="73"/>
      <c r="V1631" s="73"/>
      <c r="W1631" s="73"/>
      <c r="X1631" s="73"/>
    </row>
    <row r="1632">
      <c r="A1632" s="74"/>
      <c r="B1632" s="74"/>
      <c r="C1632" s="74"/>
      <c r="D1632" s="75"/>
      <c r="E1632" s="100"/>
      <c r="F1632" s="101"/>
      <c r="G1632" s="99"/>
      <c r="H1632" s="73"/>
      <c r="I1632" s="98"/>
      <c r="J1632" s="99"/>
      <c r="L1632" s="73"/>
      <c r="M1632" s="73"/>
      <c r="N1632" s="73"/>
      <c r="O1632" s="73"/>
      <c r="P1632" s="73"/>
      <c r="Q1632" s="73"/>
      <c r="R1632" s="73"/>
      <c r="S1632" s="73"/>
      <c r="T1632" s="73"/>
      <c r="U1632" s="73"/>
      <c r="V1632" s="73"/>
      <c r="W1632" s="73"/>
      <c r="X1632" s="73"/>
    </row>
    <row r="1633">
      <c r="A1633" s="74"/>
      <c r="B1633" s="74"/>
      <c r="C1633" s="74"/>
      <c r="D1633" s="75"/>
      <c r="E1633" s="100"/>
      <c r="F1633" s="101"/>
      <c r="G1633" s="99"/>
      <c r="H1633" s="73"/>
      <c r="I1633" s="98"/>
      <c r="J1633" s="99"/>
      <c r="L1633" s="73"/>
      <c r="M1633" s="73"/>
      <c r="N1633" s="73"/>
      <c r="O1633" s="73"/>
      <c r="P1633" s="73"/>
      <c r="Q1633" s="73"/>
      <c r="R1633" s="73"/>
      <c r="S1633" s="73"/>
      <c r="T1633" s="73"/>
      <c r="U1633" s="73"/>
      <c r="V1633" s="73"/>
      <c r="W1633" s="73"/>
      <c r="X1633" s="73"/>
    </row>
    <row r="1634">
      <c r="A1634" s="74"/>
      <c r="B1634" s="74"/>
      <c r="C1634" s="74"/>
      <c r="D1634" s="75"/>
      <c r="E1634" s="100"/>
      <c r="F1634" s="101"/>
      <c r="G1634" s="99"/>
      <c r="H1634" s="73"/>
      <c r="I1634" s="98"/>
      <c r="J1634" s="99"/>
      <c r="L1634" s="73"/>
      <c r="M1634" s="73"/>
      <c r="N1634" s="73"/>
      <c r="O1634" s="73"/>
      <c r="P1634" s="73"/>
      <c r="Q1634" s="73"/>
      <c r="R1634" s="73"/>
      <c r="S1634" s="73"/>
      <c r="T1634" s="73"/>
      <c r="U1634" s="73"/>
      <c r="V1634" s="73"/>
      <c r="W1634" s="73"/>
      <c r="X1634" s="73"/>
    </row>
    <row r="1635">
      <c r="A1635" s="74"/>
      <c r="B1635" s="74"/>
      <c r="C1635" s="74"/>
      <c r="D1635" s="75"/>
      <c r="E1635" s="100"/>
      <c r="F1635" s="101"/>
      <c r="G1635" s="99"/>
      <c r="H1635" s="73"/>
      <c r="I1635" s="98"/>
      <c r="J1635" s="99"/>
      <c r="L1635" s="73"/>
      <c r="M1635" s="73"/>
      <c r="N1635" s="73"/>
      <c r="O1635" s="73"/>
      <c r="P1635" s="73"/>
      <c r="Q1635" s="73"/>
      <c r="R1635" s="73"/>
      <c r="S1635" s="73"/>
      <c r="T1635" s="73"/>
      <c r="U1635" s="73"/>
      <c r="V1635" s="73"/>
      <c r="W1635" s="73"/>
      <c r="X1635" s="73"/>
    </row>
    <row r="1636">
      <c r="A1636" s="74"/>
      <c r="B1636" s="74"/>
      <c r="C1636" s="74"/>
      <c r="D1636" s="75"/>
      <c r="E1636" s="100"/>
      <c r="F1636" s="101"/>
      <c r="G1636" s="99"/>
      <c r="H1636" s="73"/>
      <c r="I1636" s="98"/>
      <c r="J1636" s="99"/>
      <c r="L1636" s="73"/>
      <c r="M1636" s="73"/>
      <c r="N1636" s="73"/>
      <c r="O1636" s="73"/>
      <c r="P1636" s="73"/>
      <c r="Q1636" s="73"/>
      <c r="R1636" s="73"/>
      <c r="S1636" s="73"/>
      <c r="T1636" s="73"/>
      <c r="U1636" s="73"/>
      <c r="V1636" s="73"/>
      <c r="W1636" s="73"/>
      <c r="X1636" s="73"/>
    </row>
    <row r="1637">
      <c r="A1637" s="74"/>
      <c r="B1637" s="74"/>
      <c r="C1637" s="74"/>
      <c r="D1637" s="75"/>
      <c r="E1637" s="100"/>
      <c r="F1637" s="101"/>
      <c r="G1637" s="99"/>
      <c r="H1637" s="73"/>
      <c r="I1637" s="98"/>
      <c r="J1637" s="99"/>
      <c r="L1637" s="73"/>
      <c r="M1637" s="73"/>
      <c r="N1637" s="73"/>
      <c r="O1637" s="73"/>
      <c r="P1637" s="73"/>
      <c r="Q1637" s="73"/>
      <c r="R1637" s="73"/>
      <c r="S1637" s="73"/>
      <c r="T1637" s="73"/>
      <c r="U1637" s="73"/>
      <c r="V1637" s="73"/>
      <c r="W1637" s="73"/>
      <c r="X1637" s="73"/>
    </row>
    <row r="1638">
      <c r="A1638" s="74"/>
      <c r="B1638" s="74"/>
      <c r="C1638" s="74"/>
      <c r="D1638" s="75"/>
      <c r="E1638" s="100"/>
      <c r="F1638" s="101"/>
      <c r="G1638" s="99"/>
      <c r="H1638" s="73"/>
      <c r="I1638" s="98"/>
      <c r="J1638" s="99"/>
      <c r="L1638" s="73"/>
      <c r="M1638" s="73"/>
      <c r="N1638" s="73"/>
      <c r="O1638" s="73"/>
      <c r="P1638" s="73"/>
      <c r="Q1638" s="73"/>
      <c r="R1638" s="73"/>
      <c r="S1638" s="73"/>
      <c r="T1638" s="73"/>
      <c r="U1638" s="73"/>
      <c r="V1638" s="73"/>
      <c r="W1638" s="73"/>
      <c r="X1638" s="73"/>
    </row>
    <row r="1639">
      <c r="A1639" s="74"/>
      <c r="B1639" s="74"/>
      <c r="C1639" s="74"/>
      <c r="D1639" s="75"/>
      <c r="E1639" s="100"/>
      <c r="F1639" s="101"/>
      <c r="G1639" s="99"/>
      <c r="H1639" s="73"/>
      <c r="I1639" s="98"/>
      <c r="J1639" s="99"/>
      <c r="L1639" s="73"/>
      <c r="M1639" s="73"/>
      <c r="N1639" s="73"/>
      <c r="O1639" s="73"/>
      <c r="P1639" s="73"/>
      <c r="Q1639" s="73"/>
      <c r="R1639" s="73"/>
      <c r="S1639" s="73"/>
      <c r="T1639" s="73"/>
      <c r="U1639" s="73"/>
      <c r="V1639" s="73"/>
      <c r="W1639" s="73"/>
      <c r="X1639" s="73"/>
    </row>
    <row r="1640">
      <c r="A1640" s="74"/>
      <c r="B1640" s="74"/>
      <c r="C1640" s="74"/>
      <c r="D1640" s="75"/>
      <c r="E1640" s="100"/>
      <c r="F1640" s="101"/>
      <c r="G1640" s="99"/>
      <c r="H1640" s="73"/>
      <c r="I1640" s="98"/>
      <c r="J1640" s="99"/>
      <c r="L1640" s="73"/>
      <c r="M1640" s="73"/>
      <c r="N1640" s="73"/>
      <c r="O1640" s="73"/>
      <c r="P1640" s="73"/>
      <c r="Q1640" s="73"/>
      <c r="R1640" s="73"/>
      <c r="S1640" s="73"/>
      <c r="T1640" s="73"/>
      <c r="U1640" s="73"/>
      <c r="V1640" s="73"/>
      <c r="W1640" s="73"/>
      <c r="X1640" s="73"/>
    </row>
    <row r="1641">
      <c r="A1641" s="74"/>
      <c r="B1641" s="74"/>
      <c r="C1641" s="74"/>
      <c r="D1641" s="75"/>
      <c r="E1641" s="100"/>
      <c r="F1641" s="101"/>
      <c r="G1641" s="99"/>
      <c r="H1641" s="73"/>
      <c r="I1641" s="98"/>
      <c r="J1641" s="99"/>
      <c r="L1641" s="73"/>
      <c r="M1641" s="73"/>
      <c r="N1641" s="73"/>
      <c r="O1641" s="73"/>
      <c r="P1641" s="73"/>
      <c r="Q1641" s="73"/>
      <c r="R1641" s="73"/>
      <c r="S1641" s="73"/>
      <c r="T1641" s="73"/>
      <c r="U1641" s="73"/>
      <c r="V1641" s="73"/>
      <c r="W1641" s="73"/>
      <c r="X1641" s="73"/>
    </row>
    <row r="1642">
      <c r="A1642" s="74"/>
      <c r="B1642" s="74"/>
      <c r="C1642" s="74"/>
      <c r="D1642" s="75"/>
      <c r="E1642" s="100"/>
      <c r="F1642" s="101"/>
      <c r="G1642" s="99"/>
      <c r="H1642" s="73"/>
      <c r="I1642" s="98"/>
      <c r="J1642" s="99"/>
      <c r="L1642" s="73"/>
      <c r="M1642" s="73"/>
      <c r="N1642" s="73"/>
      <c r="O1642" s="73"/>
      <c r="P1642" s="73"/>
      <c r="Q1642" s="73"/>
      <c r="R1642" s="73"/>
      <c r="S1642" s="73"/>
      <c r="T1642" s="73"/>
      <c r="U1642" s="73"/>
      <c r="V1642" s="73"/>
      <c r="W1642" s="73"/>
      <c r="X1642" s="73"/>
    </row>
    <row r="1643">
      <c r="A1643" s="74"/>
      <c r="B1643" s="74"/>
      <c r="C1643" s="74"/>
      <c r="D1643" s="75"/>
      <c r="E1643" s="100"/>
      <c r="F1643" s="101"/>
      <c r="G1643" s="99"/>
      <c r="H1643" s="73"/>
      <c r="I1643" s="98"/>
      <c r="J1643" s="99"/>
      <c r="L1643" s="73"/>
      <c r="M1643" s="73"/>
      <c r="N1643" s="73"/>
      <c r="O1643" s="73"/>
      <c r="P1643" s="73"/>
      <c r="Q1643" s="73"/>
      <c r="R1643" s="73"/>
      <c r="S1643" s="73"/>
      <c r="T1643" s="73"/>
      <c r="U1643" s="73"/>
      <c r="V1643" s="73"/>
      <c r="W1643" s="73"/>
      <c r="X1643" s="73"/>
    </row>
    <row r="1644">
      <c r="A1644" s="74"/>
      <c r="B1644" s="74"/>
      <c r="C1644" s="74"/>
      <c r="D1644" s="75"/>
      <c r="E1644" s="100"/>
      <c r="F1644" s="101"/>
      <c r="G1644" s="99"/>
      <c r="H1644" s="73"/>
      <c r="I1644" s="98"/>
      <c r="J1644" s="99"/>
      <c r="L1644" s="73"/>
      <c r="M1644" s="73"/>
      <c r="N1644" s="73"/>
      <c r="O1644" s="73"/>
      <c r="P1644" s="73"/>
      <c r="Q1644" s="73"/>
      <c r="R1644" s="73"/>
      <c r="S1644" s="73"/>
      <c r="T1644" s="73"/>
      <c r="U1644" s="73"/>
      <c r="V1644" s="73"/>
      <c r="W1644" s="73"/>
      <c r="X1644" s="73"/>
    </row>
    <row r="1645">
      <c r="A1645" s="74"/>
      <c r="B1645" s="74"/>
      <c r="C1645" s="74"/>
      <c r="D1645" s="75"/>
      <c r="E1645" s="100"/>
      <c r="F1645" s="101"/>
      <c r="G1645" s="99"/>
      <c r="H1645" s="73"/>
      <c r="I1645" s="98"/>
      <c r="J1645" s="99"/>
      <c r="L1645" s="73"/>
      <c r="M1645" s="73"/>
      <c r="N1645" s="73"/>
      <c r="O1645" s="73"/>
      <c r="P1645" s="73"/>
      <c r="Q1645" s="73"/>
      <c r="R1645" s="73"/>
      <c r="S1645" s="73"/>
      <c r="T1645" s="73"/>
      <c r="U1645" s="73"/>
      <c r="V1645" s="73"/>
      <c r="W1645" s="73"/>
      <c r="X1645" s="73"/>
    </row>
    <row r="1646">
      <c r="A1646" s="74"/>
      <c r="B1646" s="74"/>
      <c r="C1646" s="74"/>
      <c r="D1646" s="75"/>
      <c r="E1646" s="100"/>
      <c r="F1646" s="101"/>
      <c r="G1646" s="99"/>
      <c r="H1646" s="73"/>
      <c r="I1646" s="98"/>
      <c r="J1646" s="99"/>
      <c r="L1646" s="73"/>
      <c r="M1646" s="73"/>
      <c r="N1646" s="73"/>
      <c r="O1646" s="73"/>
      <c r="P1646" s="73"/>
      <c r="Q1646" s="73"/>
      <c r="R1646" s="73"/>
      <c r="S1646" s="73"/>
      <c r="T1646" s="73"/>
      <c r="U1646" s="73"/>
      <c r="V1646" s="73"/>
      <c r="W1646" s="73"/>
      <c r="X1646" s="73"/>
    </row>
    <row r="1647">
      <c r="A1647" s="74"/>
      <c r="B1647" s="74"/>
      <c r="C1647" s="74"/>
      <c r="D1647" s="75"/>
      <c r="E1647" s="100"/>
      <c r="F1647" s="101"/>
      <c r="G1647" s="99"/>
      <c r="H1647" s="73"/>
      <c r="I1647" s="98"/>
      <c r="J1647" s="99"/>
      <c r="L1647" s="73"/>
      <c r="M1647" s="73"/>
      <c r="N1647" s="73"/>
      <c r="O1647" s="73"/>
      <c r="P1647" s="73"/>
      <c r="Q1647" s="73"/>
      <c r="R1647" s="73"/>
      <c r="S1647" s="73"/>
      <c r="T1647" s="73"/>
      <c r="U1647" s="73"/>
      <c r="V1647" s="73"/>
      <c r="W1647" s="73"/>
      <c r="X1647" s="73"/>
    </row>
    <row r="1648">
      <c r="A1648" s="74"/>
      <c r="B1648" s="74"/>
      <c r="C1648" s="74"/>
      <c r="D1648" s="75"/>
      <c r="E1648" s="100"/>
      <c r="F1648" s="101"/>
      <c r="G1648" s="99"/>
      <c r="H1648" s="73"/>
      <c r="I1648" s="98"/>
      <c r="J1648" s="99"/>
      <c r="L1648" s="73"/>
      <c r="M1648" s="73"/>
      <c r="N1648" s="73"/>
      <c r="O1648" s="73"/>
      <c r="P1648" s="73"/>
      <c r="Q1648" s="73"/>
      <c r="R1648" s="73"/>
      <c r="S1648" s="73"/>
      <c r="T1648" s="73"/>
      <c r="U1648" s="73"/>
      <c r="V1648" s="73"/>
      <c r="W1648" s="73"/>
      <c r="X1648" s="73"/>
    </row>
    <row r="1649">
      <c r="A1649" s="74"/>
      <c r="B1649" s="74"/>
      <c r="C1649" s="74"/>
      <c r="D1649" s="75"/>
      <c r="E1649" s="100"/>
      <c r="F1649" s="101"/>
      <c r="G1649" s="99"/>
      <c r="H1649" s="73"/>
      <c r="I1649" s="98"/>
      <c r="J1649" s="99"/>
      <c r="L1649" s="73"/>
      <c r="M1649" s="73"/>
      <c r="N1649" s="73"/>
      <c r="O1649" s="73"/>
      <c r="P1649" s="73"/>
      <c r="Q1649" s="73"/>
      <c r="R1649" s="73"/>
      <c r="S1649" s="73"/>
      <c r="T1649" s="73"/>
      <c r="U1649" s="73"/>
      <c r="V1649" s="73"/>
      <c r="W1649" s="73"/>
      <c r="X1649" s="73"/>
    </row>
    <row r="1650">
      <c r="A1650" s="74"/>
      <c r="B1650" s="74"/>
      <c r="C1650" s="74"/>
      <c r="D1650" s="75"/>
      <c r="E1650" s="100"/>
      <c r="F1650" s="101"/>
      <c r="G1650" s="99"/>
      <c r="H1650" s="73"/>
      <c r="I1650" s="98"/>
      <c r="J1650" s="99"/>
      <c r="L1650" s="73"/>
      <c r="M1650" s="73"/>
      <c r="N1650" s="73"/>
      <c r="O1650" s="73"/>
      <c r="P1650" s="73"/>
      <c r="Q1650" s="73"/>
      <c r="R1650" s="73"/>
      <c r="S1650" s="73"/>
      <c r="T1650" s="73"/>
      <c r="U1650" s="73"/>
      <c r="V1650" s="73"/>
      <c r="W1650" s="73"/>
      <c r="X1650" s="73"/>
    </row>
    <row r="1651">
      <c r="A1651" s="74"/>
      <c r="B1651" s="74"/>
      <c r="C1651" s="74"/>
      <c r="D1651" s="75"/>
      <c r="E1651" s="100"/>
      <c r="F1651" s="101"/>
      <c r="G1651" s="99"/>
      <c r="H1651" s="73"/>
      <c r="I1651" s="98"/>
      <c r="J1651" s="99"/>
      <c r="L1651" s="73"/>
      <c r="M1651" s="73"/>
      <c r="N1651" s="73"/>
      <c r="O1651" s="73"/>
      <c r="P1651" s="73"/>
      <c r="Q1651" s="73"/>
      <c r="R1651" s="73"/>
      <c r="S1651" s="73"/>
      <c r="T1651" s="73"/>
      <c r="U1651" s="73"/>
      <c r="V1651" s="73"/>
      <c r="W1651" s="73"/>
      <c r="X1651" s="73"/>
    </row>
    <row r="1652">
      <c r="A1652" s="74"/>
      <c r="B1652" s="74"/>
      <c r="C1652" s="74"/>
      <c r="D1652" s="75"/>
      <c r="E1652" s="100"/>
      <c r="F1652" s="101"/>
      <c r="G1652" s="99"/>
      <c r="H1652" s="73"/>
      <c r="I1652" s="98"/>
      <c r="J1652" s="99"/>
      <c r="L1652" s="73"/>
      <c r="M1652" s="73"/>
      <c r="N1652" s="73"/>
      <c r="O1652" s="73"/>
      <c r="P1652" s="73"/>
      <c r="Q1652" s="73"/>
      <c r="R1652" s="73"/>
      <c r="S1652" s="73"/>
      <c r="T1652" s="73"/>
      <c r="U1652" s="73"/>
      <c r="V1652" s="73"/>
      <c r="W1652" s="73"/>
      <c r="X1652" s="73"/>
    </row>
    <row r="1653">
      <c r="A1653" s="74"/>
      <c r="B1653" s="74"/>
      <c r="C1653" s="74"/>
      <c r="D1653" s="75"/>
      <c r="E1653" s="100"/>
      <c r="F1653" s="101"/>
      <c r="G1653" s="99"/>
      <c r="H1653" s="73"/>
      <c r="I1653" s="98"/>
      <c r="J1653" s="99"/>
      <c r="L1653" s="73"/>
      <c r="M1653" s="73"/>
      <c r="N1653" s="73"/>
      <c r="O1653" s="73"/>
      <c r="P1653" s="73"/>
      <c r="Q1653" s="73"/>
      <c r="R1653" s="73"/>
      <c r="S1653" s="73"/>
      <c r="T1653" s="73"/>
      <c r="U1653" s="73"/>
      <c r="V1653" s="73"/>
      <c r="W1653" s="73"/>
      <c r="X1653" s="73"/>
    </row>
    <row r="1654">
      <c r="A1654" s="74"/>
      <c r="B1654" s="74"/>
      <c r="C1654" s="74"/>
      <c r="D1654" s="75"/>
      <c r="E1654" s="100"/>
      <c r="F1654" s="101"/>
      <c r="G1654" s="99"/>
      <c r="H1654" s="73"/>
      <c r="I1654" s="98"/>
      <c r="J1654" s="99"/>
      <c r="L1654" s="73"/>
      <c r="M1654" s="73"/>
      <c r="N1654" s="73"/>
      <c r="O1654" s="73"/>
      <c r="P1654" s="73"/>
      <c r="Q1654" s="73"/>
      <c r="R1654" s="73"/>
      <c r="S1654" s="73"/>
      <c r="T1654" s="73"/>
      <c r="U1654" s="73"/>
      <c r="V1654" s="73"/>
      <c r="W1654" s="73"/>
      <c r="X1654" s="73"/>
    </row>
    <row r="1655">
      <c r="A1655" s="74"/>
      <c r="B1655" s="74"/>
      <c r="C1655" s="74"/>
      <c r="D1655" s="75"/>
      <c r="E1655" s="100"/>
      <c r="F1655" s="101"/>
      <c r="G1655" s="99"/>
      <c r="H1655" s="73"/>
      <c r="I1655" s="98"/>
      <c r="J1655" s="99"/>
      <c r="L1655" s="73"/>
      <c r="M1655" s="73"/>
      <c r="N1655" s="73"/>
      <c r="O1655" s="73"/>
      <c r="P1655" s="73"/>
      <c r="Q1655" s="73"/>
      <c r="R1655" s="73"/>
      <c r="S1655" s="73"/>
      <c r="T1655" s="73"/>
      <c r="U1655" s="73"/>
      <c r="V1655" s="73"/>
      <c r="W1655" s="73"/>
      <c r="X1655" s="73"/>
    </row>
    <row r="1656">
      <c r="A1656" s="74"/>
      <c r="B1656" s="74"/>
      <c r="C1656" s="74"/>
      <c r="D1656" s="75"/>
      <c r="E1656" s="100"/>
      <c r="F1656" s="101"/>
      <c r="G1656" s="99"/>
      <c r="H1656" s="73"/>
      <c r="I1656" s="98"/>
      <c r="J1656" s="99"/>
      <c r="L1656" s="73"/>
      <c r="M1656" s="73"/>
      <c r="N1656" s="73"/>
      <c r="O1656" s="73"/>
      <c r="P1656" s="73"/>
      <c r="Q1656" s="73"/>
      <c r="R1656" s="73"/>
      <c r="S1656" s="73"/>
      <c r="T1656" s="73"/>
      <c r="U1656" s="73"/>
      <c r="V1656" s="73"/>
      <c r="W1656" s="73"/>
      <c r="X1656" s="73"/>
    </row>
    <row r="1657">
      <c r="A1657" s="74"/>
      <c r="B1657" s="74"/>
      <c r="C1657" s="74"/>
      <c r="D1657" s="75"/>
      <c r="E1657" s="100"/>
      <c r="F1657" s="101"/>
      <c r="G1657" s="99"/>
      <c r="H1657" s="73"/>
      <c r="I1657" s="98"/>
      <c r="J1657" s="99"/>
      <c r="L1657" s="73"/>
      <c r="M1657" s="73"/>
      <c r="N1657" s="73"/>
      <c r="O1657" s="73"/>
      <c r="P1657" s="73"/>
      <c r="Q1657" s="73"/>
      <c r="R1657" s="73"/>
      <c r="S1657" s="73"/>
      <c r="T1657" s="73"/>
      <c r="U1657" s="73"/>
      <c r="V1657" s="73"/>
      <c r="W1657" s="73"/>
      <c r="X1657" s="73"/>
    </row>
    <row r="1658">
      <c r="A1658" s="74"/>
      <c r="B1658" s="74"/>
      <c r="C1658" s="74"/>
      <c r="D1658" s="75"/>
      <c r="E1658" s="100"/>
      <c r="F1658" s="101"/>
      <c r="G1658" s="99"/>
      <c r="H1658" s="73"/>
      <c r="I1658" s="98"/>
      <c r="J1658" s="99"/>
      <c r="L1658" s="73"/>
      <c r="M1658" s="73"/>
      <c r="N1658" s="73"/>
      <c r="O1658" s="73"/>
      <c r="P1658" s="73"/>
      <c r="Q1658" s="73"/>
      <c r="R1658" s="73"/>
      <c r="S1658" s="73"/>
      <c r="T1658" s="73"/>
      <c r="U1658" s="73"/>
      <c r="V1658" s="73"/>
      <c r="W1658" s="73"/>
      <c r="X1658" s="73"/>
    </row>
    <row r="1659">
      <c r="A1659" s="74"/>
      <c r="B1659" s="74"/>
      <c r="C1659" s="74"/>
      <c r="D1659" s="75"/>
      <c r="E1659" s="100"/>
      <c r="F1659" s="101"/>
      <c r="G1659" s="99"/>
      <c r="H1659" s="73"/>
      <c r="I1659" s="98"/>
      <c r="J1659" s="99"/>
      <c r="L1659" s="73"/>
      <c r="M1659" s="73"/>
      <c r="N1659" s="73"/>
      <c r="O1659" s="73"/>
      <c r="P1659" s="73"/>
      <c r="Q1659" s="73"/>
      <c r="R1659" s="73"/>
      <c r="S1659" s="73"/>
      <c r="T1659" s="73"/>
      <c r="U1659" s="73"/>
      <c r="V1659" s="73"/>
      <c r="W1659" s="73"/>
      <c r="X1659" s="73"/>
    </row>
    <row r="1660">
      <c r="A1660" s="74"/>
      <c r="B1660" s="74"/>
      <c r="C1660" s="74"/>
      <c r="D1660" s="75"/>
      <c r="E1660" s="100"/>
      <c r="F1660" s="101"/>
      <c r="G1660" s="99"/>
      <c r="H1660" s="73"/>
      <c r="I1660" s="98"/>
      <c r="J1660" s="99"/>
      <c r="L1660" s="73"/>
      <c r="M1660" s="73"/>
      <c r="N1660" s="73"/>
      <c r="O1660" s="73"/>
      <c r="P1660" s="73"/>
      <c r="Q1660" s="73"/>
      <c r="R1660" s="73"/>
      <c r="S1660" s="73"/>
      <c r="T1660" s="73"/>
      <c r="U1660" s="73"/>
      <c r="V1660" s="73"/>
      <c r="W1660" s="73"/>
      <c r="X1660" s="73"/>
    </row>
    <row r="1661">
      <c r="A1661" s="74"/>
      <c r="B1661" s="74"/>
      <c r="C1661" s="74"/>
      <c r="D1661" s="75"/>
      <c r="E1661" s="100"/>
      <c r="F1661" s="101"/>
      <c r="G1661" s="99"/>
      <c r="H1661" s="73"/>
      <c r="I1661" s="98"/>
      <c r="J1661" s="99"/>
      <c r="L1661" s="73"/>
      <c r="M1661" s="73"/>
      <c r="N1661" s="73"/>
      <c r="O1661" s="73"/>
      <c r="P1661" s="73"/>
      <c r="Q1661" s="73"/>
      <c r="R1661" s="73"/>
      <c r="S1661" s="73"/>
      <c r="T1661" s="73"/>
      <c r="U1661" s="73"/>
      <c r="V1661" s="73"/>
      <c r="W1661" s="73"/>
      <c r="X1661" s="73"/>
    </row>
    <row r="1662">
      <c r="A1662" s="74"/>
      <c r="B1662" s="74"/>
      <c r="C1662" s="74"/>
      <c r="D1662" s="75"/>
      <c r="E1662" s="100"/>
      <c r="F1662" s="101"/>
      <c r="G1662" s="99"/>
      <c r="H1662" s="73"/>
      <c r="I1662" s="98"/>
      <c r="J1662" s="99"/>
      <c r="L1662" s="73"/>
      <c r="M1662" s="73"/>
      <c r="N1662" s="73"/>
      <c r="O1662" s="73"/>
      <c r="P1662" s="73"/>
      <c r="Q1662" s="73"/>
      <c r="R1662" s="73"/>
      <c r="S1662" s="73"/>
      <c r="T1662" s="73"/>
      <c r="U1662" s="73"/>
      <c r="V1662" s="73"/>
      <c r="W1662" s="73"/>
      <c r="X1662" s="73"/>
    </row>
    <row r="1663">
      <c r="A1663" s="74"/>
      <c r="B1663" s="74"/>
      <c r="C1663" s="74"/>
      <c r="D1663" s="75"/>
      <c r="E1663" s="100"/>
      <c r="F1663" s="101"/>
      <c r="G1663" s="99"/>
      <c r="H1663" s="73"/>
      <c r="I1663" s="98"/>
      <c r="J1663" s="99"/>
      <c r="L1663" s="73"/>
      <c r="M1663" s="73"/>
      <c r="N1663" s="73"/>
      <c r="O1663" s="73"/>
      <c r="P1663" s="73"/>
      <c r="Q1663" s="73"/>
      <c r="R1663" s="73"/>
      <c r="S1663" s="73"/>
      <c r="T1663" s="73"/>
      <c r="U1663" s="73"/>
      <c r="V1663" s="73"/>
      <c r="W1663" s="73"/>
      <c r="X1663" s="73"/>
    </row>
    <row r="1664">
      <c r="A1664" s="74"/>
      <c r="B1664" s="74"/>
      <c r="C1664" s="74"/>
      <c r="D1664" s="75"/>
      <c r="E1664" s="100"/>
      <c r="F1664" s="101"/>
      <c r="G1664" s="99"/>
      <c r="H1664" s="73"/>
      <c r="I1664" s="98"/>
      <c r="J1664" s="99"/>
      <c r="L1664" s="73"/>
      <c r="M1664" s="73"/>
      <c r="N1664" s="73"/>
      <c r="O1664" s="73"/>
      <c r="P1664" s="73"/>
      <c r="Q1664" s="73"/>
      <c r="R1664" s="73"/>
      <c r="S1664" s="73"/>
      <c r="T1664" s="73"/>
      <c r="U1664" s="73"/>
      <c r="V1664" s="73"/>
      <c r="W1664" s="73"/>
      <c r="X1664" s="73"/>
    </row>
    <row r="1665">
      <c r="A1665" s="74"/>
      <c r="B1665" s="74"/>
      <c r="C1665" s="74"/>
      <c r="D1665" s="75"/>
      <c r="E1665" s="100"/>
      <c r="F1665" s="101"/>
      <c r="G1665" s="99"/>
      <c r="H1665" s="73"/>
      <c r="I1665" s="98"/>
      <c r="J1665" s="99"/>
      <c r="L1665" s="73"/>
      <c r="M1665" s="73"/>
      <c r="N1665" s="73"/>
      <c r="O1665" s="73"/>
      <c r="P1665" s="73"/>
      <c r="Q1665" s="73"/>
      <c r="R1665" s="73"/>
      <c r="S1665" s="73"/>
      <c r="T1665" s="73"/>
      <c r="U1665" s="73"/>
      <c r="V1665" s="73"/>
      <c r="W1665" s="73"/>
      <c r="X1665" s="73"/>
    </row>
    <row r="1666">
      <c r="A1666" s="74"/>
      <c r="B1666" s="74"/>
      <c r="C1666" s="74"/>
      <c r="D1666" s="75"/>
      <c r="E1666" s="100"/>
      <c r="F1666" s="101"/>
      <c r="G1666" s="99"/>
      <c r="H1666" s="73"/>
      <c r="I1666" s="98"/>
      <c r="J1666" s="99"/>
      <c r="L1666" s="73"/>
      <c r="M1666" s="73"/>
      <c r="N1666" s="73"/>
      <c r="O1666" s="73"/>
      <c r="P1666" s="73"/>
      <c r="Q1666" s="73"/>
      <c r="R1666" s="73"/>
      <c r="S1666" s="73"/>
      <c r="T1666" s="73"/>
      <c r="U1666" s="73"/>
      <c r="V1666" s="73"/>
      <c r="W1666" s="73"/>
      <c r="X1666" s="73"/>
    </row>
    <row r="1667">
      <c r="A1667" s="74"/>
      <c r="B1667" s="74"/>
      <c r="C1667" s="74"/>
      <c r="D1667" s="75"/>
      <c r="E1667" s="100"/>
      <c r="F1667" s="101"/>
      <c r="G1667" s="99"/>
      <c r="H1667" s="73"/>
      <c r="I1667" s="98"/>
      <c r="J1667" s="99"/>
      <c r="L1667" s="73"/>
      <c r="M1667" s="73"/>
      <c r="N1667" s="73"/>
      <c r="O1667" s="73"/>
      <c r="P1667" s="73"/>
      <c r="Q1667" s="73"/>
      <c r="R1667" s="73"/>
      <c r="S1667" s="73"/>
      <c r="T1667" s="73"/>
      <c r="U1667" s="73"/>
      <c r="V1667" s="73"/>
      <c r="W1667" s="73"/>
      <c r="X1667" s="73"/>
    </row>
    <row r="1668">
      <c r="A1668" s="74"/>
      <c r="B1668" s="74"/>
      <c r="C1668" s="74"/>
      <c r="D1668" s="75"/>
      <c r="E1668" s="100"/>
      <c r="F1668" s="101"/>
      <c r="G1668" s="99"/>
      <c r="H1668" s="73"/>
      <c r="I1668" s="98"/>
      <c r="J1668" s="99"/>
      <c r="L1668" s="73"/>
      <c r="M1668" s="73"/>
      <c r="N1668" s="73"/>
      <c r="O1668" s="73"/>
      <c r="P1668" s="73"/>
      <c r="Q1668" s="73"/>
      <c r="R1668" s="73"/>
      <c r="S1668" s="73"/>
      <c r="T1668" s="73"/>
      <c r="U1668" s="73"/>
      <c r="V1668" s="73"/>
      <c r="W1668" s="73"/>
      <c r="X1668" s="73"/>
    </row>
    <row r="1669">
      <c r="A1669" s="74"/>
      <c r="B1669" s="74"/>
      <c r="C1669" s="74"/>
      <c r="D1669" s="75"/>
      <c r="E1669" s="100"/>
      <c r="F1669" s="101"/>
      <c r="G1669" s="99"/>
      <c r="H1669" s="73"/>
      <c r="I1669" s="98"/>
      <c r="J1669" s="99"/>
      <c r="L1669" s="73"/>
      <c r="M1669" s="73"/>
      <c r="N1669" s="73"/>
      <c r="O1669" s="73"/>
      <c r="P1669" s="73"/>
      <c r="Q1669" s="73"/>
      <c r="R1669" s="73"/>
      <c r="S1669" s="73"/>
      <c r="T1669" s="73"/>
      <c r="U1669" s="73"/>
      <c r="V1669" s="73"/>
      <c r="W1669" s="73"/>
      <c r="X1669" s="73"/>
    </row>
    <row r="1670">
      <c r="A1670" s="74"/>
      <c r="B1670" s="74"/>
      <c r="C1670" s="74"/>
      <c r="D1670" s="75"/>
      <c r="E1670" s="100"/>
      <c r="F1670" s="101"/>
      <c r="G1670" s="99"/>
      <c r="H1670" s="73"/>
      <c r="I1670" s="98"/>
      <c r="J1670" s="99"/>
      <c r="L1670" s="73"/>
      <c r="M1670" s="73"/>
      <c r="N1670" s="73"/>
      <c r="O1670" s="73"/>
      <c r="P1670" s="73"/>
      <c r="Q1670" s="73"/>
      <c r="R1670" s="73"/>
      <c r="S1670" s="73"/>
      <c r="T1670" s="73"/>
      <c r="U1670" s="73"/>
      <c r="V1670" s="73"/>
      <c r="W1670" s="73"/>
      <c r="X1670" s="73"/>
    </row>
    <row r="1671">
      <c r="A1671" s="74"/>
      <c r="B1671" s="74"/>
      <c r="C1671" s="74"/>
      <c r="D1671" s="75"/>
      <c r="E1671" s="100"/>
      <c r="F1671" s="101"/>
      <c r="G1671" s="99"/>
      <c r="H1671" s="73"/>
      <c r="I1671" s="98"/>
      <c r="J1671" s="99"/>
      <c r="L1671" s="73"/>
      <c r="M1671" s="73"/>
      <c r="N1671" s="73"/>
      <c r="O1671" s="73"/>
      <c r="P1671" s="73"/>
      <c r="Q1671" s="73"/>
      <c r="R1671" s="73"/>
      <c r="S1671" s="73"/>
      <c r="T1671" s="73"/>
      <c r="U1671" s="73"/>
      <c r="V1671" s="73"/>
      <c r="W1671" s="73"/>
      <c r="X1671" s="73"/>
    </row>
    <row r="1672">
      <c r="A1672" s="74"/>
      <c r="B1672" s="74"/>
      <c r="C1672" s="74"/>
      <c r="D1672" s="75"/>
      <c r="E1672" s="100"/>
      <c r="F1672" s="101"/>
      <c r="G1672" s="99"/>
      <c r="H1672" s="73"/>
      <c r="I1672" s="98"/>
      <c r="J1672" s="99"/>
      <c r="L1672" s="73"/>
      <c r="M1672" s="73"/>
      <c r="N1672" s="73"/>
      <c r="O1672" s="73"/>
      <c r="P1672" s="73"/>
      <c r="Q1672" s="73"/>
      <c r="R1672" s="73"/>
      <c r="S1672" s="73"/>
      <c r="T1672" s="73"/>
      <c r="U1672" s="73"/>
      <c r="V1672" s="73"/>
      <c r="W1672" s="73"/>
      <c r="X1672" s="73"/>
    </row>
    <row r="1673">
      <c r="A1673" s="74"/>
      <c r="B1673" s="74"/>
      <c r="C1673" s="74"/>
      <c r="D1673" s="75"/>
      <c r="E1673" s="100"/>
      <c r="F1673" s="101"/>
      <c r="G1673" s="99"/>
      <c r="H1673" s="73"/>
      <c r="I1673" s="98"/>
      <c r="J1673" s="99"/>
      <c r="L1673" s="73"/>
      <c r="M1673" s="73"/>
      <c r="N1673" s="73"/>
      <c r="O1673" s="73"/>
      <c r="P1673" s="73"/>
      <c r="Q1673" s="73"/>
      <c r="R1673" s="73"/>
      <c r="S1673" s="73"/>
      <c r="T1673" s="73"/>
      <c r="U1673" s="73"/>
      <c r="V1673" s="73"/>
      <c r="W1673" s="73"/>
      <c r="X1673" s="73"/>
    </row>
    <row r="1674">
      <c r="A1674" s="74"/>
      <c r="B1674" s="74"/>
      <c r="C1674" s="74"/>
      <c r="D1674" s="75"/>
      <c r="E1674" s="100"/>
      <c r="F1674" s="101"/>
      <c r="G1674" s="99"/>
      <c r="H1674" s="73"/>
      <c r="I1674" s="98"/>
      <c r="J1674" s="99"/>
      <c r="L1674" s="73"/>
      <c r="M1674" s="73"/>
      <c r="N1674" s="73"/>
      <c r="O1674" s="73"/>
      <c r="P1674" s="73"/>
      <c r="Q1674" s="73"/>
      <c r="R1674" s="73"/>
      <c r="S1674" s="73"/>
      <c r="T1674" s="73"/>
      <c r="U1674" s="73"/>
      <c r="V1674" s="73"/>
      <c r="W1674" s="73"/>
      <c r="X1674" s="73"/>
    </row>
    <row r="1675">
      <c r="A1675" s="74"/>
      <c r="B1675" s="74"/>
      <c r="C1675" s="74"/>
      <c r="D1675" s="75"/>
      <c r="E1675" s="100"/>
      <c r="F1675" s="101"/>
      <c r="G1675" s="99"/>
      <c r="H1675" s="73"/>
      <c r="I1675" s="98"/>
      <c r="J1675" s="99"/>
      <c r="L1675" s="73"/>
      <c r="M1675" s="73"/>
      <c r="N1675" s="73"/>
      <c r="O1675" s="73"/>
      <c r="P1675" s="73"/>
      <c r="Q1675" s="73"/>
      <c r="R1675" s="73"/>
      <c r="S1675" s="73"/>
      <c r="T1675" s="73"/>
      <c r="U1675" s="73"/>
      <c r="V1675" s="73"/>
      <c r="W1675" s="73"/>
      <c r="X1675" s="73"/>
    </row>
    <row r="1676">
      <c r="A1676" s="74"/>
      <c r="B1676" s="74"/>
      <c r="C1676" s="74"/>
      <c r="D1676" s="75"/>
      <c r="E1676" s="100"/>
      <c r="F1676" s="101"/>
      <c r="G1676" s="99"/>
      <c r="H1676" s="73"/>
      <c r="I1676" s="98"/>
      <c r="J1676" s="99"/>
      <c r="L1676" s="73"/>
      <c r="M1676" s="73"/>
      <c r="N1676" s="73"/>
      <c r="O1676" s="73"/>
      <c r="P1676" s="73"/>
      <c r="Q1676" s="73"/>
      <c r="R1676" s="73"/>
      <c r="S1676" s="73"/>
      <c r="T1676" s="73"/>
      <c r="U1676" s="73"/>
      <c r="V1676" s="73"/>
      <c r="W1676" s="73"/>
      <c r="X1676" s="73"/>
    </row>
    <row r="1677">
      <c r="A1677" s="74"/>
      <c r="B1677" s="74"/>
      <c r="C1677" s="74"/>
      <c r="D1677" s="75"/>
      <c r="E1677" s="100"/>
      <c r="F1677" s="101"/>
      <c r="G1677" s="99"/>
      <c r="H1677" s="73"/>
      <c r="I1677" s="98"/>
      <c r="J1677" s="99"/>
      <c r="L1677" s="73"/>
      <c r="M1677" s="73"/>
      <c r="N1677" s="73"/>
      <c r="O1677" s="73"/>
      <c r="P1677" s="73"/>
      <c r="Q1677" s="73"/>
      <c r="R1677" s="73"/>
      <c r="S1677" s="73"/>
      <c r="T1677" s="73"/>
      <c r="U1677" s="73"/>
      <c r="V1677" s="73"/>
      <c r="W1677" s="73"/>
      <c r="X1677" s="73"/>
    </row>
    <row r="1678">
      <c r="A1678" s="74"/>
      <c r="B1678" s="74"/>
      <c r="C1678" s="74"/>
      <c r="D1678" s="75"/>
      <c r="E1678" s="100"/>
      <c r="F1678" s="101"/>
      <c r="G1678" s="99"/>
      <c r="H1678" s="73"/>
      <c r="I1678" s="98"/>
      <c r="J1678" s="99"/>
      <c r="L1678" s="73"/>
      <c r="M1678" s="73"/>
      <c r="N1678" s="73"/>
      <c r="O1678" s="73"/>
      <c r="P1678" s="73"/>
      <c r="Q1678" s="73"/>
      <c r="R1678" s="73"/>
      <c r="S1678" s="73"/>
      <c r="T1678" s="73"/>
      <c r="U1678" s="73"/>
      <c r="V1678" s="73"/>
      <c r="W1678" s="73"/>
      <c r="X1678" s="73"/>
    </row>
    <row r="1679">
      <c r="A1679" s="74"/>
      <c r="B1679" s="74"/>
      <c r="C1679" s="74"/>
      <c r="D1679" s="75"/>
      <c r="E1679" s="100"/>
      <c r="F1679" s="101"/>
      <c r="G1679" s="99"/>
      <c r="H1679" s="73"/>
      <c r="I1679" s="98"/>
      <c r="J1679" s="99"/>
      <c r="L1679" s="73"/>
      <c r="M1679" s="73"/>
      <c r="N1679" s="73"/>
      <c r="O1679" s="73"/>
      <c r="P1679" s="73"/>
      <c r="Q1679" s="73"/>
      <c r="R1679" s="73"/>
      <c r="S1679" s="73"/>
      <c r="T1679" s="73"/>
      <c r="U1679" s="73"/>
      <c r="V1679" s="73"/>
      <c r="W1679" s="73"/>
      <c r="X1679" s="73"/>
    </row>
    <row r="1680">
      <c r="A1680" s="74"/>
      <c r="B1680" s="74"/>
      <c r="C1680" s="74"/>
      <c r="D1680" s="75"/>
      <c r="E1680" s="100"/>
      <c r="F1680" s="101"/>
      <c r="G1680" s="99"/>
      <c r="H1680" s="73"/>
      <c r="I1680" s="98"/>
      <c r="J1680" s="99"/>
      <c r="L1680" s="73"/>
      <c r="M1680" s="73"/>
      <c r="N1680" s="73"/>
      <c r="O1680" s="73"/>
      <c r="P1680" s="73"/>
      <c r="Q1680" s="73"/>
      <c r="R1680" s="73"/>
      <c r="S1680" s="73"/>
      <c r="T1680" s="73"/>
      <c r="U1680" s="73"/>
      <c r="V1680" s="73"/>
      <c r="W1680" s="73"/>
      <c r="X1680" s="73"/>
    </row>
    <row r="1681">
      <c r="A1681" s="74"/>
      <c r="B1681" s="74"/>
      <c r="C1681" s="74"/>
      <c r="D1681" s="75"/>
      <c r="E1681" s="100"/>
      <c r="F1681" s="101"/>
      <c r="G1681" s="99"/>
      <c r="H1681" s="73"/>
      <c r="I1681" s="98"/>
      <c r="J1681" s="99"/>
      <c r="L1681" s="73"/>
      <c r="M1681" s="73"/>
      <c r="N1681" s="73"/>
      <c r="O1681" s="73"/>
      <c r="P1681" s="73"/>
      <c r="Q1681" s="73"/>
      <c r="R1681" s="73"/>
      <c r="S1681" s="73"/>
      <c r="T1681" s="73"/>
      <c r="U1681" s="73"/>
      <c r="V1681" s="73"/>
      <c r="W1681" s="73"/>
      <c r="X1681" s="73"/>
    </row>
    <row r="1682">
      <c r="A1682" s="74"/>
      <c r="B1682" s="74"/>
      <c r="C1682" s="74"/>
      <c r="D1682" s="75"/>
      <c r="E1682" s="100"/>
      <c r="F1682" s="101"/>
      <c r="G1682" s="99"/>
      <c r="H1682" s="73"/>
      <c r="I1682" s="98"/>
      <c r="J1682" s="99"/>
      <c r="L1682" s="73"/>
      <c r="M1682" s="73"/>
      <c r="N1682" s="73"/>
      <c r="O1682" s="73"/>
      <c r="P1682" s="73"/>
      <c r="Q1682" s="73"/>
      <c r="R1682" s="73"/>
      <c r="S1682" s="73"/>
      <c r="T1682" s="73"/>
      <c r="U1682" s="73"/>
      <c r="V1682" s="73"/>
      <c r="W1682" s="73"/>
      <c r="X1682" s="73"/>
    </row>
    <row r="1683">
      <c r="A1683" s="74"/>
      <c r="B1683" s="74"/>
      <c r="C1683" s="74"/>
      <c r="D1683" s="75"/>
      <c r="E1683" s="100"/>
      <c r="F1683" s="101"/>
      <c r="G1683" s="99"/>
      <c r="H1683" s="73"/>
      <c r="I1683" s="98"/>
      <c r="J1683" s="99"/>
      <c r="L1683" s="73"/>
      <c r="M1683" s="73"/>
      <c r="N1683" s="73"/>
      <c r="O1683" s="73"/>
      <c r="P1683" s="73"/>
      <c r="Q1683" s="73"/>
      <c r="R1683" s="73"/>
      <c r="S1683" s="73"/>
      <c r="T1683" s="73"/>
      <c r="U1683" s="73"/>
      <c r="V1683" s="73"/>
      <c r="W1683" s="73"/>
      <c r="X1683" s="73"/>
    </row>
    <row r="1684">
      <c r="A1684" s="74"/>
      <c r="B1684" s="74"/>
      <c r="C1684" s="74"/>
      <c r="D1684" s="75"/>
      <c r="E1684" s="100"/>
      <c r="F1684" s="101"/>
      <c r="G1684" s="99"/>
      <c r="H1684" s="73"/>
      <c r="I1684" s="98"/>
      <c r="J1684" s="99"/>
      <c r="L1684" s="73"/>
      <c r="M1684" s="73"/>
      <c r="N1684" s="73"/>
      <c r="O1684" s="73"/>
      <c r="P1684" s="73"/>
      <c r="Q1684" s="73"/>
      <c r="R1684" s="73"/>
      <c r="S1684" s="73"/>
      <c r="T1684" s="73"/>
      <c r="U1684" s="73"/>
      <c r="V1684" s="73"/>
      <c r="W1684" s="73"/>
      <c r="X1684" s="73"/>
    </row>
    <row r="1685">
      <c r="A1685" s="74"/>
      <c r="B1685" s="74"/>
      <c r="C1685" s="74"/>
      <c r="D1685" s="75"/>
      <c r="E1685" s="100"/>
      <c r="F1685" s="101"/>
      <c r="G1685" s="99"/>
      <c r="H1685" s="73"/>
      <c r="I1685" s="98"/>
      <c r="J1685" s="99"/>
      <c r="L1685" s="73"/>
      <c r="M1685" s="73"/>
      <c r="N1685" s="73"/>
      <c r="O1685" s="73"/>
      <c r="P1685" s="73"/>
      <c r="Q1685" s="73"/>
      <c r="R1685" s="73"/>
      <c r="S1685" s="73"/>
      <c r="T1685" s="73"/>
      <c r="U1685" s="73"/>
      <c r="V1685" s="73"/>
      <c r="W1685" s="73"/>
      <c r="X1685" s="73"/>
    </row>
    <row r="1686">
      <c r="A1686" s="74"/>
      <c r="B1686" s="74"/>
      <c r="C1686" s="74"/>
      <c r="D1686" s="75"/>
      <c r="E1686" s="100"/>
      <c r="F1686" s="101"/>
      <c r="G1686" s="99"/>
      <c r="H1686" s="73"/>
      <c r="I1686" s="98"/>
      <c r="J1686" s="99"/>
      <c r="L1686" s="73"/>
      <c r="M1686" s="73"/>
      <c r="N1686" s="73"/>
      <c r="O1686" s="73"/>
      <c r="P1686" s="73"/>
      <c r="Q1686" s="73"/>
      <c r="R1686" s="73"/>
      <c r="S1686" s="73"/>
      <c r="T1686" s="73"/>
      <c r="U1686" s="73"/>
      <c r="V1686" s="73"/>
      <c r="W1686" s="73"/>
      <c r="X1686" s="73"/>
    </row>
    <row r="1687">
      <c r="A1687" s="74"/>
      <c r="B1687" s="74"/>
      <c r="C1687" s="74"/>
      <c r="D1687" s="75"/>
      <c r="E1687" s="100"/>
      <c r="F1687" s="101"/>
      <c r="G1687" s="99"/>
      <c r="H1687" s="73"/>
      <c r="I1687" s="98"/>
      <c r="J1687" s="99"/>
      <c r="L1687" s="73"/>
      <c r="M1687" s="73"/>
      <c r="N1687" s="73"/>
      <c r="O1687" s="73"/>
      <c r="P1687" s="73"/>
      <c r="Q1687" s="73"/>
      <c r="R1687" s="73"/>
      <c r="S1687" s="73"/>
      <c r="T1687" s="73"/>
      <c r="U1687" s="73"/>
      <c r="V1687" s="73"/>
      <c r="W1687" s="73"/>
      <c r="X1687" s="73"/>
    </row>
    <row r="1688">
      <c r="A1688" s="74"/>
      <c r="B1688" s="74"/>
      <c r="C1688" s="74"/>
      <c r="D1688" s="75"/>
      <c r="E1688" s="100"/>
      <c r="F1688" s="101"/>
      <c r="G1688" s="99"/>
      <c r="H1688" s="73"/>
      <c r="I1688" s="98"/>
      <c r="J1688" s="99"/>
      <c r="L1688" s="73"/>
      <c r="M1688" s="73"/>
      <c r="N1688" s="73"/>
      <c r="O1688" s="73"/>
      <c r="P1688" s="73"/>
      <c r="Q1688" s="73"/>
      <c r="R1688" s="73"/>
      <c r="S1688" s="73"/>
      <c r="T1688" s="73"/>
      <c r="U1688" s="73"/>
      <c r="V1688" s="73"/>
      <c r="W1688" s="73"/>
      <c r="X1688" s="73"/>
    </row>
    <row r="1689">
      <c r="A1689" s="74"/>
      <c r="B1689" s="74"/>
      <c r="C1689" s="74"/>
      <c r="D1689" s="75"/>
      <c r="E1689" s="100"/>
      <c r="F1689" s="101"/>
      <c r="G1689" s="99"/>
      <c r="H1689" s="73"/>
      <c r="I1689" s="98"/>
      <c r="J1689" s="99"/>
      <c r="L1689" s="73"/>
      <c r="M1689" s="73"/>
      <c r="N1689" s="73"/>
      <c r="O1689" s="73"/>
      <c r="P1689" s="73"/>
      <c r="Q1689" s="73"/>
      <c r="R1689" s="73"/>
      <c r="S1689" s="73"/>
      <c r="T1689" s="73"/>
      <c r="U1689" s="73"/>
      <c r="V1689" s="73"/>
      <c r="W1689" s="73"/>
      <c r="X1689" s="73"/>
    </row>
    <row r="1690">
      <c r="A1690" s="74"/>
      <c r="B1690" s="74"/>
      <c r="C1690" s="74"/>
      <c r="D1690" s="75"/>
      <c r="E1690" s="100"/>
      <c r="F1690" s="101"/>
      <c r="G1690" s="99"/>
      <c r="H1690" s="73"/>
      <c r="I1690" s="98"/>
      <c r="J1690" s="99"/>
      <c r="L1690" s="73"/>
      <c r="M1690" s="73"/>
      <c r="N1690" s="73"/>
      <c r="O1690" s="73"/>
      <c r="P1690" s="73"/>
      <c r="Q1690" s="73"/>
      <c r="R1690" s="73"/>
      <c r="S1690" s="73"/>
      <c r="T1690" s="73"/>
      <c r="U1690" s="73"/>
      <c r="V1690" s="73"/>
      <c r="W1690" s="73"/>
      <c r="X1690" s="73"/>
    </row>
    <row r="1691">
      <c r="A1691" s="74"/>
      <c r="B1691" s="74"/>
      <c r="C1691" s="74"/>
      <c r="D1691" s="75"/>
      <c r="E1691" s="100"/>
      <c r="F1691" s="101"/>
      <c r="G1691" s="99"/>
      <c r="H1691" s="73"/>
      <c r="I1691" s="98"/>
      <c r="J1691" s="99"/>
      <c r="L1691" s="73"/>
      <c r="M1691" s="73"/>
      <c r="N1691" s="73"/>
      <c r="O1691" s="73"/>
      <c r="P1691" s="73"/>
      <c r="Q1691" s="73"/>
      <c r="R1691" s="73"/>
      <c r="S1691" s="73"/>
      <c r="T1691" s="73"/>
      <c r="U1691" s="73"/>
      <c r="V1691" s="73"/>
      <c r="W1691" s="73"/>
      <c r="X1691" s="73"/>
    </row>
    <row r="1692">
      <c r="A1692" s="74"/>
      <c r="B1692" s="74"/>
      <c r="C1692" s="74"/>
      <c r="D1692" s="75"/>
      <c r="E1692" s="100"/>
      <c r="F1692" s="101"/>
      <c r="G1692" s="99"/>
      <c r="H1692" s="73"/>
      <c r="I1692" s="98"/>
      <c r="J1692" s="99"/>
      <c r="L1692" s="73"/>
      <c r="M1692" s="73"/>
      <c r="N1692" s="73"/>
      <c r="O1692" s="73"/>
      <c r="P1692" s="73"/>
      <c r="Q1692" s="73"/>
      <c r="R1692" s="73"/>
      <c r="S1692" s="73"/>
      <c r="T1692" s="73"/>
      <c r="U1692" s="73"/>
      <c r="V1692" s="73"/>
      <c r="W1692" s="73"/>
      <c r="X1692" s="73"/>
    </row>
    <row r="1693">
      <c r="A1693" s="74"/>
      <c r="B1693" s="74"/>
      <c r="C1693" s="74"/>
      <c r="D1693" s="75"/>
      <c r="E1693" s="100"/>
      <c r="F1693" s="101"/>
      <c r="G1693" s="99"/>
      <c r="H1693" s="73"/>
      <c r="I1693" s="98"/>
      <c r="J1693" s="99"/>
      <c r="L1693" s="73"/>
      <c r="M1693" s="73"/>
      <c r="N1693" s="73"/>
      <c r="O1693" s="73"/>
      <c r="P1693" s="73"/>
      <c r="Q1693" s="73"/>
      <c r="R1693" s="73"/>
      <c r="S1693" s="73"/>
      <c r="T1693" s="73"/>
      <c r="U1693" s="73"/>
      <c r="V1693" s="73"/>
      <c r="W1693" s="73"/>
      <c r="X1693" s="73"/>
    </row>
    <row r="1694">
      <c r="A1694" s="74"/>
      <c r="B1694" s="74"/>
      <c r="C1694" s="74"/>
      <c r="D1694" s="75"/>
      <c r="E1694" s="100"/>
      <c r="F1694" s="101"/>
      <c r="G1694" s="99"/>
      <c r="H1694" s="73"/>
      <c r="I1694" s="98"/>
      <c r="J1694" s="99"/>
      <c r="L1694" s="73"/>
      <c r="M1694" s="73"/>
      <c r="N1694" s="73"/>
      <c r="O1694" s="73"/>
      <c r="P1694" s="73"/>
      <c r="Q1694" s="73"/>
      <c r="R1694" s="73"/>
      <c r="S1694" s="73"/>
      <c r="T1694" s="73"/>
      <c r="U1694" s="73"/>
      <c r="V1694" s="73"/>
      <c r="W1694" s="73"/>
      <c r="X1694" s="73"/>
    </row>
    <row r="1695">
      <c r="A1695" s="74"/>
      <c r="B1695" s="74"/>
      <c r="C1695" s="74"/>
      <c r="D1695" s="75"/>
      <c r="E1695" s="100"/>
      <c r="F1695" s="101"/>
      <c r="G1695" s="99"/>
      <c r="H1695" s="73"/>
      <c r="I1695" s="98"/>
      <c r="J1695" s="99"/>
      <c r="L1695" s="73"/>
      <c r="M1695" s="73"/>
      <c r="N1695" s="73"/>
      <c r="O1695" s="73"/>
      <c r="P1695" s="73"/>
      <c r="Q1695" s="73"/>
      <c r="R1695" s="73"/>
      <c r="S1695" s="73"/>
      <c r="T1695" s="73"/>
      <c r="U1695" s="73"/>
      <c r="V1695" s="73"/>
      <c r="W1695" s="73"/>
      <c r="X1695" s="73"/>
    </row>
    <row r="1696">
      <c r="A1696" s="74"/>
      <c r="B1696" s="74"/>
      <c r="C1696" s="74"/>
      <c r="D1696" s="75"/>
      <c r="E1696" s="100"/>
      <c r="F1696" s="101"/>
      <c r="G1696" s="99"/>
      <c r="H1696" s="73"/>
      <c r="I1696" s="98"/>
      <c r="J1696" s="99"/>
      <c r="L1696" s="73"/>
      <c r="M1696" s="73"/>
      <c r="N1696" s="73"/>
      <c r="O1696" s="73"/>
      <c r="P1696" s="73"/>
      <c r="Q1696" s="73"/>
      <c r="R1696" s="73"/>
      <c r="S1696" s="73"/>
      <c r="T1696" s="73"/>
      <c r="U1696" s="73"/>
      <c r="V1696" s="73"/>
      <c r="W1696" s="73"/>
      <c r="X1696" s="73"/>
    </row>
    <row r="1697">
      <c r="A1697" s="74"/>
      <c r="B1697" s="74"/>
      <c r="C1697" s="74"/>
      <c r="D1697" s="75"/>
      <c r="E1697" s="100"/>
      <c r="F1697" s="101"/>
      <c r="G1697" s="99"/>
      <c r="H1697" s="73"/>
      <c r="I1697" s="98"/>
      <c r="J1697" s="99"/>
      <c r="L1697" s="73"/>
      <c r="M1697" s="73"/>
      <c r="N1697" s="73"/>
      <c r="O1697" s="73"/>
      <c r="P1697" s="73"/>
      <c r="Q1697" s="73"/>
      <c r="R1697" s="73"/>
      <c r="S1697" s="73"/>
      <c r="T1697" s="73"/>
      <c r="U1697" s="73"/>
      <c r="V1697" s="73"/>
      <c r="W1697" s="73"/>
      <c r="X1697" s="73"/>
    </row>
    <row r="1698">
      <c r="A1698" s="74"/>
      <c r="B1698" s="74"/>
      <c r="C1698" s="74"/>
      <c r="D1698" s="75"/>
      <c r="E1698" s="100"/>
      <c r="F1698" s="101"/>
      <c r="G1698" s="99"/>
      <c r="H1698" s="73"/>
      <c r="I1698" s="98"/>
      <c r="J1698" s="99"/>
      <c r="L1698" s="73"/>
      <c r="M1698" s="73"/>
      <c r="N1698" s="73"/>
      <c r="O1698" s="73"/>
      <c r="P1698" s="73"/>
      <c r="Q1698" s="73"/>
      <c r="R1698" s="73"/>
      <c r="S1698" s="73"/>
      <c r="T1698" s="73"/>
      <c r="U1698" s="73"/>
      <c r="V1698" s="73"/>
      <c r="W1698" s="73"/>
      <c r="X1698" s="73"/>
    </row>
    <row r="1699">
      <c r="A1699" s="74"/>
      <c r="B1699" s="74"/>
      <c r="C1699" s="74"/>
      <c r="D1699" s="75"/>
      <c r="E1699" s="100"/>
      <c r="F1699" s="101"/>
      <c r="G1699" s="99"/>
      <c r="H1699" s="73"/>
      <c r="I1699" s="98"/>
      <c r="J1699" s="99"/>
      <c r="L1699" s="73"/>
      <c r="M1699" s="73"/>
      <c r="N1699" s="73"/>
      <c r="O1699" s="73"/>
      <c r="P1699" s="73"/>
      <c r="Q1699" s="73"/>
      <c r="R1699" s="73"/>
      <c r="S1699" s="73"/>
      <c r="T1699" s="73"/>
      <c r="U1699" s="73"/>
      <c r="V1699" s="73"/>
      <c r="W1699" s="73"/>
      <c r="X1699" s="73"/>
    </row>
    <row r="1700">
      <c r="A1700" s="74"/>
      <c r="B1700" s="74"/>
      <c r="C1700" s="74"/>
      <c r="D1700" s="75"/>
      <c r="E1700" s="100"/>
      <c r="F1700" s="101"/>
      <c r="G1700" s="99"/>
      <c r="H1700" s="73"/>
      <c r="I1700" s="98"/>
      <c r="J1700" s="99"/>
      <c r="L1700" s="73"/>
      <c r="M1700" s="73"/>
      <c r="N1700" s="73"/>
      <c r="O1700" s="73"/>
      <c r="P1700" s="73"/>
      <c r="Q1700" s="73"/>
      <c r="R1700" s="73"/>
      <c r="S1700" s="73"/>
      <c r="T1700" s="73"/>
      <c r="U1700" s="73"/>
      <c r="V1700" s="73"/>
      <c r="W1700" s="73"/>
      <c r="X1700" s="73"/>
    </row>
    <row r="1701">
      <c r="A1701" s="74"/>
      <c r="B1701" s="74"/>
      <c r="C1701" s="74"/>
      <c r="D1701" s="75"/>
      <c r="E1701" s="100"/>
      <c r="F1701" s="101"/>
      <c r="G1701" s="99"/>
      <c r="H1701" s="73"/>
      <c r="I1701" s="98"/>
      <c r="J1701" s="99"/>
      <c r="L1701" s="73"/>
      <c r="M1701" s="73"/>
      <c r="N1701" s="73"/>
      <c r="O1701" s="73"/>
      <c r="P1701" s="73"/>
      <c r="Q1701" s="73"/>
      <c r="R1701" s="73"/>
      <c r="S1701" s="73"/>
      <c r="T1701" s="73"/>
      <c r="U1701" s="73"/>
      <c r="V1701" s="73"/>
      <c r="W1701" s="73"/>
      <c r="X1701" s="73"/>
    </row>
    <row r="1702">
      <c r="A1702" s="74"/>
      <c r="B1702" s="74"/>
      <c r="C1702" s="74"/>
      <c r="D1702" s="75"/>
      <c r="E1702" s="100"/>
      <c r="F1702" s="101"/>
      <c r="G1702" s="99"/>
      <c r="H1702" s="73"/>
      <c r="I1702" s="98"/>
      <c r="J1702" s="99"/>
      <c r="L1702" s="73"/>
      <c r="M1702" s="73"/>
      <c r="N1702" s="73"/>
      <c r="O1702" s="73"/>
      <c r="P1702" s="73"/>
      <c r="Q1702" s="73"/>
      <c r="R1702" s="73"/>
      <c r="S1702" s="73"/>
      <c r="T1702" s="73"/>
      <c r="U1702" s="73"/>
      <c r="V1702" s="73"/>
      <c r="W1702" s="73"/>
      <c r="X1702" s="73"/>
    </row>
    <row r="1703">
      <c r="A1703" s="74"/>
      <c r="B1703" s="74"/>
      <c r="C1703" s="74"/>
      <c r="D1703" s="75"/>
      <c r="E1703" s="100"/>
      <c r="F1703" s="101"/>
      <c r="G1703" s="99"/>
      <c r="H1703" s="73"/>
      <c r="I1703" s="98"/>
      <c r="J1703" s="99"/>
      <c r="L1703" s="73"/>
      <c r="M1703" s="73"/>
      <c r="N1703" s="73"/>
      <c r="O1703" s="73"/>
      <c r="P1703" s="73"/>
      <c r="Q1703" s="73"/>
      <c r="R1703" s="73"/>
      <c r="S1703" s="73"/>
      <c r="T1703" s="73"/>
      <c r="U1703" s="73"/>
      <c r="V1703" s="73"/>
      <c r="W1703" s="73"/>
      <c r="X1703" s="73"/>
    </row>
    <row r="1704">
      <c r="A1704" s="74"/>
      <c r="B1704" s="74"/>
      <c r="C1704" s="74"/>
      <c r="D1704" s="75"/>
      <c r="E1704" s="100"/>
      <c r="F1704" s="101"/>
      <c r="G1704" s="99"/>
      <c r="H1704" s="73"/>
      <c r="I1704" s="98"/>
      <c r="J1704" s="99"/>
      <c r="L1704" s="73"/>
      <c r="M1704" s="73"/>
      <c r="N1704" s="73"/>
      <c r="O1704" s="73"/>
      <c r="P1704" s="73"/>
      <c r="Q1704" s="73"/>
      <c r="R1704" s="73"/>
      <c r="S1704" s="73"/>
      <c r="T1704" s="73"/>
      <c r="U1704" s="73"/>
      <c r="V1704" s="73"/>
      <c r="W1704" s="73"/>
      <c r="X1704" s="73"/>
    </row>
    <row r="1705">
      <c r="A1705" s="74"/>
      <c r="B1705" s="74"/>
      <c r="C1705" s="74"/>
      <c r="D1705" s="75"/>
      <c r="E1705" s="100"/>
      <c r="F1705" s="101"/>
      <c r="G1705" s="99"/>
      <c r="H1705" s="73"/>
      <c r="I1705" s="98"/>
      <c r="J1705" s="99"/>
      <c r="L1705" s="73"/>
      <c r="M1705" s="73"/>
      <c r="N1705" s="73"/>
      <c r="O1705" s="73"/>
      <c r="P1705" s="73"/>
      <c r="Q1705" s="73"/>
      <c r="R1705" s="73"/>
      <c r="S1705" s="73"/>
      <c r="T1705" s="73"/>
      <c r="U1705" s="73"/>
      <c r="V1705" s="73"/>
      <c r="W1705" s="73"/>
      <c r="X1705" s="73"/>
    </row>
    <row r="1706">
      <c r="A1706" s="74"/>
      <c r="B1706" s="74"/>
      <c r="C1706" s="74"/>
      <c r="D1706" s="75"/>
      <c r="E1706" s="100"/>
      <c r="F1706" s="101"/>
      <c r="G1706" s="99"/>
      <c r="H1706" s="73"/>
      <c r="I1706" s="98"/>
      <c r="J1706" s="99"/>
      <c r="L1706" s="73"/>
      <c r="M1706" s="73"/>
      <c r="N1706" s="73"/>
      <c r="O1706" s="73"/>
      <c r="P1706" s="73"/>
      <c r="Q1706" s="73"/>
      <c r="R1706" s="73"/>
      <c r="S1706" s="73"/>
      <c r="T1706" s="73"/>
      <c r="U1706" s="73"/>
      <c r="V1706" s="73"/>
      <c r="W1706" s="73"/>
      <c r="X1706" s="73"/>
    </row>
    <row r="1707">
      <c r="A1707" s="74"/>
      <c r="B1707" s="74"/>
      <c r="C1707" s="74"/>
      <c r="D1707" s="75"/>
      <c r="E1707" s="100"/>
      <c r="F1707" s="101"/>
      <c r="G1707" s="99"/>
      <c r="H1707" s="73"/>
      <c r="I1707" s="98"/>
      <c r="J1707" s="99"/>
      <c r="L1707" s="73"/>
      <c r="M1707" s="73"/>
      <c r="N1707" s="73"/>
      <c r="O1707" s="73"/>
      <c r="P1707" s="73"/>
      <c r="Q1707" s="73"/>
      <c r="R1707" s="73"/>
      <c r="S1707" s="73"/>
      <c r="T1707" s="73"/>
      <c r="U1707" s="73"/>
      <c r="V1707" s="73"/>
      <c r="W1707" s="73"/>
      <c r="X1707" s="73"/>
    </row>
    <row r="1708">
      <c r="A1708" s="74"/>
      <c r="B1708" s="74"/>
      <c r="C1708" s="74"/>
      <c r="D1708" s="75"/>
      <c r="E1708" s="100"/>
      <c r="F1708" s="101"/>
      <c r="G1708" s="99"/>
      <c r="H1708" s="73"/>
      <c r="I1708" s="98"/>
      <c r="J1708" s="99"/>
      <c r="L1708" s="73"/>
      <c r="M1708" s="73"/>
      <c r="N1708" s="73"/>
      <c r="O1708" s="73"/>
      <c r="P1708" s="73"/>
      <c r="Q1708" s="73"/>
      <c r="R1708" s="73"/>
      <c r="S1708" s="73"/>
      <c r="T1708" s="73"/>
      <c r="U1708" s="73"/>
      <c r="V1708" s="73"/>
      <c r="W1708" s="73"/>
      <c r="X1708" s="73"/>
    </row>
    <row r="1709">
      <c r="A1709" s="74"/>
      <c r="B1709" s="74"/>
      <c r="C1709" s="74"/>
      <c r="D1709" s="75"/>
      <c r="E1709" s="100"/>
      <c r="F1709" s="101"/>
      <c r="G1709" s="99"/>
      <c r="H1709" s="73"/>
      <c r="I1709" s="98"/>
      <c r="J1709" s="99"/>
      <c r="L1709" s="73"/>
      <c r="M1709" s="73"/>
      <c r="N1709" s="73"/>
      <c r="O1709" s="73"/>
      <c r="P1709" s="73"/>
      <c r="Q1709" s="73"/>
      <c r="R1709" s="73"/>
      <c r="S1709" s="73"/>
      <c r="T1709" s="73"/>
      <c r="U1709" s="73"/>
      <c r="V1709" s="73"/>
      <c r="W1709" s="73"/>
      <c r="X1709" s="73"/>
    </row>
    <row r="1710">
      <c r="A1710" s="74"/>
      <c r="B1710" s="74"/>
      <c r="C1710" s="74"/>
      <c r="D1710" s="75"/>
      <c r="E1710" s="100"/>
      <c r="F1710" s="101"/>
      <c r="G1710" s="99"/>
      <c r="H1710" s="73"/>
      <c r="I1710" s="98"/>
      <c r="J1710" s="99"/>
      <c r="L1710" s="73"/>
      <c r="M1710" s="73"/>
      <c r="N1710" s="73"/>
      <c r="O1710" s="73"/>
      <c r="P1710" s="73"/>
      <c r="Q1710" s="73"/>
      <c r="R1710" s="73"/>
      <c r="S1710" s="73"/>
      <c r="T1710" s="73"/>
      <c r="U1710" s="73"/>
      <c r="V1710" s="73"/>
      <c r="W1710" s="73"/>
      <c r="X1710" s="73"/>
    </row>
    <row r="1711">
      <c r="A1711" s="74"/>
      <c r="B1711" s="74"/>
      <c r="C1711" s="74"/>
      <c r="D1711" s="75"/>
      <c r="E1711" s="100"/>
      <c r="F1711" s="101"/>
      <c r="G1711" s="99"/>
      <c r="H1711" s="73"/>
      <c r="I1711" s="98"/>
      <c r="J1711" s="99"/>
      <c r="L1711" s="73"/>
      <c r="M1711" s="73"/>
      <c r="N1711" s="73"/>
      <c r="O1711" s="73"/>
      <c r="P1711" s="73"/>
      <c r="Q1711" s="73"/>
      <c r="R1711" s="73"/>
      <c r="S1711" s="73"/>
      <c r="T1711" s="73"/>
      <c r="U1711" s="73"/>
      <c r="V1711" s="73"/>
      <c r="W1711" s="73"/>
      <c r="X1711" s="73"/>
    </row>
    <row r="1712">
      <c r="A1712" s="74"/>
      <c r="B1712" s="74"/>
      <c r="C1712" s="74"/>
      <c r="D1712" s="75"/>
      <c r="E1712" s="100"/>
      <c r="F1712" s="101"/>
      <c r="G1712" s="99"/>
      <c r="H1712" s="73"/>
      <c r="I1712" s="98"/>
      <c r="J1712" s="99"/>
      <c r="L1712" s="73"/>
      <c r="M1712" s="73"/>
      <c r="N1712" s="73"/>
      <c r="O1712" s="73"/>
      <c r="P1712" s="73"/>
      <c r="Q1712" s="73"/>
      <c r="R1712" s="73"/>
      <c r="S1712" s="73"/>
      <c r="T1712" s="73"/>
      <c r="U1712" s="73"/>
      <c r="V1712" s="73"/>
      <c r="W1712" s="73"/>
      <c r="X1712" s="73"/>
    </row>
    <row r="1713">
      <c r="A1713" s="74"/>
      <c r="B1713" s="74"/>
      <c r="C1713" s="74"/>
      <c r="D1713" s="75"/>
      <c r="E1713" s="100"/>
      <c r="F1713" s="101"/>
      <c r="G1713" s="99"/>
      <c r="H1713" s="73"/>
      <c r="I1713" s="98"/>
      <c r="J1713" s="99"/>
      <c r="L1713" s="73"/>
      <c r="M1713" s="73"/>
      <c r="N1713" s="73"/>
      <c r="O1713" s="73"/>
      <c r="P1713" s="73"/>
      <c r="Q1713" s="73"/>
      <c r="R1713" s="73"/>
      <c r="S1713" s="73"/>
      <c r="T1713" s="73"/>
      <c r="U1713" s="73"/>
      <c r="V1713" s="73"/>
      <c r="W1713" s="73"/>
      <c r="X1713" s="73"/>
    </row>
    <row r="1714">
      <c r="A1714" s="74"/>
      <c r="B1714" s="74"/>
      <c r="C1714" s="74"/>
      <c r="D1714" s="75"/>
      <c r="E1714" s="100"/>
      <c r="F1714" s="101"/>
      <c r="G1714" s="99"/>
      <c r="H1714" s="73"/>
      <c r="I1714" s="98"/>
      <c r="J1714" s="99"/>
      <c r="L1714" s="73"/>
      <c r="M1714" s="73"/>
      <c r="N1714" s="73"/>
      <c r="O1714" s="73"/>
      <c r="P1714" s="73"/>
      <c r="Q1714" s="73"/>
      <c r="R1714" s="73"/>
      <c r="S1714" s="73"/>
      <c r="T1714" s="73"/>
      <c r="U1714" s="73"/>
      <c r="V1714" s="73"/>
      <c r="W1714" s="73"/>
      <c r="X1714" s="73"/>
    </row>
    <row r="1715">
      <c r="A1715" s="74"/>
      <c r="B1715" s="74"/>
      <c r="C1715" s="74"/>
      <c r="D1715" s="75"/>
      <c r="E1715" s="100"/>
      <c r="F1715" s="101"/>
      <c r="G1715" s="99"/>
      <c r="H1715" s="73"/>
      <c r="I1715" s="98"/>
      <c r="J1715" s="99"/>
      <c r="L1715" s="73"/>
      <c r="M1715" s="73"/>
      <c r="N1715" s="73"/>
      <c r="O1715" s="73"/>
      <c r="P1715" s="73"/>
      <c r="Q1715" s="73"/>
      <c r="R1715" s="73"/>
      <c r="S1715" s="73"/>
      <c r="T1715" s="73"/>
      <c r="U1715" s="73"/>
      <c r="V1715" s="73"/>
      <c r="W1715" s="73"/>
      <c r="X1715" s="73"/>
    </row>
    <row r="1716">
      <c r="A1716" s="74"/>
      <c r="B1716" s="74"/>
      <c r="C1716" s="74"/>
      <c r="D1716" s="75"/>
      <c r="E1716" s="100"/>
      <c r="F1716" s="101"/>
      <c r="G1716" s="99"/>
      <c r="H1716" s="73"/>
      <c r="I1716" s="98"/>
      <c r="J1716" s="99"/>
      <c r="L1716" s="73"/>
      <c r="M1716" s="73"/>
      <c r="N1716" s="73"/>
      <c r="O1716" s="73"/>
      <c r="P1716" s="73"/>
      <c r="Q1716" s="73"/>
      <c r="R1716" s="73"/>
      <c r="S1716" s="73"/>
      <c r="T1716" s="73"/>
      <c r="U1716" s="73"/>
      <c r="V1716" s="73"/>
      <c r="W1716" s="73"/>
      <c r="X1716" s="73"/>
    </row>
    <row r="1717">
      <c r="A1717" s="74"/>
      <c r="B1717" s="74"/>
      <c r="C1717" s="74"/>
      <c r="D1717" s="75"/>
      <c r="E1717" s="100"/>
      <c r="F1717" s="101"/>
      <c r="G1717" s="99"/>
      <c r="H1717" s="73"/>
      <c r="I1717" s="98"/>
      <c r="J1717" s="99"/>
      <c r="L1717" s="73"/>
      <c r="M1717" s="73"/>
      <c r="N1717" s="73"/>
      <c r="O1717" s="73"/>
      <c r="P1717" s="73"/>
      <c r="Q1717" s="73"/>
      <c r="R1717" s="73"/>
      <c r="S1717" s="73"/>
      <c r="T1717" s="73"/>
      <c r="U1717" s="73"/>
      <c r="V1717" s="73"/>
      <c r="W1717" s="73"/>
      <c r="X1717" s="73"/>
    </row>
    <row r="1718">
      <c r="A1718" s="74"/>
      <c r="B1718" s="74"/>
      <c r="C1718" s="74"/>
      <c r="D1718" s="75"/>
      <c r="E1718" s="100"/>
      <c r="F1718" s="101"/>
      <c r="G1718" s="99"/>
      <c r="H1718" s="73"/>
      <c r="I1718" s="98"/>
      <c r="J1718" s="99"/>
      <c r="L1718" s="73"/>
      <c r="M1718" s="73"/>
      <c r="N1718" s="73"/>
      <c r="O1718" s="73"/>
      <c r="P1718" s="73"/>
      <c r="Q1718" s="73"/>
      <c r="R1718" s="73"/>
      <c r="S1718" s="73"/>
      <c r="T1718" s="73"/>
      <c r="U1718" s="73"/>
      <c r="V1718" s="73"/>
      <c r="W1718" s="73"/>
      <c r="X1718" s="73"/>
    </row>
    <row r="1719">
      <c r="A1719" s="74"/>
      <c r="B1719" s="74"/>
      <c r="C1719" s="74"/>
      <c r="D1719" s="75"/>
      <c r="E1719" s="100"/>
      <c r="F1719" s="101"/>
      <c r="G1719" s="99"/>
      <c r="H1719" s="73"/>
      <c r="I1719" s="98"/>
      <c r="J1719" s="99"/>
      <c r="L1719" s="73"/>
      <c r="M1719" s="73"/>
      <c r="N1719" s="73"/>
      <c r="O1719" s="73"/>
      <c r="P1719" s="73"/>
      <c r="Q1719" s="73"/>
      <c r="R1719" s="73"/>
      <c r="S1719" s="73"/>
      <c r="T1719" s="73"/>
      <c r="U1719" s="73"/>
      <c r="V1719" s="73"/>
      <c r="W1719" s="73"/>
      <c r="X1719" s="73"/>
    </row>
    <row r="1720">
      <c r="A1720" s="74"/>
      <c r="B1720" s="74"/>
      <c r="C1720" s="74"/>
      <c r="D1720" s="75"/>
      <c r="E1720" s="100"/>
      <c r="F1720" s="101"/>
      <c r="G1720" s="99"/>
      <c r="H1720" s="73"/>
      <c r="I1720" s="98"/>
      <c r="J1720" s="99"/>
      <c r="L1720" s="73"/>
      <c r="M1720" s="73"/>
      <c r="N1720" s="73"/>
      <c r="O1720" s="73"/>
      <c r="P1720" s="73"/>
      <c r="Q1720" s="73"/>
      <c r="R1720" s="73"/>
      <c r="S1720" s="73"/>
      <c r="T1720" s="73"/>
      <c r="U1720" s="73"/>
      <c r="V1720" s="73"/>
      <c r="W1720" s="73"/>
      <c r="X1720" s="73"/>
    </row>
    <row r="1721">
      <c r="A1721" s="74"/>
      <c r="B1721" s="74"/>
      <c r="C1721" s="74"/>
      <c r="D1721" s="75"/>
      <c r="E1721" s="100"/>
      <c r="F1721" s="101"/>
      <c r="G1721" s="99"/>
      <c r="H1721" s="73"/>
      <c r="I1721" s="98"/>
      <c r="J1721" s="99"/>
      <c r="L1721" s="73"/>
      <c r="M1721" s="73"/>
      <c r="N1721" s="73"/>
      <c r="O1721" s="73"/>
      <c r="P1721" s="73"/>
      <c r="Q1721" s="73"/>
      <c r="R1721" s="73"/>
      <c r="S1721" s="73"/>
      <c r="T1721" s="73"/>
      <c r="U1721" s="73"/>
      <c r="V1721" s="73"/>
      <c r="W1721" s="73"/>
      <c r="X1721" s="73"/>
    </row>
    <row r="1722">
      <c r="A1722" s="74"/>
      <c r="B1722" s="74"/>
      <c r="C1722" s="74"/>
      <c r="D1722" s="75"/>
      <c r="E1722" s="100"/>
      <c r="F1722" s="101"/>
      <c r="G1722" s="99"/>
      <c r="H1722" s="73"/>
      <c r="I1722" s="98"/>
      <c r="J1722" s="99"/>
      <c r="L1722" s="73"/>
      <c r="M1722" s="73"/>
      <c r="N1722" s="73"/>
      <c r="O1722" s="73"/>
      <c r="P1722" s="73"/>
      <c r="Q1722" s="73"/>
      <c r="R1722" s="73"/>
      <c r="S1722" s="73"/>
      <c r="T1722" s="73"/>
      <c r="U1722" s="73"/>
      <c r="V1722" s="73"/>
      <c r="W1722" s="73"/>
      <c r="X1722" s="73"/>
    </row>
    <row r="1723">
      <c r="A1723" s="74"/>
      <c r="B1723" s="74"/>
      <c r="C1723" s="74"/>
      <c r="D1723" s="75"/>
      <c r="E1723" s="100"/>
      <c r="F1723" s="101"/>
      <c r="G1723" s="99"/>
      <c r="H1723" s="73"/>
      <c r="I1723" s="98"/>
      <c r="J1723" s="99"/>
      <c r="L1723" s="73"/>
      <c r="M1723" s="73"/>
      <c r="N1723" s="73"/>
      <c r="O1723" s="73"/>
      <c r="P1723" s="73"/>
      <c r="Q1723" s="73"/>
      <c r="R1723" s="73"/>
      <c r="S1723" s="73"/>
      <c r="T1723" s="73"/>
      <c r="U1723" s="73"/>
      <c r="V1723" s="73"/>
      <c r="W1723" s="73"/>
      <c r="X1723" s="73"/>
    </row>
    <row r="1724">
      <c r="A1724" s="74"/>
      <c r="B1724" s="74"/>
      <c r="C1724" s="74"/>
      <c r="D1724" s="75"/>
      <c r="E1724" s="100"/>
      <c r="F1724" s="101"/>
      <c r="G1724" s="99"/>
      <c r="H1724" s="73"/>
      <c r="I1724" s="98"/>
      <c r="J1724" s="99"/>
      <c r="L1724" s="73"/>
      <c r="M1724" s="73"/>
      <c r="N1724" s="73"/>
      <c r="O1724" s="73"/>
      <c r="P1724" s="73"/>
      <c r="Q1724" s="73"/>
      <c r="R1724" s="73"/>
      <c r="S1724" s="73"/>
      <c r="T1724" s="73"/>
      <c r="U1724" s="73"/>
      <c r="V1724" s="73"/>
      <c r="W1724" s="73"/>
      <c r="X1724" s="73"/>
    </row>
    <row r="1725">
      <c r="A1725" s="74"/>
      <c r="B1725" s="74"/>
      <c r="C1725" s="74"/>
      <c r="D1725" s="75"/>
      <c r="E1725" s="100"/>
      <c r="F1725" s="101"/>
      <c r="G1725" s="99"/>
      <c r="H1725" s="73"/>
      <c r="I1725" s="98"/>
      <c r="J1725" s="99"/>
      <c r="L1725" s="73"/>
      <c r="M1725" s="73"/>
      <c r="N1725" s="73"/>
      <c r="O1725" s="73"/>
      <c r="P1725" s="73"/>
      <c r="Q1725" s="73"/>
      <c r="R1725" s="73"/>
      <c r="S1725" s="73"/>
      <c r="T1725" s="73"/>
      <c r="U1725" s="73"/>
      <c r="V1725" s="73"/>
      <c r="W1725" s="73"/>
      <c r="X1725" s="73"/>
    </row>
    <row r="1726">
      <c r="A1726" s="74"/>
      <c r="B1726" s="74"/>
      <c r="C1726" s="74"/>
      <c r="D1726" s="75"/>
      <c r="E1726" s="100"/>
      <c r="F1726" s="101"/>
      <c r="G1726" s="99"/>
      <c r="H1726" s="73"/>
      <c r="I1726" s="98"/>
      <c r="J1726" s="99"/>
      <c r="L1726" s="73"/>
      <c r="M1726" s="73"/>
      <c r="N1726" s="73"/>
      <c r="O1726" s="73"/>
      <c r="P1726" s="73"/>
      <c r="Q1726" s="73"/>
      <c r="R1726" s="73"/>
      <c r="S1726" s="73"/>
      <c r="T1726" s="73"/>
      <c r="U1726" s="73"/>
      <c r="V1726" s="73"/>
      <c r="W1726" s="73"/>
      <c r="X1726" s="73"/>
    </row>
    <row r="1727">
      <c r="A1727" s="74"/>
      <c r="B1727" s="74"/>
      <c r="C1727" s="74"/>
      <c r="D1727" s="75"/>
      <c r="E1727" s="100"/>
      <c r="F1727" s="101"/>
      <c r="G1727" s="99"/>
      <c r="H1727" s="73"/>
      <c r="I1727" s="98"/>
      <c r="J1727" s="99"/>
      <c r="L1727" s="73"/>
      <c r="M1727" s="73"/>
      <c r="N1727" s="73"/>
      <c r="O1727" s="73"/>
      <c r="P1727" s="73"/>
      <c r="Q1727" s="73"/>
      <c r="R1727" s="73"/>
      <c r="S1727" s="73"/>
      <c r="T1727" s="73"/>
      <c r="U1727" s="73"/>
      <c r="V1727" s="73"/>
      <c r="W1727" s="73"/>
      <c r="X1727" s="73"/>
    </row>
    <row r="1728">
      <c r="A1728" s="74"/>
      <c r="B1728" s="74"/>
      <c r="C1728" s="74"/>
      <c r="D1728" s="75"/>
      <c r="E1728" s="100"/>
      <c r="F1728" s="101"/>
      <c r="G1728" s="99"/>
      <c r="H1728" s="73"/>
      <c r="I1728" s="98"/>
      <c r="J1728" s="99"/>
      <c r="L1728" s="73"/>
      <c r="M1728" s="73"/>
      <c r="N1728" s="73"/>
      <c r="O1728" s="73"/>
      <c r="P1728" s="73"/>
      <c r="Q1728" s="73"/>
      <c r="R1728" s="73"/>
      <c r="S1728" s="73"/>
      <c r="T1728" s="73"/>
      <c r="U1728" s="73"/>
      <c r="V1728" s="73"/>
      <c r="W1728" s="73"/>
      <c r="X1728" s="73"/>
    </row>
    <row r="1729">
      <c r="A1729" s="74"/>
      <c r="B1729" s="74"/>
      <c r="C1729" s="74"/>
      <c r="D1729" s="75"/>
      <c r="E1729" s="100"/>
      <c r="F1729" s="101"/>
      <c r="G1729" s="99"/>
      <c r="H1729" s="73"/>
      <c r="I1729" s="98"/>
      <c r="J1729" s="99"/>
      <c r="L1729" s="73"/>
      <c r="M1729" s="73"/>
      <c r="N1729" s="73"/>
      <c r="O1729" s="73"/>
      <c r="P1729" s="73"/>
      <c r="Q1729" s="73"/>
      <c r="R1729" s="73"/>
      <c r="S1729" s="73"/>
      <c r="T1729" s="73"/>
      <c r="U1729" s="73"/>
      <c r="V1729" s="73"/>
      <c r="W1729" s="73"/>
      <c r="X1729" s="73"/>
    </row>
    <row r="1730">
      <c r="A1730" s="74"/>
      <c r="B1730" s="74"/>
      <c r="C1730" s="74"/>
      <c r="D1730" s="75"/>
      <c r="E1730" s="100"/>
      <c r="F1730" s="101"/>
      <c r="G1730" s="99"/>
      <c r="H1730" s="73"/>
      <c r="I1730" s="98"/>
      <c r="J1730" s="99"/>
      <c r="L1730" s="73"/>
      <c r="M1730" s="73"/>
      <c r="N1730" s="73"/>
      <c r="O1730" s="73"/>
      <c r="P1730" s="73"/>
      <c r="Q1730" s="73"/>
      <c r="R1730" s="73"/>
      <c r="S1730" s="73"/>
      <c r="T1730" s="73"/>
      <c r="U1730" s="73"/>
      <c r="V1730" s="73"/>
      <c r="W1730" s="73"/>
      <c r="X1730" s="73"/>
    </row>
    <row r="1731">
      <c r="A1731" s="74"/>
      <c r="B1731" s="74"/>
      <c r="C1731" s="74"/>
      <c r="D1731" s="75"/>
      <c r="E1731" s="100"/>
      <c r="F1731" s="101"/>
      <c r="G1731" s="99"/>
      <c r="H1731" s="73"/>
      <c r="I1731" s="98"/>
      <c r="J1731" s="99"/>
      <c r="L1731" s="73"/>
      <c r="M1731" s="73"/>
      <c r="N1731" s="73"/>
      <c r="O1731" s="73"/>
      <c r="P1731" s="73"/>
      <c r="Q1731" s="73"/>
      <c r="R1731" s="73"/>
      <c r="S1731" s="73"/>
      <c r="T1731" s="73"/>
      <c r="U1731" s="73"/>
      <c r="V1731" s="73"/>
      <c r="W1731" s="73"/>
      <c r="X1731" s="73"/>
    </row>
    <row r="1732">
      <c r="A1732" s="74"/>
      <c r="B1732" s="74"/>
      <c r="C1732" s="74"/>
      <c r="D1732" s="75"/>
      <c r="E1732" s="100"/>
      <c r="F1732" s="101"/>
      <c r="G1732" s="99"/>
      <c r="H1732" s="73"/>
      <c r="I1732" s="98"/>
      <c r="J1732" s="99"/>
      <c r="L1732" s="73"/>
      <c r="M1732" s="73"/>
      <c r="N1732" s="73"/>
      <c r="O1732" s="73"/>
      <c r="P1732" s="73"/>
      <c r="Q1732" s="73"/>
      <c r="R1732" s="73"/>
      <c r="S1732" s="73"/>
      <c r="T1732" s="73"/>
      <c r="U1732" s="73"/>
      <c r="V1732" s="73"/>
      <c r="W1732" s="73"/>
      <c r="X1732" s="73"/>
    </row>
    <row r="1733">
      <c r="A1733" s="74"/>
      <c r="B1733" s="74"/>
      <c r="C1733" s="74"/>
      <c r="D1733" s="75"/>
      <c r="E1733" s="100"/>
      <c r="F1733" s="101"/>
      <c r="G1733" s="99"/>
      <c r="H1733" s="73"/>
      <c r="I1733" s="98"/>
      <c r="J1733" s="99"/>
      <c r="L1733" s="73"/>
      <c r="M1733" s="73"/>
      <c r="N1733" s="73"/>
      <c r="O1733" s="73"/>
      <c r="P1733" s="73"/>
      <c r="Q1733" s="73"/>
      <c r="R1733" s="73"/>
      <c r="S1733" s="73"/>
      <c r="T1733" s="73"/>
      <c r="U1733" s="73"/>
      <c r="V1733" s="73"/>
      <c r="W1733" s="73"/>
      <c r="X1733" s="73"/>
    </row>
    <row r="1734">
      <c r="A1734" s="74"/>
      <c r="B1734" s="74"/>
      <c r="C1734" s="74"/>
      <c r="D1734" s="75"/>
      <c r="E1734" s="100"/>
      <c r="F1734" s="101"/>
      <c r="G1734" s="99"/>
      <c r="H1734" s="73"/>
      <c r="I1734" s="98"/>
      <c r="J1734" s="99"/>
      <c r="L1734" s="73"/>
      <c r="M1734" s="73"/>
      <c r="N1734" s="73"/>
      <c r="O1734" s="73"/>
      <c r="P1734" s="73"/>
      <c r="Q1734" s="73"/>
      <c r="R1734" s="73"/>
      <c r="S1734" s="73"/>
      <c r="T1734" s="73"/>
      <c r="U1734" s="73"/>
      <c r="V1734" s="73"/>
      <c r="W1734" s="73"/>
      <c r="X1734" s="73"/>
    </row>
    <row r="1735">
      <c r="A1735" s="74"/>
      <c r="B1735" s="74"/>
      <c r="C1735" s="74"/>
      <c r="D1735" s="75"/>
      <c r="E1735" s="100"/>
      <c r="F1735" s="101"/>
      <c r="G1735" s="99"/>
      <c r="H1735" s="73"/>
      <c r="I1735" s="98"/>
      <c r="J1735" s="99"/>
      <c r="L1735" s="73"/>
      <c r="M1735" s="73"/>
      <c r="N1735" s="73"/>
      <c r="O1735" s="73"/>
      <c r="P1735" s="73"/>
      <c r="Q1735" s="73"/>
      <c r="R1735" s="73"/>
      <c r="S1735" s="73"/>
      <c r="T1735" s="73"/>
      <c r="U1735" s="73"/>
      <c r="V1735" s="73"/>
      <c r="W1735" s="73"/>
      <c r="X1735" s="73"/>
    </row>
    <row r="1736">
      <c r="A1736" s="74"/>
      <c r="B1736" s="74"/>
      <c r="C1736" s="74"/>
      <c r="D1736" s="75"/>
      <c r="E1736" s="100"/>
      <c r="F1736" s="101"/>
      <c r="G1736" s="99"/>
      <c r="H1736" s="73"/>
      <c r="I1736" s="98"/>
      <c r="J1736" s="99"/>
      <c r="L1736" s="73"/>
      <c r="M1736" s="73"/>
      <c r="N1736" s="73"/>
      <c r="O1736" s="73"/>
      <c r="P1736" s="73"/>
      <c r="Q1736" s="73"/>
      <c r="R1736" s="73"/>
      <c r="S1736" s="73"/>
      <c r="T1736" s="73"/>
      <c r="U1736" s="73"/>
      <c r="V1736" s="73"/>
      <c r="W1736" s="73"/>
      <c r="X1736" s="73"/>
    </row>
    <row r="1737">
      <c r="A1737" s="74"/>
      <c r="B1737" s="74"/>
      <c r="C1737" s="74"/>
      <c r="D1737" s="75"/>
      <c r="E1737" s="100"/>
      <c r="F1737" s="101"/>
      <c r="G1737" s="99"/>
      <c r="H1737" s="73"/>
      <c r="I1737" s="98"/>
      <c r="J1737" s="99"/>
      <c r="L1737" s="73"/>
      <c r="M1737" s="73"/>
      <c r="N1737" s="73"/>
      <c r="O1737" s="73"/>
      <c r="P1737" s="73"/>
      <c r="Q1737" s="73"/>
      <c r="R1737" s="73"/>
      <c r="S1737" s="73"/>
      <c r="T1737" s="73"/>
      <c r="U1737" s="73"/>
      <c r="V1737" s="73"/>
      <c r="W1737" s="73"/>
      <c r="X1737" s="73"/>
    </row>
    <row r="1738">
      <c r="A1738" s="74"/>
      <c r="B1738" s="74"/>
      <c r="C1738" s="74"/>
      <c r="D1738" s="75"/>
      <c r="E1738" s="100"/>
      <c r="F1738" s="101"/>
      <c r="G1738" s="99"/>
      <c r="H1738" s="73"/>
      <c r="I1738" s="98"/>
      <c r="J1738" s="99"/>
      <c r="L1738" s="73"/>
      <c r="M1738" s="73"/>
      <c r="N1738" s="73"/>
      <c r="O1738" s="73"/>
      <c r="P1738" s="73"/>
      <c r="Q1738" s="73"/>
      <c r="R1738" s="73"/>
      <c r="S1738" s="73"/>
      <c r="T1738" s="73"/>
      <c r="U1738" s="73"/>
      <c r="V1738" s="73"/>
      <c r="W1738" s="73"/>
      <c r="X1738" s="73"/>
    </row>
    <row r="1739">
      <c r="A1739" s="74"/>
      <c r="B1739" s="74"/>
      <c r="C1739" s="74"/>
      <c r="D1739" s="75"/>
      <c r="E1739" s="100"/>
      <c r="F1739" s="101"/>
      <c r="G1739" s="99"/>
      <c r="H1739" s="73"/>
      <c r="I1739" s="98"/>
      <c r="J1739" s="99"/>
      <c r="L1739" s="73"/>
      <c r="M1739" s="73"/>
      <c r="N1739" s="73"/>
      <c r="O1739" s="73"/>
      <c r="P1739" s="73"/>
      <c r="Q1739" s="73"/>
      <c r="R1739" s="73"/>
      <c r="S1739" s="73"/>
      <c r="T1739" s="73"/>
      <c r="U1739" s="73"/>
      <c r="V1739" s="73"/>
      <c r="W1739" s="73"/>
      <c r="X1739" s="73"/>
    </row>
    <row r="1740">
      <c r="A1740" s="74"/>
      <c r="B1740" s="74"/>
      <c r="C1740" s="74"/>
      <c r="D1740" s="75"/>
      <c r="E1740" s="100"/>
      <c r="F1740" s="101"/>
      <c r="G1740" s="99"/>
      <c r="H1740" s="73"/>
      <c r="I1740" s="98"/>
      <c r="J1740" s="99"/>
      <c r="L1740" s="73"/>
      <c r="M1740" s="73"/>
      <c r="N1740" s="73"/>
      <c r="O1740" s="73"/>
      <c r="P1740" s="73"/>
      <c r="Q1740" s="73"/>
      <c r="R1740" s="73"/>
      <c r="S1740" s="73"/>
      <c r="T1740" s="73"/>
      <c r="U1740" s="73"/>
      <c r="V1740" s="73"/>
      <c r="W1740" s="73"/>
      <c r="X1740" s="73"/>
    </row>
    <row r="1741">
      <c r="A1741" s="74"/>
      <c r="B1741" s="74"/>
      <c r="C1741" s="74"/>
      <c r="D1741" s="75"/>
      <c r="E1741" s="100"/>
      <c r="F1741" s="101"/>
      <c r="G1741" s="99"/>
      <c r="H1741" s="73"/>
      <c r="I1741" s="98"/>
      <c r="J1741" s="99"/>
      <c r="L1741" s="73"/>
      <c r="M1741" s="73"/>
      <c r="N1741" s="73"/>
      <c r="O1741" s="73"/>
      <c r="P1741" s="73"/>
      <c r="Q1741" s="73"/>
      <c r="R1741" s="73"/>
      <c r="S1741" s="73"/>
      <c r="T1741" s="73"/>
      <c r="U1741" s="73"/>
      <c r="V1741" s="73"/>
      <c r="W1741" s="73"/>
      <c r="X1741" s="73"/>
    </row>
    <row r="1742">
      <c r="A1742" s="74"/>
      <c r="B1742" s="74"/>
      <c r="C1742" s="74"/>
      <c r="D1742" s="75"/>
      <c r="E1742" s="100"/>
      <c r="F1742" s="101"/>
      <c r="G1742" s="99"/>
      <c r="H1742" s="73"/>
      <c r="I1742" s="98"/>
      <c r="J1742" s="99"/>
      <c r="L1742" s="73"/>
      <c r="M1742" s="73"/>
      <c r="N1742" s="73"/>
      <c r="O1742" s="73"/>
      <c r="P1742" s="73"/>
      <c r="Q1742" s="73"/>
      <c r="R1742" s="73"/>
      <c r="S1742" s="73"/>
      <c r="T1742" s="73"/>
      <c r="U1742" s="73"/>
      <c r="V1742" s="73"/>
      <c r="W1742" s="73"/>
      <c r="X1742" s="73"/>
    </row>
    <row r="1743">
      <c r="A1743" s="74"/>
      <c r="B1743" s="74"/>
      <c r="C1743" s="74"/>
      <c r="D1743" s="75"/>
      <c r="E1743" s="100"/>
      <c r="F1743" s="101"/>
      <c r="G1743" s="99"/>
      <c r="H1743" s="73"/>
      <c r="I1743" s="98"/>
      <c r="J1743" s="99"/>
      <c r="L1743" s="73"/>
      <c r="M1743" s="73"/>
      <c r="N1743" s="73"/>
      <c r="O1743" s="73"/>
      <c r="P1743" s="73"/>
      <c r="Q1743" s="73"/>
      <c r="R1743" s="73"/>
      <c r="S1743" s="73"/>
      <c r="T1743" s="73"/>
      <c r="U1743" s="73"/>
      <c r="V1743" s="73"/>
      <c r="W1743" s="73"/>
      <c r="X1743" s="73"/>
    </row>
    <row r="1744">
      <c r="A1744" s="74"/>
      <c r="B1744" s="74"/>
      <c r="C1744" s="74"/>
      <c r="D1744" s="75"/>
      <c r="E1744" s="100"/>
      <c r="F1744" s="101"/>
      <c r="G1744" s="99"/>
      <c r="H1744" s="73"/>
      <c r="I1744" s="98"/>
      <c r="J1744" s="99"/>
      <c r="L1744" s="73"/>
      <c r="M1744" s="73"/>
      <c r="N1744" s="73"/>
      <c r="O1744" s="73"/>
      <c r="P1744" s="73"/>
      <c r="Q1744" s="73"/>
      <c r="R1744" s="73"/>
      <c r="S1744" s="73"/>
      <c r="T1744" s="73"/>
      <c r="U1744" s="73"/>
      <c r="V1744" s="73"/>
      <c r="W1744" s="73"/>
      <c r="X1744" s="73"/>
    </row>
    <row r="1745">
      <c r="A1745" s="74"/>
      <c r="B1745" s="74"/>
      <c r="C1745" s="74"/>
      <c r="D1745" s="75"/>
      <c r="E1745" s="100"/>
      <c r="F1745" s="101"/>
      <c r="G1745" s="99"/>
      <c r="H1745" s="73"/>
      <c r="I1745" s="98"/>
      <c r="J1745" s="99"/>
      <c r="L1745" s="73"/>
      <c r="M1745" s="73"/>
      <c r="N1745" s="73"/>
      <c r="O1745" s="73"/>
      <c r="P1745" s="73"/>
      <c r="Q1745" s="73"/>
      <c r="R1745" s="73"/>
      <c r="S1745" s="73"/>
      <c r="T1745" s="73"/>
      <c r="U1745" s="73"/>
      <c r="V1745" s="73"/>
      <c r="W1745" s="73"/>
      <c r="X1745" s="73"/>
    </row>
    <row r="1746">
      <c r="A1746" s="74"/>
      <c r="B1746" s="74"/>
      <c r="C1746" s="74"/>
      <c r="D1746" s="75"/>
      <c r="E1746" s="100"/>
      <c r="F1746" s="101"/>
      <c r="G1746" s="99"/>
      <c r="H1746" s="73"/>
      <c r="I1746" s="98"/>
      <c r="J1746" s="99"/>
      <c r="L1746" s="73"/>
      <c r="M1746" s="73"/>
      <c r="N1746" s="73"/>
      <c r="O1746" s="73"/>
      <c r="P1746" s="73"/>
      <c r="Q1746" s="73"/>
      <c r="R1746" s="73"/>
      <c r="S1746" s="73"/>
      <c r="T1746" s="73"/>
      <c r="U1746" s="73"/>
      <c r="V1746" s="73"/>
      <c r="W1746" s="73"/>
      <c r="X1746" s="73"/>
    </row>
    <row r="1747">
      <c r="A1747" s="74"/>
      <c r="B1747" s="74"/>
      <c r="C1747" s="74"/>
      <c r="D1747" s="75"/>
      <c r="E1747" s="100"/>
      <c r="F1747" s="101"/>
      <c r="G1747" s="99"/>
      <c r="H1747" s="73"/>
      <c r="I1747" s="98"/>
      <c r="J1747" s="99"/>
      <c r="L1747" s="73"/>
      <c r="M1747" s="73"/>
      <c r="N1747" s="73"/>
      <c r="O1747" s="73"/>
      <c r="P1747" s="73"/>
      <c r="Q1747" s="73"/>
      <c r="R1747" s="73"/>
      <c r="S1747" s="73"/>
      <c r="T1747" s="73"/>
      <c r="U1747" s="73"/>
      <c r="V1747" s="73"/>
      <c r="W1747" s="73"/>
      <c r="X1747" s="73"/>
    </row>
    <row r="1748">
      <c r="A1748" s="74"/>
      <c r="B1748" s="74"/>
      <c r="C1748" s="74"/>
      <c r="D1748" s="75"/>
      <c r="E1748" s="100"/>
      <c r="F1748" s="101"/>
      <c r="G1748" s="99"/>
      <c r="H1748" s="73"/>
      <c r="I1748" s="98"/>
      <c r="J1748" s="99"/>
      <c r="L1748" s="73"/>
      <c r="M1748" s="73"/>
      <c r="N1748" s="73"/>
      <c r="O1748" s="73"/>
      <c r="P1748" s="73"/>
      <c r="Q1748" s="73"/>
      <c r="R1748" s="73"/>
      <c r="S1748" s="73"/>
      <c r="T1748" s="73"/>
      <c r="U1748" s="73"/>
      <c r="V1748" s="73"/>
      <c r="W1748" s="73"/>
      <c r="X1748" s="73"/>
    </row>
    <row r="1749">
      <c r="A1749" s="74"/>
      <c r="B1749" s="74"/>
      <c r="C1749" s="74"/>
      <c r="D1749" s="75"/>
      <c r="E1749" s="100"/>
      <c r="F1749" s="101"/>
      <c r="G1749" s="99"/>
      <c r="H1749" s="73"/>
      <c r="I1749" s="98"/>
      <c r="J1749" s="99"/>
      <c r="L1749" s="73"/>
      <c r="M1749" s="73"/>
      <c r="N1749" s="73"/>
      <c r="O1749" s="73"/>
      <c r="P1749" s="73"/>
      <c r="Q1749" s="73"/>
      <c r="R1749" s="73"/>
      <c r="S1749" s="73"/>
      <c r="T1749" s="73"/>
      <c r="U1749" s="73"/>
      <c r="V1749" s="73"/>
      <c r="W1749" s="73"/>
      <c r="X1749" s="73"/>
    </row>
    <row r="1750">
      <c r="A1750" s="74"/>
      <c r="B1750" s="74"/>
      <c r="C1750" s="74"/>
      <c r="D1750" s="75"/>
      <c r="E1750" s="100"/>
      <c r="F1750" s="101"/>
      <c r="G1750" s="99"/>
      <c r="H1750" s="73"/>
      <c r="I1750" s="98"/>
      <c r="J1750" s="99"/>
      <c r="L1750" s="73"/>
      <c r="M1750" s="73"/>
      <c r="N1750" s="73"/>
      <c r="O1750" s="73"/>
      <c r="P1750" s="73"/>
      <c r="Q1750" s="73"/>
      <c r="R1750" s="73"/>
      <c r="S1750" s="73"/>
      <c r="T1750" s="73"/>
      <c r="U1750" s="73"/>
      <c r="V1750" s="73"/>
      <c r="W1750" s="73"/>
      <c r="X1750" s="73"/>
    </row>
    <row r="1751">
      <c r="A1751" s="74"/>
      <c r="B1751" s="74"/>
      <c r="C1751" s="74"/>
      <c r="D1751" s="75"/>
      <c r="E1751" s="100"/>
      <c r="F1751" s="101"/>
      <c r="G1751" s="99"/>
      <c r="H1751" s="73"/>
      <c r="I1751" s="98"/>
      <c r="J1751" s="99"/>
      <c r="L1751" s="73"/>
      <c r="M1751" s="73"/>
      <c r="N1751" s="73"/>
      <c r="O1751" s="73"/>
      <c r="P1751" s="73"/>
      <c r="Q1751" s="73"/>
      <c r="R1751" s="73"/>
      <c r="S1751" s="73"/>
      <c r="T1751" s="73"/>
      <c r="U1751" s="73"/>
      <c r="V1751" s="73"/>
      <c r="W1751" s="73"/>
      <c r="X1751" s="73"/>
    </row>
    <row r="1752">
      <c r="A1752" s="74"/>
      <c r="B1752" s="74"/>
      <c r="C1752" s="74"/>
      <c r="D1752" s="75"/>
      <c r="E1752" s="100"/>
      <c r="F1752" s="101"/>
      <c r="G1752" s="99"/>
      <c r="H1752" s="73"/>
      <c r="I1752" s="98"/>
      <c r="J1752" s="99"/>
      <c r="L1752" s="73"/>
      <c r="M1752" s="73"/>
      <c r="N1752" s="73"/>
      <c r="O1752" s="73"/>
      <c r="P1752" s="73"/>
      <c r="Q1752" s="73"/>
      <c r="R1752" s="73"/>
      <c r="S1752" s="73"/>
      <c r="T1752" s="73"/>
      <c r="U1752" s="73"/>
      <c r="V1752" s="73"/>
      <c r="W1752" s="73"/>
      <c r="X1752" s="73"/>
    </row>
    <row r="1753">
      <c r="A1753" s="74"/>
      <c r="B1753" s="74"/>
      <c r="C1753" s="74"/>
      <c r="D1753" s="75"/>
      <c r="E1753" s="100"/>
      <c r="F1753" s="101"/>
      <c r="G1753" s="99"/>
      <c r="H1753" s="73"/>
      <c r="I1753" s="98"/>
      <c r="J1753" s="99"/>
      <c r="L1753" s="73"/>
      <c r="M1753" s="73"/>
      <c r="N1753" s="73"/>
      <c r="O1753" s="73"/>
      <c r="P1753" s="73"/>
      <c r="Q1753" s="73"/>
      <c r="R1753" s="73"/>
      <c r="S1753" s="73"/>
      <c r="T1753" s="73"/>
      <c r="U1753" s="73"/>
      <c r="V1753" s="73"/>
      <c r="W1753" s="73"/>
      <c r="X1753" s="73"/>
    </row>
    <row r="1754">
      <c r="A1754" s="74"/>
      <c r="B1754" s="74"/>
      <c r="C1754" s="74"/>
      <c r="D1754" s="75"/>
      <c r="E1754" s="100"/>
      <c r="F1754" s="101"/>
      <c r="G1754" s="99"/>
      <c r="H1754" s="73"/>
      <c r="I1754" s="98"/>
      <c r="J1754" s="99"/>
      <c r="L1754" s="73"/>
      <c r="M1754" s="73"/>
      <c r="N1754" s="73"/>
      <c r="O1754" s="73"/>
      <c r="P1754" s="73"/>
      <c r="Q1754" s="73"/>
      <c r="R1754" s="73"/>
      <c r="S1754" s="73"/>
      <c r="T1754" s="73"/>
      <c r="U1754" s="73"/>
      <c r="V1754" s="73"/>
      <c r="W1754" s="73"/>
      <c r="X1754" s="73"/>
    </row>
    <row r="1755">
      <c r="A1755" s="74"/>
      <c r="B1755" s="74"/>
      <c r="C1755" s="74"/>
      <c r="D1755" s="75"/>
      <c r="E1755" s="100"/>
      <c r="F1755" s="101"/>
      <c r="G1755" s="99"/>
      <c r="H1755" s="73"/>
      <c r="I1755" s="98"/>
      <c r="J1755" s="99"/>
      <c r="L1755" s="73"/>
      <c r="M1755" s="73"/>
      <c r="N1755" s="73"/>
      <c r="O1755" s="73"/>
      <c r="P1755" s="73"/>
      <c r="Q1755" s="73"/>
      <c r="R1755" s="73"/>
      <c r="S1755" s="73"/>
      <c r="T1755" s="73"/>
      <c r="U1755" s="73"/>
      <c r="V1755" s="73"/>
      <c r="W1755" s="73"/>
      <c r="X1755" s="73"/>
    </row>
    <row r="1756">
      <c r="A1756" s="74"/>
      <c r="B1756" s="74"/>
      <c r="C1756" s="74"/>
      <c r="D1756" s="75"/>
      <c r="E1756" s="100"/>
      <c r="F1756" s="101"/>
      <c r="G1756" s="99"/>
      <c r="H1756" s="73"/>
      <c r="I1756" s="98"/>
      <c r="J1756" s="99"/>
      <c r="L1756" s="73"/>
      <c r="M1756" s="73"/>
      <c r="N1756" s="73"/>
      <c r="O1756" s="73"/>
      <c r="P1756" s="73"/>
      <c r="Q1756" s="73"/>
      <c r="R1756" s="73"/>
      <c r="S1756" s="73"/>
      <c r="T1756" s="73"/>
      <c r="U1756" s="73"/>
      <c r="V1756" s="73"/>
      <c r="W1756" s="73"/>
      <c r="X1756" s="73"/>
    </row>
    <row r="1757">
      <c r="A1757" s="74"/>
      <c r="B1757" s="74"/>
      <c r="C1757" s="74"/>
      <c r="D1757" s="75"/>
      <c r="E1757" s="100"/>
      <c r="F1757" s="101"/>
      <c r="G1757" s="99"/>
      <c r="H1757" s="73"/>
      <c r="I1757" s="98"/>
      <c r="J1757" s="99"/>
      <c r="L1757" s="73"/>
      <c r="M1757" s="73"/>
      <c r="N1757" s="73"/>
      <c r="O1757" s="73"/>
      <c r="P1757" s="73"/>
      <c r="Q1757" s="73"/>
      <c r="R1757" s="73"/>
      <c r="S1757" s="73"/>
      <c r="T1757" s="73"/>
      <c r="U1757" s="73"/>
      <c r="V1757" s="73"/>
      <c r="W1757" s="73"/>
      <c r="X1757" s="73"/>
    </row>
    <row r="1758">
      <c r="A1758" s="74"/>
      <c r="B1758" s="74"/>
      <c r="C1758" s="74"/>
      <c r="D1758" s="75"/>
      <c r="E1758" s="100"/>
      <c r="F1758" s="101"/>
      <c r="G1758" s="99"/>
      <c r="H1758" s="73"/>
      <c r="I1758" s="98"/>
      <c r="J1758" s="99"/>
      <c r="L1758" s="73"/>
      <c r="M1758" s="73"/>
      <c r="N1758" s="73"/>
      <c r="O1758" s="73"/>
      <c r="P1758" s="73"/>
      <c r="Q1758" s="73"/>
      <c r="R1758" s="73"/>
      <c r="S1758" s="73"/>
      <c r="T1758" s="73"/>
      <c r="U1758" s="73"/>
      <c r="V1758" s="73"/>
      <c r="W1758" s="73"/>
      <c r="X1758" s="73"/>
    </row>
    <row r="1759">
      <c r="A1759" s="74"/>
      <c r="B1759" s="74"/>
      <c r="C1759" s="74"/>
      <c r="D1759" s="75"/>
      <c r="E1759" s="100"/>
      <c r="F1759" s="101"/>
      <c r="G1759" s="99"/>
      <c r="H1759" s="73"/>
      <c r="I1759" s="98"/>
      <c r="J1759" s="99"/>
      <c r="L1759" s="73"/>
      <c r="M1759" s="73"/>
      <c r="N1759" s="73"/>
      <c r="O1759" s="73"/>
      <c r="P1759" s="73"/>
      <c r="Q1759" s="73"/>
      <c r="R1759" s="73"/>
      <c r="S1759" s="73"/>
      <c r="T1759" s="73"/>
      <c r="U1759" s="73"/>
      <c r="V1759" s="73"/>
      <c r="W1759" s="73"/>
      <c r="X1759" s="73"/>
    </row>
    <row r="1760">
      <c r="A1760" s="74"/>
      <c r="B1760" s="74"/>
      <c r="C1760" s="74"/>
      <c r="D1760" s="75"/>
      <c r="E1760" s="100"/>
      <c r="F1760" s="101"/>
      <c r="G1760" s="99"/>
      <c r="H1760" s="73"/>
      <c r="I1760" s="98"/>
      <c r="J1760" s="99"/>
      <c r="L1760" s="73"/>
      <c r="M1760" s="73"/>
      <c r="N1760" s="73"/>
      <c r="O1760" s="73"/>
      <c r="P1760" s="73"/>
      <c r="Q1760" s="73"/>
      <c r="R1760" s="73"/>
      <c r="S1760" s="73"/>
      <c r="T1760" s="73"/>
      <c r="U1760" s="73"/>
      <c r="V1760" s="73"/>
      <c r="W1760" s="73"/>
      <c r="X1760" s="73"/>
    </row>
    <row r="1761">
      <c r="A1761" s="74"/>
      <c r="B1761" s="74"/>
      <c r="C1761" s="74"/>
      <c r="D1761" s="75"/>
      <c r="E1761" s="100"/>
      <c r="F1761" s="101"/>
      <c r="G1761" s="99"/>
      <c r="H1761" s="73"/>
      <c r="I1761" s="98"/>
      <c r="J1761" s="99"/>
      <c r="L1761" s="73"/>
      <c r="M1761" s="73"/>
      <c r="N1761" s="73"/>
      <c r="O1761" s="73"/>
      <c r="P1761" s="73"/>
      <c r="Q1761" s="73"/>
      <c r="R1761" s="73"/>
      <c r="S1761" s="73"/>
      <c r="T1761" s="73"/>
      <c r="U1761" s="73"/>
      <c r="V1761" s="73"/>
      <c r="W1761" s="73"/>
      <c r="X1761" s="73"/>
    </row>
    <row r="1762">
      <c r="A1762" s="74"/>
      <c r="B1762" s="74"/>
      <c r="C1762" s="74"/>
      <c r="D1762" s="75"/>
      <c r="E1762" s="100"/>
      <c r="F1762" s="101"/>
      <c r="G1762" s="99"/>
      <c r="H1762" s="73"/>
      <c r="I1762" s="98"/>
      <c r="J1762" s="99"/>
      <c r="L1762" s="73"/>
      <c r="M1762" s="73"/>
      <c r="N1762" s="73"/>
      <c r="O1762" s="73"/>
      <c r="P1762" s="73"/>
      <c r="Q1762" s="73"/>
      <c r="R1762" s="73"/>
      <c r="S1762" s="73"/>
      <c r="T1762" s="73"/>
      <c r="U1762" s="73"/>
      <c r="V1762" s="73"/>
      <c r="W1762" s="73"/>
      <c r="X1762" s="73"/>
    </row>
    <row r="1763">
      <c r="A1763" s="74"/>
      <c r="B1763" s="74"/>
      <c r="C1763" s="74"/>
      <c r="D1763" s="75"/>
      <c r="E1763" s="100"/>
      <c r="F1763" s="101"/>
      <c r="G1763" s="99"/>
      <c r="H1763" s="73"/>
      <c r="I1763" s="98"/>
      <c r="J1763" s="99"/>
      <c r="L1763" s="73"/>
      <c r="M1763" s="73"/>
      <c r="N1763" s="73"/>
      <c r="O1763" s="73"/>
      <c r="P1763" s="73"/>
      <c r="Q1763" s="73"/>
      <c r="R1763" s="73"/>
      <c r="S1763" s="73"/>
      <c r="T1763" s="73"/>
      <c r="U1763" s="73"/>
      <c r="V1763" s="73"/>
      <c r="W1763" s="73"/>
      <c r="X1763" s="73"/>
    </row>
    <row r="1764">
      <c r="A1764" s="74"/>
      <c r="B1764" s="74"/>
      <c r="C1764" s="74"/>
      <c r="D1764" s="75"/>
      <c r="E1764" s="100"/>
      <c r="F1764" s="101"/>
      <c r="G1764" s="99"/>
      <c r="H1764" s="73"/>
      <c r="I1764" s="98"/>
      <c r="J1764" s="99"/>
      <c r="L1764" s="73"/>
      <c r="M1764" s="73"/>
      <c r="N1764" s="73"/>
      <c r="O1764" s="73"/>
      <c r="P1764" s="73"/>
      <c r="Q1764" s="73"/>
      <c r="R1764" s="73"/>
      <c r="S1764" s="73"/>
      <c r="T1764" s="73"/>
      <c r="U1764" s="73"/>
      <c r="V1764" s="73"/>
      <c r="W1764" s="73"/>
      <c r="X1764" s="73"/>
    </row>
    <row r="1765">
      <c r="A1765" s="74"/>
      <c r="B1765" s="74"/>
      <c r="C1765" s="74"/>
      <c r="D1765" s="75"/>
      <c r="E1765" s="100"/>
      <c r="F1765" s="101"/>
      <c r="G1765" s="99"/>
      <c r="H1765" s="73"/>
      <c r="I1765" s="98"/>
      <c r="J1765" s="99"/>
      <c r="L1765" s="73"/>
      <c r="M1765" s="73"/>
      <c r="N1765" s="73"/>
      <c r="O1765" s="73"/>
      <c r="P1765" s="73"/>
      <c r="Q1765" s="73"/>
      <c r="R1765" s="73"/>
      <c r="S1765" s="73"/>
      <c r="T1765" s="73"/>
      <c r="U1765" s="73"/>
      <c r="V1765" s="73"/>
      <c r="W1765" s="73"/>
      <c r="X1765" s="73"/>
    </row>
    <row r="1766">
      <c r="A1766" s="74"/>
      <c r="B1766" s="74"/>
      <c r="C1766" s="74"/>
      <c r="D1766" s="75"/>
      <c r="E1766" s="100"/>
      <c r="F1766" s="101"/>
      <c r="G1766" s="99"/>
      <c r="H1766" s="73"/>
      <c r="I1766" s="98"/>
      <c r="J1766" s="99"/>
      <c r="L1766" s="73"/>
      <c r="M1766" s="73"/>
      <c r="N1766" s="73"/>
      <c r="O1766" s="73"/>
      <c r="P1766" s="73"/>
      <c r="Q1766" s="73"/>
      <c r="R1766" s="73"/>
      <c r="S1766" s="73"/>
      <c r="T1766" s="73"/>
      <c r="U1766" s="73"/>
      <c r="V1766" s="73"/>
      <c r="W1766" s="73"/>
      <c r="X1766" s="73"/>
    </row>
    <row r="1767">
      <c r="A1767" s="74"/>
      <c r="B1767" s="74"/>
      <c r="C1767" s="74"/>
      <c r="D1767" s="75"/>
      <c r="E1767" s="100"/>
      <c r="F1767" s="101"/>
      <c r="G1767" s="99"/>
      <c r="H1767" s="73"/>
      <c r="I1767" s="98"/>
      <c r="J1767" s="99"/>
      <c r="L1767" s="73"/>
      <c r="M1767" s="73"/>
      <c r="N1767" s="73"/>
      <c r="O1767" s="73"/>
      <c r="P1767" s="73"/>
      <c r="Q1767" s="73"/>
      <c r="R1767" s="73"/>
      <c r="S1767" s="73"/>
      <c r="T1767" s="73"/>
      <c r="U1767" s="73"/>
      <c r="V1767" s="73"/>
      <c r="W1767" s="73"/>
      <c r="X1767" s="73"/>
    </row>
    <row r="1768">
      <c r="A1768" s="74"/>
      <c r="B1768" s="74"/>
      <c r="C1768" s="74"/>
      <c r="D1768" s="75"/>
      <c r="E1768" s="100"/>
      <c r="F1768" s="101"/>
      <c r="G1768" s="99"/>
      <c r="H1768" s="73"/>
      <c r="I1768" s="98"/>
      <c r="J1768" s="99"/>
      <c r="L1768" s="73"/>
      <c r="M1768" s="73"/>
      <c r="N1768" s="73"/>
      <c r="O1768" s="73"/>
      <c r="P1768" s="73"/>
      <c r="Q1768" s="73"/>
      <c r="R1768" s="73"/>
      <c r="S1768" s="73"/>
      <c r="T1768" s="73"/>
      <c r="U1768" s="73"/>
      <c r="V1768" s="73"/>
      <c r="W1768" s="73"/>
      <c r="X1768" s="73"/>
    </row>
    <row r="1769">
      <c r="A1769" s="74"/>
      <c r="B1769" s="74"/>
      <c r="C1769" s="74"/>
      <c r="D1769" s="75"/>
      <c r="E1769" s="100"/>
      <c r="F1769" s="101"/>
      <c r="G1769" s="99"/>
      <c r="H1769" s="73"/>
      <c r="I1769" s="98"/>
      <c r="J1769" s="99"/>
      <c r="L1769" s="73"/>
      <c r="M1769" s="73"/>
      <c r="N1769" s="73"/>
      <c r="O1769" s="73"/>
      <c r="P1769" s="73"/>
      <c r="Q1769" s="73"/>
      <c r="R1769" s="73"/>
      <c r="S1769" s="73"/>
      <c r="T1769" s="73"/>
      <c r="U1769" s="73"/>
      <c r="V1769" s="73"/>
      <c r="W1769" s="73"/>
      <c r="X1769" s="73"/>
    </row>
    <row r="1770">
      <c r="A1770" s="74"/>
      <c r="B1770" s="74"/>
      <c r="C1770" s="74"/>
      <c r="D1770" s="75"/>
      <c r="E1770" s="100"/>
      <c r="F1770" s="101"/>
      <c r="G1770" s="99"/>
      <c r="H1770" s="73"/>
      <c r="I1770" s="98"/>
      <c r="J1770" s="99"/>
      <c r="L1770" s="73"/>
      <c r="M1770" s="73"/>
      <c r="N1770" s="73"/>
      <c r="O1770" s="73"/>
      <c r="P1770" s="73"/>
      <c r="Q1770" s="73"/>
      <c r="R1770" s="73"/>
      <c r="S1770" s="73"/>
      <c r="T1770" s="73"/>
      <c r="U1770" s="73"/>
      <c r="V1770" s="73"/>
      <c r="W1770" s="73"/>
      <c r="X1770" s="73"/>
    </row>
    <row r="1771">
      <c r="A1771" s="74"/>
      <c r="B1771" s="74"/>
      <c r="C1771" s="74"/>
      <c r="D1771" s="75"/>
      <c r="E1771" s="100"/>
      <c r="F1771" s="101"/>
      <c r="G1771" s="99"/>
      <c r="H1771" s="73"/>
      <c r="I1771" s="98"/>
      <c r="J1771" s="99"/>
      <c r="L1771" s="73"/>
      <c r="M1771" s="73"/>
      <c r="N1771" s="73"/>
      <c r="O1771" s="73"/>
      <c r="P1771" s="73"/>
      <c r="Q1771" s="73"/>
      <c r="R1771" s="73"/>
      <c r="S1771" s="73"/>
      <c r="T1771" s="73"/>
      <c r="U1771" s="73"/>
      <c r="V1771" s="73"/>
      <c r="W1771" s="73"/>
      <c r="X1771" s="73"/>
    </row>
    <row r="1772">
      <c r="A1772" s="74"/>
      <c r="B1772" s="74"/>
      <c r="C1772" s="74"/>
      <c r="D1772" s="75"/>
      <c r="E1772" s="100"/>
      <c r="F1772" s="101"/>
      <c r="G1772" s="99"/>
      <c r="H1772" s="73"/>
      <c r="I1772" s="98"/>
      <c r="J1772" s="99"/>
      <c r="L1772" s="73"/>
      <c r="M1772" s="73"/>
      <c r="N1772" s="73"/>
      <c r="O1772" s="73"/>
      <c r="P1772" s="73"/>
      <c r="Q1772" s="73"/>
      <c r="R1772" s="73"/>
      <c r="S1772" s="73"/>
      <c r="T1772" s="73"/>
      <c r="U1772" s="73"/>
      <c r="V1772" s="73"/>
      <c r="W1772" s="73"/>
      <c r="X1772" s="73"/>
    </row>
    <row r="1773">
      <c r="A1773" s="74"/>
      <c r="B1773" s="74"/>
      <c r="C1773" s="74"/>
      <c r="D1773" s="75"/>
      <c r="E1773" s="100"/>
      <c r="F1773" s="101"/>
      <c r="G1773" s="99"/>
      <c r="H1773" s="73"/>
      <c r="I1773" s="98"/>
      <c r="J1773" s="99"/>
      <c r="L1773" s="73"/>
      <c r="M1773" s="73"/>
      <c r="N1773" s="73"/>
      <c r="O1773" s="73"/>
      <c r="P1773" s="73"/>
      <c r="Q1773" s="73"/>
      <c r="R1773" s="73"/>
      <c r="S1773" s="73"/>
      <c r="T1773" s="73"/>
      <c r="U1773" s="73"/>
      <c r="V1773" s="73"/>
      <c r="W1773" s="73"/>
      <c r="X1773" s="73"/>
    </row>
    <row r="1774">
      <c r="A1774" s="74"/>
      <c r="B1774" s="74"/>
      <c r="C1774" s="74"/>
      <c r="D1774" s="75"/>
      <c r="E1774" s="100"/>
      <c r="F1774" s="101"/>
      <c r="G1774" s="99"/>
      <c r="H1774" s="73"/>
      <c r="I1774" s="98"/>
      <c r="J1774" s="99"/>
      <c r="L1774" s="73"/>
      <c r="M1774" s="73"/>
      <c r="N1774" s="73"/>
      <c r="O1774" s="73"/>
      <c r="P1774" s="73"/>
      <c r="Q1774" s="73"/>
      <c r="R1774" s="73"/>
      <c r="S1774" s="73"/>
      <c r="T1774" s="73"/>
      <c r="U1774" s="73"/>
      <c r="V1774" s="73"/>
      <c r="W1774" s="73"/>
      <c r="X1774" s="73"/>
    </row>
    <row r="1775">
      <c r="A1775" s="74"/>
      <c r="B1775" s="74"/>
      <c r="C1775" s="74"/>
      <c r="D1775" s="75"/>
      <c r="E1775" s="100"/>
      <c r="F1775" s="101"/>
      <c r="G1775" s="99"/>
      <c r="H1775" s="73"/>
      <c r="I1775" s="98"/>
      <c r="J1775" s="99"/>
      <c r="L1775" s="73"/>
      <c r="M1775" s="73"/>
      <c r="N1775" s="73"/>
      <c r="O1775" s="73"/>
      <c r="P1775" s="73"/>
      <c r="Q1775" s="73"/>
      <c r="R1775" s="73"/>
      <c r="S1775" s="73"/>
      <c r="T1775" s="73"/>
      <c r="U1775" s="73"/>
      <c r="V1775" s="73"/>
      <c r="W1775" s="73"/>
      <c r="X1775" s="73"/>
    </row>
    <row r="1776">
      <c r="A1776" s="74"/>
      <c r="B1776" s="74"/>
      <c r="C1776" s="74"/>
      <c r="D1776" s="75"/>
      <c r="E1776" s="100"/>
      <c r="F1776" s="101"/>
      <c r="G1776" s="99"/>
      <c r="H1776" s="73"/>
      <c r="I1776" s="98"/>
      <c r="J1776" s="99"/>
      <c r="L1776" s="73"/>
      <c r="M1776" s="73"/>
      <c r="N1776" s="73"/>
      <c r="O1776" s="73"/>
      <c r="P1776" s="73"/>
      <c r="Q1776" s="73"/>
      <c r="R1776" s="73"/>
      <c r="S1776" s="73"/>
      <c r="T1776" s="73"/>
      <c r="U1776" s="73"/>
      <c r="V1776" s="73"/>
      <c r="W1776" s="73"/>
      <c r="X1776" s="73"/>
    </row>
    <row r="1777">
      <c r="A1777" s="74"/>
      <c r="B1777" s="74"/>
      <c r="C1777" s="74"/>
      <c r="D1777" s="75"/>
      <c r="E1777" s="100"/>
      <c r="F1777" s="101"/>
      <c r="G1777" s="99"/>
      <c r="H1777" s="73"/>
      <c r="I1777" s="98"/>
      <c r="J1777" s="99"/>
      <c r="L1777" s="73"/>
      <c r="M1777" s="73"/>
      <c r="N1777" s="73"/>
      <c r="O1777" s="73"/>
      <c r="P1777" s="73"/>
      <c r="Q1777" s="73"/>
      <c r="R1777" s="73"/>
      <c r="S1777" s="73"/>
      <c r="T1777" s="73"/>
      <c r="U1777" s="73"/>
      <c r="V1777" s="73"/>
      <c r="W1777" s="73"/>
      <c r="X1777" s="73"/>
    </row>
    <row r="1778">
      <c r="A1778" s="74"/>
      <c r="B1778" s="74"/>
      <c r="C1778" s="74"/>
      <c r="D1778" s="75"/>
      <c r="E1778" s="100"/>
      <c r="F1778" s="101"/>
      <c r="G1778" s="99"/>
      <c r="H1778" s="73"/>
      <c r="I1778" s="98"/>
      <c r="J1778" s="99"/>
      <c r="L1778" s="73"/>
      <c r="M1778" s="73"/>
      <c r="N1778" s="73"/>
      <c r="O1778" s="73"/>
      <c r="P1778" s="73"/>
      <c r="Q1778" s="73"/>
      <c r="R1778" s="73"/>
      <c r="S1778" s="73"/>
      <c r="T1778" s="73"/>
      <c r="U1778" s="73"/>
      <c r="V1778" s="73"/>
      <c r="W1778" s="73"/>
      <c r="X1778" s="73"/>
    </row>
    <row r="1779">
      <c r="A1779" s="74"/>
      <c r="B1779" s="74"/>
      <c r="C1779" s="74"/>
      <c r="D1779" s="75"/>
      <c r="E1779" s="100"/>
      <c r="F1779" s="101"/>
      <c r="G1779" s="99"/>
      <c r="H1779" s="73"/>
      <c r="I1779" s="98"/>
      <c r="J1779" s="99"/>
      <c r="L1779" s="73"/>
      <c r="M1779" s="73"/>
      <c r="N1779" s="73"/>
      <c r="O1779" s="73"/>
      <c r="P1779" s="73"/>
      <c r="Q1779" s="73"/>
      <c r="R1779" s="73"/>
      <c r="S1779" s="73"/>
      <c r="T1779" s="73"/>
      <c r="U1779" s="73"/>
      <c r="V1779" s="73"/>
      <c r="W1779" s="73"/>
      <c r="X1779" s="73"/>
    </row>
    <row r="1780">
      <c r="A1780" s="74"/>
      <c r="B1780" s="74"/>
      <c r="C1780" s="74"/>
      <c r="D1780" s="75"/>
      <c r="E1780" s="100"/>
      <c r="F1780" s="101"/>
      <c r="G1780" s="99"/>
      <c r="H1780" s="73"/>
      <c r="I1780" s="98"/>
      <c r="J1780" s="99"/>
      <c r="L1780" s="73"/>
      <c r="M1780" s="73"/>
      <c r="N1780" s="73"/>
      <c r="O1780" s="73"/>
      <c r="P1780" s="73"/>
      <c r="Q1780" s="73"/>
      <c r="R1780" s="73"/>
      <c r="S1780" s="73"/>
      <c r="T1780" s="73"/>
      <c r="U1780" s="73"/>
      <c r="V1780" s="73"/>
      <c r="W1780" s="73"/>
      <c r="X1780" s="73"/>
    </row>
    <row r="1781">
      <c r="A1781" s="74"/>
      <c r="B1781" s="74"/>
      <c r="C1781" s="74"/>
      <c r="D1781" s="75"/>
      <c r="E1781" s="100"/>
      <c r="F1781" s="101"/>
      <c r="G1781" s="99"/>
      <c r="H1781" s="73"/>
      <c r="I1781" s="98"/>
      <c r="J1781" s="99"/>
      <c r="L1781" s="73"/>
      <c r="M1781" s="73"/>
      <c r="N1781" s="73"/>
      <c r="O1781" s="73"/>
      <c r="P1781" s="73"/>
      <c r="Q1781" s="73"/>
      <c r="R1781" s="73"/>
      <c r="S1781" s="73"/>
      <c r="T1781" s="73"/>
      <c r="U1781" s="73"/>
      <c r="V1781" s="73"/>
      <c r="W1781" s="73"/>
      <c r="X1781" s="73"/>
    </row>
    <row r="1782">
      <c r="A1782" s="74"/>
      <c r="B1782" s="74"/>
      <c r="C1782" s="74"/>
      <c r="D1782" s="75"/>
      <c r="E1782" s="100"/>
      <c r="F1782" s="101"/>
      <c r="G1782" s="99"/>
      <c r="H1782" s="73"/>
      <c r="I1782" s="98"/>
      <c r="J1782" s="99"/>
      <c r="L1782" s="73"/>
      <c r="M1782" s="73"/>
      <c r="N1782" s="73"/>
      <c r="O1782" s="73"/>
      <c r="P1782" s="73"/>
      <c r="Q1782" s="73"/>
      <c r="R1782" s="73"/>
      <c r="S1782" s="73"/>
      <c r="T1782" s="73"/>
      <c r="U1782" s="73"/>
      <c r="V1782" s="73"/>
      <c r="W1782" s="73"/>
      <c r="X1782" s="73"/>
    </row>
    <row r="1783">
      <c r="A1783" s="74"/>
      <c r="B1783" s="74"/>
      <c r="C1783" s="74"/>
      <c r="D1783" s="75"/>
      <c r="E1783" s="100"/>
      <c r="F1783" s="101"/>
      <c r="G1783" s="99"/>
      <c r="H1783" s="73"/>
      <c r="I1783" s="98"/>
      <c r="J1783" s="99"/>
      <c r="L1783" s="73"/>
      <c r="M1783" s="73"/>
      <c r="N1783" s="73"/>
      <c r="O1783" s="73"/>
      <c r="P1783" s="73"/>
      <c r="Q1783" s="73"/>
      <c r="R1783" s="73"/>
      <c r="S1783" s="73"/>
      <c r="T1783" s="73"/>
      <c r="U1783" s="73"/>
      <c r="V1783" s="73"/>
      <c r="W1783" s="73"/>
      <c r="X1783" s="73"/>
    </row>
    <row r="1784">
      <c r="A1784" s="74"/>
      <c r="B1784" s="74"/>
      <c r="C1784" s="74"/>
      <c r="D1784" s="75"/>
      <c r="E1784" s="100"/>
      <c r="F1784" s="101"/>
      <c r="G1784" s="99"/>
      <c r="H1784" s="73"/>
      <c r="I1784" s="98"/>
      <c r="J1784" s="99"/>
      <c r="L1784" s="73"/>
      <c r="M1784" s="73"/>
      <c r="N1784" s="73"/>
      <c r="O1784" s="73"/>
      <c r="P1784" s="73"/>
      <c r="Q1784" s="73"/>
      <c r="R1784" s="73"/>
      <c r="S1784" s="73"/>
      <c r="T1784" s="73"/>
      <c r="U1784" s="73"/>
      <c r="V1784" s="73"/>
      <c r="W1784" s="73"/>
      <c r="X1784" s="73"/>
    </row>
    <row r="1785">
      <c r="A1785" s="74"/>
      <c r="B1785" s="74"/>
      <c r="C1785" s="74"/>
      <c r="D1785" s="75"/>
      <c r="E1785" s="100"/>
      <c r="F1785" s="101"/>
      <c r="G1785" s="99"/>
      <c r="H1785" s="73"/>
      <c r="I1785" s="98"/>
      <c r="J1785" s="99"/>
      <c r="L1785" s="73"/>
      <c r="M1785" s="73"/>
      <c r="N1785" s="73"/>
      <c r="O1785" s="73"/>
      <c r="P1785" s="73"/>
      <c r="Q1785" s="73"/>
      <c r="R1785" s="73"/>
      <c r="S1785" s="73"/>
      <c r="T1785" s="73"/>
      <c r="U1785" s="73"/>
      <c r="V1785" s="73"/>
      <c r="W1785" s="73"/>
      <c r="X1785" s="73"/>
    </row>
    <row r="1786">
      <c r="A1786" s="74"/>
      <c r="B1786" s="74"/>
      <c r="C1786" s="74"/>
      <c r="D1786" s="75"/>
      <c r="E1786" s="100"/>
      <c r="F1786" s="101"/>
      <c r="G1786" s="99"/>
      <c r="H1786" s="73"/>
      <c r="I1786" s="98"/>
      <c r="J1786" s="99"/>
      <c r="L1786" s="73"/>
      <c r="M1786" s="73"/>
      <c r="N1786" s="73"/>
      <c r="O1786" s="73"/>
      <c r="P1786" s="73"/>
      <c r="Q1786" s="73"/>
      <c r="R1786" s="73"/>
      <c r="S1786" s="73"/>
      <c r="T1786" s="73"/>
      <c r="U1786" s="73"/>
      <c r="V1786" s="73"/>
      <c r="W1786" s="73"/>
      <c r="X1786" s="73"/>
    </row>
    <row r="1787">
      <c r="A1787" s="74"/>
      <c r="B1787" s="74"/>
      <c r="C1787" s="74"/>
      <c r="D1787" s="75"/>
      <c r="E1787" s="100"/>
      <c r="F1787" s="101"/>
      <c r="G1787" s="99"/>
      <c r="H1787" s="73"/>
      <c r="I1787" s="98"/>
      <c r="J1787" s="99"/>
      <c r="L1787" s="73"/>
      <c r="M1787" s="73"/>
      <c r="N1787" s="73"/>
      <c r="O1787" s="73"/>
      <c r="P1787" s="73"/>
      <c r="Q1787" s="73"/>
      <c r="R1787" s="73"/>
      <c r="S1787" s="73"/>
      <c r="T1787" s="73"/>
      <c r="U1787" s="73"/>
      <c r="V1787" s="73"/>
      <c r="W1787" s="73"/>
      <c r="X1787" s="73"/>
    </row>
    <row r="1788">
      <c r="A1788" s="74"/>
      <c r="B1788" s="74"/>
      <c r="C1788" s="74"/>
      <c r="D1788" s="75"/>
      <c r="E1788" s="100"/>
      <c r="F1788" s="101"/>
      <c r="G1788" s="99"/>
      <c r="H1788" s="73"/>
      <c r="I1788" s="98"/>
      <c r="J1788" s="99"/>
      <c r="L1788" s="73"/>
      <c r="M1788" s="73"/>
      <c r="N1788" s="73"/>
      <c r="O1788" s="73"/>
      <c r="P1788" s="73"/>
      <c r="Q1788" s="73"/>
      <c r="R1788" s="73"/>
      <c r="S1788" s="73"/>
      <c r="T1788" s="73"/>
      <c r="U1788" s="73"/>
      <c r="V1788" s="73"/>
      <c r="W1788" s="73"/>
      <c r="X1788" s="73"/>
    </row>
    <row r="1789">
      <c r="A1789" s="74"/>
      <c r="B1789" s="74"/>
      <c r="C1789" s="74"/>
      <c r="D1789" s="75"/>
      <c r="E1789" s="100"/>
      <c r="F1789" s="101"/>
      <c r="G1789" s="99"/>
      <c r="H1789" s="73"/>
      <c r="I1789" s="98"/>
      <c r="J1789" s="99"/>
      <c r="L1789" s="73"/>
      <c r="M1789" s="73"/>
      <c r="N1789" s="73"/>
      <c r="O1789" s="73"/>
      <c r="P1789" s="73"/>
      <c r="Q1789" s="73"/>
      <c r="R1789" s="73"/>
      <c r="S1789" s="73"/>
      <c r="T1789" s="73"/>
      <c r="U1789" s="73"/>
      <c r="V1789" s="73"/>
      <c r="W1789" s="73"/>
      <c r="X1789" s="73"/>
    </row>
    <row r="1790">
      <c r="A1790" s="74"/>
      <c r="B1790" s="74"/>
      <c r="C1790" s="74"/>
      <c r="D1790" s="75"/>
      <c r="E1790" s="100"/>
      <c r="F1790" s="101"/>
      <c r="G1790" s="99"/>
      <c r="H1790" s="73"/>
      <c r="I1790" s="98"/>
      <c r="J1790" s="99"/>
      <c r="L1790" s="73"/>
      <c r="M1790" s="73"/>
      <c r="N1790" s="73"/>
      <c r="O1790" s="73"/>
      <c r="P1790" s="73"/>
      <c r="Q1790" s="73"/>
      <c r="R1790" s="73"/>
      <c r="S1790" s="73"/>
      <c r="T1790" s="73"/>
      <c r="U1790" s="73"/>
      <c r="V1790" s="73"/>
      <c r="W1790" s="73"/>
      <c r="X1790" s="73"/>
    </row>
    <row r="1791">
      <c r="A1791" s="74"/>
      <c r="B1791" s="74"/>
      <c r="C1791" s="74"/>
      <c r="D1791" s="75"/>
      <c r="E1791" s="100"/>
      <c r="F1791" s="101"/>
      <c r="G1791" s="99"/>
      <c r="H1791" s="73"/>
      <c r="I1791" s="98"/>
      <c r="J1791" s="99"/>
      <c r="L1791" s="73"/>
      <c r="M1791" s="73"/>
      <c r="N1791" s="73"/>
      <c r="O1791" s="73"/>
      <c r="P1791" s="73"/>
      <c r="Q1791" s="73"/>
      <c r="R1791" s="73"/>
      <c r="S1791" s="73"/>
      <c r="T1791" s="73"/>
      <c r="U1791" s="73"/>
      <c r="V1791" s="73"/>
      <c r="W1791" s="73"/>
      <c r="X1791" s="73"/>
    </row>
    <row r="1792">
      <c r="A1792" s="74"/>
      <c r="B1792" s="74"/>
      <c r="C1792" s="74"/>
      <c r="D1792" s="75"/>
      <c r="E1792" s="100"/>
      <c r="F1792" s="101"/>
      <c r="G1792" s="99"/>
      <c r="H1792" s="73"/>
      <c r="I1792" s="98"/>
      <c r="J1792" s="99"/>
      <c r="L1792" s="73"/>
      <c r="M1792" s="73"/>
      <c r="N1792" s="73"/>
      <c r="O1792" s="73"/>
      <c r="P1792" s="73"/>
      <c r="Q1792" s="73"/>
      <c r="R1792" s="73"/>
      <c r="S1792" s="73"/>
      <c r="T1792" s="73"/>
      <c r="U1792" s="73"/>
      <c r="V1792" s="73"/>
      <c r="W1792" s="73"/>
      <c r="X1792" s="73"/>
    </row>
    <row r="1793">
      <c r="A1793" s="74"/>
      <c r="B1793" s="74"/>
      <c r="C1793" s="74"/>
      <c r="D1793" s="75"/>
      <c r="E1793" s="100"/>
      <c r="F1793" s="101"/>
      <c r="G1793" s="99"/>
      <c r="H1793" s="73"/>
      <c r="I1793" s="98"/>
      <c r="J1793" s="99"/>
      <c r="L1793" s="73"/>
      <c r="M1793" s="73"/>
      <c r="N1793" s="73"/>
      <c r="O1793" s="73"/>
      <c r="P1793" s="73"/>
      <c r="Q1793" s="73"/>
      <c r="R1793" s="73"/>
      <c r="S1793" s="73"/>
      <c r="T1793" s="73"/>
      <c r="U1793" s="73"/>
      <c r="V1793" s="73"/>
      <c r="W1793" s="73"/>
      <c r="X1793" s="73"/>
    </row>
    <row r="1794">
      <c r="A1794" s="74"/>
      <c r="B1794" s="74"/>
      <c r="C1794" s="74"/>
      <c r="D1794" s="75"/>
      <c r="E1794" s="100"/>
      <c r="F1794" s="101"/>
      <c r="G1794" s="99"/>
      <c r="H1794" s="73"/>
      <c r="I1794" s="98"/>
      <c r="J1794" s="99"/>
      <c r="L1794" s="73"/>
      <c r="M1794" s="73"/>
      <c r="N1794" s="73"/>
      <c r="O1794" s="73"/>
      <c r="P1794" s="73"/>
      <c r="Q1794" s="73"/>
      <c r="R1794" s="73"/>
      <c r="S1794" s="73"/>
      <c r="T1794" s="73"/>
      <c r="U1794" s="73"/>
      <c r="V1794" s="73"/>
      <c r="W1794" s="73"/>
      <c r="X1794" s="73"/>
    </row>
    <row r="1795">
      <c r="A1795" s="74"/>
      <c r="B1795" s="74"/>
      <c r="C1795" s="74"/>
      <c r="D1795" s="75"/>
      <c r="E1795" s="100"/>
      <c r="F1795" s="101"/>
      <c r="G1795" s="99"/>
      <c r="H1795" s="73"/>
      <c r="I1795" s="98"/>
      <c r="J1795" s="99"/>
      <c r="L1795" s="73"/>
      <c r="M1795" s="73"/>
      <c r="N1795" s="73"/>
      <c r="O1795" s="73"/>
      <c r="P1795" s="73"/>
      <c r="Q1795" s="73"/>
      <c r="R1795" s="73"/>
      <c r="S1795" s="73"/>
      <c r="T1795" s="73"/>
      <c r="U1795" s="73"/>
      <c r="V1795" s="73"/>
      <c r="W1795" s="73"/>
      <c r="X1795" s="73"/>
    </row>
    <row r="1796">
      <c r="A1796" s="74"/>
      <c r="B1796" s="74"/>
      <c r="C1796" s="74"/>
      <c r="D1796" s="75"/>
      <c r="E1796" s="100"/>
      <c r="F1796" s="101"/>
      <c r="G1796" s="99"/>
      <c r="H1796" s="73"/>
      <c r="I1796" s="98"/>
      <c r="J1796" s="99"/>
      <c r="L1796" s="73"/>
      <c r="M1796" s="73"/>
      <c r="N1796" s="73"/>
      <c r="O1796" s="73"/>
      <c r="P1796" s="73"/>
      <c r="Q1796" s="73"/>
      <c r="R1796" s="73"/>
      <c r="S1796" s="73"/>
      <c r="T1796" s="73"/>
      <c r="U1796" s="73"/>
      <c r="V1796" s="73"/>
      <c r="W1796" s="73"/>
      <c r="X1796" s="73"/>
    </row>
    <row r="1797">
      <c r="A1797" s="74"/>
      <c r="B1797" s="74"/>
      <c r="C1797" s="74"/>
      <c r="D1797" s="75"/>
      <c r="E1797" s="100"/>
      <c r="F1797" s="101"/>
      <c r="G1797" s="99"/>
      <c r="H1797" s="73"/>
      <c r="I1797" s="98"/>
      <c r="J1797" s="99"/>
      <c r="L1797" s="73"/>
      <c r="M1797" s="73"/>
      <c r="N1797" s="73"/>
      <c r="O1797" s="73"/>
      <c r="P1797" s="73"/>
      <c r="Q1797" s="73"/>
      <c r="R1797" s="73"/>
      <c r="S1797" s="73"/>
      <c r="T1797" s="73"/>
      <c r="U1797" s="73"/>
      <c r="V1797" s="73"/>
      <c r="W1797" s="73"/>
      <c r="X1797" s="73"/>
    </row>
    <row r="1798">
      <c r="A1798" s="74"/>
      <c r="B1798" s="74"/>
      <c r="C1798" s="74"/>
      <c r="D1798" s="75"/>
      <c r="E1798" s="100"/>
      <c r="F1798" s="101"/>
      <c r="G1798" s="99"/>
      <c r="H1798" s="73"/>
      <c r="I1798" s="98"/>
      <c r="J1798" s="99"/>
      <c r="L1798" s="73"/>
      <c r="M1798" s="73"/>
      <c r="N1798" s="73"/>
      <c r="O1798" s="73"/>
      <c r="P1798" s="73"/>
      <c r="Q1798" s="73"/>
      <c r="R1798" s="73"/>
      <c r="S1798" s="73"/>
      <c r="T1798" s="73"/>
      <c r="U1798" s="73"/>
      <c r="V1798" s="73"/>
      <c r="W1798" s="73"/>
      <c r="X1798" s="73"/>
    </row>
    <row r="1799">
      <c r="A1799" s="74"/>
      <c r="B1799" s="74"/>
      <c r="C1799" s="74"/>
      <c r="D1799" s="75"/>
      <c r="E1799" s="100"/>
      <c r="F1799" s="101"/>
      <c r="G1799" s="99"/>
      <c r="H1799" s="73"/>
      <c r="I1799" s="98"/>
      <c r="J1799" s="99"/>
      <c r="L1799" s="73"/>
      <c r="M1799" s="73"/>
      <c r="N1799" s="73"/>
      <c r="O1799" s="73"/>
      <c r="P1799" s="73"/>
      <c r="Q1799" s="73"/>
      <c r="R1799" s="73"/>
      <c r="S1799" s="73"/>
      <c r="T1799" s="73"/>
      <c r="U1799" s="73"/>
      <c r="V1799" s="73"/>
      <c r="W1799" s="73"/>
      <c r="X1799" s="73"/>
    </row>
    <row r="1800">
      <c r="A1800" s="74"/>
      <c r="B1800" s="74"/>
      <c r="C1800" s="74"/>
      <c r="D1800" s="75"/>
      <c r="E1800" s="100"/>
      <c r="F1800" s="101"/>
      <c r="G1800" s="99"/>
      <c r="H1800" s="73"/>
      <c r="I1800" s="98"/>
      <c r="J1800" s="99"/>
      <c r="L1800" s="73"/>
      <c r="M1800" s="73"/>
      <c r="N1800" s="73"/>
      <c r="O1800" s="73"/>
      <c r="P1800" s="73"/>
      <c r="Q1800" s="73"/>
      <c r="R1800" s="73"/>
      <c r="S1800" s="73"/>
      <c r="T1800" s="73"/>
      <c r="U1800" s="73"/>
      <c r="V1800" s="73"/>
      <c r="W1800" s="73"/>
      <c r="X1800" s="73"/>
    </row>
    <row r="1801">
      <c r="A1801" s="74"/>
      <c r="B1801" s="74"/>
      <c r="C1801" s="74"/>
      <c r="D1801" s="75"/>
      <c r="E1801" s="100"/>
      <c r="F1801" s="101"/>
      <c r="G1801" s="99"/>
      <c r="H1801" s="73"/>
      <c r="I1801" s="98"/>
      <c r="J1801" s="99"/>
      <c r="L1801" s="73"/>
      <c r="M1801" s="73"/>
      <c r="N1801" s="73"/>
      <c r="O1801" s="73"/>
      <c r="P1801" s="73"/>
      <c r="Q1801" s="73"/>
      <c r="R1801" s="73"/>
      <c r="S1801" s="73"/>
      <c r="T1801" s="73"/>
      <c r="U1801" s="73"/>
      <c r="V1801" s="73"/>
      <c r="W1801" s="73"/>
      <c r="X1801" s="73"/>
    </row>
    <row r="1802">
      <c r="A1802" s="74"/>
      <c r="B1802" s="74"/>
      <c r="C1802" s="74"/>
      <c r="D1802" s="75"/>
      <c r="E1802" s="100"/>
      <c r="F1802" s="101"/>
      <c r="G1802" s="99"/>
      <c r="H1802" s="73"/>
      <c r="I1802" s="98"/>
      <c r="J1802" s="99"/>
      <c r="L1802" s="73"/>
      <c r="M1802" s="73"/>
      <c r="N1802" s="73"/>
      <c r="O1802" s="73"/>
      <c r="P1802" s="73"/>
      <c r="Q1802" s="73"/>
      <c r="R1802" s="73"/>
      <c r="S1802" s="73"/>
      <c r="T1802" s="73"/>
      <c r="U1802" s="73"/>
      <c r="V1802" s="73"/>
      <c r="W1802" s="73"/>
      <c r="X1802" s="73"/>
    </row>
    <row r="1803">
      <c r="A1803" s="74"/>
      <c r="B1803" s="74"/>
      <c r="C1803" s="74"/>
      <c r="D1803" s="75"/>
      <c r="E1803" s="100"/>
      <c r="F1803" s="101"/>
      <c r="G1803" s="99"/>
      <c r="H1803" s="73"/>
      <c r="I1803" s="98"/>
      <c r="J1803" s="99"/>
      <c r="L1803" s="73"/>
      <c r="M1803" s="73"/>
      <c r="N1803" s="73"/>
      <c r="O1803" s="73"/>
      <c r="P1803" s="73"/>
      <c r="Q1803" s="73"/>
      <c r="R1803" s="73"/>
      <c r="S1803" s="73"/>
      <c r="T1803" s="73"/>
      <c r="U1803" s="73"/>
      <c r="V1803" s="73"/>
      <c r="W1803" s="73"/>
      <c r="X1803" s="73"/>
    </row>
    <row r="1804">
      <c r="A1804" s="74"/>
      <c r="B1804" s="74"/>
      <c r="C1804" s="74"/>
      <c r="D1804" s="75"/>
      <c r="E1804" s="100"/>
      <c r="F1804" s="101"/>
      <c r="G1804" s="99"/>
      <c r="H1804" s="73"/>
      <c r="I1804" s="98"/>
      <c r="J1804" s="99"/>
      <c r="L1804" s="73"/>
      <c r="M1804" s="73"/>
      <c r="N1804" s="73"/>
      <c r="O1804" s="73"/>
      <c r="P1804" s="73"/>
      <c r="Q1804" s="73"/>
      <c r="R1804" s="73"/>
      <c r="S1804" s="73"/>
      <c r="T1804" s="73"/>
      <c r="U1804" s="73"/>
      <c r="V1804" s="73"/>
      <c r="W1804" s="73"/>
      <c r="X1804" s="73"/>
    </row>
    <row r="1805">
      <c r="A1805" s="74"/>
      <c r="B1805" s="74"/>
      <c r="C1805" s="74"/>
      <c r="D1805" s="75"/>
      <c r="E1805" s="100"/>
      <c r="F1805" s="101"/>
      <c r="G1805" s="99"/>
      <c r="H1805" s="73"/>
      <c r="I1805" s="98"/>
      <c r="J1805" s="99"/>
      <c r="L1805" s="73"/>
      <c r="M1805" s="73"/>
      <c r="N1805" s="73"/>
      <c r="O1805" s="73"/>
      <c r="P1805" s="73"/>
      <c r="Q1805" s="73"/>
      <c r="R1805" s="73"/>
      <c r="S1805" s="73"/>
      <c r="T1805" s="73"/>
      <c r="U1805" s="73"/>
      <c r="V1805" s="73"/>
      <c r="W1805" s="73"/>
      <c r="X1805" s="73"/>
    </row>
    <row r="1806">
      <c r="A1806" s="74"/>
      <c r="B1806" s="74"/>
      <c r="C1806" s="74"/>
      <c r="D1806" s="75"/>
      <c r="E1806" s="100"/>
      <c r="F1806" s="101"/>
      <c r="G1806" s="99"/>
      <c r="H1806" s="73"/>
      <c r="I1806" s="98"/>
      <c r="J1806" s="99"/>
      <c r="L1806" s="73"/>
      <c r="M1806" s="73"/>
      <c r="N1806" s="73"/>
      <c r="O1806" s="73"/>
      <c r="P1806" s="73"/>
      <c r="Q1806" s="73"/>
      <c r="R1806" s="73"/>
      <c r="S1806" s="73"/>
      <c r="T1806" s="73"/>
      <c r="U1806" s="73"/>
      <c r="V1806" s="73"/>
      <c r="W1806" s="73"/>
      <c r="X1806" s="73"/>
    </row>
    <row r="1807">
      <c r="A1807" s="74"/>
      <c r="B1807" s="74"/>
      <c r="C1807" s="74"/>
      <c r="D1807" s="75"/>
      <c r="E1807" s="100"/>
      <c r="F1807" s="101"/>
      <c r="G1807" s="99"/>
      <c r="H1807" s="73"/>
      <c r="I1807" s="98"/>
      <c r="J1807" s="99"/>
      <c r="L1807" s="73"/>
      <c r="M1807" s="73"/>
      <c r="N1807" s="73"/>
      <c r="O1807" s="73"/>
      <c r="P1807" s="73"/>
      <c r="Q1807" s="73"/>
      <c r="R1807" s="73"/>
      <c r="S1807" s="73"/>
      <c r="T1807" s="73"/>
      <c r="U1807" s="73"/>
      <c r="V1807" s="73"/>
      <c r="W1807" s="73"/>
      <c r="X1807" s="73"/>
    </row>
    <row r="1808">
      <c r="A1808" s="74"/>
      <c r="B1808" s="74"/>
      <c r="C1808" s="74"/>
      <c r="D1808" s="75"/>
      <c r="E1808" s="100"/>
      <c r="F1808" s="101"/>
      <c r="G1808" s="99"/>
      <c r="H1808" s="73"/>
      <c r="I1808" s="98"/>
      <c r="J1808" s="99"/>
      <c r="L1808" s="73"/>
      <c r="M1808" s="73"/>
      <c r="N1808" s="73"/>
      <c r="O1808" s="73"/>
      <c r="P1808" s="73"/>
      <c r="Q1808" s="73"/>
      <c r="R1808" s="73"/>
      <c r="S1808" s="73"/>
      <c r="T1808" s="73"/>
      <c r="U1808" s="73"/>
      <c r="V1808" s="73"/>
      <c r="W1808" s="73"/>
      <c r="X1808" s="73"/>
    </row>
    <row r="1809">
      <c r="A1809" s="74"/>
      <c r="B1809" s="74"/>
      <c r="C1809" s="74"/>
      <c r="D1809" s="75"/>
      <c r="E1809" s="100"/>
      <c r="F1809" s="101"/>
      <c r="G1809" s="99"/>
      <c r="H1809" s="73"/>
      <c r="I1809" s="98"/>
      <c r="J1809" s="99"/>
      <c r="L1809" s="73"/>
      <c r="M1809" s="73"/>
      <c r="N1809" s="73"/>
      <c r="O1809" s="73"/>
      <c r="P1809" s="73"/>
      <c r="Q1809" s="73"/>
      <c r="R1809" s="73"/>
      <c r="S1809" s="73"/>
      <c r="T1809" s="73"/>
      <c r="U1809" s="73"/>
      <c r="V1809" s="73"/>
      <c r="W1809" s="73"/>
      <c r="X1809" s="73"/>
    </row>
    <row r="1810">
      <c r="A1810" s="74"/>
      <c r="B1810" s="74"/>
      <c r="C1810" s="74"/>
      <c r="D1810" s="75"/>
      <c r="E1810" s="100"/>
      <c r="F1810" s="101"/>
      <c r="G1810" s="99"/>
      <c r="H1810" s="73"/>
      <c r="I1810" s="98"/>
      <c r="J1810" s="99"/>
      <c r="L1810" s="73"/>
      <c r="M1810" s="73"/>
      <c r="N1810" s="73"/>
      <c r="O1810" s="73"/>
      <c r="P1810" s="73"/>
      <c r="Q1810" s="73"/>
      <c r="R1810" s="73"/>
      <c r="S1810" s="73"/>
      <c r="T1810" s="73"/>
      <c r="U1810" s="73"/>
      <c r="V1810" s="73"/>
      <c r="W1810" s="73"/>
      <c r="X1810" s="73"/>
    </row>
    <row r="1811">
      <c r="A1811" s="74"/>
      <c r="B1811" s="74"/>
      <c r="C1811" s="74"/>
      <c r="D1811" s="75"/>
      <c r="E1811" s="100"/>
      <c r="F1811" s="101"/>
      <c r="G1811" s="99"/>
      <c r="H1811" s="73"/>
      <c r="I1811" s="98"/>
      <c r="J1811" s="99"/>
      <c r="L1811" s="73"/>
      <c r="M1811" s="73"/>
      <c r="N1811" s="73"/>
      <c r="O1811" s="73"/>
      <c r="P1811" s="73"/>
      <c r="Q1811" s="73"/>
      <c r="R1811" s="73"/>
      <c r="S1811" s="73"/>
      <c r="T1811" s="73"/>
      <c r="U1811" s="73"/>
      <c r="V1811" s="73"/>
      <c r="W1811" s="73"/>
      <c r="X1811" s="73"/>
    </row>
    <row r="1812">
      <c r="A1812" s="74"/>
      <c r="B1812" s="74"/>
      <c r="C1812" s="74"/>
      <c r="D1812" s="75"/>
      <c r="E1812" s="100"/>
      <c r="F1812" s="101"/>
      <c r="G1812" s="99"/>
      <c r="H1812" s="73"/>
      <c r="I1812" s="98"/>
      <c r="J1812" s="99"/>
      <c r="L1812" s="73"/>
      <c r="M1812" s="73"/>
      <c r="N1812" s="73"/>
      <c r="O1812" s="73"/>
      <c r="P1812" s="73"/>
      <c r="Q1812" s="73"/>
      <c r="R1812" s="73"/>
      <c r="S1812" s="73"/>
      <c r="T1812" s="73"/>
      <c r="U1812" s="73"/>
      <c r="V1812" s="73"/>
      <c r="W1812" s="73"/>
      <c r="X1812" s="73"/>
    </row>
    <row r="1813">
      <c r="A1813" s="74"/>
      <c r="B1813" s="74"/>
      <c r="C1813" s="74"/>
      <c r="D1813" s="75"/>
      <c r="E1813" s="100"/>
      <c r="F1813" s="101"/>
      <c r="G1813" s="99"/>
      <c r="H1813" s="73"/>
      <c r="I1813" s="98"/>
      <c r="J1813" s="99"/>
      <c r="L1813" s="73"/>
      <c r="M1813" s="73"/>
      <c r="N1813" s="73"/>
      <c r="O1813" s="73"/>
      <c r="P1813" s="73"/>
      <c r="Q1813" s="73"/>
      <c r="R1813" s="73"/>
      <c r="S1813" s="73"/>
      <c r="T1813" s="73"/>
      <c r="U1813" s="73"/>
      <c r="V1813" s="73"/>
      <c r="W1813" s="73"/>
      <c r="X1813" s="73"/>
    </row>
    <row r="1814">
      <c r="A1814" s="74"/>
      <c r="B1814" s="74"/>
      <c r="C1814" s="74"/>
      <c r="D1814" s="75"/>
      <c r="E1814" s="100"/>
      <c r="F1814" s="101"/>
      <c r="G1814" s="99"/>
      <c r="H1814" s="73"/>
      <c r="I1814" s="98"/>
      <c r="J1814" s="99"/>
      <c r="L1814" s="73"/>
      <c r="M1814" s="73"/>
      <c r="N1814" s="73"/>
      <c r="O1814" s="73"/>
      <c r="P1814" s="73"/>
      <c r="Q1814" s="73"/>
      <c r="R1814" s="73"/>
      <c r="S1814" s="73"/>
      <c r="T1814" s="73"/>
      <c r="U1814" s="73"/>
      <c r="V1814" s="73"/>
      <c r="W1814" s="73"/>
      <c r="X1814" s="73"/>
    </row>
    <row r="1815">
      <c r="A1815" s="74"/>
      <c r="B1815" s="74"/>
      <c r="C1815" s="74"/>
      <c r="D1815" s="75"/>
      <c r="E1815" s="100"/>
      <c r="F1815" s="101"/>
      <c r="G1815" s="99"/>
      <c r="H1815" s="73"/>
      <c r="I1815" s="98"/>
      <c r="J1815" s="99"/>
      <c r="L1815" s="73"/>
      <c r="M1815" s="73"/>
      <c r="N1815" s="73"/>
      <c r="O1815" s="73"/>
      <c r="P1815" s="73"/>
      <c r="Q1815" s="73"/>
      <c r="R1815" s="73"/>
      <c r="S1815" s="73"/>
      <c r="T1815" s="73"/>
      <c r="U1815" s="73"/>
      <c r="V1815" s="73"/>
      <c r="W1815" s="73"/>
      <c r="X1815" s="73"/>
    </row>
    <row r="1816">
      <c r="A1816" s="74"/>
      <c r="B1816" s="74"/>
      <c r="C1816" s="74"/>
      <c r="D1816" s="75"/>
      <c r="E1816" s="100"/>
      <c r="F1816" s="101"/>
      <c r="G1816" s="99"/>
      <c r="H1816" s="73"/>
      <c r="I1816" s="98"/>
      <c r="J1816" s="99"/>
      <c r="L1816" s="73"/>
      <c r="M1816" s="73"/>
      <c r="N1816" s="73"/>
      <c r="O1816" s="73"/>
      <c r="P1816" s="73"/>
      <c r="Q1816" s="73"/>
      <c r="R1816" s="73"/>
      <c r="S1816" s="73"/>
      <c r="T1816" s="73"/>
      <c r="U1816" s="73"/>
      <c r="V1816" s="73"/>
      <c r="W1816" s="73"/>
      <c r="X1816" s="73"/>
    </row>
    <row r="1817">
      <c r="A1817" s="74"/>
      <c r="B1817" s="74"/>
      <c r="C1817" s="74"/>
      <c r="D1817" s="75"/>
      <c r="E1817" s="100"/>
      <c r="F1817" s="101"/>
      <c r="G1817" s="99"/>
      <c r="H1817" s="73"/>
      <c r="I1817" s="98"/>
      <c r="J1817" s="99"/>
      <c r="L1817" s="73"/>
      <c r="M1817" s="73"/>
      <c r="N1817" s="73"/>
      <c r="O1817" s="73"/>
      <c r="P1817" s="73"/>
      <c r="Q1817" s="73"/>
      <c r="R1817" s="73"/>
      <c r="S1817" s="73"/>
      <c r="T1817" s="73"/>
      <c r="U1817" s="73"/>
      <c r="V1817" s="73"/>
      <c r="W1817" s="73"/>
      <c r="X1817" s="73"/>
    </row>
    <row r="1818">
      <c r="A1818" s="74"/>
      <c r="B1818" s="74"/>
      <c r="C1818" s="74"/>
      <c r="D1818" s="75"/>
      <c r="E1818" s="100"/>
      <c r="F1818" s="101"/>
      <c r="G1818" s="99"/>
      <c r="H1818" s="73"/>
      <c r="I1818" s="98"/>
      <c r="J1818" s="99"/>
      <c r="L1818" s="73"/>
      <c r="M1818" s="73"/>
      <c r="N1818" s="73"/>
      <c r="O1818" s="73"/>
      <c r="P1818" s="73"/>
      <c r="Q1818" s="73"/>
      <c r="R1818" s="73"/>
      <c r="S1818" s="73"/>
      <c r="T1818" s="73"/>
      <c r="U1818" s="73"/>
      <c r="V1818" s="73"/>
      <c r="W1818" s="73"/>
      <c r="X1818" s="73"/>
    </row>
    <row r="1819">
      <c r="A1819" s="74"/>
      <c r="B1819" s="74"/>
      <c r="C1819" s="74"/>
      <c r="D1819" s="75"/>
      <c r="E1819" s="100"/>
      <c r="F1819" s="101"/>
      <c r="G1819" s="99"/>
      <c r="H1819" s="73"/>
      <c r="I1819" s="98"/>
      <c r="J1819" s="99"/>
      <c r="L1819" s="73"/>
      <c r="M1819" s="73"/>
      <c r="N1819" s="73"/>
      <c r="O1819" s="73"/>
      <c r="P1819" s="73"/>
      <c r="Q1819" s="73"/>
      <c r="R1819" s="73"/>
      <c r="S1819" s="73"/>
      <c r="T1819" s="73"/>
      <c r="U1819" s="73"/>
      <c r="V1819" s="73"/>
      <c r="W1819" s="73"/>
      <c r="X1819" s="73"/>
    </row>
    <row r="1820">
      <c r="A1820" s="74"/>
      <c r="B1820" s="74"/>
      <c r="C1820" s="74"/>
      <c r="D1820" s="75"/>
      <c r="E1820" s="100"/>
      <c r="F1820" s="101"/>
      <c r="G1820" s="99"/>
      <c r="H1820" s="73"/>
      <c r="I1820" s="98"/>
      <c r="J1820" s="99"/>
      <c r="L1820" s="73"/>
      <c r="M1820" s="73"/>
      <c r="N1820" s="73"/>
      <c r="O1820" s="73"/>
      <c r="P1820" s="73"/>
      <c r="Q1820" s="73"/>
      <c r="R1820" s="73"/>
      <c r="S1820" s="73"/>
      <c r="T1820" s="73"/>
      <c r="U1820" s="73"/>
      <c r="V1820" s="73"/>
      <c r="W1820" s="73"/>
      <c r="X1820" s="73"/>
    </row>
    <row r="1821">
      <c r="A1821" s="74"/>
      <c r="B1821" s="74"/>
      <c r="C1821" s="74"/>
      <c r="D1821" s="75"/>
      <c r="E1821" s="100"/>
      <c r="F1821" s="101"/>
      <c r="G1821" s="99"/>
      <c r="H1821" s="73"/>
      <c r="I1821" s="98"/>
      <c r="J1821" s="99"/>
      <c r="L1821" s="73"/>
      <c r="M1821" s="73"/>
      <c r="N1821" s="73"/>
      <c r="O1821" s="73"/>
      <c r="P1821" s="73"/>
      <c r="Q1821" s="73"/>
      <c r="R1821" s="73"/>
      <c r="S1821" s="73"/>
      <c r="T1821" s="73"/>
      <c r="U1821" s="73"/>
      <c r="V1821" s="73"/>
      <c r="W1821" s="73"/>
      <c r="X1821" s="73"/>
    </row>
    <row r="1822">
      <c r="A1822" s="74"/>
      <c r="B1822" s="74"/>
      <c r="C1822" s="74"/>
      <c r="D1822" s="75"/>
      <c r="E1822" s="100"/>
      <c r="F1822" s="101"/>
      <c r="G1822" s="99"/>
      <c r="H1822" s="73"/>
      <c r="I1822" s="98"/>
      <c r="J1822" s="99"/>
      <c r="L1822" s="73"/>
      <c r="M1822" s="73"/>
      <c r="N1822" s="73"/>
      <c r="O1822" s="73"/>
      <c r="P1822" s="73"/>
      <c r="Q1822" s="73"/>
      <c r="R1822" s="73"/>
      <c r="S1822" s="73"/>
      <c r="T1822" s="73"/>
      <c r="U1822" s="73"/>
      <c r="V1822" s="73"/>
      <c r="W1822" s="73"/>
      <c r="X1822" s="73"/>
    </row>
    <row r="1823">
      <c r="A1823" s="74"/>
      <c r="B1823" s="74"/>
      <c r="C1823" s="74"/>
      <c r="D1823" s="75"/>
      <c r="E1823" s="100"/>
      <c r="F1823" s="101"/>
      <c r="G1823" s="99"/>
      <c r="H1823" s="73"/>
      <c r="I1823" s="98"/>
      <c r="J1823" s="99"/>
      <c r="L1823" s="73"/>
      <c r="M1823" s="73"/>
      <c r="N1823" s="73"/>
      <c r="O1823" s="73"/>
      <c r="P1823" s="73"/>
      <c r="Q1823" s="73"/>
      <c r="R1823" s="73"/>
      <c r="S1823" s="73"/>
      <c r="T1823" s="73"/>
      <c r="U1823" s="73"/>
      <c r="V1823" s="73"/>
      <c r="W1823" s="73"/>
      <c r="X1823" s="73"/>
    </row>
    <row r="1824">
      <c r="A1824" s="74"/>
      <c r="B1824" s="74"/>
      <c r="C1824" s="74"/>
      <c r="D1824" s="75"/>
      <c r="E1824" s="100"/>
      <c r="F1824" s="101"/>
      <c r="G1824" s="99"/>
      <c r="H1824" s="73"/>
      <c r="I1824" s="98"/>
      <c r="J1824" s="99"/>
      <c r="L1824" s="73"/>
      <c r="M1824" s="73"/>
      <c r="N1824" s="73"/>
      <c r="O1824" s="73"/>
      <c r="P1824" s="73"/>
      <c r="Q1824" s="73"/>
      <c r="R1824" s="73"/>
      <c r="S1824" s="73"/>
      <c r="T1824" s="73"/>
      <c r="U1824" s="73"/>
      <c r="V1824" s="73"/>
      <c r="W1824" s="73"/>
      <c r="X1824" s="73"/>
    </row>
    <row r="1825">
      <c r="A1825" s="74"/>
      <c r="B1825" s="74"/>
      <c r="C1825" s="74"/>
      <c r="D1825" s="75"/>
      <c r="E1825" s="100"/>
      <c r="F1825" s="101"/>
      <c r="G1825" s="99"/>
      <c r="H1825" s="73"/>
      <c r="I1825" s="98"/>
      <c r="J1825" s="99"/>
      <c r="L1825" s="73"/>
      <c r="M1825" s="73"/>
      <c r="N1825" s="73"/>
      <c r="O1825" s="73"/>
      <c r="P1825" s="73"/>
      <c r="Q1825" s="73"/>
      <c r="R1825" s="73"/>
      <c r="S1825" s="73"/>
      <c r="T1825" s="73"/>
      <c r="U1825" s="73"/>
      <c r="V1825" s="73"/>
      <c r="W1825" s="73"/>
      <c r="X1825" s="73"/>
    </row>
    <row r="1826">
      <c r="A1826" s="74"/>
      <c r="B1826" s="74"/>
      <c r="C1826" s="74"/>
      <c r="D1826" s="75"/>
      <c r="E1826" s="100"/>
      <c r="F1826" s="101"/>
      <c r="G1826" s="99"/>
      <c r="H1826" s="73"/>
      <c r="I1826" s="98"/>
      <c r="J1826" s="99"/>
      <c r="L1826" s="73"/>
      <c r="M1826" s="73"/>
      <c r="N1826" s="73"/>
      <c r="O1826" s="73"/>
      <c r="P1826" s="73"/>
      <c r="Q1826" s="73"/>
      <c r="R1826" s="73"/>
      <c r="S1826" s="73"/>
      <c r="T1826" s="73"/>
      <c r="U1826" s="73"/>
      <c r="V1826" s="73"/>
      <c r="W1826" s="73"/>
      <c r="X1826" s="73"/>
    </row>
    <row r="1827">
      <c r="A1827" s="74"/>
      <c r="B1827" s="74"/>
      <c r="C1827" s="74"/>
      <c r="D1827" s="75"/>
      <c r="E1827" s="100"/>
      <c r="F1827" s="101"/>
      <c r="G1827" s="99"/>
      <c r="H1827" s="73"/>
      <c r="I1827" s="98"/>
      <c r="J1827" s="99"/>
      <c r="L1827" s="73"/>
      <c r="M1827" s="73"/>
      <c r="N1827" s="73"/>
      <c r="O1827" s="73"/>
      <c r="P1827" s="73"/>
      <c r="Q1827" s="73"/>
      <c r="R1827" s="73"/>
      <c r="S1827" s="73"/>
      <c r="T1827" s="73"/>
      <c r="U1827" s="73"/>
      <c r="V1827" s="73"/>
      <c r="W1827" s="73"/>
      <c r="X1827" s="73"/>
    </row>
    <row r="1828">
      <c r="A1828" s="74"/>
      <c r="B1828" s="74"/>
      <c r="C1828" s="74"/>
      <c r="D1828" s="75"/>
      <c r="E1828" s="100"/>
      <c r="F1828" s="101"/>
      <c r="G1828" s="99"/>
      <c r="H1828" s="73"/>
      <c r="I1828" s="98"/>
      <c r="J1828" s="99"/>
      <c r="L1828" s="73"/>
      <c r="M1828" s="73"/>
      <c r="N1828" s="73"/>
      <c r="O1828" s="73"/>
      <c r="P1828" s="73"/>
      <c r="Q1828" s="73"/>
      <c r="R1828" s="73"/>
      <c r="S1828" s="73"/>
      <c r="T1828" s="73"/>
      <c r="U1828" s="73"/>
      <c r="V1828" s="73"/>
      <c r="W1828" s="73"/>
      <c r="X1828" s="73"/>
    </row>
    <row r="1829">
      <c r="A1829" s="74"/>
      <c r="B1829" s="74"/>
      <c r="C1829" s="74"/>
      <c r="D1829" s="75"/>
      <c r="E1829" s="100"/>
      <c r="F1829" s="101"/>
      <c r="G1829" s="99"/>
      <c r="H1829" s="73"/>
      <c r="I1829" s="98"/>
      <c r="J1829" s="99"/>
      <c r="L1829" s="73"/>
      <c r="M1829" s="73"/>
      <c r="N1829" s="73"/>
      <c r="O1829" s="73"/>
      <c r="P1829" s="73"/>
      <c r="Q1829" s="73"/>
      <c r="R1829" s="73"/>
      <c r="S1829" s="73"/>
      <c r="T1829" s="73"/>
      <c r="U1829" s="73"/>
      <c r="V1829" s="73"/>
      <c r="W1829" s="73"/>
      <c r="X1829" s="73"/>
    </row>
    <row r="1830">
      <c r="A1830" s="74"/>
      <c r="B1830" s="74"/>
      <c r="C1830" s="74"/>
      <c r="D1830" s="75"/>
      <c r="E1830" s="100"/>
      <c r="F1830" s="101"/>
      <c r="G1830" s="99"/>
      <c r="H1830" s="73"/>
      <c r="I1830" s="98"/>
      <c r="J1830" s="99"/>
      <c r="L1830" s="73"/>
      <c r="M1830" s="73"/>
      <c r="N1830" s="73"/>
      <c r="O1830" s="73"/>
      <c r="P1830" s="73"/>
      <c r="Q1830" s="73"/>
      <c r="R1830" s="73"/>
      <c r="S1830" s="73"/>
      <c r="T1830" s="73"/>
      <c r="U1830" s="73"/>
      <c r="V1830" s="73"/>
      <c r="W1830" s="73"/>
      <c r="X1830" s="73"/>
    </row>
    <row r="1831">
      <c r="A1831" s="74"/>
      <c r="B1831" s="74"/>
      <c r="C1831" s="74"/>
      <c r="D1831" s="75"/>
      <c r="E1831" s="100"/>
      <c r="F1831" s="101"/>
      <c r="G1831" s="99"/>
      <c r="H1831" s="73"/>
      <c r="I1831" s="98"/>
      <c r="J1831" s="99"/>
      <c r="L1831" s="73"/>
      <c r="M1831" s="73"/>
      <c r="N1831" s="73"/>
      <c r="O1831" s="73"/>
      <c r="P1831" s="73"/>
      <c r="Q1831" s="73"/>
      <c r="R1831" s="73"/>
      <c r="S1831" s="73"/>
      <c r="T1831" s="73"/>
      <c r="U1831" s="73"/>
      <c r="V1831" s="73"/>
      <c r="W1831" s="73"/>
      <c r="X1831" s="73"/>
    </row>
    <row r="1832">
      <c r="A1832" s="74"/>
      <c r="B1832" s="74"/>
      <c r="C1832" s="74"/>
      <c r="D1832" s="75"/>
      <c r="E1832" s="100"/>
      <c r="F1832" s="101"/>
      <c r="G1832" s="99"/>
      <c r="H1832" s="73"/>
      <c r="I1832" s="98"/>
      <c r="J1832" s="99"/>
      <c r="L1832" s="73"/>
      <c r="M1832" s="73"/>
      <c r="N1832" s="73"/>
      <c r="O1832" s="73"/>
      <c r="P1832" s="73"/>
      <c r="Q1832" s="73"/>
      <c r="R1832" s="73"/>
      <c r="S1832" s="73"/>
      <c r="T1832" s="73"/>
      <c r="U1832" s="73"/>
      <c r="V1832" s="73"/>
      <c r="W1832" s="73"/>
      <c r="X1832" s="73"/>
    </row>
    <row r="1833">
      <c r="A1833" s="74"/>
      <c r="B1833" s="74"/>
      <c r="C1833" s="74"/>
      <c r="D1833" s="75"/>
      <c r="E1833" s="100"/>
      <c r="F1833" s="101"/>
      <c r="G1833" s="99"/>
      <c r="H1833" s="73"/>
      <c r="I1833" s="98"/>
      <c r="J1833" s="99"/>
      <c r="L1833" s="73"/>
      <c r="M1833" s="73"/>
      <c r="N1833" s="73"/>
      <c r="O1833" s="73"/>
      <c r="P1833" s="73"/>
      <c r="Q1833" s="73"/>
      <c r="R1833" s="73"/>
      <c r="S1833" s="73"/>
      <c r="T1833" s="73"/>
      <c r="U1833" s="73"/>
      <c r="V1833" s="73"/>
      <c r="W1833" s="73"/>
      <c r="X1833" s="73"/>
    </row>
    <row r="1834">
      <c r="A1834" s="74"/>
      <c r="B1834" s="74"/>
      <c r="C1834" s="74"/>
      <c r="D1834" s="75"/>
      <c r="E1834" s="100"/>
      <c r="F1834" s="101"/>
      <c r="G1834" s="99"/>
      <c r="H1834" s="73"/>
      <c r="I1834" s="98"/>
      <c r="J1834" s="99"/>
      <c r="L1834" s="73"/>
      <c r="M1834" s="73"/>
      <c r="N1834" s="73"/>
      <c r="O1834" s="73"/>
      <c r="P1834" s="73"/>
      <c r="Q1834" s="73"/>
      <c r="R1834" s="73"/>
      <c r="S1834" s="73"/>
      <c r="T1834" s="73"/>
      <c r="U1834" s="73"/>
      <c r="V1834" s="73"/>
      <c r="W1834" s="73"/>
      <c r="X1834" s="73"/>
    </row>
    <row r="1835">
      <c r="A1835" s="74"/>
      <c r="B1835" s="74"/>
      <c r="C1835" s="74"/>
      <c r="D1835" s="75"/>
      <c r="E1835" s="100"/>
      <c r="F1835" s="101"/>
      <c r="G1835" s="99"/>
      <c r="H1835" s="73"/>
      <c r="I1835" s="98"/>
      <c r="J1835" s="99"/>
      <c r="L1835" s="73"/>
      <c r="M1835" s="73"/>
      <c r="N1835" s="73"/>
      <c r="O1835" s="73"/>
      <c r="P1835" s="73"/>
      <c r="Q1835" s="73"/>
      <c r="R1835" s="73"/>
      <c r="S1835" s="73"/>
      <c r="T1835" s="73"/>
      <c r="U1835" s="73"/>
      <c r="V1835" s="73"/>
      <c r="W1835" s="73"/>
      <c r="X1835" s="73"/>
    </row>
    <row r="1836">
      <c r="A1836" s="74"/>
      <c r="B1836" s="74"/>
      <c r="C1836" s="74"/>
      <c r="D1836" s="75"/>
      <c r="E1836" s="100"/>
      <c r="F1836" s="101"/>
      <c r="G1836" s="99"/>
      <c r="H1836" s="73"/>
      <c r="I1836" s="98"/>
      <c r="J1836" s="99"/>
      <c r="L1836" s="73"/>
      <c r="M1836" s="73"/>
      <c r="N1836" s="73"/>
      <c r="O1836" s="73"/>
      <c r="P1836" s="73"/>
      <c r="Q1836" s="73"/>
      <c r="R1836" s="73"/>
      <c r="S1836" s="73"/>
      <c r="T1836" s="73"/>
      <c r="U1836" s="73"/>
      <c r="V1836" s="73"/>
      <c r="W1836" s="73"/>
      <c r="X1836" s="73"/>
    </row>
    <row r="1837">
      <c r="A1837" s="74"/>
      <c r="B1837" s="74"/>
      <c r="C1837" s="74"/>
      <c r="D1837" s="75"/>
      <c r="E1837" s="100"/>
      <c r="F1837" s="101"/>
      <c r="G1837" s="99"/>
      <c r="H1837" s="73"/>
      <c r="I1837" s="98"/>
      <c r="J1837" s="99"/>
      <c r="L1837" s="73"/>
      <c r="M1837" s="73"/>
      <c r="N1837" s="73"/>
      <c r="O1837" s="73"/>
      <c r="P1837" s="73"/>
      <c r="Q1837" s="73"/>
      <c r="R1837" s="73"/>
      <c r="S1837" s="73"/>
      <c r="T1837" s="73"/>
      <c r="U1837" s="73"/>
      <c r="V1837" s="73"/>
      <c r="W1837" s="73"/>
      <c r="X1837" s="73"/>
    </row>
    <row r="1838">
      <c r="A1838" s="74"/>
      <c r="B1838" s="74"/>
      <c r="C1838" s="74"/>
      <c r="D1838" s="75"/>
      <c r="E1838" s="100"/>
      <c r="F1838" s="101"/>
      <c r="G1838" s="99"/>
      <c r="H1838" s="73"/>
      <c r="I1838" s="98"/>
      <c r="J1838" s="99"/>
      <c r="L1838" s="73"/>
      <c r="M1838" s="73"/>
      <c r="N1838" s="73"/>
      <c r="O1838" s="73"/>
      <c r="P1838" s="73"/>
      <c r="Q1838" s="73"/>
      <c r="R1838" s="73"/>
      <c r="S1838" s="73"/>
      <c r="T1838" s="73"/>
      <c r="U1838" s="73"/>
      <c r="V1838" s="73"/>
      <c r="W1838" s="73"/>
      <c r="X1838" s="73"/>
    </row>
    <row r="1839">
      <c r="A1839" s="74"/>
      <c r="B1839" s="74"/>
      <c r="C1839" s="74"/>
      <c r="D1839" s="75"/>
      <c r="E1839" s="100"/>
      <c r="F1839" s="101"/>
      <c r="G1839" s="99"/>
      <c r="H1839" s="73"/>
      <c r="I1839" s="98"/>
      <c r="J1839" s="99"/>
      <c r="L1839" s="73"/>
      <c r="M1839" s="73"/>
      <c r="N1839" s="73"/>
      <c r="O1839" s="73"/>
      <c r="P1839" s="73"/>
      <c r="Q1839" s="73"/>
      <c r="R1839" s="73"/>
      <c r="S1839" s="73"/>
      <c r="T1839" s="73"/>
      <c r="U1839" s="73"/>
      <c r="V1839" s="73"/>
      <c r="W1839" s="73"/>
      <c r="X1839" s="73"/>
    </row>
    <row r="1840">
      <c r="A1840" s="74"/>
      <c r="B1840" s="74"/>
      <c r="C1840" s="74"/>
      <c r="D1840" s="75"/>
      <c r="E1840" s="100"/>
      <c r="F1840" s="101"/>
      <c r="G1840" s="99"/>
      <c r="H1840" s="73"/>
      <c r="I1840" s="98"/>
      <c r="J1840" s="99"/>
      <c r="L1840" s="73"/>
      <c r="M1840" s="73"/>
      <c r="N1840" s="73"/>
      <c r="O1840" s="73"/>
      <c r="P1840" s="73"/>
      <c r="Q1840" s="73"/>
      <c r="R1840" s="73"/>
      <c r="S1840" s="73"/>
      <c r="T1840" s="73"/>
      <c r="U1840" s="73"/>
      <c r="V1840" s="73"/>
      <c r="W1840" s="73"/>
      <c r="X1840" s="73"/>
    </row>
    <row r="1841">
      <c r="A1841" s="74"/>
      <c r="B1841" s="74"/>
      <c r="C1841" s="74"/>
      <c r="D1841" s="75"/>
      <c r="E1841" s="100"/>
      <c r="F1841" s="101"/>
      <c r="G1841" s="99"/>
      <c r="H1841" s="73"/>
      <c r="I1841" s="98"/>
      <c r="J1841" s="99"/>
      <c r="L1841" s="73"/>
      <c r="M1841" s="73"/>
      <c r="N1841" s="73"/>
      <c r="O1841" s="73"/>
      <c r="P1841" s="73"/>
      <c r="Q1841" s="73"/>
      <c r="R1841" s="73"/>
      <c r="S1841" s="73"/>
      <c r="T1841" s="73"/>
      <c r="U1841" s="73"/>
      <c r="V1841" s="73"/>
      <c r="W1841" s="73"/>
      <c r="X1841" s="73"/>
    </row>
    <row r="1842">
      <c r="A1842" s="74"/>
      <c r="B1842" s="74"/>
      <c r="C1842" s="74"/>
      <c r="D1842" s="75"/>
      <c r="E1842" s="100"/>
      <c r="F1842" s="101"/>
      <c r="G1842" s="99"/>
      <c r="H1842" s="73"/>
      <c r="I1842" s="98"/>
      <c r="J1842" s="99"/>
      <c r="L1842" s="73"/>
      <c r="M1842" s="73"/>
      <c r="N1842" s="73"/>
      <c r="O1842" s="73"/>
      <c r="P1842" s="73"/>
      <c r="Q1842" s="73"/>
      <c r="R1842" s="73"/>
      <c r="S1842" s="73"/>
      <c r="T1842" s="73"/>
      <c r="U1842" s="73"/>
      <c r="V1842" s="73"/>
      <c r="W1842" s="73"/>
      <c r="X1842" s="73"/>
    </row>
    <row r="1843">
      <c r="A1843" s="74"/>
      <c r="B1843" s="74"/>
      <c r="C1843" s="74"/>
      <c r="D1843" s="75"/>
      <c r="E1843" s="100"/>
      <c r="F1843" s="101"/>
      <c r="G1843" s="99"/>
      <c r="H1843" s="73"/>
      <c r="I1843" s="98"/>
      <c r="J1843" s="99"/>
      <c r="L1843" s="73"/>
      <c r="M1843" s="73"/>
      <c r="N1843" s="73"/>
      <c r="O1843" s="73"/>
      <c r="P1843" s="73"/>
      <c r="Q1843" s="73"/>
      <c r="R1843" s="73"/>
      <c r="S1843" s="73"/>
      <c r="T1843" s="73"/>
      <c r="U1843" s="73"/>
      <c r="V1843" s="73"/>
      <c r="W1843" s="73"/>
      <c r="X1843" s="73"/>
    </row>
    <row r="1844">
      <c r="A1844" s="74"/>
      <c r="B1844" s="74"/>
      <c r="C1844" s="74"/>
      <c r="D1844" s="75"/>
      <c r="E1844" s="100"/>
      <c r="F1844" s="101"/>
      <c r="G1844" s="99"/>
      <c r="H1844" s="73"/>
      <c r="I1844" s="98"/>
      <c r="J1844" s="99"/>
      <c r="L1844" s="73"/>
      <c r="M1844" s="73"/>
      <c r="N1844" s="73"/>
      <c r="O1844" s="73"/>
      <c r="P1844" s="73"/>
      <c r="Q1844" s="73"/>
      <c r="R1844" s="73"/>
      <c r="S1844" s="73"/>
      <c r="T1844" s="73"/>
      <c r="U1844" s="73"/>
      <c r="V1844" s="73"/>
      <c r="W1844" s="73"/>
      <c r="X1844" s="73"/>
    </row>
  </sheetData>
  <autoFilter ref="$A$1:$I$1844">
    <sortState ref="A1:I1844">
      <sortCondition ref="B1:B1844"/>
    </sortState>
  </autoFilter>
  <dataValidations>
    <dataValidation type="list" allowBlank="1" showErrorMessage="1" sqref="H2:H1844">
      <formula1>"Yes,No"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0.5"/>
  </cols>
  <sheetData>
    <row r="1">
      <c r="A1" s="102" t="s">
        <v>2584</v>
      </c>
      <c r="B1" s="102" t="s">
        <v>2585</v>
      </c>
      <c r="C1" s="102" t="s">
        <v>2586</v>
      </c>
      <c r="D1" s="102" t="s">
        <v>2587</v>
      </c>
    </row>
    <row r="2">
      <c r="A2" s="102" t="s">
        <v>2588</v>
      </c>
      <c r="B2" s="102" t="s">
        <v>2589</v>
      </c>
      <c r="C2" s="102" t="s">
        <v>2590</v>
      </c>
      <c r="D2" s="102">
        <v>2600044.0</v>
      </c>
    </row>
    <row r="3">
      <c r="A3" s="102" t="s">
        <v>2591</v>
      </c>
      <c r="B3" s="102" t="s">
        <v>2592</v>
      </c>
      <c r="C3" s="102" t="s">
        <v>2593</v>
      </c>
      <c r="D3" s="102" t="s">
        <v>2594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3" t="s">
        <v>2595</v>
      </c>
      <c r="B1" s="103" t="s">
        <v>2596</v>
      </c>
    </row>
    <row r="2">
      <c r="A2" s="104" t="s">
        <v>1048</v>
      </c>
      <c r="B2" s="104">
        <v>1.0</v>
      </c>
    </row>
    <row r="3">
      <c r="A3" s="104" t="s">
        <v>1935</v>
      </c>
      <c r="B3" s="104">
        <v>2.0</v>
      </c>
    </row>
    <row r="4">
      <c r="A4" s="104" t="s">
        <v>2597</v>
      </c>
      <c r="B4" s="104">
        <v>7.0</v>
      </c>
    </row>
    <row r="5">
      <c r="A5" s="104" t="s">
        <v>2598</v>
      </c>
      <c r="B5" s="104">
        <v>6.0</v>
      </c>
    </row>
    <row r="6">
      <c r="A6" s="104" t="s">
        <v>2599</v>
      </c>
      <c r="B6" s="104">
        <v>4.0</v>
      </c>
    </row>
    <row r="7">
      <c r="A7" s="104" t="s">
        <v>725</v>
      </c>
      <c r="B7" s="104">
        <v>3.0</v>
      </c>
    </row>
    <row r="8">
      <c r="A8" s="104" t="s">
        <v>1878</v>
      </c>
      <c r="B8" s="104">
        <v>5.0</v>
      </c>
    </row>
    <row r="9">
      <c r="A9" s="105" t="s">
        <v>2600</v>
      </c>
      <c r="B9" s="106"/>
    </row>
    <row r="10">
      <c r="A10" s="106"/>
      <c r="B10" s="106"/>
    </row>
    <row r="11">
      <c r="A11" s="106"/>
      <c r="B11" s="106"/>
    </row>
    <row r="12">
      <c r="A12" s="106"/>
      <c r="B12" s="106"/>
    </row>
    <row r="13">
      <c r="A13" s="106"/>
      <c r="B13" s="106"/>
    </row>
    <row r="14">
      <c r="A14" s="106"/>
      <c r="B14" s="106"/>
    </row>
    <row r="15">
      <c r="A15" s="106"/>
      <c r="B15" s="106"/>
    </row>
    <row r="16">
      <c r="A16" s="106"/>
      <c r="B16" s="106"/>
    </row>
    <row r="17">
      <c r="A17" s="106"/>
      <c r="B17" s="106"/>
    </row>
    <row r="18">
      <c r="A18" s="106"/>
      <c r="B18" s="106"/>
    </row>
    <row r="19">
      <c r="A19" s="106"/>
      <c r="B19" s="106"/>
    </row>
    <row r="20">
      <c r="A20" s="106"/>
      <c r="B20" s="106"/>
    </row>
    <row r="21">
      <c r="A21" s="106"/>
      <c r="B21" s="106"/>
    </row>
    <row r="22">
      <c r="A22" s="106"/>
      <c r="B22" s="106"/>
    </row>
    <row r="23">
      <c r="A23" s="106"/>
      <c r="B23" s="106"/>
    </row>
    <row r="24">
      <c r="A24" s="106"/>
      <c r="B24" s="106"/>
    </row>
    <row r="25">
      <c r="A25" s="106"/>
      <c r="B25" s="106"/>
    </row>
    <row r="26">
      <c r="A26" s="106"/>
      <c r="B26" s="106"/>
    </row>
    <row r="27">
      <c r="A27" s="106"/>
      <c r="B27" s="106"/>
    </row>
    <row r="28">
      <c r="A28" s="106"/>
      <c r="B28" s="106"/>
    </row>
    <row r="29">
      <c r="A29" s="106"/>
      <c r="B29" s="106"/>
    </row>
    <row r="30">
      <c r="A30" s="106"/>
      <c r="B30" s="106"/>
    </row>
    <row r="31">
      <c r="A31" s="106"/>
      <c r="B31" s="106"/>
    </row>
    <row r="32">
      <c r="A32" s="106"/>
      <c r="B32" s="106"/>
    </row>
    <row r="33">
      <c r="A33" s="106"/>
      <c r="B33" s="106"/>
    </row>
    <row r="34">
      <c r="A34" s="106"/>
      <c r="B34" s="106"/>
    </row>
    <row r="35">
      <c r="A35" s="106"/>
      <c r="B35" s="106"/>
    </row>
    <row r="36">
      <c r="A36" s="106"/>
      <c r="B36" s="106"/>
    </row>
    <row r="37">
      <c r="A37" s="106"/>
      <c r="B37" s="106"/>
    </row>
    <row r="38">
      <c r="A38" s="106"/>
      <c r="B38" s="106"/>
    </row>
    <row r="39">
      <c r="A39" s="106"/>
      <c r="B39" s="106"/>
    </row>
    <row r="40">
      <c r="A40" s="106"/>
      <c r="B40" s="106"/>
    </row>
    <row r="41">
      <c r="A41" s="106"/>
      <c r="B41" s="106"/>
    </row>
    <row r="42">
      <c r="A42" s="106"/>
      <c r="B42" s="106"/>
    </row>
    <row r="43">
      <c r="A43" s="106"/>
      <c r="B43" s="106"/>
    </row>
    <row r="44">
      <c r="A44" s="106"/>
      <c r="B44" s="106"/>
    </row>
    <row r="45">
      <c r="A45" s="106"/>
      <c r="B45" s="106"/>
    </row>
    <row r="46">
      <c r="A46" s="106"/>
      <c r="B46" s="106"/>
    </row>
    <row r="47">
      <c r="A47" s="106"/>
      <c r="B47" s="106"/>
    </row>
    <row r="48">
      <c r="A48" s="106"/>
      <c r="B48" s="106"/>
    </row>
    <row r="49">
      <c r="A49" s="106"/>
      <c r="B49" s="106"/>
    </row>
    <row r="50">
      <c r="A50" s="106"/>
      <c r="B50" s="106"/>
    </row>
    <row r="51">
      <c r="A51" s="106"/>
      <c r="B51" s="106"/>
    </row>
    <row r="52">
      <c r="A52" s="106"/>
      <c r="B52" s="106"/>
    </row>
    <row r="53">
      <c r="A53" s="106"/>
      <c r="B53" s="106"/>
    </row>
    <row r="54">
      <c r="A54" s="106"/>
      <c r="B54" s="106"/>
    </row>
    <row r="55">
      <c r="A55" s="106"/>
      <c r="B55" s="106"/>
    </row>
    <row r="56">
      <c r="A56" s="106"/>
      <c r="B56" s="106"/>
    </row>
    <row r="57">
      <c r="A57" s="106"/>
      <c r="B57" s="106"/>
    </row>
    <row r="58">
      <c r="A58" s="106"/>
      <c r="B58" s="106"/>
    </row>
    <row r="59">
      <c r="A59" s="106"/>
      <c r="B59" s="106"/>
    </row>
    <row r="60">
      <c r="A60" s="106"/>
      <c r="B60" s="106"/>
    </row>
    <row r="61">
      <c r="A61" s="106"/>
      <c r="B61" s="106"/>
    </row>
    <row r="62">
      <c r="A62" s="106"/>
      <c r="B62" s="106"/>
    </row>
    <row r="63">
      <c r="A63" s="106"/>
      <c r="B63" s="106"/>
    </row>
    <row r="64">
      <c r="A64" s="106"/>
      <c r="B64" s="106"/>
    </row>
    <row r="65">
      <c r="A65" s="106"/>
      <c r="B65" s="106"/>
    </row>
    <row r="66">
      <c r="A66" s="106"/>
      <c r="B66" s="106"/>
    </row>
    <row r="67">
      <c r="A67" s="106"/>
      <c r="B67" s="106"/>
    </row>
    <row r="68">
      <c r="A68" s="106"/>
      <c r="B68" s="106"/>
    </row>
    <row r="69">
      <c r="A69" s="106"/>
      <c r="B69" s="106"/>
    </row>
    <row r="70">
      <c r="A70" s="106"/>
      <c r="B70" s="106"/>
    </row>
    <row r="71">
      <c r="A71" s="106"/>
      <c r="B71" s="106"/>
    </row>
    <row r="72">
      <c r="A72" s="106"/>
      <c r="B72" s="106"/>
    </row>
    <row r="73">
      <c r="A73" s="106"/>
      <c r="B73" s="106"/>
    </row>
    <row r="74">
      <c r="A74" s="106"/>
      <c r="B74" s="106"/>
    </row>
    <row r="75">
      <c r="A75" s="106"/>
      <c r="B75" s="106"/>
    </row>
    <row r="76">
      <c r="A76" s="106"/>
      <c r="B76" s="106"/>
    </row>
    <row r="77">
      <c r="A77" s="106"/>
      <c r="B77" s="106"/>
    </row>
    <row r="78">
      <c r="A78" s="106"/>
      <c r="B78" s="106"/>
    </row>
    <row r="79">
      <c r="A79" s="106"/>
      <c r="B79" s="106"/>
    </row>
    <row r="80">
      <c r="A80" s="106"/>
      <c r="B80" s="106"/>
    </row>
    <row r="81">
      <c r="A81" s="106"/>
      <c r="B81" s="106"/>
    </row>
    <row r="82">
      <c r="A82" s="106"/>
      <c r="B82" s="106"/>
    </row>
    <row r="83">
      <c r="A83" s="106"/>
      <c r="B83" s="106"/>
    </row>
    <row r="84">
      <c r="A84" s="106"/>
      <c r="B84" s="106"/>
    </row>
    <row r="85">
      <c r="A85" s="106"/>
      <c r="B85" s="106"/>
    </row>
    <row r="86">
      <c r="A86" s="106"/>
      <c r="B86" s="106"/>
    </row>
    <row r="87">
      <c r="A87" s="106"/>
      <c r="B87" s="106"/>
    </row>
    <row r="88">
      <c r="A88" s="106"/>
      <c r="B88" s="106"/>
    </row>
    <row r="89">
      <c r="A89" s="106"/>
      <c r="B89" s="106"/>
    </row>
    <row r="90">
      <c r="A90" s="106"/>
      <c r="B90" s="106"/>
    </row>
    <row r="91">
      <c r="A91" s="106"/>
      <c r="B91" s="106"/>
    </row>
    <row r="92">
      <c r="A92" s="106"/>
      <c r="B92" s="106"/>
    </row>
    <row r="93">
      <c r="A93" s="106"/>
      <c r="B93" s="106"/>
    </row>
    <row r="94">
      <c r="A94" s="106"/>
      <c r="B94" s="106"/>
    </row>
    <row r="95">
      <c r="A95" s="106"/>
      <c r="B95" s="106"/>
    </row>
    <row r="96">
      <c r="A96" s="106"/>
      <c r="B96" s="106"/>
    </row>
    <row r="97">
      <c r="A97" s="106"/>
      <c r="B97" s="106"/>
    </row>
    <row r="98">
      <c r="A98" s="106"/>
      <c r="B98" s="106"/>
    </row>
    <row r="99">
      <c r="A99" s="106"/>
      <c r="B99" s="106"/>
    </row>
    <row r="100">
      <c r="A100" s="106"/>
      <c r="B100" s="106"/>
    </row>
    <row r="101">
      <c r="A101" s="106"/>
      <c r="B101" s="106"/>
    </row>
    <row r="102">
      <c r="A102" s="106"/>
      <c r="B102" s="106"/>
    </row>
    <row r="103">
      <c r="A103" s="106"/>
      <c r="B103" s="106"/>
    </row>
    <row r="104">
      <c r="A104" s="106"/>
      <c r="B104" s="106"/>
    </row>
    <row r="105">
      <c r="A105" s="106"/>
      <c r="B105" s="106"/>
    </row>
    <row r="106">
      <c r="A106" s="106"/>
      <c r="B106" s="106"/>
    </row>
    <row r="107">
      <c r="A107" s="106"/>
      <c r="B107" s="106"/>
    </row>
    <row r="108">
      <c r="A108" s="106"/>
      <c r="B108" s="106"/>
    </row>
    <row r="109">
      <c r="A109" s="106"/>
      <c r="B109" s="106"/>
    </row>
    <row r="110">
      <c r="A110" s="106"/>
      <c r="B110" s="106"/>
    </row>
    <row r="111">
      <c r="A111" s="106"/>
      <c r="B111" s="106"/>
    </row>
    <row r="112">
      <c r="A112" s="106"/>
      <c r="B112" s="106"/>
    </row>
    <row r="113">
      <c r="A113" s="106"/>
      <c r="B113" s="106"/>
    </row>
    <row r="114">
      <c r="A114" s="106"/>
      <c r="B114" s="106"/>
    </row>
    <row r="115">
      <c r="A115" s="106"/>
      <c r="B115" s="106"/>
    </row>
    <row r="116">
      <c r="A116" s="106"/>
      <c r="B116" s="106"/>
    </row>
    <row r="117">
      <c r="A117" s="106"/>
      <c r="B117" s="106"/>
    </row>
    <row r="118">
      <c r="A118" s="106"/>
      <c r="B118" s="106"/>
    </row>
    <row r="119">
      <c r="A119" s="106"/>
      <c r="B119" s="106"/>
    </row>
    <row r="120">
      <c r="A120" s="106"/>
      <c r="B120" s="106"/>
    </row>
    <row r="121">
      <c r="A121" s="106"/>
      <c r="B121" s="106"/>
    </row>
    <row r="122">
      <c r="A122" s="106"/>
      <c r="B122" s="106"/>
    </row>
    <row r="123">
      <c r="A123" s="106"/>
      <c r="B123" s="106"/>
    </row>
    <row r="124">
      <c r="A124" s="106"/>
      <c r="B124" s="106"/>
    </row>
    <row r="125">
      <c r="A125" s="106"/>
      <c r="B125" s="106"/>
    </row>
    <row r="126">
      <c r="A126" s="106"/>
      <c r="B126" s="106"/>
    </row>
    <row r="127">
      <c r="A127" s="106"/>
      <c r="B127" s="106"/>
    </row>
    <row r="128">
      <c r="A128" s="106"/>
      <c r="B128" s="106"/>
    </row>
    <row r="129">
      <c r="A129" s="106"/>
      <c r="B129" s="106"/>
    </row>
    <row r="130">
      <c r="A130" s="106"/>
      <c r="B130" s="106"/>
    </row>
    <row r="131">
      <c r="A131" s="106"/>
      <c r="B131" s="106"/>
    </row>
    <row r="132">
      <c r="A132" s="106"/>
      <c r="B132" s="106"/>
    </row>
    <row r="133">
      <c r="A133" s="106"/>
      <c r="B133" s="106"/>
    </row>
    <row r="134">
      <c r="A134" s="106"/>
      <c r="B134" s="106"/>
    </row>
    <row r="135">
      <c r="A135" s="106"/>
      <c r="B135" s="106"/>
    </row>
    <row r="136">
      <c r="A136" s="106"/>
      <c r="B136" s="106"/>
    </row>
    <row r="137">
      <c r="A137" s="106"/>
      <c r="B137" s="106"/>
    </row>
    <row r="138">
      <c r="A138" s="106"/>
      <c r="B138" s="106"/>
    </row>
    <row r="139">
      <c r="A139" s="106"/>
      <c r="B139" s="106"/>
    </row>
    <row r="140">
      <c r="A140" s="106"/>
      <c r="B140" s="106"/>
    </row>
    <row r="141">
      <c r="A141" s="106"/>
      <c r="B141" s="106"/>
    </row>
    <row r="142">
      <c r="A142" s="106"/>
      <c r="B142" s="106"/>
    </row>
    <row r="143">
      <c r="A143" s="106"/>
      <c r="B143" s="106"/>
    </row>
    <row r="144">
      <c r="A144" s="106"/>
      <c r="B144" s="106"/>
    </row>
    <row r="145">
      <c r="A145" s="106"/>
      <c r="B145" s="106"/>
    </row>
    <row r="146">
      <c r="A146" s="106"/>
      <c r="B146" s="106"/>
    </row>
    <row r="147">
      <c r="A147" s="106"/>
      <c r="B147" s="106"/>
    </row>
    <row r="148">
      <c r="A148" s="106"/>
      <c r="B148" s="106"/>
    </row>
    <row r="149">
      <c r="A149" s="106"/>
      <c r="B149" s="106"/>
    </row>
    <row r="150">
      <c r="A150" s="106"/>
      <c r="B150" s="106"/>
    </row>
    <row r="151">
      <c r="A151" s="106"/>
      <c r="B151" s="106"/>
    </row>
    <row r="152">
      <c r="A152" s="106"/>
      <c r="B152" s="106"/>
    </row>
    <row r="153">
      <c r="A153" s="106"/>
      <c r="B153" s="106"/>
    </row>
    <row r="154">
      <c r="A154" s="106"/>
      <c r="B154" s="106"/>
    </row>
    <row r="155">
      <c r="A155" s="106"/>
      <c r="B155" s="106"/>
    </row>
    <row r="156">
      <c r="A156" s="106"/>
      <c r="B156" s="106"/>
    </row>
    <row r="157">
      <c r="A157" s="106"/>
      <c r="B157" s="106"/>
    </row>
    <row r="158">
      <c r="A158" s="106"/>
      <c r="B158" s="106"/>
    </row>
    <row r="159">
      <c r="A159" s="106"/>
      <c r="B159" s="106"/>
    </row>
    <row r="160">
      <c r="A160" s="106"/>
      <c r="B160" s="106"/>
    </row>
    <row r="161">
      <c r="A161" s="106"/>
      <c r="B161" s="106"/>
    </row>
    <row r="162">
      <c r="A162" s="106"/>
      <c r="B162" s="106"/>
    </row>
    <row r="163">
      <c r="A163" s="106"/>
      <c r="B163" s="106"/>
    </row>
    <row r="164">
      <c r="A164" s="106"/>
      <c r="B164" s="106"/>
    </row>
    <row r="165">
      <c r="A165" s="106"/>
      <c r="B165" s="106"/>
    </row>
    <row r="166">
      <c r="A166" s="106"/>
      <c r="B166" s="106"/>
    </row>
    <row r="167">
      <c r="A167" s="106"/>
      <c r="B167" s="106"/>
    </row>
    <row r="168">
      <c r="A168" s="106"/>
      <c r="B168" s="106"/>
    </row>
    <row r="169">
      <c r="A169" s="106"/>
      <c r="B169" s="106"/>
    </row>
    <row r="170">
      <c r="A170" s="106"/>
      <c r="B170" s="106"/>
    </row>
    <row r="171">
      <c r="A171" s="106"/>
      <c r="B171" s="106"/>
    </row>
    <row r="172">
      <c r="A172" s="106"/>
      <c r="B172" s="106"/>
    </row>
    <row r="173">
      <c r="A173" s="106"/>
      <c r="B173" s="106"/>
    </row>
    <row r="174">
      <c r="A174" s="106"/>
      <c r="B174" s="106"/>
    </row>
    <row r="175">
      <c r="A175" s="106"/>
      <c r="B175" s="106"/>
    </row>
    <row r="176">
      <c r="A176" s="106"/>
      <c r="B176" s="106"/>
    </row>
    <row r="177">
      <c r="A177" s="106"/>
      <c r="B177" s="106"/>
    </row>
    <row r="178">
      <c r="A178" s="106"/>
      <c r="B178" s="106"/>
    </row>
    <row r="179">
      <c r="A179" s="106"/>
      <c r="B179" s="106"/>
    </row>
    <row r="180">
      <c r="A180" s="106"/>
      <c r="B180" s="106"/>
    </row>
    <row r="181">
      <c r="A181" s="106"/>
      <c r="B181" s="106"/>
    </row>
    <row r="182">
      <c r="A182" s="106"/>
      <c r="B182" s="106"/>
    </row>
    <row r="183">
      <c r="A183" s="106"/>
      <c r="B183" s="106"/>
    </row>
    <row r="184">
      <c r="A184" s="106"/>
      <c r="B184" s="106"/>
    </row>
    <row r="185">
      <c r="A185" s="106"/>
      <c r="B185" s="106"/>
    </row>
    <row r="186">
      <c r="A186" s="106"/>
      <c r="B186" s="106"/>
    </row>
    <row r="187">
      <c r="A187" s="106"/>
      <c r="B187" s="106"/>
    </row>
    <row r="188">
      <c r="A188" s="106"/>
      <c r="B188" s="106"/>
    </row>
    <row r="189">
      <c r="A189" s="106"/>
      <c r="B189" s="106"/>
    </row>
    <row r="190">
      <c r="A190" s="106"/>
      <c r="B190" s="106"/>
    </row>
    <row r="191">
      <c r="A191" s="106"/>
      <c r="B191" s="106"/>
    </row>
    <row r="192">
      <c r="A192" s="106"/>
      <c r="B192" s="106"/>
    </row>
    <row r="193">
      <c r="A193" s="106"/>
      <c r="B193" s="106"/>
    </row>
    <row r="194">
      <c r="A194" s="106"/>
      <c r="B194" s="106"/>
    </row>
    <row r="195">
      <c r="A195" s="106"/>
      <c r="B195" s="106"/>
    </row>
    <row r="196">
      <c r="A196" s="106"/>
      <c r="B196" s="106"/>
    </row>
    <row r="197">
      <c r="A197" s="106"/>
      <c r="B197" s="106"/>
    </row>
    <row r="198">
      <c r="A198" s="106"/>
      <c r="B198" s="106"/>
    </row>
    <row r="199">
      <c r="A199" s="106"/>
      <c r="B199" s="106"/>
    </row>
    <row r="200">
      <c r="A200" s="106"/>
      <c r="B200" s="106"/>
    </row>
    <row r="201">
      <c r="A201" s="106"/>
      <c r="B201" s="106"/>
    </row>
    <row r="202">
      <c r="A202" s="106"/>
      <c r="B202" s="106"/>
    </row>
    <row r="203">
      <c r="A203" s="106"/>
      <c r="B203" s="106"/>
    </row>
    <row r="204">
      <c r="A204" s="106"/>
      <c r="B204" s="106"/>
    </row>
    <row r="205">
      <c r="A205" s="106"/>
      <c r="B205" s="106"/>
    </row>
    <row r="206">
      <c r="A206" s="106"/>
      <c r="B206" s="106"/>
    </row>
    <row r="207">
      <c r="A207" s="106"/>
      <c r="B207" s="106"/>
    </row>
    <row r="208">
      <c r="A208" s="106"/>
      <c r="B208" s="106"/>
    </row>
    <row r="209">
      <c r="A209" s="106"/>
      <c r="B209" s="106"/>
    </row>
    <row r="210">
      <c r="A210" s="106"/>
      <c r="B210" s="106"/>
    </row>
    <row r="211">
      <c r="A211" s="106"/>
      <c r="B211" s="106"/>
    </row>
    <row r="212">
      <c r="A212" s="106"/>
      <c r="B212" s="106"/>
    </row>
    <row r="213">
      <c r="A213" s="106"/>
      <c r="B213" s="106"/>
    </row>
    <row r="214">
      <c r="A214" s="106"/>
      <c r="B214" s="106"/>
    </row>
    <row r="215">
      <c r="A215" s="106"/>
      <c r="B215" s="106"/>
    </row>
    <row r="216">
      <c r="A216" s="106"/>
      <c r="B216" s="106"/>
    </row>
    <row r="217">
      <c r="A217" s="106"/>
      <c r="B217" s="106"/>
    </row>
    <row r="218">
      <c r="A218" s="106"/>
      <c r="B218" s="106"/>
    </row>
    <row r="219">
      <c r="A219" s="106"/>
      <c r="B219" s="106"/>
    </row>
    <row r="220">
      <c r="A220" s="106"/>
      <c r="B220" s="106"/>
    </row>
    <row r="221">
      <c r="A221" s="106"/>
      <c r="B221" s="106"/>
    </row>
    <row r="222">
      <c r="A222" s="106"/>
      <c r="B222" s="106"/>
    </row>
    <row r="223">
      <c r="A223" s="106"/>
      <c r="B223" s="106"/>
    </row>
    <row r="224">
      <c r="A224" s="106"/>
      <c r="B224" s="106"/>
    </row>
    <row r="225">
      <c r="A225" s="106"/>
      <c r="B225" s="106"/>
    </row>
    <row r="226">
      <c r="A226" s="106"/>
      <c r="B226" s="106"/>
    </row>
    <row r="227">
      <c r="A227" s="106"/>
      <c r="B227" s="106"/>
    </row>
    <row r="228">
      <c r="A228" s="106"/>
      <c r="B228" s="106"/>
    </row>
    <row r="229">
      <c r="A229" s="106"/>
      <c r="B229" s="106"/>
    </row>
    <row r="230">
      <c r="A230" s="106"/>
      <c r="B230" s="106"/>
    </row>
    <row r="231">
      <c r="A231" s="106"/>
      <c r="B231" s="106"/>
    </row>
    <row r="232">
      <c r="A232" s="106"/>
      <c r="B232" s="106"/>
    </row>
    <row r="233">
      <c r="A233" s="106"/>
      <c r="B233" s="106"/>
    </row>
    <row r="234">
      <c r="A234" s="106"/>
      <c r="B234" s="106"/>
    </row>
    <row r="235">
      <c r="A235" s="106"/>
      <c r="B235" s="106"/>
    </row>
    <row r="236">
      <c r="A236" s="106"/>
      <c r="B236" s="106"/>
    </row>
    <row r="237">
      <c r="A237" s="106"/>
      <c r="B237" s="106"/>
    </row>
    <row r="238">
      <c r="A238" s="106"/>
      <c r="B238" s="106"/>
    </row>
    <row r="239">
      <c r="A239" s="106"/>
      <c r="B239" s="106"/>
    </row>
    <row r="240">
      <c r="A240" s="106"/>
      <c r="B240" s="106"/>
    </row>
    <row r="241">
      <c r="A241" s="106"/>
      <c r="B241" s="106"/>
    </row>
    <row r="242">
      <c r="A242" s="106"/>
      <c r="B242" s="106"/>
    </row>
    <row r="243">
      <c r="A243" s="106"/>
      <c r="B243" s="106"/>
    </row>
    <row r="244">
      <c r="A244" s="106"/>
      <c r="B244" s="106"/>
    </row>
    <row r="245">
      <c r="A245" s="106"/>
      <c r="B245" s="106"/>
    </row>
    <row r="246">
      <c r="A246" s="106"/>
      <c r="B246" s="106"/>
    </row>
    <row r="247">
      <c r="A247" s="106"/>
      <c r="B247" s="106"/>
    </row>
    <row r="248">
      <c r="A248" s="106"/>
      <c r="B248" s="106"/>
    </row>
    <row r="249">
      <c r="A249" s="106"/>
      <c r="B249" s="106"/>
    </row>
    <row r="250">
      <c r="A250" s="106"/>
      <c r="B250" s="106"/>
    </row>
    <row r="251">
      <c r="A251" s="106"/>
      <c r="B251" s="106"/>
    </row>
    <row r="252">
      <c r="A252" s="106"/>
      <c r="B252" s="106"/>
    </row>
    <row r="253">
      <c r="A253" s="106"/>
      <c r="B253" s="106"/>
    </row>
    <row r="254">
      <c r="A254" s="106"/>
      <c r="B254" s="106"/>
    </row>
    <row r="255">
      <c r="A255" s="106"/>
      <c r="B255" s="106"/>
    </row>
    <row r="256">
      <c r="A256" s="106"/>
      <c r="B256" s="106"/>
    </row>
    <row r="257">
      <c r="A257" s="106"/>
      <c r="B257" s="106"/>
    </row>
    <row r="258">
      <c r="A258" s="106"/>
      <c r="B258" s="106"/>
    </row>
    <row r="259">
      <c r="A259" s="106"/>
      <c r="B259" s="106"/>
    </row>
    <row r="260">
      <c r="A260" s="106"/>
      <c r="B260" s="106"/>
    </row>
    <row r="261">
      <c r="A261" s="106"/>
      <c r="B261" s="106"/>
    </row>
    <row r="262">
      <c r="A262" s="106"/>
      <c r="B262" s="106"/>
    </row>
    <row r="263">
      <c r="A263" s="106"/>
      <c r="B263" s="106"/>
    </row>
    <row r="264">
      <c r="A264" s="106"/>
      <c r="B264" s="106"/>
    </row>
    <row r="265">
      <c r="A265" s="106"/>
      <c r="B265" s="106"/>
    </row>
    <row r="266">
      <c r="A266" s="106"/>
      <c r="B266" s="106"/>
    </row>
    <row r="267">
      <c r="A267" s="106"/>
      <c r="B267" s="106"/>
    </row>
    <row r="268">
      <c r="A268" s="106"/>
      <c r="B268" s="106"/>
    </row>
    <row r="269">
      <c r="A269" s="106"/>
      <c r="B269" s="106"/>
    </row>
    <row r="270">
      <c r="A270" s="106"/>
      <c r="B270" s="106"/>
    </row>
    <row r="271">
      <c r="A271" s="106"/>
      <c r="B271" s="106"/>
    </row>
    <row r="272">
      <c r="A272" s="106"/>
      <c r="B272" s="106"/>
    </row>
    <row r="273">
      <c r="A273" s="106"/>
      <c r="B273" s="106"/>
    </row>
    <row r="274">
      <c r="A274" s="106"/>
      <c r="B274" s="106"/>
    </row>
    <row r="275">
      <c r="A275" s="106"/>
      <c r="B275" s="106"/>
    </row>
    <row r="276">
      <c r="A276" s="106"/>
      <c r="B276" s="106"/>
    </row>
    <row r="277">
      <c r="A277" s="106"/>
      <c r="B277" s="106"/>
    </row>
    <row r="278">
      <c r="A278" s="106"/>
      <c r="B278" s="106"/>
    </row>
    <row r="279">
      <c r="A279" s="106"/>
      <c r="B279" s="106"/>
    </row>
    <row r="280">
      <c r="A280" s="106"/>
      <c r="B280" s="106"/>
    </row>
    <row r="281">
      <c r="A281" s="106"/>
      <c r="B281" s="106"/>
    </row>
    <row r="282">
      <c r="A282" s="106"/>
      <c r="B282" s="106"/>
    </row>
    <row r="283">
      <c r="A283" s="106"/>
      <c r="B283" s="106"/>
    </row>
    <row r="284">
      <c r="A284" s="106"/>
      <c r="B284" s="106"/>
    </row>
    <row r="285">
      <c r="A285" s="106"/>
      <c r="B285" s="106"/>
    </row>
    <row r="286">
      <c r="A286" s="106"/>
      <c r="B286" s="106"/>
    </row>
    <row r="287">
      <c r="A287" s="106"/>
      <c r="B287" s="106"/>
    </row>
    <row r="288">
      <c r="A288" s="106"/>
      <c r="B288" s="106"/>
    </row>
    <row r="289">
      <c r="A289" s="106"/>
      <c r="B289" s="106"/>
    </row>
    <row r="290">
      <c r="A290" s="106"/>
      <c r="B290" s="106"/>
    </row>
    <row r="291">
      <c r="A291" s="106"/>
      <c r="B291" s="106"/>
    </row>
    <row r="292">
      <c r="A292" s="106"/>
      <c r="B292" s="106"/>
    </row>
    <row r="293">
      <c r="A293" s="106"/>
      <c r="B293" s="106"/>
    </row>
    <row r="294">
      <c r="A294" s="106"/>
      <c r="B294" s="106"/>
    </row>
    <row r="295">
      <c r="A295" s="106"/>
      <c r="B295" s="106"/>
    </row>
    <row r="296">
      <c r="A296" s="106"/>
      <c r="B296" s="106"/>
    </row>
    <row r="297">
      <c r="A297" s="106"/>
      <c r="B297" s="106"/>
    </row>
    <row r="298">
      <c r="A298" s="106"/>
      <c r="B298" s="106"/>
    </row>
    <row r="299">
      <c r="A299" s="106"/>
      <c r="B299" s="106"/>
    </row>
    <row r="300">
      <c r="A300" s="106"/>
      <c r="B300" s="106"/>
    </row>
    <row r="301">
      <c r="A301" s="106"/>
      <c r="B301" s="106"/>
    </row>
    <row r="302">
      <c r="A302" s="106"/>
      <c r="B302" s="106"/>
    </row>
    <row r="303">
      <c r="A303" s="106"/>
      <c r="B303" s="106"/>
    </row>
    <row r="304">
      <c r="A304" s="106"/>
      <c r="B304" s="106"/>
    </row>
    <row r="305">
      <c r="A305" s="106"/>
      <c r="B305" s="106"/>
    </row>
    <row r="306">
      <c r="A306" s="106"/>
      <c r="B306" s="106"/>
    </row>
    <row r="307">
      <c r="A307" s="106"/>
      <c r="B307" s="106"/>
    </row>
    <row r="308">
      <c r="A308" s="106"/>
      <c r="B308" s="106"/>
    </row>
    <row r="309">
      <c r="A309" s="106"/>
      <c r="B309" s="106"/>
    </row>
    <row r="310">
      <c r="A310" s="106"/>
      <c r="B310" s="106"/>
    </row>
    <row r="311">
      <c r="A311" s="106"/>
      <c r="B311" s="106"/>
    </row>
    <row r="312">
      <c r="A312" s="106"/>
      <c r="B312" s="106"/>
    </row>
    <row r="313">
      <c r="A313" s="106"/>
      <c r="B313" s="106"/>
    </row>
    <row r="314">
      <c r="A314" s="106"/>
      <c r="B314" s="106"/>
    </row>
    <row r="315">
      <c r="A315" s="106"/>
      <c r="B315" s="106"/>
    </row>
    <row r="316">
      <c r="A316" s="106"/>
      <c r="B316" s="106"/>
    </row>
    <row r="317">
      <c r="A317" s="106"/>
      <c r="B317" s="106"/>
    </row>
    <row r="318">
      <c r="A318" s="106"/>
      <c r="B318" s="106"/>
    </row>
    <row r="319">
      <c r="A319" s="106"/>
      <c r="B319" s="106"/>
    </row>
    <row r="320">
      <c r="A320" s="106"/>
      <c r="B320" s="106"/>
    </row>
    <row r="321">
      <c r="A321" s="106"/>
      <c r="B321" s="106"/>
    </row>
    <row r="322">
      <c r="A322" s="106"/>
      <c r="B322" s="106"/>
    </row>
    <row r="323">
      <c r="A323" s="106"/>
      <c r="B323" s="106"/>
    </row>
    <row r="324">
      <c r="A324" s="106"/>
      <c r="B324" s="106"/>
    </row>
    <row r="325">
      <c r="A325" s="106"/>
      <c r="B325" s="106"/>
    </row>
    <row r="326">
      <c r="A326" s="106"/>
      <c r="B326" s="106"/>
    </row>
    <row r="327">
      <c r="A327" s="106"/>
      <c r="B327" s="106"/>
    </row>
    <row r="328">
      <c r="A328" s="106"/>
      <c r="B328" s="106"/>
    </row>
    <row r="329">
      <c r="A329" s="106"/>
      <c r="B329" s="106"/>
    </row>
    <row r="330">
      <c r="A330" s="106"/>
      <c r="B330" s="106"/>
    </row>
    <row r="331">
      <c r="A331" s="106"/>
      <c r="B331" s="106"/>
    </row>
    <row r="332">
      <c r="A332" s="106"/>
      <c r="B332" s="106"/>
    </row>
    <row r="333">
      <c r="A333" s="106"/>
      <c r="B333" s="106"/>
    </row>
    <row r="334">
      <c r="A334" s="106"/>
      <c r="B334" s="106"/>
    </row>
    <row r="335">
      <c r="A335" s="106"/>
      <c r="B335" s="106"/>
    </row>
    <row r="336">
      <c r="A336" s="106"/>
      <c r="B336" s="106"/>
    </row>
    <row r="337">
      <c r="A337" s="106"/>
      <c r="B337" s="106"/>
    </row>
    <row r="338">
      <c r="A338" s="106"/>
      <c r="B338" s="106"/>
    </row>
    <row r="339">
      <c r="A339" s="106"/>
      <c r="B339" s="106"/>
    </row>
    <row r="340">
      <c r="A340" s="106"/>
      <c r="B340" s="106"/>
    </row>
    <row r="341">
      <c r="A341" s="106"/>
      <c r="B341" s="106"/>
    </row>
    <row r="342">
      <c r="A342" s="106"/>
      <c r="B342" s="106"/>
    </row>
    <row r="343">
      <c r="A343" s="106"/>
      <c r="B343" s="106"/>
    </row>
    <row r="344">
      <c r="A344" s="106"/>
      <c r="B344" s="106"/>
    </row>
    <row r="345">
      <c r="A345" s="106"/>
      <c r="B345" s="106"/>
    </row>
    <row r="346">
      <c r="A346" s="106"/>
      <c r="B346" s="106"/>
    </row>
    <row r="347">
      <c r="A347" s="106"/>
      <c r="B347" s="106"/>
    </row>
    <row r="348">
      <c r="A348" s="106"/>
      <c r="B348" s="106"/>
    </row>
    <row r="349">
      <c r="A349" s="106"/>
      <c r="B349" s="106"/>
    </row>
    <row r="350">
      <c r="A350" s="106"/>
      <c r="B350" s="106"/>
    </row>
    <row r="351">
      <c r="A351" s="106"/>
      <c r="B351" s="106"/>
    </row>
    <row r="352">
      <c r="A352" s="106"/>
      <c r="B352" s="106"/>
    </row>
    <row r="353">
      <c r="A353" s="106"/>
      <c r="B353" s="106"/>
    </row>
    <row r="354">
      <c r="A354" s="106"/>
      <c r="B354" s="106"/>
    </row>
    <row r="355">
      <c r="A355" s="106"/>
      <c r="B355" s="106"/>
    </row>
    <row r="356">
      <c r="A356" s="106"/>
      <c r="B356" s="106"/>
    </row>
    <row r="357">
      <c r="A357" s="106"/>
      <c r="B357" s="106"/>
    </row>
    <row r="358">
      <c r="A358" s="106"/>
      <c r="B358" s="106"/>
    </row>
    <row r="359">
      <c r="A359" s="106"/>
      <c r="B359" s="106"/>
    </row>
    <row r="360">
      <c r="A360" s="106"/>
      <c r="B360" s="106"/>
    </row>
    <row r="361">
      <c r="A361" s="106"/>
      <c r="B361" s="106"/>
    </row>
    <row r="362">
      <c r="A362" s="106"/>
      <c r="B362" s="106"/>
    </row>
    <row r="363">
      <c r="A363" s="106"/>
      <c r="B363" s="106"/>
    </row>
    <row r="364">
      <c r="A364" s="106"/>
      <c r="B364" s="106"/>
    </row>
    <row r="365">
      <c r="A365" s="106"/>
      <c r="B365" s="106"/>
    </row>
    <row r="366">
      <c r="A366" s="106"/>
      <c r="B366" s="106"/>
    </row>
    <row r="367">
      <c r="A367" s="106"/>
      <c r="B367" s="106"/>
    </row>
    <row r="368">
      <c r="A368" s="106"/>
      <c r="B368" s="106"/>
    </row>
    <row r="369">
      <c r="A369" s="106"/>
      <c r="B369" s="106"/>
    </row>
    <row r="370">
      <c r="A370" s="106"/>
      <c r="B370" s="106"/>
    </row>
    <row r="371">
      <c r="A371" s="106"/>
      <c r="B371" s="106"/>
    </row>
    <row r="372">
      <c r="A372" s="106"/>
      <c r="B372" s="106"/>
    </row>
    <row r="373">
      <c r="A373" s="106"/>
      <c r="B373" s="106"/>
    </row>
    <row r="374">
      <c r="A374" s="106"/>
      <c r="B374" s="106"/>
    </row>
    <row r="375">
      <c r="A375" s="106"/>
      <c r="B375" s="106"/>
    </row>
    <row r="376">
      <c r="A376" s="106"/>
      <c r="B376" s="106"/>
    </row>
    <row r="377">
      <c r="A377" s="106"/>
      <c r="B377" s="106"/>
    </row>
    <row r="378">
      <c r="A378" s="106"/>
      <c r="B378" s="106"/>
    </row>
    <row r="379">
      <c r="A379" s="106"/>
      <c r="B379" s="106"/>
    </row>
    <row r="380">
      <c r="A380" s="106"/>
      <c r="B380" s="106"/>
    </row>
    <row r="381">
      <c r="A381" s="106"/>
      <c r="B381" s="106"/>
    </row>
    <row r="382">
      <c r="A382" s="106"/>
      <c r="B382" s="106"/>
    </row>
    <row r="383">
      <c r="A383" s="106"/>
      <c r="B383" s="106"/>
    </row>
    <row r="384">
      <c r="A384" s="106"/>
      <c r="B384" s="106"/>
    </row>
    <row r="385">
      <c r="A385" s="106"/>
      <c r="B385" s="106"/>
    </row>
    <row r="386">
      <c r="A386" s="106"/>
      <c r="B386" s="106"/>
    </row>
    <row r="387">
      <c r="A387" s="106"/>
      <c r="B387" s="106"/>
    </row>
    <row r="388">
      <c r="A388" s="106"/>
      <c r="B388" s="106"/>
    </row>
    <row r="389">
      <c r="A389" s="106"/>
      <c r="B389" s="106"/>
    </row>
    <row r="390">
      <c r="A390" s="106"/>
      <c r="B390" s="106"/>
    </row>
    <row r="391">
      <c r="A391" s="106"/>
      <c r="B391" s="106"/>
    </row>
    <row r="392">
      <c r="A392" s="106"/>
      <c r="B392" s="106"/>
    </row>
    <row r="393">
      <c r="A393" s="106"/>
      <c r="B393" s="106"/>
    </row>
    <row r="394">
      <c r="A394" s="106"/>
      <c r="B394" s="106"/>
    </row>
    <row r="395">
      <c r="A395" s="106"/>
      <c r="B395" s="106"/>
    </row>
    <row r="396">
      <c r="A396" s="106"/>
      <c r="B396" s="106"/>
    </row>
    <row r="397">
      <c r="A397" s="106"/>
      <c r="B397" s="106"/>
    </row>
    <row r="398">
      <c r="A398" s="106"/>
      <c r="B398" s="106"/>
    </row>
    <row r="399">
      <c r="A399" s="106"/>
      <c r="B399" s="106"/>
    </row>
    <row r="400">
      <c r="A400" s="106"/>
      <c r="B400" s="106"/>
    </row>
    <row r="401">
      <c r="A401" s="106"/>
      <c r="B401" s="106"/>
    </row>
    <row r="402">
      <c r="A402" s="106"/>
      <c r="B402" s="106"/>
    </row>
    <row r="403">
      <c r="A403" s="106"/>
      <c r="B403" s="106"/>
    </row>
    <row r="404">
      <c r="A404" s="106"/>
      <c r="B404" s="106"/>
    </row>
    <row r="405">
      <c r="A405" s="106"/>
      <c r="B405" s="106"/>
    </row>
    <row r="406">
      <c r="A406" s="106"/>
      <c r="B406" s="106"/>
    </row>
    <row r="407">
      <c r="A407" s="106"/>
      <c r="B407" s="106"/>
    </row>
    <row r="408">
      <c r="A408" s="106"/>
      <c r="B408" s="106"/>
    </row>
    <row r="409">
      <c r="A409" s="106"/>
      <c r="B409" s="106"/>
    </row>
    <row r="410">
      <c r="A410" s="106"/>
      <c r="B410" s="106"/>
    </row>
    <row r="411">
      <c r="A411" s="106"/>
      <c r="B411" s="106"/>
    </row>
    <row r="412">
      <c r="A412" s="106"/>
      <c r="B412" s="106"/>
    </row>
    <row r="413">
      <c r="A413" s="106"/>
      <c r="B413" s="106"/>
    </row>
    <row r="414">
      <c r="A414" s="106"/>
      <c r="B414" s="106"/>
    </row>
    <row r="415">
      <c r="A415" s="106"/>
      <c r="B415" s="106"/>
    </row>
    <row r="416">
      <c r="A416" s="106"/>
      <c r="B416" s="106"/>
    </row>
    <row r="417">
      <c r="A417" s="106"/>
      <c r="B417" s="106"/>
    </row>
    <row r="418">
      <c r="A418" s="106"/>
      <c r="B418" s="106"/>
    </row>
    <row r="419">
      <c r="A419" s="106"/>
      <c r="B419" s="106"/>
    </row>
    <row r="420">
      <c r="A420" s="106"/>
      <c r="B420" s="106"/>
    </row>
    <row r="421">
      <c r="A421" s="106"/>
      <c r="B421" s="106"/>
    </row>
    <row r="422">
      <c r="A422" s="106"/>
      <c r="B422" s="106"/>
    </row>
    <row r="423">
      <c r="A423" s="106"/>
      <c r="B423" s="106"/>
    </row>
    <row r="424">
      <c r="A424" s="106"/>
      <c r="B424" s="106"/>
    </row>
    <row r="425">
      <c r="A425" s="106"/>
      <c r="B425" s="106"/>
    </row>
    <row r="426">
      <c r="A426" s="106"/>
      <c r="B426" s="106"/>
    </row>
    <row r="427">
      <c r="A427" s="106"/>
      <c r="B427" s="106"/>
    </row>
    <row r="428">
      <c r="A428" s="106"/>
      <c r="B428" s="106"/>
    </row>
    <row r="429">
      <c r="A429" s="106"/>
      <c r="B429" s="106"/>
    </row>
    <row r="430">
      <c r="A430" s="106"/>
      <c r="B430" s="106"/>
    </row>
    <row r="431">
      <c r="A431" s="106"/>
      <c r="B431" s="106"/>
    </row>
    <row r="432">
      <c r="A432" s="106"/>
      <c r="B432" s="106"/>
    </row>
    <row r="433">
      <c r="A433" s="106"/>
      <c r="B433" s="106"/>
    </row>
    <row r="434">
      <c r="A434" s="106"/>
      <c r="B434" s="106"/>
    </row>
    <row r="435">
      <c r="A435" s="106"/>
      <c r="B435" s="106"/>
    </row>
    <row r="436">
      <c r="A436" s="106"/>
      <c r="B436" s="106"/>
    </row>
    <row r="437">
      <c r="A437" s="106"/>
      <c r="B437" s="106"/>
    </row>
    <row r="438">
      <c r="A438" s="106"/>
      <c r="B438" s="106"/>
    </row>
    <row r="439">
      <c r="A439" s="106"/>
      <c r="B439" s="106"/>
    </row>
    <row r="440">
      <c r="A440" s="106"/>
      <c r="B440" s="106"/>
    </row>
    <row r="441">
      <c r="A441" s="106"/>
      <c r="B441" s="106"/>
    </row>
    <row r="442">
      <c r="A442" s="106"/>
      <c r="B442" s="106"/>
    </row>
    <row r="443">
      <c r="A443" s="106"/>
      <c r="B443" s="106"/>
    </row>
    <row r="444">
      <c r="A444" s="106"/>
      <c r="B444" s="106"/>
    </row>
    <row r="445">
      <c r="A445" s="106"/>
      <c r="B445" s="106"/>
    </row>
    <row r="446">
      <c r="A446" s="106"/>
      <c r="B446" s="106"/>
    </row>
    <row r="447">
      <c r="A447" s="106"/>
      <c r="B447" s="106"/>
    </row>
    <row r="448">
      <c r="A448" s="106"/>
      <c r="B448" s="106"/>
    </row>
    <row r="449">
      <c r="A449" s="106"/>
      <c r="B449" s="106"/>
    </row>
    <row r="450">
      <c r="A450" s="106"/>
      <c r="B450" s="106"/>
    </row>
    <row r="451">
      <c r="A451" s="106"/>
      <c r="B451" s="106"/>
    </row>
    <row r="452">
      <c r="A452" s="106"/>
      <c r="B452" s="106"/>
    </row>
    <row r="453">
      <c r="A453" s="106"/>
      <c r="B453" s="106"/>
    </row>
    <row r="454">
      <c r="A454" s="106"/>
      <c r="B454" s="106"/>
    </row>
    <row r="455">
      <c r="A455" s="106"/>
      <c r="B455" s="106"/>
    </row>
    <row r="456">
      <c r="A456" s="106"/>
      <c r="B456" s="106"/>
    </row>
    <row r="457">
      <c r="A457" s="106"/>
      <c r="B457" s="106"/>
    </row>
    <row r="458">
      <c r="A458" s="106"/>
      <c r="B458" s="106"/>
    </row>
    <row r="459">
      <c r="A459" s="106"/>
      <c r="B459" s="106"/>
    </row>
    <row r="460">
      <c r="A460" s="106"/>
      <c r="B460" s="106"/>
    </row>
    <row r="461">
      <c r="A461" s="106"/>
      <c r="B461" s="106"/>
    </row>
    <row r="462">
      <c r="A462" s="106"/>
      <c r="B462" s="106"/>
    </row>
    <row r="463">
      <c r="A463" s="106"/>
      <c r="B463" s="106"/>
    </row>
    <row r="464">
      <c r="A464" s="106"/>
      <c r="B464" s="106"/>
    </row>
    <row r="465">
      <c r="A465" s="106"/>
      <c r="B465" s="106"/>
    </row>
    <row r="466">
      <c r="A466" s="106"/>
      <c r="B466" s="106"/>
    </row>
    <row r="467">
      <c r="A467" s="106"/>
      <c r="B467" s="106"/>
    </row>
    <row r="468">
      <c r="A468" s="106"/>
      <c r="B468" s="106"/>
    </row>
    <row r="469">
      <c r="A469" s="106"/>
      <c r="B469" s="106"/>
    </row>
    <row r="470">
      <c r="A470" s="106"/>
      <c r="B470" s="106"/>
    </row>
    <row r="471">
      <c r="A471" s="106"/>
      <c r="B471" s="106"/>
    </row>
    <row r="472">
      <c r="A472" s="106"/>
      <c r="B472" s="106"/>
    </row>
    <row r="473">
      <c r="A473" s="106"/>
      <c r="B473" s="106"/>
    </row>
    <row r="474">
      <c r="A474" s="106"/>
      <c r="B474" s="106"/>
    </row>
    <row r="475">
      <c r="A475" s="106"/>
      <c r="B475" s="106"/>
    </row>
    <row r="476">
      <c r="A476" s="106"/>
      <c r="B476" s="106"/>
    </row>
    <row r="477">
      <c r="A477" s="106"/>
      <c r="B477" s="106"/>
    </row>
    <row r="478">
      <c r="A478" s="106"/>
      <c r="B478" s="106"/>
    </row>
    <row r="479">
      <c r="A479" s="106"/>
      <c r="B479" s="106"/>
    </row>
    <row r="480">
      <c r="A480" s="106"/>
      <c r="B480" s="106"/>
    </row>
    <row r="481">
      <c r="A481" s="106"/>
      <c r="B481" s="106"/>
    </row>
    <row r="482">
      <c r="A482" s="106"/>
      <c r="B482" s="106"/>
    </row>
    <row r="483">
      <c r="A483" s="106"/>
      <c r="B483" s="106"/>
    </row>
    <row r="484">
      <c r="A484" s="106"/>
      <c r="B484" s="106"/>
    </row>
    <row r="485">
      <c r="A485" s="106"/>
      <c r="B485" s="106"/>
    </row>
    <row r="486">
      <c r="A486" s="106"/>
      <c r="B486" s="106"/>
    </row>
    <row r="487">
      <c r="A487" s="106"/>
      <c r="B487" s="106"/>
    </row>
    <row r="488">
      <c r="A488" s="106"/>
      <c r="B488" s="106"/>
    </row>
    <row r="489">
      <c r="A489" s="106"/>
      <c r="B489" s="106"/>
    </row>
    <row r="490">
      <c r="A490" s="106"/>
      <c r="B490" s="106"/>
    </row>
    <row r="491">
      <c r="A491" s="106"/>
      <c r="B491" s="106"/>
    </row>
    <row r="492">
      <c r="A492" s="106"/>
      <c r="B492" s="106"/>
    </row>
    <row r="493">
      <c r="A493" s="106"/>
      <c r="B493" s="106"/>
    </row>
    <row r="494">
      <c r="A494" s="106"/>
      <c r="B494" s="106"/>
    </row>
    <row r="495">
      <c r="A495" s="106"/>
      <c r="B495" s="106"/>
    </row>
    <row r="496">
      <c r="A496" s="106"/>
      <c r="B496" s="106"/>
    </row>
    <row r="497">
      <c r="A497" s="106"/>
      <c r="B497" s="106"/>
    </row>
    <row r="498">
      <c r="A498" s="106"/>
      <c r="B498" s="106"/>
    </row>
    <row r="499">
      <c r="A499" s="106"/>
      <c r="B499" s="106"/>
    </row>
    <row r="500">
      <c r="A500" s="106"/>
      <c r="B500" s="106"/>
    </row>
    <row r="501">
      <c r="A501" s="106"/>
      <c r="B501" s="106"/>
    </row>
    <row r="502">
      <c r="A502" s="106"/>
      <c r="B502" s="106"/>
    </row>
    <row r="503">
      <c r="A503" s="106"/>
      <c r="B503" s="106"/>
    </row>
    <row r="504">
      <c r="A504" s="106"/>
      <c r="B504" s="106"/>
    </row>
    <row r="505">
      <c r="A505" s="106"/>
      <c r="B505" s="106"/>
    </row>
    <row r="506">
      <c r="A506" s="106"/>
      <c r="B506" s="106"/>
    </row>
    <row r="507">
      <c r="A507" s="106"/>
      <c r="B507" s="106"/>
    </row>
    <row r="508">
      <c r="A508" s="106"/>
      <c r="B508" s="106"/>
    </row>
    <row r="509">
      <c r="A509" s="106"/>
      <c r="B509" s="106"/>
    </row>
    <row r="510">
      <c r="A510" s="106"/>
      <c r="B510" s="106"/>
    </row>
    <row r="511">
      <c r="A511" s="106"/>
      <c r="B511" s="106"/>
    </row>
    <row r="512">
      <c r="A512" s="106"/>
      <c r="B512" s="106"/>
    </row>
    <row r="513">
      <c r="A513" s="106"/>
      <c r="B513" s="106"/>
    </row>
    <row r="514">
      <c r="A514" s="106"/>
      <c r="B514" s="106"/>
    </row>
    <row r="515">
      <c r="A515" s="106"/>
      <c r="B515" s="106"/>
    </row>
    <row r="516">
      <c r="A516" s="106"/>
      <c r="B516" s="106"/>
    </row>
    <row r="517">
      <c r="A517" s="106"/>
      <c r="B517" s="106"/>
    </row>
    <row r="518">
      <c r="A518" s="106"/>
      <c r="B518" s="106"/>
    </row>
    <row r="519">
      <c r="A519" s="106"/>
      <c r="B519" s="106"/>
    </row>
    <row r="520">
      <c r="A520" s="106"/>
      <c r="B520" s="106"/>
    </row>
    <row r="521">
      <c r="A521" s="106"/>
      <c r="B521" s="106"/>
    </row>
    <row r="522">
      <c r="A522" s="106"/>
      <c r="B522" s="106"/>
    </row>
    <row r="523">
      <c r="A523" s="106"/>
      <c r="B523" s="106"/>
    </row>
    <row r="524">
      <c r="A524" s="106"/>
      <c r="B524" s="106"/>
    </row>
    <row r="525">
      <c r="A525" s="106"/>
      <c r="B525" s="106"/>
    </row>
    <row r="526">
      <c r="A526" s="106"/>
      <c r="B526" s="106"/>
    </row>
    <row r="527">
      <c r="A527" s="106"/>
      <c r="B527" s="106"/>
    </row>
    <row r="528">
      <c r="A528" s="106"/>
      <c r="B528" s="106"/>
    </row>
    <row r="529">
      <c r="A529" s="106"/>
      <c r="B529" s="106"/>
    </row>
    <row r="530">
      <c r="A530" s="106"/>
      <c r="B530" s="106"/>
    </row>
    <row r="531">
      <c r="A531" s="106"/>
      <c r="B531" s="106"/>
    </row>
    <row r="532">
      <c r="A532" s="106"/>
      <c r="B532" s="106"/>
    </row>
    <row r="533">
      <c r="A533" s="106"/>
      <c r="B533" s="106"/>
    </row>
    <row r="534">
      <c r="A534" s="106"/>
      <c r="B534" s="106"/>
    </row>
    <row r="535">
      <c r="A535" s="106"/>
      <c r="B535" s="106"/>
    </row>
    <row r="536">
      <c r="A536" s="106"/>
      <c r="B536" s="106"/>
    </row>
    <row r="537">
      <c r="A537" s="106"/>
      <c r="B537" s="106"/>
    </row>
    <row r="538">
      <c r="A538" s="106"/>
      <c r="B538" s="106"/>
    </row>
    <row r="539">
      <c r="A539" s="106"/>
      <c r="B539" s="106"/>
    </row>
    <row r="540">
      <c r="A540" s="106"/>
      <c r="B540" s="106"/>
    </row>
    <row r="541">
      <c r="A541" s="106"/>
      <c r="B541" s="106"/>
    </row>
    <row r="542">
      <c r="A542" s="106"/>
      <c r="B542" s="106"/>
    </row>
    <row r="543">
      <c r="A543" s="106"/>
      <c r="B543" s="106"/>
    </row>
    <row r="544">
      <c r="A544" s="106"/>
      <c r="B544" s="106"/>
    </row>
    <row r="545">
      <c r="A545" s="106"/>
      <c r="B545" s="106"/>
    </row>
    <row r="546">
      <c r="A546" s="106"/>
      <c r="B546" s="106"/>
    </row>
    <row r="547">
      <c r="A547" s="106"/>
      <c r="B547" s="106"/>
    </row>
    <row r="548">
      <c r="A548" s="106"/>
      <c r="B548" s="106"/>
    </row>
    <row r="549">
      <c r="A549" s="106"/>
      <c r="B549" s="106"/>
    </row>
    <row r="550">
      <c r="A550" s="106"/>
      <c r="B550" s="106"/>
    </row>
    <row r="551">
      <c r="A551" s="106"/>
      <c r="B551" s="106"/>
    </row>
    <row r="552">
      <c r="A552" s="106"/>
      <c r="B552" s="106"/>
    </row>
    <row r="553">
      <c r="A553" s="106"/>
      <c r="B553" s="106"/>
    </row>
    <row r="554">
      <c r="A554" s="106"/>
      <c r="B554" s="106"/>
    </row>
    <row r="555">
      <c r="A555" s="106"/>
      <c r="B555" s="106"/>
    </row>
    <row r="556">
      <c r="A556" s="106"/>
      <c r="B556" s="106"/>
    </row>
    <row r="557">
      <c r="A557" s="106"/>
      <c r="B557" s="106"/>
    </row>
    <row r="558">
      <c r="A558" s="106"/>
      <c r="B558" s="106"/>
    </row>
    <row r="559">
      <c r="A559" s="106"/>
      <c r="B559" s="106"/>
    </row>
    <row r="560">
      <c r="A560" s="106"/>
      <c r="B560" s="106"/>
    </row>
    <row r="561">
      <c r="A561" s="106"/>
      <c r="B561" s="106"/>
    </row>
    <row r="562">
      <c r="A562" s="106"/>
      <c r="B562" s="106"/>
    </row>
    <row r="563">
      <c r="A563" s="106"/>
      <c r="B563" s="106"/>
    </row>
    <row r="564">
      <c r="A564" s="106"/>
      <c r="B564" s="106"/>
    </row>
    <row r="565">
      <c r="A565" s="106"/>
      <c r="B565" s="106"/>
    </row>
    <row r="566">
      <c r="A566" s="106"/>
      <c r="B566" s="106"/>
    </row>
    <row r="567">
      <c r="A567" s="106"/>
      <c r="B567" s="106"/>
    </row>
    <row r="568">
      <c r="A568" s="106"/>
      <c r="B568" s="106"/>
    </row>
    <row r="569">
      <c r="A569" s="106"/>
      <c r="B569" s="106"/>
    </row>
    <row r="570">
      <c r="A570" s="106"/>
      <c r="B570" s="106"/>
    </row>
    <row r="571">
      <c r="A571" s="106"/>
      <c r="B571" s="106"/>
    </row>
    <row r="572">
      <c r="A572" s="106"/>
      <c r="B572" s="106"/>
    </row>
    <row r="573">
      <c r="A573" s="106"/>
      <c r="B573" s="106"/>
    </row>
    <row r="574">
      <c r="A574" s="106"/>
      <c r="B574" s="106"/>
    </row>
    <row r="575">
      <c r="A575" s="106"/>
      <c r="B575" s="106"/>
    </row>
    <row r="576">
      <c r="A576" s="106"/>
      <c r="B576" s="106"/>
    </row>
    <row r="577">
      <c r="A577" s="106"/>
      <c r="B577" s="106"/>
    </row>
    <row r="578">
      <c r="A578" s="106"/>
      <c r="B578" s="106"/>
    </row>
    <row r="579">
      <c r="A579" s="106"/>
      <c r="B579" s="106"/>
    </row>
    <row r="580">
      <c r="A580" s="106"/>
      <c r="B580" s="106"/>
    </row>
    <row r="581">
      <c r="A581" s="106"/>
      <c r="B581" s="106"/>
    </row>
    <row r="582">
      <c r="A582" s="106"/>
      <c r="B582" s="106"/>
    </row>
    <row r="583">
      <c r="A583" s="106"/>
      <c r="B583" s="106"/>
    </row>
    <row r="584">
      <c r="A584" s="106"/>
      <c r="B584" s="106"/>
    </row>
    <row r="585">
      <c r="A585" s="106"/>
      <c r="B585" s="106"/>
    </row>
    <row r="586">
      <c r="A586" s="106"/>
      <c r="B586" s="106"/>
    </row>
    <row r="587">
      <c r="A587" s="106"/>
      <c r="B587" s="106"/>
    </row>
    <row r="588">
      <c r="A588" s="106"/>
      <c r="B588" s="106"/>
    </row>
    <row r="589">
      <c r="A589" s="106"/>
      <c r="B589" s="106"/>
    </row>
    <row r="590">
      <c r="A590" s="106"/>
      <c r="B590" s="106"/>
    </row>
    <row r="591">
      <c r="A591" s="106"/>
      <c r="B591" s="106"/>
    </row>
    <row r="592">
      <c r="A592" s="106"/>
      <c r="B592" s="106"/>
    </row>
    <row r="593">
      <c r="A593" s="106"/>
      <c r="B593" s="106"/>
    </row>
    <row r="594">
      <c r="A594" s="106"/>
      <c r="B594" s="106"/>
    </row>
    <row r="595">
      <c r="A595" s="106"/>
      <c r="B595" s="106"/>
    </row>
    <row r="596">
      <c r="A596" s="106"/>
      <c r="B596" s="106"/>
    </row>
    <row r="597">
      <c r="A597" s="106"/>
      <c r="B597" s="106"/>
    </row>
    <row r="598">
      <c r="A598" s="106"/>
      <c r="B598" s="106"/>
    </row>
    <row r="599">
      <c r="A599" s="106"/>
      <c r="B599" s="106"/>
    </row>
    <row r="600">
      <c r="A600" s="106"/>
      <c r="B600" s="106"/>
    </row>
    <row r="601">
      <c r="A601" s="106"/>
      <c r="B601" s="106"/>
    </row>
    <row r="602">
      <c r="A602" s="106"/>
      <c r="B602" s="106"/>
    </row>
    <row r="603">
      <c r="A603" s="106"/>
      <c r="B603" s="106"/>
    </row>
    <row r="604">
      <c r="A604" s="106"/>
      <c r="B604" s="106"/>
    </row>
    <row r="605">
      <c r="A605" s="106"/>
      <c r="B605" s="106"/>
    </row>
    <row r="606">
      <c r="A606" s="106"/>
      <c r="B606" s="106"/>
    </row>
    <row r="607">
      <c r="A607" s="106"/>
      <c r="B607" s="106"/>
    </row>
    <row r="608">
      <c r="A608" s="106"/>
      <c r="B608" s="106"/>
    </row>
    <row r="609">
      <c r="A609" s="106"/>
      <c r="B609" s="106"/>
    </row>
    <row r="610">
      <c r="A610" s="106"/>
      <c r="B610" s="106"/>
    </row>
    <row r="611">
      <c r="A611" s="106"/>
      <c r="B611" s="106"/>
    </row>
    <row r="612">
      <c r="A612" s="106"/>
      <c r="B612" s="106"/>
    </row>
    <row r="613">
      <c r="A613" s="106"/>
      <c r="B613" s="106"/>
    </row>
    <row r="614">
      <c r="A614" s="106"/>
      <c r="B614" s="106"/>
    </row>
    <row r="615">
      <c r="A615" s="106"/>
      <c r="B615" s="106"/>
    </row>
    <row r="616">
      <c r="A616" s="106"/>
      <c r="B616" s="106"/>
    </row>
    <row r="617">
      <c r="A617" s="106"/>
      <c r="B617" s="106"/>
    </row>
    <row r="618">
      <c r="A618" s="106"/>
      <c r="B618" s="106"/>
    </row>
    <row r="619">
      <c r="A619" s="106"/>
      <c r="B619" s="106"/>
    </row>
    <row r="620">
      <c r="A620" s="106"/>
      <c r="B620" s="106"/>
    </row>
    <row r="621">
      <c r="A621" s="106"/>
      <c r="B621" s="106"/>
    </row>
    <row r="622">
      <c r="A622" s="106"/>
      <c r="B622" s="106"/>
    </row>
    <row r="623">
      <c r="A623" s="106"/>
      <c r="B623" s="106"/>
    </row>
    <row r="624">
      <c r="A624" s="106"/>
      <c r="B624" s="106"/>
    </row>
    <row r="625">
      <c r="A625" s="106"/>
      <c r="B625" s="106"/>
    </row>
    <row r="626">
      <c r="A626" s="106"/>
      <c r="B626" s="106"/>
    </row>
    <row r="627">
      <c r="A627" s="106"/>
      <c r="B627" s="106"/>
    </row>
    <row r="628">
      <c r="A628" s="106"/>
      <c r="B628" s="106"/>
    </row>
    <row r="629">
      <c r="A629" s="106"/>
      <c r="B629" s="106"/>
    </row>
    <row r="630">
      <c r="A630" s="106"/>
      <c r="B630" s="106"/>
    </row>
    <row r="631">
      <c r="A631" s="106"/>
      <c r="B631" s="106"/>
    </row>
    <row r="632">
      <c r="A632" s="106"/>
      <c r="B632" s="106"/>
    </row>
    <row r="633">
      <c r="A633" s="106"/>
      <c r="B633" s="106"/>
    </row>
    <row r="634">
      <c r="A634" s="106"/>
      <c r="B634" s="106"/>
    </row>
    <row r="635">
      <c r="A635" s="106"/>
      <c r="B635" s="106"/>
    </row>
    <row r="636">
      <c r="A636" s="106"/>
      <c r="B636" s="106"/>
    </row>
    <row r="637">
      <c r="A637" s="106"/>
      <c r="B637" s="106"/>
    </row>
    <row r="638">
      <c r="A638" s="106"/>
      <c r="B638" s="106"/>
    </row>
    <row r="639">
      <c r="A639" s="106"/>
      <c r="B639" s="106"/>
    </row>
    <row r="640">
      <c r="A640" s="106"/>
      <c r="B640" s="106"/>
    </row>
    <row r="641">
      <c r="A641" s="106"/>
      <c r="B641" s="106"/>
    </row>
    <row r="642">
      <c r="A642" s="106"/>
      <c r="B642" s="106"/>
    </row>
    <row r="643">
      <c r="A643" s="106"/>
      <c r="B643" s="106"/>
    </row>
    <row r="644">
      <c r="A644" s="106"/>
      <c r="B644" s="106"/>
    </row>
    <row r="645">
      <c r="A645" s="106"/>
      <c r="B645" s="106"/>
    </row>
    <row r="646">
      <c r="A646" s="106"/>
      <c r="B646" s="106"/>
    </row>
    <row r="647">
      <c r="A647" s="106"/>
      <c r="B647" s="106"/>
    </row>
    <row r="648">
      <c r="A648" s="106"/>
      <c r="B648" s="106"/>
    </row>
    <row r="649">
      <c r="A649" s="106"/>
      <c r="B649" s="106"/>
    </row>
    <row r="650">
      <c r="A650" s="106"/>
      <c r="B650" s="106"/>
    </row>
    <row r="651">
      <c r="A651" s="106"/>
      <c r="B651" s="106"/>
    </row>
    <row r="652">
      <c r="A652" s="106"/>
      <c r="B652" s="106"/>
    </row>
    <row r="653">
      <c r="A653" s="106"/>
      <c r="B653" s="106"/>
    </row>
    <row r="654">
      <c r="A654" s="106"/>
      <c r="B654" s="106"/>
    </row>
    <row r="655">
      <c r="A655" s="106"/>
      <c r="B655" s="106"/>
    </row>
    <row r="656">
      <c r="A656" s="106"/>
      <c r="B656" s="106"/>
    </row>
    <row r="657">
      <c r="A657" s="106"/>
      <c r="B657" s="106"/>
    </row>
    <row r="658">
      <c r="A658" s="106"/>
      <c r="B658" s="106"/>
    </row>
    <row r="659">
      <c r="A659" s="106"/>
      <c r="B659" s="106"/>
    </row>
    <row r="660">
      <c r="A660" s="106"/>
      <c r="B660" s="106"/>
    </row>
    <row r="661">
      <c r="A661" s="106"/>
      <c r="B661" s="106"/>
    </row>
    <row r="662">
      <c r="A662" s="106"/>
      <c r="B662" s="106"/>
    </row>
    <row r="663">
      <c r="A663" s="106"/>
      <c r="B663" s="106"/>
    </row>
    <row r="664">
      <c r="A664" s="106"/>
      <c r="B664" s="106"/>
    </row>
    <row r="665">
      <c r="A665" s="106"/>
      <c r="B665" s="106"/>
    </row>
    <row r="666">
      <c r="A666" s="106"/>
      <c r="B666" s="106"/>
    </row>
    <row r="667">
      <c r="A667" s="106"/>
      <c r="B667" s="106"/>
    </row>
    <row r="668">
      <c r="A668" s="106"/>
      <c r="B668" s="106"/>
    </row>
    <row r="669">
      <c r="A669" s="106"/>
      <c r="B669" s="106"/>
    </row>
    <row r="670">
      <c r="A670" s="106"/>
      <c r="B670" s="106"/>
    </row>
    <row r="671">
      <c r="A671" s="106"/>
      <c r="B671" s="106"/>
    </row>
    <row r="672">
      <c r="A672" s="106"/>
      <c r="B672" s="106"/>
    </row>
    <row r="673">
      <c r="A673" s="106"/>
      <c r="B673" s="106"/>
    </row>
    <row r="674">
      <c r="A674" s="106"/>
      <c r="B674" s="106"/>
    </row>
    <row r="675">
      <c r="A675" s="106"/>
      <c r="B675" s="106"/>
    </row>
    <row r="676">
      <c r="A676" s="106"/>
      <c r="B676" s="106"/>
    </row>
    <row r="677">
      <c r="A677" s="106"/>
      <c r="B677" s="106"/>
    </row>
    <row r="678">
      <c r="A678" s="106"/>
      <c r="B678" s="106"/>
    </row>
    <row r="679">
      <c r="A679" s="106"/>
      <c r="B679" s="106"/>
    </row>
    <row r="680">
      <c r="A680" s="106"/>
      <c r="B680" s="106"/>
    </row>
    <row r="681">
      <c r="A681" s="106"/>
      <c r="B681" s="106"/>
    </row>
    <row r="682">
      <c r="A682" s="106"/>
      <c r="B682" s="106"/>
    </row>
    <row r="683">
      <c r="A683" s="106"/>
      <c r="B683" s="106"/>
    </row>
    <row r="684">
      <c r="A684" s="106"/>
      <c r="B684" s="106"/>
    </row>
    <row r="685">
      <c r="A685" s="106"/>
      <c r="B685" s="106"/>
    </row>
    <row r="686">
      <c r="A686" s="106"/>
      <c r="B686" s="106"/>
    </row>
    <row r="687">
      <c r="A687" s="106"/>
      <c r="B687" s="106"/>
    </row>
    <row r="688">
      <c r="A688" s="106"/>
      <c r="B688" s="106"/>
    </row>
    <row r="689">
      <c r="A689" s="106"/>
      <c r="B689" s="106"/>
    </row>
    <row r="690">
      <c r="A690" s="106"/>
      <c r="B690" s="106"/>
    </row>
    <row r="691">
      <c r="A691" s="106"/>
      <c r="B691" s="106"/>
    </row>
    <row r="692">
      <c r="A692" s="106"/>
      <c r="B692" s="106"/>
    </row>
    <row r="693">
      <c r="A693" s="106"/>
      <c r="B693" s="106"/>
    </row>
    <row r="694">
      <c r="A694" s="106"/>
      <c r="B694" s="106"/>
    </row>
    <row r="695">
      <c r="A695" s="106"/>
      <c r="B695" s="106"/>
    </row>
    <row r="696">
      <c r="A696" s="106"/>
      <c r="B696" s="106"/>
    </row>
    <row r="697">
      <c r="A697" s="106"/>
      <c r="B697" s="106"/>
    </row>
    <row r="698">
      <c r="A698" s="106"/>
      <c r="B698" s="106"/>
    </row>
    <row r="699">
      <c r="A699" s="106"/>
      <c r="B699" s="106"/>
    </row>
    <row r="700">
      <c r="A700" s="106"/>
      <c r="B700" s="106"/>
    </row>
    <row r="701">
      <c r="A701" s="106"/>
      <c r="B701" s="106"/>
    </row>
    <row r="702">
      <c r="A702" s="106"/>
      <c r="B702" s="106"/>
    </row>
    <row r="703">
      <c r="A703" s="106"/>
      <c r="B703" s="106"/>
    </row>
    <row r="704">
      <c r="A704" s="106"/>
      <c r="B704" s="106"/>
    </row>
    <row r="705">
      <c r="A705" s="106"/>
      <c r="B705" s="106"/>
    </row>
    <row r="706">
      <c r="A706" s="106"/>
      <c r="B706" s="106"/>
    </row>
    <row r="707">
      <c r="A707" s="106"/>
      <c r="B707" s="106"/>
    </row>
    <row r="708">
      <c r="A708" s="106"/>
      <c r="B708" s="106"/>
    </row>
    <row r="709">
      <c r="A709" s="106"/>
      <c r="B709" s="106"/>
    </row>
    <row r="710">
      <c r="A710" s="106"/>
      <c r="B710" s="106"/>
    </row>
    <row r="711">
      <c r="A711" s="106"/>
      <c r="B711" s="106"/>
    </row>
    <row r="712">
      <c r="A712" s="106"/>
      <c r="B712" s="106"/>
    </row>
    <row r="713">
      <c r="A713" s="106"/>
      <c r="B713" s="106"/>
    </row>
    <row r="714">
      <c r="A714" s="106"/>
      <c r="B714" s="106"/>
    </row>
    <row r="715">
      <c r="A715" s="106"/>
      <c r="B715" s="106"/>
    </row>
    <row r="716">
      <c r="A716" s="106"/>
      <c r="B716" s="106"/>
    </row>
    <row r="717">
      <c r="A717" s="106"/>
      <c r="B717" s="106"/>
    </row>
    <row r="718">
      <c r="A718" s="106"/>
      <c r="B718" s="106"/>
    </row>
    <row r="719">
      <c r="A719" s="106"/>
      <c r="B719" s="106"/>
    </row>
    <row r="720">
      <c r="A720" s="106"/>
      <c r="B720" s="106"/>
    </row>
    <row r="721">
      <c r="A721" s="106"/>
      <c r="B721" s="106"/>
    </row>
    <row r="722">
      <c r="A722" s="106"/>
      <c r="B722" s="106"/>
    </row>
    <row r="723">
      <c r="A723" s="106"/>
      <c r="B723" s="106"/>
    </row>
    <row r="724">
      <c r="A724" s="106"/>
      <c r="B724" s="106"/>
    </row>
    <row r="725">
      <c r="A725" s="106"/>
      <c r="B725" s="106"/>
    </row>
    <row r="726">
      <c r="A726" s="106"/>
      <c r="B726" s="106"/>
    </row>
    <row r="727">
      <c r="A727" s="106"/>
      <c r="B727" s="106"/>
    </row>
    <row r="728">
      <c r="A728" s="106"/>
      <c r="B728" s="106"/>
    </row>
    <row r="729">
      <c r="A729" s="106"/>
      <c r="B729" s="106"/>
    </row>
    <row r="730">
      <c r="A730" s="106"/>
      <c r="B730" s="106"/>
    </row>
    <row r="731">
      <c r="A731" s="106"/>
      <c r="B731" s="106"/>
    </row>
    <row r="732">
      <c r="A732" s="106"/>
      <c r="B732" s="106"/>
    </row>
    <row r="733">
      <c r="A733" s="106"/>
      <c r="B733" s="106"/>
    </row>
    <row r="734">
      <c r="A734" s="106"/>
      <c r="B734" s="106"/>
    </row>
    <row r="735">
      <c r="A735" s="106"/>
      <c r="B735" s="106"/>
    </row>
    <row r="736">
      <c r="A736" s="106"/>
      <c r="B736" s="106"/>
    </row>
    <row r="737">
      <c r="A737" s="106"/>
      <c r="B737" s="106"/>
    </row>
    <row r="738">
      <c r="A738" s="106"/>
      <c r="B738" s="106"/>
    </row>
    <row r="739">
      <c r="A739" s="106"/>
      <c r="B739" s="106"/>
    </row>
    <row r="740">
      <c r="A740" s="106"/>
      <c r="B740" s="106"/>
    </row>
    <row r="741">
      <c r="A741" s="106"/>
      <c r="B741" s="106"/>
    </row>
    <row r="742">
      <c r="A742" s="106"/>
      <c r="B742" s="106"/>
    </row>
    <row r="743">
      <c r="A743" s="106"/>
      <c r="B743" s="106"/>
    </row>
    <row r="744">
      <c r="A744" s="106"/>
      <c r="B744" s="106"/>
    </row>
    <row r="745">
      <c r="A745" s="106"/>
      <c r="B745" s="106"/>
    </row>
    <row r="746">
      <c r="A746" s="106"/>
      <c r="B746" s="106"/>
    </row>
    <row r="747">
      <c r="A747" s="106"/>
      <c r="B747" s="106"/>
    </row>
    <row r="748">
      <c r="A748" s="106"/>
      <c r="B748" s="106"/>
    </row>
    <row r="749">
      <c r="A749" s="106"/>
      <c r="B749" s="106"/>
    </row>
    <row r="750">
      <c r="A750" s="106"/>
      <c r="B750" s="106"/>
    </row>
    <row r="751">
      <c r="A751" s="106"/>
      <c r="B751" s="106"/>
    </row>
    <row r="752">
      <c r="A752" s="106"/>
      <c r="B752" s="106"/>
    </row>
    <row r="753">
      <c r="A753" s="106"/>
      <c r="B753" s="106"/>
    </row>
    <row r="754">
      <c r="A754" s="106"/>
      <c r="B754" s="106"/>
    </row>
    <row r="755">
      <c r="A755" s="106"/>
      <c r="B755" s="106"/>
    </row>
    <row r="756">
      <c r="A756" s="106"/>
      <c r="B756" s="106"/>
    </row>
    <row r="757">
      <c r="A757" s="106"/>
      <c r="B757" s="106"/>
    </row>
    <row r="758">
      <c r="A758" s="106"/>
      <c r="B758" s="106"/>
    </row>
    <row r="759">
      <c r="A759" s="106"/>
      <c r="B759" s="106"/>
    </row>
    <row r="760">
      <c r="A760" s="106"/>
      <c r="B760" s="106"/>
    </row>
    <row r="761">
      <c r="A761" s="106"/>
      <c r="B761" s="106"/>
    </row>
    <row r="762">
      <c r="A762" s="106"/>
      <c r="B762" s="106"/>
    </row>
    <row r="763">
      <c r="A763" s="106"/>
      <c r="B763" s="106"/>
    </row>
    <row r="764">
      <c r="A764" s="106"/>
      <c r="B764" s="106"/>
    </row>
    <row r="765">
      <c r="A765" s="106"/>
      <c r="B765" s="106"/>
    </row>
    <row r="766">
      <c r="A766" s="106"/>
      <c r="B766" s="106"/>
    </row>
    <row r="767">
      <c r="A767" s="106"/>
      <c r="B767" s="106"/>
    </row>
    <row r="768">
      <c r="A768" s="106"/>
      <c r="B768" s="106"/>
    </row>
    <row r="769">
      <c r="A769" s="106"/>
      <c r="B769" s="106"/>
    </row>
    <row r="770">
      <c r="A770" s="106"/>
      <c r="B770" s="106"/>
    </row>
    <row r="771">
      <c r="A771" s="106"/>
      <c r="B771" s="106"/>
    </row>
    <row r="772">
      <c r="A772" s="106"/>
      <c r="B772" s="106"/>
    </row>
    <row r="773">
      <c r="A773" s="106"/>
      <c r="B773" s="106"/>
    </row>
    <row r="774">
      <c r="A774" s="106"/>
      <c r="B774" s="106"/>
    </row>
    <row r="775">
      <c r="A775" s="106"/>
      <c r="B775" s="106"/>
    </row>
    <row r="776">
      <c r="A776" s="106"/>
      <c r="B776" s="106"/>
    </row>
    <row r="777">
      <c r="A777" s="106"/>
      <c r="B777" s="106"/>
    </row>
    <row r="778">
      <c r="A778" s="106"/>
      <c r="B778" s="106"/>
    </row>
    <row r="779">
      <c r="A779" s="106"/>
      <c r="B779" s="106"/>
    </row>
    <row r="780">
      <c r="A780" s="106"/>
      <c r="B780" s="106"/>
    </row>
    <row r="781">
      <c r="A781" s="106"/>
      <c r="B781" s="106"/>
    </row>
    <row r="782">
      <c r="A782" s="106"/>
      <c r="B782" s="106"/>
    </row>
    <row r="783">
      <c r="A783" s="106"/>
      <c r="B783" s="106"/>
    </row>
    <row r="784">
      <c r="A784" s="106"/>
      <c r="B784" s="106"/>
    </row>
    <row r="785">
      <c r="A785" s="106"/>
      <c r="B785" s="106"/>
    </row>
    <row r="786">
      <c r="A786" s="106"/>
      <c r="B786" s="106"/>
    </row>
    <row r="787">
      <c r="A787" s="106"/>
      <c r="B787" s="106"/>
    </row>
    <row r="788">
      <c r="A788" s="106"/>
      <c r="B788" s="106"/>
    </row>
    <row r="789">
      <c r="A789" s="106"/>
      <c r="B789" s="106"/>
    </row>
    <row r="790">
      <c r="A790" s="106"/>
      <c r="B790" s="106"/>
    </row>
    <row r="791">
      <c r="A791" s="106"/>
      <c r="B791" s="106"/>
    </row>
    <row r="792">
      <c r="A792" s="106"/>
      <c r="B792" s="106"/>
    </row>
    <row r="793">
      <c r="A793" s="106"/>
      <c r="B793" s="106"/>
    </row>
    <row r="794">
      <c r="A794" s="106"/>
      <c r="B794" s="106"/>
    </row>
    <row r="795">
      <c r="A795" s="106"/>
      <c r="B795" s="106"/>
    </row>
    <row r="796">
      <c r="A796" s="106"/>
      <c r="B796" s="106"/>
    </row>
    <row r="797">
      <c r="A797" s="106"/>
      <c r="B797" s="106"/>
    </row>
    <row r="798">
      <c r="A798" s="106"/>
      <c r="B798" s="106"/>
    </row>
    <row r="799">
      <c r="A799" s="106"/>
      <c r="B799" s="106"/>
    </row>
    <row r="800">
      <c r="A800" s="106"/>
      <c r="B800" s="106"/>
    </row>
    <row r="801">
      <c r="A801" s="106"/>
      <c r="B801" s="106"/>
    </row>
    <row r="802">
      <c r="A802" s="106"/>
      <c r="B802" s="106"/>
    </row>
    <row r="803">
      <c r="A803" s="106"/>
      <c r="B803" s="106"/>
    </row>
    <row r="804">
      <c r="A804" s="106"/>
      <c r="B804" s="106"/>
    </row>
    <row r="805">
      <c r="A805" s="106"/>
      <c r="B805" s="106"/>
    </row>
    <row r="806">
      <c r="A806" s="106"/>
      <c r="B806" s="106"/>
    </row>
    <row r="807">
      <c r="A807" s="106"/>
      <c r="B807" s="106"/>
    </row>
    <row r="808">
      <c r="A808" s="106"/>
      <c r="B808" s="106"/>
    </row>
    <row r="809">
      <c r="A809" s="106"/>
      <c r="B809" s="106"/>
    </row>
    <row r="810">
      <c r="A810" s="106"/>
      <c r="B810" s="106"/>
    </row>
    <row r="811">
      <c r="A811" s="106"/>
      <c r="B811" s="106"/>
    </row>
    <row r="812">
      <c r="A812" s="106"/>
      <c r="B812" s="106"/>
    </row>
    <row r="813">
      <c r="A813" s="106"/>
      <c r="B813" s="106"/>
    </row>
    <row r="814">
      <c r="A814" s="106"/>
      <c r="B814" s="106"/>
    </row>
    <row r="815">
      <c r="A815" s="106"/>
      <c r="B815" s="106"/>
    </row>
    <row r="816">
      <c r="A816" s="106"/>
      <c r="B816" s="106"/>
    </row>
    <row r="817">
      <c r="A817" s="106"/>
      <c r="B817" s="106"/>
    </row>
    <row r="818">
      <c r="A818" s="106"/>
      <c r="B818" s="106"/>
    </row>
    <row r="819">
      <c r="A819" s="106"/>
      <c r="B819" s="106"/>
    </row>
    <row r="820">
      <c r="A820" s="106"/>
      <c r="B820" s="106"/>
    </row>
    <row r="821">
      <c r="A821" s="106"/>
      <c r="B821" s="106"/>
    </row>
    <row r="822">
      <c r="A822" s="106"/>
      <c r="B822" s="106"/>
    </row>
    <row r="823">
      <c r="A823" s="106"/>
      <c r="B823" s="106"/>
    </row>
    <row r="824">
      <c r="A824" s="106"/>
      <c r="B824" s="106"/>
    </row>
    <row r="825">
      <c r="A825" s="106"/>
      <c r="B825" s="106"/>
    </row>
    <row r="826">
      <c r="A826" s="106"/>
      <c r="B826" s="106"/>
    </row>
    <row r="827">
      <c r="A827" s="106"/>
      <c r="B827" s="106"/>
    </row>
    <row r="828">
      <c r="A828" s="106"/>
      <c r="B828" s="106"/>
    </row>
    <row r="829">
      <c r="A829" s="106"/>
      <c r="B829" s="106"/>
    </row>
    <row r="830">
      <c r="A830" s="106"/>
      <c r="B830" s="106"/>
    </row>
    <row r="831">
      <c r="A831" s="106"/>
      <c r="B831" s="106"/>
    </row>
    <row r="832">
      <c r="A832" s="106"/>
      <c r="B832" s="106"/>
    </row>
    <row r="833">
      <c r="A833" s="106"/>
      <c r="B833" s="106"/>
    </row>
    <row r="834">
      <c r="A834" s="106"/>
      <c r="B834" s="106"/>
    </row>
    <row r="835">
      <c r="A835" s="106"/>
      <c r="B835" s="106"/>
    </row>
    <row r="836">
      <c r="A836" s="106"/>
      <c r="B836" s="106"/>
    </row>
    <row r="837">
      <c r="A837" s="106"/>
      <c r="B837" s="106"/>
    </row>
    <row r="838">
      <c r="A838" s="106"/>
      <c r="B838" s="106"/>
    </row>
    <row r="839">
      <c r="A839" s="106"/>
      <c r="B839" s="106"/>
    </row>
    <row r="840">
      <c r="A840" s="106"/>
      <c r="B840" s="106"/>
    </row>
    <row r="841">
      <c r="A841" s="106"/>
      <c r="B841" s="106"/>
    </row>
    <row r="842">
      <c r="A842" s="106"/>
      <c r="B842" s="106"/>
    </row>
    <row r="843">
      <c r="A843" s="106"/>
      <c r="B843" s="106"/>
    </row>
    <row r="844">
      <c r="A844" s="106"/>
      <c r="B844" s="106"/>
    </row>
    <row r="845">
      <c r="A845" s="106"/>
      <c r="B845" s="106"/>
    </row>
    <row r="846">
      <c r="A846" s="106"/>
      <c r="B846" s="106"/>
    </row>
    <row r="847">
      <c r="A847" s="106"/>
      <c r="B847" s="106"/>
    </row>
    <row r="848">
      <c r="A848" s="106"/>
      <c r="B848" s="106"/>
    </row>
    <row r="849">
      <c r="A849" s="106"/>
      <c r="B849" s="106"/>
    </row>
    <row r="850">
      <c r="A850" s="106"/>
      <c r="B850" s="106"/>
    </row>
    <row r="851">
      <c r="A851" s="106"/>
      <c r="B851" s="106"/>
    </row>
    <row r="852">
      <c r="A852" s="106"/>
      <c r="B852" s="106"/>
    </row>
    <row r="853">
      <c r="A853" s="106"/>
      <c r="B853" s="106"/>
    </row>
    <row r="854">
      <c r="A854" s="106"/>
      <c r="B854" s="106"/>
    </row>
    <row r="855">
      <c r="A855" s="106"/>
      <c r="B855" s="106"/>
    </row>
    <row r="856">
      <c r="A856" s="106"/>
      <c r="B856" s="106"/>
    </row>
    <row r="857">
      <c r="A857" s="106"/>
      <c r="B857" s="106"/>
    </row>
    <row r="858">
      <c r="A858" s="106"/>
      <c r="B858" s="106"/>
    </row>
    <row r="859">
      <c r="A859" s="106"/>
      <c r="B859" s="106"/>
    </row>
    <row r="860">
      <c r="A860" s="106"/>
      <c r="B860" s="106"/>
    </row>
    <row r="861">
      <c r="A861" s="106"/>
      <c r="B861" s="106"/>
    </row>
    <row r="862">
      <c r="A862" s="106"/>
      <c r="B862" s="106"/>
    </row>
    <row r="863">
      <c r="A863" s="106"/>
      <c r="B863" s="106"/>
    </row>
    <row r="864">
      <c r="A864" s="106"/>
      <c r="B864" s="106"/>
    </row>
    <row r="865">
      <c r="A865" s="106"/>
      <c r="B865" s="106"/>
    </row>
    <row r="866">
      <c r="A866" s="106"/>
      <c r="B866" s="106"/>
    </row>
    <row r="867">
      <c r="A867" s="106"/>
      <c r="B867" s="106"/>
    </row>
    <row r="868">
      <c r="A868" s="106"/>
      <c r="B868" s="106"/>
    </row>
    <row r="869">
      <c r="A869" s="106"/>
      <c r="B869" s="106"/>
    </row>
    <row r="870">
      <c r="A870" s="106"/>
      <c r="B870" s="106"/>
    </row>
    <row r="871">
      <c r="A871" s="106"/>
      <c r="B871" s="106"/>
    </row>
    <row r="872">
      <c r="A872" s="106"/>
      <c r="B872" s="106"/>
    </row>
    <row r="873">
      <c r="A873" s="106"/>
      <c r="B873" s="106"/>
    </row>
    <row r="874">
      <c r="A874" s="106"/>
      <c r="B874" s="106"/>
    </row>
    <row r="875">
      <c r="A875" s="106"/>
      <c r="B875" s="106"/>
    </row>
    <row r="876">
      <c r="A876" s="106"/>
      <c r="B876" s="106"/>
    </row>
    <row r="877">
      <c r="A877" s="106"/>
      <c r="B877" s="106"/>
    </row>
    <row r="878">
      <c r="A878" s="106"/>
      <c r="B878" s="106"/>
    </row>
    <row r="879">
      <c r="A879" s="106"/>
      <c r="B879" s="106"/>
    </row>
    <row r="880">
      <c r="A880" s="106"/>
      <c r="B880" s="106"/>
    </row>
    <row r="881">
      <c r="A881" s="106"/>
      <c r="B881" s="106"/>
    </row>
    <row r="882">
      <c r="A882" s="106"/>
      <c r="B882" s="106"/>
    </row>
    <row r="883">
      <c r="A883" s="106"/>
      <c r="B883" s="106"/>
    </row>
    <row r="884">
      <c r="A884" s="106"/>
      <c r="B884" s="106"/>
    </row>
    <row r="885">
      <c r="A885" s="106"/>
      <c r="B885" s="106"/>
    </row>
    <row r="886">
      <c r="A886" s="106"/>
      <c r="B886" s="106"/>
    </row>
    <row r="887">
      <c r="A887" s="106"/>
      <c r="B887" s="106"/>
    </row>
    <row r="888">
      <c r="A888" s="106"/>
      <c r="B888" s="106"/>
    </row>
    <row r="889">
      <c r="A889" s="106"/>
      <c r="B889" s="106"/>
    </row>
    <row r="890">
      <c r="A890" s="106"/>
      <c r="B890" s="106"/>
    </row>
    <row r="891">
      <c r="A891" s="106"/>
      <c r="B891" s="106"/>
    </row>
    <row r="892">
      <c r="A892" s="106"/>
      <c r="B892" s="106"/>
    </row>
    <row r="893">
      <c r="A893" s="106"/>
      <c r="B893" s="106"/>
    </row>
    <row r="894">
      <c r="A894" s="106"/>
      <c r="B894" s="106"/>
    </row>
    <row r="895">
      <c r="A895" s="106"/>
      <c r="B895" s="106"/>
    </row>
    <row r="896">
      <c r="A896" s="106"/>
      <c r="B896" s="106"/>
    </row>
    <row r="897">
      <c r="A897" s="106"/>
      <c r="B897" s="106"/>
    </row>
    <row r="898">
      <c r="A898" s="106"/>
      <c r="B898" s="106"/>
    </row>
    <row r="899">
      <c r="A899" s="106"/>
      <c r="B899" s="106"/>
    </row>
    <row r="900">
      <c r="A900" s="106"/>
      <c r="B900" s="106"/>
    </row>
    <row r="901">
      <c r="A901" s="106"/>
      <c r="B901" s="106"/>
    </row>
    <row r="902">
      <c r="A902" s="106"/>
      <c r="B902" s="106"/>
    </row>
    <row r="903">
      <c r="A903" s="106"/>
      <c r="B903" s="106"/>
    </row>
    <row r="904">
      <c r="A904" s="106"/>
      <c r="B904" s="106"/>
    </row>
    <row r="905">
      <c r="A905" s="106"/>
      <c r="B905" s="106"/>
    </row>
    <row r="906">
      <c r="A906" s="106"/>
      <c r="B906" s="106"/>
    </row>
    <row r="907">
      <c r="A907" s="106"/>
      <c r="B907" s="106"/>
    </row>
    <row r="908">
      <c r="A908" s="106"/>
      <c r="B908" s="106"/>
    </row>
    <row r="909">
      <c r="A909" s="106"/>
      <c r="B909" s="106"/>
    </row>
    <row r="910">
      <c r="A910" s="106"/>
      <c r="B910" s="106"/>
    </row>
    <row r="911">
      <c r="A911" s="106"/>
      <c r="B911" s="106"/>
    </row>
    <row r="912">
      <c r="A912" s="106"/>
      <c r="B912" s="106"/>
    </row>
    <row r="913">
      <c r="A913" s="106"/>
      <c r="B913" s="106"/>
    </row>
    <row r="914">
      <c r="A914" s="106"/>
      <c r="B914" s="106"/>
    </row>
    <row r="915">
      <c r="A915" s="106"/>
      <c r="B915" s="106"/>
    </row>
    <row r="916">
      <c r="A916" s="106"/>
      <c r="B916" s="106"/>
    </row>
    <row r="917">
      <c r="A917" s="106"/>
      <c r="B917" s="106"/>
    </row>
    <row r="918">
      <c r="A918" s="106"/>
      <c r="B918" s="106"/>
    </row>
    <row r="919">
      <c r="A919" s="106"/>
      <c r="B919" s="106"/>
    </row>
    <row r="920">
      <c r="A920" s="106"/>
      <c r="B920" s="106"/>
    </row>
    <row r="921">
      <c r="A921" s="106"/>
      <c r="B921" s="106"/>
    </row>
    <row r="922">
      <c r="A922" s="106"/>
      <c r="B922" s="106"/>
    </row>
    <row r="923">
      <c r="A923" s="106"/>
      <c r="B923" s="106"/>
    </row>
    <row r="924">
      <c r="A924" s="106"/>
      <c r="B924" s="106"/>
    </row>
    <row r="925">
      <c r="A925" s="106"/>
      <c r="B925" s="106"/>
    </row>
    <row r="926">
      <c r="A926" s="106"/>
      <c r="B926" s="106"/>
    </row>
    <row r="927">
      <c r="A927" s="106"/>
      <c r="B927" s="106"/>
    </row>
    <row r="928">
      <c r="A928" s="106"/>
      <c r="B928" s="106"/>
    </row>
    <row r="929">
      <c r="A929" s="106"/>
      <c r="B929" s="106"/>
    </row>
    <row r="930">
      <c r="A930" s="106"/>
      <c r="B930" s="106"/>
    </row>
    <row r="931">
      <c r="A931" s="106"/>
      <c r="B931" s="106"/>
    </row>
    <row r="932">
      <c r="A932" s="106"/>
      <c r="B932" s="106"/>
    </row>
    <row r="933">
      <c r="A933" s="106"/>
      <c r="B933" s="106"/>
    </row>
    <row r="934">
      <c r="A934" s="106"/>
      <c r="B934" s="106"/>
    </row>
    <row r="935">
      <c r="A935" s="106"/>
      <c r="B935" s="106"/>
    </row>
    <row r="936">
      <c r="A936" s="106"/>
      <c r="B936" s="106"/>
    </row>
    <row r="937">
      <c r="A937" s="106"/>
      <c r="B937" s="106"/>
    </row>
    <row r="938">
      <c r="A938" s="106"/>
      <c r="B938" s="106"/>
    </row>
    <row r="939">
      <c r="A939" s="106"/>
      <c r="B939" s="106"/>
    </row>
    <row r="940">
      <c r="A940" s="106"/>
      <c r="B940" s="106"/>
    </row>
    <row r="941">
      <c r="A941" s="106"/>
      <c r="B941" s="106"/>
    </row>
    <row r="942">
      <c r="A942" s="106"/>
      <c r="B942" s="106"/>
    </row>
    <row r="943">
      <c r="A943" s="106"/>
      <c r="B943" s="106"/>
    </row>
    <row r="944">
      <c r="A944" s="106"/>
      <c r="B944" s="106"/>
    </row>
    <row r="945">
      <c r="A945" s="106"/>
      <c r="B945" s="106"/>
    </row>
    <row r="946">
      <c r="A946" s="106"/>
      <c r="B946" s="106"/>
    </row>
    <row r="947">
      <c r="A947" s="106"/>
      <c r="B947" s="106"/>
    </row>
    <row r="948">
      <c r="A948" s="106"/>
      <c r="B948" s="106"/>
    </row>
    <row r="949">
      <c r="A949" s="106"/>
      <c r="B949" s="106"/>
    </row>
    <row r="950">
      <c r="A950" s="106"/>
      <c r="B950" s="106"/>
    </row>
    <row r="951">
      <c r="A951" s="106"/>
      <c r="B951" s="106"/>
    </row>
    <row r="952">
      <c r="A952" s="106"/>
      <c r="B952" s="106"/>
    </row>
    <row r="953">
      <c r="A953" s="106"/>
      <c r="B953" s="106"/>
    </row>
    <row r="954">
      <c r="A954" s="106"/>
      <c r="B954" s="106"/>
    </row>
    <row r="955">
      <c r="A955" s="106"/>
      <c r="B955" s="106"/>
    </row>
    <row r="956">
      <c r="A956" s="106"/>
      <c r="B956" s="106"/>
    </row>
    <row r="957">
      <c r="A957" s="106"/>
      <c r="B957" s="106"/>
    </row>
    <row r="958">
      <c r="A958" s="106"/>
      <c r="B958" s="106"/>
    </row>
    <row r="959">
      <c r="A959" s="106"/>
      <c r="B959" s="106"/>
    </row>
    <row r="960">
      <c r="A960" s="106"/>
      <c r="B960" s="106"/>
    </row>
    <row r="961">
      <c r="A961" s="106"/>
      <c r="B961" s="106"/>
    </row>
    <row r="962">
      <c r="A962" s="106"/>
      <c r="B962" s="106"/>
    </row>
    <row r="963">
      <c r="A963" s="106"/>
      <c r="B963" s="106"/>
    </row>
    <row r="964">
      <c r="A964" s="106"/>
      <c r="B964" s="106"/>
    </row>
    <row r="965">
      <c r="A965" s="106"/>
      <c r="B965" s="106"/>
    </row>
    <row r="966">
      <c r="A966" s="106"/>
      <c r="B966" s="106"/>
    </row>
    <row r="967">
      <c r="A967" s="106"/>
      <c r="B967" s="106"/>
    </row>
    <row r="968">
      <c r="A968" s="106"/>
      <c r="B968" s="106"/>
    </row>
    <row r="969">
      <c r="A969" s="106"/>
      <c r="B969" s="106"/>
    </row>
    <row r="970">
      <c r="A970" s="106"/>
      <c r="B970" s="106"/>
    </row>
    <row r="971">
      <c r="A971" s="106"/>
      <c r="B971" s="106"/>
    </row>
    <row r="972">
      <c r="A972" s="106"/>
      <c r="B972" s="106"/>
    </row>
    <row r="973">
      <c r="A973" s="106"/>
      <c r="B973" s="106"/>
    </row>
    <row r="974">
      <c r="A974" s="106"/>
      <c r="B974" s="106"/>
    </row>
    <row r="975">
      <c r="A975" s="106"/>
      <c r="B975" s="106"/>
    </row>
    <row r="976">
      <c r="A976" s="106"/>
      <c r="B976" s="106"/>
    </row>
    <row r="977">
      <c r="A977" s="106"/>
      <c r="B977" s="106"/>
    </row>
    <row r="978">
      <c r="A978" s="106"/>
      <c r="B978" s="106"/>
    </row>
    <row r="979">
      <c r="A979" s="106"/>
      <c r="B979" s="106"/>
    </row>
    <row r="980">
      <c r="A980" s="106"/>
      <c r="B980" s="106"/>
    </row>
    <row r="981">
      <c r="A981" s="106"/>
      <c r="B981" s="106"/>
    </row>
    <row r="982">
      <c r="A982" s="106"/>
      <c r="B982" s="106"/>
    </row>
    <row r="983">
      <c r="A983" s="106"/>
      <c r="B983" s="106"/>
    </row>
    <row r="984">
      <c r="A984" s="106"/>
      <c r="B984" s="106"/>
    </row>
    <row r="985">
      <c r="A985" s="106"/>
      <c r="B985" s="106"/>
    </row>
    <row r="986">
      <c r="A986" s="106"/>
      <c r="B986" s="106"/>
    </row>
    <row r="987">
      <c r="A987" s="106"/>
      <c r="B987" s="106"/>
    </row>
    <row r="988">
      <c r="A988" s="106"/>
      <c r="B988" s="106"/>
    </row>
    <row r="989">
      <c r="A989" s="106"/>
      <c r="B989" s="106"/>
    </row>
    <row r="990">
      <c r="A990" s="106"/>
      <c r="B990" s="106"/>
    </row>
    <row r="991">
      <c r="A991" s="106"/>
      <c r="B991" s="106"/>
    </row>
    <row r="992">
      <c r="A992" s="106"/>
      <c r="B992" s="106"/>
    </row>
    <row r="993">
      <c r="A993" s="106"/>
      <c r="B993" s="106"/>
    </row>
    <row r="994">
      <c r="A994" s="106"/>
      <c r="B994" s="106"/>
    </row>
    <row r="995">
      <c r="A995" s="106"/>
      <c r="B995" s="106"/>
    </row>
    <row r="996">
      <c r="A996" s="106"/>
      <c r="B996" s="106"/>
    </row>
    <row r="997">
      <c r="A997" s="106"/>
      <c r="B997" s="106"/>
    </row>
    <row r="998">
      <c r="A998" s="106"/>
      <c r="B998" s="106"/>
    </row>
    <row r="999">
      <c r="A999" s="106"/>
      <c r="B999" s="106"/>
    </row>
    <row r="1000">
      <c r="A1000" s="106"/>
      <c r="B1000" s="10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6.25"/>
    <col customWidth="1" min="2" max="3" width="12.63"/>
    <col customWidth="1" min="4" max="4" width="14.38"/>
    <col customWidth="1" min="5" max="5" width="15.88"/>
    <col customWidth="1" min="6" max="6" width="12.63"/>
    <col customWidth="1" min="10" max="10" width="18.38"/>
  </cols>
  <sheetData>
    <row r="1" ht="15.75" customHeight="1">
      <c r="A1" s="107" t="s">
        <v>2600</v>
      </c>
      <c r="B1" s="108" t="s">
        <v>2601</v>
      </c>
      <c r="C1" s="108" t="s">
        <v>171</v>
      </c>
      <c r="D1" s="108" t="s">
        <v>2602</v>
      </c>
      <c r="E1" s="108" t="s">
        <v>14</v>
      </c>
      <c r="F1" s="108" t="s">
        <v>2603</v>
      </c>
      <c r="G1" s="108" t="s">
        <v>2604</v>
      </c>
      <c r="H1" s="108" t="s">
        <v>2605</v>
      </c>
      <c r="I1" s="108" t="s">
        <v>2606</v>
      </c>
      <c r="J1" s="108" t="s">
        <v>2607</v>
      </c>
      <c r="K1" s="109"/>
      <c r="L1" s="109"/>
      <c r="M1" s="110"/>
      <c r="N1" s="110"/>
      <c r="O1" s="110"/>
      <c r="P1" s="110"/>
      <c r="Q1" s="110"/>
      <c r="R1" s="110"/>
      <c r="S1" s="110"/>
      <c r="T1" s="110"/>
      <c r="U1" s="110"/>
      <c r="V1" s="110"/>
      <c r="W1" s="110"/>
      <c r="X1" s="110"/>
      <c r="Y1" s="110"/>
      <c r="Z1" s="110"/>
    </row>
    <row r="2" ht="15.75" customHeight="1">
      <c r="A2" s="111" t="s">
        <v>2608</v>
      </c>
      <c r="B2" s="112" t="s">
        <v>2609</v>
      </c>
      <c r="C2" s="112" t="s">
        <v>2609</v>
      </c>
      <c r="D2" s="112" t="s">
        <v>2609</v>
      </c>
      <c r="E2" s="112" t="s">
        <v>150</v>
      </c>
      <c r="F2" s="112" t="s">
        <v>150</v>
      </c>
      <c r="G2" s="112" t="s">
        <v>150</v>
      </c>
      <c r="H2" s="112"/>
      <c r="I2" s="112"/>
      <c r="J2" s="112"/>
      <c r="K2" s="113"/>
      <c r="L2" s="113"/>
    </row>
    <row r="3" ht="15.75" customHeight="1">
      <c r="A3" s="111" t="s">
        <v>2610</v>
      </c>
      <c r="B3" s="112" t="s">
        <v>2609</v>
      </c>
      <c r="C3" s="112"/>
      <c r="D3" s="114"/>
      <c r="E3" s="112" t="s">
        <v>2611</v>
      </c>
      <c r="F3" s="112" t="s">
        <v>338</v>
      </c>
      <c r="G3" s="112" t="s">
        <v>150</v>
      </c>
      <c r="H3" s="112"/>
      <c r="I3" s="112"/>
      <c r="J3" s="112"/>
      <c r="K3" s="113"/>
      <c r="L3" s="113"/>
    </row>
    <row r="4" ht="15.75" customHeight="1">
      <c r="A4" s="115" t="s">
        <v>2612</v>
      </c>
      <c r="B4" s="116" t="s">
        <v>2609</v>
      </c>
      <c r="C4" s="116" t="s">
        <v>2609</v>
      </c>
      <c r="D4" s="116" t="s">
        <v>2609</v>
      </c>
      <c r="E4" s="116">
        <v>267.0</v>
      </c>
      <c r="F4" s="116">
        <v>264.0</v>
      </c>
      <c r="G4" s="116" t="s">
        <v>150</v>
      </c>
      <c r="H4" s="116"/>
      <c r="I4" s="116"/>
      <c r="J4" s="116"/>
      <c r="K4" s="113"/>
      <c r="L4" s="113"/>
    </row>
    <row r="5" ht="15.75" customHeight="1">
      <c r="A5" s="115" t="s">
        <v>2613</v>
      </c>
      <c r="B5" s="116" t="s">
        <v>2609</v>
      </c>
      <c r="C5" s="116" t="s">
        <v>2609</v>
      </c>
      <c r="D5" s="116" t="s">
        <v>2609</v>
      </c>
      <c r="E5" s="116">
        <v>266.0</v>
      </c>
      <c r="F5" s="116">
        <v>266.0</v>
      </c>
      <c r="G5" s="116" t="s">
        <v>150</v>
      </c>
      <c r="H5" s="116"/>
      <c r="I5" s="116"/>
      <c r="J5" s="116"/>
      <c r="K5" s="113"/>
      <c r="L5" s="113"/>
    </row>
    <row r="6" ht="15.75" customHeight="1">
      <c r="A6" s="117" t="s">
        <v>2614</v>
      </c>
      <c r="B6" s="112" t="s">
        <v>2609</v>
      </c>
      <c r="C6" s="112" t="s">
        <v>2609</v>
      </c>
      <c r="D6" s="112" t="s">
        <v>2609</v>
      </c>
      <c r="E6" s="112">
        <v>259.0</v>
      </c>
      <c r="F6" s="112">
        <v>261.0</v>
      </c>
      <c r="G6" s="112" t="s">
        <v>150</v>
      </c>
      <c r="H6" s="112"/>
      <c r="I6" s="112"/>
      <c r="J6" s="112"/>
      <c r="K6" s="113"/>
      <c r="L6" s="113"/>
    </row>
    <row r="7" ht="15.75" customHeight="1">
      <c r="A7" s="111" t="s">
        <v>2615</v>
      </c>
      <c r="B7" s="112" t="s">
        <v>2609</v>
      </c>
      <c r="C7" s="112" t="s">
        <v>2609</v>
      </c>
      <c r="D7" s="112" t="s">
        <v>2609</v>
      </c>
      <c r="E7" s="112" t="s">
        <v>2616</v>
      </c>
      <c r="F7" s="112" t="s">
        <v>2617</v>
      </c>
      <c r="G7" s="112" t="s">
        <v>150</v>
      </c>
      <c r="H7" s="112"/>
      <c r="I7" s="112"/>
      <c r="J7" s="112"/>
      <c r="K7" s="113"/>
      <c r="L7" s="113"/>
    </row>
    <row r="8" ht="15.75" customHeight="1">
      <c r="A8" s="118" t="s">
        <v>2618</v>
      </c>
      <c r="B8" s="119" t="s">
        <v>2609</v>
      </c>
      <c r="C8" s="119" t="s">
        <v>2609</v>
      </c>
      <c r="D8" s="120"/>
      <c r="E8" s="119">
        <v>269.0</v>
      </c>
      <c r="F8" s="119">
        <v>268.0</v>
      </c>
      <c r="G8" s="119" t="s">
        <v>150</v>
      </c>
      <c r="H8" s="119"/>
      <c r="I8" s="119"/>
      <c r="J8" s="119"/>
      <c r="K8" s="113"/>
      <c r="L8" s="113"/>
    </row>
    <row r="9" ht="15.75" customHeight="1">
      <c r="A9" s="111" t="s">
        <v>2619</v>
      </c>
      <c r="B9" s="112" t="s">
        <v>2609</v>
      </c>
      <c r="C9" s="112" t="s">
        <v>2609</v>
      </c>
      <c r="D9" s="112"/>
      <c r="E9" s="112">
        <v>265.0</v>
      </c>
      <c r="F9" s="112">
        <v>265.0</v>
      </c>
      <c r="G9" s="112" t="s">
        <v>150</v>
      </c>
      <c r="H9" s="112"/>
      <c r="I9" s="112"/>
      <c r="J9" s="112"/>
      <c r="K9" s="113"/>
      <c r="L9" s="113"/>
    </row>
    <row r="10" ht="15.75" customHeight="1">
      <c r="A10" s="111" t="s">
        <v>2620</v>
      </c>
      <c r="B10" s="112" t="s">
        <v>2609</v>
      </c>
      <c r="C10" s="112" t="s">
        <v>2609</v>
      </c>
      <c r="D10" s="112" t="s">
        <v>2609</v>
      </c>
      <c r="E10" s="112">
        <v>258.0</v>
      </c>
      <c r="F10" s="112">
        <v>257.0</v>
      </c>
      <c r="G10" s="112" t="s">
        <v>150</v>
      </c>
      <c r="H10" s="112"/>
      <c r="I10" s="112"/>
      <c r="J10" s="112"/>
      <c r="K10" s="113"/>
      <c r="L10" s="113"/>
    </row>
    <row r="11" ht="15.75" customHeight="1">
      <c r="A11" s="111" t="s">
        <v>2621</v>
      </c>
      <c r="B11" s="112" t="s">
        <v>2609</v>
      </c>
      <c r="C11" s="112" t="s">
        <v>2609</v>
      </c>
      <c r="D11" s="112"/>
      <c r="E11" s="112" t="s">
        <v>2622</v>
      </c>
      <c r="F11" s="112" t="s">
        <v>402</v>
      </c>
      <c r="G11" s="112" t="s">
        <v>150</v>
      </c>
      <c r="H11" s="112"/>
      <c r="I11" s="112"/>
      <c r="J11" s="112"/>
      <c r="K11" s="113"/>
      <c r="L11" s="113"/>
    </row>
    <row r="12" ht="15.75" customHeight="1">
      <c r="A12" s="111" t="s">
        <v>2623</v>
      </c>
      <c r="B12" s="112" t="s">
        <v>2609</v>
      </c>
      <c r="C12" s="112" t="s">
        <v>2609</v>
      </c>
      <c r="D12" s="111"/>
      <c r="E12" s="112">
        <v>262.0</v>
      </c>
      <c r="F12" s="112">
        <v>260.0</v>
      </c>
      <c r="G12" s="112" t="s">
        <v>150</v>
      </c>
      <c r="H12" s="112"/>
      <c r="I12" s="112"/>
      <c r="J12" s="112"/>
      <c r="K12" s="113"/>
      <c r="L12" s="113"/>
    </row>
    <row r="13" ht="15.75" customHeight="1">
      <c r="A13" s="111" t="s">
        <v>2624</v>
      </c>
      <c r="B13" s="112" t="s">
        <v>2609</v>
      </c>
      <c r="C13" s="112" t="s">
        <v>2609</v>
      </c>
      <c r="D13" s="112" t="s">
        <v>2609</v>
      </c>
      <c r="E13" s="112">
        <v>277.0</v>
      </c>
      <c r="F13" s="112">
        <v>272.0</v>
      </c>
      <c r="G13" s="112"/>
      <c r="H13" s="112"/>
      <c r="I13" s="112"/>
      <c r="J13" s="112"/>
      <c r="K13" s="113"/>
      <c r="L13" s="113"/>
    </row>
    <row r="14" ht="15.75" customHeight="1">
      <c r="A14" s="121" t="s">
        <v>2625</v>
      </c>
      <c r="B14" s="122" t="s">
        <v>2609</v>
      </c>
      <c r="C14" s="122" t="s">
        <v>2609</v>
      </c>
      <c r="D14" s="123" t="s">
        <v>2609</v>
      </c>
      <c r="E14" s="122">
        <v>285.0</v>
      </c>
      <c r="F14" s="122"/>
      <c r="G14" s="122"/>
      <c r="H14" s="122"/>
      <c r="I14" s="122"/>
      <c r="J14" s="122"/>
      <c r="K14" s="113"/>
      <c r="L14" s="113"/>
    </row>
    <row r="15" ht="15.75" customHeight="1">
      <c r="A15" s="111" t="s">
        <v>2626</v>
      </c>
      <c r="B15" s="112" t="s">
        <v>2609</v>
      </c>
      <c r="C15" s="112" t="s">
        <v>2609</v>
      </c>
      <c r="D15" s="112" t="s">
        <v>2609</v>
      </c>
      <c r="E15" s="112">
        <v>276.0</v>
      </c>
      <c r="F15" s="112">
        <v>275.0</v>
      </c>
      <c r="G15" s="112"/>
      <c r="H15" s="112"/>
      <c r="I15" s="112"/>
      <c r="J15" s="112"/>
      <c r="K15" s="113"/>
      <c r="L15" s="113"/>
    </row>
    <row r="16" ht="15.75" customHeight="1">
      <c r="A16" s="118" t="s">
        <v>2627</v>
      </c>
      <c r="B16" s="119" t="s">
        <v>2609</v>
      </c>
      <c r="C16" s="119" t="s">
        <v>2609</v>
      </c>
      <c r="D16" s="120" t="s">
        <v>2609</v>
      </c>
      <c r="E16" s="119">
        <v>268.0</v>
      </c>
      <c r="F16" s="119" t="s">
        <v>2609</v>
      </c>
      <c r="G16" s="119"/>
      <c r="H16" s="119"/>
      <c r="I16" s="119"/>
      <c r="J16" s="119"/>
      <c r="K16" s="113"/>
      <c r="L16" s="113"/>
    </row>
    <row r="17" ht="15.75" customHeight="1">
      <c r="A17" s="118" t="s">
        <v>2628</v>
      </c>
      <c r="B17" s="119" t="s">
        <v>2609</v>
      </c>
      <c r="C17" s="119" t="s">
        <v>2609</v>
      </c>
      <c r="D17" s="120"/>
      <c r="E17" s="119">
        <v>270.0</v>
      </c>
      <c r="F17" s="119">
        <v>276.0</v>
      </c>
      <c r="G17" s="119"/>
      <c r="H17" s="119"/>
      <c r="I17" s="119"/>
      <c r="J17" s="119"/>
      <c r="K17" s="113"/>
      <c r="L17" s="113"/>
    </row>
    <row r="18" ht="15.75" customHeight="1">
      <c r="A18" s="118" t="s">
        <v>2629</v>
      </c>
      <c r="B18" s="119" t="s">
        <v>2609</v>
      </c>
      <c r="C18" s="119" t="s">
        <v>2609</v>
      </c>
      <c r="D18" s="120"/>
      <c r="E18" s="119">
        <v>271.0</v>
      </c>
      <c r="F18" s="119">
        <v>269.0</v>
      </c>
      <c r="G18" s="119"/>
      <c r="H18" s="119"/>
      <c r="I18" s="119"/>
      <c r="J18" s="119"/>
      <c r="K18" s="113"/>
      <c r="L18" s="113"/>
    </row>
    <row r="19" ht="15.75" customHeight="1">
      <c r="A19" s="121" t="s">
        <v>2630</v>
      </c>
      <c r="B19" s="122" t="s">
        <v>2609</v>
      </c>
      <c r="C19" s="122" t="s">
        <v>2609</v>
      </c>
      <c r="D19" s="123"/>
      <c r="E19" s="124">
        <v>272.0</v>
      </c>
      <c r="F19" s="122">
        <v>273.0</v>
      </c>
      <c r="G19" s="122"/>
      <c r="H19" s="122"/>
      <c r="I19" s="122"/>
      <c r="J19" s="122"/>
      <c r="K19" s="113"/>
      <c r="L19" s="113"/>
    </row>
    <row r="20" ht="15.75" customHeight="1">
      <c r="A20" s="125" t="s">
        <v>2631</v>
      </c>
      <c r="B20" s="119" t="s">
        <v>2609</v>
      </c>
      <c r="C20" s="119" t="s">
        <v>2609</v>
      </c>
      <c r="D20" s="120" t="s">
        <v>2609</v>
      </c>
      <c r="E20" s="120">
        <v>275.0</v>
      </c>
      <c r="F20" s="119">
        <v>274.0</v>
      </c>
      <c r="G20" s="119"/>
      <c r="H20" s="119"/>
      <c r="I20" s="119"/>
      <c r="J20" s="119"/>
      <c r="K20" s="113"/>
      <c r="L20" s="113"/>
    </row>
    <row r="21" ht="15.75" customHeight="1">
      <c r="A21" s="121" t="s">
        <v>2632</v>
      </c>
      <c r="B21" s="122" t="s">
        <v>2609</v>
      </c>
      <c r="C21" s="122" t="s">
        <v>2609</v>
      </c>
      <c r="D21" s="122"/>
      <c r="E21" s="122">
        <v>286.0</v>
      </c>
      <c r="F21" s="122">
        <v>282.0</v>
      </c>
      <c r="G21" s="122"/>
      <c r="H21" s="126" t="s">
        <v>2633</v>
      </c>
      <c r="I21" s="122"/>
      <c r="J21" s="122"/>
      <c r="K21" s="113"/>
      <c r="L21" s="113"/>
    </row>
    <row r="22" ht="15.75" customHeight="1">
      <c r="A22" s="121" t="s">
        <v>2634</v>
      </c>
      <c r="B22" s="122" t="s">
        <v>2609</v>
      </c>
      <c r="C22" s="122" t="s">
        <v>2609</v>
      </c>
      <c r="D22" s="122" t="s">
        <v>2609</v>
      </c>
      <c r="E22" s="122">
        <v>279.0</v>
      </c>
      <c r="F22" s="122">
        <v>281.0</v>
      </c>
      <c r="G22" s="122"/>
      <c r="H22" s="122"/>
      <c r="I22" s="122"/>
      <c r="J22" s="122"/>
      <c r="K22" s="113"/>
      <c r="L22" s="113"/>
    </row>
    <row r="23" ht="15.75" customHeight="1">
      <c r="A23" s="118" t="s">
        <v>2635</v>
      </c>
      <c r="B23" s="119" t="s">
        <v>2609</v>
      </c>
      <c r="C23" s="119" t="s">
        <v>2609</v>
      </c>
      <c r="D23" s="119"/>
      <c r="E23" s="119">
        <v>280.0</v>
      </c>
      <c r="F23" s="119"/>
      <c r="G23" s="119"/>
      <c r="H23" s="119"/>
      <c r="I23" s="119"/>
      <c r="J23" s="119"/>
      <c r="K23" s="113"/>
      <c r="L23" s="113"/>
    </row>
    <row r="24" ht="15.75" customHeight="1">
      <c r="A24" s="118" t="s">
        <v>2636</v>
      </c>
      <c r="B24" s="119" t="s">
        <v>2609</v>
      </c>
      <c r="C24" s="119" t="s">
        <v>2609</v>
      </c>
      <c r="D24" s="119"/>
      <c r="E24" s="119">
        <v>278.0</v>
      </c>
      <c r="F24" s="119">
        <v>277.0</v>
      </c>
      <c r="G24" s="119"/>
      <c r="H24" s="119"/>
      <c r="I24" s="119"/>
      <c r="J24" s="119"/>
      <c r="K24" s="113"/>
      <c r="L24" s="113"/>
    </row>
    <row r="25" ht="15.75" customHeight="1">
      <c r="A25" s="118" t="s">
        <v>2637</v>
      </c>
      <c r="B25" s="119" t="s">
        <v>2609</v>
      </c>
      <c r="C25" s="119" t="s">
        <v>2609</v>
      </c>
      <c r="D25" s="119"/>
      <c r="E25" s="119"/>
      <c r="F25" s="119"/>
      <c r="G25" s="119"/>
      <c r="H25" s="119" t="s">
        <v>2638</v>
      </c>
      <c r="I25" s="119"/>
      <c r="J25" s="119"/>
      <c r="K25" s="113"/>
      <c r="L25" s="113"/>
    </row>
    <row r="26" ht="15.75" customHeight="1">
      <c r="A26" s="118" t="s">
        <v>2639</v>
      </c>
      <c r="B26" s="119" t="s">
        <v>2609</v>
      </c>
      <c r="C26" s="119" t="s">
        <v>2609</v>
      </c>
      <c r="D26" s="119"/>
      <c r="E26" s="119">
        <v>284.0</v>
      </c>
      <c r="F26" s="119"/>
      <c r="G26" s="119"/>
      <c r="H26" s="119"/>
      <c r="I26" s="119"/>
      <c r="J26" s="119"/>
      <c r="K26" s="113"/>
      <c r="L26" s="113"/>
    </row>
    <row r="27" ht="15.75" customHeight="1">
      <c r="A27" s="118" t="s">
        <v>2640</v>
      </c>
      <c r="B27" s="119" t="s">
        <v>2609</v>
      </c>
      <c r="C27" s="119" t="s">
        <v>2609</v>
      </c>
      <c r="D27" s="119"/>
      <c r="E27" s="119" t="s">
        <v>2641</v>
      </c>
      <c r="F27" s="119">
        <v>279.0</v>
      </c>
      <c r="G27" s="119"/>
      <c r="H27" s="119"/>
      <c r="I27" s="119"/>
      <c r="J27" s="119"/>
      <c r="K27" s="113"/>
      <c r="L27" s="113"/>
    </row>
    <row r="28" ht="15.75" customHeight="1">
      <c r="A28" s="118" t="s">
        <v>2642</v>
      </c>
      <c r="B28" s="119" t="s">
        <v>2609</v>
      </c>
      <c r="C28" s="119" t="s">
        <v>2609</v>
      </c>
      <c r="D28" s="119"/>
      <c r="E28" s="119">
        <v>281.0</v>
      </c>
      <c r="F28" s="119">
        <v>280.0</v>
      </c>
      <c r="G28" s="119"/>
      <c r="H28" s="119"/>
      <c r="I28" s="119"/>
      <c r="J28" s="119"/>
      <c r="K28" s="113"/>
      <c r="L28" s="113"/>
    </row>
    <row r="29" ht="15.75" customHeight="1">
      <c r="A29" s="118" t="s">
        <v>2643</v>
      </c>
      <c r="B29" s="119" t="s">
        <v>2609</v>
      </c>
      <c r="C29" s="119" t="s">
        <v>2609</v>
      </c>
      <c r="D29" s="119"/>
      <c r="E29" s="119" t="s">
        <v>2609</v>
      </c>
      <c r="F29" s="119" t="s">
        <v>2609</v>
      </c>
      <c r="G29" s="119"/>
      <c r="H29" s="126" t="s">
        <v>2644</v>
      </c>
      <c r="I29" s="119"/>
      <c r="J29" s="119"/>
      <c r="K29" s="113"/>
      <c r="L29" s="113"/>
    </row>
    <row r="30" ht="15.75" customHeight="1">
      <c r="A30" s="118" t="s">
        <v>2645</v>
      </c>
      <c r="B30" s="119"/>
      <c r="C30" s="119"/>
      <c r="D30" s="119"/>
      <c r="E30" s="119"/>
      <c r="F30" s="119"/>
      <c r="G30" s="119"/>
      <c r="H30" s="119"/>
      <c r="I30" s="119"/>
      <c r="J30" s="119"/>
      <c r="K30" s="113"/>
      <c r="L30" s="113"/>
    </row>
    <row r="31" ht="15.75" customHeight="1">
      <c r="A31" s="127" t="s">
        <v>2646</v>
      </c>
      <c r="B31" s="119" t="s">
        <v>2609</v>
      </c>
      <c r="C31" s="119" t="s">
        <v>2609</v>
      </c>
      <c r="D31" s="119"/>
      <c r="E31" s="119">
        <v>294.0</v>
      </c>
      <c r="F31" s="119"/>
      <c r="G31" s="119"/>
      <c r="H31" s="119"/>
      <c r="I31" s="119"/>
      <c r="J31" s="119"/>
      <c r="K31" s="113"/>
      <c r="L31" s="113"/>
    </row>
    <row r="32" ht="15.75" customHeight="1">
      <c r="A32" s="121" t="s">
        <v>2647</v>
      </c>
      <c r="B32" s="122" t="s">
        <v>2609</v>
      </c>
      <c r="C32" s="122" t="s">
        <v>2609</v>
      </c>
      <c r="D32" s="122"/>
      <c r="E32" s="122"/>
      <c r="F32" s="122"/>
      <c r="G32" s="122"/>
      <c r="H32" s="122"/>
      <c r="I32" s="122"/>
      <c r="J32" s="122"/>
      <c r="K32" s="113"/>
      <c r="L32" s="113"/>
    </row>
    <row r="33" ht="15.75" customHeight="1">
      <c r="A33" s="118" t="s">
        <v>2648</v>
      </c>
      <c r="B33" s="119" t="s">
        <v>2609</v>
      </c>
      <c r="C33" s="119" t="s">
        <v>2609</v>
      </c>
      <c r="D33" s="119"/>
      <c r="E33" s="119">
        <v>295.0</v>
      </c>
      <c r="F33" s="119" t="s">
        <v>2609</v>
      </c>
      <c r="G33" s="119" t="s">
        <v>2609</v>
      </c>
      <c r="H33" s="119"/>
      <c r="I33" s="119"/>
      <c r="J33" s="119"/>
      <c r="K33" s="113"/>
      <c r="L33" s="113"/>
    </row>
    <row r="34" ht="15.75" customHeight="1">
      <c r="A34" s="118" t="s">
        <v>2649</v>
      </c>
      <c r="B34" s="119" t="s">
        <v>2609</v>
      </c>
      <c r="C34" s="119" t="s">
        <v>2609</v>
      </c>
      <c r="D34" s="119" t="s">
        <v>2609</v>
      </c>
      <c r="E34" s="119" t="s">
        <v>2609</v>
      </c>
      <c r="F34" s="119" t="s">
        <v>2609</v>
      </c>
      <c r="G34" s="119" t="s">
        <v>2609</v>
      </c>
      <c r="H34" s="119"/>
      <c r="I34" s="119"/>
      <c r="J34" s="119"/>
      <c r="K34" s="113"/>
      <c r="L34" s="113"/>
    </row>
    <row r="35" ht="15.75" customHeight="1">
      <c r="A35" s="118" t="s">
        <v>2650</v>
      </c>
      <c r="B35" s="119" t="s">
        <v>2609</v>
      </c>
      <c r="C35" s="119" t="s">
        <v>2609</v>
      </c>
      <c r="D35" s="119" t="s">
        <v>2609</v>
      </c>
      <c r="E35" s="119" t="s">
        <v>2609</v>
      </c>
      <c r="F35" s="119" t="s">
        <v>2609</v>
      </c>
      <c r="G35" s="119" t="s">
        <v>2609</v>
      </c>
      <c r="H35" s="119"/>
      <c r="I35" s="119"/>
      <c r="J35" s="119"/>
      <c r="K35" s="113"/>
      <c r="L35" s="113"/>
    </row>
    <row r="36" ht="15.75" customHeight="1">
      <c r="A36" s="128" t="s">
        <v>2651</v>
      </c>
      <c r="B36" s="119" t="s">
        <v>2609</v>
      </c>
      <c r="C36" s="119" t="s">
        <v>2609</v>
      </c>
      <c r="D36" s="119"/>
      <c r="E36" s="119" t="s">
        <v>2609</v>
      </c>
      <c r="F36" s="119" t="s">
        <v>2609</v>
      </c>
      <c r="G36" s="119" t="s">
        <v>2609</v>
      </c>
      <c r="H36" s="119"/>
      <c r="I36" s="119"/>
      <c r="J36" s="119"/>
      <c r="K36" s="113"/>
      <c r="L36" s="113"/>
    </row>
    <row r="37" ht="15.75" customHeight="1">
      <c r="A37" s="121" t="s">
        <v>2652</v>
      </c>
      <c r="B37" s="122" t="s">
        <v>2609</v>
      </c>
      <c r="C37" s="122" t="s">
        <v>2609</v>
      </c>
      <c r="D37" s="122" t="s">
        <v>2609</v>
      </c>
      <c r="E37" s="122" t="s">
        <v>2609</v>
      </c>
      <c r="F37" s="122" t="s">
        <v>2609</v>
      </c>
      <c r="G37" s="122" t="s">
        <v>2609</v>
      </c>
      <c r="H37" s="122"/>
      <c r="I37" s="122"/>
      <c r="J37" s="122"/>
      <c r="K37" s="113"/>
      <c r="L37" s="113"/>
    </row>
    <row r="38" ht="15.75" customHeight="1">
      <c r="A38" s="118" t="s">
        <v>2653</v>
      </c>
      <c r="B38" s="119" t="s">
        <v>2609</v>
      </c>
      <c r="C38" s="119" t="s">
        <v>2609</v>
      </c>
      <c r="D38" s="119" t="s">
        <v>2609</v>
      </c>
      <c r="E38" s="119" t="s">
        <v>2609</v>
      </c>
      <c r="F38" s="119" t="s">
        <v>2609</v>
      </c>
      <c r="G38" s="119" t="s">
        <v>2609</v>
      </c>
      <c r="H38" s="119"/>
      <c r="I38" s="119"/>
      <c r="J38" s="119"/>
      <c r="K38" s="113"/>
      <c r="L38" s="113"/>
    </row>
    <row r="39" ht="15.75" customHeight="1">
      <c r="A39" s="118" t="s">
        <v>2654</v>
      </c>
      <c r="B39" s="119" t="s">
        <v>2609</v>
      </c>
      <c r="C39" s="119" t="s">
        <v>2609</v>
      </c>
      <c r="D39" s="119" t="s">
        <v>2609</v>
      </c>
      <c r="E39" s="119" t="s">
        <v>2609</v>
      </c>
      <c r="F39" s="119" t="s">
        <v>2609</v>
      </c>
      <c r="G39" s="119" t="s">
        <v>2609</v>
      </c>
      <c r="H39" s="119"/>
      <c r="I39" s="119"/>
      <c r="J39" s="119"/>
      <c r="K39" s="113"/>
      <c r="L39" s="113"/>
    </row>
    <row r="40" ht="15.75" customHeight="1">
      <c r="A40" s="118" t="s">
        <v>2655</v>
      </c>
      <c r="B40" s="119" t="s">
        <v>2609</v>
      </c>
      <c r="C40" s="119" t="s">
        <v>2609</v>
      </c>
      <c r="D40" s="119" t="s">
        <v>2609</v>
      </c>
      <c r="E40" s="119" t="s">
        <v>2609</v>
      </c>
      <c r="F40" s="119" t="s">
        <v>2609</v>
      </c>
      <c r="G40" s="119" t="s">
        <v>2609</v>
      </c>
      <c r="H40" s="119"/>
      <c r="I40" s="119"/>
      <c r="J40" s="119"/>
      <c r="K40" s="113"/>
      <c r="L40" s="113"/>
    </row>
    <row r="41" ht="15.75" customHeight="1">
      <c r="A41" s="128" t="s">
        <v>2656</v>
      </c>
      <c r="B41" s="119" t="s">
        <v>2609</v>
      </c>
      <c r="C41" s="119" t="s">
        <v>2609</v>
      </c>
      <c r="D41" s="119" t="s">
        <v>2609</v>
      </c>
      <c r="E41" s="119" t="s">
        <v>2609</v>
      </c>
      <c r="F41" s="119" t="s">
        <v>2609</v>
      </c>
      <c r="G41" s="119" t="s">
        <v>2609</v>
      </c>
      <c r="H41" s="119"/>
      <c r="I41" s="119"/>
      <c r="J41" s="119"/>
      <c r="K41" s="113"/>
      <c r="L41" s="113"/>
    </row>
    <row r="42" ht="15.75" customHeight="1">
      <c r="A42" s="128" t="s">
        <v>2657</v>
      </c>
      <c r="B42" s="119" t="s">
        <v>2609</v>
      </c>
      <c r="C42" s="119" t="s">
        <v>2609</v>
      </c>
      <c r="D42" s="119" t="s">
        <v>2609</v>
      </c>
      <c r="E42" s="119" t="s">
        <v>2609</v>
      </c>
      <c r="F42" s="119" t="s">
        <v>2609</v>
      </c>
      <c r="G42" s="119" t="s">
        <v>2609</v>
      </c>
      <c r="H42" s="119"/>
      <c r="I42" s="119"/>
      <c r="J42" s="119"/>
      <c r="K42" s="113"/>
      <c r="L42" s="113"/>
    </row>
    <row r="43" ht="15.75" customHeight="1">
      <c r="A43" s="128" t="s">
        <v>2658</v>
      </c>
      <c r="B43" s="119" t="s">
        <v>2609</v>
      </c>
      <c r="C43" s="119" t="s">
        <v>2609</v>
      </c>
      <c r="D43" s="119" t="s">
        <v>2609</v>
      </c>
      <c r="E43" s="119" t="s">
        <v>2609</v>
      </c>
      <c r="F43" s="119" t="s">
        <v>2609</v>
      </c>
      <c r="G43" s="119" t="s">
        <v>2609</v>
      </c>
      <c r="H43" s="119"/>
      <c r="I43" s="119"/>
      <c r="J43" s="119"/>
      <c r="K43" s="113"/>
      <c r="L43" s="113"/>
    </row>
    <row r="44" ht="15.75" customHeight="1">
      <c r="A44" s="128" t="s">
        <v>2659</v>
      </c>
      <c r="B44" s="119" t="s">
        <v>2609</v>
      </c>
      <c r="C44" s="119" t="s">
        <v>2609</v>
      </c>
      <c r="D44" s="119" t="s">
        <v>2609</v>
      </c>
      <c r="E44" s="119" t="s">
        <v>2609</v>
      </c>
      <c r="F44" s="119" t="s">
        <v>2609</v>
      </c>
      <c r="G44" s="119" t="s">
        <v>2609</v>
      </c>
      <c r="H44" s="119"/>
      <c r="I44" s="119"/>
      <c r="J44" s="119"/>
      <c r="K44" s="113"/>
      <c r="L44" s="113"/>
    </row>
    <row r="45" ht="15.75" customHeight="1">
      <c r="A45" s="129" t="s">
        <v>2660</v>
      </c>
      <c r="B45" s="122" t="s">
        <v>2609</v>
      </c>
      <c r="C45" s="122" t="s">
        <v>2609</v>
      </c>
      <c r="D45" s="122" t="s">
        <v>2609</v>
      </c>
      <c r="E45" s="122" t="s">
        <v>2609</v>
      </c>
      <c r="F45" s="122" t="s">
        <v>2609</v>
      </c>
      <c r="G45" s="122" t="s">
        <v>2609</v>
      </c>
      <c r="H45" s="122"/>
      <c r="I45" s="122"/>
      <c r="J45" s="122"/>
      <c r="K45" s="113"/>
      <c r="L45" s="113"/>
    </row>
    <row r="46" ht="15.75" customHeight="1">
      <c r="A46" s="118" t="s">
        <v>90</v>
      </c>
      <c r="B46" s="119" t="s">
        <v>2609</v>
      </c>
      <c r="C46" s="119" t="s">
        <v>2609</v>
      </c>
      <c r="D46" s="119" t="s">
        <v>2609</v>
      </c>
      <c r="E46" s="119" t="s">
        <v>2609</v>
      </c>
      <c r="F46" s="119" t="s">
        <v>2609</v>
      </c>
      <c r="G46" s="119" t="s">
        <v>2609</v>
      </c>
      <c r="H46" s="119"/>
      <c r="I46" s="119"/>
      <c r="J46" s="119"/>
      <c r="K46" s="113"/>
      <c r="L46" s="113"/>
    </row>
    <row r="47" ht="15.75" customHeight="1">
      <c r="A47" s="118" t="s">
        <v>2661</v>
      </c>
      <c r="B47" s="119" t="s">
        <v>2609</v>
      </c>
      <c r="C47" s="119" t="s">
        <v>2609</v>
      </c>
      <c r="D47" s="119"/>
      <c r="E47" s="119" t="s">
        <v>2609</v>
      </c>
      <c r="F47" s="119"/>
      <c r="G47" s="119"/>
      <c r="H47" s="119"/>
      <c r="I47" s="119"/>
      <c r="J47" s="119"/>
      <c r="K47" s="113"/>
      <c r="L47" s="113"/>
    </row>
    <row r="48" ht="15.75" customHeight="1">
      <c r="A48" s="118" t="s">
        <v>2662</v>
      </c>
      <c r="B48" s="119" t="s">
        <v>2609</v>
      </c>
      <c r="C48" s="119" t="s">
        <v>2609</v>
      </c>
      <c r="D48" s="119"/>
      <c r="E48" s="119">
        <v>296.0</v>
      </c>
      <c r="F48" s="119"/>
      <c r="G48" s="119"/>
      <c r="H48" s="119"/>
      <c r="I48" s="119"/>
      <c r="J48" s="119"/>
      <c r="K48" s="113"/>
      <c r="L48" s="113"/>
    </row>
    <row r="49" ht="15.75" customHeight="1">
      <c r="A49" s="118" t="s">
        <v>2663</v>
      </c>
      <c r="B49" s="119" t="s">
        <v>2609</v>
      </c>
      <c r="C49" s="119" t="s">
        <v>2609</v>
      </c>
      <c r="D49" s="119"/>
      <c r="E49" s="119" t="s">
        <v>2609</v>
      </c>
      <c r="F49" s="119" t="s">
        <v>2609</v>
      </c>
      <c r="G49" s="119" t="s">
        <v>2609</v>
      </c>
      <c r="H49" s="119"/>
      <c r="I49" s="119"/>
      <c r="J49" s="119"/>
      <c r="K49" s="113"/>
      <c r="L49" s="113"/>
    </row>
    <row r="50" ht="15.75" customHeight="1">
      <c r="A50" s="118" t="s">
        <v>2664</v>
      </c>
      <c r="B50" s="119" t="s">
        <v>2609</v>
      </c>
      <c r="C50" s="119" t="s">
        <v>2609</v>
      </c>
      <c r="D50" s="119"/>
      <c r="E50" s="119" t="s">
        <v>2609</v>
      </c>
      <c r="F50" s="119" t="s">
        <v>2609</v>
      </c>
      <c r="G50" s="119" t="s">
        <v>2609</v>
      </c>
      <c r="H50" s="119"/>
      <c r="I50" s="119"/>
      <c r="J50" s="119"/>
      <c r="K50" s="113"/>
      <c r="L50" s="113"/>
    </row>
    <row r="51" ht="15.75" customHeight="1">
      <c r="A51" s="130" t="s">
        <v>2665</v>
      </c>
      <c r="B51" s="119" t="s">
        <v>2609</v>
      </c>
      <c r="C51" s="119" t="s">
        <v>2609</v>
      </c>
      <c r="D51" s="119" t="s">
        <v>2609</v>
      </c>
      <c r="E51" s="119" t="s">
        <v>2609</v>
      </c>
      <c r="F51" s="119"/>
      <c r="G51" s="119"/>
      <c r="H51" s="119"/>
      <c r="I51" s="119"/>
      <c r="J51" s="119"/>
      <c r="K51" s="113"/>
      <c r="L51" s="113"/>
    </row>
    <row r="52" ht="15.75" customHeight="1">
      <c r="A52" s="131" t="s">
        <v>2666</v>
      </c>
      <c r="B52" s="119" t="s">
        <v>2609</v>
      </c>
      <c r="C52" s="119" t="s">
        <v>2609</v>
      </c>
      <c r="D52" s="119"/>
      <c r="E52" s="119" t="s">
        <v>2609</v>
      </c>
      <c r="F52" s="119"/>
      <c r="G52" s="119"/>
      <c r="H52" s="119"/>
      <c r="I52" s="119"/>
      <c r="J52" s="119"/>
      <c r="K52" s="113"/>
      <c r="L52" s="113"/>
    </row>
    <row r="53" ht="15.75" customHeight="1">
      <c r="A53" s="118" t="s">
        <v>2667</v>
      </c>
      <c r="B53" s="119" t="s">
        <v>2609</v>
      </c>
      <c r="C53" s="119" t="s">
        <v>2609</v>
      </c>
      <c r="D53" s="119"/>
      <c r="E53" s="119" t="s">
        <v>2609</v>
      </c>
      <c r="F53" s="119" t="s">
        <v>2609</v>
      </c>
      <c r="G53" s="119" t="s">
        <v>2609</v>
      </c>
      <c r="H53" s="119"/>
      <c r="I53" s="119"/>
      <c r="J53" s="119"/>
      <c r="K53" s="113"/>
      <c r="L53" s="113"/>
    </row>
    <row r="54" ht="15.75" customHeight="1">
      <c r="A54" s="118" t="s">
        <v>2668</v>
      </c>
      <c r="B54" s="119" t="s">
        <v>2609</v>
      </c>
      <c r="C54" s="119" t="s">
        <v>2609</v>
      </c>
      <c r="D54" s="119"/>
      <c r="E54" s="119" t="s">
        <v>2609</v>
      </c>
      <c r="F54" s="119" t="s">
        <v>2609</v>
      </c>
      <c r="G54" s="119" t="s">
        <v>2609</v>
      </c>
      <c r="H54" s="119"/>
      <c r="I54" s="119"/>
      <c r="J54" s="119"/>
      <c r="K54" s="113"/>
      <c r="L54" s="113"/>
    </row>
    <row r="55" ht="15.75" customHeight="1">
      <c r="A55" s="118" t="s">
        <v>2669</v>
      </c>
      <c r="B55" s="119" t="s">
        <v>2609</v>
      </c>
      <c r="C55" s="119" t="s">
        <v>2609</v>
      </c>
      <c r="D55" s="119"/>
      <c r="E55" s="119" t="s">
        <v>2609</v>
      </c>
      <c r="F55" s="119" t="s">
        <v>2609</v>
      </c>
      <c r="G55" s="119" t="s">
        <v>2609</v>
      </c>
      <c r="H55" s="119"/>
      <c r="I55" s="119"/>
      <c r="J55" s="119"/>
      <c r="K55" s="113"/>
      <c r="L55" s="113"/>
    </row>
    <row r="56" ht="15.75" customHeight="1">
      <c r="A56" s="118" t="s">
        <v>2670</v>
      </c>
      <c r="B56" s="119" t="s">
        <v>2609</v>
      </c>
      <c r="C56" s="119" t="s">
        <v>2609</v>
      </c>
      <c r="D56" s="119" t="s">
        <v>2609</v>
      </c>
      <c r="E56" s="119"/>
      <c r="F56" s="119"/>
      <c r="G56" s="119"/>
      <c r="H56" s="119"/>
      <c r="I56" s="119"/>
      <c r="J56" s="119"/>
      <c r="K56" s="113"/>
      <c r="L56" s="113"/>
    </row>
    <row r="57" ht="15.75" customHeight="1">
      <c r="A57" s="118" t="s">
        <v>2671</v>
      </c>
      <c r="B57" s="119" t="s">
        <v>2609</v>
      </c>
      <c r="C57" s="119" t="s">
        <v>2609</v>
      </c>
      <c r="D57" s="119" t="s">
        <v>2609</v>
      </c>
      <c r="E57" s="119" t="s">
        <v>2609</v>
      </c>
      <c r="F57" s="119" t="s">
        <v>2609</v>
      </c>
      <c r="G57" s="119" t="s">
        <v>2609</v>
      </c>
      <c r="H57" s="119"/>
      <c r="I57" s="119"/>
      <c r="J57" s="119"/>
      <c r="K57" s="113"/>
      <c r="L57" s="113"/>
    </row>
    <row r="58" ht="15.75" customHeight="1">
      <c r="A58" s="118" t="s">
        <v>2672</v>
      </c>
      <c r="B58" s="119" t="s">
        <v>2609</v>
      </c>
      <c r="C58" s="119" t="s">
        <v>2609</v>
      </c>
      <c r="D58" s="119"/>
      <c r="E58" s="119"/>
      <c r="F58" s="119"/>
      <c r="G58" s="119"/>
      <c r="H58" s="119"/>
      <c r="I58" s="119"/>
      <c r="J58" s="119"/>
      <c r="K58" s="113"/>
      <c r="L58" s="113"/>
    </row>
    <row r="59" ht="15.75" customHeight="1">
      <c r="A59" s="118" t="s">
        <v>2673</v>
      </c>
      <c r="B59" s="119" t="s">
        <v>2609</v>
      </c>
      <c r="C59" s="119" t="s">
        <v>2609</v>
      </c>
      <c r="D59" s="119" t="s">
        <v>2609</v>
      </c>
      <c r="E59" s="119" t="s">
        <v>2609</v>
      </c>
      <c r="F59" s="119" t="s">
        <v>2609</v>
      </c>
      <c r="G59" s="119" t="s">
        <v>2609</v>
      </c>
      <c r="H59" s="119"/>
      <c r="I59" s="119"/>
      <c r="J59" s="119"/>
      <c r="K59" s="113"/>
      <c r="L59" s="113"/>
    </row>
    <row r="60" ht="15.75" customHeight="1">
      <c r="A60" s="118" t="s">
        <v>2674</v>
      </c>
      <c r="B60" s="119" t="s">
        <v>2609</v>
      </c>
      <c r="C60" s="119" t="s">
        <v>2609</v>
      </c>
      <c r="D60" s="119"/>
      <c r="E60" s="119"/>
      <c r="F60" s="119"/>
      <c r="G60" s="119"/>
      <c r="H60" s="119"/>
      <c r="I60" s="119"/>
      <c r="J60" s="119"/>
      <c r="K60" s="113"/>
      <c r="L60" s="113"/>
    </row>
    <row r="61" ht="15.75" customHeight="1">
      <c r="A61" s="118" t="s">
        <v>2648</v>
      </c>
      <c r="B61" s="119" t="s">
        <v>2609</v>
      </c>
      <c r="C61" s="119" t="s">
        <v>2609</v>
      </c>
      <c r="D61" s="119" t="s">
        <v>2609</v>
      </c>
      <c r="E61" s="119" t="s">
        <v>2609</v>
      </c>
      <c r="F61" s="119" t="s">
        <v>2609</v>
      </c>
      <c r="G61" s="119" t="s">
        <v>2609</v>
      </c>
      <c r="H61" s="119"/>
      <c r="I61" s="119"/>
      <c r="J61" s="119"/>
      <c r="K61" s="113"/>
      <c r="L61" s="113"/>
    </row>
    <row r="62" ht="15.75" customHeight="1">
      <c r="A62" s="118" t="s">
        <v>2675</v>
      </c>
      <c r="B62" s="119" t="s">
        <v>2609</v>
      </c>
      <c r="C62" s="119" t="s">
        <v>2609</v>
      </c>
      <c r="D62" s="119" t="s">
        <v>2609</v>
      </c>
      <c r="E62" s="119" t="s">
        <v>2609</v>
      </c>
      <c r="F62" s="119" t="s">
        <v>2609</v>
      </c>
      <c r="G62" s="119" t="s">
        <v>2609</v>
      </c>
      <c r="H62" s="119"/>
      <c r="I62" s="119"/>
      <c r="J62" s="119"/>
      <c r="K62" s="113"/>
      <c r="L62" s="113"/>
    </row>
    <row r="63" ht="15.75" customHeight="1">
      <c r="A63" s="118" t="s">
        <v>2676</v>
      </c>
      <c r="B63" s="119" t="s">
        <v>2609</v>
      </c>
      <c r="C63" s="119" t="s">
        <v>2609</v>
      </c>
      <c r="D63" s="119" t="s">
        <v>2609</v>
      </c>
      <c r="E63" s="119" t="s">
        <v>2609</v>
      </c>
      <c r="F63" s="119" t="s">
        <v>2609</v>
      </c>
      <c r="G63" s="119" t="s">
        <v>2609</v>
      </c>
      <c r="H63" s="119"/>
      <c r="I63" s="119"/>
      <c r="J63" s="119"/>
      <c r="K63" s="113"/>
      <c r="L63" s="113"/>
    </row>
    <row r="64" ht="15.75" customHeight="1">
      <c r="A64" s="118" t="s">
        <v>2664</v>
      </c>
      <c r="B64" s="119" t="s">
        <v>2609</v>
      </c>
      <c r="C64" s="119" t="s">
        <v>2609</v>
      </c>
      <c r="D64" s="119" t="s">
        <v>2609</v>
      </c>
      <c r="E64" s="119" t="s">
        <v>2609</v>
      </c>
      <c r="F64" s="119" t="s">
        <v>2609</v>
      </c>
      <c r="G64" s="119" t="s">
        <v>2609</v>
      </c>
      <c r="H64" s="119"/>
      <c r="I64" s="119"/>
      <c r="J64" s="119"/>
      <c r="K64" s="113"/>
      <c r="L64" s="113"/>
    </row>
    <row r="65" ht="15.75" customHeight="1">
      <c r="A65" s="118" t="s">
        <v>2663</v>
      </c>
      <c r="B65" s="119" t="s">
        <v>2609</v>
      </c>
      <c r="C65" s="119" t="s">
        <v>2609</v>
      </c>
      <c r="D65" s="119" t="s">
        <v>2609</v>
      </c>
      <c r="E65" s="119" t="s">
        <v>2609</v>
      </c>
      <c r="F65" s="119" t="s">
        <v>2609</v>
      </c>
      <c r="G65" s="119" t="s">
        <v>2609</v>
      </c>
      <c r="H65" s="119"/>
      <c r="I65" s="119"/>
      <c r="J65" s="119"/>
      <c r="K65" s="113"/>
      <c r="L65" s="113"/>
    </row>
    <row r="66" ht="15.75" customHeight="1">
      <c r="A66" s="118" t="s">
        <v>2677</v>
      </c>
      <c r="B66" s="119" t="s">
        <v>2609</v>
      </c>
      <c r="C66" s="119" t="s">
        <v>2609</v>
      </c>
      <c r="D66" s="119" t="s">
        <v>2609</v>
      </c>
      <c r="E66" s="119" t="s">
        <v>2609</v>
      </c>
      <c r="F66" s="119" t="s">
        <v>2609</v>
      </c>
      <c r="G66" s="119" t="s">
        <v>2609</v>
      </c>
      <c r="H66" s="119"/>
      <c r="I66" s="119"/>
      <c r="J66" s="119"/>
      <c r="K66" s="113"/>
      <c r="L66" s="113"/>
    </row>
    <row r="67" ht="15.75" customHeight="1">
      <c r="A67" s="118" t="s">
        <v>2678</v>
      </c>
      <c r="B67" s="119" t="s">
        <v>2609</v>
      </c>
      <c r="C67" s="119" t="s">
        <v>2609</v>
      </c>
      <c r="D67" s="119" t="s">
        <v>2609</v>
      </c>
      <c r="E67" s="119" t="s">
        <v>2609</v>
      </c>
      <c r="F67" s="119" t="s">
        <v>2609</v>
      </c>
      <c r="G67" s="119" t="s">
        <v>2609</v>
      </c>
      <c r="H67" s="119"/>
      <c r="I67" s="119"/>
      <c r="J67" s="119"/>
      <c r="K67" s="113"/>
      <c r="L67" s="113"/>
    </row>
    <row r="68" ht="15.75" customHeight="1">
      <c r="A68" s="118" t="s">
        <v>2679</v>
      </c>
      <c r="B68" s="119" t="s">
        <v>2609</v>
      </c>
      <c r="C68" s="119" t="s">
        <v>2609</v>
      </c>
      <c r="D68" s="119" t="s">
        <v>2609</v>
      </c>
      <c r="E68" s="119" t="s">
        <v>2609</v>
      </c>
      <c r="F68" s="119" t="s">
        <v>2609</v>
      </c>
      <c r="G68" s="119" t="s">
        <v>2609</v>
      </c>
      <c r="H68" s="119"/>
      <c r="I68" s="119"/>
      <c r="J68" s="119"/>
      <c r="K68" s="113"/>
      <c r="L68" s="113"/>
    </row>
    <row r="69" ht="15.75" customHeight="1">
      <c r="A69" s="118" t="s">
        <v>2680</v>
      </c>
      <c r="B69" s="119" t="s">
        <v>2609</v>
      </c>
      <c r="C69" s="119" t="s">
        <v>2609</v>
      </c>
      <c r="D69" s="119" t="s">
        <v>2609</v>
      </c>
      <c r="E69" s="119" t="s">
        <v>2609</v>
      </c>
      <c r="F69" s="119" t="s">
        <v>2609</v>
      </c>
      <c r="G69" s="119" t="s">
        <v>2609</v>
      </c>
      <c r="H69" s="119"/>
      <c r="I69" s="119"/>
      <c r="J69" s="119"/>
      <c r="K69" s="113"/>
      <c r="L69" s="113"/>
    </row>
    <row r="70" ht="15.75" customHeight="1">
      <c r="A70" s="118" t="s">
        <v>2681</v>
      </c>
      <c r="B70" s="119" t="s">
        <v>2609</v>
      </c>
      <c r="C70" s="119" t="s">
        <v>2609</v>
      </c>
      <c r="D70" s="119" t="s">
        <v>2609</v>
      </c>
      <c r="E70" s="119" t="s">
        <v>2609</v>
      </c>
      <c r="F70" s="119" t="s">
        <v>2609</v>
      </c>
      <c r="G70" s="119" t="s">
        <v>2609</v>
      </c>
      <c r="H70" s="119"/>
      <c r="I70" s="119"/>
      <c r="J70" s="119"/>
      <c r="K70" s="113"/>
      <c r="L70" s="113"/>
    </row>
    <row r="71" ht="15.75" customHeight="1">
      <c r="A71" s="118" t="s">
        <v>2682</v>
      </c>
      <c r="B71" s="119" t="s">
        <v>2609</v>
      </c>
      <c r="C71" s="119" t="s">
        <v>2609</v>
      </c>
      <c r="D71" s="119" t="s">
        <v>2609</v>
      </c>
      <c r="E71" s="119" t="s">
        <v>2609</v>
      </c>
      <c r="F71" s="119" t="s">
        <v>2609</v>
      </c>
      <c r="G71" s="119" t="s">
        <v>2609</v>
      </c>
      <c r="H71" s="119"/>
      <c r="I71" s="119"/>
      <c r="J71" s="119"/>
      <c r="K71" s="113"/>
      <c r="L71" s="113"/>
    </row>
    <row r="72" ht="15.75" customHeight="1">
      <c r="A72" s="118" t="s">
        <v>2683</v>
      </c>
      <c r="B72" s="119" t="s">
        <v>2609</v>
      </c>
      <c r="C72" s="119" t="s">
        <v>2609</v>
      </c>
      <c r="D72" s="119" t="s">
        <v>2609</v>
      </c>
      <c r="E72" s="119" t="s">
        <v>2609</v>
      </c>
      <c r="F72" s="119" t="s">
        <v>2609</v>
      </c>
      <c r="G72" s="119" t="s">
        <v>2609</v>
      </c>
      <c r="H72" s="119"/>
      <c r="I72" s="119"/>
      <c r="J72" s="119"/>
      <c r="K72" s="113"/>
      <c r="L72" s="113"/>
    </row>
    <row r="73" ht="15.75" customHeight="1">
      <c r="A73" s="118" t="s">
        <v>2650</v>
      </c>
      <c r="B73" s="119" t="s">
        <v>2609</v>
      </c>
      <c r="C73" s="119" t="s">
        <v>2609</v>
      </c>
      <c r="D73" s="119" t="s">
        <v>2609</v>
      </c>
      <c r="E73" s="119" t="s">
        <v>2609</v>
      </c>
      <c r="F73" s="119" t="s">
        <v>2609</v>
      </c>
      <c r="G73" s="119" t="s">
        <v>2609</v>
      </c>
      <c r="H73" s="119"/>
      <c r="I73" s="119"/>
      <c r="J73" s="119"/>
      <c r="K73" s="113"/>
      <c r="L73" s="113"/>
    </row>
    <row r="74" ht="15.75" customHeight="1">
      <c r="A74" s="118" t="s">
        <v>2684</v>
      </c>
      <c r="B74" s="119" t="s">
        <v>2609</v>
      </c>
      <c r="C74" s="119" t="s">
        <v>2609</v>
      </c>
      <c r="D74" s="119" t="s">
        <v>2609</v>
      </c>
      <c r="E74" s="119" t="s">
        <v>2609</v>
      </c>
      <c r="F74" s="119" t="s">
        <v>2609</v>
      </c>
      <c r="G74" s="119" t="s">
        <v>2609</v>
      </c>
      <c r="H74" s="119"/>
      <c r="I74" s="119"/>
      <c r="J74" s="119"/>
      <c r="K74" s="113"/>
      <c r="L74" s="113"/>
    </row>
    <row r="75" ht="15.75" customHeight="1">
      <c r="A75" s="118" t="s">
        <v>2685</v>
      </c>
      <c r="B75" s="119" t="s">
        <v>2609</v>
      </c>
      <c r="C75" s="119" t="s">
        <v>2609</v>
      </c>
      <c r="D75" s="119" t="s">
        <v>2609</v>
      </c>
      <c r="E75" s="119" t="s">
        <v>2609</v>
      </c>
      <c r="F75" s="119" t="s">
        <v>2609</v>
      </c>
      <c r="G75" s="119" t="s">
        <v>2609</v>
      </c>
      <c r="H75" s="119"/>
      <c r="I75" s="119"/>
      <c r="J75" s="119"/>
      <c r="K75" s="113"/>
      <c r="L75" s="113"/>
    </row>
    <row r="76" ht="15.75" customHeight="1">
      <c r="A76" s="118" t="s">
        <v>2686</v>
      </c>
      <c r="B76" s="119" t="s">
        <v>2609</v>
      </c>
      <c r="C76" s="119" t="s">
        <v>2609</v>
      </c>
      <c r="D76" s="119" t="s">
        <v>2609</v>
      </c>
      <c r="E76" s="119" t="s">
        <v>2609</v>
      </c>
      <c r="F76" s="119" t="s">
        <v>2609</v>
      </c>
      <c r="G76" s="119" t="s">
        <v>2609</v>
      </c>
      <c r="H76" s="119"/>
      <c r="I76" s="119"/>
      <c r="J76" s="119"/>
      <c r="K76" s="113"/>
      <c r="L76" s="113"/>
    </row>
    <row r="77" ht="15.75" customHeight="1">
      <c r="A77" s="118" t="s">
        <v>2637</v>
      </c>
      <c r="B77" s="119" t="s">
        <v>2609</v>
      </c>
      <c r="C77" s="119" t="s">
        <v>2609</v>
      </c>
      <c r="D77" s="119" t="s">
        <v>2609</v>
      </c>
      <c r="E77" s="119" t="s">
        <v>2609</v>
      </c>
      <c r="F77" s="119" t="s">
        <v>2609</v>
      </c>
      <c r="G77" s="119" t="s">
        <v>2609</v>
      </c>
      <c r="H77" s="119"/>
      <c r="I77" s="119"/>
      <c r="J77" s="119"/>
      <c r="K77" s="113"/>
      <c r="L77" s="113"/>
    </row>
    <row r="78" ht="15.75" customHeight="1">
      <c r="A78" s="118" t="s">
        <v>2649</v>
      </c>
      <c r="B78" s="119" t="s">
        <v>2609</v>
      </c>
      <c r="C78" s="119" t="s">
        <v>2609</v>
      </c>
      <c r="D78" s="119" t="s">
        <v>2609</v>
      </c>
      <c r="E78" s="119" t="s">
        <v>2609</v>
      </c>
      <c r="F78" s="119" t="s">
        <v>2609</v>
      </c>
      <c r="G78" s="119" t="s">
        <v>2609</v>
      </c>
      <c r="H78" s="119"/>
      <c r="I78" s="119"/>
      <c r="J78" s="119"/>
      <c r="K78" s="113"/>
      <c r="L78" s="113"/>
    </row>
    <row r="79" ht="15.75" customHeight="1">
      <c r="A79" s="118" t="s">
        <v>2687</v>
      </c>
      <c r="B79" s="119" t="s">
        <v>2609</v>
      </c>
      <c r="C79" s="119" t="s">
        <v>2609</v>
      </c>
      <c r="D79" s="119" t="s">
        <v>2609</v>
      </c>
      <c r="E79" s="119" t="s">
        <v>2609</v>
      </c>
      <c r="F79" s="119" t="s">
        <v>2609</v>
      </c>
      <c r="G79" s="119" t="s">
        <v>2609</v>
      </c>
      <c r="H79" s="119"/>
      <c r="I79" s="119"/>
      <c r="J79" s="119"/>
      <c r="K79" s="113"/>
      <c r="L79" s="113"/>
    </row>
    <row r="80" ht="15.75" customHeight="1">
      <c r="A80" s="118" t="s">
        <v>2662</v>
      </c>
      <c r="B80" s="119" t="s">
        <v>2609</v>
      </c>
      <c r="C80" s="119" t="s">
        <v>2609</v>
      </c>
      <c r="D80" s="119" t="s">
        <v>2609</v>
      </c>
      <c r="E80" s="119" t="s">
        <v>2609</v>
      </c>
      <c r="F80" s="119" t="s">
        <v>2609</v>
      </c>
      <c r="G80" s="119" t="s">
        <v>2609</v>
      </c>
      <c r="H80" s="119"/>
      <c r="I80" s="119"/>
      <c r="J80" s="119"/>
      <c r="K80" s="113"/>
      <c r="L80" s="113"/>
    </row>
    <row r="81" ht="15.75" customHeight="1">
      <c r="A81" s="118" t="s">
        <v>2652</v>
      </c>
      <c r="B81" s="119" t="s">
        <v>2609</v>
      </c>
      <c r="C81" s="119" t="s">
        <v>2609</v>
      </c>
      <c r="D81" s="119" t="s">
        <v>2609</v>
      </c>
      <c r="E81" s="119" t="s">
        <v>2609</v>
      </c>
      <c r="F81" s="119" t="s">
        <v>2609</v>
      </c>
      <c r="G81" s="119" t="s">
        <v>2609</v>
      </c>
      <c r="H81" s="119"/>
      <c r="I81" s="119"/>
      <c r="J81" s="119"/>
      <c r="K81" s="113"/>
      <c r="L81" s="113"/>
    </row>
    <row r="82" ht="15.75" customHeight="1">
      <c r="A82" s="118" t="s">
        <v>2647</v>
      </c>
      <c r="B82" s="119" t="s">
        <v>2609</v>
      </c>
      <c r="C82" s="119" t="s">
        <v>2609</v>
      </c>
      <c r="D82" s="119" t="s">
        <v>2609</v>
      </c>
      <c r="E82" s="119" t="s">
        <v>2609</v>
      </c>
      <c r="F82" s="119" t="s">
        <v>2609</v>
      </c>
      <c r="G82" s="119" t="s">
        <v>2609</v>
      </c>
      <c r="H82" s="119"/>
      <c r="I82" s="119"/>
      <c r="J82" s="119"/>
      <c r="K82" s="113"/>
      <c r="L82" s="113"/>
    </row>
    <row r="83" ht="15.75" customHeight="1">
      <c r="A83" s="118" t="s">
        <v>2688</v>
      </c>
      <c r="B83" s="119" t="s">
        <v>2609</v>
      </c>
      <c r="C83" s="119" t="s">
        <v>2609</v>
      </c>
      <c r="D83" s="119"/>
      <c r="E83" s="119" t="s">
        <v>2689</v>
      </c>
      <c r="F83" s="119"/>
      <c r="G83" s="119"/>
      <c r="H83" s="119"/>
      <c r="I83" s="119"/>
      <c r="J83" s="119"/>
      <c r="K83" s="113"/>
      <c r="L83" s="113"/>
    </row>
    <row r="84" ht="15.75" customHeight="1">
      <c r="A84" s="128" t="s">
        <v>2690</v>
      </c>
      <c r="B84" s="119" t="s">
        <v>2609</v>
      </c>
      <c r="C84" s="119" t="s">
        <v>2609</v>
      </c>
      <c r="D84" s="119"/>
      <c r="E84" s="119" t="s">
        <v>2691</v>
      </c>
      <c r="F84" s="119"/>
      <c r="G84" s="119"/>
      <c r="H84" s="119"/>
      <c r="I84" s="119"/>
      <c r="J84" s="119"/>
      <c r="K84" s="113"/>
      <c r="L84" s="113"/>
    </row>
    <row r="85" ht="15.75" customHeight="1">
      <c r="A85" s="118" t="s">
        <v>2692</v>
      </c>
      <c r="B85" s="119" t="s">
        <v>2609</v>
      </c>
      <c r="C85" s="119" t="s">
        <v>2609</v>
      </c>
      <c r="D85" s="119"/>
      <c r="E85" s="119">
        <v>346.0</v>
      </c>
      <c r="F85" s="119"/>
      <c r="G85" s="119"/>
      <c r="H85" s="119"/>
      <c r="I85" s="119"/>
      <c r="J85" s="119"/>
      <c r="K85" s="113"/>
      <c r="L85" s="113"/>
    </row>
    <row r="86" ht="15.75" customHeight="1">
      <c r="B86" s="113"/>
      <c r="C86" s="113"/>
      <c r="D86" s="113"/>
      <c r="E86" s="113"/>
      <c r="F86" s="113"/>
      <c r="G86" s="113"/>
      <c r="H86" s="113"/>
      <c r="I86" s="113"/>
      <c r="J86" s="113"/>
      <c r="K86" s="113"/>
      <c r="L86" s="113"/>
    </row>
    <row r="87" ht="15.75" customHeight="1">
      <c r="B87" s="113"/>
      <c r="C87" s="113"/>
      <c r="D87" s="113"/>
      <c r="E87" s="113"/>
      <c r="F87" s="113"/>
      <c r="G87" s="113"/>
      <c r="H87" s="113"/>
      <c r="I87" s="113"/>
      <c r="J87" s="113"/>
      <c r="K87" s="113"/>
      <c r="L87" s="113"/>
    </row>
    <row r="88" ht="15.75" customHeight="1">
      <c r="B88" s="113"/>
      <c r="C88" s="113"/>
      <c r="D88" s="113"/>
      <c r="E88" s="113"/>
      <c r="F88" s="113"/>
      <c r="G88" s="113"/>
      <c r="H88" s="113"/>
      <c r="I88" s="113"/>
      <c r="J88" s="113"/>
      <c r="K88" s="113"/>
      <c r="L88" s="113"/>
    </row>
    <row r="89" ht="15.75" customHeight="1">
      <c r="B89" s="113"/>
      <c r="C89" s="113"/>
      <c r="D89" s="113"/>
      <c r="E89" s="113"/>
      <c r="F89" s="113"/>
      <c r="G89" s="113"/>
      <c r="H89" s="113"/>
      <c r="I89" s="113"/>
      <c r="J89" s="113"/>
      <c r="K89" s="113"/>
      <c r="L89" s="113"/>
    </row>
    <row r="90" ht="15.75" customHeight="1">
      <c r="B90" s="113"/>
      <c r="C90" s="113"/>
      <c r="D90" s="113"/>
      <c r="E90" s="113"/>
      <c r="F90" s="113"/>
      <c r="G90" s="113"/>
      <c r="H90" s="113"/>
      <c r="I90" s="113"/>
      <c r="J90" s="113"/>
      <c r="K90" s="113"/>
      <c r="L90" s="113"/>
    </row>
    <row r="91" ht="15.75" customHeight="1">
      <c r="B91" s="113"/>
      <c r="C91" s="113"/>
      <c r="D91" s="113"/>
      <c r="E91" s="113"/>
      <c r="F91" s="113"/>
      <c r="G91" s="113"/>
      <c r="H91" s="113"/>
      <c r="I91" s="113"/>
      <c r="J91" s="113"/>
      <c r="K91" s="113"/>
      <c r="L91" s="113"/>
    </row>
    <row r="92" ht="15.75" customHeight="1">
      <c r="B92" s="113"/>
      <c r="C92" s="113"/>
      <c r="D92" s="113"/>
      <c r="E92" s="113"/>
      <c r="F92" s="113"/>
      <c r="G92" s="113"/>
      <c r="H92" s="113"/>
      <c r="I92" s="113"/>
      <c r="J92" s="113"/>
      <c r="K92" s="113"/>
      <c r="L92" s="113"/>
    </row>
    <row r="93" ht="15.75" customHeight="1">
      <c r="B93" s="113"/>
      <c r="C93" s="113"/>
      <c r="D93" s="113"/>
      <c r="E93" s="113"/>
      <c r="F93" s="113"/>
      <c r="G93" s="113"/>
      <c r="H93" s="113"/>
      <c r="I93" s="113"/>
      <c r="J93" s="113"/>
      <c r="K93" s="113"/>
      <c r="L93" s="113"/>
    </row>
    <row r="94" ht="15.75" customHeight="1">
      <c r="B94" s="113"/>
      <c r="C94" s="113"/>
      <c r="D94" s="113"/>
      <c r="E94" s="113"/>
      <c r="F94" s="113"/>
      <c r="G94" s="113"/>
      <c r="H94" s="113"/>
      <c r="I94" s="113"/>
      <c r="J94" s="113"/>
      <c r="K94" s="113"/>
      <c r="L94" s="113"/>
    </row>
    <row r="95" ht="15.75" customHeight="1">
      <c r="B95" s="113"/>
      <c r="C95" s="113"/>
      <c r="D95" s="113"/>
      <c r="E95" s="113"/>
      <c r="F95" s="113"/>
      <c r="G95" s="113"/>
      <c r="H95" s="113"/>
      <c r="I95" s="113"/>
      <c r="J95" s="113"/>
      <c r="K95" s="113"/>
      <c r="L95" s="113"/>
    </row>
    <row r="96" ht="15.75" customHeight="1">
      <c r="B96" s="113"/>
      <c r="C96" s="113"/>
      <c r="D96" s="113"/>
      <c r="E96" s="113"/>
      <c r="F96" s="113"/>
      <c r="G96" s="113"/>
      <c r="H96" s="113"/>
      <c r="I96" s="113"/>
      <c r="J96" s="113"/>
      <c r="K96" s="113"/>
      <c r="L96" s="113"/>
    </row>
    <row r="97" ht="15.75" customHeight="1">
      <c r="B97" s="113"/>
      <c r="C97" s="113"/>
      <c r="D97" s="113"/>
      <c r="E97" s="113"/>
      <c r="F97" s="113"/>
      <c r="G97" s="113"/>
      <c r="H97" s="113"/>
      <c r="I97" s="113"/>
      <c r="J97" s="113"/>
      <c r="K97" s="113"/>
      <c r="L97" s="113"/>
    </row>
    <row r="98" ht="15.75" customHeight="1">
      <c r="B98" s="113"/>
      <c r="C98" s="113"/>
      <c r="D98" s="113"/>
      <c r="E98" s="113"/>
      <c r="F98" s="113"/>
      <c r="G98" s="113"/>
      <c r="H98" s="113"/>
      <c r="I98" s="113"/>
      <c r="J98" s="113"/>
      <c r="K98" s="113"/>
      <c r="L98" s="113"/>
    </row>
    <row r="99" ht="15.75" customHeight="1">
      <c r="B99" s="113"/>
      <c r="C99" s="113"/>
      <c r="D99" s="113"/>
      <c r="E99" s="113"/>
      <c r="F99" s="113"/>
      <c r="G99" s="113"/>
      <c r="H99" s="113"/>
      <c r="I99" s="113"/>
      <c r="J99" s="113"/>
      <c r="K99" s="113"/>
      <c r="L99" s="113"/>
    </row>
    <row r="100" ht="15.75" customHeight="1">
      <c r="B100" s="113"/>
      <c r="C100" s="113"/>
      <c r="D100" s="113"/>
      <c r="E100" s="113"/>
      <c r="F100" s="113"/>
      <c r="G100" s="113"/>
      <c r="H100" s="113"/>
      <c r="I100" s="113"/>
      <c r="J100" s="113"/>
      <c r="K100" s="113"/>
      <c r="L100" s="113"/>
    </row>
    <row r="101" ht="15.75" customHeight="1">
      <c r="B101" s="113"/>
      <c r="C101" s="113"/>
      <c r="D101" s="113"/>
      <c r="E101" s="113"/>
      <c r="F101" s="113"/>
      <c r="G101" s="113"/>
      <c r="H101" s="113"/>
      <c r="I101" s="113"/>
      <c r="J101" s="113"/>
      <c r="K101" s="113"/>
      <c r="L101" s="113"/>
    </row>
    <row r="102" ht="15.75" customHeight="1">
      <c r="B102" s="113"/>
      <c r="C102" s="113"/>
      <c r="D102" s="113"/>
      <c r="E102" s="113"/>
      <c r="F102" s="113"/>
      <c r="G102" s="113"/>
      <c r="H102" s="113"/>
      <c r="I102" s="113"/>
      <c r="J102" s="113"/>
      <c r="K102" s="113"/>
      <c r="L102" s="113"/>
    </row>
    <row r="103" ht="15.75" customHeight="1">
      <c r="B103" s="113"/>
      <c r="C103" s="113"/>
      <c r="D103" s="113"/>
      <c r="E103" s="113"/>
      <c r="F103" s="113"/>
      <c r="G103" s="113"/>
      <c r="H103" s="113"/>
      <c r="I103" s="113"/>
      <c r="J103" s="113"/>
      <c r="K103" s="113"/>
      <c r="L103" s="113"/>
    </row>
    <row r="104" ht="15.75" customHeight="1">
      <c r="B104" s="113"/>
      <c r="C104" s="113"/>
      <c r="D104" s="113"/>
      <c r="E104" s="113"/>
      <c r="F104" s="113"/>
      <c r="G104" s="113"/>
      <c r="H104" s="113"/>
      <c r="I104" s="113"/>
      <c r="J104" s="113"/>
      <c r="K104" s="113"/>
      <c r="L104" s="113"/>
    </row>
    <row r="105" ht="15.75" customHeight="1">
      <c r="B105" s="113"/>
      <c r="C105" s="113"/>
      <c r="D105" s="113"/>
      <c r="E105" s="113"/>
      <c r="F105" s="113"/>
      <c r="G105" s="113"/>
      <c r="H105" s="113"/>
      <c r="I105" s="113"/>
      <c r="J105" s="113"/>
      <c r="K105" s="113"/>
      <c r="L105" s="113"/>
    </row>
    <row r="106" ht="15.75" customHeight="1">
      <c r="B106" s="113"/>
      <c r="C106" s="113"/>
      <c r="D106" s="113"/>
      <c r="E106" s="113"/>
      <c r="F106" s="113"/>
      <c r="G106" s="113"/>
      <c r="H106" s="113"/>
      <c r="I106" s="113"/>
      <c r="J106" s="113"/>
      <c r="K106" s="113"/>
      <c r="L106" s="113"/>
    </row>
    <row r="107" ht="15.75" customHeight="1">
      <c r="B107" s="113"/>
      <c r="C107" s="113"/>
      <c r="D107" s="113"/>
      <c r="E107" s="113"/>
      <c r="F107" s="113"/>
      <c r="G107" s="113"/>
      <c r="H107" s="113"/>
      <c r="I107" s="113"/>
      <c r="J107" s="113"/>
      <c r="K107" s="113"/>
      <c r="L107" s="113"/>
    </row>
    <row r="108" ht="15.75" customHeight="1">
      <c r="B108" s="113"/>
      <c r="C108" s="113"/>
      <c r="D108" s="113"/>
      <c r="E108" s="113"/>
      <c r="F108" s="113"/>
      <c r="G108" s="113"/>
      <c r="H108" s="113"/>
      <c r="I108" s="113"/>
      <c r="J108" s="113"/>
      <c r="K108" s="113"/>
      <c r="L108" s="113"/>
    </row>
    <row r="109" ht="15.75" customHeight="1">
      <c r="B109" s="113"/>
      <c r="C109" s="113"/>
      <c r="D109" s="113"/>
      <c r="E109" s="113"/>
      <c r="F109" s="113"/>
      <c r="G109" s="113"/>
      <c r="H109" s="113"/>
      <c r="I109" s="113"/>
      <c r="J109" s="113"/>
      <c r="K109" s="113"/>
      <c r="L109" s="113"/>
    </row>
    <row r="110" ht="15.75" customHeight="1">
      <c r="B110" s="113"/>
      <c r="C110" s="113"/>
      <c r="D110" s="113"/>
      <c r="E110" s="113"/>
      <c r="F110" s="113"/>
      <c r="G110" s="113"/>
      <c r="H110" s="113"/>
      <c r="I110" s="113"/>
      <c r="J110" s="113"/>
      <c r="K110" s="113"/>
      <c r="L110" s="113"/>
    </row>
    <row r="111" ht="15.75" customHeight="1">
      <c r="B111" s="113"/>
      <c r="C111" s="113"/>
      <c r="D111" s="113"/>
      <c r="E111" s="113"/>
      <c r="F111" s="113"/>
      <c r="G111" s="113"/>
      <c r="H111" s="113"/>
      <c r="I111" s="113"/>
      <c r="J111" s="113"/>
      <c r="K111" s="113"/>
      <c r="L111" s="113"/>
    </row>
    <row r="112" ht="15.75" customHeight="1">
      <c r="B112" s="113"/>
      <c r="C112" s="113"/>
      <c r="D112" s="113"/>
      <c r="E112" s="113"/>
      <c r="F112" s="113"/>
      <c r="G112" s="113"/>
      <c r="H112" s="113"/>
      <c r="I112" s="113"/>
      <c r="J112" s="113"/>
      <c r="K112" s="113"/>
      <c r="L112" s="113"/>
    </row>
    <row r="113" ht="15.75" customHeight="1">
      <c r="B113" s="113"/>
      <c r="C113" s="113"/>
      <c r="D113" s="113"/>
      <c r="E113" s="113"/>
      <c r="F113" s="113"/>
      <c r="G113" s="113"/>
      <c r="H113" s="113"/>
      <c r="I113" s="113"/>
      <c r="J113" s="113"/>
      <c r="K113" s="113"/>
      <c r="L113" s="113"/>
    </row>
    <row r="114" ht="15.75" customHeight="1">
      <c r="B114" s="113"/>
      <c r="C114" s="113"/>
      <c r="D114" s="113"/>
      <c r="E114" s="113"/>
      <c r="F114" s="113"/>
      <c r="G114" s="113"/>
      <c r="H114" s="113"/>
      <c r="I114" s="113"/>
      <c r="J114" s="113"/>
      <c r="K114" s="113"/>
      <c r="L114" s="113"/>
    </row>
    <row r="115" ht="15.75" customHeight="1">
      <c r="B115" s="113"/>
      <c r="C115" s="113"/>
      <c r="D115" s="113"/>
      <c r="E115" s="113"/>
      <c r="F115" s="113"/>
      <c r="G115" s="113"/>
      <c r="H115" s="113"/>
      <c r="I115" s="113"/>
      <c r="J115" s="113"/>
      <c r="K115" s="113"/>
      <c r="L115" s="113"/>
    </row>
    <row r="116" ht="15.75" customHeight="1">
      <c r="B116" s="113"/>
      <c r="C116" s="113"/>
      <c r="D116" s="113"/>
      <c r="E116" s="113"/>
      <c r="F116" s="113"/>
      <c r="G116" s="113"/>
      <c r="H116" s="113"/>
      <c r="I116" s="113"/>
      <c r="J116" s="113"/>
      <c r="K116" s="113"/>
      <c r="L116" s="113"/>
    </row>
    <row r="117" ht="15.75" customHeight="1">
      <c r="B117" s="113"/>
      <c r="C117" s="113"/>
      <c r="D117" s="113"/>
      <c r="E117" s="113"/>
      <c r="F117" s="113"/>
      <c r="G117" s="113"/>
      <c r="H117" s="113"/>
      <c r="I117" s="113"/>
      <c r="J117" s="113"/>
      <c r="K117" s="113"/>
      <c r="L117" s="113"/>
    </row>
    <row r="118" ht="15.75" customHeight="1">
      <c r="B118" s="113"/>
      <c r="C118" s="113"/>
      <c r="D118" s="113"/>
      <c r="E118" s="113"/>
      <c r="F118" s="113"/>
      <c r="G118" s="113"/>
      <c r="H118" s="113"/>
      <c r="I118" s="113"/>
      <c r="J118" s="113"/>
      <c r="K118" s="113"/>
      <c r="L118" s="113"/>
    </row>
    <row r="119" ht="15.75" customHeight="1">
      <c r="B119" s="113"/>
      <c r="C119" s="113"/>
      <c r="D119" s="113"/>
      <c r="E119" s="113"/>
      <c r="F119" s="113"/>
      <c r="G119" s="113"/>
      <c r="H119" s="113"/>
      <c r="I119" s="113"/>
      <c r="J119" s="113"/>
      <c r="K119" s="113"/>
      <c r="L119" s="113"/>
    </row>
    <row r="120" ht="15.75" customHeight="1">
      <c r="B120" s="113"/>
      <c r="C120" s="113"/>
      <c r="D120" s="113"/>
      <c r="E120" s="113"/>
      <c r="F120" s="113"/>
      <c r="G120" s="113"/>
      <c r="H120" s="113"/>
      <c r="I120" s="113"/>
      <c r="J120" s="113"/>
      <c r="K120" s="113"/>
      <c r="L120" s="113"/>
    </row>
    <row r="121" ht="15.75" customHeight="1">
      <c r="B121" s="113"/>
      <c r="C121" s="113"/>
      <c r="D121" s="113"/>
      <c r="E121" s="113"/>
      <c r="F121" s="113"/>
      <c r="G121" s="113"/>
      <c r="H121" s="113"/>
      <c r="I121" s="113"/>
      <c r="J121" s="113"/>
      <c r="K121" s="113"/>
      <c r="L121" s="113"/>
    </row>
    <row r="122" ht="15.75" customHeight="1">
      <c r="B122" s="113"/>
      <c r="C122" s="113"/>
      <c r="D122" s="113"/>
      <c r="E122" s="113"/>
      <c r="F122" s="113"/>
      <c r="G122" s="113"/>
      <c r="H122" s="113"/>
      <c r="I122" s="113"/>
      <c r="J122" s="113"/>
      <c r="K122" s="113"/>
      <c r="L122" s="113"/>
    </row>
    <row r="123" ht="15.75" customHeight="1">
      <c r="B123" s="113"/>
      <c r="C123" s="113"/>
      <c r="D123" s="113"/>
      <c r="E123" s="113"/>
      <c r="F123" s="113"/>
      <c r="G123" s="113"/>
      <c r="H123" s="113"/>
      <c r="I123" s="113"/>
      <c r="J123" s="113"/>
      <c r="K123" s="113"/>
      <c r="L123" s="113"/>
    </row>
    <row r="124" ht="15.75" customHeight="1">
      <c r="B124" s="113"/>
      <c r="C124" s="113"/>
      <c r="D124" s="113"/>
      <c r="E124" s="113"/>
      <c r="F124" s="113"/>
      <c r="G124" s="113"/>
      <c r="H124" s="113"/>
      <c r="I124" s="113"/>
      <c r="J124" s="113"/>
      <c r="K124" s="113"/>
      <c r="L124" s="113"/>
    </row>
    <row r="125" ht="15.75" customHeight="1">
      <c r="B125" s="113"/>
      <c r="C125" s="113"/>
      <c r="D125" s="113"/>
      <c r="E125" s="113"/>
      <c r="F125" s="113"/>
      <c r="G125" s="113"/>
      <c r="H125" s="113"/>
      <c r="I125" s="113"/>
      <c r="J125" s="113"/>
      <c r="K125" s="113"/>
      <c r="L125" s="113"/>
    </row>
    <row r="126" ht="15.75" customHeight="1">
      <c r="B126" s="113"/>
      <c r="C126" s="113"/>
      <c r="D126" s="113"/>
      <c r="E126" s="113"/>
      <c r="F126" s="113"/>
      <c r="G126" s="113"/>
      <c r="H126" s="113"/>
      <c r="I126" s="113"/>
      <c r="J126" s="113"/>
      <c r="K126" s="113"/>
      <c r="L126" s="113"/>
    </row>
    <row r="127" ht="15.75" customHeight="1">
      <c r="B127" s="113"/>
      <c r="C127" s="113"/>
      <c r="D127" s="113"/>
      <c r="E127" s="113"/>
      <c r="F127" s="113"/>
      <c r="G127" s="113"/>
      <c r="H127" s="113"/>
      <c r="I127" s="113"/>
      <c r="J127" s="113"/>
      <c r="K127" s="113"/>
      <c r="L127" s="113"/>
    </row>
    <row r="128" ht="15.75" customHeight="1">
      <c r="B128" s="113"/>
      <c r="C128" s="113"/>
      <c r="D128" s="113"/>
      <c r="E128" s="113"/>
      <c r="F128" s="113"/>
      <c r="G128" s="113"/>
      <c r="H128" s="113"/>
      <c r="I128" s="113"/>
      <c r="J128" s="113"/>
      <c r="K128" s="113"/>
      <c r="L128" s="113"/>
    </row>
    <row r="129" ht="15.75" customHeight="1">
      <c r="B129" s="113"/>
      <c r="C129" s="113"/>
      <c r="D129" s="113"/>
      <c r="E129" s="113"/>
      <c r="F129" s="113"/>
      <c r="G129" s="113"/>
      <c r="H129" s="113"/>
      <c r="I129" s="113"/>
      <c r="J129" s="113"/>
      <c r="K129" s="113"/>
      <c r="L129" s="113"/>
    </row>
    <row r="130" ht="15.75" customHeight="1">
      <c r="B130" s="113"/>
      <c r="C130" s="113"/>
      <c r="D130" s="113"/>
      <c r="E130" s="113"/>
      <c r="F130" s="113"/>
      <c r="G130" s="113"/>
      <c r="H130" s="113"/>
      <c r="I130" s="113"/>
      <c r="J130" s="113"/>
      <c r="K130" s="113"/>
      <c r="L130" s="113"/>
    </row>
    <row r="131" ht="15.75" customHeight="1">
      <c r="B131" s="113"/>
      <c r="C131" s="113"/>
      <c r="D131" s="113"/>
      <c r="E131" s="113"/>
      <c r="F131" s="113"/>
      <c r="G131" s="113"/>
      <c r="H131" s="113"/>
      <c r="I131" s="113"/>
      <c r="J131" s="113"/>
      <c r="K131" s="113"/>
      <c r="L131" s="113"/>
    </row>
    <row r="132" ht="15.75" customHeight="1">
      <c r="B132" s="113"/>
      <c r="C132" s="113"/>
      <c r="D132" s="113"/>
      <c r="E132" s="113"/>
      <c r="F132" s="113"/>
      <c r="G132" s="113"/>
      <c r="H132" s="113"/>
      <c r="I132" s="113"/>
      <c r="J132" s="113"/>
      <c r="K132" s="113"/>
      <c r="L132" s="113"/>
    </row>
    <row r="133" ht="15.75" customHeight="1">
      <c r="B133" s="113"/>
      <c r="C133" s="113"/>
      <c r="D133" s="113"/>
      <c r="E133" s="113"/>
      <c r="F133" s="113"/>
      <c r="G133" s="113"/>
      <c r="H133" s="113"/>
      <c r="I133" s="113"/>
      <c r="J133" s="113"/>
      <c r="K133" s="113"/>
      <c r="L133" s="113"/>
    </row>
    <row r="134" ht="15.75" customHeight="1">
      <c r="B134" s="113"/>
      <c r="C134" s="113"/>
      <c r="D134" s="113"/>
      <c r="E134" s="113"/>
      <c r="F134" s="113"/>
      <c r="G134" s="113"/>
      <c r="H134" s="113"/>
      <c r="I134" s="113"/>
      <c r="J134" s="113"/>
      <c r="K134" s="113"/>
      <c r="L134" s="113"/>
    </row>
    <row r="135" ht="15.75" customHeight="1">
      <c r="B135" s="113"/>
      <c r="C135" s="113"/>
      <c r="D135" s="113"/>
      <c r="E135" s="113"/>
      <c r="F135" s="113"/>
      <c r="G135" s="113"/>
      <c r="H135" s="113"/>
      <c r="I135" s="113"/>
      <c r="J135" s="113"/>
      <c r="K135" s="113"/>
      <c r="L135" s="113"/>
    </row>
    <row r="136" ht="15.75" customHeight="1">
      <c r="B136" s="113"/>
      <c r="C136" s="113"/>
      <c r="D136" s="113"/>
      <c r="E136" s="113"/>
      <c r="F136" s="113"/>
      <c r="G136" s="113"/>
      <c r="H136" s="113"/>
      <c r="I136" s="113"/>
      <c r="J136" s="113"/>
      <c r="K136" s="113"/>
      <c r="L136" s="113"/>
    </row>
    <row r="137" ht="15.75" customHeight="1">
      <c r="B137" s="113"/>
      <c r="C137" s="113"/>
      <c r="D137" s="113"/>
      <c r="E137" s="113"/>
      <c r="F137" s="113"/>
      <c r="G137" s="113"/>
      <c r="H137" s="113"/>
      <c r="I137" s="113"/>
      <c r="J137" s="113"/>
      <c r="K137" s="113"/>
      <c r="L137" s="113"/>
    </row>
    <row r="138" ht="15.75" customHeight="1">
      <c r="B138" s="113"/>
      <c r="C138" s="113"/>
      <c r="D138" s="113"/>
      <c r="E138" s="113"/>
      <c r="F138" s="113"/>
      <c r="G138" s="113"/>
      <c r="H138" s="113"/>
      <c r="I138" s="113"/>
      <c r="J138" s="113"/>
      <c r="K138" s="113"/>
      <c r="L138" s="113"/>
    </row>
    <row r="139" ht="15.75" customHeight="1">
      <c r="B139" s="113"/>
      <c r="C139" s="113"/>
      <c r="D139" s="113"/>
      <c r="E139" s="113"/>
      <c r="F139" s="113"/>
      <c r="G139" s="113"/>
      <c r="H139" s="113"/>
      <c r="I139" s="113"/>
      <c r="J139" s="113"/>
      <c r="K139" s="113"/>
      <c r="L139" s="113"/>
    </row>
    <row r="140" ht="15.75" customHeight="1">
      <c r="B140" s="113"/>
      <c r="C140" s="113"/>
      <c r="D140" s="113"/>
      <c r="E140" s="113"/>
      <c r="F140" s="113"/>
      <c r="G140" s="113"/>
      <c r="H140" s="113"/>
      <c r="I140" s="113"/>
      <c r="J140" s="113"/>
      <c r="K140" s="113"/>
      <c r="L140" s="113"/>
    </row>
    <row r="141" ht="15.75" customHeight="1">
      <c r="B141" s="113"/>
      <c r="C141" s="113"/>
      <c r="D141" s="113"/>
      <c r="E141" s="113"/>
      <c r="F141" s="113"/>
      <c r="G141" s="113"/>
      <c r="H141" s="113"/>
      <c r="I141" s="113"/>
      <c r="J141" s="113"/>
      <c r="K141" s="113"/>
      <c r="L141" s="113"/>
    </row>
    <row r="142" ht="15.75" customHeight="1">
      <c r="B142" s="113"/>
      <c r="C142" s="113"/>
      <c r="D142" s="113"/>
      <c r="E142" s="113"/>
      <c r="F142" s="113"/>
      <c r="G142" s="113"/>
      <c r="H142" s="113"/>
      <c r="I142" s="113"/>
      <c r="J142" s="113"/>
      <c r="K142" s="113"/>
      <c r="L142" s="113"/>
    </row>
    <row r="143" ht="15.75" customHeight="1">
      <c r="B143" s="113"/>
      <c r="C143" s="113"/>
      <c r="D143" s="113"/>
      <c r="E143" s="113"/>
      <c r="F143" s="113"/>
      <c r="G143" s="113"/>
      <c r="H143" s="113"/>
      <c r="I143" s="113"/>
      <c r="J143" s="113"/>
      <c r="K143" s="113"/>
      <c r="L143" s="113"/>
    </row>
    <row r="144" ht="15.75" customHeight="1">
      <c r="B144" s="113"/>
      <c r="C144" s="113"/>
      <c r="D144" s="113"/>
      <c r="E144" s="113"/>
      <c r="F144" s="113"/>
      <c r="G144" s="113"/>
      <c r="H144" s="113"/>
      <c r="I144" s="113"/>
      <c r="J144" s="113"/>
      <c r="K144" s="113"/>
      <c r="L144" s="113"/>
    </row>
    <row r="145" ht="15.75" customHeight="1">
      <c r="B145" s="113"/>
      <c r="C145" s="113"/>
      <c r="D145" s="113"/>
      <c r="E145" s="113"/>
      <c r="F145" s="113"/>
      <c r="G145" s="113"/>
      <c r="H145" s="113"/>
      <c r="I145" s="113"/>
      <c r="J145" s="113"/>
      <c r="K145" s="113"/>
      <c r="L145" s="113"/>
    </row>
    <row r="146" ht="15.75" customHeight="1">
      <c r="B146" s="113"/>
      <c r="C146" s="113"/>
      <c r="D146" s="113"/>
      <c r="E146" s="113"/>
      <c r="F146" s="113"/>
      <c r="G146" s="113"/>
      <c r="H146" s="113"/>
      <c r="I146" s="113"/>
      <c r="J146" s="113"/>
      <c r="K146" s="113"/>
      <c r="L146" s="113"/>
    </row>
    <row r="147" ht="15.75" customHeight="1">
      <c r="B147" s="113"/>
      <c r="C147" s="113"/>
      <c r="D147" s="113"/>
      <c r="E147" s="113"/>
      <c r="F147" s="113"/>
      <c r="G147" s="113"/>
      <c r="H147" s="113"/>
      <c r="I147" s="113"/>
      <c r="J147" s="113"/>
      <c r="K147" s="113"/>
      <c r="L147" s="113"/>
    </row>
    <row r="148" ht="15.75" customHeight="1">
      <c r="B148" s="113"/>
      <c r="C148" s="113"/>
      <c r="D148" s="113"/>
      <c r="E148" s="113"/>
      <c r="F148" s="113"/>
      <c r="G148" s="113"/>
      <c r="H148" s="113"/>
      <c r="I148" s="113"/>
      <c r="J148" s="113"/>
      <c r="K148" s="113"/>
      <c r="L148" s="113"/>
    </row>
    <row r="149" ht="15.75" customHeight="1">
      <c r="B149" s="113"/>
      <c r="C149" s="113"/>
      <c r="D149" s="113"/>
      <c r="E149" s="113"/>
      <c r="F149" s="113"/>
      <c r="G149" s="113"/>
      <c r="H149" s="113"/>
      <c r="I149" s="113"/>
      <c r="J149" s="113"/>
      <c r="K149" s="113"/>
      <c r="L149" s="113"/>
    </row>
    <row r="150" ht="15.75" customHeight="1">
      <c r="B150" s="113"/>
      <c r="C150" s="113"/>
      <c r="D150" s="113"/>
      <c r="E150" s="113"/>
      <c r="F150" s="113"/>
      <c r="G150" s="113"/>
      <c r="H150" s="113"/>
      <c r="I150" s="113"/>
      <c r="J150" s="113"/>
      <c r="K150" s="113"/>
      <c r="L150" s="113"/>
    </row>
    <row r="151" ht="15.75" customHeight="1">
      <c r="B151" s="113"/>
      <c r="C151" s="113"/>
      <c r="D151" s="113"/>
      <c r="E151" s="113"/>
      <c r="F151" s="113"/>
      <c r="G151" s="113"/>
      <c r="H151" s="113"/>
      <c r="I151" s="113"/>
      <c r="J151" s="113"/>
      <c r="K151" s="113"/>
      <c r="L151" s="113"/>
    </row>
    <row r="152" ht="15.75" customHeight="1">
      <c r="B152" s="113"/>
      <c r="C152" s="113"/>
      <c r="D152" s="113"/>
      <c r="E152" s="113"/>
      <c r="F152" s="113"/>
      <c r="G152" s="113"/>
      <c r="H152" s="113"/>
      <c r="I152" s="113"/>
      <c r="J152" s="113"/>
      <c r="K152" s="113"/>
      <c r="L152" s="113"/>
    </row>
    <row r="153" ht="15.75" customHeight="1">
      <c r="B153" s="113"/>
      <c r="C153" s="113"/>
      <c r="D153" s="113"/>
      <c r="E153" s="113"/>
      <c r="F153" s="113"/>
      <c r="G153" s="113"/>
      <c r="H153" s="113"/>
      <c r="I153" s="113"/>
      <c r="J153" s="113"/>
      <c r="K153" s="113"/>
      <c r="L153" s="113"/>
    </row>
    <row r="154" ht="15.75" customHeight="1">
      <c r="B154" s="113"/>
      <c r="C154" s="113"/>
      <c r="D154" s="113"/>
      <c r="E154" s="113"/>
      <c r="F154" s="113"/>
      <c r="G154" s="113"/>
      <c r="H154" s="113"/>
      <c r="I154" s="113"/>
      <c r="J154" s="113"/>
      <c r="K154" s="113"/>
      <c r="L154" s="113"/>
    </row>
    <row r="155" ht="15.75" customHeight="1">
      <c r="B155" s="113"/>
      <c r="C155" s="113"/>
      <c r="D155" s="113"/>
      <c r="E155" s="113"/>
      <c r="F155" s="113"/>
      <c r="G155" s="113"/>
      <c r="H155" s="113"/>
      <c r="I155" s="113"/>
      <c r="J155" s="113"/>
      <c r="K155" s="113"/>
      <c r="L155" s="113"/>
    </row>
    <row r="156" ht="15.75" customHeight="1">
      <c r="B156" s="113"/>
      <c r="C156" s="113"/>
      <c r="D156" s="113"/>
      <c r="E156" s="113"/>
      <c r="F156" s="113"/>
      <c r="G156" s="113"/>
      <c r="H156" s="113"/>
      <c r="I156" s="113"/>
      <c r="J156" s="113"/>
      <c r="K156" s="113"/>
      <c r="L156" s="113"/>
    </row>
    <row r="157" ht="15.75" customHeight="1">
      <c r="B157" s="113"/>
      <c r="C157" s="113"/>
      <c r="D157" s="113"/>
      <c r="E157" s="113"/>
      <c r="F157" s="113"/>
      <c r="G157" s="113"/>
      <c r="H157" s="113"/>
      <c r="I157" s="113"/>
      <c r="J157" s="113"/>
      <c r="K157" s="113"/>
      <c r="L157" s="113"/>
    </row>
    <row r="158" ht="15.75" customHeight="1">
      <c r="B158" s="113"/>
      <c r="C158" s="113"/>
      <c r="D158" s="113"/>
      <c r="E158" s="113"/>
      <c r="F158" s="113"/>
      <c r="G158" s="113"/>
      <c r="H158" s="113"/>
      <c r="I158" s="113"/>
      <c r="J158" s="113"/>
      <c r="K158" s="113"/>
      <c r="L158" s="113"/>
    </row>
    <row r="159" ht="15.75" customHeight="1">
      <c r="B159" s="113"/>
      <c r="C159" s="113"/>
      <c r="D159" s="113"/>
      <c r="E159" s="113"/>
      <c r="F159" s="113"/>
      <c r="G159" s="113"/>
      <c r="H159" s="113"/>
      <c r="I159" s="113"/>
      <c r="J159" s="113"/>
      <c r="K159" s="113"/>
      <c r="L159" s="113"/>
    </row>
    <row r="160" ht="15.75" customHeight="1">
      <c r="B160" s="113"/>
      <c r="C160" s="113"/>
      <c r="D160" s="113"/>
      <c r="E160" s="113"/>
      <c r="F160" s="113"/>
      <c r="G160" s="113"/>
      <c r="H160" s="113"/>
      <c r="I160" s="113"/>
      <c r="J160" s="113"/>
      <c r="K160" s="113"/>
      <c r="L160" s="113"/>
    </row>
    <row r="161" ht="15.75" customHeight="1">
      <c r="B161" s="113"/>
      <c r="C161" s="113"/>
      <c r="D161" s="113"/>
      <c r="E161" s="113"/>
      <c r="F161" s="113"/>
      <c r="G161" s="113"/>
      <c r="H161" s="113"/>
      <c r="I161" s="113"/>
      <c r="J161" s="113"/>
      <c r="K161" s="113"/>
      <c r="L161" s="113"/>
    </row>
    <row r="162" ht="15.75" customHeight="1">
      <c r="B162" s="113"/>
      <c r="C162" s="113"/>
      <c r="D162" s="113"/>
      <c r="E162" s="113"/>
      <c r="F162" s="113"/>
      <c r="G162" s="113"/>
      <c r="H162" s="113"/>
      <c r="I162" s="113"/>
      <c r="J162" s="113"/>
      <c r="K162" s="113"/>
      <c r="L162" s="113"/>
    </row>
    <row r="163" ht="15.75" customHeight="1">
      <c r="B163" s="113"/>
      <c r="C163" s="113"/>
      <c r="D163" s="113"/>
      <c r="E163" s="113"/>
      <c r="F163" s="113"/>
      <c r="G163" s="113"/>
      <c r="H163" s="113"/>
      <c r="I163" s="113"/>
      <c r="J163" s="113"/>
      <c r="K163" s="113"/>
      <c r="L163" s="113"/>
    </row>
    <row r="164" ht="15.75" customHeight="1">
      <c r="B164" s="113"/>
      <c r="C164" s="113"/>
      <c r="D164" s="113"/>
      <c r="E164" s="113"/>
      <c r="F164" s="113"/>
      <c r="G164" s="113"/>
      <c r="H164" s="113"/>
      <c r="I164" s="113"/>
      <c r="J164" s="113"/>
      <c r="K164" s="113"/>
      <c r="L164" s="113"/>
    </row>
    <row r="165" ht="15.75" customHeight="1">
      <c r="B165" s="113"/>
      <c r="C165" s="113"/>
      <c r="D165" s="113"/>
      <c r="E165" s="113"/>
      <c r="F165" s="113"/>
      <c r="G165" s="113"/>
      <c r="H165" s="113"/>
      <c r="I165" s="113"/>
      <c r="J165" s="113"/>
      <c r="K165" s="113"/>
      <c r="L165" s="113"/>
    </row>
    <row r="166" ht="15.75" customHeight="1">
      <c r="B166" s="113"/>
      <c r="C166" s="113"/>
      <c r="D166" s="113"/>
      <c r="E166" s="113"/>
      <c r="F166" s="113"/>
      <c r="G166" s="113"/>
      <c r="H166" s="113"/>
      <c r="I166" s="113"/>
      <c r="J166" s="113"/>
      <c r="K166" s="113"/>
      <c r="L166" s="113"/>
    </row>
    <row r="167" ht="15.75" customHeight="1">
      <c r="B167" s="113"/>
      <c r="C167" s="113"/>
      <c r="D167" s="113"/>
      <c r="E167" s="113"/>
      <c r="F167" s="113"/>
      <c r="G167" s="113"/>
      <c r="H167" s="113"/>
      <c r="I167" s="113"/>
      <c r="J167" s="113"/>
      <c r="K167" s="113"/>
      <c r="L167" s="113"/>
    </row>
    <row r="168" ht="15.75" customHeight="1">
      <c r="B168" s="113"/>
      <c r="C168" s="113"/>
      <c r="D168" s="113"/>
      <c r="E168" s="113"/>
      <c r="F168" s="113"/>
      <c r="G168" s="113"/>
      <c r="H168" s="113"/>
      <c r="I168" s="113"/>
      <c r="J168" s="113"/>
      <c r="K168" s="113"/>
      <c r="L168" s="113"/>
    </row>
    <row r="169" ht="15.75" customHeight="1">
      <c r="B169" s="113"/>
      <c r="C169" s="113"/>
      <c r="D169" s="113"/>
      <c r="E169" s="113"/>
      <c r="F169" s="113"/>
      <c r="G169" s="113"/>
      <c r="H169" s="113"/>
      <c r="I169" s="113"/>
      <c r="J169" s="113"/>
      <c r="K169" s="113"/>
      <c r="L169" s="113"/>
    </row>
    <row r="170" ht="15.75" customHeight="1">
      <c r="B170" s="113"/>
      <c r="C170" s="113"/>
      <c r="D170" s="113"/>
      <c r="E170" s="113"/>
      <c r="F170" s="113"/>
      <c r="G170" s="113"/>
      <c r="H170" s="113"/>
      <c r="I170" s="113"/>
      <c r="J170" s="113"/>
      <c r="K170" s="113"/>
      <c r="L170" s="113"/>
    </row>
    <row r="171" ht="15.75" customHeight="1">
      <c r="B171" s="113"/>
      <c r="C171" s="113"/>
      <c r="D171" s="113"/>
      <c r="E171" s="113"/>
      <c r="F171" s="113"/>
      <c r="G171" s="113"/>
      <c r="H171" s="113"/>
      <c r="I171" s="113"/>
      <c r="J171" s="113"/>
      <c r="K171" s="113"/>
      <c r="L171" s="113"/>
    </row>
    <row r="172" ht="15.75" customHeight="1">
      <c r="B172" s="113"/>
      <c r="C172" s="113"/>
      <c r="D172" s="113"/>
      <c r="E172" s="113"/>
      <c r="F172" s="113"/>
      <c r="G172" s="113"/>
      <c r="H172" s="113"/>
      <c r="I172" s="113"/>
      <c r="J172" s="113"/>
      <c r="K172" s="113"/>
      <c r="L172" s="113"/>
    </row>
    <row r="173" ht="15.75" customHeight="1">
      <c r="B173" s="113"/>
      <c r="C173" s="113"/>
      <c r="D173" s="113"/>
      <c r="E173" s="113"/>
      <c r="F173" s="113"/>
      <c r="G173" s="113"/>
      <c r="H173" s="113"/>
      <c r="I173" s="113"/>
      <c r="J173" s="113"/>
      <c r="K173" s="113"/>
      <c r="L173" s="113"/>
    </row>
    <row r="174" ht="15.75" customHeight="1">
      <c r="B174" s="113"/>
      <c r="C174" s="113"/>
      <c r="D174" s="113"/>
      <c r="E174" s="113"/>
      <c r="F174" s="113"/>
      <c r="G174" s="113"/>
      <c r="H174" s="113"/>
      <c r="I174" s="113"/>
      <c r="J174" s="113"/>
      <c r="K174" s="113"/>
      <c r="L174" s="113"/>
    </row>
    <row r="175" ht="15.75" customHeight="1">
      <c r="B175" s="113"/>
      <c r="C175" s="113"/>
      <c r="D175" s="113"/>
      <c r="E175" s="113"/>
      <c r="F175" s="113"/>
      <c r="G175" s="113"/>
      <c r="H175" s="113"/>
      <c r="I175" s="113"/>
      <c r="J175" s="113"/>
      <c r="K175" s="113"/>
      <c r="L175" s="113"/>
    </row>
    <row r="176" ht="15.75" customHeight="1">
      <c r="B176" s="113"/>
      <c r="C176" s="113"/>
      <c r="D176" s="113"/>
      <c r="E176" s="113"/>
      <c r="F176" s="113"/>
      <c r="G176" s="113"/>
      <c r="H176" s="113"/>
      <c r="I176" s="113"/>
      <c r="J176" s="113"/>
      <c r="K176" s="113"/>
      <c r="L176" s="113"/>
    </row>
    <row r="177" ht="15.75" customHeight="1">
      <c r="B177" s="113"/>
      <c r="C177" s="113"/>
      <c r="D177" s="113"/>
      <c r="E177" s="113"/>
      <c r="F177" s="113"/>
      <c r="G177" s="113"/>
      <c r="H177" s="113"/>
      <c r="I177" s="113"/>
      <c r="J177" s="113"/>
      <c r="K177" s="113"/>
      <c r="L177" s="113"/>
    </row>
    <row r="178" ht="15.75" customHeight="1">
      <c r="B178" s="113"/>
      <c r="C178" s="113"/>
      <c r="D178" s="113"/>
      <c r="E178" s="113"/>
      <c r="F178" s="113"/>
      <c r="G178" s="113"/>
      <c r="H178" s="113"/>
      <c r="I178" s="113"/>
      <c r="J178" s="113"/>
      <c r="K178" s="113"/>
      <c r="L178" s="113"/>
    </row>
    <row r="179" ht="15.75" customHeight="1">
      <c r="B179" s="113"/>
      <c r="C179" s="113"/>
      <c r="D179" s="113"/>
      <c r="E179" s="113"/>
      <c r="F179" s="113"/>
      <c r="G179" s="113"/>
      <c r="H179" s="113"/>
      <c r="I179" s="113"/>
      <c r="J179" s="113"/>
      <c r="K179" s="113"/>
      <c r="L179" s="113"/>
    </row>
    <row r="180" ht="15.75" customHeight="1">
      <c r="B180" s="113"/>
      <c r="C180" s="113"/>
      <c r="D180" s="113"/>
      <c r="E180" s="113"/>
      <c r="F180" s="113"/>
      <c r="G180" s="113"/>
      <c r="H180" s="113"/>
      <c r="I180" s="113"/>
      <c r="J180" s="113"/>
      <c r="K180" s="113"/>
      <c r="L180" s="113"/>
    </row>
    <row r="181" ht="15.75" customHeight="1">
      <c r="B181" s="113"/>
      <c r="C181" s="113"/>
      <c r="D181" s="113"/>
      <c r="E181" s="113"/>
      <c r="F181" s="113"/>
      <c r="G181" s="113"/>
      <c r="H181" s="113"/>
      <c r="I181" s="113"/>
      <c r="J181" s="113"/>
      <c r="K181" s="113"/>
      <c r="L181" s="113"/>
    </row>
    <row r="182" ht="15.75" customHeight="1">
      <c r="B182" s="113"/>
      <c r="C182" s="113"/>
      <c r="D182" s="113"/>
      <c r="E182" s="113"/>
      <c r="F182" s="113"/>
      <c r="G182" s="113"/>
      <c r="H182" s="113"/>
      <c r="I182" s="113"/>
      <c r="J182" s="113"/>
      <c r="K182" s="113"/>
      <c r="L182" s="113"/>
    </row>
    <row r="183" ht="15.75" customHeight="1">
      <c r="B183" s="113"/>
      <c r="C183" s="113"/>
      <c r="D183" s="113"/>
      <c r="E183" s="113"/>
      <c r="F183" s="113"/>
      <c r="G183" s="113"/>
      <c r="H183" s="113"/>
      <c r="I183" s="113"/>
      <c r="J183" s="113"/>
      <c r="K183" s="113"/>
      <c r="L183" s="113"/>
    </row>
    <row r="184" ht="15.75" customHeight="1">
      <c r="B184" s="113"/>
      <c r="C184" s="113"/>
      <c r="D184" s="113"/>
      <c r="E184" s="113"/>
      <c r="F184" s="113"/>
      <c r="G184" s="113"/>
      <c r="H184" s="113"/>
      <c r="I184" s="113"/>
      <c r="J184" s="113"/>
      <c r="K184" s="113"/>
      <c r="L184" s="113"/>
    </row>
    <row r="185" ht="15.75" customHeight="1">
      <c r="B185" s="113"/>
      <c r="C185" s="113"/>
      <c r="D185" s="113"/>
      <c r="E185" s="113"/>
      <c r="F185" s="113"/>
      <c r="G185" s="113"/>
      <c r="H185" s="113"/>
      <c r="I185" s="113"/>
      <c r="J185" s="113"/>
      <c r="K185" s="113"/>
      <c r="L185" s="113"/>
    </row>
    <row r="186" ht="15.75" customHeight="1">
      <c r="B186" s="113"/>
      <c r="C186" s="113"/>
      <c r="D186" s="113"/>
      <c r="E186" s="113"/>
      <c r="F186" s="113"/>
      <c r="G186" s="113"/>
      <c r="H186" s="113"/>
      <c r="I186" s="113"/>
      <c r="J186" s="113"/>
      <c r="K186" s="113"/>
      <c r="L186" s="113"/>
    </row>
    <row r="187" ht="15.75" customHeight="1">
      <c r="B187" s="113"/>
      <c r="C187" s="113"/>
      <c r="D187" s="113"/>
      <c r="E187" s="113"/>
      <c r="F187" s="113"/>
      <c r="G187" s="113"/>
      <c r="H187" s="113"/>
      <c r="I187" s="113"/>
      <c r="J187" s="113"/>
      <c r="K187" s="113"/>
      <c r="L187" s="113"/>
    </row>
    <row r="188" ht="15.75" customHeight="1">
      <c r="B188" s="113"/>
      <c r="C188" s="113"/>
      <c r="D188" s="113"/>
      <c r="E188" s="113"/>
      <c r="F188" s="113"/>
      <c r="G188" s="113"/>
      <c r="H188" s="113"/>
      <c r="I188" s="113"/>
      <c r="J188" s="113"/>
      <c r="K188" s="113"/>
      <c r="L188" s="113"/>
    </row>
    <row r="189" ht="15.75" customHeight="1">
      <c r="B189" s="113"/>
      <c r="C189" s="113"/>
      <c r="D189" s="113"/>
      <c r="E189" s="113"/>
      <c r="F189" s="113"/>
      <c r="G189" s="113"/>
      <c r="H189" s="113"/>
      <c r="I189" s="113"/>
      <c r="J189" s="113"/>
      <c r="K189" s="113"/>
      <c r="L189" s="113"/>
    </row>
    <row r="190" ht="15.75" customHeight="1">
      <c r="B190" s="113"/>
      <c r="C190" s="113"/>
      <c r="D190" s="113"/>
      <c r="E190" s="113"/>
      <c r="F190" s="113"/>
      <c r="G190" s="113"/>
      <c r="H190" s="113"/>
      <c r="I190" s="113"/>
      <c r="J190" s="113"/>
      <c r="K190" s="113"/>
      <c r="L190" s="113"/>
    </row>
    <row r="191" ht="15.75" customHeight="1">
      <c r="B191" s="113"/>
      <c r="C191" s="113"/>
      <c r="D191" s="113"/>
      <c r="E191" s="113"/>
      <c r="F191" s="113"/>
      <c r="G191" s="113"/>
      <c r="H191" s="113"/>
      <c r="I191" s="113"/>
      <c r="J191" s="113"/>
      <c r="K191" s="113"/>
      <c r="L191" s="113"/>
    </row>
    <row r="192" ht="15.75" customHeight="1">
      <c r="B192" s="113"/>
      <c r="C192" s="113"/>
      <c r="D192" s="113"/>
      <c r="E192" s="113"/>
      <c r="F192" s="113"/>
      <c r="G192" s="113"/>
      <c r="H192" s="113"/>
      <c r="I192" s="113"/>
      <c r="J192" s="113"/>
      <c r="K192" s="113"/>
      <c r="L192" s="113"/>
    </row>
    <row r="193" ht="15.75" customHeight="1">
      <c r="B193" s="113"/>
      <c r="C193" s="113"/>
      <c r="D193" s="113"/>
      <c r="E193" s="113"/>
      <c r="F193" s="113"/>
      <c r="G193" s="113"/>
      <c r="H193" s="113"/>
      <c r="I193" s="113"/>
      <c r="J193" s="113"/>
      <c r="K193" s="113"/>
      <c r="L193" s="113"/>
    </row>
    <row r="194" ht="15.75" customHeight="1">
      <c r="B194" s="113"/>
      <c r="C194" s="113"/>
      <c r="D194" s="113"/>
      <c r="E194" s="113"/>
      <c r="F194" s="113"/>
      <c r="G194" s="113"/>
      <c r="H194" s="113"/>
      <c r="I194" s="113"/>
      <c r="J194" s="113"/>
      <c r="K194" s="113"/>
      <c r="L194" s="113"/>
    </row>
    <row r="195" ht="15.75" customHeight="1">
      <c r="B195" s="113"/>
      <c r="C195" s="113"/>
      <c r="D195" s="113"/>
      <c r="E195" s="113"/>
      <c r="F195" s="113"/>
      <c r="G195" s="113"/>
      <c r="H195" s="113"/>
      <c r="I195" s="113"/>
      <c r="J195" s="113"/>
      <c r="K195" s="113"/>
      <c r="L195" s="113"/>
    </row>
    <row r="196" ht="15.75" customHeight="1">
      <c r="B196" s="113"/>
      <c r="C196" s="113"/>
      <c r="D196" s="113"/>
      <c r="E196" s="113"/>
      <c r="F196" s="113"/>
      <c r="G196" s="113"/>
      <c r="H196" s="113"/>
      <c r="I196" s="113"/>
      <c r="J196" s="113"/>
      <c r="K196" s="113"/>
      <c r="L196" s="113"/>
    </row>
    <row r="197" ht="15.75" customHeight="1">
      <c r="B197" s="113"/>
      <c r="C197" s="113"/>
      <c r="D197" s="113"/>
      <c r="E197" s="113"/>
      <c r="F197" s="113"/>
      <c r="G197" s="113"/>
      <c r="H197" s="113"/>
      <c r="I197" s="113"/>
      <c r="J197" s="113"/>
      <c r="K197" s="113"/>
      <c r="L197" s="113"/>
    </row>
    <row r="198" ht="15.75" customHeight="1">
      <c r="B198" s="113"/>
      <c r="C198" s="113"/>
      <c r="D198" s="113"/>
      <c r="E198" s="113"/>
      <c r="F198" s="113"/>
      <c r="G198" s="113"/>
      <c r="H198" s="113"/>
      <c r="I198" s="113"/>
      <c r="J198" s="113"/>
      <c r="K198" s="113"/>
      <c r="L198" s="113"/>
    </row>
    <row r="199" ht="15.75" customHeight="1">
      <c r="B199" s="113"/>
      <c r="C199" s="113"/>
      <c r="D199" s="113"/>
      <c r="E199" s="113"/>
      <c r="F199" s="113"/>
      <c r="G199" s="113"/>
      <c r="H199" s="113"/>
      <c r="I199" s="113"/>
      <c r="J199" s="113"/>
      <c r="K199" s="113"/>
      <c r="L199" s="113"/>
    </row>
    <row r="200" ht="15.75" customHeight="1">
      <c r="B200" s="113"/>
      <c r="C200" s="113"/>
      <c r="D200" s="113"/>
      <c r="E200" s="113"/>
      <c r="F200" s="113"/>
      <c r="G200" s="113"/>
      <c r="H200" s="113"/>
      <c r="I200" s="113"/>
      <c r="J200" s="113"/>
      <c r="K200" s="113"/>
      <c r="L200" s="113"/>
    </row>
    <row r="201" ht="15.75" customHeight="1">
      <c r="B201" s="113"/>
      <c r="C201" s="113"/>
      <c r="D201" s="113"/>
      <c r="E201" s="113"/>
      <c r="F201" s="113"/>
      <c r="G201" s="113"/>
      <c r="H201" s="113"/>
      <c r="I201" s="113"/>
      <c r="J201" s="113"/>
      <c r="K201" s="113"/>
      <c r="L201" s="113"/>
    </row>
    <row r="202" ht="15.75" customHeight="1">
      <c r="B202" s="113"/>
      <c r="C202" s="113"/>
      <c r="D202" s="113"/>
      <c r="E202" s="113"/>
      <c r="F202" s="113"/>
      <c r="G202" s="113"/>
      <c r="H202" s="113"/>
      <c r="I202" s="113"/>
      <c r="J202" s="113"/>
      <c r="K202" s="113"/>
      <c r="L202" s="113"/>
    </row>
    <row r="203" ht="15.75" customHeight="1">
      <c r="B203" s="113"/>
      <c r="C203" s="113"/>
      <c r="D203" s="113"/>
      <c r="E203" s="113"/>
      <c r="F203" s="113"/>
      <c r="G203" s="113"/>
      <c r="H203" s="113"/>
      <c r="I203" s="113"/>
      <c r="J203" s="113"/>
      <c r="K203" s="113"/>
      <c r="L203" s="113"/>
    </row>
    <row r="204" ht="15.75" customHeight="1">
      <c r="B204" s="113"/>
      <c r="C204" s="113"/>
      <c r="D204" s="113"/>
      <c r="E204" s="113"/>
      <c r="F204" s="113"/>
      <c r="G204" s="113"/>
      <c r="H204" s="113"/>
      <c r="I204" s="113"/>
      <c r="J204" s="113"/>
      <c r="K204" s="113"/>
      <c r="L204" s="113"/>
    </row>
    <row r="205" ht="15.75" customHeight="1">
      <c r="B205" s="113"/>
      <c r="C205" s="113"/>
      <c r="D205" s="113"/>
      <c r="E205" s="113"/>
      <c r="F205" s="113"/>
      <c r="G205" s="113"/>
      <c r="H205" s="113"/>
      <c r="I205" s="113"/>
      <c r="J205" s="113"/>
      <c r="K205" s="113"/>
      <c r="L205" s="113"/>
    </row>
    <row r="206" ht="15.75" customHeight="1">
      <c r="B206" s="113"/>
      <c r="C206" s="113"/>
      <c r="D206" s="113"/>
      <c r="E206" s="113"/>
      <c r="F206" s="113"/>
      <c r="G206" s="113"/>
      <c r="H206" s="113"/>
      <c r="I206" s="113"/>
      <c r="J206" s="113"/>
      <c r="K206" s="113"/>
      <c r="L206" s="113"/>
    </row>
    <row r="207" ht="15.75" customHeight="1">
      <c r="B207" s="113"/>
      <c r="C207" s="113"/>
      <c r="D207" s="113"/>
      <c r="E207" s="113"/>
      <c r="F207" s="113"/>
      <c r="G207" s="113"/>
      <c r="H207" s="113"/>
      <c r="I207" s="113"/>
      <c r="J207" s="113"/>
      <c r="K207" s="113"/>
      <c r="L207" s="113"/>
    </row>
    <row r="208" ht="15.75" customHeight="1">
      <c r="B208" s="113"/>
      <c r="C208" s="113"/>
      <c r="D208" s="113"/>
      <c r="E208" s="113"/>
      <c r="F208" s="113"/>
      <c r="G208" s="113"/>
      <c r="H208" s="113"/>
      <c r="I208" s="113"/>
      <c r="J208" s="113"/>
      <c r="K208" s="113"/>
      <c r="L208" s="113"/>
    </row>
    <row r="209" ht="15.75" customHeight="1">
      <c r="B209" s="113"/>
      <c r="C209" s="113"/>
      <c r="D209" s="113"/>
      <c r="E209" s="113"/>
      <c r="F209" s="113"/>
      <c r="G209" s="113"/>
      <c r="H209" s="113"/>
      <c r="I209" s="113"/>
      <c r="J209" s="113"/>
      <c r="K209" s="113"/>
      <c r="L209" s="113"/>
    </row>
    <row r="210" ht="15.75" customHeight="1">
      <c r="B210" s="113"/>
      <c r="C210" s="113"/>
      <c r="D210" s="113"/>
      <c r="E210" s="113"/>
      <c r="F210" s="113"/>
      <c r="G210" s="113"/>
      <c r="H210" s="113"/>
      <c r="I210" s="113"/>
      <c r="J210" s="113"/>
      <c r="K210" s="113"/>
      <c r="L210" s="113"/>
    </row>
    <row r="211" ht="15.75" customHeight="1">
      <c r="B211" s="113"/>
      <c r="C211" s="113"/>
      <c r="D211" s="113"/>
      <c r="E211" s="113"/>
      <c r="F211" s="113"/>
      <c r="G211" s="113"/>
      <c r="H211" s="113"/>
      <c r="I211" s="113"/>
      <c r="J211" s="113"/>
      <c r="K211" s="113"/>
      <c r="L211" s="113"/>
    </row>
    <row r="212" ht="15.75" customHeight="1">
      <c r="B212" s="113"/>
      <c r="C212" s="113"/>
      <c r="D212" s="113"/>
      <c r="E212" s="113"/>
      <c r="F212" s="113"/>
      <c r="G212" s="113"/>
      <c r="H212" s="113"/>
      <c r="I212" s="113"/>
      <c r="J212" s="113"/>
      <c r="K212" s="113"/>
      <c r="L212" s="113"/>
    </row>
    <row r="213" ht="15.75" customHeight="1">
      <c r="B213" s="113"/>
      <c r="C213" s="113"/>
      <c r="D213" s="113"/>
      <c r="E213" s="113"/>
      <c r="F213" s="113"/>
      <c r="G213" s="113"/>
      <c r="H213" s="113"/>
      <c r="I213" s="113"/>
      <c r="J213" s="113"/>
      <c r="K213" s="113"/>
      <c r="L213" s="113"/>
    </row>
    <row r="214" ht="15.75" customHeight="1">
      <c r="B214" s="113"/>
      <c r="C214" s="113"/>
      <c r="D214" s="113"/>
      <c r="E214" s="113"/>
      <c r="F214" s="113"/>
      <c r="G214" s="113"/>
      <c r="H214" s="113"/>
      <c r="I214" s="113"/>
      <c r="J214" s="113"/>
      <c r="K214" s="113"/>
      <c r="L214" s="113"/>
    </row>
    <row r="215" ht="15.75" customHeight="1">
      <c r="B215" s="113"/>
      <c r="C215" s="113"/>
      <c r="D215" s="113"/>
      <c r="E215" s="113"/>
      <c r="F215" s="113"/>
      <c r="G215" s="113"/>
      <c r="H215" s="113"/>
      <c r="I215" s="113"/>
      <c r="J215" s="113"/>
      <c r="K215" s="113"/>
      <c r="L215" s="113"/>
    </row>
    <row r="216" ht="15.75" customHeight="1">
      <c r="B216" s="113"/>
      <c r="C216" s="113"/>
      <c r="D216" s="113"/>
      <c r="E216" s="113"/>
      <c r="F216" s="113"/>
      <c r="G216" s="113"/>
      <c r="H216" s="113"/>
      <c r="I216" s="113"/>
      <c r="J216" s="113"/>
      <c r="K216" s="113"/>
      <c r="L216" s="113"/>
    </row>
    <row r="217" ht="15.75" customHeight="1">
      <c r="B217" s="113"/>
      <c r="C217" s="113"/>
      <c r="D217" s="113"/>
      <c r="E217" s="113"/>
      <c r="F217" s="113"/>
      <c r="G217" s="113"/>
      <c r="H217" s="113"/>
      <c r="I217" s="113"/>
      <c r="J217" s="113"/>
      <c r="K217" s="113"/>
      <c r="L217" s="113"/>
    </row>
    <row r="218" ht="15.75" customHeight="1">
      <c r="B218" s="113"/>
      <c r="C218" s="113"/>
      <c r="D218" s="113"/>
      <c r="E218" s="113"/>
      <c r="F218" s="113"/>
      <c r="G218" s="113"/>
      <c r="H218" s="113"/>
      <c r="I218" s="113"/>
      <c r="J218" s="113"/>
      <c r="K218" s="113"/>
      <c r="L218" s="113"/>
    </row>
    <row r="219" ht="15.75" customHeight="1">
      <c r="B219" s="113"/>
      <c r="C219" s="113"/>
      <c r="D219" s="113"/>
      <c r="E219" s="113"/>
      <c r="F219" s="113"/>
      <c r="G219" s="113"/>
      <c r="H219" s="113"/>
      <c r="I219" s="113"/>
      <c r="J219" s="113"/>
      <c r="K219" s="113"/>
      <c r="L219" s="113"/>
    </row>
    <row r="220" ht="15.75" customHeight="1">
      <c r="B220" s="113"/>
      <c r="C220" s="113"/>
      <c r="D220" s="113"/>
      <c r="E220" s="113"/>
      <c r="F220" s="113"/>
      <c r="G220" s="113"/>
      <c r="H220" s="113"/>
      <c r="I220" s="113"/>
      <c r="J220" s="113"/>
      <c r="K220" s="113"/>
      <c r="L220" s="113"/>
    </row>
    <row r="221" ht="15.75" customHeight="1">
      <c r="B221" s="113"/>
      <c r="C221" s="113"/>
      <c r="D221" s="113"/>
      <c r="E221" s="113"/>
      <c r="F221" s="113"/>
      <c r="G221" s="113"/>
      <c r="H221" s="113"/>
      <c r="I221" s="113"/>
      <c r="J221" s="113"/>
      <c r="K221" s="113"/>
      <c r="L221" s="113"/>
    </row>
    <row r="222" ht="15.75" customHeight="1">
      <c r="B222" s="113"/>
      <c r="C222" s="113"/>
      <c r="D222" s="113"/>
      <c r="E222" s="113"/>
      <c r="F222" s="113"/>
      <c r="G222" s="113"/>
      <c r="H222" s="113"/>
      <c r="I222" s="113"/>
      <c r="J222" s="113"/>
      <c r="K222" s="113"/>
      <c r="L222" s="113"/>
    </row>
    <row r="223" ht="15.75" customHeight="1">
      <c r="B223" s="113"/>
      <c r="C223" s="113"/>
      <c r="D223" s="113"/>
      <c r="E223" s="113"/>
      <c r="F223" s="113"/>
      <c r="G223" s="113"/>
      <c r="H223" s="113"/>
      <c r="I223" s="113"/>
      <c r="J223" s="113"/>
      <c r="K223" s="113"/>
      <c r="L223" s="113"/>
    </row>
    <row r="224" ht="15.75" customHeight="1">
      <c r="B224" s="113"/>
      <c r="C224" s="113"/>
      <c r="D224" s="113"/>
      <c r="E224" s="113"/>
      <c r="F224" s="113"/>
      <c r="G224" s="113"/>
      <c r="H224" s="113"/>
      <c r="I224" s="113"/>
      <c r="J224" s="113"/>
      <c r="K224" s="113"/>
      <c r="L224" s="113"/>
    </row>
    <row r="225" ht="15.75" customHeight="1">
      <c r="B225" s="113"/>
      <c r="C225" s="113"/>
      <c r="D225" s="113"/>
      <c r="E225" s="113"/>
      <c r="F225" s="113"/>
      <c r="G225" s="113"/>
      <c r="H225" s="113"/>
      <c r="I225" s="113"/>
      <c r="J225" s="113"/>
      <c r="K225" s="113"/>
      <c r="L225" s="113"/>
    </row>
    <row r="226" ht="15.75" customHeight="1">
      <c r="B226" s="113"/>
      <c r="C226" s="113"/>
      <c r="D226" s="113"/>
      <c r="E226" s="113"/>
      <c r="F226" s="113"/>
      <c r="G226" s="113"/>
      <c r="H226" s="113"/>
      <c r="I226" s="113"/>
      <c r="J226" s="113"/>
      <c r="K226" s="113"/>
      <c r="L226" s="113"/>
    </row>
    <row r="227" ht="15.75" customHeight="1">
      <c r="B227" s="113"/>
      <c r="C227" s="113"/>
      <c r="D227" s="113"/>
      <c r="E227" s="113"/>
      <c r="F227" s="113"/>
      <c r="G227" s="113"/>
      <c r="H227" s="113"/>
      <c r="I227" s="113"/>
      <c r="J227" s="113"/>
      <c r="K227" s="113"/>
      <c r="L227" s="113"/>
    </row>
    <row r="228" ht="15.75" customHeight="1">
      <c r="B228" s="113"/>
      <c r="C228" s="113"/>
      <c r="D228" s="113"/>
      <c r="E228" s="113"/>
      <c r="F228" s="113"/>
      <c r="G228" s="113"/>
      <c r="H228" s="113"/>
      <c r="I228" s="113"/>
      <c r="J228" s="113"/>
      <c r="K228" s="113"/>
      <c r="L228" s="113"/>
    </row>
    <row r="229" ht="15.75" customHeight="1">
      <c r="B229" s="113"/>
      <c r="C229" s="113"/>
      <c r="D229" s="113"/>
      <c r="E229" s="113"/>
      <c r="F229" s="113"/>
      <c r="G229" s="113"/>
      <c r="H229" s="113"/>
      <c r="I229" s="113"/>
      <c r="J229" s="113"/>
      <c r="K229" s="113"/>
      <c r="L229" s="113"/>
    </row>
    <row r="230" ht="15.75" customHeight="1">
      <c r="B230" s="113"/>
      <c r="C230" s="113"/>
      <c r="D230" s="113"/>
      <c r="E230" s="113"/>
      <c r="F230" s="113"/>
      <c r="G230" s="113"/>
      <c r="H230" s="113"/>
      <c r="I230" s="113"/>
      <c r="J230" s="113"/>
      <c r="K230" s="113"/>
      <c r="L230" s="113"/>
    </row>
    <row r="231" ht="15.75" customHeight="1">
      <c r="B231" s="113"/>
      <c r="C231" s="113"/>
      <c r="D231" s="113"/>
      <c r="E231" s="113"/>
      <c r="F231" s="113"/>
      <c r="G231" s="113"/>
      <c r="H231" s="113"/>
      <c r="I231" s="113"/>
      <c r="J231" s="113"/>
      <c r="K231" s="113"/>
      <c r="L231" s="113"/>
    </row>
    <row r="232" ht="15.75" customHeight="1">
      <c r="B232" s="113"/>
      <c r="C232" s="113"/>
      <c r="D232" s="113"/>
      <c r="E232" s="113"/>
      <c r="F232" s="113"/>
      <c r="G232" s="113"/>
      <c r="H232" s="113"/>
      <c r="I232" s="113"/>
      <c r="J232" s="113"/>
      <c r="K232" s="113"/>
      <c r="L232" s="113"/>
    </row>
    <row r="233" ht="15.75" customHeight="1">
      <c r="B233" s="113"/>
      <c r="C233" s="113"/>
      <c r="D233" s="113"/>
      <c r="E233" s="113"/>
      <c r="F233" s="113"/>
      <c r="G233" s="113"/>
      <c r="H233" s="113"/>
      <c r="I233" s="113"/>
      <c r="J233" s="113"/>
      <c r="K233" s="113"/>
      <c r="L233" s="113"/>
    </row>
    <row r="234" ht="15.75" customHeight="1">
      <c r="B234" s="113"/>
      <c r="C234" s="113"/>
      <c r="D234" s="113"/>
      <c r="E234" s="113"/>
      <c r="F234" s="113"/>
      <c r="G234" s="113"/>
      <c r="H234" s="113"/>
      <c r="I234" s="113"/>
      <c r="J234" s="113"/>
      <c r="K234" s="113"/>
      <c r="L234" s="113"/>
    </row>
    <row r="235" ht="15.75" customHeight="1">
      <c r="B235" s="113"/>
      <c r="C235" s="113"/>
      <c r="D235" s="113"/>
      <c r="E235" s="113"/>
      <c r="F235" s="113"/>
      <c r="G235" s="113"/>
      <c r="H235" s="113"/>
      <c r="I235" s="113"/>
      <c r="J235" s="113"/>
      <c r="K235" s="113"/>
      <c r="L235" s="113"/>
    </row>
    <row r="236" ht="15.75" customHeight="1">
      <c r="B236" s="113"/>
      <c r="C236" s="113"/>
      <c r="D236" s="113"/>
      <c r="E236" s="113"/>
      <c r="F236" s="113"/>
      <c r="G236" s="113"/>
      <c r="H236" s="113"/>
      <c r="I236" s="113"/>
      <c r="J236" s="113"/>
      <c r="K236" s="113"/>
      <c r="L236" s="113"/>
    </row>
    <row r="237" ht="15.75" customHeight="1">
      <c r="B237" s="113"/>
      <c r="C237" s="113"/>
      <c r="D237" s="113"/>
      <c r="E237" s="113"/>
      <c r="F237" s="113"/>
      <c r="G237" s="113"/>
      <c r="H237" s="113"/>
      <c r="I237" s="113"/>
      <c r="J237" s="113"/>
      <c r="K237" s="113"/>
      <c r="L237" s="113"/>
    </row>
    <row r="238" ht="15.75" customHeight="1">
      <c r="B238" s="113"/>
      <c r="C238" s="113"/>
      <c r="D238" s="113"/>
      <c r="E238" s="113"/>
      <c r="F238" s="113"/>
      <c r="G238" s="113"/>
      <c r="H238" s="113"/>
      <c r="I238" s="113"/>
      <c r="J238" s="113"/>
      <c r="K238" s="113"/>
      <c r="L238" s="113"/>
    </row>
    <row r="239" ht="15.75" customHeight="1">
      <c r="B239" s="113"/>
      <c r="C239" s="113"/>
      <c r="D239" s="113"/>
      <c r="E239" s="113"/>
      <c r="F239" s="113"/>
      <c r="G239" s="113"/>
      <c r="H239" s="113"/>
      <c r="I239" s="113"/>
      <c r="J239" s="113"/>
      <c r="K239" s="113"/>
      <c r="L239" s="113"/>
    </row>
    <row r="240" ht="15.75" customHeight="1">
      <c r="B240" s="113"/>
      <c r="C240" s="113"/>
      <c r="D240" s="113"/>
      <c r="E240" s="113"/>
      <c r="F240" s="113"/>
      <c r="G240" s="113"/>
      <c r="H240" s="113"/>
      <c r="I240" s="113"/>
      <c r="J240" s="113"/>
      <c r="K240" s="113"/>
      <c r="L240" s="113"/>
    </row>
    <row r="241" ht="15.75" customHeight="1">
      <c r="B241" s="113"/>
      <c r="C241" s="113"/>
      <c r="D241" s="113"/>
      <c r="E241" s="113"/>
      <c r="F241" s="113"/>
      <c r="G241" s="113"/>
      <c r="H241" s="113"/>
      <c r="I241" s="113"/>
      <c r="J241" s="113"/>
      <c r="K241" s="113"/>
      <c r="L241" s="113"/>
    </row>
    <row r="242" ht="15.75" customHeight="1">
      <c r="B242" s="113"/>
      <c r="C242" s="113"/>
      <c r="D242" s="113"/>
      <c r="E242" s="113"/>
      <c r="F242" s="113"/>
      <c r="G242" s="113"/>
      <c r="H242" s="113"/>
      <c r="I242" s="113"/>
      <c r="J242" s="113"/>
      <c r="K242" s="113"/>
      <c r="L242" s="113"/>
    </row>
    <row r="243" ht="15.75" customHeight="1">
      <c r="B243" s="113"/>
      <c r="C243" s="113"/>
      <c r="D243" s="113"/>
      <c r="E243" s="113"/>
      <c r="F243" s="113"/>
      <c r="G243" s="113"/>
      <c r="H243" s="113"/>
      <c r="I243" s="113"/>
      <c r="J243" s="113"/>
      <c r="K243" s="113"/>
      <c r="L243" s="113"/>
    </row>
    <row r="244" ht="15.75" customHeight="1">
      <c r="B244" s="113"/>
      <c r="C244" s="113"/>
      <c r="D244" s="113"/>
      <c r="E244" s="113"/>
      <c r="F244" s="113"/>
      <c r="G244" s="113"/>
      <c r="H244" s="113"/>
      <c r="I244" s="113"/>
      <c r="J244" s="113"/>
      <c r="K244" s="113"/>
      <c r="L244" s="113"/>
    </row>
    <row r="245" ht="15.75" customHeight="1">
      <c r="B245" s="113"/>
      <c r="C245" s="113"/>
      <c r="D245" s="113"/>
      <c r="E245" s="113"/>
      <c r="F245" s="113"/>
      <c r="G245" s="113"/>
      <c r="H245" s="113"/>
      <c r="I245" s="113"/>
      <c r="J245" s="113"/>
      <c r="K245" s="113"/>
      <c r="L245" s="113"/>
    </row>
    <row r="246" ht="15.75" customHeight="1">
      <c r="B246" s="113"/>
      <c r="C246" s="113"/>
      <c r="D246" s="113"/>
      <c r="E246" s="113"/>
      <c r="F246" s="113"/>
      <c r="G246" s="113"/>
      <c r="H246" s="113"/>
      <c r="I246" s="113"/>
      <c r="J246" s="113"/>
      <c r="K246" s="113"/>
      <c r="L246" s="113"/>
    </row>
    <row r="247" ht="15.75" customHeight="1">
      <c r="B247" s="113"/>
      <c r="C247" s="113"/>
      <c r="D247" s="113"/>
      <c r="E247" s="113"/>
      <c r="F247" s="113"/>
      <c r="G247" s="113"/>
      <c r="H247" s="113"/>
      <c r="I247" s="113"/>
      <c r="J247" s="113"/>
      <c r="K247" s="113"/>
      <c r="L247" s="113"/>
    </row>
    <row r="248" ht="15.75" customHeight="1">
      <c r="B248" s="113"/>
      <c r="C248" s="113"/>
      <c r="D248" s="113"/>
      <c r="E248" s="113"/>
      <c r="F248" s="113"/>
      <c r="G248" s="113"/>
      <c r="H248" s="113"/>
      <c r="I248" s="113"/>
      <c r="J248" s="113"/>
      <c r="K248" s="113"/>
      <c r="L248" s="113"/>
    </row>
    <row r="249" ht="15.75" customHeight="1">
      <c r="B249" s="113"/>
      <c r="C249" s="113"/>
      <c r="D249" s="113"/>
      <c r="E249" s="113"/>
      <c r="F249" s="113"/>
      <c r="G249" s="113"/>
      <c r="H249" s="113"/>
      <c r="I249" s="113"/>
      <c r="J249" s="113"/>
      <c r="K249" s="113"/>
      <c r="L249" s="113"/>
    </row>
    <row r="250" ht="15.75" customHeight="1">
      <c r="B250" s="113"/>
      <c r="C250" s="113"/>
      <c r="D250" s="113"/>
      <c r="E250" s="113"/>
      <c r="F250" s="113"/>
      <c r="G250" s="113"/>
      <c r="H250" s="113"/>
      <c r="I250" s="113"/>
      <c r="J250" s="113"/>
      <c r="K250" s="113"/>
      <c r="L250" s="113"/>
    </row>
    <row r="251" ht="15.75" customHeight="1">
      <c r="B251" s="113"/>
      <c r="C251" s="113"/>
      <c r="D251" s="113"/>
      <c r="E251" s="113"/>
      <c r="F251" s="113"/>
      <c r="G251" s="113"/>
      <c r="H251" s="113"/>
      <c r="I251" s="113"/>
      <c r="J251" s="113"/>
      <c r="K251" s="113"/>
      <c r="L251" s="113"/>
    </row>
    <row r="252" ht="15.75" customHeight="1">
      <c r="B252" s="113"/>
      <c r="C252" s="113"/>
      <c r="D252" s="113"/>
      <c r="E252" s="113"/>
      <c r="F252" s="113"/>
      <c r="G252" s="113"/>
      <c r="H252" s="113"/>
      <c r="I252" s="113"/>
      <c r="J252" s="113"/>
      <c r="K252" s="113"/>
      <c r="L252" s="113"/>
    </row>
    <row r="253" ht="15.75" customHeight="1">
      <c r="B253" s="113"/>
      <c r="C253" s="113"/>
      <c r="D253" s="113"/>
      <c r="E253" s="113"/>
      <c r="F253" s="113"/>
      <c r="G253" s="113"/>
      <c r="H253" s="113"/>
      <c r="I253" s="113"/>
      <c r="J253" s="113"/>
      <c r="K253" s="113"/>
      <c r="L253" s="113"/>
    </row>
    <row r="254" ht="15.75" customHeight="1">
      <c r="B254" s="113"/>
      <c r="C254" s="113"/>
      <c r="D254" s="113"/>
      <c r="E254" s="113"/>
      <c r="F254" s="113"/>
      <c r="G254" s="113"/>
      <c r="H254" s="113"/>
      <c r="I254" s="113"/>
      <c r="J254" s="113"/>
      <c r="K254" s="113"/>
      <c r="L254" s="113"/>
    </row>
    <row r="255" ht="15.75" customHeight="1">
      <c r="B255" s="113"/>
      <c r="C255" s="113"/>
      <c r="D255" s="113"/>
      <c r="E255" s="113"/>
      <c r="F255" s="113"/>
      <c r="G255" s="113"/>
      <c r="H255" s="113"/>
      <c r="I255" s="113"/>
      <c r="J255" s="113"/>
      <c r="K255" s="113"/>
      <c r="L255" s="113"/>
    </row>
    <row r="256" ht="15.75" customHeight="1">
      <c r="B256" s="113"/>
      <c r="C256" s="113"/>
      <c r="D256" s="113"/>
      <c r="E256" s="113"/>
      <c r="F256" s="113"/>
      <c r="G256" s="113"/>
      <c r="H256" s="113"/>
      <c r="I256" s="113"/>
      <c r="J256" s="113"/>
      <c r="K256" s="113"/>
      <c r="L256" s="113"/>
    </row>
    <row r="257" ht="15.75" customHeight="1">
      <c r="B257" s="113"/>
      <c r="C257" s="113"/>
      <c r="D257" s="113"/>
      <c r="E257" s="113"/>
      <c r="F257" s="113"/>
      <c r="G257" s="113"/>
      <c r="H257" s="113"/>
      <c r="I257" s="113"/>
      <c r="J257" s="113"/>
      <c r="K257" s="113"/>
      <c r="L257" s="113"/>
    </row>
    <row r="258" ht="15.75" customHeight="1">
      <c r="B258" s="113"/>
      <c r="C258" s="113"/>
      <c r="D258" s="113"/>
      <c r="E258" s="113"/>
      <c r="F258" s="113"/>
      <c r="G258" s="113"/>
      <c r="H258" s="113"/>
      <c r="I258" s="113"/>
      <c r="J258" s="113"/>
      <c r="K258" s="113"/>
      <c r="L258" s="113"/>
    </row>
    <row r="259" ht="15.75" customHeight="1">
      <c r="B259" s="113"/>
      <c r="C259" s="113"/>
      <c r="D259" s="113"/>
      <c r="E259" s="113"/>
      <c r="F259" s="113"/>
      <c r="G259" s="113"/>
      <c r="H259" s="113"/>
      <c r="I259" s="113"/>
      <c r="J259" s="113"/>
      <c r="K259" s="113"/>
      <c r="L259" s="113"/>
    </row>
    <row r="260" ht="15.75" customHeight="1">
      <c r="B260" s="113"/>
      <c r="C260" s="113"/>
      <c r="D260" s="113"/>
      <c r="E260" s="113"/>
      <c r="F260" s="113"/>
      <c r="G260" s="113"/>
      <c r="H260" s="113"/>
      <c r="I260" s="113"/>
      <c r="J260" s="113"/>
      <c r="K260" s="113"/>
      <c r="L260" s="113"/>
    </row>
    <row r="261" ht="15.75" customHeight="1">
      <c r="B261" s="113"/>
      <c r="C261" s="113"/>
      <c r="D261" s="113"/>
      <c r="E261" s="113"/>
      <c r="F261" s="113"/>
      <c r="G261" s="113"/>
      <c r="H261" s="113"/>
      <c r="I261" s="113"/>
      <c r="J261" s="113"/>
      <c r="K261" s="113"/>
      <c r="L261" s="113"/>
    </row>
    <row r="262" ht="15.75" customHeight="1">
      <c r="B262" s="113"/>
      <c r="C262" s="113"/>
      <c r="D262" s="113"/>
      <c r="E262" s="113"/>
      <c r="F262" s="113"/>
      <c r="G262" s="113"/>
      <c r="H262" s="113"/>
      <c r="I262" s="113"/>
      <c r="J262" s="113"/>
      <c r="K262" s="113"/>
      <c r="L262" s="113"/>
    </row>
    <row r="263" ht="15.75" customHeight="1">
      <c r="B263" s="113"/>
      <c r="C263" s="113"/>
      <c r="D263" s="113"/>
      <c r="E263" s="113"/>
      <c r="F263" s="113"/>
      <c r="G263" s="113"/>
      <c r="H263" s="113"/>
      <c r="I263" s="113"/>
      <c r="J263" s="113"/>
      <c r="K263" s="113"/>
      <c r="L263" s="113"/>
    </row>
    <row r="264" ht="15.75" customHeight="1">
      <c r="B264" s="113"/>
      <c r="C264" s="113"/>
      <c r="D264" s="113"/>
      <c r="E264" s="113"/>
      <c r="F264" s="113"/>
      <c r="G264" s="113"/>
      <c r="H264" s="113"/>
      <c r="I264" s="113"/>
      <c r="J264" s="113"/>
      <c r="K264" s="113"/>
      <c r="L264" s="113"/>
    </row>
    <row r="265" ht="15.75" customHeight="1">
      <c r="B265" s="113"/>
      <c r="C265" s="113"/>
      <c r="D265" s="113"/>
      <c r="E265" s="113"/>
      <c r="F265" s="113"/>
      <c r="G265" s="113"/>
      <c r="H265" s="113"/>
      <c r="I265" s="113"/>
      <c r="J265" s="113"/>
      <c r="K265" s="113"/>
      <c r="L265" s="113"/>
    </row>
    <row r="266" ht="15.75" customHeight="1">
      <c r="B266" s="113"/>
      <c r="C266" s="113"/>
      <c r="D266" s="113"/>
      <c r="E266" s="113"/>
      <c r="F266" s="113"/>
      <c r="G266" s="113"/>
      <c r="H266" s="113"/>
      <c r="I266" s="113"/>
      <c r="J266" s="113"/>
      <c r="K266" s="113"/>
      <c r="L266" s="113"/>
    </row>
    <row r="267" ht="15.75" customHeight="1">
      <c r="B267" s="113"/>
      <c r="C267" s="113"/>
      <c r="D267" s="113"/>
      <c r="E267" s="113"/>
      <c r="F267" s="113"/>
      <c r="G267" s="113"/>
      <c r="H267" s="113"/>
      <c r="I267" s="113"/>
      <c r="J267" s="113"/>
      <c r="K267" s="113"/>
      <c r="L267" s="113"/>
    </row>
    <row r="268" ht="15.75" customHeight="1">
      <c r="B268" s="113"/>
      <c r="C268" s="113"/>
      <c r="D268" s="113"/>
      <c r="E268" s="113"/>
      <c r="F268" s="113"/>
      <c r="G268" s="113"/>
      <c r="H268" s="113"/>
      <c r="I268" s="113"/>
      <c r="J268" s="113"/>
      <c r="K268" s="113"/>
      <c r="L268" s="113"/>
    </row>
    <row r="269" ht="15.75" customHeight="1">
      <c r="B269" s="113"/>
      <c r="C269" s="113"/>
      <c r="D269" s="113"/>
      <c r="E269" s="113"/>
      <c r="F269" s="113"/>
      <c r="G269" s="113"/>
      <c r="H269" s="113"/>
      <c r="I269" s="113"/>
      <c r="J269" s="113"/>
      <c r="K269" s="113"/>
      <c r="L269" s="113"/>
    </row>
    <row r="270" ht="15.75" customHeight="1">
      <c r="B270" s="113"/>
      <c r="C270" s="113"/>
      <c r="D270" s="113"/>
      <c r="E270" s="113"/>
      <c r="F270" s="113"/>
      <c r="G270" s="113"/>
      <c r="H270" s="113"/>
      <c r="I270" s="113"/>
      <c r="J270" s="113"/>
      <c r="K270" s="113"/>
      <c r="L270" s="113"/>
    </row>
    <row r="271" ht="15.75" customHeight="1">
      <c r="B271" s="113"/>
      <c r="C271" s="113"/>
      <c r="D271" s="113"/>
      <c r="E271" s="113"/>
      <c r="F271" s="113"/>
      <c r="G271" s="113"/>
      <c r="H271" s="113"/>
      <c r="I271" s="113"/>
      <c r="J271" s="113"/>
      <c r="K271" s="113"/>
      <c r="L271" s="113"/>
    </row>
    <row r="272" ht="15.75" customHeight="1">
      <c r="B272" s="113"/>
      <c r="C272" s="113"/>
      <c r="D272" s="113"/>
      <c r="E272" s="113"/>
      <c r="F272" s="113"/>
      <c r="G272" s="113"/>
      <c r="H272" s="113"/>
      <c r="I272" s="113"/>
      <c r="J272" s="113"/>
      <c r="K272" s="113"/>
      <c r="L272" s="113"/>
    </row>
    <row r="273" ht="15.75" customHeight="1">
      <c r="B273" s="113"/>
      <c r="C273" s="113"/>
      <c r="D273" s="113"/>
      <c r="E273" s="113"/>
      <c r="F273" s="113"/>
      <c r="G273" s="113"/>
      <c r="H273" s="113"/>
      <c r="I273" s="113"/>
      <c r="J273" s="113"/>
      <c r="K273" s="113"/>
      <c r="L273" s="113"/>
    </row>
    <row r="274" ht="15.75" customHeight="1">
      <c r="B274" s="113"/>
      <c r="C274" s="113"/>
      <c r="D274" s="113"/>
      <c r="E274" s="113"/>
      <c r="F274" s="113"/>
      <c r="G274" s="113"/>
      <c r="H274" s="113"/>
      <c r="I274" s="113"/>
      <c r="J274" s="113"/>
      <c r="K274" s="113"/>
      <c r="L274" s="113"/>
    </row>
    <row r="275" ht="15.75" customHeight="1">
      <c r="B275" s="113"/>
      <c r="C275" s="113"/>
      <c r="D275" s="113"/>
      <c r="E275" s="113"/>
      <c r="F275" s="113"/>
      <c r="G275" s="113"/>
      <c r="H275" s="113"/>
      <c r="I275" s="113"/>
      <c r="J275" s="113"/>
      <c r="K275" s="113"/>
      <c r="L275" s="113"/>
    </row>
    <row r="276" ht="15.75" customHeight="1">
      <c r="B276" s="113"/>
      <c r="C276" s="113"/>
      <c r="D276" s="113"/>
      <c r="E276" s="113"/>
      <c r="F276" s="113"/>
      <c r="G276" s="113"/>
      <c r="H276" s="113"/>
      <c r="I276" s="113"/>
      <c r="J276" s="113"/>
      <c r="K276" s="113"/>
      <c r="L276" s="113"/>
    </row>
    <row r="277" ht="15.75" customHeight="1">
      <c r="B277" s="113"/>
      <c r="C277" s="113"/>
      <c r="D277" s="113"/>
      <c r="E277" s="113"/>
      <c r="F277" s="113"/>
      <c r="G277" s="113"/>
      <c r="H277" s="113"/>
      <c r="I277" s="113"/>
      <c r="J277" s="113"/>
      <c r="K277" s="113"/>
      <c r="L277" s="113"/>
    </row>
    <row r="278" ht="15.75" customHeight="1">
      <c r="B278" s="113"/>
      <c r="C278" s="113"/>
      <c r="D278" s="113"/>
      <c r="E278" s="113"/>
      <c r="F278" s="113"/>
      <c r="G278" s="113"/>
      <c r="H278" s="113"/>
      <c r="I278" s="113"/>
      <c r="J278" s="113"/>
      <c r="K278" s="113"/>
      <c r="L278" s="113"/>
    </row>
    <row r="279" ht="15.75" customHeight="1">
      <c r="B279" s="113"/>
      <c r="C279" s="113"/>
      <c r="D279" s="113"/>
      <c r="E279" s="113"/>
      <c r="F279" s="113"/>
      <c r="G279" s="113"/>
      <c r="H279" s="113"/>
      <c r="I279" s="113"/>
      <c r="J279" s="113"/>
      <c r="K279" s="113"/>
      <c r="L279" s="113"/>
    </row>
    <row r="280" ht="15.75" customHeight="1">
      <c r="B280" s="113"/>
      <c r="C280" s="113"/>
      <c r="D280" s="113"/>
      <c r="E280" s="113"/>
      <c r="F280" s="113"/>
      <c r="G280" s="113"/>
      <c r="H280" s="113"/>
      <c r="I280" s="113"/>
      <c r="J280" s="113"/>
      <c r="K280" s="113"/>
      <c r="L280" s="113"/>
    </row>
    <row r="281" ht="15.75" customHeight="1">
      <c r="B281" s="113"/>
      <c r="C281" s="113"/>
      <c r="D281" s="113"/>
      <c r="E281" s="113"/>
      <c r="F281" s="113"/>
      <c r="G281" s="113"/>
      <c r="H281" s="113"/>
      <c r="I281" s="113"/>
      <c r="J281" s="113"/>
      <c r="K281" s="113"/>
      <c r="L281" s="113"/>
    </row>
    <row r="282" ht="15.75" customHeight="1">
      <c r="B282" s="113"/>
      <c r="C282" s="113"/>
      <c r="D282" s="113"/>
      <c r="E282" s="113"/>
      <c r="F282" s="113"/>
      <c r="G282" s="113"/>
      <c r="H282" s="113"/>
      <c r="I282" s="113"/>
      <c r="J282" s="113"/>
      <c r="K282" s="113"/>
      <c r="L282" s="113"/>
    </row>
    <row r="283" ht="15.75" customHeight="1">
      <c r="B283" s="113"/>
      <c r="C283" s="113"/>
      <c r="D283" s="113"/>
      <c r="E283" s="113"/>
      <c r="F283" s="113"/>
      <c r="G283" s="113"/>
      <c r="H283" s="113"/>
      <c r="I283" s="113"/>
      <c r="J283" s="113"/>
      <c r="K283" s="113"/>
      <c r="L283" s="113"/>
    </row>
    <row r="284" ht="15.75" customHeight="1">
      <c r="B284" s="113"/>
      <c r="C284" s="113"/>
      <c r="D284" s="113"/>
      <c r="E284" s="113"/>
      <c r="F284" s="113"/>
      <c r="G284" s="113"/>
      <c r="H284" s="113"/>
      <c r="I284" s="113"/>
      <c r="J284" s="113"/>
      <c r="K284" s="113"/>
      <c r="L284" s="113"/>
    </row>
    <row r="285" ht="15.75" customHeight="1">
      <c r="B285" s="113"/>
      <c r="C285" s="113"/>
      <c r="D285" s="113"/>
      <c r="E285" s="113"/>
      <c r="F285" s="113"/>
      <c r="G285" s="113"/>
      <c r="H285" s="113"/>
      <c r="I285" s="113"/>
      <c r="J285" s="113"/>
      <c r="K285" s="113"/>
      <c r="L285" s="113"/>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989"/>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sheetData>
    <row r="1">
      <c r="A1" s="132" t="str">
        <f>'Arrived Shipments'!F2</f>
        <v>Josera</v>
      </c>
      <c r="B1" s="132">
        <f>'Arrived Shipments'!M2</f>
        <v>45225</v>
      </c>
      <c r="C1" s="133" t="str">
        <f>'Arrived Shipments'!R2</f>
        <v>SMACC</v>
      </c>
      <c r="D1" s="133" t="str">
        <f>'Arrived Shipments'!S2</f>
        <v/>
      </c>
      <c r="E1" s="132" t="str">
        <f t="array" ref="E1:E37">UNIQUE(A1:A296)</f>
        <v>Josera</v>
      </c>
      <c r="F1" s="133">
        <f t="shared" ref="F1:F11" si="2">COUNTIF(A1:A244,E1)</f>
        <v>23</v>
      </c>
      <c r="G1" s="133">
        <f t="shared" ref="G1:H1" si="1">COUNTA(B:B)</f>
        <v>343</v>
      </c>
      <c r="H1" s="133">
        <f t="shared" si="1"/>
        <v>342</v>
      </c>
      <c r="I1" s="134">
        <f t="shared" ref="I1:I2" si="3">H1/G1</f>
        <v>0.9970845481</v>
      </c>
      <c r="J1" s="134">
        <f t="shared" ref="J1:J2" si="4">K1-I1</f>
        <v>0.002915451895</v>
      </c>
      <c r="K1" s="135">
        <v>1.0</v>
      </c>
    </row>
    <row r="2">
      <c r="A2" s="132" t="str">
        <f>'Arrived Shipments'!F3</f>
        <v>Kit Cat</v>
      </c>
      <c r="B2" s="132">
        <f>'Arrived Shipments'!M3</f>
        <v>45236</v>
      </c>
      <c r="C2" s="133" t="str">
        <f>'Arrived Shipments'!R3</f>
        <v>SMACC</v>
      </c>
      <c r="D2" s="133" t="str">
        <f>'Arrived Shipments'!S3</f>
        <v/>
      </c>
      <c r="E2" s="132" t="s">
        <v>37</v>
      </c>
      <c r="F2" s="133">
        <f t="shared" si="2"/>
        <v>44</v>
      </c>
      <c r="G2" s="133">
        <f>COUNTIFS(B1:B1000, "&gt;=" &amp; EDATE(TODAY(), -3), B1:B1000, "&lt;=" &amp; TODAY())</f>
        <v>0</v>
      </c>
      <c r="H2" s="133">
        <f>COUNTIFS(B1:B1000, "&gt;=" &amp; EDATE(TODAY(), -3), B1:B1000, "&lt;=" &amp; TODAY(), C1:C1000, "&lt;&gt;")</f>
        <v>0</v>
      </c>
      <c r="I2" s="134" t="str">
        <f t="shared" si="3"/>
        <v>#DIV/0!</v>
      </c>
      <c r="J2" s="134" t="str">
        <f t="shared" si="4"/>
        <v>#DIV/0!</v>
      </c>
      <c r="K2" s="135">
        <v>1.0</v>
      </c>
    </row>
    <row r="3">
      <c r="A3" s="132" t="str">
        <f>'Arrived Shipments'!F4</f>
        <v>Laroy</v>
      </c>
      <c r="B3" s="132">
        <f>'Arrived Shipments'!M4</f>
        <v>45229</v>
      </c>
      <c r="C3" s="133" t="str">
        <f>'Arrived Shipments'!R4</f>
        <v>SMACC</v>
      </c>
      <c r="D3" s="133" t="str">
        <f>'Arrived Shipments'!S4</f>
        <v/>
      </c>
      <c r="E3" s="132" t="s">
        <v>40</v>
      </c>
      <c r="F3" s="133">
        <f t="shared" si="2"/>
        <v>20</v>
      </c>
      <c r="J3" s="136">
        <f>AVERAGE(D:D)</f>
        <v>14.56890459</v>
      </c>
    </row>
    <row r="4">
      <c r="A4" s="132" t="str">
        <f>'Arrived Shipments'!F5</f>
        <v>Kit Cat</v>
      </c>
      <c r="B4" s="132">
        <f>'Arrived Shipments'!M5</f>
        <v>45200</v>
      </c>
      <c r="C4" s="133" t="str">
        <f>'Arrived Shipments'!R5</f>
        <v>SMACC</v>
      </c>
      <c r="D4" s="133" t="str">
        <f>'Arrived Shipments'!S5</f>
        <v/>
      </c>
      <c r="E4" s="132" t="s">
        <v>43</v>
      </c>
      <c r="F4" s="133">
        <f t="shared" si="2"/>
        <v>20</v>
      </c>
      <c r="J4" s="133">
        <f>COUNTIF(D:D,"&lt;8")</f>
        <v>139</v>
      </c>
      <c r="K4" s="133">
        <f>COUNTIF(D:D,"&gt;7")</f>
        <v>144</v>
      </c>
    </row>
    <row r="5">
      <c r="A5" s="132" t="str">
        <f>'Arrived Shipments'!F6</f>
        <v>Schesir </v>
      </c>
      <c r="B5" s="132">
        <f>'Arrived Shipments'!M6</f>
        <v>45225</v>
      </c>
      <c r="C5" s="133" t="str">
        <f>'Arrived Shipments'!R6</f>
        <v>SMACC</v>
      </c>
      <c r="D5" s="133" t="str">
        <f>'Arrived Shipments'!S6</f>
        <v/>
      </c>
      <c r="E5" s="132" t="s">
        <v>49</v>
      </c>
      <c r="F5" s="133">
        <f t="shared" si="2"/>
        <v>5</v>
      </c>
      <c r="H5" s="134">
        <f>J4/K4</f>
        <v>0.9652777778</v>
      </c>
      <c r="I5" s="134">
        <f>K5-H5</f>
        <v>0.03472222222</v>
      </c>
      <c r="J5" s="134"/>
      <c r="K5" s="134">
        <v>1.0</v>
      </c>
    </row>
    <row r="6">
      <c r="A6" s="132" t="str">
        <f>'Arrived Shipments'!F7</f>
        <v>Schesir </v>
      </c>
      <c r="B6" s="132">
        <f>'Arrived Shipments'!M7</f>
        <v>45225</v>
      </c>
      <c r="C6" s="133" t="str">
        <f>'Arrived Shipments'!R7</f>
        <v>SMACC</v>
      </c>
      <c r="D6" s="133" t="str">
        <f>'Arrived Shipments'!S7</f>
        <v/>
      </c>
      <c r="E6" s="132" t="s">
        <v>54</v>
      </c>
      <c r="F6" s="133">
        <f t="shared" si="2"/>
        <v>5</v>
      </c>
    </row>
    <row r="7">
      <c r="A7" s="132" t="str">
        <f>'Arrived Shipments'!F8</f>
        <v>Laroy</v>
      </c>
      <c r="B7" s="132">
        <f>'Arrived Shipments'!M8</f>
        <v>45241</v>
      </c>
      <c r="C7" s="133" t="str">
        <f>'Arrived Shipments'!R8</f>
        <v>SMACC</v>
      </c>
      <c r="D7" s="133" t="str">
        <f>'Arrived Shipments'!S8</f>
        <v/>
      </c>
      <c r="E7" s="132" t="s">
        <v>59</v>
      </c>
      <c r="F7" s="133">
        <f t="shared" si="2"/>
        <v>6</v>
      </c>
    </row>
    <row r="8">
      <c r="A8" s="132" t="str">
        <f>'Arrived Shipments'!F9</f>
        <v>Inner Mongolia </v>
      </c>
      <c r="B8" s="132">
        <f>'Arrived Shipments'!M9</f>
        <v>45238</v>
      </c>
      <c r="C8" s="133" t="str">
        <f>'Arrived Shipments'!R9</f>
        <v>SMACC</v>
      </c>
      <c r="D8" s="133" t="str">
        <f>'Arrived Shipments'!S9</f>
        <v/>
      </c>
      <c r="E8" s="132" t="s">
        <v>68</v>
      </c>
      <c r="F8" s="133">
        <f t="shared" si="2"/>
        <v>12</v>
      </c>
    </row>
    <row r="9">
      <c r="A9" s="132" t="str">
        <f>'Arrived Shipments'!F10</f>
        <v>Kit Cat</v>
      </c>
      <c r="B9" s="132">
        <f>'Arrived Shipments'!M10</f>
        <v>45241</v>
      </c>
      <c r="C9" s="133" t="str">
        <f>'Arrived Shipments'!R10</f>
        <v>SMACC</v>
      </c>
      <c r="D9" s="133" t="str">
        <f>'Arrived Shipments'!S10</f>
        <v/>
      </c>
      <c r="E9" s="132" t="s">
        <v>81</v>
      </c>
      <c r="F9" s="133">
        <f t="shared" si="2"/>
        <v>20</v>
      </c>
    </row>
    <row r="10">
      <c r="A10" s="132" t="str">
        <f>'Arrived Shipments'!F11</f>
        <v>INABA</v>
      </c>
      <c r="B10" s="132">
        <f>'Arrived Shipments'!M11</f>
        <v>45270</v>
      </c>
      <c r="C10" s="133" t="str">
        <f>'Arrived Shipments'!R11</f>
        <v>SMACC</v>
      </c>
      <c r="D10" s="133" t="str">
        <f>'Arrived Shipments'!S11</f>
        <v/>
      </c>
      <c r="E10" s="132" t="s">
        <v>90</v>
      </c>
      <c r="F10" s="133">
        <f t="shared" si="2"/>
        <v>1</v>
      </c>
    </row>
    <row r="11">
      <c r="A11" s="132" t="str">
        <f>'Arrived Shipments'!F12</f>
        <v>Sanal</v>
      </c>
      <c r="B11" s="132">
        <f>'Arrived Shipments'!M12</f>
        <v>45265</v>
      </c>
      <c r="C11" s="133" t="str">
        <f>'Arrived Shipments'!R12</f>
        <v>SMACC</v>
      </c>
      <c r="D11" s="133" t="str">
        <f>'Arrived Shipments'!S12</f>
        <v/>
      </c>
      <c r="E11" s="132" t="s">
        <v>92</v>
      </c>
      <c r="F11" s="133">
        <f t="shared" si="2"/>
        <v>2</v>
      </c>
    </row>
    <row r="12">
      <c r="A12" s="132" t="str">
        <f>'Arrived Shipments'!F13</f>
        <v>Schesir </v>
      </c>
      <c r="B12" s="132">
        <f>'Arrived Shipments'!M13</f>
        <v>45248</v>
      </c>
      <c r="C12" s="133" t="str">
        <f>'Arrived Shipments'!R13</f>
        <v>SMACC</v>
      </c>
      <c r="D12" s="133" t="str">
        <f>'Arrived Shipments'!S13</f>
        <v/>
      </c>
      <c r="E12" s="132" t="s">
        <v>100</v>
      </c>
    </row>
    <row r="13">
      <c r="A13" s="132" t="str">
        <f>'Arrived Shipments'!F14</f>
        <v>Schesir </v>
      </c>
      <c r="B13" s="132">
        <f>'Arrived Shipments'!M14</f>
        <v>44907</v>
      </c>
      <c r="C13" s="133" t="str">
        <f>'Arrived Shipments'!R14</f>
        <v>SMACC</v>
      </c>
      <c r="D13" s="133" t="str">
        <f>'Arrived Shipments'!S14</f>
        <v/>
      </c>
      <c r="E13" s="132" t="s">
        <v>105</v>
      </c>
      <c r="F13" s="133">
        <f t="shared" ref="F13:F88" si="5">COUNTIF(A13:A256,E13)</f>
        <v>18</v>
      </c>
    </row>
    <row r="14">
      <c r="A14" s="132" t="str">
        <f>'Arrived Shipments'!F15</f>
        <v>Laroy</v>
      </c>
      <c r="B14" s="132">
        <f>'Arrived Shipments'!M15</f>
        <v>45270</v>
      </c>
      <c r="C14" s="133" t="str">
        <f>'Arrived Shipments'!R15</f>
        <v>SMACC</v>
      </c>
      <c r="D14" s="133" t="str">
        <f>'Arrived Shipments'!S15</f>
        <v/>
      </c>
      <c r="E14" s="132" t="s">
        <v>122</v>
      </c>
      <c r="F14" s="133">
        <f t="shared" si="5"/>
        <v>5</v>
      </c>
    </row>
    <row r="15">
      <c r="A15" s="132" t="str">
        <f>'Arrived Shipments'!F16</f>
        <v>Butchers</v>
      </c>
      <c r="B15" s="132">
        <f>'Arrived Shipments'!M16</f>
        <v>45273</v>
      </c>
      <c r="C15" s="133" t="str">
        <f>'Arrived Shipments'!R16</f>
        <v>SMACC</v>
      </c>
      <c r="D15" s="133" t="str">
        <f>'Arrived Shipments'!S16</f>
        <v/>
      </c>
      <c r="E15" s="132" t="s">
        <v>143</v>
      </c>
      <c r="F15" s="133">
        <f t="shared" si="5"/>
        <v>3</v>
      </c>
    </row>
    <row r="16">
      <c r="A16" s="132" t="str">
        <f>'Arrived Shipments'!F17</f>
        <v>Kit Cat</v>
      </c>
      <c r="B16" s="132">
        <f>'Arrived Shipments'!M17</f>
        <v>45281</v>
      </c>
      <c r="C16" s="133" t="str">
        <f>'Arrived Shipments'!R17</f>
        <v>SMACC</v>
      </c>
      <c r="D16" s="133" t="str">
        <f>'Arrived Shipments'!S17</f>
        <v/>
      </c>
      <c r="E16" s="132"/>
      <c r="F16" s="133">
        <f t="shared" si="5"/>
        <v>0</v>
      </c>
    </row>
    <row r="17">
      <c r="A17" s="132" t="str">
        <f>'Arrived Shipments'!F18</f>
        <v>Kit Cat</v>
      </c>
      <c r="B17" s="132">
        <f>'Arrived Shipments'!M18</f>
        <v>45280</v>
      </c>
      <c r="C17" s="133" t="str">
        <f>'Arrived Shipments'!R18</f>
        <v>SMACC</v>
      </c>
      <c r="D17" s="133" t="str">
        <f>'Arrived Shipments'!S18</f>
        <v/>
      </c>
      <c r="E17" s="132" t="s">
        <v>222</v>
      </c>
      <c r="F17" s="133">
        <f t="shared" si="5"/>
        <v>5</v>
      </c>
    </row>
    <row r="18">
      <c r="A18" s="132" t="str">
        <f>'Arrived Shipments'!F19</f>
        <v>Butchers</v>
      </c>
      <c r="B18" s="132">
        <f>'Arrived Shipments'!M19</f>
        <v>45273</v>
      </c>
      <c r="C18" s="133" t="str">
        <f>'Arrived Shipments'!R19</f>
        <v>SMACC</v>
      </c>
      <c r="D18" s="133" t="str">
        <f>'Arrived Shipments'!S19</f>
        <v/>
      </c>
      <c r="E18" s="132" t="s">
        <v>259</v>
      </c>
      <c r="F18" s="133">
        <f t="shared" si="5"/>
        <v>3</v>
      </c>
    </row>
    <row r="19">
      <c r="A19" s="132" t="str">
        <f>'Arrived Shipments'!F20</f>
        <v>Kit Cat</v>
      </c>
      <c r="B19" s="132">
        <f>'Arrived Shipments'!M20</f>
        <v>45293</v>
      </c>
      <c r="C19" s="133" t="str">
        <f>'Arrived Shipments'!R20</f>
        <v>SMACC</v>
      </c>
      <c r="D19" s="133" t="str">
        <f>'Arrived Shipments'!S20</f>
        <v/>
      </c>
      <c r="E19" s="132" t="s">
        <v>266</v>
      </c>
      <c r="F19" s="133">
        <f t="shared" si="5"/>
        <v>3</v>
      </c>
    </row>
    <row r="20">
      <c r="A20" s="132" t="str">
        <f>'Arrived Shipments'!F21</f>
        <v>Kit Cat</v>
      </c>
      <c r="B20" s="132">
        <f>'Arrived Shipments'!M21</f>
        <v>45293</v>
      </c>
      <c r="C20" s="133" t="str">
        <f>'Arrived Shipments'!R21</f>
        <v>SMACC</v>
      </c>
      <c r="D20" s="133" t="str">
        <f>'Arrived Shipments'!S21</f>
        <v/>
      </c>
      <c r="E20" s="132" t="s">
        <v>169</v>
      </c>
      <c r="F20" s="133">
        <f t="shared" si="5"/>
        <v>12</v>
      </c>
    </row>
    <row r="21">
      <c r="A21" s="132" t="str">
        <f>'Arrived Shipments'!F22</f>
        <v>Applaws</v>
      </c>
      <c r="B21" s="132">
        <f>'Arrived Shipments'!M22</f>
        <v>45278</v>
      </c>
      <c r="C21" s="133" t="str">
        <f>'Arrived Shipments'!R22</f>
        <v>SMACC</v>
      </c>
      <c r="D21" s="133" t="str">
        <f>'Arrived Shipments'!S22</f>
        <v/>
      </c>
      <c r="E21" s="132" t="s">
        <v>312</v>
      </c>
      <c r="F21" s="133">
        <f t="shared" si="5"/>
        <v>5</v>
      </c>
    </row>
    <row r="22">
      <c r="A22" s="132" t="str">
        <f>'Arrived Shipments'!F23</f>
        <v>Applaws</v>
      </c>
      <c r="B22" s="132">
        <f>'Arrived Shipments'!M23</f>
        <v>45291</v>
      </c>
      <c r="C22" s="133" t="str">
        <f>'Arrived Shipments'!R23</f>
        <v>SMACC</v>
      </c>
      <c r="D22" s="133" t="str">
        <f>'Arrived Shipments'!S23</f>
        <v/>
      </c>
      <c r="E22" s="132" t="s">
        <v>318</v>
      </c>
      <c r="F22" s="133">
        <f t="shared" si="5"/>
        <v>2</v>
      </c>
    </row>
    <row r="23">
      <c r="A23" s="132" t="str">
        <f>'Arrived Shipments'!F24</f>
        <v>CatIdea</v>
      </c>
      <c r="B23" s="132">
        <f>'Arrived Shipments'!M24</f>
        <v>45300</v>
      </c>
      <c r="C23" s="137">
        <f>'Arrived Shipments'!R24</f>
        <v>45328</v>
      </c>
      <c r="D23" s="133">
        <f>'Arrived Shipments'!S24</f>
        <v>28</v>
      </c>
      <c r="E23" s="132" t="s">
        <v>350</v>
      </c>
      <c r="F23" s="133">
        <f t="shared" si="5"/>
        <v>5</v>
      </c>
    </row>
    <row r="24">
      <c r="A24" s="132" t="str">
        <f>'Arrived Shipments'!F25</f>
        <v>MyFamily</v>
      </c>
      <c r="B24" s="132">
        <f>'Arrived Shipments'!M25</f>
        <v>45277</v>
      </c>
      <c r="C24" s="133" t="str">
        <f>'Arrived Shipments'!R25</f>
        <v>SMACC</v>
      </c>
      <c r="D24" s="133" t="str">
        <f>'Arrived Shipments'!S25</f>
        <v/>
      </c>
      <c r="E24" s="132" t="s">
        <v>378</v>
      </c>
      <c r="F24" s="133">
        <f t="shared" si="5"/>
        <v>1</v>
      </c>
    </row>
    <row r="25">
      <c r="A25" s="132" t="str">
        <f>'Arrived Shipments'!F26</f>
        <v>Laroy</v>
      </c>
      <c r="B25" s="132" t="str">
        <f>'Arrived Shipments'!M26</f>
        <v/>
      </c>
      <c r="C25" s="133" t="str">
        <f>'Arrived Shipments'!R26</f>
        <v/>
      </c>
      <c r="D25" s="133" t="str">
        <f>'Arrived Shipments'!S26</f>
        <v/>
      </c>
      <c r="E25" s="132" t="s">
        <v>387</v>
      </c>
      <c r="F25" s="133">
        <f t="shared" si="5"/>
        <v>3</v>
      </c>
    </row>
    <row r="26">
      <c r="A26" s="132" t="str">
        <f>'Arrived Shipments'!F27</f>
        <v>Kit Cat</v>
      </c>
      <c r="B26" s="132">
        <f>'Arrived Shipments'!M27</f>
        <v>45302</v>
      </c>
      <c r="C26" s="138">
        <f>'Arrived Shipments'!R27</f>
        <v>45328</v>
      </c>
      <c r="D26" s="133">
        <f>'Arrived Shipments'!S27</f>
        <v>26</v>
      </c>
      <c r="E26" s="132" t="s">
        <v>413</v>
      </c>
      <c r="F26" s="133">
        <f t="shared" si="5"/>
        <v>1</v>
      </c>
    </row>
    <row r="27">
      <c r="A27" s="132" t="str">
        <f>'Arrived Shipments'!F28</f>
        <v>Versele Laga</v>
      </c>
      <c r="B27" s="132">
        <f>'Arrived Shipments'!M28</f>
        <v>45325</v>
      </c>
      <c r="C27" s="138">
        <f>'Arrived Shipments'!R28</f>
        <v>45329</v>
      </c>
      <c r="D27" s="133">
        <f>'Arrived Shipments'!S28</f>
        <v>4</v>
      </c>
      <c r="E27" s="132" t="s">
        <v>432</v>
      </c>
      <c r="F27" s="133">
        <f t="shared" si="5"/>
        <v>1</v>
      </c>
    </row>
    <row r="28">
      <c r="A28" s="132" t="str">
        <f>'Arrived Shipments'!F29</f>
        <v>Versele Laga</v>
      </c>
      <c r="B28" s="132">
        <f>'Arrived Shipments'!M29</f>
        <v>45325</v>
      </c>
      <c r="C28" s="138">
        <f>'Arrived Shipments'!R29</f>
        <v>45329</v>
      </c>
      <c r="D28" s="133">
        <f>'Arrived Shipments'!S29</f>
        <v>4</v>
      </c>
      <c r="E28" s="132" t="s">
        <v>464</v>
      </c>
      <c r="F28" s="133">
        <f t="shared" si="5"/>
        <v>1</v>
      </c>
    </row>
    <row r="29">
      <c r="A29" s="132" t="str">
        <f>'Arrived Shipments'!F30</f>
        <v>Laviosa</v>
      </c>
      <c r="B29" s="132">
        <f>'Arrived Shipments'!M30</f>
        <v>45309</v>
      </c>
      <c r="C29" s="138">
        <f>'Arrived Shipments'!R30</f>
        <v>45328</v>
      </c>
      <c r="D29" s="133">
        <f>'Arrived Shipments'!S30</f>
        <v>19</v>
      </c>
      <c r="E29" s="132" t="s">
        <v>473</v>
      </c>
      <c r="F29" s="133">
        <f t="shared" si="5"/>
        <v>2</v>
      </c>
    </row>
    <row r="30">
      <c r="A30" s="132" t="str">
        <f>'Arrived Shipments'!F31</f>
        <v>Laroy</v>
      </c>
      <c r="B30" s="132">
        <f>'Arrived Shipments'!M31</f>
        <v>45325</v>
      </c>
      <c r="C30" s="138">
        <f>'Arrived Shipments'!R31</f>
        <v>45328</v>
      </c>
      <c r="D30" s="133">
        <f>'Arrived Shipments'!S31</f>
        <v>3</v>
      </c>
      <c r="E30" s="132" t="s">
        <v>536</v>
      </c>
      <c r="F30" s="133">
        <f t="shared" si="5"/>
        <v>1</v>
      </c>
    </row>
    <row r="31">
      <c r="A31" s="132" t="str">
        <f>'Arrived Shipments'!F32</f>
        <v>Laviosa</v>
      </c>
      <c r="B31" s="132">
        <f>'Arrived Shipments'!M32</f>
        <v>45309</v>
      </c>
      <c r="C31" s="138">
        <f>'Arrived Shipments'!R32</f>
        <v>45328</v>
      </c>
      <c r="D31" s="133">
        <f>'Arrived Shipments'!S32</f>
        <v>19</v>
      </c>
      <c r="E31" s="132" t="s">
        <v>637</v>
      </c>
      <c r="F31" s="133">
        <f t="shared" si="5"/>
        <v>1</v>
      </c>
    </row>
    <row r="32">
      <c r="A32" s="132" t="str">
        <f>'Arrived Shipments'!F33</f>
        <v>Kit Cat</v>
      </c>
      <c r="B32" s="132">
        <f>'Arrived Shipments'!M33</f>
        <v>45314</v>
      </c>
      <c r="C32" s="138">
        <f>'Arrived Shipments'!R33</f>
        <v>45325</v>
      </c>
      <c r="D32" s="133">
        <f>'Arrived Shipments'!S33</f>
        <v>11</v>
      </c>
      <c r="E32" s="132" t="s">
        <v>653</v>
      </c>
      <c r="F32" s="133">
        <f t="shared" si="5"/>
        <v>5</v>
      </c>
    </row>
    <row r="33">
      <c r="A33" s="132" t="str">
        <f>'Arrived Shipments'!F34</f>
        <v>Kit Cat</v>
      </c>
      <c r="B33" s="132">
        <f>'Arrived Shipments'!M34</f>
        <v>45316</v>
      </c>
      <c r="C33" s="138">
        <f>'Arrived Shipments'!R34</f>
        <v>45328</v>
      </c>
      <c r="D33" s="133">
        <f>'Arrived Shipments'!S34</f>
        <v>12</v>
      </c>
      <c r="E33" s="132" t="s">
        <v>662</v>
      </c>
      <c r="F33" s="133">
        <f t="shared" si="5"/>
        <v>1</v>
      </c>
    </row>
    <row r="34">
      <c r="A34" s="132" t="str">
        <f>'Arrived Shipments'!F35</f>
        <v>Kit Cat</v>
      </c>
      <c r="B34" s="132">
        <f>'Arrived Shipments'!M35</f>
        <v>45316</v>
      </c>
      <c r="C34" s="138">
        <f>'Arrived Shipments'!R35</f>
        <v>45328</v>
      </c>
      <c r="D34" s="133">
        <f>'Arrived Shipments'!S35</f>
        <v>12</v>
      </c>
      <c r="E34" s="132" t="s">
        <v>666</v>
      </c>
      <c r="F34" s="133">
        <f t="shared" si="5"/>
        <v>3</v>
      </c>
    </row>
    <row r="35">
      <c r="A35" s="132" t="str">
        <f>'Arrived Shipments'!F36</f>
        <v>Kit Cat</v>
      </c>
      <c r="B35" s="132">
        <f>'Arrived Shipments'!M36</f>
        <v>45319</v>
      </c>
      <c r="C35" s="138">
        <f>'Arrived Shipments'!R36</f>
        <v>45328</v>
      </c>
      <c r="D35" s="133">
        <f>'Arrived Shipments'!S36</f>
        <v>9</v>
      </c>
      <c r="E35" s="132" t="s">
        <v>768</v>
      </c>
      <c r="F35" s="133">
        <f t="shared" si="5"/>
        <v>3</v>
      </c>
    </row>
    <row r="36">
      <c r="A36" s="132" t="str">
        <f>'Arrived Shipments'!F37</f>
        <v>Kit Cat</v>
      </c>
      <c r="B36" s="132">
        <f>'Arrived Shipments'!M37</f>
        <v>45321</v>
      </c>
      <c r="C36" s="138">
        <f>'Arrived Shipments'!R37</f>
        <v>45328</v>
      </c>
      <c r="D36" s="133">
        <f>'Arrived Shipments'!S37</f>
        <v>7</v>
      </c>
      <c r="E36" s="132" t="s">
        <v>771</v>
      </c>
      <c r="F36" s="133">
        <f t="shared" si="5"/>
        <v>3</v>
      </c>
    </row>
    <row r="37">
      <c r="A37" s="132" t="str">
        <f>'Arrived Shipments'!F38</f>
        <v>Schesir </v>
      </c>
      <c r="B37" s="132">
        <f>'Arrived Shipments'!M38</f>
        <v>45321</v>
      </c>
      <c r="C37" s="138">
        <f>'Arrived Shipments'!R38</f>
        <v>45328</v>
      </c>
      <c r="D37" s="133">
        <f>'Arrived Shipments'!S38</f>
        <v>7</v>
      </c>
      <c r="E37" s="132" t="s">
        <v>824</v>
      </c>
      <c r="F37" s="133">
        <f t="shared" si="5"/>
        <v>1</v>
      </c>
    </row>
    <row r="38">
      <c r="A38" s="132" t="str">
        <f>'Arrived Shipments'!F39</f>
        <v>Laviosa</v>
      </c>
      <c r="B38" s="132">
        <f>'Arrived Shipments'!M39</f>
        <v>45324</v>
      </c>
      <c r="C38" s="138">
        <f>'Arrived Shipments'!R39</f>
        <v>45328</v>
      </c>
      <c r="D38" s="133">
        <f>'Arrived Shipments'!S39</f>
        <v>4</v>
      </c>
      <c r="F38" s="133">
        <f t="shared" si="5"/>
        <v>0</v>
      </c>
    </row>
    <row r="39">
      <c r="A39" s="132" t="str">
        <f>'Arrived Shipments'!F40</f>
        <v>Biosand</v>
      </c>
      <c r="B39" s="132">
        <f>'Arrived Shipments'!M40</f>
        <v>45311</v>
      </c>
      <c r="C39" s="138">
        <f>'Arrived Shipments'!R40</f>
        <v>45329</v>
      </c>
      <c r="D39" s="133">
        <f>'Arrived Shipments'!S40</f>
        <v>18</v>
      </c>
      <c r="F39" s="133">
        <f t="shared" si="5"/>
        <v>0</v>
      </c>
    </row>
    <row r="40">
      <c r="A40" s="132" t="str">
        <f>'Arrived Shipments'!F41</f>
        <v>Schesir </v>
      </c>
      <c r="B40" s="132">
        <f>'Arrived Shipments'!M41</f>
        <v>45321</v>
      </c>
      <c r="C40" s="138">
        <f>'Arrived Shipments'!R41</f>
        <v>45329</v>
      </c>
      <c r="D40" s="133">
        <f>'Arrived Shipments'!S41</f>
        <v>8</v>
      </c>
      <c r="F40" s="133">
        <f t="shared" si="5"/>
        <v>0</v>
      </c>
    </row>
    <row r="41">
      <c r="A41" s="132" t="str">
        <f>'Arrived Shipments'!F42</f>
        <v>INABA</v>
      </c>
      <c r="B41" s="132">
        <f>'Arrived Shipments'!M42</f>
        <v>45321</v>
      </c>
      <c r="C41" s="138">
        <f>'Arrived Shipments'!R42</f>
        <v>45329</v>
      </c>
      <c r="D41" s="133">
        <f>'Arrived Shipments'!S42</f>
        <v>8</v>
      </c>
      <c r="F41" s="133">
        <f t="shared" si="5"/>
        <v>0</v>
      </c>
    </row>
    <row r="42">
      <c r="A42" s="132" t="str">
        <f>'Arrived Shipments'!F43</f>
        <v>Kit Cat</v>
      </c>
      <c r="B42" s="132">
        <f>'Arrived Shipments'!M43</f>
        <v>45330</v>
      </c>
      <c r="C42" s="138">
        <f>'Arrived Shipments'!R43</f>
        <v>45333</v>
      </c>
      <c r="D42" s="133">
        <f>'Arrived Shipments'!S43</f>
        <v>3</v>
      </c>
      <c r="F42" s="133">
        <f t="shared" si="5"/>
        <v>0</v>
      </c>
    </row>
    <row r="43">
      <c r="A43" s="132" t="str">
        <f>'Arrived Shipments'!F44</f>
        <v>Kit Cat</v>
      </c>
      <c r="B43" s="132">
        <f>'Arrived Shipments'!M44</f>
        <v>45329</v>
      </c>
      <c r="C43" s="138">
        <f>'Arrived Shipments'!R44</f>
        <v>45333</v>
      </c>
      <c r="D43" s="133">
        <f>'Arrived Shipments'!S44</f>
        <v>4</v>
      </c>
      <c r="F43" s="133">
        <f t="shared" si="5"/>
        <v>0</v>
      </c>
    </row>
    <row r="44">
      <c r="A44" s="132" t="str">
        <f>'Arrived Shipments'!F45</f>
        <v>Schesir </v>
      </c>
      <c r="B44" s="132">
        <f>'Arrived Shipments'!M45</f>
        <v>45335</v>
      </c>
      <c r="C44" s="139">
        <f>'Arrived Shipments'!R45</f>
        <v>45336</v>
      </c>
      <c r="D44" s="133">
        <f>'Arrived Shipments'!S45</f>
        <v>1</v>
      </c>
      <c r="F44" s="133">
        <f t="shared" si="5"/>
        <v>0</v>
      </c>
    </row>
    <row r="45">
      <c r="A45" s="132" t="str">
        <f>'Arrived Shipments'!F46</f>
        <v>Schesir </v>
      </c>
      <c r="B45" s="132">
        <f>'Arrived Shipments'!M46</f>
        <v>45307</v>
      </c>
      <c r="C45" s="138">
        <f>'Arrived Shipments'!R46</f>
        <v>45361</v>
      </c>
      <c r="D45" s="133">
        <f>'Arrived Shipments'!S46</f>
        <v>54</v>
      </c>
      <c r="F45" s="133">
        <f t="shared" si="5"/>
        <v>0</v>
      </c>
    </row>
    <row r="46">
      <c r="A46" s="132" t="str">
        <f>'Arrived Shipments'!F47</f>
        <v>Schesir </v>
      </c>
      <c r="B46" s="132">
        <f>'Arrived Shipments'!M47</f>
        <v>45308</v>
      </c>
      <c r="C46" s="138">
        <f>'Arrived Shipments'!R47</f>
        <v>45360</v>
      </c>
      <c r="D46" s="133">
        <f>'Arrived Shipments'!S47</f>
        <v>52</v>
      </c>
      <c r="F46" s="133">
        <f t="shared" si="5"/>
        <v>0</v>
      </c>
    </row>
    <row r="47">
      <c r="A47" s="132" t="str">
        <f>'Arrived Shipments'!F48</f>
        <v>Applaws</v>
      </c>
      <c r="B47" s="132">
        <f>'Arrived Shipments'!M48</f>
        <v>45353</v>
      </c>
      <c r="C47" s="138">
        <f>'Arrived Shipments'!R48</f>
        <v>45357</v>
      </c>
      <c r="D47" s="133">
        <f>'Arrived Shipments'!S48</f>
        <v>4</v>
      </c>
      <c r="F47" s="133">
        <f t="shared" si="5"/>
        <v>0</v>
      </c>
    </row>
    <row r="48">
      <c r="A48" s="132" t="str">
        <f>'Arrived Shipments'!F49</f>
        <v>Sanal</v>
      </c>
      <c r="B48" s="132">
        <f>'Arrived Shipments'!M49</f>
        <v>45353</v>
      </c>
      <c r="C48" s="138">
        <f>'Arrived Shipments'!R49</f>
        <v>45361</v>
      </c>
      <c r="D48" s="133">
        <f>'Arrived Shipments'!S49</f>
        <v>8</v>
      </c>
      <c r="F48" s="133">
        <f t="shared" si="5"/>
        <v>0</v>
      </c>
    </row>
    <row r="49">
      <c r="A49" s="132" t="str">
        <f>'Arrived Shipments'!F50</f>
        <v>Applaws</v>
      </c>
      <c r="B49" s="132">
        <f>'Arrived Shipments'!M50</f>
        <v>45362</v>
      </c>
      <c r="C49" s="139">
        <f>'Arrived Shipments'!R50</f>
        <v>45364</v>
      </c>
      <c r="D49" s="133">
        <f>'Arrived Shipments'!S50</f>
        <v>2</v>
      </c>
      <c r="F49" s="133">
        <f t="shared" si="5"/>
        <v>0</v>
      </c>
    </row>
    <row r="50">
      <c r="A50" s="132" t="str">
        <f>'Arrived Shipments'!F51</f>
        <v>Princess</v>
      </c>
      <c r="B50" s="132">
        <f>'Arrived Shipments'!M51</f>
        <v>45362</v>
      </c>
      <c r="C50" s="139">
        <f>'Arrived Shipments'!R51</f>
        <v>45365</v>
      </c>
      <c r="D50" s="133">
        <f>'Arrived Shipments'!S51</f>
        <v>3</v>
      </c>
      <c r="F50" s="133">
        <f t="shared" si="5"/>
        <v>0</v>
      </c>
    </row>
    <row r="51">
      <c r="A51" s="132" t="str">
        <f>'Arrived Shipments'!F52</f>
        <v>Butchers</v>
      </c>
      <c r="B51" s="132">
        <f>'Arrived Shipments'!M52</f>
        <v>45378</v>
      </c>
      <c r="C51" s="139">
        <f>'Arrived Shipments'!R52</f>
        <v>45397</v>
      </c>
      <c r="D51" s="133">
        <f>'Arrived Shipments'!S52</f>
        <v>19</v>
      </c>
      <c r="F51" s="133">
        <f t="shared" si="5"/>
        <v>0</v>
      </c>
    </row>
    <row r="52">
      <c r="A52" s="132" t="str">
        <f>'Arrived Shipments'!F53</f>
        <v>Biosand</v>
      </c>
      <c r="B52" s="132">
        <f>'Arrived Shipments'!M53</f>
        <v>45383</v>
      </c>
      <c r="C52" s="138">
        <f>'Arrived Shipments'!R53</f>
        <v>45388</v>
      </c>
      <c r="D52" s="133">
        <f>'Arrived Shipments'!S53</f>
        <v>5</v>
      </c>
      <c r="F52" s="133">
        <f t="shared" si="5"/>
        <v>0</v>
      </c>
    </row>
    <row r="53">
      <c r="A53" s="132" t="str">
        <f>'Arrived Shipments'!F54</f>
        <v>Kit Cat</v>
      </c>
      <c r="B53" s="132">
        <f>'Arrived Shipments'!M54</f>
        <v>45386</v>
      </c>
      <c r="C53" s="139">
        <f>'Arrived Shipments'!R54</f>
        <v>45403</v>
      </c>
      <c r="D53" s="133">
        <f>'Arrived Shipments'!S54</f>
        <v>17</v>
      </c>
      <c r="F53" s="133">
        <f t="shared" si="5"/>
        <v>0</v>
      </c>
    </row>
    <row r="54">
      <c r="A54" s="132" t="str">
        <f>'Arrived Shipments'!F55</f>
        <v>Josera</v>
      </c>
      <c r="B54" s="132">
        <f>'Arrived Shipments'!M55</f>
        <v>45377</v>
      </c>
      <c r="C54" s="139">
        <f>'Arrived Shipments'!R55</f>
        <v>45411</v>
      </c>
      <c r="D54" s="133">
        <f>'Arrived Shipments'!S55</f>
        <v>34</v>
      </c>
      <c r="F54" s="133">
        <f t="shared" si="5"/>
        <v>0</v>
      </c>
    </row>
    <row r="55">
      <c r="A55" s="132" t="str">
        <f>'Arrived Shipments'!F56</f>
        <v>Laviosa</v>
      </c>
      <c r="B55" s="132">
        <f>'Arrived Shipments'!M56</f>
        <v>45377</v>
      </c>
      <c r="C55" s="139">
        <f>'Arrived Shipments'!R56</f>
        <v>45378</v>
      </c>
      <c r="D55" s="133">
        <f>'Arrived Shipments'!S56</f>
        <v>1</v>
      </c>
      <c r="F55" s="133">
        <f t="shared" si="5"/>
        <v>0</v>
      </c>
    </row>
    <row r="56">
      <c r="A56" s="132" t="str">
        <f>'Arrived Shipments'!F57</f>
        <v>Applaws</v>
      </c>
      <c r="B56" s="132">
        <f>'Arrived Shipments'!M57</f>
        <v>45378</v>
      </c>
      <c r="C56" s="139">
        <f>'Arrived Shipments'!R57</f>
        <v>45399</v>
      </c>
      <c r="D56" s="133">
        <f>'Arrived Shipments'!S57</f>
        <v>21</v>
      </c>
      <c r="F56" s="133">
        <f t="shared" si="5"/>
        <v>0</v>
      </c>
    </row>
    <row r="57">
      <c r="A57" s="132"/>
      <c r="B57" s="132" t="str">
        <f>'Arrived Shipments'!M58</f>
        <v/>
      </c>
      <c r="C57" s="133" t="str">
        <f>'Arrived Shipments'!R58</f>
        <v/>
      </c>
      <c r="D57" s="133" t="str">
        <f>'Arrived Shipments'!S58</f>
        <v/>
      </c>
      <c r="F57" s="133">
        <f t="shared" si="5"/>
        <v>0</v>
      </c>
    </row>
    <row r="58">
      <c r="A58" s="132"/>
      <c r="B58" s="132" t="str">
        <f>'Arrived Shipments'!M59</f>
        <v/>
      </c>
      <c r="C58" s="133" t="str">
        <f>'Arrived Shipments'!R59</f>
        <v/>
      </c>
      <c r="D58" s="133" t="str">
        <f>'Arrived Shipments'!S59</f>
        <v/>
      </c>
      <c r="F58" s="133">
        <f t="shared" si="5"/>
        <v>0</v>
      </c>
    </row>
    <row r="59">
      <c r="A59" s="132" t="str">
        <f>'Arrived Shipments'!F60</f>
        <v>Butchers</v>
      </c>
      <c r="B59" s="132">
        <f>'Arrived Shipments'!M60</f>
        <v>45398</v>
      </c>
      <c r="C59" s="139">
        <f>'Arrived Shipments'!R60</f>
        <v>45411</v>
      </c>
      <c r="D59" s="133">
        <f>'Arrived Shipments'!S60</f>
        <v>13</v>
      </c>
      <c r="F59" s="133">
        <f t="shared" si="5"/>
        <v>0</v>
      </c>
    </row>
    <row r="60">
      <c r="A60" s="132"/>
      <c r="B60" s="132" t="str">
        <f>'Arrived Shipments'!M61</f>
        <v/>
      </c>
      <c r="C60" s="133" t="str">
        <f>'Arrived Shipments'!R61</f>
        <v/>
      </c>
      <c r="D60" s="133" t="str">
        <f>'Arrived Shipments'!S61</f>
        <v/>
      </c>
      <c r="F60" s="133">
        <f t="shared" si="5"/>
        <v>0</v>
      </c>
    </row>
    <row r="61">
      <c r="A61" s="132"/>
      <c r="B61" s="132" t="str">
        <f>'Arrived Shipments'!M62</f>
        <v/>
      </c>
      <c r="C61" s="133" t="str">
        <f>'Arrived Shipments'!R62</f>
        <v/>
      </c>
      <c r="D61" s="133" t="str">
        <f>'Arrived Shipments'!S62</f>
        <v/>
      </c>
      <c r="F61" s="133">
        <f t="shared" si="5"/>
        <v>0</v>
      </c>
    </row>
    <row r="62">
      <c r="A62" s="132" t="str">
        <f>'Arrived Shipments'!F63</f>
        <v>Applaws</v>
      </c>
      <c r="B62" s="132">
        <f>'Arrived Shipments'!M63</f>
        <v>45389</v>
      </c>
      <c r="C62" s="139">
        <f>'Arrived Shipments'!R63</f>
        <v>45399</v>
      </c>
      <c r="D62" s="133">
        <f>'Arrived Shipments'!S63</f>
        <v>10</v>
      </c>
      <c r="F62" s="133">
        <f t="shared" si="5"/>
        <v>0</v>
      </c>
    </row>
    <row r="63">
      <c r="A63" s="132" t="str">
        <f>'Arrived Shipments'!F64</f>
        <v>Schesir </v>
      </c>
      <c r="B63" s="132">
        <f>'Arrived Shipments'!M64</f>
        <v>45397</v>
      </c>
      <c r="C63" s="139">
        <f>'Arrived Shipments'!R64</f>
        <v>45405</v>
      </c>
      <c r="D63" s="133">
        <f>'Arrived Shipments'!S64</f>
        <v>8</v>
      </c>
      <c r="F63" s="133">
        <f t="shared" si="5"/>
        <v>0</v>
      </c>
    </row>
    <row r="64">
      <c r="A64" s="132" t="str">
        <f>'Arrived Shipments'!F65</f>
        <v>Schesir </v>
      </c>
      <c r="B64" s="132">
        <f>'Arrived Shipments'!M65</f>
        <v>45397</v>
      </c>
      <c r="C64" s="139">
        <f>'Arrived Shipments'!R65</f>
        <v>45405</v>
      </c>
      <c r="D64" s="133">
        <f>'Arrived Shipments'!S65</f>
        <v>8</v>
      </c>
      <c r="F64" s="133">
        <f t="shared" si="5"/>
        <v>0</v>
      </c>
    </row>
    <row r="65">
      <c r="A65" s="132" t="str">
        <f>'Arrived Shipments'!F66</f>
        <v>Schesir </v>
      </c>
      <c r="B65" s="132">
        <f>'Arrived Shipments'!M66</f>
        <v>45397</v>
      </c>
      <c r="C65" s="139">
        <f>'Arrived Shipments'!R66</f>
        <v>45405</v>
      </c>
      <c r="D65" s="133">
        <f>'Arrived Shipments'!S66</f>
        <v>8</v>
      </c>
      <c r="F65" s="133">
        <f t="shared" si="5"/>
        <v>0</v>
      </c>
    </row>
    <row r="66">
      <c r="A66" s="132" t="str">
        <f>'Arrived Shipments'!F67</f>
        <v>Schesir </v>
      </c>
      <c r="B66" s="132">
        <f>'Arrived Shipments'!M67</f>
        <v>45397</v>
      </c>
      <c r="C66" s="139">
        <f>'Arrived Shipments'!R67</f>
        <v>45410</v>
      </c>
      <c r="D66" s="133">
        <f>'Arrived Shipments'!S67</f>
        <v>13</v>
      </c>
      <c r="F66" s="133">
        <f t="shared" si="5"/>
        <v>0</v>
      </c>
    </row>
    <row r="67">
      <c r="A67" s="132" t="str">
        <f>'Arrived Shipments'!F68</f>
        <v>Kit Cat</v>
      </c>
      <c r="B67" s="132">
        <f>'Arrived Shipments'!M68</f>
        <v>45397</v>
      </c>
      <c r="C67" s="139">
        <f>'Arrived Shipments'!R68</f>
        <v>45405</v>
      </c>
      <c r="D67" s="133">
        <f>'Arrived Shipments'!S68</f>
        <v>8</v>
      </c>
      <c r="F67" s="133">
        <f t="shared" si="5"/>
        <v>0</v>
      </c>
    </row>
    <row r="68">
      <c r="A68" s="132"/>
      <c r="B68" s="132" t="str">
        <f>'Arrived Shipments'!M69</f>
        <v/>
      </c>
      <c r="C68" s="133" t="str">
        <f>'Arrived Shipments'!R69</f>
        <v/>
      </c>
      <c r="D68" s="133" t="str">
        <f>'Arrived Shipments'!S69</f>
        <v/>
      </c>
      <c r="F68" s="133">
        <f t="shared" si="5"/>
        <v>0</v>
      </c>
    </row>
    <row r="69">
      <c r="A69" s="132" t="str">
        <f>'Arrived Shipments'!F70</f>
        <v>Josera</v>
      </c>
      <c r="B69" s="132">
        <f>'Arrived Shipments'!M70</f>
        <v>45399</v>
      </c>
      <c r="C69" s="139">
        <f>'Arrived Shipments'!R70</f>
        <v>45412</v>
      </c>
      <c r="D69" s="133">
        <f>'Arrived Shipments'!S70</f>
        <v>13</v>
      </c>
      <c r="F69" s="133">
        <f t="shared" si="5"/>
        <v>0</v>
      </c>
    </row>
    <row r="70">
      <c r="A70" s="132" t="str">
        <f>'Arrived Shipments'!F71</f>
        <v>Schesir </v>
      </c>
      <c r="B70" s="132">
        <f>'Arrived Shipments'!M71</f>
        <v>45398</v>
      </c>
      <c r="C70" s="138">
        <f>'Arrived Shipments'!R71</f>
        <v>45483</v>
      </c>
      <c r="D70" s="133">
        <f>'Arrived Shipments'!S71</f>
        <v>85</v>
      </c>
      <c r="F70" s="133">
        <f t="shared" si="5"/>
        <v>0</v>
      </c>
    </row>
    <row r="71">
      <c r="A71" s="132"/>
      <c r="B71" s="132" t="str">
        <f>'Arrived Shipments'!M72</f>
        <v/>
      </c>
      <c r="C71" s="133" t="str">
        <f>'Arrived Shipments'!R72</f>
        <v/>
      </c>
      <c r="D71" s="133" t="str">
        <f>'Arrived Shipments'!S72</f>
        <v/>
      </c>
      <c r="F71" s="133">
        <f t="shared" si="5"/>
        <v>0</v>
      </c>
    </row>
    <row r="72">
      <c r="A72" s="132"/>
      <c r="B72" s="132" t="str">
        <f>'Arrived Shipments'!M73</f>
        <v/>
      </c>
      <c r="C72" s="133" t="str">
        <f>'Arrived Shipments'!R73</f>
        <v/>
      </c>
      <c r="D72" s="133" t="str">
        <f>'Arrived Shipments'!S73</f>
        <v/>
      </c>
      <c r="F72" s="133">
        <f t="shared" si="5"/>
        <v>0</v>
      </c>
    </row>
    <row r="73">
      <c r="A73" s="132"/>
      <c r="B73" s="132" t="str">
        <f>'Arrived Shipments'!M74</f>
        <v/>
      </c>
      <c r="C73" s="133" t="str">
        <f>'Arrived Shipments'!R74</f>
        <v/>
      </c>
      <c r="D73" s="133" t="str">
        <f>'Arrived Shipments'!S74</f>
        <v/>
      </c>
      <c r="F73" s="133">
        <f t="shared" si="5"/>
        <v>0</v>
      </c>
    </row>
    <row r="74">
      <c r="A74" s="132"/>
      <c r="B74" s="132" t="str">
        <f>'Arrived Shipments'!M75</f>
        <v/>
      </c>
      <c r="C74" s="133" t="str">
        <f>'Arrived Shipments'!R75</f>
        <v/>
      </c>
      <c r="D74" s="133" t="str">
        <f>'Arrived Shipments'!S75</f>
        <v/>
      </c>
      <c r="F74" s="133">
        <f t="shared" si="5"/>
        <v>0</v>
      </c>
    </row>
    <row r="75">
      <c r="A75" s="132" t="str">
        <f>'Arrived Shipments'!F76</f>
        <v>Schesir </v>
      </c>
      <c r="B75" s="132">
        <f>'Arrived Shipments'!M76</f>
        <v>45407</v>
      </c>
      <c r="C75" s="139">
        <f>'Arrived Shipments'!R76</f>
        <v>45411</v>
      </c>
      <c r="D75" s="133">
        <f>'Arrived Shipments'!S76</f>
        <v>4</v>
      </c>
      <c r="F75" s="133">
        <f t="shared" si="5"/>
        <v>0</v>
      </c>
    </row>
    <row r="76">
      <c r="A76" s="132" t="str">
        <f>'Arrived Shipments'!F77</f>
        <v>Kit Cat</v>
      </c>
      <c r="B76" s="132">
        <f>'Arrived Shipments'!M77</f>
        <v>45405</v>
      </c>
      <c r="C76" s="139">
        <f>'Arrived Shipments'!R77</f>
        <v>45411</v>
      </c>
      <c r="D76" s="133">
        <f>'Arrived Shipments'!S77</f>
        <v>6</v>
      </c>
      <c r="F76" s="133">
        <f t="shared" si="5"/>
        <v>0</v>
      </c>
    </row>
    <row r="77">
      <c r="A77" s="132" t="str">
        <f>'Arrived Shipments'!F78</f>
        <v>Kit Cat</v>
      </c>
      <c r="B77" s="132">
        <f>'Arrived Shipments'!M78</f>
        <v>45409</v>
      </c>
      <c r="C77" s="138">
        <f>'Arrived Shipments'!R78</f>
        <v>45447</v>
      </c>
      <c r="D77" s="133">
        <f>'Arrived Shipments'!S78</f>
        <v>38</v>
      </c>
      <c r="F77" s="133">
        <f t="shared" si="5"/>
        <v>0</v>
      </c>
    </row>
    <row r="78">
      <c r="A78" s="132" t="str">
        <f>'Arrived Shipments'!F79</f>
        <v>Applaws</v>
      </c>
      <c r="B78" s="132">
        <f>'Arrived Shipments'!M79</f>
        <v>45402</v>
      </c>
      <c r="C78" s="139">
        <f>'Arrived Shipments'!R79</f>
        <v>45405</v>
      </c>
      <c r="D78" s="133">
        <f>'Arrived Shipments'!S79</f>
        <v>3</v>
      </c>
      <c r="F78" s="133">
        <f t="shared" si="5"/>
        <v>0</v>
      </c>
    </row>
    <row r="79">
      <c r="A79" s="132" t="str">
        <f>'Arrived Shipments'!F80</f>
        <v>Dr.Clauder</v>
      </c>
      <c r="B79" s="132">
        <f>'Arrived Shipments'!M80</f>
        <v>45399</v>
      </c>
      <c r="C79" s="138">
        <f>'Arrived Shipments'!R80</f>
        <v>45482</v>
      </c>
      <c r="D79" s="133">
        <f>'Arrived Shipments'!S80</f>
        <v>83</v>
      </c>
      <c r="F79" s="133">
        <f t="shared" si="5"/>
        <v>0</v>
      </c>
    </row>
    <row r="80">
      <c r="A80" s="132" t="str">
        <f>'Arrived Shipments'!F81</f>
        <v>Josera</v>
      </c>
      <c r="B80" s="132">
        <f>'Arrived Shipments'!M81</f>
        <v>45402</v>
      </c>
      <c r="C80" s="138">
        <f>'Arrived Shipments'!R81</f>
        <v>45413</v>
      </c>
      <c r="D80" s="133">
        <f>'Arrived Shipments'!S81</f>
        <v>11</v>
      </c>
      <c r="F80" s="133">
        <f t="shared" si="5"/>
        <v>0</v>
      </c>
    </row>
    <row r="81">
      <c r="A81" s="132" t="str">
        <f>'Arrived Shipments'!F82</f>
        <v>Josera</v>
      </c>
      <c r="B81" s="132">
        <f>'Arrived Shipments'!M82</f>
        <v>45407</v>
      </c>
      <c r="C81" s="138">
        <f>'Arrived Shipments'!R82</f>
        <v>45414</v>
      </c>
      <c r="D81" s="133">
        <f>'Arrived Shipments'!S82</f>
        <v>7</v>
      </c>
      <c r="F81" s="133">
        <f t="shared" si="5"/>
        <v>0</v>
      </c>
    </row>
    <row r="82">
      <c r="A82" s="132" t="str">
        <f>'Arrived Shipments'!F83</f>
        <v>Versele Laga</v>
      </c>
      <c r="B82" s="132">
        <f>'Arrived Shipments'!M83</f>
        <v>45406</v>
      </c>
      <c r="C82" s="138">
        <f>'Arrived Shipments'!R83</f>
        <v>45417</v>
      </c>
      <c r="D82" s="133">
        <f>'Arrived Shipments'!S83</f>
        <v>11</v>
      </c>
      <c r="F82" s="133">
        <f t="shared" si="5"/>
        <v>0</v>
      </c>
    </row>
    <row r="83">
      <c r="A83" s="132" t="str">
        <f>'Arrived Shipments'!F84</f>
        <v>Josera</v>
      </c>
      <c r="B83" s="132">
        <f>'Arrived Shipments'!M84</f>
        <v>45408</v>
      </c>
      <c r="C83" s="138">
        <f>'Arrived Shipments'!R84</f>
        <v>45417</v>
      </c>
      <c r="D83" s="133">
        <f>'Arrived Shipments'!S84</f>
        <v>9</v>
      </c>
      <c r="F83" s="133">
        <f t="shared" si="5"/>
        <v>0</v>
      </c>
    </row>
    <row r="84">
      <c r="A84" s="132" t="str">
        <f>'Arrived Shipments'!F85</f>
        <v>Laroy</v>
      </c>
      <c r="B84" s="132">
        <f>'Arrived Shipments'!M85</f>
        <v>45409</v>
      </c>
      <c r="C84" s="138">
        <f>'Arrived Shipments'!R85</f>
        <v>45414</v>
      </c>
      <c r="D84" s="133">
        <f>'Arrived Shipments'!S85</f>
        <v>5</v>
      </c>
      <c r="F84" s="133">
        <f t="shared" si="5"/>
        <v>0</v>
      </c>
    </row>
    <row r="85">
      <c r="A85" s="132" t="str">
        <f>'Arrived Shipments'!F86</f>
        <v>Laroy</v>
      </c>
      <c r="B85" s="132">
        <f>'Arrived Shipments'!M86</f>
        <v>45409</v>
      </c>
      <c r="C85" s="140">
        <f>'Arrived Shipments'!R86</f>
        <v>45532</v>
      </c>
      <c r="D85" s="133">
        <f>'Arrived Shipments'!S86</f>
        <v>123</v>
      </c>
      <c r="F85" s="133">
        <f t="shared" si="5"/>
        <v>0</v>
      </c>
    </row>
    <row r="86">
      <c r="A86" s="132" t="str">
        <f>'Arrived Shipments'!F87</f>
        <v>Laroy</v>
      </c>
      <c r="B86" s="132">
        <f>'Arrived Shipments'!M87</f>
        <v>45409</v>
      </c>
      <c r="C86" s="138">
        <f>'Arrived Shipments'!R87</f>
        <v>45417</v>
      </c>
      <c r="D86" s="133">
        <f>'Arrived Shipments'!S87</f>
        <v>8</v>
      </c>
      <c r="F86" s="133">
        <f t="shared" si="5"/>
        <v>0</v>
      </c>
    </row>
    <row r="87">
      <c r="A87" s="132" t="str">
        <f>'Arrived Shipments'!F88</f>
        <v>Laviosa</v>
      </c>
      <c r="B87" s="132">
        <f>'Arrived Shipments'!M88</f>
        <v>45414</v>
      </c>
      <c r="C87" s="138">
        <f>'Arrived Shipments'!R88</f>
        <v>45420</v>
      </c>
      <c r="D87" s="133">
        <f>'Arrived Shipments'!S88</f>
        <v>6</v>
      </c>
      <c r="F87" s="133">
        <f t="shared" si="5"/>
        <v>0</v>
      </c>
    </row>
    <row r="88">
      <c r="A88" s="132" t="str">
        <f>'Arrived Shipments'!F89</f>
        <v>Laviosa</v>
      </c>
      <c r="B88" s="132">
        <f>'Arrived Shipments'!M89</f>
        <v>45416</v>
      </c>
      <c r="C88" s="138">
        <f>'Arrived Shipments'!R89</f>
        <v>45420</v>
      </c>
      <c r="D88" s="133">
        <f>'Arrived Shipments'!S89</f>
        <v>4</v>
      </c>
      <c r="F88" s="133">
        <f t="shared" si="5"/>
        <v>0</v>
      </c>
    </row>
    <row r="89">
      <c r="A89" s="132" t="str">
        <f>'Arrived Shipments'!F90</f>
        <v>Beaphar</v>
      </c>
      <c r="B89" s="132">
        <f>'Arrived Shipments'!M90</f>
        <v>45410</v>
      </c>
      <c r="C89" s="138">
        <f>'Arrived Shipments'!R90</f>
        <v>45483</v>
      </c>
      <c r="D89" s="133">
        <f>'Arrived Shipments'!S90</f>
        <v>73</v>
      </c>
    </row>
    <row r="90">
      <c r="A90" s="132" t="str">
        <f>'Arrived Shipments'!F91</f>
        <v>Butchers</v>
      </c>
      <c r="B90" s="132">
        <f>'Arrived Shipments'!M91</f>
        <v>45423</v>
      </c>
      <c r="C90" s="139">
        <f>'Arrived Shipments'!R91</f>
        <v>45456</v>
      </c>
      <c r="D90" s="133">
        <f>'Arrived Shipments'!S91</f>
        <v>33</v>
      </c>
    </row>
    <row r="91">
      <c r="A91" s="132" t="str">
        <f>'Arrived Shipments'!F92</f>
        <v>Applaws</v>
      </c>
      <c r="B91" s="132">
        <f>'Arrived Shipments'!M92</f>
        <v>45413</v>
      </c>
      <c r="C91" s="138">
        <f>'Arrived Shipments'!R92</f>
        <v>45417</v>
      </c>
      <c r="D91" s="133">
        <f>'Arrived Shipments'!S92</f>
        <v>4</v>
      </c>
    </row>
    <row r="92">
      <c r="A92" s="132" t="str">
        <f>'Arrived Shipments'!F93</f>
        <v>Codico</v>
      </c>
      <c r="B92" s="132">
        <f>'Arrived Shipments'!M93</f>
        <v>45421</v>
      </c>
      <c r="C92" s="139">
        <f>'Arrived Shipments'!R93</f>
        <v>45498</v>
      </c>
      <c r="D92" s="133">
        <f>'Arrived Shipments'!S93</f>
        <v>77</v>
      </c>
    </row>
    <row r="93">
      <c r="A93" s="132" t="str">
        <f>'Arrived Shipments'!F94</f>
        <v>Inner Mongolia </v>
      </c>
      <c r="B93" s="132">
        <f>'Arrived Shipments'!M94</f>
        <v>45420</v>
      </c>
      <c r="C93" s="139">
        <f>'Arrived Shipments'!R94</f>
        <v>45431</v>
      </c>
      <c r="D93" s="133">
        <f>'Arrived Shipments'!S94</f>
        <v>11</v>
      </c>
    </row>
    <row r="94">
      <c r="A94" s="132" t="str">
        <f>'Arrived Shipments'!F95</f>
        <v>Inner Mongolia </v>
      </c>
      <c r="B94" s="132">
        <f>'Arrived Shipments'!M95</f>
        <v>45426</v>
      </c>
      <c r="C94" s="139">
        <f>'Arrived Shipments'!R95</f>
        <v>45431</v>
      </c>
      <c r="D94" s="133">
        <f>'Arrived Shipments'!S95</f>
        <v>5</v>
      </c>
    </row>
    <row r="95">
      <c r="A95" s="132" t="str">
        <f>'Arrived Shipments'!F96</f>
        <v>Josera</v>
      </c>
      <c r="B95" s="132">
        <f>'Arrived Shipments'!M96</f>
        <v>45416</v>
      </c>
      <c r="C95" s="138">
        <f>'Arrived Shipments'!R96</f>
        <v>45417</v>
      </c>
      <c r="D95" s="133">
        <f>'Arrived Shipments'!S96</f>
        <v>1</v>
      </c>
    </row>
    <row r="96">
      <c r="A96" s="132" t="str">
        <f>'Arrived Shipments'!F97</f>
        <v>Laroy</v>
      </c>
      <c r="B96" s="132">
        <f>'Arrived Shipments'!M97</f>
        <v>45420</v>
      </c>
      <c r="C96" s="139">
        <f>'Arrived Shipments'!R97</f>
        <v>45426</v>
      </c>
      <c r="D96" s="133">
        <f>'Arrived Shipments'!S97</f>
        <v>6</v>
      </c>
    </row>
    <row r="97">
      <c r="A97" s="132" t="str">
        <f>'Arrived Shipments'!F98</f>
        <v>Applaws</v>
      </c>
      <c r="B97" s="132">
        <f>'Arrived Shipments'!M98</f>
        <v>45426</v>
      </c>
      <c r="C97" s="139">
        <f>'Arrived Shipments'!R98</f>
        <v>45428</v>
      </c>
      <c r="D97" s="133">
        <f>'Arrived Shipments'!S98</f>
        <v>2</v>
      </c>
    </row>
    <row r="98">
      <c r="A98" s="132" t="str">
        <f>'Arrived Shipments'!F99</f>
        <v>Butchers</v>
      </c>
      <c r="B98" s="132">
        <f>'Arrived Shipments'!M99</f>
        <v>45431</v>
      </c>
      <c r="C98" s="139">
        <f>'Arrived Shipments'!R99</f>
        <v>45456</v>
      </c>
      <c r="D98" s="133">
        <f>'Arrived Shipments'!S99</f>
        <v>25</v>
      </c>
    </row>
    <row r="99">
      <c r="A99" s="132" t="str">
        <f>'Arrived Shipments'!F100</f>
        <v>Applaws</v>
      </c>
      <c r="B99" s="132">
        <f>'Arrived Shipments'!M100</f>
        <v>45432</v>
      </c>
      <c r="C99" s="138">
        <f>'Arrived Shipments'!R100</f>
        <v>45445</v>
      </c>
      <c r="D99" s="133">
        <f>'Arrived Shipments'!S100</f>
        <v>13</v>
      </c>
    </row>
    <row r="100">
      <c r="A100" s="132" t="str">
        <f>'Arrived Shipments'!F101</f>
        <v>Dr.Clauder</v>
      </c>
      <c r="B100" s="132">
        <f>'Arrived Shipments'!M101</f>
        <v>45437</v>
      </c>
      <c r="C100" s="138">
        <f>'Arrived Shipments'!R101</f>
        <v>45476</v>
      </c>
      <c r="D100" s="133">
        <f>'Arrived Shipments'!S101</f>
        <v>39</v>
      </c>
    </row>
    <row r="101">
      <c r="A101" s="132" t="str">
        <f>'Arrived Shipments'!F102</f>
        <v>Laroy</v>
      </c>
      <c r="B101" s="132">
        <f>'Arrived Shipments'!M102</f>
        <v>45438</v>
      </c>
      <c r="C101" s="138">
        <f>'Arrived Shipments'!R102</f>
        <v>45449</v>
      </c>
      <c r="D101" s="133">
        <f>'Arrived Shipments'!S102</f>
        <v>11</v>
      </c>
    </row>
    <row r="102">
      <c r="A102" s="132" t="str">
        <f>'Arrived Shipments'!F103</f>
        <v>Biosand</v>
      </c>
      <c r="B102" s="132">
        <f>'Arrived Shipments'!M103</f>
        <v>45435</v>
      </c>
      <c r="C102" s="139">
        <f>'Arrived Shipments'!R103</f>
        <v>45439</v>
      </c>
      <c r="D102" s="133">
        <f>'Arrived Shipments'!S103</f>
        <v>4</v>
      </c>
    </row>
    <row r="103">
      <c r="A103" s="132" t="str">
        <f>'Arrived Shipments'!F104</f>
        <v>Zolux</v>
      </c>
      <c r="B103" s="132">
        <f>'Arrived Shipments'!M104</f>
        <v>45446</v>
      </c>
      <c r="C103" s="138">
        <f>'Arrived Shipments'!R104</f>
        <v>45448</v>
      </c>
      <c r="D103" s="133">
        <f>'Arrived Shipments'!S104</f>
        <v>2</v>
      </c>
    </row>
    <row r="104">
      <c r="A104" s="132" t="str">
        <f>'Arrived Shipments'!F105</f>
        <v>Sanal</v>
      </c>
      <c r="B104" s="132">
        <f>'Arrived Shipments'!M105</f>
        <v>45440</v>
      </c>
      <c r="C104" s="138">
        <f>'Arrived Shipments'!R105</f>
        <v>45455</v>
      </c>
      <c r="D104" s="133">
        <f>'Arrived Shipments'!S105</f>
        <v>15</v>
      </c>
    </row>
    <row r="105">
      <c r="A105" s="132" t="str">
        <f>'Arrived Shipments'!F106</f>
        <v>Kit Cat</v>
      </c>
      <c r="B105" s="132">
        <f>'Arrived Shipments'!M106</f>
        <v>45446</v>
      </c>
      <c r="C105" s="139">
        <f>'Arrived Shipments'!R106</f>
        <v>45468</v>
      </c>
      <c r="D105" s="133">
        <f>'Arrived Shipments'!S106</f>
        <v>22</v>
      </c>
    </row>
    <row r="106">
      <c r="A106" s="132" t="str">
        <f>'Arrived Shipments'!F107</f>
        <v>Laroy</v>
      </c>
      <c r="B106" s="132">
        <f>'Arrived Shipments'!M107</f>
        <v>45446</v>
      </c>
      <c r="C106" s="140">
        <f>'Arrived Shipments'!R107</f>
        <v>45479</v>
      </c>
      <c r="D106" s="133">
        <f>'Arrived Shipments'!S107</f>
        <v>33</v>
      </c>
    </row>
    <row r="107">
      <c r="A107" s="132" t="str">
        <f>'Arrived Shipments'!F108</f>
        <v>Zolux</v>
      </c>
      <c r="B107" s="132">
        <f>'Arrived Shipments'!M108</f>
        <v>45451</v>
      </c>
      <c r="C107" s="139">
        <f>'Arrived Shipments'!R108</f>
        <v>45465</v>
      </c>
      <c r="D107" s="133">
        <f>'Arrived Shipments'!S108</f>
        <v>14</v>
      </c>
    </row>
    <row r="108">
      <c r="A108" s="132" t="str">
        <f>'Arrived Shipments'!F109</f>
        <v>INABA</v>
      </c>
      <c r="B108" s="132">
        <f>'Arrived Shipments'!M109</f>
        <v>45458</v>
      </c>
      <c r="C108" s="139">
        <f>'Arrived Shipments'!R109</f>
        <v>45470</v>
      </c>
      <c r="D108" s="133">
        <f>'Arrived Shipments'!S109</f>
        <v>12</v>
      </c>
    </row>
    <row r="109">
      <c r="A109" s="132" t="str">
        <f>'Arrived Shipments'!F110</f>
        <v>HEALTH &amp; HAPPINESS</v>
      </c>
      <c r="B109" s="132">
        <f>'Arrived Shipments'!M110</f>
        <v>45451</v>
      </c>
      <c r="C109" s="140">
        <f>'Arrived Shipments'!R110</f>
        <v>45516</v>
      </c>
      <c r="D109" s="133">
        <f>'Arrived Shipments'!S110</f>
        <v>65</v>
      </c>
    </row>
    <row r="110">
      <c r="A110" s="132" t="str">
        <f>'Arrived Shipments'!F111</f>
        <v>Codico</v>
      </c>
      <c r="B110" s="132">
        <f>'Arrived Shipments'!M111</f>
        <v>45449</v>
      </c>
      <c r="C110" s="139">
        <f>'Arrived Shipments'!R111</f>
        <v>45498</v>
      </c>
      <c r="D110" s="133">
        <f>'Arrived Shipments'!S111</f>
        <v>49</v>
      </c>
    </row>
    <row r="111">
      <c r="A111" s="132" t="str">
        <f>'Arrived Shipments'!F112</f>
        <v>Dubex</v>
      </c>
      <c r="B111" s="132">
        <f>'Arrived Shipments'!M112</f>
        <v>45453</v>
      </c>
      <c r="C111" s="139">
        <f>'Arrived Shipments'!R112</f>
        <v>45488</v>
      </c>
      <c r="D111" s="133">
        <f>'Arrived Shipments'!S112</f>
        <v>35</v>
      </c>
    </row>
    <row r="112">
      <c r="A112" s="132" t="str">
        <f>'Arrived Shipments'!F113</f>
        <v>Sanal</v>
      </c>
      <c r="B112" s="132">
        <f>'Arrived Shipments'!M113</f>
        <v>45463</v>
      </c>
      <c r="C112" s="139">
        <f>'Arrived Shipments'!R113</f>
        <v>45497</v>
      </c>
      <c r="D112" s="133">
        <f>'Arrived Shipments'!S113</f>
        <v>34</v>
      </c>
    </row>
    <row r="113">
      <c r="A113" s="132" t="str">
        <f>'Arrived Shipments'!F114</f>
        <v>Schesir </v>
      </c>
      <c r="B113" s="132">
        <f>'Arrived Shipments'!M114</f>
        <v>45465</v>
      </c>
      <c r="C113" s="139">
        <f>'Arrived Shipments'!R114</f>
        <v>45488</v>
      </c>
      <c r="D113" s="133">
        <f>'Arrived Shipments'!S114</f>
        <v>23</v>
      </c>
    </row>
    <row r="114">
      <c r="A114" s="132" t="str">
        <f>'Arrived Shipments'!F115</f>
        <v>Kit Cat</v>
      </c>
      <c r="B114" s="132">
        <f>'Arrived Shipments'!M115</f>
        <v>45470</v>
      </c>
      <c r="C114" s="139">
        <f>'Arrived Shipments'!R115</f>
        <v>45488</v>
      </c>
      <c r="D114" s="133">
        <f>'Arrived Shipments'!S115</f>
        <v>18</v>
      </c>
    </row>
    <row r="115">
      <c r="A115" s="132" t="str">
        <f>'Arrived Shipments'!F116</f>
        <v>Laviosa</v>
      </c>
      <c r="B115" s="132">
        <f>'Arrived Shipments'!M116</f>
        <v>45479</v>
      </c>
      <c r="C115" s="139">
        <f>'Arrived Shipments'!R116</f>
        <v>45502</v>
      </c>
      <c r="D115" s="133">
        <f>'Arrived Shipments'!S116</f>
        <v>23</v>
      </c>
    </row>
    <row r="116">
      <c r="A116" s="132" t="str">
        <f>'Arrived Shipments'!F117</f>
        <v>Codico</v>
      </c>
      <c r="B116" s="132">
        <f>'Arrived Shipments'!M117</f>
        <v>45467</v>
      </c>
      <c r="C116" s="139">
        <f>'Arrived Shipments'!R117</f>
        <v>45498</v>
      </c>
      <c r="D116" s="133">
        <f>'Arrived Shipments'!S117</f>
        <v>31</v>
      </c>
    </row>
    <row r="117">
      <c r="A117" s="132" t="str">
        <f>'Arrived Shipments'!F118</f>
        <v>Zolux</v>
      </c>
      <c r="B117" s="132">
        <f>'Arrived Shipments'!M118</f>
        <v>45469</v>
      </c>
      <c r="C117" s="139">
        <f>'Arrived Shipments'!R118</f>
        <v>45488</v>
      </c>
      <c r="D117" s="133">
        <f>'Arrived Shipments'!S118</f>
        <v>19</v>
      </c>
    </row>
    <row r="118">
      <c r="A118" s="132" t="str">
        <f>'Arrived Shipments'!F119</f>
        <v>Kit Cat</v>
      </c>
      <c r="B118" s="132">
        <f>'Arrived Shipments'!M119</f>
        <v>45470</v>
      </c>
      <c r="C118" s="139">
        <f>'Arrived Shipments'!R119</f>
        <v>45488</v>
      </c>
      <c r="D118" s="133">
        <f>'Arrived Shipments'!S119</f>
        <v>18</v>
      </c>
    </row>
    <row r="119">
      <c r="A119" s="132" t="str">
        <f>'Arrived Shipments'!F120</f>
        <v>Princess</v>
      </c>
      <c r="B119" s="132">
        <f>'Arrived Shipments'!M120</f>
        <v>45472</v>
      </c>
      <c r="C119" s="139">
        <f>'Arrived Shipments'!R120</f>
        <v>45496</v>
      </c>
      <c r="D119" s="133">
        <f>'Arrived Shipments'!S120</f>
        <v>24</v>
      </c>
    </row>
    <row r="120">
      <c r="A120" s="132" t="str">
        <f>'Arrived Shipments'!F121</f>
        <v>Butchers</v>
      </c>
      <c r="B120" s="132">
        <f>'Arrived Shipments'!M121</f>
        <v>45472</v>
      </c>
      <c r="C120" s="139">
        <f>'Arrived Shipments'!R121</f>
        <v>45496</v>
      </c>
      <c r="D120" s="133">
        <f>'Arrived Shipments'!S121</f>
        <v>24</v>
      </c>
    </row>
    <row r="121">
      <c r="A121" s="132" t="str">
        <f>'Arrived Shipments'!F122</f>
        <v>Dubex</v>
      </c>
      <c r="B121" s="132">
        <f>'Arrived Shipments'!M122</f>
        <v>45396</v>
      </c>
      <c r="C121" s="139">
        <f>'Arrived Shipments'!R122</f>
        <v>45400</v>
      </c>
      <c r="D121" s="133">
        <f>'Arrived Shipments'!S122</f>
        <v>4</v>
      </c>
    </row>
    <row r="122">
      <c r="A122" s="132" t="str">
        <f>'Arrived Shipments'!F123</f>
        <v>Laroy</v>
      </c>
      <c r="B122" s="132">
        <f>'Arrived Shipments'!M123</f>
        <v>45493</v>
      </c>
      <c r="C122" s="140">
        <f>'Arrived Shipments'!R123</f>
        <v>45532</v>
      </c>
      <c r="D122" s="133">
        <f>'Arrived Shipments'!S123</f>
        <v>39</v>
      </c>
    </row>
    <row r="123">
      <c r="A123" s="132" t="str">
        <f>'Arrived Shipments'!F124</f>
        <v>Laroy</v>
      </c>
      <c r="B123" s="132">
        <f>'Arrived Shipments'!M124</f>
        <v>45476</v>
      </c>
      <c r="C123" s="140">
        <f>'Arrived Shipments'!R124</f>
        <v>45531</v>
      </c>
      <c r="D123" s="133">
        <f>'Arrived Shipments'!S124</f>
        <v>55</v>
      </c>
    </row>
    <row r="124">
      <c r="A124" s="132" t="str">
        <f>'Arrived Shipments'!F125</f>
        <v>Josera</v>
      </c>
      <c r="B124" s="132">
        <f>'Arrived Shipments'!M125</f>
        <v>45477</v>
      </c>
      <c r="C124" s="139">
        <f>'Arrived Shipments'!R125</f>
        <v>45488</v>
      </c>
      <c r="D124" s="133">
        <f>'Arrived Shipments'!S125</f>
        <v>11</v>
      </c>
    </row>
    <row r="125">
      <c r="A125" s="132" t="str">
        <f>'Arrived Shipments'!F126</f>
        <v>Versele Laga</v>
      </c>
      <c r="B125" s="132">
        <f>'Arrived Shipments'!M126</f>
        <v>45488</v>
      </c>
      <c r="C125" s="139">
        <f>'Arrived Shipments'!R126</f>
        <v>45497</v>
      </c>
      <c r="D125" s="133">
        <f>'Arrived Shipments'!S126</f>
        <v>9</v>
      </c>
    </row>
    <row r="126">
      <c r="A126" s="132" t="str">
        <f>'Arrived Shipments'!F127</f>
        <v>Kit Cat</v>
      </c>
      <c r="B126" s="132">
        <f>'Arrived Shipments'!M127</f>
        <v>45494</v>
      </c>
      <c r="C126" s="140">
        <f>'Arrived Shipments'!R127</f>
        <v>45514</v>
      </c>
      <c r="D126" s="133">
        <f>'Arrived Shipments'!S127</f>
        <v>20</v>
      </c>
    </row>
    <row r="127">
      <c r="A127" s="132" t="str">
        <f>'Arrived Shipments'!F128</f>
        <v>MPS</v>
      </c>
      <c r="B127" s="132">
        <f>'Arrived Shipments'!M128</f>
        <v>45486</v>
      </c>
      <c r="C127" s="140">
        <f>'Arrived Shipments'!R128</f>
        <v>45509</v>
      </c>
      <c r="D127" s="133">
        <f>'Arrived Shipments'!S128</f>
        <v>23</v>
      </c>
    </row>
    <row r="128">
      <c r="A128" s="132" t="str">
        <f>'Arrived Shipments'!F129</f>
        <v>Kit Cat</v>
      </c>
      <c r="B128" s="132">
        <f>'Arrived Shipments'!M129</f>
        <v>45484</v>
      </c>
      <c r="C128" s="139">
        <f>'Arrived Shipments'!R129</f>
        <v>45496</v>
      </c>
      <c r="D128" s="133">
        <f>'Arrived Shipments'!S129</f>
        <v>12</v>
      </c>
    </row>
    <row r="129">
      <c r="A129" s="132" t="str">
        <f>'Arrived Shipments'!F130</f>
        <v>Kit Cat</v>
      </c>
      <c r="B129" s="132">
        <f>'Arrived Shipments'!M130</f>
        <v>45487</v>
      </c>
      <c r="C129" s="139">
        <f>'Arrived Shipments'!R130</f>
        <v>45496</v>
      </c>
      <c r="D129" s="133">
        <f>'Arrived Shipments'!S130</f>
        <v>9</v>
      </c>
    </row>
    <row r="130">
      <c r="A130" s="132" t="str">
        <f>'Arrived Shipments'!F131</f>
        <v>Laroy</v>
      </c>
      <c r="B130" s="132">
        <f>'Arrived Shipments'!M131</f>
        <v>45490</v>
      </c>
      <c r="C130" s="140">
        <f>'Arrived Shipments'!R131</f>
        <v>45496</v>
      </c>
      <c r="D130" s="133">
        <f>'Arrived Shipments'!S131</f>
        <v>6</v>
      </c>
    </row>
    <row r="131">
      <c r="A131" s="132" t="str">
        <f>'Arrived Shipments'!F132</f>
        <v>Josera</v>
      </c>
      <c r="B131" s="132">
        <f>'Arrived Shipments'!M132</f>
        <v>45491</v>
      </c>
      <c r="C131" s="139">
        <f>'Arrived Shipments'!R132</f>
        <v>45497</v>
      </c>
      <c r="D131" s="133">
        <f>'Arrived Shipments'!S132</f>
        <v>6</v>
      </c>
    </row>
    <row r="132">
      <c r="A132" s="132" t="str">
        <f>'Arrived Shipments'!F133</f>
        <v>Josera</v>
      </c>
      <c r="B132" s="132">
        <f>'Arrived Shipments'!M133</f>
        <v>45498</v>
      </c>
      <c r="C132" s="138">
        <f>'Arrived Shipments'!R133</f>
        <v>45509</v>
      </c>
      <c r="D132" s="133">
        <f>'Arrived Shipments'!S133</f>
        <v>11</v>
      </c>
    </row>
    <row r="133">
      <c r="A133" s="132" t="str">
        <f>'Arrived Shipments'!F134</f>
        <v>Schesir </v>
      </c>
      <c r="B133" s="132">
        <f>'Arrived Shipments'!M134</f>
        <v>45495</v>
      </c>
      <c r="C133" s="138">
        <f>'Arrived Shipments'!R134</f>
        <v>45510</v>
      </c>
      <c r="D133" s="133">
        <f>'Arrived Shipments'!S134</f>
        <v>15</v>
      </c>
    </row>
    <row r="134">
      <c r="A134" s="132" t="str">
        <f>'Arrived Shipments'!F135</f>
        <v>Kit Cat</v>
      </c>
      <c r="B134" s="132">
        <f>'Arrived Shipments'!M135</f>
        <v>45507</v>
      </c>
      <c r="C134" s="138">
        <f>'Arrived Shipments'!R135</f>
        <v>45512</v>
      </c>
      <c r="D134" s="133">
        <f>'Arrived Shipments'!S135</f>
        <v>5</v>
      </c>
    </row>
    <row r="135">
      <c r="A135" s="132" t="str">
        <f>'Arrived Shipments'!F136</f>
        <v>Kit Cat</v>
      </c>
      <c r="B135" s="132">
        <f>'Arrived Shipments'!M136</f>
        <v>45508</v>
      </c>
      <c r="C135" s="138">
        <f>'Arrived Shipments'!R136</f>
        <v>45511</v>
      </c>
      <c r="D135" s="133">
        <f>'Arrived Shipments'!S136</f>
        <v>3</v>
      </c>
    </row>
    <row r="136">
      <c r="A136" s="132" t="str">
        <f>'Arrived Shipments'!F137</f>
        <v>Kit Cat</v>
      </c>
      <c r="B136" s="132">
        <f>'Arrived Shipments'!M137</f>
        <v>45500</v>
      </c>
      <c r="C136" s="138">
        <f>'Arrived Shipments'!R137</f>
        <v>45510</v>
      </c>
      <c r="D136" s="133">
        <f>'Arrived Shipments'!S137</f>
        <v>10</v>
      </c>
    </row>
    <row r="137">
      <c r="A137" s="132" t="str">
        <f>'Arrived Shipments'!F138</f>
        <v>Josera</v>
      </c>
      <c r="B137" s="132">
        <f>'Arrived Shipments'!M138</f>
        <v>45503</v>
      </c>
      <c r="C137" s="138">
        <f>'Arrived Shipments'!R138</f>
        <v>45509</v>
      </c>
      <c r="D137" s="133">
        <f>'Arrived Shipments'!S138</f>
        <v>6</v>
      </c>
    </row>
    <row r="138">
      <c r="A138" s="132" t="str">
        <f>'Arrived Shipments'!F139</f>
        <v>Dairy Pet</v>
      </c>
      <c r="B138" s="132">
        <f>'Arrived Shipments'!M139</f>
        <v>45504</v>
      </c>
      <c r="C138" s="140">
        <f>'Arrived Shipments'!R139</f>
        <v>45532</v>
      </c>
      <c r="D138" s="133">
        <f>'Arrived Shipments'!S139</f>
        <v>28</v>
      </c>
    </row>
    <row r="139">
      <c r="A139" s="132" t="str">
        <f>'Arrived Shipments'!F140</f>
        <v>Schesir </v>
      </c>
      <c r="B139" s="132">
        <f>'Arrived Shipments'!M140</f>
        <v>45507</v>
      </c>
      <c r="C139" s="138">
        <f>'Arrived Shipments'!R140</f>
        <v>45514</v>
      </c>
      <c r="D139" s="133">
        <f>'Arrived Shipments'!S140</f>
        <v>7</v>
      </c>
    </row>
    <row r="140">
      <c r="A140" s="132" t="str">
        <f>'Arrived Shipments'!F141</f>
        <v>Kit Cat</v>
      </c>
      <c r="B140" s="132">
        <f>'Arrived Shipments'!M141</f>
        <v>45517</v>
      </c>
      <c r="C140" s="140">
        <f>'Arrived Shipments'!R141</f>
        <v>45526</v>
      </c>
      <c r="D140" s="133">
        <f>'Arrived Shipments'!S141</f>
        <v>9</v>
      </c>
    </row>
    <row r="141">
      <c r="A141" s="132" t="str">
        <f>'Arrived Shipments'!F142</f>
        <v>Laroy</v>
      </c>
      <c r="B141" s="132">
        <f>'Arrived Shipments'!M142</f>
        <v>45504</v>
      </c>
      <c r="C141" s="140">
        <f>'Arrived Shipments'!R142</f>
        <v>45531</v>
      </c>
      <c r="D141" s="133">
        <f>'Arrived Shipments'!S142</f>
        <v>27</v>
      </c>
    </row>
    <row r="142">
      <c r="A142" s="132" t="str">
        <f>'Arrived Shipments'!F143</f>
        <v>zupreem</v>
      </c>
      <c r="B142" s="132">
        <f>'Arrived Shipments'!M143</f>
        <v>45507</v>
      </c>
      <c r="C142" s="138">
        <f>'Arrived Shipments'!R143</f>
        <v>45515</v>
      </c>
      <c r="D142" s="133">
        <f>'Arrived Shipments'!S143</f>
        <v>8</v>
      </c>
    </row>
    <row r="143">
      <c r="A143" s="132" t="str">
        <f>'Arrived Shipments'!F144</f>
        <v>Zolux</v>
      </c>
      <c r="B143" s="132">
        <f>'Arrived Shipments'!M144</f>
        <v>45514</v>
      </c>
      <c r="C143" s="140">
        <f>'Arrived Shipments'!R144</f>
        <v>45532</v>
      </c>
      <c r="D143" s="133">
        <f>'Arrived Shipments'!S144</f>
        <v>18</v>
      </c>
    </row>
    <row r="144">
      <c r="A144" s="132" t="str">
        <f>'Arrived Shipments'!F145</f>
        <v>Versele Laga</v>
      </c>
      <c r="B144" s="132">
        <f>'Arrived Shipments'!M145</f>
        <v>45511</v>
      </c>
      <c r="C144" s="140">
        <f>'Arrived Shipments'!R145</f>
        <v>45525</v>
      </c>
      <c r="D144" s="133">
        <f>'Arrived Shipments'!S145</f>
        <v>14</v>
      </c>
    </row>
    <row r="145">
      <c r="A145" s="132" t="str">
        <f>'Arrived Shipments'!F146</f>
        <v>Laroy</v>
      </c>
      <c r="B145" s="132">
        <f>'Arrived Shipments'!M146</f>
        <v>45544</v>
      </c>
      <c r="C145" s="140">
        <f>'Arrived Shipments'!R146</f>
        <v>45587</v>
      </c>
      <c r="D145" s="133">
        <f>'Arrived Shipments'!S146</f>
        <v>43</v>
      </c>
    </row>
    <row r="146">
      <c r="A146" s="132" t="str">
        <f>'Arrived Shipments'!F147</f>
        <v>Schesir </v>
      </c>
      <c r="B146" s="132">
        <f>'Arrived Shipments'!M147</f>
        <v>45522</v>
      </c>
      <c r="C146" s="139">
        <f>'Arrived Shipments'!R147</f>
        <v>45538</v>
      </c>
      <c r="D146" s="133">
        <f>'Arrived Shipments'!S147</f>
        <v>16</v>
      </c>
    </row>
    <row r="147">
      <c r="A147" s="132" t="str">
        <f>'Arrived Shipments'!F148</f>
        <v>Applaws</v>
      </c>
      <c r="B147" s="132">
        <f>'Arrived Shipments'!M148</f>
        <v>45522</v>
      </c>
      <c r="C147" s="140">
        <f>'Arrived Shipments'!R148</f>
        <v>45533</v>
      </c>
      <c r="D147" s="133">
        <f>'Arrived Shipments'!S148</f>
        <v>11</v>
      </c>
    </row>
    <row r="148">
      <c r="A148" s="132" t="str">
        <f>'Arrived Shipments'!F149</f>
        <v>Schesir </v>
      </c>
      <c r="B148" s="132">
        <f>'Arrived Shipments'!M149</f>
        <v>45524</v>
      </c>
      <c r="C148" s="140">
        <f>'Arrived Shipments'!R149</f>
        <v>45538</v>
      </c>
      <c r="D148" s="133">
        <f>'Arrived Shipments'!S149</f>
        <v>14</v>
      </c>
    </row>
    <row r="149">
      <c r="A149" s="132" t="str">
        <f>'Arrived Shipments'!F150</f>
        <v>Applaws</v>
      </c>
      <c r="B149" s="132">
        <f>'Arrived Shipments'!M150</f>
        <v>45522</v>
      </c>
      <c r="C149" s="140">
        <f>'Arrived Shipments'!R150</f>
        <v>45531</v>
      </c>
      <c r="D149" s="133">
        <f>'Arrived Shipments'!S150</f>
        <v>9</v>
      </c>
    </row>
    <row r="150">
      <c r="A150" s="132" t="str">
        <f>'Arrived Shipments'!F151</f>
        <v>MPS</v>
      </c>
      <c r="B150" s="132">
        <f>'Arrived Shipments'!M151</f>
        <v>45517</v>
      </c>
      <c r="C150" s="140">
        <f>'Arrived Shipments'!R151</f>
        <v>45577</v>
      </c>
      <c r="D150" s="133">
        <f>'Arrived Shipments'!S151</f>
        <v>60</v>
      </c>
    </row>
    <row r="151">
      <c r="A151" s="132" t="str">
        <f>'Arrived Shipments'!F152</f>
        <v>MPB</v>
      </c>
      <c r="B151" s="132">
        <f>'Arrived Shipments'!M152</f>
        <v>45523</v>
      </c>
      <c r="C151" s="140">
        <f>'Arrived Shipments'!R152</f>
        <v>45600</v>
      </c>
      <c r="D151" s="133">
        <f>'Arrived Shipments'!S152</f>
        <v>77</v>
      </c>
    </row>
    <row r="152">
      <c r="A152" s="132" t="str">
        <f>'Arrived Shipments'!F153</f>
        <v>MyFamily</v>
      </c>
      <c r="B152" s="132">
        <f>'Arrived Shipments'!M153</f>
        <v>45523</v>
      </c>
      <c r="C152" s="140">
        <f>'Arrived Shipments'!R153</f>
        <v>45573</v>
      </c>
      <c r="D152" s="133">
        <f>'Arrived Shipments'!S153</f>
        <v>50</v>
      </c>
    </row>
    <row r="153">
      <c r="A153" s="132" t="str">
        <f>'Arrived Shipments'!F154</f>
        <v>Biosand</v>
      </c>
      <c r="B153" s="132">
        <f>'Arrived Shipments'!M154</f>
        <v>45526</v>
      </c>
      <c r="C153" s="140">
        <f>'Arrived Shipments'!R154</f>
        <v>45532</v>
      </c>
      <c r="D153" s="133">
        <f>'Arrived Shipments'!S154</f>
        <v>6</v>
      </c>
    </row>
    <row r="154">
      <c r="A154" s="132" t="str">
        <f>'Arrived Shipments'!F155</f>
        <v>Kit Cat</v>
      </c>
      <c r="B154" s="132">
        <f>'Arrived Shipments'!M155</f>
        <v>45542</v>
      </c>
      <c r="C154" s="140">
        <f>'Arrived Shipments'!R155</f>
        <v>45564</v>
      </c>
      <c r="D154" s="133">
        <f>'Arrived Shipments'!S155</f>
        <v>22</v>
      </c>
    </row>
    <row r="155">
      <c r="A155" s="132" t="str">
        <f>'Arrived Shipments'!F156</f>
        <v>Laroy</v>
      </c>
      <c r="B155" s="132">
        <f>'Arrived Shipments'!M156</f>
        <v>45526</v>
      </c>
      <c r="C155" s="140">
        <f>'Arrived Shipments'!R156</f>
        <v>45532</v>
      </c>
      <c r="D155" s="133">
        <f>'Arrived Shipments'!S156</f>
        <v>6</v>
      </c>
    </row>
    <row r="156">
      <c r="A156" s="132" t="str">
        <f>'Arrived Shipments'!F157</f>
        <v>Zolux</v>
      </c>
      <c r="B156" s="132">
        <f>'Arrived Shipments'!M157</f>
        <v>45523</v>
      </c>
      <c r="C156" s="140">
        <f>'Arrived Shipments'!R157</f>
        <v>45551</v>
      </c>
      <c r="D156" s="133">
        <f>'Arrived Shipments'!S157</f>
        <v>28</v>
      </c>
    </row>
    <row r="157">
      <c r="A157" s="132" t="str">
        <f>'Arrived Shipments'!F158</f>
        <v>Nasta</v>
      </c>
      <c r="B157" s="132">
        <f>'Arrived Shipments'!M158</f>
        <v>45536</v>
      </c>
      <c r="C157" s="141">
        <f>'Arrived Shipments'!R158</f>
        <v>45552</v>
      </c>
      <c r="D157" s="133">
        <f>'Arrived Shipments'!S158</f>
        <v>16</v>
      </c>
    </row>
    <row r="158">
      <c r="A158" s="132" t="str">
        <f>'Arrived Shipments'!F159</f>
        <v>MPS</v>
      </c>
      <c r="B158" s="132">
        <f>'Arrived Shipments'!M159</f>
        <v>45559</v>
      </c>
      <c r="C158" s="140">
        <f>'Arrived Shipments'!R159</f>
        <v>45608</v>
      </c>
      <c r="D158" s="133">
        <f>'Arrived Shipments'!S159</f>
        <v>49</v>
      </c>
    </row>
    <row r="159">
      <c r="A159" s="132" t="str">
        <f>'Arrived Shipments'!F160</f>
        <v>Dr.Clauder</v>
      </c>
      <c r="B159" s="132">
        <f>'Arrived Shipments'!M160</f>
        <v>45560</v>
      </c>
      <c r="C159" s="140">
        <f>'Arrived Shipments'!R160</f>
        <v>45561</v>
      </c>
      <c r="D159" s="133">
        <f>'Arrived Shipments'!S160</f>
        <v>1</v>
      </c>
    </row>
    <row r="160">
      <c r="A160" s="132" t="str">
        <f>'Arrived Shipments'!F161</f>
        <v>Butchers</v>
      </c>
      <c r="B160" s="132">
        <f>'Arrived Shipments'!M161</f>
        <v>45560</v>
      </c>
      <c r="C160" s="140">
        <f>'Arrived Shipments'!R161</f>
        <v>45567</v>
      </c>
      <c r="D160" s="133">
        <f>'Arrived Shipments'!S161</f>
        <v>7</v>
      </c>
    </row>
    <row r="161">
      <c r="A161" s="132" t="str">
        <f>'Arrived Shipments'!F162</f>
        <v>Applaws</v>
      </c>
      <c r="B161" s="132">
        <f>'Arrived Shipments'!M162</f>
        <v>45564</v>
      </c>
      <c r="C161" s="140">
        <f>'Arrived Shipments'!R162</f>
        <v>45565</v>
      </c>
      <c r="D161" s="133">
        <f>'Arrived Shipments'!S162</f>
        <v>1</v>
      </c>
    </row>
    <row r="162">
      <c r="A162" s="132" t="str">
        <f>'Arrived Shipments'!F163</f>
        <v>Laviosa</v>
      </c>
      <c r="B162" s="132">
        <f>'Arrived Shipments'!M163</f>
        <v>45560</v>
      </c>
      <c r="C162" s="141">
        <f>'Arrived Shipments'!R163</f>
        <v>45577</v>
      </c>
      <c r="D162" s="133">
        <f>'Arrived Shipments'!S163</f>
        <v>17</v>
      </c>
    </row>
    <row r="163">
      <c r="A163" s="132" t="str">
        <f>'Arrived Shipments'!F164</f>
        <v>Kit Cat</v>
      </c>
      <c r="B163" s="132">
        <f>'Arrived Shipments'!M164</f>
        <v>45573</v>
      </c>
      <c r="C163" s="141">
        <f>'Arrived Shipments'!R164</f>
        <v>45577</v>
      </c>
      <c r="D163" s="133">
        <f>'Arrived Shipments'!S164</f>
        <v>4</v>
      </c>
    </row>
    <row r="164">
      <c r="A164" s="132" t="str">
        <f>'Arrived Shipments'!F165</f>
        <v>MPS</v>
      </c>
      <c r="B164" s="132">
        <f>'Arrived Shipments'!M165</f>
        <v>45560</v>
      </c>
      <c r="C164" s="140">
        <f>'Arrived Shipments'!R165</f>
        <v>45607</v>
      </c>
      <c r="D164" s="133">
        <f>'Arrived Shipments'!S165</f>
        <v>47</v>
      </c>
    </row>
    <row r="165">
      <c r="A165" s="132" t="str">
        <f>'Arrived Shipments'!F166</f>
        <v>HEALTH &amp; HAPPINESS</v>
      </c>
      <c r="B165" s="132">
        <f>'Arrived Shipments'!M166</f>
        <v>45549</v>
      </c>
      <c r="C165" s="141">
        <f>'Arrived Shipments'!R166</f>
        <v>45585</v>
      </c>
      <c r="D165" s="133">
        <f>'Arrived Shipments'!S166</f>
        <v>36</v>
      </c>
    </row>
    <row r="166">
      <c r="A166" s="132" t="str">
        <f>'Arrived Shipments'!F167</f>
        <v>Zolux</v>
      </c>
      <c r="B166" s="132">
        <f>'Arrived Shipments'!M167</f>
        <v>45561</v>
      </c>
      <c r="C166" s="140">
        <f>'Arrived Shipments'!R167</f>
        <v>45607</v>
      </c>
      <c r="D166" s="133">
        <f>'Arrived Shipments'!S167</f>
        <v>46</v>
      </c>
    </row>
    <row r="167">
      <c r="A167" s="132" t="str">
        <f>'Arrived Shipments'!F168</f>
        <v>Zolux</v>
      </c>
      <c r="B167" s="132">
        <f>'Arrived Shipments'!M168</f>
        <v>45566</v>
      </c>
      <c r="C167" s="140">
        <f>'Arrived Shipments'!R168</f>
        <v>45582</v>
      </c>
      <c r="D167" s="133">
        <f>'Arrived Shipments'!S168</f>
        <v>16</v>
      </c>
    </row>
    <row r="168">
      <c r="A168" s="132" t="str">
        <f>'Arrived Shipments'!F169</f>
        <v>Applaws</v>
      </c>
      <c r="B168" s="132">
        <f>'Arrived Shipments'!M169</f>
        <v>45556</v>
      </c>
      <c r="C168" s="140">
        <f>'Arrived Shipments'!R169</f>
        <v>45572</v>
      </c>
      <c r="D168" s="133">
        <f>'Arrived Shipments'!S169</f>
        <v>16</v>
      </c>
    </row>
    <row r="169">
      <c r="A169" s="132" t="str">
        <f>'Arrived Shipments'!F170</f>
        <v>Stefanplast</v>
      </c>
      <c r="B169" s="132">
        <f>'Arrived Shipments'!M170</f>
        <v>45573</v>
      </c>
      <c r="C169" s="140">
        <f>'Arrived Shipments'!R170</f>
        <v>45603</v>
      </c>
      <c r="D169" s="133">
        <f>'Arrived Shipments'!S170</f>
        <v>30</v>
      </c>
    </row>
    <row r="170">
      <c r="A170" s="132" t="str">
        <f>'Arrived Shipments'!F171</f>
        <v>Laroy</v>
      </c>
      <c r="B170" s="132">
        <f>'Arrived Shipments'!M171</f>
        <v>45565</v>
      </c>
      <c r="C170" s="140">
        <f>'Arrived Shipments'!R171</f>
        <v>45607</v>
      </c>
      <c r="D170" s="133">
        <f>'Arrived Shipments'!S171</f>
        <v>42</v>
      </c>
    </row>
    <row r="171">
      <c r="A171" s="132" t="str">
        <f>'Arrived Shipments'!F172</f>
        <v>Nestle</v>
      </c>
      <c r="B171" s="132">
        <f>'Arrived Shipments'!M172</f>
        <v>45554</v>
      </c>
      <c r="C171" s="140">
        <f>'Arrived Shipments'!R172</f>
        <v>45593</v>
      </c>
      <c r="D171" s="133">
        <f>'Arrived Shipments'!S172</f>
        <v>39</v>
      </c>
    </row>
    <row r="172">
      <c r="A172" s="132" t="str">
        <f>'Arrived Shipments'!F173</f>
        <v>zupreem</v>
      </c>
      <c r="B172" s="132">
        <f>'Arrived Shipments'!M173</f>
        <v>45570</v>
      </c>
      <c r="C172" s="140">
        <f>'Arrived Shipments'!R173</f>
        <v>45586</v>
      </c>
      <c r="D172" s="133">
        <f>'Arrived Shipments'!S173</f>
        <v>16</v>
      </c>
    </row>
    <row r="173">
      <c r="A173" s="132" t="str">
        <f>'Arrived Shipments'!F174</f>
        <v>zupreem</v>
      </c>
      <c r="B173" s="132">
        <f>'Arrived Shipments'!M174</f>
        <v>45572</v>
      </c>
      <c r="C173" s="140">
        <f>'Arrived Shipments'!R174</f>
        <v>45586</v>
      </c>
      <c r="D173" s="133">
        <f>'Arrived Shipments'!S174</f>
        <v>14</v>
      </c>
    </row>
    <row r="174">
      <c r="A174" s="132" t="str">
        <f>'Arrived Shipments'!F175</f>
        <v>Princess</v>
      </c>
      <c r="B174" s="132">
        <f>'Arrived Shipments'!M175</f>
        <v>45574</v>
      </c>
      <c r="C174" s="140">
        <f>'Arrived Shipments'!R175</f>
        <v>45602</v>
      </c>
      <c r="D174" s="133">
        <f>'Arrived Shipments'!S175</f>
        <v>28</v>
      </c>
    </row>
    <row r="175">
      <c r="A175" s="132" t="str">
        <f>'Arrived Shipments'!F176</f>
        <v>Laviosa</v>
      </c>
      <c r="B175" s="132">
        <f>'Arrived Shipments'!M176</f>
        <v>45573</v>
      </c>
      <c r="C175" s="140">
        <f>'Arrived Shipments'!R176</f>
        <v>45594</v>
      </c>
      <c r="D175" s="133">
        <f>'Arrived Shipments'!S176</f>
        <v>21</v>
      </c>
    </row>
    <row r="176">
      <c r="A176" s="132" t="str">
        <f>'Arrived Shipments'!F177</f>
        <v>Laviosa</v>
      </c>
      <c r="B176" s="132">
        <f>'Arrived Shipments'!M177</f>
        <v>45573</v>
      </c>
      <c r="C176" s="140">
        <f>'Arrived Shipments'!R177</f>
        <v>45581</v>
      </c>
      <c r="D176" s="133">
        <f>'Arrived Shipments'!S177</f>
        <v>8</v>
      </c>
    </row>
    <row r="177">
      <c r="A177" s="132" t="str">
        <f>'Arrived Shipments'!F178</f>
        <v>Butchers</v>
      </c>
      <c r="B177" s="132">
        <f>'Arrived Shipments'!M178</f>
        <v>45578</v>
      </c>
      <c r="C177" s="141">
        <f>'Arrived Shipments'!R178</f>
        <v>45594</v>
      </c>
      <c r="D177" s="133">
        <f>'Arrived Shipments'!S178</f>
        <v>16</v>
      </c>
    </row>
    <row r="178">
      <c r="A178" s="132" t="str">
        <f>'Arrived Shipments'!F179</f>
        <v>Nestle</v>
      </c>
      <c r="B178" s="132">
        <f>'Arrived Shipments'!M179</f>
        <v>45579</v>
      </c>
      <c r="C178" s="140">
        <f>'Arrived Shipments'!R179</f>
        <v>45593</v>
      </c>
      <c r="D178" s="133">
        <f>'Arrived Shipments'!S179</f>
        <v>14</v>
      </c>
    </row>
    <row r="179">
      <c r="A179" s="132" t="str">
        <f>'Arrived Shipments'!F180</f>
        <v>Laroy</v>
      </c>
      <c r="B179" s="132">
        <f>'Arrived Shipments'!M180</f>
        <v>45574</v>
      </c>
      <c r="C179" s="140">
        <f>'Arrived Shipments'!R180</f>
        <v>45578</v>
      </c>
      <c r="D179" s="133">
        <f>'Arrived Shipments'!S180</f>
        <v>4</v>
      </c>
    </row>
    <row r="180">
      <c r="A180" s="132" t="str">
        <f>'Arrived Shipments'!F181</f>
        <v>HEALTH &amp; HAPPINESS</v>
      </c>
      <c r="B180" s="132">
        <f>'Arrived Shipments'!M181</f>
        <v>45575</v>
      </c>
      <c r="C180" s="141">
        <f>'Arrived Shipments'!R181</f>
        <v>45585</v>
      </c>
      <c r="D180" s="133">
        <f>'Arrived Shipments'!S181</f>
        <v>10</v>
      </c>
    </row>
    <row r="181">
      <c r="A181" s="132" t="str">
        <f>'Arrived Shipments'!F182</f>
        <v>Beaphar</v>
      </c>
      <c r="B181" s="132">
        <f>'Arrived Shipments'!M182</f>
        <v>45574</v>
      </c>
      <c r="C181" s="140">
        <f>'Arrived Shipments'!R182</f>
        <v>45586</v>
      </c>
      <c r="D181" s="133">
        <f>'Arrived Shipments'!S182</f>
        <v>12</v>
      </c>
    </row>
    <row r="182">
      <c r="A182" s="132" t="str">
        <f>'Arrived Shipments'!F183</f>
        <v>INABA</v>
      </c>
      <c r="B182" s="132">
        <f>'Arrived Shipments'!M183</f>
        <v>45584</v>
      </c>
      <c r="C182" s="141">
        <f>'Arrived Shipments'!R183</f>
        <v>45585</v>
      </c>
      <c r="D182" s="133">
        <f>'Arrived Shipments'!S183</f>
        <v>1</v>
      </c>
    </row>
    <row r="183">
      <c r="A183" s="132" t="str">
        <f>'Arrived Shipments'!F184</f>
        <v>Laviosa</v>
      </c>
      <c r="B183" s="132">
        <f>'Arrived Shipments'!M184</f>
        <v>45581</v>
      </c>
      <c r="C183" s="140">
        <f>'Arrived Shipments'!R184</f>
        <v>45600</v>
      </c>
      <c r="D183" s="133">
        <f>'Arrived Shipments'!S184</f>
        <v>19</v>
      </c>
    </row>
    <row r="184">
      <c r="A184" s="132" t="str">
        <f>'Arrived Shipments'!F185</f>
        <v>Kit Cat</v>
      </c>
      <c r="B184" s="132">
        <f>'Arrived Shipments'!M185</f>
        <v>45615</v>
      </c>
      <c r="C184" s="140">
        <f>'Arrived Shipments'!R185</f>
        <v>45616</v>
      </c>
      <c r="D184" s="133">
        <f>'Arrived Shipments'!S185</f>
        <v>1</v>
      </c>
    </row>
    <row r="185">
      <c r="A185" s="132" t="str">
        <f>'Arrived Shipments'!F186</f>
        <v>Kit Cat</v>
      </c>
      <c r="B185" s="132">
        <f>'Arrived Shipments'!M186</f>
        <v>45622</v>
      </c>
      <c r="C185" s="140">
        <f>'Arrived Shipments'!R186</f>
        <v>45622</v>
      </c>
      <c r="D185" s="133">
        <f>'Arrived Shipments'!S186</f>
        <v>0</v>
      </c>
    </row>
    <row r="186">
      <c r="A186" s="132" t="str">
        <f>'Arrived Shipments'!F187</f>
        <v>Josera</v>
      </c>
      <c r="B186" s="132">
        <f>'Arrived Shipments'!M187</f>
        <v>45612</v>
      </c>
      <c r="C186" s="140">
        <f>'Arrived Shipments'!R187</f>
        <v>45616</v>
      </c>
      <c r="D186" s="133">
        <f>'Arrived Shipments'!S187</f>
        <v>4</v>
      </c>
    </row>
    <row r="187">
      <c r="A187" s="132" t="str">
        <f>'Arrived Shipments'!F188</f>
        <v>MPS</v>
      </c>
      <c r="B187" s="132">
        <f>'Arrived Shipments'!M188</f>
        <v>45612</v>
      </c>
      <c r="C187" s="140">
        <f>'Arrived Shipments'!R188</f>
        <v>45613</v>
      </c>
      <c r="D187" s="133">
        <f>'Arrived Shipments'!S188</f>
        <v>1</v>
      </c>
    </row>
    <row r="188">
      <c r="A188" s="132" t="str">
        <f>'Arrived Shipments'!F189</f>
        <v>Laviosa</v>
      </c>
      <c r="B188" s="132">
        <f>'Arrived Shipments'!M189</f>
        <v>45612</v>
      </c>
      <c r="C188" s="140">
        <f>'Arrived Shipments'!R189</f>
        <v>45616</v>
      </c>
      <c r="D188" s="133">
        <f>'Arrived Shipments'!S189</f>
        <v>4</v>
      </c>
    </row>
    <row r="189">
      <c r="A189" s="132" t="str">
        <f>'Arrived Shipments'!F190</f>
        <v>Laviosa</v>
      </c>
      <c r="B189" s="132">
        <f>'Arrived Shipments'!M190</f>
        <v>45612</v>
      </c>
      <c r="C189" s="140">
        <f>'Arrived Shipments'!R190</f>
        <v>45613</v>
      </c>
      <c r="D189" s="133">
        <f>'Arrived Shipments'!S190</f>
        <v>1</v>
      </c>
    </row>
    <row r="190">
      <c r="A190" s="132" t="str">
        <f>'Arrived Shipments'!F191</f>
        <v>Josera</v>
      </c>
      <c r="B190" s="132">
        <f>'Arrived Shipments'!M191</f>
        <v>45622</v>
      </c>
      <c r="C190" s="140">
        <f>'Arrived Shipments'!R191</f>
        <v>45622</v>
      </c>
      <c r="D190" s="133" t="str">
        <f>'Arrived Shipments'!S191</f>
        <v/>
      </c>
    </row>
    <row r="191">
      <c r="A191" s="132" t="str">
        <f>'Arrived Shipments'!F192</f>
        <v>Kit Cat</v>
      </c>
      <c r="B191" s="132">
        <f>'Arrived Shipments'!M192</f>
        <v>45622</v>
      </c>
      <c r="C191" s="141">
        <f>'Arrived Shipments'!R192</f>
        <v>45622</v>
      </c>
      <c r="D191" s="133">
        <f>'Arrived Shipments'!S192</f>
        <v>0</v>
      </c>
    </row>
    <row r="192">
      <c r="A192" s="132" t="str">
        <f>'Arrived Shipments'!F193</f>
        <v>Dr.Clauder</v>
      </c>
      <c r="B192" s="132">
        <f>'Arrived Shipments'!M193</f>
        <v>45623</v>
      </c>
      <c r="C192" s="140">
        <f>'Arrived Shipments'!R193</f>
        <v>45629</v>
      </c>
      <c r="D192" s="133">
        <f>'Arrived Shipments'!S193</f>
        <v>6</v>
      </c>
    </row>
    <row r="193">
      <c r="A193" s="132" t="str">
        <f>'Arrived Shipments'!F194</f>
        <v>Applaws</v>
      </c>
      <c r="B193" s="132">
        <f>'Arrived Shipments'!M194</f>
        <v>45627</v>
      </c>
      <c r="C193" s="140">
        <f>'Arrived Shipments'!R194</f>
        <v>45627</v>
      </c>
      <c r="D193" s="133" t="str">
        <f>'Arrived Shipments'!S194</f>
        <v/>
      </c>
    </row>
    <row r="194">
      <c r="A194" s="132" t="str">
        <f>'Arrived Shipments'!F195</f>
        <v>Mark&amp;Chappell</v>
      </c>
      <c r="B194" s="132">
        <f>'Arrived Shipments'!M195</f>
        <v>45638</v>
      </c>
      <c r="C194" s="140">
        <f>'Arrived Shipments'!R195</f>
        <v>45638</v>
      </c>
      <c r="D194" s="133" t="str">
        <f>'Arrived Shipments'!S195</f>
        <v/>
      </c>
    </row>
    <row r="195">
      <c r="A195" s="132" t="str">
        <f>'Arrived Shipments'!F196</f>
        <v>Kit Cat</v>
      </c>
      <c r="B195" s="132">
        <f>'Arrived Shipments'!M196</f>
        <v>45634</v>
      </c>
      <c r="C195" s="140">
        <f>'Arrived Shipments'!R196</f>
        <v>45637</v>
      </c>
      <c r="D195" s="133">
        <f>'Arrived Shipments'!S196</f>
        <v>3</v>
      </c>
    </row>
    <row r="196">
      <c r="A196" s="132" t="str">
        <f>'Arrived Shipments'!F197</f>
        <v>Kit Cat</v>
      </c>
      <c r="B196" s="132">
        <f>'Arrived Shipments'!M197</f>
        <v>45641</v>
      </c>
      <c r="C196" s="141">
        <f>'Arrived Shipments'!R197</f>
        <v>45641</v>
      </c>
      <c r="D196" s="133" t="str">
        <f>'Arrived Shipments'!S197</f>
        <v/>
      </c>
    </row>
    <row r="197">
      <c r="A197" s="132" t="str">
        <f>'Arrived Shipments'!F198</f>
        <v>Josera</v>
      </c>
      <c r="B197" s="132" t="str">
        <f>#REF!</f>
        <v>#REF!</v>
      </c>
      <c r="C197" s="140">
        <f>'Arrived Shipments'!R198</f>
        <v>45638</v>
      </c>
      <c r="D197" s="133">
        <f>'Arrived Shipments'!S198</f>
        <v>4</v>
      </c>
    </row>
    <row r="198">
      <c r="A198" s="132" t="str">
        <f>'Arrived Shipments'!F199</f>
        <v>Laviosa</v>
      </c>
      <c r="B198" s="132">
        <f>'Arrived Shipments'!M198</f>
        <v>45634</v>
      </c>
      <c r="C198" s="140">
        <f>'Arrived Shipments'!R199</f>
        <v>45638</v>
      </c>
      <c r="D198" s="133" t="str">
        <f>'Arrived Shipments'!S199</f>
        <v/>
      </c>
    </row>
    <row r="199">
      <c r="A199" s="132" t="str">
        <f>'Arrived Shipments'!F200</f>
        <v>Butchers</v>
      </c>
      <c r="B199" s="132">
        <f>'Arrived Shipments'!M200</f>
        <v>45641</v>
      </c>
      <c r="C199" s="140">
        <f>'Arrived Shipments'!R200</f>
        <v>45642</v>
      </c>
      <c r="D199" s="133">
        <f>'Arrived Shipments'!S200</f>
        <v>1</v>
      </c>
    </row>
    <row r="200">
      <c r="A200" s="132" t="str">
        <f>'Arrived Shipments'!F201</f>
        <v>Applaws</v>
      </c>
      <c r="B200" s="132">
        <f>'Arrived Shipments'!M201</f>
        <v>45651</v>
      </c>
      <c r="C200" s="140">
        <f>'Arrived Shipments'!R201</f>
        <v>45693</v>
      </c>
      <c r="D200" s="133">
        <f>'Arrived Shipments'!S201</f>
        <v>42</v>
      </c>
    </row>
    <row r="201">
      <c r="A201" s="132" t="str">
        <f>'Arrived Shipments'!F202</f>
        <v>Inner Mongolia </v>
      </c>
      <c r="B201" s="132">
        <f>'Arrived Shipments'!M202</f>
        <v>45670</v>
      </c>
      <c r="C201" s="140">
        <f>'Arrived Shipments'!R202</f>
        <v>45676</v>
      </c>
      <c r="D201" s="133">
        <f>'Arrived Shipments'!S202</f>
        <v>6</v>
      </c>
    </row>
    <row r="202">
      <c r="A202" s="132" t="str">
        <f>'Arrived Shipments'!F203</f>
        <v>Inner Mongolia </v>
      </c>
      <c r="B202" s="132">
        <f>'Arrived Shipments'!M203</f>
        <v>45670</v>
      </c>
      <c r="C202" s="140">
        <f>'Arrived Shipments'!R203</f>
        <v>45676</v>
      </c>
      <c r="D202" s="133">
        <f>'Arrived Shipments'!S203</f>
        <v>6</v>
      </c>
    </row>
    <row r="203">
      <c r="A203" s="132" t="str">
        <f>'Arrived Shipments'!F204</f>
        <v>Josera</v>
      </c>
      <c r="B203" s="132">
        <f>'Arrived Shipments'!M204</f>
        <v>45651</v>
      </c>
      <c r="C203" s="140">
        <f>'Arrived Shipments'!R204</f>
        <v>45652</v>
      </c>
      <c r="D203" s="133">
        <f>'Arrived Shipments'!S204</f>
        <v>1</v>
      </c>
    </row>
    <row r="204">
      <c r="A204" s="132" t="str">
        <f>'Arrived Shipments'!F205</f>
        <v>Kit Cat</v>
      </c>
      <c r="B204" s="132">
        <f>'Arrived Shipments'!M205</f>
        <v>45690</v>
      </c>
      <c r="C204" s="140">
        <f>'Arrived Shipments'!R205</f>
        <v>45690</v>
      </c>
      <c r="D204" s="133" t="str">
        <f>'Arrived Shipments'!S205</f>
        <v/>
      </c>
    </row>
    <row r="205">
      <c r="A205" s="132" t="str">
        <f>'Arrived Shipments'!F206</f>
        <v>Josera</v>
      </c>
      <c r="B205" s="132">
        <f>'Arrived Shipments'!M206</f>
        <v>45670</v>
      </c>
      <c r="C205" s="140">
        <f>'Arrived Shipments'!R206</f>
        <v>45676</v>
      </c>
      <c r="D205" s="133">
        <f>'Arrived Shipments'!S206</f>
        <v>6</v>
      </c>
    </row>
    <row r="206">
      <c r="A206" s="132" t="str">
        <f>'Arrived Shipments'!F207</f>
        <v>Laviosa</v>
      </c>
      <c r="B206" s="132">
        <f>'Arrived Shipments'!M207</f>
        <v>45673</v>
      </c>
      <c r="C206" s="140">
        <f>'Arrived Shipments'!R207</f>
        <v>45677</v>
      </c>
      <c r="D206" s="133">
        <f>'Arrived Shipments'!S207</f>
        <v>4</v>
      </c>
    </row>
    <row r="207">
      <c r="A207" s="132" t="str">
        <f>'Arrived Shipments'!F208</f>
        <v>Applaws</v>
      </c>
      <c r="B207" s="132">
        <f>'Arrived Shipments'!M208</f>
        <v>45670</v>
      </c>
      <c r="C207" s="140">
        <f>'Arrived Shipments'!R208</f>
        <v>45677</v>
      </c>
      <c r="D207" s="133">
        <f>'Arrived Shipments'!S208</f>
        <v>7</v>
      </c>
    </row>
    <row r="208">
      <c r="A208" s="132" t="str">
        <f>'Arrived Shipments'!F209</f>
        <v>Applaws</v>
      </c>
      <c r="B208" s="132">
        <f>'Arrived Shipments'!M209</f>
        <v>45692</v>
      </c>
      <c r="C208" s="140">
        <f>'Arrived Shipments'!R209</f>
        <v>45693</v>
      </c>
      <c r="D208" s="133">
        <f>'Arrived Shipments'!S209</f>
        <v>1</v>
      </c>
    </row>
    <row r="209">
      <c r="A209" s="132" t="str">
        <f>'Arrived Shipments'!F210</f>
        <v>Sanal</v>
      </c>
      <c r="B209" s="132">
        <f>'Arrived Shipments'!M210</f>
        <v>45690</v>
      </c>
      <c r="C209" s="140">
        <f>'Arrived Shipments'!R210</f>
        <v>45691</v>
      </c>
      <c r="D209" s="133">
        <f>'Arrived Shipments'!S210</f>
        <v>1</v>
      </c>
    </row>
    <row r="210">
      <c r="A210" s="132" t="str">
        <f>'Arrived Shipments'!F211</f>
        <v>Josera</v>
      </c>
      <c r="B210" s="132">
        <f>'Arrived Shipments'!M211</f>
        <v>45670</v>
      </c>
      <c r="C210" s="140">
        <f>'Arrived Shipments'!R211</f>
        <v>45678</v>
      </c>
      <c r="D210" s="133">
        <f>'Arrived Shipments'!S211</f>
        <v>8</v>
      </c>
    </row>
    <row r="211">
      <c r="A211" s="132" t="str">
        <f>'Arrived Shipments'!F212</f>
        <v>INABA</v>
      </c>
      <c r="B211" s="132">
        <f>'Arrived Shipments'!M212</f>
        <v>45694</v>
      </c>
      <c r="C211" s="140">
        <f>'Arrived Shipments'!R212</f>
        <v>45698</v>
      </c>
      <c r="D211" s="133">
        <f>'Arrived Shipments'!S212</f>
        <v>4</v>
      </c>
    </row>
    <row r="212">
      <c r="A212" s="132" t="str">
        <f>'Arrived Shipments'!F213</f>
        <v>Kit Cat</v>
      </c>
      <c r="B212" s="132">
        <f>'Arrived Shipments'!M213</f>
        <v>45694</v>
      </c>
      <c r="C212" s="140">
        <f>'Arrived Shipments'!R213</f>
        <v>45698</v>
      </c>
      <c r="D212" s="133">
        <f>'Arrived Shipments'!S213</f>
        <v>4</v>
      </c>
    </row>
    <row r="213">
      <c r="A213" s="132" t="str">
        <f>'Arrived Shipments'!F214</f>
        <v>Applaws</v>
      </c>
      <c r="B213" s="132">
        <f>'Arrived Shipments'!M214</f>
        <v>45697</v>
      </c>
      <c r="C213" s="140">
        <f>'Arrived Shipments'!R214</f>
        <v>45700</v>
      </c>
      <c r="D213" s="133">
        <f>'Arrived Shipments'!S214</f>
        <v>3</v>
      </c>
    </row>
    <row r="214">
      <c r="A214" s="132" t="str">
        <f>'Arrived Shipments'!F215</f>
        <v>Josera</v>
      </c>
      <c r="B214" s="132">
        <f>'Arrived Shipments'!M215</f>
        <v>45686</v>
      </c>
      <c r="C214" s="140">
        <f>'Arrived Shipments'!R215</f>
        <v>45694</v>
      </c>
      <c r="D214" s="133">
        <f>'Arrived Shipments'!S215</f>
        <v>8</v>
      </c>
    </row>
    <row r="215">
      <c r="A215" s="132" t="str">
        <f>'Arrived Shipments'!F216</f>
        <v>Kit Cat</v>
      </c>
      <c r="B215" s="132">
        <f>'Arrived Shipments'!M216</f>
        <v>45690</v>
      </c>
      <c r="C215" s="140">
        <f>'Arrived Shipments'!R216</f>
        <v>45694</v>
      </c>
      <c r="D215" s="133">
        <f>'Arrived Shipments'!S216</f>
        <v>4</v>
      </c>
    </row>
    <row r="216">
      <c r="A216" s="132" t="str">
        <f>'Arrived Shipments'!F217</f>
        <v>Applaws</v>
      </c>
      <c r="B216" s="132">
        <f>'Arrived Shipments'!M217</f>
        <v>45697</v>
      </c>
      <c r="C216" s="140">
        <f>'Arrived Shipments'!R217</f>
        <v>45698</v>
      </c>
      <c r="D216" s="133">
        <f>'Arrived Shipments'!S217</f>
        <v>1</v>
      </c>
    </row>
    <row r="217">
      <c r="A217" s="132" t="str">
        <f>'Arrived Shipments'!F218</f>
        <v>Kit Cat</v>
      </c>
      <c r="B217" s="132">
        <f>'Arrived Shipments'!M218</f>
        <v>45691</v>
      </c>
      <c r="C217" s="140">
        <f>'Arrived Shipments'!R218</f>
        <v>45698</v>
      </c>
      <c r="D217" s="133">
        <f>'Arrived Shipments'!S218</f>
        <v>7</v>
      </c>
    </row>
    <row r="218">
      <c r="A218" s="132" t="str">
        <f>'Arrived Shipments'!F219</f>
        <v>Biosand</v>
      </c>
      <c r="B218" s="132">
        <f>'Arrived Shipments'!M219</f>
        <v>45690</v>
      </c>
      <c r="C218" s="140">
        <f>'Arrived Shipments'!R219</f>
        <v>45691</v>
      </c>
      <c r="D218" s="133">
        <f>'Arrived Shipments'!S219</f>
        <v>1</v>
      </c>
    </row>
    <row r="219">
      <c r="A219" s="132" t="str">
        <f>'Arrived Shipments'!F220</f>
        <v>Josera</v>
      </c>
      <c r="B219" s="132">
        <f>'Arrived Shipments'!M220</f>
        <v>45693</v>
      </c>
      <c r="C219" s="140">
        <f>'Arrived Shipments'!R220</f>
        <v>45700</v>
      </c>
      <c r="D219" s="133">
        <f>'Arrived Shipments'!S220</f>
        <v>7</v>
      </c>
    </row>
    <row r="220">
      <c r="A220" s="132" t="str">
        <f>'Arrived Shipments'!F221</f>
        <v>Zolux</v>
      </c>
      <c r="B220" s="132">
        <f>'Arrived Shipments'!M221</f>
        <v>45704</v>
      </c>
      <c r="C220" s="140">
        <f>'Arrived Shipments'!R221</f>
        <v>45715</v>
      </c>
      <c r="D220" s="133">
        <f>'Arrived Shipments'!S221</f>
        <v>11</v>
      </c>
    </row>
    <row r="221">
      <c r="A221" s="132" t="str">
        <f>'Arrived Shipments'!F222</f>
        <v>Zolux</v>
      </c>
      <c r="B221" s="132">
        <f>'Arrived Shipments'!M222</f>
        <v>45713</v>
      </c>
      <c r="C221" s="140">
        <f>'Arrived Shipments'!R222</f>
        <v>45713</v>
      </c>
      <c r="D221" s="133" t="str">
        <f>'Arrived Shipments'!S222</f>
        <v/>
      </c>
    </row>
    <row r="222">
      <c r="A222" s="132" t="str">
        <f>'Arrived Shipments'!F223</f>
        <v>Compana</v>
      </c>
      <c r="B222" s="132">
        <f>'Arrived Shipments'!M223</f>
        <v>45726</v>
      </c>
      <c r="C222" s="140">
        <f>'Arrived Shipments'!R223</f>
        <v>45726</v>
      </c>
      <c r="D222" s="133" t="str">
        <f>'Arrived Shipments'!S223</f>
        <v/>
      </c>
    </row>
    <row r="223">
      <c r="A223" s="132" t="str">
        <f>'Arrived Shipments'!F224</f>
        <v>Zolux</v>
      </c>
      <c r="B223" s="132">
        <f>'Arrived Shipments'!M224</f>
        <v>45724</v>
      </c>
      <c r="C223" s="140">
        <f>'Arrived Shipments'!R224</f>
        <v>45729</v>
      </c>
      <c r="D223" s="133">
        <f>'Arrived Shipments'!S224</f>
        <v>5</v>
      </c>
    </row>
    <row r="224">
      <c r="A224" s="132" t="str">
        <f>'Arrived Shipments'!F225</f>
        <v>Josera</v>
      </c>
      <c r="B224" s="132">
        <f>'Arrived Shipments'!M225</f>
        <v>45705</v>
      </c>
      <c r="C224" s="140">
        <f>'Arrived Shipments'!R225</f>
        <v>45715</v>
      </c>
      <c r="D224" s="133">
        <f>'Arrived Shipments'!S225</f>
        <v>10</v>
      </c>
    </row>
    <row r="225">
      <c r="A225" s="132" t="str">
        <f>'Arrived Shipments'!F226</f>
        <v>Versele Laga</v>
      </c>
      <c r="B225" s="132">
        <f>'Arrived Shipments'!M226</f>
        <v>45708</v>
      </c>
      <c r="C225" s="140">
        <f>'Arrived Shipments'!R226</f>
        <v>45729</v>
      </c>
      <c r="D225" s="133">
        <f>'Arrived Shipments'!S226</f>
        <v>21</v>
      </c>
    </row>
    <row r="226">
      <c r="A226" s="132" t="str">
        <f>'Arrived Shipments'!F227</f>
        <v>sanal</v>
      </c>
      <c r="B226" s="132">
        <f>'Arrived Shipments'!M227</f>
        <v>45725</v>
      </c>
      <c r="C226" s="140">
        <f>'Arrived Shipments'!R227</f>
        <v>45730</v>
      </c>
      <c r="D226" s="133">
        <f>'Arrived Shipments'!S227</f>
        <v>5</v>
      </c>
    </row>
    <row r="227">
      <c r="A227" s="132" t="str">
        <f>'Arrived Shipments'!F228</f>
        <v>Beaphar</v>
      </c>
      <c r="B227" s="132">
        <f>'Arrived Shipments'!M228</f>
        <v>45725</v>
      </c>
      <c r="C227" s="140">
        <f>'Arrived Shipments'!R228</f>
        <v>45730</v>
      </c>
      <c r="D227" s="133">
        <f>'Arrived Shipments'!S228</f>
        <v>5</v>
      </c>
    </row>
    <row r="228">
      <c r="A228" s="132" t="str">
        <f>'Arrived Shipments'!F229</f>
        <v>Butchers</v>
      </c>
      <c r="B228" s="132">
        <f>'Arrived Shipments'!M229</f>
        <v>45728</v>
      </c>
      <c r="C228" s="140">
        <f>'Arrived Shipments'!R229</f>
        <v>45736</v>
      </c>
      <c r="D228" s="133">
        <f>'Arrived Shipments'!S229</f>
        <v>8</v>
      </c>
    </row>
    <row r="229">
      <c r="A229" s="132" t="str">
        <f>'Arrived Shipments'!F230</f>
        <v>BioPet</v>
      </c>
      <c r="B229" s="132">
        <f>'Arrived Shipments'!M230</f>
        <v>45722</v>
      </c>
      <c r="C229" s="140">
        <f>'Arrived Shipments'!R230</f>
        <v>45736</v>
      </c>
      <c r="D229" s="133">
        <f>'Arrived Shipments'!S230</f>
        <v>14</v>
      </c>
    </row>
    <row r="230">
      <c r="A230" s="132" t="str">
        <f>'Arrived Shipments'!F231</f>
        <v>Wellpet</v>
      </c>
      <c r="B230" s="132">
        <f>'Arrived Shipments'!M231</f>
        <v>45736</v>
      </c>
      <c r="C230" s="140">
        <f>'Arrived Shipments'!R231</f>
        <v>45771</v>
      </c>
      <c r="D230" s="133">
        <f>'Arrived Shipments'!S231</f>
        <v>35</v>
      </c>
    </row>
    <row r="231">
      <c r="A231" s="132" t="str">
        <f>'Arrived Shipments'!F232</f>
        <v>Wellpet</v>
      </c>
      <c r="B231" s="132">
        <f>'Arrived Shipments'!M232</f>
        <v>45736</v>
      </c>
      <c r="C231" s="140" t="str">
        <f>'Arrived Shipments'!R232</f>
        <v/>
      </c>
      <c r="D231" s="133" t="str">
        <f>'Arrived Shipments'!S232</f>
        <v/>
      </c>
    </row>
    <row r="232">
      <c r="A232" s="132" t="str">
        <f>'Arrived Shipments'!F233</f>
        <v>HEALTH &amp; HAPPINESS</v>
      </c>
      <c r="B232" s="132">
        <f>'Arrived Shipments'!M233</f>
        <v>45733</v>
      </c>
      <c r="C232" s="140">
        <f>'Arrived Shipments'!R233</f>
        <v>45736</v>
      </c>
      <c r="D232" s="133">
        <f>'Arrived Shipments'!S233</f>
        <v>3</v>
      </c>
    </row>
    <row r="233">
      <c r="A233" s="132" t="str">
        <f>'Arrived Shipments'!F234</f>
        <v>Kit Cat</v>
      </c>
      <c r="B233" s="132">
        <f>'Arrived Shipments'!M234</f>
        <v>45739</v>
      </c>
      <c r="C233" s="140">
        <f>'Arrived Shipments'!R234</f>
        <v>45757</v>
      </c>
      <c r="D233" s="133">
        <f>'Arrived Shipments'!S234</f>
        <v>18</v>
      </c>
    </row>
    <row r="234">
      <c r="A234" s="132" t="str">
        <f>'Arrived Shipments'!F235</f>
        <v>Butchers</v>
      </c>
      <c r="B234" s="132">
        <f>'Arrived Shipments'!M235</f>
        <v>45731</v>
      </c>
      <c r="C234" s="140">
        <f>'Arrived Shipments'!R235</f>
        <v>45736</v>
      </c>
      <c r="D234" s="133">
        <f>'Arrived Shipments'!S235</f>
        <v>5</v>
      </c>
    </row>
    <row r="235">
      <c r="A235" s="132" t="str">
        <f>'Arrived Shipments'!F236</f>
        <v>Dr.Clauder</v>
      </c>
      <c r="B235" s="132">
        <f>'Arrived Shipments'!M236</f>
        <v>45742</v>
      </c>
      <c r="C235" s="140">
        <f>'Arrived Shipments'!R236</f>
        <v>45754</v>
      </c>
      <c r="D235" s="133">
        <f>'Arrived Shipments'!S236</f>
        <v>12</v>
      </c>
    </row>
    <row r="236">
      <c r="A236" s="132" t="str">
        <f>'Arrived Shipments'!F237</f>
        <v>Versele Laga</v>
      </c>
      <c r="B236" s="132">
        <f>'Arrived Shipments'!M237</f>
        <v>45755</v>
      </c>
      <c r="C236" s="140">
        <f>'Arrived Shipments'!R237</f>
        <v>45761</v>
      </c>
      <c r="D236" s="133">
        <f>'Arrived Shipments'!S237</f>
        <v>6</v>
      </c>
    </row>
    <row r="237">
      <c r="A237" s="132" t="str">
        <f>'Arrived Shipments'!F238</f>
        <v>Kit Cat</v>
      </c>
      <c r="B237" s="132">
        <f>'Arrived Shipments'!M238</f>
        <v>45755</v>
      </c>
      <c r="C237" s="140">
        <f>'Arrived Shipments'!R238</f>
        <v>45757</v>
      </c>
      <c r="D237" s="133">
        <f>'Arrived Shipments'!S238</f>
        <v>2</v>
      </c>
    </row>
    <row r="238">
      <c r="A238" s="132" t="str">
        <f>'Arrived Shipments'!F239</f>
        <v>Wellpet</v>
      </c>
      <c r="B238" s="132">
        <f>'Arrived Shipments'!M239</f>
        <v>45766</v>
      </c>
      <c r="C238" s="141">
        <f>'Arrived Shipments'!R239</f>
        <v>45764</v>
      </c>
      <c r="D238" s="133" t="str">
        <f>'Arrived Shipments'!S239</f>
        <v/>
      </c>
    </row>
    <row r="239">
      <c r="A239" s="132" t="str">
        <f>'Arrived Shipments'!F240</f>
        <v>Kit Cat</v>
      </c>
      <c r="B239" s="132">
        <f>'Arrived Shipments'!M240</f>
        <v>45759</v>
      </c>
      <c r="C239" s="140">
        <f>'Arrived Shipments'!R240</f>
        <v>45764</v>
      </c>
      <c r="D239" s="133">
        <f>'Arrived Shipments'!S240</f>
        <v>5</v>
      </c>
    </row>
    <row r="240">
      <c r="A240" s="132" t="str">
        <f>'Arrived Shipments'!F241</f>
        <v>Versele Laga</v>
      </c>
      <c r="B240" s="132">
        <f>'Arrived Shipments'!M241</f>
        <v>45762</v>
      </c>
      <c r="C240" s="140">
        <f>'Arrived Shipments'!R241</f>
        <v>45760</v>
      </c>
      <c r="D240" s="133" t="str">
        <f>'Arrived Shipments'!S241</f>
        <v/>
      </c>
    </row>
    <row r="241">
      <c r="A241" s="132" t="str">
        <f>'Arrived Shipments'!F242</f>
        <v>Josera</v>
      </c>
      <c r="B241" s="132">
        <f>'Arrived Shipments'!M242</f>
        <v>45761</v>
      </c>
      <c r="C241" s="141">
        <f>'Arrived Shipments'!R242</f>
        <v>45764</v>
      </c>
      <c r="D241" s="133">
        <f>'Arrived Shipments'!S242</f>
        <v>3</v>
      </c>
    </row>
    <row r="242">
      <c r="A242" s="132" t="str">
        <f>'Arrived Shipments'!F243</f>
        <v>Zolux</v>
      </c>
      <c r="B242" s="132">
        <f>'Arrived Shipments'!M243</f>
        <v>45761</v>
      </c>
      <c r="C242" s="140">
        <f>'Arrived Shipments'!R243</f>
        <v>45764</v>
      </c>
      <c r="D242" s="133">
        <f>'Arrived Shipments'!S243</f>
        <v>3</v>
      </c>
    </row>
    <row r="243">
      <c r="A243" s="132" t="str">
        <f>'Arrived Shipments'!F244</f>
        <v>Josera</v>
      </c>
      <c r="B243" s="132">
        <f>'Arrived Shipments'!M244</f>
        <v>45757</v>
      </c>
      <c r="C243" s="140">
        <f>'Arrived Shipments'!R244</f>
        <v>45764</v>
      </c>
      <c r="D243" s="133">
        <f>'Arrived Shipments'!S244</f>
        <v>7</v>
      </c>
    </row>
    <row r="244">
      <c r="A244" s="132" t="str">
        <f>'Arrived Shipments'!F245</f>
        <v>Josera</v>
      </c>
      <c r="B244" s="132">
        <f>'Arrived Shipments'!M245</f>
        <v>45756</v>
      </c>
      <c r="C244" s="140">
        <f>'Arrived Shipments'!R245</f>
        <v>45764</v>
      </c>
      <c r="D244" s="133">
        <f>'Arrived Shipments'!S245</f>
        <v>8</v>
      </c>
    </row>
    <row r="245">
      <c r="A245" s="132" t="str">
        <f>'Arrived Shipments'!F246</f>
        <v>Kit Cat</v>
      </c>
      <c r="B245" s="132">
        <f>'Arrived Shipments'!M246</f>
        <v>45756</v>
      </c>
      <c r="C245" s="140">
        <f>'Arrived Shipments'!R246</f>
        <v>45764</v>
      </c>
      <c r="D245" s="133">
        <f>'Arrived Shipments'!S246</f>
        <v>8</v>
      </c>
    </row>
    <row r="246">
      <c r="A246" s="132" t="str">
        <f>'Arrived Shipments'!F247</f>
        <v>Laroy</v>
      </c>
      <c r="B246" s="132">
        <f>'Arrived Shipments'!M247</f>
        <v>45760</v>
      </c>
      <c r="C246" s="140">
        <f>'Arrived Shipments'!R247</f>
        <v>45764</v>
      </c>
      <c r="D246" s="133">
        <f>'Arrived Shipments'!S247</f>
        <v>4</v>
      </c>
    </row>
    <row r="247">
      <c r="A247" s="132" t="str">
        <f>'Arrived Shipments'!F248</f>
        <v>Kit Cat</v>
      </c>
      <c r="B247" s="132">
        <f>'Arrived Shipments'!M248</f>
        <v>45756</v>
      </c>
      <c r="C247" s="140">
        <f>'Arrived Shipments'!R248</f>
        <v>45760</v>
      </c>
      <c r="D247" s="133">
        <f>'Arrived Shipments'!S248</f>
        <v>4</v>
      </c>
    </row>
    <row r="248">
      <c r="A248" s="132" t="str">
        <f>'Arrived Shipments'!F249</f>
        <v>Josera</v>
      </c>
      <c r="B248" s="132">
        <f>'Arrived Shipments'!M249</f>
        <v>45756</v>
      </c>
      <c r="C248" s="140">
        <f>'Arrived Shipments'!R249</f>
        <v>45764</v>
      </c>
      <c r="D248" s="133">
        <f>'Arrived Shipments'!S249</f>
        <v>8</v>
      </c>
    </row>
    <row r="249">
      <c r="A249" s="132" t="str">
        <f>'Arrived Shipments'!F251</f>
        <v>Laviosa</v>
      </c>
      <c r="B249" s="132">
        <f>'Arrived Shipments'!M251</f>
        <v>45758</v>
      </c>
      <c r="C249" s="140">
        <f>'Arrived Shipments'!R251</f>
        <v>45764</v>
      </c>
      <c r="D249" s="133">
        <f>'Arrived Shipments'!S251</f>
        <v>6</v>
      </c>
    </row>
    <row r="250">
      <c r="A250" s="132" t="str">
        <f>'Arrived Shipments'!F252</f>
        <v>Kit Cat</v>
      </c>
      <c r="B250" s="132">
        <f>'Arrived Shipments'!M252</f>
        <v>45756</v>
      </c>
      <c r="C250" s="141">
        <f>'Arrived Shipments'!R252</f>
        <v>45764</v>
      </c>
      <c r="D250" s="133">
        <f>'Arrived Shipments'!S252</f>
        <v>8</v>
      </c>
    </row>
    <row r="251">
      <c r="A251" s="132" t="str">
        <f>'Arrived Shipments'!F253</f>
        <v>Zolux</v>
      </c>
      <c r="B251" s="132">
        <f>'Arrived Shipments'!M253</f>
        <v>45761</v>
      </c>
      <c r="C251" s="141">
        <f>'Arrived Shipments'!R253</f>
        <v>45771</v>
      </c>
      <c r="D251" s="133">
        <f>'Arrived Shipments'!S253</f>
        <v>10</v>
      </c>
    </row>
    <row r="252">
      <c r="A252" s="132" t="str">
        <f>'Arrived Shipments'!F254</f>
        <v>Laviosa</v>
      </c>
      <c r="B252" s="132">
        <f>'Arrived Shipments'!M254</f>
        <v>45759</v>
      </c>
      <c r="C252" s="140">
        <f>'Arrived Shipments'!R254</f>
        <v>45764</v>
      </c>
      <c r="D252" s="133">
        <f>'Arrived Shipments'!S254</f>
        <v>5</v>
      </c>
    </row>
    <row r="253">
      <c r="A253" s="132" t="str">
        <f>'Arrived Shipments'!F255</f>
        <v>Laviosa</v>
      </c>
      <c r="B253" s="132">
        <f>'Arrived Shipments'!M255</f>
        <v>45759</v>
      </c>
      <c r="C253" s="140">
        <f>'Arrived Shipments'!R255</f>
        <v>45764</v>
      </c>
      <c r="D253" s="133">
        <f>'Arrived Shipments'!S255</f>
        <v>5</v>
      </c>
    </row>
    <row r="254">
      <c r="A254" s="132" t="str">
        <f>'Arrived Shipments'!F256</f>
        <v>Laroy</v>
      </c>
      <c r="B254" s="132">
        <f>'Arrived Shipments'!M256</f>
        <v>45764</v>
      </c>
      <c r="C254" s="140">
        <f>'Arrived Shipments'!R256</f>
        <v>45771</v>
      </c>
      <c r="D254" s="133">
        <f>'Arrived Shipments'!S256</f>
        <v>7</v>
      </c>
    </row>
    <row r="255">
      <c r="A255" s="132" t="str">
        <f>'Arrived Shipments'!F257</f>
        <v>Laroy</v>
      </c>
      <c r="B255" s="132">
        <f>'Arrived Shipments'!M257</f>
        <v>45758</v>
      </c>
      <c r="C255" s="140">
        <f>'Arrived Shipments'!R257</f>
        <v>45764</v>
      </c>
      <c r="D255" s="133">
        <f>'Arrived Shipments'!S257</f>
        <v>6</v>
      </c>
    </row>
    <row r="256">
      <c r="A256" s="132" t="str">
        <f>'Arrived Shipments'!F258</f>
        <v>HEALTH &amp; HAPPINESS</v>
      </c>
      <c r="B256" s="132">
        <f>'Arrived Shipments'!M258</f>
        <v>45762</v>
      </c>
      <c r="C256" s="140">
        <f>'Arrived Shipments'!R258</f>
        <v>45764</v>
      </c>
      <c r="D256" s="133">
        <f>'Arrived Shipments'!S258</f>
        <v>2</v>
      </c>
    </row>
    <row r="257">
      <c r="A257" s="132" t="str">
        <f>'Arrived Shipments'!F259</f>
        <v>Kit Cat</v>
      </c>
      <c r="B257" s="132">
        <f>'Arrived Shipments'!M259</f>
        <v>45761</v>
      </c>
      <c r="C257" s="140">
        <f>'Arrived Shipments'!R259</f>
        <v>45764</v>
      </c>
      <c r="D257" s="133">
        <f>'Arrived Shipments'!S259</f>
        <v>3</v>
      </c>
    </row>
    <row r="258">
      <c r="A258" s="132" t="str">
        <f>'Arrived Shipments'!F260</f>
        <v>Kit Cat</v>
      </c>
      <c r="B258" s="132">
        <f>'Arrived Shipments'!M260</f>
        <v>45762</v>
      </c>
      <c r="C258" s="141">
        <f>'Arrived Shipments'!R260</f>
        <v>45764</v>
      </c>
      <c r="D258" s="133">
        <f>'Arrived Shipments'!S260</f>
        <v>2</v>
      </c>
    </row>
    <row r="259">
      <c r="A259" s="132" t="str">
        <f>'Arrived Shipments'!F261</f>
        <v>Kit Cat</v>
      </c>
      <c r="B259" s="132">
        <f>'Arrived Shipments'!M261</f>
        <v>45756</v>
      </c>
      <c r="C259" s="140">
        <f>'Arrived Shipments'!R261</f>
        <v>45764</v>
      </c>
      <c r="D259" s="133">
        <f>'Arrived Shipments'!S261</f>
        <v>8</v>
      </c>
    </row>
    <row r="260">
      <c r="A260" s="132" t="str">
        <f>'Arrived Shipments'!F262</f>
        <v>Laviosa</v>
      </c>
      <c r="B260" s="132">
        <f>'Arrived Shipments'!M262</f>
        <v>45762</v>
      </c>
      <c r="C260" s="140">
        <f>'Arrived Shipments'!R262</f>
        <v>45764</v>
      </c>
      <c r="D260" s="133">
        <f>'Arrived Shipments'!S262</f>
        <v>2</v>
      </c>
    </row>
    <row r="261">
      <c r="A261" s="132" t="str">
        <f>'Arrived Shipments'!F263</f>
        <v>Laviosa</v>
      </c>
      <c r="B261" s="132">
        <f>'Arrived Shipments'!M263</f>
        <v>45763</v>
      </c>
      <c r="C261" s="140">
        <f>'Arrived Shipments'!R263</f>
        <v>45764</v>
      </c>
      <c r="D261" s="133">
        <f>'Arrived Shipments'!S263</f>
        <v>1</v>
      </c>
    </row>
    <row r="262">
      <c r="A262" s="132" t="str">
        <f>'Arrived Shipments'!F264</f>
        <v>Champion</v>
      </c>
      <c r="B262" s="132">
        <f>'Arrived Shipments'!M264</f>
        <v>45762</v>
      </c>
      <c r="C262" s="140">
        <f>'Arrived Shipments'!R264</f>
        <v>45774</v>
      </c>
      <c r="D262" s="133">
        <f>'Arrived Shipments'!S264</f>
        <v>12</v>
      </c>
    </row>
    <row r="263">
      <c r="A263" s="132" t="str">
        <f>'Arrived Shipments'!F265</f>
        <v>CHampion</v>
      </c>
      <c r="B263" s="132">
        <f>'Arrived Shipments'!M265</f>
        <v>45761</v>
      </c>
      <c r="C263" s="140">
        <f>'Arrived Shipments'!R265</f>
        <v>45774</v>
      </c>
      <c r="D263" s="133">
        <f>'Arrived Shipments'!S265</f>
        <v>13</v>
      </c>
    </row>
    <row r="264">
      <c r="A264" s="132" t="str">
        <f>'Arrived Shipments'!F266</f>
        <v>CHampion</v>
      </c>
      <c r="B264" s="132">
        <f>'Arrived Shipments'!M266</f>
        <v>45764</v>
      </c>
      <c r="C264" s="141">
        <f>'Arrived Shipments'!R266</f>
        <v>45774</v>
      </c>
      <c r="D264" s="133">
        <f>'Arrived Shipments'!S266</f>
        <v>10</v>
      </c>
    </row>
    <row r="265">
      <c r="A265" s="132" t="str">
        <f>'Arrived Shipments'!F267</f>
        <v>Laviosa</v>
      </c>
      <c r="B265" s="132">
        <f>'Arrived Shipments'!M267</f>
        <v>45764</v>
      </c>
      <c r="C265" s="140">
        <f>'Arrived Shipments'!R267</f>
        <v>45764</v>
      </c>
      <c r="D265" s="133" t="str">
        <f>'Arrived Shipments'!S267</f>
        <v/>
      </c>
    </row>
    <row r="266">
      <c r="A266" s="132" t="str">
        <f>'Arrived Shipments'!F268</f>
        <v>Kit Cat</v>
      </c>
      <c r="B266" s="132">
        <f>'Arrived Shipments'!M268</f>
        <v>45773</v>
      </c>
      <c r="C266" s="140">
        <f>'Arrived Shipments'!R268</f>
        <v>45775</v>
      </c>
      <c r="D266" s="133">
        <f>'Arrived Shipments'!S268</f>
        <v>2</v>
      </c>
    </row>
    <row r="267">
      <c r="A267" s="132" t="str">
        <f>'Arrived Shipments'!F269</f>
        <v>Laviosa</v>
      </c>
      <c r="B267" s="132">
        <f>'Arrived Shipments'!M269</f>
        <v>45775</v>
      </c>
      <c r="C267" s="140">
        <f>'Arrived Shipments'!R269</f>
        <v>45781</v>
      </c>
      <c r="D267" s="133">
        <f>'Arrived Shipments'!S269</f>
        <v>6</v>
      </c>
    </row>
    <row r="268">
      <c r="A268" s="132" t="str">
        <f>'Arrived Shipments'!F270</f>
        <v>Beaphar</v>
      </c>
      <c r="B268" s="132">
        <f>'Arrived Shipments'!M270</f>
        <v>45775</v>
      </c>
      <c r="C268" s="140">
        <f>'Arrived Shipments'!R270</f>
        <v>45776</v>
      </c>
      <c r="D268" s="133">
        <f>'Arrived Shipments'!S270</f>
        <v>1</v>
      </c>
    </row>
    <row r="269">
      <c r="A269" s="132" t="str">
        <f>'Arrived Shipments'!F271</f>
        <v>Laviosa</v>
      </c>
      <c r="B269" s="132">
        <f>'Arrived Shipments'!M271</f>
        <v>45776</v>
      </c>
      <c r="C269" s="140">
        <f>'Arrived Shipments'!R271</f>
        <v>45782</v>
      </c>
      <c r="D269" s="133">
        <f>'Arrived Shipments'!S271</f>
        <v>6</v>
      </c>
    </row>
    <row r="270">
      <c r="A270" s="132" t="str">
        <f>'Arrived Shipments'!F272</f>
        <v>Laroy</v>
      </c>
      <c r="B270" s="132">
        <f>'Arrived Shipments'!M272</f>
        <v>45778</v>
      </c>
      <c r="C270" s="140">
        <f>'Arrived Shipments'!R272</f>
        <v>45783</v>
      </c>
      <c r="D270" s="133">
        <f>'Arrived Shipments'!S272</f>
        <v>5</v>
      </c>
    </row>
    <row r="271">
      <c r="A271" s="132" t="str">
        <f>'Arrived Shipments'!F273</f>
        <v>Biosand</v>
      </c>
      <c r="B271" s="132">
        <f>'Arrived Shipments'!M273</f>
        <v>45777</v>
      </c>
      <c r="C271" s="140">
        <f>'Arrived Shipments'!R273</f>
        <v>45782</v>
      </c>
      <c r="D271" s="133">
        <f>'Arrived Shipments'!S273</f>
        <v>5</v>
      </c>
    </row>
    <row r="272">
      <c r="A272" s="132" t="str">
        <f>'Arrived Shipments'!F274</f>
        <v>MPS</v>
      </c>
      <c r="B272" s="132">
        <f>'Arrived Shipments'!M274</f>
        <v>45780</v>
      </c>
      <c r="C272" s="140">
        <f>'Arrived Shipments'!R274</f>
        <v>45782</v>
      </c>
      <c r="D272" s="133">
        <f>'Arrived Shipments'!S274</f>
        <v>2</v>
      </c>
    </row>
    <row r="273">
      <c r="A273" s="132" t="str">
        <f>'Arrived Shipments'!F275</f>
        <v>Laviosa</v>
      </c>
      <c r="B273" s="132">
        <f>'Arrived Shipments'!M275</f>
        <v>45788</v>
      </c>
      <c r="C273" s="140">
        <f>'Arrived Shipments'!R275</f>
        <v>45789</v>
      </c>
      <c r="D273" s="133">
        <f>'Arrived Shipments'!S275</f>
        <v>1</v>
      </c>
    </row>
    <row r="274">
      <c r="A274" s="132" t="str">
        <f>'Arrived Shipments'!F276</f>
        <v>Laviosa</v>
      </c>
      <c r="B274" s="132">
        <f>'Arrived Shipments'!M276</f>
        <v>45787</v>
      </c>
      <c r="C274" s="140">
        <f>'Arrived Shipments'!R276</f>
        <v>45789</v>
      </c>
      <c r="D274" s="133">
        <f>'Arrived Shipments'!S276</f>
        <v>2</v>
      </c>
    </row>
    <row r="275">
      <c r="A275" s="132" t="str">
        <f>'Arrived Shipments'!F277</f>
        <v>Laviosa</v>
      </c>
      <c r="B275" s="132">
        <f>'Arrived Shipments'!M277</f>
        <v>45782</v>
      </c>
      <c r="C275" s="140">
        <f>'Arrived Shipments'!R277</f>
        <v>45783</v>
      </c>
      <c r="D275" s="133">
        <f>'Arrived Shipments'!S277</f>
        <v>1</v>
      </c>
    </row>
    <row r="276">
      <c r="A276" s="132" t="str">
        <f>'Arrived Shipments'!F278</f>
        <v>Kit Cat</v>
      </c>
      <c r="B276" s="132">
        <f>'Arrived Shipments'!M278</f>
        <v>45796</v>
      </c>
      <c r="C276" s="141">
        <f>'Arrived Shipments'!R278</f>
        <v>45798</v>
      </c>
      <c r="D276" s="133">
        <f>'Arrived Shipments'!S278</f>
        <v>2</v>
      </c>
    </row>
    <row r="277">
      <c r="A277" s="132" t="str">
        <f>'Arrived Shipments'!F279</f>
        <v>Compana</v>
      </c>
      <c r="B277" s="132">
        <f>'Arrived Shipments'!M279</f>
        <v>45789</v>
      </c>
      <c r="C277" s="140">
        <f>'Arrived Shipments'!R279</f>
        <v>45790</v>
      </c>
      <c r="D277" s="133">
        <f>'Arrived Shipments'!S279</f>
        <v>1</v>
      </c>
    </row>
    <row r="278">
      <c r="A278" s="132" t="str">
        <f>'Arrived Shipments'!F280</f>
        <v>Wellpet</v>
      </c>
      <c r="B278" s="132" t="str">
        <f>'Arrived Shipments'!M280</f>
        <v/>
      </c>
      <c r="C278" s="140" t="str">
        <f>'Arrived Shipments'!R280</f>
        <v/>
      </c>
      <c r="D278" s="133" t="str">
        <f>'Arrived Shipments'!S280</f>
        <v/>
      </c>
    </row>
    <row r="279">
      <c r="A279" s="132" t="str">
        <f>'Arrived Shipments'!F281</f>
        <v>Felyn Go </v>
      </c>
      <c r="B279" s="132">
        <f>'Arrived Shipments'!M281</f>
        <v>45793</v>
      </c>
      <c r="C279" s="141">
        <f>'Arrived Shipments'!R281</f>
        <v>45796</v>
      </c>
      <c r="D279" s="133">
        <f>'Arrived Shipments'!S281</f>
        <v>3</v>
      </c>
    </row>
    <row r="280">
      <c r="A280" s="132" t="str">
        <f>'Arrived Shipments'!F282</f>
        <v>Kit Cat</v>
      </c>
      <c r="B280" s="132">
        <f>'Arrived Shipments'!M282</f>
        <v>45796</v>
      </c>
      <c r="C280" s="141">
        <f>'Arrived Shipments'!R282</f>
        <v>45803</v>
      </c>
      <c r="D280" s="133">
        <f>'Arrived Shipments'!S282</f>
        <v>7</v>
      </c>
    </row>
    <row r="281">
      <c r="A281" s="132" t="str">
        <f>'Arrived Shipments'!F283</f>
        <v>Kit Cat</v>
      </c>
      <c r="B281" s="132">
        <f>'Arrived Shipments'!M283</f>
        <v>45789</v>
      </c>
      <c r="C281" s="140">
        <f>'Arrived Shipments'!R283</f>
        <v>45790</v>
      </c>
      <c r="D281" s="133">
        <f>'Arrived Shipments'!S283</f>
        <v>1</v>
      </c>
    </row>
    <row r="282">
      <c r="A282" s="132" t="str">
        <f>'Arrived Shipments'!F284</f>
        <v>Kit Cat</v>
      </c>
      <c r="B282" s="132">
        <f>'Arrived Shipments'!M284</f>
        <v>45804</v>
      </c>
      <c r="C282" s="140">
        <f>'Arrived Shipments'!R284</f>
        <v>45804</v>
      </c>
      <c r="D282" s="133" t="str">
        <f>'Arrived Shipments'!S284</f>
        <v/>
      </c>
    </row>
    <row r="283">
      <c r="A283" s="132" t="str">
        <f>'Arrived Shipments'!F285</f>
        <v>Kit Cat</v>
      </c>
      <c r="B283" s="132">
        <f>'Arrived Shipments'!M285</f>
        <v>45801</v>
      </c>
      <c r="C283" s="141">
        <f>'Arrived Shipments'!R285</f>
        <v>45803</v>
      </c>
      <c r="D283" s="133">
        <f>'Arrived Shipments'!S285</f>
        <v>2</v>
      </c>
    </row>
    <row r="284">
      <c r="A284" s="132" t="str">
        <f>'Arrived Shipments'!F286</f>
        <v>Kit Cat</v>
      </c>
      <c r="B284" s="132">
        <f>'Arrived Shipments'!M286</f>
        <v>45798</v>
      </c>
      <c r="C284" s="141">
        <f>'Arrived Shipments'!R286</f>
        <v>45803</v>
      </c>
      <c r="D284" s="133">
        <f>'Arrived Shipments'!S286</f>
        <v>5</v>
      </c>
    </row>
    <row r="285">
      <c r="A285" s="132"/>
      <c r="B285" s="132">
        <f>'Arrived Shipments'!M287</f>
        <v>45795</v>
      </c>
      <c r="C285" s="140">
        <f>'Arrived Shipments'!R287</f>
        <v>45804</v>
      </c>
      <c r="D285" s="133">
        <f>'Arrived Shipments'!S287</f>
        <v>9</v>
      </c>
    </row>
    <row r="286">
      <c r="A286" s="132"/>
      <c r="B286" s="132">
        <f>'Arrived Shipments'!M288</f>
        <v>45800</v>
      </c>
      <c r="C286" s="140">
        <f>'Arrived Shipments'!R288</f>
        <v>45804</v>
      </c>
      <c r="D286" s="133">
        <f>'Arrived Shipments'!S288</f>
        <v>4</v>
      </c>
    </row>
    <row r="287">
      <c r="A287" s="132"/>
      <c r="B287" s="132">
        <f>'Arrived Shipments'!M289</f>
        <v>45800</v>
      </c>
      <c r="C287" s="140">
        <f>'Arrived Shipments'!R289</f>
        <v>45804</v>
      </c>
      <c r="D287" s="133">
        <f>'Arrived Shipments'!S289</f>
        <v>4</v>
      </c>
    </row>
    <row r="288">
      <c r="A288" s="132"/>
      <c r="B288" s="132">
        <f>'Arrived Shipments'!M290</f>
        <v>45804</v>
      </c>
      <c r="C288" s="140">
        <f>'Arrived Shipments'!R290</f>
        <v>45805</v>
      </c>
      <c r="D288" s="133">
        <f>'Arrived Shipments'!S290</f>
        <v>1</v>
      </c>
    </row>
    <row r="289">
      <c r="A289" s="132"/>
      <c r="B289" s="132">
        <f>'Arrived Shipments'!M291</f>
        <v>45809</v>
      </c>
      <c r="C289" s="140">
        <f>'Arrived Shipments'!R291</f>
        <v>45818</v>
      </c>
      <c r="D289" s="133">
        <f>'Arrived Shipments'!S291</f>
        <v>9</v>
      </c>
    </row>
    <row r="290">
      <c r="A290" s="132"/>
      <c r="B290" s="132">
        <f>'Arrived Shipments'!M292</f>
        <v>45810</v>
      </c>
      <c r="C290" s="140">
        <f>'Arrived Shipments'!R292</f>
        <v>45818</v>
      </c>
      <c r="D290" s="133">
        <f>'Arrived Shipments'!S292</f>
        <v>8</v>
      </c>
    </row>
    <row r="291">
      <c r="A291" s="132"/>
      <c r="B291" s="132">
        <f>'Arrived Shipments'!M293</f>
        <v>45823</v>
      </c>
      <c r="C291" s="140">
        <f>'Arrived Shipments'!R293</f>
        <v>45825</v>
      </c>
      <c r="D291" s="133">
        <f>'Arrived Shipments'!S293</f>
        <v>2</v>
      </c>
    </row>
    <row r="292">
      <c r="A292" s="132"/>
      <c r="B292" s="132">
        <f>'Arrived Shipments'!M294</f>
        <v>45811</v>
      </c>
      <c r="C292" s="140">
        <f>'Arrived Shipments'!R294</f>
        <v>45818</v>
      </c>
      <c r="D292" s="133">
        <f>'Arrived Shipments'!S294</f>
        <v>7</v>
      </c>
    </row>
    <row r="293">
      <c r="A293" s="132"/>
      <c r="B293" s="132">
        <f>'Arrived Shipments'!M295</f>
        <v>45818</v>
      </c>
      <c r="C293" s="140">
        <f>'Arrived Shipments'!R295</f>
        <v>45819</v>
      </c>
      <c r="D293" s="133">
        <f>'Arrived Shipments'!S295</f>
        <v>1</v>
      </c>
    </row>
    <row r="294">
      <c r="A294" s="132"/>
      <c r="B294" s="132">
        <f>'Arrived Shipments'!M296</f>
        <v>45822</v>
      </c>
      <c r="C294" s="140">
        <f>'Arrived Shipments'!R296</f>
        <v>45825</v>
      </c>
      <c r="D294" s="133">
        <f>'Arrived Shipments'!S296</f>
        <v>3</v>
      </c>
    </row>
    <row r="295">
      <c r="A295" s="132"/>
      <c r="B295" s="132">
        <f>'Arrived Shipments'!M297</f>
        <v>45824</v>
      </c>
      <c r="C295" s="140">
        <f>'Arrived Shipments'!R297</f>
        <v>45827</v>
      </c>
      <c r="D295" s="133">
        <f>'Arrived Shipments'!S297</f>
        <v>3</v>
      </c>
    </row>
    <row r="296">
      <c r="A296" s="132"/>
      <c r="B296" s="132">
        <f>'Arrived Shipments'!M298</f>
        <v>45833</v>
      </c>
      <c r="C296" s="140">
        <f>'Arrived Shipments'!R298</f>
        <v>45833</v>
      </c>
      <c r="D296" s="133" t="str">
        <f>'Arrived Shipments'!S298</f>
        <v/>
      </c>
    </row>
    <row r="297">
      <c r="A297" s="132"/>
      <c r="B297" s="132">
        <f>'Arrived Shipments'!M299</f>
        <v>45831</v>
      </c>
      <c r="C297" s="140">
        <f>'Arrived Shipments'!R299</f>
        <v>45833</v>
      </c>
      <c r="D297" s="133">
        <f>'Arrived Shipments'!S299</f>
        <v>2</v>
      </c>
    </row>
    <row r="298">
      <c r="A298" s="132"/>
      <c r="B298" s="132">
        <f>'Arrived Shipments'!M300</f>
        <v>45834</v>
      </c>
      <c r="C298" s="140">
        <f>'Arrived Shipments'!R300</f>
        <v>45833</v>
      </c>
      <c r="D298" s="133" t="str">
        <f>'Arrived Shipments'!S300</f>
        <v/>
      </c>
    </row>
    <row r="299">
      <c r="A299" s="132"/>
      <c r="B299" s="132">
        <f>'Arrived Shipments'!M301</f>
        <v>45834</v>
      </c>
      <c r="C299" s="140">
        <f>'Arrived Shipments'!R301</f>
        <v>45840</v>
      </c>
      <c r="D299" s="133" t="str">
        <f>'Arrived Shipments'!S301</f>
        <v/>
      </c>
    </row>
    <row r="300">
      <c r="A300" s="132"/>
      <c r="B300" s="132">
        <f>'Arrived Shipments'!M302</f>
        <v>45846</v>
      </c>
      <c r="C300" s="140">
        <f>'Arrived Shipments'!R302</f>
        <v>45851</v>
      </c>
      <c r="D300" s="133">
        <f>'Arrived Shipments'!S302</f>
        <v>5</v>
      </c>
    </row>
    <row r="301">
      <c r="A301" s="132"/>
      <c r="B301" s="132">
        <f>'Arrived Shipments'!M303</f>
        <v>45837</v>
      </c>
      <c r="C301" s="140">
        <f>'Arrived Shipments'!R303</f>
        <v>45851</v>
      </c>
      <c r="D301" s="133">
        <f>'Arrived Shipments'!S303</f>
        <v>14</v>
      </c>
    </row>
    <row r="302">
      <c r="A302" s="132"/>
      <c r="B302" s="132">
        <f>'Arrived Shipments'!M304</f>
        <v>45851</v>
      </c>
      <c r="C302" s="140">
        <f>'Arrived Shipments'!R304</f>
        <v>45851</v>
      </c>
      <c r="D302" s="133" t="str">
        <f>'Arrived Shipments'!S304</f>
        <v/>
      </c>
    </row>
    <row r="303">
      <c r="A303" s="132"/>
      <c r="B303" s="132">
        <f>'Arrived Shipments'!M305</f>
        <v>45841</v>
      </c>
      <c r="C303" s="140">
        <f>'Arrived Shipments'!R305</f>
        <v>45939</v>
      </c>
      <c r="D303" s="133">
        <f>'Arrived Shipments'!S305</f>
        <v>98</v>
      </c>
    </row>
    <row r="304">
      <c r="A304" s="132"/>
      <c r="B304" s="132">
        <f>'Arrived Shipments'!M306</f>
        <v>45858</v>
      </c>
      <c r="C304" s="140">
        <f>'Arrived Shipments'!R306</f>
        <v>45872</v>
      </c>
      <c r="D304" s="133">
        <f>'Arrived Shipments'!S306</f>
        <v>14</v>
      </c>
    </row>
    <row r="305">
      <c r="A305" s="132"/>
      <c r="B305" s="132">
        <f>'Arrived Shipments'!M307</f>
        <v>45861</v>
      </c>
      <c r="C305" s="141">
        <f>'Arrived Shipments'!R307</f>
        <v>45861</v>
      </c>
      <c r="D305" s="133" t="str">
        <f>'Arrived Shipments'!S307</f>
        <v/>
      </c>
    </row>
    <row r="306">
      <c r="A306" s="132"/>
      <c r="B306" s="132">
        <f>'Arrived Shipments'!M308</f>
        <v>45848</v>
      </c>
      <c r="C306" s="140">
        <f>'Arrived Shipments'!R308</f>
        <v>45851</v>
      </c>
      <c r="D306" s="133">
        <f>'Arrived Shipments'!S308</f>
        <v>3</v>
      </c>
    </row>
    <row r="307">
      <c r="A307" s="132"/>
      <c r="B307" s="132">
        <f>'Arrived Shipments'!M309</f>
        <v>45855</v>
      </c>
      <c r="C307" s="140">
        <f>'Arrived Shipments'!R309</f>
        <v>45861</v>
      </c>
      <c r="D307" s="133">
        <f>'Arrived Shipments'!S309</f>
        <v>6</v>
      </c>
    </row>
    <row r="308">
      <c r="A308" s="132"/>
      <c r="B308" s="132">
        <f>'Arrived Shipments'!M310</f>
        <v>45851</v>
      </c>
      <c r="C308" s="140">
        <f>'Arrived Shipments'!R310</f>
        <v>45851</v>
      </c>
      <c r="D308" s="133" t="str">
        <f>'Arrived Shipments'!S310</f>
        <v/>
      </c>
    </row>
    <row r="309">
      <c r="A309" s="132"/>
      <c r="B309" s="132">
        <f>'Arrived Shipments'!M311</f>
        <v>45859</v>
      </c>
      <c r="C309" s="140">
        <f>'Arrived Shipments'!R311</f>
        <v>45861</v>
      </c>
      <c r="D309" s="133">
        <f>'Arrived Shipments'!S311</f>
        <v>2</v>
      </c>
    </row>
    <row r="310">
      <c r="A310" s="132"/>
      <c r="B310" s="132">
        <f>'Arrived Shipments'!M312</f>
        <v>45855</v>
      </c>
      <c r="C310" s="140">
        <f>'Arrived Shipments'!R312</f>
        <v>45860</v>
      </c>
      <c r="D310" s="133">
        <f>'Arrived Shipments'!S312</f>
        <v>5</v>
      </c>
    </row>
    <row r="311">
      <c r="A311" s="132"/>
      <c r="B311" s="132">
        <f>'Arrived Shipments'!M313</f>
        <v>45855</v>
      </c>
      <c r="C311" s="140">
        <f>'Arrived Shipments'!R313</f>
        <v>45860</v>
      </c>
      <c r="D311" s="133">
        <f>'Arrived Shipments'!S313</f>
        <v>5</v>
      </c>
    </row>
    <row r="312">
      <c r="A312" s="132"/>
      <c r="B312" s="132">
        <f>'Arrived Shipments'!M314</f>
        <v>45864</v>
      </c>
      <c r="C312" s="140">
        <f>'Arrived Shipments'!R314</f>
        <v>45862</v>
      </c>
      <c r="D312" s="133" t="str">
        <f>'Arrived Shipments'!S314</f>
        <v/>
      </c>
    </row>
    <row r="313">
      <c r="A313" s="132"/>
      <c r="B313" s="132">
        <f>'Arrived Shipments'!M315</f>
        <v>45864</v>
      </c>
      <c r="C313" s="140">
        <f>'Arrived Shipments'!R315</f>
        <v>45862</v>
      </c>
      <c r="D313" s="133" t="str">
        <f>'Arrived Shipments'!S315</f>
        <v/>
      </c>
    </row>
    <row r="314">
      <c r="A314" s="132"/>
      <c r="B314" s="132">
        <f>'Arrived Shipments'!M316</f>
        <v>45867</v>
      </c>
      <c r="C314" s="140">
        <f>'Arrived Shipments'!R316</f>
        <v>45862</v>
      </c>
      <c r="D314" s="133" t="str">
        <f>'Arrived Shipments'!S316</f>
        <v/>
      </c>
    </row>
    <row r="315">
      <c r="A315" s="132"/>
      <c r="B315" s="132">
        <f>'Arrived Shipments'!M317</f>
        <v>45871</v>
      </c>
      <c r="C315" s="140">
        <f>'Arrived Shipments'!R317</f>
        <v>45917</v>
      </c>
      <c r="D315" s="133">
        <f>'Arrived Shipments'!S317</f>
        <v>46</v>
      </c>
    </row>
    <row r="316">
      <c r="A316" s="132"/>
      <c r="B316" s="132">
        <f>'Arrived Shipments'!M318</f>
        <v>45882</v>
      </c>
      <c r="C316" s="140">
        <f>'Arrived Shipments'!R318</f>
        <v>45883</v>
      </c>
      <c r="D316" s="133">
        <f>'Arrived Shipments'!S318</f>
        <v>1</v>
      </c>
    </row>
    <row r="317">
      <c r="A317" s="132"/>
      <c r="B317" s="132">
        <f>'Arrived Shipments'!M319</f>
        <v>45882</v>
      </c>
      <c r="C317" s="140">
        <f>'Arrived Shipments'!R319</f>
        <v>45883</v>
      </c>
      <c r="D317" s="133">
        <f>'Arrived Shipments'!S319</f>
        <v>1</v>
      </c>
    </row>
    <row r="318">
      <c r="A318" s="132"/>
      <c r="B318" s="132">
        <f>'Arrived Shipments'!M320</f>
        <v>45882</v>
      </c>
      <c r="C318" s="140">
        <f>'Arrived Shipments'!R320</f>
        <v>45883</v>
      </c>
      <c r="D318" s="133">
        <f>'Arrived Shipments'!S320</f>
        <v>1</v>
      </c>
    </row>
    <row r="319">
      <c r="A319" s="132"/>
      <c r="B319" s="132">
        <f>'Arrived Shipments'!M321</f>
        <v>45876</v>
      </c>
      <c r="C319" s="140">
        <f>'Arrived Shipments'!R321</f>
        <v>45883</v>
      </c>
      <c r="D319" s="133">
        <f>'Arrived Shipments'!S321</f>
        <v>7</v>
      </c>
    </row>
    <row r="320">
      <c r="A320" s="132"/>
      <c r="B320" s="132">
        <f>'Arrived Shipments'!M322</f>
        <v>45876</v>
      </c>
      <c r="C320" s="140">
        <f>'Arrived Shipments'!R322</f>
        <v>45876</v>
      </c>
      <c r="D320" s="133" t="str">
        <f>'Arrived Shipments'!S322</f>
        <v/>
      </c>
    </row>
    <row r="321">
      <c r="A321" s="132"/>
      <c r="B321" s="132">
        <f>'Arrived Shipments'!M323</f>
        <v>45880</v>
      </c>
      <c r="C321" s="140">
        <f>'Arrived Shipments'!R323</f>
        <v>45876</v>
      </c>
      <c r="D321" s="133" t="str">
        <f>'Arrived Shipments'!S323</f>
        <v/>
      </c>
    </row>
    <row r="322">
      <c r="A322" s="132"/>
      <c r="B322" s="132">
        <f>'Arrived Shipments'!M324</f>
        <v>45876</v>
      </c>
      <c r="C322" s="140">
        <f>'Arrived Shipments'!R324</f>
        <v>45876</v>
      </c>
      <c r="D322" s="133" t="str">
        <f>'Arrived Shipments'!S324</f>
        <v/>
      </c>
    </row>
    <row r="323">
      <c r="A323" s="132"/>
      <c r="B323" s="132">
        <f>'Arrived Shipments'!M325</f>
        <v>45876</v>
      </c>
      <c r="C323" s="140">
        <f>'Arrived Shipments'!R325</f>
        <v>45893</v>
      </c>
      <c r="D323" s="133">
        <f>'Arrived Shipments'!S325</f>
        <v>17</v>
      </c>
    </row>
    <row r="324">
      <c r="A324" s="132"/>
      <c r="B324" s="132">
        <f>'Arrived Shipments'!M326</f>
        <v>45880</v>
      </c>
      <c r="C324" s="140">
        <f>'Arrived Shipments'!R326</f>
        <v>45883</v>
      </c>
      <c r="D324" s="133">
        <f>'Arrived Shipments'!S326</f>
        <v>3</v>
      </c>
    </row>
    <row r="325">
      <c r="A325" s="132"/>
      <c r="B325" s="132">
        <f>'Arrived Shipments'!M327</f>
        <v>45876</v>
      </c>
      <c r="C325" s="140">
        <f>'Arrived Shipments'!R327</f>
        <v>45917</v>
      </c>
      <c r="D325" s="133">
        <f>'Arrived Shipments'!S327</f>
        <v>41</v>
      </c>
    </row>
    <row r="326">
      <c r="A326" s="132"/>
      <c r="B326" s="132">
        <f>'Arrived Shipments'!M328</f>
        <v>45880</v>
      </c>
      <c r="C326" s="140">
        <f>'Arrived Shipments'!R328</f>
        <v>45883</v>
      </c>
      <c r="D326" s="133">
        <f>'Arrived Shipments'!S328</f>
        <v>3</v>
      </c>
    </row>
    <row r="327">
      <c r="A327" s="132"/>
      <c r="B327" s="132">
        <f>'Arrived Shipments'!M329</f>
        <v>45882</v>
      </c>
      <c r="C327" s="140">
        <f>'Arrived Shipments'!R329</f>
        <v>45883</v>
      </c>
      <c r="D327" s="133">
        <f>'Arrived Shipments'!S329</f>
        <v>1</v>
      </c>
    </row>
    <row r="328">
      <c r="A328" s="132"/>
      <c r="B328" s="132">
        <f>'Arrived Shipments'!M330</f>
        <v>45885</v>
      </c>
      <c r="C328" s="140">
        <f>'Arrived Shipments'!R330</f>
        <v>45893</v>
      </c>
      <c r="D328" s="133">
        <f>'Arrived Shipments'!S330</f>
        <v>8</v>
      </c>
    </row>
    <row r="329">
      <c r="A329" s="132"/>
      <c r="B329" s="132">
        <f>'Arrived Shipments'!M331</f>
        <v>45885</v>
      </c>
      <c r="C329" s="140">
        <f>'Arrived Shipments'!R331</f>
        <v>45893</v>
      </c>
      <c r="D329" s="133">
        <f>'Arrived Shipments'!S331</f>
        <v>8</v>
      </c>
    </row>
    <row r="330">
      <c r="A330" s="132"/>
      <c r="B330" s="132">
        <f>'Arrived Shipments'!M332</f>
        <v>45885</v>
      </c>
      <c r="C330" s="140">
        <f>'Arrived Shipments'!R332</f>
        <v>45897</v>
      </c>
      <c r="D330" s="133">
        <f>'Arrived Shipments'!S332</f>
        <v>12</v>
      </c>
    </row>
    <row r="331">
      <c r="A331" s="132"/>
      <c r="B331" s="132">
        <f>'Arrived Shipments'!M333</f>
        <v>45893</v>
      </c>
      <c r="C331" s="140">
        <f>'Arrived Shipments'!R333</f>
        <v>45893</v>
      </c>
      <c r="D331" s="133" t="str">
        <f>'Arrived Shipments'!S333</f>
        <v/>
      </c>
    </row>
    <row r="332">
      <c r="A332" s="132"/>
      <c r="B332" s="132">
        <f>'Arrived Shipments'!M334</f>
        <v>45914</v>
      </c>
      <c r="C332" s="140">
        <f>'Arrived Shipments'!R334</f>
        <v>45922</v>
      </c>
      <c r="D332" s="133">
        <f>'Arrived Shipments'!S334</f>
        <v>8</v>
      </c>
    </row>
    <row r="333">
      <c r="A333" s="132"/>
      <c r="B333" s="132">
        <f>'Arrived Shipments'!M335</f>
        <v>45895</v>
      </c>
      <c r="C333" s="140">
        <f>'Arrived Shipments'!R335</f>
        <v>45910</v>
      </c>
      <c r="D333" s="133">
        <f>'Arrived Shipments'!S335</f>
        <v>15</v>
      </c>
    </row>
    <row r="334">
      <c r="A334" s="132"/>
      <c r="B334" s="132">
        <f>'Arrived Shipments'!M336</f>
        <v>45894</v>
      </c>
      <c r="C334" s="140">
        <f>'Arrived Shipments'!R336</f>
        <v>46178</v>
      </c>
      <c r="D334" s="133">
        <f>'Arrived Shipments'!S336</f>
        <v>284</v>
      </c>
    </row>
    <row r="335">
      <c r="A335" s="132"/>
      <c r="B335" s="132">
        <f>'Arrived Shipments'!M337</f>
        <v>45889</v>
      </c>
      <c r="C335" s="140">
        <f>'Arrived Shipments'!R337</f>
        <v>45893</v>
      </c>
      <c r="D335" s="133">
        <f>'Arrived Shipments'!S337</f>
        <v>4</v>
      </c>
    </row>
    <row r="336">
      <c r="A336" s="132"/>
      <c r="B336" s="132">
        <f>'Arrived Shipments'!M338</f>
        <v>45897</v>
      </c>
      <c r="C336" s="140">
        <f>'Arrived Shipments'!R338</f>
        <v>45897</v>
      </c>
      <c r="D336" s="133" t="str">
        <f>'Arrived Shipments'!S338</f>
        <v/>
      </c>
    </row>
    <row r="337">
      <c r="A337" s="132"/>
      <c r="B337" s="132">
        <f>'Arrived Shipments'!M339</f>
        <v>45906</v>
      </c>
      <c r="C337" s="140">
        <f>'Arrived Shipments'!R339</f>
        <v>45917</v>
      </c>
      <c r="D337" s="133">
        <f>'Arrived Shipments'!S339</f>
        <v>11</v>
      </c>
    </row>
    <row r="338">
      <c r="A338" s="132"/>
      <c r="B338" s="132">
        <f>'Arrived Shipments'!M340</f>
        <v>45910</v>
      </c>
      <c r="C338" s="140">
        <f>'Arrived Shipments'!R340</f>
        <v>45910</v>
      </c>
      <c r="D338" s="133" t="str">
        <f>'Arrived Shipments'!S340</f>
        <v/>
      </c>
    </row>
    <row r="339">
      <c r="A339" s="132"/>
      <c r="B339" s="132">
        <f>'Arrived Shipments'!M341</f>
        <v>45893</v>
      </c>
      <c r="C339" s="140">
        <f>'Arrived Shipments'!R341</f>
        <v>45893</v>
      </c>
      <c r="D339" s="133" t="str">
        <f>'Arrived Shipments'!S341</f>
        <v/>
      </c>
    </row>
    <row r="340">
      <c r="A340" s="132"/>
      <c r="B340" s="132">
        <f>'Arrived Shipments'!M342</f>
        <v>45893</v>
      </c>
      <c r="C340" s="140">
        <f>'Arrived Shipments'!R342</f>
        <v>45893</v>
      </c>
      <c r="D340" s="133" t="str">
        <f>'Arrived Shipments'!S342</f>
        <v/>
      </c>
    </row>
    <row r="341">
      <c r="A341" s="132"/>
      <c r="B341" s="132">
        <f>'Arrived Shipments'!M343</f>
        <v>45908</v>
      </c>
      <c r="C341" s="140">
        <f>'Arrived Shipments'!R343</f>
        <v>45908</v>
      </c>
      <c r="D341" s="133" t="str">
        <f>'Arrived Shipments'!S343</f>
        <v/>
      </c>
    </row>
    <row r="342">
      <c r="A342" s="132"/>
      <c r="B342" s="132">
        <f>'Arrived Shipments'!M344</f>
        <v>45908</v>
      </c>
      <c r="C342" s="140">
        <f>'Arrived Shipments'!R344</f>
        <v>45908</v>
      </c>
      <c r="D342" s="133" t="str">
        <f>'Arrived Shipments'!S344</f>
        <v/>
      </c>
    </row>
    <row r="343">
      <c r="A343" s="132"/>
      <c r="B343" s="132">
        <f>'Arrived Shipments'!M345</f>
        <v>45915</v>
      </c>
      <c r="C343" s="140">
        <f>'Arrived Shipments'!R345</f>
        <v>45922</v>
      </c>
      <c r="D343" s="133">
        <f>'Arrived Shipments'!S345</f>
        <v>7</v>
      </c>
    </row>
    <row r="344">
      <c r="A344" s="132"/>
      <c r="B344" s="132">
        <f>'Arrived Shipments'!M346</f>
        <v>45907</v>
      </c>
      <c r="C344" s="140">
        <f>'Arrived Shipments'!R346</f>
        <v>45911</v>
      </c>
      <c r="D344" s="133">
        <f>'Arrived Shipments'!S346</f>
        <v>4</v>
      </c>
    </row>
    <row r="345">
      <c r="A345" s="132"/>
      <c r="B345" s="132">
        <f>'Arrived Shipments'!M347</f>
        <v>45922</v>
      </c>
      <c r="C345" s="140">
        <f>'Arrived Shipments'!R347</f>
        <v>45922</v>
      </c>
      <c r="D345" s="133" t="str">
        <f>'Arrived Shipments'!S347</f>
        <v/>
      </c>
    </row>
    <row r="346">
      <c r="A346" s="132"/>
      <c r="B346" s="132">
        <f>'Arrived Shipments'!M348</f>
        <v>45911</v>
      </c>
      <c r="C346" s="140">
        <f>'Arrived Shipments'!R348</f>
        <v>45918</v>
      </c>
      <c r="D346" s="133">
        <f>'Arrived Shipments'!S348</f>
        <v>7</v>
      </c>
    </row>
    <row r="347">
      <c r="A347" s="132"/>
      <c r="B347" s="132">
        <f>'Arrived Shipments'!M349</f>
        <v>45922</v>
      </c>
      <c r="C347" s="140">
        <f>'Arrived Shipments'!R349</f>
        <v>45922</v>
      </c>
      <c r="D347" s="133" t="str">
        <f>'Arrived Shipments'!S349</f>
        <v/>
      </c>
    </row>
    <row r="348">
      <c r="A348" s="132"/>
      <c r="B348" s="132">
        <f>'Arrived Shipments'!M350</f>
        <v>45930</v>
      </c>
      <c r="C348" s="140">
        <f>'Arrived Shipments'!R350</f>
        <v>45932</v>
      </c>
      <c r="D348" s="133">
        <f>'Arrived Shipments'!S350</f>
        <v>2</v>
      </c>
    </row>
    <row r="349">
      <c r="A349" s="132"/>
      <c r="B349" s="132">
        <f>'Arrived Shipments'!M351</f>
        <v>45928</v>
      </c>
      <c r="C349" s="140">
        <f>'Arrived Shipments'!R351</f>
        <v>45936</v>
      </c>
      <c r="D349" s="133">
        <f>'Arrived Shipments'!S351</f>
        <v>8</v>
      </c>
    </row>
    <row r="350">
      <c r="A350" s="132"/>
      <c r="B350" s="132">
        <f>'Arrived Shipments'!M352</f>
        <v>45939</v>
      </c>
      <c r="C350" s="140">
        <f>'Arrived Shipments'!R352</f>
        <v>45939</v>
      </c>
      <c r="D350" s="133" t="str">
        <f>'Arrived Shipments'!S352</f>
        <v/>
      </c>
    </row>
    <row r="351">
      <c r="A351" s="132"/>
      <c r="B351" s="132">
        <f>'Arrived Shipments'!M353</f>
        <v>45942</v>
      </c>
      <c r="C351" s="140">
        <f>'Arrived Shipments'!R353</f>
        <v>45946</v>
      </c>
      <c r="D351" s="133">
        <f>'Arrived Shipments'!S353</f>
        <v>4</v>
      </c>
    </row>
    <row r="352">
      <c r="A352" s="132"/>
      <c r="B352" s="132">
        <f>'Arrived Shipments'!M354</f>
        <v>45938</v>
      </c>
      <c r="C352" s="140">
        <f>'Arrived Shipments'!R354</f>
        <v>45942</v>
      </c>
      <c r="D352" s="133">
        <f>'Arrived Shipments'!S354</f>
        <v>4</v>
      </c>
    </row>
    <row r="353">
      <c r="A353" s="132"/>
      <c r="B353" s="132">
        <f>'Arrived Shipments'!M355</f>
        <v>45954</v>
      </c>
      <c r="C353" s="140">
        <f>'Arrived Shipments'!R355</f>
        <v>45953</v>
      </c>
      <c r="D353" s="133" t="str">
        <f>'Arrived Shipments'!S355</f>
        <v/>
      </c>
    </row>
    <row r="354">
      <c r="A354" s="132"/>
      <c r="B354" s="132">
        <f>'Arrived Shipments'!M356</f>
        <v>45940</v>
      </c>
      <c r="C354" s="140">
        <f>'Arrived Shipments'!R356</f>
        <v>45939</v>
      </c>
      <c r="D354" s="133" t="str">
        <f>'Arrived Shipments'!S356</f>
        <v/>
      </c>
    </row>
    <row r="355">
      <c r="A355" s="132"/>
      <c r="B355" s="132"/>
    </row>
    <row r="356">
      <c r="A356" s="132"/>
      <c r="B356" s="132"/>
    </row>
    <row r="357">
      <c r="A357" s="132"/>
      <c r="B357" s="132"/>
    </row>
    <row r="358">
      <c r="A358" s="132"/>
      <c r="B358" s="132"/>
    </row>
    <row r="359">
      <c r="A359" s="132"/>
      <c r="B359" s="132"/>
    </row>
    <row r="360">
      <c r="A360" s="132"/>
      <c r="B360" s="132"/>
    </row>
    <row r="361">
      <c r="A361" s="132"/>
      <c r="B361" s="132"/>
    </row>
    <row r="362">
      <c r="A362" s="132"/>
      <c r="B362" s="132"/>
    </row>
    <row r="363">
      <c r="A363" s="132"/>
      <c r="B363" s="132"/>
    </row>
    <row r="364">
      <c r="A364" s="132"/>
      <c r="B364" s="132"/>
    </row>
    <row r="365">
      <c r="A365" s="132"/>
      <c r="B365" s="132"/>
    </row>
    <row r="366">
      <c r="A366" s="132"/>
      <c r="B366" s="132"/>
    </row>
    <row r="367">
      <c r="A367" s="132"/>
      <c r="B367" s="132"/>
    </row>
    <row r="368">
      <c r="A368" s="132"/>
      <c r="B368" s="132"/>
    </row>
    <row r="369">
      <c r="A369" s="132"/>
      <c r="B369" s="132"/>
    </row>
    <row r="370">
      <c r="A370" s="132"/>
      <c r="B370" s="132"/>
    </row>
    <row r="371">
      <c r="A371" s="132"/>
      <c r="B371" s="132"/>
    </row>
    <row r="372">
      <c r="A372" s="132"/>
      <c r="B372" s="132"/>
    </row>
    <row r="373">
      <c r="A373" s="132"/>
      <c r="B373" s="132"/>
    </row>
    <row r="374">
      <c r="A374" s="132"/>
      <c r="B374" s="132"/>
    </row>
    <row r="375">
      <c r="A375" s="132"/>
      <c r="B375" s="132"/>
    </row>
    <row r="376">
      <c r="A376" s="132"/>
      <c r="B376" s="132"/>
    </row>
    <row r="377">
      <c r="A377" s="132"/>
      <c r="B377" s="132"/>
    </row>
    <row r="378">
      <c r="A378" s="132"/>
      <c r="B378" s="132"/>
    </row>
    <row r="379">
      <c r="A379" s="132"/>
      <c r="B379" s="132"/>
    </row>
    <row r="380">
      <c r="A380" s="132"/>
      <c r="B380" s="132"/>
    </row>
    <row r="381">
      <c r="A381" s="132"/>
      <c r="B381" s="132"/>
    </row>
    <row r="382">
      <c r="A382" s="132"/>
      <c r="B382" s="132"/>
    </row>
    <row r="383">
      <c r="A383" s="132"/>
      <c r="B383" s="132"/>
    </row>
    <row r="384">
      <c r="A384" s="132"/>
      <c r="B384" s="132"/>
    </row>
    <row r="385">
      <c r="A385" s="132"/>
      <c r="B385" s="132"/>
    </row>
    <row r="386">
      <c r="A386" s="132"/>
      <c r="B386" s="132"/>
    </row>
    <row r="387">
      <c r="A387" s="132"/>
      <c r="B387" s="132"/>
    </row>
    <row r="388">
      <c r="A388" s="132"/>
      <c r="B388" s="132"/>
    </row>
    <row r="389">
      <c r="A389" s="132"/>
      <c r="B389" s="132"/>
    </row>
    <row r="390">
      <c r="A390" s="132"/>
      <c r="B390" s="132"/>
    </row>
    <row r="391">
      <c r="A391" s="132"/>
      <c r="B391" s="132"/>
    </row>
    <row r="392">
      <c r="A392" s="132"/>
      <c r="B392" s="132"/>
    </row>
    <row r="393">
      <c r="A393" s="132"/>
      <c r="B393" s="132"/>
    </row>
    <row r="394">
      <c r="A394" s="132"/>
      <c r="B394" s="132"/>
    </row>
    <row r="395">
      <c r="A395" s="132"/>
      <c r="B395" s="132"/>
    </row>
    <row r="396">
      <c r="A396" s="132"/>
      <c r="B396" s="132"/>
    </row>
    <row r="397">
      <c r="A397" s="132"/>
      <c r="B397" s="132"/>
    </row>
    <row r="398">
      <c r="A398" s="132"/>
      <c r="B398" s="132"/>
    </row>
    <row r="399">
      <c r="A399" s="132"/>
      <c r="B399" s="132"/>
    </row>
    <row r="400">
      <c r="A400" s="132"/>
      <c r="B400" s="132"/>
    </row>
    <row r="401">
      <c r="A401" s="132"/>
      <c r="B401" s="132"/>
    </row>
    <row r="402">
      <c r="A402" s="132"/>
      <c r="B402" s="132"/>
    </row>
    <row r="403">
      <c r="A403" s="132"/>
      <c r="B403" s="132"/>
    </row>
    <row r="404">
      <c r="A404" s="132"/>
      <c r="B404" s="132"/>
    </row>
    <row r="405">
      <c r="A405" s="132"/>
      <c r="B405" s="132"/>
    </row>
    <row r="406">
      <c r="A406" s="132"/>
      <c r="B406" s="132"/>
    </row>
    <row r="407">
      <c r="A407" s="132"/>
      <c r="B407" s="132"/>
    </row>
    <row r="408">
      <c r="A408" s="132"/>
      <c r="B408" s="132"/>
    </row>
    <row r="409">
      <c r="A409" s="132"/>
      <c r="B409" s="132"/>
    </row>
    <row r="410">
      <c r="A410" s="132"/>
      <c r="B410" s="132"/>
    </row>
    <row r="411">
      <c r="A411" s="132"/>
      <c r="B411" s="132"/>
    </row>
    <row r="412">
      <c r="A412" s="132"/>
      <c r="B412" s="132"/>
    </row>
    <row r="413">
      <c r="A413" s="132"/>
      <c r="B413" s="132"/>
    </row>
    <row r="414">
      <c r="A414" s="132"/>
      <c r="B414" s="132"/>
    </row>
    <row r="415">
      <c r="A415" s="132"/>
      <c r="B415" s="132"/>
    </row>
    <row r="416">
      <c r="A416" s="132"/>
      <c r="B416" s="132"/>
    </row>
    <row r="417">
      <c r="A417" s="132"/>
      <c r="B417" s="132"/>
    </row>
    <row r="418">
      <c r="A418" s="132"/>
      <c r="B418" s="132"/>
    </row>
    <row r="419">
      <c r="A419" s="132"/>
      <c r="B419" s="132"/>
    </row>
    <row r="420">
      <c r="A420" s="132"/>
      <c r="B420" s="132"/>
    </row>
    <row r="421">
      <c r="A421" s="132"/>
      <c r="B421" s="132"/>
    </row>
    <row r="422">
      <c r="A422" s="132"/>
      <c r="B422" s="132"/>
    </row>
    <row r="423">
      <c r="A423" s="132"/>
      <c r="B423" s="132"/>
    </row>
    <row r="424">
      <c r="A424" s="132"/>
      <c r="B424" s="132"/>
    </row>
    <row r="425">
      <c r="A425" s="132"/>
      <c r="B425" s="132"/>
    </row>
    <row r="426">
      <c r="A426" s="132"/>
      <c r="B426" s="132"/>
    </row>
    <row r="427">
      <c r="A427" s="132"/>
      <c r="B427" s="132"/>
    </row>
    <row r="428">
      <c r="A428" s="132"/>
      <c r="B428" s="132"/>
    </row>
    <row r="429">
      <c r="A429" s="132"/>
      <c r="B429" s="132"/>
    </row>
    <row r="430">
      <c r="A430" s="132"/>
      <c r="B430" s="132"/>
    </row>
    <row r="431">
      <c r="A431" s="132"/>
      <c r="B431" s="132"/>
    </row>
    <row r="432">
      <c r="A432" s="132"/>
      <c r="B432" s="132"/>
    </row>
    <row r="433">
      <c r="A433" s="132"/>
      <c r="B433" s="132"/>
    </row>
    <row r="434">
      <c r="A434" s="132"/>
      <c r="B434" s="132"/>
    </row>
    <row r="435">
      <c r="A435" s="132"/>
      <c r="B435" s="132"/>
    </row>
    <row r="436">
      <c r="A436" s="132"/>
      <c r="B436" s="132"/>
    </row>
    <row r="437">
      <c r="A437" s="132"/>
      <c r="B437" s="132"/>
    </row>
    <row r="438">
      <c r="A438" s="132"/>
      <c r="B438" s="132"/>
    </row>
    <row r="439">
      <c r="A439" s="132"/>
      <c r="B439" s="132"/>
    </row>
    <row r="440">
      <c r="A440" s="132"/>
      <c r="B440" s="132"/>
    </row>
    <row r="441">
      <c r="A441" s="132"/>
      <c r="B441" s="132"/>
    </row>
    <row r="442">
      <c r="A442" s="132"/>
      <c r="B442" s="132"/>
    </row>
    <row r="443">
      <c r="A443" s="132"/>
      <c r="B443" s="132"/>
    </row>
    <row r="444">
      <c r="A444" s="132"/>
      <c r="B444" s="132"/>
    </row>
    <row r="445">
      <c r="A445" s="132"/>
      <c r="B445" s="132"/>
    </row>
    <row r="446">
      <c r="A446" s="132"/>
      <c r="B446" s="132"/>
    </row>
    <row r="447">
      <c r="A447" s="132"/>
      <c r="B447" s="132"/>
    </row>
    <row r="448">
      <c r="A448" s="132"/>
      <c r="B448" s="132"/>
    </row>
    <row r="449">
      <c r="A449" s="132"/>
      <c r="B449" s="132"/>
    </row>
    <row r="450">
      <c r="A450" s="132"/>
      <c r="B450" s="132"/>
    </row>
    <row r="451">
      <c r="A451" s="132"/>
      <c r="B451" s="132"/>
    </row>
    <row r="452">
      <c r="A452" s="132"/>
      <c r="B452" s="132"/>
    </row>
    <row r="453">
      <c r="A453" s="132"/>
      <c r="B453" s="132"/>
    </row>
    <row r="454">
      <c r="A454" s="132"/>
      <c r="B454" s="132"/>
    </row>
    <row r="455">
      <c r="A455" s="132"/>
      <c r="B455" s="132"/>
    </row>
    <row r="456">
      <c r="A456" s="132"/>
      <c r="B456" s="132"/>
    </row>
    <row r="457">
      <c r="A457" s="132"/>
      <c r="B457" s="132"/>
    </row>
    <row r="458">
      <c r="A458" s="132"/>
      <c r="B458" s="132"/>
    </row>
    <row r="459">
      <c r="A459" s="132"/>
      <c r="B459" s="132"/>
    </row>
    <row r="460">
      <c r="A460" s="132"/>
      <c r="B460" s="132"/>
    </row>
    <row r="461">
      <c r="A461" s="132"/>
      <c r="B461" s="132"/>
    </row>
    <row r="462">
      <c r="A462" s="132"/>
      <c r="B462" s="132"/>
    </row>
    <row r="463">
      <c r="A463" s="132"/>
      <c r="B463" s="132"/>
    </row>
    <row r="464">
      <c r="A464" s="132"/>
      <c r="B464" s="132"/>
    </row>
    <row r="465">
      <c r="A465" s="132"/>
      <c r="B465" s="132"/>
    </row>
    <row r="466">
      <c r="A466" s="132"/>
      <c r="B466" s="132"/>
    </row>
    <row r="467">
      <c r="A467" s="132"/>
      <c r="B467" s="132"/>
    </row>
    <row r="468">
      <c r="A468" s="132"/>
      <c r="B468" s="132"/>
    </row>
    <row r="469">
      <c r="A469" s="132"/>
      <c r="B469" s="132"/>
    </row>
    <row r="470">
      <c r="A470" s="132"/>
      <c r="B470" s="132"/>
    </row>
    <row r="471">
      <c r="A471" s="132"/>
      <c r="B471" s="132"/>
    </row>
    <row r="472">
      <c r="A472" s="132"/>
      <c r="B472" s="132"/>
    </row>
    <row r="473">
      <c r="A473" s="132"/>
      <c r="B473" s="132"/>
    </row>
    <row r="474">
      <c r="A474" s="132"/>
      <c r="B474" s="132"/>
    </row>
    <row r="475">
      <c r="A475" s="132"/>
      <c r="B475" s="132"/>
    </row>
    <row r="476">
      <c r="A476" s="132"/>
      <c r="B476" s="132"/>
    </row>
    <row r="477">
      <c r="A477" s="132"/>
      <c r="B477" s="132"/>
    </row>
    <row r="478">
      <c r="A478" s="132"/>
      <c r="B478" s="132"/>
    </row>
    <row r="479">
      <c r="A479" s="132"/>
      <c r="B479" s="132"/>
    </row>
    <row r="480">
      <c r="A480" s="132"/>
      <c r="B480" s="132"/>
    </row>
    <row r="481">
      <c r="A481" s="132"/>
      <c r="B481" s="132"/>
    </row>
    <row r="482">
      <c r="A482" s="132"/>
      <c r="B482" s="132"/>
    </row>
    <row r="483">
      <c r="A483" s="132"/>
      <c r="B483" s="132"/>
    </row>
    <row r="484">
      <c r="A484" s="132"/>
      <c r="B484" s="132"/>
    </row>
    <row r="485">
      <c r="A485" s="132"/>
      <c r="B485" s="132"/>
    </row>
    <row r="486">
      <c r="A486" s="132"/>
      <c r="B486" s="132"/>
    </row>
    <row r="487">
      <c r="A487" s="132"/>
      <c r="B487" s="132"/>
    </row>
    <row r="488">
      <c r="A488" s="132"/>
      <c r="B488" s="132"/>
    </row>
    <row r="489">
      <c r="A489" s="132"/>
      <c r="B489" s="132"/>
    </row>
    <row r="490">
      <c r="A490" s="132"/>
      <c r="B490" s="132"/>
    </row>
    <row r="491">
      <c r="A491" s="132"/>
      <c r="B491" s="132"/>
    </row>
    <row r="492">
      <c r="A492" s="132"/>
      <c r="B492" s="132"/>
    </row>
    <row r="493">
      <c r="A493" s="132"/>
      <c r="B493" s="132"/>
    </row>
    <row r="494">
      <c r="A494" s="132"/>
      <c r="B494" s="132"/>
    </row>
    <row r="495">
      <c r="A495" s="132"/>
      <c r="B495" s="132"/>
    </row>
    <row r="496">
      <c r="A496" s="132"/>
      <c r="B496" s="132"/>
    </row>
    <row r="497">
      <c r="A497" s="132"/>
      <c r="B497" s="132"/>
    </row>
    <row r="498">
      <c r="A498" s="132"/>
      <c r="B498" s="132"/>
    </row>
    <row r="499">
      <c r="A499" s="132"/>
      <c r="B499" s="132"/>
    </row>
    <row r="500">
      <c r="A500" s="132"/>
      <c r="B500" s="132"/>
    </row>
    <row r="501">
      <c r="A501" s="132"/>
      <c r="B501" s="132"/>
    </row>
    <row r="502">
      <c r="A502" s="132"/>
      <c r="B502" s="132"/>
    </row>
    <row r="503">
      <c r="A503" s="132"/>
      <c r="B503" s="132"/>
    </row>
    <row r="504">
      <c r="A504" s="132"/>
      <c r="B504" s="132"/>
    </row>
    <row r="505">
      <c r="A505" s="132"/>
      <c r="B505" s="132"/>
    </row>
    <row r="506">
      <c r="A506" s="132"/>
      <c r="B506" s="132"/>
    </row>
    <row r="507">
      <c r="A507" s="132"/>
      <c r="B507" s="132"/>
    </row>
    <row r="508">
      <c r="A508" s="132"/>
      <c r="B508" s="132"/>
    </row>
    <row r="509">
      <c r="A509" s="132"/>
      <c r="B509" s="132"/>
    </row>
    <row r="510">
      <c r="A510" s="132"/>
      <c r="B510" s="132"/>
    </row>
    <row r="511">
      <c r="A511" s="132"/>
      <c r="B511" s="132"/>
    </row>
    <row r="512">
      <c r="A512" s="132"/>
      <c r="B512" s="132"/>
    </row>
    <row r="513">
      <c r="A513" s="132"/>
      <c r="B513" s="132"/>
    </row>
    <row r="514">
      <c r="A514" s="132"/>
      <c r="B514" s="132"/>
    </row>
    <row r="515">
      <c r="A515" s="132"/>
      <c r="B515" s="132"/>
    </row>
    <row r="516">
      <c r="A516" s="132"/>
      <c r="B516" s="132"/>
    </row>
    <row r="517">
      <c r="A517" s="132"/>
      <c r="B517" s="132"/>
    </row>
    <row r="518">
      <c r="A518" s="132"/>
      <c r="B518" s="132"/>
    </row>
    <row r="519">
      <c r="A519" s="132"/>
      <c r="B519" s="132"/>
    </row>
    <row r="520">
      <c r="A520" s="132"/>
      <c r="B520" s="132"/>
    </row>
    <row r="521">
      <c r="A521" s="132"/>
      <c r="B521" s="132"/>
    </row>
    <row r="522">
      <c r="A522" s="132"/>
      <c r="B522" s="132"/>
    </row>
    <row r="523">
      <c r="A523" s="132"/>
      <c r="B523" s="132"/>
    </row>
    <row r="524">
      <c r="A524" s="132"/>
      <c r="B524" s="132"/>
    </row>
    <row r="525">
      <c r="A525" s="132"/>
      <c r="B525" s="132"/>
    </row>
    <row r="526">
      <c r="A526" s="132"/>
      <c r="B526" s="132"/>
    </row>
    <row r="527">
      <c r="A527" s="132"/>
      <c r="B527" s="132"/>
    </row>
    <row r="528">
      <c r="A528" s="132"/>
      <c r="B528" s="132"/>
    </row>
    <row r="529">
      <c r="A529" s="132"/>
      <c r="B529" s="132"/>
    </row>
    <row r="530">
      <c r="A530" s="132"/>
      <c r="B530" s="132"/>
    </row>
    <row r="531">
      <c r="A531" s="132"/>
      <c r="B531" s="132"/>
    </row>
    <row r="532">
      <c r="A532" s="132"/>
      <c r="B532" s="132"/>
    </row>
    <row r="533">
      <c r="A533" s="132"/>
      <c r="B533" s="132"/>
    </row>
    <row r="534">
      <c r="A534" s="132"/>
      <c r="B534" s="132"/>
    </row>
    <row r="535">
      <c r="A535" s="132"/>
      <c r="B535" s="132"/>
    </row>
    <row r="536">
      <c r="A536" s="132"/>
      <c r="B536" s="132"/>
    </row>
    <row r="537">
      <c r="A537" s="132"/>
      <c r="B537" s="132"/>
    </row>
    <row r="538">
      <c r="A538" s="132"/>
      <c r="B538" s="132"/>
    </row>
    <row r="539">
      <c r="A539" s="132"/>
      <c r="B539" s="132"/>
    </row>
    <row r="540">
      <c r="A540" s="132"/>
      <c r="B540" s="132"/>
    </row>
    <row r="541">
      <c r="A541" s="132"/>
      <c r="B541" s="132"/>
    </row>
    <row r="542">
      <c r="A542" s="132"/>
      <c r="B542" s="132"/>
    </row>
    <row r="543">
      <c r="A543" s="132"/>
      <c r="B543" s="132"/>
    </row>
    <row r="544">
      <c r="A544" s="132"/>
      <c r="B544" s="132"/>
    </row>
    <row r="545">
      <c r="A545" s="132"/>
      <c r="B545" s="132"/>
    </row>
    <row r="546">
      <c r="A546" s="132"/>
      <c r="B546" s="132"/>
    </row>
    <row r="547">
      <c r="A547" s="132"/>
      <c r="B547" s="132"/>
    </row>
    <row r="548">
      <c r="A548" s="132"/>
      <c r="B548" s="132"/>
    </row>
    <row r="549">
      <c r="A549" s="132"/>
      <c r="B549" s="132"/>
    </row>
    <row r="550">
      <c r="A550" s="132"/>
      <c r="B550" s="132"/>
    </row>
    <row r="551">
      <c r="A551" s="132"/>
      <c r="B551" s="132"/>
    </row>
    <row r="552">
      <c r="A552" s="132"/>
      <c r="B552" s="132"/>
    </row>
    <row r="553">
      <c r="A553" s="132"/>
      <c r="B553" s="132"/>
    </row>
    <row r="554">
      <c r="A554" s="132"/>
      <c r="B554" s="132"/>
    </row>
    <row r="555">
      <c r="A555" s="132"/>
      <c r="B555" s="132"/>
    </row>
    <row r="556">
      <c r="A556" s="132"/>
      <c r="B556" s="132"/>
    </row>
    <row r="557">
      <c r="A557" s="132"/>
      <c r="B557" s="132"/>
    </row>
    <row r="558">
      <c r="A558" s="132"/>
      <c r="B558" s="132"/>
    </row>
    <row r="559">
      <c r="A559" s="132"/>
      <c r="B559" s="132"/>
    </row>
    <row r="560">
      <c r="A560" s="132"/>
      <c r="B560" s="132"/>
    </row>
    <row r="561">
      <c r="A561" s="132"/>
      <c r="B561" s="132"/>
    </row>
    <row r="562">
      <c r="A562" s="132"/>
      <c r="B562" s="132"/>
    </row>
    <row r="563">
      <c r="A563" s="132"/>
      <c r="B563" s="132"/>
    </row>
    <row r="564">
      <c r="A564" s="132"/>
      <c r="B564" s="132"/>
    </row>
    <row r="565">
      <c r="A565" s="132"/>
      <c r="B565" s="132"/>
    </row>
    <row r="566">
      <c r="A566" s="132"/>
      <c r="B566" s="132"/>
    </row>
    <row r="567">
      <c r="A567" s="132"/>
      <c r="B567" s="132"/>
    </row>
    <row r="568">
      <c r="A568" s="132"/>
      <c r="B568" s="132"/>
    </row>
    <row r="569">
      <c r="A569" s="132"/>
      <c r="B569" s="132"/>
    </row>
    <row r="570">
      <c r="A570" s="132"/>
      <c r="B570" s="132"/>
    </row>
    <row r="571">
      <c r="A571" s="132"/>
      <c r="B571" s="132"/>
    </row>
    <row r="572">
      <c r="A572" s="132"/>
      <c r="B572" s="132"/>
    </row>
    <row r="573">
      <c r="A573" s="132"/>
      <c r="B573" s="132"/>
    </row>
    <row r="574">
      <c r="A574" s="132"/>
      <c r="B574" s="132"/>
    </row>
    <row r="575">
      <c r="A575" s="132"/>
      <c r="B575" s="132"/>
    </row>
    <row r="576">
      <c r="A576" s="132"/>
      <c r="B576" s="132"/>
    </row>
    <row r="577">
      <c r="A577" s="132"/>
      <c r="B577" s="132"/>
    </row>
    <row r="578">
      <c r="A578" s="132"/>
      <c r="B578" s="132"/>
    </row>
    <row r="579">
      <c r="A579" s="132"/>
      <c r="B579" s="132"/>
    </row>
    <row r="580">
      <c r="A580" s="132"/>
      <c r="B580" s="132"/>
    </row>
    <row r="581">
      <c r="A581" s="132"/>
      <c r="B581" s="132"/>
    </row>
    <row r="582">
      <c r="A582" s="132"/>
      <c r="B582" s="132"/>
    </row>
    <row r="583">
      <c r="A583" s="132"/>
      <c r="B583" s="132"/>
    </row>
    <row r="584">
      <c r="A584" s="132"/>
      <c r="B584" s="132"/>
    </row>
    <row r="585">
      <c r="A585" s="132"/>
      <c r="B585" s="132"/>
    </row>
    <row r="586">
      <c r="A586" s="132"/>
      <c r="B586" s="132"/>
    </row>
    <row r="587">
      <c r="A587" s="132"/>
      <c r="B587" s="132"/>
    </row>
    <row r="588">
      <c r="A588" s="132"/>
      <c r="B588" s="132"/>
    </row>
    <row r="589">
      <c r="A589" s="132"/>
      <c r="B589" s="132"/>
    </row>
    <row r="590">
      <c r="A590" s="132"/>
      <c r="B590" s="132"/>
    </row>
    <row r="591">
      <c r="A591" s="132"/>
      <c r="B591" s="132"/>
    </row>
    <row r="592">
      <c r="A592" s="132"/>
      <c r="B592" s="132"/>
    </row>
    <row r="593">
      <c r="A593" s="132"/>
      <c r="B593" s="132"/>
    </row>
    <row r="594">
      <c r="A594" s="132"/>
      <c r="B594" s="132"/>
    </row>
    <row r="595">
      <c r="A595" s="132"/>
      <c r="B595" s="132"/>
    </row>
    <row r="596">
      <c r="A596" s="132"/>
      <c r="B596" s="132"/>
    </row>
    <row r="597">
      <c r="A597" s="132"/>
      <c r="B597" s="132"/>
    </row>
    <row r="598">
      <c r="A598" s="132"/>
      <c r="B598" s="132"/>
    </row>
    <row r="599">
      <c r="A599" s="132"/>
      <c r="B599" s="132"/>
    </row>
    <row r="600">
      <c r="A600" s="132"/>
      <c r="B600" s="132"/>
    </row>
    <row r="601">
      <c r="A601" s="132"/>
      <c r="B601" s="132"/>
    </row>
    <row r="602">
      <c r="A602" s="132"/>
      <c r="B602" s="132"/>
    </row>
    <row r="603">
      <c r="A603" s="132"/>
      <c r="B603" s="132"/>
    </row>
    <row r="604">
      <c r="A604" s="132"/>
      <c r="B604" s="132"/>
    </row>
    <row r="605">
      <c r="A605" s="132"/>
      <c r="B605" s="132"/>
    </row>
    <row r="606">
      <c r="A606" s="132"/>
      <c r="B606" s="132"/>
    </row>
    <row r="607">
      <c r="A607" s="132"/>
      <c r="B607" s="132"/>
    </row>
    <row r="608">
      <c r="A608" s="132"/>
      <c r="B608" s="132"/>
    </row>
    <row r="609">
      <c r="A609" s="132"/>
      <c r="B609" s="132"/>
    </row>
    <row r="610">
      <c r="A610" s="132"/>
      <c r="B610" s="132"/>
    </row>
    <row r="611">
      <c r="A611" s="132"/>
      <c r="B611" s="132"/>
    </row>
    <row r="612">
      <c r="A612" s="132"/>
      <c r="B612" s="132"/>
    </row>
    <row r="613">
      <c r="A613" s="132"/>
      <c r="B613" s="132"/>
    </row>
    <row r="614">
      <c r="A614" s="132"/>
      <c r="B614" s="132"/>
    </row>
    <row r="615">
      <c r="A615" s="132"/>
      <c r="B615" s="132"/>
    </row>
    <row r="616">
      <c r="A616" s="132"/>
      <c r="B616" s="132"/>
    </row>
    <row r="617">
      <c r="A617" s="132"/>
      <c r="B617" s="132"/>
    </row>
    <row r="618">
      <c r="A618" s="132"/>
      <c r="B618" s="132"/>
    </row>
    <row r="619">
      <c r="A619" s="132"/>
      <c r="B619" s="132"/>
    </row>
    <row r="620">
      <c r="A620" s="132"/>
      <c r="B620" s="132"/>
    </row>
    <row r="621">
      <c r="A621" s="132"/>
      <c r="B621" s="132"/>
    </row>
    <row r="622">
      <c r="A622" s="132"/>
      <c r="B622" s="132"/>
    </row>
    <row r="623">
      <c r="A623" s="132"/>
      <c r="B623" s="132"/>
    </row>
    <row r="624">
      <c r="A624" s="132"/>
      <c r="B624" s="132"/>
    </row>
    <row r="625">
      <c r="A625" s="132"/>
      <c r="B625" s="132"/>
    </row>
    <row r="626">
      <c r="A626" s="132"/>
      <c r="B626" s="132"/>
    </row>
    <row r="627">
      <c r="A627" s="132"/>
      <c r="B627" s="132"/>
    </row>
    <row r="628">
      <c r="A628" s="132"/>
      <c r="B628" s="132"/>
    </row>
    <row r="629">
      <c r="A629" s="132"/>
      <c r="B629" s="132"/>
    </row>
    <row r="630">
      <c r="A630" s="132"/>
      <c r="B630" s="132"/>
    </row>
    <row r="631">
      <c r="A631" s="132"/>
      <c r="B631" s="132"/>
    </row>
    <row r="632">
      <c r="A632" s="132"/>
      <c r="B632" s="132"/>
    </row>
    <row r="633">
      <c r="A633" s="132"/>
      <c r="B633" s="132"/>
    </row>
    <row r="634">
      <c r="A634" s="132"/>
      <c r="B634" s="132"/>
    </row>
    <row r="635">
      <c r="A635" s="132"/>
      <c r="B635" s="132"/>
    </row>
    <row r="636">
      <c r="A636" s="132"/>
      <c r="B636" s="132"/>
    </row>
    <row r="637">
      <c r="A637" s="132"/>
      <c r="B637" s="132"/>
    </row>
    <row r="638">
      <c r="A638" s="132"/>
      <c r="B638" s="132"/>
    </row>
    <row r="639">
      <c r="A639" s="132"/>
      <c r="B639" s="132"/>
    </row>
    <row r="640">
      <c r="A640" s="132"/>
      <c r="B640" s="132"/>
    </row>
    <row r="641">
      <c r="A641" s="132"/>
      <c r="B641" s="132"/>
    </row>
    <row r="642">
      <c r="A642" s="132"/>
      <c r="B642" s="132"/>
    </row>
    <row r="643">
      <c r="A643" s="132"/>
      <c r="B643" s="132"/>
    </row>
    <row r="644">
      <c r="A644" s="132"/>
      <c r="B644" s="132"/>
    </row>
    <row r="645">
      <c r="A645" s="132"/>
      <c r="B645" s="132"/>
    </row>
    <row r="646">
      <c r="A646" s="132"/>
      <c r="B646" s="132"/>
    </row>
    <row r="647">
      <c r="A647" s="132"/>
      <c r="B647" s="132"/>
    </row>
    <row r="648">
      <c r="A648" s="132"/>
      <c r="B648" s="132"/>
    </row>
    <row r="649">
      <c r="A649" s="132"/>
      <c r="B649" s="132"/>
    </row>
    <row r="650">
      <c r="A650" s="132"/>
      <c r="B650" s="132"/>
    </row>
    <row r="651">
      <c r="A651" s="132"/>
      <c r="B651" s="132"/>
    </row>
    <row r="652">
      <c r="A652" s="132"/>
      <c r="B652" s="132"/>
    </row>
    <row r="653">
      <c r="A653" s="132"/>
      <c r="B653" s="132"/>
    </row>
    <row r="654">
      <c r="A654" s="132"/>
      <c r="B654" s="132"/>
    </row>
    <row r="655">
      <c r="A655" s="132"/>
      <c r="B655" s="132"/>
    </row>
    <row r="656">
      <c r="A656" s="132"/>
      <c r="B656" s="132"/>
    </row>
    <row r="657">
      <c r="A657" s="132"/>
      <c r="B657" s="132"/>
    </row>
    <row r="658">
      <c r="A658" s="132"/>
      <c r="B658" s="132"/>
    </row>
    <row r="659">
      <c r="A659" s="132"/>
      <c r="B659" s="132"/>
    </row>
    <row r="660">
      <c r="A660" s="132"/>
      <c r="B660" s="132"/>
    </row>
    <row r="661">
      <c r="A661" s="132"/>
      <c r="B661" s="132"/>
    </row>
    <row r="662">
      <c r="A662" s="132"/>
      <c r="B662" s="132"/>
    </row>
    <row r="663">
      <c r="A663" s="132"/>
      <c r="B663" s="132"/>
    </row>
    <row r="664">
      <c r="A664" s="132"/>
      <c r="B664" s="132"/>
    </row>
    <row r="665">
      <c r="A665" s="132"/>
      <c r="B665" s="132"/>
    </row>
    <row r="666">
      <c r="A666" s="132"/>
      <c r="B666" s="132"/>
    </row>
    <row r="667">
      <c r="A667" s="132"/>
      <c r="B667" s="132"/>
    </row>
    <row r="668">
      <c r="A668" s="132"/>
      <c r="B668" s="132"/>
    </row>
    <row r="669">
      <c r="A669" s="132"/>
      <c r="B669" s="132"/>
    </row>
    <row r="670">
      <c r="A670" s="132"/>
      <c r="B670" s="132"/>
    </row>
    <row r="671">
      <c r="A671" s="132"/>
      <c r="B671" s="132"/>
    </row>
    <row r="672">
      <c r="A672" s="132"/>
      <c r="B672" s="132"/>
    </row>
    <row r="673">
      <c r="A673" s="132"/>
      <c r="B673" s="132"/>
    </row>
    <row r="674">
      <c r="A674" s="132"/>
      <c r="B674" s="132"/>
    </row>
    <row r="675">
      <c r="A675" s="132"/>
      <c r="B675" s="132"/>
    </row>
    <row r="676">
      <c r="A676" s="132"/>
      <c r="B676" s="132"/>
    </row>
    <row r="677">
      <c r="A677" s="132"/>
      <c r="B677" s="132"/>
    </row>
    <row r="678">
      <c r="A678" s="132"/>
      <c r="B678" s="132"/>
    </row>
    <row r="679">
      <c r="A679" s="132"/>
      <c r="B679" s="132"/>
    </row>
    <row r="680">
      <c r="A680" s="132"/>
      <c r="B680" s="132"/>
    </row>
    <row r="681">
      <c r="A681" s="132"/>
      <c r="B681" s="132"/>
    </row>
    <row r="682">
      <c r="A682" s="132"/>
      <c r="B682" s="132"/>
    </row>
    <row r="683">
      <c r="A683" s="132"/>
      <c r="B683" s="132"/>
    </row>
    <row r="684">
      <c r="A684" s="132"/>
      <c r="B684" s="132"/>
    </row>
    <row r="685">
      <c r="A685" s="132"/>
      <c r="B685" s="132"/>
    </row>
    <row r="686">
      <c r="A686" s="132"/>
      <c r="B686" s="132"/>
    </row>
    <row r="687">
      <c r="A687" s="132"/>
      <c r="B687" s="132"/>
    </row>
    <row r="688">
      <c r="A688" s="132"/>
      <c r="B688" s="132"/>
    </row>
    <row r="689">
      <c r="A689" s="132"/>
      <c r="B689" s="132"/>
    </row>
    <row r="690">
      <c r="A690" s="132"/>
      <c r="B690" s="132"/>
    </row>
    <row r="691">
      <c r="A691" s="132"/>
      <c r="B691" s="132"/>
    </row>
    <row r="692">
      <c r="A692" s="132"/>
      <c r="B692" s="132"/>
    </row>
    <row r="693">
      <c r="A693" s="132"/>
      <c r="B693" s="132"/>
    </row>
    <row r="694">
      <c r="A694" s="132"/>
      <c r="B694" s="132"/>
    </row>
    <row r="695">
      <c r="A695" s="132"/>
      <c r="B695" s="132"/>
    </row>
    <row r="696">
      <c r="A696" s="132"/>
      <c r="B696" s="132"/>
    </row>
    <row r="697">
      <c r="A697" s="132"/>
      <c r="B697" s="132"/>
    </row>
    <row r="698">
      <c r="A698" s="132"/>
      <c r="B698" s="132"/>
    </row>
    <row r="699">
      <c r="A699" s="132"/>
      <c r="B699" s="132"/>
    </row>
    <row r="700">
      <c r="A700" s="132"/>
      <c r="B700" s="132"/>
    </row>
    <row r="701">
      <c r="A701" s="132"/>
      <c r="B701" s="132"/>
    </row>
    <row r="702">
      <c r="A702" s="132"/>
      <c r="B702" s="132"/>
    </row>
    <row r="703">
      <c r="A703" s="132"/>
      <c r="B703" s="132"/>
    </row>
    <row r="704">
      <c r="A704" s="132"/>
      <c r="B704" s="132"/>
    </row>
    <row r="705">
      <c r="A705" s="132"/>
      <c r="B705" s="132"/>
    </row>
    <row r="706">
      <c r="A706" s="132"/>
      <c r="B706" s="132"/>
    </row>
    <row r="707">
      <c r="A707" s="132"/>
      <c r="B707" s="132"/>
    </row>
    <row r="708">
      <c r="A708" s="132"/>
      <c r="B708" s="132"/>
    </row>
    <row r="709">
      <c r="A709" s="132"/>
      <c r="B709" s="132"/>
    </row>
    <row r="710">
      <c r="A710" s="132"/>
      <c r="B710" s="132"/>
    </row>
    <row r="711">
      <c r="A711" s="132"/>
      <c r="B711" s="132"/>
    </row>
    <row r="712">
      <c r="A712" s="132"/>
      <c r="B712" s="132"/>
    </row>
    <row r="713">
      <c r="A713" s="132"/>
      <c r="B713" s="132"/>
    </row>
    <row r="714">
      <c r="A714" s="132"/>
      <c r="B714" s="132"/>
    </row>
    <row r="715">
      <c r="A715" s="132"/>
      <c r="B715" s="132"/>
    </row>
    <row r="716">
      <c r="A716" s="132"/>
      <c r="B716" s="132"/>
    </row>
    <row r="717">
      <c r="A717" s="132"/>
      <c r="B717" s="132"/>
    </row>
    <row r="718">
      <c r="A718" s="132"/>
      <c r="B718" s="132"/>
    </row>
    <row r="719">
      <c r="A719" s="132"/>
      <c r="B719" s="132"/>
    </row>
    <row r="720">
      <c r="A720" s="132"/>
      <c r="B720" s="132"/>
    </row>
    <row r="721">
      <c r="A721" s="132"/>
      <c r="B721" s="132"/>
    </row>
    <row r="722">
      <c r="A722" s="132"/>
      <c r="B722" s="132"/>
    </row>
    <row r="723">
      <c r="A723" s="132"/>
      <c r="B723" s="132"/>
    </row>
    <row r="724">
      <c r="A724" s="132"/>
      <c r="B724" s="132"/>
    </row>
    <row r="725">
      <c r="A725" s="132"/>
      <c r="B725" s="132"/>
    </row>
    <row r="726">
      <c r="A726" s="132"/>
      <c r="B726" s="132"/>
    </row>
    <row r="727">
      <c r="A727" s="132"/>
      <c r="B727" s="132"/>
    </row>
    <row r="728">
      <c r="A728" s="132"/>
      <c r="B728" s="132"/>
    </row>
    <row r="729">
      <c r="A729" s="132"/>
      <c r="B729" s="132"/>
    </row>
    <row r="730">
      <c r="A730" s="132"/>
      <c r="B730" s="132"/>
    </row>
    <row r="731">
      <c r="A731" s="132"/>
      <c r="B731" s="132"/>
    </row>
    <row r="732">
      <c r="A732" s="132"/>
      <c r="B732" s="132"/>
    </row>
    <row r="733">
      <c r="A733" s="132"/>
      <c r="B733" s="132"/>
    </row>
    <row r="734">
      <c r="A734" s="132"/>
      <c r="B734" s="132"/>
    </row>
    <row r="735">
      <c r="A735" s="132"/>
      <c r="B735" s="132"/>
    </row>
    <row r="736">
      <c r="A736" s="132"/>
      <c r="B736" s="132"/>
    </row>
    <row r="737">
      <c r="A737" s="132"/>
      <c r="B737" s="132"/>
    </row>
    <row r="738">
      <c r="A738" s="132"/>
      <c r="B738" s="132"/>
    </row>
    <row r="739">
      <c r="A739" s="132"/>
      <c r="B739" s="132"/>
    </row>
    <row r="740">
      <c r="A740" s="132"/>
      <c r="B740" s="132"/>
    </row>
    <row r="741">
      <c r="A741" s="132"/>
      <c r="B741" s="132"/>
    </row>
    <row r="742">
      <c r="A742" s="132"/>
      <c r="B742" s="132"/>
    </row>
    <row r="743">
      <c r="A743" s="132"/>
      <c r="B743" s="132"/>
    </row>
    <row r="744">
      <c r="A744" s="132"/>
      <c r="B744" s="132"/>
    </row>
    <row r="745">
      <c r="A745" s="132"/>
      <c r="B745" s="132"/>
    </row>
    <row r="746">
      <c r="A746" s="132"/>
      <c r="B746" s="132"/>
    </row>
    <row r="747">
      <c r="A747" s="132"/>
      <c r="B747" s="132"/>
    </row>
    <row r="748">
      <c r="A748" s="132"/>
      <c r="B748" s="132"/>
    </row>
    <row r="749">
      <c r="A749" s="132"/>
      <c r="B749" s="132"/>
    </row>
    <row r="750">
      <c r="A750" s="132"/>
      <c r="B750" s="132"/>
    </row>
    <row r="751">
      <c r="A751" s="132"/>
      <c r="B751" s="132"/>
    </row>
    <row r="752">
      <c r="A752" s="132"/>
      <c r="B752" s="132"/>
    </row>
    <row r="753">
      <c r="A753" s="132"/>
      <c r="B753" s="132"/>
    </row>
    <row r="754">
      <c r="A754" s="132"/>
      <c r="B754" s="132"/>
    </row>
    <row r="755">
      <c r="A755" s="132"/>
      <c r="B755" s="132"/>
    </row>
    <row r="756">
      <c r="A756" s="132"/>
      <c r="B756" s="132"/>
    </row>
    <row r="757">
      <c r="A757" s="132"/>
      <c r="B757" s="132"/>
    </row>
    <row r="758">
      <c r="A758" s="132"/>
      <c r="B758" s="132"/>
    </row>
    <row r="759">
      <c r="A759" s="132"/>
      <c r="B759" s="132"/>
    </row>
    <row r="760">
      <c r="A760" s="132"/>
      <c r="B760" s="132"/>
    </row>
    <row r="761">
      <c r="A761" s="132"/>
      <c r="B761" s="132"/>
    </row>
    <row r="762">
      <c r="A762" s="132"/>
      <c r="B762" s="132"/>
    </row>
    <row r="763">
      <c r="A763" s="132"/>
      <c r="B763" s="132"/>
    </row>
    <row r="764">
      <c r="A764" s="132"/>
      <c r="B764" s="132"/>
    </row>
    <row r="765">
      <c r="A765" s="132"/>
      <c r="B765" s="132"/>
    </row>
    <row r="766">
      <c r="A766" s="132"/>
      <c r="B766" s="132"/>
    </row>
    <row r="767">
      <c r="A767" s="132"/>
      <c r="B767" s="132"/>
    </row>
    <row r="768">
      <c r="A768" s="132"/>
      <c r="B768" s="132"/>
    </row>
    <row r="769">
      <c r="A769" s="132"/>
      <c r="B769" s="132"/>
    </row>
    <row r="770">
      <c r="A770" s="132"/>
      <c r="B770" s="132"/>
    </row>
    <row r="771">
      <c r="A771" s="132"/>
      <c r="B771" s="132"/>
    </row>
    <row r="772">
      <c r="A772" s="132"/>
      <c r="B772" s="132"/>
    </row>
    <row r="773">
      <c r="A773" s="132"/>
      <c r="B773" s="132"/>
    </row>
    <row r="774">
      <c r="A774" s="132"/>
      <c r="B774" s="132"/>
    </row>
    <row r="775">
      <c r="A775" s="132"/>
      <c r="B775" s="132"/>
    </row>
    <row r="776">
      <c r="A776" s="132"/>
      <c r="B776" s="132"/>
    </row>
    <row r="777">
      <c r="A777" s="132"/>
      <c r="B777" s="132"/>
    </row>
    <row r="778">
      <c r="A778" s="132"/>
      <c r="B778" s="132"/>
    </row>
    <row r="779">
      <c r="A779" s="132"/>
      <c r="B779" s="132"/>
    </row>
    <row r="780">
      <c r="A780" s="132"/>
      <c r="B780" s="132"/>
    </row>
    <row r="781">
      <c r="A781" s="132"/>
      <c r="B781" s="132"/>
    </row>
    <row r="782">
      <c r="A782" s="132"/>
      <c r="B782" s="132"/>
    </row>
    <row r="783">
      <c r="A783" s="132"/>
      <c r="B783" s="132"/>
    </row>
    <row r="784">
      <c r="A784" s="132"/>
      <c r="B784" s="132"/>
    </row>
    <row r="785">
      <c r="A785" s="132"/>
      <c r="B785" s="132"/>
    </row>
    <row r="786">
      <c r="A786" s="132"/>
      <c r="B786" s="132"/>
    </row>
    <row r="787">
      <c r="A787" s="132"/>
      <c r="B787" s="132"/>
    </row>
    <row r="788">
      <c r="A788" s="132"/>
      <c r="B788" s="132"/>
    </row>
    <row r="789">
      <c r="A789" s="132"/>
      <c r="B789" s="132"/>
    </row>
    <row r="790">
      <c r="A790" s="132"/>
      <c r="B790" s="132"/>
    </row>
    <row r="791">
      <c r="A791" s="132"/>
      <c r="B791" s="132"/>
    </row>
    <row r="792">
      <c r="A792" s="132"/>
      <c r="B792" s="132"/>
    </row>
    <row r="793">
      <c r="A793" s="132"/>
      <c r="B793" s="132"/>
    </row>
    <row r="794">
      <c r="A794" s="132"/>
      <c r="B794" s="132"/>
    </row>
    <row r="795">
      <c r="A795" s="132"/>
      <c r="B795" s="132"/>
    </row>
    <row r="796">
      <c r="A796" s="132"/>
      <c r="B796" s="132"/>
    </row>
    <row r="797">
      <c r="A797" s="132"/>
      <c r="B797" s="132"/>
    </row>
    <row r="798">
      <c r="A798" s="132"/>
      <c r="B798" s="132"/>
    </row>
    <row r="799">
      <c r="A799" s="132"/>
      <c r="B799" s="132"/>
    </row>
    <row r="800">
      <c r="A800" s="132"/>
      <c r="B800" s="132"/>
    </row>
    <row r="801">
      <c r="A801" s="132"/>
      <c r="B801" s="132"/>
    </row>
    <row r="802">
      <c r="A802" s="132"/>
      <c r="B802" s="132"/>
    </row>
    <row r="803">
      <c r="A803" s="132"/>
      <c r="B803" s="132"/>
    </row>
    <row r="804">
      <c r="A804" s="132"/>
      <c r="B804" s="132"/>
    </row>
    <row r="805">
      <c r="A805" s="132"/>
      <c r="B805" s="132"/>
    </row>
    <row r="806">
      <c r="A806" s="132"/>
      <c r="B806" s="132"/>
    </row>
    <row r="807">
      <c r="A807" s="132"/>
      <c r="B807" s="132"/>
    </row>
    <row r="808">
      <c r="A808" s="132"/>
      <c r="B808" s="132"/>
    </row>
    <row r="809">
      <c r="A809" s="132"/>
      <c r="B809" s="132"/>
    </row>
    <row r="810">
      <c r="A810" s="132"/>
      <c r="B810" s="132"/>
    </row>
    <row r="811">
      <c r="A811" s="132"/>
      <c r="B811" s="132"/>
    </row>
    <row r="812">
      <c r="A812" s="132"/>
      <c r="B812" s="132"/>
    </row>
    <row r="813">
      <c r="A813" s="132"/>
      <c r="B813" s="132"/>
    </row>
    <row r="814">
      <c r="A814" s="132"/>
      <c r="B814" s="132"/>
    </row>
    <row r="815">
      <c r="A815" s="132"/>
      <c r="B815" s="132"/>
    </row>
    <row r="816">
      <c r="A816" s="132"/>
      <c r="B816" s="132"/>
    </row>
    <row r="817">
      <c r="A817" s="132"/>
      <c r="B817" s="132"/>
    </row>
    <row r="818">
      <c r="A818" s="132"/>
      <c r="B818" s="132"/>
    </row>
    <row r="819">
      <c r="A819" s="132"/>
      <c r="B819" s="132"/>
    </row>
    <row r="820">
      <c r="A820" s="132"/>
      <c r="B820" s="132"/>
    </row>
    <row r="821">
      <c r="A821" s="132"/>
      <c r="B821" s="132"/>
    </row>
    <row r="822">
      <c r="A822" s="132"/>
      <c r="B822" s="132"/>
    </row>
    <row r="823">
      <c r="A823" s="132"/>
      <c r="B823" s="132"/>
    </row>
    <row r="824">
      <c r="A824" s="132"/>
      <c r="B824" s="132"/>
    </row>
    <row r="825">
      <c r="A825" s="132"/>
      <c r="B825" s="132"/>
    </row>
    <row r="826">
      <c r="A826" s="132"/>
      <c r="B826" s="132"/>
    </row>
    <row r="827">
      <c r="A827" s="132"/>
      <c r="B827" s="132"/>
    </row>
    <row r="828">
      <c r="A828" s="132"/>
      <c r="B828" s="132"/>
    </row>
    <row r="829">
      <c r="A829" s="132"/>
      <c r="B829" s="132"/>
    </row>
    <row r="830">
      <c r="A830" s="132"/>
      <c r="B830" s="132"/>
    </row>
    <row r="831">
      <c r="A831" s="132"/>
      <c r="B831" s="132"/>
    </row>
    <row r="832">
      <c r="A832" s="132"/>
      <c r="B832" s="132"/>
    </row>
    <row r="833">
      <c r="A833" s="132"/>
      <c r="B833" s="132"/>
    </row>
    <row r="834">
      <c r="A834" s="132"/>
      <c r="B834" s="132"/>
    </row>
    <row r="835">
      <c r="A835" s="132"/>
      <c r="B835" s="132"/>
    </row>
    <row r="836">
      <c r="A836" s="132"/>
      <c r="B836" s="132"/>
    </row>
    <row r="837">
      <c r="A837" s="132"/>
      <c r="B837" s="132"/>
    </row>
    <row r="838">
      <c r="A838" s="132"/>
      <c r="B838" s="132"/>
    </row>
    <row r="839">
      <c r="A839" s="132"/>
      <c r="B839" s="132"/>
    </row>
    <row r="840">
      <c r="A840" s="132"/>
      <c r="B840" s="132"/>
    </row>
    <row r="841">
      <c r="A841" s="132"/>
      <c r="B841" s="132"/>
    </row>
    <row r="842">
      <c r="A842" s="132"/>
      <c r="B842" s="132"/>
    </row>
    <row r="843">
      <c r="A843" s="132"/>
      <c r="B843" s="132"/>
    </row>
    <row r="844">
      <c r="A844" s="132"/>
      <c r="B844" s="132"/>
    </row>
    <row r="845">
      <c r="A845" s="132"/>
      <c r="B845" s="132"/>
    </row>
    <row r="846">
      <c r="A846" s="132"/>
      <c r="B846" s="132"/>
    </row>
    <row r="847">
      <c r="A847" s="132"/>
      <c r="B847" s="132"/>
    </row>
    <row r="848">
      <c r="A848" s="132"/>
      <c r="B848" s="132"/>
    </row>
    <row r="849">
      <c r="A849" s="132"/>
      <c r="B849" s="132"/>
    </row>
    <row r="850">
      <c r="A850" s="132"/>
      <c r="B850" s="132"/>
    </row>
    <row r="851">
      <c r="A851" s="132"/>
      <c r="B851" s="132"/>
    </row>
    <row r="852">
      <c r="A852" s="132"/>
      <c r="B852" s="132"/>
    </row>
    <row r="853">
      <c r="A853" s="132"/>
      <c r="B853" s="132"/>
    </row>
    <row r="854">
      <c r="A854" s="132"/>
      <c r="B854" s="132"/>
    </row>
    <row r="855">
      <c r="A855" s="132"/>
      <c r="B855" s="132"/>
    </row>
    <row r="856">
      <c r="A856" s="132"/>
      <c r="B856" s="132"/>
    </row>
    <row r="857">
      <c r="A857" s="132"/>
      <c r="B857" s="132"/>
    </row>
    <row r="858">
      <c r="A858" s="132"/>
      <c r="B858" s="132"/>
    </row>
    <row r="859">
      <c r="A859" s="132"/>
      <c r="B859" s="132"/>
    </row>
    <row r="860">
      <c r="A860" s="132"/>
      <c r="B860" s="132"/>
    </row>
    <row r="861">
      <c r="A861" s="132"/>
      <c r="B861" s="132"/>
    </row>
    <row r="862">
      <c r="A862" s="132"/>
      <c r="B862" s="132"/>
    </row>
    <row r="863">
      <c r="A863" s="132"/>
      <c r="B863" s="132"/>
    </row>
    <row r="864">
      <c r="A864" s="132"/>
      <c r="B864" s="132"/>
    </row>
    <row r="865">
      <c r="A865" s="132"/>
      <c r="B865" s="132"/>
    </row>
    <row r="866">
      <c r="A866" s="132"/>
      <c r="B866" s="132"/>
    </row>
    <row r="867">
      <c r="A867" s="132"/>
      <c r="B867" s="132"/>
    </row>
    <row r="868">
      <c r="A868" s="132"/>
      <c r="B868" s="132"/>
    </row>
    <row r="869">
      <c r="A869" s="132"/>
      <c r="B869" s="132"/>
    </row>
    <row r="870">
      <c r="A870" s="132"/>
      <c r="B870" s="132"/>
    </row>
    <row r="871">
      <c r="A871" s="132"/>
      <c r="B871" s="132"/>
    </row>
    <row r="872">
      <c r="A872" s="132"/>
      <c r="B872" s="132"/>
    </row>
    <row r="873">
      <c r="A873" s="132"/>
      <c r="B873" s="132"/>
    </row>
    <row r="874">
      <c r="A874" s="132"/>
      <c r="B874" s="132"/>
    </row>
    <row r="875">
      <c r="A875" s="132"/>
      <c r="B875" s="132"/>
    </row>
    <row r="876">
      <c r="A876" s="132"/>
      <c r="B876" s="132"/>
    </row>
    <row r="877">
      <c r="A877" s="132"/>
      <c r="B877" s="132"/>
    </row>
    <row r="878">
      <c r="A878" s="132"/>
      <c r="B878" s="132"/>
    </row>
    <row r="879">
      <c r="A879" s="132"/>
      <c r="B879" s="132"/>
    </row>
    <row r="880">
      <c r="A880" s="132"/>
      <c r="B880" s="132"/>
    </row>
    <row r="881">
      <c r="A881" s="132"/>
      <c r="B881" s="132"/>
    </row>
    <row r="882">
      <c r="A882" s="132"/>
      <c r="B882" s="132"/>
    </row>
    <row r="883">
      <c r="A883" s="132"/>
      <c r="B883" s="132"/>
    </row>
    <row r="884">
      <c r="A884" s="132"/>
      <c r="B884" s="132"/>
    </row>
    <row r="885">
      <c r="A885" s="132"/>
      <c r="B885" s="132"/>
    </row>
    <row r="886">
      <c r="A886" s="132"/>
      <c r="B886" s="132"/>
    </row>
    <row r="887">
      <c r="A887" s="132"/>
      <c r="B887" s="132"/>
    </row>
    <row r="888">
      <c r="A888" s="132"/>
      <c r="B888" s="132"/>
    </row>
    <row r="889">
      <c r="A889" s="132"/>
      <c r="B889" s="132"/>
    </row>
    <row r="890">
      <c r="A890" s="132"/>
      <c r="B890" s="132"/>
    </row>
    <row r="891">
      <c r="A891" s="132"/>
      <c r="B891" s="132"/>
    </row>
    <row r="892">
      <c r="A892" s="132"/>
      <c r="B892" s="132"/>
    </row>
    <row r="893">
      <c r="A893" s="132"/>
      <c r="B893" s="132"/>
    </row>
    <row r="894">
      <c r="A894" s="132"/>
      <c r="B894" s="132"/>
    </row>
    <row r="895">
      <c r="A895" s="132"/>
      <c r="B895" s="132"/>
    </row>
    <row r="896">
      <c r="A896" s="132"/>
      <c r="B896" s="132"/>
    </row>
    <row r="897">
      <c r="A897" s="132"/>
      <c r="B897" s="132"/>
    </row>
    <row r="898">
      <c r="A898" s="132"/>
      <c r="B898" s="132"/>
    </row>
    <row r="899">
      <c r="A899" s="132"/>
      <c r="B899" s="132"/>
    </row>
    <row r="900">
      <c r="A900" s="132"/>
      <c r="B900" s="132"/>
    </row>
    <row r="901">
      <c r="A901" s="132"/>
      <c r="B901" s="132"/>
    </row>
    <row r="902">
      <c r="A902" s="132"/>
      <c r="B902" s="132"/>
    </row>
    <row r="903">
      <c r="A903" s="132"/>
      <c r="B903" s="132"/>
    </row>
    <row r="904">
      <c r="A904" s="132"/>
      <c r="B904" s="132"/>
    </row>
    <row r="905">
      <c r="A905" s="132"/>
      <c r="B905" s="132"/>
    </row>
    <row r="906">
      <c r="A906" s="132"/>
      <c r="B906" s="132"/>
    </row>
    <row r="907">
      <c r="A907" s="132"/>
      <c r="B907" s="132"/>
    </row>
    <row r="908">
      <c r="A908" s="132"/>
      <c r="B908" s="132"/>
    </row>
    <row r="909">
      <c r="A909" s="132"/>
      <c r="B909" s="132"/>
    </row>
    <row r="910">
      <c r="A910" s="132"/>
      <c r="B910" s="132"/>
    </row>
    <row r="911">
      <c r="A911" s="132"/>
      <c r="B911" s="132"/>
    </row>
    <row r="912">
      <c r="A912" s="132"/>
      <c r="B912" s="132"/>
    </row>
    <row r="913">
      <c r="A913" s="132"/>
      <c r="B913" s="132"/>
    </row>
    <row r="914">
      <c r="A914" s="132"/>
      <c r="B914" s="132"/>
    </row>
    <row r="915">
      <c r="A915" s="132"/>
      <c r="B915" s="132"/>
    </row>
    <row r="916">
      <c r="A916" s="132"/>
      <c r="B916" s="132"/>
    </row>
    <row r="917">
      <c r="A917" s="132"/>
      <c r="B917" s="132"/>
    </row>
    <row r="918">
      <c r="A918" s="132"/>
      <c r="B918" s="132"/>
    </row>
    <row r="919">
      <c r="A919" s="132"/>
      <c r="B919" s="132"/>
    </row>
    <row r="920">
      <c r="A920" s="132"/>
      <c r="B920" s="132"/>
    </row>
    <row r="921">
      <c r="A921" s="132"/>
      <c r="B921" s="132"/>
    </row>
    <row r="922">
      <c r="A922" s="132"/>
      <c r="B922" s="132"/>
    </row>
    <row r="923">
      <c r="A923" s="132"/>
      <c r="B923" s="132"/>
    </row>
    <row r="924">
      <c r="A924" s="132"/>
      <c r="B924" s="132"/>
    </row>
    <row r="925">
      <c r="A925" s="132"/>
      <c r="B925" s="132"/>
    </row>
    <row r="926">
      <c r="A926" s="132"/>
      <c r="B926" s="132"/>
    </row>
    <row r="927">
      <c r="A927" s="132"/>
      <c r="B927" s="132"/>
    </row>
    <row r="928">
      <c r="A928" s="132"/>
      <c r="B928" s="132"/>
    </row>
    <row r="929">
      <c r="A929" s="132"/>
      <c r="B929" s="132"/>
    </row>
    <row r="930">
      <c r="A930" s="132"/>
      <c r="B930" s="132"/>
    </row>
    <row r="931">
      <c r="A931" s="132"/>
      <c r="B931" s="132"/>
    </row>
    <row r="932">
      <c r="A932" s="132"/>
      <c r="B932" s="132"/>
    </row>
    <row r="933">
      <c r="A933" s="132"/>
      <c r="B933" s="132"/>
    </row>
    <row r="934">
      <c r="A934" s="132"/>
      <c r="B934" s="132"/>
    </row>
    <row r="935">
      <c r="A935" s="132"/>
      <c r="B935" s="132"/>
    </row>
    <row r="936">
      <c r="A936" s="132"/>
      <c r="B936" s="132"/>
    </row>
    <row r="937">
      <c r="A937" s="132"/>
      <c r="B937" s="132"/>
    </row>
    <row r="938">
      <c r="A938" s="132"/>
      <c r="B938" s="132"/>
    </row>
    <row r="939">
      <c r="A939" s="132"/>
      <c r="B939" s="132"/>
    </row>
    <row r="940">
      <c r="A940" s="132"/>
      <c r="B940" s="132"/>
    </row>
    <row r="941">
      <c r="A941" s="132"/>
      <c r="B941" s="132"/>
    </row>
    <row r="942">
      <c r="A942" s="132"/>
      <c r="B942" s="132"/>
    </row>
    <row r="943">
      <c r="A943" s="132"/>
      <c r="B943" s="132"/>
    </row>
    <row r="944">
      <c r="A944" s="132"/>
      <c r="B944" s="132"/>
    </row>
    <row r="945">
      <c r="A945" s="132"/>
      <c r="B945" s="132"/>
    </row>
    <row r="946">
      <c r="A946" s="132"/>
      <c r="B946" s="132"/>
    </row>
    <row r="947">
      <c r="A947" s="132"/>
      <c r="B947" s="132"/>
    </row>
    <row r="948">
      <c r="A948" s="132"/>
      <c r="B948" s="132"/>
    </row>
    <row r="949">
      <c r="A949" s="132"/>
      <c r="B949" s="132"/>
    </row>
    <row r="950">
      <c r="A950" s="132"/>
      <c r="B950" s="132"/>
    </row>
    <row r="951">
      <c r="A951" s="132"/>
      <c r="B951" s="132"/>
    </row>
    <row r="952">
      <c r="A952" s="132"/>
      <c r="B952" s="132"/>
    </row>
    <row r="953">
      <c r="A953" s="132"/>
      <c r="B953" s="132"/>
    </row>
    <row r="954">
      <c r="A954" s="132"/>
      <c r="B954" s="132"/>
    </row>
    <row r="955">
      <c r="A955" s="132"/>
      <c r="B955" s="132"/>
    </row>
    <row r="956">
      <c r="A956" s="132"/>
      <c r="B956" s="132"/>
    </row>
    <row r="957">
      <c r="A957" s="132"/>
      <c r="B957" s="132"/>
    </row>
    <row r="958">
      <c r="A958" s="132"/>
      <c r="B958" s="132"/>
    </row>
    <row r="959">
      <c r="A959" s="132"/>
      <c r="B959" s="132"/>
    </row>
    <row r="960">
      <c r="A960" s="132"/>
      <c r="B960" s="132"/>
    </row>
    <row r="961">
      <c r="A961" s="132"/>
      <c r="B961" s="132"/>
    </row>
    <row r="962">
      <c r="A962" s="132"/>
      <c r="B962" s="132"/>
    </row>
    <row r="963">
      <c r="A963" s="132"/>
      <c r="B963" s="132"/>
    </row>
    <row r="964">
      <c r="A964" s="132"/>
      <c r="B964" s="132"/>
    </row>
    <row r="965">
      <c r="A965" s="132"/>
      <c r="B965" s="132"/>
    </row>
    <row r="966">
      <c r="A966" s="132"/>
      <c r="B966" s="132"/>
    </row>
    <row r="967">
      <c r="A967" s="132"/>
      <c r="B967" s="132"/>
    </row>
    <row r="968">
      <c r="A968" s="132"/>
      <c r="B968" s="132"/>
    </row>
    <row r="969">
      <c r="A969" s="132"/>
      <c r="B969" s="132"/>
    </row>
    <row r="970">
      <c r="A970" s="132"/>
      <c r="B970" s="132"/>
    </row>
    <row r="971">
      <c r="A971" s="132"/>
      <c r="B971" s="132"/>
    </row>
    <row r="972">
      <c r="A972" s="132"/>
      <c r="B972" s="132"/>
    </row>
    <row r="973">
      <c r="A973" s="132"/>
      <c r="B973" s="132"/>
    </row>
    <row r="974">
      <c r="A974" s="132"/>
      <c r="B974" s="132"/>
    </row>
    <row r="975">
      <c r="A975" s="132"/>
      <c r="B975" s="132"/>
    </row>
    <row r="976">
      <c r="A976" s="132"/>
      <c r="B976" s="132"/>
    </row>
    <row r="977">
      <c r="A977" s="132"/>
      <c r="B977" s="132"/>
    </row>
    <row r="978">
      <c r="A978" s="132"/>
      <c r="B978" s="132"/>
    </row>
    <row r="979">
      <c r="A979" s="132"/>
      <c r="B979" s="132"/>
    </row>
    <row r="980">
      <c r="A980" s="132"/>
      <c r="B980" s="132"/>
    </row>
    <row r="981">
      <c r="A981" s="132"/>
      <c r="B981" s="132"/>
    </row>
    <row r="982">
      <c r="A982" s="132"/>
      <c r="B982" s="132"/>
    </row>
    <row r="983">
      <c r="A983" s="132"/>
      <c r="B983" s="132"/>
    </row>
    <row r="984">
      <c r="A984" s="132"/>
      <c r="B984" s="132"/>
    </row>
    <row r="985">
      <c r="A985" s="132"/>
      <c r="B985" s="132"/>
    </row>
    <row r="986">
      <c r="A986" s="132"/>
      <c r="B986" s="132"/>
    </row>
    <row r="987">
      <c r="A987" s="132"/>
      <c r="B987" s="132"/>
    </row>
    <row r="988">
      <c r="A988" s="132"/>
      <c r="B988" s="132"/>
    </row>
    <row r="989">
      <c r="A989" s="132"/>
      <c r="B989" s="132"/>
    </row>
    <row r="990">
      <c r="A990" s="132"/>
      <c r="B990" s="132"/>
    </row>
    <row r="991">
      <c r="A991" s="132"/>
      <c r="B991" s="132"/>
    </row>
    <row r="992">
      <c r="A992" s="132"/>
      <c r="B992" s="132"/>
    </row>
    <row r="993">
      <c r="A993" s="132"/>
      <c r="B993" s="132"/>
    </row>
    <row r="994">
      <c r="A994" s="132"/>
      <c r="B994" s="132"/>
    </row>
    <row r="995">
      <c r="A995" s="132"/>
      <c r="B995" s="132"/>
    </row>
    <row r="996">
      <c r="A996" s="132"/>
      <c r="B996" s="132"/>
    </row>
    <row r="997">
      <c r="A997" s="132"/>
      <c r="B997" s="132"/>
    </row>
    <row r="998">
      <c r="A998" s="132"/>
      <c r="B998" s="132"/>
    </row>
    <row r="999">
      <c r="A999" s="132"/>
      <c r="B999" s="132"/>
    </row>
    <row r="1000">
      <c r="A1000" s="132"/>
      <c r="B1000" s="13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3" t="str">
        <f>IFERROR(__xludf.DUMMYFUNCTION("IMPORTRANGE(""https://docs.google.com/spreadsheets/d/1Xa44tXRk3vht04Hc9meui-dd7ZRS0F6gZUdCCapKJ5E/edit?gid=1471429910#gid=1471429910"",""2024!A1:Z20000"")")," ")</f>
        <v> </v>
      </c>
      <c r="B1" s="133" t="str">
        <f>IFERROR(__xludf.DUMMYFUNCTION("""COMPUTED_VALUE"""),"Vendor Code")</f>
        <v>Vendor Code</v>
      </c>
      <c r="C1" s="133" t="str">
        <f>IFERROR(__xludf.DUMMYFUNCTION("""COMPUTED_VALUE"""),"Reference number")</f>
        <v>Reference number</v>
      </c>
      <c r="D1" s="133"/>
      <c r="E1" s="133" t="str">
        <f>IFERROR(__xludf.DUMMYFUNCTION("""COMPUTED_VALUE"""),"Status")</f>
        <v>Status</v>
      </c>
      <c r="F1" s="133" t="str">
        <f>IFERROR(__xludf.DUMMYFUNCTION("""COMPUTED_VALUE"""),"Description")</f>
        <v>Description</v>
      </c>
      <c r="G1" s="133" t="str">
        <f>IFERROR(__xludf.DUMMYFUNCTION("""COMPUTED_VALUE"""),"NAME AR")</f>
        <v>NAME AR</v>
      </c>
      <c r="H1" s="133" t="str">
        <f>IFERROR(__xludf.DUMMYFUNCTION("""COMPUTED_VALUE"""),"Product Registration")</f>
        <v>Product Registration</v>
      </c>
      <c r="I1" s="133"/>
      <c r="J1" s="133" t="str">
        <f>IFERROR(__xludf.DUMMYFUNCTION("""COMPUTED_VALUE"""),"EXPIRY 
DATE ")</f>
        <v>EXPIRY 
DATE </v>
      </c>
      <c r="K1" s="133"/>
      <c r="L1" s="142" t="str">
        <f>IFERROR(__xludf.DUMMYFUNCTION("""COMPUTED_VALUE"""),"Vendor Code")</f>
        <v>Vendor Code</v>
      </c>
      <c r="M1" s="133"/>
      <c r="N1" s="133"/>
      <c r="O1" s="133"/>
      <c r="P1" s="133"/>
      <c r="Q1" s="133"/>
      <c r="R1" s="133"/>
      <c r="S1" s="133"/>
      <c r="T1" s="133"/>
      <c r="U1" s="133"/>
      <c r="V1" s="133"/>
      <c r="W1" s="133"/>
      <c r="X1" s="133"/>
      <c r="Y1" s="133"/>
      <c r="Z1" s="133"/>
    </row>
    <row r="2">
      <c r="A2" s="133">
        <f>IFERROR(__xludf.DUMMYFUNCTION("""COMPUTED_VALUE"""),1.0)</f>
        <v>1</v>
      </c>
      <c r="B2" s="133" t="str">
        <f>IFERROR(__xludf.DUMMYFUNCTION("""COMPUTED_VALUE""")," ")</f>
        <v> </v>
      </c>
      <c r="C2" s="133" t="str">
        <f>IFERROR(__xludf.DUMMYFUNCTION("""COMPUTED_VALUE"""),"P-1-N-180820-2290")</f>
        <v>P-1-N-180820-2290</v>
      </c>
      <c r="D2" s="133"/>
      <c r="E2" s="133" t="str">
        <f>IFERROR(__xludf.DUMMYFUNCTION("""COMPUTED_VALUE"""),"REJECTED")</f>
        <v>REJECTED</v>
      </c>
      <c r="F2" s="133" t="str">
        <f>IFERROR(__xludf.DUMMYFUNCTION("""COMPUTED_VALUE"""),"Butcher's Natural &amp; Healthy Dog with Chicken and Rice Pate 390g")</f>
        <v>Butcher's Natural &amp; Healthy Dog with Chicken and Rice Pate 390g</v>
      </c>
      <c r="G2" s="133" t="str">
        <f>IFERROR(__xludf.DUMMYFUNCTION("""COMPUTED_VALUE"""),"بوتشرز طبيعي وصحي للكلاب مع الدجاج والرز باتي 390 جم")</f>
        <v>بوتشرز طبيعي وصحي للكلاب مع الدجاج والرز باتي 390 جم</v>
      </c>
      <c r="H2" s="133"/>
      <c r="I2" s="133"/>
      <c r="J2" s="133"/>
      <c r="K2" s="133" t="str">
        <f>IFERROR(__xludf.DUMMYFUNCTION("""COMPUTED_VALUE"""),"بوتشرز بت كير ال تي دي")</f>
        <v>بوتشرز بت كير ال تي دي</v>
      </c>
      <c r="L2" s="142" t="str">
        <f>IFERROR(__xludf.DUMMYFUNCTION("""COMPUTED_VALUE"""),"B1104")</f>
        <v>B1104</v>
      </c>
      <c r="M2" s="133"/>
      <c r="N2" s="133"/>
      <c r="O2" s="133"/>
      <c r="P2" s="133"/>
      <c r="Q2" s="133"/>
      <c r="R2" s="133"/>
      <c r="S2" s="133"/>
      <c r="T2" s="133"/>
      <c r="U2" s="133"/>
      <c r="V2" s="133"/>
      <c r="W2" s="133"/>
      <c r="X2" s="133"/>
      <c r="Y2" s="133"/>
      <c r="Z2" s="133"/>
    </row>
    <row r="3">
      <c r="A3" s="133">
        <f>IFERROR(__xludf.DUMMYFUNCTION("""COMPUTED_VALUE"""),2.0)</f>
        <v>2</v>
      </c>
      <c r="B3" s="133" t="str">
        <f>IFERROR(__xludf.DUMMYFUNCTION("""COMPUTED_VALUE"""),"B1107")</f>
        <v>B1107</v>
      </c>
      <c r="C3" s="133" t="str">
        <f>IFERROR(__xludf.DUMMYFUNCTION("""COMPUTED_VALUE"""),"P-1-N-180820-2291")</f>
        <v>P-1-N-180820-2291</v>
      </c>
      <c r="D3" s="133"/>
      <c r="E3" s="133" t="str">
        <f>IFERROR(__xludf.DUMMYFUNCTION("""COMPUTED_VALUE"""),"REJECTED")</f>
        <v>REJECTED</v>
      </c>
      <c r="F3" s="133" t="str">
        <f>IFERROR(__xludf.DUMMYFUNCTION("""COMPUTED_VALUE"""),"Butcher's Natural &amp; Healthy Dog with Beef and Rice Pate 390g")</f>
        <v>Butcher's Natural &amp; Healthy Dog with Beef and Rice Pate 390g</v>
      </c>
      <c r="G3" s="133" t="str">
        <f>IFERROR(__xludf.DUMMYFUNCTION("""COMPUTED_VALUE"""),"بوتشرز طبيعي وصحي للكلاب مع لحم البقر والرز باتي 390 جم")</f>
        <v>بوتشرز طبيعي وصحي للكلاب مع لحم البقر والرز باتي 390 جم</v>
      </c>
      <c r="H3" s="133"/>
      <c r="I3" s="133"/>
      <c r="J3" s="133"/>
      <c r="K3" s="133" t="str">
        <f>IFERROR(__xludf.DUMMYFUNCTION("""COMPUTED_VALUE"""),"Factory")</f>
        <v>Factory</v>
      </c>
      <c r="L3" s="142" t="str">
        <f>IFERROR(__xludf.DUMMYFUNCTION("""COMPUTED_VALUE"""),"B1107")</f>
        <v>B1107</v>
      </c>
      <c r="M3" s="133"/>
      <c r="N3" s="133"/>
      <c r="O3" s="133"/>
      <c r="P3" s="133"/>
      <c r="Q3" s="133"/>
      <c r="R3" s="133"/>
      <c r="S3" s="133"/>
      <c r="T3" s="133"/>
      <c r="U3" s="133"/>
      <c r="V3" s="133"/>
      <c r="W3" s="133"/>
      <c r="X3" s="133"/>
      <c r="Y3" s="133"/>
      <c r="Z3" s="133"/>
    </row>
    <row r="4">
      <c r="A4" s="133">
        <f>IFERROR(__xludf.DUMMYFUNCTION("""COMPUTED_VALUE"""),3.0)</f>
        <v>3</v>
      </c>
      <c r="B4" s="133" t="str">
        <f>IFERROR(__xludf.DUMMYFUNCTION("""COMPUTED_VALUE"""),"B1110")</f>
        <v>B1110</v>
      </c>
      <c r="C4" s="133" t="str">
        <f>IFERROR(__xludf.DUMMYFUNCTION("""COMPUTED_VALUE"""),"P-1-N-180820-2292")</f>
        <v>P-1-N-180820-2292</v>
      </c>
      <c r="D4" s="133"/>
      <c r="E4" s="133" t="str">
        <f>IFERROR(__xludf.DUMMYFUNCTION("""COMPUTED_VALUE"""),"REJECTED")</f>
        <v>REJECTED</v>
      </c>
      <c r="F4" s="133" t="str">
        <f>IFERROR(__xludf.DUMMYFUNCTION("""COMPUTED_VALUE"""),"Butcher's Natural &amp; Healthy Dog with Lamb and Rice Pate 390g")</f>
        <v>Butcher's Natural &amp; Healthy Dog with Lamb and Rice Pate 390g</v>
      </c>
      <c r="G4" s="133" t="str">
        <f>IFERROR(__xludf.DUMMYFUNCTION("""COMPUTED_VALUE"""),"بوتشرز طبيعي وصحي للكلاب مع لحم ضأن والرز باتي 390 جم")</f>
        <v>بوتشرز طبيعي وصحي للكلاب مع لحم ضأن والرز باتي 390 جم</v>
      </c>
      <c r="H4" s="133"/>
      <c r="I4" s="133"/>
      <c r="J4" s="133"/>
      <c r="K4" s="133" t="str">
        <f>IFERROR(__xludf.DUMMYFUNCTION("""COMPUTED_VALUE"""),"بوتشرز بت كير ال تي دي")</f>
        <v>بوتشرز بت كير ال تي دي</v>
      </c>
      <c r="L4" s="142" t="str">
        <f>IFERROR(__xludf.DUMMYFUNCTION("""COMPUTED_VALUE"""),"B1110")</f>
        <v>B1110</v>
      </c>
      <c r="M4" s="133"/>
      <c r="N4" s="133"/>
      <c r="O4" s="133"/>
      <c r="P4" s="133"/>
      <c r="Q4" s="133"/>
      <c r="R4" s="133"/>
      <c r="S4" s="133"/>
      <c r="T4" s="133"/>
      <c r="U4" s="133"/>
      <c r="V4" s="133"/>
      <c r="W4" s="133"/>
      <c r="X4" s="133"/>
      <c r="Y4" s="133"/>
      <c r="Z4" s="133"/>
    </row>
    <row r="5">
      <c r="A5" s="133">
        <f>IFERROR(__xludf.DUMMYFUNCTION("""COMPUTED_VALUE"""),4.0)</f>
        <v>4</v>
      </c>
      <c r="B5" s="133" t="str">
        <f>IFERROR(__xludf.DUMMYFUNCTION("""COMPUTED_VALUE"""),"SC1571")</f>
        <v>SC1571</v>
      </c>
      <c r="C5" s="133" t="str">
        <f>IFERROR(__xludf.DUMMYFUNCTION("""COMPUTED_VALUE"""),"P-1-N-190820-2298")</f>
        <v>P-1-N-190820-2298</v>
      </c>
      <c r="D5" s="133"/>
      <c r="E5" s="133" t="str">
        <f>IFERROR(__xludf.DUMMYFUNCTION("""COMPUTED_VALUE"""),"تمت طباعة الشهادة")</f>
        <v>تمت طباعة الشهادة</v>
      </c>
      <c r="F5" s="133" t="str">
        <f>IFERROR(__xludf.DUMMYFUNCTION("""COMPUTED_VALUE"""),"Sanal Anti-Hairball Bites Malt 75g")</f>
        <v>Sanal Anti-Hairball Bites Malt 75g</v>
      </c>
      <c r="G5" s="133" t="str">
        <f>IFERROR(__xludf.DUMMYFUNCTION("""COMPUTED_VALUE"""),"سانال قطع مكافحة كرة الشعر الشعير 75 جم")</f>
        <v>سانال قطع مكافحة كرة الشعر الشعير 75 جم</v>
      </c>
      <c r="H5" s="133" t="str">
        <f>IFERROR(__xludf.DUMMYFUNCTION("""COMPUTED_VALUE"""),"MAFE2020940")</f>
        <v>MAFE2020940</v>
      </c>
      <c r="I5" s="133"/>
      <c r="J5" s="133"/>
      <c r="K5" s="133" t="str">
        <f>IFERROR(__xludf.DUMMYFUNCTION("""COMPUTED_VALUE"""),"نيدرما بي في")</f>
        <v>نيدرما بي في</v>
      </c>
      <c r="L5" s="142" t="str">
        <f>IFERROR(__xludf.DUMMYFUNCTION("""COMPUTED_VALUE"""),"SC1571")</f>
        <v>SC1571</v>
      </c>
      <c r="M5" s="133"/>
      <c r="N5" s="133"/>
      <c r="O5" s="133"/>
      <c r="P5" s="133"/>
      <c r="Q5" s="133"/>
      <c r="R5" s="133"/>
      <c r="S5" s="133"/>
      <c r="T5" s="133"/>
      <c r="U5" s="133"/>
      <c r="V5" s="133"/>
      <c r="W5" s="133"/>
      <c r="X5" s="133"/>
      <c r="Y5" s="133"/>
      <c r="Z5" s="133"/>
    </row>
    <row r="6">
      <c r="A6" s="133">
        <f>IFERROR(__xludf.DUMMYFUNCTION("""COMPUTED_VALUE"""),5.0)</f>
        <v>5</v>
      </c>
      <c r="B6" s="133" t="str">
        <f>IFERROR(__xludf.DUMMYFUNCTION("""COMPUTED_VALUE"""),"SC1572")</f>
        <v>SC1572</v>
      </c>
      <c r="C6" s="133" t="str">
        <f>IFERROR(__xludf.DUMMYFUNCTION("""COMPUTED_VALUE"""),"P-1-N-190820-2300")</f>
        <v>P-1-N-190820-2300</v>
      </c>
      <c r="D6" s="133"/>
      <c r="E6" s="133" t="str">
        <f>IFERROR(__xludf.DUMMYFUNCTION("""COMPUTED_VALUE"""),"تمت طباعة الشهادة")</f>
        <v>تمت طباعة الشهادة</v>
      </c>
      <c r="F6" s="133" t="str">
        <f>IFERROR(__xludf.DUMMYFUNCTION("""COMPUTED_VALUE"""),"Sanal Cheese Bites 75g")</f>
        <v>Sanal Cheese Bites 75g</v>
      </c>
      <c r="G6" s="133" t="str">
        <f>IFERROR(__xludf.DUMMYFUNCTION("""COMPUTED_VALUE"""),"سانال قطع الجبن 75 جم")</f>
        <v>سانال قطع الجبن 75 جم</v>
      </c>
      <c r="H6" s="133" t="str">
        <f>IFERROR(__xludf.DUMMYFUNCTION("""COMPUTED_VALUE"""),"MAFE2020939")</f>
        <v>MAFE2020939</v>
      </c>
      <c r="I6" s="133"/>
      <c r="J6" s="133"/>
      <c r="K6" s="133" t="str">
        <f>IFERROR(__xludf.DUMMYFUNCTION("""COMPUTED_VALUE"""),"نيدرما بي في")</f>
        <v>نيدرما بي في</v>
      </c>
      <c r="L6" s="142" t="str">
        <f>IFERROR(__xludf.DUMMYFUNCTION("""COMPUTED_VALUE"""),"SC1572")</f>
        <v>SC1572</v>
      </c>
      <c r="M6" s="133"/>
      <c r="N6" s="133"/>
      <c r="O6" s="133"/>
      <c r="P6" s="133"/>
      <c r="Q6" s="133"/>
      <c r="R6" s="133"/>
      <c r="S6" s="133"/>
      <c r="T6" s="133"/>
      <c r="U6" s="133"/>
      <c r="V6" s="133"/>
      <c r="W6" s="133"/>
      <c r="X6" s="133"/>
      <c r="Y6" s="133"/>
      <c r="Z6" s="133"/>
    </row>
    <row r="7">
      <c r="A7" s="133">
        <f>IFERROR(__xludf.DUMMYFUNCTION("""COMPUTED_VALUE"""),6.0)</f>
        <v>6</v>
      </c>
      <c r="B7" s="133" t="str">
        <f>IFERROR(__xludf.DUMMYFUNCTION("""COMPUTED_VALUE"""),"SC1573")</f>
        <v>SC1573</v>
      </c>
      <c r="C7" s="133" t="str">
        <f>IFERROR(__xludf.DUMMYFUNCTION("""COMPUTED_VALUE"""),"P-1-N-200820-2316")</f>
        <v>P-1-N-200820-2316</v>
      </c>
      <c r="D7" s="133"/>
      <c r="E7" s="133" t="str">
        <f>IFERROR(__xludf.DUMMYFUNCTION("""COMPUTED_VALUE"""),"تمت طباعة الشهادة")</f>
        <v>تمت طباعة الشهادة</v>
      </c>
      <c r="F7" s="133" t="str">
        <f>IFERROR(__xludf.DUMMYFUNCTION("""COMPUTED_VALUE"""),"Sanal Denta’s 75g")</f>
        <v>Sanal Denta’s 75g</v>
      </c>
      <c r="G7" s="133" t="str">
        <f>IFERROR(__xludf.DUMMYFUNCTION("""COMPUTED_VALUE"""),"سانال دنتاس 75 جم")</f>
        <v>سانال دنتاس 75 جم</v>
      </c>
      <c r="H7" s="133" t="str">
        <f>IFERROR(__xludf.DUMMYFUNCTION("""COMPUTED_VALUE"""),"MAFE2020963")</f>
        <v>MAFE2020963</v>
      </c>
      <c r="I7" s="133"/>
      <c r="J7" s="133"/>
      <c r="K7" s="133" t="str">
        <f>IFERROR(__xludf.DUMMYFUNCTION("""COMPUTED_VALUE"""),"نيدرما بي في")</f>
        <v>نيدرما بي في</v>
      </c>
      <c r="L7" s="142" t="str">
        <f>IFERROR(__xludf.DUMMYFUNCTION("""COMPUTED_VALUE"""),"SC1573")</f>
        <v>SC1573</v>
      </c>
      <c r="M7" s="133"/>
      <c r="N7" s="133"/>
      <c r="O7" s="133"/>
      <c r="P7" s="133"/>
      <c r="Q7" s="133"/>
      <c r="R7" s="133"/>
      <c r="S7" s="133"/>
      <c r="T7" s="133"/>
      <c r="U7" s="133"/>
      <c r="V7" s="133"/>
      <c r="W7" s="133"/>
      <c r="X7" s="133"/>
      <c r="Y7" s="133"/>
      <c r="Z7" s="133"/>
    </row>
    <row r="8">
      <c r="A8" s="133">
        <f>IFERROR(__xludf.DUMMYFUNCTION("""COMPUTED_VALUE"""),7.0)</f>
        <v>7</v>
      </c>
      <c r="B8" s="133" t="str">
        <f>IFERROR(__xludf.DUMMYFUNCTION("""COMPUTED_VALUE"""),"SC1574")</f>
        <v>SC1574</v>
      </c>
      <c r="C8" s="133" t="str">
        <f>IFERROR(__xludf.DUMMYFUNCTION("""COMPUTED_VALUE"""),"P-1-N-200820-2318")</f>
        <v>P-1-N-200820-2318</v>
      </c>
      <c r="D8" s="133"/>
      <c r="E8" s="133" t="str">
        <f>IFERROR(__xludf.DUMMYFUNCTION("""COMPUTED_VALUE"""),"تمت طباعة الشهادة")</f>
        <v>تمت طباعة الشهادة</v>
      </c>
      <c r="F8" s="133" t="str">
        <f>IFERROR(__xludf.DUMMYFUNCTION("""COMPUTED_VALUE"""),"Sanal Fish Bites 75g")</f>
        <v>Sanal Fish Bites 75g</v>
      </c>
      <c r="G8" s="133" t="str">
        <f>IFERROR(__xludf.DUMMYFUNCTION("""COMPUTED_VALUE"""),"سانال قطع السمك 75 جم")</f>
        <v>سانال قطع السمك 75 جم</v>
      </c>
      <c r="H8" s="133" t="str">
        <f>IFERROR(__xludf.DUMMYFUNCTION("""COMPUTED_VALUE"""),"MAFE2020961")</f>
        <v>MAFE2020961</v>
      </c>
      <c r="I8" s="133"/>
      <c r="J8" s="133"/>
      <c r="K8" s="133" t="str">
        <f>IFERROR(__xludf.DUMMYFUNCTION("""COMPUTED_VALUE"""),"نيدرما بي في")</f>
        <v>نيدرما بي في</v>
      </c>
      <c r="L8" s="142" t="str">
        <f>IFERROR(__xludf.DUMMYFUNCTION("""COMPUTED_VALUE"""),"SC1574")</f>
        <v>SC1574</v>
      </c>
      <c r="M8" s="133"/>
      <c r="N8" s="133"/>
      <c r="O8" s="133"/>
      <c r="P8" s="133"/>
      <c r="Q8" s="133"/>
      <c r="R8" s="133"/>
      <c r="S8" s="133"/>
      <c r="T8" s="133"/>
      <c r="U8" s="133"/>
      <c r="V8" s="133"/>
      <c r="W8" s="133"/>
      <c r="X8" s="133"/>
      <c r="Y8" s="133"/>
      <c r="Z8" s="133"/>
    </row>
    <row r="9">
      <c r="A9" s="133">
        <f>IFERROR(__xludf.DUMMYFUNCTION("""COMPUTED_VALUE"""),8.0)</f>
        <v>8</v>
      </c>
      <c r="B9" s="133" t="str">
        <f>IFERROR(__xludf.DUMMYFUNCTION("""COMPUTED_VALUE"""),"SC1577")</f>
        <v>SC1577</v>
      </c>
      <c r="C9" s="133" t="str">
        <f>IFERROR(__xludf.DUMMYFUNCTION("""COMPUTED_VALUE"""),"P-1-N-200820-2319")</f>
        <v>P-1-N-200820-2319</v>
      </c>
      <c r="D9" s="133"/>
      <c r="E9" s="133" t="str">
        <f>IFERROR(__xludf.DUMMYFUNCTION("""COMPUTED_VALUE"""),"تمت طباعة الشهادة")</f>
        <v>تمت طباعة الشهادة</v>
      </c>
      <c r="F9" s="133" t="str">
        <f>IFERROR(__xludf.DUMMYFUNCTION("""COMPUTED_VALUE"""),"Sanal Fiesta 75g")</f>
        <v>Sanal Fiesta 75g</v>
      </c>
      <c r="G9" s="133" t="str">
        <f>IFERROR(__xludf.DUMMYFUNCTION("""COMPUTED_VALUE"""),"سانال فييستا 75 جم")</f>
        <v>سانال فييستا 75 جم</v>
      </c>
      <c r="H9" s="133" t="str">
        <f>IFERROR(__xludf.DUMMYFUNCTION("""COMPUTED_VALUE"""),"MAFE2020960")</f>
        <v>MAFE2020960</v>
      </c>
      <c r="I9" s="133"/>
      <c r="J9" s="133"/>
      <c r="K9" s="133" t="str">
        <f>IFERROR(__xludf.DUMMYFUNCTION("""COMPUTED_VALUE"""),"نيدرما بي في")</f>
        <v>نيدرما بي في</v>
      </c>
      <c r="L9" s="142" t="str">
        <f>IFERROR(__xludf.DUMMYFUNCTION("""COMPUTED_VALUE"""),"SC1577")</f>
        <v>SC1577</v>
      </c>
      <c r="M9" s="133"/>
      <c r="N9" s="133"/>
      <c r="O9" s="133"/>
      <c r="P9" s="133"/>
      <c r="Q9" s="133"/>
      <c r="R9" s="133"/>
      <c r="S9" s="133"/>
      <c r="T9" s="133"/>
      <c r="U9" s="133"/>
      <c r="V9" s="133"/>
      <c r="W9" s="133"/>
      <c r="X9" s="133"/>
      <c r="Y9" s="133"/>
      <c r="Z9" s="133"/>
    </row>
    <row r="10">
      <c r="A10" s="133">
        <f>IFERROR(__xludf.DUMMYFUNCTION("""COMPUTED_VALUE"""),9.0)</f>
        <v>9</v>
      </c>
      <c r="B10" s="133" t="str">
        <f>IFERROR(__xludf.DUMMYFUNCTION("""COMPUTED_VALUE"""),"SC1578")</f>
        <v>SC1578</v>
      </c>
      <c r="C10" s="133" t="str">
        <f>IFERROR(__xludf.DUMMYFUNCTION("""COMPUTED_VALUE"""),"P-1-N-200820-2321")</f>
        <v>P-1-N-200820-2321</v>
      </c>
      <c r="D10" s="133"/>
      <c r="E10" s="133" t="str">
        <f>IFERROR(__xludf.DUMMYFUNCTION("""COMPUTED_VALUE"""),"تمت طباعة الشهادة")</f>
        <v>تمت طباعة الشهادة</v>
      </c>
      <c r="F10" s="133" t="str">
        <f>IFERROR(__xludf.DUMMYFUNCTION("""COMPUTED_VALUE"""),"Sanal Cranberry &amp; Chicken Bites 75g")</f>
        <v>Sanal Cranberry &amp; Chicken Bites 75g</v>
      </c>
      <c r="G10" s="133" t="str">
        <f>IFERROR(__xludf.DUMMYFUNCTION("""COMPUTED_VALUE"""),"سانال قطع التوت البري والدجاج 75 جم")</f>
        <v>سانال قطع التوت البري والدجاج 75 جم</v>
      </c>
      <c r="H10" s="133" t="str">
        <f>IFERROR(__xludf.DUMMYFUNCTION("""COMPUTED_VALUE"""),"MAFE2020959")</f>
        <v>MAFE2020959</v>
      </c>
      <c r="I10" s="133"/>
      <c r="J10" s="133"/>
      <c r="K10" s="133" t="str">
        <f>IFERROR(__xludf.DUMMYFUNCTION("""COMPUTED_VALUE"""),"نيدرما بي في")</f>
        <v>نيدرما بي في</v>
      </c>
      <c r="L10" s="142" t="str">
        <f>IFERROR(__xludf.DUMMYFUNCTION("""COMPUTED_VALUE"""),"SC1578")</f>
        <v>SC1578</v>
      </c>
      <c r="M10" s="133"/>
      <c r="N10" s="133"/>
      <c r="O10" s="133"/>
      <c r="P10" s="133"/>
      <c r="Q10" s="133"/>
      <c r="R10" s="133"/>
      <c r="S10" s="133"/>
      <c r="T10" s="133"/>
      <c r="U10" s="133"/>
      <c r="V10" s="133"/>
      <c r="W10" s="133"/>
      <c r="X10" s="133"/>
      <c r="Y10" s="133"/>
      <c r="Z10" s="133"/>
    </row>
    <row r="11">
      <c r="A11" s="133">
        <f>IFERROR(__xludf.DUMMYFUNCTION("""COMPUTED_VALUE"""),10.0)</f>
        <v>10</v>
      </c>
      <c r="B11" s="133" t="str">
        <f>IFERROR(__xludf.DUMMYFUNCTION("""COMPUTED_VALUE"""),"421171")</f>
        <v>421171</v>
      </c>
      <c r="C11" s="133" t="str">
        <f>IFERROR(__xludf.DUMMYFUNCTION("""COMPUTED_VALUE"""),"P-1-N-220820-2331")</f>
        <v>P-1-N-220820-2331</v>
      </c>
      <c r="D11" s="133"/>
      <c r="E11" s="133" t="str">
        <f>IFERROR(__xludf.DUMMYFUNCTION("""COMPUTED_VALUE"""),"تمت طباعة الشهادة")</f>
        <v>تمت طباعة الشهادة</v>
      </c>
      <c r="F11" s="133" t="str">
        <f>IFERROR(__xludf.DUMMYFUNCTION("""COMPUTED_VALUE"""),"Prestige Premium Canary 800 G")</f>
        <v>Prestige Premium Canary 800 G</v>
      </c>
      <c r="G11" s="133" t="str">
        <f>IFERROR(__xludf.DUMMYFUNCTION("""COMPUTED_VALUE"""),"برستيج بريميوم كناري 800 جرام")</f>
        <v>برستيج بريميوم كناري 800 جرام</v>
      </c>
      <c r="H11" s="133" t="str">
        <f>IFERROR(__xludf.DUMMYFUNCTION("""COMPUTED_VALUE"""),"MAFE2020969")</f>
        <v>MAFE2020969</v>
      </c>
      <c r="I11" s="133"/>
      <c r="J11" s="133"/>
      <c r="K11" s="133" t="str">
        <f>IFERROR(__xludf.DUMMYFUNCTION("""COMPUTED_VALUE"""),"فيرسل لاقا ان في")</f>
        <v>فيرسل لاقا ان في</v>
      </c>
      <c r="L11" s="142" t="str">
        <f>IFERROR(__xludf.DUMMYFUNCTION("""COMPUTED_VALUE"""),"421171")</f>
        <v>421171</v>
      </c>
      <c r="M11" s="133"/>
      <c r="N11" s="133"/>
      <c r="O11" s="133"/>
      <c r="P11" s="133"/>
      <c r="Q11" s="133"/>
      <c r="R11" s="133"/>
      <c r="S11" s="133"/>
      <c r="T11" s="133"/>
      <c r="U11" s="133"/>
      <c r="V11" s="133"/>
      <c r="W11" s="133"/>
      <c r="X11" s="133"/>
      <c r="Y11" s="133"/>
      <c r="Z11" s="133"/>
    </row>
    <row r="12">
      <c r="A12" s="133">
        <f>IFERROR(__xludf.DUMMYFUNCTION("""COMPUTED_VALUE"""),11.0)</f>
        <v>11</v>
      </c>
      <c r="B12" s="133" t="str">
        <f>IFERROR(__xludf.DUMMYFUNCTION("""COMPUTED_VALUE"""),"421172")</f>
        <v>421172</v>
      </c>
      <c r="C12" s="133" t="str">
        <f>IFERROR(__xludf.DUMMYFUNCTION("""COMPUTED_VALUE"""),"P-1-N-220820-2332")</f>
        <v>P-1-N-220820-2332</v>
      </c>
      <c r="D12" s="133"/>
      <c r="E12" s="133" t="str">
        <f>IFERROR(__xludf.DUMMYFUNCTION("""COMPUTED_VALUE"""),"تمت طباعة الشهادة")</f>
        <v>تمت طباعة الشهادة</v>
      </c>
      <c r="F12" s="133" t="str">
        <f>IFERROR(__xludf.DUMMYFUNCTION("""COMPUTED_VALUE"""),"Prestige Premium Canary 2.50 KG")</f>
        <v>Prestige Premium Canary 2.50 KG</v>
      </c>
      <c r="G12" s="133" t="str">
        <f>IFERROR(__xludf.DUMMYFUNCTION("""COMPUTED_VALUE"""),"برستيج بريميوم كناري 2.50 كيلو")</f>
        <v>برستيج بريميوم كناري 2.50 كيلو</v>
      </c>
      <c r="H12" s="133" t="str">
        <f>IFERROR(__xludf.DUMMYFUNCTION("""COMPUTED_VALUE"""),"MAFE2020974")</f>
        <v>MAFE2020974</v>
      </c>
      <c r="I12" s="133"/>
      <c r="J12" s="133"/>
      <c r="K12" s="133" t="str">
        <f>IFERROR(__xludf.DUMMYFUNCTION("""COMPUTED_VALUE"""),"فيرسل لاقا ان في")</f>
        <v>فيرسل لاقا ان في</v>
      </c>
      <c r="L12" s="142" t="str">
        <f>IFERROR(__xludf.DUMMYFUNCTION("""COMPUTED_VALUE"""),"421172")</f>
        <v>421172</v>
      </c>
      <c r="M12" s="133"/>
      <c r="N12" s="133"/>
      <c r="O12" s="133"/>
      <c r="P12" s="133"/>
      <c r="Q12" s="133"/>
      <c r="R12" s="133"/>
      <c r="S12" s="133"/>
      <c r="T12" s="133"/>
      <c r="U12" s="133"/>
      <c r="V12" s="133"/>
      <c r="W12" s="133"/>
      <c r="X12" s="133"/>
      <c r="Y12" s="133"/>
      <c r="Z12" s="133"/>
    </row>
    <row r="13">
      <c r="A13" s="133">
        <f>IFERROR(__xludf.DUMMYFUNCTION("""COMPUTED_VALUE"""),12.0)</f>
        <v>12</v>
      </c>
      <c r="B13" s="133" t="str">
        <f>IFERROR(__xludf.DUMMYFUNCTION("""COMPUTED_VALUE"""),"421699")</f>
        <v>421699</v>
      </c>
      <c r="C13" s="133" t="str">
        <f>IFERROR(__xludf.DUMMYFUNCTION("""COMPUTED_VALUE"""),"P-1-N-220820-2333")</f>
        <v>P-1-N-220820-2333</v>
      </c>
      <c r="D13" s="133"/>
      <c r="E13" s="133" t="str">
        <f>IFERROR(__xludf.DUMMYFUNCTION("""COMPUTED_VALUE"""),"تمت طباعة الشهادة")</f>
        <v>تمت طباعة الشهادة</v>
      </c>
      <c r="F13" s="133" t="str">
        <f>IFERROR(__xludf.DUMMYFUNCTION("""COMPUTED_VALUE"""),"Prestige Premium Budgie 800g")</f>
        <v>Prestige Premium Budgie 800g</v>
      </c>
      <c r="G13" s="133" t="str">
        <f>IFERROR(__xludf.DUMMYFUNCTION("""COMPUTED_VALUE"""),"برستيج بريميوم ببغاء صغير 800 جرام")</f>
        <v>برستيج بريميوم ببغاء صغير 800 جرام</v>
      </c>
      <c r="H13" s="133" t="str">
        <f>IFERROR(__xludf.DUMMYFUNCTION("""COMPUTED_VALUE"""),"MAFE2020996")</f>
        <v>MAFE2020996</v>
      </c>
      <c r="I13" s="133"/>
      <c r="J13" s="133"/>
      <c r="K13" s="133" t="str">
        <f>IFERROR(__xludf.DUMMYFUNCTION("""COMPUTED_VALUE"""),"فيرسل لاقا ان في")</f>
        <v>فيرسل لاقا ان في</v>
      </c>
      <c r="L13" s="142" t="str">
        <f>IFERROR(__xludf.DUMMYFUNCTION("""COMPUTED_VALUE"""),"421699")</f>
        <v>421699</v>
      </c>
      <c r="M13" s="133"/>
      <c r="N13" s="133"/>
      <c r="O13" s="133"/>
      <c r="P13" s="133"/>
      <c r="Q13" s="133"/>
      <c r="R13" s="133"/>
      <c r="S13" s="133"/>
      <c r="T13" s="133"/>
      <c r="U13" s="133"/>
      <c r="V13" s="133"/>
      <c r="W13" s="133"/>
      <c r="X13" s="133"/>
      <c r="Y13" s="133"/>
      <c r="Z13" s="133"/>
    </row>
    <row r="14">
      <c r="A14" s="133">
        <f>IFERROR(__xludf.DUMMYFUNCTION("""COMPUTED_VALUE"""),13.0)</f>
        <v>13</v>
      </c>
      <c r="B14" s="133" t="str">
        <f>IFERROR(__xludf.DUMMYFUNCTION("""COMPUTED_VALUE"""),"421700")</f>
        <v>421700</v>
      </c>
      <c r="C14" s="133" t="str">
        <f>IFERROR(__xludf.DUMMYFUNCTION("""COMPUTED_VALUE"""),"P-1-N-220820-2334")</f>
        <v>P-1-N-220820-2334</v>
      </c>
      <c r="D14" s="133"/>
      <c r="E14" s="133" t="str">
        <f>IFERROR(__xludf.DUMMYFUNCTION("""COMPUTED_VALUE"""),"تمت طباعة الشهادة")</f>
        <v>تمت طباعة الشهادة</v>
      </c>
      <c r="F14" s="133" t="str">
        <f>IFERROR(__xludf.DUMMYFUNCTION("""COMPUTED_VALUE"""),"Prestige Premium Budgie 2.50 KG")</f>
        <v>Prestige Premium Budgie 2.50 KG</v>
      </c>
      <c r="G14" s="133" t="str">
        <f>IFERROR(__xludf.DUMMYFUNCTION("""COMPUTED_VALUE"""),"برستيج بريميوم ببغاء صغير 2.50 كيلو")</f>
        <v>برستيج بريميوم ببغاء صغير 2.50 كيلو</v>
      </c>
      <c r="H14" s="133" t="str">
        <f>IFERROR(__xludf.DUMMYFUNCTION("""COMPUTED_VALUE"""),"MAFE2020973")</f>
        <v>MAFE2020973</v>
      </c>
      <c r="I14" s="133"/>
      <c r="J14" s="133"/>
      <c r="K14" s="133" t="str">
        <f>IFERROR(__xludf.DUMMYFUNCTION("""COMPUTED_VALUE"""),"فيرسل لاقا ان في")</f>
        <v>فيرسل لاقا ان في</v>
      </c>
      <c r="L14" s="142" t="str">
        <f>IFERROR(__xludf.DUMMYFUNCTION("""COMPUTED_VALUE"""),"421700")</f>
        <v>421700</v>
      </c>
      <c r="M14" s="133"/>
      <c r="N14" s="133"/>
      <c r="O14" s="133"/>
      <c r="P14" s="133"/>
      <c r="Q14" s="133"/>
      <c r="R14" s="133"/>
      <c r="S14" s="133"/>
      <c r="T14" s="133"/>
      <c r="U14" s="133"/>
      <c r="V14" s="133"/>
      <c r="W14" s="133"/>
      <c r="X14" s="133"/>
      <c r="Y14" s="133"/>
      <c r="Z14" s="133"/>
    </row>
    <row r="15">
      <c r="A15" s="133">
        <f>IFERROR(__xludf.DUMMYFUNCTION("""COMPUTED_VALUE"""),14.0)</f>
        <v>14</v>
      </c>
      <c r="B15" s="133" t="str">
        <f>IFERROR(__xludf.DUMMYFUNCTION("""COMPUTED_VALUE"""),"421512")</f>
        <v>421512</v>
      </c>
      <c r="C15" s="133" t="str">
        <f>IFERROR(__xludf.DUMMYFUNCTION("""COMPUTED_VALUE"""),"P-1-N-220820-2335")</f>
        <v>P-1-N-220820-2335</v>
      </c>
      <c r="D15" s="133"/>
      <c r="E15" s="133" t="str">
        <f>IFERROR(__xludf.DUMMYFUNCTION("""COMPUTED_VALUE"""),"تمت طباعة الشهادة")</f>
        <v>تمت طباعة الشهادة</v>
      </c>
      <c r="F15" s="133" t="str">
        <f>IFERROR(__xludf.DUMMYFUNCTION("""COMPUTED_VALUE"""),"Prestige Premium Tropical Finches 800g")</f>
        <v>Prestige Premium Tropical Finches 800g</v>
      </c>
      <c r="G15" s="133" t="str">
        <f>IFERROR(__xludf.DUMMYFUNCTION("""COMPUTED_VALUE"""),"برستيج بريميوم عصافير استوائية 800 جرام")</f>
        <v>برستيج بريميوم عصافير استوائية 800 جرام</v>
      </c>
      <c r="H15" s="133" t="str">
        <f>IFERROR(__xludf.DUMMYFUNCTION("""COMPUTED_VALUE"""),"MAFE2020972")</f>
        <v>MAFE2020972</v>
      </c>
      <c r="I15" s="133"/>
      <c r="J15" s="133"/>
      <c r="K15" s="133" t="str">
        <f>IFERROR(__xludf.DUMMYFUNCTION("""COMPUTED_VALUE"""),"فيرسل لاقا ان في")</f>
        <v>فيرسل لاقا ان في</v>
      </c>
      <c r="L15" s="142" t="str">
        <f>IFERROR(__xludf.DUMMYFUNCTION("""COMPUTED_VALUE"""),"421512")</f>
        <v>421512</v>
      </c>
      <c r="M15" s="133"/>
      <c r="N15" s="133"/>
      <c r="O15" s="133"/>
      <c r="P15" s="133"/>
      <c r="Q15" s="133"/>
      <c r="R15" s="133"/>
      <c r="S15" s="133"/>
      <c r="T15" s="133"/>
      <c r="U15" s="133"/>
      <c r="V15" s="133"/>
      <c r="W15" s="133"/>
      <c r="X15" s="133"/>
      <c r="Y15" s="133"/>
      <c r="Z15" s="133"/>
    </row>
    <row r="16">
      <c r="A16" s="133">
        <f>IFERROR(__xludf.DUMMYFUNCTION("""COMPUTED_VALUE"""),15.0)</f>
        <v>15</v>
      </c>
      <c r="B16" s="133" t="str">
        <f>IFERROR(__xludf.DUMMYFUNCTION("""COMPUTED_VALUE"""),"421913")</f>
        <v>421913</v>
      </c>
      <c r="C16" s="133" t="str">
        <f>IFERROR(__xludf.DUMMYFUNCTION("""COMPUTED_VALUE"""),"P-1-N-220820-2336")</f>
        <v>P-1-N-220820-2336</v>
      </c>
      <c r="D16" s="133"/>
      <c r="E16" s="133" t="str">
        <f>IFERROR(__xludf.DUMMYFUNCTION("""COMPUTED_VALUE"""),"تمت طباعة الشهادة")</f>
        <v>تمت طباعة الشهادة</v>
      </c>
      <c r="F16" s="133" t="str">
        <f>IFERROR(__xludf.DUMMYFUNCTION("""COMPUTED_VALUE"""),"Prestige Premium Parrots 2 KG")</f>
        <v>Prestige Premium Parrots 2 KG</v>
      </c>
      <c r="G16" s="133" t="str">
        <f>IFERROR(__xludf.DUMMYFUNCTION("""COMPUTED_VALUE"""),"برستيج بريميوم ببغاء 2 كيلو")</f>
        <v>برستيج بريميوم ببغاء 2 كيلو</v>
      </c>
      <c r="H16" s="133" t="str">
        <f>IFERROR(__xludf.DUMMYFUNCTION("""COMPUTED_VALUE"""),"MAFE2020990")</f>
        <v>MAFE2020990</v>
      </c>
      <c r="I16" s="133"/>
      <c r="J16" s="133"/>
      <c r="K16" s="133" t="str">
        <f>IFERROR(__xludf.DUMMYFUNCTION("""COMPUTED_VALUE"""),"فيرسل لاقا ان في")</f>
        <v>فيرسل لاقا ان في</v>
      </c>
      <c r="L16" s="142" t="str">
        <f>IFERROR(__xludf.DUMMYFUNCTION("""COMPUTED_VALUE"""),"421913")</f>
        <v>421913</v>
      </c>
      <c r="M16" s="133"/>
      <c r="N16" s="133"/>
      <c r="O16" s="133"/>
      <c r="P16" s="133"/>
      <c r="Q16" s="133"/>
      <c r="R16" s="133"/>
      <c r="S16" s="133"/>
      <c r="T16" s="133"/>
      <c r="U16" s="133"/>
      <c r="V16" s="133"/>
      <c r="W16" s="133"/>
      <c r="X16" s="133"/>
      <c r="Y16" s="133"/>
      <c r="Z16" s="133"/>
    </row>
    <row r="17">
      <c r="A17" s="133">
        <f>IFERROR(__xludf.DUMMYFUNCTION("""COMPUTED_VALUE"""),16.0)</f>
        <v>16</v>
      </c>
      <c r="B17" s="133" t="str">
        <f>IFERROR(__xludf.DUMMYFUNCTION("""COMPUTED_VALUE"""),"SC3830")</f>
        <v>SC3830</v>
      </c>
      <c r="C17" s="133" t="str">
        <f>IFERROR(__xludf.DUMMYFUNCTION("""COMPUTED_VALUE"""),"P-1-N-230820-2342")</f>
        <v>P-1-N-230820-2342</v>
      </c>
      <c r="D17" s="133"/>
      <c r="E17" s="133" t="str">
        <f>IFERROR(__xludf.DUMMYFUNCTION("""COMPUTED_VALUE"""),"تمت طباعة الشهادة")</f>
        <v>تمت طباعة الشهادة</v>
      </c>
      <c r="F17" s="133" t="str">
        <f>IFERROR(__xludf.DUMMYFUNCTION("""COMPUTED_VALUE"""),"Sanal Soft Sticks Salmon &amp; Trout 15g")</f>
        <v>Sanal Soft Sticks Salmon &amp; Trout 15g</v>
      </c>
      <c r="G17" s="133" t="str">
        <f>IFERROR(__xludf.DUMMYFUNCTION("""COMPUTED_VALUE"""),"سانال فيتا بونز 100 جم")</f>
        <v>سانال فيتا بونز 100 جم</v>
      </c>
      <c r="H17" s="133" t="str">
        <f>IFERROR(__xludf.DUMMYFUNCTION("""COMPUTED_VALUE"""),"MAFE2020958")</f>
        <v>MAFE2020958</v>
      </c>
      <c r="I17" s="133"/>
      <c r="J17" s="133"/>
      <c r="K17" s="133" t="str">
        <f>IFERROR(__xludf.DUMMYFUNCTION("""COMPUTED_VALUE"""),"نيدرما بي في")</f>
        <v>نيدرما بي في</v>
      </c>
      <c r="L17" s="142" t="str">
        <f>IFERROR(__xludf.DUMMYFUNCTION("""COMPUTED_VALUE"""),"SD2972")</f>
        <v>SD2972</v>
      </c>
      <c r="M17" s="133"/>
      <c r="N17" s="133"/>
      <c r="O17" s="133"/>
      <c r="P17" s="133"/>
      <c r="Q17" s="133"/>
      <c r="R17" s="133"/>
      <c r="S17" s="133"/>
      <c r="T17" s="133"/>
      <c r="U17" s="133"/>
      <c r="V17" s="133"/>
      <c r="W17" s="133"/>
      <c r="X17" s="133"/>
      <c r="Y17" s="133"/>
      <c r="Z17" s="133"/>
    </row>
    <row r="18">
      <c r="A18" s="133">
        <f>IFERROR(__xludf.DUMMYFUNCTION("""COMPUTED_VALUE"""),17.0)</f>
        <v>17</v>
      </c>
      <c r="B18" s="133" t="str">
        <f>IFERROR(__xludf.DUMMYFUNCTION("""COMPUTED_VALUE"""),"SC3830")</f>
        <v>SC3830</v>
      </c>
      <c r="C18" s="133" t="str">
        <f>IFERROR(__xludf.DUMMYFUNCTION("""COMPUTED_VALUE"""),"P-1-N-230820-2347")</f>
        <v>P-1-N-230820-2347</v>
      </c>
      <c r="D18" s="133"/>
      <c r="E18" s="133" t="str">
        <f>IFERROR(__xludf.DUMMYFUNCTION("""COMPUTED_VALUE"""),"تمت طباعة الشهادة")</f>
        <v>تمت طباعة الشهادة</v>
      </c>
      <c r="F18" s="133"/>
      <c r="G18" s="133" t="str">
        <f>IFERROR(__xludf.DUMMYFUNCTION("""COMPUTED_VALUE"""),"سانال عصا طرية بسمك السالمون و التراوت 15 جم")</f>
        <v>سانال عصا طرية بسمك السالمون و التراوت 15 جم</v>
      </c>
      <c r="H18" s="133" t="str">
        <f>IFERROR(__xludf.DUMMYFUNCTION("""COMPUTED_VALUE"""),"MAFE2020971")</f>
        <v>MAFE2020971</v>
      </c>
      <c r="I18" s="133"/>
      <c r="J18" s="133"/>
      <c r="K18" s="133" t="str">
        <f>IFERROR(__xludf.DUMMYFUNCTION("""COMPUTED_VALUE"""),"نيدرما بي في")</f>
        <v>نيدرما بي في</v>
      </c>
      <c r="L18" s="142" t="str">
        <f>IFERROR(__xludf.DUMMYFUNCTION("""COMPUTED_VALUE"""),"SC3830")</f>
        <v>SC3830</v>
      </c>
      <c r="M18" s="133"/>
      <c r="N18" s="133"/>
      <c r="O18" s="133"/>
      <c r="P18" s="133"/>
      <c r="Q18" s="133"/>
      <c r="R18" s="133"/>
      <c r="S18" s="133"/>
      <c r="T18" s="133"/>
      <c r="U18" s="133"/>
      <c r="V18" s="133"/>
      <c r="W18" s="133"/>
      <c r="X18" s="133"/>
      <c r="Y18" s="133"/>
      <c r="Z18" s="133"/>
    </row>
    <row r="19">
      <c r="A19" s="133">
        <f>IFERROR(__xludf.DUMMYFUNCTION("""COMPUTED_VALUE"""),18.0)</f>
        <v>18</v>
      </c>
      <c r="B19" s="133" t="str">
        <f>IFERROR(__xludf.DUMMYFUNCTION("""COMPUTED_VALUE"""),"SC3840")</f>
        <v>SC3840</v>
      </c>
      <c r="C19" s="133" t="str">
        <f>IFERROR(__xludf.DUMMYFUNCTION("""COMPUTED_VALUE"""),"P-1-N-230820-2348")</f>
        <v>P-1-N-230820-2348</v>
      </c>
      <c r="D19" s="133"/>
      <c r="E19" s="133" t="str">
        <f>IFERROR(__xludf.DUMMYFUNCTION("""COMPUTED_VALUE"""),"تمت طباعة الشهادة")</f>
        <v>تمت طباعة الشهادة</v>
      </c>
      <c r="F19" s="133" t="str">
        <f>IFERROR(__xludf.DUMMYFUNCTION("""COMPUTED_VALUE"""),"Sanal Soft Sticks Turkey &amp; Liver 15g")</f>
        <v>Sanal Soft Sticks Turkey &amp; Liver 15g</v>
      </c>
      <c r="G19" s="133" t="str">
        <f>IFERROR(__xludf.DUMMYFUNCTION("""COMPUTED_VALUE"""),"سانال عصا طرية بالديك الرومي والكبد 15 جم")</f>
        <v>سانال عصا طرية بالديك الرومي والكبد 15 جم</v>
      </c>
      <c r="H19" s="133" t="str">
        <f>IFERROR(__xludf.DUMMYFUNCTION("""COMPUTED_VALUE"""),"MAFE2020970")</f>
        <v>MAFE2020970</v>
      </c>
      <c r="I19" s="133"/>
      <c r="J19" s="133"/>
      <c r="K19" s="133" t="str">
        <f>IFERROR(__xludf.DUMMYFUNCTION("""COMPUTED_VALUE"""),"نيدرما بي في")</f>
        <v>نيدرما بي في</v>
      </c>
      <c r="L19" s="142" t="str">
        <f>IFERROR(__xludf.DUMMYFUNCTION("""COMPUTED_VALUE"""),"SC3840")</f>
        <v>SC3840</v>
      </c>
      <c r="M19" s="133"/>
      <c r="N19" s="133"/>
      <c r="O19" s="133"/>
      <c r="P19" s="133"/>
      <c r="Q19" s="133"/>
      <c r="R19" s="133"/>
      <c r="S19" s="133"/>
      <c r="T19" s="133"/>
      <c r="U19" s="133"/>
      <c r="V19" s="133"/>
      <c r="W19" s="133"/>
      <c r="X19" s="133"/>
      <c r="Y19" s="133"/>
      <c r="Z19" s="133"/>
    </row>
    <row r="20">
      <c r="A20" s="133">
        <f>IFERROR(__xludf.DUMMYFUNCTION("""COMPUTED_VALUE"""),19.0)</f>
        <v>19</v>
      </c>
      <c r="B20" s="133" t="str">
        <f>IFERROR(__xludf.DUMMYFUNCTION("""COMPUTED_VALUE"""),"SC3850")</f>
        <v>SC3850</v>
      </c>
      <c r="C20" s="133" t="str">
        <f>IFERROR(__xludf.DUMMYFUNCTION("""COMPUTED_VALUE"""),"P-1-N-230820-2350")</f>
        <v>P-1-N-230820-2350</v>
      </c>
      <c r="D20" s="133"/>
      <c r="E20" s="133" t="str">
        <f>IFERROR(__xludf.DUMMYFUNCTION("""COMPUTED_VALUE"""),"تمت طباعة الشهادة")</f>
        <v>تمت طباعة الشهادة</v>
      </c>
      <c r="F20" s="133" t="str">
        <f>IFERROR(__xludf.DUMMYFUNCTION("""COMPUTED_VALUE"""),"Sanal Soft Sticks Lamb &amp; Rice 15g")</f>
        <v>Sanal Soft Sticks Lamb &amp; Rice 15g</v>
      </c>
      <c r="G20" s="133" t="str">
        <f>IFERROR(__xludf.DUMMYFUNCTION("""COMPUTED_VALUE"""),"سانال عصا طرية بلحم الضأن والأرز 15 جم")</f>
        <v>سانال عصا طرية بلحم الضأن والأرز 15 جم</v>
      </c>
      <c r="H20" s="133" t="str">
        <f>IFERROR(__xludf.DUMMYFUNCTION("""COMPUTED_VALUE"""),"MAFE2020968")</f>
        <v>MAFE2020968</v>
      </c>
      <c r="I20" s="133"/>
      <c r="J20" s="133"/>
      <c r="K20" s="133" t="str">
        <f>IFERROR(__xludf.DUMMYFUNCTION("""COMPUTED_VALUE"""),"نيدرما بي في")</f>
        <v>نيدرما بي في</v>
      </c>
      <c r="L20" s="142" t="str">
        <f>IFERROR(__xludf.DUMMYFUNCTION("""COMPUTED_VALUE"""),"SC3850")</f>
        <v>SC3850</v>
      </c>
      <c r="M20" s="133"/>
      <c r="N20" s="133"/>
      <c r="O20" s="133"/>
      <c r="P20" s="133"/>
      <c r="Q20" s="133"/>
      <c r="R20" s="133"/>
      <c r="S20" s="133"/>
      <c r="T20" s="133"/>
      <c r="U20" s="133"/>
      <c r="V20" s="133"/>
      <c r="W20" s="133"/>
      <c r="X20" s="133"/>
      <c r="Y20" s="133"/>
      <c r="Z20" s="133"/>
    </row>
    <row r="21">
      <c r="A21" s="133">
        <f>IFERROR(__xludf.DUMMYFUNCTION("""COMPUTED_VALUE"""),20.0)</f>
        <v>20</v>
      </c>
      <c r="B21" s="133" t="str">
        <f>IFERROR(__xludf.DUMMYFUNCTION("""COMPUTED_VALUE"""),"SD2900")</f>
        <v>SD2900</v>
      </c>
      <c r="C21" s="133" t="str">
        <f>IFERROR(__xludf.DUMMYFUNCTION("""COMPUTED_VALUE"""),"P-1-N-230820-2354")</f>
        <v>P-1-N-230820-2354</v>
      </c>
      <c r="D21" s="133"/>
      <c r="E21" s="133" t="str">
        <f>IFERROR(__xludf.DUMMYFUNCTION("""COMPUTED_VALUE"""),"تمت طباعة الشهادة")</f>
        <v>تمت طباعة الشهادة</v>
      </c>
      <c r="F21" s="133" t="str">
        <f>IFERROR(__xludf.DUMMYFUNCTION("""COMPUTED_VALUE"""),"Sanal Soft Stick Beef 12g")</f>
        <v>Sanal Soft Stick Beef 12g</v>
      </c>
      <c r="G21" s="133" t="str">
        <f>IFERROR(__xludf.DUMMYFUNCTION("""COMPUTED_VALUE"""),"سانال عصا طرية باللحم البقري 12 جم")</f>
        <v>سانال عصا طرية باللحم البقري 12 جم</v>
      </c>
      <c r="H21" s="133" t="str">
        <f>IFERROR(__xludf.DUMMYFUNCTION("""COMPUTED_VALUE"""),"MAFE2020967")</f>
        <v>MAFE2020967</v>
      </c>
      <c r="I21" s="133"/>
      <c r="J21" s="133"/>
      <c r="K21" s="133" t="str">
        <f>IFERROR(__xludf.DUMMYFUNCTION("""COMPUTED_VALUE"""),"نيدرما بي في")</f>
        <v>نيدرما بي في</v>
      </c>
      <c r="L21" s="142" t="str">
        <f>IFERROR(__xludf.DUMMYFUNCTION("""COMPUTED_VALUE"""),"SD2900")</f>
        <v>SD2900</v>
      </c>
      <c r="M21" s="133"/>
      <c r="N21" s="133"/>
      <c r="O21" s="133"/>
      <c r="P21" s="133"/>
      <c r="Q21" s="133"/>
      <c r="R21" s="133"/>
      <c r="S21" s="133"/>
      <c r="T21" s="133"/>
      <c r="U21" s="133"/>
      <c r="V21" s="133"/>
      <c r="W21" s="133"/>
      <c r="X21" s="133"/>
      <c r="Y21" s="133"/>
      <c r="Z21" s="133"/>
    </row>
    <row r="22">
      <c r="A22" s="133">
        <f>IFERROR(__xludf.DUMMYFUNCTION("""COMPUTED_VALUE"""),21.0)</f>
        <v>21</v>
      </c>
      <c r="B22" s="133" t="str">
        <f>IFERROR(__xludf.DUMMYFUNCTION("""COMPUTED_VALUE"""),"SD2920")</f>
        <v>SD2920</v>
      </c>
      <c r="C22" s="133" t="str">
        <f>IFERROR(__xludf.DUMMYFUNCTION("""COMPUTED_VALUE"""),"P-1-N-230820-2356")</f>
        <v>P-1-N-230820-2356</v>
      </c>
      <c r="D22" s="133"/>
      <c r="E22" s="133" t="str">
        <f>IFERROR(__xludf.DUMMYFUNCTION("""COMPUTED_VALUE"""),"تمت طباعة الشهادة")</f>
        <v>تمت طباعة الشهادة</v>
      </c>
      <c r="F22" s="133" t="str">
        <f>IFERROR(__xludf.DUMMYFUNCTION("""COMPUTED_VALUE"""),"Sanal Soft Stick Poultry 12g")</f>
        <v>Sanal Soft Stick Poultry 12g</v>
      </c>
      <c r="G22" s="133" t="str">
        <f>IFERROR(__xludf.DUMMYFUNCTION("""COMPUTED_VALUE"""),"سانال عصا طرية بالدواجن 12 جم")</f>
        <v>سانال عصا طرية بالدواجن 12 جم</v>
      </c>
      <c r="H22" s="133" t="str">
        <f>IFERROR(__xludf.DUMMYFUNCTION("""COMPUTED_VALUE"""),"MAFE2020989")</f>
        <v>MAFE2020989</v>
      </c>
      <c r="I22" s="133"/>
      <c r="J22" s="133"/>
      <c r="K22" s="133" t="str">
        <f>IFERROR(__xludf.DUMMYFUNCTION("""COMPUTED_VALUE"""),"نيدرما بي في")</f>
        <v>نيدرما بي في</v>
      </c>
      <c r="L22" s="142" t="str">
        <f>IFERROR(__xludf.DUMMYFUNCTION("""COMPUTED_VALUE"""),"SD2920")</f>
        <v>SD2920</v>
      </c>
      <c r="M22" s="133"/>
      <c r="N22" s="133"/>
      <c r="O22" s="133"/>
      <c r="P22" s="133"/>
      <c r="Q22" s="133"/>
      <c r="R22" s="133"/>
      <c r="S22" s="133"/>
      <c r="T22" s="133"/>
      <c r="U22" s="133"/>
      <c r="V22" s="133"/>
      <c r="W22" s="133"/>
      <c r="X22" s="133"/>
      <c r="Y22" s="133"/>
      <c r="Z22" s="133"/>
    </row>
    <row r="23">
      <c r="A23" s="133">
        <f>IFERROR(__xludf.DUMMYFUNCTION("""COMPUTED_VALUE"""),22.0)</f>
        <v>22</v>
      </c>
      <c r="B23" s="133"/>
      <c r="C23" s="133" t="str">
        <f>IFERROR(__xludf.DUMMYFUNCTION("""COMPUTED_VALUE"""),"P-1-N-240820-2390")</f>
        <v>P-1-N-240820-2390</v>
      </c>
      <c r="D23" s="133"/>
      <c r="E23" s="133" t="str">
        <f>IFERROR(__xludf.DUMMYFUNCTION("""COMPUTED_VALUE"""),"REJECTED")</f>
        <v>REJECTED</v>
      </c>
      <c r="F23" s="133" t="str">
        <f>IFERROR(__xludf.DUMMYFUNCTION("""COMPUTED_VALUE"""),"Prestige Loro Parque African Parrot 1 KG")</f>
        <v>Prestige Loro Parque African Parrot 1 KG</v>
      </c>
      <c r="G23" s="133" t="str">
        <f>IFERROR(__xludf.DUMMYFUNCTION("""COMPUTED_VALUE"""),"برستيج لورو بارك ببغاء افريقي 1 كيلو")</f>
        <v>برستيج لورو بارك ببغاء افريقي 1 كيلو</v>
      </c>
      <c r="H23" s="133"/>
      <c r="I23" s="133"/>
      <c r="J23" s="133"/>
      <c r="K23" s="133" t="str">
        <f>IFERROR(__xludf.DUMMYFUNCTION("""COMPUTED_VALUE"""),"فيرسل لاقا ان في")</f>
        <v>فيرسل لاقا ان في</v>
      </c>
      <c r="L23" s="133"/>
      <c r="M23" s="133"/>
      <c r="N23" s="133"/>
      <c r="O23" s="133"/>
      <c r="P23" s="133"/>
      <c r="Q23" s="133"/>
      <c r="R23" s="133"/>
      <c r="S23" s="133"/>
      <c r="T23" s="133"/>
      <c r="U23" s="133"/>
      <c r="V23" s="133"/>
      <c r="W23" s="133"/>
      <c r="X23" s="133"/>
      <c r="Y23" s="133"/>
      <c r="Z23" s="133"/>
    </row>
    <row r="24">
      <c r="A24" s="133">
        <f>IFERROR(__xludf.DUMMYFUNCTION("""COMPUTED_VALUE"""),23.0)</f>
        <v>23</v>
      </c>
      <c r="B24" s="133"/>
      <c r="C24" s="133" t="str">
        <f>IFERROR(__xludf.DUMMYFUNCTION("""COMPUTED_VALUE"""),"P-1-N-240820-2391")</f>
        <v>P-1-N-240820-2391</v>
      </c>
      <c r="D24" s="133"/>
      <c r="E24" s="133" t="str">
        <f>IFERROR(__xludf.DUMMYFUNCTION("""COMPUTED_VALUE"""),"REJECTED")</f>
        <v>REJECTED</v>
      </c>
      <c r="F24" s="133" t="str">
        <f>IFERROR(__xludf.DUMMYFUNCTION("""COMPUTED_VALUE"""),"Prestige Loro Parque African Parrot 2.50 KG")</f>
        <v>Prestige Loro Parque African Parrot 2.50 KG</v>
      </c>
      <c r="G24" s="133" t="str">
        <f>IFERROR(__xludf.DUMMYFUNCTION("""COMPUTED_VALUE"""),"برستيج لورو بارك ببغاء افريقي 2.50 كيلو")</f>
        <v>برستيج لورو بارك ببغاء افريقي 2.50 كيلو</v>
      </c>
      <c r="H24" s="133"/>
      <c r="I24" s="133"/>
      <c r="J24" s="133"/>
      <c r="K24" s="133" t="str">
        <f>IFERROR(__xludf.DUMMYFUNCTION("""COMPUTED_VALUE"""),"فيرسل لاقا ان في")</f>
        <v>فيرسل لاقا ان في</v>
      </c>
      <c r="L24" s="133"/>
      <c r="M24" s="133"/>
      <c r="N24" s="133"/>
      <c r="O24" s="133"/>
      <c r="P24" s="133"/>
      <c r="Q24" s="133"/>
      <c r="R24" s="133"/>
      <c r="S24" s="133"/>
      <c r="T24" s="133"/>
      <c r="U24" s="133"/>
      <c r="V24" s="133"/>
      <c r="W24" s="133"/>
      <c r="X24" s="133"/>
      <c r="Y24" s="133"/>
      <c r="Z24" s="133"/>
    </row>
    <row r="25">
      <c r="A25" s="133">
        <f>IFERROR(__xludf.DUMMYFUNCTION("""COMPUTED_VALUE"""),24.0)</f>
        <v>24</v>
      </c>
      <c r="B25" s="133" t="str">
        <f>IFERROR(__xludf.DUMMYFUNCTION("""COMPUTED_VALUE"""),"422208")</f>
        <v>422208</v>
      </c>
      <c r="C25" s="133" t="str">
        <f>IFERROR(__xludf.DUMMYFUNCTION("""COMPUTED_VALUE"""),"P-1-N-240820-2392")</f>
        <v>P-1-N-240820-2392</v>
      </c>
      <c r="D25" s="133"/>
      <c r="E25" s="133" t="str">
        <f>IFERROR(__xludf.DUMMYFUNCTION("""COMPUTED_VALUE"""),"REJECTED")</f>
        <v>REJECTED</v>
      </c>
      <c r="F25" s="133" t="str">
        <f>IFERROR(__xludf.DUMMYFUNCTION("""COMPUTED_VALUE"""),"Prestige Loro Parque Amazone Parrot 1 KG")</f>
        <v>Prestige Loro Parque Amazone Parrot 1 KG</v>
      </c>
      <c r="G25" s="133" t="str">
        <f>IFERROR(__xludf.DUMMYFUNCTION("""COMPUTED_VALUE"""),"برستيج لورو بارك ببغاء امازوني 1 كيلو")</f>
        <v>برستيج لورو بارك ببغاء امازوني 1 كيلو</v>
      </c>
      <c r="H25" s="133"/>
      <c r="I25" s="133"/>
      <c r="J25" s="133"/>
      <c r="K25" s="133" t="str">
        <f>IFERROR(__xludf.DUMMYFUNCTION("""COMPUTED_VALUE"""),"فيرسل لاقا ان في")</f>
        <v>فيرسل لاقا ان في</v>
      </c>
      <c r="L25" s="142" t="str">
        <f>IFERROR(__xludf.DUMMYFUNCTION("""COMPUTED_VALUE"""),"422208")</f>
        <v>422208</v>
      </c>
      <c r="M25" s="133"/>
      <c r="N25" s="133"/>
      <c r="O25" s="133"/>
      <c r="P25" s="133"/>
      <c r="Q25" s="133"/>
      <c r="R25" s="133"/>
      <c r="S25" s="133"/>
      <c r="T25" s="133"/>
      <c r="U25" s="133"/>
      <c r="V25" s="133"/>
      <c r="W25" s="133"/>
      <c r="X25" s="133"/>
      <c r="Y25" s="133"/>
      <c r="Z25" s="133"/>
    </row>
    <row r="26">
      <c r="A26" s="133">
        <f>IFERROR(__xludf.DUMMYFUNCTION("""COMPUTED_VALUE"""),25.0)</f>
        <v>25</v>
      </c>
      <c r="B26" s="133" t="str">
        <f>IFERROR(__xludf.DUMMYFUNCTION("""COMPUTED_VALUE"""),"422211")</f>
        <v>422211</v>
      </c>
      <c r="C26" s="133" t="str">
        <f>IFERROR(__xludf.DUMMYFUNCTION("""COMPUTED_VALUE"""),"P-1-N-240820-2393")</f>
        <v>P-1-N-240820-2393</v>
      </c>
      <c r="D26" s="133"/>
      <c r="E26" s="133" t="str">
        <f>IFERROR(__xludf.DUMMYFUNCTION("""COMPUTED_VALUE"""),"تمت طباعة الشهادة")</f>
        <v>تمت طباعة الشهادة</v>
      </c>
      <c r="F26" s="133" t="str">
        <f>IFERROR(__xludf.DUMMYFUNCTION("""COMPUTED_VALUE"""),"Prestige Loro Parque Amazone Parrot 15 KG")</f>
        <v>Prestige Loro Parque Amazone Parrot 15 KG</v>
      </c>
      <c r="G26" s="133" t="str">
        <f>IFERROR(__xludf.DUMMYFUNCTION("""COMPUTED_VALUE"""),"برستيج لورو بارك ببغاء امازوني 15 كيلو")</f>
        <v>برستيج لورو بارك ببغاء امازوني 15 كيلو</v>
      </c>
      <c r="H26" s="133" t="str">
        <f>IFERROR(__xludf.DUMMYFUNCTION("""COMPUTED_VALUE"""),"MAFE20201203")</f>
        <v>MAFE20201203</v>
      </c>
      <c r="I26" s="133"/>
      <c r="J26" s="133"/>
      <c r="K26" s="133" t="str">
        <f>IFERROR(__xludf.DUMMYFUNCTION("""COMPUTED_VALUE"""),"فيرسل لاقا ان في")</f>
        <v>فيرسل لاقا ان في</v>
      </c>
      <c r="L26" s="142" t="str">
        <f>IFERROR(__xludf.DUMMYFUNCTION("""COMPUTED_VALUE"""),"422211")</f>
        <v>422211</v>
      </c>
      <c r="M26" s="133"/>
      <c r="N26" s="133"/>
      <c r="O26" s="133"/>
      <c r="P26" s="133"/>
      <c r="Q26" s="133"/>
      <c r="R26" s="133"/>
      <c r="S26" s="133"/>
      <c r="T26" s="133"/>
      <c r="U26" s="133"/>
      <c r="V26" s="133"/>
      <c r="W26" s="133"/>
      <c r="X26" s="133"/>
      <c r="Y26" s="133"/>
      <c r="Z26" s="133"/>
    </row>
    <row r="27">
      <c r="A27" s="133">
        <f>IFERROR(__xludf.DUMMYFUNCTION("""COMPUTED_VALUE"""),26.0)</f>
        <v>26</v>
      </c>
      <c r="B27" s="133" t="str">
        <f>IFERROR(__xludf.DUMMYFUNCTION("""COMPUTED_VALUE"""),"422212")</f>
        <v>422212</v>
      </c>
      <c r="C27" s="133" t="str">
        <f>IFERROR(__xludf.DUMMYFUNCTION("""COMPUTED_VALUE"""),"P-1-N-240820-2394")</f>
        <v>P-1-N-240820-2394</v>
      </c>
      <c r="D27" s="133"/>
      <c r="E27" s="133" t="str">
        <f>IFERROR(__xludf.DUMMYFUNCTION("""COMPUTED_VALUE"""),"REJECTED")</f>
        <v>REJECTED</v>
      </c>
      <c r="F27" s="133" t="str">
        <f>IFERROR(__xludf.DUMMYFUNCTION("""COMPUTED_VALUE"""),"Prestige Loro Parque Australian Parrot 1 KG")</f>
        <v>Prestige Loro Parque Australian Parrot 1 KG</v>
      </c>
      <c r="G27" s="133" t="str">
        <f>IFERROR(__xludf.DUMMYFUNCTION("""COMPUTED_VALUE"""),"برستيج لورو بارك ببغاء استرالي 1 كيلو")</f>
        <v>برستيج لورو بارك ببغاء استرالي 1 كيلو</v>
      </c>
      <c r="H27" s="133"/>
      <c r="I27" s="133"/>
      <c r="J27" s="133"/>
      <c r="K27" s="133" t="str">
        <f>IFERROR(__xludf.DUMMYFUNCTION("""COMPUTED_VALUE"""),"فيرسل لاقا ان في")</f>
        <v>فيرسل لاقا ان في</v>
      </c>
      <c r="L27" s="142" t="str">
        <f>IFERROR(__xludf.DUMMYFUNCTION("""COMPUTED_VALUE"""),"422212")</f>
        <v>422212</v>
      </c>
      <c r="M27" s="133"/>
      <c r="N27" s="133"/>
      <c r="O27" s="133"/>
      <c r="P27" s="133"/>
      <c r="Q27" s="133"/>
      <c r="R27" s="133"/>
      <c r="S27" s="133"/>
      <c r="T27" s="133"/>
      <c r="U27" s="133"/>
      <c r="V27" s="133"/>
      <c r="W27" s="133"/>
      <c r="X27" s="133"/>
      <c r="Y27" s="133"/>
      <c r="Z27" s="133"/>
    </row>
    <row r="28">
      <c r="A28" s="133">
        <f>IFERROR(__xludf.DUMMYFUNCTION("""COMPUTED_VALUE"""),27.0)</f>
        <v>27</v>
      </c>
      <c r="B28" s="133"/>
      <c r="C28" s="133" t="str">
        <f>IFERROR(__xludf.DUMMYFUNCTION("""COMPUTED_VALUE"""),"P-1-N-250820-2416")</f>
        <v>P-1-N-250820-2416</v>
      </c>
      <c r="D28" s="133"/>
      <c r="E28" s="133" t="str">
        <f>IFERROR(__xludf.DUMMYFUNCTION("""COMPUTED_VALUE"""),"REJECTED")</f>
        <v>REJECTED</v>
      </c>
      <c r="F28" s="133" t="str">
        <f>IFERROR(__xludf.DUMMYFUNCTION("""COMPUTED_VALUE"""),"Butcher's Natural &amp; Healthy with Trout Chunks in Jelly ")</f>
        <v>Butcher's Natural &amp; Healthy with Trout Chunks in Jelly </v>
      </c>
      <c r="G28" s="133" t="str">
        <f>IFERROR(__xludf.DUMMYFUNCTION("""COMPUTED_VALUE"""),"بوتشرز طبيعي وصحي مع التراوت في الجلي 400 جم")</f>
        <v>بوتشرز طبيعي وصحي مع التراوت في الجلي 400 جم</v>
      </c>
      <c r="H28" s="133"/>
      <c r="I28" s="133"/>
      <c r="J28" s="133"/>
      <c r="K28" s="133" t="str">
        <f>IFERROR(__xludf.DUMMYFUNCTION("""COMPUTED_VALUE"""),"بوتشرز بت كير ال تي دي")</f>
        <v>بوتشرز بت كير ال تي دي</v>
      </c>
      <c r="L28" s="133"/>
      <c r="M28" s="133"/>
      <c r="N28" s="133"/>
      <c r="O28" s="133"/>
      <c r="P28" s="133"/>
      <c r="Q28" s="133"/>
      <c r="R28" s="133"/>
      <c r="S28" s="133"/>
      <c r="T28" s="133"/>
      <c r="U28" s="133"/>
      <c r="V28" s="133"/>
      <c r="W28" s="133"/>
      <c r="X28" s="133"/>
      <c r="Y28" s="133"/>
      <c r="Z28" s="133"/>
    </row>
    <row r="29">
      <c r="A29" s="133">
        <f>IFERROR(__xludf.DUMMYFUNCTION("""COMPUTED_VALUE"""),28.0)</f>
        <v>28</v>
      </c>
      <c r="B29" s="133"/>
      <c r="C29" s="133" t="str">
        <f>IFERROR(__xludf.DUMMYFUNCTION("""COMPUTED_VALUE"""),"P-1-N-250820-2420")</f>
        <v>P-1-N-250820-2420</v>
      </c>
      <c r="D29" s="133"/>
      <c r="E29" s="133" t="str">
        <f>IFERROR(__xludf.DUMMYFUNCTION("""COMPUTED_VALUE"""),"REJECTED")</f>
        <v>REJECTED</v>
      </c>
      <c r="F29" s="133" t="str">
        <f>IFERROR(__xludf.DUMMYFUNCTION("""COMPUTED_VALUE"""),"Butcher's Natural &amp; Healthy with Game Chunks in Jelly ")</f>
        <v>Butcher's Natural &amp; Healthy with Game Chunks in Jelly </v>
      </c>
      <c r="G29" s="133" t="str">
        <f>IFERROR(__xludf.DUMMYFUNCTION("""COMPUTED_VALUE"""),"بوتشرز طبيعي وصحي مع قطع لحوم الطرائد في الجلي 400 جم")</f>
        <v>بوتشرز طبيعي وصحي مع قطع لحوم الطرائد في الجلي 400 جم</v>
      </c>
      <c r="H29" s="133"/>
      <c r="I29" s="133"/>
      <c r="J29" s="133"/>
      <c r="K29" s="133" t="str">
        <f>IFERROR(__xludf.DUMMYFUNCTION("""COMPUTED_VALUE"""),"بوتشرز بت كير ال تي دي")</f>
        <v>بوتشرز بت كير ال تي دي</v>
      </c>
      <c r="L29" s="133"/>
      <c r="M29" s="133"/>
      <c r="N29" s="133"/>
      <c r="O29" s="133"/>
      <c r="P29" s="133"/>
      <c r="Q29" s="133"/>
      <c r="R29" s="133"/>
      <c r="S29" s="133"/>
      <c r="T29" s="133"/>
      <c r="U29" s="133"/>
      <c r="V29" s="133"/>
      <c r="W29" s="133"/>
      <c r="X29" s="133"/>
      <c r="Y29" s="133"/>
      <c r="Z29" s="133"/>
    </row>
    <row r="30">
      <c r="A30" s="133">
        <f>IFERROR(__xludf.DUMMYFUNCTION("""COMPUTED_VALUE"""),29.0)</f>
        <v>29</v>
      </c>
      <c r="B30" s="133" t="str">
        <f>IFERROR(__xludf.DUMMYFUNCTION("""COMPUTED_VALUE"""),"B1135")</f>
        <v>B1135</v>
      </c>
      <c r="C30" s="133" t="str">
        <f>IFERROR(__xludf.DUMMYFUNCTION("""COMPUTED_VALUE"""),"P-1-N-250820-2421")</f>
        <v>P-1-N-250820-2421</v>
      </c>
      <c r="D30" s="133"/>
      <c r="E30" s="133" t="str">
        <f>IFERROR(__xludf.DUMMYFUNCTION("""COMPUTED_VALUE"""),"REJECTED")</f>
        <v>REJECTED</v>
      </c>
      <c r="F30" s="133" t="str">
        <f>IFERROR(__xludf.DUMMYFUNCTION("""COMPUTED_VALUE"""),"Butcher's Natural &amp; Healthy with Ocean Fish Chunks in Jelly ")</f>
        <v>Butcher's Natural &amp; Healthy with Ocean Fish Chunks in Jelly </v>
      </c>
      <c r="G30" s="133" t="str">
        <f>IFERROR(__xludf.DUMMYFUNCTION("""COMPUTED_VALUE"""),"بوتشرز طبيعي وصحي مع قطع أسماك المحيط في الجلي 400 جم")</f>
        <v>بوتشرز طبيعي وصحي مع قطع أسماك المحيط في الجلي 400 جم</v>
      </c>
      <c r="H30" s="133"/>
      <c r="I30" s="133"/>
      <c r="J30" s="133"/>
      <c r="K30" s="133" t="str">
        <f>IFERROR(__xludf.DUMMYFUNCTION("""COMPUTED_VALUE"""),"بوتشرز بت كير ال تي دي")</f>
        <v>بوتشرز بت كير ال تي دي</v>
      </c>
      <c r="L30" s="142" t="str">
        <f>IFERROR(__xludf.DUMMYFUNCTION("""COMPUTED_VALUE"""),"B1135")</f>
        <v>B1135</v>
      </c>
      <c r="M30" s="133"/>
      <c r="N30" s="133"/>
      <c r="O30" s="133"/>
      <c r="P30" s="133"/>
      <c r="Q30" s="133"/>
      <c r="R30" s="133"/>
      <c r="S30" s="133"/>
      <c r="T30" s="133"/>
      <c r="U30" s="133"/>
      <c r="V30" s="133"/>
      <c r="W30" s="133"/>
      <c r="X30" s="133"/>
      <c r="Y30" s="133"/>
      <c r="Z30" s="133"/>
    </row>
    <row r="31">
      <c r="A31" s="133">
        <f>IFERROR(__xludf.DUMMYFUNCTION("""COMPUTED_VALUE"""),30.0)</f>
        <v>30</v>
      </c>
      <c r="B31" s="133"/>
      <c r="C31" s="133" t="str">
        <f>IFERROR(__xludf.DUMMYFUNCTION("""COMPUTED_VALUE"""),"P-1-N-250820-2422")</f>
        <v>P-1-N-250820-2422</v>
      </c>
      <c r="D31" s="133"/>
      <c r="E31" s="133" t="str">
        <f>IFERROR(__xludf.DUMMYFUNCTION("""COMPUTED_VALUE"""),"REJECTED")</f>
        <v>REJECTED</v>
      </c>
      <c r="F31" s="133" t="str">
        <f>IFERROR(__xludf.DUMMYFUNCTION("""COMPUTED_VALUE"""),"Butcher's Natural &amp; Healthy with Chicken Chunks in Jelly ")</f>
        <v>Butcher's Natural &amp; Healthy with Chicken Chunks in Jelly </v>
      </c>
      <c r="G31" s="133" t="str">
        <f>IFERROR(__xludf.DUMMYFUNCTION("""COMPUTED_VALUE"""),"بوتشرز طبيعي وصحي مع قطع دجاج في الجلي 400 جم")</f>
        <v>بوتشرز طبيعي وصحي مع قطع دجاج في الجلي 400 جم</v>
      </c>
      <c r="H31" s="133"/>
      <c r="I31" s="133"/>
      <c r="J31" s="133"/>
      <c r="K31" s="133" t="str">
        <f>IFERROR(__xludf.DUMMYFUNCTION("""COMPUTED_VALUE"""),"بوتشرز بت كير ال تي دي")</f>
        <v>بوتشرز بت كير ال تي دي</v>
      </c>
      <c r="L31" s="133"/>
      <c r="M31" s="133"/>
      <c r="N31" s="133"/>
      <c r="O31" s="133"/>
      <c r="P31" s="133"/>
      <c r="Q31" s="133"/>
      <c r="R31" s="133"/>
      <c r="S31" s="133"/>
      <c r="T31" s="133"/>
      <c r="U31" s="133"/>
      <c r="V31" s="133"/>
      <c r="W31" s="133"/>
      <c r="X31" s="133"/>
      <c r="Y31" s="133"/>
      <c r="Z31" s="133"/>
    </row>
    <row r="32">
      <c r="A32" s="133">
        <f>IFERROR(__xludf.DUMMYFUNCTION("""COMPUTED_VALUE"""),31.0)</f>
        <v>31</v>
      </c>
      <c r="B32" s="133"/>
      <c r="C32" s="133" t="str">
        <f>IFERROR(__xludf.DUMMYFUNCTION("""COMPUTED_VALUE"""),"P-1-N-250820-2423")</f>
        <v>P-1-N-250820-2423</v>
      </c>
      <c r="D32" s="133"/>
      <c r="E32" s="133" t="str">
        <f>IFERROR(__xludf.DUMMYFUNCTION("""COMPUTED_VALUE"""),"REJECTED")</f>
        <v>REJECTED</v>
      </c>
      <c r="F32" s="133" t="str">
        <f>IFERROR(__xludf.DUMMYFUNCTION("""COMPUTED_VALUE"""),"Butcher's Natural &amp; Healthy with Beef Chunks in Jelly ")</f>
        <v>Butcher's Natural &amp; Healthy with Beef Chunks in Jelly </v>
      </c>
      <c r="G32" s="133" t="str">
        <f>IFERROR(__xludf.DUMMYFUNCTION("""COMPUTED_VALUE"""),"بوتشرز طبيعي وصحي مع قطع اللحم البقري في الجلي 400 جم")</f>
        <v>بوتشرز طبيعي وصحي مع قطع اللحم البقري في الجلي 400 جم</v>
      </c>
      <c r="H32" s="133"/>
      <c r="I32" s="133"/>
      <c r="J32" s="133"/>
      <c r="K32" s="133" t="str">
        <f>IFERROR(__xludf.DUMMYFUNCTION("""COMPUTED_VALUE"""),"بوتشرز بت كير ال تي دي")</f>
        <v>بوتشرز بت كير ال تي دي</v>
      </c>
      <c r="L32" s="133"/>
      <c r="M32" s="133"/>
      <c r="N32" s="133"/>
      <c r="O32" s="133"/>
      <c r="P32" s="133"/>
      <c r="Q32" s="133"/>
      <c r="R32" s="133"/>
      <c r="S32" s="133"/>
      <c r="T32" s="133"/>
      <c r="U32" s="133"/>
      <c r="V32" s="133"/>
      <c r="W32" s="133"/>
      <c r="X32" s="133"/>
      <c r="Y32" s="133"/>
      <c r="Z32" s="133"/>
    </row>
    <row r="33">
      <c r="A33" s="133">
        <f>IFERROR(__xludf.DUMMYFUNCTION("""COMPUTED_VALUE"""),32.0)</f>
        <v>32</v>
      </c>
      <c r="B33" s="133" t="str">
        <f>IFERROR(__xludf.DUMMYFUNCTION("""COMPUTED_VALUE"""),"MC1216")</f>
        <v>MC1216</v>
      </c>
      <c r="C33" s="133" t="str">
        <f>IFERROR(__xludf.DUMMYFUNCTION("""COMPUTED_VALUE"""),"P-1-N-250820-2430")</f>
        <v>P-1-N-250820-2430</v>
      </c>
      <c r="D33" s="133"/>
      <c r="E33" s="133" t="str">
        <f>IFERROR(__xludf.DUMMYFUNCTION("""COMPUTED_VALUE"""),"تمت طباعة الشهادة")</f>
        <v>تمت طباعة الشهادة</v>
      </c>
      <c r="F33" s="133" t="str">
        <f>IFERROR(__xludf.DUMMYFUNCTION("""COMPUTED_VALUE"""),"Healthy Treats Skin &amp; Coat For Dogs and Puppies 70g")</f>
        <v>Healthy Treats Skin &amp; Coat For Dogs and Puppies 70g</v>
      </c>
      <c r="G33" s="133" t="str">
        <f>IFERROR(__xludf.DUMMYFUNCTION("""COMPUTED_VALUE"""),"هيلثي تريتس للجلد والفرو للكلاب والجراء 70 جم")</f>
        <v>هيلثي تريتس للجلد والفرو للكلاب والجراء 70 جم</v>
      </c>
      <c r="H33" s="133" t="str">
        <f>IFERROR(__xludf.DUMMYFUNCTION("""COMPUTED_VALUE"""),"MAFE20201062")</f>
        <v>MAFE20201062</v>
      </c>
      <c r="I33" s="133"/>
      <c r="J33" s="133"/>
      <c r="K33" s="133" t="str">
        <f>IFERROR(__xludf.DUMMYFUNCTION("""COMPUTED_VALUE"""),"مارك اند شابل ليمتد")</f>
        <v>مارك اند شابل ليمتد</v>
      </c>
      <c r="L33" s="142" t="str">
        <f>IFERROR(__xludf.DUMMYFUNCTION("""COMPUTED_VALUE"""),"MC1216")</f>
        <v>MC1216</v>
      </c>
      <c r="M33" s="133"/>
      <c r="N33" s="133"/>
      <c r="O33" s="133"/>
      <c r="P33" s="133"/>
      <c r="Q33" s="133"/>
      <c r="R33" s="133"/>
      <c r="S33" s="133"/>
      <c r="T33" s="133"/>
      <c r="U33" s="133"/>
      <c r="V33" s="133"/>
      <c r="W33" s="133"/>
      <c r="X33" s="133"/>
      <c r="Y33" s="133"/>
      <c r="Z33" s="133"/>
    </row>
    <row r="34">
      <c r="A34" s="133">
        <f>IFERROR(__xludf.DUMMYFUNCTION("""COMPUTED_VALUE"""),33.0)</f>
        <v>33</v>
      </c>
      <c r="B34" s="133" t="str">
        <f>IFERROR(__xludf.DUMMYFUNCTION("""COMPUTED_VALUE"""),"MC2473")</f>
        <v>MC2473</v>
      </c>
      <c r="C34" s="133" t="str">
        <f>IFERROR(__xludf.DUMMYFUNCTION("""COMPUTED_VALUE"""),"P-1-N-260820-2435")</f>
        <v>P-1-N-260820-2435</v>
      </c>
      <c r="D34" s="133"/>
      <c r="E34" s="133" t="str">
        <f>IFERROR(__xludf.DUMMYFUNCTION("""COMPUTED_VALUE"""),"تمت طباعة الشهادة")</f>
        <v>تمت طباعة الشهادة</v>
      </c>
      <c r="F34" s="133" t="str">
        <f>IFERROR(__xludf.DUMMYFUNCTION("""COMPUTED_VALUE"""),"Healthy Treats Breath &amp; Dental 70g")</f>
        <v>Healthy Treats Breath &amp; Dental 70g</v>
      </c>
      <c r="G34" s="133" t="str">
        <f>IFERROR(__xludf.DUMMYFUNCTION("""COMPUTED_VALUE"""),"وجبة ممتعة صحية لرائحة الفم والأسنان 70 جم")</f>
        <v>وجبة ممتعة صحية لرائحة الفم والأسنان 70 جم</v>
      </c>
      <c r="H34" s="133" t="str">
        <f>IFERROR(__xludf.DUMMYFUNCTION("""COMPUTED_VALUE"""),"MAFE20201061")</f>
        <v>MAFE20201061</v>
      </c>
      <c r="I34" s="133"/>
      <c r="J34" s="133"/>
      <c r="K34" s="133" t="str">
        <f>IFERROR(__xludf.DUMMYFUNCTION("""COMPUTED_VALUE"""),"مارك اند شابل ليمتد")</f>
        <v>مارك اند شابل ليمتد</v>
      </c>
      <c r="L34" s="142" t="str">
        <f>IFERROR(__xludf.DUMMYFUNCTION("""COMPUTED_VALUE"""),"MC2473")</f>
        <v>MC2473</v>
      </c>
      <c r="M34" s="133"/>
      <c r="N34" s="133"/>
      <c r="O34" s="133"/>
      <c r="P34" s="133"/>
      <c r="Q34" s="133"/>
      <c r="R34" s="133"/>
      <c r="S34" s="133"/>
      <c r="T34" s="133"/>
      <c r="U34" s="133"/>
      <c r="V34" s="133"/>
      <c r="W34" s="133"/>
      <c r="X34" s="133"/>
      <c r="Y34" s="133"/>
      <c r="Z34" s="133"/>
    </row>
    <row r="35">
      <c r="A35" s="133">
        <f>IFERROR(__xludf.DUMMYFUNCTION("""COMPUTED_VALUE"""),34.0)</f>
        <v>34</v>
      </c>
      <c r="B35" s="133" t="str">
        <f>IFERROR(__xludf.DUMMYFUNCTION("""COMPUTED_VALUE"""),"MC3357")</f>
        <v>MC3357</v>
      </c>
      <c r="C35" s="133" t="str">
        <f>IFERROR(__xludf.DUMMYFUNCTION("""COMPUTED_VALUE"""),"P-1-N-260820-2438")</f>
        <v>P-1-N-260820-2438</v>
      </c>
      <c r="D35" s="133"/>
      <c r="E35" s="133" t="str">
        <f>IFERROR(__xludf.DUMMYFUNCTION("""COMPUTED_VALUE"""),"تمت طباعة الشهادة")</f>
        <v>تمت طباعة الشهادة</v>
      </c>
      <c r="F35" s="133" t="str">
        <f>IFERROR(__xludf.DUMMYFUNCTION("""COMPUTED_VALUE"""),"Healthy Treats Nutri-Booster 50g")</f>
        <v>Healthy Treats Nutri-Booster 50g</v>
      </c>
      <c r="G35" s="133" t="str">
        <f>IFERROR(__xludf.DUMMYFUNCTION("""COMPUTED_VALUE"""),"وجبة ممتعة صحية نيوتري بوستر 50 جم")</f>
        <v>وجبة ممتعة صحية نيوتري بوستر 50 جم</v>
      </c>
      <c r="H35" s="133" t="str">
        <f>IFERROR(__xludf.DUMMYFUNCTION("""COMPUTED_VALUE"""),"MAFE20201002")</f>
        <v>MAFE20201002</v>
      </c>
      <c r="I35" s="133"/>
      <c r="J35" s="133"/>
      <c r="K35" s="133" t="str">
        <f>IFERROR(__xludf.DUMMYFUNCTION("""COMPUTED_VALUE"""),"مارك اند شابل ليمتد")</f>
        <v>مارك اند شابل ليمتد</v>
      </c>
      <c r="L35" s="142" t="str">
        <f>IFERROR(__xludf.DUMMYFUNCTION("""COMPUTED_VALUE"""),"MC3357")</f>
        <v>MC3357</v>
      </c>
      <c r="M35" s="133"/>
      <c r="N35" s="133"/>
      <c r="O35" s="133"/>
      <c r="P35" s="133"/>
      <c r="Q35" s="133"/>
      <c r="R35" s="133"/>
      <c r="S35" s="133"/>
      <c r="T35" s="133"/>
      <c r="U35" s="133"/>
      <c r="V35" s="133"/>
      <c r="W35" s="133"/>
      <c r="X35" s="133"/>
      <c r="Y35" s="133"/>
      <c r="Z35" s="133"/>
    </row>
    <row r="36">
      <c r="A36" s="133">
        <f>IFERROR(__xludf.DUMMYFUNCTION("""COMPUTED_VALUE"""),35.0)</f>
        <v>35</v>
      </c>
      <c r="B36" s="133" t="str">
        <f>IFERROR(__xludf.DUMMYFUNCTION("""COMPUTED_VALUE"""),"MC3456")</f>
        <v>MC3456</v>
      </c>
      <c r="C36" s="133" t="str">
        <f>IFERROR(__xludf.DUMMYFUNCTION("""COMPUTED_VALUE"""),"P-1-N-260820-2440")</f>
        <v>P-1-N-260820-2440</v>
      </c>
      <c r="D36" s="133"/>
      <c r="E36" s="133" t="str">
        <f>IFERROR(__xludf.DUMMYFUNCTION("""COMPUTED_VALUE"""),"تمت طباعة الشهادة")</f>
        <v>تمت طباعة الشهادة</v>
      </c>
      <c r="F36" s="133" t="str">
        <f>IFERROR(__xludf.DUMMYFUNCTION("""COMPUTED_VALUE"""),"Healthy Treats Teething 50g")</f>
        <v>Healthy Treats Teething 50g</v>
      </c>
      <c r="G36" s="133" t="str">
        <f>IFERROR(__xludf.DUMMYFUNCTION("""COMPUTED_VALUE"""),"هيلثي تريتس للتسنين 50 جم")</f>
        <v>هيلثي تريتس للتسنين 50 جم</v>
      </c>
      <c r="H36" s="133" t="str">
        <f>IFERROR(__xludf.DUMMYFUNCTION("""COMPUTED_VALUE"""),"MAFE20201059")</f>
        <v>MAFE20201059</v>
      </c>
      <c r="I36" s="133"/>
      <c r="J36" s="133"/>
      <c r="K36" s="133" t="str">
        <f>IFERROR(__xludf.DUMMYFUNCTION("""COMPUTED_VALUE"""),"مارك اند شابل ليمتد")</f>
        <v>مارك اند شابل ليمتد</v>
      </c>
      <c r="L36" s="142" t="str">
        <f>IFERROR(__xludf.DUMMYFUNCTION("""COMPUTED_VALUE"""),"MC3456")</f>
        <v>MC3456</v>
      </c>
      <c r="M36" s="133"/>
      <c r="N36" s="133"/>
      <c r="O36" s="133"/>
      <c r="P36" s="133"/>
      <c r="Q36" s="133"/>
      <c r="R36" s="133"/>
      <c r="S36" s="133"/>
      <c r="T36" s="133"/>
      <c r="U36" s="133"/>
      <c r="V36" s="133"/>
      <c r="W36" s="133"/>
      <c r="X36" s="133"/>
      <c r="Y36" s="133"/>
      <c r="Z36" s="133"/>
    </row>
    <row r="37">
      <c r="A37" s="133">
        <f>IFERROR(__xludf.DUMMYFUNCTION("""COMPUTED_VALUE"""),36.0)</f>
        <v>36</v>
      </c>
      <c r="B37" s="133" t="str">
        <f>IFERROR(__xludf.DUMMYFUNCTION("""COMPUTED_VALUE"""),"HS30236")</f>
        <v>HS30236</v>
      </c>
      <c r="C37" s="133" t="str">
        <f>IFERROR(__xludf.DUMMYFUNCTION("""COMPUTED_VALUE"""),"P-1-N-260820-2441")</f>
        <v>P-1-N-260820-2441</v>
      </c>
      <c r="D37" s="133"/>
      <c r="E37" s="133" t="str">
        <f>IFERROR(__xludf.DUMMYFUNCTION("""COMPUTED_VALUE"""),"تمت طباعة الشهادة")</f>
        <v>تمت طباعة الشهادة</v>
      </c>
      <c r="F37" s="133" t="str">
        <f>IFERROR(__xludf.DUMMYFUNCTION("""COMPUTED_VALUE"""),"Sunburst Macaw 1.36 KG")</f>
        <v>Sunburst Macaw 1.36 KG</v>
      </c>
      <c r="G37" s="133" t="str">
        <f>IFERROR(__xludf.DUMMYFUNCTION("""COMPUTED_VALUE"""),"صن بيرست مكاو 1.36 كيلو")</f>
        <v>صن بيرست مكاو 1.36 كيلو</v>
      </c>
      <c r="H37" s="133" t="str">
        <f>IFERROR(__xludf.DUMMYFUNCTION("""COMPUTED_VALUE"""),"MAFE20201001")</f>
        <v>MAFE20201001</v>
      </c>
      <c r="I37" s="133"/>
      <c r="J37" s="133"/>
      <c r="K37" s="133" t="str">
        <f>IFERROR(__xludf.DUMMYFUNCTION("""COMPUTED_VALUE"""),"مؤسسة مجموعة ذا هيغينز")</f>
        <v>مؤسسة مجموعة ذا هيغينز</v>
      </c>
      <c r="L37" s="142" t="str">
        <f>IFERROR(__xludf.DUMMYFUNCTION("""COMPUTED_VALUE"""),"HS30236")</f>
        <v>HS30236</v>
      </c>
      <c r="M37" s="133"/>
      <c r="N37" s="133"/>
      <c r="O37" s="133"/>
      <c r="P37" s="133"/>
      <c r="Q37" s="133"/>
      <c r="R37" s="133"/>
      <c r="S37" s="133"/>
      <c r="T37" s="133"/>
      <c r="U37" s="133"/>
      <c r="V37" s="133"/>
      <c r="W37" s="133"/>
      <c r="X37" s="133"/>
      <c r="Y37" s="133"/>
      <c r="Z37" s="133"/>
    </row>
    <row r="38">
      <c r="A38" s="133">
        <f>IFERROR(__xludf.DUMMYFUNCTION("""COMPUTED_VALUE"""),37.0)</f>
        <v>37</v>
      </c>
      <c r="B38" s="133" t="str">
        <f>IFERROR(__xludf.DUMMYFUNCTION("""COMPUTED_VALUE"""),"MC5894")</f>
        <v>MC5894</v>
      </c>
      <c r="C38" s="133" t="str">
        <f>IFERROR(__xludf.DUMMYFUNCTION("""COMPUTED_VALUE"""),"P-1-N-270820-2458")</f>
        <v>P-1-N-270820-2458</v>
      </c>
      <c r="D38" s="133"/>
      <c r="E38" s="133" t="str">
        <f>IFERROR(__xludf.DUMMYFUNCTION("""COMPUTED_VALUE"""),"تمت طباعة الشهادة")</f>
        <v>تمت طباعة الشهادة</v>
      </c>
      <c r="F38" s="133" t="str">
        <f>IFERROR(__xludf.DUMMYFUNCTION("""COMPUTED_VALUE"""),"Healthy Treats Calming For Puppies 50g")</f>
        <v>Healthy Treats Calming For Puppies 50g</v>
      </c>
      <c r="G38" s="133" t="str">
        <f>IFERROR(__xludf.DUMMYFUNCTION("""COMPUTED_VALUE"""),"هيلثي تريتس مهدئ للجراء 50 جم")</f>
        <v>هيلثي تريتس مهدئ للجراء 50 جم</v>
      </c>
      <c r="H38" s="133" t="str">
        <f>IFERROR(__xludf.DUMMYFUNCTION("""COMPUTED_VALUE"""),"MAFE20201058")</f>
        <v>MAFE20201058</v>
      </c>
      <c r="I38" s="133"/>
      <c r="J38" s="133"/>
      <c r="K38" s="133" t="str">
        <f>IFERROR(__xludf.DUMMYFUNCTION("""COMPUTED_VALUE"""),"مارك اند شابل ليمتد")</f>
        <v>مارك اند شابل ليمتد</v>
      </c>
      <c r="L38" s="142" t="str">
        <f>IFERROR(__xludf.DUMMYFUNCTION("""COMPUTED_VALUE"""),"MC5894")</f>
        <v>MC5894</v>
      </c>
      <c r="M38" s="133"/>
      <c r="N38" s="133"/>
      <c r="O38" s="133"/>
      <c r="P38" s="133"/>
      <c r="Q38" s="133"/>
      <c r="R38" s="133"/>
      <c r="S38" s="133"/>
      <c r="T38" s="133"/>
      <c r="U38" s="133"/>
      <c r="V38" s="133"/>
      <c r="W38" s="133"/>
      <c r="X38" s="133"/>
      <c r="Y38" s="133"/>
      <c r="Z38" s="133"/>
    </row>
    <row r="39">
      <c r="A39" s="133">
        <f>IFERROR(__xludf.DUMMYFUNCTION("""COMPUTED_VALUE"""),38.0)</f>
        <v>38</v>
      </c>
      <c r="B39" s="133" t="str">
        <f>IFERROR(__xludf.DUMMYFUNCTION("""COMPUTED_VALUE"""),"MC5887")</f>
        <v>MC5887</v>
      </c>
      <c r="C39" s="133" t="str">
        <f>IFERROR(__xludf.DUMMYFUNCTION("""COMPUTED_VALUE"""),"P-1-N-270820-2459")</f>
        <v>P-1-N-270820-2459</v>
      </c>
      <c r="D39" s="133"/>
      <c r="E39" s="133" t="str">
        <f>IFERROR(__xludf.DUMMYFUNCTION("""COMPUTED_VALUE"""),"تمت طباعة الشهادة")</f>
        <v>تمت طباعة الشهادة</v>
      </c>
      <c r="F39" s="133" t="str">
        <f>IFERROR(__xludf.DUMMYFUNCTION("""COMPUTED_VALUE"""),"Healthy Treats Intestinal Aid For Puppies 50g")</f>
        <v>Healthy Treats Intestinal Aid For Puppies 50g</v>
      </c>
      <c r="G39" s="133" t="str">
        <f>IFERROR(__xludf.DUMMYFUNCTION("""COMPUTED_VALUE"""),"هيلثي تريتس مساعدات معوية للجراء 50 جم")</f>
        <v>هيلثي تريتس مساعدات معوية للجراء 50 جم</v>
      </c>
      <c r="H39" s="133" t="str">
        <f>IFERROR(__xludf.DUMMYFUNCTION("""COMPUTED_VALUE"""),"MAFE20201057")</f>
        <v>MAFE20201057</v>
      </c>
      <c r="I39" s="133"/>
      <c r="J39" s="133"/>
      <c r="K39" s="133" t="str">
        <f>IFERROR(__xludf.DUMMYFUNCTION("""COMPUTED_VALUE"""),"مارك اند شابل ليمتد")</f>
        <v>مارك اند شابل ليمتد</v>
      </c>
      <c r="L39" s="142" t="str">
        <f>IFERROR(__xludf.DUMMYFUNCTION("""COMPUTED_VALUE"""),"MC5887")</f>
        <v>MC5887</v>
      </c>
      <c r="M39" s="133"/>
      <c r="N39" s="133"/>
      <c r="O39" s="133"/>
      <c r="P39" s="133"/>
      <c r="Q39" s="133"/>
      <c r="R39" s="133"/>
      <c r="S39" s="133"/>
      <c r="T39" s="133"/>
      <c r="U39" s="133"/>
      <c r="V39" s="133"/>
      <c r="W39" s="133"/>
      <c r="X39" s="133"/>
      <c r="Y39" s="133"/>
      <c r="Z39" s="133"/>
    </row>
    <row r="40">
      <c r="A40" s="133">
        <f>IFERROR(__xludf.DUMMYFUNCTION("""COMPUTED_VALUE"""),39.0)</f>
        <v>39</v>
      </c>
      <c r="B40" s="133" t="str">
        <f>IFERROR(__xludf.DUMMYFUNCTION("""COMPUTED_VALUE"""),"MC5917")</f>
        <v>MC5917</v>
      </c>
      <c r="C40" s="133" t="str">
        <f>IFERROR(__xludf.DUMMYFUNCTION("""COMPUTED_VALUE"""),"P-1-N-270820-2462")</f>
        <v>P-1-N-270820-2462</v>
      </c>
      <c r="D40" s="133"/>
      <c r="E40" s="133" t="str">
        <f>IFERROR(__xludf.DUMMYFUNCTION("""COMPUTED_VALUE"""),"تمت طباعة الشهادة")</f>
        <v>تمت طباعة الشهادة</v>
      </c>
      <c r="F40" s="133" t="str">
        <f>IFERROR(__xludf.DUMMYFUNCTION("""COMPUTED_VALUE"""),"Healthy Treats Fleaguard For Dogs &amp; Puppies 70g")</f>
        <v>Healthy Treats Fleaguard For Dogs &amp; Puppies 70g</v>
      </c>
      <c r="G40" s="133" t="str">
        <f>IFERROR(__xludf.DUMMYFUNCTION("""COMPUTED_VALUE"""),"هيلثي تريتس فليجارد للكلاب والجراء 70 جم")</f>
        <v>هيلثي تريتس فليجارد للكلاب والجراء 70 جم</v>
      </c>
      <c r="H40" s="133" t="str">
        <f>IFERROR(__xludf.DUMMYFUNCTION("""COMPUTED_VALUE"""),"MAFE20201056")</f>
        <v>MAFE20201056</v>
      </c>
      <c r="I40" s="133"/>
      <c r="J40" s="133"/>
      <c r="K40" s="133" t="str">
        <f>IFERROR(__xludf.DUMMYFUNCTION("""COMPUTED_VALUE"""),"مارك اند شابل ليمتد")</f>
        <v>مارك اند شابل ليمتد</v>
      </c>
      <c r="L40" s="142" t="str">
        <f>IFERROR(__xludf.DUMMYFUNCTION("""COMPUTED_VALUE"""),"MC5917")</f>
        <v>MC5917</v>
      </c>
      <c r="M40" s="133"/>
      <c r="N40" s="133"/>
      <c r="O40" s="133"/>
      <c r="P40" s="133"/>
      <c r="Q40" s="133"/>
      <c r="R40" s="133"/>
      <c r="S40" s="133"/>
      <c r="T40" s="133"/>
      <c r="U40" s="133"/>
      <c r="V40" s="133"/>
      <c r="W40" s="133"/>
      <c r="X40" s="133"/>
      <c r="Y40" s="133"/>
      <c r="Z40" s="133"/>
    </row>
    <row r="41">
      <c r="A41" s="133">
        <f>IFERROR(__xludf.DUMMYFUNCTION("""COMPUTED_VALUE"""),40.0)</f>
        <v>40</v>
      </c>
      <c r="B41" s="133" t="str">
        <f>IFERROR(__xludf.DUMMYFUNCTION("""COMPUTED_VALUE"""),"HS30310")</f>
        <v>HS30310</v>
      </c>
      <c r="C41" s="133" t="str">
        <f>IFERROR(__xludf.DUMMYFUNCTION("""COMPUTED_VALUE"""),"P-1-N-270820-2464")</f>
        <v>P-1-N-270820-2464</v>
      </c>
      <c r="D41" s="133"/>
      <c r="E41" s="133" t="str">
        <f>IFERROR(__xludf.DUMMYFUNCTION("""COMPUTED_VALUE"""),"تمت طباعة الشهادة")</f>
        <v>تمت طباعة الشهادة</v>
      </c>
      <c r="F41" s="133" t="str">
        <f>IFERROR(__xludf.DUMMYFUNCTION("""COMPUTED_VALUE"""),"InTune Harmony Macaw 1.36 KG")</f>
        <v>InTune Harmony Macaw 1.36 KG</v>
      </c>
      <c r="G41" s="133" t="str">
        <f>IFERROR(__xludf.DUMMYFUNCTION("""COMPUTED_VALUE"""),"ان تون هارموني ببغاء مكاو 1.36 كيلو")</f>
        <v>ان تون هارموني ببغاء مكاو 1.36 كيلو</v>
      </c>
      <c r="H41" s="133" t="str">
        <f>IFERROR(__xludf.DUMMYFUNCTION("""COMPUTED_VALUE"""),"MAFE20201035")</f>
        <v>MAFE20201035</v>
      </c>
      <c r="I41" s="133"/>
      <c r="J41" s="133"/>
      <c r="K41" s="133" t="str">
        <f>IFERROR(__xludf.DUMMYFUNCTION("""COMPUTED_VALUE"""),"مؤسسة مجموعة ذا هيغينز")</f>
        <v>مؤسسة مجموعة ذا هيغينز</v>
      </c>
      <c r="L41" s="142" t="str">
        <f>IFERROR(__xludf.DUMMYFUNCTION("""COMPUTED_VALUE"""),"HS30310")</f>
        <v>HS30310</v>
      </c>
      <c r="M41" s="133"/>
      <c r="N41" s="133"/>
      <c r="O41" s="133"/>
      <c r="P41" s="133"/>
      <c r="Q41" s="133"/>
      <c r="R41" s="133"/>
      <c r="S41" s="133"/>
      <c r="T41" s="133"/>
      <c r="U41" s="133"/>
      <c r="V41" s="133"/>
      <c r="W41" s="133"/>
      <c r="X41" s="133"/>
      <c r="Y41" s="133"/>
      <c r="Z41" s="133"/>
    </row>
    <row r="42">
      <c r="A42" s="133">
        <f>IFERROR(__xludf.DUMMYFUNCTION("""COMPUTED_VALUE"""),41.0)</f>
        <v>41</v>
      </c>
      <c r="B42" s="133" t="str">
        <f>IFERROR(__xludf.DUMMYFUNCTION("""COMPUTED_VALUE"""),"HS30325")</f>
        <v>HS30325</v>
      </c>
      <c r="C42" s="133" t="str">
        <f>IFERROR(__xludf.DUMMYFUNCTION("""COMPUTED_VALUE"""),"P-1-N-270820-2465")</f>
        <v>P-1-N-270820-2465</v>
      </c>
      <c r="D42" s="133"/>
      <c r="E42" s="133" t="str">
        <f>IFERROR(__xludf.DUMMYFUNCTION("""COMPUTED_VALUE"""),"تمت طباعة الشهادة")</f>
        <v>تمت طباعة الشهادة</v>
      </c>
      <c r="F42" s="133" t="str">
        <f>IFERROR(__xludf.DUMMYFUNCTION("""COMPUTED_VALUE"""),"InTune Harmony Parakeet 0.91 KG")</f>
        <v>InTune Harmony Parakeet 0.91 KG</v>
      </c>
      <c r="G42" s="133" t="str">
        <f>IFERROR(__xludf.DUMMYFUNCTION("""COMPUTED_VALUE"""),"ان تون هارموني الببغاء الصغير 0.91 كيلو")</f>
        <v>ان تون هارموني الببغاء الصغير 0.91 كيلو</v>
      </c>
      <c r="H42" s="133" t="str">
        <f>IFERROR(__xludf.DUMMYFUNCTION("""COMPUTED_VALUE"""),"MAFE20201008")</f>
        <v>MAFE20201008</v>
      </c>
      <c r="I42" s="133"/>
      <c r="J42" s="133"/>
      <c r="K42" s="133" t="str">
        <f>IFERROR(__xludf.DUMMYFUNCTION("""COMPUTED_VALUE"""),"مؤسسة مجموعة ذا هيغينز")</f>
        <v>مؤسسة مجموعة ذا هيغينز</v>
      </c>
      <c r="L42" s="142" t="str">
        <f>IFERROR(__xludf.DUMMYFUNCTION("""COMPUTED_VALUE"""),"HS30325")</f>
        <v>HS30325</v>
      </c>
      <c r="M42" s="133"/>
      <c r="N42" s="133"/>
      <c r="O42" s="133"/>
      <c r="P42" s="133"/>
      <c r="Q42" s="133"/>
      <c r="R42" s="133"/>
      <c r="S42" s="133"/>
      <c r="T42" s="133"/>
      <c r="U42" s="133"/>
      <c r="V42" s="133"/>
      <c r="W42" s="133"/>
      <c r="X42" s="133"/>
      <c r="Y42" s="133"/>
      <c r="Z42" s="133"/>
    </row>
    <row r="43">
      <c r="A43" s="133">
        <f>IFERROR(__xludf.DUMMYFUNCTION("""COMPUTED_VALUE"""),42.0)</f>
        <v>42</v>
      </c>
      <c r="B43" s="133" t="str">
        <f>IFERROR(__xludf.DUMMYFUNCTION("""COMPUTED_VALUE"""),"HS30315")</f>
        <v>HS30315</v>
      </c>
      <c r="C43" s="133" t="str">
        <f>IFERROR(__xludf.DUMMYFUNCTION("""COMPUTED_VALUE"""),"P-1-N-270820-2466")</f>
        <v>P-1-N-270820-2466</v>
      </c>
      <c r="D43" s="133"/>
      <c r="E43" s="133" t="str">
        <f>IFERROR(__xludf.DUMMYFUNCTION("""COMPUTED_VALUE"""),"تمت طباعة الشهادة")</f>
        <v>تمت طباعة الشهادة</v>
      </c>
      <c r="F43" s="133" t="str">
        <f>IFERROR(__xludf.DUMMYFUNCTION("""COMPUTED_VALUE"""),"InTune Harmony Parrot 1.36 KG")</f>
        <v>InTune Harmony Parrot 1.36 KG</v>
      </c>
      <c r="G43" s="133" t="str">
        <f>IFERROR(__xludf.DUMMYFUNCTION("""COMPUTED_VALUE"""),"ان تون هارموني ببغاء 1.36 كيلو")</f>
        <v>ان تون هارموني ببغاء 1.36 كيلو</v>
      </c>
      <c r="H43" s="133" t="str">
        <f>IFERROR(__xludf.DUMMYFUNCTION("""COMPUTED_VALUE"""),"MAFE20201007")</f>
        <v>MAFE20201007</v>
      </c>
      <c r="I43" s="133"/>
      <c r="J43" s="133"/>
      <c r="K43" s="133" t="str">
        <f>IFERROR(__xludf.DUMMYFUNCTION("""COMPUTED_VALUE"""),"مؤسسة مجموعة ذا هيغينز")</f>
        <v>مؤسسة مجموعة ذا هيغينز</v>
      </c>
      <c r="L43" s="142" t="str">
        <f>IFERROR(__xludf.DUMMYFUNCTION("""COMPUTED_VALUE"""),"HS30315")</f>
        <v>HS30315</v>
      </c>
      <c r="M43" s="133"/>
      <c r="N43" s="133"/>
      <c r="O43" s="133"/>
      <c r="P43" s="133"/>
      <c r="Q43" s="133"/>
      <c r="R43" s="133"/>
      <c r="S43" s="133"/>
      <c r="T43" s="133"/>
      <c r="U43" s="133"/>
      <c r="V43" s="133"/>
      <c r="W43" s="133"/>
      <c r="X43" s="133"/>
      <c r="Y43" s="133"/>
      <c r="Z43" s="133"/>
    </row>
    <row r="44">
      <c r="A44" s="133">
        <f>IFERROR(__xludf.DUMMYFUNCTION("""COMPUTED_VALUE"""),43.0)</f>
        <v>43</v>
      </c>
      <c r="B44" s="133" t="str">
        <f>IFERROR(__xludf.DUMMYFUNCTION("""COMPUTED_VALUE"""),"HS30317")</f>
        <v>HS30317</v>
      </c>
      <c r="C44" s="133" t="str">
        <f>IFERROR(__xludf.DUMMYFUNCTION("""COMPUTED_VALUE"""),"P-1-N-270820-2467")</f>
        <v>P-1-N-270820-2467</v>
      </c>
      <c r="D44" s="133"/>
      <c r="E44" s="133" t="str">
        <f>IFERROR(__xludf.DUMMYFUNCTION("""COMPUTED_VALUE"""),"تمت طباعة الشهادة")</f>
        <v>تمت طباعة الشهادة</v>
      </c>
      <c r="F44" s="133" t="str">
        <f>IFERROR(__xludf.DUMMYFUNCTION("""COMPUTED_VALUE"""),"InTune Harmony Parrot 7.94 KG")</f>
        <v>InTune Harmony Parrot 7.94 KG</v>
      </c>
      <c r="G44" s="133" t="str">
        <f>IFERROR(__xludf.DUMMYFUNCTION("""COMPUTED_VALUE"""),"ان تون هارموني ببغاء 7.94 كيلو")</f>
        <v>ان تون هارموني ببغاء 7.94 كيلو</v>
      </c>
      <c r="H44" s="133" t="str">
        <f>IFERROR(__xludf.DUMMYFUNCTION("""COMPUTED_VALUE"""),"MAFE20201006")</f>
        <v>MAFE20201006</v>
      </c>
      <c r="I44" s="133"/>
      <c r="J44" s="133"/>
      <c r="K44" s="133" t="str">
        <f>IFERROR(__xludf.DUMMYFUNCTION("""COMPUTED_VALUE"""),"مؤسسة مجموعة ذا هيغينز")</f>
        <v>مؤسسة مجموعة ذا هيغينز</v>
      </c>
      <c r="L44" s="142" t="str">
        <f>IFERROR(__xludf.DUMMYFUNCTION("""COMPUTED_VALUE"""),"HS30317")</f>
        <v>HS30317</v>
      </c>
      <c r="M44" s="133"/>
      <c r="N44" s="133"/>
      <c r="O44" s="133"/>
      <c r="P44" s="133"/>
      <c r="Q44" s="133"/>
      <c r="R44" s="133"/>
      <c r="S44" s="133"/>
      <c r="T44" s="133"/>
      <c r="U44" s="133"/>
      <c r="V44" s="133"/>
      <c r="W44" s="133"/>
      <c r="X44" s="133"/>
      <c r="Y44" s="133"/>
      <c r="Z44" s="133"/>
    </row>
    <row r="45">
      <c r="A45" s="133">
        <f>IFERROR(__xludf.DUMMYFUNCTION("""COMPUTED_VALUE"""),44.0)</f>
        <v>44</v>
      </c>
      <c r="B45" s="133" t="str">
        <f>IFERROR(__xludf.DUMMYFUNCTION("""COMPUTED_VALUE"""),"HS30312")</f>
        <v>HS30312</v>
      </c>
      <c r="C45" s="133" t="str">
        <f>IFERROR(__xludf.DUMMYFUNCTION("""COMPUTED_VALUE"""),"P-1-N-270820-2468")</f>
        <v>P-1-N-270820-2468</v>
      </c>
      <c r="D45" s="133"/>
      <c r="E45" s="133" t="str">
        <f>IFERROR(__xludf.DUMMYFUNCTION("""COMPUTED_VALUE"""),"تمت طباعة الشهادة")</f>
        <v>تمت طباعة الشهادة</v>
      </c>
      <c r="F45" s="133" t="str">
        <f>IFERROR(__xludf.DUMMYFUNCTION("""COMPUTED_VALUE"""),"InTune Harmony Macaw 7.94 KG")</f>
        <v>InTune Harmony Macaw 7.94 KG</v>
      </c>
      <c r="G45" s="133" t="str">
        <f>IFERROR(__xludf.DUMMYFUNCTION("""COMPUTED_VALUE"""),"ان تون هارموني ببغاء مكاو 7.94 كيلو")</f>
        <v>ان تون هارموني ببغاء مكاو 7.94 كيلو</v>
      </c>
      <c r="H45" s="133" t="str">
        <f>IFERROR(__xludf.DUMMYFUNCTION("""COMPUTED_VALUE"""),"MAFE20201055")</f>
        <v>MAFE20201055</v>
      </c>
      <c r="I45" s="133"/>
      <c r="J45" s="133"/>
      <c r="K45" s="133" t="str">
        <f>IFERROR(__xludf.DUMMYFUNCTION("""COMPUTED_VALUE"""),"مؤسسة مجموعة ذا هيغينز")</f>
        <v>مؤسسة مجموعة ذا هيغينز</v>
      </c>
      <c r="L45" s="142" t="str">
        <f>IFERROR(__xludf.DUMMYFUNCTION("""COMPUTED_VALUE"""),"HS30312")</f>
        <v>HS30312</v>
      </c>
      <c r="M45" s="133"/>
      <c r="N45" s="133"/>
      <c r="O45" s="133"/>
      <c r="P45" s="133"/>
      <c r="Q45" s="133"/>
      <c r="R45" s="133"/>
      <c r="S45" s="133"/>
      <c r="T45" s="133"/>
      <c r="U45" s="133"/>
      <c r="V45" s="133"/>
      <c r="W45" s="133"/>
      <c r="X45" s="133"/>
      <c r="Y45" s="133"/>
      <c r="Z45" s="133"/>
    </row>
    <row r="46">
      <c r="A46" s="133">
        <f>IFERROR(__xludf.DUMMYFUNCTION("""COMPUTED_VALUE"""),45.0)</f>
        <v>45</v>
      </c>
      <c r="B46" s="133" t="str">
        <f>IFERROR(__xludf.DUMMYFUNCTION("""COMPUTED_VALUE"""),"HS30320")</f>
        <v>HS30320</v>
      </c>
      <c r="C46" s="133" t="str">
        <f>IFERROR(__xludf.DUMMYFUNCTION("""COMPUTED_VALUE"""),"P-1-N-270820-2469")</f>
        <v>P-1-N-270820-2469</v>
      </c>
      <c r="D46" s="133"/>
      <c r="E46" s="133" t="str">
        <f>IFERROR(__xludf.DUMMYFUNCTION("""COMPUTED_VALUE"""),"تمت طباعة الشهادة")</f>
        <v>تمت طباعة الشهادة</v>
      </c>
      <c r="F46" s="133" t="str">
        <f>IFERROR(__xludf.DUMMYFUNCTION("""COMPUTED_VALUE"""),"InTune Harmony Conure &amp; Cockatiel 0.91 KG")</f>
        <v>InTune Harmony Conure &amp; Cockatiel 0.91 KG</v>
      </c>
      <c r="G46" s="133" t="str">
        <f>IFERROR(__xludf.DUMMYFUNCTION("""COMPUTED_VALUE"""),"ان تون هارموني الكنيور/ الكوكاتيل 0.91 كيلو")</f>
        <v>ان تون هارموني الكنيور/ الكوكاتيل 0.91 كيلو</v>
      </c>
      <c r="H46" s="133" t="str">
        <f>IFERROR(__xludf.DUMMYFUNCTION("""COMPUTED_VALUE"""),"MAFE20201080")</f>
        <v>MAFE20201080</v>
      </c>
      <c r="I46" s="133"/>
      <c r="J46" s="133"/>
      <c r="K46" s="133" t="str">
        <f>IFERROR(__xludf.DUMMYFUNCTION("""COMPUTED_VALUE"""),"مؤسسة مجموعة ذا هيغينز")</f>
        <v>مؤسسة مجموعة ذا هيغينز</v>
      </c>
      <c r="L46" s="142" t="str">
        <f>IFERROR(__xludf.DUMMYFUNCTION("""COMPUTED_VALUE"""),"HS30320")</f>
        <v>HS30320</v>
      </c>
      <c r="M46" s="133"/>
      <c r="N46" s="133"/>
      <c r="O46" s="133"/>
      <c r="P46" s="133"/>
      <c r="Q46" s="133"/>
      <c r="R46" s="133"/>
      <c r="S46" s="133"/>
      <c r="T46" s="133"/>
      <c r="U46" s="133"/>
      <c r="V46" s="133"/>
      <c r="W46" s="133"/>
      <c r="X46" s="133"/>
      <c r="Y46" s="133"/>
      <c r="Z46" s="133"/>
    </row>
    <row r="47">
      <c r="A47" s="133">
        <f>IFERROR(__xludf.DUMMYFUNCTION("""COMPUTED_VALUE"""),46.0)</f>
        <v>46</v>
      </c>
      <c r="B47" s="133" t="str">
        <f>IFERROR(__xludf.DUMMYFUNCTION("""COMPUTED_VALUE"""),"MC5023")</f>
        <v>MC5023</v>
      </c>
      <c r="C47" s="133" t="str">
        <f>IFERROR(__xludf.DUMMYFUNCTION("""COMPUTED_VALUE"""),"P-1-N-270820-2470")</f>
        <v>P-1-N-270820-2470</v>
      </c>
      <c r="D47" s="133"/>
      <c r="E47" s="133" t="str">
        <f>IFERROR(__xludf.DUMMYFUNCTION("""COMPUTED_VALUE"""),"REJECTED")</f>
        <v>REJECTED</v>
      </c>
      <c r="F47" s="133" t="str">
        <f>IFERROR(__xludf.DUMMYFUNCTION("""COMPUTED_VALUE"""),"Healthy Bites Breath &amp; Dental For Cats &amp; Kittens 65g")</f>
        <v>Healthy Bites Breath &amp; Dental For Cats &amp; Kittens 65g</v>
      </c>
      <c r="G47" s="133" t="str">
        <f>IFERROR(__xludf.DUMMYFUNCTION("""COMPUTED_VALUE"""),"هيلثي بايتس لرائحة الفم والأسنان للقطط الصغيرة و البالغة 65 جم")</f>
        <v>هيلثي بايتس لرائحة الفم والأسنان للقطط الصغيرة و البالغة 65 جم</v>
      </c>
      <c r="H47" s="133"/>
      <c r="I47" s="133"/>
      <c r="J47" s="133"/>
      <c r="K47" s="133" t="str">
        <f>IFERROR(__xludf.DUMMYFUNCTION("""COMPUTED_VALUE"""),"مارك اند شابل ليمتد")</f>
        <v>مارك اند شابل ليمتد</v>
      </c>
      <c r="L47" s="142" t="str">
        <f>IFERROR(__xludf.DUMMYFUNCTION("""COMPUTED_VALUE"""),"MC5023")</f>
        <v>MC5023</v>
      </c>
      <c r="M47" s="133"/>
      <c r="N47" s="133"/>
      <c r="O47" s="133"/>
      <c r="P47" s="133"/>
      <c r="Q47" s="133"/>
      <c r="R47" s="133"/>
      <c r="S47" s="133"/>
      <c r="T47" s="133"/>
      <c r="U47" s="133"/>
      <c r="V47" s="133"/>
      <c r="W47" s="133"/>
      <c r="X47" s="133"/>
      <c r="Y47" s="133"/>
      <c r="Z47" s="133"/>
    </row>
    <row r="48">
      <c r="A48" s="133">
        <f>IFERROR(__xludf.DUMMYFUNCTION("""COMPUTED_VALUE"""),47.0)</f>
        <v>47</v>
      </c>
      <c r="B48" s="133" t="str">
        <f>IFERROR(__xludf.DUMMYFUNCTION("""COMPUTED_VALUE"""),"HS30322")</f>
        <v>HS30322</v>
      </c>
      <c r="C48" s="133" t="str">
        <f>IFERROR(__xludf.DUMMYFUNCTION("""COMPUTED_VALUE"""),"P-1-N-270820-2471")</f>
        <v>P-1-N-270820-2471</v>
      </c>
      <c r="D48" s="133"/>
      <c r="E48" s="133" t="str">
        <f>IFERROR(__xludf.DUMMYFUNCTION("""COMPUTED_VALUE"""),"تمت طباعة الشهادة")</f>
        <v>تمت طباعة الشهادة</v>
      </c>
      <c r="F48" s="133" t="str">
        <f>IFERROR(__xludf.DUMMYFUNCTION("""COMPUTED_VALUE"""),"InTune Harmony Conure &amp; Cockatiel 7.94 KG")</f>
        <v>InTune Harmony Conure &amp; Cockatiel 7.94 KG</v>
      </c>
      <c r="G48" s="133" t="str">
        <f>IFERROR(__xludf.DUMMYFUNCTION("""COMPUTED_VALUE"""),"ان تون هارموني ببغاء الكنيور و الكوكاتيل 7.94 كيلو")</f>
        <v>ان تون هارموني ببغاء الكنيور و الكوكاتيل 7.94 كيلو</v>
      </c>
      <c r="H48" s="133" t="str">
        <f>IFERROR(__xludf.DUMMYFUNCTION("""COMPUTED_VALUE"""),"MAFE20201079")</f>
        <v>MAFE20201079</v>
      </c>
      <c r="I48" s="133"/>
      <c r="J48" s="133"/>
      <c r="K48" s="133" t="str">
        <f>IFERROR(__xludf.DUMMYFUNCTION("""COMPUTED_VALUE"""),"مؤسسة مجموعة ذا هيغينز")</f>
        <v>مؤسسة مجموعة ذا هيغينز</v>
      </c>
      <c r="L48" s="142" t="str">
        <f>IFERROR(__xludf.DUMMYFUNCTION("""COMPUTED_VALUE"""),"HS30322")</f>
        <v>HS30322</v>
      </c>
      <c r="M48" s="133"/>
      <c r="N48" s="133"/>
      <c r="O48" s="133"/>
      <c r="P48" s="133"/>
      <c r="Q48" s="133"/>
      <c r="R48" s="133"/>
      <c r="S48" s="133"/>
      <c r="T48" s="133"/>
      <c r="U48" s="133"/>
      <c r="V48" s="133"/>
      <c r="W48" s="133"/>
      <c r="X48" s="133"/>
      <c r="Y48" s="133"/>
      <c r="Z48" s="133"/>
    </row>
    <row r="49">
      <c r="A49" s="133">
        <f>IFERROR(__xludf.DUMMYFUNCTION("""COMPUTED_VALUE"""),48.0)</f>
        <v>48</v>
      </c>
      <c r="B49" s="133" t="str">
        <f>IFERROR(__xludf.DUMMYFUNCTION("""COMPUTED_VALUE"""),"HS30270")</f>
        <v>HS30270</v>
      </c>
      <c r="C49" s="133" t="str">
        <f>IFERROR(__xludf.DUMMYFUNCTION("""COMPUTED_VALUE"""),"P-1-N-270820-2473")</f>
        <v>P-1-N-270820-2473</v>
      </c>
      <c r="D49" s="133"/>
      <c r="E49" s="133" t="str">
        <f>IFERROR(__xludf.DUMMYFUNCTION("""COMPUTED_VALUE"""),"تمت طباعة الشهادة")</f>
        <v>تمت طباعة الشهادة</v>
      </c>
      <c r="F49" s="133" t="str">
        <f>IFERROR(__xludf.DUMMYFUNCTION("""COMPUTED_VALUE"""),"InTune Hand Feed 283 G")</f>
        <v>InTune Hand Feed 283 G</v>
      </c>
      <c r="G49" s="133" t="str">
        <f>IFERROR(__xludf.DUMMYFUNCTION("""COMPUTED_VALUE"""),"ان تون تغذية يدوية (اكل غر) 283 جرام")</f>
        <v>ان تون تغذية يدوية (اكل غر) 283 جرام</v>
      </c>
      <c r="H49" s="133" t="str">
        <f>IFERROR(__xludf.DUMMYFUNCTION("""COMPUTED_VALUE"""),"MAFE20201054")</f>
        <v>MAFE20201054</v>
      </c>
      <c r="I49" s="133"/>
      <c r="J49" s="133"/>
      <c r="K49" s="133" t="str">
        <f>IFERROR(__xludf.DUMMYFUNCTION("""COMPUTED_VALUE"""),"مؤسسة مجموعة ذا هيغينز")</f>
        <v>مؤسسة مجموعة ذا هيغينز</v>
      </c>
      <c r="L49" s="142" t="str">
        <f>IFERROR(__xludf.DUMMYFUNCTION("""COMPUTED_VALUE"""),"HS30270")</f>
        <v>HS30270</v>
      </c>
      <c r="M49" s="133"/>
      <c r="N49" s="133"/>
      <c r="O49" s="133"/>
      <c r="P49" s="133"/>
      <c r="Q49" s="133"/>
      <c r="R49" s="133"/>
      <c r="S49" s="133"/>
      <c r="T49" s="133"/>
      <c r="U49" s="133"/>
      <c r="V49" s="133"/>
      <c r="W49" s="133"/>
      <c r="X49" s="133"/>
      <c r="Y49" s="133"/>
      <c r="Z49" s="133"/>
    </row>
    <row r="50">
      <c r="A50" s="133">
        <f>IFERROR(__xludf.DUMMYFUNCTION("""COMPUTED_VALUE"""),49.0)</f>
        <v>49</v>
      </c>
      <c r="B50" s="133" t="str">
        <f>IFERROR(__xludf.DUMMYFUNCTION("""COMPUTED_VALUE"""),"HS30272")</f>
        <v>HS30272</v>
      </c>
      <c r="C50" s="133" t="str">
        <f>IFERROR(__xludf.DUMMYFUNCTION("""COMPUTED_VALUE"""),"P-1-N-270820-2474")</f>
        <v>P-1-N-270820-2474</v>
      </c>
      <c r="D50" s="133"/>
      <c r="E50" s="133" t="str">
        <f>IFERROR(__xludf.DUMMYFUNCTION("""COMPUTED_VALUE"""),"تمت طباعة الشهادة")</f>
        <v>تمت طباعة الشهادة</v>
      </c>
      <c r="F50" s="133" t="str">
        <f>IFERROR(__xludf.DUMMYFUNCTION("""COMPUTED_VALUE"""),"InTune Hand Feed 2.27 KG")</f>
        <v>InTune Hand Feed 2.27 KG</v>
      </c>
      <c r="G50" s="133" t="str">
        <f>IFERROR(__xludf.DUMMYFUNCTION("""COMPUTED_VALUE"""),"ان تون تغذية يدوية (اكل غر) 2.27 كيلو")</f>
        <v>ان تون تغذية يدوية (اكل غر) 2.27 كيلو</v>
      </c>
      <c r="H50" s="133" t="str">
        <f>IFERROR(__xludf.DUMMYFUNCTION("""COMPUTED_VALUE"""),"MAFE20201053")</f>
        <v>MAFE20201053</v>
      </c>
      <c r="I50" s="133"/>
      <c r="J50" s="133"/>
      <c r="K50" s="133" t="str">
        <f>IFERROR(__xludf.DUMMYFUNCTION("""COMPUTED_VALUE"""),"مؤسسة مجموعة ذا هيغينز")</f>
        <v>مؤسسة مجموعة ذا هيغينز</v>
      </c>
      <c r="L50" s="142" t="str">
        <f>IFERROR(__xludf.DUMMYFUNCTION("""COMPUTED_VALUE"""),"HS30272")</f>
        <v>HS30272</v>
      </c>
      <c r="M50" s="133"/>
      <c r="N50" s="133"/>
      <c r="O50" s="133"/>
      <c r="P50" s="133"/>
      <c r="Q50" s="133"/>
      <c r="R50" s="133"/>
      <c r="S50" s="133"/>
      <c r="T50" s="133"/>
      <c r="U50" s="133"/>
      <c r="V50" s="133"/>
      <c r="W50" s="133"/>
      <c r="X50" s="133"/>
      <c r="Y50" s="133"/>
      <c r="Z50" s="133"/>
    </row>
    <row r="51">
      <c r="A51" s="133">
        <f>IFERROR(__xludf.DUMMYFUNCTION("""COMPUTED_VALUE"""),50.0)</f>
        <v>50</v>
      </c>
      <c r="B51" s="133" t="str">
        <f>IFERROR(__xludf.DUMMYFUNCTION("""COMPUTED_VALUE"""),"HS30275")</f>
        <v>HS30275</v>
      </c>
      <c r="C51" s="133" t="str">
        <f>IFERROR(__xludf.DUMMYFUNCTION("""COMPUTED_VALUE"""),"P-1-N-270820-2475")</f>
        <v>P-1-N-270820-2475</v>
      </c>
      <c r="D51" s="133"/>
      <c r="E51" s="133" t="str">
        <f>IFERROR(__xludf.DUMMYFUNCTION("""COMPUTED_VALUE"""),"تمت طباعة الشهادة")</f>
        <v>تمت طباعة الشهادة</v>
      </c>
      <c r="F51" s="133" t="str">
        <f>IFERROR(__xludf.DUMMYFUNCTION("""COMPUTED_VALUE"""),"InTune Hand Feed HE 2.27 KG")</f>
        <v>InTune Hand Feed HE 2.27 KG</v>
      </c>
      <c r="G51" s="133" t="str">
        <f>IFERROR(__xludf.DUMMYFUNCTION("""COMPUTED_VALUE"""),"ان تون تغذية يدوية عالي الطاقة (اكل غر) 2.27 كيلو")</f>
        <v>ان تون تغذية يدوية عالي الطاقة (اكل غر) 2.27 كيلو</v>
      </c>
      <c r="H51" s="133" t="str">
        <f>IFERROR(__xludf.DUMMYFUNCTION("""COMPUTED_VALUE"""),"MAFE20201052")</f>
        <v>MAFE20201052</v>
      </c>
      <c r="I51" s="133"/>
      <c r="J51" s="133"/>
      <c r="K51" s="133" t="str">
        <f>IFERROR(__xludf.DUMMYFUNCTION("""COMPUTED_VALUE"""),"مؤسسة مجموعة ذا هيغينز")</f>
        <v>مؤسسة مجموعة ذا هيغينز</v>
      </c>
      <c r="L51" s="142" t="str">
        <f>IFERROR(__xludf.DUMMYFUNCTION("""COMPUTED_VALUE"""),"HS30275")</f>
        <v>HS30275</v>
      </c>
      <c r="M51" s="133"/>
      <c r="N51" s="133"/>
      <c r="O51" s="133"/>
      <c r="P51" s="133"/>
      <c r="Q51" s="133"/>
      <c r="R51" s="133"/>
      <c r="S51" s="133"/>
      <c r="T51" s="133"/>
      <c r="U51" s="133"/>
      <c r="V51" s="133"/>
      <c r="W51" s="133"/>
      <c r="X51" s="133"/>
      <c r="Y51" s="133"/>
      <c r="Z51" s="133"/>
    </row>
    <row r="52">
      <c r="A52" s="133">
        <f>IFERROR(__xludf.DUMMYFUNCTION("""COMPUTED_VALUE"""),51.0)</f>
        <v>51</v>
      </c>
      <c r="B52" s="133" t="str">
        <f>IFERROR(__xludf.DUMMYFUNCTION("""COMPUTED_VALUE"""),"HS30274")</f>
        <v>HS30274</v>
      </c>
      <c r="C52" s="133" t="str">
        <f>IFERROR(__xludf.DUMMYFUNCTION("""COMPUTED_VALUE"""),"P-1-N-270820-2476")</f>
        <v>P-1-N-270820-2476</v>
      </c>
      <c r="D52" s="133"/>
      <c r="E52" s="133" t="str">
        <f>IFERROR(__xludf.DUMMYFUNCTION("""COMPUTED_VALUE"""),"تمت طباعة الشهادة")</f>
        <v>تمت طباعة الشهادة</v>
      </c>
      <c r="F52" s="133" t="str">
        <f>IFERROR(__xludf.DUMMYFUNCTION("""COMPUTED_VALUE"""),"InTune Hand Feed HE 283 G")</f>
        <v>InTune Hand Feed HE 283 G</v>
      </c>
      <c r="G52" s="133" t="str">
        <f>IFERROR(__xludf.DUMMYFUNCTION("""COMPUTED_VALUE"""),"ان تون تغذية يدوية عالي الطاقة (اكل غر) 283 جرام")</f>
        <v>ان تون تغذية يدوية عالي الطاقة (اكل غر) 283 جرام</v>
      </c>
      <c r="H52" s="133" t="str">
        <f>IFERROR(__xludf.DUMMYFUNCTION("""COMPUTED_VALUE"""),"MAFE20201005")</f>
        <v>MAFE20201005</v>
      </c>
      <c r="I52" s="133"/>
      <c r="J52" s="133"/>
      <c r="K52" s="133" t="str">
        <f>IFERROR(__xludf.DUMMYFUNCTION("""COMPUTED_VALUE"""),"مؤسسة مجموعة ذا هيغينز")</f>
        <v>مؤسسة مجموعة ذا هيغينز</v>
      </c>
      <c r="L52" s="142" t="str">
        <f>IFERROR(__xludf.DUMMYFUNCTION("""COMPUTED_VALUE"""),"HS30274")</f>
        <v>HS30274</v>
      </c>
      <c r="M52" s="133"/>
      <c r="N52" s="133"/>
      <c r="O52" s="133"/>
      <c r="P52" s="133"/>
      <c r="Q52" s="133"/>
      <c r="R52" s="133"/>
      <c r="S52" s="133"/>
      <c r="T52" s="133"/>
      <c r="U52" s="133"/>
      <c r="V52" s="133"/>
      <c r="W52" s="133"/>
      <c r="X52" s="133"/>
      <c r="Y52" s="133"/>
      <c r="Z52" s="133"/>
    </row>
    <row r="53">
      <c r="A53" s="133">
        <f>IFERROR(__xludf.DUMMYFUNCTION("""COMPUTED_VALUE"""),52.0)</f>
        <v>52</v>
      </c>
      <c r="B53" s="133" t="str">
        <f>IFERROR(__xludf.DUMMYFUNCTION("""COMPUTED_VALUE"""),"MC5016")</f>
        <v>MC5016</v>
      </c>
      <c r="C53" s="133" t="str">
        <f>IFERROR(__xludf.DUMMYFUNCTION("""COMPUTED_VALUE"""),"P-1-N-300820-2488")</f>
        <v>P-1-N-300820-2488</v>
      </c>
      <c r="D53" s="133"/>
      <c r="E53" s="133" t="str">
        <f>IFERROR(__xludf.DUMMYFUNCTION("""COMPUTED_VALUE"""),"REJECTED")</f>
        <v>REJECTED</v>
      </c>
      <c r="F53" s="133" t="str">
        <f>IFERROR(__xludf.DUMMYFUNCTION("""COMPUTED_VALUE"""),"Healthy Bites Hairball Remedy For Cats &amp; Kittens 65g")</f>
        <v>Healthy Bites Hairball Remedy For Cats &amp; Kittens 65g</v>
      </c>
      <c r="G53" s="133" t="str">
        <f>IFERROR(__xludf.DUMMYFUNCTION("""COMPUTED_VALUE"""),"هيلثي بايتس لمنع كرات الشعر للقطط الصغيرة و البالغة 65 جم")</f>
        <v>هيلثي بايتس لمنع كرات الشعر للقطط الصغيرة و البالغة 65 جم</v>
      </c>
      <c r="H53" s="133"/>
      <c r="I53" s="133"/>
      <c r="J53" s="133"/>
      <c r="K53" s="133" t="str">
        <f>IFERROR(__xludf.DUMMYFUNCTION("""COMPUTED_VALUE"""),"مارك اند شابل ليمتد")</f>
        <v>مارك اند شابل ليمتد</v>
      </c>
      <c r="L53" s="142" t="str">
        <f>IFERROR(__xludf.DUMMYFUNCTION("""COMPUTED_VALUE"""),"MC5016")</f>
        <v>MC5016</v>
      </c>
      <c r="M53" s="133"/>
      <c r="N53" s="133"/>
      <c r="O53" s="133"/>
      <c r="P53" s="133"/>
      <c r="Q53" s="133"/>
      <c r="R53" s="133"/>
      <c r="S53" s="133"/>
      <c r="T53" s="133"/>
      <c r="U53" s="133"/>
      <c r="V53" s="133"/>
      <c r="W53" s="133"/>
      <c r="X53" s="133"/>
      <c r="Y53" s="133"/>
      <c r="Z53" s="133"/>
    </row>
    <row r="54">
      <c r="A54" s="133">
        <f>IFERROR(__xludf.DUMMYFUNCTION("""COMPUTED_VALUE"""),53.0)</f>
        <v>53</v>
      </c>
      <c r="B54" s="133" t="str">
        <f>IFERROR(__xludf.DUMMYFUNCTION("""COMPUTED_VALUE"""),"MC4965")</f>
        <v>MC4965</v>
      </c>
      <c r="C54" s="133" t="str">
        <f>IFERROR(__xludf.DUMMYFUNCTION("""COMPUTED_VALUE"""),"P-1-N-300820-2489")</f>
        <v>P-1-N-300820-2489</v>
      </c>
      <c r="D54" s="133"/>
      <c r="E54" s="133" t="str">
        <f>IFERROR(__xludf.DUMMYFUNCTION("""COMPUTED_VALUE"""),"REJECTED")</f>
        <v>REJECTED</v>
      </c>
      <c r="F54" s="133" t="str">
        <f>IFERROR(__xludf.DUMMYFUNCTION("""COMPUTED_VALUE"""),"Healthy Bites Nutri Booster For Kittens 65g")</f>
        <v>Healthy Bites Nutri Booster For Kittens 65g</v>
      </c>
      <c r="G54" s="133" t="str">
        <f>IFERROR(__xludf.DUMMYFUNCTION("""COMPUTED_VALUE"""),"هيلثي بايتس نيوتري بوستر للقطط الصغيرة 65 جم")</f>
        <v>هيلثي بايتس نيوتري بوستر للقطط الصغيرة 65 جم</v>
      </c>
      <c r="H54" s="133"/>
      <c r="I54" s="133"/>
      <c r="J54" s="133"/>
      <c r="K54" s="133" t="str">
        <f>IFERROR(__xludf.DUMMYFUNCTION("""COMPUTED_VALUE"""),"مارك اند شابل ليمتد")</f>
        <v>مارك اند شابل ليمتد</v>
      </c>
      <c r="L54" s="142" t="str">
        <f>IFERROR(__xludf.DUMMYFUNCTION("""COMPUTED_VALUE"""),"MC4965")</f>
        <v>MC4965</v>
      </c>
      <c r="M54" s="133"/>
      <c r="N54" s="133"/>
      <c r="O54" s="133"/>
      <c r="P54" s="133"/>
      <c r="Q54" s="133"/>
      <c r="R54" s="133"/>
      <c r="S54" s="133"/>
      <c r="T54" s="133"/>
      <c r="U54" s="133"/>
      <c r="V54" s="133"/>
      <c r="W54" s="133"/>
      <c r="X54" s="133"/>
      <c r="Y54" s="133"/>
      <c r="Z54" s="133"/>
    </row>
    <row r="55">
      <c r="A55" s="133">
        <f>IFERROR(__xludf.DUMMYFUNCTION("""COMPUTED_VALUE"""),54.0)</f>
        <v>54</v>
      </c>
      <c r="B55" s="133" t="str">
        <f>IFERROR(__xludf.DUMMYFUNCTION("""COMPUTED_VALUE"""),"MC5030")</f>
        <v>MC5030</v>
      </c>
      <c r="C55" s="133" t="str">
        <f>IFERROR(__xludf.DUMMYFUNCTION("""COMPUTED_VALUE"""),"P-1-N-300820-2492")</f>
        <v>P-1-N-300820-2492</v>
      </c>
      <c r="D55" s="133"/>
      <c r="E55" s="133" t="str">
        <f>IFERROR(__xludf.DUMMYFUNCTION("""COMPUTED_VALUE"""),"تمت طباعة الشهادة")</f>
        <v>تمت طباعة الشهادة</v>
      </c>
      <c r="F55" s="133" t="str">
        <f>IFERROR(__xludf.DUMMYFUNCTION("""COMPUTED_VALUE"""),"Healthy Bites Urinary Care For Cats &amp; Kittens 65g")</f>
        <v>Healthy Bites Urinary Care For Cats &amp; Kittens 65g</v>
      </c>
      <c r="G55" s="133" t="str">
        <f>IFERROR(__xludf.DUMMYFUNCTION("""COMPUTED_VALUE"""),"هيلثي بايتس للعناية البولية للقطط الصغيرة والبالغة 65 جم")</f>
        <v>هيلثي بايتس للعناية البولية للقطط الصغيرة والبالغة 65 جم</v>
      </c>
      <c r="H55" s="133" t="str">
        <f>IFERROR(__xludf.DUMMYFUNCTION("""COMPUTED_VALUE"""),"MAFE20201078")</f>
        <v>MAFE20201078</v>
      </c>
      <c r="I55" s="133"/>
      <c r="J55" s="133"/>
      <c r="K55" s="133" t="str">
        <f>IFERROR(__xludf.DUMMYFUNCTION("""COMPUTED_VALUE"""),"مارك اند شابل ليمتد")</f>
        <v>مارك اند شابل ليمتد</v>
      </c>
      <c r="L55" s="142" t="str">
        <f>IFERROR(__xludf.DUMMYFUNCTION("""COMPUTED_VALUE"""),"MC5030")</f>
        <v>MC5030</v>
      </c>
      <c r="M55" s="133"/>
      <c r="N55" s="133"/>
      <c r="O55" s="133"/>
      <c r="P55" s="133"/>
      <c r="Q55" s="133"/>
      <c r="R55" s="133"/>
      <c r="S55" s="133"/>
      <c r="T55" s="133"/>
      <c r="U55" s="133"/>
      <c r="V55" s="133"/>
      <c r="W55" s="133"/>
      <c r="X55" s="133"/>
      <c r="Y55" s="133"/>
      <c r="Z55" s="133"/>
    </row>
    <row r="56">
      <c r="A56" s="133">
        <f>IFERROR(__xludf.DUMMYFUNCTION("""COMPUTED_VALUE"""),55.0)</f>
        <v>55</v>
      </c>
      <c r="B56" s="133" t="str">
        <f>IFERROR(__xludf.DUMMYFUNCTION("""COMPUTED_VALUE"""),"MC5924")</f>
        <v>MC5924</v>
      </c>
      <c r="C56" s="133" t="str">
        <f>IFERROR(__xludf.DUMMYFUNCTION("""COMPUTED_VALUE"""),"P-1-N-300820-2499")</f>
        <v>P-1-N-300820-2499</v>
      </c>
      <c r="D56" s="133"/>
      <c r="E56" s="133" t="str">
        <f>IFERROR(__xludf.DUMMYFUNCTION("""COMPUTED_VALUE"""),"تمت طباعة الشهادة")</f>
        <v>تمت طباعة الشهادة</v>
      </c>
      <c r="F56" s="133" t="str">
        <f>IFERROR(__xludf.DUMMYFUNCTION("""COMPUTED_VALUE"""),"Healthy Bites Growth Support For Kittens 65g")</f>
        <v>Healthy Bites Growth Support For Kittens 65g</v>
      </c>
      <c r="G56" s="133" t="str">
        <f>IFERROR(__xludf.DUMMYFUNCTION("""COMPUTED_VALUE"""),"هيلثي بايتس دعم النمو للقطط الصغيرة 65 جم")</f>
        <v>هيلثي بايتس دعم النمو للقطط الصغيرة 65 جم</v>
      </c>
      <c r="H56" s="133" t="str">
        <f>IFERROR(__xludf.DUMMYFUNCTION("""COMPUTED_VALUE"""),"MAFE20201077")</f>
        <v>MAFE20201077</v>
      </c>
      <c r="I56" s="133"/>
      <c r="J56" s="133"/>
      <c r="K56" s="133" t="str">
        <f>IFERROR(__xludf.DUMMYFUNCTION("""COMPUTED_VALUE"""),"مارك اند شابل ليمتد")</f>
        <v>مارك اند شابل ليمتد</v>
      </c>
      <c r="L56" s="142" t="str">
        <f>IFERROR(__xludf.DUMMYFUNCTION("""COMPUTED_VALUE"""),"MC5924")</f>
        <v>MC5924</v>
      </c>
      <c r="M56" s="133"/>
      <c r="N56" s="133"/>
      <c r="O56" s="133"/>
      <c r="P56" s="133"/>
      <c r="Q56" s="133"/>
      <c r="R56" s="133"/>
      <c r="S56" s="133"/>
      <c r="T56" s="133"/>
      <c r="U56" s="133"/>
      <c r="V56" s="133"/>
      <c r="W56" s="133"/>
      <c r="X56" s="133"/>
      <c r="Y56" s="133"/>
      <c r="Z56" s="133"/>
    </row>
    <row r="57">
      <c r="A57" s="133">
        <f>IFERROR(__xludf.DUMMYFUNCTION("""COMPUTED_VALUE"""),56.0)</f>
        <v>56</v>
      </c>
      <c r="B57" s="133" t="str">
        <f>IFERROR(__xludf.DUMMYFUNCTION("""COMPUTED_VALUE"""),"MC5627")</f>
        <v>MC5627</v>
      </c>
      <c r="C57" s="133" t="str">
        <f>IFERROR(__xludf.DUMMYFUNCTION("""COMPUTED_VALUE"""),"P-1-N-300820-2504")</f>
        <v>P-1-N-300820-2504</v>
      </c>
      <c r="D57" s="133"/>
      <c r="E57" s="133" t="str">
        <f>IFERROR(__xludf.DUMMYFUNCTION("""COMPUTED_VALUE"""),"تمت طباعة الشهادة")</f>
        <v>تمت طباعة الشهادة</v>
      </c>
      <c r="F57" s="133" t="str">
        <f>IFERROR(__xludf.DUMMYFUNCTION("""COMPUTED_VALUE"""),"Feline Happy Chicken 60g")</f>
        <v>Feline Happy Chicken 60g</v>
      </c>
      <c r="G57" s="133" t="str">
        <f>IFERROR(__xludf.DUMMYFUNCTION("""COMPUTED_VALUE"""),"فيلين هابي بالدجاج 60 جم")</f>
        <v>فيلين هابي بالدجاج 60 جم</v>
      </c>
      <c r="H57" s="133" t="str">
        <f>IFERROR(__xludf.DUMMYFUNCTION("""COMPUTED_VALUE"""),"MAFE20201209")</f>
        <v>MAFE20201209</v>
      </c>
      <c r="I57" s="133"/>
      <c r="J57" s="133"/>
      <c r="K57" s="133" t="str">
        <f>IFERROR(__xludf.DUMMYFUNCTION("""COMPUTED_VALUE"""),"مارك اند شابل ليمتد")</f>
        <v>مارك اند شابل ليمتد</v>
      </c>
      <c r="L57" s="142" t="str">
        <f>IFERROR(__xludf.DUMMYFUNCTION("""COMPUTED_VALUE"""),"MC5627")</f>
        <v>MC5627</v>
      </c>
      <c r="M57" s="133"/>
      <c r="N57" s="133"/>
      <c r="O57" s="133"/>
      <c r="P57" s="133"/>
      <c r="Q57" s="133"/>
      <c r="R57" s="133"/>
      <c r="S57" s="133"/>
      <c r="T57" s="133"/>
      <c r="U57" s="133"/>
      <c r="V57" s="133"/>
      <c r="W57" s="133"/>
      <c r="X57" s="133"/>
      <c r="Y57" s="133"/>
      <c r="Z57" s="133"/>
    </row>
    <row r="58">
      <c r="A58" s="133">
        <f>IFERROR(__xludf.DUMMYFUNCTION("""COMPUTED_VALUE"""),57.0)</f>
        <v>57</v>
      </c>
      <c r="B58" s="133" t="str">
        <f>IFERROR(__xludf.DUMMYFUNCTION("""COMPUTED_VALUE"""),"MC5634")</f>
        <v>MC5634</v>
      </c>
      <c r="C58" s="133" t="str">
        <f>IFERROR(__xludf.DUMMYFUNCTION("""COMPUTED_VALUE"""),"P-1-N-300820-2506")</f>
        <v>P-1-N-300820-2506</v>
      </c>
      <c r="D58" s="133"/>
      <c r="E58" s="133" t="str">
        <f>IFERROR(__xludf.DUMMYFUNCTION("""COMPUTED_VALUE"""),"تمت طباعة الشهادة")</f>
        <v>تمت طباعة الشهادة</v>
      </c>
      <c r="F58" s="133" t="str">
        <f>IFERROR(__xludf.DUMMYFUNCTION("""COMPUTED_VALUE"""),"Feline Happy Duck 60g")</f>
        <v>Feline Happy Duck 60g</v>
      </c>
      <c r="G58" s="133" t="str">
        <f>IFERROR(__xludf.DUMMYFUNCTION("""COMPUTED_VALUE"""),"فيلين هابي بالبط 60 جم")</f>
        <v>فيلين هابي بالبط 60 جم</v>
      </c>
      <c r="H58" s="133" t="str">
        <f>IFERROR(__xludf.DUMMYFUNCTION("""COMPUTED_VALUE"""),"MAFE20201163")</f>
        <v>MAFE20201163</v>
      </c>
      <c r="I58" s="133"/>
      <c r="J58" s="133"/>
      <c r="K58" s="133" t="str">
        <f>IFERROR(__xludf.DUMMYFUNCTION("""COMPUTED_VALUE"""),"مارك اند شابل ليمتد")</f>
        <v>مارك اند شابل ليمتد</v>
      </c>
      <c r="L58" s="142" t="str">
        <f>IFERROR(__xludf.DUMMYFUNCTION("""COMPUTED_VALUE"""),"MC5634")</f>
        <v>MC5634</v>
      </c>
      <c r="M58" s="133"/>
      <c r="N58" s="133"/>
      <c r="O58" s="133"/>
      <c r="P58" s="133"/>
      <c r="Q58" s="133"/>
      <c r="R58" s="133"/>
      <c r="S58" s="133"/>
      <c r="T58" s="133"/>
      <c r="U58" s="133"/>
      <c r="V58" s="133"/>
      <c r="W58" s="133"/>
      <c r="X58" s="133"/>
      <c r="Y58" s="133"/>
      <c r="Z58" s="133"/>
    </row>
    <row r="59">
      <c r="A59" s="133">
        <f>IFERROR(__xludf.DUMMYFUNCTION("""COMPUTED_VALUE"""),58.0)</f>
        <v>58</v>
      </c>
      <c r="B59" s="133" t="str">
        <f>IFERROR(__xludf.DUMMYFUNCTION("""COMPUTED_VALUE"""),"MC5641")</f>
        <v>MC5641</v>
      </c>
      <c r="C59" s="133" t="str">
        <f>IFERROR(__xludf.DUMMYFUNCTION("""COMPUTED_VALUE"""),"P-1-N-300820-2507")</f>
        <v>P-1-N-300820-2507</v>
      </c>
      <c r="D59" s="133"/>
      <c r="E59" s="133" t="str">
        <f>IFERROR(__xludf.DUMMYFUNCTION("""COMPUTED_VALUE"""),"تمت طباعة الشهادة")</f>
        <v>تمت طباعة الشهادة</v>
      </c>
      <c r="F59" s="133" t="str">
        <f>IFERROR(__xludf.DUMMYFUNCTION("""COMPUTED_VALUE"""),"Feline Happy Salmon 60g")</f>
        <v>Feline Happy Salmon 60g</v>
      </c>
      <c r="G59" s="133" t="str">
        <f>IFERROR(__xludf.DUMMYFUNCTION("""COMPUTED_VALUE"""),"فيلين هابي بالسالمون 60 جم")</f>
        <v>فيلين هابي بالسالمون 60 جم</v>
      </c>
      <c r="H59" s="133" t="str">
        <f>IFERROR(__xludf.DUMMYFUNCTION("""COMPUTED_VALUE"""),"MAFE20201162")</f>
        <v>MAFE20201162</v>
      </c>
      <c r="I59" s="133"/>
      <c r="J59" s="133"/>
      <c r="K59" s="133" t="str">
        <f>IFERROR(__xludf.DUMMYFUNCTION("""COMPUTED_VALUE"""),"مارك اند شابل ليمتد")</f>
        <v>مارك اند شابل ليمتد</v>
      </c>
      <c r="L59" s="142" t="str">
        <f>IFERROR(__xludf.DUMMYFUNCTION("""COMPUTED_VALUE"""),"MC5641")</f>
        <v>MC5641</v>
      </c>
      <c r="M59" s="133"/>
      <c r="N59" s="133"/>
      <c r="O59" s="133"/>
      <c r="P59" s="133"/>
      <c r="Q59" s="133"/>
      <c r="R59" s="133"/>
      <c r="S59" s="133"/>
      <c r="T59" s="133"/>
      <c r="U59" s="133"/>
      <c r="V59" s="133"/>
      <c r="W59" s="133"/>
      <c r="X59" s="133"/>
      <c r="Y59" s="133"/>
      <c r="Z59" s="133"/>
    </row>
    <row r="60">
      <c r="A60" s="133">
        <f>IFERROR(__xludf.DUMMYFUNCTION("""COMPUTED_VALUE"""),59.0)</f>
        <v>59</v>
      </c>
      <c r="B60" s="133" t="str">
        <f>IFERROR(__xludf.DUMMYFUNCTION("""COMPUTED_VALUE"""),"422218")</f>
        <v>422218</v>
      </c>
      <c r="C60" s="133" t="str">
        <f>IFERROR(__xludf.DUMMYFUNCTION("""COMPUTED_VALUE"""),"P-1-N-300820-2508")</f>
        <v>P-1-N-300820-2508</v>
      </c>
      <c r="D60" s="133"/>
      <c r="E60" s="133" t="str">
        <f>IFERROR(__xludf.DUMMYFUNCTION("""COMPUTED_VALUE"""),"تمت طباعة الشهادة")</f>
        <v>تمت طباعة الشهادة</v>
      </c>
      <c r="F60" s="133" t="str">
        <f>IFERROR(__xludf.DUMMYFUNCTION("""COMPUTED_VALUE"""),"ARA Parrot 2 KG")</f>
        <v>ARA Parrot 2 KG</v>
      </c>
      <c r="G60" s="133" t="str">
        <f>IFERROR(__xludf.DUMMYFUNCTION("""COMPUTED_VALUE"""),"ببغاء أرا 2 كيلو")</f>
        <v>ببغاء أرا 2 كيلو</v>
      </c>
      <c r="H60" s="133" t="str">
        <f>IFERROR(__xludf.DUMMYFUNCTION("""COMPUTED_VALUE"""),"MAFE20201076")</f>
        <v>MAFE20201076</v>
      </c>
      <c r="I60" s="133"/>
      <c r="J60" s="133"/>
      <c r="K60" s="133" t="str">
        <f>IFERROR(__xludf.DUMMYFUNCTION("""COMPUTED_VALUE"""),"فيرسل لاقا ان في")</f>
        <v>فيرسل لاقا ان في</v>
      </c>
      <c r="L60" s="142" t="str">
        <f>IFERROR(__xludf.DUMMYFUNCTION("""COMPUTED_VALUE"""),"422218")</f>
        <v>422218</v>
      </c>
      <c r="M60" s="133"/>
      <c r="N60" s="133"/>
      <c r="O60" s="133"/>
      <c r="P60" s="133"/>
      <c r="Q60" s="133"/>
      <c r="R60" s="133"/>
      <c r="S60" s="133"/>
      <c r="T60" s="133"/>
      <c r="U60" s="133"/>
      <c r="V60" s="133"/>
      <c r="W60" s="133"/>
      <c r="X60" s="133"/>
      <c r="Y60" s="133"/>
      <c r="Z60" s="133"/>
    </row>
    <row r="61">
      <c r="A61" s="133">
        <f>IFERROR(__xludf.DUMMYFUNCTION("""COMPUTED_VALUE"""),60.0)</f>
        <v>60</v>
      </c>
      <c r="B61" s="133" t="str">
        <f>IFERROR(__xludf.DUMMYFUNCTION("""COMPUTED_VALUE"""),"422219")</f>
        <v>422219</v>
      </c>
      <c r="C61" s="133" t="str">
        <f>IFERROR(__xludf.DUMMYFUNCTION("""COMPUTED_VALUE"""),"P-1-N-300820-2509")</f>
        <v>P-1-N-300820-2509</v>
      </c>
      <c r="D61" s="133"/>
      <c r="E61" s="133" t="str">
        <f>IFERROR(__xludf.DUMMYFUNCTION("""COMPUTED_VALUE"""),"تمت طباعة الشهادة")</f>
        <v>تمت طباعة الشهادة</v>
      </c>
      <c r="F61" s="133" t="str">
        <f>IFERROR(__xludf.DUMMYFUNCTION("""COMPUTED_VALUE"""),"Prestige ARA Parrot 15 kg")</f>
        <v>Prestige ARA Parrot 15 kg</v>
      </c>
      <c r="G61" s="133" t="str">
        <f>IFERROR(__xludf.DUMMYFUNCTION("""COMPUTED_VALUE"""),"برستيج أرا ببغاء 15 كيلو")</f>
        <v>برستيج أرا ببغاء 15 كيلو</v>
      </c>
      <c r="H61" s="133" t="str">
        <f>IFERROR(__xludf.DUMMYFUNCTION("""COMPUTED_VALUE"""),"MAFE20201036")</f>
        <v>MAFE20201036</v>
      </c>
      <c r="I61" s="133"/>
      <c r="J61" s="133"/>
      <c r="K61" s="133" t="str">
        <f>IFERROR(__xludf.DUMMYFUNCTION("""COMPUTED_VALUE"""),"فيرسل لاقا ان في")</f>
        <v>فيرسل لاقا ان في</v>
      </c>
      <c r="L61" s="142" t="str">
        <f>IFERROR(__xludf.DUMMYFUNCTION("""COMPUTED_VALUE"""),"422219")</f>
        <v>422219</v>
      </c>
      <c r="M61" s="133"/>
      <c r="N61" s="133"/>
      <c r="O61" s="133"/>
      <c r="P61" s="133"/>
      <c r="Q61" s="133"/>
      <c r="R61" s="133"/>
      <c r="S61" s="133"/>
      <c r="T61" s="133"/>
      <c r="U61" s="133"/>
      <c r="V61" s="133"/>
      <c r="W61" s="133"/>
      <c r="X61" s="133"/>
      <c r="Y61" s="133"/>
      <c r="Z61" s="133"/>
    </row>
    <row r="62">
      <c r="A62" s="133">
        <f>IFERROR(__xludf.DUMMYFUNCTION("""COMPUTED_VALUE"""),61.0)</f>
        <v>61</v>
      </c>
      <c r="B62" s="133" t="str">
        <f>IFERROR(__xludf.DUMMYFUNCTION("""COMPUTED_VALUE"""),"421620")</f>
        <v>421620</v>
      </c>
      <c r="C62" s="133" t="str">
        <f>IFERROR(__xludf.DUMMYFUNCTION("""COMPUTED_VALUE"""),"P-1-N-300820-2510")</f>
        <v>P-1-N-300820-2510</v>
      </c>
      <c r="D62" s="133"/>
      <c r="E62" s="133" t="str">
        <f>IFERROR(__xludf.DUMMYFUNCTION("""COMPUTED_VALUE"""),"تمت طباعة الشهادة")</f>
        <v>تمت طباعة الشهادة</v>
      </c>
      <c r="F62" s="133" t="str">
        <f>IFERROR(__xludf.DUMMYFUNCTION("""COMPUTED_VALUE"""),"Prestige Budgie 1 KG")</f>
        <v>Prestige Budgie 1 KG</v>
      </c>
      <c r="G62" s="133" t="str">
        <f>IFERROR(__xludf.DUMMYFUNCTION("""COMPUTED_VALUE"""),"برستيج ببغاء صغير 1 كيلو")</f>
        <v>برستيج ببغاء صغير 1 كيلو</v>
      </c>
      <c r="H62" s="133" t="str">
        <f>IFERROR(__xludf.DUMMYFUNCTION("""COMPUTED_VALUE"""),"MAFE20201047")</f>
        <v>MAFE20201047</v>
      </c>
      <c r="I62" s="133"/>
      <c r="J62" s="133"/>
      <c r="K62" s="133" t="str">
        <f>IFERROR(__xludf.DUMMYFUNCTION("""COMPUTED_VALUE"""),"فيرسل لاقا ان في")</f>
        <v>فيرسل لاقا ان في</v>
      </c>
      <c r="L62" s="142" t="str">
        <f>IFERROR(__xludf.DUMMYFUNCTION("""COMPUTED_VALUE"""),"421620")</f>
        <v>421620</v>
      </c>
      <c r="M62" s="133"/>
      <c r="N62" s="133"/>
      <c r="O62" s="133"/>
      <c r="P62" s="133"/>
      <c r="Q62" s="133"/>
      <c r="R62" s="133"/>
      <c r="S62" s="133"/>
      <c r="T62" s="133"/>
      <c r="U62" s="133"/>
      <c r="V62" s="133"/>
      <c r="W62" s="133"/>
      <c r="X62" s="133"/>
      <c r="Y62" s="133"/>
      <c r="Z62" s="133"/>
    </row>
    <row r="63">
      <c r="A63" s="133">
        <f>IFERROR(__xludf.DUMMYFUNCTION("""COMPUTED_VALUE"""),62.0)</f>
        <v>62</v>
      </c>
      <c r="B63" s="133" t="str">
        <f>IFERROR(__xludf.DUMMYFUNCTION("""COMPUTED_VALUE"""),"421621")</f>
        <v>421621</v>
      </c>
      <c r="C63" s="133" t="str">
        <f>IFERROR(__xludf.DUMMYFUNCTION("""COMPUTED_VALUE"""),"P-1-N-300820-2512")</f>
        <v>P-1-N-300820-2512</v>
      </c>
      <c r="D63" s="133"/>
      <c r="E63" s="133" t="str">
        <f>IFERROR(__xludf.DUMMYFUNCTION("""COMPUTED_VALUE"""),"تمت طباعة الشهادة")</f>
        <v>تمت طباعة الشهادة</v>
      </c>
      <c r="F63" s="133" t="str">
        <f>IFERROR(__xludf.DUMMYFUNCTION("""COMPUTED_VALUE"""),"Prestige Budgie 4 KG")</f>
        <v>Prestige Budgie 4 KG</v>
      </c>
      <c r="G63" s="133" t="str">
        <f>IFERROR(__xludf.DUMMYFUNCTION("""COMPUTED_VALUE"""),"برستيج ببغاء صغير 4 كيلو")</f>
        <v>برستيج ببغاء صغير 4 كيلو</v>
      </c>
      <c r="H63" s="133" t="str">
        <f>IFERROR(__xludf.DUMMYFUNCTION("""COMPUTED_VALUE"""),"MAFE20201046")</f>
        <v>MAFE20201046</v>
      </c>
      <c r="I63" s="133"/>
      <c r="J63" s="133"/>
      <c r="K63" s="133" t="str">
        <f>IFERROR(__xludf.DUMMYFUNCTION("""COMPUTED_VALUE"""),"فيرسل لاقا ان في")</f>
        <v>فيرسل لاقا ان في</v>
      </c>
      <c r="L63" s="142" t="str">
        <f>IFERROR(__xludf.DUMMYFUNCTION("""COMPUTED_VALUE"""),"421621")</f>
        <v>421621</v>
      </c>
      <c r="M63" s="133"/>
      <c r="N63" s="133"/>
      <c r="O63" s="133"/>
      <c r="P63" s="133"/>
      <c r="Q63" s="133"/>
      <c r="R63" s="133"/>
      <c r="S63" s="133"/>
      <c r="T63" s="133"/>
      <c r="U63" s="133"/>
      <c r="V63" s="133"/>
      <c r="W63" s="133"/>
      <c r="X63" s="133"/>
      <c r="Y63" s="133"/>
      <c r="Z63" s="133"/>
    </row>
    <row r="64">
      <c r="A64" s="133">
        <f>IFERROR(__xludf.DUMMYFUNCTION("""COMPUTED_VALUE"""),63.0)</f>
        <v>63</v>
      </c>
      <c r="B64" s="133"/>
      <c r="C64" s="133" t="str">
        <f>IFERROR(__xludf.DUMMYFUNCTION("""COMPUTED_VALUE"""),"P-1-N-310820-2517")</f>
        <v>P-1-N-310820-2517</v>
      </c>
      <c r="D64" s="133"/>
      <c r="E64" s="133" t="str">
        <f>IFERROR(__xludf.DUMMYFUNCTION("""COMPUTED_VALUE"""),"تمت طباعة الشهادة")</f>
        <v>تمت طباعة الشهادة</v>
      </c>
      <c r="F64" s="133" t="str">
        <f>IFERROR(__xludf.DUMMYFUNCTION("""COMPUTED_VALUE"""),"Healthy Centres Mature Cheese Flavour Treats 80g")</f>
        <v>Healthy Centres Mature Cheese Flavour Treats 80g</v>
      </c>
      <c r="G64" s="133" t="str">
        <f>IFERROR(__xludf.DUMMYFUNCTION("""COMPUTED_VALUE"""),"هيلثي سنترز بنكهة الجبن الناضجة 80 جرام")</f>
        <v>هيلثي سنترز بنكهة الجبن الناضجة 80 جرام</v>
      </c>
      <c r="H64" s="133" t="str">
        <f>IFERROR(__xludf.DUMMYFUNCTION("""COMPUTED_VALUE"""),"MAFE20201045")</f>
        <v>MAFE20201045</v>
      </c>
      <c r="I64" s="133"/>
      <c r="J64" s="133"/>
      <c r="K64" s="133" t="str">
        <f>IFERROR(__xludf.DUMMYFUNCTION("""COMPUTED_VALUE"""),"مارك اند شابل ليمتد")</f>
        <v>مارك اند شابل ليمتد</v>
      </c>
      <c r="L64" s="133"/>
      <c r="M64" s="133"/>
      <c r="N64" s="133"/>
      <c r="O64" s="133"/>
      <c r="P64" s="133"/>
      <c r="Q64" s="133"/>
      <c r="R64" s="133"/>
      <c r="S64" s="133"/>
      <c r="T64" s="133"/>
      <c r="U64" s="133"/>
      <c r="V64" s="133"/>
      <c r="W64" s="133"/>
      <c r="X64" s="133"/>
      <c r="Y64" s="133"/>
      <c r="Z64" s="133"/>
    </row>
    <row r="65">
      <c r="A65" s="133">
        <f>IFERROR(__xludf.DUMMYFUNCTION("""COMPUTED_VALUE"""),64.0)</f>
        <v>64</v>
      </c>
      <c r="B65" s="133"/>
      <c r="C65" s="133" t="str">
        <f>IFERROR(__xludf.DUMMYFUNCTION("""COMPUTED_VALUE"""),"P-1-N-310820-2518")</f>
        <v>P-1-N-310820-2518</v>
      </c>
      <c r="D65" s="133"/>
      <c r="E65" s="133" t="str">
        <f>IFERROR(__xludf.DUMMYFUNCTION("""COMPUTED_VALUE"""),"REJECTED")</f>
        <v>REJECTED</v>
      </c>
      <c r="F65" s="133" t="str">
        <f>IFERROR(__xludf.DUMMYFUNCTION("""COMPUTED_VALUE"""),"Healthy Centres Roast Chicken Flavour Treats 80g")</f>
        <v>Healthy Centres Roast Chicken Flavour Treats 80g</v>
      </c>
      <c r="G65" s="133" t="str">
        <f>IFERROR(__xludf.DUMMYFUNCTION("""COMPUTED_VALUE"""),"هيلثي سنترز بنكهة الدجاج المشوي 80 جرام")</f>
        <v>هيلثي سنترز بنكهة الدجاج المشوي 80 جرام</v>
      </c>
      <c r="H65" s="133"/>
      <c r="I65" s="133"/>
      <c r="J65" s="133"/>
      <c r="K65" s="133" t="str">
        <f>IFERROR(__xludf.DUMMYFUNCTION("""COMPUTED_VALUE"""),"مارك اند شابل ليمتد")</f>
        <v>مارك اند شابل ليمتد</v>
      </c>
      <c r="L65" s="133"/>
      <c r="M65" s="133"/>
      <c r="N65" s="133"/>
      <c r="O65" s="133"/>
      <c r="P65" s="133"/>
      <c r="Q65" s="133"/>
      <c r="R65" s="133"/>
      <c r="S65" s="133"/>
      <c r="T65" s="133"/>
      <c r="U65" s="133"/>
      <c r="V65" s="133"/>
      <c r="W65" s="133"/>
      <c r="X65" s="133"/>
      <c r="Y65" s="133"/>
      <c r="Z65" s="133"/>
    </row>
    <row r="66">
      <c r="A66" s="133">
        <f>IFERROR(__xludf.DUMMYFUNCTION("""COMPUTED_VALUE"""),65.0)</f>
        <v>65</v>
      </c>
      <c r="B66" s="133"/>
      <c r="C66" s="133" t="str">
        <f>IFERROR(__xludf.DUMMYFUNCTION("""COMPUTED_VALUE"""),"P-1-N-310820-2519")</f>
        <v>P-1-N-310820-2519</v>
      </c>
      <c r="D66" s="133"/>
      <c r="E66" s="133" t="str">
        <f>IFERROR(__xludf.DUMMYFUNCTION("""COMPUTED_VALUE"""),"تمت طباعة الشهادة")</f>
        <v>تمت طباعة الشهادة</v>
      </c>
      <c r="F66" s="133" t="str">
        <f>IFERROR(__xludf.DUMMYFUNCTION("""COMPUTED_VALUE"""),"Healthy Centres with Real Chicken &amp; Vegetables 113g")</f>
        <v>Healthy Centres with Real Chicken &amp; Vegetables 113g</v>
      </c>
      <c r="G66" s="133" t="str">
        <f>IFERROR(__xludf.DUMMYFUNCTION("""COMPUTED_VALUE"""),"هيلثي سنترز مع دجاج حقيقي وخضار 113 جم")</f>
        <v>هيلثي سنترز مع دجاج حقيقي وخضار 113 جم</v>
      </c>
      <c r="H66" s="133" t="str">
        <f>IFERROR(__xludf.DUMMYFUNCTION("""COMPUTED_VALUE"""),"MAFE20201044")</f>
        <v>MAFE20201044</v>
      </c>
      <c r="I66" s="133"/>
      <c r="J66" s="133"/>
      <c r="K66" s="133" t="str">
        <f>IFERROR(__xludf.DUMMYFUNCTION("""COMPUTED_VALUE"""),"مارك اند شابل ليمتد")</f>
        <v>مارك اند شابل ليمتد</v>
      </c>
      <c r="L66" s="133"/>
      <c r="M66" s="133"/>
      <c r="N66" s="133"/>
      <c r="O66" s="133"/>
      <c r="P66" s="133"/>
      <c r="Q66" s="133"/>
      <c r="R66" s="133"/>
      <c r="S66" s="133"/>
      <c r="T66" s="133"/>
      <c r="U66" s="133"/>
      <c r="V66" s="133"/>
      <c r="W66" s="133"/>
      <c r="X66" s="133"/>
      <c r="Y66" s="133"/>
      <c r="Z66" s="133"/>
    </row>
    <row r="67">
      <c r="A67" s="133">
        <f>IFERROR(__xludf.DUMMYFUNCTION("""COMPUTED_VALUE"""),66.0)</f>
        <v>66</v>
      </c>
      <c r="B67" s="133"/>
      <c r="C67" s="133" t="str">
        <f>IFERROR(__xludf.DUMMYFUNCTION("""COMPUTED_VALUE"""),"P-1-N-310820-2520")</f>
        <v>P-1-N-310820-2520</v>
      </c>
      <c r="D67" s="133"/>
      <c r="E67" s="133" t="str">
        <f>IFERROR(__xludf.DUMMYFUNCTION("""COMPUTED_VALUE"""),"تمت طباعة الشهادة")</f>
        <v>تمت طباعة الشهادة</v>
      </c>
      <c r="F67" s="133" t="str">
        <f>IFERROR(__xludf.DUMMYFUNCTION("""COMPUTED_VALUE"""),"Healthy Centres with Real Turkey &amp; Cranberry 113g")</f>
        <v>Healthy Centres with Real Turkey &amp; Cranberry 113g</v>
      </c>
      <c r="G67" s="133" t="str">
        <f>IFERROR(__xludf.DUMMYFUNCTION("""COMPUTED_VALUE"""),"هيلثي سنترز مع مع الديك الرومي الحقيقي والتوت البري 113 جم")</f>
        <v>هيلثي سنترز مع مع الديك الرومي الحقيقي والتوت البري 113 جم</v>
      </c>
      <c r="H67" s="133" t="str">
        <f>IFERROR(__xludf.DUMMYFUNCTION("""COMPUTED_VALUE"""),"MAFE20201043")</f>
        <v>MAFE20201043</v>
      </c>
      <c r="I67" s="133"/>
      <c r="J67" s="133"/>
      <c r="K67" s="133" t="str">
        <f>IFERROR(__xludf.DUMMYFUNCTION("""COMPUTED_VALUE"""),"مارك اند شابل ليمتد")</f>
        <v>مارك اند شابل ليمتد</v>
      </c>
      <c r="L67" s="133"/>
      <c r="M67" s="133"/>
      <c r="N67" s="133"/>
      <c r="O67" s="133"/>
      <c r="P67" s="133"/>
      <c r="Q67" s="133"/>
      <c r="R67" s="133"/>
      <c r="S67" s="133"/>
      <c r="T67" s="133"/>
      <c r="U67" s="133"/>
      <c r="V67" s="133"/>
      <c r="W67" s="133"/>
      <c r="X67" s="133"/>
      <c r="Y67" s="133"/>
      <c r="Z67" s="133"/>
    </row>
    <row r="68">
      <c r="A68" s="133">
        <f>IFERROR(__xludf.DUMMYFUNCTION("""COMPUTED_VALUE"""),67.0)</f>
        <v>67</v>
      </c>
      <c r="B68" s="133" t="str">
        <f>IFERROR(__xludf.DUMMYFUNCTION("""COMPUTED_VALUE"""),"421040")</f>
        <v>421040</v>
      </c>
      <c r="C68" s="133" t="str">
        <f>IFERROR(__xludf.DUMMYFUNCTION("""COMPUTED_VALUE"""),"P-1-N-010920-2536")</f>
        <v>P-1-N-010920-2536</v>
      </c>
      <c r="D68" s="133"/>
      <c r="E68" s="133" t="str">
        <f>IFERROR(__xludf.DUMMYFUNCTION("""COMPUTED_VALUE"""),"تمت طباعة الشهادة")</f>
        <v>تمت طباعة الشهادة</v>
      </c>
      <c r="F68" s="133" t="str">
        <f>IFERROR(__xludf.DUMMYFUNCTION("""COMPUTED_VALUE"""),"Prestige Canary 1 KG")</f>
        <v>Prestige Canary 1 KG</v>
      </c>
      <c r="G68" s="133" t="str">
        <f>IFERROR(__xludf.DUMMYFUNCTION("""COMPUTED_VALUE"""),"برستيج كناري 1 كيلو")</f>
        <v>برستيج كناري 1 كيلو</v>
      </c>
      <c r="H68" s="133" t="str">
        <f>IFERROR(__xludf.DUMMYFUNCTION("""COMPUTED_VALUE"""),"MAFE20201094")</f>
        <v>MAFE20201094</v>
      </c>
      <c r="I68" s="133"/>
      <c r="J68" s="133"/>
      <c r="K68" s="133" t="str">
        <f>IFERROR(__xludf.DUMMYFUNCTION("""COMPUTED_VALUE"""),"فيرسل لاقا ان في")</f>
        <v>فيرسل لاقا ان في</v>
      </c>
      <c r="L68" s="142" t="str">
        <f>IFERROR(__xludf.DUMMYFUNCTION("""COMPUTED_VALUE"""),"421040")</f>
        <v>421040</v>
      </c>
      <c r="M68" s="133"/>
      <c r="N68" s="133"/>
      <c r="O68" s="133"/>
      <c r="P68" s="133"/>
      <c r="Q68" s="133"/>
      <c r="R68" s="133"/>
      <c r="S68" s="133"/>
      <c r="T68" s="133"/>
      <c r="U68" s="133"/>
      <c r="V68" s="133"/>
      <c r="W68" s="133"/>
      <c r="X68" s="133"/>
      <c r="Y68" s="133"/>
      <c r="Z68" s="133"/>
    </row>
    <row r="69">
      <c r="A69" s="133">
        <f>IFERROR(__xludf.DUMMYFUNCTION("""COMPUTED_VALUE"""),68.0)</f>
        <v>68</v>
      </c>
      <c r="B69" s="133" t="str">
        <f>IFERROR(__xludf.DUMMYFUNCTION("""COMPUTED_VALUE"""),"421795")</f>
        <v>421795</v>
      </c>
      <c r="C69" s="133" t="str">
        <f>IFERROR(__xludf.DUMMYFUNCTION("""COMPUTED_VALUE"""),"P-1-N-010920-2537")</f>
        <v>P-1-N-010920-2537</v>
      </c>
      <c r="D69" s="133"/>
      <c r="E69" s="133" t="str">
        <f>IFERROR(__xludf.DUMMYFUNCTION("""COMPUTED_VALUE"""),"تمت طباعة الشهادة")</f>
        <v>تمت طباعة الشهادة</v>
      </c>
      <c r="F69" s="133" t="str">
        <f>IFERROR(__xludf.DUMMYFUNCTION("""COMPUTED_VALUE"""),"Prestige Parrot 1 KG")</f>
        <v>Prestige Parrot 1 KG</v>
      </c>
      <c r="G69" s="133" t="str">
        <f>IFERROR(__xludf.DUMMYFUNCTION("""COMPUTED_VALUE"""),"برستيج ببغاء 1 كيلو")</f>
        <v>برستيج ببغاء 1 كيلو</v>
      </c>
      <c r="H69" s="133" t="str">
        <f>IFERROR(__xludf.DUMMYFUNCTION("""COMPUTED_VALUE"""),"MAFE20201074")</f>
        <v>MAFE20201074</v>
      </c>
      <c r="I69" s="133"/>
      <c r="J69" s="133"/>
      <c r="K69" s="133" t="str">
        <f>IFERROR(__xludf.DUMMYFUNCTION("""COMPUTED_VALUE"""),"فيرسل لاقا ان في")</f>
        <v>فيرسل لاقا ان في</v>
      </c>
      <c r="L69" s="142" t="str">
        <f>IFERROR(__xludf.DUMMYFUNCTION("""COMPUTED_VALUE"""),"421795")</f>
        <v>421795</v>
      </c>
      <c r="M69" s="133"/>
      <c r="N69" s="133"/>
      <c r="O69" s="133"/>
      <c r="P69" s="133"/>
      <c r="Q69" s="133"/>
      <c r="R69" s="133"/>
      <c r="S69" s="133"/>
      <c r="T69" s="133"/>
      <c r="U69" s="133"/>
      <c r="V69" s="133"/>
      <c r="W69" s="133"/>
      <c r="X69" s="133"/>
      <c r="Y69" s="133"/>
      <c r="Z69" s="133"/>
    </row>
    <row r="70">
      <c r="A70" s="133">
        <f>IFERROR(__xludf.DUMMYFUNCTION("""COMPUTED_VALUE"""),69.0)</f>
        <v>69</v>
      </c>
      <c r="B70" s="133" t="str">
        <f>IFERROR(__xludf.DUMMYFUNCTION("""COMPUTED_VALUE"""),"421796")</f>
        <v>421796</v>
      </c>
      <c r="C70" s="133" t="str">
        <f>IFERROR(__xludf.DUMMYFUNCTION("""COMPUTED_VALUE"""),"P-1-N-010920-2538")</f>
        <v>P-1-N-010920-2538</v>
      </c>
      <c r="D70" s="133"/>
      <c r="E70" s="133" t="str">
        <f>IFERROR(__xludf.DUMMYFUNCTION("""COMPUTED_VALUE"""),"تمت طباعة الشهادة")</f>
        <v>تمت طباعة الشهادة</v>
      </c>
      <c r="F70" s="133" t="str">
        <f>IFERROR(__xludf.DUMMYFUNCTION("""COMPUTED_VALUE"""),"Prestige Parrot 3 KG")</f>
        <v>Prestige Parrot 3 KG</v>
      </c>
      <c r="G70" s="133" t="str">
        <f>IFERROR(__xludf.DUMMYFUNCTION("""COMPUTED_VALUE"""),"برستيج ببغاء 3 كيلو")</f>
        <v>برستيج ببغاء 3 كيلو</v>
      </c>
      <c r="H70" s="133" t="str">
        <f>IFERROR(__xludf.DUMMYFUNCTION("""COMPUTED_VALUE"""),"MAFE20201073")</f>
        <v>MAFE20201073</v>
      </c>
      <c r="I70" s="133"/>
      <c r="J70" s="133"/>
      <c r="K70" s="133" t="str">
        <f>IFERROR(__xludf.DUMMYFUNCTION("""COMPUTED_VALUE"""),"فيرسل لاقا ان في")</f>
        <v>فيرسل لاقا ان في</v>
      </c>
      <c r="L70" s="142" t="str">
        <f>IFERROR(__xludf.DUMMYFUNCTION("""COMPUTED_VALUE"""),"421796")</f>
        <v>421796</v>
      </c>
      <c r="M70" s="133"/>
      <c r="N70" s="133"/>
      <c r="O70" s="133"/>
      <c r="P70" s="133"/>
      <c r="Q70" s="133"/>
      <c r="R70" s="133"/>
      <c r="S70" s="133"/>
      <c r="T70" s="133"/>
      <c r="U70" s="133"/>
      <c r="V70" s="133"/>
      <c r="W70" s="133"/>
      <c r="X70" s="133"/>
      <c r="Y70" s="133"/>
      <c r="Z70" s="133"/>
    </row>
    <row r="71">
      <c r="A71" s="133">
        <f>IFERROR(__xludf.DUMMYFUNCTION("""COMPUTED_VALUE"""),70.0)</f>
        <v>70</v>
      </c>
      <c r="B71" s="133" t="str">
        <f>IFERROR(__xludf.DUMMYFUNCTION("""COMPUTED_VALUE"""),"421880")</f>
        <v>421880</v>
      </c>
      <c r="C71" s="133" t="str">
        <f>IFERROR(__xludf.DUMMYFUNCTION("""COMPUTED_VALUE"""),"P-1-N-010920-2539")</f>
        <v>P-1-N-010920-2539</v>
      </c>
      <c r="D71" s="133"/>
      <c r="E71" s="133" t="str">
        <f>IFERROR(__xludf.DUMMYFUNCTION("""COMPUTED_VALUE"""),"تمت طباعة الشهادة")</f>
        <v>تمت طباعة الشهادة</v>
      </c>
      <c r="F71" s="133" t="str">
        <f>IFERROR(__xludf.DUMMYFUNCTION("""COMPUTED_VALUE"""),"Prestige Big Parakeet 1 KG")</f>
        <v>Prestige Big Parakeet 1 KG</v>
      </c>
      <c r="G71" s="133" t="str">
        <f>IFERROR(__xludf.DUMMYFUNCTION("""COMPUTED_VALUE"""),"برستيج ببغاء كبير (كروان) 1 كيلو")</f>
        <v>برستيج ببغاء كبير (كروان) 1 كيلو</v>
      </c>
      <c r="H71" s="133" t="str">
        <f>IFERROR(__xludf.DUMMYFUNCTION("""COMPUTED_VALUE"""),"MAFE20201072")</f>
        <v>MAFE20201072</v>
      </c>
      <c r="I71" s="133"/>
      <c r="J71" s="133"/>
      <c r="K71" s="133" t="str">
        <f>IFERROR(__xludf.DUMMYFUNCTION("""COMPUTED_VALUE"""),"فيرسل لاقا ان في")</f>
        <v>فيرسل لاقا ان في</v>
      </c>
      <c r="L71" s="142" t="str">
        <f>IFERROR(__xludf.DUMMYFUNCTION("""COMPUTED_VALUE"""),"421880")</f>
        <v>421880</v>
      </c>
      <c r="M71" s="133"/>
      <c r="N71" s="133"/>
      <c r="O71" s="133"/>
      <c r="P71" s="133"/>
      <c r="Q71" s="133"/>
      <c r="R71" s="133"/>
      <c r="S71" s="133"/>
      <c r="T71" s="133"/>
      <c r="U71" s="133"/>
      <c r="V71" s="133"/>
      <c r="W71" s="133"/>
      <c r="X71" s="133"/>
      <c r="Y71" s="133"/>
      <c r="Z71" s="133"/>
    </row>
    <row r="72">
      <c r="A72" s="133">
        <f>IFERROR(__xludf.DUMMYFUNCTION("""COMPUTED_VALUE"""),71.0)</f>
        <v>71</v>
      </c>
      <c r="B72" s="133" t="str">
        <f>IFERROR(__xludf.DUMMYFUNCTION("""COMPUTED_VALUE"""),"421881")</f>
        <v>421881</v>
      </c>
      <c r="C72" s="133" t="str">
        <f>IFERROR(__xludf.DUMMYFUNCTION("""COMPUTED_VALUE"""),"P-1-N-010920-2540")</f>
        <v>P-1-N-010920-2540</v>
      </c>
      <c r="D72" s="133"/>
      <c r="E72" s="133" t="str">
        <f>IFERROR(__xludf.DUMMYFUNCTION("""COMPUTED_VALUE"""),"تمت طباعة الشهادة")</f>
        <v>تمت طباعة الشهادة</v>
      </c>
      <c r="F72" s="133" t="str">
        <f>IFERROR(__xludf.DUMMYFUNCTION("""COMPUTED_VALUE"""),"Prestige Big Parakeet 4 KG")</f>
        <v>Prestige Big Parakeet 4 KG</v>
      </c>
      <c r="G72" s="133" t="str">
        <f>IFERROR(__xludf.DUMMYFUNCTION("""COMPUTED_VALUE"""),"برستيج ببغاء كبير (كروان) 4 كيلو")</f>
        <v>برستيج ببغاء كبير (كروان) 4 كيلو</v>
      </c>
      <c r="H72" s="133" t="str">
        <f>IFERROR(__xludf.DUMMYFUNCTION("""COMPUTED_VALUE"""),"MAFE20201071")</f>
        <v>MAFE20201071</v>
      </c>
      <c r="I72" s="133"/>
      <c r="J72" s="133"/>
      <c r="K72" s="133" t="str">
        <f>IFERROR(__xludf.DUMMYFUNCTION("""COMPUTED_VALUE"""),"فيرسل لاقا ان في")</f>
        <v>فيرسل لاقا ان في</v>
      </c>
      <c r="L72" s="142" t="str">
        <f>IFERROR(__xludf.DUMMYFUNCTION("""COMPUTED_VALUE"""),"421881")</f>
        <v>421881</v>
      </c>
      <c r="M72" s="133"/>
      <c r="N72" s="133"/>
      <c r="O72" s="133"/>
      <c r="P72" s="133"/>
      <c r="Q72" s="133"/>
      <c r="R72" s="133"/>
      <c r="S72" s="133"/>
      <c r="T72" s="133"/>
      <c r="U72" s="133"/>
      <c r="V72" s="133"/>
      <c r="W72" s="133"/>
      <c r="X72" s="133"/>
      <c r="Y72" s="133"/>
      <c r="Z72" s="133"/>
    </row>
    <row r="73">
      <c r="A73" s="133">
        <f>IFERROR(__xludf.DUMMYFUNCTION("""COMPUTED_VALUE"""),72.0)</f>
        <v>72</v>
      </c>
      <c r="B73" s="133" t="str">
        <f>IFERROR(__xludf.DUMMYFUNCTION("""COMPUTED_VALUE"""),"421521")</f>
        <v>421521</v>
      </c>
      <c r="C73" s="133" t="str">
        <f>IFERROR(__xludf.DUMMYFUNCTION("""COMPUTED_VALUE"""),"P-1-N-010920-2541")</f>
        <v>P-1-N-010920-2541</v>
      </c>
      <c r="D73" s="133"/>
      <c r="E73" s="133" t="str">
        <f>IFERROR(__xludf.DUMMYFUNCTION("""COMPUTED_VALUE"""),"تمت طباعة الشهادة")</f>
        <v>تمت طباعة الشهادة</v>
      </c>
      <c r="F73" s="133" t="str">
        <f>IFERROR(__xludf.DUMMYFUNCTION("""COMPUTED_VALUE"""),"Prestige Tropical Finches 4 KG")</f>
        <v>Prestige Tropical Finches 4 KG</v>
      </c>
      <c r="G73" s="133" t="str">
        <f>IFERROR(__xludf.DUMMYFUNCTION("""COMPUTED_VALUE"""),"برستيج عصافير استوائية 4 كيلو")</f>
        <v>برستيج عصافير استوائية 4 كيلو</v>
      </c>
      <c r="H73" s="133" t="str">
        <f>IFERROR(__xludf.DUMMYFUNCTION("""COMPUTED_VALUE"""),"MAFE20201132")</f>
        <v>MAFE20201132</v>
      </c>
      <c r="I73" s="133"/>
      <c r="J73" s="133"/>
      <c r="K73" s="133" t="str">
        <f>IFERROR(__xludf.DUMMYFUNCTION("""COMPUTED_VALUE"""),"فيرسل لاقا ان في")</f>
        <v>فيرسل لاقا ان في</v>
      </c>
      <c r="L73" s="142" t="str">
        <f>IFERROR(__xludf.DUMMYFUNCTION("""COMPUTED_VALUE"""),"421521")</f>
        <v>421521</v>
      </c>
      <c r="M73" s="133"/>
      <c r="N73" s="133"/>
      <c r="O73" s="133"/>
      <c r="P73" s="133"/>
      <c r="Q73" s="133"/>
      <c r="R73" s="133"/>
      <c r="S73" s="133"/>
      <c r="T73" s="133"/>
      <c r="U73" s="133"/>
      <c r="V73" s="133"/>
      <c r="W73" s="133"/>
      <c r="X73" s="133"/>
      <c r="Y73" s="133"/>
      <c r="Z73" s="133"/>
    </row>
    <row r="74">
      <c r="A74" s="133">
        <f>IFERROR(__xludf.DUMMYFUNCTION("""COMPUTED_VALUE"""),73.0)</f>
        <v>73</v>
      </c>
      <c r="B74" s="133" t="str">
        <f>IFERROR(__xludf.DUMMYFUNCTION("""COMPUTED_VALUE"""),"421520")</f>
        <v>421520</v>
      </c>
      <c r="C74" s="133" t="str">
        <f>IFERROR(__xludf.DUMMYFUNCTION("""COMPUTED_VALUE"""),"P-1-N-010920-2542")</f>
        <v>P-1-N-010920-2542</v>
      </c>
      <c r="D74" s="133"/>
      <c r="E74" s="133" t="str">
        <f>IFERROR(__xludf.DUMMYFUNCTION("""COMPUTED_VALUE"""),"تمت طباعة الشهادة")</f>
        <v>تمت طباعة الشهادة</v>
      </c>
      <c r="F74" s="133" t="str">
        <f>IFERROR(__xludf.DUMMYFUNCTION("""COMPUTED_VALUE"""),"Prestige Tropical Finches 1 KG")</f>
        <v>Prestige Tropical Finches 1 KG</v>
      </c>
      <c r="G74" s="133" t="str">
        <f>IFERROR(__xludf.DUMMYFUNCTION("""COMPUTED_VALUE"""),"برستيج عصافير استوائية 1 كيلو")</f>
        <v>برستيج عصافير استوائية 1 كيلو</v>
      </c>
      <c r="H74" s="133" t="str">
        <f>IFERROR(__xludf.DUMMYFUNCTION("""COMPUTED_VALUE"""),"MAFE20201131")</f>
        <v>MAFE20201131</v>
      </c>
      <c r="I74" s="133"/>
      <c r="J74" s="133"/>
      <c r="K74" s="133" t="str">
        <f>IFERROR(__xludf.DUMMYFUNCTION("""COMPUTED_VALUE"""),"فيرسل لاقا ان في")</f>
        <v>فيرسل لاقا ان في</v>
      </c>
      <c r="L74" s="142" t="str">
        <f>IFERROR(__xludf.DUMMYFUNCTION("""COMPUTED_VALUE"""),"421520")</f>
        <v>421520</v>
      </c>
      <c r="M74" s="133"/>
      <c r="N74" s="133"/>
      <c r="O74" s="133"/>
      <c r="P74" s="133"/>
      <c r="Q74" s="133"/>
      <c r="R74" s="133"/>
      <c r="S74" s="133"/>
      <c r="T74" s="133"/>
      <c r="U74" s="133"/>
      <c r="V74" s="133"/>
      <c r="W74" s="133"/>
      <c r="X74" s="133"/>
      <c r="Y74" s="133"/>
      <c r="Z74" s="133"/>
    </row>
    <row r="75">
      <c r="A75" s="133">
        <f>IFERROR(__xludf.DUMMYFUNCTION("""COMPUTED_VALUE"""),74.0)</f>
        <v>74</v>
      </c>
      <c r="B75" s="133" t="str">
        <f>IFERROR(__xludf.DUMMYFUNCTION("""COMPUTED_VALUE"""),"421041")</f>
        <v>421041</v>
      </c>
      <c r="C75" s="133" t="str">
        <f>IFERROR(__xludf.DUMMYFUNCTION("""COMPUTED_VALUE"""),"P-1-N-010920-2544")</f>
        <v>P-1-N-010920-2544</v>
      </c>
      <c r="D75" s="133"/>
      <c r="E75" s="133" t="str">
        <f>IFERROR(__xludf.DUMMYFUNCTION("""COMPUTED_VALUE"""),"تمت طباعة الشهادة")</f>
        <v>تمت طباعة الشهادة</v>
      </c>
      <c r="F75" s="133" t="str">
        <f>IFERROR(__xludf.DUMMYFUNCTION("""COMPUTED_VALUE"""),"Prestige Canary 4 KG")</f>
        <v>Prestige Canary 4 KG</v>
      </c>
      <c r="G75" s="133" t="str">
        <f>IFERROR(__xludf.DUMMYFUNCTION("""COMPUTED_VALUE"""),"برستيج كناري 4 كيلو")</f>
        <v>برستيج كناري 4 كيلو</v>
      </c>
      <c r="H75" s="133" t="str">
        <f>IFERROR(__xludf.DUMMYFUNCTION("""COMPUTED_VALUE"""),"MAFE20201092")</f>
        <v>MAFE20201092</v>
      </c>
      <c r="I75" s="133"/>
      <c r="J75" s="133"/>
      <c r="K75" s="133" t="str">
        <f>IFERROR(__xludf.DUMMYFUNCTION("""COMPUTED_VALUE"""),"فيرسل لاقا ان في")</f>
        <v>فيرسل لاقا ان في</v>
      </c>
      <c r="L75" s="142" t="str">
        <f>IFERROR(__xludf.DUMMYFUNCTION("""COMPUTED_VALUE"""),"421041")</f>
        <v>421041</v>
      </c>
      <c r="M75" s="133"/>
      <c r="N75" s="133"/>
      <c r="O75" s="133"/>
      <c r="P75" s="133"/>
      <c r="Q75" s="133"/>
      <c r="R75" s="133"/>
      <c r="S75" s="133"/>
      <c r="T75" s="133"/>
      <c r="U75" s="133"/>
      <c r="V75" s="133"/>
      <c r="W75" s="133"/>
      <c r="X75" s="133"/>
      <c r="Y75" s="133"/>
      <c r="Z75" s="133"/>
    </row>
    <row r="76">
      <c r="A76" s="133">
        <f>IFERROR(__xludf.DUMMYFUNCTION("""COMPUTED_VALUE"""),75.0)</f>
        <v>75</v>
      </c>
      <c r="B76" s="133" t="str">
        <f>IFERROR(__xludf.DUMMYFUNCTION("""COMPUTED_VALUE"""),"421239")</f>
        <v>421239</v>
      </c>
      <c r="C76" s="133" t="str">
        <f>IFERROR(__xludf.DUMMYFUNCTION("""COMPUTED_VALUE"""),"P-1-N-010920-2546")</f>
        <v>P-1-N-010920-2546</v>
      </c>
      <c r="D76" s="133"/>
      <c r="E76" s="133" t="str">
        <f>IFERROR(__xludf.DUMMYFUNCTION("""COMPUTED_VALUE"""),"تمت طباعة الشهادة")</f>
        <v>تمت طباعة الشهادة</v>
      </c>
      <c r="F76" s="133" t="str">
        <f>IFERROR(__xludf.DUMMYFUNCTION("""COMPUTED_VALUE"""),"Prestige European Finches 1 KG")</f>
        <v>Prestige European Finches 1 KG</v>
      </c>
      <c r="G76" s="133" t="str">
        <f>IFERROR(__xludf.DUMMYFUNCTION("""COMPUTED_VALUE"""),"برستيج عصافير أوروبية 1 كيلو")</f>
        <v>برستيج عصافير أوروبية 1 كيلو</v>
      </c>
      <c r="H76" s="133" t="str">
        <f>IFERROR(__xludf.DUMMYFUNCTION("""COMPUTED_VALUE"""),"MAFE20201070")</f>
        <v>MAFE20201070</v>
      </c>
      <c r="I76" s="133"/>
      <c r="J76" s="133"/>
      <c r="K76" s="133" t="str">
        <f>IFERROR(__xludf.DUMMYFUNCTION("""COMPUTED_VALUE"""),"فيرسل لاقا ان في")</f>
        <v>فيرسل لاقا ان في</v>
      </c>
      <c r="L76" s="142" t="str">
        <f>IFERROR(__xludf.DUMMYFUNCTION("""COMPUTED_VALUE"""),"421239")</f>
        <v>421239</v>
      </c>
      <c r="M76" s="133"/>
      <c r="N76" s="133"/>
      <c r="O76" s="133"/>
      <c r="P76" s="133"/>
      <c r="Q76" s="133"/>
      <c r="R76" s="133"/>
      <c r="S76" s="133"/>
      <c r="T76" s="133"/>
      <c r="U76" s="133"/>
      <c r="V76" s="133"/>
      <c r="W76" s="133"/>
      <c r="X76" s="133"/>
      <c r="Y76" s="133"/>
      <c r="Z76" s="133"/>
    </row>
    <row r="77">
      <c r="A77" s="133">
        <f>IFERROR(__xludf.DUMMYFUNCTION("""COMPUTED_VALUE"""),76.0)</f>
        <v>76</v>
      </c>
      <c r="B77" s="133" t="str">
        <f>IFERROR(__xludf.DUMMYFUNCTION("""COMPUTED_VALUE"""),"170541")</f>
        <v>170541</v>
      </c>
      <c r="C77" s="133" t="str">
        <f>IFERROR(__xludf.DUMMYFUNCTION("""COMPUTED_VALUE"""),"P-1-N-020920-2561")</f>
        <v>P-1-N-020920-2561</v>
      </c>
      <c r="D77" s="133"/>
      <c r="E77" s="133" t="str">
        <f>IFERROR(__xludf.DUMMYFUNCTION("""COMPUTED_VALUE"""),"تمت طباعة الشهادة")</f>
        <v>تمت طباعة الشهادة</v>
      </c>
      <c r="F77" s="133" t="str">
        <f>IFERROR(__xludf.DUMMYFUNCTION("""COMPUTED_VALUE"""),"Profine Adult Chicken &amp; Potatoes 15 KG")</f>
        <v>Profine Adult Chicken &amp; Potatoes 15 KG</v>
      </c>
      <c r="G77" s="133" t="str">
        <f>IFERROR(__xludf.DUMMYFUNCTION("""COMPUTED_VALUE"""),"بروفاين من الدجاج و البطاطس للكلاب البالغة 15 كيلو")</f>
        <v>بروفاين من الدجاج و البطاطس للكلاب البالغة 15 كيلو</v>
      </c>
      <c r="H77" s="133" t="str">
        <f>IFERROR(__xludf.DUMMYFUNCTION("""COMPUTED_VALUE"""),"MAFE20201091")</f>
        <v>MAFE20201091</v>
      </c>
      <c r="I77" s="133"/>
      <c r="J77" s="133"/>
      <c r="K77" s="133" t="str">
        <f>IFERROR(__xludf.DUMMYFUNCTION("""COMPUTED_VALUE"""),"فافو براها اس ار او")</f>
        <v>فافو براها اس ار او</v>
      </c>
      <c r="L77" s="142" t="str">
        <f>IFERROR(__xludf.DUMMYFUNCTION("""COMPUTED_VALUE"""),"170541")</f>
        <v>170541</v>
      </c>
      <c r="M77" s="133"/>
      <c r="N77" s="133"/>
      <c r="O77" s="133"/>
      <c r="P77" s="133"/>
      <c r="Q77" s="133"/>
      <c r="R77" s="133"/>
      <c r="S77" s="133"/>
      <c r="T77" s="133"/>
      <c r="U77" s="133"/>
      <c r="V77" s="133"/>
      <c r="W77" s="133"/>
      <c r="X77" s="133"/>
      <c r="Y77" s="133"/>
      <c r="Z77" s="133"/>
    </row>
    <row r="78">
      <c r="A78" s="133">
        <f>IFERROR(__xludf.DUMMYFUNCTION("""COMPUTED_VALUE"""),77.0)</f>
        <v>77</v>
      </c>
      <c r="B78" s="133" t="str">
        <f>IFERROR(__xludf.DUMMYFUNCTION("""COMPUTED_VALUE"""),"170543")</f>
        <v>170543</v>
      </c>
      <c r="C78" s="133" t="str">
        <f>IFERROR(__xludf.DUMMYFUNCTION("""COMPUTED_VALUE"""),"P-1-N-020920-2562")</f>
        <v>P-1-N-020920-2562</v>
      </c>
      <c r="D78" s="133"/>
      <c r="E78" s="133" t="str">
        <f>IFERROR(__xludf.DUMMYFUNCTION("""COMPUTED_VALUE"""),"تمت طباعة الشهادة")</f>
        <v>تمت طباعة الشهادة</v>
      </c>
      <c r="F78" s="133" t="str">
        <f>IFERROR(__xludf.DUMMYFUNCTION("""COMPUTED_VALUE"""),"Profine Energy Chicken &amp; Potatoes 15 KG")</f>
        <v>Profine Energy Chicken &amp; Potatoes 15 KG</v>
      </c>
      <c r="G78" s="133" t="str">
        <f>IFERROR(__xludf.DUMMYFUNCTION("""COMPUTED_VALUE"""),"بروفاين الطاقة الدجاج و البطاطس 15 كيلو")</f>
        <v>بروفاين الطاقة الدجاج و البطاطس 15 كيلو</v>
      </c>
      <c r="H78" s="133" t="str">
        <f>IFERROR(__xludf.DUMMYFUNCTION("""COMPUTED_VALUE"""),"MAFE20201090")</f>
        <v>MAFE20201090</v>
      </c>
      <c r="I78" s="133"/>
      <c r="J78" s="133"/>
      <c r="K78" s="133" t="str">
        <f>IFERROR(__xludf.DUMMYFUNCTION("""COMPUTED_VALUE"""),"فافو براها اس ار او")</f>
        <v>فافو براها اس ار او</v>
      </c>
      <c r="L78" s="142" t="str">
        <f>IFERROR(__xludf.DUMMYFUNCTION("""COMPUTED_VALUE"""),"170543")</f>
        <v>170543</v>
      </c>
      <c r="M78" s="133"/>
      <c r="N78" s="133"/>
      <c r="O78" s="133"/>
      <c r="P78" s="133"/>
      <c r="Q78" s="133"/>
      <c r="R78" s="133"/>
      <c r="S78" s="133"/>
      <c r="T78" s="133"/>
      <c r="U78" s="133"/>
      <c r="V78" s="133"/>
      <c r="W78" s="133"/>
      <c r="X78" s="133"/>
      <c r="Y78" s="133"/>
      <c r="Z78" s="133"/>
    </row>
    <row r="79">
      <c r="A79" s="133">
        <f>IFERROR(__xludf.DUMMYFUNCTION("""COMPUTED_VALUE"""),78.0)</f>
        <v>78</v>
      </c>
      <c r="B79" s="133" t="str">
        <f>IFERROR(__xludf.DUMMYFUNCTION("""COMPUTED_VALUE"""),"170549")</f>
        <v>170549</v>
      </c>
      <c r="C79" s="133" t="str">
        <f>IFERROR(__xludf.DUMMYFUNCTION("""COMPUTED_VALUE"""),"P-1-N-020920-2563")</f>
        <v>P-1-N-020920-2563</v>
      </c>
      <c r="D79" s="133"/>
      <c r="E79" s="133" t="str">
        <f>IFERROR(__xludf.DUMMYFUNCTION("""COMPUTED_VALUE"""),"تمت طباعة الشهادة")</f>
        <v>تمت طباعة الشهادة</v>
      </c>
      <c r="F79" s="133" t="str">
        <f>IFERROR(__xludf.DUMMYFUNCTION("""COMPUTED_VALUE"""),"Profine Adult Lamb &amp; Potatoes 15 KG")</f>
        <v>Profine Adult Lamb &amp; Potatoes 15 KG</v>
      </c>
      <c r="G79" s="133" t="str">
        <f>IFERROR(__xludf.DUMMYFUNCTION("""COMPUTED_VALUE"""),"بروفاين لحم الضأن و البطاطس للكلاب البالغة 15 كيلو")</f>
        <v>بروفاين لحم الضأن و البطاطس للكلاب البالغة 15 كيلو</v>
      </c>
      <c r="H79" s="133" t="str">
        <f>IFERROR(__xludf.DUMMYFUNCTION("""COMPUTED_VALUE"""),"MAFE20201089")</f>
        <v>MAFE20201089</v>
      </c>
      <c r="I79" s="133"/>
      <c r="J79" s="133"/>
      <c r="K79" s="133" t="str">
        <f>IFERROR(__xludf.DUMMYFUNCTION("""COMPUTED_VALUE"""),"فافو براها اس ار او")</f>
        <v>فافو براها اس ار او</v>
      </c>
      <c r="L79" s="142" t="str">
        <f>IFERROR(__xludf.DUMMYFUNCTION("""COMPUTED_VALUE"""),"170549")</f>
        <v>170549</v>
      </c>
      <c r="M79" s="133"/>
      <c r="N79" s="133"/>
      <c r="O79" s="133"/>
      <c r="P79" s="133"/>
      <c r="Q79" s="133"/>
      <c r="R79" s="133"/>
      <c r="S79" s="133"/>
      <c r="T79" s="133"/>
      <c r="U79" s="133"/>
      <c r="V79" s="133"/>
      <c r="W79" s="133"/>
      <c r="X79" s="133"/>
      <c r="Y79" s="133"/>
      <c r="Z79" s="133"/>
    </row>
    <row r="80">
      <c r="A80" s="133">
        <f>IFERROR(__xludf.DUMMYFUNCTION("""COMPUTED_VALUE"""),79.0)</f>
        <v>79</v>
      </c>
      <c r="B80" s="133" t="str">
        <f>IFERROR(__xludf.DUMMYFUNCTION("""COMPUTED_VALUE"""),"170532")</f>
        <v>170532</v>
      </c>
      <c r="C80" s="133" t="str">
        <f>IFERROR(__xludf.DUMMYFUNCTION("""COMPUTED_VALUE"""),"P-1-N-020920-2564")</f>
        <v>P-1-N-020920-2564</v>
      </c>
      <c r="D80" s="133"/>
      <c r="E80" s="133" t="str">
        <f>IFERROR(__xludf.DUMMYFUNCTION("""COMPUTED_VALUE"""),"تمت طباعة الشهادة")</f>
        <v>تمت طباعة الشهادة</v>
      </c>
      <c r="F80" s="133" t="str">
        <f>IFERROR(__xludf.DUMMYFUNCTION("""COMPUTED_VALUE"""),"Profine Puppy Chicken &amp; Potatoes 15 KG")</f>
        <v>Profine Puppy Chicken &amp; Potatoes 15 KG</v>
      </c>
      <c r="G80" s="133" t="str">
        <f>IFERROR(__xludf.DUMMYFUNCTION("""COMPUTED_VALUE"""),"بروفاين الدجاج و البطاطس للكلاب الصغيرة 15 كيلو")</f>
        <v>بروفاين الدجاج و البطاطس للكلاب الصغيرة 15 كيلو</v>
      </c>
      <c r="H80" s="133" t="str">
        <f>IFERROR(__xludf.DUMMYFUNCTION("""COMPUTED_VALUE"""),"MAFE20201095")</f>
        <v>MAFE20201095</v>
      </c>
      <c r="I80" s="133"/>
      <c r="J80" s="133"/>
      <c r="K80" s="133" t="str">
        <f>IFERROR(__xludf.DUMMYFUNCTION("""COMPUTED_VALUE"""),"فافو براها اس ار او")</f>
        <v>فافو براها اس ار او</v>
      </c>
      <c r="L80" s="142" t="str">
        <f>IFERROR(__xludf.DUMMYFUNCTION("""COMPUTED_VALUE"""),"170532")</f>
        <v>170532</v>
      </c>
      <c r="M80" s="133"/>
      <c r="N80" s="133"/>
      <c r="O80" s="133"/>
      <c r="P80" s="133"/>
      <c r="Q80" s="133"/>
      <c r="R80" s="133"/>
      <c r="S80" s="133"/>
      <c r="T80" s="133"/>
      <c r="U80" s="133"/>
      <c r="V80" s="133"/>
      <c r="W80" s="133"/>
      <c r="X80" s="133"/>
      <c r="Y80" s="133"/>
      <c r="Z80" s="133"/>
    </row>
    <row r="81">
      <c r="A81" s="133">
        <f>IFERROR(__xludf.DUMMYFUNCTION("""COMPUTED_VALUE"""),80.0)</f>
        <v>80</v>
      </c>
      <c r="B81" s="133" t="str">
        <f>IFERROR(__xludf.DUMMYFUNCTION("""COMPUTED_VALUE"""),"170547")</f>
        <v>170547</v>
      </c>
      <c r="C81" s="133" t="str">
        <f>IFERROR(__xludf.DUMMYFUNCTION("""COMPUTED_VALUE"""),"P-1-N-020920-2565")</f>
        <v>P-1-N-020920-2565</v>
      </c>
      <c r="D81" s="133"/>
      <c r="E81" s="133" t="str">
        <f>IFERROR(__xludf.DUMMYFUNCTION("""COMPUTED_VALUE"""),"تمت طباعة الشهادة")</f>
        <v>تمت طباعة الشهادة</v>
      </c>
      <c r="F81" s="133" t="str">
        <f>IFERROR(__xludf.DUMMYFUNCTION("""COMPUTED_VALUE"""),"Profine Puppy Lamb &amp; Potatoes 15 Kg")</f>
        <v>Profine Puppy Lamb &amp; Potatoes 15 Kg</v>
      </c>
      <c r="G81" s="133" t="str">
        <f>IFERROR(__xludf.DUMMYFUNCTION("""COMPUTED_VALUE"""),"بروفاين لحم الضأن و البطاطس للكلاب الصغيرة 15 كيلو")</f>
        <v>بروفاين لحم الضأن و البطاطس للكلاب الصغيرة 15 كيلو</v>
      </c>
      <c r="H81" s="133" t="str">
        <f>IFERROR(__xludf.DUMMYFUNCTION("""COMPUTED_VALUE"""),"MAFE20201130")</f>
        <v>MAFE20201130</v>
      </c>
      <c r="I81" s="133"/>
      <c r="J81" s="133"/>
      <c r="K81" s="133" t="str">
        <f>IFERROR(__xludf.DUMMYFUNCTION("""COMPUTED_VALUE"""),"فافو براها اس ار او")</f>
        <v>فافو براها اس ار او</v>
      </c>
      <c r="L81" s="142" t="str">
        <f>IFERROR(__xludf.DUMMYFUNCTION("""COMPUTED_VALUE"""),"170547")</f>
        <v>170547</v>
      </c>
      <c r="M81" s="133"/>
      <c r="N81" s="133"/>
      <c r="O81" s="133"/>
      <c r="P81" s="133"/>
      <c r="Q81" s="133"/>
      <c r="R81" s="133"/>
      <c r="S81" s="133"/>
      <c r="T81" s="133"/>
      <c r="U81" s="133"/>
      <c r="V81" s="133"/>
      <c r="W81" s="133"/>
      <c r="X81" s="133"/>
      <c r="Y81" s="133"/>
      <c r="Z81" s="133"/>
    </row>
    <row r="82">
      <c r="A82" s="133">
        <f>IFERROR(__xludf.DUMMYFUNCTION("""COMPUTED_VALUE"""),81.0)</f>
        <v>81</v>
      </c>
      <c r="B82" s="133" t="str">
        <f>IFERROR(__xludf.DUMMYFUNCTION("""COMPUTED_VALUE"""),"170561")</f>
        <v>170561</v>
      </c>
      <c r="C82" s="133" t="str">
        <f>IFERROR(__xludf.DUMMYFUNCTION("""COMPUTED_VALUE"""),"P-1-N-020920-2566")</f>
        <v>P-1-N-020920-2566</v>
      </c>
      <c r="D82" s="133"/>
      <c r="E82" s="133" t="str">
        <f>IFERROR(__xludf.DUMMYFUNCTION("""COMPUTED_VALUE"""),"تمت طباعة الشهادة")</f>
        <v>تمت طباعة الشهادة</v>
      </c>
      <c r="F82" s="133" t="str">
        <f>IFERROR(__xludf.DUMMYFUNCTION("""COMPUTED_VALUE"""),"Profine Kitten 10 KG")</f>
        <v>Profine Kitten 10 KG</v>
      </c>
      <c r="G82" s="133" t="str">
        <f>IFERROR(__xludf.DUMMYFUNCTION("""COMPUTED_VALUE"""),"بروفاين للقطط الصغيرة 10 كيلو")</f>
        <v>بروفاين للقطط الصغيرة 10 كيلو</v>
      </c>
      <c r="H82" s="133" t="str">
        <f>IFERROR(__xludf.DUMMYFUNCTION("""COMPUTED_VALUE"""),"MAFE20201100")</f>
        <v>MAFE20201100</v>
      </c>
      <c r="I82" s="133"/>
      <c r="J82" s="133"/>
      <c r="K82" s="133" t="str">
        <f>IFERROR(__xludf.DUMMYFUNCTION("""COMPUTED_VALUE"""),"فافو براها اس ار او")</f>
        <v>فافو براها اس ار او</v>
      </c>
      <c r="L82" s="142" t="str">
        <f>IFERROR(__xludf.DUMMYFUNCTION("""COMPUTED_VALUE"""),"170561")</f>
        <v>170561</v>
      </c>
      <c r="M82" s="133"/>
      <c r="N82" s="133"/>
      <c r="O82" s="133"/>
      <c r="P82" s="133"/>
      <c r="Q82" s="133"/>
      <c r="R82" s="133"/>
      <c r="S82" s="133"/>
      <c r="T82" s="133"/>
      <c r="U82" s="133"/>
      <c r="V82" s="133"/>
      <c r="W82" s="133"/>
      <c r="X82" s="133"/>
      <c r="Y82" s="133"/>
      <c r="Z82" s="133"/>
    </row>
    <row r="83">
      <c r="A83" s="133">
        <f>IFERROR(__xludf.DUMMYFUNCTION("""COMPUTED_VALUE"""),82.0)</f>
        <v>82</v>
      </c>
      <c r="B83" s="133" t="str">
        <f>IFERROR(__xludf.DUMMYFUNCTION("""COMPUTED_VALUE"""),"170560")</f>
        <v>170560</v>
      </c>
      <c r="C83" s="133" t="str">
        <f>IFERROR(__xludf.DUMMYFUNCTION("""COMPUTED_VALUE"""),"P-1-N-020920-2567")</f>
        <v>P-1-N-020920-2567</v>
      </c>
      <c r="D83" s="133"/>
      <c r="E83" s="133" t="str">
        <f>IFERROR(__xludf.DUMMYFUNCTION("""COMPUTED_VALUE"""),"تمت طباعة الشهادة")</f>
        <v>تمت طباعة الشهادة</v>
      </c>
      <c r="F83" s="133" t="str">
        <f>IFERROR(__xludf.DUMMYFUNCTION("""COMPUTED_VALUE"""),"Profine kitten 2 KG")</f>
        <v>Profine kitten 2 KG</v>
      </c>
      <c r="G83" s="133" t="str">
        <f>IFERROR(__xludf.DUMMYFUNCTION("""COMPUTED_VALUE"""),"بروفاين للقطط الصغيرة 2 كيلو")</f>
        <v>بروفاين للقطط الصغيرة 2 كيلو</v>
      </c>
      <c r="H83" s="133" t="str">
        <f>IFERROR(__xludf.DUMMYFUNCTION("""COMPUTED_VALUE"""),"MAFE20201099")</f>
        <v>MAFE20201099</v>
      </c>
      <c r="I83" s="133"/>
      <c r="J83" s="133"/>
      <c r="K83" s="133" t="str">
        <f>IFERROR(__xludf.DUMMYFUNCTION("""COMPUTED_VALUE"""),"فافو براها اس ار او")</f>
        <v>فافو براها اس ار او</v>
      </c>
      <c r="L83" s="142" t="str">
        <f>IFERROR(__xludf.DUMMYFUNCTION("""COMPUTED_VALUE"""),"170560")</f>
        <v>170560</v>
      </c>
      <c r="M83" s="133"/>
      <c r="N83" s="133"/>
      <c r="O83" s="133"/>
      <c r="P83" s="133"/>
      <c r="Q83" s="133"/>
      <c r="R83" s="133"/>
      <c r="S83" s="133"/>
      <c r="T83" s="133"/>
      <c r="U83" s="133"/>
      <c r="V83" s="133"/>
      <c r="W83" s="133"/>
      <c r="X83" s="133"/>
      <c r="Y83" s="133"/>
      <c r="Z83" s="133"/>
    </row>
    <row r="84">
      <c r="A84" s="133">
        <f>IFERROR(__xludf.DUMMYFUNCTION("""COMPUTED_VALUE"""),83.0)</f>
        <v>83</v>
      </c>
      <c r="B84" s="133" t="str">
        <f>IFERROR(__xludf.DUMMYFUNCTION("""COMPUTED_VALUE"""),"170559")</f>
        <v>170559</v>
      </c>
      <c r="C84" s="133" t="str">
        <f>IFERROR(__xludf.DUMMYFUNCTION("""COMPUTED_VALUE"""),"P-1-N-020920-2568")</f>
        <v>P-1-N-020920-2568</v>
      </c>
      <c r="D84" s="133"/>
      <c r="E84" s="133" t="str">
        <f>IFERROR(__xludf.DUMMYFUNCTION("""COMPUTED_VALUE"""),"تمت طباعة الشهادة")</f>
        <v>تمت طباعة الشهادة</v>
      </c>
      <c r="F84" s="133" t="str">
        <f>IFERROR(__xludf.DUMMYFUNCTION("""COMPUTED_VALUE"""),"Profine Kitten 300 g")</f>
        <v>Profine Kitten 300 g</v>
      </c>
      <c r="G84" s="133" t="str">
        <f>IFERROR(__xludf.DUMMYFUNCTION("""COMPUTED_VALUE"""),"بروفاين للقطط الصغيرة 300 جرام")</f>
        <v>بروفاين للقطط الصغيرة 300 جرام</v>
      </c>
      <c r="H84" s="133" t="str">
        <f>IFERROR(__xludf.DUMMYFUNCTION("""COMPUTED_VALUE"""),"MAFE20201098")</f>
        <v>MAFE20201098</v>
      </c>
      <c r="I84" s="133"/>
      <c r="J84" s="133"/>
      <c r="K84" s="133" t="str">
        <f>IFERROR(__xludf.DUMMYFUNCTION("""COMPUTED_VALUE"""),"فافو براها اس ار او")</f>
        <v>فافو براها اس ار او</v>
      </c>
      <c r="L84" s="142" t="str">
        <f>IFERROR(__xludf.DUMMYFUNCTION("""COMPUTED_VALUE"""),"170559")</f>
        <v>170559</v>
      </c>
      <c r="M84" s="133"/>
      <c r="N84" s="133"/>
      <c r="O84" s="133"/>
      <c r="P84" s="133"/>
      <c r="Q84" s="133"/>
      <c r="R84" s="133"/>
      <c r="S84" s="133"/>
      <c r="T84" s="133"/>
      <c r="U84" s="133"/>
      <c r="V84" s="133"/>
      <c r="W84" s="133"/>
      <c r="X84" s="133"/>
      <c r="Y84" s="133"/>
      <c r="Z84" s="133"/>
    </row>
    <row r="85">
      <c r="A85" s="133">
        <f>IFERROR(__xludf.DUMMYFUNCTION("""COMPUTED_VALUE"""),84.0)</f>
        <v>84</v>
      </c>
      <c r="B85" s="133" t="str">
        <f>IFERROR(__xludf.DUMMYFUNCTION("""COMPUTED_VALUE"""),"170563")</f>
        <v>170563</v>
      </c>
      <c r="C85" s="133" t="str">
        <f>IFERROR(__xludf.DUMMYFUNCTION("""COMPUTED_VALUE"""),"P-1-N-020920-2570")</f>
        <v>P-1-N-020920-2570</v>
      </c>
      <c r="D85" s="133"/>
      <c r="E85" s="133" t="str">
        <f>IFERROR(__xludf.DUMMYFUNCTION("""COMPUTED_VALUE"""),"تمت طباعة الشهادة")</f>
        <v>تمت طباعة الشهادة</v>
      </c>
      <c r="F85" s="133" t="str">
        <f>IFERROR(__xludf.DUMMYFUNCTION("""COMPUTED_VALUE"""),"Profine Cat Sterilised 2 KG")</f>
        <v>Profine Cat Sterilised 2 KG</v>
      </c>
      <c r="G85" s="133" t="str">
        <f>IFERROR(__xludf.DUMMYFUNCTION("""COMPUTED_VALUE"""),"بروفاين للقطط المعقمة 2 كيلو")</f>
        <v>بروفاين للقطط المعقمة 2 كيلو</v>
      </c>
      <c r="H85" s="133" t="str">
        <f>IFERROR(__xludf.DUMMYFUNCTION("""COMPUTED_VALUE"""),"MAFE20201124")</f>
        <v>MAFE20201124</v>
      </c>
      <c r="I85" s="133"/>
      <c r="J85" s="133"/>
      <c r="K85" s="133" t="str">
        <f>IFERROR(__xludf.DUMMYFUNCTION("""COMPUTED_VALUE"""),"فافو براها اس ار او")</f>
        <v>فافو براها اس ار او</v>
      </c>
      <c r="L85" s="142" t="str">
        <f>IFERROR(__xludf.DUMMYFUNCTION("""COMPUTED_VALUE"""),"170563")</f>
        <v>170563</v>
      </c>
      <c r="M85" s="133"/>
      <c r="N85" s="133"/>
      <c r="O85" s="133"/>
      <c r="P85" s="133"/>
      <c r="Q85" s="133"/>
      <c r="R85" s="133"/>
      <c r="S85" s="133"/>
      <c r="T85" s="133"/>
      <c r="U85" s="133"/>
      <c r="V85" s="133"/>
      <c r="W85" s="133"/>
      <c r="X85" s="133"/>
      <c r="Y85" s="133"/>
      <c r="Z85" s="133"/>
    </row>
    <row r="86">
      <c r="A86" s="133">
        <f>IFERROR(__xludf.DUMMYFUNCTION("""COMPUTED_VALUE"""),85.0)</f>
        <v>85</v>
      </c>
      <c r="B86" s="133" t="str">
        <f>IFERROR(__xludf.DUMMYFUNCTION("""COMPUTED_VALUE"""),"170564")</f>
        <v>170564</v>
      </c>
      <c r="C86" s="133" t="str">
        <f>IFERROR(__xludf.DUMMYFUNCTION("""COMPUTED_VALUE"""),"P-1-N-020920-2571")</f>
        <v>P-1-N-020920-2571</v>
      </c>
      <c r="D86" s="133"/>
      <c r="E86" s="133" t="str">
        <f>IFERROR(__xludf.DUMMYFUNCTION("""COMPUTED_VALUE"""),"تمت طباعة الشهادة")</f>
        <v>تمت طباعة الشهادة</v>
      </c>
      <c r="F86" s="133" t="str">
        <f>IFERROR(__xludf.DUMMYFUNCTION("""COMPUTED_VALUE"""),"Profine Cat Sterilised 10 KG")</f>
        <v>Profine Cat Sterilised 10 KG</v>
      </c>
      <c r="G86" s="133" t="str">
        <f>IFERROR(__xludf.DUMMYFUNCTION("""COMPUTED_VALUE"""),"بروفاين للقطط المعقمة 10 كيلو")</f>
        <v>بروفاين للقطط المعقمة 10 كيلو</v>
      </c>
      <c r="H86" s="133" t="str">
        <f>IFERROR(__xludf.DUMMYFUNCTION("""COMPUTED_VALUE"""),"MAFE20201097")</f>
        <v>MAFE20201097</v>
      </c>
      <c r="I86" s="133"/>
      <c r="J86" s="133"/>
      <c r="K86" s="133" t="str">
        <f>IFERROR(__xludf.DUMMYFUNCTION("""COMPUTED_VALUE"""),"فافو براها اس ار او")</f>
        <v>فافو براها اس ار او</v>
      </c>
      <c r="L86" s="142" t="str">
        <f>IFERROR(__xludf.DUMMYFUNCTION("""COMPUTED_VALUE"""),"170564")</f>
        <v>170564</v>
      </c>
      <c r="M86" s="133"/>
      <c r="N86" s="133"/>
      <c r="O86" s="133"/>
      <c r="P86" s="133"/>
      <c r="Q86" s="133"/>
      <c r="R86" s="133"/>
      <c r="S86" s="133"/>
      <c r="T86" s="133"/>
      <c r="U86" s="133"/>
      <c r="V86" s="133"/>
      <c r="W86" s="133"/>
      <c r="X86" s="133"/>
      <c r="Y86" s="133"/>
      <c r="Z86" s="133"/>
    </row>
    <row r="87">
      <c r="A87" s="133">
        <f>IFERROR(__xludf.DUMMYFUNCTION("""COMPUTED_VALUE"""),86.0)</f>
        <v>86</v>
      </c>
      <c r="B87" s="133" t="str">
        <f>IFERROR(__xludf.DUMMYFUNCTION("""COMPUTED_VALUE"""),"170562")</f>
        <v>170562</v>
      </c>
      <c r="C87" s="133" t="str">
        <f>IFERROR(__xludf.DUMMYFUNCTION("""COMPUTED_VALUE"""),"P-1-N-020920-2572")</f>
        <v>P-1-N-020920-2572</v>
      </c>
      <c r="D87" s="133"/>
      <c r="E87" s="133" t="str">
        <f>IFERROR(__xludf.DUMMYFUNCTION("""COMPUTED_VALUE"""),"تمت طباعة الشهادة")</f>
        <v>تمت طباعة الشهادة</v>
      </c>
      <c r="F87" s="133" t="str">
        <f>IFERROR(__xludf.DUMMYFUNCTION("""COMPUTED_VALUE"""),"Profine Sterilised 300 g")</f>
        <v>Profine Sterilised 300 g</v>
      </c>
      <c r="G87" s="133" t="str">
        <f>IFERROR(__xludf.DUMMYFUNCTION("""COMPUTED_VALUE"""),"بروفاين للقطط المعقمة 300 جرام")</f>
        <v>بروفاين للقطط المعقمة 300 جرام</v>
      </c>
      <c r="H87" s="133" t="str">
        <f>IFERROR(__xludf.DUMMYFUNCTION("""COMPUTED_VALUE"""),"MAFE20201129")</f>
        <v>MAFE20201129</v>
      </c>
      <c r="I87" s="133"/>
      <c r="J87" s="133"/>
      <c r="K87" s="133" t="str">
        <f>IFERROR(__xludf.DUMMYFUNCTION("""COMPUTED_VALUE"""),"فافو براها اس ار او")</f>
        <v>فافو براها اس ار او</v>
      </c>
      <c r="L87" s="142" t="str">
        <f>IFERROR(__xludf.DUMMYFUNCTION("""COMPUTED_VALUE"""),"170562")</f>
        <v>170562</v>
      </c>
      <c r="M87" s="133"/>
      <c r="N87" s="133"/>
      <c r="O87" s="133"/>
      <c r="P87" s="133"/>
      <c r="Q87" s="133"/>
      <c r="R87" s="133"/>
      <c r="S87" s="133"/>
      <c r="T87" s="133"/>
      <c r="U87" s="133"/>
      <c r="V87" s="133"/>
      <c r="W87" s="133"/>
      <c r="X87" s="133"/>
      <c r="Y87" s="133"/>
      <c r="Z87" s="133"/>
    </row>
    <row r="88">
      <c r="A88" s="133">
        <f>IFERROR(__xludf.DUMMYFUNCTION("""COMPUTED_VALUE"""),87.0)</f>
        <v>87</v>
      </c>
      <c r="B88" s="133" t="str">
        <f>IFERROR(__xludf.DUMMYFUNCTION("""COMPUTED_VALUE"""),"170572")</f>
        <v>170572</v>
      </c>
      <c r="C88" s="133" t="str">
        <f>IFERROR(__xludf.DUMMYFUNCTION("""COMPUTED_VALUE"""),"P-1-N-020920-2573")</f>
        <v>P-1-N-020920-2573</v>
      </c>
      <c r="D88" s="133"/>
      <c r="E88" s="133" t="str">
        <f>IFERROR(__xludf.DUMMYFUNCTION("""COMPUTED_VALUE"""),"تمت طباعة الشهادة")</f>
        <v>تمت طباعة الشهادة</v>
      </c>
      <c r="F88" s="133" t="str">
        <f>IFERROR(__xludf.DUMMYFUNCTION("""COMPUTED_VALUE"""),"Profine Cat Derma Adult Salmon 2 KG")</f>
        <v>Profine Cat Derma Adult Salmon 2 KG</v>
      </c>
      <c r="G88" s="133" t="str">
        <f>IFERROR(__xludf.DUMMYFUNCTION("""COMPUTED_VALUE"""),"بروفاين دريما للقطط البالغة بالسلمون 2 كيلو")</f>
        <v>بروفاين دريما للقطط البالغة بالسلمون 2 كيلو</v>
      </c>
      <c r="H88" s="133" t="str">
        <f>IFERROR(__xludf.DUMMYFUNCTION("""COMPUTED_VALUE"""),"MAFE20201128")</f>
        <v>MAFE20201128</v>
      </c>
      <c r="I88" s="133"/>
      <c r="J88" s="133"/>
      <c r="K88" s="133" t="str">
        <f>IFERROR(__xludf.DUMMYFUNCTION("""COMPUTED_VALUE"""),"فافو براها اس ار او")</f>
        <v>فافو براها اس ار او</v>
      </c>
      <c r="L88" s="142" t="str">
        <f>IFERROR(__xludf.DUMMYFUNCTION("""COMPUTED_VALUE"""),"170572")</f>
        <v>170572</v>
      </c>
      <c r="M88" s="133"/>
      <c r="N88" s="133"/>
      <c r="O88" s="133"/>
      <c r="P88" s="133"/>
      <c r="Q88" s="133"/>
      <c r="R88" s="133"/>
      <c r="S88" s="133"/>
      <c r="T88" s="133"/>
      <c r="U88" s="133"/>
      <c r="V88" s="133"/>
      <c r="W88" s="133"/>
      <c r="X88" s="133"/>
      <c r="Y88" s="133"/>
      <c r="Z88" s="133"/>
    </row>
    <row r="89">
      <c r="A89" s="133">
        <f>IFERROR(__xludf.DUMMYFUNCTION("""COMPUTED_VALUE"""),88.0)</f>
        <v>88</v>
      </c>
      <c r="B89" s="133" t="str">
        <f>IFERROR(__xludf.DUMMYFUNCTION("""COMPUTED_VALUE"""),"170572")</f>
        <v>170572</v>
      </c>
      <c r="C89" s="133" t="str">
        <f>IFERROR(__xludf.DUMMYFUNCTION("""COMPUTED_VALUE"""),"P-1-N-020920-2574")</f>
        <v>P-1-N-020920-2574</v>
      </c>
      <c r="D89" s="133"/>
      <c r="E89" s="133" t="str">
        <f>IFERROR(__xludf.DUMMYFUNCTION("""COMPUTED_VALUE"""),"تمت طباعة الشهادة")</f>
        <v>تمت طباعة الشهادة</v>
      </c>
      <c r="F89" s="133" t="str">
        <f>IFERROR(__xludf.DUMMYFUNCTION("""COMPUTED_VALUE"""),"Profine Cat Derma Adult Salmon 2 KG")</f>
        <v>Profine Cat Derma Adult Salmon 2 KG</v>
      </c>
      <c r="G89" s="133" t="str">
        <f>IFERROR(__xludf.DUMMYFUNCTION("""COMPUTED_VALUE"""),"بروفاين ديرما للقطط البالغة بالسلمون 2 كيلو")</f>
        <v>بروفاين ديرما للقطط البالغة بالسلمون 2 كيلو</v>
      </c>
      <c r="H89" s="133" t="str">
        <f>IFERROR(__xludf.DUMMYFUNCTION("""COMPUTED_VALUE"""),"MAFE20201127")</f>
        <v>MAFE20201127</v>
      </c>
      <c r="I89" s="133"/>
      <c r="J89" s="133"/>
      <c r="K89" s="133" t="str">
        <f>IFERROR(__xludf.DUMMYFUNCTION("""COMPUTED_VALUE"""),"فافو براها اس ار او")</f>
        <v>فافو براها اس ار او</v>
      </c>
      <c r="L89" s="142" t="str">
        <f>IFERROR(__xludf.DUMMYFUNCTION("""COMPUTED_VALUE"""),"170572")</f>
        <v>170572</v>
      </c>
      <c r="M89" s="133"/>
      <c r="N89" s="133"/>
      <c r="O89" s="133"/>
      <c r="P89" s="133"/>
      <c r="Q89" s="133"/>
      <c r="R89" s="133"/>
      <c r="S89" s="133"/>
      <c r="T89" s="133"/>
      <c r="U89" s="133"/>
      <c r="V89" s="133"/>
      <c r="W89" s="133"/>
      <c r="X89" s="133"/>
      <c r="Y89" s="133"/>
      <c r="Z89" s="133"/>
    </row>
    <row r="90">
      <c r="A90" s="133">
        <f>IFERROR(__xludf.DUMMYFUNCTION("""COMPUTED_VALUE"""),89.0)</f>
        <v>89</v>
      </c>
      <c r="B90" s="133" t="str">
        <f>IFERROR(__xludf.DUMMYFUNCTION("""COMPUTED_VALUE"""),"170573")</f>
        <v>170573</v>
      </c>
      <c r="C90" s="133" t="str">
        <f>IFERROR(__xludf.DUMMYFUNCTION("""COMPUTED_VALUE"""),"P-1-N-020920-2575")</f>
        <v>P-1-N-020920-2575</v>
      </c>
      <c r="D90" s="133"/>
      <c r="E90" s="133" t="str">
        <f>IFERROR(__xludf.DUMMYFUNCTION("""COMPUTED_VALUE"""),"تمت طباعة الشهادة")</f>
        <v>تمت طباعة الشهادة</v>
      </c>
      <c r="F90" s="133" t="str">
        <f>IFERROR(__xludf.DUMMYFUNCTION("""COMPUTED_VALUE"""),"Profine Cat Derma Adult Salmon 10 KG")</f>
        <v>Profine Cat Derma Adult Salmon 10 KG</v>
      </c>
      <c r="G90" s="133" t="str">
        <f>IFERROR(__xludf.DUMMYFUNCTION("""COMPUTED_VALUE"""),"بروفاين ديرما للقطط البالغة بالسلمون 10 كيلو")</f>
        <v>بروفاين ديرما للقطط البالغة بالسلمون 10 كيلو</v>
      </c>
      <c r="H90" s="133" t="str">
        <f>IFERROR(__xludf.DUMMYFUNCTION("""COMPUTED_VALUE"""),"MAFE20201126")</f>
        <v>MAFE20201126</v>
      </c>
      <c r="I90" s="133"/>
      <c r="J90" s="133"/>
      <c r="K90" s="133" t="str">
        <f>IFERROR(__xludf.DUMMYFUNCTION("""COMPUTED_VALUE"""),"فافو براها اس ار او")</f>
        <v>فافو براها اس ار او</v>
      </c>
      <c r="L90" s="142" t="str">
        <f>IFERROR(__xludf.DUMMYFUNCTION("""COMPUTED_VALUE"""),"170573")</f>
        <v>170573</v>
      </c>
      <c r="M90" s="133"/>
      <c r="N90" s="133"/>
      <c r="O90" s="133"/>
      <c r="P90" s="133"/>
      <c r="Q90" s="133"/>
      <c r="R90" s="133"/>
      <c r="S90" s="133"/>
      <c r="T90" s="133"/>
      <c r="U90" s="133"/>
      <c r="V90" s="133"/>
      <c r="W90" s="133"/>
      <c r="X90" s="133"/>
      <c r="Y90" s="133"/>
      <c r="Z90" s="133"/>
    </row>
    <row r="91">
      <c r="A91" s="133">
        <f>IFERROR(__xludf.DUMMYFUNCTION("""COMPUTED_VALUE"""),90.0)</f>
        <v>90</v>
      </c>
      <c r="B91" s="133" t="str">
        <f>IFERROR(__xludf.DUMMYFUNCTION("""COMPUTED_VALUE"""),"170571")</f>
        <v>170571</v>
      </c>
      <c r="C91" s="133" t="str">
        <f>IFERROR(__xludf.DUMMYFUNCTION("""COMPUTED_VALUE"""),"P-1-N-020920-2576")</f>
        <v>P-1-N-020920-2576</v>
      </c>
      <c r="D91" s="133"/>
      <c r="E91" s="133" t="str">
        <f>IFERROR(__xludf.DUMMYFUNCTION("""COMPUTED_VALUE"""),"تمت طباعة الشهادة")</f>
        <v>تمت طباعة الشهادة</v>
      </c>
      <c r="F91" s="133" t="str">
        <f>IFERROR(__xludf.DUMMYFUNCTION("""COMPUTED_VALUE"""),"Profine Cat Derma Adult Salmon 300 g")</f>
        <v>Profine Cat Derma Adult Salmon 300 g</v>
      </c>
      <c r="G91" s="133" t="str">
        <f>IFERROR(__xludf.DUMMYFUNCTION("""COMPUTED_VALUE"""),"بروفاين ديرما للقطط البالغة بالسلمون 300 جرام")</f>
        <v>بروفاين ديرما للقطط البالغة بالسلمون 300 جرام</v>
      </c>
      <c r="H91" s="133" t="str">
        <f>IFERROR(__xludf.DUMMYFUNCTION("""COMPUTED_VALUE"""),"MAFE20201088")</f>
        <v>MAFE20201088</v>
      </c>
      <c r="I91" s="133"/>
      <c r="J91" s="133"/>
      <c r="K91" s="133" t="str">
        <f>IFERROR(__xludf.DUMMYFUNCTION("""COMPUTED_VALUE"""),"فافو براها اس ار او")</f>
        <v>فافو براها اس ار او</v>
      </c>
      <c r="L91" s="142" t="str">
        <f>IFERROR(__xludf.DUMMYFUNCTION("""COMPUTED_VALUE"""),"170571")</f>
        <v>170571</v>
      </c>
      <c r="M91" s="133"/>
      <c r="N91" s="133"/>
      <c r="O91" s="133"/>
      <c r="P91" s="133"/>
      <c r="Q91" s="133"/>
      <c r="R91" s="133"/>
      <c r="S91" s="133"/>
      <c r="T91" s="133"/>
      <c r="U91" s="133"/>
      <c r="V91" s="133"/>
      <c r="W91" s="133"/>
      <c r="X91" s="133"/>
      <c r="Y91" s="133"/>
      <c r="Z91" s="133"/>
    </row>
    <row r="92">
      <c r="A92" s="133">
        <f>IFERROR(__xludf.DUMMYFUNCTION("""COMPUTED_VALUE"""),91.0)</f>
        <v>91</v>
      </c>
      <c r="B92" s="133" t="str">
        <f>IFERROR(__xludf.DUMMYFUNCTION("""COMPUTED_VALUE"""),"170566")</f>
        <v>170566</v>
      </c>
      <c r="C92" s="133" t="str">
        <f>IFERROR(__xludf.DUMMYFUNCTION("""COMPUTED_VALUE"""),"P-1-N-020920-2578")</f>
        <v>P-1-N-020920-2578</v>
      </c>
      <c r="D92" s="133"/>
      <c r="E92" s="133" t="str">
        <f>IFERROR(__xludf.DUMMYFUNCTION("""COMPUTED_VALUE"""),"تمت طباعة الشهادة")</f>
        <v>تمت طباعة الشهادة</v>
      </c>
      <c r="F92" s="133" t="str">
        <f>IFERROR(__xludf.DUMMYFUNCTION("""COMPUTED_VALUE"""),"Profine Cat Original Adult Chincken 2 Kg")</f>
        <v>Profine Cat Original Adult Chincken 2 Kg</v>
      </c>
      <c r="G92" s="133" t="str">
        <f>IFERROR(__xludf.DUMMYFUNCTION("""COMPUTED_VALUE"""),"بروفاين أوريجنال للقطط البالغة بالدجاج 2 كيلو")</f>
        <v>بروفاين أوريجنال للقطط البالغة بالدجاج 2 كيلو</v>
      </c>
      <c r="H92" s="133" t="str">
        <f>IFERROR(__xludf.DUMMYFUNCTION("""COMPUTED_VALUE"""),"MAFE20201087")</f>
        <v>MAFE20201087</v>
      </c>
      <c r="I92" s="133"/>
      <c r="J92" s="133"/>
      <c r="K92" s="133" t="str">
        <f>IFERROR(__xludf.DUMMYFUNCTION("""COMPUTED_VALUE"""),"فافو براها اس ار او")</f>
        <v>فافو براها اس ار او</v>
      </c>
      <c r="L92" s="142" t="str">
        <f>IFERROR(__xludf.DUMMYFUNCTION("""COMPUTED_VALUE"""),"170566")</f>
        <v>170566</v>
      </c>
      <c r="M92" s="133"/>
      <c r="N92" s="133"/>
      <c r="O92" s="133"/>
      <c r="P92" s="133"/>
      <c r="Q92" s="133"/>
      <c r="R92" s="133"/>
      <c r="S92" s="133"/>
      <c r="T92" s="133"/>
      <c r="U92" s="133"/>
      <c r="V92" s="133"/>
      <c r="W92" s="133"/>
      <c r="X92" s="133"/>
      <c r="Y92" s="133"/>
      <c r="Z92" s="133"/>
    </row>
    <row r="93">
      <c r="A93" s="133">
        <f>IFERROR(__xludf.DUMMYFUNCTION("""COMPUTED_VALUE"""),92.0)</f>
        <v>92</v>
      </c>
      <c r="B93" s="133" t="str">
        <f>IFERROR(__xludf.DUMMYFUNCTION("""COMPUTED_VALUE"""),"170567")</f>
        <v>170567</v>
      </c>
      <c r="C93" s="133" t="str">
        <f>IFERROR(__xludf.DUMMYFUNCTION("""COMPUTED_VALUE"""),"P-1-N-020920-2579")</f>
        <v>P-1-N-020920-2579</v>
      </c>
      <c r="D93" s="133"/>
      <c r="E93" s="133" t="str">
        <f>IFERROR(__xludf.DUMMYFUNCTION("""COMPUTED_VALUE"""),"تمت طباعة الشهادة")</f>
        <v>تمت طباعة الشهادة</v>
      </c>
      <c r="F93" s="133" t="str">
        <f>IFERROR(__xludf.DUMMYFUNCTION("""COMPUTED_VALUE"""),"Profine Cat Original Adult Chicken 10 KG")</f>
        <v>Profine Cat Original Adult Chicken 10 KG</v>
      </c>
      <c r="G93" s="133" t="str">
        <f>IFERROR(__xludf.DUMMYFUNCTION("""COMPUTED_VALUE"""),"بروفاين أوريجنال للقطط البالغة بالدجاج 10 كيلو")</f>
        <v>بروفاين أوريجنال للقطط البالغة بالدجاج 10 كيلو</v>
      </c>
      <c r="H93" s="133" t="str">
        <f>IFERROR(__xludf.DUMMYFUNCTION("""COMPUTED_VALUE"""),"MAFE20201086")</f>
        <v>MAFE20201086</v>
      </c>
      <c r="I93" s="133"/>
      <c r="J93" s="133"/>
      <c r="K93" s="133" t="str">
        <f>IFERROR(__xludf.DUMMYFUNCTION("""COMPUTED_VALUE"""),"فافو براها اس ار او")</f>
        <v>فافو براها اس ار او</v>
      </c>
      <c r="L93" s="142" t="str">
        <f>IFERROR(__xludf.DUMMYFUNCTION("""COMPUTED_VALUE"""),"170567")</f>
        <v>170567</v>
      </c>
      <c r="M93" s="133"/>
      <c r="N93" s="133"/>
      <c r="O93" s="133"/>
      <c r="P93" s="133"/>
      <c r="Q93" s="133"/>
      <c r="R93" s="133"/>
      <c r="S93" s="133"/>
      <c r="T93" s="133"/>
      <c r="U93" s="133"/>
      <c r="V93" s="133"/>
      <c r="W93" s="133"/>
      <c r="X93" s="133"/>
      <c r="Y93" s="133"/>
      <c r="Z93" s="133"/>
    </row>
    <row r="94">
      <c r="A94" s="133">
        <f>IFERROR(__xludf.DUMMYFUNCTION("""COMPUTED_VALUE"""),93.0)</f>
        <v>93</v>
      </c>
      <c r="B94" s="133" t="str">
        <f>IFERROR(__xludf.DUMMYFUNCTION("""COMPUTED_VALUE"""),"170565")</f>
        <v>170565</v>
      </c>
      <c r="C94" s="133" t="str">
        <f>IFERROR(__xludf.DUMMYFUNCTION("""COMPUTED_VALUE"""),"P-1-N-020920-2580")</f>
        <v>P-1-N-020920-2580</v>
      </c>
      <c r="D94" s="133"/>
      <c r="E94" s="133" t="str">
        <f>IFERROR(__xludf.DUMMYFUNCTION("""COMPUTED_VALUE"""),"تمت طباعة الشهادة")</f>
        <v>تمت طباعة الشهادة</v>
      </c>
      <c r="F94" s="133" t="str">
        <f>IFERROR(__xludf.DUMMYFUNCTION("""COMPUTED_VALUE"""),"Profine Cat Original Adult Chicken 300 g")</f>
        <v>Profine Cat Original Adult Chicken 300 g</v>
      </c>
      <c r="G94" s="133" t="str">
        <f>IFERROR(__xludf.DUMMYFUNCTION("""COMPUTED_VALUE"""),"بروفاين أوريجنال للقطط البالغة بالدجاج 300 جرام")</f>
        <v>بروفاين أوريجنال للقطط البالغة بالدجاج 300 جرام</v>
      </c>
      <c r="H94" s="133" t="str">
        <f>IFERROR(__xludf.DUMMYFUNCTION("""COMPUTED_VALUE"""),"MAFE20201085")</f>
        <v>MAFE20201085</v>
      </c>
      <c r="I94" s="133"/>
      <c r="J94" s="133"/>
      <c r="K94" s="133" t="str">
        <f>IFERROR(__xludf.DUMMYFUNCTION("""COMPUTED_VALUE"""),"فافو براها اس ار او")</f>
        <v>فافو براها اس ار او</v>
      </c>
      <c r="L94" s="142" t="str">
        <f>IFERROR(__xludf.DUMMYFUNCTION("""COMPUTED_VALUE"""),"170565")</f>
        <v>170565</v>
      </c>
      <c r="M94" s="133"/>
      <c r="N94" s="133"/>
      <c r="O94" s="133"/>
      <c r="P94" s="133"/>
      <c r="Q94" s="133"/>
      <c r="R94" s="133"/>
      <c r="S94" s="133"/>
      <c r="T94" s="133"/>
      <c r="U94" s="133"/>
      <c r="V94" s="133"/>
      <c r="W94" s="133"/>
      <c r="X94" s="133"/>
      <c r="Y94" s="133"/>
      <c r="Z94" s="133"/>
    </row>
    <row r="95">
      <c r="A95" s="133">
        <f>IFERROR(__xludf.DUMMYFUNCTION("""COMPUTED_VALUE"""),94.0)</f>
        <v>94</v>
      </c>
      <c r="B95" s="133" t="str">
        <f>IFERROR(__xludf.DUMMYFUNCTION("""COMPUTED_VALUE"""),"MC1506")</f>
        <v>MC1506</v>
      </c>
      <c r="C95" s="133" t="str">
        <f>IFERROR(__xludf.DUMMYFUNCTION("""COMPUTED_VALUE"""),"P-1-N-030920-2583")</f>
        <v>P-1-N-030920-2583</v>
      </c>
      <c r="D95" s="133">
        <f>IFERROR(__xludf.DUMMYFUNCTION("""COMPUTED_VALUE"""),0.0)</f>
        <v>0</v>
      </c>
      <c r="E95" s="133" t="str">
        <f>IFERROR(__xludf.DUMMYFUNCTION("""COMPUTED_VALUE"""),"تمت طباعة الشهادة")</f>
        <v>تمت طباعة الشهادة</v>
      </c>
      <c r="F95" s="133" t="str">
        <f>IFERROR(__xludf.DUMMYFUNCTION("""COMPUTED_VALUE"""),"VETIQ Defurr-um 70g")</f>
        <v>VETIQ Defurr-um 70g</v>
      </c>
      <c r="G95" s="133" t="str">
        <f>IFERROR(__xludf.DUMMYFUNCTION("""COMPUTED_VALUE"""),"فيتيك ديفر-وم 70 جم")</f>
        <v>فيتيك ديفر-وم 70 جم</v>
      </c>
      <c r="H95" s="133" t="str">
        <f>IFERROR(__xludf.DUMMYFUNCTION("""COMPUTED_VALUE"""),"MAFE20201276")</f>
        <v>MAFE20201276</v>
      </c>
      <c r="I95" s="133"/>
      <c r="J95" s="133"/>
      <c r="K95" s="133"/>
      <c r="L95" s="142" t="str">
        <f>IFERROR(__xludf.DUMMYFUNCTION("""COMPUTED_VALUE"""),"MC1506")</f>
        <v>MC1506</v>
      </c>
      <c r="M95" s="133"/>
      <c r="N95" s="133"/>
      <c r="O95" s="133"/>
      <c r="P95" s="133"/>
      <c r="Q95" s="133"/>
      <c r="R95" s="133"/>
      <c r="S95" s="133"/>
      <c r="T95" s="133"/>
      <c r="U95" s="133"/>
      <c r="V95" s="133"/>
      <c r="W95" s="133"/>
      <c r="X95" s="133"/>
      <c r="Y95" s="133"/>
      <c r="Z95" s="133"/>
    </row>
    <row r="96">
      <c r="A96" s="133">
        <f>IFERROR(__xludf.DUMMYFUNCTION("""COMPUTED_VALUE"""),95.0)</f>
        <v>95</v>
      </c>
      <c r="B96" s="133" t="str">
        <f>IFERROR(__xludf.DUMMYFUNCTION("""COMPUTED_VALUE"""),"MC5610")</f>
        <v>MC5610</v>
      </c>
      <c r="C96" s="133" t="str">
        <f>IFERROR(__xludf.DUMMYFUNCTION("""COMPUTED_VALUE"""),"P-1-N-030920-2587")</f>
        <v>P-1-N-030920-2587</v>
      </c>
      <c r="D96" s="133"/>
      <c r="E96" s="133" t="str">
        <f>IFERROR(__xludf.DUMMYFUNCTION("""COMPUTED_VALUE"""),"تمت طباعة الشهادة")</f>
        <v>تمت طباعة الشهادة</v>
      </c>
      <c r="F96" s="133" t="str">
        <f>IFERROR(__xludf.DUMMYFUNCTION("""COMPUTED_VALUE"""),"VETIQ Urinary Care Paste 100g")</f>
        <v>VETIQ Urinary Care Paste 100g</v>
      </c>
      <c r="G96" s="133" t="str">
        <f>IFERROR(__xludf.DUMMYFUNCTION("""COMPUTED_VALUE"""),"فيت اي كيو معجون العناية بالبول 100 جم")</f>
        <v>فيت اي كيو معجون العناية بالبول 100 جم</v>
      </c>
      <c r="H96" s="133" t="str">
        <f>IFERROR(__xludf.DUMMYFUNCTION("""COMPUTED_VALUE"""),"MAFE20201272")</f>
        <v>MAFE20201272</v>
      </c>
      <c r="I96" s="133"/>
      <c r="J96" s="133"/>
      <c r="K96" s="133" t="str">
        <f>IFERROR(__xludf.DUMMYFUNCTION("""COMPUTED_VALUE"""),"مارك اند شابل ليمتد")</f>
        <v>مارك اند شابل ليمتد</v>
      </c>
      <c r="L96" s="142" t="str">
        <f>IFERROR(__xludf.DUMMYFUNCTION("""COMPUTED_VALUE"""),"MC5610")</f>
        <v>MC5610</v>
      </c>
      <c r="M96" s="133"/>
      <c r="N96" s="133"/>
      <c r="O96" s="133"/>
      <c r="P96" s="133"/>
      <c r="Q96" s="133"/>
      <c r="R96" s="133"/>
      <c r="S96" s="133"/>
      <c r="T96" s="133"/>
      <c r="U96" s="133"/>
      <c r="V96" s="133"/>
      <c r="W96" s="133"/>
      <c r="X96" s="133"/>
      <c r="Y96" s="133"/>
      <c r="Z96" s="133"/>
    </row>
    <row r="97">
      <c r="A97" s="133">
        <f>IFERROR(__xludf.DUMMYFUNCTION("""COMPUTED_VALUE"""),96.0)</f>
        <v>96</v>
      </c>
      <c r="B97" s="133" t="str">
        <f>IFERROR(__xludf.DUMMYFUNCTION("""COMPUTED_VALUE"""),"MC5368")</f>
        <v>MC5368</v>
      </c>
      <c r="C97" s="133" t="str">
        <f>IFERROR(__xludf.DUMMYFUNCTION("""COMPUTED_VALUE"""),"P-1-N-030920-2589")</f>
        <v>P-1-N-030920-2589</v>
      </c>
      <c r="D97" s="133"/>
      <c r="E97" s="133" t="str">
        <f>IFERROR(__xludf.DUMMYFUNCTION("""COMPUTED_VALUE"""),"تمت طباعة الشهادة")</f>
        <v>تمت طباعة الشهادة</v>
      </c>
      <c r="F97" s="133" t="str">
        <f>IFERROR(__xludf.DUMMYFUNCTION("""COMPUTED_VALUE"""),"VetIQ Skin and Coat Liquid 250ml")</f>
        <v>VetIQ Skin and Coat Liquid 250ml</v>
      </c>
      <c r="G97" s="133" t="str">
        <f>IFERROR(__xludf.DUMMYFUNCTION("""COMPUTED_VALUE"""),"فيت اي كيو سائل للجلد والفرو 250 مل")</f>
        <v>فيت اي كيو سائل للجلد والفرو 250 مل</v>
      </c>
      <c r="H97" s="133" t="str">
        <f>IFERROR(__xludf.DUMMYFUNCTION("""COMPUTED_VALUE"""),"MAFE20201125")</f>
        <v>MAFE20201125</v>
      </c>
      <c r="I97" s="133"/>
      <c r="J97" s="133"/>
      <c r="K97" s="133" t="str">
        <f>IFERROR(__xludf.DUMMYFUNCTION("""COMPUTED_VALUE"""),"مارك اند شابل ليمتد")</f>
        <v>مارك اند شابل ليمتد</v>
      </c>
      <c r="L97" s="142" t="str">
        <f>IFERROR(__xludf.DUMMYFUNCTION("""COMPUTED_VALUE"""),"MC5368")</f>
        <v>MC5368</v>
      </c>
      <c r="M97" s="133"/>
      <c r="N97" s="133"/>
      <c r="O97" s="133"/>
      <c r="P97" s="133"/>
      <c r="Q97" s="133"/>
      <c r="R97" s="133"/>
      <c r="S97" s="133"/>
      <c r="T97" s="133"/>
      <c r="U97" s="133"/>
      <c r="V97" s="133"/>
      <c r="W97" s="133"/>
      <c r="X97" s="133"/>
      <c r="Y97" s="133"/>
      <c r="Z97" s="133"/>
    </row>
    <row r="98">
      <c r="A98" s="133">
        <f>IFERROR(__xludf.DUMMYFUNCTION("""COMPUTED_VALUE"""),97.0)</f>
        <v>97</v>
      </c>
      <c r="B98" s="133" t="str">
        <f>IFERROR(__xludf.DUMMYFUNCTION("""COMPUTED_VALUE"""),"MC1384")</f>
        <v>MC1384</v>
      </c>
      <c r="C98" s="133" t="str">
        <f>IFERROR(__xludf.DUMMYFUNCTION("""COMPUTED_VALUE"""),"P-1-N-030920-2590")</f>
        <v>P-1-N-030920-2590</v>
      </c>
      <c r="D98" s="133"/>
      <c r="E98" s="133" t="str">
        <f>IFERROR(__xludf.DUMMYFUNCTION("""COMPUTED_VALUE"""),"تمت طباعة الشهادة")</f>
        <v>تمت طباعة الشهادة</v>
      </c>
      <c r="F98" s="133" t="str">
        <f>IFERROR(__xludf.DUMMYFUNCTION("""COMPUTED_VALUE"""),"VetIQ Nutri-Vit Plus Cat 70g")</f>
        <v>VetIQ Nutri-Vit Plus Cat 70g</v>
      </c>
      <c r="G98" s="133" t="str">
        <f>IFERROR(__xludf.DUMMYFUNCTION("""COMPUTED_VALUE"""),"فيت اي كيو نيوتري فيت بلس للقطط 70 جم")</f>
        <v>فيت اي كيو نيوتري فيت بلس للقطط 70 جم</v>
      </c>
      <c r="H98" s="133" t="str">
        <f>IFERROR(__xludf.DUMMYFUNCTION("""COMPUTED_VALUE"""),"MAFE20201122")</f>
        <v>MAFE20201122</v>
      </c>
      <c r="I98" s="133"/>
      <c r="J98" s="133"/>
      <c r="K98" s="133" t="str">
        <f>IFERROR(__xludf.DUMMYFUNCTION("""COMPUTED_VALUE"""),"مارك اند شابل ليمتد")</f>
        <v>مارك اند شابل ليمتد</v>
      </c>
      <c r="L98" s="142" t="str">
        <f>IFERROR(__xludf.DUMMYFUNCTION("""COMPUTED_VALUE"""),"MC1384")</f>
        <v>MC1384</v>
      </c>
      <c r="M98" s="133"/>
      <c r="N98" s="133"/>
      <c r="O98" s="133"/>
      <c r="P98" s="133"/>
      <c r="Q98" s="133"/>
      <c r="R98" s="133"/>
      <c r="S98" s="133"/>
      <c r="T98" s="133"/>
      <c r="U98" s="133"/>
      <c r="V98" s="133"/>
      <c r="W98" s="133"/>
      <c r="X98" s="133"/>
      <c r="Y98" s="133"/>
      <c r="Z98" s="133"/>
    </row>
    <row r="99">
      <c r="A99" s="133">
        <f>IFERROR(__xludf.DUMMYFUNCTION("""COMPUTED_VALUE"""),98.0)</f>
        <v>98</v>
      </c>
      <c r="B99" s="133" t="str">
        <f>IFERROR(__xludf.DUMMYFUNCTION("""COMPUTED_VALUE"""),"MC5498")</f>
        <v>MC5498</v>
      </c>
      <c r="C99" s="133" t="str">
        <f>IFERROR(__xludf.DUMMYFUNCTION("""COMPUTED_VALUE"""),"P-1-N-030920-2592")</f>
        <v>P-1-N-030920-2592</v>
      </c>
      <c r="D99" s="133"/>
      <c r="E99" s="133" t="str">
        <f>IFERROR(__xludf.DUMMYFUNCTION("""COMPUTED_VALUE"""),"تمت طباعة الشهادة")</f>
        <v>تمت طباعة الشهادة</v>
      </c>
      <c r="F99" s="133" t="str">
        <f>IFERROR(__xludf.DUMMYFUNCTION("""COMPUTED_VALUE"""),"VetIQ Nutri-Vit Plus Dog 100g")</f>
        <v>VetIQ Nutri-Vit Plus Dog 100g</v>
      </c>
      <c r="G99" s="133" t="str">
        <f>IFERROR(__xludf.DUMMYFUNCTION("""COMPUTED_VALUE"""),"فيت اي كيو نيوتري فيت بلس للكلاب 100 جم")</f>
        <v>فيت اي كيو نيوتري فيت بلس للكلاب 100 جم</v>
      </c>
      <c r="H99" s="133" t="str">
        <f>IFERROR(__xludf.DUMMYFUNCTION("""COMPUTED_VALUE"""),"MAFE20201110")</f>
        <v>MAFE20201110</v>
      </c>
      <c r="I99" s="133"/>
      <c r="J99" s="133"/>
      <c r="K99" s="133" t="str">
        <f>IFERROR(__xludf.DUMMYFUNCTION("""COMPUTED_VALUE"""),"مارك اند شابل ليمتد")</f>
        <v>مارك اند شابل ليمتد</v>
      </c>
      <c r="L99" s="142" t="str">
        <f>IFERROR(__xludf.DUMMYFUNCTION("""COMPUTED_VALUE"""),"MC5498")</f>
        <v>MC5498</v>
      </c>
      <c r="M99" s="133"/>
      <c r="N99" s="133"/>
      <c r="O99" s="133"/>
      <c r="P99" s="133"/>
      <c r="Q99" s="133"/>
      <c r="R99" s="133"/>
      <c r="S99" s="133"/>
      <c r="T99" s="133"/>
      <c r="U99" s="133"/>
      <c r="V99" s="133"/>
      <c r="W99" s="133"/>
      <c r="X99" s="133"/>
      <c r="Y99" s="133"/>
      <c r="Z99" s="133"/>
    </row>
    <row r="100">
      <c r="A100" s="133">
        <f>IFERROR(__xludf.DUMMYFUNCTION("""COMPUTED_VALUE"""),99.0)</f>
        <v>99</v>
      </c>
      <c r="B100" s="133" t="str">
        <f>IFERROR(__xludf.DUMMYFUNCTION("""COMPUTED_VALUE"""),"MC639")</f>
        <v>MC639</v>
      </c>
      <c r="C100" s="133" t="str">
        <f>IFERROR(__xludf.DUMMYFUNCTION("""COMPUTED_VALUE"""),"P-1-N-030920-2593")</f>
        <v>P-1-N-030920-2593</v>
      </c>
      <c r="D100" s="133"/>
      <c r="E100" s="133" t="str">
        <f>IFERROR(__xludf.DUMMYFUNCTION("""COMPUTED_VALUE"""),"تمت طباعة الشهادة")</f>
        <v>تمت طباعة الشهادة</v>
      </c>
      <c r="F100" s="133" t="str">
        <f>IFERROR(__xludf.DUMMYFUNCTION("""COMPUTED_VALUE"""),"VetIQ Megavit 30 Tablets 88g")</f>
        <v>VetIQ Megavit 30 Tablets 88g</v>
      </c>
      <c r="G100" s="133" t="str">
        <f>IFERROR(__xludf.DUMMYFUNCTION("""COMPUTED_VALUE"""),"فيت اي كيو ميجافيت 30 حبة 88 جم")</f>
        <v>فيت اي كيو ميجافيت 30 حبة 88 جم</v>
      </c>
      <c r="H100" s="133" t="str">
        <f>IFERROR(__xludf.DUMMYFUNCTION("""COMPUTED_VALUE"""),"MAFE20201121")</f>
        <v>MAFE20201121</v>
      </c>
      <c r="I100" s="133"/>
      <c r="J100" s="133"/>
      <c r="K100" s="133" t="str">
        <f>IFERROR(__xludf.DUMMYFUNCTION("""COMPUTED_VALUE"""),"مارك اند شابل ليمتد")</f>
        <v>مارك اند شابل ليمتد</v>
      </c>
      <c r="L100" s="142" t="str">
        <f>IFERROR(__xludf.DUMMYFUNCTION("""COMPUTED_VALUE"""),"MC639")</f>
        <v>MC639</v>
      </c>
      <c r="M100" s="133"/>
      <c r="N100" s="133"/>
      <c r="O100" s="133"/>
      <c r="P100" s="133"/>
      <c r="Q100" s="133"/>
      <c r="R100" s="133"/>
      <c r="S100" s="133"/>
      <c r="T100" s="133"/>
      <c r="U100" s="133"/>
      <c r="V100" s="133"/>
      <c r="W100" s="133"/>
      <c r="X100" s="133"/>
      <c r="Y100" s="133"/>
      <c r="Z100" s="133"/>
    </row>
    <row r="101">
      <c r="A101" s="133">
        <f>IFERROR(__xludf.DUMMYFUNCTION("""COMPUTED_VALUE"""),100.0)</f>
        <v>100</v>
      </c>
      <c r="B101" s="133" t="str">
        <f>IFERROR(__xludf.DUMMYFUNCTION("""COMPUTED_VALUE"""),"MC2800")</f>
        <v>MC2800</v>
      </c>
      <c r="C101" s="133" t="str">
        <f>IFERROR(__xludf.DUMMYFUNCTION("""COMPUTED_VALUE"""),"P-1-N-030920-2594")</f>
        <v>P-1-N-030920-2594</v>
      </c>
      <c r="D101" s="133"/>
      <c r="E101" s="133" t="str">
        <f>IFERROR(__xludf.DUMMYFUNCTION("""COMPUTED_VALUE"""),"تمت طباعة الشهادة")</f>
        <v>تمت طباعة الشهادة</v>
      </c>
      <c r="F101" s="133" t="str">
        <f>IFERROR(__xludf.DUMMYFUNCTION("""COMPUTED_VALUE"""),"VetIQ Kalsium Plus 60 Tabletss 76g")</f>
        <v>VetIQ Kalsium Plus 60 Tabletss 76g</v>
      </c>
      <c r="G101" s="133" t="str">
        <f>IFERROR(__xludf.DUMMYFUNCTION("""COMPUTED_VALUE"""),"فيت اي كيو كالسيوم بلس 60 حبة 76 جم")</f>
        <v>فيت اي كيو كالسيوم بلس 60 حبة 76 جم</v>
      </c>
      <c r="H101" s="133" t="str">
        <f>IFERROR(__xludf.DUMMYFUNCTION("""COMPUTED_VALUE"""),"FOM-2024-7307-FEB-2024-41831 -C-0041-62628
")</f>
        <v>FOM-2024-7307-FEB-2024-41831 -C-0041-62628
</v>
      </c>
      <c r="I101" s="133"/>
      <c r="J101" s="133"/>
      <c r="K101" s="133" t="str">
        <f>IFERROR(__xludf.DUMMYFUNCTION("""COMPUTED_VALUE"""),"مارك اند شابل ليمتد")</f>
        <v>مارك اند شابل ليمتد</v>
      </c>
      <c r="L101" s="142" t="str">
        <f>IFERROR(__xludf.DUMMYFUNCTION("""COMPUTED_VALUE"""),"MC2800")</f>
        <v>MC2800</v>
      </c>
      <c r="M101" s="133"/>
      <c r="N101" s="133"/>
      <c r="O101" s="133"/>
      <c r="P101" s="133"/>
      <c r="Q101" s="133"/>
      <c r="R101" s="133"/>
      <c r="S101" s="133"/>
      <c r="T101" s="133"/>
      <c r="U101" s="133"/>
      <c r="V101" s="133"/>
      <c r="W101" s="133"/>
      <c r="X101" s="133"/>
      <c r="Y101" s="133"/>
      <c r="Z101" s="133"/>
    </row>
    <row r="102">
      <c r="A102" s="133">
        <f>IFERROR(__xludf.DUMMYFUNCTION("""COMPUTED_VALUE"""),101.0)</f>
        <v>101</v>
      </c>
      <c r="B102" s="133" t="str">
        <f>IFERROR(__xludf.DUMMYFUNCTION("""COMPUTED_VALUE"""),"A4023")</f>
        <v>A4023</v>
      </c>
      <c r="C102" s="133" t="str">
        <f>IFERROR(__xludf.DUMMYFUNCTION("""COMPUTED_VALUE"""),"P-1-N-060920-2630")</f>
        <v>P-1-N-060920-2630</v>
      </c>
      <c r="D102" s="133"/>
      <c r="E102" s="133" t="str">
        <f>IFERROR(__xludf.DUMMYFUNCTION("""COMPUTED_VALUE"""),"تمت طباعة الشهادة")</f>
        <v>تمت طباعة الشهادة</v>
      </c>
      <c r="F102" s="133" t="str">
        <f>IFERROR(__xludf.DUMMYFUNCTION("""COMPUTED_VALUE"""),"Applaws Adult Cat Chicken with Extra Salmon 2 kg")</f>
        <v>Applaws Adult Cat Chicken with Extra Salmon 2 kg</v>
      </c>
      <c r="G102" s="133" t="str">
        <f>IFERROR(__xludf.DUMMYFUNCTION("""COMPUTED_VALUE"""),"ابلاوز دجاج مع سلمون اضافي للقطط البالغة 2 كغم")</f>
        <v>ابلاوز دجاج مع سلمون اضافي للقطط البالغة 2 كغم</v>
      </c>
      <c r="H102" s="133" t="str">
        <f>IFERROR(__xludf.DUMMYFUNCTION("""COMPUTED_VALUE"""),"MAFE20201119")</f>
        <v>MAFE20201119</v>
      </c>
      <c r="I102" s="133"/>
      <c r="J102" s="133"/>
      <c r="K102" s="133" t="str">
        <f>IFERROR(__xludf.DUMMYFUNCTION("""COMPUTED_VALUE"""),"أم بي أم برودكتس ليمتد")</f>
        <v>أم بي أم برودكتس ليمتد</v>
      </c>
      <c r="L102" s="142" t="str">
        <f>IFERROR(__xludf.DUMMYFUNCTION("""COMPUTED_VALUE"""),"A4023")</f>
        <v>A4023</v>
      </c>
      <c r="M102" s="133"/>
      <c r="N102" s="133"/>
      <c r="O102" s="133"/>
      <c r="P102" s="133"/>
      <c r="Q102" s="133"/>
      <c r="R102" s="133"/>
      <c r="S102" s="133"/>
      <c r="T102" s="133"/>
      <c r="U102" s="133"/>
      <c r="V102" s="133"/>
      <c r="W102" s="133"/>
      <c r="X102" s="133"/>
      <c r="Y102" s="133"/>
      <c r="Z102" s="133"/>
    </row>
    <row r="103">
      <c r="A103" s="133">
        <f>IFERROR(__xludf.DUMMYFUNCTION("""COMPUTED_VALUE"""),102.0)</f>
        <v>102</v>
      </c>
      <c r="B103" s="133" t="str">
        <f>IFERROR(__xludf.DUMMYFUNCTION("""COMPUTED_VALUE"""),"A4073")</f>
        <v>A4073</v>
      </c>
      <c r="C103" s="133" t="str">
        <f>IFERROR(__xludf.DUMMYFUNCTION("""COMPUTED_VALUE"""),"P-1-N-070920-2656")</f>
        <v>P-1-N-070920-2656</v>
      </c>
      <c r="D103" s="133"/>
      <c r="E103" s="133" t="str">
        <f>IFERROR(__xludf.DUMMYFUNCTION("""COMPUTED_VALUE"""),"تمت طباعة الشهادة")</f>
        <v>تمت طباعة الشهادة</v>
      </c>
      <c r="F103" s="133" t="str">
        <f>IFERROR(__xludf.DUMMYFUNCTION("""COMPUTED_VALUE"""),"Applaws Adult Cat Chicken with Extra Salmon 7.5 kg")</f>
        <v>Applaws Adult Cat Chicken with Extra Salmon 7.5 kg</v>
      </c>
      <c r="G103" s="133" t="str">
        <f>IFERROR(__xludf.DUMMYFUNCTION("""COMPUTED_VALUE"""),"ابلاوز دجاج مع سلمون اضافي للقطط البالغة 7.5 كغم")</f>
        <v>ابلاوز دجاج مع سلمون اضافي للقطط البالغة 7.5 كغم</v>
      </c>
      <c r="H103" s="133" t="str">
        <f>IFERROR(__xludf.DUMMYFUNCTION("""COMPUTED_VALUE"""),"MAFE20201212")</f>
        <v>MAFE20201212</v>
      </c>
      <c r="I103" s="133"/>
      <c r="J103" s="133"/>
      <c r="K103" s="133" t="str">
        <f>IFERROR(__xludf.DUMMYFUNCTION("""COMPUTED_VALUE"""),"أم بي أم برودكتس ليمتد")</f>
        <v>أم بي أم برودكتس ليمتد</v>
      </c>
      <c r="L103" s="142" t="str">
        <f>IFERROR(__xludf.DUMMYFUNCTION("""COMPUTED_VALUE"""),"A4073")</f>
        <v>A4073</v>
      </c>
      <c r="M103" s="133"/>
      <c r="N103" s="133"/>
      <c r="O103" s="133"/>
      <c r="P103" s="133"/>
      <c r="Q103" s="133"/>
      <c r="R103" s="133"/>
      <c r="S103" s="133"/>
      <c r="T103" s="133"/>
      <c r="U103" s="133"/>
      <c r="V103" s="133"/>
      <c r="W103" s="133"/>
      <c r="X103" s="133"/>
      <c r="Y103" s="133"/>
      <c r="Z103" s="133"/>
    </row>
    <row r="104">
      <c r="A104" s="133">
        <f>IFERROR(__xludf.DUMMYFUNCTION("""COMPUTED_VALUE"""),103.0)</f>
        <v>103</v>
      </c>
      <c r="B104" s="133" t="str">
        <f>IFERROR(__xludf.DUMMYFUNCTION("""COMPUTED_VALUE"""),"A4305")</f>
        <v>A4305</v>
      </c>
      <c r="C104" s="133" t="str">
        <f>IFERROR(__xludf.DUMMYFUNCTION("""COMPUTED_VALUE"""),"P-1-N-070920-2657")</f>
        <v>P-1-N-070920-2657</v>
      </c>
      <c r="D104" s="133"/>
      <c r="E104" s="133" t="str">
        <f>IFERROR(__xludf.DUMMYFUNCTION("""COMPUTED_VALUE"""),"تمت طباعة الشهادة")</f>
        <v>تمت طباعة الشهادة</v>
      </c>
      <c r="F104" s="133" t="str">
        <f>IFERROR(__xludf.DUMMYFUNCTION("""COMPUTED_VALUE"""),"Applaws Senior Cat Chicken 7.5 kg")</f>
        <v>Applaws Senior Cat Chicken 7.5 kg</v>
      </c>
      <c r="G104" s="133" t="str">
        <f>IFERROR(__xludf.DUMMYFUNCTION("""COMPUTED_VALUE"""),"ابلاوز دجاج للقطط كبيرة السن 7.5 كغم")</f>
        <v>ابلاوز دجاج للقطط كبيرة السن 7.5 كغم</v>
      </c>
      <c r="H104" s="133" t="str">
        <f>IFERROR(__xludf.DUMMYFUNCTION("""COMPUTED_VALUE"""),"MAFE20201213")</f>
        <v>MAFE20201213</v>
      </c>
      <c r="I104" s="133"/>
      <c r="J104" s="133"/>
      <c r="K104" s="133" t="str">
        <f>IFERROR(__xludf.DUMMYFUNCTION("""COMPUTED_VALUE"""),"أم بي أم برودكتس ليمتد")</f>
        <v>أم بي أم برودكتس ليمتد</v>
      </c>
      <c r="L104" s="142" t="str">
        <f>IFERROR(__xludf.DUMMYFUNCTION("""COMPUTED_VALUE"""),"A4305")</f>
        <v>A4305</v>
      </c>
      <c r="M104" s="133"/>
      <c r="N104" s="133"/>
      <c r="O104" s="133"/>
      <c r="P104" s="133"/>
      <c r="Q104" s="133"/>
      <c r="R104" s="133"/>
      <c r="S104" s="133"/>
      <c r="T104" s="133"/>
      <c r="U104" s="133"/>
      <c r="V104" s="133"/>
      <c r="W104" s="133"/>
      <c r="X104" s="133"/>
      <c r="Y104" s="133"/>
      <c r="Z104" s="133"/>
    </row>
    <row r="105">
      <c r="A105" s="133">
        <f>IFERROR(__xludf.DUMMYFUNCTION("""COMPUTED_VALUE"""),104.0)</f>
        <v>104</v>
      </c>
      <c r="B105" s="133" t="str">
        <f>IFERROR(__xludf.DUMMYFUNCTION("""COMPUTED_VALUE"""),"422224")</f>
        <v>422224</v>
      </c>
      <c r="C105" s="133" t="str">
        <f>IFERROR(__xludf.DUMMYFUNCTION("""COMPUTED_VALUE"""),"P-1-N-070920-2659")</f>
        <v>P-1-N-070920-2659</v>
      </c>
      <c r="D105" s="133"/>
      <c r="E105" s="133" t="str">
        <f>IFERROR(__xludf.DUMMYFUNCTION("""COMPUTED_VALUE"""),"تمت طباعة الشهادة")</f>
        <v>تمت طباعة الشهادة</v>
      </c>
      <c r="F105" s="133" t="str">
        <f>IFERROR(__xludf.DUMMYFUNCTION("""COMPUTED_VALUE"""),"Prestige Loro Parque Australian Parakeet 1 KG")</f>
        <v>Prestige Loro Parque Australian Parakeet 1 KG</v>
      </c>
      <c r="G105" s="133" t="str">
        <f>IFERROR(__xludf.DUMMYFUNCTION("""COMPUTED_VALUE"""),"برستيج لورو بارك باراكيت استرالي 1 كيلو")</f>
        <v>برستيج لورو بارك باراكيت استرالي 1 كيلو</v>
      </c>
      <c r="H105" s="133" t="str">
        <f>IFERROR(__xludf.DUMMYFUNCTION("""COMPUTED_VALUE"""),"MAFE20201215")</f>
        <v>MAFE20201215</v>
      </c>
      <c r="I105" s="133"/>
      <c r="J105" s="133"/>
      <c r="K105" s="133" t="str">
        <f>IFERROR(__xludf.DUMMYFUNCTION("""COMPUTED_VALUE"""),"فيرسل لاقا ان في")</f>
        <v>فيرسل لاقا ان في</v>
      </c>
      <c r="L105" s="142" t="str">
        <f>IFERROR(__xludf.DUMMYFUNCTION("""COMPUTED_VALUE"""),"422224")</f>
        <v>422224</v>
      </c>
      <c r="M105" s="133"/>
      <c r="N105" s="133"/>
      <c r="O105" s="133"/>
      <c r="P105" s="133"/>
      <c r="Q105" s="133"/>
      <c r="R105" s="133"/>
      <c r="S105" s="133"/>
      <c r="T105" s="133"/>
      <c r="U105" s="133"/>
      <c r="V105" s="133"/>
      <c r="W105" s="133"/>
      <c r="X105" s="133"/>
      <c r="Y105" s="133"/>
      <c r="Z105" s="133"/>
    </row>
    <row r="106">
      <c r="A106" s="133">
        <f>IFERROR(__xludf.DUMMYFUNCTION("""COMPUTED_VALUE"""),105.0)</f>
        <v>105</v>
      </c>
      <c r="B106" s="133" t="str">
        <f>IFERROR(__xludf.DUMMYFUNCTION("""COMPUTED_VALUE"""),"422225")</f>
        <v>422225</v>
      </c>
      <c r="C106" s="133" t="str">
        <f>IFERROR(__xludf.DUMMYFUNCTION("""COMPUTED_VALUE"""),"P-1-N-070920-2660")</f>
        <v>P-1-N-070920-2660</v>
      </c>
      <c r="D106" s="133"/>
      <c r="E106" s="133" t="str">
        <f>IFERROR(__xludf.DUMMYFUNCTION("""COMPUTED_VALUE"""),"تمت طباعة الشهادة")</f>
        <v>تمت طباعة الشهادة</v>
      </c>
      <c r="F106" s="133" t="str">
        <f>IFERROR(__xludf.DUMMYFUNCTION("""COMPUTED_VALUE"""),"Prestige Loro Parque Australian Parakeet 2.50 KG")</f>
        <v>Prestige Loro Parque Australian Parakeet 2.50 KG</v>
      </c>
      <c r="G106" s="133" t="str">
        <f>IFERROR(__xludf.DUMMYFUNCTION("""COMPUTED_VALUE"""),"برستيج لورو بارك باراكيت استرالي 2.50 كيلو")</f>
        <v>برستيج لورو بارك باراكيت استرالي 2.50 كيلو</v>
      </c>
      <c r="H106" s="133" t="str">
        <f>IFERROR(__xludf.DUMMYFUNCTION("""COMPUTED_VALUE"""),"MAFE20201200")</f>
        <v>MAFE20201200</v>
      </c>
      <c r="I106" s="133"/>
      <c r="J106" s="133"/>
      <c r="K106" s="133" t="str">
        <f>IFERROR(__xludf.DUMMYFUNCTION("""COMPUTED_VALUE"""),"فيرسل لاقا ان في")</f>
        <v>فيرسل لاقا ان في</v>
      </c>
      <c r="L106" s="142" t="str">
        <f>IFERROR(__xludf.DUMMYFUNCTION("""COMPUTED_VALUE"""),"422225")</f>
        <v>422225</v>
      </c>
      <c r="M106" s="133"/>
      <c r="N106" s="133"/>
      <c r="O106" s="133"/>
      <c r="P106" s="133"/>
      <c r="Q106" s="133"/>
      <c r="R106" s="133"/>
      <c r="S106" s="133"/>
      <c r="T106" s="133"/>
      <c r="U106" s="133"/>
      <c r="V106" s="133"/>
      <c r="W106" s="133"/>
      <c r="X106" s="133"/>
      <c r="Y106" s="133"/>
      <c r="Z106" s="133"/>
    </row>
    <row r="107">
      <c r="A107" s="133">
        <f>IFERROR(__xludf.DUMMYFUNCTION("""COMPUTED_VALUE"""),106.0)</f>
        <v>106</v>
      </c>
      <c r="B107" s="133"/>
      <c r="C107" s="133" t="str">
        <f>IFERROR(__xludf.DUMMYFUNCTION("""COMPUTED_VALUE"""),"P-1-N-070920-2661")</f>
        <v>P-1-N-070920-2661</v>
      </c>
      <c r="D107" s="133"/>
      <c r="E107" s="133" t="str">
        <f>IFERROR(__xludf.DUMMYFUNCTION("""COMPUTED_VALUE"""),"تمت طباعة الشهادة")</f>
        <v>تمت طباعة الشهادة</v>
      </c>
      <c r="F107" s="133" t="str">
        <f>IFERROR(__xludf.DUMMYFUNCTION("""COMPUTED_VALUE"""),"Gistocal 250g")</f>
        <v>Gistocal 250g</v>
      </c>
      <c r="G107" s="133" t="str">
        <f>IFERROR(__xludf.DUMMYFUNCTION("""COMPUTED_VALUE"""),"جيستوكال 250 جم")</f>
        <v>جيستوكال 250 جم</v>
      </c>
      <c r="H107" s="133" t="str">
        <f>IFERROR(__xludf.DUMMYFUNCTION("""COMPUTED_VALUE"""),"MAFE20201199")</f>
        <v>MAFE20201199</v>
      </c>
      <c r="I107" s="133"/>
      <c r="J107" s="133"/>
      <c r="K107" s="133" t="str">
        <f>IFERROR(__xludf.DUMMYFUNCTION("""COMPUTED_VALUE"""),"بيفار بي في")</f>
        <v>بيفار بي في</v>
      </c>
      <c r="L107" s="133"/>
      <c r="M107" s="133"/>
      <c r="N107" s="133"/>
      <c r="O107" s="133"/>
      <c r="P107" s="133"/>
      <c r="Q107" s="133"/>
      <c r="R107" s="133"/>
      <c r="S107" s="133"/>
      <c r="T107" s="133"/>
      <c r="U107" s="133"/>
      <c r="V107" s="133"/>
      <c r="W107" s="133"/>
      <c r="X107" s="133"/>
      <c r="Y107" s="133"/>
      <c r="Z107" s="133"/>
    </row>
    <row r="108">
      <c r="A108" s="133">
        <f>IFERROR(__xludf.DUMMYFUNCTION("""COMPUTED_VALUE"""),107.0)</f>
        <v>107</v>
      </c>
      <c r="B108" s="133" t="str">
        <f>IFERROR(__xludf.DUMMYFUNCTION("""COMPUTED_VALUE"""),"422228")</f>
        <v>422228</v>
      </c>
      <c r="C108" s="133" t="str">
        <f>IFERROR(__xludf.DUMMYFUNCTION("""COMPUTED_VALUE"""),"P-1-N-070920-2662")</f>
        <v>P-1-N-070920-2662</v>
      </c>
      <c r="D108" s="133"/>
      <c r="E108" s="133" t="str">
        <f>IFERROR(__xludf.DUMMYFUNCTION("""COMPUTED_VALUE"""),"تمت طباعة الشهادة")</f>
        <v>تمت طباعة الشهادة</v>
      </c>
      <c r="F108" s="133" t="str">
        <f>IFERROR(__xludf.DUMMYFUNCTION("""COMPUTED_VALUE"""),"Prestige Loro Parque Australian Parakeet 20 KG")</f>
        <v>Prestige Loro Parque Australian Parakeet 20 KG</v>
      </c>
      <c r="G108" s="133" t="str">
        <f>IFERROR(__xludf.DUMMYFUNCTION("""COMPUTED_VALUE"""),"برستيج لورو بارك باراكيت استرالي 20 كيلو")</f>
        <v>برستيج لورو بارك باراكيت استرالي 20 كيلو</v>
      </c>
      <c r="H108" s="133" t="str">
        <f>IFERROR(__xludf.DUMMYFUNCTION("""COMPUTED_VALUE"""),"MAFE20201198")</f>
        <v>MAFE20201198</v>
      </c>
      <c r="I108" s="133"/>
      <c r="J108" s="133"/>
      <c r="K108" s="133" t="str">
        <f>IFERROR(__xludf.DUMMYFUNCTION("""COMPUTED_VALUE"""),"فيرسل لاقا ان في")</f>
        <v>فيرسل لاقا ان في</v>
      </c>
      <c r="L108" s="142" t="str">
        <f>IFERROR(__xludf.DUMMYFUNCTION("""COMPUTED_VALUE"""),"422228")</f>
        <v>422228</v>
      </c>
      <c r="M108" s="133"/>
      <c r="N108" s="133"/>
      <c r="O108" s="133"/>
      <c r="P108" s="133"/>
      <c r="Q108" s="133"/>
      <c r="R108" s="133"/>
      <c r="S108" s="133"/>
      <c r="T108" s="133"/>
      <c r="U108" s="133"/>
      <c r="V108" s="133"/>
      <c r="W108" s="133"/>
      <c r="X108" s="133"/>
      <c r="Y108" s="133"/>
      <c r="Z108" s="133"/>
    </row>
    <row r="109">
      <c r="A109" s="133">
        <f>IFERROR(__xludf.DUMMYFUNCTION("""COMPUTED_VALUE"""),108.0)</f>
        <v>108</v>
      </c>
      <c r="B109" s="133"/>
      <c r="C109" s="133" t="str">
        <f>IFERROR(__xludf.DUMMYFUNCTION("""COMPUTED_VALUE"""),"P-1-N-070920-2677")</f>
        <v>P-1-N-070920-2677</v>
      </c>
      <c r="D109" s="133"/>
      <c r="E109" s="133" t="str">
        <f>IFERROR(__xludf.DUMMYFUNCTION("""COMPUTED_VALUE"""),"تمت طباعة الشهادة")</f>
        <v>تمت طباعة الشهادة</v>
      </c>
      <c r="F109" s="133" t="str">
        <f>IFERROR(__xludf.DUMMYFUNCTION("""COMPUTED_VALUE"""),"Kit cat Purr Puree Plus Joint care (Tuna &amp; Glucosamine) 60g")</f>
        <v>Kit cat Purr Puree Plus Joint care (Tuna &amp; Glucosamine) 60g</v>
      </c>
      <c r="G109" s="133" t="str">
        <f>IFERROR(__xludf.DUMMYFUNCTION("""COMPUTED_VALUE"""),"كت كات بور بوري بلاس العناية بالمفصل (تونا و الجلوكوزامين) 60 جرام")</f>
        <v>كت كات بور بوري بلاس العناية بالمفصل (تونا و الجلوكوزامين) 60 جرام</v>
      </c>
      <c r="H109" s="133" t="str">
        <f>IFERROR(__xludf.DUMMYFUNCTION("""COMPUTED_VALUE"""),"MAFE20201181")</f>
        <v>MAFE20201181</v>
      </c>
      <c r="I109" s="133"/>
      <c r="J109" s="133"/>
      <c r="K109" s="133" t="str">
        <f>IFERROR(__xludf.DUMMYFUNCTION("""COMPUTED_VALUE"""),"شركة يونيكورد العامة المحدودة")</f>
        <v>شركة يونيكورد العامة المحدودة</v>
      </c>
      <c r="L109" s="133"/>
      <c r="M109" s="133"/>
      <c r="N109" s="133"/>
      <c r="O109" s="133"/>
      <c r="P109" s="133"/>
      <c r="Q109" s="133"/>
      <c r="R109" s="133"/>
      <c r="S109" s="133"/>
      <c r="T109" s="133"/>
      <c r="U109" s="133"/>
      <c r="V109" s="133"/>
      <c r="W109" s="133"/>
      <c r="X109" s="133"/>
      <c r="Y109" s="133"/>
      <c r="Z109" s="133"/>
    </row>
    <row r="110">
      <c r="A110" s="133">
        <f>IFERROR(__xludf.DUMMYFUNCTION("""COMPUTED_VALUE"""),109.0)</f>
        <v>109</v>
      </c>
      <c r="B110" s="133" t="str">
        <f>IFERROR(__xludf.DUMMYFUNCTION("""COMPUTED_VALUE"""),"15335")</f>
        <v>15335</v>
      </c>
      <c r="C110" s="133" t="str">
        <f>IFERROR(__xludf.DUMMYFUNCTION("""COMPUTED_VALUE"""),"P-1-N-080920-2696")</f>
        <v>P-1-N-080920-2696</v>
      </c>
      <c r="D110" s="133"/>
      <c r="E110" s="133" t="str">
        <f>IFERROR(__xludf.DUMMYFUNCTION("""COMPUTED_VALUE"""),"تمت طباعة الشهادة")</f>
        <v>تمت طباعة الشهادة</v>
      </c>
      <c r="F110" s="133" t="str">
        <f>IFERROR(__xludf.DUMMYFUNCTION("""COMPUTED_VALUE"""),"Hamster Vitamin Solution 75ml")</f>
        <v>Hamster Vitamin Solution 75ml</v>
      </c>
      <c r="G110" s="133" t="str">
        <f>IFERROR(__xludf.DUMMYFUNCTION("""COMPUTED_VALUE"""),"محلول فيتامين الهامستر 75 مل")</f>
        <v>محلول فيتامين الهامستر 75 مل</v>
      </c>
      <c r="H110" s="133" t="str">
        <f>IFERROR(__xludf.DUMMYFUNCTION("""COMPUTED_VALUE"""),"MAFE20201291")</f>
        <v>MAFE20201291</v>
      </c>
      <c r="I110" s="133"/>
      <c r="J110" s="133"/>
      <c r="K110" s="133" t="str">
        <f>IFERROR(__xludf.DUMMYFUNCTION("""COMPUTED_VALUE"""),"بيفار بي في")</f>
        <v>بيفار بي في</v>
      </c>
      <c r="L110" s="142" t="str">
        <f>IFERROR(__xludf.DUMMYFUNCTION("""COMPUTED_VALUE"""),"15335")</f>
        <v>15335</v>
      </c>
      <c r="M110" s="133"/>
      <c r="N110" s="133"/>
      <c r="O110" s="133"/>
      <c r="P110" s="133"/>
      <c r="Q110" s="133"/>
      <c r="R110" s="133"/>
      <c r="S110" s="133"/>
      <c r="T110" s="133"/>
      <c r="U110" s="133"/>
      <c r="V110" s="133"/>
      <c r="W110" s="133"/>
      <c r="X110" s="133"/>
      <c r="Y110" s="133"/>
      <c r="Z110" s="133"/>
    </row>
    <row r="111">
      <c r="A111" s="133">
        <f>IFERROR(__xludf.DUMMYFUNCTION("""COMPUTED_VALUE"""),110.0)</f>
        <v>110</v>
      </c>
      <c r="B111" s="133" t="str">
        <f>IFERROR(__xludf.DUMMYFUNCTION("""COMPUTED_VALUE"""),"17119")</f>
        <v>17119</v>
      </c>
      <c r="C111" s="133" t="str">
        <f>IFERROR(__xludf.DUMMYFUNCTION("""COMPUTED_VALUE"""),"P-1-N-080920-2697")</f>
        <v>P-1-N-080920-2697</v>
      </c>
      <c r="D111" s="133"/>
      <c r="E111" s="133" t="str">
        <f>IFERROR(__xludf.DUMMYFUNCTION("""COMPUTED_VALUE"""),"تمت طباعة الشهادة")</f>
        <v>تمت طباعة الشهادة</v>
      </c>
      <c r="F111" s="133" t="str">
        <f>IFERROR(__xludf.DUMMYFUNCTION("""COMPUTED_VALUE"""),"Poultry Paste 100g")</f>
        <v>Poultry Paste 100g</v>
      </c>
      <c r="G111" s="133" t="str">
        <f>IFERROR(__xludf.DUMMYFUNCTION("""COMPUTED_VALUE"""),"معجون دواجن 100 جرام")</f>
        <v>معجون دواجن 100 جرام</v>
      </c>
      <c r="H111" s="133" t="str">
        <f>IFERROR(__xludf.DUMMYFUNCTION("""COMPUTED_VALUE"""),"MAFE20201312")</f>
        <v>MAFE20201312</v>
      </c>
      <c r="I111" s="133"/>
      <c r="J111" s="133"/>
      <c r="K111" s="133" t="str">
        <f>IFERROR(__xludf.DUMMYFUNCTION("""COMPUTED_VALUE"""),"بيفار بي في")</f>
        <v>بيفار بي في</v>
      </c>
      <c r="L111" s="142" t="str">
        <f>IFERROR(__xludf.DUMMYFUNCTION("""COMPUTED_VALUE"""),"17119")</f>
        <v>17119</v>
      </c>
      <c r="M111" s="133"/>
      <c r="N111" s="133"/>
      <c r="O111" s="133"/>
      <c r="P111" s="133"/>
      <c r="Q111" s="133"/>
      <c r="R111" s="133"/>
      <c r="S111" s="133"/>
      <c r="T111" s="133"/>
      <c r="U111" s="133"/>
      <c r="V111" s="133"/>
      <c r="W111" s="133"/>
      <c r="X111" s="133"/>
      <c r="Y111" s="133"/>
      <c r="Z111" s="133"/>
    </row>
    <row r="112">
      <c r="A112" s="133">
        <f>IFERROR(__xludf.DUMMYFUNCTION("""COMPUTED_VALUE"""),111.0)</f>
        <v>111</v>
      </c>
      <c r="B112" s="133" t="str">
        <f>IFERROR(__xludf.DUMMYFUNCTION("""COMPUTED_VALUE"""),"17120")</f>
        <v>17120</v>
      </c>
      <c r="C112" s="133" t="str">
        <f>IFERROR(__xludf.DUMMYFUNCTION("""COMPUTED_VALUE"""),"P-1-N-080920-2699")</f>
        <v>P-1-N-080920-2699</v>
      </c>
      <c r="D112" s="133"/>
      <c r="E112" s="133" t="str">
        <f>IFERROR(__xludf.DUMMYFUNCTION("""COMPUTED_VALUE"""),"تمت طباعة الشهادة")</f>
        <v>تمت طباعة الشهادة</v>
      </c>
      <c r="F112" s="133" t="str">
        <f>IFERROR(__xludf.DUMMYFUNCTION("""COMPUTED_VALUE"""),"Salmon Oil Paste100g")</f>
        <v>Salmon Oil Paste100g</v>
      </c>
      <c r="G112" s="133" t="str">
        <f>IFERROR(__xludf.DUMMYFUNCTION("""COMPUTED_VALUE"""),"معجون زيت السلمون 100 جم")</f>
        <v>معجون زيت السلمون 100 جم</v>
      </c>
      <c r="H112" s="133" t="str">
        <f>IFERROR(__xludf.DUMMYFUNCTION("""COMPUTED_VALUE"""),"MAFE20201290")</f>
        <v>MAFE20201290</v>
      </c>
      <c r="I112" s="133"/>
      <c r="J112" s="133"/>
      <c r="K112" s="133" t="str">
        <f>IFERROR(__xludf.DUMMYFUNCTION("""COMPUTED_VALUE"""),"بيفار بي في")</f>
        <v>بيفار بي في</v>
      </c>
      <c r="L112" s="142" t="str">
        <f>IFERROR(__xludf.DUMMYFUNCTION("""COMPUTED_VALUE"""),"17120")</f>
        <v>17120</v>
      </c>
      <c r="M112" s="133"/>
      <c r="N112" s="133"/>
      <c r="O112" s="133"/>
      <c r="P112" s="133"/>
      <c r="Q112" s="133"/>
      <c r="R112" s="133"/>
      <c r="S112" s="133"/>
      <c r="T112" s="133"/>
      <c r="U112" s="133"/>
      <c r="V112" s="133"/>
      <c r="W112" s="133"/>
      <c r="X112" s="133"/>
      <c r="Y112" s="133"/>
      <c r="Z112" s="133"/>
    </row>
    <row r="113">
      <c r="A113" s="133">
        <f>IFERROR(__xludf.DUMMYFUNCTION("""COMPUTED_VALUE"""),112.0)</f>
        <v>112</v>
      </c>
      <c r="B113" s="133" t="str">
        <f>IFERROR(__xludf.DUMMYFUNCTION("""COMPUTED_VALUE"""),"17036")</f>
        <v>17036</v>
      </c>
      <c r="C113" s="133" t="str">
        <f>IFERROR(__xludf.DUMMYFUNCTION("""COMPUTED_VALUE"""),"P-1-N-080920-2700")</f>
        <v>P-1-N-080920-2700</v>
      </c>
      <c r="D113" s="133"/>
      <c r="E113" s="133" t="str">
        <f>IFERROR(__xludf.DUMMYFUNCTION("""COMPUTED_VALUE"""),"تمت طباعة الشهادة")</f>
        <v>تمت طباعة الشهادة</v>
      </c>
      <c r="F113" s="133" t="str">
        <f>IFERROR(__xludf.DUMMYFUNCTION("""COMPUTED_VALUE"""),"Multi Vitamin Paste Duo-active Cat 100g")</f>
        <v>Multi Vitamin Paste Duo-active Cat 100g</v>
      </c>
      <c r="G113" s="133" t="str">
        <f>IFERROR(__xludf.DUMMYFUNCTION("""COMPUTED_VALUE"""),"معجون متعدد الفيتامينات ديو-أكتيف كات 100 جرام")</f>
        <v>معجون متعدد الفيتامينات ديو-أكتيف كات 100 جرام</v>
      </c>
      <c r="H113" s="133" t="str">
        <f>IFERROR(__xludf.DUMMYFUNCTION("""COMPUTED_VALUE"""),"MAFE20201289")</f>
        <v>MAFE20201289</v>
      </c>
      <c r="I113" s="133"/>
      <c r="J113" s="133"/>
      <c r="K113" s="133" t="str">
        <f>IFERROR(__xludf.DUMMYFUNCTION("""COMPUTED_VALUE"""),"بيفار بي في")</f>
        <v>بيفار بي في</v>
      </c>
      <c r="L113" s="142" t="str">
        <f>IFERROR(__xludf.DUMMYFUNCTION("""COMPUTED_VALUE"""),"17036")</f>
        <v>17036</v>
      </c>
      <c r="M113" s="133"/>
      <c r="N113" s="133"/>
      <c r="O113" s="133"/>
      <c r="P113" s="133"/>
      <c r="Q113" s="133"/>
      <c r="R113" s="133"/>
      <c r="S113" s="133"/>
      <c r="T113" s="133"/>
      <c r="U113" s="133"/>
      <c r="V113" s="133"/>
      <c r="W113" s="133"/>
      <c r="X113" s="133"/>
      <c r="Y113" s="133"/>
      <c r="Z113" s="133"/>
    </row>
    <row r="114">
      <c r="A114" s="133">
        <f>IFERROR(__xludf.DUMMYFUNCTION("""COMPUTED_VALUE"""),113.0)</f>
        <v>113</v>
      </c>
      <c r="B114" s="133" t="str">
        <f>IFERROR(__xludf.DUMMYFUNCTION("""COMPUTED_VALUE"""),"12952")</f>
        <v>12952</v>
      </c>
      <c r="C114" s="133" t="str">
        <f>IFERROR(__xludf.DUMMYFUNCTION("""COMPUTED_VALUE"""),"P-1-N-080920-2701")</f>
        <v>P-1-N-080920-2701</v>
      </c>
      <c r="D114" s="133"/>
      <c r="E114" s="133" t="str">
        <f>IFERROR(__xludf.DUMMYFUNCTION("""COMPUTED_VALUE"""),"تمت طباعة الشهادة")</f>
        <v>تمت طباعة الشهادة</v>
      </c>
      <c r="F114" s="133" t="str">
        <f>IFERROR(__xludf.DUMMYFUNCTION("""COMPUTED_VALUE"""),"Multi Vitamin Paste Dog 100g")</f>
        <v>Multi Vitamin Paste Dog 100g</v>
      </c>
      <c r="G114" s="133" t="str">
        <f>IFERROR(__xludf.DUMMYFUNCTION("""COMPUTED_VALUE"""),"معجون متعدد الفيتامينات للكلاب 100 جرام")</f>
        <v>معجون متعدد الفيتامينات للكلاب 100 جرام</v>
      </c>
      <c r="H114" s="133" t="str">
        <f>IFERROR(__xludf.DUMMYFUNCTION("""COMPUTED_VALUE"""),"MAFE20201311")</f>
        <v>MAFE20201311</v>
      </c>
      <c r="I114" s="133"/>
      <c r="J114" s="133"/>
      <c r="K114" s="133" t="str">
        <f>IFERROR(__xludf.DUMMYFUNCTION("""COMPUTED_VALUE"""),"بيفار بي في")</f>
        <v>بيفار بي في</v>
      </c>
      <c r="L114" s="142" t="str">
        <f>IFERROR(__xludf.DUMMYFUNCTION("""COMPUTED_VALUE"""),"12952")</f>
        <v>12952</v>
      </c>
      <c r="M114" s="133"/>
      <c r="N114" s="133"/>
      <c r="O114" s="133"/>
      <c r="P114" s="133"/>
      <c r="Q114" s="133"/>
      <c r="R114" s="133"/>
      <c r="S114" s="133"/>
      <c r="T114" s="133"/>
      <c r="U114" s="133"/>
      <c r="V114" s="133"/>
      <c r="W114" s="133"/>
      <c r="X114" s="133"/>
      <c r="Y114" s="133"/>
      <c r="Z114" s="133"/>
    </row>
    <row r="115">
      <c r="A115" s="133">
        <f>IFERROR(__xludf.DUMMYFUNCTION("""COMPUTED_VALUE"""),114.0)</f>
        <v>114</v>
      </c>
      <c r="B115" s="133"/>
      <c r="C115" s="133" t="str">
        <f>IFERROR(__xludf.DUMMYFUNCTION("""COMPUTED_VALUE"""),"P-1-N-080920-2706")</f>
        <v>P-1-N-080920-2706</v>
      </c>
      <c r="D115" s="133"/>
      <c r="E115" s="133" t="str">
        <f>IFERROR(__xludf.DUMMYFUNCTION("""COMPUTED_VALUE"""),"تمت طباعة الشهادة")</f>
        <v>تمت طباعة الشهادة</v>
      </c>
      <c r="F115" s="133" t="str">
        <f>IFERROR(__xludf.DUMMYFUNCTION("""COMPUTED_VALUE"""),"Vitamine A Bird 20ml")</f>
        <v>Vitamine A Bird 20ml</v>
      </c>
      <c r="G115" s="133" t="str">
        <f>IFERROR(__xludf.DUMMYFUNCTION("""COMPUTED_VALUE"""),"فيتامين أ للطيور 20 مل")</f>
        <v>فيتامين أ للطيور 20 مل</v>
      </c>
      <c r="H115" s="133" t="str">
        <f>IFERROR(__xludf.DUMMYFUNCTION("""COMPUTED_VALUE"""),"MAFE20201288")</f>
        <v>MAFE20201288</v>
      </c>
      <c r="I115" s="133"/>
      <c r="J115" s="133"/>
      <c r="K115" s="133" t="str">
        <f>IFERROR(__xludf.DUMMYFUNCTION("""COMPUTED_VALUE"""),"بيفار بي في")</f>
        <v>بيفار بي في</v>
      </c>
      <c r="L115" s="133"/>
      <c r="M115" s="133"/>
      <c r="N115" s="133"/>
      <c r="O115" s="133"/>
      <c r="P115" s="133"/>
      <c r="Q115" s="133"/>
      <c r="R115" s="133"/>
      <c r="S115" s="133"/>
      <c r="T115" s="133"/>
      <c r="U115" s="133"/>
      <c r="V115" s="133"/>
      <c r="W115" s="133"/>
      <c r="X115" s="133"/>
      <c r="Y115" s="133"/>
      <c r="Z115" s="133"/>
    </row>
    <row r="116">
      <c r="A116" s="133">
        <f>IFERROR(__xludf.DUMMYFUNCTION("""COMPUTED_VALUE"""),115.0)</f>
        <v>115</v>
      </c>
      <c r="B116" s="133"/>
      <c r="C116" s="133" t="str">
        <f>IFERROR(__xludf.DUMMYFUNCTION("""COMPUTED_VALUE"""),"P-1-N-080920-2711")</f>
        <v>P-1-N-080920-2711</v>
      </c>
      <c r="D116" s="133"/>
      <c r="E116" s="133" t="str">
        <f>IFERROR(__xludf.DUMMYFUNCTION("""COMPUTED_VALUE"""),"تمت طباعة الشهادة")</f>
        <v>تمت طباعة الشهادة</v>
      </c>
      <c r="F116" s="133" t="str">
        <f>IFERROR(__xludf.DUMMYFUNCTION("""COMPUTED_VALUE"""),"Multi-Vit Parrots and Parakeets 20ml")</f>
        <v>Multi-Vit Parrots and Parakeets 20ml</v>
      </c>
      <c r="G116" s="133" t="str">
        <f>IFERROR(__xludf.DUMMYFUNCTION("""COMPUTED_VALUE"""),"ملتي فيت لالببغاوات و الباراكيت 20 مل")</f>
        <v>ملتي فيت لالببغاوات و الباراكيت 20 مل</v>
      </c>
      <c r="H116" s="133" t="str">
        <f>IFERROR(__xludf.DUMMYFUNCTION("""COMPUTED_VALUE"""),"MAFE20201287")</f>
        <v>MAFE20201287</v>
      </c>
      <c r="I116" s="133"/>
      <c r="J116" s="133"/>
      <c r="K116" s="133" t="str">
        <f>IFERROR(__xludf.DUMMYFUNCTION("""COMPUTED_VALUE"""),"بيفار بي في")</f>
        <v>بيفار بي في</v>
      </c>
      <c r="L116" s="133"/>
      <c r="M116" s="133"/>
      <c r="N116" s="133"/>
      <c r="O116" s="133"/>
      <c r="P116" s="133"/>
      <c r="Q116" s="133"/>
      <c r="R116" s="133"/>
      <c r="S116" s="133"/>
      <c r="T116" s="133"/>
      <c r="U116" s="133"/>
      <c r="V116" s="133"/>
      <c r="W116" s="133"/>
      <c r="X116" s="133"/>
      <c r="Y116" s="133"/>
      <c r="Z116" s="133"/>
    </row>
    <row r="117">
      <c r="A117" s="133">
        <f>IFERROR(__xludf.DUMMYFUNCTION("""COMPUTED_VALUE"""),116.0)</f>
        <v>116</v>
      </c>
      <c r="B117" s="133"/>
      <c r="C117" s="133" t="str">
        <f>IFERROR(__xludf.DUMMYFUNCTION("""COMPUTED_VALUE"""),"P-1-N-080920-2715")</f>
        <v>P-1-N-080920-2715</v>
      </c>
      <c r="D117" s="133"/>
      <c r="E117" s="133" t="str">
        <f>IFERROR(__xludf.DUMMYFUNCTION("""COMPUTED_VALUE"""),"تمت طباعة الشهادة")</f>
        <v>تمت طباعة الشهادة</v>
      </c>
      <c r="F117" s="133" t="str">
        <f>IFERROR(__xludf.DUMMYFUNCTION("""COMPUTED_VALUE"""),"Vitamine B 50ml")</f>
        <v>Vitamine B 50ml</v>
      </c>
      <c r="G117" s="133" t="str">
        <f>IFERROR(__xludf.DUMMYFUNCTION("""COMPUTED_VALUE"""),"فيتامين ب 50 مل")</f>
        <v>فيتامين ب 50 مل</v>
      </c>
      <c r="H117" s="133" t="str">
        <f>IFERROR(__xludf.DUMMYFUNCTION("""COMPUTED_VALUE"""),"MAFE20201377")</f>
        <v>MAFE20201377</v>
      </c>
      <c r="I117" s="133"/>
      <c r="J117" s="133"/>
      <c r="K117" s="133" t="str">
        <f>IFERROR(__xludf.DUMMYFUNCTION("""COMPUTED_VALUE"""),"بيفار بي في")</f>
        <v>بيفار بي في</v>
      </c>
      <c r="L117" s="133"/>
      <c r="M117" s="133"/>
      <c r="N117" s="133"/>
      <c r="O117" s="133"/>
      <c r="P117" s="133"/>
      <c r="Q117" s="133"/>
      <c r="R117" s="133"/>
      <c r="S117" s="133"/>
      <c r="T117" s="133"/>
      <c r="U117" s="133"/>
      <c r="V117" s="133"/>
      <c r="W117" s="133"/>
      <c r="X117" s="133"/>
      <c r="Y117" s="133"/>
      <c r="Z117" s="133"/>
    </row>
    <row r="118">
      <c r="A118" s="133">
        <f>IFERROR(__xludf.DUMMYFUNCTION("""COMPUTED_VALUE"""),117.0)</f>
        <v>117</v>
      </c>
      <c r="B118" s="133" t="str">
        <f>IFERROR(__xludf.DUMMYFUNCTION("""COMPUTED_VALUE"""),"422212")</f>
        <v>422212</v>
      </c>
      <c r="C118" s="133" t="str">
        <f>IFERROR(__xludf.DUMMYFUNCTION("""COMPUTED_VALUE"""),"P-1-N-080920-2738")</f>
        <v>P-1-N-080920-2738</v>
      </c>
      <c r="D118" s="133"/>
      <c r="E118" s="133" t="str">
        <f>IFERROR(__xludf.DUMMYFUNCTION("""COMPUTED_VALUE"""),"تمت طباعة الشهادة")</f>
        <v>تمت طباعة الشهادة</v>
      </c>
      <c r="F118" s="133" t="str">
        <f>IFERROR(__xludf.DUMMYFUNCTION("""COMPUTED_VALUE"""),"Prestige Loro Parque Australian Parrot 1 KG")</f>
        <v>Prestige Loro Parque Australian Parrot 1 KG</v>
      </c>
      <c r="G118" s="133" t="str">
        <f>IFERROR(__xludf.DUMMYFUNCTION("""COMPUTED_VALUE"""),"برستيج لورو بارك ببغاء استرالي 1 كيلو")</f>
        <v>برستيج لورو بارك ببغاء استرالي 1 كيلو</v>
      </c>
      <c r="H118" s="133" t="str">
        <f>IFERROR(__xludf.DUMMYFUNCTION("""COMPUTED_VALUE"""),"MAFE20201286")</f>
        <v>MAFE20201286</v>
      </c>
      <c r="I118" s="133"/>
      <c r="J118" s="133"/>
      <c r="K118" s="133" t="str">
        <f>IFERROR(__xludf.DUMMYFUNCTION("""COMPUTED_VALUE"""),"فيرسل لاقا ان في")</f>
        <v>فيرسل لاقا ان في</v>
      </c>
      <c r="L118" s="142" t="str">
        <f>IFERROR(__xludf.DUMMYFUNCTION("""COMPUTED_VALUE"""),"422212")</f>
        <v>422212</v>
      </c>
      <c r="M118" s="133"/>
      <c r="N118" s="133"/>
      <c r="O118" s="133"/>
      <c r="P118" s="133"/>
      <c r="Q118" s="133"/>
      <c r="R118" s="133"/>
      <c r="S118" s="133"/>
      <c r="T118" s="133"/>
      <c r="U118" s="133"/>
      <c r="V118" s="133"/>
      <c r="W118" s="133"/>
      <c r="X118" s="133"/>
      <c r="Y118" s="133"/>
      <c r="Z118" s="133"/>
    </row>
    <row r="119">
      <c r="A119" s="133">
        <f>IFERROR(__xludf.DUMMYFUNCTION("""COMPUTED_VALUE"""),118.0)</f>
        <v>118</v>
      </c>
      <c r="B119" s="133" t="str">
        <f>IFERROR(__xludf.DUMMYFUNCTION("""COMPUTED_VALUE"""),"422208")</f>
        <v>422208</v>
      </c>
      <c r="C119" s="133" t="str">
        <f>IFERROR(__xludf.DUMMYFUNCTION("""COMPUTED_VALUE"""),"P-1-N-080920-2740")</f>
        <v>P-1-N-080920-2740</v>
      </c>
      <c r="D119" s="133"/>
      <c r="E119" s="133" t="str">
        <f>IFERROR(__xludf.DUMMYFUNCTION("""COMPUTED_VALUE"""),"تمت طباعة الشهادة")</f>
        <v>تمت طباعة الشهادة</v>
      </c>
      <c r="F119" s="133" t="str">
        <f>IFERROR(__xludf.DUMMYFUNCTION("""COMPUTED_VALUE"""),"Prestige Loro Parque Amazone Parrot 1 KG")</f>
        <v>Prestige Loro Parque Amazone Parrot 1 KG</v>
      </c>
      <c r="G119" s="133" t="str">
        <f>IFERROR(__xludf.DUMMYFUNCTION("""COMPUTED_VALUE"""),"برستيج لورو بارك ببغاء امازوني 1 كيلو")</f>
        <v>برستيج لورو بارك ببغاء امازوني 1 كيلو</v>
      </c>
      <c r="H119" s="133" t="str">
        <f>IFERROR(__xludf.DUMMYFUNCTION("""COMPUTED_VALUE"""),"MAFE20201285")</f>
        <v>MAFE20201285</v>
      </c>
      <c r="I119" s="133"/>
      <c r="J119" s="133"/>
      <c r="K119" s="133" t="str">
        <f>IFERROR(__xludf.DUMMYFUNCTION("""COMPUTED_VALUE"""),"فيرسل لاقا ان في")</f>
        <v>فيرسل لاقا ان في</v>
      </c>
      <c r="L119" s="142" t="str">
        <f>IFERROR(__xludf.DUMMYFUNCTION("""COMPUTED_VALUE"""),"422208")</f>
        <v>422208</v>
      </c>
      <c r="M119" s="133"/>
      <c r="N119" s="133"/>
      <c r="O119" s="133"/>
      <c r="P119" s="133"/>
      <c r="Q119" s="133"/>
      <c r="R119" s="133"/>
      <c r="S119" s="133"/>
      <c r="T119" s="133"/>
      <c r="U119" s="133"/>
      <c r="V119" s="133"/>
      <c r="W119" s="133"/>
      <c r="X119" s="133"/>
      <c r="Y119" s="133"/>
      <c r="Z119" s="133"/>
    </row>
    <row r="120">
      <c r="A120" s="133">
        <f>IFERROR(__xludf.DUMMYFUNCTION("""COMPUTED_VALUE"""),119.0)</f>
        <v>119</v>
      </c>
      <c r="B120" s="133"/>
      <c r="C120" s="133" t="str">
        <f>IFERROR(__xludf.DUMMYFUNCTION("""COMPUTED_VALUE"""),"P-1-N-080920-2743")</f>
        <v>P-1-N-080920-2743</v>
      </c>
      <c r="D120" s="133"/>
      <c r="E120" s="133" t="str">
        <f>IFERROR(__xludf.DUMMYFUNCTION("""COMPUTED_VALUE"""),"تمت طباعة الشهادة")</f>
        <v>تمت طباعة الشهادة</v>
      </c>
      <c r="F120" s="133" t="str">
        <f>IFERROR(__xludf.DUMMYFUNCTION("""COMPUTED_VALUE"""),"Prestige Loro Parque African Parrot 1 KG")</f>
        <v>Prestige Loro Parque African Parrot 1 KG</v>
      </c>
      <c r="G120" s="133" t="str">
        <f>IFERROR(__xludf.DUMMYFUNCTION("""COMPUTED_VALUE"""),"برستيج لورو بارك ببغاء افريقي 1 كيلو")</f>
        <v>برستيج لورو بارك ببغاء افريقي 1 كيلو</v>
      </c>
      <c r="H120" s="133" t="str">
        <f>IFERROR(__xludf.DUMMYFUNCTION("""COMPUTED_VALUE"""),"MAFE20201284")</f>
        <v>MAFE20201284</v>
      </c>
      <c r="I120" s="133"/>
      <c r="J120" s="133"/>
      <c r="K120" s="133" t="str">
        <f>IFERROR(__xludf.DUMMYFUNCTION("""COMPUTED_VALUE"""),"فيرسل لاقا ان في")</f>
        <v>فيرسل لاقا ان في</v>
      </c>
      <c r="L120" s="133"/>
      <c r="M120" s="133"/>
      <c r="N120" s="133"/>
      <c r="O120" s="133"/>
      <c r="P120" s="133"/>
      <c r="Q120" s="133"/>
      <c r="R120" s="133"/>
      <c r="S120" s="133"/>
      <c r="T120" s="133"/>
      <c r="U120" s="133"/>
      <c r="V120" s="133"/>
      <c r="W120" s="133"/>
      <c r="X120" s="133"/>
      <c r="Y120" s="133"/>
      <c r="Z120" s="133"/>
    </row>
    <row r="121">
      <c r="A121" s="133">
        <f>IFERROR(__xludf.DUMMYFUNCTION("""COMPUTED_VALUE"""),120.0)</f>
        <v>120</v>
      </c>
      <c r="B121" s="133"/>
      <c r="C121" s="133" t="str">
        <f>IFERROR(__xludf.DUMMYFUNCTION("""COMPUTED_VALUE"""),"P-1-N-080920-2746")</f>
        <v>P-1-N-080920-2746</v>
      </c>
      <c r="D121" s="133"/>
      <c r="E121" s="133" t="str">
        <f>IFERROR(__xludf.DUMMYFUNCTION("""COMPUTED_VALUE"""),"تمت طباعة الشهادة")</f>
        <v>تمت طباعة الشهادة</v>
      </c>
      <c r="F121" s="133" t="str">
        <f>IFERROR(__xludf.DUMMYFUNCTION("""COMPUTED_VALUE"""),"Prestige Loro Parque African Parrot 2.50 KG")</f>
        <v>Prestige Loro Parque African Parrot 2.50 KG</v>
      </c>
      <c r="G121" s="133" t="str">
        <f>IFERROR(__xludf.DUMMYFUNCTION("""COMPUTED_VALUE"""),"برستيج لورو بارك ببغاء افريقي 2.50 كيلو")</f>
        <v>برستيج لورو بارك ببغاء افريقي 2.50 كيلو</v>
      </c>
      <c r="H121" s="133" t="str">
        <f>IFERROR(__xludf.DUMMYFUNCTION("""COMPUTED_VALUE"""),"MAFE20201283")</f>
        <v>MAFE20201283</v>
      </c>
      <c r="I121" s="133"/>
      <c r="J121" s="133"/>
      <c r="K121" s="133" t="str">
        <f>IFERROR(__xludf.DUMMYFUNCTION("""COMPUTED_VALUE"""),"فيرسل لاقا ان في")</f>
        <v>فيرسل لاقا ان في</v>
      </c>
      <c r="L121" s="133"/>
      <c r="M121" s="133"/>
      <c r="N121" s="133"/>
      <c r="O121" s="133"/>
      <c r="P121" s="133"/>
      <c r="Q121" s="133"/>
      <c r="R121" s="133"/>
      <c r="S121" s="133"/>
      <c r="T121" s="133"/>
      <c r="U121" s="133"/>
      <c r="V121" s="133"/>
      <c r="W121" s="133"/>
      <c r="X121" s="133"/>
      <c r="Y121" s="133"/>
      <c r="Z121" s="133"/>
    </row>
    <row r="122">
      <c r="A122" s="133">
        <f>IFERROR(__xludf.DUMMYFUNCTION("""COMPUTED_VALUE"""),121.0)</f>
        <v>121</v>
      </c>
      <c r="B122" s="133"/>
      <c r="C122" s="133" t="str">
        <f>IFERROR(__xludf.DUMMYFUNCTION("""COMPUTED_VALUE"""),"P-1-N-120920-2863")</f>
        <v>P-1-N-120920-2863</v>
      </c>
      <c r="D122" s="133"/>
      <c r="E122" s="133" t="str">
        <f>IFERROR(__xludf.DUMMYFUNCTION("""COMPUTED_VALUE"""),"تمت طباعة الشهادة")</f>
        <v>تمت طباعة الشهادة</v>
      </c>
      <c r="F122" s="133" t="str">
        <f>IFERROR(__xludf.DUMMYFUNCTION("""COMPUTED_VALUE"""),"Kitcat classic 32 1.20 kg")</f>
        <v>Kitcat classic 32 1.20 kg</v>
      </c>
      <c r="G122" s="133" t="str">
        <f>IFERROR(__xludf.DUMMYFUNCTION("""COMPUTED_VALUE"""),"كت كات كلاسيك32 1.2كيلو")</f>
        <v>كت كات كلاسيك32 1.2كيلو</v>
      </c>
      <c r="H122" s="133" t="str">
        <f>IFERROR(__xludf.DUMMYFUNCTION("""COMPUTED_VALUE"""),"MAFE20201233")</f>
        <v>MAFE20201233</v>
      </c>
      <c r="I122" s="133"/>
      <c r="J122" s="133"/>
      <c r="K122" s="133" t="str">
        <f>IFERROR(__xludf.DUMMYFUNCTION("""COMPUTED_VALUE"""),"شركة نوتريكس العامة المحدودة")</f>
        <v>شركة نوتريكس العامة المحدودة</v>
      </c>
      <c r="L122" s="133"/>
      <c r="M122" s="133"/>
      <c r="N122" s="133"/>
      <c r="O122" s="133"/>
      <c r="P122" s="133"/>
      <c r="Q122" s="133"/>
      <c r="R122" s="133"/>
      <c r="S122" s="133"/>
      <c r="T122" s="133"/>
      <c r="U122" s="133"/>
      <c r="V122" s="133"/>
      <c r="W122" s="133"/>
      <c r="X122" s="133"/>
      <c r="Y122" s="133"/>
      <c r="Z122" s="133"/>
    </row>
    <row r="123">
      <c r="A123" s="133">
        <f>IFERROR(__xludf.DUMMYFUNCTION("""COMPUTED_VALUE"""),122.0)</f>
        <v>122</v>
      </c>
      <c r="B123" s="133"/>
      <c r="C123" s="133" t="str">
        <f>IFERROR(__xludf.DUMMYFUNCTION("""COMPUTED_VALUE"""),"P-1-N-130920-2879")</f>
        <v>P-1-N-130920-2879</v>
      </c>
      <c r="D123" s="133"/>
      <c r="E123" s="133" t="str">
        <f>IFERROR(__xludf.DUMMYFUNCTION("""COMPUTED_VALUE"""),"REJECTED")</f>
        <v>REJECTED</v>
      </c>
      <c r="F123" s="133" t="str">
        <f>IFERROR(__xludf.DUMMYFUNCTION("""COMPUTED_VALUE"""),"Top 10 Cat 150g")</f>
        <v>Top 10 Cat 150g</v>
      </c>
      <c r="G123" s="133" t="str">
        <f>IFERROR(__xludf.DUMMYFUNCTION("""COMPUTED_VALUE"""),"توب 10 للقطط 150 جرام")</f>
        <v>توب 10 للقطط 150 جرام</v>
      </c>
      <c r="H123" s="133"/>
      <c r="I123" s="133"/>
      <c r="J123" s="133"/>
      <c r="K123" s="133" t="str">
        <f>IFERROR(__xludf.DUMMYFUNCTION("""COMPUTED_VALUE"""),"بيفار بي في")</f>
        <v>بيفار بي في</v>
      </c>
      <c r="L123" s="133"/>
      <c r="M123" s="133"/>
      <c r="N123" s="133"/>
      <c r="O123" s="133"/>
      <c r="P123" s="133"/>
      <c r="Q123" s="133"/>
      <c r="R123" s="133"/>
      <c r="S123" s="133"/>
      <c r="T123" s="133"/>
      <c r="U123" s="133"/>
      <c r="V123" s="133"/>
      <c r="W123" s="133"/>
      <c r="X123" s="133"/>
      <c r="Y123" s="133"/>
      <c r="Z123" s="133"/>
    </row>
    <row r="124">
      <c r="A124" s="133">
        <f>IFERROR(__xludf.DUMMYFUNCTION("""COMPUTED_VALUE"""),123.0)</f>
        <v>123</v>
      </c>
      <c r="B124" s="133"/>
      <c r="C124" s="133" t="str">
        <f>IFERROR(__xludf.DUMMYFUNCTION("""COMPUTED_VALUE"""),"P-1-N-130920-2880")</f>
        <v>P-1-N-130920-2880</v>
      </c>
      <c r="D124" s="133"/>
      <c r="E124" s="133" t="str">
        <f>IFERROR(__xludf.DUMMYFUNCTION("""COMPUTED_VALUE"""),"REJECTED")</f>
        <v>REJECTED</v>
      </c>
      <c r="F124" s="133" t="str">
        <f>IFERROR(__xludf.DUMMYFUNCTION("""COMPUTED_VALUE"""),"Top 10 Dog 118g")</f>
        <v>Top 10 Dog 118g</v>
      </c>
      <c r="G124" s="133" t="str">
        <f>IFERROR(__xludf.DUMMYFUNCTION("""COMPUTED_VALUE"""),"توب 10 للكلاب118 جرام")</f>
        <v>توب 10 للكلاب118 جرام</v>
      </c>
      <c r="H124" s="133"/>
      <c r="I124" s="133"/>
      <c r="J124" s="133"/>
      <c r="K124" s="133" t="str">
        <f>IFERROR(__xludf.DUMMYFUNCTION("""COMPUTED_VALUE"""),"بيفار بي في")</f>
        <v>بيفار بي في</v>
      </c>
      <c r="L124" s="133"/>
      <c r="M124" s="133"/>
      <c r="N124" s="133"/>
      <c r="O124" s="133"/>
      <c r="P124" s="133"/>
      <c r="Q124" s="133"/>
      <c r="R124" s="133"/>
      <c r="S124" s="133"/>
      <c r="T124" s="133"/>
      <c r="U124" s="133"/>
      <c r="V124" s="133"/>
      <c r="W124" s="133"/>
      <c r="X124" s="133"/>
      <c r="Y124" s="133"/>
      <c r="Z124" s="133"/>
    </row>
    <row r="125">
      <c r="A125" s="133">
        <f>IFERROR(__xludf.DUMMYFUNCTION("""COMPUTED_VALUE"""),124.0)</f>
        <v>124</v>
      </c>
      <c r="B125" s="133"/>
      <c r="C125" s="133" t="str">
        <f>IFERROR(__xludf.DUMMYFUNCTION("""COMPUTED_VALUE"""),"P-1-N-130920-2882")</f>
        <v>P-1-N-130920-2882</v>
      </c>
      <c r="D125" s="133"/>
      <c r="E125" s="133" t="str">
        <f>IFERROR(__xludf.DUMMYFUNCTION("""COMPUTED_VALUE"""),"تمت طباعة الشهادة")</f>
        <v>تمت طباعة الشهادة</v>
      </c>
      <c r="F125" s="133" t="str">
        <f>IFERROR(__xludf.DUMMYFUNCTION("""COMPUTED_VALUE"""),"Multi-Vit Birds 20ml")</f>
        <v>Multi-Vit Birds 20ml</v>
      </c>
      <c r="G125" s="133" t="str">
        <f>IFERROR(__xludf.DUMMYFUNCTION("""COMPUTED_VALUE"""),"ملتي فيت للطيور 20 مل")</f>
        <v>ملتي فيت للطيور 20 مل</v>
      </c>
      <c r="H125" s="133" t="str">
        <f>IFERROR(__xludf.DUMMYFUNCTION("""COMPUTED_VALUE"""),"MAFE20201308")</f>
        <v>MAFE20201308</v>
      </c>
      <c r="I125" s="133"/>
      <c r="J125" s="133"/>
      <c r="K125" s="133" t="str">
        <f>IFERROR(__xludf.DUMMYFUNCTION("""COMPUTED_VALUE"""),"بيفار بي في")</f>
        <v>بيفار بي في</v>
      </c>
      <c r="L125" s="133"/>
      <c r="M125" s="133"/>
      <c r="N125" s="133"/>
      <c r="O125" s="133"/>
      <c r="P125" s="133"/>
      <c r="Q125" s="133"/>
      <c r="R125" s="133"/>
      <c r="S125" s="133"/>
      <c r="T125" s="133"/>
      <c r="U125" s="133"/>
      <c r="V125" s="133"/>
      <c r="W125" s="133"/>
      <c r="X125" s="133"/>
      <c r="Y125" s="133"/>
      <c r="Z125" s="133"/>
    </row>
    <row r="126">
      <c r="A126" s="133">
        <f>IFERROR(__xludf.DUMMYFUNCTION("""COMPUTED_VALUE"""),125.0)</f>
        <v>125</v>
      </c>
      <c r="B126" s="133" t="str">
        <f>IFERROR(__xludf.DUMMYFUNCTION("""COMPUTED_VALUE"""),"11285")</f>
        <v>11285</v>
      </c>
      <c r="C126" s="133" t="str">
        <f>IFERROR(__xludf.DUMMYFUNCTION("""COMPUTED_VALUE"""),"P-1-N-130920-2885")</f>
        <v>P-1-N-130920-2885</v>
      </c>
      <c r="D126" s="133"/>
      <c r="E126" s="133" t="str">
        <f>IFERROR(__xludf.DUMMYFUNCTION("""COMPUTED_VALUE"""),"تمت طباعة الشهادة")</f>
        <v>تمت طباعة الشهادة</v>
      </c>
      <c r="F126" s="133" t="str">
        <f>IFERROR(__xludf.DUMMYFUNCTION("""COMPUTED_VALUE"""),"NAME EN")</f>
        <v>NAME EN</v>
      </c>
      <c r="G126" s="133" t="str">
        <f>IFERROR(__xludf.DUMMYFUNCTION("""COMPUTED_VALUE"""),"زيت السلمون 425 مل")</f>
        <v>زيت السلمون 425 مل</v>
      </c>
      <c r="H126" s="133" t="str">
        <f>IFERROR(__xludf.DUMMYFUNCTION("""COMPUTED_VALUE"""),"MAFE20201307")</f>
        <v>MAFE20201307</v>
      </c>
      <c r="I126" s="133"/>
      <c r="J126" s="133"/>
      <c r="K126" s="133" t="str">
        <f>IFERROR(__xludf.DUMMYFUNCTION("""COMPUTED_VALUE"""),"بيفار بي في")</f>
        <v>بيفار بي في</v>
      </c>
      <c r="L126" s="142" t="str">
        <f>IFERROR(__xludf.DUMMYFUNCTION("""COMPUTED_VALUE"""),"11285")</f>
        <v>11285</v>
      </c>
      <c r="M126" s="133"/>
      <c r="N126" s="133"/>
      <c r="O126" s="133"/>
      <c r="P126" s="133"/>
      <c r="Q126" s="133"/>
      <c r="R126" s="133"/>
      <c r="S126" s="133"/>
      <c r="T126" s="133"/>
      <c r="U126" s="133"/>
      <c r="V126" s="133"/>
      <c r="W126" s="133"/>
      <c r="X126" s="133"/>
      <c r="Y126" s="133"/>
      <c r="Z126" s="133"/>
    </row>
    <row r="127">
      <c r="A127" s="133">
        <f>IFERROR(__xludf.DUMMYFUNCTION("""COMPUTED_VALUE"""),126.0)</f>
        <v>126</v>
      </c>
      <c r="B127" s="133"/>
      <c r="C127" s="133" t="str">
        <f>IFERROR(__xludf.DUMMYFUNCTION("""COMPUTED_VALUE"""),"P-1-N-130920-2886")</f>
        <v>P-1-N-130920-2886</v>
      </c>
      <c r="D127" s="133"/>
      <c r="E127" s="133" t="str">
        <f>IFERROR(__xludf.DUMMYFUNCTION("""COMPUTED_VALUE"""),"REJECTED")</f>
        <v>REJECTED</v>
      </c>
      <c r="F127" s="133" t="str">
        <f>IFERROR(__xludf.DUMMYFUNCTION("""COMPUTED_VALUE"""),"Laveta Super Multi-vitamin + Taurin 50ml")</f>
        <v>Laveta Super Multi-vitamin + Taurin 50ml</v>
      </c>
      <c r="G127" s="133" t="str">
        <f>IFERROR(__xludf.DUMMYFUNCTION("""COMPUTED_VALUE"""),"لافيتا سوبر ملتي فيتامين + تورين 50 مل")</f>
        <v>لافيتا سوبر ملتي فيتامين + تورين 50 مل</v>
      </c>
      <c r="H127" s="133"/>
      <c r="I127" s="133"/>
      <c r="J127" s="133"/>
      <c r="K127" s="133" t="str">
        <f>IFERROR(__xludf.DUMMYFUNCTION("""COMPUTED_VALUE"""),"بيفار بي في")</f>
        <v>بيفار بي في</v>
      </c>
      <c r="L127" s="133"/>
      <c r="M127" s="133"/>
      <c r="N127" s="133"/>
      <c r="O127" s="133"/>
      <c r="P127" s="133"/>
      <c r="Q127" s="133"/>
      <c r="R127" s="133"/>
      <c r="S127" s="133"/>
      <c r="T127" s="133"/>
      <c r="U127" s="133"/>
      <c r="V127" s="133"/>
      <c r="W127" s="133"/>
      <c r="X127" s="133"/>
      <c r="Y127" s="133"/>
      <c r="Z127" s="133"/>
    </row>
    <row r="128">
      <c r="A128" s="133">
        <f>IFERROR(__xludf.DUMMYFUNCTION("""COMPUTED_VALUE"""),127.0)</f>
        <v>127</v>
      </c>
      <c r="B128" s="133" t="str">
        <f>IFERROR(__xludf.DUMMYFUNCTION("""COMPUTED_VALUE"""),"12809")</f>
        <v>12809</v>
      </c>
      <c r="C128" s="133" t="str">
        <f>IFERROR(__xludf.DUMMYFUNCTION("""COMPUTED_VALUE"""),"P-1-N-130920-2887")</f>
        <v>P-1-N-130920-2887</v>
      </c>
      <c r="D128" s="133"/>
      <c r="E128" s="133" t="str">
        <f>IFERROR(__xludf.DUMMYFUNCTION("""COMPUTED_VALUE"""),"تمت طباعة الشهادة")</f>
        <v>تمت طباعة الشهادة</v>
      </c>
      <c r="F128" s="133" t="str">
        <f>IFERROR(__xludf.DUMMYFUNCTION("""COMPUTED_VALUE"""),"Laveta Super Multi-vitamin + Carnitine 50ml")</f>
        <v>Laveta Super Multi-vitamin + Carnitine 50ml</v>
      </c>
      <c r="G128" s="133" t="str">
        <f>IFERROR(__xludf.DUMMYFUNCTION("""COMPUTED_VALUE"""),"لافيتا سوبر ملتي فيتامين +كارنيتين 50 مل")</f>
        <v>لافيتا سوبر ملتي فيتامين +كارنيتين 50 مل</v>
      </c>
      <c r="H128" s="133" t="str">
        <f>IFERROR(__xludf.DUMMYFUNCTION("""COMPUTED_VALUE"""),"MAFE20201349")</f>
        <v>MAFE20201349</v>
      </c>
      <c r="I128" s="133"/>
      <c r="J128" s="133"/>
      <c r="K128" s="133" t="str">
        <f>IFERROR(__xludf.DUMMYFUNCTION("""COMPUTED_VALUE"""),"بيفار بي في")</f>
        <v>بيفار بي في</v>
      </c>
      <c r="L128" s="142" t="str">
        <f>IFERROR(__xludf.DUMMYFUNCTION("""COMPUTED_VALUE"""),"12809")</f>
        <v>12809</v>
      </c>
      <c r="M128" s="133"/>
      <c r="N128" s="133"/>
      <c r="O128" s="133"/>
      <c r="P128" s="133"/>
      <c r="Q128" s="133"/>
      <c r="R128" s="133"/>
      <c r="S128" s="133"/>
      <c r="T128" s="133"/>
      <c r="U128" s="133"/>
      <c r="V128" s="133"/>
      <c r="W128" s="133"/>
      <c r="X128" s="133"/>
      <c r="Y128" s="133"/>
      <c r="Z128" s="133"/>
    </row>
    <row r="129">
      <c r="A129" s="133">
        <f>IFERROR(__xludf.DUMMYFUNCTION("""COMPUTED_VALUE"""),128.0)</f>
        <v>128</v>
      </c>
      <c r="B129" s="133" t="str">
        <f>IFERROR(__xludf.DUMMYFUNCTION("""COMPUTED_VALUE"""),"12967")</f>
        <v>12967</v>
      </c>
      <c r="C129" s="133" t="str">
        <f>IFERROR(__xludf.DUMMYFUNCTION("""COMPUTED_VALUE"""),"P-1-N-130920-2888")</f>
        <v>P-1-N-130920-2888</v>
      </c>
      <c r="D129" s="133"/>
      <c r="E129" s="133" t="str">
        <f>IFERROR(__xludf.DUMMYFUNCTION("""COMPUTED_VALUE"""),"تمت طباعة الشهادة")</f>
        <v>تمت طباعة الشهادة</v>
      </c>
      <c r="F129" s="133" t="str">
        <f>IFERROR(__xludf.DUMMYFUNCTION("""COMPUTED_VALUE"""),"Junior Paste Duo-Active 100g")</f>
        <v>Junior Paste Duo-Active 100g</v>
      </c>
      <c r="G129" s="133" t="str">
        <f>IFERROR(__xludf.DUMMYFUNCTION("""COMPUTED_VALUE"""),"جونيور بايست دوو-أكتيف 100 جم")</f>
        <v>جونيور بايست دوو-أكتيف 100 جم</v>
      </c>
      <c r="H129" s="133" t="str">
        <f>IFERROR(__xludf.DUMMYFUNCTION("""COMPUTED_VALUE"""),"MAFE20201305")</f>
        <v>MAFE20201305</v>
      </c>
      <c r="I129" s="133"/>
      <c r="J129" s="133"/>
      <c r="K129" s="133" t="str">
        <f>IFERROR(__xludf.DUMMYFUNCTION("""COMPUTED_VALUE"""),"بيفار")</f>
        <v>بيفار</v>
      </c>
      <c r="L129" s="142" t="str">
        <f>IFERROR(__xludf.DUMMYFUNCTION("""COMPUTED_VALUE"""),"12967")</f>
        <v>12967</v>
      </c>
      <c r="M129" s="133"/>
      <c r="N129" s="133"/>
      <c r="O129" s="133"/>
      <c r="P129" s="133"/>
      <c r="Q129" s="133"/>
      <c r="R129" s="133"/>
      <c r="S129" s="133"/>
      <c r="T129" s="133"/>
      <c r="U129" s="133"/>
      <c r="V129" s="133"/>
      <c r="W129" s="133"/>
      <c r="X129" s="133"/>
      <c r="Y129" s="133"/>
      <c r="Z129" s="133"/>
    </row>
    <row r="130">
      <c r="A130" s="133">
        <f>IFERROR(__xludf.DUMMYFUNCTION("""COMPUTED_VALUE"""),129.0)</f>
        <v>129</v>
      </c>
      <c r="B130" s="133"/>
      <c r="C130" s="133" t="str">
        <f>IFERROR(__xludf.DUMMYFUNCTION("""COMPUTED_VALUE"""),"P-1-N-130920-2889")</f>
        <v>P-1-N-130920-2889</v>
      </c>
      <c r="D130" s="133"/>
      <c r="E130" s="133" t="str">
        <f>IFERROR(__xludf.DUMMYFUNCTION("""COMPUTED_VALUE"""),"تمت طباعة الشهادة")</f>
        <v>تمت طباعة الشهادة</v>
      </c>
      <c r="F130" s="133" t="str">
        <f>IFERROR(__xludf.DUMMYFUNCTION("""COMPUTED_VALUE"""),"Dental Sticks M/L 182g")</f>
        <v>Dental Sticks M/L 182g</v>
      </c>
      <c r="G130" s="133" t="str">
        <f>IFERROR(__xludf.DUMMYFUNCTION("""COMPUTED_VALUE"""),"دنتال ستيكس للكلاب المتوسطة والكبيرة 182 جرام")</f>
        <v>دنتال ستيكس للكلاب المتوسطة والكبيرة 182 جرام</v>
      </c>
      <c r="H130" s="133" t="str">
        <f>IFERROR(__xludf.DUMMYFUNCTION("""COMPUTED_VALUE"""),"MAFE20201348")</f>
        <v>MAFE20201348</v>
      </c>
      <c r="I130" s="133"/>
      <c r="J130" s="133"/>
      <c r="K130" s="133" t="str">
        <f>IFERROR(__xludf.DUMMYFUNCTION("""COMPUTED_VALUE"""),"بيفار بي في")</f>
        <v>بيفار بي في</v>
      </c>
      <c r="L130" s="133"/>
      <c r="M130" s="133"/>
      <c r="N130" s="133"/>
      <c r="O130" s="133"/>
      <c r="P130" s="133"/>
      <c r="Q130" s="133"/>
      <c r="R130" s="133"/>
      <c r="S130" s="133"/>
      <c r="T130" s="133"/>
      <c r="U130" s="133"/>
      <c r="V130" s="133"/>
      <c r="W130" s="133"/>
      <c r="X130" s="133"/>
      <c r="Y130" s="133"/>
      <c r="Z130" s="133"/>
    </row>
    <row r="131">
      <c r="A131" s="133">
        <f>IFERROR(__xludf.DUMMYFUNCTION("""COMPUTED_VALUE"""),130.0)</f>
        <v>130</v>
      </c>
      <c r="B131" s="133" t="str">
        <f>IFERROR(__xludf.DUMMYFUNCTION("""COMPUTED_VALUE"""),"13621")</f>
        <v>13621</v>
      </c>
      <c r="C131" s="133" t="str">
        <f>IFERROR(__xludf.DUMMYFUNCTION("""COMPUTED_VALUE"""),"P-1-N-130920-2890")</f>
        <v>P-1-N-130920-2890</v>
      </c>
      <c r="D131" s="133"/>
      <c r="E131" s="133" t="str">
        <f>IFERROR(__xludf.DUMMYFUNCTION("""COMPUTED_VALUE"""),"تمت طباعة الشهادة")</f>
        <v>تمت طباعة الشهادة</v>
      </c>
      <c r="F131" s="133" t="str">
        <f>IFERROR(__xludf.DUMMYFUNCTION("""COMPUTED_VALUE"""),"Dental Sticks Small 112g")</f>
        <v>Dental Sticks Small 112g</v>
      </c>
      <c r="G131" s="133" t="str">
        <f>IFERROR(__xludf.DUMMYFUNCTION("""COMPUTED_VALUE"""),"دنتال ستيكس للكلاب الصغيرة 112 جرام")</f>
        <v>دنتال ستيكس للكلاب الصغيرة 112 جرام</v>
      </c>
      <c r="H131" s="133" t="str">
        <f>IFERROR(__xludf.DUMMYFUNCTION("""COMPUTED_VALUE"""),"MAFE20201347")</f>
        <v>MAFE20201347</v>
      </c>
      <c r="I131" s="133"/>
      <c r="J131" s="133"/>
      <c r="K131" s="133" t="str">
        <f>IFERROR(__xludf.DUMMYFUNCTION("""COMPUTED_VALUE"""),"بيفار بي في")</f>
        <v>بيفار بي في</v>
      </c>
      <c r="L131" s="142" t="str">
        <f>IFERROR(__xludf.DUMMYFUNCTION("""COMPUTED_VALUE"""),"13621")</f>
        <v>13621</v>
      </c>
      <c r="M131" s="133"/>
      <c r="N131" s="133"/>
      <c r="O131" s="133"/>
      <c r="P131" s="133"/>
      <c r="Q131" s="133"/>
      <c r="R131" s="133"/>
      <c r="S131" s="133"/>
      <c r="T131" s="133"/>
      <c r="U131" s="133"/>
      <c r="V131" s="133"/>
      <c r="W131" s="133"/>
      <c r="X131" s="133"/>
      <c r="Y131" s="133"/>
      <c r="Z131" s="133"/>
    </row>
    <row r="132">
      <c r="A132" s="133">
        <f>IFERROR(__xludf.DUMMYFUNCTION("""COMPUTED_VALUE"""),131.0)</f>
        <v>131</v>
      </c>
      <c r="B132" s="133" t="str">
        <f>IFERROR(__xludf.DUMMYFUNCTION("""COMPUTED_VALUE"""),"15199")</f>
        <v>15199</v>
      </c>
      <c r="C132" s="133" t="str">
        <f>IFERROR(__xludf.DUMMYFUNCTION("""COMPUTED_VALUE"""),"P-1-N-130920-2891")</f>
        <v>P-1-N-130920-2891</v>
      </c>
      <c r="D132" s="133"/>
      <c r="E132" s="133" t="str">
        <f>IFERROR(__xludf.DUMMYFUNCTION("""COMPUTED_VALUE"""),"تمت طباعة الشهادة")</f>
        <v>تمت طباعة الشهادة</v>
      </c>
      <c r="F132" s="133" t="str">
        <f>IFERROR(__xludf.DUMMYFUNCTION("""COMPUTED_VALUE"""),"Beaphar Lactol Kitten Milk 250g")</f>
        <v>Beaphar Lactol Kitten Milk 250g</v>
      </c>
      <c r="G132" s="133" t="str">
        <f>IFERROR(__xludf.DUMMYFUNCTION("""COMPUTED_VALUE"""),"بيفار لاكتول حليب القطط الصغيرة 250 جم")</f>
        <v>بيفار لاكتول حليب القطط الصغيرة 250 جم</v>
      </c>
      <c r="H132" s="133" t="str">
        <f>IFERROR(__xludf.DUMMYFUNCTION("""COMPUTED_VALUE"""),"MAFE20201304")</f>
        <v>MAFE20201304</v>
      </c>
      <c r="I132" s="133"/>
      <c r="J132" s="133"/>
      <c r="K132" s="133" t="str">
        <f>IFERROR(__xludf.DUMMYFUNCTION("""COMPUTED_VALUE"""),"بيفار بي في")</f>
        <v>بيفار بي في</v>
      </c>
      <c r="L132" s="142" t="str">
        <f>IFERROR(__xludf.DUMMYFUNCTION("""COMPUTED_VALUE"""),"15199")</f>
        <v>15199</v>
      </c>
      <c r="M132" s="133"/>
      <c r="N132" s="133"/>
      <c r="O132" s="133"/>
      <c r="P132" s="133"/>
      <c r="Q132" s="133"/>
      <c r="R132" s="133"/>
      <c r="S132" s="133"/>
      <c r="T132" s="133"/>
      <c r="U132" s="133"/>
      <c r="V132" s="133"/>
      <c r="W132" s="133"/>
      <c r="X132" s="133"/>
      <c r="Y132" s="133"/>
      <c r="Z132" s="133"/>
    </row>
    <row r="133">
      <c r="A133" s="133">
        <f>IFERROR(__xludf.DUMMYFUNCTION("""COMPUTED_VALUE"""),132.0)</f>
        <v>132</v>
      </c>
      <c r="B133" s="133" t="str">
        <f>IFERROR(__xludf.DUMMYFUNCTION("""COMPUTED_VALUE"""),"15198")</f>
        <v>15198</v>
      </c>
      <c r="C133" s="133" t="str">
        <f>IFERROR(__xludf.DUMMYFUNCTION("""COMPUTED_VALUE"""),"P-1-N-130920-2893")</f>
        <v>P-1-N-130920-2893</v>
      </c>
      <c r="D133" s="133"/>
      <c r="E133" s="133" t="str">
        <f>IFERROR(__xludf.DUMMYFUNCTION("""COMPUTED_VALUE"""),"تمت طباعة الشهادة")</f>
        <v>تمت طباعة الشهادة</v>
      </c>
      <c r="F133" s="133" t="str">
        <f>IFERROR(__xludf.DUMMYFUNCTION("""COMPUTED_VALUE"""),"Beaphar Lactol Puppy Milk 250g")</f>
        <v>Beaphar Lactol Puppy Milk 250g</v>
      </c>
      <c r="G133" s="133" t="str">
        <f>IFERROR(__xludf.DUMMYFUNCTION("""COMPUTED_VALUE"""),"بيفار لاكتول حليب الجراء 250 جم")</f>
        <v>بيفار لاكتول حليب الجراء 250 جم</v>
      </c>
      <c r="H133" s="133" t="str">
        <f>IFERROR(__xludf.DUMMYFUNCTION("""COMPUTED_VALUE"""),"MAFE20201346")</f>
        <v>MAFE20201346</v>
      </c>
      <c r="I133" s="133"/>
      <c r="J133" s="133"/>
      <c r="K133" s="133" t="str">
        <f>IFERROR(__xludf.DUMMYFUNCTION("""COMPUTED_VALUE"""),"بيفار بي في")</f>
        <v>بيفار بي في</v>
      </c>
      <c r="L133" s="142" t="str">
        <f>IFERROR(__xludf.DUMMYFUNCTION("""COMPUTED_VALUE"""),"15198")</f>
        <v>15198</v>
      </c>
      <c r="M133" s="133"/>
      <c r="N133" s="133"/>
      <c r="O133" s="133"/>
      <c r="P133" s="133"/>
      <c r="Q133" s="133"/>
      <c r="R133" s="133"/>
      <c r="S133" s="133"/>
      <c r="T133" s="133"/>
      <c r="U133" s="133"/>
      <c r="V133" s="133"/>
      <c r="W133" s="133"/>
      <c r="X133" s="133"/>
      <c r="Y133" s="133"/>
      <c r="Z133" s="133"/>
    </row>
    <row r="134">
      <c r="A134" s="133">
        <f>IFERROR(__xludf.DUMMYFUNCTION("""COMPUTED_VALUE"""),133.0)</f>
        <v>133</v>
      </c>
      <c r="B134" s="133" t="str">
        <f>IFERROR(__xludf.DUMMYFUNCTION("""COMPUTED_VALUE"""),"a4205")</f>
        <v>a4205</v>
      </c>
      <c r="C134" s="133" t="str">
        <f>IFERROR(__xludf.DUMMYFUNCTION("""COMPUTED_VALUE"""),"P-1-N-130920-2898")</f>
        <v>P-1-N-130920-2898</v>
      </c>
      <c r="D134" s="133"/>
      <c r="E134" s="133" t="str">
        <f>IFERROR(__xludf.DUMMYFUNCTION("""COMPUTED_VALUE"""),"تمت طباعة الشهادة")</f>
        <v>تمت طباعة الشهادة</v>
      </c>
      <c r="F134" s="133" t="str">
        <f>IFERROR(__xludf.DUMMYFUNCTION("""COMPUTED_VALUE"""),"Applaws Senior Cat Chicken 2 kg")</f>
        <v>Applaws Senior Cat Chicken 2 kg</v>
      </c>
      <c r="G134" s="133" t="str">
        <f>IFERROR(__xludf.DUMMYFUNCTION("""COMPUTED_VALUE"""),"ابلاوز دجاج للقطط كبيرة السن 2 كغم")</f>
        <v>ابلاوز دجاج للقطط كبيرة السن 2 كغم</v>
      </c>
      <c r="H134" s="133" t="str">
        <f>IFERROR(__xludf.DUMMYFUNCTION("""COMPUTED_VALUE"""),"MAFE20201303")</f>
        <v>MAFE20201303</v>
      </c>
      <c r="I134" s="133"/>
      <c r="J134" s="133"/>
      <c r="K134" s="133" t="str">
        <f>IFERROR(__xludf.DUMMYFUNCTION("""COMPUTED_VALUE"""),"أم بي أم برودكتس ليمتد")</f>
        <v>أم بي أم برودكتس ليمتد</v>
      </c>
      <c r="L134" s="142" t="str">
        <f>IFERROR(__xludf.DUMMYFUNCTION("""COMPUTED_VALUE"""),"a4205")</f>
        <v>a4205</v>
      </c>
      <c r="M134" s="133"/>
      <c r="N134" s="133"/>
      <c r="O134" s="133"/>
      <c r="P134" s="133"/>
      <c r="Q134" s="133"/>
      <c r="R134" s="133"/>
      <c r="S134" s="133"/>
      <c r="T134" s="133"/>
      <c r="U134" s="133"/>
      <c r="V134" s="133"/>
      <c r="W134" s="133"/>
      <c r="X134" s="133"/>
      <c r="Y134" s="133"/>
      <c r="Z134" s="133"/>
    </row>
    <row r="135">
      <c r="A135" s="133">
        <f>IFERROR(__xludf.DUMMYFUNCTION("""COMPUTED_VALUE"""),134.0)</f>
        <v>134</v>
      </c>
      <c r="B135" s="133" t="str">
        <f>IFERROR(__xludf.DUMMYFUNCTION("""COMPUTED_VALUE"""),"USA551")</f>
        <v>USA551</v>
      </c>
      <c r="C135" s="133" t="str">
        <f>IFERROR(__xludf.DUMMYFUNCTION("""COMPUTED_VALUE"""),"P-1-N-140920-2908")</f>
        <v>P-1-N-140920-2908</v>
      </c>
      <c r="D135" s="133"/>
      <c r="E135" s="133" t="str">
        <f>IFERROR(__xludf.DUMMYFUNCTION("""COMPUTED_VALUE"""),"تمت طباعة الشهادة")</f>
        <v>تمت طباعة الشهادة</v>
      </c>
      <c r="F135" s="133" t="str">
        <f>IFERROR(__xludf.DUMMYFUNCTION("""COMPUTED_VALUE"""),"Grilled Chicken fillet in crab flavored broth 25 g")</f>
        <v>Grilled Chicken fillet in crab flavored broth 25 g</v>
      </c>
      <c r="G135" s="133" t="str">
        <f>IFERROR(__xludf.DUMMYFUNCTION("""COMPUTED_VALUE"""),"فيليه دجاج مشوي في مرق بنكهة السلطعون 25 جرام")</f>
        <v>فيليه دجاج مشوي في مرق بنكهة السلطعون 25 جرام</v>
      </c>
      <c r="H135" s="133" t="str">
        <f>IFERROR(__xludf.DUMMYFUNCTION("""COMPUTED_VALUE"""),"MAFE20201302")</f>
        <v>MAFE20201302</v>
      </c>
      <c r="I135" s="133"/>
      <c r="J135" s="133"/>
      <c r="K135" s="133" t="str">
        <f>IFERROR(__xludf.DUMMYFUNCTION("""COMPUTED_VALUE"""),"شركة تاي اينابا للأغذية المحدودة")</f>
        <v>شركة تاي اينابا للأغذية المحدودة</v>
      </c>
      <c r="L135" s="142" t="str">
        <f>IFERROR(__xludf.DUMMYFUNCTION("""COMPUTED_VALUE"""),"USA551")</f>
        <v>USA551</v>
      </c>
      <c r="M135" s="133"/>
      <c r="N135" s="133"/>
      <c r="O135" s="133"/>
      <c r="P135" s="133"/>
      <c r="Q135" s="133"/>
      <c r="R135" s="133"/>
      <c r="S135" s="133"/>
      <c r="T135" s="133"/>
      <c r="U135" s="133"/>
      <c r="V135" s="133"/>
      <c r="W135" s="133"/>
      <c r="X135" s="133"/>
      <c r="Y135" s="133"/>
      <c r="Z135" s="133"/>
    </row>
    <row r="136">
      <c r="A136" s="133">
        <f>IFERROR(__xludf.DUMMYFUNCTION("""COMPUTED_VALUE"""),135.0)</f>
        <v>135</v>
      </c>
      <c r="B136" s="133" t="str">
        <f>IFERROR(__xludf.DUMMYFUNCTION("""COMPUTED_VALUE"""),"USA552")</f>
        <v>USA552</v>
      </c>
      <c r="C136" s="133" t="str">
        <f>IFERROR(__xludf.DUMMYFUNCTION("""COMPUTED_VALUE"""),"P-1-N-140920-2909")</f>
        <v>P-1-N-140920-2909</v>
      </c>
      <c r="D136" s="133"/>
      <c r="E136" s="133" t="str">
        <f>IFERROR(__xludf.DUMMYFUNCTION("""COMPUTED_VALUE"""),"تمت طباعة الشهادة")</f>
        <v>تمت طباعة الشهادة</v>
      </c>
      <c r="F136" s="133" t="str">
        <f>IFERROR(__xludf.DUMMYFUNCTION("""COMPUTED_VALUE"""),"Grilled Chicken fillet in chicken flavored broth 25 g")</f>
        <v>Grilled Chicken fillet in chicken flavored broth 25 g</v>
      </c>
      <c r="G136" s="133" t="str">
        <f>IFERROR(__xludf.DUMMYFUNCTION("""COMPUTED_VALUE"""),"فيليه دجاج مشوي في مرق بنكهة الدجاج 25 جرام")</f>
        <v>فيليه دجاج مشوي في مرق بنكهة الدجاج 25 جرام</v>
      </c>
      <c r="H136" s="133" t="str">
        <f>IFERROR(__xludf.DUMMYFUNCTION("""COMPUTED_VALUE"""),"MAFE20201301")</f>
        <v>MAFE20201301</v>
      </c>
      <c r="I136" s="133"/>
      <c r="J136" s="133"/>
      <c r="K136" s="133" t="str">
        <f>IFERROR(__xludf.DUMMYFUNCTION("""COMPUTED_VALUE"""),"شركة تاي اينابا للأغذية المحدودة")</f>
        <v>شركة تاي اينابا للأغذية المحدودة</v>
      </c>
      <c r="L136" s="142" t="str">
        <f>IFERROR(__xludf.DUMMYFUNCTION("""COMPUTED_VALUE"""),"USA552")</f>
        <v>USA552</v>
      </c>
      <c r="M136" s="133"/>
      <c r="N136" s="133"/>
      <c r="O136" s="133"/>
      <c r="P136" s="133"/>
      <c r="Q136" s="133"/>
      <c r="R136" s="133"/>
      <c r="S136" s="133"/>
      <c r="T136" s="133"/>
      <c r="U136" s="133"/>
      <c r="V136" s="133"/>
      <c r="W136" s="133"/>
      <c r="X136" s="133"/>
      <c r="Y136" s="133"/>
      <c r="Z136" s="133"/>
    </row>
    <row r="137">
      <c r="A137" s="133">
        <f>IFERROR(__xludf.DUMMYFUNCTION("""COMPUTED_VALUE"""),136.0)</f>
        <v>136</v>
      </c>
      <c r="B137" s="133" t="str">
        <f>IFERROR(__xludf.DUMMYFUNCTION("""COMPUTED_VALUE"""),"USA553")</f>
        <v>USA553</v>
      </c>
      <c r="C137" s="133" t="str">
        <f>IFERROR(__xludf.DUMMYFUNCTION("""COMPUTED_VALUE"""),"P-1-N-140920-2910")</f>
        <v>P-1-N-140920-2910</v>
      </c>
      <c r="D137" s="133"/>
      <c r="E137" s="133" t="str">
        <f>IFERROR(__xludf.DUMMYFUNCTION("""COMPUTED_VALUE"""),"تمت طباعة الشهادة")</f>
        <v>تمت طباعة الشهادة</v>
      </c>
      <c r="F137" s="133" t="str">
        <f>IFERROR(__xludf.DUMMYFUNCTION("""COMPUTED_VALUE"""),"Grilled Chicken fillet extra tender in crab flavored broth 25 g")</f>
        <v>Grilled Chicken fillet extra tender in crab flavored broth 25 g</v>
      </c>
      <c r="G137" s="133" t="str">
        <f>IFERROR(__xludf.DUMMYFUNCTION("""COMPUTED_VALUE"""),"فيليه دجاج مشوي طري أكثر في مرق بنكهة السلطعون 25 جرام")</f>
        <v>فيليه دجاج مشوي طري أكثر في مرق بنكهة السلطعون 25 جرام</v>
      </c>
      <c r="H137" s="133" t="str">
        <f>IFERROR(__xludf.DUMMYFUNCTION("""COMPUTED_VALUE"""),"MAFE20201300")</f>
        <v>MAFE20201300</v>
      </c>
      <c r="I137" s="133"/>
      <c r="J137" s="133"/>
      <c r="K137" s="133" t="str">
        <f>IFERROR(__xludf.DUMMYFUNCTION("""COMPUTED_VALUE"""),"شركة تاي اينابا للأغذية المحدودة")</f>
        <v>شركة تاي اينابا للأغذية المحدودة</v>
      </c>
      <c r="L137" s="142" t="str">
        <f>IFERROR(__xludf.DUMMYFUNCTION("""COMPUTED_VALUE"""),"USA553")</f>
        <v>USA553</v>
      </c>
      <c r="M137" s="133"/>
      <c r="N137" s="133"/>
      <c r="O137" s="133"/>
      <c r="P137" s="133"/>
      <c r="Q137" s="133"/>
      <c r="R137" s="133"/>
      <c r="S137" s="133"/>
      <c r="T137" s="133"/>
      <c r="U137" s="133"/>
      <c r="V137" s="133"/>
      <c r="W137" s="133"/>
      <c r="X137" s="133"/>
      <c r="Y137" s="133"/>
      <c r="Z137" s="133"/>
    </row>
    <row r="138">
      <c r="A138" s="133">
        <f>IFERROR(__xludf.DUMMYFUNCTION("""COMPUTED_VALUE"""),137.0)</f>
        <v>137</v>
      </c>
      <c r="B138" s="133" t="str">
        <f>IFERROR(__xludf.DUMMYFUNCTION("""COMPUTED_VALUE"""),"USA554")</f>
        <v>USA554</v>
      </c>
      <c r="C138" s="133" t="str">
        <f>IFERROR(__xludf.DUMMYFUNCTION("""COMPUTED_VALUE"""),"P-1-N-140920-2911")</f>
        <v>P-1-N-140920-2911</v>
      </c>
      <c r="D138" s="133"/>
      <c r="E138" s="133" t="str">
        <f>IFERROR(__xludf.DUMMYFUNCTION("""COMPUTED_VALUE"""),"تمت طباعة الشهادة")</f>
        <v>تمت طباعة الشهادة</v>
      </c>
      <c r="F138" s="133" t="str">
        <f>IFERROR(__xludf.DUMMYFUNCTION("""COMPUTED_VALUE"""),"Grilled Chicken fillet in scallop flavored broth 25 g")</f>
        <v>Grilled Chicken fillet in scallop flavored broth 25 g</v>
      </c>
      <c r="G138" s="133" t="str">
        <f>IFERROR(__xludf.DUMMYFUNCTION("""COMPUTED_VALUE"""),"فيليه دجاج مشوي في مرق بنكهة المحار 25 جرام")</f>
        <v>فيليه دجاج مشوي في مرق بنكهة المحار 25 جرام</v>
      </c>
      <c r="H138" s="133" t="str">
        <f>IFERROR(__xludf.DUMMYFUNCTION("""COMPUTED_VALUE"""),"MAFE20201375")</f>
        <v>MAFE20201375</v>
      </c>
      <c r="I138" s="133"/>
      <c r="J138" s="133"/>
      <c r="K138" s="133" t="str">
        <f>IFERROR(__xludf.DUMMYFUNCTION("""COMPUTED_VALUE"""),"شركة تاي اينابا للأغذية المحدودة")</f>
        <v>شركة تاي اينابا للأغذية المحدودة</v>
      </c>
      <c r="L138" s="142" t="str">
        <f>IFERROR(__xludf.DUMMYFUNCTION("""COMPUTED_VALUE"""),"USA554")</f>
        <v>USA554</v>
      </c>
      <c r="M138" s="133"/>
      <c r="N138" s="133"/>
      <c r="O138" s="133"/>
      <c r="P138" s="133"/>
      <c r="Q138" s="133"/>
      <c r="R138" s="133"/>
      <c r="S138" s="133"/>
      <c r="T138" s="133"/>
      <c r="U138" s="133"/>
      <c r="V138" s="133"/>
      <c r="W138" s="133"/>
      <c r="X138" s="133"/>
      <c r="Y138" s="133"/>
      <c r="Z138" s="133"/>
    </row>
    <row r="139">
      <c r="A139" s="133">
        <f>IFERROR(__xludf.DUMMYFUNCTION("""COMPUTED_VALUE"""),138.0)</f>
        <v>138</v>
      </c>
      <c r="B139" s="133" t="str">
        <f>IFERROR(__xludf.DUMMYFUNCTION("""COMPUTED_VALUE"""),"USA555")</f>
        <v>USA555</v>
      </c>
      <c r="C139" s="133" t="str">
        <f>IFERROR(__xludf.DUMMYFUNCTION("""COMPUTED_VALUE"""),"P-1-N-140920-2912")</f>
        <v>P-1-N-140920-2912</v>
      </c>
      <c r="D139" s="133"/>
      <c r="E139" s="133" t="str">
        <f>IFERROR(__xludf.DUMMYFUNCTION("""COMPUTED_VALUE"""),"تمت طباعة الشهادة")</f>
        <v>تمت طباعة الشهادة</v>
      </c>
      <c r="F139" s="133" t="str">
        <f>IFERROR(__xludf.DUMMYFUNCTION("""COMPUTED_VALUE"""),"Grilled Chicken fillet in Shrimp flavored broth 25 g")</f>
        <v>Grilled Chicken fillet in Shrimp flavored broth 25 g</v>
      </c>
      <c r="G139" s="133" t="str">
        <f>IFERROR(__xludf.DUMMYFUNCTION("""COMPUTED_VALUE"""),"فيليه دجاج مشوي في مرق بنكهة الجمبري 25 جرام")</f>
        <v>فيليه دجاج مشوي في مرق بنكهة الجمبري 25 جرام</v>
      </c>
      <c r="H139" s="133" t="str">
        <f>IFERROR(__xludf.DUMMYFUNCTION("""COMPUTED_VALUE"""),"MAFE20201374")</f>
        <v>MAFE20201374</v>
      </c>
      <c r="I139" s="133"/>
      <c r="J139" s="133"/>
      <c r="K139" s="133" t="str">
        <f>IFERROR(__xludf.DUMMYFUNCTION("""COMPUTED_VALUE"""),"شركة تاي اينابا للأغذية المحدودة")</f>
        <v>شركة تاي اينابا للأغذية المحدودة</v>
      </c>
      <c r="L139" s="142" t="str">
        <f>IFERROR(__xludf.DUMMYFUNCTION("""COMPUTED_VALUE"""),"USA555")</f>
        <v>USA555</v>
      </c>
      <c r="M139" s="133"/>
      <c r="N139" s="133"/>
      <c r="O139" s="133"/>
      <c r="P139" s="133"/>
      <c r="Q139" s="133"/>
      <c r="R139" s="133"/>
      <c r="S139" s="133"/>
      <c r="T139" s="133"/>
      <c r="U139" s="133"/>
      <c r="V139" s="133"/>
      <c r="W139" s="133"/>
      <c r="X139" s="133"/>
      <c r="Y139" s="133"/>
      <c r="Z139" s="133"/>
    </row>
    <row r="140">
      <c r="A140" s="133">
        <f>IFERROR(__xludf.DUMMYFUNCTION("""COMPUTED_VALUE"""),139.0)</f>
        <v>139</v>
      </c>
      <c r="B140" s="133" t="str">
        <f>IFERROR(__xludf.DUMMYFUNCTION("""COMPUTED_VALUE"""),"USA601")</f>
        <v>USA601</v>
      </c>
      <c r="C140" s="133" t="str">
        <f>IFERROR(__xludf.DUMMYFUNCTION("""COMPUTED_VALUE"""),"P-1-N-140920-2913")</f>
        <v>P-1-N-140920-2913</v>
      </c>
      <c r="D140" s="133"/>
      <c r="E140" s="133" t="str">
        <f>IFERROR(__xludf.DUMMYFUNCTION("""COMPUTED_VALUE"""),"تمت طباعة الشهادة")</f>
        <v>تمت طباعة الشهادة</v>
      </c>
      <c r="F140" s="133" t="str">
        <f>IFERROR(__xludf.DUMMYFUNCTION("""COMPUTED_VALUE"""),"CHURU Tuna recipe 56g")</f>
        <v>CHURU Tuna recipe 56g</v>
      </c>
      <c r="G140" s="133" t="str">
        <f>IFERROR(__xludf.DUMMYFUNCTION("""COMPUTED_VALUE"""),"تشورو وصفة التونا 56 جرام")</f>
        <v>تشورو وصفة التونا 56 جرام</v>
      </c>
      <c r="H140" s="133" t="str">
        <f>IFERROR(__xludf.DUMMYFUNCTION("""COMPUTED_VALUE"""),"MAFE20201299")</f>
        <v>MAFE20201299</v>
      </c>
      <c r="I140" s="133"/>
      <c r="J140" s="133"/>
      <c r="K140" s="133" t="str">
        <f>IFERROR(__xludf.DUMMYFUNCTION("""COMPUTED_VALUE"""),"شركة تاي اينابا للأغذية المحدودة")</f>
        <v>شركة تاي اينابا للأغذية المحدودة</v>
      </c>
      <c r="L140" s="142" t="str">
        <f>IFERROR(__xludf.DUMMYFUNCTION("""COMPUTED_VALUE"""),"USA601")</f>
        <v>USA601</v>
      </c>
      <c r="M140" s="133"/>
      <c r="N140" s="133"/>
      <c r="O140" s="133"/>
      <c r="P140" s="133"/>
      <c r="Q140" s="133"/>
      <c r="R140" s="133"/>
      <c r="S140" s="133"/>
      <c r="T140" s="133"/>
      <c r="U140" s="133"/>
      <c r="V140" s="133"/>
      <c r="W140" s="133"/>
      <c r="X140" s="133"/>
      <c r="Y140" s="133"/>
      <c r="Z140" s="133"/>
    </row>
    <row r="141">
      <c r="A141" s="133">
        <f>IFERROR(__xludf.DUMMYFUNCTION("""COMPUTED_VALUE"""),140.0)</f>
        <v>140</v>
      </c>
      <c r="B141" s="133" t="str">
        <f>IFERROR(__xludf.DUMMYFUNCTION("""COMPUTED_VALUE"""),"USA602")</f>
        <v>USA602</v>
      </c>
      <c r="C141" s="133" t="str">
        <f>IFERROR(__xludf.DUMMYFUNCTION("""COMPUTED_VALUE"""),"P-1-N-140920-2914")</f>
        <v>P-1-N-140920-2914</v>
      </c>
      <c r="D141" s="133"/>
      <c r="E141" s="133" t="str">
        <f>IFERROR(__xludf.DUMMYFUNCTION("""COMPUTED_VALUE"""),"تمت طباعة الشهادة")</f>
        <v>تمت طباعة الشهادة</v>
      </c>
      <c r="F141" s="133" t="str">
        <f>IFERROR(__xludf.DUMMYFUNCTION("""COMPUTED_VALUE"""),"CHURU Tuna with chicken 56g")</f>
        <v>CHURU Tuna with chicken 56g</v>
      </c>
      <c r="G141" s="133" t="str">
        <f>IFERROR(__xludf.DUMMYFUNCTION("""COMPUTED_VALUE"""),"تشورو وصفة التونا مع الدجاج 56 جرام")</f>
        <v>تشورو وصفة التونا مع الدجاج 56 جرام</v>
      </c>
      <c r="H141" s="133" t="str">
        <f>IFERROR(__xludf.DUMMYFUNCTION("""COMPUTED_VALUE"""),"MAFE20201298")</f>
        <v>MAFE20201298</v>
      </c>
      <c r="I141" s="133"/>
      <c r="J141" s="133"/>
      <c r="K141" s="133" t="str">
        <f>IFERROR(__xludf.DUMMYFUNCTION("""COMPUTED_VALUE"""),"شركة تاي اينابا للأغذية المحدودة")</f>
        <v>شركة تاي اينابا للأغذية المحدودة</v>
      </c>
      <c r="L141" s="142" t="str">
        <f>IFERROR(__xludf.DUMMYFUNCTION("""COMPUTED_VALUE"""),"USA602")</f>
        <v>USA602</v>
      </c>
      <c r="M141" s="133"/>
      <c r="N141" s="133"/>
      <c r="O141" s="133"/>
      <c r="P141" s="133"/>
      <c r="Q141" s="133"/>
      <c r="R141" s="133"/>
      <c r="S141" s="133"/>
      <c r="T141" s="133"/>
      <c r="U141" s="133"/>
      <c r="V141" s="133"/>
      <c r="W141" s="133"/>
      <c r="X141" s="133"/>
      <c r="Y141" s="133"/>
      <c r="Z141" s="133"/>
    </row>
    <row r="142">
      <c r="A142" s="133">
        <f>IFERROR(__xludf.DUMMYFUNCTION("""COMPUTED_VALUE"""),141.0)</f>
        <v>141</v>
      </c>
      <c r="B142" s="133" t="str">
        <f>IFERROR(__xludf.DUMMYFUNCTION("""COMPUTED_VALUE"""),"USA603")</f>
        <v>USA603</v>
      </c>
      <c r="C142" s="133" t="str">
        <f>IFERROR(__xludf.DUMMYFUNCTION("""COMPUTED_VALUE"""),"P-1-N-140920-2915")</f>
        <v>P-1-N-140920-2915</v>
      </c>
      <c r="D142" s="133"/>
      <c r="E142" s="133" t="str">
        <f>IFERROR(__xludf.DUMMYFUNCTION("""COMPUTED_VALUE"""),"تمت طباعة الشهادة")</f>
        <v>تمت طباعة الشهادة</v>
      </c>
      <c r="F142" s="133" t="str">
        <f>IFERROR(__xludf.DUMMYFUNCTION("""COMPUTED_VALUE"""),"CHURU Chicken recipe 56g")</f>
        <v>CHURU Chicken recipe 56g</v>
      </c>
      <c r="G142" s="133" t="str">
        <f>IFERROR(__xludf.DUMMYFUNCTION("""COMPUTED_VALUE"""),"تشورو وصفة الدجاج 56 جرام")</f>
        <v>تشورو وصفة الدجاج 56 جرام</v>
      </c>
      <c r="H142" s="133" t="str">
        <f>IFERROR(__xludf.DUMMYFUNCTION("""COMPUTED_VALUE"""),"MAFE20201297")</f>
        <v>MAFE20201297</v>
      </c>
      <c r="I142" s="133"/>
      <c r="J142" s="133"/>
      <c r="K142" s="133" t="str">
        <f>IFERROR(__xludf.DUMMYFUNCTION("""COMPUTED_VALUE"""),"شركة تاي اينابا للأغذية المحدودة")</f>
        <v>شركة تاي اينابا للأغذية المحدودة</v>
      </c>
      <c r="L142" s="142" t="str">
        <f>IFERROR(__xludf.DUMMYFUNCTION("""COMPUTED_VALUE"""),"USA603")</f>
        <v>USA603</v>
      </c>
      <c r="M142" s="133"/>
      <c r="N142" s="133"/>
      <c r="O142" s="133"/>
      <c r="P142" s="133"/>
      <c r="Q142" s="133"/>
      <c r="R142" s="133"/>
      <c r="S142" s="133"/>
      <c r="T142" s="133"/>
      <c r="U142" s="133"/>
      <c r="V142" s="133"/>
      <c r="W142" s="133"/>
      <c r="X142" s="133"/>
      <c r="Y142" s="133"/>
      <c r="Z142" s="133"/>
    </row>
    <row r="143">
      <c r="A143" s="133">
        <f>IFERROR(__xludf.DUMMYFUNCTION("""COMPUTED_VALUE"""),142.0)</f>
        <v>142</v>
      </c>
      <c r="B143" s="133" t="str">
        <f>IFERROR(__xludf.DUMMYFUNCTION("""COMPUTED_VALUE"""),"USA604")</f>
        <v>USA604</v>
      </c>
      <c r="C143" s="133" t="str">
        <f>IFERROR(__xludf.DUMMYFUNCTION("""COMPUTED_VALUE"""),"P-1-N-140920-2916")</f>
        <v>P-1-N-140920-2916</v>
      </c>
      <c r="D143" s="133"/>
      <c r="E143" s="133" t="str">
        <f>IFERROR(__xludf.DUMMYFUNCTION("""COMPUTED_VALUE"""),"تمت طباعة الشهادة")</f>
        <v>تمت طباعة الشهادة</v>
      </c>
      <c r="F143" s="133" t="str">
        <f>IFERROR(__xludf.DUMMYFUNCTION("""COMPUTED_VALUE"""),"CHURU Tuna with scallop recipe 56g")</f>
        <v>CHURU Tuna with scallop recipe 56g</v>
      </c>
      <c r="G143" s="133" t="str">
        <f>IFERROR(__xludf.DUMMYFUNCTION("""COMPUTED_VALUE"""),"تشورو وصفة التونا مع سرطان البحر 56 جرام")</f>
        <v>تشورو وصفة التونا مع سرطان البحر 56 جرام</v>
      </c>
      <c r="H143" s="133" t="str">
        <f>IFERROR(__xludf.DUMMYFUNCTION("""COMPUTED_VALUE"""),"MAFE20201296")</f>
        <v>MAFE20201296</v>
      </c>
      <c r="I143" s="133"/>
      <c r="J143" s="133"/>
      <c r="K143" s="133" t="str">
        <f>IFERROR(__xludf.DUMMYFUNCTION("""COMPUTED_VALUE"""),"شركة تاي اينابا للأغذية المحدودة")</f>
        <v>شركة تاي اينابا للأغذية المحدودة</v>
      </c>
      <c r="L143" s="142" t="str">
        <f>IFERROR(__xludf.DUMMYFUNCTION("""COMPUTED_VALUE"""),"USA604")</f>
        <v>USA604</v>
      </c>
      <c r="M143" s="133"/>
      <c r="N143" s="133"/>
      <c r="O143" s="133"/>
      <c r="P143" s="133"/>
      <c r="Q143" s="133"/>
      <c r="R143" s="133"/>
      <c r="S143" s="133"/>
      <c r="T143" s="133"/>
      <c r="U143" s="133"/>
      <c r="V143" s="133"/>
      <c r="W143" s="133"/>
      <c r="X143" s="133"/>
      <c r="Y143" s="133"/>
      <c r="Z143" s="133"/>
    </row>
    <row r="144">
      <c r="A144" s="133">
        <f>IFERROR(__xludf.DUMMYFUNCTION("""COMPUTED_VALUE"""),143.0)</f>
        <v>143</v>
      </c>
      <c r="B144" s="133" t="str">
        <f>IFERROR(__xludf.DUMMYFUNCTION("""COMPUTED_VALUE"""),"USA605")</f>
        <v>USA605</v>
      </c>
      <c r="C144" s="133" t="str">
        <f>IFERROR(__xludf.DUMMYFUNCTION("""COMPUTED_VALUE"""),"P-1-N-140920-2917")</f>
        <v>P-1-N-140920-2917</v>
      </c>
      <c r="D144" s="133"/>
      <c r="E144" s="133" t="str">
        <f>IFERROR(__xludf.DUMMYFUNCTION("""COMPUTED_VALUE"""),"تمت طباعة الشهادة")</f>
        <v>تمت طباعة الشهادة</v>
      </c>
      <c r="F144" s="133" t="str">
        <f>IFERROR(__xludf.DUMMYFUNCTION("""COMPUTED_VALUE"""),"CHURU Chicken with scallop recipe 56g")</f>
        <v>CHURU Chicken with scallop recipe 56g</v>
      </c>
      <c r="G144" s="133" t="str">
        <f>IFERROR(__xludf.DUMMYFUNCTION("""COMPUTED_VALUE"""),"تشورو وصفة الدجاج مع سرطان البحر 56 جرام")</f>
        <v>تشورو وصفة الدجاج مع سرطان البحر 56 جرام</v>
      </c>
      <c r="H144" s="133" t="str">
        <f>IFERROR(__xludf.DUMMYFUNCTION("""COMPUTED_VALUE"""),"MAFE20201295")</f>
        <v>MAFE20201295</v>
      </c>
      <c r="I144" s="133"/>
      <c r="J144" s="133"/>
      <c r="K144" s="133" t="str">
        <f>IFERROR(__xludf.DUMMYFUNCTION("""COMPUTED_VALUE"""),"شركة تاي اينابا للأغذية المحدودة")</f>
        <v>شركة تاي اينابا للأغذية المحدودة</v>
      </c>
      <c r="L144" s="142" t="str">
        <f>IFERROR(__xludf.DUMMYFUNCTION("""COMPUTED_VALUE"""),"USA605")</f>
        <v>USA605</v>
      </c>
      <c r="M144" s="133"/>
      <c r="N144" s="133"/>
      <c r="O144" s="133"/>
      <c r="P144" s="133"/>
      <c r="Q144" s="133"/>
      <c r="R144" s="133"/>
      <c r="S144" s="133"/>
      <c r="T144" s="133"/>
      <c r="U144" s="133"/>
      <c r="V144" s="133"/>
      <c r="W144" s="133"/>
      <c r="X144" s="133"/>
      <c r="Y144" s="133"/>
      <c r="Z144" s="133"/>
    </row>
    <row r="145">
      <c r="A145" s="133">
        <f>IFERROR(__xludf.DUMMYFUNCTION("""COMPUTED_VALUE"""),144.0)</f>
        <v>144</v>
      </c>
      <c r="B145" s="133" t="str">
        <f>IFERROR(__xludf.DUMMYFUNCTION("""COMPUTED_VALUE"""),"USA606")</f>
        <v>USA606</v>
      </c>
      <c r="C145" s="133" t="str">
        <f>IFERROR(__xludf.DUMMYFUNCTION("""COMPUTED_VALUE"""),"P-1-N-140920-2919")</f>
        <v>P-1-N-140920-2919</v>
      </c>
      <c r="D145" s="133"/>
      <c r="E145" s="133" t="str">
        <f>IFERROR(__xludf.DUMMYFUNCTION("""COMPUTED_VALUE"""),"تمت طباعة الشهادة")</f>
        <v>تمت طباعة الشهادة</v>
      </c>
      <c r="F145" s="133" t="str">
        <f>IFERROR(__xludf.DUMMYFUNCTION("""COMPUTED_VALUE"""),"CHURU Tuna with salmon recipe 56g")</f>
        <v>CHURU Tuna with salmon recipe 56g</v>
      </c>
      <c r="G145" s="133" t="str">
        <f>IFERROR(__xludf.DUMMYFUNCTION("""COMPUTED_VALUE"""),"تشورو وصفة التونا و السالمون 56 جرام")</f>
        <v>تشورو وصفة التونا و السالمون 56 جرام</v>
      </c>
      <c r="H145" s="133" t="str">
        <f>IFERROR(__xludf.DUMMYFUNCTION("""COMPUTED_VALUE"""),"MAFE20201345")</f>
        <v>MAFE20201345</v>
      </c>
      <c r="I145" s="133"/>
      <c r="J145" s="133"/>
      <c r="K145" s="133" t="str">
        <f>IFERROR(__xludf.DUMMYFUNCTION("""COMPUTED_VALUE"""),"شركة تاي اينابا للأغذية المحدودة")</f>
        <v>شركة تاي اينابا للأغذية المحدودة</v>
      </c>
      <c r="L145" s="142" t="str">
        <f>IFERROR(__xludf.DUMMYFUNCTION("""COMPUTED_VALUE"""),"USA606")</f>
        <v>USA606</v>
      </c>
      <c r="M145" s="133"/>
      <c r="N145" s="133"/>
      <c r="O145" s="133"/>
      <c r="P145" s="133"/>
      <c r="Q145" s="133"/>
      <c r="R145" s="133"/>
      <c r="S145" s="133"/>
      <c r="T145" s="133"/>
      <c r="U145" s="133"/>
      <c r="V145" s="133"/>
      <c r="W145" s="133"/>
      <c r="X145" s="133"/>
      <c r="Y145" s="133"/>
      <c r="Z145" s="133"/>
    </row>
    <row r="146">
      <c r="A146" s="133">
        <f>IFERROR(__xludf.DUMMYFUNCTION("""COMPUTED_VALUE"""),145.0)</f>
        <v>145</v>
      </c>
      <c r="B146" s="133" t="str">
        <f>IFERROR(__xludf.DUMMYFUNCTION("""COMPUTED_VALUE"""),"USA607")</f>
        <v>USA607</v>
      </c>
      <c r="C146" s="133" t="str">
        <f>IFERROR(__xludf.DUMMYFUNCTION("""COMPUTED_VALUE"""),"P-1-N-140920-2921")</f>
        <v>P-1-N-140920-2921</v>
      </c>
      <c r="D146" s="133"/>
      <c r="E146" s="133" t="str">
        <f>IFERROR(__xludf.DUMMYFUNCTION("""COMPUTED_VALUE"""),"تمت طباعة الشهادة")</f>
        <v>تمت طباعة الشهادة</v>
      </c>
      <c r="F146" s="133" t="str">
        <f>IFERROR(__xludf.DUMMYFUNCTION("""COMPUTED_VALUE"""),"CHURU Chicken with cheese recipe 56g")</f>
        <v>CHURU Chicken with cheese recipe 56g</v>
      </c>
      <c r="G146" s="133" t="str">
        <f>IFERROR(__xludf.DUMMYFUNCTION("""COMPUTED_VALUE"""),"تشورو وصفة الدجاج و الجبن 56 جرام")</f>
        <v>تشورو وصفة الدجاج و الجبن 56 جرام</v>
      </c>
      <c r="H146" s="133" t="str">
        <f>IFERROR(__xludf.DUMMYFUNCTION("""COMPUTED_VALUE"""),"MAFE20201344")</f>
        <v>MAFE20201344</v>
      </c>
      <c r="I146" s="133"/>
      <c r="J146" s="133"/>
      <c r="K146" s="133" t="str">
        <f>IFERROR(__xludf.DUMMYFUNCTION("""COMPUTED_VALUE"""),"شركة تاي اينابا للأغذية المحدودة")</f>
        <v>شركة تاي اينابا للأغذية المحدودة</v>
      </c>
      <c r="L146" s="142" t="str">
        <f>IFERROR(__xludf.DUMMYFUNCTION("""COMPUTED_VALUE"""),"USA607")</f>
        <v>USA607</v>
      </c>
      <c r="M146" s="133"/>
      <c r="N146" s="133"/>
      <c r="O146" s="133"/>
      <c r="P146" s="133"/>
      <c r="Q146" s="133"/>
      <c r="R146" s="133"/>
      <c r="S146" s="133"/>
      <c r="T146" s="133"/>
      <c r="U146" s="133"/>
      <c r="V146" s="133"/>
      <c r="W146" s="133"/>
      <c r="X146" s="133"/>
      <c r="Y146" s="133"/>
      <c r="Z146" s="133"/>
    </row>
    <row r="147">
      <c r="A147" s="133">
        <f>IFERROR(__xludf.DUMMYFUNCTION("""COMPUTED_VALUE"""),146.0)</f>
        <v>146</v>
      </c>
      <c r="B147" s="133" t="str">
        <f>IFERROR(__xludf.DUMMYFUNCTION("""COMPUTED_VALUE"""),"USA608")</f>
        <v>USA608</v>
      </c>
      <c r="C147" s="133" t="str">
        <f>IFERROR(__xludf.DUMMYFUNCTION("""COMPUTED_VALUE"""),"P-1-N-140920-2922")</f>
        <v>P-1-N-140920-2922</v>
      </c>
      <c r="D147" s="133"/>
      <c r="E147" s="133" t="str">
        <f>IFERROR(__xludf.DUMMYFUNCTION("""COMPUTED_VALUE"""),"تمت طباعة الشهادة")</f>
        <v>تمت طباعة الشهادة</v>
      </c>
      <c r="F147" s="133" t="str">
        <f>IFERROR(__xludf.DUMMYFUNCTION("""COMPUTED_VALUE"""),"CHURU Chicken with shrimp flavored recipe 56g")</f>
        <v>CHURU Chicken with shrimp flavored recipe 56g</v>
      </c>
      <c r="G147" s="133" t="str">
        <f>IFERROR(__xludf.DUMMYFUNCTION("""COMPUTED_VALUE"""),"تشورو وصفة الدجاج و نكهة الجمبري 56 جرام")</f>
        <v>تشورو وصفة الدجاج و نكهة الجمبري 56 جرام</v>
      </c>
      <c r="H147" s="133" t="str">
        <f>IFERROR(__xludf.DUMMYFUNCTION("""COMPUTED_VALUE"""),"MAFE20201343")</f>
        <v>MAFE20201343</v>
      </c>
      <c r="I147" s="133"/>
      <c r="J147" s="133"/>
      <c r="K147" s="133" t="str">
        <f>IFERROR(__xludf.DUMMYFUNCTION("""COMPUTED_VALUE"""),"شركة تاي اينابا للأغذية المحدودة")</f>
        <v>شركة تاي اينابا للأغذية المحدودة</v>
      </c>
      <c r="L147" s="142" t="str">
        <f>IFERROR(__xludf.DUMMYFUNCTION("""COMPUTED_VALUE"""),"USA608")</f>
        <v>USA608</v>
      </c>
      <c r="M147" s="133"/>
      <c r="N147" s="133"/>
      <c r="O147" s="133"/>
      <c r="P147" s="133"/>
      <c r="Q147" s="133"/>
      <c r="R147" s="133"/>
      <c r="S147" s="133"/>
      <c r="T147" s="133"/>
      <c r="U147" s="133"/>
      <c r="V147" s="133"/>
      <c r="W147" s="133"/>
      <c r="X147" s="133"/>
      <c r="Y147" s="133"/>
      <c r="Z147" s="133"/>
    </row>
    <row r="148">
      <c r="A148" s="133">
        <f>IFERROR(__xludf.DUMMYFUNCTION("""COMPUTED_VALUE"""),147.0)</f>
        <v>147</v>
      </c>
      <c r="B148" s="133" t="str">
        <f>IFERROR(__xludf.DUMMYFUNCTION("""COMPUTED_VALUE"""),"USA609")</f>
        <v>USA609</v>
      </c>
      <c r="C148" s="133" t="str">
        <f>IFERROR(__xludf.DUMMYFUNCTION("""COMPUTED_VALUE"""),"P-1-N-140920-2924")</f>
        <v>P-1-N-140920-2924</v>
      </c>
      <c r="D148" s="133"/>
      <c r="E148" s="133" t="str">
        <f>IFERROR(__xludf.DUMMYFUNCTION("""COMPUTED_VALUE"""),"تمت طباعة الشهادة")</f>
        <v>تمت طباعة الشهادة</v>
      </c>
      <c r="F148" s="133" t="str">
        <f>IFERROR(__xludf.DUMMYFUNCTION("""COMPUTED_VALUE"""),"CHURU Chicken with crab flavor recipe 56g")</f>
        <v>CHURU Chicken with crab flavor recipe 56g</v>
      </c>
      <c r="G148" s="133" t="str">
        <f>IFERROR(__xludf.DUMMYFUNCTION("""COMPUTED_VALUE"""),"تشورو وصفة الدجاج و نكهة السلطعون 56 جرام")</f>
        <v>تشورو وصفة الدجاج و نكهة السلطعون 56 جرام</v>
      </c>
      <c r="H148" s="133" t="str">
        <f>IFERROR(__xludf.DUMMYFUNCTION("""COMPUTED_VALUE"""),"MAFE20201342")</f>
        <v>MAFE20201342</v>
      </c>
      <c r="I148" s="133"/>
      <c r="J148" s="133"/>
      <c r="K148" s="133" t="str">
        <f>IFERROR(__xludf.DUMMYFUNCTION("""COMPUTED_VALUE"""),"شركة تاي اينابا للأغذية المحدودة")</f>
        <v>شركة تاي اينابا للأغذية المحدودة</v>
      </c>
      <c r="L148" s="142" t="str">
        <f>IFERROR(__xludf.DUMMYFUNCTION("""COMPUTED_VALUE"""),"USA609")</f>
        <v>USA609</v>
      </c>
      <c r="M148" s="133"/>
      <c r="N148" s="133"/>
      <c r="O148" s="133"/>
      <c r="P148" s="133"/>
      <c r="Q148" s="133"/>
      <c r="R148" s="133"/>
      <c r="S148" s="133"/>
      <c r="T148" s="133"/>
      <c r="U148" s="133"/>
      <c r="V148" s="133"/>
      <c r="W148" s="133"/>
      <c r="X148" s="133"/>
      <c r="Y148" s="133"/>
      <c r="Z148" s="133"/>
    </row>
    <row r="149">
      <c r="A149" s="133">
        <f>IFERROR(__xludf.DUMMYFUNCTION("""COMPUTED_VALUE"""),148.0)</f>
        <v>148</v>
      </c>
      <c r="B149" s="133" t="str">
        <f>IFERROR(__xludf.DUMMYFUNCTION("""COMPUTED_VALUE"""),"a4074")</f>
        <v>a4074</v>
      </c>
      <c r="C149" s="133" t="str">
        <f>IFERROR(__xludf.DUMMYFUNCTION("""COMPUTED_VALUE"""),"P-1-N-140920-2928")</f>
        <v>P-1-N-140920-2928</v>
      </c>
      <c r="D149" s="133"/>
      <c r="E149" s="133" t="str">
        <f>IFERROR(__xludf.DUMMYFUNCTION("""COMPUTED_VALUE"""),"تمت طباعة الشهادة")</f>
        <v>تمت طباعة الشهادة</v>
      </c>
      <c r="F149" s="133" t="str">
        <f>IFERROR(__xludf.DUMMYFUNCTION("""COMPUTED_VALUE"""),"Applaws Cat Chicken with Lamb 7.5 kg")</f>
        <v>Applaws Cat Chicken with Lamb 7.5 kg</v>
      </c>
      <c r="G149" s="133" t="str">
        <f>IFERROR(__xludf.DUMMYFUNCTION("""COMPUTED_VALUE"""),"ابلاوز دجاج مع لحم الضأن للقطط 7.5 كغم")</f>
        <v>ابلاوز دجاج مع لحم الضأن للقطط 7.5 كغم</v>
      </c>
      <c r="H149" s="133" t="str">
        <f>IFERROR(__xludf.DUMMYFUNCTION("""COMPUTED_VALUE"""),"MAFE20201383")</f>
        <v>MAFE20201383</v>
      </c>
      <c r="I149" s="133"/>
      <c r="J149" s="133"/>
      <c r="K149" s="133" t="str">
        <f>IFERROR(__xludf.DUMMYFUNCTION("""COMPUTED_VALUE"""),"أم")</f>
        <v>أم</v>
      </c>
      <c r="L149" s="142" t="str">
        <f>IFERROR(__xludf.DUMMYFUNCTION("""COMPUTED_VALUE"""),"a4074")</f>
        <v>a4074</v>
      </c>
      <c r="M149" s="133"/>
      <c r="N149" s="133"/>
      <c r="O149" s="133"/>
      <c r="P149" s="133"/>
      <c r="Q149" s="133"/>
      <c r="R149" s="133"/>
      <c r="S149" s="133"/>
      <c r="T149" s="133"/>
      <c r="U149" s="133"/>
      <c r="V149" s="133"/>
      <c r="W149" s="133"/>
      <c r="X149" s="133"/>
      <c r="Y149" s="133"/>
      <c r="Z149" s="133"/>
    </row>
    <row r="150">
      <c r="A150" s="133">
        <f>IFERROR(__xludf.DUMMYFUNCTION("""COMPUTED_VALUE"""),149.0)</f>
        <v>149</v>
      </c>
      <c r="B150" s="133" t="str">
        <f>IFERROR(__xludf.DUMMYFUNCTION("""COMPUTED_VALUE"""),"USA721")</f>
        <v>USA721</v>
      </c>
      <c r="C150" s="133" t="str">
        <f>IFERROR(__xludf.DUMMYFUNCTION("""COMPUTED_VALUE"""),"P-1-N-140920-2929")</f>
        <v>P-1-N-140920-2929</v>
      </c>
      <c r="D150" s="133"/>
      <c r="E150" s="133" t="str">
        <f>IFERROR(__xludf.DUMMYFUNCTION("""COMPUTED_VALUE"""),"تمت طباعة الشهادة")</f>
        <v>تمت طباعة الشهادة</v>
      </c>
      <c r="F150" s="133" t="str">
        <f>IFERROR(__xludf.DUMMYFUNCTION("""COMPUTED_VALUE"""),"CHURU Bites chicken recipe wraps tuna recipe 30 g")</f>
        <v>CHURU Bites chicken recipe wraps tuna recipe 30 g</v>
      </c>
      <c r="G150" s="133" t="str">
        <f>IFERROR(__xludf.DUMMYFUNCTION("""COMPUTED_VALUE"""),"تشورو بايتس وصفة الدجاج ملفوفة بوصفة التونا 30 جرام")</f>
        <v>تشورو بايتس وصفة الدجاج ملفوفة بوصفة التونا 30 جرام</v>
      </c>
      <c r="H150" s="133" t="str">
        <f>IFERROR(__xludf.DUMMYFUNCTION("""COMPUTED_VALUE"""),"MAFE20201341")</f>
        <v>MAFE20201341</v>
      </c>
      <c r="I150" s="133"/>
      <c r="J150" s="133"/>
      <c r="K150" s="133" t="str">
        <f>IFERROR(__xludf.DUMMYFUNCTION("""COMPUTED_VALUE"""),"شركة تاي اينابا للأغذية المحدودة")</f>
        <v>شركة تاي اينابا للأغذية المحدودة</v>
      </c>
      <c r="L150" s="142" t="str">
        <f>IFERROR(__xludf.DUMMYFUNCTION("""COMPUTED_VALUE"""),"USA721")</f>
        <v>USA721</v>
      </c>
      <c r="M150" s="133"/>
      <c r="N150" s="133"/>
      <c r="O150" s="133"/>
      <c r="P150" s="133"/>
      <c r="Q150" s="133"/>
      <c r="R150" s="133"/>
      <c r="S150" s="133"/>
      <c r="T150" s="133"/>
      <c r="U150" s="133"/>
      <c r="V150" s="133"/>
      <c r="W150" s="133"/>
      <c r="X150" s="133"/>
      <c r="Y150" s="133"/>
      <c r="Z150" s="133"/>
    </row>
    <row r="151">
      <c r="A151" s="133">
        <f>IFERROR(__xludf.DUMMYFUNCTION("""COMPUTED_VALUE"""),150.0)</f>
        <v>150</v>
      </c>
      <c r="B151" s="133" t="str">
        <f>IFERROR(__xludf.DUMMYFUNCTION("""COMPUTED_VALUE"""),"USA722")</f>
        <v>USA722</v>
      </c>
      <c r="C151" s="133" t="str">
        <f>IFERROR(__xludf.DUMMYFUNCTION("""COMPUTED_VALUE"""),"P-1-N-140920-2930")</f>
        <v>P-1-N-140920-2930</v>
      </c>
      <c r="D151" s="133"/>
      <c r="E151" s="133" t="str">
        <f>IFERROR(__xludf.DUMMYFUNCTION("""COMPUTED_VALUE"""),"تمت طباعة الشهادة")</f>
        <v>تمت طباعة الشهادة</v>
      </c>
      <c r="F151" s="133" t="str">
        <f>IFERROR(__xludf.DUMMYFUNCTION("""COMPUTED_VALUE"""),"CHURU Bites chicken recipe wraps tuna with scallop recipe 30g")</f>
        <v>CHURU Bites chicken recipe wraps tuna with scallop recipe 30g</v>
      </c>
      <c r="G151" s="133" t="str">
        <f>IFERROR(__xludf.DUMMYFUNCTION("""COMPUTED_VALUE"""),"تشورو")</f>
        <v>تشورو</v>
      </c>
      <c r="H151" s="133" t="str">
        <f>IFERROR(__xludf.DUMMYFUNCTION("""COMPUTED_VALUE"""),"MAFE20201340")</f>
        <v>MAFE20201340</v>
      </c>
      <c r="I151" s="133"/>
      <c r="J151" s="133"/>
      <c r="K151" s="133" t="str">
        <f>IFERROR(__xludf.DUMMYFUNCTION("""COMPUTED_VALUE"""),"شركة تاي اينابا للأغذية المحدودة")</f>
        <v>شركة تاي اينابا للأغذية المحدودة</v>
      </c>
      <c r="L151" s="142" t="str">
        <f>IFERROR(__xludf.DUMMYFUNCTION("""COMPUTED_VALUE"""),"USA722")</f>
        <v>USA722</v>
      </c>
      <c r="M151" s="133"/>
      <c r="N151" s="133"/>
      <c r="O151" s="133"/>
      <c r="P151" s="133"/>
      <c r="Q151" s="133"/>
      <c r="R151" s="133"/>
      <c r="S151" s="133"/>
      <c r="T151" s="133"/>
      <c r="U151" s="133"/>
      <c r="V151" s="133"/>
      <c r="W151" s="133"/>
      <c r="X151" s="133"/>
      <c r="Y151" s="133"/>
      <c r="Z151" s="133"/>
    </row>
    <row r="152">
      <c r="A152" s="133">
        <f>IFERROR(__xludf.DUMMYFUNCTION("""COMPUTED_VALUE"""),151.0)</f>
        <v>151</v>
      </c>
      <c r="B152" s="133" t="str">
        <f>IFERROR(__xludf.DUMMYFUNCTION("""COMPUTED_VALUE"""),"USA723")</f>
        <v>USA723</v>
      </c>
      <c r="C152" s="133" t="str">
        <f>IFERROR(__xludf.DUMMYFUNCTION("""COMPUTED_VALUE"""),"P-1-N-140920-2931")</f>
        <v>P-1-N-140920-2931</v>
      </c>
      <c r="D152" s="133"/>
      <c r="E152" s="133" t="str">
        <f>IFERROR(__xludf.DUMMYFUNCTION("""COMPUTED_VALUE"""),"تمت طباعة الشهادة")</f>
        <v>تمت طباعة الشهادة</v>
      </c>
      <c r="F152" s="133" t="str">
        <f>IFERROR(__xludf.DUMMYFUNCTION("""COMPUTED_VALUE"""),"CHURU Bites chicken recipe wraps tuna with salmon recipe 30g")</f>
        <v>CHURU Bites chicken recipe wraps tuna with salmon recipe 30g</v>
      </c>
      <c r="G152" s="133" t="str">
        <f>IFERROR(__xludf.DUMMYFUNCTION("""COMPUTED_VALUE"""),"تشورو بايتس وصفة الدجاج ملفوفة بوصفة التونا مع السالمون 30 جرام")</f>
        <v>تشورو بايتس وصفة الدجاج ملفوفة بوصفة التونا مع السالمون 30 جرام</v>
      </c>
      <c r="H152" s="133" t="str">
        <f>IFERROR(__xludf.DUMMYFUNCTION("""COMPUTED_VALUE"""),"MAFE20201339")</f>
        <v>MAFE20201339</v>
      </c>
      <c r="I152" s="133"/>
      <c r="J152" s="133"/>
      <c r="K152" s="133" t="str">
        <f>IFERROR(__xludf.DUMMYFUNCTION("""COMPUTED_VALUE"""),"شركة تاي اينابا للأغذية المحدودة")</f>
        <v>شركة تاي اينابا للأغذية المحدودة</v>
      </c>
      <c r="L152" s="142" t="str">
        <f>IFERROR(__xludf.DUMMYFUNCTION("""COMPUTED_VALUE"""),"USA723")</f>
        <v>USA723</v>
      </c>
      <c r="M152" s="133"/>
      <c r="N152" s="133"/>
      <c r="O152" s="133"/>
      <c r="P152" s="133"/>
      <c r="Q152" s="133"/>
      <c r="R152" s="133"/>
      <c r="S152" s="133"/>
      <c r="T152" s="133"/>
      <c r="U152" s="133"/>
      <c r="V152" s="133"/>
      <c r="W152" s="133"/>
      <c r="X152" s="133"/>
      <c r="Y152" s="133"/>
      <c r="Z152" s="133"/>
    </row>
    <row r="153">
      <c r="A153" s="133">
        <f>IFERROR(__xludf.DUMMYFUNCTION("""COMPUTED_VALUE"""),152.0)</f>
        <v>152</v>
      </c>
      <c r="B153" s="133" t="str">
        <f>IFERROR(__xludf.DUMMYFUNCTION("""COMPUTED_VALUE"""),"USA724")</f>
        <v>USA724</v>
      </c>
      <c r="C153" s="133" t="str">
        <f>IFERROR(__xludf.DUMMYFUNCTION("""COMPUTED_VALUE"""),"P-1-N-140920-2932")</f>
        <v>P-1-N-140920-2932</v>
      </c>
      <c r="D153" s="133"/>
      <c r="E153" s="133" t="str">
        <f>IFERROR(__xludf.DUMMYFUNCTION("""COMPUTED_VALUE"""),"تمت طباعة الشهادة")</f>
        <v>تمت طباعة الشهادة</v>
      </c>
      <c r="F153" s="133" t="str">
        <f>IFERROR(__xludf.DUMMYFUNCTION("""COMPUTED_VALUE"""),"CHURU Bites chicken recipe wraps chicken recipe 30g")</f>
        <v>CHURU Bites chicken recipe wraps chicken recipe 30g</v>
      </c>
      <c r="G153" s="133" t="str">
        <f>IFERROR(__xludf.DUMMYFUNCTION("""COMPUTED_VALUE"""),"تشورو بايتس وصفة الدجاج ملفوفة بوصفة الدجاج 30جرام")</f>
        <v>تشورو بايتس وصفة الدجاج ملفوفة بوصفة الدجاج 30جرام</v>
      </c>
      <c r="H153" s="133" t="str">
        <f>IFERROR(__xludf.DUMMYFUNCTION("""COMPUTED_VALUE"""),"MAFE20201338")</f>
        <v>MAFE20201338</v>
      </c>
      <c r="I153" s="133"/>
      <c r="J153" s="133"/>
      <c r="K153" s="133" t="str">
        <f>IFERROR(__xludf.DUMMYFUNCTION("""COMPUTED_VALUE"""),"شركة تاي اينابا للأغذية المحدودة")</f>
        <v>شركة تاي اينابا للأغذية المحدودة</v>
      </c>
      <c r="L153" s="142" t="str">
        <f>IFERROR(__xludf.DUMMYFUNCTION("""COMPUTED_VALUE"""),"USA724")</f>
        <v>USA724</v>
      </c>
      <c r="M153" s="133"/>
      <c r="N153" s="133"/>
      <c r="O153" s="133"/>
      <c r="P153" s="133"/>
      <c r="Q153" s="133"/>
      <c r="R153" s="133"/>
      <c r="S153" s="133"/>
      <c r="T153" s="133"/>
      <c r="U153" s="133"/>
      <c r="V153" s="133"/>
      <c r="W153" s="133"/>
      <c r="X153" s="133"/>
      <c r="Y153" s="133"/>
      <c r="Z153" s="133"/>
    </row>
    <row r="154">
      <c r="A154" s="133">
        <f>IFERROR(__xludf.DUMMYFUNCTION("""COMPUTED_VALUE"""),153.0)</f>
        <v>153</v>
      </c>
      <c r="B154" s="133" t="str">
        <f>IFERROR(__xludf.DUMMYFUNCTION("""COMPUTED_VALUE"""),"USD601")</f>
        <v>USD601</v>
      </c>
      <c r="C154" s="133" t="str">
        <f>IFERROR(__xludf.DUMMYFUNCTION("""COMPUTED_VALUE"""),"P-1-N-140920-2933")</f>
        <v>P-1-N-140920-2933</v>
      </c>
      <c r="D154" s="133"/>
      <c r="E154" s="133" t="str">
        <f>IFERROR(__xludf.DUMMYFUNCTION("""COMPUTED_VALUE"""),"تمت طباعة الشهادة")</f>
        <v>تمت طباعة الشهادة</v>
      </c>
      <c r="F154" s="133" t="str">
        <f>IFERROR(__xludf.DUMMYFUNCTION("""COMPUTED_VALUE"""),"Dog CHURU chicken recipe 160g")</f>
        <v>Dog CHURU chicken recipe 160g</v>
      </c>
      <c r="G154" s="133" t="str">
        <f>IFERROR(__xludf.DUMMYFUNCTION("""COMPUTED_VALUE"""),"تشورو للكلاب بوصفة الدجاج 160 جرام")</f>
        <v>تشورو للكلاب بوصفة الدجاج 160 جرام</v>
      </c>
      <c r="H154" s="133" t="str">
        <f>IFERROR(__xludf.DUMMYFUNCTION("""COMPUTED_VALUE"""),"MAFE20201337")</f>
        <v>MAFE20201337</v>
      </c>
      <c r="I154" s="133"/>
      <c r="J154" s="133"/>
      <c r="K154" s="133" t="str">
        <f>IFERROR(__xludf.DUMMYFUNCTION("""COMPUTED_VALUE"""),"شركة تاي اينابا للأغذية المحدودة")</f>
        <v>شركة تاي اينابا للأغذية المحدودة</v>
      </c>
      <c r="L154" s="142" t="str">
        <f>IFERROR(__xludf.DUMMYFUNCTION("""COMPUTED_VALUE"""),"USD601")</f>
        <v>USD601</v>
      </c>
      <c r="M154" s="133"/>
      <c r="N154" s="133"/>
      <c r="O154" s="133"/>
      <c r="P154" s="133"/>
      <c r="Q154" s="133"/>
      <c r="R154" s="133"/>
      <c r="S154" s="133"/>
      <c r="T154" s="133"/>
      <c r="U154" s="133"/>
      <c r="V154" s="133"/>
      <c r="W154" s="133"/>
      <c r="X154" s="133"/>
      <c r="Y154" s="133"/>
      <c r="Z154" s="133"/>
    </row>
    <row r="155">
      <c r="A155" s="133">
        <f>IFERROR(__xludf.DUMMYFUNCTION("""COMPUTED_VALUE"""),154.0)</f>
        <v>154</v>
      </c>
      <c r="B155" s="133" t="str">
        <f>IFERROR(__xludf.DUMMYFUNCTION("""COMPUTED_VALUE"""),"USD602")</f>
        <v>USD602</v>
      </c>
      <c r="C155" s="133" t="str">
        <f>IFERROR(__xludf.DUMMYFUNCTION("""COMPUTED_VALUE"""),"P-1-N-140920-2934")</f>
        <v>P-1-N-140920-2934</v>
      </c>
      <c r="D155" s="133"/>
      <c r="E155" s="133" t="str">
        <f>IFERROR(__xludf.DUMMYFUNCTION("""COMPUTED_VALUE"""),"تمت طباعة الشهادة")</f>
        <v>تمت طباعة الشهادة</v>
      </c>
      <c r="F155" s="133" t="str">
        <f>IFERROR(__xludf.DUMMYFUNCTION("""COMPUTED_VALUE"""),"Dog CHURU chicken with tuna recipe 160g")</f>
        <v>Dog CHURU chicken with tuna recipe 160g</v>
      </c>
      <c r="G155" s="133" t="str">
        <f>IFERROR(__xludf.DUMMYFUNCTION("""COMPUTED_VALUE"""),"تشورو للكلاب بوصفة الدجاج مع التونا 160 جرام")</f>
        <v>تشورو للكلاب بوصفة الدجاج مع التونا 160 جرام</v>
      </c>
      <c r="H155" s="133" t="str">
        <f>IFERROR(__xludf.DUMMYFUNCTION("""COMPUTED_VALUE"""),"MAFE20201336")</f>
        <v>MAFE20201336</v>
      </c>
      <c r="I155" s="133"/>
      <c r="J155" s="133"/>
      <c r="K155" s="133" t="str">
        <f>IFERROR(__xludf.DUMMYFUNCTION("""COMPUTED_VALUE"""),"شركة تاي اينابا للأغذية المحدودة")</f>
        <v>شركة تاي اينابا للأغذية المحدودة</v>
      </c>
      <c r="L155" s="142" t="str">
        <f>IFERROR(__xludf.DUMMYFUNCTION("""COMPUTED_VALUE"""),"USD602")</f>
        <v>USD602</v>
      </c>
      <c r="M155" s="133"/>
      <c r="N155" s="133"/>
      <c r="O155" s="133"/>
      <c r="P155" s="133"/>
      <c r="Q155" s="133"/>
      <c r="R155" s="133"/>
      <c r="S155" s="133"/>
      <c r="T155" s="133"/>
      <c r="U155" s="133"/>
      <c r="V155" s="133"/>
      <c r="W155" s="133"/>
      <c r="X155" s="133"/>
      <c r="Y155" s="133"/>
      <c r="Z155" s="133"/>
    </row>
    <row r="156">
      <c r="A156" s="133">
        <f>IFERROR(__xludf.DUMMYFUNCTION("""COMPUTED_VALUE"""),155.0)</f>
        <v>155</v>
      </c>
      <c r="B156" s="133" t="str">
        <f>IFERROR(__xludf.DUMMYFUNCTION("""COMPUTED_VALUE"""),"USD603")</f>
        <v>USD603</v>
      </c>
      <c r="C156" s="133" t="str">
        <f>IFERROR(__xludf.DUMMYFUNCTION("""COMPUTED_VALUE"""),"P-1-N-140920-2935")</f>
        <v>P-1-N-140920-2935</v>
      </c>
      <c r="D156" s="133"/>
      <c r="E156" s="133" t="str">
        <f>IFERROR(__xludf.DUMMYFUNCTION("""COMPUTED_VALUE"""),"تمت طباعة الشهادة")</f>
        <v>تمت طباعة الشهادة</v>
      </c>
      <c r="F156" s="133" t="str">
        <f>IFERROR(__xludf.DUMMYFUNCTION("""COMPUTED_VALUE"""),"Dog CHURU chicken with salmon recipe 160g")</f>
        <v>Dog CHURU chicken with salmon recipe 160g</v>
      </c>
      <c r="G156" s="133" t="str">
        <f>IFERROR(__xludf.DUMMYFUNCTION("""COMPUTED_VALUE"""),"تشورو للكلاب بوصفة الدجاج مع السالمون 160 جرام")</f>
        <v>تشورو للكلاب بوصفة الدجاج مع السالمون 160 جرام</v>
      </c>
      <c r="H156" s="133" t="str">
        <f>IFERROR(__xludf.DUMMYFUNCTION("""COMPUTED_VALUE"""),"MAFE20201335")</f>
        <v>MAFE20201335</v>
      </c>
      <c r="I156" s="133"/>
      <c r="J156" s="133"/>
      <c r="K156" s="133" t="str">
        <f>IFERROR(__xludf.DUMMYFUNCTION("""COMPUTED_VALUE"""),"شركة تاي اينابا للأغذية المحدودة")</f>
        <v>شركة تاي اينابا للأغذية المحدودة</v>
      </c>
      <c r="L156" s="142" t="str">
        <f>IFERROR(__xludf.DUMMYFUNCTION("""COMPUTED_VALUE"""),"USD603")</f>
        <v>USD603</v>
      </c>
      <c r="M156" s="133"/>
      <c r="N156" s="133"/>
      <c r="O156" s="133"/>
      <c r="P156" s="133"/>
      <c r="Q156" s="133"/>
      <c r="R156" s="133"/>
      <c r="S156" s="133"/>
      <c r="T156" s="133"/>
      <c r="U156" s="133"/>
      <c r="V156" s="133"/>
      <c r="W156" s="133"/>
      <c r="X156" s="133"/>
      <c r="Y156" s="133"/>
      <c r="Z156" s="133"/>
    </row>
    <row r="157">
      <c r="A157" s="133">
        <f>IFERROR(__xludf.DUMMYFUNCTION("""COMPUTED_VALUE"""),156.0)</f>
        <v>156</v>
      </c>
      <c r="B157" s="133" t="str">
        <f>IFERROR(__xludf.DUMMYFUNCTION("""COMPUTED_VALUE"""),"USD604")</f>
        <v>USD604</v>
      </c>
      <c r="C157" s="133" t="str">
        <f>IFERROR(__xludf.DUMMYFUNCTION("""COMPUTED_VALUE"""),"P-1-N-140920-2936")</f>
        <v>P-1-N-140920-2936</v>
      </c>
      <c r="D157" s="133"/>
      <c r="E157" s="133" t="str">
        <f>IFERROR(__xludf.DUMMYFUNCTION("""COMPUTED_VALUE"""),"تمت طباعة الشهادة")</f>
        <v>تمت طباعة الشهادة</v>
      </c>
      <c r="F157" s="133" t="str">
        <f>IFERROR(__xludf.DUMMYFUNCTION("""COMPUTED_VALUE"""),"Dog CHURU chicken with cheese recipe 160g")</f>
        <v>Dog CHURU chicken with cheese recipe 160g</v>
      </c>
      <c r="G157" s="133" t="str">
        <f>IFERROR(__xludf.DUMMYFUNCTION("""COMPUTED_VALUE"""),"تشورو للكلاب بوصفة الدجاج مع الجبن 160 جرام")</f>
        <v>تشورو للكلاب بوصفة الدجاج مع الجبن 160 جرام</v>
      </c>
      <c r="H157" s="133" t="str">
        <f>IFERROR(__xludf.DUMMYFUNCTION("""COMPUTED_VALUE"""),"MAFE20201334")</f>
        <v>MAFE20201334</v>
      </c>
      <c r="I157" s="133"/>
      <c r="J157" s="133"/>
      <c r="K157" s="133" t="str">
        <f>IFERROR(__xludf.DUMMYFUNCTION("""COMPUTED_VALUE"""),"شركة تاي اينابا للأغذية المحدودة")</f>
        <v>شركة تاي اينابا للأغذية المحدودة</v>
      </c>
      <c r="L157" s="142" t="str">
        <f>IFERROR(__xludf.DUMMYFUNCTION("""COMPUTED_VALUE"""),"USD604")</f>
        <v>USD604</v>
      </c>
      <c r="M157" s="133"/>
      <c r="N157" s="133"/>
      <c r="O157" s="133"/>
      <c r="P157" s="133"/>
      <c r="Q157" s="133"/>
      <c r="R157" s="133"/>
      <c r="S157" s="133"/>
      <c r="T157" s="133"/>
      <c r="U157" s="133"/>
      <c r="V157" s="133"/>
      <c r="W157" s="133"/>
      <c r="X157" s="133"/>
      <c r="Y157" s="133"/>
      <c r="Z157" s="133"/>
    </row>
    <row r="158">
      <c r="A158" s="133">
        <f>IFERROR(__xludf.DUMMYFUNCTION("""COMPUTED_VALUE"""),157.0)</f>
        <v>157</v>
      </c>
      <c r="B158" s="133" t="str">
        <f>IFERROR(__xludf.DUMMYFUNCTION("""COMPUTED_VALUE"""),"USD605")</f>
        <v>USD605</v>
      </c>
      <c r="C158" s="133" t="str">
        <f>IFERROR(__xludf.DUMMYFUNCTION("""COMPUTED_VALUE"""),"P-1-N-140920-2937")</f>
        <v>P-1-N-140920-2937</v>
      </c>
      <c r="D158" s="133"/>
      <c r="E158" s="133" t="str">
        <f>IFERROR(__xludf.DUMMYFUNCTION("""COMPUTED_VALUE"""),"تمت طباعة الشهادة")</f>
        <v>تمت طباعة الشهادة</v>
      </c>
      <c r="F158" s="133" t="str">
        <f>IFERROR(__xludf.DUMMYFUNCTION("""COMPUTED_VALUE"""),"Dog CHURU chicken with vegetable recipe 160g")</f>
        <v>Dog CHURU chicken with vegetable recipe 160g</v>
      </c>
      <c r="G158" s="133" t="str">
        <f>IFERROR(__xludf.DUMMYFUNCTION("""COMPUTED_VALUE"""),"تشورو للكلاب بوصفة الدجاج مع الخضروات 160 جرام")</f>
        <v>تشورو للكلاب بوصفة الدجاج مع الخضروات 160 جرام</v>
      </c>
      <c r="H158" s="133" t="str">
        <f>IFERROR(__xludf.DUMMYFUNCTION("""COMPUTED_VALUE"""),"MAFE20201333")</f>
        <v>MAFE20201333</v>
      </c>
      <c r="I158" s="133"/>
      <c r="J158" s="133"/>
      <c r="K158" s="133" t="str">
        <f>IFERROR(__xludf.DUMMYFUNCTION("""COMPUTED_VALUE"""),"شركة تاي اينابا للأغذية المحدودة")</f>
        <v>شركة تاي اينابا للأغذية المحدودة</v>
      </c>
      <c r="L158" s="142" t="str">
        <f>IFERROR(__xludf.DUMMYFUNCTION("""COMPUTED_VALUE"""),"USD605")</f>
        <v>USD605</v>
      </c>
      <c r="M158" s="133"/>
      <c r="N158" s="133"/>
      <c r="O158" s="133"/>
      <c r="P158" s="133"/>
      <c r="Q158" s="133"/>
      <c r="R158" s="133"/>
      <c r="S158" s="133"/>
      <c r="T158" s="133"/>
      <c r="U158" s="133"/>
      <c r="V158" s="133"/>
      <c r="W158" s="133"/>
      <c r="X158" s="133"/>
      <c r="Y158" s="133"/>
      <c r="Z158" s="133"/>
    </row>
    <row r="159">
      <c r="A159" s="133">
        <f>IFERROR(__xludf.DUMMYFUNCTION("""COMPUTED_VALUE"""),158.0)</f>
        <v>158</v>
      </c>
      <c r="B159" s="133" t="str">
        <f>IFERROR(__xludf.DUMMYFUNCTION("""COMPUTED_VALUE"""),"USA711")</f>
        <v>USA711</v>
      </c>
      <c r="C159" s="133" t="str">
        <f>IFERROR(__xludf.DUMMYFUNCTION("""COMPUTED_VALUE"""),"P-1-N-140920-2938")</f>
        <v>P-1-N-140920-2938</v>
      </c>
      <c r="D159" s="133"/>
      <c r="E159" s="133" t="str">
        <f>IFERROR(__xludf.DUMMYFUNCTION("""COMPUTED_VALUE"""),"تمت طباعة الشهادة")</f>
        <v>تمت طباعة الشهادة</v>
      </c>
      <c r="F159" s="133" t="str">
        <f>IFERROR(__xludf.DUMMYFUNCTION("""COMPUTED_VALUE"""),"CHURU POPS tuna recipe 60g")</f>
        <v>CHURU POPS tuna recipe 60g</v>
      </c>
      <c r="G159" s="133" t="str">
        <f>IFERROR(__xludf.DUMMYFUNCTION("""COMPUTED_VALUE"""),"تشورو بوبز وصفة التونا 60 جرام")</f>
        <v>تشورو بوبز وصفة التونا 60 جرام</v>
      </c>
      <c r="H159" s="133" t="str">
        <f>IFERROR(__xludf.DUMMYFUNCTION("""COMPUTED_VALUE"""),"MAFE20201332")</f>
        <v>MAFE20201332</v>
      </c>
      <c r="I159" s="133"/>
      <c r="J159" s="133"/>
      <c r="K159" s="133" t="str">
        <f>IFERROR(__xludf.DUMMYFUNCTION("""COMPUTED_VALUE"""),"شركة")</f>
        <v>شركة</v>
      </c>
      <c r="L159" s="142" t="str">
        <f>IFERROR(__xludf.DUMMYFUNCTION("""COMPUTED_VALUE"""),"USA711")</f>
        <v>USA711</v>
      </c>
      <c r="M159" s="133"/>
      <c r="N159" s="133"/>
      <c r="O159" s="133"/>
      <c r="P159" s="133"/>
      <c r="Q159" s="133"/>
      <c r="R159" s="133"/>
      <c r="S159" s="133"/>
      <c r="T159" s="133"/>
      <c r="U159" s="133"/>
      <c r="V159" s="133"/>
      <c r="W159" s="133"/>
      <c r="X159" s="133"/>
      <c r="Y159" s="133"/>
      <c r="Z159" s="133"/>
    </row>
    <row r="160">
      <c r="A160" s="133">
        <f>IFERROR(__xludf.DUMMYFUNCTION("""COMPUTED_VALUE"""),159.0)</f>
        <v>159</v>
      </c>
      <c r="B160" s="133" t="str">
        <f>IFERROR(__xludf.DUMMYFUNCTION("""COMPUTED_VALUE"""),"USA712")</f>
        <v>USA712</v>
      </c>
      <c r="C160" s="133" t="str">
        <f>IFERROR(__xludf.DUMMYFUNCTION("""COMPUTED_VALUE"""),"P-1-N-140920-2939")</f>
        <v>P-1-N-140920-2939</v>
      </c>
      <c r="D160" s="133"/>
      <c r="E160" s="133" t="str">
        <f>IFERROR(__xludf.DUMMYFUNCTION("""COMPUTED_VALUE"""),"تمت طباعة الشهادة")</f>
        <v>تمت طباعة الشهادة</v>
      </c>
      <c r="F160" s="133" t="str">
        <f>IFERROR(__xludf.DUMMYFUNCTION("""COMPUTED_VALUE"""),"CHURU POPS chicken recipe 60g")</f>
        <v>CHURU POPS chicken recipe 60g</v>
      </c>
      <c r="G160" s="133" t="str">
        <f>IFERROR(__xludf.DUMMYFUNCTION("""COMPUTED_VALUE"""),"تشورو بوبز وصفة الدجاج 60 جرام")</f>
        <v>تشورو بوبز وصفة الدجاج 60 جرام</v>
      </c>
      <c r="H160" s="133" t="str">
        <f>IFERROR(__xludf.DUMMYFUNCTION("""COMPUTED_VALUE"""),"MAFE20201331")</f>
        <v>MAFE20201331</v>
      </c>
      <c r="I160" s="133"/>
      <c r="J160" s="133"/>
      <c r="K160" s="133" t="str">
        <f>IFERROR(__xludf.DUMMYFUNCTION("""COMPUTED_VALUE"""),"شركة تاي اينابا للأغذية المحدودة")</f>
        <v>شركة تاي اينابا للأغذية المحدودة</v>
      </c>
      <c r="L160" s="142" t="str">
        <f>IFERROR(__xludf.DUMMYFUNCTION("""COMPUTED_VALUE"""),"USA712")</f>
        <v>USA712</v>
      </c>
      <c r="M160" s="133"/>
      <c r="N160" s="133"/>
      <c r="O160" s="133"/>
      <c r="P160" s="133"/>
      <c r="Q160" s="133"/>
      <c r="R160" s="133"/>
      <c r="S160" s="133"/>
      <c r="T160" s="133"/>
      <c r="U160" s="133"/>
      <c r="V160" s="133"/>
      <c r="W160" s="133"/>
      <c r="X160" s="133"/>
      <c r="Y160" s="133"/>
      <c r="Z160" s="133"/>
    </row>
    <row r="161">
      <c r="A161" s="133">
        <f>IFERROR(__xludf.DUMMYFUNCTION("""COMPUTED_VALUE"""),160.0)</f>
        <v>160</v>
      </c>
      <c r="B161" s="133" t="str">
        <f>IFERROR(__xludf.DUMMYFUNCTION("""COMPUTED_VALUE"""),"USA713")</f>
        <v>USA713</v>
      </c>
      <c r="C161" s="133" t="str">
        <f>IFERROR(__xludf.DUMMYFUNCTION("""COMPUTED_VALUE"""),"P-1-N-140920-2940")</f>
        <v>P-1-N-140920-2940</v>
      </c>
      <c r="D161" s="133"/>
      <c r="E161" s="133" t="str">
        <f>IFERROR(__xludf.DUMMYFUNCTION("""COMPUTED_VALUE"""),"تمت طباعة الشهادة")</f>
        <v>تمت طباعة الشهادة</v>
      </c>
      <c r="F161" s="133" t="str">
        <f>IFERROR(__xludf.DUMMYFUNCTION("""COMPUTED_VALUE"""),"CHURU POPS Tuna with chicken recipe 60g")</f>
        <v>CHURU POPS Tuna with chicken recipe 60g</v>
      </c>
      <c r="G161" s="133" t="str">
        <f>IFERROR(__xludf.DUMMYFUNCTION("""COMPUTED_VALUE"""),"تشورو")</f>
        <v>تشورو</v>
      </c>
      <c r="H161" s="133" t="str">
        <f>IFERROR(__xludf.DUMMYFUNCTION("""COMPUTED_VALUE"""),"MAFE20201330")</f>
        <v>MAFE20201330</v>
      </c>
      <c r="I161" s="133"/>
      <c r="J161" s="133"/>
      <c r="K161" s="133" t="str">
        <f>IFERROR(__xludf.DUMMYFUNCTION("""COMPUTED_VALUE"""),"شركة تاي اينابا للأغذية المحدودة")</f>
        <v>شركة تاي اينابا للأغذية المحدودة</v>
      </c>
      <c r="L161" s="142" t="str">
        <f>IFERROR(__xludf.DUMMYFUNCTION("""COMPUTED_VALUE"""),"USA713")</f>
        <v>USA713</v>
      </c>
      <c r="M161" s="133"/>
      <c r="N161" s="133"/>
      <c r="O161" s="133"/>
      <c r="P161" s="133"/>
      <c r="Q161" s="133"/>
      <c r="R161" s="133"/>
      <c r="S161" s="133"/>
      <c r="T161" s="133"/>
      <c r="U161" s="133"/>
      <c r="V161" s="133"/>
      <c r="W161" s="133"/>
      <c r="X161" s="133"/>
      <c r="Y161" s="133"/>
      <c r="Z161" s="133"/>
    </row>
    <row r="162">
      <c r="A162" s="133">
        <f>IFERROR(__xludf.DUMMYFUNCTION("""COMPUTED_VALUE"""),161.0)</f>
        <v>161</v>
      </c>
      <c r="B162" s="133" t="str">
        <f>IFERROR(__xludf.DUMMYFUNCTION("""COMPUTED_VALUE"""),"USA731")</f>
        <v>USA731</v>
      </c>
      <c r="C162" s="133" t="str">
        <f>IFERROR(__xludf.DUMMYFUNCTION("""COMPUTED_VALUE"""),"P-1-N-140920-2941")</f>
        <v>P-1-N-140920-2941</v>
      </c>
      <c r="D162" s="133"/>
      <c r="E162" s="133" t="str">
        <f>IFERROR(__xludf.DUMMYFUNCTION("""COMPUTED_VALUE"""),"تمت طباعة الشهادة")</f>
        <v>تمت طباعة الشهادة</v>
      </c>
      <c r="F162" s="133" t="str">
        <f>IFERROR(__xludf.DUMMYFUNCTION("""COMPUTED_VALUE"""),"CHURU Rolls chicken recipe wraps tuna recipe 40g")</f>
        <v>CHURU Rolls chicken recipe wraps tuna recipe 40g</v>
      </c>
      <c r="G162" s="133" t="str">
        <f>IFERROR(__xludf.DUMMYFUNCTION("""COMPUTED_VALUE"""),"تشورو رولز وصفة الدجاج ملفوفة بوصفة التونا 40 جرام")</f>
        <v>تشورو رولز وصفة الدجاج ملفوفة بوصفة التونا 40 جرام</v>
      </c>
      <c r="H162" s="133" t="str">
        <f>IFERROR(__xludf.DUMMYFUNCTION("""COMPUTED_VALUE"""),"MAFE20201329")</f>
        <v>MAFE20201329</v>
      </c>
      <c r="I162" s="133"/>
      <c r="J162" s="133"/>
      <c r="K162" s="133" t="str">
        <f>IFERROR(__xludf.DUMMYFUNCTION("""COMPUTED_VALUE"""),"شركة تاي اينابا للأغذية المحدودة")</f>
        <v>شركة تاي اينابا للأغذية المحدودة</v>
      </c>
      <c r="L162" s="142" t="str">
        <f>IFERROR(__xludf.DUMMYFUNCTION("""COMPUTED_VALUE"""),"USA731")</f>
        <v>USA731</v>
      </c>
      <c r="M162" s="133"/>
      <c r="N162" s="133"/>
      <c r="O162" s="133"/>
      <c r="P162" s="133"/>
      <c r="Q162" s="133"/>
      <c r="R162" s="133"/>
      <c r="S162" s="133"/>
      <c r="T162" s="133"/>
      <c r="U162" s="133"/>
      <c r="V162" s="133"/>
      <c r="W162" s="133"/>
      <c r="X162" s="133"/>
      <c r="Y162" s="133"/>
      <c r="Z162" s="133"/>
    </row>
    <row r="163">
      <c r="A163" s="133">
        <f>IFERROR(__xludf.DUMMYFUNCTION("""COMPUTED_VALUE"""),162.0)</f>
        <v>162</v>
      </c>
      <c r="B163" s="133" t="str">
        <f>IFERROR(__xludf.DUMMYFUNCTION("""COMPUTED_VALUE"""),"USA732")</f>
        <v>USA732</v>
      </c>
      <c r="C163" s="133" t="str">
        <f>IFERROR(__xludf.DUMMYFUNCTION("""COMPUTED_VALUE"""),"P-1-N-140920-2942")</f>
        <v>P-1-N-140920-2942</v>
      </c>
      <c r="D163" s="133"/>
      <c r="E163" s="133" t="str">
        <f>IFERROR(__xludf.DUMMYFUNCTION("""COMPUTED_VALUE"""),"تمت طباعة الشهادة")</f>
        <v>تمت طباعة الشهادة</v>
      </c>
      <c r="F163" s="133" t="str">
        <f>IFERROR(__xludf.DUMMYFUNCTION("""COMPUTED_VALUE"""),"CHURU Rolls chicken recipe wraps tuna with scallop recipe 40g")</f>
        <v>CHURU Rolls chicken recipe wraps tuna with scallop recipe 40g</v>
      </c>
      <c r="G163" s="133" t="str">
        <f>IFERROR(__xludf.DUMMYFUNCTION("""COMPUTED_VALUE"""),"تشورو رولز وصفة الدجاج ملفوفة بوصفة التونا و المحار 40 جرام")</f>
        <v>تشورو رولز وصفة الدجاج ملفوفة بوصفة التونا و المحار 40 جرام</v>
      </c>
      <c r="H163" s="133" t="str">
        <f>IFERROR(__xludf.DUMMYFUNCTION("""COMPUTED_VALUE"""),"MAFE20201328")</f>
        <v>MAFE20201328</v>
      </c>
      <c r="I163" s="133"/>
      <c r="J163" s="133"/>
      <c r="K163" s="133" t="str">
        <f>IFERROR(__xludf.DUMMYFUNCTION("""COMPUTED_VALUE"""),"شركة تاي اينابا للأغذية المحدودة")</f>
        <v>شركة تاي اينابا للأغذية المحدودة</v>
      </c>
      <c r="L163" s="142" t="str">
        <f>IFERROR(__xludf.DUMMYFUNCTION("""COMPUTED_VALUE"""),"USA732")</f>
        <v>USA732</v>
      </c>
      <c r="M163" s="133"/>
      <c r="N163" s="133"/>
      <c r="O163" s="133"/>
      <c r="P163" s="133"/>
      <c r="Q163" s="133"/>
      <c r="R163" s="133"/>
      <c r="S163" s="133"/>
      <c r="T163" s="133"/>
      <c r="U163" s="133"/>
      <c r="V163" s="133"/>
      <c r="W163" s="133"/>
      <c r="X163" s="133"/>
      <c r="Y163" s="133"/>
      <c r="Z163" s="133"/>
    </row>
    <row r="164">
      <c r="A164" s="133">
        <f>IFERROR(__xludf.DUMMYFUNCTION("""COMPUTED_VALUE"""),163.0)</f>
        <v>163</v>
      </c>
      <c r="B164" s="133" t="str">
        <f>IFERROR(__xludf.DUMMYFUNCTION("""COMPUTED_VALUE"""),"USA733")</f>
        <v>USA733</v>
      </c>
      <c r="C164" s="133" t="str">
        <f>IFERROR(__xludf.DUMMYFUNCTION("""COMPUTED_VALUE"""),"P-1-N-140920-2943")</f>
        <v>P-1-N-140920-2943</v>
      </c>
      <c r="D164" s="133"/>
      <c r="E164" s="133" t="str">
        <f>IFERROR(__xludf.DUMMYFUNCTION("""COMPUTED_VALUE"""),"تمت طباعة الشهادة")</f>
        <v>تمت طباعة الشهادة</v>
      </c>
      <c r="F164" s="133" t="str">
        <f>IFERROR(__xludf.DUMMYFUNCTION("""COMPUTED_VALUE"""),"CHURU Rolls chicken recipe wraps chicken recipe 40g")</f>
        <v>CHURU Rolls chicken recipe wraps chicken recipe 40g</v>
      </c>
      <c r="G164" s="133" t="str">
        <f>IFERROR(__xludf.DUMMYFUNCTION("""COMPUTED_VALUE"""),"تشورو رولز وصفة الدجاج ملفوفة بوصفة الدجاج 40 جرام")</f>
        <v>تشورو رولز وصفة الدجاج ملفوفة بوصفة الدجاج 40 جرام</v>
      </c>
      <c r="H164" s="133" t="str">
        <f>IFERROR(__xludf.DUMMYFUNCTION("""COMPUTED_VALUE"""),"MAFE20201327")</f>
        <v>MAFE20201327</v>
      </c>
      <c r="I164" s="133"/>
      <c r="J164" s="133"/>
      <c r="K164" s="133" t="str">
        <f>IFERROR(__xludf.DUMMYFUNCTION("""COMPUTED_VALUE"""),"شركة تاي اينابا للأغذية المحدودة")</f>
        <v>شركة تاي اينابا للأغذية المحدودة</v>
      </c>
      <c r="L164" s="142" t="str">
        <f>IFERROR(__xludf.DUMMYFUNCTION("""COMPUTED_VALUE"""),"USA733")</f>
        <v>USA733</v>
      </c>
      <c r="M164" s="133"/>
      <c r="N164" s="133"/>
      <c r="O164" s="133"/>
      <c r="P164" s="133"/>
      <c r="Q164" s="133"/>
      <c r="R164" s="133"/>
      <c r="S164" s="133"/>
      <c r="T164" s="133"/>
      <c r="U164" s="133"/>
      <c r="V164" s="133"/>
      <c r="W164" s="133"/>
      <c r="X164" s="133"/>
      <c r="Y164" s="133"/>
      <c r="Z164" s="133"/>
    </row>
    <row r="165">
      <c r="A165" s="133">
        <f>IFERROR(__xludf.DUMMYFUNCTION("""COMPUTED_VALUE"""),164.0)</f>
        <v>164</v>
      </c>
      <c r="B165" s="133" t="str">
        <f>IFERROR(__xludf.DUMMYFUNCTION("""COMPUTED_VALUE"""),"USA701")</f>
        <v>USA701</v>
      </c>
      <c r="C165" s="133" t="str">
        <f>IFERROR(__xludf.DUMMYFUNCTION("""COMPUTED_VALUE"""),"P-1-N-140920-2944")</f>
        <v>P-1-N-140920-2944</v>
      </c>
      <c r="D165" s="133"/>
      <c r="E165" s="133" t="str">
        <f>IFERROR(__xludf.DUMMYFUNCTION("""COMPUTED_VALUE"""),"تمت طباعة الشهادة")</f>
        <v>تمت طباعة الشهادة</v>
      </c>
      <c r="F165" s="133" t="str">
        <f>IFERROR(__xludf.DUMMYFUNCTION("""COMPUTED_VALUE"""),"Juicy Bites tuna &amp; chicken flavor 33.9g")</f>
        <v>Juicy Bites tuna &amp; chicken flavor 33.9g</v>
      </c>
      <c r="G165" s="133" t="str">
        <f>IFERROR(__xludf.DUMMYFUNCTION("""COMPUTED_VALUE"""),"جوسي بايتس بنكهة التونا و الدجاج 33.9 جرام")</f>
        <v>جوسي بايتس بنكهة التونا و الدجاج 33.9 جرام</v>
      </c>
      <c r="H165" s="133" t="str">
        <f>IFERROR(__xludf.DUMMYFUNCTION("""COMPUTED_VALUE"""),"MAFE20201326")</f>
        <v>MAFE20201326</v>
      </c>
      <c r="I165" s="133"/>
      <c r="J165" s="133"/>
      <c r="K165" s="133" t="str">
        <f>IFERROR(__xludf.DUMMYFUNCTION("""COMPUTED_VALUE"""),"شركة تاي اينابا للأغذية المحدودة")</f>
        <v>شركة تاي اينابا للأغذية المحدودة</v>
      </c>
      <c r="L165" s="142" t="str">
        <f>IFERROR(__xludf.DUMMYFUNCTION("""COMPUTED_VALUE"""),"USA701")</f>
        <v>USA701</v>
      </c>
      <c r="M165" s="133"/>
      <c r="N165" s="133"/>
      <c r="O165" s="133"/>
      <c r="P165" s="133"/>
      <c r="Q165" s="133"/>
      <c r="R165" s="133"/>
      <c r="S165" s="133"/>
      <c r="T165" s="133"/>
      <c r="U165" s="133"/>
      <c r="V165" s="133"/>
      <c r="W165" s="133"/>
      <c r="X165" s="133"/>
      <c r="Y165" s="133"/>
      <c r="Z165" s="133"/>
    </row>
    <row r="166">
      <c r="A166" s="133">
        <f>IFERROR(__xludf.DUMMYFUNCTION("""COMPUTED_VALUE"""),165.0)</f>
        <v>165</v>
      </c>
      <c r="B166" s="133" t="str">
        <f>IFERROR(__xludf.DUMMYFUNCTION("""COMPUTED_VALUE"""),"USA702")</f>
        <v>USA702</v>
      </c>
      <c r="C166" s="133" t="str">
        <f>IFERROR(__xludf.DUMMYFUNCTION("""COMPUTED_VALUE"""),"P-1-N-140920-2945")</f>
        <v>P-1-N-140920-2945</v>
      </c>
      <c r="D166" s="133"/>
      <c r="E166" s="133" t="str">
        <f>IFERROR(__xludf.DUMMYFUNCTION("""COMPUTED_VALUE"""),"تمت طباعة الشهادة")</f>
        <v>تمت طباعة الشهادة</v>
      </c>
      <c r="F166" s="133" t="str">
        <f>IFERROR(__xludf.DUMMYFUNCTION("""COMPUTED_VALUE"""),"Juicy Bites fish &amp; clam flavor 33.9g")</f>
        <v>Juicy Bites fish &amp; clam flavor 33.9g</v>
      </c>
      <c r="G166" s="133" t="str">
        <f>IFERROR(__xludf.DUMMYFUNCTION("""COMPUTED_VALUE"""),"جوسي بايتس بنكهة السمك و البطلينوس 33.9 جرام")</f>
        <v>جوسي بايتس بنكهة السمك و البطلينوس 33.9 جرام</v>
      </c>
      <c r="H166" s="133" t="str">
        <f>IFERROR(__xludf.DUMMYFUNCTION("""COMPUTED_VALUE"""),"MAFE20201325")</f>
        <v>MAFE20201325</v>
      </c>
      <c r="I166" s="133"/>
      <c r="J166" s="133"/>
      <c r="K166" s="133" t="str">
        <f>IFERROR(__xludf.DUMMYFUNCTION("""COMPUTED_VALUE"""),"شركة تاي اينابا للأغذية المحدودة")</f>
        <v>شركة تاي اينابا للأغذية المحدودة</v>
      </c>
      <c r="L166" s="142" t="str">
        <f>IFERROR(__xludf.DUMMYFUNCTION("""COMPUTED_VALUE"""),"USA702")</f>
        <v>USA702</v>
      </c>
      <c r="M166" s="133"/>
      <c r="N166" s="133"/>
      <c r="O166" s="133"/>
      <c r="P166" s="133"/>
      <c r="Q166" s="133"/>
      <c r="R166" s="133"/>
      <c r="S166" s="133"/>
      <c r="T166" s="133"/>
      <c r="U166" s="133"/>
      <c r="V166" s="133"/>
      <c r="W166" s="133"/>
      <c r="X166" s="133"/>
      <c r="Y166" s="133"/>
      <c r="Z166" s="133"/>
    </row>
    <row r="167">
      <c r="A167" s="133">
        <f>IFERROR(__xludf.DUMMYFUNCTION("""COMPUTED_VALUE"""),166.0)</f>
        <v>166</v>
      </c>
      <c r="B167" s="133" t="str">
        <f>IFERROR(__xludf.DUMMYFUNCTION("""COMPUTED_VALUE"""),"USA703")</f>
        <v>USA703</v>
      </c>
      <c r="C167" s="133" t="str">
        <f>IFERROR(__xludf.DUMMYFUNCTION("""COMPUTED_VALUE"""),"P-1-N-140920-2946")</f>
        <v>P-1-N-140920-2946</v>
      </c>
      <c r="D167" s="133"/>
      <c r="E167" s="133" t="str">
        <f>IFERROR(__xludf.DUMMYFUNCTION("""COMPUTED_VALUE"""),"تمت طباعة الشهادة")</f>
        <v>تمت طباعة الشهادة</v>
      </c>
      <c r="F167" s="133" t="str">
        <f>IFERROR(__xludf.DUMMYFUNCTION("""COMPUTED_VALUE"""),"Juicy Bites scallop &amp; crab flavor 33.9g")</f>
        <v>Juicy Bites scallop &amp; crab flavor 33.9g</v>
      </c>
      <c r="G167" s="133" t="str">
        <f>IFERROR(__xludf.DUMMYFUNCTION("""COMPUTED_VALUE"""),"جوسي بايتس بنكهة المحار و السلطعون 33.9 جرام")</f>
        <v>جوسي بايتس بنكهة المحار و السلطعون 33.9 جرام</v>
      </c>
      <c r="H167" s="133" t="str">
        <f>IFERROR(__xludf.DUMMYFUNCTION("""COMPUTED_VALUE"""),"MAFE20201324")</f>
        <v>MAFE20201324</v>
      </c>
      <c r="I167" s="133"/>
      <c r="J167" s="133"/>
      <c r="K167" s="133" t="str">
        <f>IFERROR(__xludf.DUMMYFUNCTION("""COMPUTED_VALUE"""),"شركة تاي اينابا للأغذية المحدودة")</f>
        <v>شركة تاي اينابا للأغذية المحدودة</v>
      </c>
      <c r="L167" s="142" t="str">
        <f>IFERROR(__xludf.DUMMYFUNCTION("""COMPUTED_VALUE"""),"USA703")</f>
        <v>USA703</v>
      </c>
      <c r="M167" s="133"/>
      <c r="N167" s="133"/>
      <c r="O167" s="133"/>
      <c r="P167" s="133"/>
      <c r="Q167" s="133"/>
      <c r="R167" s="133"/>
      <c r="S167" s="133"/>
      <c r="T167" s="133"/>
      <c r="U167" s="133"/>
      <c r="V167" s="133"/>
      <c r="W167" s="133"/>
      <c r="X167" s="133"/>
      <c r="Y167" s="133"/>
      <c r="Z167" s="133"/>
    </row>
    <row r="168">
      <c r="A168" s="133">
        <f>IFERROR(__xludf.DUMMYFUNCTION("""COMPUTED_VALUE"""),167.0)</f>
        <v>167</v>
      </c>
      <c r="B168" s="133" t="str">
        <f>IFERROR(__xludf.DUMMYFUNCTION("""COMPUTED_VALUE"""),"USA704")</f>
        <v>USA704</v>
      </c>
      <c r="C168" s="133" t="str">
        <f>IFERROR(__xludf.DUMMYFUNCTION("""COMPUTED_VALUE"""),"P-1-N-140920-2947")</f>
        <v>P-1-N-140920-2947</v>
      </c>
      <c r="D168" s="133"/>
      <c r="E168" s="133" t="str">
        <f>IFERROR(__xludf.DUMMYFUNCTION("""COMPUTED_VALUE"""),"تمت طباعة الشهادة")</f>
        <v>تمت طباعة الشهادة</v>
      </c>
      <c r="F168" s="133" t="str">
        <f>IFERROR(__xludf.DUMMYFUNCTION("""COMPUTED_VALUE"""),"Juicy Bites shrimp &amp; seafood mix flavor 33.9g")</f>
        <v>Juicy Bites shrimp &amp; seafood mix flavor 33.9g</v>
      </c>
      <c r="G168" s="133" t="str">
        <f>IFERROR(__xludf.DUMMYFUNCTION("""COMPUTED_VALUE"""),"جوسي بايتس بنكهة الجمبري و تشكيلة المأكولات البحرية 33.9 جرام")</f>
        <v>جوسي بايتس بنكهة الجمبري و تشكيلة المأكولات البحرية 33.9 جرام</v>
      </c>
      <c r="H168" s="133" t="str">
        <f>IFERROR(__xludf.DUMMYFUNCTION("""COMPUTED_VALUE"""),"MAFE20201323")</f>
        <v>MAFE20201323</v>
      </c>
      <c r="I168" s="133"/>
      <c r="J168" s="133"/>
      <c r="K168" s="133" t="str">
        <f>IFERROR(__xludf.DUMMYFUNCTION("""COMPUTED_VALUE"""),"شركة تاي اينابا للأغذية المحدودة")</f>
        <v>شركة تاي اينابا للأغذية المحدودة</v>
      </c>
      <c r="L168" s="142" t="str">
        <f>IFERROR(__xludf.DUMMYFUNCTION("""COMPUTED_VALUE"""),"USA704")</f>
        <v>USA704</v>
      </c>
      <c r="M168" s="133"/>
      <c r="N168" s="133"/>
      <c r="O168" s="133"/>
      <c r="P168" s="133"/>
      <c r="Q168" s="133"/>
      <c r="R168" s="133"/>
      <c r="S168" s="133"/>
      <c r="T168" s="133"/>
      <c r="U168" s="133"/>
      <c r="V168" s="133"/>
      <c r="W168" s="133"/>
      <c r="X168" s="133"/>
      <c r="Y168" s="133"/>
      <c r="Z168" s="133"/>
    </row>
    <row r="169">
      <c r="A169" s="133">
        <f>IFERROR(__xludf.DUMMYFUNCTION("""COMPUTED_VALUE"""),168.0)</f>
        <v>168</v>
      </c>
      <c r="B169" s="133" t="str">
        <f>IFERROR(__xludf.DUMMYFUNCTION("""COMPUTED_VALUE"""),"USA705")</f>
        <v>USA705</v>
      </c>
      <c r="C169" s="133" t="str">
        <f>IFERROR(__xludf.DUMMYFUNCTION("""COMPUTED_VALUE"""),"P-1-N-140920-2948")</f>
        <v>P-1-N-140920-2948</v>
      </c>
      <c r="D169" s="133"/>
      <c r="E169" s="133" t="str">
        <f>IFERROR(__xludf.DUMMYFUNCTION("""COMPUTED_VALUE"""),"تمت طباعة الشهادة")</f>
        <v>تمت طباعة الشهادة</v>
      </c>
      <c r="F169" s="133" t="str">
        <f>IFERROR(__xludf.DUMMYFUNCTION("""COMPUTED_VALUE"""),"Juicy Bites homestyle broth &amp; calamari flavor 33.9g")</f>
        <v>Juicy Bites homestyle broth &amp; calamari flavor 33.9g</v>
      </c>
      <c r="G169" s="133" t="str">
        <f>IFERROR(__xludf.DUMMYFUNCTION("""COMPUTED_VALUE"""),"جوسي بايتس بنكهة مرق هوم ستايل وكاليماري 33.9 جرام")</f>
        <v>جوسي بايتس بنكهة مرق هوم ستايل وكاليماري 33.9 جرام</v>
      </c>
      <c r="H169" s="133" t="str">
        <f>IFERROR(__xludf.DUMMYFUNCTION("""COMPUTED_VALUE"""),"MAFE20201322")</f>
        <v>MAFE20201322</v>
      </c>
      <c r="I169" s="133"/>
      <c r="J169" s="133"/>
      <c r="K169" s="133" t="str">
        <f>IFERROR(__xludf.DUMMYFUNCTION("""COMPUTED_VALUE"""),"شركة")</f>
        <v>شركة</v>
      </c>
      <c r="L169" s="142" t="str">
        <f>IFERROR(__xludf.DUMMYFUNCTION("""COMPUTED_VALUE"""),"USA705")</f>
        <v>USA705</v>
      </c>
      <c r="M169" s="133"/>
      <c r="N169" s="133"/>
      <c r="O169" s="133"/>
      <c r="P169" s="133"/>
      <c r="Q169" s="133"/>
      <c r="R169" s="133"/>
      <c r="S169" s="133"/>
      <c r="T169" s="133"/>
      <c r="U169" s="133"/>
      <c r="V169" s="133"/>
      <c r="W169" s="133"/>
      <c r="X169" s="133"/>
      <c r="Y169" s="133"/>
      <c r="Z169" s="133"/>
    </row>
    <row r="170">
      <c r="A170" s="133">
        <f>IFERROR(__xludf.DUMMYFUNCTION("""COMPUTED_VALUE"""),169.0)</f>
        <v>169</v>
      </c>
      <c r="B170" s="133" t="str">
        <f>IFERROR(__xludf.DUMMYFUNCTION("""COMPUTED_VALUE"""),"USA501")</f>
        <v>USA501</v>
      </c>
      <c r="C170" s="133" t="str">
        <f>IFERROR(__xludf.DUMMYFUNCTION("""COMPUTED_VALUE"""),"P-1-N-140920-2949")</f>
        <v>P-1-N-140920-2949</v>
      </c>
      <c r="D170" s="133"/>
      <c r="E170" s="133" t="str">
        <f>IFERROR(__xludf.DUMMYFUNCTION("""COMPUTED_VALUE"""),"تمت طباعة الشهادة")</f>
        <v>تمت طباعة الشهادة</v>
      </c>
      <c r="F170" s="133" t="str">
        <f>IFERROR(__xludf.DUMMYFUNCTION("""COMPUTED_VALUE"""),"Grilled Tuna fillet in tuna flavored broth 25g")</f>
        <v>Grilled Tuna fillet in tuna flavored broth 25g</v>
      </c>
      <c r="G170" s="133" t="str">
        <f>IFERROR(__xludf.DUMMYFUNCTION("""COMPUTED_VALUE"""),"فيليه تونا مشوي في مرق بنكهة التونا 25 جرام")</f>
        <v>فيليه تونا مشوي في مرق بنكهة التونا 25 جرام</v>
      </c>
      <c r="H170" s="133" t="str">
        <f>IFERROR(__xludf.DUMMYFUNCTION("""COMPUTED_VALUE"""),"MAFE20201321")</f>
        <v>MAFE20201321</v>
      </c>
      <c r="I170" s="133"/>
      <c r="J170" s="133"/>
      <c r="K170" s="133" t="str">
        <f>IFERROR(__xludf.DUMMYFUNCTION("""COMPUTED_VALUE"""),"شركة تاي اينابا للأغذية المحدودة")</f>
        <v>شركة تاي اينابا للأغذية المحدودة</v>
      </c>
      <c r="L170" s="142" t="str">
        <f>IFERROR(__xludf.DUMMYFUNCTION("""COMPUTED_VALUE"""),"USA501")</f>
        <v>USA501</v>
      </c>
      <c r="M170" s="133"/>
      <c r="N170" s="133"/>
      <c r="O170" s="133"/>
      <c r="P170" s="133"/>
      <c r="Q170" s="133"/>
      <c r="R170" s="133"/>
      <c r="S170" s="133"/>
      <c r="T170" s="133"/>
      <c r="U170" s="133"/>
      <c r="V170" s="133"/>
      <c r="W170" s="133"/>
      <c r="X170" s="133"/>
      <c r="Y170" s="133"/>
      <c r="Z170" s="133"/>
    </row>
    <row r="171">
      <c r="A171" s="133">
        <f>IFERROR(__xludf.DUMMYFUNCTION("""COMPUTED_VALUE"""),170.0)</f>
        <v>170</v>
      </c>
      <c r="B171" s="133" t="str">
        <f>IFERROR(__xludf.DUMMYFUNCTION("""COMPUTED_VALUE"""),"USA502")</f>
        <v>USA502</v>
      </c>
      <c r="C171" s="133" t="str">
        <f>IFERROR(__xludf.DUMMYFUNCTION("""COMPUTED_VALUE"""),"P-1-N-140920-2950")</f>
        <v>P-1-N-140920-2950</v>
      </c>
      <c r="D171" s="133"/>
      <c r="E171" s="133" t="str">
        <f>IFERROR(__xludf.DUMMYFUNCTION("""COMPUTED_VALUE"""),"تمت طباعة الشهادة")</f>
        <v>تمت طباعة الشهادة</v>
      </c>
      <c r="F171" s="133" t="str">
        <f>IFERROR(__xludf.DUMMYFUNCTION("""COMPUTED_VALUE"""),"Grilled Tuna fillet in scallop flavored broth 25g")</f>
        <v>Grilled Tuna fillet in scallop flavored broth 25g</v>
      </c>
      <c r="G171" s="133" t="str">
        <f>IFERROR(__xludf.DUMMYFUNCTION("""COMPUTED_VALUE"""),"فيليه تونا مشوي في مرق نكهة المحار 25 جرام")</f>
        <v>فيليه تونا مشوي في مرق نكهة المحار 25 جرام</v>
      </c>
      <c r="H171" s="133" t="str">
        <f>IFERROR(__xludf.DUMMYFUNCTION("""COMPUTED_VALUE"""),"MAFE20201320")</f>
        <v>MAFE20201320</v>
      </c>
      <c r="I171" s="133"/>
      <c r="J171" s="133"/>
      <c r="K171" s="133" t="str">
        <f>IFERROR(__xludf.DUMMYFUNCTION("""COMPUTED_VALUE"""),"شركة تاي اينابا للأغذية المحدودة")</f>
        <v>شركة تاي اينابا للأغذية المحدودة</v>
      </c>
      <c r="L171" s="142" t="str">
        <f>IFERROR(__xludf.DUMMYFUNCTION("""COMPUTED_VALUE"""),"USA502")</f>
        <v>USA502</v>
      </c>
      <c r="M171" s="133"/>
      <c r="N171" s="133"/>
      <c r="O171" s="133"/>
      <c r="P171" s="133"/>
      <c r="Q171" s="133"/>
      <c r="R171" s="133"/>
      <c r="S171" s="133"/>
      <c r="T171" s="133"/>
      <c r="U171" s="133"/>
      <c r="V171" s="133"/>
      <c r="W171" s="133"/>
      <c r="X171" s="133"/>
      <c r="Y171" s="133"/>
      <c r="Z171" s="133"/>
    </row>
    <row r="172">
      <c r="A172" s="133">
        <f>IFERROR(__xludf.DUMMYFUNCTION("""COMPUTED_VALUE"""),171.0)</f>
        <v>171</v>
      </c>
      <c r="B172" s="133" t="str">
        <f>IFERROR(__xludf.DUMMYFUNCTION("""COMPUTED_VALUE"""),"USA503")</f>
        <v>USA503</v>
      </c>
      <c r="C172" s="133" t="str">
        <f>IFERROR(__xludf.DUMMYFUNCTION("""COMPUTED_VALUE"""),"P-1-N-140920-2951")</f>
        <v>P-1-N-140920-2951</v>
      </c>
      <c r="D172" s="133"/>
      <c r="E172" s="133" t="str">
        <f>IFERROR(__xludf.DUMMYFUNCTION("""COMPUTED_VALUE"""),"تمت طباعة الشهادة")</f>
        <v>تمت طباعة الشهادة</v>
      </c>
      <c r="F172" s="133" t="str">
        <f>IFERROR(__xludf.DUMMYFUNCTION("""COMPUTED_VALUE"""),"Grilled Tuna fillet in homestyle broth 25g")</f>
        <v>Grilled Tuna fillet in homestyle broth 25g</v>
      </c>
      <c r="G172" s="133" t="str">
        <f>IFERROR(__xludf.DUMMYFUNCTION("""COMPUTED_VALUE"""),"فيليه تونا مشوي في مرق بأسلوب منزلي 25 جرام")</f>
        <v>فيليه تونا مشوي في مرق بأسلوب منزلي 25 جرام</v>
      </c>
      <c r="H172" s="133" t="str">
        <f>IFERROR(__xludf.DUMMYFUNCTION("""COMPUTED_VALUE"""),"MAFE20201319")</f>
        <v>MAFE20201319</v>
      </c>
      <c r="I172" s="133"/>
      <c r="J172" s="133"/>
      <c r="K172" s="133" t="str">
        <f>IFERROR(__xludf.DUMMYFUNCTION("""COMPUTED_VALUE"""),"شركة تاي اينابا للأغذية المحدودة")</f>
        <v>شركة تاي اينابا للأغذية المحدودة</v>
      </c>
      <c r="L172" s="142" t="str">
        <f>IFERROR(__xludf.DUMMYFUNCTION("""COMPUTED_VALUE"""),"USA503")</f>
        <v>USA503</v>
      </c>
      <c r="M172" s="133"/>
      <c r="N172" s="133"/>
      <c r="O172" s="133"/>
      <c r="P172" s="133"/>
      <c r="Q172" s="133"/>
      <c r="R172" s="133"/>
      <c r="S172" s="133"/>
      <c r="T172" s="133"/>
      <c r="U172" s="133"/>
      <c r="V172" s="133"/>
      <c r="W172" s="133"/>
      <c r="X172" s="133"/>
      <c r="Y172" s="133"/>
      <c r="Z172" s="133"/>
    </row>
    <row r="173">
      <c r="A173" s="133">
        <f>IFERROR(__xludf.DUMMYFUNCTION("""COMPUTED_VALUE"""),172.0)</f>
        <v>172</v>
      </c>
      <c r="B173" s="133" t="str">
        <f>IFERROR(__xludf.DUMMYFUNCTION("""COMPUTED_VALUE"""),"USA504")</f>
        <v>USA504</v>
      </c>
      <c r="C173" s="133" t="str">
        <f>IFERROR(__xludf.DUMMYFUNCTION("""COMPUTED_VALUE"""),"P-1-N-140920-2952")</f>
        <v>P-1-N-140920-2952</v>
      </c>
      <c r="D173" s="133"/>
      <c r="E173" s="133" t="str">
        <f>IFERROR(__xludf.DUMMYFUNCTION("""COMPUTED_VALUE"""),"تمت طباعة الشهادة")</f>
        <v>تمت طباعة الشهادة</v>
      </c>
      <c r="F173" s="133" t="str">
        <f>IFERROR(__xludf.DUMMYFUNCTION("""COMPUTED_VALUE"""),"Grilled Tuna fillet in crab flavored broth 25g")</f>
        <v>Grilled Tuna fillet in crab flavored broth 25g</v>
      </c>
      <c r="G173" s="133" t="str">
        <f>IFERROR(__xludf.DUMMYFUNCTION("""COMPUTED_VALUE"""),"فيليه تونا مشوي في مرق بنكهة السلطعون 25 جرام")</f>
        <v>فيليه تونا مشوي في مرق بنكهة السلطعون 25 جرام</v>
      </c>
      <c r="H173" s="133" t="str">
        <f>IFERROR(__xludf.DUMMYFUNCTION("""COMPUTED_VALUE"""),"MAFE20201318")</f>
        <v>MAFE20201318</v>
      </c>
      <c r="I173" s="133"/>
      <c r="J173" s="133"/>
      <c r="K173" s="133" t="str">
        <f>IFERROR(__xludf.DUMMYFUNCTION("""COMPUTED_VALUE"""),"شركة تاي اينابا للأغذية المحدودة")</f>
        <v>شركة تاي اينابا للأغذية المحدودة</v>
      </c>
      <c r="L173" s="142" t="str">
        <f>IFERROR(__xludf.DUMMYFUNCTION("""COMPUTED_VALUE"""),"USA504")</f>
        <v>USA504</v>
      </c>
      <c r="M173" s="133"/>
      <c r="N173" s="133"/>
      <c r="O173" s="133"/>
      <c r="P173" s="133"/>
      <c r="Q173" s="133"/>
      <c r="R173" s="133"/>
      <c r="S173" s="133"/>
      <c r="T173" s="133"/>
      <c r="U173" s="133"/>
      <c r="V173" s="133"/>
      <c r="W173" s="133"/>
      <c r="X173" s="133"/>
      <c r="Y173" s="133"/>
      <c r="Z173" s="133"/>
    </row>
    <row r="174">
      <c r="A174" s="133">
        <f>IFERROR(__xludf.DUMMYFUNCTION("""COMPUTED_VALUE"""),173.0)</f>
        <v>173</v>
      </c>
      <c r="B174" s="133" t="str">
        <f>IFERROR(__xludf.DUMMYFUNCTION("""COMPUTED_VALUE"""),"USA505")</f>
        <v>USA505</v>
      </c>
      <c r="C174" s="133" t="str">
        <f>IFERROR(__xludf.DUMMYFUNCTION("""COMPUTED_VALUE"""),"P-1-N-140920-2953")</f>
        <v>P-1-N-140920-2953</v>
      </c>
      <c r="D174" s="133"/>
      <c r="E174" s="133" t="str">
        <f>IFERROR(__xludf.DUMMYFUNCTION("""COMPUTED_VALUE"""),"تمت طباعة الشهادة")</f>
        <v>تمت طباعة الشهادة</v>
      </c>
      <c r="F174" s="133" t="str">
        <f>IFERROR(__xludf.DUMMYFUNCTION("""COMPUTED_VALUE"""),"Grilled Tuna fillet extra tender in tuna flavored broth 25g")</f>
        <v>Grilled Tuna fillet extra tender in tuna flavored broth 25g</v>
      </c>
      <c r="G174" s="133" t="str">
        <f>IFERROR(__xludf.DUMMYFUNCTION("""COMPUTED_VALUE"""),"فيليه تونا مشوي طري أكثر في مرق التونا 25 جرام")</f>
        <v>فيليه تونا مشوي طري أكثر في مرق التونا 25 جرام</v>
      </c>
      <c r="H174" s="133" t="str">
        <f>IFERROR(__xludf.DUMMYFUNCTION("""COMPUTED_VALUE"""),"MAFE20201317")</f>
        <v>MAFE20201317</v>
      </c>
      <c r="I174" s="133"/>
      <c r="J174" s="133"/>
      <c r="K174" s="133" t="str">
        <f>IFERROR(__xludf.DUMMYFUNCTION("""COMPUTED_VALUE"""),"شركة تاي اينابا للأغذية المحدودة")</f>
        <v>شركة تاي اينابا للأغذية المحدودة</v>
      </c>
      <c r="L174" s="142" t="str">
        <f>IFERROR(__xludf.DUMMYFUNCTION("""COMPUTED_VALUE"""),"USA505")</f>
        <v>USA505</v>
      </c>
      <c r="M174" s="133"/>
      <c r="N174" s="133"/>
      <c r="O174" s="133"/>
      <c r="P174" s="133"/>
      <c r="Q174" s="133"/>
      <c r="R174" s="133"/>
      <c r="S174" s="133"/>
      <c r="T174" s="133"/>
      <c r="U174" s="133"/>
      <c r="V174" s="133"/>
      <c r="W174" s="133"/>
      <c r="X174" s="133"/>
      <c r="Y174" s="133"/>
      <c r="Z174" s="133"/>
    </row>
    <row r="175">
      <c r="A175" s="133">
        <f>IFERROR(__xludf.DUMMYFUNCTION("""COMPUTED_VALUE"""),174.0)</f>
        <v>174</v>
      </c>
      <c r="B175" s="133" t="str">
        <f>IFERROR(__xludf.DUMMYFUNCTION("""COMPUTED_VALUE"""),"USA506")</f>
        <v>USA506</v>
      </c>
      <c r="C175" s="133" t="str">
        <f>IFERROR(__xludf.DUMMYFUNCTION("""COMPUTED_VALUE"""),"P-1-N-140920-2954")</f>
        <v>P-1-N-140920-2954</v>
      </c>
      <c r="D175" s="133"/>
      <c r="E175" s="133" t="str">
        <f>IFERROR(__xludf.DUMMYFUNCTION("""COMPUTED_VALUE"""),"تمت طباعة الشهادة")</f>
        <v>تمت طباعة الشهادة</v>
      </c>
      <c r="F175" s="133" t="str">
        <f>IFERROR(__xludf.DUMMYFUNCTION("""COMPUTED_VALUE"""),"Grilled Tuna fillet in shrimp flavored broth 25g")</f>
        <v>Grilled Tuna fillet in shrimp flavored broth 25g</v>
      </c>
      <c r="G175" s="133" t="str">
        <f>IFERROR(__xludf.DUMMYFUNCTION("""COMPUTED_VALUE"""),"فيليه تونا مشوي في مرق الجمبري 25 جرام")</f>
        <v>فيليه تونا مشوي في مرق الجمبري 25 جرام</v>
      </c>
      <c r="H175" s="133" t="str">
        <f>IFERROR(__xludf.DUMMYFUNCTION("""COMPUTED_VALUE"""),"MAFE20201316")</f>
        <v>MAFE20201316</v>
      </c>
      <c r="I175" s="133"/>
      <c r="J175" s="133"/>
      <c r="K175" s="133" t="str">
        <f>IFERROR(__xludf.DUMMYFUNCTION("""COMPUTED_VALUE"""),"شركة تاي اينابا للأغذية المحدودة")</f>
        <v>شركة تاي اينابا للأغذية المحدودة</v>
      </c>
      <c r="L175" s="142" t="str">
        <f>IFERROR(__xludf.DUMMYFUNCTION("""COMPUTED_VALUE"""),"USA506")</f>
        <v>USA506</v>
      </c>
      <c r="M175" s="133"/>
      <c r="N175" s="133"/>
      <c r="O175" s="133"/>
      <c r="P175" s="133"/>
      <c r="Q175" s="133"/>
      <c r="R175" s="133"/>
      <c r="S175" s="133"/>
      <c r="T175" s="133"/>
      <c r="U175" s="133"/>
      <c r="V175" s="133"/>
      <c r="W175" s="133"/>
      <c r="X175" s="133"/>
      <c r="Y175" s="133"/>
      <c r="Z175" s="133"/>
    </row>
    <row r="176">
      <c r="A176" s="133">
        <f>IFERROR(__xludf.DUMMYFUNCTION("""COMPUTED_VALUE"""),175.0)</f>
        <v>175</v>
      </c>
      <c r="B176" s="133" t="str">
        <f>IFERROR(__xludf.DUMMYFUNCTION("""COMPUTED_VALUE"""),"USA508")</f>
        <v>USA508</v>
      </c>
      <c r="C176" s="133" t="str">
        <f>IFERROR(__xludf.DUMMYFUNCTION("""COMPUTED_VALUE"""),"P-1-N-140920-2955")</f>
        <v>P-1-N-140920-2955</v>
      </c>
      <c r="D176" s="133"/>
      <c r="E176" s="133" t="str">
        <f>IFERROR(__xludf.DUMMYFUNCTION("""COMPUTED_VALUE"""),"تمت طباعة الشهادة")</f>
        <v>تمت طباعة الشهادة</v>
      </c>
      <c r="F176" s="133" t="str">
        <f>IFERROR(__xludf.DUMMYFUNCTION("""COMPUTED_VALUE"""),"Grilled Tuna fillet in calamari flavored 25g")</f>
        <v>Grilled Tuna fillet in calamari flavored 25g</v>
      </c>
      <c r="G176" s="133" t="str">
        <f>IFERROR(__xludf.DUMMYFUNCTION("""COMPUTED_VALUE"""),"فيليه تونا مشوي في مرق كاليماري 25 جرام")</f>
        <v>فيليه تونا مشوي في مرق كاليماري 25 جرام</v>
      </c>
      <c r="H176" s="133" t="str">
        <f>IFERROR(__xludf.DUMMYFUNCTION("""COMPUTED_VALUE"""),"MAFE20201373")</f>
        <v>MAFE20201373</v>
      </c>
      <c r="I176" s="133"/>
      <c r="J176" s="133"/>
      <c r="K176" s="133" t="str">
        <f>IFERROR(__xludf.DUMMYFUNCTION("""COMPUTED_VALUE"""),"شركة تاي اينابا للأغذية المحدودة")</f>
        <v>شركة تاي اينابا للأغذية المحدودة</v>
      </c>
      <c r="L176" s="142" t="str">
        <f>IFERROR(__xludf.DUMMYFUNCTION("""COMPUTED_VALUE"""),"USA508")</f>
        <v>USA508</v>
      </c>
      <c r="M176" s="133"/>
      <c r="N176" s="133"/>
      <c r="O176" s="133"/>
      <c r="P176" s="133"/>
      <c r="Q176" s="133"/>
      <c r="R176" s="133"/>
      <c r="S176" s="133"/>
      <c r="T176" s="133"/>
      <c r="U176" s="133"/>
      <c r="V176" s="133"/>
      <c r="W176" s="133"/>
      <c r="X176" s="133"/>
      <c r="Y176" s="133"/>
      <c r="Z176" s="133"/>
    </row>
    <row r="177">
      <c r="A177" s="133">
        <f>IFERROR(__xludf.DUMMYFUNCTION("""COMPUTED_VALUE"""),176.0)</f>
        <v>176</v>
      </c>
      <c r="B177" s="133" t="str">
        <f>IFERROR(__xludf.DUMMYFUNCTION("""COMPUTED_VALUE"""),"MC5023")</f>
        <v>MC5023</v>
      </c>
      <c r="C177" s="133" t="str">
        <f>IFERROR(__xludf.DUMMYFUNCTION("""COMPUTED_VALUE"""),"P-1-N-160920-3010")</f>
        <v>P-1-N-160920-3010</v>
      </c>
      <c r="D177" s="133"/>
      <c r="E177" s="133" t="str">
        <f>IFERROR(__xludf.DUMMYFUNCTION("""COMPUTED_VALUE"""),"تمت طباعة الشهادة")</f>
        <v>تمت طباعة الشهادة</v>
      </c>
      <c r="F177" s="133" t="str">
        <f>IFERROR(__xludf.DUMMYFUNCTION("""COMPUTED_VALUE"""),"Healthy Bites Breath &amp; Dental for Cats &amp; Kittens 65g")</f>
        <v>Healthy Bites Breath &amp; Dental for Cats &amp; Kittens 65g</v>
      </c>
      <c r="G177" s="133" t="str">
        <f>IFERROR(__xludf.DUMMYFUNCTION("""COMPUTED_VALUE"""),"هيلثي بايتس لرائحة الفم والأسنان للقطط الصغيرة و البالغة 65 جم")</f>
        <v>هيلثي بايتس لرائحة الفم والأسنان للقطط الصغيرة و البالغة 65 جم</v>
      </c>
      <c r="H177" s="133" t="str">
        <f>IFERROR(__xludf.DUMMYFUNCTION("""COMPUTED_VALUE"""),"MAFE2021276")</f>
        <v>MAFE2021276</v>
      </c>
      <c r="I177" s="133"/>
      <c r="J177" s="133"/>
      <c r="K177" s="133" t="str">
        <f>IFERROR(__xludf.DUMMYFUNCTION("""COMPUTED_VALUE"""),"مارك اند شابل ليمتد")</f>
        <v>مارك اند شابل ليمتد</v>
      </c>
      <c r="L177" s="142" t="str">
        <f>IFERROR(__xludf.DUMMYFUNCTION("""COMPUTED_VALUE"""),"MC5023")</f>
        <v>MC5023</v>
      </c>
      <c r="M177" s="133"/>
      <c r="N177" s="133"/>
      <c r="O177" s="133"/>
      <c r="P177" s="133"/>
      <c r="Q177" s="133"/>
      <c r="R177" s="133"/>
      <c r="S177" s="133"/>
      <c r="T177" s="133"/>
      <c r="U177" s="133"/>
      <c r="V177" s="133"/>
      <c r="W177" s="133"/>
      <c r="X177" s="133"/>
      <c r="Y177" s="133"/>
      <c r="Z177" s="133"/>
    </row>
    <row r="178">
      <c r="A178" s="133">
        <f>IFERROR(__xludf.DUMMYFUNCTION("""COMPUTED_VALUE"""),177.0)</f>
        <v>177</v>
      </c>
      <c r="B178" s="133" t="str">
        <f>IFERROR(__xludf.DUMMYFUNCTION("""COMPUTED_VALUE"""),"A4304")</f>
        <v>A4304</v>
      </c>
      <c r="C178" s="133" t="str">
        <f>IFERROR(__xludf.DUMMYFUNCTION("""COMPUTED_VALUE"""),"P-1-N-170920-3024")</f>
        <v>P-1-N-170920-3024</v>
      </c>
      <c r="D178" s="133"/>
      <c r="E178" s="133" t="str">
        <f>IFERROR(__xludf.DUMMYFUNCTION("""COMPUTED_VALUE"""),"تمت طباعة الشهادة")</f>
        <v>تمت طباعة الشهادة</v>
      </c>
      <c r="F178" s="133" t="str">
        <f>IFERROR(__xludf.DUMMYFUNCTION("""COMPUTED_VALUE"""),"Applaws Adult Cat Chicken with Extra Duck 7.5 kg")</f>
        <v>Applaws Adult Cat Chicken with Extra Duck 7.5 kg</v>
      </c>
      <c r="G178" s="133" t="str">
        <f>IFERROR(__xludf.DUMMYFUNCTION("""COMPUTED_VALUE"""),"ابلاوز دجاج مع البط الإضافي للقطط البالغة 7.5 كغم")</f>
        <v>ابلاوز دجاج مع البط الإضافي للقطط البالغة 7.5 كغم</v>
      </c>
      <c r="H178" s="133" t="str">
        <f>IFERROR(__xludf.DUMMYFUNCTION("""COMPUTED_VALUE"""),"MAFE20201401")</f>
        <v>MAFE20201401</v>
      </c>
      <c r="I178" s="133"/>
      <c r="J178" s="133"/>
      <c r="K178" s="133" t="str">
        <f>IFERROR(__xludf.DUMMYFUNCTION("""COMPUTED_VALUE"""),"أم بي أم برودكتس ليمتد")</f>
        <v>أم بي أم برودكتس ليمتد</v>
      </c>
      <c r="L178" s="142" t="str">
        <f>IFERROR(__xludf.DUMMYFUNCTION("""COMPUTED_VALUE"""),"A4304")</f>
        <v>A4304</v>
      </c>
      <c r="M178" s="133"/>
      <c r="N178" s="133"/>
      <c r="O178" s="133"/>
      <c r="P178" s="133"/>
      <c r="Q178" s="133"/>
      <c r="R178" s="133"/>
      <c r="S178" s="133"/>
      <c r="T178" s="133"/>
      <c r="U178" s="133"/>
      <c r="V178" s="133"/>
      <c r="W178" s="133"/>
      <c r="X178" s="133"/>
      <c r="Y178" s="133"/>
      <c r="Z178" s="133"/>
    </row>
    <row r="179">
      <c r="A179" s="133">
        <f>IFERROR(__xludf.DUMMYFUNCTION("""COMPUTED_VALUE"""),178.0)</f>
        <v>178</v>
      </c>
      <c r="B179" s="133" t="str">
        <f>IFERROR(__xludf.DUMMYFUNCTION("""COMPUTED_VALUE"""),"A4204")</f>
        <v>A4204</v>
      </c>
      <c r="C179" s="133" t="str">
        <f>IFERROR(__xludf.DUMMYFUNCTION("""COMPUTED_VALUE"""),"P-1-N-170920-3025")</f>
        <v>P-1-N-170920-3025</v>
      </c>
      <c r="D179" s="133"/>
      <c r="E179" s="133" t="str">
        <f>IFERROR(__xludf.DUMMYFUNCTION("""COMPUTED_VALUE"""),"تمت طباعة الشهادة")</f>
        <v>تمت طباعة الشهادة</v>
      </c>
      <c r="F179" s="133" t="str">
        <f>IFERROR(__xludf.DUMMYFUNCTION("""COMPUTED_VALUE"""),"Applaws Adult Cat Chicken with Extra Duck 2 kg")</f>
        <v>Applaws Adult Cat Chicken with Extra Duck 2 kg</v>
      </c>
      <c r="G179" s="133" t="str">
        <f>IFERROR(__xludf.DUMMYFUNCTION("""COMPUTED_VALUE"""),"ابلاوز دجاج مع البط الإضافي للقطط البالغة 2 كغم")</f>
        <v>ابلاوز دجاج مع البط الإضافي للقطط البالغة 2 كغم</v>
      </c>
      <c r="H179" s="133" t="str">
        <f>IFERROR(__xludf.DUMMYFUNCTION("""COMPUTED_VALUE"""),"MAFE20201400")</f>
        <v>MAFE20201400</v>
      </c>
      <c r="I179" s="133"/>
      <c r="J179" s="133"/>
      <c r="K179" s="133" t="str">
        <f>IFERROR(__xludf.DUMMYFUNCTION("""COMPUTED_VALUE"""),"أم بي أم برودكتس ليمتد")</f>
        <v>أم بي أم برودكتس ليمتد</v>
      </c>
      <c r="L179" s="142" t="str">
        <f>IFERROR(__xludf.DUMMYFUNCTION("""COMPUTED_VALUE"""),"A4204")</f>
        <v>A4204</v>
      </c>
      <c r="M179" s="133"/>
      <c r="N179" s="133"/>
      <c r="O179" s="133"/>
      <c r="P179" s="133"/>
      <c r="Q179" s="133"/>
      <c r="R179" s="133"/>
      <c r="S179" s="133"/>
      <c r="T179" s="133"/>
      <c r="U179" s="133"/>
      <c r="V179" s="133"/>
      <c r="W179" s="133"/>
      <c r="X179" s="133"/>
      <c r="Y179" s="133"/>
      <c r="Z179" s="133"/>
    </row>
    <row r="180">
      <c r="A180" s="133">
        <f>IFERROR(__xludf.DUMMYFUNCTION("""COMPUTED_VALUE"""),179.0)</f>
        <v>179</v>
      </c>
      <c r="B180" s="133" t="str">
        <f>IFERROR(__xludf.DUMMYFUNCTION("""COMPUTED_VALUE"""),"A4105")</f>
        <v>A4105</v>
      </c>
      <c r="C180" s="133" t="str">
        <f>IFERROR(__xludf.DUMMYFUNCTION("""COMPUTED_VALUE"""),"P-1-N-170920-3027")</f>
        <v>P-1-N-170920-3027</v>
      </c>
      <c r="D180" s="133"/>
      <c r="E180" s="133" t="str">
        <f>IFERROR(__xludf.DUMMYFUNCTION("""COMPUTED_VALUE"""),"تمت طباعة الشهادة")</f>
        <v>تمت طباعة الشهادة</v>
      </c>
      <c r="F180" s="133" t="str">
        <f>IFERROR(__xludf.DUMMYFUNCTION("""COMPUTED_VALUE"""),"Applaws Senior Cat Chicken ")</f>
        <v>Applaws Senior Cat Chicken </v>
      </c>
      <c r="G180" s="133" t="str">
        <f>IFERROR(__xludf.DUMMYFUNCTION("""COMPUTED_VALUE"""),"ابلاوز دجاج للقطط كبيرة السن 400 جم")</f>
        <v>ابلاوز دجاج للقطط كبيرة السن 400 جم</v>
      </c>
      <c r="H180" s="133" t="str">
        <f>IFERROR(__xludf.DUMMYFUNCTION("""COMPUTED_VALUE"""),"MAFE20201399")</f>
        <v>MAFE20201399</v>
      </c>
      <c r="I180" s="133"/>
      <c r="J180" s="133"/>
      <c r="K180" s="133" t="str">
        <f>IFERROR(__xludf.DUMMYFUNCTION("""COMPUTED_VALUE"""),"أم بي أم برودكتس ليمتد")</f>
        <v>أم بي أم برودكتس ليمتد</v>
      </c>
      <c r="L180" s="142" t="str">
        <f>IFERROR(__xludf.DUMMYFUNCTION("""COMPUTED_VALUE"""),"A4105")</f>
        <v>A4105</v>
      </c>
      <c r="M180" s="133"/>
      <c r="N180" s="133"/>
      <c r="O180" s="133"/>
      <c r="P180" s="133"/>
      <c r="Q180" s="133"/>
      <c r="R180" s="133"/>
      <c r="S180" s="133"/>
      <c r="T180" s="133"/>
      <c r="U180" s="133"/>
      <c r="V180" s="133"/>
      <c r="W180" s="133"/>
      <c r="X180" s="133"/>
      <c r="Y180" s="133"/>
      <c r="Z180" s="133"/>
    </row>
    <row r="181">
      <c r="A181" s="133">
        <f>IFERROR(__xludf.DUMMYFUNCTION("""COMPUTED_VALUE"""),180.0)</f>
        <v>180</v>
      </c>
      <c r="B181" s="133" t="str">
        <f>IFERROR(__xludf.DUMMYFUNCTION("""COMPUTED_VALUE"""),"A4104")</f>
        <v>A4104</v>
      </c>
      <c r="C181" s="133" t="str">
        <f>IFERROR(__xludf.DUMMYFUNCTION("""COMPUTED_VALUE"""),"P-1-N-170920-3028")</f>
        <v>P-1-N-170920-3028</v>
      </c>
      <c r="D181" s="133"/>
      <c r="E181" s="133" t="str">
        <f>IFERROR(__xludf.DUMMYFUNCTION("""COMPUTED_VALUE"""),"تمت طباعة الشهادة")</f>
        <v>تمت طباعة الشهادة</v>
      </c>
      <c r="F181" s="133" t="str">
        <f>IFERROR(__xludf.DUMMYFUNCTION("""COMPUTED_VALUE"""),"Applaws Adult Cat Chicken with Extra Duck ")</f>
        <v>Applaws Adult Cat Chicken with Extra Duck </v>
      </c>
      <c r="G181" s="133" t="str">
        <f>IFERROR(__xludf.DUMMYFUNCTION("""COMPUTED_VALUE"""),"ابلاوز دجاج مع البط الإضافي للقطط البالغة 400 جم")</f>
        <v>ابلاوز دجاج مع البط الإضافي للقطط البالغة 400 جم</v>
      </c>
      <c r="H181" s="133" t="str">
        <f>IFERROR(__xludf.DUMMYFUNCTION("""COMPUTED_VALUE"""),"MAFE20201398")</f>
        <v>MAFE20201398</v>
      </c>
      <c r="I181" s="133"/>
      <c r="J181" s="133"/>
      <c r="K181" s="133" t="str">
        <f>IFERROR(__xludf.DUMMYFUNCTION("""COMPUTED_VALUE"""),"أم بي أم برودكتس ليمتد")</f>
        <v>أم بي أم برودكتس ليمتد</v>
      </c>
      <c r="L181" s="142" t="str">
        <f>IFERROR(__xludf.DUMMYFUNCTION("""COMPUTED_VALUE"""),"A4104")</f>
        <v>A4104</v>
      </c>
      <c r="M181" s="133"/>
      <c r="N181" s="133"/>
      <c r="O181" s="133"/>
      <c r="P181" s="133"/>
      <c r="Q181" s="133"/>
      <c r="R181" s="133"/>
      <c r="S181" s="133"/>
      <c r="T181" s="133"/>
      <c r="U181" s="133"/>
      <c r="V181" s="133"/>
      <c r="W181" s="133"/>
      <c r="X181" s="133"/>
      <c r="Y181" s="133"/>
      <c r="Z181" s="133"/>
    </row>
    <row r="182">
      <c r="A182" s="133">
        <f>IFERROR(__xludf.DUMMYFUNCTION("""COMPUTED_VALUE"""),181.0)</f>
        <v>181</v>
      </c>
      <c r="B182" s="133" t="str">
        <f>IFERROR(__xludf.DUMMYFUNCTION("""COMPUTED_VALUE"""),"A4072")</f>
        <v>A4072</v>
      </c>
      <c r="C182" s="133" t="str">
        <f>IFERROR(__xludf.DUMMYFUNCTION("""COMPUTED_VALUE"""),"P-1-N-170920-3029")</f>
        <v>P-1-N-170920-3029</v>
      </c>
      <c r="D182" s="133"/>
      <c r="E182" s="133" t="str">
        <f>IFERROR(__xludf.DUMMYFUNCTION("""COMPUTED_VALUE"""),"تمت طباعة الشهادة")</f>
        <v>تمت طباعة الشهادة</v>
      </c>
      <c r="F182" s="133" t="str">
        <f>IFERROR(__xludf.DUMMYFUNCTION("""COMPUTED_VALUE"""),"Applaws Adult Cat Chicken 7.5 kg")</f>
        <v>Applaws Adult Cat Chicken 7.5 kg</v>
      </c>
      <c r="G182" s="133" t="str">
        <f>IFERROR(__xludf.DUMMYFUNCTION("""COMPUTED_VALUE"""),"ابلاوز دجاج للقطط البالغة 7.5 كغم")</f>
        <v>ابلاوز دجاج للقطط البالغة 7.5 كغم</v>
      </c>
      <c r="H182" s="133" t="str">
        <f>IFERROR(__xludf.DUMMYFUNCTION("""COMPUTED_VALUE"""),"MAFE20201397")</f>
        <v>MAFE20201397</v>
      </c>
      <c r="I182" s="133"/>
      <c r="J182" s="133"/>
      <c r="K182" s="133" t="str">
        <f>IFERROR(__xludf.DUMMYFUNCTION("""COMPUTED_VALUE"""),"أم بي أم برودكتس ليمتد")</f>
        <v>أم بي أم برودكتس ليمتد</v>
      </c>
      <c r="L182" s="142" t="str">
        <f>IFERROR(__xludf.DUMMYFUNCTION("""COMPUTED_VALUE"""),"A4072")</f>
        <v>A4072</v>
      </c>
      <c r="M182" s="133"/>
      <c r="N182" s="133"/>
      <c r="O182" s="133"/>
      <c r="P182" s="133"/>
      <c r="Q182" s="133"/>
      <c r="R182" s="133"/>
      <c r="S182" s="133"/>
      <c r="T182" s="133"/>
      <c r="U182" s="133"/>
      <c r="V182" s="133"/>
      <c r="W182" s="133"/>
      <c r="X182" s="133"/>
      <c r="Y182" s="133"/>
      <c r="Z182" s="133"/>
    </row>
    <row r="183">
      <c r="A183" s="133">
        <f>IFERROR(__xludf.DUMMYFUNCTION("""COMPUTED_VALUE"""),182.0)</f>
        <v>182</v>
      </c>
      <c r="B183" s="133" t="str">
        <f>IFERROR(__xludf.DUMMYFUNCTION("""COMPUTED_VALUE"""),"A4022")</f>
        <v>A4022</v>
      </c>
      <c r="C183" s="133" t="str">
        <f>IFERROR(__xludf.DUMMYFUNCTION("""COMPUTED_VALUE"""),"P-1-N-170920-3030")</f>
        <v>P-1-N-170920-3030</v>
      </c>
      <c r="D183" s="133"/>
      <c r="E183" s="133" t="str">
        <f>IFERROR(__xludf.DUMMYFUNCTION("""COMPUTED_VALUE"""),"تمت طباعة الشهادة")</f>
        <v>تمت طباعة الشهادة</v>
      </c>
      <c r="F183" s="133" t="str">
        <f>IFERROR(__xludf.DUMMYFUNCTION("""COMPUTED_VALUE"""),"Applaws Adult Cat Chicken 2 kg")</f>
        <v>Applaws Adult Cat Chicken 2 kg</v>
      </c>
      <c r="G183" s="133" t="str">
        <f>IFERROR(__xludf.DUMMYFUNCTION("""COMPUTED_VALUE"""),"ابلاوز دجاج للقطط البالغة 2 كغم")</f>
        <v>ابلاوز دجاج للقطط البالغة 2 كغم</v>
      </c>
      <c r="H183" s="133" t="str">
        <f>IFERROR(__xludf.DUMMYFUNCTION("""COMPUTED_VALUE"""),"MAFE20201396")</f>
        <v>MAFE20201396</v>
      </c>
      <c r="I183" s="133"/>
      <c r="J183" s="133"/>
      <c r="K183" s="133" t="str">
        <f>IFERROR(__xludf.DUMMYFUNCTION("""COMPUTED_VALUE"""),"أم بي أم برودكتس ليمتد")</f>
        <v>أم بي أم برودكتس ليمتد</v>
      </c>
      <c r="L183" s="142" t="str">
        <f>IFERROR(__xludf.DUMMYFUNCTION("""COMPUTED_VALUE"""),"A4022")</f>
        <v>A4022</v>
      </c>
      <c r="M183" s="133"/>
      <c r="N183" s="133"/>
      <c r="O183" s="133"/>
      <c r="P183" s="133"/>
      <c r="Q183" s="133"/>
      <c r="R183" s="133"/>
      <c r="S183" s="133"/>
      <c r="T183" s="133"/>
      <c r="U183" s="133"/>
      <c r="V183" s="133"/>
      <c r="W183" s="133"/>
      <c r="X183" s="133"/>
      <c r="Y183" s="133"/>
      <c r="Z183" s="133"/>
    </row>
    <row r="184">
      <c r="A184" s="133">
        <f>IFERROR(__xludf.DUMMYFUNCTION("""COMPUTED_VALUE"""),183.0)</f>
        <v>183</v>
      </c>
      <c r="B184" s="133" t="str">
        <f>IFERROR(__xludf.DUMMYFUNCTION("""COMPUTED_VALUE"""),"A4002")</f>
        <v>A4002</v>
      </c>
      <c r="C184" s="133" t="str">
        <f>IFERROR(__xludf.DUMMYFUNCTION("""COMPUTED_VALUE"""),"P-1-N-170920-3032")</f>
        <v>P-1-N-170920-3032</v>
      </c>
      <c r="D184" s="133"/>
      <c r="E184" s="133" t="str">
        <f>IFERROR(__xludf.DUMMYFUNCTION("""COMPUTED_VALUE"""),"تمت طباعة الشهادة")</f>
        <v>تمت طباعة الشهادة</v>
      </c>
      <c r="F184" s="133" t="str">
        <f>IFERROR(__xludf.DUMMYFUNCTION("""COMPUTED_VALUE"""),"Applaws Adult Cat Chicken ")</f>
        <v>Applaws Adult Cat Chicken </v>
      </c>
      <c r="G184" s="133" t="str">
        <f>IFERROR(__xludf.DUMMYFUNCTION("""COMPUTED_VALUE"""),"ابلاوز دجاج للقطط البالغة 400 جم")</f>
        <v>ابلاوز دجاج للقطط البالغة 400 جم</v>
      </c>
      <c r="H184" s="133" t="str">
        <f>IFERROR(__xludf.DUMMYFUNCTION("""COMPUTED_VALUE"""),"MAFE20201395")</f>
        <v>MAFE20201395</v>
      </c>
      <c r="I184" s="133"/>
      <c r="J184" s="133"/>
      <c r="K184" s="133" t="str">
        <f>IFERROR(__xludf.DUMMYFUNCTION("""COMPUTED_VALUE"""),"أم بي أم برودكتس ليمتد")</f>
        <v>أم بي أم برودكتس ليمتد</v>
      </c>
      <c r="L184" s="142" t="str">
        <f>IFERROR(__xludf.DUMMYFUNCTION("""COMPUTED_VALUE"""),"A4002")</f>
        <v>A4002</v>
      </c>
      <c r="M184" s="133"/>
      <c r="N184" s="133"/>
      <c r="O184" s="133"/>
      <c r="P184" s="133"/>
      <c r="Q184" s="133"/>
      <c r="R184" s="133"/>
      <c r="S184" s="133"/>
      <c r="T184" s="133"/>
      <c r="U184" s="133"/>
      <c r="V184" s="133"/>
      <c r="W184" s="133"/>
      <c r="X184" s="133"/>
      <c r="Y184" s="133"/>
      <c r="Z184" s="133"/>
    </row>
    <row r="185">
      <c r="A185" s="133">
        <f>IFERROR(__xludf.DUMMYFUNCTION("""COMPUTED_VALUE"""),184.0)</f>
        <v>184</v>
      </c>
      <c r="B185" s="133" t="str">
        <f>IFERROR(__xludf.DUMMYFUNCTION("""COMPUTED_VALUE"""),"A4071")</f>
        <v>A4071</v>
      </c>
      <c r="C185" s="133" t="str">
        <f>IFERROR(__xludf.DUMMYFUNCTION("""COMPUTED_VALUE"""),"P-1-N-170920-3033")</f>
        <v>P-1-N-170920-3033</v>
      </c>
      <c r="D185" s="133"/>
      <c r="E185" s="133" t="str">
        <f>IFERROR(__xludf.DUMMYFUNCTION("""COMPUTED_VALUE"""),"تمت طباعة الشهادة")</f>
        <v>تمت طباعة الشهادة</v>
      </c>
      <c r="F185" s="133" t="str">
        <f>IFERROR(__xludf.DUMMYFUNCTION("""COMPUTED_VALUE"""),"Applaws Kitten Chicken 7.5 kg")</f>
        <v>Applaws Kitten Chicken 7.5 kg</v>
      </c>
      <c r="G185" s="133" t="str">
        <f>IFERROR(__xludf.DUMMYFUNCTION("""COMPUTED_VALUE"""),"ابلاوز دجاج للقطط الصغيرة 7.5 كغم")</f>
        <v>ابلاوز دجاج للقطط الصغيرة 7.5 كغم</v>
      </c>
      <c r="H185" s="133" t="str">
        <f>IFERROR(__xludf.DUMMYFUNCTION("""COMPUTED_VALUE"""),"MAFE20201394")</f>
        <v>MAFE20201394</v>
      </c>
      <c r="I185" s="133"/>
      <c r="J185" s="133"/>
      <c r="K185" s="133" t="str">
        <f>IFERROR(__xludf.DUMMYFUNCTION("""COMPUTED_VALUE"""),"أم بي أم برودكتس ليمتد")</f>
        <v>أم بي أم برودكتس ليمتد</v>
      </c>
      <c r="L185" s="142" t="str">
        <f>IFERROR(__xludf.DUMMYFUNCTION("""COMPUTED_VALUE"""),"A4071")</f>
        <v>A4071</v>
      </c>
      <c r="M185" s="133"/>
      <c r="N185" s="133"/>
      <c r="O185" s="133"/>
      <c r="P185" s="133"/>
      <c r="Q185" s="133"/>
      <c r="R185" s="133"/>
      <c r="S185" s="133"/>
      <c r="T185" s="133"/>
      <c r="U185" s="133"/>
      <c r="V185" s="133"/>
      <c r="W185" s="133"/>
      <c r="X185" s="133"/>
      <c r="Y185" s="133"/>
      <c r="Z185" s="133"/>
    </row>
    <row r="186">
      <c r="A186" s="133">
        <f>IFERROR(__xludf.DUMMYFUNCTION("""COMPUTED_VALUE"""),185.0)</f>
        <v>185</v>
      </c>
      <c r="B186" s="133" t="str">
        <f>IFERROR(__xludf.DUMMYFUNCTION("""COMPUTED_VALUE"""),"A4021")</f>
        <v>A4021</v>
      </c>
      <c r="C186" s="133" t="str">
        <f>IFERROR(__xludf.DUMMYFUNCTION("""COMPUTED_VALUE"""),"P-1-N-170920-3034")</f>
        <v>P-1-N-170920-3034</v>
      </c>
      <c r="D186" s="133"/>
      <c r="E186" s="133" t="str">
        <f>IFERROR(__xludf.DUMMYFUNCTION("""COMPUTED_VALUE"""),"تمت طباعة الشهادة")</f>
        <v>تمت طباعة الشهادة</v>
      </c>
      <c r="F186" s="133" t="str">
        <f>IFERROR(__xludf.DUMMYFUNCTION("""COMPUTED_VALUE"""),"Applaws Kitten Chicken 2 kg")</f>
        <v>Applaws Kitten Chicken 2 kg</v>
      </c>
      <c r="G186" s="133" t="str">
        <f>IFERROR(__xludf.DUMMYFUNCTION("""COMPUTED_VALUE"""),"ابلاوز دجاج للقطط الصغيرة 2 كغم")</f>
        <v>ابلاوز دجاج للقطط الصغيرة 2 كغم</v>
      </c>
      <c r="H186" s="133" t="str">
        <f>IFERROR(__xludf.DUMMYFUNCTION("""COMPUTED_VALUE"""),"MAFE20201393")</f>
        <v>MAFE20201393</v>
      </c>
      <c r="I186" s="133"/>
      <c r="J186" s="133"/>
      <c r="K186" s="133" t="str">
        <f>IFERROR(__xludf.DUMMYFUNCTION("""COMPUTED_VALUE"""),"أم بي أم برودكتس ليمتد")</f>
        <v>أم بي أم برودكتس ليمتد</v>
      </c>
      <c r="L186" s="142" t="str">
        <f>IFERROR(__xludf.DUMMYFUNCTION("""COMPUTED_VALUE"""),"A4021")</f>
        <v>A4021</v>
      </c>
      <c r="M186" s="133"/>
      <c r="N186" s="133"/>
      <c r="O186" s="133"/>
      <c r="P186" s="133"/>
      <c r="Q186" s="133"/>
      <c r="R186" s="133"/>
      <c r="S186" s="133"/>
      <c r="T186" s="133"/>
      <c r="U186" s="133"/>
      <c r="V186" s="133"/>
      <c r="W186" s="133"/>
      <c r="X186" s="133"/>
      <c r="Y186" s="133"/>
      <c r="Z186" s="133"/>
    </row>
    <row r="187">
      <c r="A187" s="133">
        <f>IFERROR(__xludf.DUMMYFUNCTION("""COMPUTED_VALUE"""),186.0)</f>
        <v>186</v>
      </c>
      <c r="B187" s="133" t="str">
        <f>IFERROR(__xludf.DUMMYFUNCTION("""COMPUTED_VALUE"""),"A4001")</f>
        <v>A4001</v>
      </c>
      <c r="C187" s="133" t="str">
        <f>IFERROR(__xludf.DUMMYFUNCTION("""COMPUTED_VALUE"""),"P-1-N-170920-3035")</f>
        <v>P-1-N-170920-3035</v>
      </c>
      <c r="D187" s="133"/>
      <c r="E187" s="133" t="str">
        <f>IFERROR(__xludf.DUMMYFUNCTION("""COMPUTED_VALUE"""),"تمت طباعة الشهادة")</f>
        <v>تمت طباعة الشهادة</v>
      </c>
      <c r="F187" s="133" t="str">
        <f>IFERROR(__xludf.DUMMYFUNCTION("""COMPUTED_VALUE"""),"Applaws Kitten Chicken ")</f>
        <v>Applaws Kitten Chicken </v>
      </c>
      <c r="G187" s="133" t="str">
        <f>IFERROR(__xludf.DUMMYFUNCTION("""COMPUTED_VALUE"""),"ابلاوز دجاج للقطط الصغيرة 400 جم")</f>
        <v>ابلاوز دجاج للقطط الصغيرة 400 جم</v>
      </c>
      <c r="H187" s="133" t="str">
        <f>IFERROR(__xludf.DUMMYFUNCTION("""COMPUTED_VALUE"""),"MAFE20201418")</f>
        <v>MAFE20201418</v>
      </c>
      <c r="I187" s="133"/>
      <c r="J187" s="133"/>
      <c r="K187" s="133" t="str">
        <f>IFERROR(__xludf.DUMMYFUNCTION("""COMPUTED_VALUE"""),"أم بي أم برودكتس ليمتد")</f>
        <v>أم بي أم برودكتس ليمتد</v>
      </c>
      <c r="L187" s="142" t="str">
        <f>IFERROR(__xludf.DUMMYFUNCTION("""COMPUTED_VALUE"""),"A4001")</f>
        <v>A4001</v>
      </c>
      <c r="M187" s="133"/>
      <c r="N187" s="133"/>
      <c r="O187" s="133"/>
      <c r="P187" s="133"/>
      <c r="Q187" s="133"/>
      <c r="R187" s="133"/>
      <c r="S187" s="133"/>
      <c r="T187" s="133"/>
      <c r="U187" s="133"/>
      <c r="V187" s="133"/>
      <c r="W187" s="133"/>
      <c r="X187" s="133"/>
      <c r="Y187" s="133"/>
      <c r="Z187" s="133"/>
    </row>
    <row r="188">
      <c r="A188" s="133">
        <f>IFERROR(__xludf.DUMMYFUNCTION("""COMPUTED_VALUE"""),187.0)</f>
        <v>187</v>
      </c>
      <c r="B188" s="133" t="str">
        <f>IFERROR(__xludf.DUMMYFUNCTION("""COMPUTED_VALUE"""),"A4003")</f>
        <v>A4003</v>
      </c>
      <c r="C188" s="133" t="str">
        <f>IFERROR(__xludf.DUMMYFUNCTION("""COMPUTED_VALUE"""),"P-1-N-170920-3036")</f>
        <v>P-1-N-170920-3036</v>
      </c>
      <c r="D188" s="133"/>
      <c r="E188" s="133" t="str">
        <f>IFERROR(__xludf.DUMMYFUNCTION("""COMPUTED_VALUE"""),"تمت طباعة الشهادة")</f>
        <v>تمت طباعة الشهادة</v>
      </c>
      <c r="F188" s="133" t="str">
        <f>IFERROR(__xludf.DUMMYFUNCTION("""COMPUTED_VALUE"""),"Applaws Adult Cat Chicken with Extra Salmon ")</f>
        <v>Applaws Adult Cat Chicken with Extra Salmon </v>
      </c>
      <c r="G188" s="133" t="str">
        <f>IFERROR(__xludf.DUMMYFUNCTION("""COMPUTED_VALUE"""),"ابلاوز دجاج مع سالمون إضافي للقطط البالغة 400 جم")</f>
        <v>ابلاوز دجاج مع سالمون إضافي للقطط البالغة 400 جم</v>
      </c>
      <c r="H188" s="133" t="str">
        <f>IFERROR(__xludf.DUMMYFUNCTION("""COMPUTED_VALUE"""),"MAFE20201392")</f>
        <v>MAFE20201392</v>
      </c>
      <c r="I188" s="133"/>
      <c r="J188" s="133"/>
      <c r="K188" s="133" t="str">
        <f>IFERROR(__xludf.DUMMYFUNCTION("""COMPUTED_VALUE"""),"أم بي أم برودكتس ليمتد")</f>
        <v>أم بي أم برودكتس ليمتد</v>
      </c>
      <c r="L188" s="142" t="str">
        <f>IFERROR(__xludf.DUMMYFUNCTION("""COMPUTED_VALUE"""),"A4003")</f>
        <v>A4003</v>
      </c>
      <c r="M188" s="133"/>
      <c r="N188" s="133"/>
      <c r="O188" s="133"/>
      <c r="P188" s="133"/>
      <c r="Q188" s="133"/>
      <c r="R188" s="133"/>
      <c r="S188" s="133"/>
      <c r="T188" s="133"/>
      <c r="U188" s="133"/>
      <c r="V188" s="133"/>
      <c r="W188" s="133"/>
      <c r="X188" s="133"/>
      <c r="Y188" s="133"/>
      <c r="Z188" s="133"/>
    </row>
    <row r="189">
      <c r="A189" s="133">
        <f>IFERROR(__xludf.DUMMYFUNCTION("""COMPUTED_VALUE"""),188.0)</f>
        <v>188</v>
      </c>
      <c r="B189" s="133" t="str">
        <f>IFERROR(__xludf.DUMMYFUNCTION("""COMPUTED_VALUE"""),"A4024")</f>
        <v>A4024</v>
      </c>
      <c r="C189" s="133" t="str">
        <f>IFERROR(__xludf.DUMMYFUNCTION("""COMPUTED_VALUE"""),"P-1-N-170920-3037")</f>
        <v>P-1-N-170920-3037</v>
      </c>
      <c r="D189" s="133"/>
      <c r="E189" s="133" t="str">
        <f>IFERROR(__xludf.DUMMYFUNCTION("""COMPUTED_VALUE"""),"تمت طباعة الشهادة")</f>
        <v>تمت طباعة الشهادة</v>
      </c>
      <c r="F189" s="133" t="str">
        <f>IFERROR(__xludf.DUMMYFUNCTION("""COMPUTED_VALUE"""),"Applaws Cat Chicken with Lamb 2 kg")</f>
        <v>Applaws Cat Chicken with Lamb 2 kg</v>
      </c>
      <c r="G189" s="133" t="str">
        <f>IFERROR(__xludf.DUMMYFUNCTION("""COMPUTED_VALUE"""),"ابلاوز دجاج مع لحم الضأن للقطط 2 كغم")</f>
        <v>ابلاوز دجاج مع لحم الضأن للقطط 2 كغم</v>
      </c>
      <c r="H189" s="133" t="str">
        <f>IFERROR(__xludf.DUMMYFUNCTION("""COMPUTED_VALUE"""),"MAFE20201391")</f>
        <v>MAFE20201391</v>
      </c>
      <c r="I189" s="133"/>
      <c r="J189" s="133"/>
      <c r="K189" s="133" t="str">
        <f>IFERROR(__xludf.DUMMYFUNCTION("""COMPUTED_VALUE"""),"أم")</f>
        <v>أم</v>
      </c>
      <c r="L189" s="142" t="str">
        <f>IFERROR(__xludf.DUMMYFUNCTION("""COMPUTED_VALUE"""),"A4024")</f>
        <v>A4024</v>
      </c>
      <c r="M189" s="133"/>
      <c r="N189" s="133"/>
      <c r="O189" s="133"/>
      <c r="P189" s="133"/>
      <c r="Q189" s="133"/>
      <c r="R189" s="133"/>
      <c r="S189" s="133"/>
      <c r="T189" s="133"/>
      <c r="U189" s="133"/>
      <c r="V189" s="133"/>
      <c r="W189" s="133"/>
      <c r="X189" s="133"/>
      <c r="Y189" s="133"/>
      <c r="Z189" s="133"/>
    </row>
    <row r="190">
      <c r="A190" s="133">
        <f>IFERROR(__xludf.DUMMYFUNCTION("""COMPUTED_VALUE"""),189.0)</f>
        <v>189</v>
      </c>
      <c r="B190" s="133" t="str">
        <f>IFERROR(__xludf.DUMMYFUNCTION("""COMPUTED_VALUE"""),"A4004")</f>
        <v>A4004</v>
      </c>
      <c r="C190" s="133" t="str">
        <f>IFERROR(__xludf.DUMMYFUNCTION("""COMPUTED_VALUE"""),"P-1-N-170920-3038")</f>
        <v>P-1-N-170920-3038</v>
      </c>
      <c r="D190" s="133"/>
      <c r="E190" s="133" t="str">
        <f>IFERROR(__xludf.DUMMYFUNCTION("""COMPUTED_VALUE"""),"تمت طباعة الشهادة")</f>
        <v>تمت طباعة الشهادة</v>
      </c>
      <c r="F190" s="133" t="str">
        <f>IFERROR(__xludf.DUMMYFUNCTION("""COMPUTED_VALUE"""),"Applaws Cat Chicken with Lamb ")</f>
        <v>Applaws Cat Chicken with Lamb </v>
      </c>
      <c r="G190" s="133" t="str">
        <f>IFERROR(__xludf.DUMMYFUNCTION("""COMPUTED_VALUE"""),"ابلاوز دجاج مع لحم الضأن للقطط 400 جم")</f>
        <v>ابلاوز دجاج مع لحم الضأن للقطط 400 جم</v>
      </c>
      <c r="H190" s="133" t="str">
        <f>IFERROR(__xludf.DUMMYFUNCTION("""COMPUTED_VALUE"""),"MAFE20201390")</f>
        <v>MAFE20201390</v>
      </c>
      <c r="I190" s="133"/>
      <c r="J190" s="133"/>
      <c r="K190" s="133" t="str">
        <f>IFERROR(__xludf.DUMMYFUNCTION("""COMPUTED_VALUE"""),"أم بي أم برودكتس ليمتد")</f>
        <v>أم بي أم برودكتس ليمتد</v>
      </c>
      <c r="L190" s="142" t="str">
        <f>IFERROR(__xludf.DUMMYFUNCTION("""COMPUTED_VALUE"""),"A4004")</f>
        <v>A4004</v>
      </c>
      <c r="M190" s="133"/>
      <c r="N190" s="133"/>
      <c r="O190" s="133"/>
      <c r="P190" s="133"/>
      <c r="Q190" s="133"/>
      <c r="R190" s="133"/>
      <c r="S190" s="133"/>
      <c r="T190" s="133"/>
      <c r="U190" s="133"/>
      <c r="V190" s="133"/>
      <c r="W190" s="133"/>
      <c r="X190" s="133"/>
      <c r="Y190" s="133"/>
      <c r="Z190" s="133"/>
    </row>
    <row r="191">
      <c r="A191" s="133">
        <f>IFERROR(__xludf.DUMMYFUNCTION("""COMPUTED_VALUE"""),190.0)</f>
        <v>190</v>
      </c>
      <c r="B191" s="133" t="str">
        <f>IFERROR(__xludf.DUMMYFUNCTION("""COMPUTED_VALUE"""),"MC4965")</f>
        <v>MC4965</v>
      </c>
      <c r="C191" s="133" t="str">
        <f>IFERROR(__xludf.DUMMYFUNCTION("""COMPUTED_VALUE"""),"P-1-N-170920-3043")</f>
        <v>P-1-N-170920-3043</v>
      </c>
      <c r="D191" s="133"/>
      <c r="E191" s="133" t="str">
        <f>IFERROR(__xludf.DUMMYFUNCTION("""COMPUTED_VALUE"""),"تمت طباعة الشهادة")</f>
        <v>تمت طباعة الشهادة</v>
      </c>
      <c r="F191" s="133" t="str">
        <f>IFERROR(__xludf.DUMMYFUNCTION("""COMPUTED_VALUE"""),"Healthy Bites Nutri Booster For Kittens 65g")</f>
        <v>Healthy Bites Nutri Booster For Kittens 65g</v>
      </c>
      <c r="G191" s="133" t="str">
        <f>IFERROR(__xludf.DUMMYFUNCTION("""COMPUTED_VALUE"""),"هيلثي")</f>
        <v>هيلثي</v>
      </c>
      <c r="H191" s="133" t="str">
        <f>IFERROR(__xludf.DUMMYFUNCTION("""COMPUTED_VALUE"""),"MAFE20201389")</f>
        <v>MAFE20201389</v>
      </c>
      <c r="I191" s="133"/>
      <c r="J191" s="133"/>
      <c r="K191" s="133" t="str">
        <f>IFERROR(__xludf.DUMMYFUNCTION("""COMPUTED_VALUE"""),"مارك اند شابل ليمتد")</f>
        <v>مارك اند شابل ليمتد</v>
      </c>
      <c r="L191" s="142" t="str">
        <f>IFERROR(__xludf.DUMMYFUNCTION("""COMPUTED_VALUE"""),"MC4965")</f>
        <v>MC4965</v>
      </c>
      <c r="M191" s="133"/>
      <c r="N191" s="133"/>
      <c r="O191" s="133"/>
      <c r="P191" s="133"/>
      <c r="Q191" s="133"/>
      <c r="R191" s="133"/>
      <c r="S191" s="133"/>
      <c r="T191" s="133"/>
      <c r="U191" s="133"/>
      <c r="V191" s="133"/>
      <c r="W191" s="133"/>
      <c r="X191" s="133"/>
      <c r="Y191" s="133"/>
      <c r="Z191" s="133"/>
    </row>
    <row r="192">
      <c r="A192" s="133">
        <f>IFERROR(__xludf.DUMMYFUNCTION("""COMPUTED_VALUE"""),191.0)</f>
        <v>191</v>
      </c>
      <c r="B192" s="133" t="str">
        <f>IFERROR(__xludf.DUMMYFUNCTION("""COMPUTED_VALUE"""),"MC5016")</f>
        <v>MC5016</v>
      </c>
      <c r="C192" s="133" t="str">
        <f>IFERROR(__xludf.DUMMYFUNCTION("""COMPUTED_VALUE"""),"P-1-N-170920-3044")</f>
        <v>P-1-N-170920-3044</v>
      </c>
      <c r="D192" s="133"/>
      <c r="E192" s="133" t="str">
        <f>IFERROR(__xludf.DUMMYFUNCTION("""COMPUTED_VALUE"""),"تمت طباعة الشهادة")</f>
        <v>تمت طباعة الشهادة</v>
      </c>
      <c r="F192" s="133" t="str">
        <f>IFERROR(__xludf.DUMMYFUNCTION("""COMPUTED_VALUE"""),"Healthy Bites Hairball Remedy For Cats &amp; Kittens 65g")</f>
        <v>Healthy Bites Hairball Remedy For Cats &amp; Kittens 65g</v>
      </c>
      <c r="G192" s="133" t="str">
        <f>IFERROR(__xludf.DUMMYFUNCTION("""COMPUTED_VALUE"""),"هيلثي بايتس لمنع كرات الشعر للقطط الصغيرة و البالغة 65 جم")</f>
        <v>هيلثي بايتس لمنع كرات الشعر للقطط الصغيرة و البالغة 65 جم</v>
      </c>
      <c r="H192" s="133" t="str">
        <f>IFERROR(__xludf.DUMMYFUNCTION("""COMPUTED_VALUE"""),"MAFE20201388")</f>
        <v>MAFE20201388</v>
      </c>
      <c r="I192" s="133"/>
      <c r="J192" s="133"/>
      <c r="K192" s="133" t="str">
        <f>IFERROR(__xludf.DUMMYFUNCTION("""COMPUTED_VALUE"""),"مارك اند شابل ليمتد")</f>
        <v>مارك اند شابل ليمتد</v>
      </c>
      <c r="L192" s="142" t="str">
        <f>IFERROR(__xludf.DUMMYFUNCTION("""COMPUTED_VALUE"""),"MC5016")</f>
        <v>MC5016</v>
      </c>
      <c r="M192" s="133"/>
      <c r="N192" s="133"/>
      <c r="O192" s="133"/>
      <c r="P192" s="133"/>
      <c r="Q192" s="133"/>
      <c r="R192" s="133"/>
      <c r="S192" s="133"/>
      <c r="T192" s="133"/>
      <c r="U192" s="133"/>
      <c r="V192" s="133"/>
      <c r="W192" s="133"/>
      <c r="X192" s="133"/>
      <c r="Y192" s="133"/>
      <c r="Z192" s="133"/>
    </row>
    <row r="193">
      <c r="A193" s="133">
        <f>IFERROR(__xludf.DUMMYFUNCTION("""COMPUTED_VALUE"""),192.0)</f>
        <v>192</v>
      </c>
      <c r="B193" s="133" t="str">
        <f>IFERROR(__xludf.DUMMYFUNCTION("""COMPUTED_VALUE"""),"A1002")</f>
        <v>A1002</v>
      </c>
      <c r="C193" s="133" t="str">
        <f>IFERROR(__xludf.DUMMYFUNCTION("""COMPUTED_VALUE"""),"P-1-N-200920-3084")</f>
        <v>P-1-N-200920-3084</v>
      </c>
      <c r="D193" s="133"/>
      <c r="E193" s="133" t="str">
        <f>IFERROR(__xludf.DUMMYFUNCTION("""COMPUTED_VALUE"""),"تمت طباعة الشهادة")</f>
        <v>تمت طباعة الشهادة</v>
      </c>
      <c r="F193" s="133" t="str">
        <f>IFERROR(__xludf.DUMMYFUNCTION("""COMPUTED_VALUE"""),"Applaws Chicken Breast 70g")</f>
        <v>Applaws Chicken Breast 70g</v>
      </c>
      <c r="G193" s="133" t="str">
        <f>IFERROR(__xludf.DUMMYFUNCTION("""COMPUTED_VALUE"""),"ابلاوز صدور دجاج 70 جرام")</f>
        <v>ابلاوز صدور دجاج 70 جرام</v>
      </c>
      <c r="H193" s="133" t="str">
        <f>IFERROR(__xludf.DUMMYFUNCTION("""COMPUTED_VALUE"""),"MAFE20201387")</f>
        <v>MAFE20201387</v>
      </c>
      <c r="I193" s="133"/>
      <c r="J193" s="133"/>
      <c r="K193" s="133" t="str">
        <f>IFERROR(__xludf.DUMMYFUNCTION("""COMPUTED_VALUE"""),"أم بي أم برودكتس ليمتد")</f>
        <v>أم بي أم برودكتس ليمتد</v>
      </c>
      <c r="L193" s="142" t="str">
        <f>IFERROR(__xludf.DUMMYFUNCTION("""COMPUTED_VALUE"""),"A1002")</f>
        <v>A1002</v>
      </c>
      <c r="M193" s="133"/>
      <c r="N193" s="133"/>
      <c r="O193" s="133"/>
      <c r="P193" s="133"/>
      <c r="Q193" s="133"/>
      <c r="R193" s="133"/>
      <c r="S193" s="133"/>
      <c r="T193" s="133"/>
      <c r="U193" s="133"/>
      <c r="V193" s="133"/>
      <c r="W193" s="133"/>
      <c r="X193" s="133"/>
      <c r="Y193" s="133"/>
      <c r="Z193" s="133"/>
    </row>
    <row r="194">
      <c r="A194" s="133">
        <f>IFERROR(__xludf.DUMMYFUNCTION("""COMPUTED_VALUE"""),193.0)</f>
        <v>193</v>
      </c>
      <c r="B194" s="133" t="str">
        <f>IFERROR(__xludf.DUMMYFUNCTION("""COMPUTED_VALUE"""),"A1003")</f>
        <v>A1003</v>
      </c>
      <c r="C194" s="133" t="str">
        <f>IFERROR(__xludf.DUMMYFUNCTION("""COMPUTED_VALUE"""),"P-1-N-200920-3099")</f>
        <v>P-1-N-200920-3099</v>
      </c>
      <c r="D194" s="133"/>
      <c r="E194" s="133" t="str">
        <f>IFERROR(__xludf.DUMMYFUNCTION("""COMPUTED_VALUE"""),"تمت طباعة الشهادة")</f>
        <v>تمت طباعة الشهادة</v>
      </c>
      <c r="F194" s="133" t="str">
        <f>IFERROR(__xludf.DUMMYFUNCTION("""COMPUTED_VALUE"""),"Applaws Tuna Fillet 70g")</f>
        <v>Applaws Tuna Fillet 70g</v>
      </c>
      <c r="G194" s="133" t="str">
        <f>IFERROR(__xludf.DUMMYFUNCTION("""COMPUTED_VALUE"""),"ابلاوز فيليه التونة 70 جرام")</f>
        <v>ابلاوز فيليه التونة 70 جرام</v>
      </c>
      <c r="H194" s="133" t="str">
        <f>IFERROR(__xludf.DUMMYFUNCTION("""COMPUTED_VALUE"""),"MAFE20201386")</f>
        <v>MAFE20201386</v>
      </c>
      <c r="I194" s="133"/>
      <c r="J194" s="133"/>
      <c r="K194" s="133" t="str">
        <f>IFERROR(__xludf.DUMMYFUNCTION("""COMPUTED_VALUE"""),"أم بي أم برودكتس ليمتد")</f>
        <v>أم بي أم برودكتس ليمتد</v>
      </c>
      <c r="L194" s="142" t="str">
        <f>IFERROR(__xludf.DUMMYFUNCTION("""COMPUTED_VALUE"""),"A1003")</f>
        <v>A1003</v>
      </c>
      <c r="M194" s="133"/>
      <c r="N194" s="133"/>
      <c r="O194" s="133"/>
      <c r="P194" s="133"/>
      <c r="Q194" s="133"/>
      <c r="R194" s="133"/>
      <c r="S194" s="133"/>
      <c r="T194" s="133"/>
      <c r="U194" s="133"/>
      <c r="V194" s="133"/>
      <c r="W194" s="133"/>
      <c r="X194" s="133"/>
      <c r="Y194" s="133"/>
      <c r="Z194" s="133"/>
    </row>
    <row r="195">
      <c r="A195" s="133">
        <f>IFERROR(__xludf.DUMMYFUNCTION("""COMPUTED_VALUE"""),194.0)</f>
        <v>194</v>
      </c>
      <c r="B195" s="133"/>
      <c r="C195" s="133" t="str">
        <f>IFERROR(__xludf.DUMMYFUNCTION("""COMPUTED_VALUE"""),"P-1-N-200920-3100")</f>
        <v>P-1-N-200920-3100</v>
      </c>
      <c r="D195" s="133"/>
      <c r="E195" s="133" t="str">
        <f>IFERROR(__xludf.DUMMYFUNCTION("""COMPUTED_VALUE"""),"REJECTED")</f>
        <v>REJECTED</v>
      </c>
      <c r="F195" s="133" t="str">
        <f>IFERROR(__xludf.DUMMYFUNCTION("""COMPUTED_VALUE"""),"Applaws Chicken Breast with Cheese 70g")</f>
        <v>Applaws Chicken Breast with Cheese 70g</v>
      </c>
      <c r="G195" s="133" t="str">
        <f>IFERROR(__xludf.DUMMYFUNCTION("""COMPUTED_VALUE"""),"ابلاوز صدور دجاج بالجبن 70 جرام")</f>
        <v>ابلاوز صدور دجاج بالجبن 70 جرام</v>
      </c>
      <c r="H195" s="133"/>
      <c r="I195" s="133"/>
      <c r="J195" s="133"/>
      <c r="K195" s="133" t="str">
        <f>IFERROR(__xludf.DUMMYFUNCTION("""COMPUTED_VALUE"""),"أم بي أم برودكتس ليمتد")</f>
        <v>أم بي أم برودكتس ليمتد</v>
      </c>
      <c r="L195" s="133"/>
      <c r="M195" s="133"/>
      <c r="N195" s="133"/>
      <c r="O195" s="133"/>
      <c r="P195" s="133"/>
      <c r="Q195" s="133"/>
      <c r="R195" s="133"/>
      <c r="S195" s="133"/>
      <c r="T195" s="133"/>
      <c r="U195" s="133"/>
      <c r="V195" s="133"/>
      <c r="W195" s="133"/>
      <c r="X195" s="133"/>
      <c r="Y195" s="133"/>
      <c r="Z195" s="133"/>
    </row>
    <row r="196">
      <c r="A196" s="133">
        <f>IFERROR(__xludf.DUMMYFUNCTION("""COMPUTED_VALUE"""),195.0)</f>
        <v>195</v>
      </c>
      <c r="B196" s="133"/>
      <c r="C196" s="133" t="str">
        <f>IFERROR(__xludf.DUMMYFUNCTION("""COMPUTED_VALUE"""),"P-1-N-200920-3101")</f>
        <v>P-1-N-200920-3101</v>
      </c>
      <c r="D196" s="133"/>
      <c r="E196" s="133" t="str">
        <f>IFERROR(__xludf.DUMMYFUNCTION("""COMPUTED_VALUE"""),"REJECTED")</f>
        <v>REJECTED</v>
      </c>
      <c r="F196" s="133" t="str">
        <f>IFERROR(__xludf.DUMMYFUNCTION("""COMPUTED_VALUE"""),"Applaws Tuna Fillet with Cheese 70g")</f>
        <v>Applaws Tuna Fillet with Cheese 70g</v>
      </c>
      <c r="G196" s="133" t="str">
        <f>IFERROR(__xludf.DUMMYFUNCTION("""COMPUTED_VALUE"""),"ابلاوز فيليه التونة بالجبن 70 جرام")</f>
        <v>ابلاوز فيليه التونة بالجبن 70 جرام</v>
      </c>
      <c r="H196" s="133"/>
      <c r="I196" s="133"/>
      <c r="J196" s="133"/>
      <c r="K196" s="133" t="str">
        <f>IFERROR(__xludf.DUMMYFUNCTION("""COMPUTED_VALUE"""),"أم بي أم برودكتس ليمتد")</f>
        <v>أم بي أم برودكتس ليمتد</v>
      </c>
      <c r="L196" s="133"/>
      <c r="M196" s="133"/>
      <c r="N196" s="133"/>
      <c r="O196" s="133"/>
      <c r="P196" s="133"/>
      <c r="Q196" s="133"/>
      <c r="R196" s="133"/>
      <c r="S196" s="133"/>
      <c r="T196" s="133"/>
      <c r="U196" s="133"/>
      <c r="V196" s="133"/>
      <c r="W196" s="133"/>
      <c r="X196" s="133"/>
      <c r="Y196" s="133"/>
      <c r="Z196" s="133"/>
    </row>
    <row r="197">
      <c r="A197" s="133">
        <f>IFERROR(__xludf.DUMMYFUNCTION("""COMPUTED_VALUE"""),196.0)</f>
        <v>196</v>
      </c>
      <c r="B197" s="133"/>
      <c r="C197" s="133" t="str">
        <f>IFERROR(__xludf.DUMMYFUNCTION("""COMPUTED_VALUE"""),"P-1-N-200920-3103")</f>
        <v>P-1-N-200920-3103</v>
      </c>
      <c r="D197" s="133"/>
      <c r="E197" s="133" t="str">
        <f>IFERROR(__xludf.DUMMYFUNCTION("""COMPUTED_VALUE"""),"REJECTED")</f>
        <v>REJECTED</v>
      </c>
      <c r="F197" s="133" t="str">
        <f>IFERROR(__xludf.DUMMYFUNCTION("""COMPUTED_VALUE"""),"Applaws Tuna Fillet with Prawn 70g")</f>
        <v>Applaws Tuna Fillet with Prawn 70g</v>
      </c>
      <c r="G197" s="133" t="str">
        <f>IFERROR(__xludf.DUMMYFUNCTION("""COMPUTED_VALUE"""),"ابلاوز فيليه التونة مع الجمبري 70 جرام")</f>
        <v>ابلاوز فيليه التونة مع الجمبري 70 جرام</v>
      </c>
      <c r="H197" s="133"/>
      <c r="I197" s="133"/>
      <c r="J197" s="133"/>
      <c r="K197" s="133" t="str">
        <f>IFERROR(__xludf.DUMMYFUNCTION("""COMPUTED_VALUE"""),"أم بي أم برودكتس ليمتد")</f>
        <v>أم بي أم برودكتس ليمتد</v>
      </c>
      <c r="L197" s="133"/>
      <c r="M197" s="133"/>
      <c r="N197" s="133"/>
      <c r="O197" s="133"/>
      <c r="P197" s="133"/>
      <c r="Q197" s="133"/>
      <c r="R197" s="133"/>
      <c r="S197" s="133"/>
      <c r="T197" s="133"/>
      <c r="U197" s="133"/>
      <c r="V197" s="133"/>
      <c r="W197" s="133"/>
      <c r="X197" s="133"/>
      <c r="Y197" s="133"/>
      <c r="Z197" s="133"/>
    </row>
    <row r="198">
      <c r="A198" s="133">
        <f>IFERROR(__xludf.DUMMYFUNCTION("""COMPUTED_VALUE"""),197.0)</f>
        <v>197</v>
      </c>
      <c r="B198" s="133"/>
      <c r="C198" s="133" t="str">
        <f>IFERROR(__xludf.DUMMYFUNCTION("""COMPUTED_VALUE"""),"P-1-N-200920-3104")</f>
        <v>P-1-N-200920-3104</v>
      </c>
      <c r="D198" s="133"/>
      <c r="E198" s="133" t="str">
        <f>IFERROR(__xludf.DUMMYFUNCTION("""COMPUTED_VALUE"""),"REJECTED")</f>
        <v>REJECTED</v>
      </c>
      <c r="F198" s="133" t="str">
        <f>IFERROR(__xludf.DUMMYFUNCTION("""COMPUTED_VALUE"""),"Applaws Chicken Breast with Pumpkin 70g")</f>
        <v>Applaws Chicken Breast with Pumpkin 70g</v>
      </c>
      <c r="G198" s="133" t="str">
        <f>IFERROR(__xludf.DUMMYFUNCTION("""COMPUTED_VALUE"""),"ابلاوز صدر دجاج بالقرع 70 جرام")</f>
        <v>ابلاوز صدر دجاج بالقرع 70 جرام</v>
      </c>
      <c r="H198" s="133"/>
      <c r="I198" s="133"/>
      <c r="J198" s="133"/>
      <c r="K198" s="133" t="str">
        <f>IFERROR(__xludf.DUMMYFUNCTION("""COMPUTED_VALUE"""),"أم بي أم برودكتس ليمتد")</f>
        <v>أم بي أم برودكتس ليمتد</v>
      </c>
      <c r="L198" s="133"/>
      <c r="M198" s="133"/>
      <c r="N198" s="133"/>
      <c r="O198" s="133"/>
      <c r="P198" s="133"/>
      <c r="Q198" s="133"/>
      <c r="R198" s="133"/>
      <c r="S198" s="133"/>
      <c r="T198" s="133"/>
      <c r="U198" s="133"/>
      <c r="V198" s="133"/>
      <c r="W198" s="133"/>
      <c r="X198" s="133"/>
      <c r="Y198" s="133"/>
      <c r="Z198" s="133"/>
    </row>
    <row r="199">
      <c r="A199" s="133">
        <f>IFERROR(__xludf.DUMMYFUNCTION("""COMPUTED_VALUE"""),198.0)</f>
        <v>198</v>
      </c>
      <c r="B199" s="133"/>
      <c r="C199" s="133" t="str">
        <f>IFERROR(__xludf.DUMMYFUNCTION("""COMPUTED_VALUE"""),"P-1-N-200920-3105")</f>
        <v>P-1-N-200920-3105</v>
      </c>
      <c r="D199" s="133"/>
      <c r="E199" s="133" t="str">
        <f>IFERROR(__xludf.DUMMYFUNCTION("""COMPUTED_VALUE"""),"REJECTED")</f>
        <v>REJECTED</v>
      </c>
      <c r="F199" s="133" t="str">
        <f>IFERROR(__xludf.DUMMYFUNCTION("""COMPUTED_VALUE"""),"Applaws Chicken Breast with Duck 70g")</f>
        <v>Applaws Chicken Breast with Duck 70g</v>
      </c>
      <c r="G199" s="133" t="str">
        <f>IFERROR(__xludf.DUMMYFUNCTION("""COMPUTED_VALUE"""),"ابلاوز صدر دجاج بالبط 70 جرام")</f>
        <v>ابلاوز صدر دجاج بالبط 70 جرام</v>
      </c>
      <c r="H199" s="133"/>
      <c r="I199" s="133"/>
      <c r="J199" s="133"/>
      <c r="K199" s="133" t="str">
        <f>IFERROR(__xludf.DUMMYFUNCTION("""COMPUTED_VALUE"""),"أم")</f>
        <v>أم</v>
      </c>
      <c r="L199" s="133"/>
      <c r="M199" s="133"/>
      <c r="N199" s="133"/>
      <c r="O199" s="133"/>
      <c r="P199" s="133"/>
      <c r="Q199" s="133"/>
      <c r="R199" s="133"/>
      <c r="S199" s="133"/>
      <c r="T199" s="133"/>
      <c r="U199" s="133"/>
      <c r="V199" s="133"/>
      <c r="W199" s="133"/>
      <c r="X199" s="133"/>
      <c r="Y199" s="133"/>
      <c r="Z199" s="133"/>
    </row>
    <row r="200">
      <c r="A200" s="133">
        <f>IFERROR(__xludf.DUMMYFUNCTION("""COMPUTED_VALUE"""),199.0)</f>
        <v>199</v>
      </c>
      <c r="B200" s="133"/>
      <c r="C200" s="133" t="str">
        <f>IFERROR(__xludf.DUMMYFUNCTION("""COMPUTED_VALUE"""),"P-1-N-200920-3106")</f>
        <v>P-1-N-200920-3106</v>
      </c>
      <c r="D200" s="133"/>
      <c r="E200" s="133" t="str">
        <f>IFERROR(__xludf.DUMMYFUNCTION("""COMPUTED_VALUE"""),"REJECTED")</f>
        <v>REJECTED</v>
      </c>
      <c r="F200" s="133" t="str">
        <f>IFERROR(__xludf.DUMMYFUNCTION("""COMPUTED_VALUE"""),"Applaws Tuna Fillet with Crab 70g")</f>
        <v>Applaws Tuna Fillet with Crab 70g</v>
      </c>
      <c r="G200" s="133" t="str">
        <f>IFERROR(__xludf.DUMMYFUNCTION("""COMPUTED_VALUE"""),"أبلاوز فيليه تونة مع السلطعون 70 جم")</f>
        <v>أبلاوز فيليه تونة مع السلطعون 70 جم</v>
      </c>
      <c r="H200" s="133"/>
      <c r="I200" s="133"/>
      <c r="J200" s="133"/>
      <c r="K200" s="133" t="str">
        <f>IFERROR(__xludf.DUMMYFUNCTION("""COMPUTED_VALUE"""),"أم بي أم برودكتس ليمتد")</f>
        <v>أم بي أم برودكتس ليمتد</v>
      </c>
      <c r="L200" s="133"/>
      <c r="M200" s="133"/>
      <c r="N200" s="133"/>
      <c r="O200" s="133"/>
      <c r="P200" s="133"/>
      <c r="Q200" s="133"/>
      <c r="R200" s="133"/>
      <c r="S200" s="133"/>
      <c r="T200" s="133"/>
      <c r="U200" s="133"/>
      <c r="V200" s="133"/>
      <c r="W200" s="133"/>
      <c r="X200" s="133"/>
      <c r="Y200" s="133"/>
      <c r="Z200" s="133"/>
    </row>
    <row r="201">
      <c r="A201" s="133">
        <f>IFERROR(__xludf.DUMMYFUNCTION("""COMPUTED_VALUE"""),200.0)</f>
        <v>200</v>
      </c>
      <c r="B201" s="133" t="str">
        <f>IFERROR(__xludf.DUMMYFUNCTION("""COMPUTED_VALUE"""),"A1001")</f>
        <v>A1001</v>
      </c>
      <c r="C201" s="133" t="str">
        <f>IFERROR(__xludf.DUMMYFUNCTION("""COMPUTED_VALUE"""),"P-1-N-210920-3128")</f>
        <v>P-1-N-210920-3128</v>
      </c>
      <c r="D201" s="133"/>
      <c r="E201" s="133" t="str">
        <f>IFERROR(__xludf.DUMMYFUNCTION("""COMPUTED_VALUE"""),"تمت طباعة الشهادة")</f>
        <v>تمت طباعة الشهادة</v>
      </c>
      <c r="F201" s="133" t="str">
        <f>IFERROR(__xludf.DUMMYFUNCTION("""COMPUTED_VALUE"""),"Cat Tin 1x(24x70g) Kitten - Chicken Breast")</f>
        <v>Cat Tin 1x(24x70g) Kitten - Chicken Breast</v>
      </c>
      <c r="G201" s="133" t="str">
        <f>IFERROR(__xludf.DUMMYFUNCTION("""COMPUTED_VALUE"""),"كات تين 1 × (24 × 70 جم) صدور دجاج للقطط الصغيرة")</f>
        <v>كات تين 1 × (24 × 70 جم) صدور دجاج للقطط الصغيرة</v>
      </c>
      <c r="H201" s="133" t="str">
        <f>IFERROR(__xludf.DUMMYFUNCTION("""COMPUTED_VALUE"""),"MAFE20201480")</f>
        <v>MAFE20201480</v>
      </c>
      <c r="I201" s="133"/>
      <c r="J201" s="133"/>
      <c r="K201" s="133" t="str">
        <f>IFERROR(__xludf.DUMMYFUNCTION("""COMPUTED_VALUE"""),"أم بي أم برودكتس ليمتد")</f>
        <v>أم بي أم برودكتس ليمتد</v>
      </c>
      <c r="L201" s="142" t="str">
        <f>IFERROR(__xludf.DUMMYFUNCTION("""COMPUTED_VALUE"""),"A1001")</f>
        <v>A1001</v>
      </c>
      <c r="M201" s="133"/>
      <c r="N201" s="133"/>
      <c r="O201" s="133"/>
      <c r="P201" s="133"/>
      <c r="Q201" s="133"/>
      <c r="R201" s="133"/>
      <c r="S201" s="133"/>
      <c r="T201" s="133"/>
      <c r="U201" s="133"/>
      <c r="V201" s="133"/>
      <c r="W201" s="133"/>
      <c r="X201" s="133"/>
      <c r="Y201" s="133"/>
      <c r="Z201" s="133"/>
    </row>
    <row r="202">
      <c r="A202" s="133">
        <f>IFERROR(__xludf.DUMMYFUNCTION("""COMPUTED_VALUE"""),201.0)</f>
        <v>201</v>
      </c>
      <c r="B202" s="133" t="str">
        <f>IFERROR(__xludf.DUMMYFUNCTION("""COMPUTED_VALUE"""),"A8903")</f>
        <v>A8903</v>
      </c>
      <c r="C202" s="133" t="str">
        <f>IFERROR(__xludf.DUMMYFUNCTION("""COMPUTED_VALUE"""),"P-1-N-210920-3133")</f>
        <v>P-1-N-210920-3133</v>
      </c>
      <c r="D202" s="133"/>
      <c r="E202" s="133" t="str">
        <f>IFERROR(__xludf.DUMMYFUNCTION("""COMPUTED_VALUE"""),"تمت طباعة الشهادة")</f>
        <v>تمت طباعة الشهادة</v>
      </c>
      <c r="F202" s="133" t="str">
        <f>IFERROR(__xludf.DUMMYFUNCTION("""COMPUTED_VALUE"""),"Chicken Soup with Chicken 3x40g")</f>
        <v>Chicken Soup with Chicken 3x40g</v>
      </c>
      <c r="G202" s="133" t="str">
        <f>IFERROR(__xludf.DUMMYFUNCTION("""COMPUTED_VALUE"""),"شوربة دجاج مع الدجاج 3×40 جرام")</f>
        <v>شوربة دجاج مع الدجاج 3×40 جرام</v>
      </c>
      <c r="H202" s="133" t="str">
        <f>IFERROR(__xludf.DUMMYFUNCTION("""COMPUTED_VALUE"""),"MAFE20201454")</f>
        <v>MAFE20201454</v>
      </c>
      <c r="I202" s="133"/>
      <c r="J202" s="133"/>
      <c r="K202" s="133" t="str">
        <f>IFERROR(__xludf.DUMMYFUNCTION("""COMPUTED_VALUE"""),"أم بي أم برودكتس ليمتد")</f>
        <v>أم بي أم برودكتس ليمتد</v>
      </c>
      <c r="L202" s="142" t="str">
        <f>IFERROR(__xludf.DUMMYFUNCTION("""COMPUTED_VALUE"""),"A8903")</f>
        <v>A8903</v>
      </c>
      <c r="M202" s="133"/>
      <c r="N202" s="133"/>
      <c r="O202" s="133"/>
      <c r="P202" s="133"/>
      <c r="Q202" s="133"/>
      <c r="R202" s="133"/>
      <c r="S202" s="133"/>
      <c r="T202" s="133"/>
      <c r="U202" s="133"/>
      <c r="V202" s="133"/>
      <c r="W202" s="133"/>
      <c r="X202" s="133"/>
      <c r="Y202" s="133"/>
      <c r="Z202" s="133"/>
    </row>
    <row r="203">
      <c r="A203" s="133">
        <f>IFERROR(__xludf.DUMMYFUNCTION("""COMPUTED_VALUE"""),202.0)</f>
        <v>202</v>
      </c>
      <c r="B203" s="133" t="str">
        <f>IFERROR(__xludf.DUMMYFUNCTION("""COMPUTED_VALUE"""),"137110")</f>
        <v>137110</v>
      </c>
      <c r="C203" s="133" t="str">
        <f>IFERROR(__xludf.DUMMYFUNCTION("""COMPUTED_VALUE"""),"P-1-N-220920-3159")</f>
        <v>P-1-N-220920-3159</v>
      </c>
      <c r="D203" s="133"/>
      <c r="E203" s="133" t="str">
        <f>IFERROR(__xludf.DUMMYFUNCTION("""COMPUTED_VALUE"""),"تمت طباعة الشهادة")</f>
        <v>تمت طباعة الشهادة</v>
      </c>
      <c r="F203" s="133" t="str">
        <f>IFERROR(__xludf.DUMMYFUNCTION("""COMPUTED_VALUE"""),"Crunchy stick canary. Canary seed - honey 85g")</f>
        <v>Crunchy stick canary. Canary seed - honey 85g</v>
      </c>
      <c r="G203" s="133" t="str">
        <f>IFERROR(__xludf.DUMMYFUNCTION("""COMPUTED_VALUE"""),"كرنشي ستك للكناري بذور الكناري و العسل 85 جرام")</f>
        <v>كرنشي ستك للكناري بذور الكناري و العسل 85 جرام</v>
      </c>
      <c r="H203" s="133" t="str">
        <f>IFERROR(__xludf.DUMMYFUNCTION("""COMPUTED_VALUE"""),"MAFE20201464")</f>
        <v>MAFE20201464</v>
      </c>
      <c r="I203" s="133"/>
      <c r="J203" s="133"/>
      <c r="K203" s="133" t="str">
        <f>IFERROR(__xludf.DUMMYFUNCTION("""COMPUTED_VALUE"""),"زولكس ساس")</f>
        <v>زولكس ساس</v>
      </c>
      <c r="L203" s="142" t="str">
        <f>IFERROR(__xludf.DUMMYFUNCTION("""COMPUTED_VALUE"""),"137110")</f>
        <v>137110</v>
      </c>
      <c r="M203" s="133"/>
      <c r="N203" s="133"/>
      <c r="O203" s="133"/>
      <c r="P203" s="133"/>
      <c r="Q203" s="133"/>
      <c r="R203" s="133"/>
      <c r="S203" s="133"/>
      <c r="T203" s="133"/>
      <c r="U203" s="133"/>
      <c r="V203" s="133"/>
      <c r="W203" s="133"/>
      <c r="X203" s="133"/>
      <c r="Y203" s="133"/>
      <c r="Z203" s="133"/>
    </row>
    <row r="204">
      <c r="A204" s="133">
        <f>IFERROR(__xludf.DUMMYFUNCTION("""COMPUTED_VALUE"""),203.0)</f>
        <v>203</v>
      </c>
      <c r="B204" s="133" t="str">
        <f>IFERROR(__xludf.DUMMYFUNCTION("""COMPUTED_VALUE"""),"137111")</f>
        <v>137111</v>
      </c>
      <c r="C204" s="133" t="str">
        <f>IFERROR(__xludf.DUMMYFUNCTION("""COMPUTED_VALUE"""),"P-1-N-220920-3160")</f>
        <v>P-1-N-220920-3160</v>
      </c>
      <c r="D204" s="133"/>
      <c r="E204" s="133" t="str">
        <f>IFERROR(__xludf.DUMMYFUNCTION("""COMPUTED_VALUE"""),"تمت طباعة الشهادة")</f>
        <v>تمت طباعة الشهادة</v>
      </c>
      <c r="F204" s="133" t="str">
        <f>IFERROR(__xludf.DUMMYFUNCTION("""COMPUTED_VALUE"""),"Crunchy stick canary. Canary seed - sticklewort 85g")</f>
        <v>Crunchy stick canary. Canary seed - sticklewort 85g</v>
      </c>
      <c r="G204" s="133" t="str">
        <f>IFERROR(__xludf.DUMMYFUNCTION("""COMPUTED_VALUE"""),"كرنشي ستك للكناري بذور الكناري و الاعشاب 85 جرام")</f>
        <v>كرنشي ستك للكناري بذور الكناري و الاعشاب 85 جرام</v>
      </c>
      <c r="H204" s="133" t="str">
        <f>IFERROR(__xludf.DUMMYFUNCTION("""COMPUTED_VALUE"""),"MAFE20201463")</f>
        <v>MAFE20201463</v>
      </c>
      <c r="I204" s="133"/>
      <c r="J204" s="133"/>
      <c r="K204" s="133" t="str">
        <f>IFERROR(__xludf.DUMMYFUNCTION("""COMPUTED_VALUE"""),"زولكس ساس")</f>
        <v>زولكس ساس</v>
      </c>
      <c r="L204" s="142" t="str">
        <f>IFERROR(__xludf.DUMMYFUNCTION("""COMPUTED_VALUE"""),"137111")</f>
        <v>137111</v>
      </c>
      <c r="M204" s="133"/>
      <c r="N204" s="133"/>
      <c r="O204" s="133"/>
      <c r="P204" s="133"/>
      <c r="Q204" s="133"/>
      <c r="R204" s="133"/>
      <c r="S204" s="133"/>
      <c r="T204" s="133"/>
      <c r="U204" s="133"/>
      <c r="V204" s="133"/>
      <c r="W204" s="133"/>
      <c r="X204" s="133"/>
      <c r="Y204" s="133"/>
      <c r="Z204" s="133"/>
    </row>
    <row r="205">
      <c r="A205" s="133">
        <f>IFERROR(__xludf.DUMMYFUNCTION("""COMPUTED_VALUE"""),204.0)</f>
        <v>204</v>
      </c>
      <c r="B205" s="133" t="str">
        <f>IFERROR(__xludf.DUMMYFUNCTION("""COMPUTED_VALUE"""),"137112")</f>
        <v>137112</v>
      </c>
      <c r="C205" s="133" t="str">
        <f>IFERROR(__xludf.DUMMYFUNCTION("""COMPUTED_VALUE"""),"P-1-N-220920-3161")</f>
        <v>P-1-N-220920-3161</v>
      </c>
      <c r="D205" s="133"/>
      <c r="E205" s="133" t="str">
        <f>IFERROR(__xludf.DUMMYFUNCTION("""COMPUTED_VALUE"""),"تمت طباعة الشهادة")</f>
        <v>تمت طباعة الشهادة</v>
      </c>
      <c r="F205" s="133" t="str">
        <f>IFERROR(__xludf.DUMMYFUNCTION("""COMPUTED_VALUE"""),"Crunchy stick canary. Canary seed - Carrot 85g")</f>
        <v>Crunchy stick canary. Canary seed - Carrot 85g</v>
      </c>
      <c r="G205" s="133" t="str">
        <f>IFERROR(__xludf.DUMMYFUNCTION("""COMPUTED_VALUE"""),"كرنشي ستك كناري بذور الكناري و الجزر 85 جرام")</f>
        <v>كرنشي ستك كناري بذور الكناري و الجزر 85 جرام</v>
      </c>
      <c r="H205" s="133" t="str">
        <f>IFERROR(__xludf.DUMMYFUNCTION("""COMPUTED_VALUE"""),"MAFE20201462")</f>
        <v>MAFE20201462</v>
      </c>
      <c r="I205" s="133"/>
      <c r="J205" s="133"/>
      <c r="K205" s="133" t="str">
        <f>IFERROR(__xludf.DUMMYFUNCTION("""COMPUTED_VALUE"""),"زولكس ساس")</f>
        <v>زولكس ساس</v>
      </c>
      <c r="L205" s="142" t="str">
        <f>IFERROR(__xludf.DUMMYFUNCTION("""COMPUTED_VALUE"""),"137112")</f>
        <v>137112</v>
      </c>
      <c r="M205" s="133"/>
      <c r="N205" s="133"/>
      <c r="O205" s="133"/>
      <c r="P205" s="133"/>
      <c r="Q205" s="133"/>
      <c r="R205" s="133"/>
      <c r="S205" s="133"/>
      <c r="T205" s="133"/>
      <c r="U205" s="133"/>
      <c r="V205" s="133"/>
      <c r="W205" s="133"/>
      <c r="X205" s="133"/>
      <c r="Y205" s="133"/>
      <c r="Z205" s="133"/>
    </row>
    <row r="206">
      <c r="A206" s="133">
        <f>IFERROR(__xludf.DUMMYFUNCTION("""COMPUTED_VALUE"""),205.0)</f>
        <v>205</v>
      </c>
      <c r="B206" s="133" t="str">
        <f>IFERROR(__xludf.DUMMYFUNCTION("""COMPUTED_VALUE"""),"137114")</f>
        <v>137114</v>
      </c>
      <c r="C206" s="133" t="str">
        <f>IFERROR(__xludf.DUMMYFUNCTION("""COMPUTED_VALUE"""),"P-1-N-220920-3163")</f>
        <v>P-1-N-220920-3163</v>
      </c>
      <c r="D206" s="133"/>
      <c r="E206" s="133" t="str">
        <f>IFERROR(__xludf.DUMMYFUNCTION("""COMPUTED_VALUE"""),"تمت طباعة الشهادة")</f>
        <v>تمت طباعة الشهادة</v>
      </c>
      <c r="F206" s="133" t="str">
        <f>IFERROR(__xludf.DUMMYFUNCTION("""COMPUTED_VALUE"""),"Crunchy stick Exotic Millet - Honey 85g")</f>
        <v>Crunchy stick Exotic Millet - Honey 85g</v>
      </c>
      <c r="G206" s="133" t="str">
        <f>IFERROR(__xludf.DUMMYFUNCTION("""COMPUTED_VALUE"""),"كرنشي ستك الاستوائية دخن و عسل 85 جرام")</f>
        <v>كرنشي ستك الاستوائية دخن و عسل 85 جرام</v>
      </c>
      <c r="H206" s="133" t="str">
        <f>IFERROR(__xludf.DUMMYFUNCTION("""COMPUTED_VALUE"""),"MAFE20201469")</f>
        <v>MAFE20201469</v>
      </c>
      <c r="I206" s="133"/>
      <c r="J206" s="133"/>
      <c r="K206" s="133" t="str">
        <f>IFERROR(__xludf.DUMMYFUNCTION("""COMPUTED_VALUE"""),"زولكس ساس")</f>
        <v>زولكس ساس</v>
      </c>
      <c r="L206" s="142" t="str">
        <f>IFERROR(__xludf.DUMMYFUNCTION("""COMPUTED_VALUE"""),"137114")</f>
        <v>137114</v>
      </c>
      <c r="M206" s="133"/>
      <c r="N206" s="133"/>
      <c r="O206" s="133"/>
      <c r="P206" s="133"/>
      <c r="Q206" s="133"/>
      <c r="R206" s="133"/>
      <c r="S206" s="133"/>
      <c r="T206" s="133"/>
      <c r="U206" s="133"/>
      <c r="V206" s="133"/>
      <c r="W206" s="133"/>
      <c r="X206" s="133"/>
      <c r="Y206" s="133"/>
      <c r="Z206" s="133"/>
    </row>
    <row r="207">
      <c r="A207" s="133">
        <f>IFERROR(__xludf.DUMMYFUNCTION("""COMPUTED_VALUE"""),206.0)</f>
        <v>206</v>
      </c>
      <c r="B207" s="133" t="str">
        <f>IFERROR(__xludf.DUMMYFUNCTION("""COMPUTED_VALUE"""),"137115")</f>
        <v>137115</v>
      </c>
      <c r="C207" s="133" t="str">
        <f>IFERROR(__xludf.DUMMYFUNCTION("""COMPUTED_VALUE"""),"P-1-N-220920-3164")</f>
        <v>P-1-N-220920-3164</v>
      </c>
      <c r="D207" s="133"/>
      <c r="E207" s="133" t="str">
        <f>IFERROR(__xludf.DUMMYFUNCTION("""COMPUTED_VALUE"""),"تمت طباعة الشهادة")</f>
        <v>تمت طباعة الشهادة</v>
      </c>
      <c r="F207" s="133" t="str">
        <f>IFERROR(__xludf.DUMMYFUNCTION("""COMPUTED_VALUE"""),"Crunchy stick Exotic Millet - Apple 85g")</f>
        <v>Crunchy stick Exotic Millet - Apple 85g</v>
      </c>
      <c r="G207" s="133" t="str">
        <f>IFERROR(__xludf.DUMMYFUNCTION("""COMPUTED_VALUE"""),"كرنشي ستك الاستوائية دخن وتفاح 85 جرام")</f>
        <v>كرنشي ستك الاستوائية دخن وتفاح 85 جرام</v>
      </c>
      <c r="H207" s="133" t="str">
        <f>IFERROR(__xludf.DUMMYFUNCTION("""COMPUTED_VALUE"""),"MAFE20201468")</f>
        <v>MAFE20201468</v>
      </c>
      <c r="I207" s="133"/>
      <c r="J207" s="133"/>
      <c r="K207" s="133" t="str">
        <f>IFERROR(__xludf.DUMMYFUNCTION("""COMPUTED_VALUE"""),"زولكس ساس")</f>
        <v>زولكس ساس</v>
      </c>
      <c r="L207" s="142" t="str">
        <f>IFERROR(__xludf.DUMMYFUNCTION("""COMPUTED_VALUE"""),"137115")</f>
        <v>137115</v>
      </c>
      <c r="M207" s="133"/>
      <c r="N207" s="133"/>
      <c r="O207" s="133"/>
      <c r="P207" s="133"/>
      <c r="Q207" s="133"/>
      <c r="R207" s="133"/>
      <c r="S207" s="133"/>
      <c r="T207" s="133"/>
      <c r="U207" s="133"/>
      <c r="V207" s="133"/>
      <c r="W207" s="133"/>
      <c r="X207" s="133"/>
      <c r="Y207" s="133"/>
      <c r="Z207" s="133"/>
    </row>
    <row r="208">
      <c r="A208" s="133">
        <f>IFERROR(__xludf.DUMMYFUNCTION("""COMPUTED_VALUE"""),207.0)</f>
        <v>207</v>
      </c>
      <c r="B208" s="133" t="str">
        <f>IFERROR(__xludf.DUMMYFUNCTION("""COMPUTED_VALUE"""),"137116")</f>
        <v>137116</v>
      </c>
      <c r="C208" s="133" t="str">
        <f>IFERROR(__xludf.DUMMYFUNCTION("""COMPUTED_VALUE"""),"P-1-N-220920-3165")</f>
        <v>P-1-N-220920-3165</v>
      </c>
      <c r="D208" s="133"/>
      <c r="E208" s="133" t="str">
        <f>IFERROR(__xludf.DUMMYFUNCTION("""COMPUTED_VALUE"""),"تمت طباعة الشهادة")</f>
        <v>تمت طباعة الشهادة</v>
      </c>
      <c r="F208" s="133" t="str">
        <f>IFERROR(__xludf.DUMMYFUNCTION("""COMPUTED_VALUE"""),"Crunchy stick Large parakeet Currant - Mountain-Ash 115g")</f>
        <v>Crunchy stick Large parakeet Currant - Mountain-Ash 115g</v>
      </c>
      <c r="G208" s="133" t="str">
        <f>IFERROR(__xludf.DUMMYFUNCTION("""COMPUTED_VALUE"""),"كرنشي ستك للبراكيت الكبيرة زبيب و الغبيرا 115 جرام")</f>
        <v>كرنشي ستك للبراكيت الكبيرة زبيب و الغبيرا 115 جرام</v>
      </c>
      <c r="H208" s="133" t="str">
        <f>IFERROR(__xludf.DUMMYFUNCTION("""COMPUTED_VALUE"""),"MAFE20201461")</f>
        <v>MAFE20201461</v>
      </c>
      <c r="I208" s="133"/>
      <c r="J208" s="133"/>
      <c r="K208" s="133" t="str">
        <f>IFERROR(__xludf.DUMMYFUNCTION("""COMPUTED_VALUE"""),"زولكس ساس")</f>
        <v>زولكس ساس</v>
      </c>
      <c r="L208" s="142" t="str">
        <f>IFERROR(__xludf.DUMMYFUNCTION("""COMPUTED_VALUE"""),"137116")</f>
        <v>137116</v>
      </c>
      <c r="M208" s="133"/>
      <c r="N208" s="133"/>
      <c r="O208" s="133"/>
      <c r="P208" s="133"/>
      <c r="Q208" s="133"/>
      <c r="R208" s="133"/>
      <c r="S208" s="133"/>
      <c r="T208" s="133"/>
      <c r="U208" s="133"/>
      <c r="V208" s="133"/>
      <c r="W208" s="133"/>
      <c r="X208" s="133"/>
      <c r="Y208" s="133"/>
      <c r="Z208" s="133"/>
    </row>
    <row r="209">
      <c r="A209" s="133">
        <f>IFERROR(__xludf.DUMMYFUNCTION("""COMPUTED_VALUE"""),208.0)</f>
        <v>208</v>
      </c>
      <c r="B209" s="133" t="str">
        <f>IFERROR(__xludf.DUMMYFUNCTION("""COMPUTED_VALUE"""),"137117")</f>
        <v>137117</v>
      </c>
      <c r="C209" s="133" t="str">
        <f>IFERROR(__xludf.DUMMYFUNCTION("""COMPUTED_VALUE"""),"P-1-N-220920-3167")</f>
        <v>P-1-N-220920-3167</v>
      </c>
      <c r="D209" s="133"/>
      <c r="E209" s="133" t="str">
        <f>IFERROR(__xludf.DUMMYFUNCTION("""COMPUTED_VALUE"""),"تمت طباعة الشهادة")</f>
        <v>تمت طباعة الشهادة</v>
      </c>
      <c r="F209" s="133" t="str">
        <f>IFERROR(__xludf.DUMMYFUNCTION("""COMPUTED_VALUE"""),"Crunchy stick Large Parakeet Sunflower - Peanut 115g")</f>
        <v>Crunchy stick Large Parakeet Sunflower - Peanut 115g</v>
      </c>
      <c r="G209" s="133" t="str">
        <f>IFERROR(__xludf.DUMMYFUNCTION("""COMPUTED_VALUE"""),"كرنشي ستك للبراكيت الكبير حب شمسي و فول سوداني 115 جرام")</f>
        <v>كرنشي ستك للبراكيت الكبير حب شمسي و فول سوداني 115 جرام</v>
      </c>
      <c r="H209" s="133" t="str">
        <f>IFERROR(__xludf.DUMMYFUNCTION("""COMPUTED_VALUE"""),"MAFE20201460")</f>
        <v>MAFE20201460</v>
      </c>
      <c r="I209" s="133"/>
      <c r="J209" s="133"/>
      <c r="K209" s="133" t="str">
        <f>IFERROR(__xludf.DUMMYFUNCTION("""COMPUTED_VALUE"""),"زولكس")</f>
        <v>زولكس</v>
      </c>
      <c r="L209" s="142" t="str">
        <f>IFERROR(__xludf.DUMMYFUNCTION("""COMPUTED_VALUE"""),"137117")</f>
        <v>137117</v>
      </c>
      <c r="M209" s="133"/>
      <c r="N209" s="133"/>
      <c r="O209" s="133"/>
      <c r="P209" s="133"/>
      <c r="Q209" s="133"/>
      <c r="R209" s="133"/>
      <c r="S209" s="133"/>
      <c r="T209" s="133"/>
      <c r="U209" s="133"/>
      <c r="V209" s="133"/>
      <c r="W209" s="133"/>
      <c r="X209" s="133"/>
      <c r="Y209" s="133"/>
      <c r="Z209" s="133"/>
    </row>
    <row r="210">
      <c r="A210" s="133">
        <f>IFERROR(__xludf.DUMMYFUNCTION("""COMPUTED_VALUE"""),209.0)</f>
        <v>209</v>
      </c>
      <c r="B210" s="133" t="str">
        <f>IFERROR(__xludf.DUMMYFUNCTION("""COMPUTED_VALUE"""),"137118")</f>
        <v>137118</v>
      </c>
      <c r="C210" s="133" t="str">
        <f>IFERROR(__xludf.DUMMYFUNCTION("""COMPUTED_VALUE"""),"P-1-N-220920-3168")</f>
        <v>P-1-N-220920-3168</v>
      </c>
      <c r="D210" s="133"/>
      <c r="E210" s="133" t="str">
        <f>IFERROR(__xludf.DUMMYFUNCTION("""COMPUTED_VALUE"""),"تمت طباعة الشهادة")</f>
        <v>تمت طباعة الشهادة</v>
      </c>
      <c r="F210" s="133" t="str">
        <f>IFERROR(__xludf.DUMMYFUNCTION("""COMPUTED_VALUE"""),"Crunchy stick Parrot Peanut - Apple 115g")</f>
        <v>Crunchy stick Parrot Peanut - Apple 115g</v>
      </c>
      <c r="G210" s="133" t="str">
        <f>IFERROR(__xludf.DUMMYFUNCTION("""COMPUTED_VALUE"""),"كرنشي ستك للببغاء فول سوداني وتفاح 115 جرام")</f>
        <v>كرنشي ستك للببغاء فول سوداني وتفاح 115 جرام</v>
      </c>
      <c r="H210" s="133" t="str">
        <f>IFERROR(__xludf.DUMMYFUNCTION("""COMPUTED_VALUE"""),"MAFE20201459")</f>
        <v>MAFE20201459</v>
      </c>
      <c r="I210" s="133"/>
      <c r="J210" s="133"/>
      <c r="K210" s="133" t="str">
        <f>IFERROR(__xludf.DUMMYFUNCTION("""COMPUTED_VALUE"""),"زولكس ساس")</f>
        <v>زولكس ساس</v>
      </c>
      <c r="L210" s="142" t="str">
        <f>IFERROR(__xludf.DUMMYFUNCTION("""COMPUTED_VALUE"""),"137118")</f>
        <v>137118</v>
      </c>
      <c r="M210" s="133"/>
      <c r="N210" s="133"/>
      <c r="O210" s="133"/>
      <c r="P210" s="133"/>
      <c r="Q210" s="133"/>
      <c r="R210" s="133"/>
      <c r="S210" s="133"/>
      <c r="T210" s="133"/>
      <c r="U210" s="133"/>
      <c r="V210" s="133"/>
      <c r="W210" s="133"/>
      <c r="X210" s="133"/>
      <c r="Y210" s="133"/>
      <c r="Z210" s="133"/>
    </row>
    <row r="211">
      <c r="A211" s="133">
        <f>IFERROR(__xludf.DUMMYFUNCTION("""COMPUTED_VALUE"""),210.0)</f>
        <v>210</v>
      </c>
      <c r="B211" s="133" t="str">
        <f>IFERROR(__xludf.DUMMYFUNCTION("""COMPUTED_VALUE"""),"137119")</f>
        <v>137119</v>
      </c>
      <c r="C211" s="133" t="str">
        <f>IFERROR(__xludf.DUMMYFUNCTION("""COMPUTED_VALUE"""),"P-1-N-220920-3169")</f>
        <v>P-1-N-220920-3169</v>
      </c>
      <c r="D211" s="133"/>
      <c r="E211" s="133" t="str">
        <f>IFERROR(__xludf.DUMMYFUNCTION("""COMPUTED_VALUE"""),"تمت طباعة الشهادة")</f>
        <v>تمت طباعة الشهادة</v>
      </c>
      <c r="F211" s="133" t="str">
        <f>IFERROR(__xludf.DUMMYFUNCTION("""COMPUTED_VALUE"""),"Crunchy stick Parrot Peanut - Banana 115g")</f>
        <v>Crunchy stick Parrot Peanut - Banana 115g</v>
      </c>
      <c r="G211" s="133" t="str">
        <f>IFERROR(__xludf.DUMMYFUNCTION("""COMPUTED_VALUE"""),"كرنشي ستك للببغاء فول سوداني و موز 115 جرام")</f>
        <v>كرنشي ستك للببغاء فول سوداني و موز 115 جرام</v>
      </c>
      <c r="H211" s="133" t="str">
        <f>IFERROR(__xludf.DUMMYFUNCTION("""COMPUTED_VALUE"""),"MAFE20201458")</f>
        <v>MAFE20201458</v>
      </c>
      <c r="I211" s="133"/>
      <c r="J211" s="133"/>
      <c r="K211" s="133" t="str">
        <f>IFERROR(__xludf.DUMMYFUNCTION("""COMPUTED_VALUE"""),"زولكس ساس")</f>
        <v>زولكس ساس</v>
      </c>
      <c r="L211" s="142" t="str">
        <f>IFERROR(__xludf.DUMMYFUNCTION("""COMPUTED_VALUE"""),"137119")</f>
        <v>137119</v>
      </c>
      <c r="M211" s="133"/>
      <c r="N211" s="133"/>
      <c r="O211" s="133"/>
      <c r="P211" s="133"/>
      <c r="Q211" s="133"/>
      <c r="R211" s="133"/>
      <c r="S211" s="133"/>
      <c r="T211" s="133"/>
      <c r="U211" s="133"/>
      <c r="V211" s="133"/>
      <c r="W211" s="133"/>
      <c r="X211" s="133"/>
      <c r="Y211" s="133"/>
      <c r="Z211" s="133"/>
    </row>
    <row r="212">
      <c r="A212" s="133">
        <f>IFERROR(__xludf.DUMMYFUNCTION("""COMPUTED_VALUE"""),211.0)</f>
        <v>211</v>
      </c>
      <c r="B212" s="133" t="str">
        <f>IFERROR(__xludf.DUMMYFUNCTION("""COMPUTED_VALUE"""),"137121")</f>
        <v>137121</v>
      </c>
      <c r="C212" s="133" t="str">
        <f>IFERROR(__xludf.DUMMYFUNCTION("""COMPUTED_VALUE"""),"P-1-N-220920-3170")</f>
        <v>P-1-N-220920-3170</v>
      </c>
      <c r="D212" s="133"/>
      <c r="E212" s="133" t="str">
        <f>IFERROR(__xludf.DUMMYFUNCTION("""COMPUTED_VALUE"""),"تمت طباعة الشهادة")</f>
        <v>تمت طباعة الشهادة</v>
      </c>
      <c r="F212" s="133" t="str">
        <f>IFERROR(__xludf.DUMMYFUNCTION("""COMPUTED_VALUE"""),"Crunchy stick Parakeet Millet - Apple 85g")</f>
        <v>Crunchy stick Parakeet Millet - Apple 85g</v>
      </c>
      <c r="G212" s="133" t="str">
        <f>IFERROR(__xludf.DUMMYFUNCTION("""COMPUTED_VALUE"""),"كرنشي ستك للبراكيت الصغيرة دخن و تفاح 85 جرام")</f>
        <v>كرنشي ستك للبراكيت الصغيرة دخن و تفاح 85 جرام</v>
      </c>
      <c r="H212" s="133" t="str">
        <f>IFERROR(__xludf.DUMMYFUNCTION("""COMPUTED_VALUE"""),"MAFE20201457")</f>
        <v>MAFE20201457</v>
      </c>
      <c r="I212" s="133"/>
      <c r="J212" s="133"/>
      <c r="K212" s="133" t="str">
        <f>IFERROR(__xludf.DUMMYFUNCTION("""COMPUTED_VALUE"""),"زولكس ساس")</f>
        <v>زولكس ساس</v>
      </c>
      <c r="L212" s="142" t="str">
        <f>IFERROR(__xludf.DUMMYFUNCTION("""COMPUTED_VALUE"""),"137121")</f>
        <v>137121</v>
      </c>
      <c r="M212" s="133"/>
      <c r="N212" s="133"/>
      <c r="O212" s="133"/>
      <c r="P212" s="133"/>
      <c r="Q212" s="133"/>
      <c r="R212" s="133"/>
      <c r="S212" s="133"/>
      <c r="T212" s="133"/>
      <c r="U212" s="133"/>
      <c r="V212" s="133"/>
      <c r="W212" s="133"/>
      <c r="X212" s="133"/>
      <c r="Y212" s="133"/>
      <c r="Z212" s="133"/>
    </row>
    <row r="213">
      <c r="A213" s="133">
        <f>IFERROR(__xludf.DUMMYFUNCTION("""COMPUTED_VALUE"""),212.0)</f>
        <v>212</v>
      </c>
      <c r="B213" s="133" t="str">
        <f>IFERROR(__xludf.DUMMYFUNCTION("""COMPUTED_VALUE"""),"137122")</f>
        <v>137122</v>
      </c>
      <c r="C213" s="133" t="str">
        <f>IFERROR(__xludf.DUMMYFUNCTION("""COMPUTED_VALUE"""),"P-1-N-220920-3171")</f>
        <v>P-1-N-220920-3171</v>
      </c>
      <c r="D213" s="133"/>
      <c r="E213" s="133" t="str">
        <f>IFERROR(__xludf.DUMMYFUNCTION("""COMPUTED_VALUE"""),"تمت طباعة الشهادة")</f>
        <v>تمت طباعة الشهادة</v>
      </c>
      <c r="F213" s="133" t="str">
        <f>IFERROR(__xludf.DUMMYFUNCTION("""COMPUTED_VALUE"""),"Crunchy stick Parakeet Coconut - Banana 85g")</f>
        <v>Crunchy stick Parakeet Coconut - Banana 85g</v>
      </c>
      <c r="G213" s="133" t="str">
        <f>IFERROR(__xludf.DUMMYFUNCTION("""COMPUTED_VALUE"""),"كرنشي ستك للبراكيت الصغيرة جوز هند و موز 85 جرام")</f>
        <v>كرنشي ستك للبراكيت الصغيرة جوز هند و موز 85 جرام</v>
      </c>
      <c r="H213" s="133" t="str">
        <f>IFERROR(__xludf.DUMMYFUNCTION("""COMPUTED_VALUE"""),"MAFE20201456")</f>
        <v>MAFE20201456</v>
      </c>
      <c r="I213" s="133"/>
      <c r="J213" s="133"/>
      <c r="K213" s="133" t="str">
        <f>IFERROR(__xludf.DUMMYFUNCTION("""COMPUTED_VALUE"""),"زولكس ساس")</f>
        <v>زولكس ساس</v>
      </c>
      <c r="L213" s="142" t="str">
        <f>IFERROR(__xludf.DUMMYFUNCTION("""COMPUTED_VALUE"""),"137122")</f>
        <v>137122</v>
      </c>
      <c r="M213" s="133"/>
      <c r="N213" s="133"/>
      <c r="O213" s="133"/>
      <c r="P213" s="133"/>
      <c r="Q213" s="133"/>
      <c r="R213" s="133"/>
      <c r="S213" s="133"/>
      <c r="T213" s="133"/>
      <c r="U213" s="133"/>
      <c r="V213" s="133"/>
      <c r="W213" s="133"/>
      <c r="X213" s="133"/>
      <c r="Y213" s="133"/>
      <c r="Z213" s="133"/>
    </row>
    <row r="214">
      <c r="A214" s="133">
        <f>IFERROR(__xludf.DUMMYFUNCTION("""COMPUTED_VALUE"""),213.0)</f>
        <v>213</v>
      </c>
      <c r="B214" s="133" t="str">
        <f>IFERROR(__xludf.DUMMYFUNCTION("""COMPUTED_VALUE"""),"137123")</f>
        <v>137123</v>
      </c>
      <c r="C214" s="133" t="str">
        <f>IFERROR(__xludf.DUMMYFUNCTION("""COMPUTED_VALUE"""),"P-1-N-220920-3172")</f>
        <v>P-1-N-220920-3172</v>
      </c>
      <c r="D214" s="133"/>
      <c r="E214" s="133" t="str">
        <f>IFERROR(__xludf.DUMMYFUNCTION("""COMPUTED_VALUE"""),"تمت طباعة الشهادة")</f>
        <v>تمت طباعة الشهادة</v>
      </c>
      <c r="F214" s="133" t="str">
        <f>IFERROR(__xludf.DUMMYFUNCTION("""COMPUTED_VALUE"""),"Crunchy stick Parakeet Millet - Honey 85g")</f>
        <v>Crunchy stick Parakeet Millet - Honey 85g</v>
      </c>
      <c r="G214" s="133" t="str">
        <f>IFERROR(__xludf.DUMMYFUNCTION("""COMPUTED_VALUE"""),"كرنشي ستك للبراكيت الصغيرة دخن و عسل 85 جرام")</f>
        <v>كرنشي ستك للبراكيت الصغيرة دخن و عسل 85 جرام</v>
      </c>
      <c r="H214" s="133" t="str">
        <f>IFERROR(__xludf.DUMMYFUNCTION("""COMPUTED_VALUE"""),"MAFE20201455")</f>
        <v>MAFE20201455</v>
      </c>
      <c r="I214" s="133"/>
      <c r="J214" s="133"/>
      <c r="K214" s="133" t="str">
        <f>IFERROR(__xludf.DUMMYFUNCTION("""COMPUTED_VALUE"""),"زولكس ساس")</f>
        <v>زولكس ساس</v>
      </c>
      <c r="L214" s="142" t="str">
        <f>IFERROR(__xludf.DUMMYFUNCTION("""COMPUTED_VALUE"""),"137123")</f>
        <v>137123</v>
      </c>
      <c r="M214" s="133"/>
      <c r="N214" s="133"/>
      <c r="O214" s="133"/>
      <c r="P214" s="133"/>
      <c r="Q214" s="133"/>
      <c r="R214" s="133"/>
      <c r="S214" s="133"/>
      <c r="T214" s="133"/>
      <c r="U214" s="133"/>
      <c r="V214" s="133"/>
      <c r="W214" s="133"/>
      <c r="X214" s="133"/>
      <c r="Y214" s="133"/>
      <c r="Z214" s="133"/>
    </row>
    <row r="215">
      <c r="A215" s="133">
        <f>IFERROR(__xludf.DUMMYFUNCTION("""COMPUTED_VALUE"""),214.0)</f>
        <v>214</v>
      </c>
      <c r="B215" s="133" t="str">
        <f>IFERROR(__xludf.DUMMYFUNCTION("""COMPUTED_VALUE"""),"A8902")</f>
        <v>A8902</v>
      </c>
      <c r="C215" s="133" t="str">
        <f>IFERROR(__xludf.DUMMYFUNCTION("""COMPUTED_VALUE"""),"P-1-N-280920-3222")</f>
        <v>P-1-N-280920-3222</v>
      </c>
      <c r="D215" s="133"/>
      <c r="E215" s="133" t="str">
        <f>IFERROR(__xludf.DUMMYFUNCTION("""COMPUTED_VALUE"""),"تمت طباعة الشهادة")</f>
        <v>تمت طباعة الشهادة</v>
      </c>
      <c r="F215" s="133" t="str">
        <f>IFERROR(__xludf.DUMMYFUNCTION("""COMPUTED_VALUE"""),"Pumpkin Soup with Salmon 3x40g")</f>
        <v>Pumpkin Soup with Salmon 3x40g</v>
      </c>
      <c r="G215" s="133" t="str">
        <f>IFERROR(__xludf.DUMMYFUNCTION("""COMPUTED_VALUE"""),"شوربة اليقطين مع السلمون 3×40 جرام")</f>
        <v>شوربة اليقطين مع السلمون 3×40 جرام</v>
      </c>
      <c r="H215" s="133" t="str">
        <f>IFERROR(__xludf.DUMMYFUNCTION("""COMPUTED_VALUE"""),"MAFE20201479")</f>
        <v>MAFE20201479</v>
      </c>
      <c r="I215" s="133"/>
      <c r="J215" s="133"/>
      <c r="K215" s="133" t="str">
        <f>IFERROR(__xludf.DUMMYFUNCTION("""COMPUTED_VALUE"""),"أم بي أم برودكتس ليمتد")</f>
        <v>أم بي أم برودكتس ليمتد</v>
      </c>
      <c r="L215" s="142" t="str">
        <f>IFERROR(__xludf.DUMMYFUNCTION("""COMPUTED_VALUE"""),"A8902")</f>
        <v>A8902</v>
      </c>
      <c r="M215" s="133"/>
      <c r="N215" s="133"/>
      <c r="O215" s="133"/>
      <c r="P215" s="133"/>
      <c r="Q215" s="133"/>
      <c r="R215" s="133"/>
      <c r="S215" s="133"/>
      <c r="T215" s="133"/>
      <c r="U215" s="133"/>
      <c r="V215" s="133"/>
      <c r="W215" s="133"/>
      <c r="X215" s="133"/>
      <c r="Y215" s="133"/>
      <c r="Z215" s="133"/>
    </row>
    <row r="216">
      <c r="A216" s="133">
        <f>IFERROR(__xludf.DUMMYFUNCTION("""COMPUTED_VALUE"""),215.0)</f>
        <v>215</v>
      </c>
      <c r="B216" s="133" t="str">
        <f>IFERROR(__xludf.DUMMYFUNCTION("""COMPUTED_VALUE"""),"A8901")</f>
        <v>A8901</v>
      </c>
      <c r="C216" s="133" t="str">
        <f>IFERROR(__xludf.DUMMYFUNCTION("""COMPUTED_VALUE"""),"P-1-N-280920-3223")</f>
        <v>P-1-N-280920-3223</v>
      </c>
      <c r="D216" s="133"/>
      <c r="E216" s="133" t="str">
        <f>IFERROR(__xludf.DUMMYFUNCTION("""COMPUTED_VALUE"""),"تمت طباعة الشهادة")</f>
        <v>تمت طباعة الشهادة</v>
      </c>
      <c r="F216" s="133" t="str">
        <f>IFERROR(__xludf.DUMMYFUNCTION("""COMPUTED_VALUE"""),"Pumpkin Soup with Seabream 3x40g")</f>
        <v>Pumpkin Soup with Seabream 3x40g</v>
      </c>
      <c r="G216" s="133" t="str">
        <f>IFERROR(__xludf.DUMMYFUNCTION("""COMPUTED_VALUE"""),"شوربة اليقطين مع الدنيس 3×40 جرام")</f>
        <v>شوربة اليقطين مع الدنيس 3×40 جرام</v>
      </c>
      <c r="H216" s="133" t="str">
        <f>IFERROR(__xludf.DUMMYFUNCTION("""COMPUTED_VALUE"""),"MAFE20201478")</f>
        <v>MAFE20201478</v>
      </c>
      <c r="I216" s="133"/>
      <c r="J216" s="133"/>
      <c r="K216" s="133" t="str">
        <f>IFERROR(__xludf.DUMMYFUNCTION("""COMPUTED_VALUE"""),"أم بي أم برودكتس ليمتد")</f>
        <v>أم بي أم برودكتس ليمتد</v>
      </c>
      <c r="L216" s="142" t="str">
        <f>IFERROR(__xludf.DUMMYFUNCTION("""COMPUTED_VALUE"""),"A8901")</f>
        <v>A8901</v>
      </c>
      <c r="M216" s="133"/>
      <c r="N216" s="133"/>
      <c r="O216" s="133"/>
      <c r="P216" s="133"/>
      <c r="Q216" s="133"/>
      <c r="R216" s="133"/>
      <c r="S216" s="133"/>
      <c r="T216" s="133"/>
      <c r="U216" s="133"/>
      <c r="V216" s="133"/>
      <c r="W216" s="133"/>
      <c r="X216" s="133"/>
      <c r="Y216" s="133"/>
      <c r="Z216" s="133"/>
    </row>
    <row r="217">
      <c r="A217" s="133">
        <f>IFERROR(__xludf.DUMMYFUNCTION("""COMPUTED_VALUE"""),216.0)</f>
        <v>216</v>
      </c>
      <c r="B217" s="133" t="str">
        <f>IFERROR(__xludf.DUMMYFUNCTION("""COMPUTED_VALUE"""),"A7005")</f>
        <v>A7005</v>
      </c>
      <c r="C217" s="133" t="str">
        <f>IFERROR(__xludf.DUMMYFUNCTION("""COMPUTED_VALUE"""),"P-1-N-041020-3312")</f>
        <v>P-1-N-041020-3312</v>
      </c>
      <c r="D217" s="133"/>
      <c r="E217" s="133" t="str">
        <f>IFERROR(__xludf.DUMMYFUNCTION("""COMPUTED_VALUE"""),"تمت طباعة الشهادة")</f>
        <v>تمت طباعة الشهادة</v>
      </c>
      <c r="F217" s="133" t="str">
        <f>IFERROR(__xludf.DUMMYFUNCTION("""COMPUTED_VALUE"""),"Applaws Chicken Breast with Rice 60g")</f>
        <v>Applaws Chicken Breast with Rice 60g</v>
      </c>
      <c r="G217" s="133" t="str">
        <f>IFERROR(__xludf.DUMMYFUNCTION("""COMPUTED_VALUE"""),"أبلاوز صدر دجاج مع أرز 60 جم")</f>
        <v>أبلاوز صدر دجاج مع أرز 60 جم</v>
      </c>
      <c r="H217" s="133" t="str">
        <f>IFERROR(__xludf.DUMMYFUNCTION("""COMPUTED_VALUE"""),"MAFE20201516")</f>
        <v>MAFE20201516</v>
      </c>
      <c r="I217" s="133"/>
      <c r="J217" s="133"/>
      <c r="K217" s="133" t="str">
        <f>IFERROR(__xludf.DUMMYFUNCTION("""COMPUTED_VALUE"""),"أم بي أم برودكتس ليمتد")</f>
        <v>أم بي أم برودكتس ليمتد</v>
      </c>
      <c r="L217" s="142" t="str">
        <f>IFERROR(__xludf.DUMMYFUNCTION("""COMPUTED_VALUE"""),"A7005")</f>
        <v>A7005</v>
      </c>
      <c r="M217" s="133"/>
      <c r="N217" s="133"/>
      <c r="O217" s="133"/>
      <c r="P217" s="133"/>
      <c r="Q217" s="133"/>
      <c r="R217" s="133"/>
      <c r="S217" s="133"/>
      <c r="T217" s="133"/>
      <c r="U217" s="133"/>
      <c r="V217" s="133"/>
      <c r="W217" s="133"/>
      <c r="X217" s="133"/>
      <c r="Y217" s="133"/>
      <c r="Z217" s="133"/>
    </row>
    <row r="218">
      <c r="A218" s="133">
        <f>IFERROR(__xludf.DUMMYFUNCTION("""COMPUTED_VALUE"""),217.0)</f>
        <v>217</v>
      </c>
      <c r="B218" s="133" t="str">
        <f>IFERROR(__xludf.DUMMYFUNCTION("""COMPUTED_VALUE"""),"A7001")</f>
        <v>A7001</v>
      </c>
      <c r="C218" s="133" t="str">
        <f>IFERROR(__xludf.DUMMYFUNCTION("""COMPUTED_VALUE"""),"P-1-N-041020-3313")</f>
        <v>P-1-N-041020-3313</v>
      </c>
      <c r="D218" s="133"/>
      <c r="E218" s="133" t="str">
        <f>IFERROR(__xludf.DUMMYFUNCTION("""COMPUTED_VALUE"""),"تمت طباعة الشهادة")</f>
        <v>تمت طباعة الشهادة</v>
      </c>
      <c r="F218" s="133" t="str">
        <f>IFERROR(__xludf.DUMMYFUNCTION("""COMPUTED_VALUE"""),"Applaws Chicken Breast with Duck 60g")</f>
        <v>Applaws Chicken Breast with Duck 60g</v>
      </c>
      <c r="G218" s="133" t="str">
        <f>IFERROR(__xludf.DUMMYFUNCTION("""COMPUTED_VALUE"""),"أبلاوز صدر دجاج بالبط 60 جم")</f>
        <v>أبلاوز صدر دجاج بالبط 60 جم</v>
      </c>
      <c r="H218" s="133" t="str">
        <f>IFERROR(__xludf.DUMMYFUNCTION("""COMPUTED_VALUE"""),"MAFE20201515")</f>
        <v>MAFE20201515</v>
      </c>
      <c r="I218" s="133"/>
      <c r="J218" s="133"/>
      <c r="K218" s="133" t="str">
        <f>IFERROR(__xludf.DUMMYFUNCTION("""COMPUTED_VALUE"""),"أم بي أم برودكتس ليمتد")</f>
        <v>أم بي أم برودكتس ليمتد</v>
      </c>
      <c r="L218" s="142" t="str">
        <f>IFERROR(__xludf.DUMMYFUNCTION("""COMPUTED_VALUE"""),"A7001")</f>
        <v>A7001</v>
      </c>
      <c r="M218" s="133"/>
      <c r="N218" s="133"/>
      <c r="O218" s="133"/>
      <c r="P218" s="133"/>
      <c r="Q218" s="133"/>
      <c r="R218" s="133"/>
      <c r="S218" s="133"/>
      <c r="T218" s="133"/>
      <c r="U218" s="133"/>
      <c r="V218" s="133"/>
      <c r="W218" s="133"/>
      <c r="X218" s="133"/>
      <c r="Y218" s="133"/>
      <c r="Z218" s="133"/>
    </row>
    <row r="219">
      <c r="A219" s="133">
        <f>IFERROR(__xludf.DUMMYFUNCTION("""COMPUTED_VALUE"""),218.0)</f>
        <v>218</v>
      </c>
      <c r="B219" s="133"/>
      <c r="C219" s="133" t="str">
        <f>IFERROR(__xludf.DUMMYFUNCTION("""COMPUTED_VALUE"""),"P-1-N-041020-3314")</f>
        <v>P-1-N-041020-3314</v>
      </c>
      <c r="D219" s="133"/>
      <c r="E219" s="133" t="str">
        <f>IFERROR(__xludf.DUMMYFUNCTION("""COMPUTED_VALUE"""),"REJECTED")</f>
        <v>REJECTED</v>
      </c>
      <c r="F219" s="133" t="str">
        <f>IFERROR(__xludf.DUMMYFUNCTION("""COMPUTED_VALUE"""),"Applaws Tuna Fillet with Crab 60g")</f>
        <v>Applaws Tuna Fillet with Crab 60g</v>
      </c>
      <c r="G219" s="133" t="str">
        <f>IFERROR(__xludf.DUMMYFUNCTION("""COMPUTED_VALUE"""),"أبلاوز فيليه تونة مع السلطعون 60 جم")</f>
        <v>أبلاوز فيليه تونة مع السلطعون 60 جم</v>
      </c>
      <c r="H219" s="133"/>
      <c r="I219" s="133"/>
      <c r="J219" s="133"/>
      <c r="K219" s="133" t="str">
        <f>IFERROR(__xludf.DUMMYFUNCTION("""COMPUTED_VALUE"""),"أم")</f>
        <v>أم</v>
      </c>
      <c r="L219" s="133"/>
      <c r="M219" s="133"/>
      <c r="N219" s="133"/>
      <c r="O219" s="133"/>
      <c r="P219" s="133"/>
      <c r="Q219" s="133"/>
      <c r="R219" s="133"/>
      <c r="S219" s="133"/>
      <c r="T219" s="133"/>
      <c r="U219" s="133"/>
      <c r="V219" s="133"/>
      <c r="W219" s="133"/>
      <c r="X219" s="133"/>
      <c r="Y219" s="133"/>
      <c r="Z219" s="133"/>
    </row>
    <row r="220">
      <c r="A220" s="133">
        <f>IFERROR(__xludf.DUMMYFUNCTION("""COMPUTED_VALUE"""),219.0)</f>
        <v>219</v>
      </c>
      <c r="B220" s="133" t="str">
        <f>IFERROR(__xludf.DUMMYFUNCTION("""COMPUTED_VALUE"""),"A7002")</f>
        <v>A7002</v>
      </c>
      <c r="C220" s="133" t="str">
        <f>IFERROR(__xludf.DUMMYFUNCTION("""COMPUTED_VALUE"""),"P-1-N-041020-3315")</f>
        <v>P-1-N-041020-3315</v>
      </c>
      <c r="D220" s="133"/>
      <c r="E220" s="133" t="str">
        <f>IFERROR(__xludf.DUMMYFUNCTION("""COMPUTED_VALUE"""),"تمت طباعة الشهادة")</f>
        <v>تمت طباعة الشهادة</v>
      </c>
      <c r="F220" s="133" t="str">
        <f>IFERROR(__xludf.DUMMYFUNCTION("""COMPUTED_VALUE"""),"Applaws Tuna Fillet with Prawn 60g")</f>
        <v>Applaws Tuna Fillet with Prawn 60g</v>
      </c>
      <c r="G220" s="133" t="str">
        <f>IFERROR(__xludf.DUMMYFUNCTION("""COMPUTED_VALUE"""),"أبلاوز فيليه تونة بالجمبري 60 جم")</f>
        <v>أبلاوز فيليه تونة بالجمبري 60 جم</v>
      </c>
      <c r="H220" s="133" t="str">
        <f>IFERROR(__xludf.DUMMYFUNCTION("""COMPUTED_VALUE"""),"MAFE20201514")</f>
        <v>MAFE20201514</v>
      </c>
      <c r="I220" s="133"/>
      <c r="J220" s="133"/>
      <c r="K220" s="133" t="str">
        <f>IFERROR(__xludf.DUMMYFUNCTION("""COMPUTED_VALUE"""),"أم بي أم برودكتس ليمتد")</f>
        <v>أم بي أم برودكتس ليمتد</v>
      </c>
      <c r="L220" s="142" t="str">
        <f>IFERROR(__xludf.DUMMYFUNCTION("""COMPUTED_VALUE"""),"A7002")</f>
        <v>A7002</v>
      </c>
      <c r="M220" s="133"/>
      <c r="N220" s="133"/>
      <c r="O220" s="133"/>
      <c r="P220" s="133"/>
      <c r="Q220" s="133"/>
      <c r="R220" s="133"/>
      <c r="S220" s="133"/>
      <c r="T220" s="133"/>
      <c r="U220" s="133"/>
      <c r="V220" s="133"/>
      <c r="W220" s="133"/>
      <c r="X220" s="133"/>
      <c r="Y220" s="133"/>
      <c r="Z220" s="133"/>
    </row>
    <row r="221">
      <c r="A221" s="133">
        <f>IFERROR(__xludf.DUMMYFUNCTION("""COMPUTED_VALUE"""),220.0)</f>
        <v>220</v>
      </c>
      <c r="B221" s="133" t="str">
        <f>IFERROR(__xludf.DUMMYFUNCTION("""COMPUTED_VALUE"""),"A8002")</f>
        <v>A8002</v>
      </c>
      <c r="C221" s="133" t="str">
        <f>IFERROR(__xludf.DUMMYFUNCTION("""COMPUTED_VALUE"""),"P-1-N-041020-3318")</f>
        <v>P-1-N-041020-3318</v>
      </c>
      <c r="D221" s="133"/>
      <c r="E221" s="133" t="str">
        <f>IFERROR(__xludf.DUMMYFUNCTION("""COMPUTED_VALUE"""),"تمت طباعة الشهادة")</f>
        <v>تمت طباعة الشهادة</v>
      </c>
      <c r="F221" s="133" t="str">
        <f>IFERROR(__xludf.DUMMYFUNCTION("""COMPUTED_VALUE"""),"Applaws Chicken Breast with Asparagus 70g")</f>
        <v>Applaws Chicken Breast with Asparagus 70g</v>
      </c>
      <c r="G221" s="133" t="str">
        <f>IFERROR(__xludf.DUMMYFUNCTION("""COMPUTED_VALUE"""),"أبلاوز صدر دجاج مع الهليون 70 جم")</f>
        <v>أبلاوز صدر دجاج مع الهليون 70 جم</v>
      </c>
      <c r="H221" s="133" t="str">
        <f>IFERROR(__xludf.DUMMYFUNCTION("""COMPUTED_VALUE"""),"MAFE20201591")</f>
        <v>MAFE20201591</v>
      </c>
      <c r="I221" s="133"/>
      <c r="J221" s="133"/>
      <c r="K221" s="133" t="str">
        <f>IFERROR(__xludf.DUMMYFUNCTION("""COMPUTED_VALUE"""),"أم بي أم برودكتس ليمتد")</f>
        <v>أم بي أم برودكتس ليمتد</v>
      </c>
      <c r="L221" s="142" t="str">
        <f>IFERROR(__xludf.DUMMYFUNCTION("""COMPUTED_VALUE"""),"A8002")</f>
        <v>A8002</v>
      </c>
      <c r="M221" s="133"/>
      <c r="N221" s="133"/>
      <c r="O221" s="133"/>
      <c r="P221" s="133"/>
      <c r="Q221" s="133"/>
      <c r="R221" s="133"/>
      <c r="S221" s="133"/>
      <c r="T221" s="133"/>
      <c r="U221" s="133"/>
      <c r="V221" s="133"/>
      <c r="W221" s="133"/>
      <c r="X221" s="133"/>
      <c r="Y221" s="133"/>
      <c r="Z221" s="133"/>
    </row>
    <row r="222">
      <c r="A222" s="133">
        <f>IFERROR(__xludf.DUMMYFUNCTION("""COMPUTED_VALUE"""),221.0)</f>
        <v>221</v>
      </c>
      <c r="B222" s="133"/>
      <c r="C222" s="133" t="str">
        <f>IFERROR(__xludf.DUMMYFUNCTION("""COMPUTED_VALUE"""),"P-1-N-041020-3319")</f>
        <v>P-1-N-041020-3319</v>
      </c>
      <c r="D222" s="133"/>
      <c r="E222" s="133" t="str">
        <f>IFERROR(__xludf.DUMMYFUNCTION("""COMPUTED_VALUE"""),"REJECTED")</f>
        <v>REJECTED</v>
      </c>
      <c r="F222" s="133" t="str">
        <f>IFERROR(__xludf.DUMMYFUNCTION("""COMPUTED_VALUE"""),"Applaws Chicken Breast with Tuna Roe 60g")</f>
        <v>Applaws Chicken Breast with Tuna Roe 60g</v>
      </c>
      <c r="G222" s="133" t="str">
        <f>IFERROR(__xludf.DUMMYFUNCTION("""COMPUTED_VALUE"""),"أبلاوز صدر دجاج مع تونة رو 60 جم")</f>
        <v>أبلاوز صدر دجاج مع تونة رو 60 جم</v>
      </c>
      <c r="H222" s="133"/>
      <c r="I222" s="133"/>
      <c r="J222" s="133"/>
      <c r="K222" s="133" t="str">
        <f>IFERROR(__xludf.DUMMYFUNCTION("""COMPUTED_VALUE"""),"أم بي أم برودكتس ليمتد")</f>
        <v>أم بي أم برودكتس ليمتد</v>
      </c>
      <c r="L222" s="133"/>
      <c r="M222" s="133"/>
      <c r="N222" s="133"/>
      <c r="O222" s="133"/>
      <c r="P222" s="133"/>
      <c r="Q222" s="133"/>
      <c r="R222" s="133"/>
      <c r="S222" s="133"/>
      <c r="T222" s="133"/>
      <c r="U222" s="133"/>
      <c r="V222" s="133"/>
      <c r="W222" s="133"/>
      <c r="X222" s="133"/>
      <c r="Y222" s="133"/>
      <c r="Z222" s="133"/>
    </row>
    <row r="223">
      <c r="A223" s="133">
        <f>IFERROR(__xludf.DUMMYFUNCTION("""COMPUTED_VALUE"""),222.0)</f>
        <v>222</v>
      </c>
      <c r="B223" s="133"/>
      <c r="C223" s="133" t="str">
        <f>IFERROR(__xludf.DUMMYFUNCTION("""COMPUTED_VALUE"""),"P-1-N-041020-3320")</f>
        <v>P-1-N-041020-3320</v>
      </c>
      <c r="D223" s="133"/>
      <c r="E223" s="133" t="str">
        <f>IFERROR(__xludf.DUMMYFUNCTION("""COMPUTED_VALUE"""),"REJECTED")</f>
        <v>REJECTED</v>
      </c>
      <c r="F223" s="133" t="str">
        <f>IFERROR(__xludf.DUMMYFUNCTION("""COMPUTED_VALUE"""),"MAFE20201515")</f>
        <v>MAFE20201515</v>
      </c>
      <c r="G223" s="133" t="str">
        <f>IFERROR(__xludf.DUMMYFUNCTION("""COMPUTED_VALUE"""),"أبلاوز سردين مع الماكريل 60 جم")</f>
        <v>أبلاوز سردين مع الماكريل 60 جم</v>
      </c>
      <c r="H223" s="133"/>
      <c r="I223" s="133"/>
      <c r="J223" s="133"/>
      <c r="K223" s="133" t="str">
        <f>IFERROR(__xludf.DUMMYFUNCTION("""COMPUTED_VALUE"""),"أم بي أم برودكتس ليمتد")</f>
        <v>أم بي أم برودكتس ليمتد</v>
      </c>
      <c r="L223" s="133"/>
      <c r="M223" s="133"/>
      <c r="N223" s="133"/>
      <c r="O223" s="133"/>
      <c r="P223" s="133"/>
      <c r="Q223" s="133"/>
      <c r="R223" s="133"/>
      <c r="S223" s="133"/>
      <c r="T223" s="133"/>
      <c r="U223" s="133"/>
      <c r="V223" s="133"/>
      <c r="W223" s="133"/>
      <c r="X223" s="133"/>
      <c r="Y223" s="133"/>
      <c r="Z223" s="133"/>
    </row>
    <row r="224">
      <c r="A224" s="133">
        <f>IFERROR(__xludf.DUMMYFUNCTION("""COMPUTED_VALUE"""),223.0)</f>
        <v>223</v>
      </c>
      <c r="B224" s="133" t="str">
        <f>IFERROR(__xludf.DUMMYFUNCTION("""COMPUTED_VALUE"""),"A8256")</f>
        <v>A8256</v>
      </c>
      <c r="C224" s="133" t="str">
        <f>IFERROR(__xludf.DUMMYFUNCTION("""COMPUTED_VALUE"""),"P-1-N-041020-3327")</f>
        <v>P-1-N-041020-3327</v>
      </c>
      <c r="D224" s="133"/>
      <c r="E224" s="133" t="str">
        <f>IFERROR(__xludf.DUMMYFUNCTION("""COMPUTED_VALUE"""),"تمت طباعة الشهادة")</f>
        <v>تمت طباعة الشهادة</v>
      </c>
      <c r="F224" s="133" t="str">
        <f>IFERROR(__xludf.DUMMYFUNCTION("""COMPUTED_VALUE"""),"Applaws Tuna with Salmon in Jelly 70g")</f>
        <v>Applaws Tuna with Salmon in Jelly 70g</v>
      </c>
      <c r="G224" s="133" t="str">
        <f>IFERROR(__xludf.DUMMYFUNCTION("""COMPUTED_VALUE"""),"أبلاوز تونة مع سلمون في جيلي 70 جم")</f>
        <v>أبلاوز تونة مع سلمون في جيلي 70 جم</v>
      </c>
      <c r="H224" s="133" t="str">
        <f>IFERROR(__xludf.DUMMYFUNCTION("""COMPUTED_VALUE"""),"MAFE20201512")</f>
        <v>MAFE20201512</v>
      </c>
      <c r="I224" s="133"/>
      <c r="J224" s="133"/>
      <c r="K224" s="133" t="str">
        <f>IFERROR(__xludf.DUMMYFUNCTION("""COMPUTED_VALUE"""),"أم بي أم برودكتس ليمتد")</f>
        <v>أم بي أم برودكتس ليمتد</v>
      </c>
      <c r="L224" s="142" t="str">
        <f>IFERROR(__xludf.DUMMYFUNCTION("""COMPUTED_VALUE"""),"A8256")</f>
        <v>A8256</v>
      </c>
      <c r="M224" s="133"/>
      <c r="N224" s="133"/>
      <c r="O224" s="133"/>
      <c r="P224" s="133"/>
      <c r="Q224" s="133"/>
      <c r="R224" s="133"/>
      <c r="S224" s="133"/>
      <c r="T224" s="133"/>
      <c r="U224" s="133"/>
      <c r="V224" s="133"/>
      <c r="W224" s="133"/>
      <c r="X224" s="133"/>
      <c r="Y224" s="133"/>
      <c r="Z224" s="133"/>
    </row>
    <row r="225">
      <c r="A225" s="133">
        <f>IFERROR(__xludf.DUMMYFUNCTION("""COMPUTED_VALUE"""),224.0)</f>
        <v>224</v>
      </c>
      <c r="B225" s="133" t="str">
        <f>IFERROR(__xludf.DUMMYFUNCTION("""COMPUTED_VALUE"""),"A8254")</f>
        <v>A8254</v>
      </c>
      <c r="C225" s="133" t="str">
        <f>IFERROR(__xludf.DUMMYFUNCTION("""COMPUTED_VALUE"""),"P-1-N-041020-3329")</f>
        <v>P-1-N-041020-3329</v>
      </c>
      <c r="D225" s="133"/>
      <c r="E225" s="133" t="str">
        <f>IFERROR(__xludf.DUMMYFUNCTION("""COMPUTED_VALUE"""),"تمت طباعة الشهادة")</f>
        <v>تمت طباعة الشهادة</v>
      </c>
      <c r="F225" s="133" t="str">
        <f>IFERROR(__xludf.DUMMYFUNCTION("""COMPUTED_VALUE"""),"Applaws Tuna in Jelly 70g")</f>
        <v>Applaws Tuna in Jelly 70g</v>
      </c>
      <c r="G225" s="133" t="str">
        <f>IFERROR(__xludf.DUMMYFUNCTION("""COMPUTED_VALUE"""),"أبلاوز تونة في الجلي 70 جم")</f>
        <v>أبلاوز تونة في الجلي 70 جم</v>
      </c>
      <c r="H225" s="133" t="str">
        <f>IFERROR(__xludf.DUMMYFUNCTION("""COMPUTED_VALUE"""),"MAFE20201511")</f>
        <v>MAFE20201511</v>
      </c>
      <c r="I225" s="133"/>
      <c r="J225" s="133"/>
      <c r="K225" s="133" t="str">
        <f>IFERROR(__xludf.DUMMYFUNCTION("""COMPUTED_VALUE"""),"أم بي أم برودكتس ليمتد")</f>
        <v>أم بي أم برودكتس ليمتد</v>
      </c>
      <c r="L225" s="142" t="str">
        <f>IFERROR(__xludf.DUMMYFUNCTION("""COMPUTED_VALUE"""),"A8254")</f>
        <v>A8254</v>
      </c>
      <c r="M225" s="133"/>
      <c r="N225" s="133"/>
      <c r="O225" s="133"/>
      <c r="P225" s="133"/>
      <c r="Q225" s="133"/>
      <c r="R225" s="133"/>
      <c r="S225" s="133"/>
      <c r="T225" s="133"/>
      <c r="U225" s="133"/>
      <c r="V225" s="133"/>
      <c r="W225" s="133"/>
      <c r="X225" s="133"/>
      <c r="Y225" s="133"/>
      <c r="Z225" s="133"/>
    </row>
    <row r="226">
      <c r="A226" s="133">
        <f>IFERROR(__xludf.DUMMYFUNCTION("""COMPUTED_VALUE"""),225.0)</f>
        <v>225</v>
      </c>
      <c r="B226" s="133"/>
      <c r="C226" s="133" t="str">
        <f>IFERROR(__xludf.DUMMYFUNCTION("""COMPUTED_VALUE"""),"P-1-N-041020-3330")</f>
        <v>P-1-N-041020-3330</v>
      </c>
      <c r="D226" s="133"/>
      <c r="E226" s="133" t="str">
        <f>IFERROR(__xludf.DUMMYFUNCTION("""COMPUTED_VALUE"""),"REJECTED")</f>
        <v>REJECTED</v>
      </c>
      <c r="F226" s="133" t="str">
        <f>IFERROR(__xludf.DUMMYFUNCTION("""COMPUTED_VALUE"""),"Applaws Chicken Breast &amp; Wild Rice 70g")</f>
        <v>Applaws Chicken Breast &amp; Wild Rice 70g</v>
      </c>
      <c r="G226" s="133" t="str">
        <f>IFERROR(__xludf.DUMMYFUNCTION("""COMPUTED_VALUE"""),"أبلاوز صدر دجاج و أرز بري 70 جم")</f>
        <v>أبلاوز صدر دجاج و أرز بري 70 جم</v>
      </c>
      <c r="H226" s="133"/>
      <c r="I226" s="133"/>
      <c r="J226" s="133"/>
      <c r="K226" s="133" t="str">
        <f>IFERROR(__xludf.DUMMYFUNCTION("""COMPUTED_VALUE"""),"أم بي أم برودكتس ليمتد")</f>
        <v>أم بي أم برودكتس ليمتد</v>
      </c>
      <c r="L226" s="133"/>
      <c r="M226" s="133"/>
      <c r="N226" s="133"/>
      <c r="O226" s="133"/>
      <c r="P226" s="133"/>
      <c r="Q226" s="133"/>
      <c r="R226" s="133"/>
      <c r="S226" s="133"/>
      <c r="T226" s="133"/>
      <c r="U226" s="133"/>
      <c r="V226" s="133"/>
      <c r="W226" s="133"/>
      <c r="X226" s="133"/>
      <c r="Y226" s="133"/>
      <c r="Z226" s="133"/>
    </row>
    <row r="227">
      <c r="A227" s="133">
        <f>IFERROR(__xludf.DUMMYFUNCTION("""COMPUTED_VALUE"""),226.0)</f>
        <v>226</v>
      </c>
      <c r="B227" s="133" t="str">
        <f>IFERROR(__xludf.DUMMYFUNCTION("""COMPUTED_VALUE"""),"A8006")</f>
        <v>A8006</v>
      </c>
      <c r="C227" s="133" t="str">
        <f>IFERROR(__xludf.DUMMYFUNCTION("""COMPUTED_VALUE"""),"P-1-N-041020-3331")</f>
        <v>P-1-N-041020-3331</v>
      </c>
      <c r="D227" s="133"/>
      <c r="E227" s="133" t="str">
        <f>IFERROR(__xludf.DUMMYFUNCTION("""COMPUTED_VALUE"""),"تمت طباعة الشهادة")</f>
        <v>تمت طباعة الشهادة</v>
      </c>
      <c r="F227" s="133" t="str">
        <f>IFERROR(__xludf.DUMMYFUNCTION("""COMPUTED_VALUE"""),"Applaws Tuna Fillet with Whole Anchovy 70g")</f>
        <v>Applaws Tuna Fillet with Whole Anchovy 70g</v>
      </c>
      <c r="G227" s="133" t="str">
        <f>IFERROR(__xludf.DUMMYFUNCTION("""COMPUTED_VALUE"""),"أبلاوز فيليه تونة مع الأنشوجة الكاملة 70 جم")</f>
        <v>أبلاوز فيليه تونة مع الأنشوجة الكاملة 70 جم</v>
      </c>
      <c r="H227" s="133" t="str">
        <f>IFERROR(__xludf.DUMMYFUNCTION("""COMPUTED_VALUE"""),"MAFE20201510")</f>
        <v>MAFE20201510</v>
      </c>
      <c r="I227" s="133"/>
      <c r="J227" s="133"/>
      <c r="K227" s="133" t="str">
        <f>IFERROR(__xludf.DUMMYFUNCTION("""COMPUTED_VALUE"""),"أم بي أم برودكتس ليمتد")</f>
        <v>أم بي أم برودكتس ليمتد</v>
      </c>
      <c r="L227" s="142" t="str">
        <f>IFERROR(__xludf.DUMMYFUNCTION("""COMPUTED_VALUE"""),"A8006")</f>
        <v>A8006</v>
      </c>
      <c r="M227" s="133"/>
      <c r="N227" s="133"/>
      <c r="O227" s="133"/>
      <c r="P227" s="133"/>
      <c r="Q227" s="133"/>
      <c r="R227" s="133"/>
      <c r="S227" s="133"/>
      <c r="T227" s="133"/>
      <c r="U227" s="133"/>
      <c r="V227" s="133"/>
      <c r="W227" s="133"/>
      <c r="X227" s="133"/>
      <c r="Y227" s="133"/>
      <c r="Z227" s="133"/>
    </row>
    <row r="228">
      <c r="A228" s="133">
        <f>IFERROR(__xludf.DUMMYFUNCTION("""COMPUTED_VALUE"""),227.0)</f>
        <v>227</v>
      </c>
      <c r="B228" s="133" t="str">
        <f>IFERROR(__xludf.DUMMYFUNCTION("""COMPUTED_VALUE"""),"C100")</f>
        <v>C100</v>
      </c>
      <c r="C228" s="133" t="str">
        <f>IFERROR(__xludf.DUMMYFUNCTION("""COMPUTED_VALUE"""),"P-1-N-131020-3500")</f>
        <v>P-1-N-131020-3500</v>
      </c>
      <c r="D228" s="133"/>
      <c r="E228" s="133" t="str">
        <f>IFERROR(__xludf.DUMMYFUNCTION("""COMPUTED_VALUE"""),"تمت طباعة الشهادة")</f>
        <v>تمت طباعة الشهادة</v>
      </c>
      <c r="F228" s="133" t="str">
        <f>IFERROR(__xludf.DUMMYFUNCTION("""COMPUTED_VALUE"""),"Tuna whole meat and rice in jelly (50*6) 300g")</f>
        <v>Tuna whole meat and rice in jelly (50*6) 300g</v>
      </c>
      <c r="G228" s="133" t="str">
        <f>IFERROR(__xludf.DUMMYFUNCTION("""COMPUTED_VALUE"""),"لحم التونا و الأرز بالجيلي (50*6) 300 جرام")</f>
        <v>لحم التونا و الأرز بالجيلي (50*6) 300 جرام</v>
      </c>
      <c r="H228" s="133" t="str">
        <f>IFERROR(__xludf.DUMMYFUNCTION("""COMPUTED_VALUE"""),"MAFE20201759")</f>
        <v>MAFE20201759</v>
      </c>
      <c r="I228" s="133"/>
      <c r="J228" s="133"/>
      <c r="K228" s="133" t="str">
        <f>IFERROR(__xludf.DUMMYFUNCTION("""COMPUTED_VALUE"""),"ساوث ايست الاسيوية للتغليف والتعليب المحدودة")</f>
        <v>ساوث ايست الاسيوية للتغليف والتعليب المحدودة</v>
      </c>
      <c r="L228" s="142" t="str">
        <f>IFERROR(__xludf.DUMMYFUNCTION("""COMPUTED_VALUE"""),"C100")</f>
        <v>C100</v>
      </c>
      <c r="M228" s="133"/>
      <c r="N228" s="133"/>
      <c r="O228" s="133"/>
      <c r="P228" s="133"/>
      <c r="Q228" s="133"/>
      <c r="R228" s="133"/>
      <c r="S228" s="133"/>
      <c r="T228" s="133"/>
      <c r="U228" s="133"/>
      <c r="V228" s="133"/>
      <c r="W228" s="133"/>
      <c r="X228" s="133"/>
      <c r="Y228" s="133"/>
      <c r="Z228" s="133"/>
    </row>
    <row r="229">
      <c r="A229" s="133">
        <f>IFERROR(__xludf.DUMMYFUNCTION("""COMPUTED_VALUE"""),228.0)</f>
        <v>228</v>
      </c>
      <c r="B229" s="133" t="str">
        <f>IFERROR(__xludf.DUMMYFUNCTION("""COMPUTED_VALUE"""),"C103")</f>
        <v>C103</v>
      </c>
      <c r="C229" s="133" t="str">
        <f>IFERROR(__xludf.DUMMYFUNCTION("""COMPUTED_VALUE"""),"P-1-N-131020-3501")</f>
        <v>P-1-N-131020-3501</v>
      </c>
      <c r="D229" s="133"/>
      <c r="E229" s="133" t="str">
        <f>IFERROR(__xludf.DUMMYFUNCTION("""COMPUTED_VALUE"""),"تمت طباعة الشهادة")</f>
        <v>تمت طباعة الشهادة</v>
      </c>
      <c r="F229" s="133" t="str">
        <f>IFERROR(__xludf.DUMMYFUNCTION("""COMPUTED_VALUE"""),"Tuna whole meat with shrimp and rice in jelly (50*6) 300g")</f>
        <v>Tuna whole meat with shrimp and rice in jelly (50*6) 300g</v>
      </c>
      <c r="G229" s="133" t="str">
        <f>IFERROR(__xludf.DUMMYFUNCTION("""COMPUTED_VALUE"""),"لحم")</f>
        <v>لحم</v>
      </c>
      <c r="H229" s="133" t="str">
        <f>IFERROR(__xludf.DUMMYFUNCTION("""COMPUTED_VALUE"""),"MAFE20201758")</f>
        <v>MAFE20201758</v>
      </c>
      <c r="I229" s="133"/>
      <c r="J229" s="133"/>
      <c r="K229" s="133" t="str">
        <f>IFERROR(__xludf.DUMMYFUNCTION("""COMPUTED_VALUE"""),"أغراس ديليتش اس بي أي")</f>
        <v>أغراس ديليتش اس بي أي</v>
      </c>
      <c r="L229" s="142" t="str">
        <f>IFERROR(__xludf.DUMMYFUNCTION("""COMPUTED_VALUE"""),"C103")</f>
        <v>C103</v>
      </c>
      <c r="M229" s="133"/>
      <c r="N229" s="133"/>
      <c r="O229" s="133"/>
      <c r="P229" s="133"/>
      <c r="Q229" s="133"/>
      <c r="R229" s="133"/>
      <c r="S229" s="133"/>
      <c r="T229" s="133"/>
      <c r="U229" s="133"/>
      <c r="V229" s="133"/>
      <c r="W229" s="133"/>
      <c r="X229" s="133"/>
      <c r="Y229" s="133"/>
      <c r="Z229" s="133"/>
    </row>
    <row r="230">
      <c r="A230" s="133">
        <f>IFERROR(__xludf.DUMMYFUNCTION("""COMPUTED_VALUE"""),229.0)</f>
        <v>229</v>
      </c>
      <c r="B230" s="133" t="str">
        <f>IFERROR(__xludf.DUMMYFUNCTION("""COMPUTED_VALUE"""),"C106")</f>
        <v>C106</v>
      </c>
      <c r="C230" s="133" t="str">
        <f>IFERROR(__xludf.DUMMYFUNCTION("""COMPUTED_VALUE"""),"P-1-N-131020-3502")</f>
        <v>P-1-N-131020-3502</v>
      </c>
      <c r="D230" s="133"/>
      <c r="E230" s="133" t="str">
        <f>IFERROR(__xludf.DUMMYFUNCTION("""COMPUTED_VALUE"""),"تمت طباعة الشهادة")</f>
        <v>تمت طباعة الشهادة</v>
      </c>
      <c r="F230" s="133" t="str">
        <f>IFERROR(__xludf.DUMMYFUNCTION("""COMPUTED_VALUE"""),"Tuna whole meat with beef and rice in jelly (50*6) 300g")</f>
        <v>Tuna whole meat with beef and rice in jelly (50*6) 300g</v>
      </c>
      <c r="G230" s="133" t="str">
        <f>IFERROR(__xludf.DUMMYFUNCTION("""COMPUTED_VALUE"""),"لحم التونا مع اللحم البقري و الأرز بالجيلي (50*6) 300 جرام")</f>
        <v>لحم التونا مع اللحم البقري و الأرز بالجيلي (50*6) 300 جرام</v>
      </c>
      <c r="H230" s="133" t="str">
        <f>IFERROR(__xludf.DUMMYFUNCTION("""COMPUTED_VALUE"""),"MAFE20201757")</f>
        <v>MAFE20201757</v>
      </c>
      <c r="I230" s="133"/>
      <c r="J230" s="133"/>
      <c r="K230" s="133" t="str">
        <f>IFERROR(__xludf.DUMMYFUNCTION("""COMPUTED_VALUE"""),"ساوث ايست الاسيوية للتغليف والتعليب المحدودة")</f>
        <v>ساوث ايست الاسيوية للتغليف والتعليب المحدودة</v>
      </c>
      <c r="L230" s="142" t="str">
        <f>IFERROR(__xludf.DUMMYFUNCTION("""COMPUTED_VALUE"""),"C106")</f>
        <v>C106</v>
      </c>
      <c r="M230" s="133"/>
      <c r="N230" s="133"/>
      <c r="O230" s="133"/>
      <c r="P230" s="133"/>
      <c r="Q230" s="133"/>
      <c r="R230" s="133"/>
      <c r="S230" s="133"/>
      <c r="T230" s="133"/>
      <c r="U230" s="133"/>
      <c r="V230" s="133"/>
      <c r="W230" s="133"/>
      <c r="X230" s="133"/>
      <c r="Y230" s="133"/>
      <c r="Z230" s="133"/>
    </row>
    <row r="231">
      <c r="A231" s="133">
        <f>IFERROR(__xludf.DUMMYFUNCTION("""COMPUTED_VALUE"""),230.0)</f>
        <v>230</v>
      </c>
      <c r="B231" s="133" t="str">
        <f>IFERROR(__xludf.DUMMYFUNCTION("""COMPUTED_VALUE"""),"C112")</f>
        <v>C112</v>
      </c>
      <c r="C231" s="133" t="str">
        <f>IFERROR(__xludf.DUMMYFUNCTION("""COMPUTED_VALUE"""),"P-1-N-131020-3504")</f>
        <v>P-1-N-131020-3504</v>
      </c>
      <c r="D231" s="133"/>
      <c r="E231" s="133" t="str">
        <f>IFERROR(__xludf.DUMMYFUNCTION("""COMPUTED_VALUE"""),"تمت طباعة الشهادة")</f>
        <v>تمت طباعة الشهادة</v>
      </c>
      <c r="F231" s="133" t="str">
        <f>IFERROR(__xludf.DUMMYFUNCTION("""COMPUTED_VALUE"""),"Chicken flake with rice (6*50) 300g")</f>
        <v>Chicken flake with rice (6*50) 300g</v>
      </c>
      <c r="G231" s="133" t="str">
        <f>IFERROR(__xludf.DUMMYFUNCTION("""COMPUTED_VALUE"""),"شرائح الدجاج مع الأرز (50*6) 300 جرام")</f>
        <v>شرائح الدجاج مع الأرز (50*6) 300 جرام</v>
      </c>
      <c r="H231" s="133" t="str">
        <f>IFERROR(__xludf.DUMMYFUNCTION("""COMPUTED_VALUE"""),"MAFE20201756")</f>
        <v>MAFE20201756</v>
      </c>
      <c r="I231" s="133"/>
      <c r="J231" s="133"/>
      <c r="K231" s="133" t="str">
        <f>IFERROR(__xludf.DUMMYFUNCTION("""COMPUTED_VALUE"""),"ساوث ايست الاسيوية للتغليف والتعليب المحدودة")</f>
        <v>ساوث ايست الاسيوية للتغليف والتعليب المحدودة</v>
      </c>
      <c r="L231" s="142" t="str">
        <f>IFERROR(__xludf.DUMMYFUNCTION("""COMPUTED_VALUE"""),"C112")</f>
        <v>C112</v>
      </c>
      <c r="M231" s="133"/>
      <c r="N231" s="133"/>
      <c r="O231" s="133"/>
      <c r="P231" s="133"/>
      <c r="Q231" s="133"/>
      <c r="R231" s="133"/>
      <c r="S231" s="133"/>
      <c r="T231" s="133"/>
      <c r="U231" s="133"/>
      <c r="V231" s="133"/>
      <c r="W231" s="133"/>
      <c r="X231" s="133"/>
      <c r="Y231" s="133"/>
      <c r="Z231" s="133"/>
    </row>
    <row r="232">
      <c r="A232" s="133">
        <f>IFERROR(__xludf.DUMMYFUNCTION("""COMPUTED_VALUE"""),231.0)</f>
        <v>231</v>
      </c>
      <c r="B232" s="133" t="str">
        <f>IFERROR(__xludf.DUMMYFUNCTION("""COMPUTED_VALUE"""),"C115")</f>
        <v>C115</v>
      </c>
      <c r="C232" s="133" t="str">
        <f>IFERROR(__xludf.DUMMYFUNCTION("""COMPUTED_VALUE"""),"P-1-N-131020-3505")</f>
        <v>P-1-N-131020-3505</v>
      </c>
      <c r="D232" s="133"/>
      <c r="E232" s="133" t="str">
        <f>IFERROR(__xludf.DUMMYFUNCTION("""COMPUTED_VALUE"""),"تمت طباعة الشهادة")</f>
        <v>تمت طباعة الشهادة</v>
      </c>
      <c r="F232" s="133" t="str">
        <f>IFERROR(__xludf.DUMMYFUNCTION("""COMPUTED_VALUE"""),"Tuna whole meat with seabass and rice in jelly (6*50) 300g")</f>
        <v>Tuna whole meat with seabass and rice in jelly (6*50) 300g</v>
      </c>
      <c r="G232" s="133" t="str">
        <f>IFERROR(__xludf.DUMMYFUNCTION("""COMPUTED_VALUE"""),"لحم التونا مع سمك القاروص و الأرز بالجلي (6*50) 300 جرام")</f>
        <v>لحم التونا مع سمك القاروص و الأرز بالجلي (6*50) 300 جرام</v>
      </c>
      <c r="H232" s="133" t="str">
        <f>IFERROR(__xludf.DUMMYFUNCTION("""COMPUTED_VALUE"""),"MAFE20201754")</f>
        <v>MAFE20201754</v>
      </c>
      <c r="I232" s="133"/>
      <c r="J232" s="133"/>
      <c r="K232" s="133" t="str">
        <f>IFERROR(__xludf.DUMMYFUNCTION("""COMPUTED_VALUE"""),"ساوث ايست الاسيوية للتغليف والتعليب المحدودة")</f>
        <v>ساوث ايست الاسيوية للتغليف والتعليب المحدودة</v>
      </c>
      <c r="L232" s="142" t="str">
        <f>IFERROR(__xludf.DUMMYFUNCTION("""COMPUTED_VALUE"""),"C115")</f>
        <v>C115</v>
      </c>
      <c r="M232" s="133"/>
      <c r="N232" s="133"/>
      <c r="O232" s="133"/>
      <c r="P232" s="133"/>
      <c r="Q232" s="133"/>
      <c r="R232" s="133"/>
      <c r="S232" s="133"/>
      <c r="T232" s="133"/>
      <c r="U232" s="133"/>
      <c r="V232" s="133"/>
      <c r="W232" s="133"/>
      <c r="X232" s="133"/>
      <c r="Y232" s="133"/>
      <c r="Z232" s="133"/>
    </row>
    <row r="233">
      <c r="A233" s="133">
        <f>IFERROR(__xludf.DUMMYFUNCTION("""COMPUTED_VALUE"""),232.0)</f>
        <v>232</v>
      </c>
      <c r="B233" s="133" t="str">
        <f>IFERROR(__xludf.DUMMYFUNCTION("""COMPUTED_VALUE"""),"C118")</f>
        <v>C118</v>
      </c>
      <c r="C233" s="133" t="str">
        <f>IFERROR(__xludf.DUMMYFUNCTION("""COMPUTED_VALUE"""),"P-1-N-131020-3506")</f>
        <v>P-1-N-131020-3506</v>
      </c>
      <c r="D233" s="133"/>
      <c r="E233" s="133" t="str">
        <f>IFERROR(__xludf.DUMMYFUNCTION("""COMPUTED_VALUE"""),"تمت طباعة الشهادة")</f>
        <v>تمت طباعة الشهادة</v>
      </c>
      <c r="F233" s="133" t="str">
        <f>IFERROR(__xludf.DUMMYFUNCTION("""COMPUTED_VALUE"""),"Tuna white meat and rice in solution (6*50) 300g")</f>
        <v>Tuna white meat and rice in solution (6*50) 300g</v>
      </c>
      <c r="G233" s="133" t="str">
        <f>IFERROR(__xludf.DUMMYFUNCTION("""COMPUTED_VALUE"""),"خليط لحم التونا مع الأرز (6*50) 300 جرام")</f>
        <v>خليط لحم التونا مع الأرز (6*50) 300 جرام</v>
      </c>
      <c r="H233" s="133" t="str">
        <f>IFERROR(__xludf.DUMMYFUNCTION("""COMPUTED_VALUE"""),"MAFE20201753")</f>
        <v>MAFE20201753</v>
      </c>
      <c r="I233" s="133"/>
      <c r="J233" s="133"/>
      <c r="K233" s="133" t="str">
        <f>IFERROR(__xludf.DUMMYFUNCTION("""COMPUTED_VALUE"""),"ساوث ايست الاسيوية للتغليف والتعليب المحدودة")</f>
        <v>ساوث ايست الاسيوية للتغليف والتعليب المحدودة</v>
      </c>
      <c r="L233" s="142" t="str">
        <f>IFERROR(__xludf.DUMMYFUNCTION("""COMPUTED_VALUE"""),"C118")</f>
        <v>C118</v>
      </c>
      <c r="M233" s="133"/>
      <c r="N233" s="133"/>
      <c r="O233" s="133"/>
      <c r="P233" s="133"/>
      <c r="Q233" s="133"/>
      <c r="R233" s="133"/>
      <c r="S233" s="133"/>
      <c r="T233" s="133"/>
      <c r="U233" s="133"/>
      <c r="V233" s="133"/>
      <c r="W233" s="133"/>
      <c r="X233" s="133"/>
      <c r="Y233" s="133"/>
      <c r="Z233" s="133"/>
    </row>
    <row r="234">
      <c r="A234" s="133">
        <f>IFERROR(__xludf.DUMMYFUNCTION("""COMPUTED_VALUE"""),233.0)</f>
        <v>233</v>
      </c>
      <c r="B234" s="133" t="str">
        <f>IFERROR(__xludf.DUMMYFUNCTION("""COMPUTED_VALUE"""),"C121")</f>
        <v>C121</v>
      </c>
      <c r="C234" s="133" t="str">
        <f>IFERROR(__xludf.DUMMYFUNCTION("""COMPUTED_VALUE"""),"P-1-N-131020-3507")</f>
        <v>P-1-N-131020-3507</v>
      </c>
      <c r="D234" s="133"/>
      <c r="E234" s="133" t="str">
        <f>IFERROR(__xludf.DUMMYFUNCTION("""COMPUTED_VALUE"""),"تمت طباعة الشهادة")</f>
        <v>تمت طباعة الشهادة</v>
      </c>
      <c r="F234" s="133" t="str">
        <f>IFERROR(__xludf.DUMMYFUNCTION("""COMPUTED_VALUE"""),"Chicken and rice with duck in solution (6*50) 300g")</f>
        <v>Chicken and rice with duck in solution (6*50) 300g</v>
      </c>
      <c r="G234" s="133" t="str">
        <f>IFERROR(__xludf.DUMMYFUNCTION("""COMPUTED_VALUE"""),"خليط الدجاج و الأرز مع البط (6*50) 300 جرام")</f>
        <v>خليط الدجاج و الأرز مع البط (6*50) 300 جرام</v>
      </c>
      <c r="H234" s="133" t="str">
        <f>IFERROR(__xludf.DUMMYFUNCTION("""COMPUTED_VALUE"""),"MAFE20201752")</f>
        <v>MAFE20201752</v>
      </c>
      <c r="I234" s="133"/>
      <c r="J234" s="133"/>
      <c r="K234" s="133" t="str">
        <f>IFERROR(__xludf.DUMMYFUNCTION("""COMPUTED_VALUE"""),"ساوث ايست الاسيوية للتغليف والتعليب المحدودة")</f>
        <v>ساوث ايست الاسيوية للتغليف والتعليب المحدودة</v>
      </c>
      <c r="L234" s="142" t="str">
        <f>IFERROR(__xludf.DUMMYFUNCTION("""COMPUTED_VALUE"""),"C121")</f>
        <v>C121</v>
      </c>
      <c r="M234" s="133"/>
      <c r="N234" s="133"/>
      <c r="O234" s="133"/>
      <c r="P234" s="133"/>
      <c r="Q234" s="133"/>
      <c r="R234" s="133"/>
      <c r="S234" s="133"/>
      <c r="T234" s="133"/>
      <c r="U234" s="133"/>
      <c r="V234" s="133"/>
      <c r="W234" s="133"/>
      <c r="X234" s="133"/>
      <c r="Y234" s="133"/>
      <c r="Z234" s="133"/>
    </row>
    <row r="235">
      <c r="A235" s="133">
        <f>IFERROR(__xludf.DUMMYFUNCTION("""COMPUTED_VALUE"""),234.0)</f>
        <v>234</v>
      </c>
      <c r="B235" s="133" t="str">
        <f>IFERROR(__xludf.DUMMYFUNCTION("""COMPUTED_VALUE"""),"C124")</f>
        <v>C124</v>
      </c>
      <c r="C235" s="133" t="str">
        <f>IFERROR(__xludf.DUMMYFUNCTION("""COMPUTED_VALUE"""),"P-1-N-131020-3508")</f>
        <v>P-1-N-131020-3508</v>
      </c>
      <c r="D235" s="133"/>
      <c r="E235" s="133" t="str">
        <f>IFERROR(__xludf.DUMMYFUNCTION("""COMPUTED_VALUE"""),"تمت طباعة الشهادة")</f>
        <v>تمت طباعة الشهادة</v>
      </c>
      <c r="F235" s="133" t="str">
        <f>IFERROR(__xludf.DUMMYFUNCTION("""COMPUTED_VALUE"""),"Chicken and rice with pumpkin in solution (6*50) 300g")</f>
        <v>Chicken and rice with pumpkin in solution (6*50) 300g</v>
      </c>
      <c r="G235" s="133" t="str">
        <f>IFERROR(__xludf.DUMMYFUNCTION("""COMPUTED_VALUE"""),"خليط الدجاج و الأرز مع القرع (6*50) 300 جرام")</f>
        <v>خليط الدجاج و الأرز مع القرع (6*50) 300 جرام</v>
      </c>
      <c r="H235" s="133" t="str">
        <f>IFERROR(__xludf.DUMMYFUNCTION("""COMPUTED_VALUE"""),"MAFE20201751")</f>
        <v>MAFE20201751</v>
      </c>
      <c r="I235" s="133"/>
      <c r="J235" s="133"/>
      <c r="K235" s="133" t="str">
        <f>IFERROR(__xludf.DUMMYFUNCTION("""COMPUTED_VALUE"""),"ساوث ايست الاسيوية للتغليف والتعليب المحدودة")</f>
        <v>ساوث ايست الاسيوية للتغليف والتعليب المحدودة</v>
      </c>
      <c r="L235" s="142" t="str">
        <f>IFERROR(__xludf.DUMMYFUNCTION("""COMPUTED_VALUE"""),"C124")</f>
        <v>C124</v>
      </c>
      <c r="M235" s="133"/>
      <c r="N235" s="133"/>
      <c r="O235" s="133"/>
      <c r="P235" s="133"/>
      <c r="Q235" s="133"/>
      <c r="R235" s="133"/>
      <c r="S235" s="133"/>
      <c r="T235" s="133"/>
      <c r="U235" s="133"/>
      <c r="V235" s="133"/>
      <c r="W235" s="133"/>
      <c r="X235" s="133"/>
      <c r="Y235" s="133"/>
      <c r="Z235" s="133"/>
    </row>
    <row r="236">
      <c r="A236" s="133">
        <f>IFERROR(__xludf.DUMMYFUNCTION("""COMPUTED_VALUE"""),235.0)</f>
        <v>235</v>
      </c>
      <c r="B236" s="133" t="str">
        <f>IFERROR(__xludf.DUMMYFUNCTION("""COMPUTED_VALUE"""),"C125")</f>
        <v>C125</v>
      </c>
      <c r="C236" s="133" t="str">
        <f>IFERROR(__xludf.DUMMYFUNCTION("""COMPUTED_VALUE"""),"P-1-N-131020-3509")</f>
        <v>P-1-N-131020-3509</v>
      </c>
      <c r="D236" s="133"/>
      <c r="E236" s="133" t="str">
        <f>IFERROR(__xludf.DUMMYFUNCTION("""COMPUTED_VALUE"""),"تمت طباعة الشهادة")</f>
        <v>تمت طباعة الشهادة</v>
      </c>
      <c r="F236" s="133" t="str">
        <f>IFERROR(__xludf.DUMMYFUNCTION("""COMPUTED_VALUE"""),"Tuna whole meat with salmon and rice in soft jelly (6*50) 300g")</f>
        <v>Tuna whole meat with salmon and rice in soft jelly (6*50) 300g</v>
      </c>
      <c r="G236" s="133" t="str">
        <f>IFERROR(__xludf.DUMMYFUNCTION("""COMPUTED_VALUE"""),"لحم التونا مع السالمون و الأرز بالجيلي الطري (6*50) 300 جرام")</f>
        <v>لحم التونا مع السالمون و الأرز بالجيلي الطري (6*50) 300 جرام</v>
      </c>
      <c r="H236" s="133" t="str">
        <f>IFERROR(__xludf.DUMMYFUNCTION("""COMPUTED_VALUE"""),"MAFE20201750")</f>
        <v>MAFE20201750</v>
      </c>
      <c r="I236" s="133"/>
      <c r="J236" s="133"/>
      <c r="K236" s="133" t="str">
        <f>IFERROR(__xludf.DUMMYFUNCTION("""COMPUTED_VALUE"""),"ساوث ايست الاسيوية للتغليف والتعليب المحدودة")</f>
        <v>ساوث ايست الاسيوية للتغليف والتعليب المحدودة</v>
      </c>
      <c r="L236" s="142" t="str">
        <f>IFERROR(__xludf.DUMMYFUNCTION("""COMPUTED_VALUE"""),"C125")</f>
        <v>C125</v>
      </c>
      <c r="M236" s="133"/>
      <c r="N236" s="133"/>
      <c r="O236" s="133"/>
      <c r="P236" s="133"/>
      <c r="Q236" s="133"/>
      <c r="R236" s="133"/>
      <c r="S236" s="133"/>
      <c r="T236" s="133"/>
      <c r="U236" s="133"/>
      <c r="V236" s="133"/>
      <c r="W236" s="133"/>
      <c r="X236" s="133"/>
      <c r="Y236" s="133"/>
      <c r="Z236" s="133"/>
    </row>
    <row r="237">
      <c r="A237" s="133">
        <f>IFERROR(__xludf.DUMMYFUNCTION("""COMPUTED_VALUE"""),236.0)</f>
        <v>236</v>
      </c>
      <c r="B237" s="133" t="str">
        <f>IFERROR(__xludf.DUMMYFUNCTION("""COMPUTED_VALUE"""),"C126")</f>
        <v>C126</v>
      </c>
      <c r="C237" s="133" t="str">
        <f>IFERROR(__xludf.DUMMYFUNCTION("""COMPUTED_VALUE"""),"P-1-N-131020-3510")</f>
        <v>P-1-N-131020-3510</v>
      </c>
      <c r="D237" s="133"/>
      <c r="E237" s="133" t="str">
        <f>IFERROR(__xludf.DUMMYFUNCTION("""COMPUTED_VALUE"""),"تمت طباعة الشهادة")</f>
        <v>تمت طباعة الشهادة</v>
      </c>
      <c r="F237" s="133" t="str">
        <f>IFERROR(__xludf.DUMMYFUNCTION("""COMPUTED_VALUE"""),"Tuna whole meat with seabream and rice in soft jelly (6*50) 300g")</f>
        <v>Tuna whole meat with seabream and rice in soft jelly (6*50) 300g</v>
      </c>
      <c r="G237" s="133" t="str">
        <f>IFERROR(__xludf.DUMMYFUNCTION("""COMPUTED_VALUE"""),"لحم التونا مع سمك القاروص م الأرز بالجيلي الطري (6*50) 300 جرام")</f>
        <v>لحم التونا مع سمك القاروص م الأرز بالجيلي الطري (6*50) 300 جرام</v>
      </c>
      <c r="H237" s="133" t="str">
        <f>IFERROR(__xludf.DUMMYFUNCTION("""COMPUTED_VALUE"""),"MAFE20201749")</f>
        <v>MAFE20201749</v>
      </c>
      <c r="I237" s="133"/>
      <c r="J237" s="133"/>
      <c r="K237" s="133" t="str">
        <f>IFERROR(__xludf.DUMMYFUNCTION("""COMPUTED_VALUE"""),"ساوث")</f>
        <v>ساوث</v>
      </c>
      <c r="L237" s="142" t="str">
        <f>IFERROR(__xludf.DUMMYFUNCTION("""COMPUTED_VALUE"""),"C126")</f>
        <v>C126</v>
      </c>
      <c r="M237" s="133"/>
      <c r="N237" s="133"/>
      <c r="O237" s="133"/>
      <c r="P237" s="133"/>
      <c r="Q237" s="133"/>
      <c r="R237" s="133"/>
      <c r="S237" s="133"/>
      <c r="T237" s="133"/>
      <c r="U237" s="133"/>
      <c r="V237" s="133"/>
      <c r="W237" s="133"/>
      <c r="X237" s="133"/>
      <c r="Y237" s="133"/>
      <c r="Z237" s="133"/>
    </row>
    <row r="238">
      <c r="A238" s="133">
        <f>IFERROR(__xludf.DUMMYFUNCTION("""COMPUTED_VALUE"""),237.0)</f>
        <v>237</v>
      </c>
      <c r="B238" s="133" t="str">
        <f>IFERROR(__xludf.DUMMYFUNCTION("""COMPUTED_VALUE"""),"C127")</f>
        <v>C127</v>
      </c>
      <c r="C238" s="133" t="str">
        <f>IFERROR(__xludf.DUMMYFUNCTION("""COMPUTED_VALUE"""),"P-1-N-131020-3512")</f>
        <v>P-1-N-131020-3512</v>
      </c>
      <c r="D238" s="133"/>
      <c r="E238" s="133" t="str">
        <f>IFERROR(__xludf.DUMMYFUNCTION("""COMPUTED_VALUE"""),"REJECTED")</f>
        <v>REJECTED</v>
      </c>
      <c r="F238" s="133" t="str">
        <f>IFERROR(__xludf.DUMMYFUNCTION("""COMPUTED_VALUE"""),"Tuna whole meat, chicken, rice in soft jelly (6*50) 300g")</f>
        <v>Tuna whole meat, chicken, rice in soft jelly (6*50) 300g</v>
      </c>
      <c r="G238" s="133" t="str">
        <f>IFERROR(__xludf.DUMMYFUNCTION("""COMPUTED_VALUE"""),"لحم التونا و الدجاج و الأرز بالجيلي الطري (6*50) 300 جرام")</f>
        <v>لحم التونا و الدجاج و الأرز بالجيلي الطري (6*50) 300 جرام</v>
      </c>
      <c r="H238" s="133"/>
      <c r="I238" s="133"/>
      <c r="J238" s="133"/>
      <c r="K238" s="133" t="str">
        <f>IFERROR(__xludf.DUMMYFUNCTION("""COMPUTED_VALUE"""),"ساوث ايست الاسيوية للتغليف والتعليب المحدودة")</f>
        <v>ساوث ايست الاسيوية للتغليف والتعليب المحدودة</v>
      </c>
      <c r="L238" s="142" t="str">
        <f>IFERROR(__xludf.DUMMYFUNCTION("""COMPUTED_VALUE"""),"C127")</f>
        <v>C127</v>
      </c>
      <c r="M238" s="133"/>
      <c r="N238" s="133"/>
      <c r="O238" s="133"/>
      <c r="P238" s="133"/>
      <c r="Q238" s="133"/>
      <c r="R238" s="133"/>
      <c r="S238" s="133"/>
      <c r="T238" s="133"/>
      <c r="U238" s="133"/>
      <c r="V238" s="133"/>
      <c r="W238" s="133"/>
      <c r="X238" s="133"/>
      <c r="Y238" s="133"/>
      <c r="Z238" s="133"/>
    </row>
    <row r="239">
      <c r="A239" s="133">
        <f>IFERROR(__xludf.DUMMYFUNCTION("""COMPUTED_VALUE"""),238.0)</f>
        <v>238</v>
      </c>
      <c r="B239" s="133" t="str">
        <f>IFERROR(__xludf.DUMMYFUNCTION("""COMPUTED_VALUE"""),"C128")</f>
        <v>C128</v>
      </c>
      <c r="C239" s="133" t="str">
        <f>IFERROR(__xludf.DUMMYFUNCTION("""COMPUTED_VALUE"""),"P-1-N-131020-3513")</f>
        <v>P-1-N-131020-3513</v>
      </c>
      <c r="D239" s="133"/>
      <c r="E239" s="133" t="str">
        <f>IFERROR(__xludf.DUMMYFUNCTION("""COMPUTED_VALUE"""),"REJECTED")</f>
        <v>REJECTED</v>
      </c>
      <c r="F239" s="133" t="str">
        <f>IFERROR(__xludf.DUMMYFUNCTION("""COMPUTED_VALUE"""),"Tuna whole meat, papaya, rice in soft jelly (6*50) 300g")</f>
        <v>Tuna whole meat, papaya, rice in soft jelly (6*50) 300g</v>
      </c>
      <c r="G239" s="133" t="str">
        <f>IFERROR(__xludf.DUMMYFUNCTION("""COMPUTED_VALUE"""),"لحم")</f>
        <v>لحم</v>
      </c>
      <c r="H239" s="133"/>
      <c r="I239" s="133"/>
      <c r="J239" s="133"/>
      <c r="K239" s="133" t="str">
        <f>IFERROR(__xludf.DUMMYFUNCTION("""COMPUTED_VALUE"""),"ساوث ايست الاسيوية للتغليف والتعليب المحدودة")</f>
        <v>ساوث ايست الاسيوية للتغليف والتعليب المحدودة</v>
      </c>
      <c r="L239" s="142" t="str">
        <f>IFERROR(__xludf.DUMMYFUNCTION("""COMPUTED_VALUE"""),"C128")</f>
        <v>C128</v>
      </c>
      <c r="M239" s="133"/>
      <c r="N239" s="133"/>
      <c r="O239" s="133"/>
      <c r="P239" s="133"/>
      <c r="Q239" s="133"/>
      <c r="R239" s="133"/>
      <c r="S239" s="133"/>
      <c r="T239" s="133"/>
      <c r="U239" s="133"/>
      <c r="V239" s="133"/>
      <c r="W239" s="133"/>
      <c r="X239" s="133"/>
      <c r="Y239" s="133"/>
      <c r="Z239" s="133"/>
    </row>
    <row r="240">
      <c r="A240" s="133">
        <f>IFERROR(__xludf.DUMMYFUNCTION("""COMPUTED_VALUE"""),239.0)</f>
        <v>239</v>
      </c>
      <c r="B240" s="133" t="str">
        <f>IFERROR(__xludf.DUMMYFUNCTION("""COMPUTED_VALUE"""),"c135")</f>
        <v>c135</v>
      </c>
      <c r="C240" s="133" t="str">
        <f>IFERROR(__xludf.DUMMYFUNCTION("""COMPUTED_VALUE"""),"P-1-N-131020-3514")</f>
        <v>P-1-N-131020-3514</v>
      </c>
      <c r="D240" s="133"/>
      <c r="E240" s="133" t="str">
        <f>IFERROR(__xludf.DUMMYFUNCTION("""COMPUTED_VALUE"""),"تمت طباعة الشهادة")</f>
        <v>تمت طباعة الشهادة</v>
      </c>
      <c r="F240" s="133" t="str">
        <f>IFERROR(__xludf.DUMMYFUNCTION("""COMPUTED_VALUE"""),"Tuna whole meat with rice in jelly 85g")</f>
        <v>Tuna whole meat with rice in jelly 85g</v>
      </c>
      <c r="G240" s="133" t="str">
        <f>IFERROR(__xludf.DUMMYFUNCTION("""COMPUTED_VALUE"""),"تونا مع الأرز بالجيلي 85 جرام")</f>
        <v>تونا مع الأرز بالجيلي 85 جرام</v>
      </c>
      <c r="H240" s="133" t="str">
        <f>IFERROR(__xludf.DUMMYFUNCTION("""COMPUTED_VALUE"""),"MAFE20201784")</f>
        <v>MAFE20201784</v>
      </c>
      <c r="I240" s="133"/>
      <c r="J240" s="133"/>
      <c r="K240" s="133" t="str">
        <f>IFERROR(__xludf.DUMMYFUNCTION("""COMPUTED_VALUE"""),"ساوث ايست الاسيوية للتغليف والتعليب المحدودة")</f>
        <v>ساوث ايست الاسيوية للتغليف والتعليب المحدودة</v>
      </c>
      <c r="L240" s="142" t="str">
        <f>IFERROR(__xludf.DUMMYFUNCTION("""COMPUTED_VALUE"""),"c135")</f>
        <v>c135</v>
      </c>
      <c r="M240" s="133"/>
      <c r="N240" s="133"/>
      <c r="O240" s="133"/>
      <c r="P240" s="133"/>
      <c r="Q240" s="133"/>
      <c r="R240" s="133"/>
      <c r="S240" s="133"/>
      <c r="T240" s="133"/>
      <c r="U240" s="133"/>
      <c r="V240" s="133"/>
      <c r="W240" s="133"/>
      <c r="X240" s="133"/>
      <c r="Y240" s="133"/>
      <c r="Z240" s="133"/>
    </row>
    <row r="241">
      <c r="A241" s="133">
        <f>IFERROR(__xludf.DUMMYFUNCTION("""COMPUTED_VALUE"""),240.0)</f>
        <v>240</v>
      </c>
      <c r="B241" s="133" t="str">
        <f>IFERROR(__xludf.DUMMYFUNCTION("""COMPUTED_VALUE"""),"C136")</f>
        <v>C136</v>
      </c>
      <c r="C241" s="133" t="str">
        <f>IFERROR(__xludf.DUMMYFUNCTION("""COMPUTED_VALUE"""),"P-1-N-131020-3515")</f>
        <v>P-1-N-131020-3515</v>
      </c>
      <c r="D241" s="133"/>
      <c r="E241" s="133" t="str">
        <f>IFERROR(__xludf.DUMMYFUNCTION("""COMPUTED_VALUE"""),"تمت طباعة الشهادة")</f>
        <v>تمت طباعة الشهادة</v>
      </c>
      <c r="F241" s="133" t="str">
        <f>IFERROR(__xludf.DUMMYFUNCTION("""COMPUTED_VALUE"""),"Tuna whole meat with surimi and rice in jelly 85g")</f>
        <v>Tuna whole meat with surimi and rice in jelly 85g</v>
      </c>
      <c r="G241" s="133" t="str">
        <f>IFERROR(__xludf.DUMMYFUNCTION("""COMPUTED_VALUE"""),"تونا مع السوريمي و الأرز بالجيلي 85 جرام")</f>
        <v>تونا مع السوريمي و الأرز بالجيلي 85 جرام</v>
      </c>
      <c r="H241" s="133" t="str">
        <f>IFERROR(__xludf.DUMMYFUNCTION("""COMPUTED_VALUE"""),"MAFE20201783")</f>
        <v>MAFE20201783</v>
      </c>
      <c r="I241" s="133"/>
      <c r="J241" s="133"/>
      <c r="K241" s="133" t="str">
        <f>IFERROR(__xludf.DUMMYFUNCTION("""COMPUTED_VALUE"""),"ساوث ايست الاسيوية للتغليف والتعليب المحدودة")</f>
        <v>ساوث ايست الاسيوية للتغليف والتعليب المحدودة</v>
      </c>
      <c r="L241" s="142" t="str">
        <f>IFERROR(__xludf.DUMMYFUNCTION("""COMPUTED_VALUE"""),"C136")</f>
        <v>C136</v>
      </c>
      <c r="M241" s="133"/>
      <c r="N241" s="133"/>
      <c r="O241" s="133"/>
      <c r="P241" s="133"/>
      <c r="Q241" s="133"/>
      <c r="R241" s="133"/>
      <c r="S241" s="133"/>
      <c r="T241" s="133"/>
      <c r="U241" s="133"/>
      <c r="V241" s="133"/>
      <c r="W241" s="133"/>
      <c r="X241" s="133"/>
      <c r="Y241" s="133"/>
      <c r="Z241" s="133"/>
    </row>
    <row r="242">
      <c r="A242" s="133">
        <f>IFERROR(__xludf.DUMMYFUNCTION("""COMPUTED_VALUE"""),241.0)</f>
        <v>241</v>
      </c>
      <c r="B242" s="133" t="str">
        <f>IFERROR(__xludf.DUMMYFUNCTION("""COMPUTED_VALUE"""),"C137")</f>
        <v>C137</v>
      </c>
      <c r="C242" s="133" t="str">
        <f>IFERROR(__xludf.DUMMYFUNCTION("""COMPUTED_VALUE"""),"P-1-N-131020-3516")</f>
        <v>P-1-N-131020-3516</v>
      </c>
      <c r="D242" s="133"/>
      <c r="E242" s="133" t="str">
        <f>IFERROR(__xludf.DUMMYFUNCTION("""COMPUTED_VALUE"""),"تمت طباعة الشهادة")</f>
        <v>تمت طباعة الشهادة</v>
      </c>
      <c r="F242" s="133" t="str">
        <f>IFERROR(__xludf.DUMMYFUNCTION("""COMPUTED_VALUE"""),"Tuna with chicken 85g")</f>
        <v>Tuna with chicken 85g</v>
      </c>
      <c r="G242" s="133" t="str">
        <f>IFERROR(__xludf.DUMMYFUNCTION("""COMPUTED_VALUE"""),"تونا مع الدجاج 85 جرام")</f>
        <v>تونا مع الدجاج 85 جرام</v>
      </c>
      <c r="H242" s="133" t="str">
        <f>IFERROR(__xludf.DUMMYFUNCTION("""COMPUTED_VALUE"""),"MAFE20201782")</f>
        <v>MAFE20201782</v>
      </c>
      <c r="I242" s="133"/>
      <c r="J242" s="133"/>
      <c r="K242" s="133" t="str">
        <f>IFERROR(__xludf.DUMMYFUNCTION("""COMPUTED_VALUE"""),"ساوث ايست الاسيوية للتغليف والتعليب المحدودة")</f>
        <v>ساوث ايست الاسيوية للتغليف والتعليب المحدودة</v>
      </c>
      <c r="L242" s="142" t="str">
        <f>IFERROR(__xludf.DUMMYFUNCTION("""COMPUTED_VALUE"""),"C137")</f>
        <v>C137</v>
      </c>
      <c r="M242" s="133"/>
      <c r="N242" s="133"/>
      <c r="O242" s="133"/>
      <c r="P242" s="133"/>
      <c r="Q242" s="133"/>
      <c r="R242" s="133"/>
      <c r="S242" s="133"/>
      <c r="T242" s="133"/>
      <c r="U242" s="133"/>
      <c r="V242" s="133"/>
      <c r="W242" s="133"/>
      <c r="X242" s="133"/>
      <c r="Y242" s="133"/>
      <c r="Z242" s="133"/>
    </row>
    <row r="243">
      <c r="A243" s="133">
        <f>IFERROR(__xludf.DUMMYFUNCTION("""COMPUTED_VALUE"""),242.0)</f>
        <v>242</v>
      </c>
      <c r="B243" s="133" t="str">
        <f>IFERROR(__xludf.DUMMYFUNCTION("""COMPUTED_VALUE"""),"c138")</f>
        <v>c138</v>
      </c>
      <c r="C243" s="133" t="str">
        <f>IFERROR(__xludf.DUMMYFUNCTION("""COMPUTED_VALUE"""),"P-1-N-131020-3517")</f>
        <v>P-1-N-131020-3517</v>
      </c>
      <c r="D243" s="133"/>
      <c r="E243" s="133" t="str">
        <f>IFERROR(__xludf.DUMMYFUNCTION("""COMPUTED_VALUE"""),"تمت طباعة الشهادة")</f>
        <v>تمت طباعة الشهادة</v>
      </c>
      <c r="F243" s="133" t="str">
        <f>IFERROR(__xludf.DUMMYFUNCTION("""COMPUTED_VALUE"""),"Tuna with shrimp 85g")</f>
        <v>Tuna with shrimp 85g</v>
      </c>
      <c r="G243" s="133" t="str">
        <f>IFERROR(__xludf.DUMMYFUNCTION("""COMPUTED_VALUE"""),"تونا مع الجمبري 85 جرام")</f>
        <v>تونا مع الجمبري 85 جرام</v>
      </c>
      <c r="H243" s="133" t="str">
        <f>IFERROR(__xludf.DUMMYFUNCTION("""COMPUTED_VALUE"""),"MAFE20201781")</f>
        <v>MAFE20201781</v>
      </c>
      <c r="I243" s="133"/>
      <c r="J243" s="133"/>
      <c r="K243" s="133" t="str">
        <f>IFERROR(__xludf.DUMMYFUNCTION("""COMPUTED_VALUE"""),"ساوث ايست الاسيوية للتغليف والتعليب المحدودة")</f>
        <v>ساوث ايست الاسيوية للتغليف والتعليب المحدودة</v>
      </c>
      <c r="L243" s="142" t="str">
        <f>IFERROR(__xludf.DUMMYFUNCTION("""COMPUTED_VALUE"""),"c138")</f>
        <v>c138</v>
      </c>
      <c r="M243" s="133"/>
      <c r="N243" s="133"/>
      <c r="O243" s="133"/>
      <c r="P243" s="133"/>
      <c r="Q243" s="133"/>
      <c r="R243" s="133"/>
      <c r="S243" s="133"/>
      <c r="T243" s="133"/>
      <c r="U243" s="133"/>
      <c r="V243" s="133"/>
      <c r="W243" s="133"/>
      <c r="X243" s="133"/>
      <c r="Y243" s="133"/>
      <c r="Z243" s="133"/>
    </row>
    <row r="244">
      <c r="A244" s="133">
        <f>IFERROR(__xludf.DUMMYFUNCTION("""COMPUTED_VALUE"""),243.0)</f>
        <v>243</v>
      </c>
      <c r="B244" s="133" t="str">
        <f>IFERROR(__xludf.DUMMYFUNCTION("""COMPUTED_VALUE"""),"C139")</f>
        <v>C139</v>
      </c>
      <c r="C244" s="133" t="str">
        <f>IFERROR(__xludf.DUMMYFUNCTION("""COMPUTED_VALUE"""),"P-1-N-131020-3518")</f>
        <v>P-1-N-131020-3518</v>
      </c>
      <c r="D244" s="133"/>
      <c r="E244" s="133" t="str">
        <f>IFERROR(__xludf.DUMMYFUNCTION("""COMPUTED_VALUE"""),"تمت طباعة الشهادة")</f>
        <v>تمت طباعة الشهادة</v>
      </c>
      <c r="F244" s="133" t="str">
        <f>IFERROR(__xludf.DUMMYFUNCTION("""COMPUTED_VALUE"""),"Tuna white meat with shirasu and rice 85g")</f>
        <v>Tuna white meat with shirasu and rice 85g</v>
      </c>
      <c r="G244" s="133" t="str">
        <f>IFERROR(__xludf.DUMMYFUNCTION("""COMPUTED_VALUE"""),"لحم التونا الابيض مع الشيراسو و الارز 85 جرام")</f>
        <v>لحم التونا الابيض مع الشيراسو و الارز 85 جرام</v>
      </c>
      <c r="H244" s="133" t="str">
        <f>IFERROR(__xludf.DUMMYFUNCTION("""COMPUTED_VALUE"""),"MAFE20201780")</f>
        <v>MAFE20201780</v>
      </c>
      <c r="I244" s="133"/>
      <c r="J244" s="133"/>
      <c r="K244" s="133" t="str">
        <f>IFERROR(__xludf.DUMMYFUNCTION("""COMPUTED_VALUE"""),"ساوث ايست الاسيوية للتغليف والتعليب المحدودة")</f>
        <v>ساوث ايست الاسيوية للتغليف والتعليب المحدودة</v>
      </c>
      <c r="L244" s="142" t="str">
        <f>IFERROR(__xludf.DUMMYFUNCTION("""COMPUTED_VALUE"""),"C139")</f>
        <v>C139</v>
      </c>
      <c r="M244" s="133"/>
      <c r="N244" s="133"/>
      <c r="O244" s="133"/>
      <c r="P244" s="133"/>
      <c r="Q244" s="133"/>
      <c r="R244" s="133"/>
      <c r="S244" s="133"/>
      <c r="T244" s="133"/>
      <c r="U244" s="133"/>
      <c r="V244" s="133"/>
      <c r="W244" s="133"/>
      <c r="X244" s="133"/>
      <c r="Y244" s="133"/>
      <c r="Z244" s="133"/>
    </row>
    <row r="245">
      <c r="A245" s="133">
        <f>IFERROR(__xludf.DUMMYFUNCTION("""COMPUTED_VALUE"""),244.0)</f>
        <v>244</v>
      </c>
      <c r="B245" s="133" t="str">
        <f>IFERROR(__xludf.DUMMYFUNCTION("""COMPUTED_VALUE"""),"C141")</f>
        <v>C141</v>
      </c>
      <c r="C245" s="133" t="str">
        <f>IFERROR(__xludf.DUMMYFUNCTION("""COMPUTED_VALUE"""),"P-1-N-131020-3519")</f>
        <v>P-1-N-131020-3519</v>
      </c>
      <c r="D245" s="133"/>
      <c r="E245" s="133" t="str">
        <f>IFERROR(__xludf.DUMMYFUNCTION("""COMPUTED_VALUE"""),"تمت طباعة الشهادة")</f>
        <v>تمت طباعة الشهادة</v>
      </c>
      <c r="F245" s="133" t="str">
        <f>IFERROR(__xludf.DUMMYFUNCTION("""COMPUTED_VALUE"""),"Tuna whole meat with beef and rice in gel 85g")</f>
        <v>Tuna whole meat with beef and rice in gel 85g</v>
      </c>
      <c r="G245" s="133" t="str">
        <f>IFERROR(__xludf.DUMMYFUNCTION("""COMPUTED_VALUE"""),"تونا مع اللحم البقري و الارز بالجيلي 85 جرام")</f>
        <v>تونا مع اللحم البقري و الارز بالجيلي 85 جرام</v>
      </c>
      <c r="H245" s="133" t="str">
        <f>IFERROR(__xludf.DUMMYFUNCTION("""COMPUTED_VALUE"""),"MAFE20201779")</f>
        <v>MAFE20201779</v>
      </c>
      <c r="I245" s="133"/>
      <c r="J245" s="133"/>
      <c r="K245" s="133" t="str">
        <f>IFERROR(__xludf.DUMMYFUNCTION("""COMPUTED_VALUE"""),"ساوث ايست الاسيوية للتغليف والتعليب المحدودة")</f>
        <v>ساوث ايست الاسيوية للتغليف والتعليب المحدودة</v>
      </c>
      <c r="L245" s="142" t="str">
        <f>IFERROR(__xludf.DUMMYFUNCTION("""COMPUTED_VALUE"""),"C141")</f>
        <v>C141</v>
      </c>
      <c r="M245" s="133"/>
      <c r="N245" s="133"/>
      <c r="O245" s="133"/>
      <c r="P245" s="133"/>
      <c r="Q245" s="133"/>
      <c r="R245" s="133"/>
      <c r="S245" s="133"/>
      <c r="T245" s="133"/>
      <c r="U245" s="133"/>
      <c r="V245" s="133"/>
      <c r="W245" s="133"/>
      <c r="X245" s="133"/>
      <c r="Y245" s="133"/>
      <c r="Z245" s="133"/>
    </row>
    <row r="246">
      <c r="A246" s="133">
        <f>IFERROR(__xludf.DUMMYFUNCTION("""COMPUTED_VALUE"""),245.0)</f>
        <v>245</v>
      </c>
      <c r="B246" s="133" t="str">
        <f>IFERROR(__xludf.DUMMYFUNCTION("""COMPUTED_VALUE"""),"C142")</f>
        <v>C142</v>
      </c>
      <c r="C246" s="133" t="str">
        <f>IFERROR(__xludf.DUMMYFUNCTION("""COMPUTED_VALUE"""),"P-1-N-131020-3520")</f>
        <v>P-1-N-131020-3520</v>
      </c>
      <c r="D246" s="133"/>
      <c r="E246" s="133" t="str">
        <f>IFERROR(__xludf.DUMMYFUNCTION("""COMPUTED_VALUE"""),"تمت طباعة الشهادة")</f>
        <v>تمت طباعة الشهادة</v>
      </c>
      <c r="F246" s="133" t="str">
        <f>IFERROR(__xludf.DUMMYFUNCTION("""COMPUTED_VALUE"""),"Tuna whole meat with rice and seaweed in gel 85g")</f>
        <v>Tuna whole meat with rice and seaweed in gel 85g</v>
      </c>
      <c r="G246" s="133" t="str">
        <f>IFERROR(__xludf.DUMMYFUNCTION("""COMPUTED_VALUE"""),"تونا مع الارز و الاعشاب البحرية بالجيلي 85 جرام")</f>
        <v>تونا مع الارز و الاعشاب البحرية بالجيلي 85 جرام</v>
      </c>
      <c r="H246" s="133" t="str">
        <f>IFERROR(__xludf.DUMMYFUNCTION("""COMPUTED_VALUE"""),"MAFE20201778")</f>
        <v>MAFE20201778</v>
      </c>
      <c r="I246" s="133"/>
      <c r="J246" s="133"/>
      <c r="K246" s="133" t="str">
        <f>IFERROR(__xludf.DUMMYFUNCTION("""COMPUTED_VALUE"""),"ساوث ايست الاسيوية للتغليف والتعليب المحدودة")</f>
        <v>ساوث ايست الاسيوية للتغليف والتعليب المحدودة</v>
      </c>
      <c r="L246" s="142" t="str">
        <f>IFERROR(__xludf.DUMMYFUNCTION("""COMPUTED_VALUE"""),"C142")</f>
        <v>C142</v>
      </c>
      <c r="M246" s="133"/>
      <c r="N246" s="133"/>
      <c r="O246" s="133"/>
      <c r="P246" s="133"/>
      <c r="Q246" s="133"/>
      <c r="R246" s="133"/>
      <c r="S246" s="133"/>
      <c r="T246" s="133"/>
      <c r="U246" s="133"/>
      <c r="V246" s="133"/>
      <c r="W246" s="133"/>
      <c r="X246" s="133"/>
      <c r="Y246" s="133"/>
      <c r="Z246" s="133"/>
    </row>
    <row r="247">
      <c r="A247" s="133">
        <f>IFERROR(__xludf.DUMMYFUNCTION("""COMPUTED_VALUE"""),246.0)</f>
        <v>246</v>
      </c>
      <c r="B247" s="133" t="str">
        <f>IFERROR(__xludf.DUMMYFUNCTION("""COMPUTED_VALUE"""),"C143")</f>
        <v>C143</v>
      </c>
      <c r="C247" s="133" t="str">
        <f>IFERROR(__xludf.DUMMYFUNCTION("""COMPUTED_VALUE"""),"P-1-N-131020-3521")</f>
        <v>P-1-N-131020-3521</v>
      </c>
      <c r="D247" s="133"/>
      <c r="E247" s="133" t="str">
        <f>IFERROR(__xludf.DUMMYFUNCTION("""COMPUTED_VALUE"""),"تمت طباعة الشهادة")</f>
        <v>تمت طباعة الشهادة</v>
      </c>
      <c r="F247" s="133" t="str">
        <f>IFERROR(__xludf.DUMMYFUNCTION("""COMPUTED_VALUE"""),"Tuna whole meat with aloe and rice in gel 85g")</f>
        <v>Tuna whole meat with aloe and rice in gel 85g</v>
      </c>
      <c r="G247" s="133" t="str">
        <f>IFERROR(__xludf.DUMMYFUNCTION("""COMPUTED_VALUE"""),"تونا مع الصبار والارز بالجيلي 85 جرام")</f>
        <v>تونا مع الصبار والارز بالجيلي 85 جرام</v>
      </c>
      <c r="H247" s="133" t="str">
        <f>IFERROR(__xludf.DUMMYFUNCTION("""COMPUTED_VALUE"""),"MAFE20201777")</f>
        <v>MAFE20201777</v>
      </c>
      <c r="I247" s="133"/>
      <c r="J247" s="133"/>
      <c r="K247" s="133" t="str">
        <f>IFERROR(__xludf.DUMMYFUNCTION("""COMPUTED_VALUE"""),"ساوث")</f>
        <v>ساوث</v>
      </c>
      <c r="L247" s="142" t="str">
        <f>IFERROR(__xludf.DUMMYFUNCTION("""COMPUTED_VALUE"""),"C143")</f>
        <v>C143</v>
      </c>
      <c r="M247" s="133"/>
      <c r="N247" s="133"/>
      <c r="O247" s="133"/>
      <c r="P247" s="133"/>
      <c r="Q247" s="133"/>
      <c r="R247" s="133"/>
      <c r="S247" s="133"/>
      <c r="T247" s="133"/>
      <c r="U247" s="133"/>
      <c r="V247" s="133"/>
      <c r="W247" s="133"/>
      <c r="X247" s="133"/>
      <c r="Y247" s="133"/>
      <c r="Z247" s="133"/>
    </row>
    <row r="248">
      <c r="A248" s="133">
        <f>IFERROR(__xludf.DUMMYFUNCTION("""COMPUTED_VALUE"""),247.0)</f>
        <v>247</v>
      </c>
      <c r="B248" s="133"/>
      <c r="C248" s="133" t="str">
        <f>IFERROR(__xludf.DUMMYFUNCTION("""COMPUTED_VALUE"""),"P-1-N-131020-3522")</f>
        <v>P-1-N-131020-3522</v>
      </c>
      <c r="D248" s="133"/>
      <c r="E248" s="133" t="str">
        <f>IFERROR(__xludf.DUMMYFUNCTION("""COMPUTED_VALUE"""),"تمت طباعة الشهادة")</f>
        <v>تمت طباعة الشهادة</v>
      </c>
      <c r="F248" s="133" t="str">
        <f>IFERROR(__xludf.DUMMYFUNCTION("""COMPUTED_VALUE"""),"Chicken flake with rice in gel 85g")</f>
        <v>Chicken flake with rice in gel 85g</v>
      </c>
      <c r="G248" s="133" t="str">
        <f>IFERROR(__xludf.DUMMYFUNCTION("""COMPUTED_VALUE"""),"شرائح الدجاج مع الارز بالجيلي 85 جرام")</f>
        <v>شرائح الدجاج مع الارز بالجيلي 85 جرام</v>
      </c>
      <c r="H248" s="133" t="str">
        <f>IFERROR(__xludf.DUMMYFUNCTION("""COMPUTED_VALUE"""),"MAFE20201809")</f>
        <v>MAFE20201809</v>
      </c>
      <c r="I248" s="133"/>
      <c r="J248" s="133"/>
      <c r="K248" s="133" t="str">
        <f>IFERROR(__xludf.DUMMYFUNCTION("""COMPUTED_VALUE"""),"ساوث ايست الاسيوية للتغليف والتعليب المحدودة")</f>
        <v>ساوث ايست الاسيوية للتغليف والتعليب المحدودة</v>
      </c>
      <c r="L248" s="133"/>
      <c r="M248" s="133"/>
      <c r="N248" s="133"/>
      <c r="O248" s="133"/>
      <c r="P248" s="133"/>
      <c r="Q248" s="133"/>
      <c r="R248" s="133"/>
      <c r="S248" s="133"/>
      <c r="T248" s="133"/>
      <c r="U248" s="133"/>
      <c r="V248" s="133"/>
      <c r="W248" s="133"/>
      <c r="X248" s="133"/>
      <c r="Y248" s="133"/>
      <c r="Z248" s="133"/>
    </row>
    <row r="249">
      <c r="A249" s="133">
        <f>IFERROR(__xludf.DUMMYFUNCTION("""COMPUTED_VALUE"""),248.0)</f>
        <v>248</v>
      </c>
      <c r="B249" s="133" t="str">
        <f>IFERROR(__xludf.DUMMYFUNCTION("""COMPUTED_VALUE"""),"C161")</f>
        <v>C161</v>
      </c>
      <c r="C249" s="133" t="str">
        <f>IFERROR(__xludf.DUMMYFUNCTION("""COMPUTED_VALUE"""),"P-1-N-131020-3523")</f>
        <v>P-1-N-131020-3523</v>
      </c>
      <c r="D249" s="133"/>
      <c r="E249" s="133" t="str">
        <f>IFERROR(__xludf.DUMMYFUNCTION("""COMPUTED_VALUE"""),"تمت طباعة الشهادة")</f>
        <v>تمت طباعة الشهادة</v>
      </c>
      <c r="F249" s="133" t="str">
        <f>IFERROR(__xludf.DUMMYFUNCTION("""COMPUTED_VALUE"""),"Chicken fillets with surimi 85g")</f>
        <v>Chicken fillets with surimi 85g</v>
      </c>
      <c r="G249" s="133" t="str">
        <f>IFERROR(__xludf.DUMMYFUNCTION("""COMPUTED_VALUE"""),"فيلية الدجاج مع السوريمي 85 جرام")</f>
        <v>فيلية الدجاج مع السوريمي 85 جرام</v>
      </c>
      <c r="H249" s="133" t="str">
        <f>IFERROR(__xludf.DUMMYFUNCTION("""COMPUTED_VALUE"""),"MAFE20201808")</f>
        <v>MAFE20201808</v>
      </c>
      <c r="I249" s="133"/>
      <c r="J249" s="133"/>
      <c r="K249" s="133" t="str">
        <f>IFERROR(__xludf.DUMMYFUNCTION("""COMPUTED_VALUE"""),"ساوث ايست الاسيوية للتغليف والتعليب المحدودة")</f>
        <v>ساوث ايست الاسيوية للتغليف والتعليب المحدودة</v>
      </c>
      <c r="L249" s="142" t="str">
        <f>IFERROR(__xludf.DUMMYFUNCTION("""COMPUTED_VALUE"""),"C161")</f>
        <v>C161</v>
      </c>
      <c r="M249" s="133"/>
      <c r="N249" s="133"/>
      <c r="O249" s="133"/>
      <c r="P249" s="133"/>
      <c r="Q249" s="133"/>
      <c r="R249" s="133"/>
      <c r="S249" s="133"/>
      <c r="T249" s="133"/>
      <c r="U249" s="133"/>
      <c r="V249" s="133"/>
      <c r="W249" s="133"/>
      <c r="X249" s="133"/>
      <c r="Y249" s="133"/>
      <c r="Z249" s="133"/>
    </row>
    <row r="250">
      <c r="A250" s="133">
        <f>IFERROR(__xludf.DUMMYFUNCTION("""COMPUTED_VALUE"""),249.0)</f>
        <v>249</v>
      </c>
      <c r="B250" s="133" t="str">
        <f>IFERROR(__xludf.DUMMYFUNCTION("""COMPUTED_VALUE"""),"C169")</f>
        <v>C169</v>
      </c>
      <c r="C250" s="133" t="str">
        <f>IFERROR(__xludf.DUMMYFUNCTION("""COMPUTED_VALUE"""),"P-1-N-131020-3524")</f>
        <v>P-1-N-131020-3524</v>
      </c>
      <c r="D250" s="133"/>
      <c r="E250" s="133" t="str">
        <f>IFERROR(__xludf.DUMMYFUNCTION("""COMPUTED_VALUE"""),"تمت طباعة الشهادة")</f>
        <v>تمت طباعة الشهادة</v>
      </c>
      <c r="F250" s="133" t="str">
        <f>IFERROR(__xludf.DUMMYFUNCTION("""COMPUTED_VALUE"""),"Chicken fillets 85g")</f>
        <v>Chicken fillets 85g</v>
      </c>
      <c r="G250" s="133" t="str">
        <f>IFERROR(__xludf.DUMMYFUNCTION("""COMPUTED_VALUE"""),"فيلية الدجاج 85 جرام")</f>
        <v>فيلية الدجاج 85 جرام</v>
      </c>
      <c r="H250" s="133" t="str">
        <f>IFERROR(__xludf.DUMMYFUNCTION("""COMPUTED_VALUE"""),"MAFE20201807")</f>
        <v>MAFE20201807</v>
      </c>
      <c r="I250" s="133"/>
      <c r="J250" s="133"/>
      <c r="K250" s="133" t="str">
        <f>IFERROR(__xludf.DUMMYFUNCTION("""COMPUTED_VALUE"""),"ساوث ايست الاسيوية للتغليف والتعليب المحدودة")</f>
        <v>ساوث ايست الاسيوية للتغليف والتعليب المحدودة</v>
      </c>
      <c r="L250" s="142" t="str">
        <f>IFERROR(__xludf.DUMMYFUNCTION("""COMPUTED_VALUE"""),"C169")</f>
        <v>C169</v>
      </c>
      <c r="M250" s="133"/>
      <c r="N250" s="133"/>
      <c r="O250" s="133"/>
      <c r="P250" s="133"/>
      <c r="Q250" s="133"/>
      <c r="R250" s="133"/>
      <c r="S250" s="133"/>
      <c r="T250" s="133"/>
      <c r="U250" s="133"/>
      <c r="V250" s="133"/>
      <c r="W250" s="133"/>
      <c r="X250" s="133"/>
      <c r="Y250" s="133"/>
      <c r="Z250" s="133"/>
    </row>
    <row r="251">
      <c r="A251" s="133">
        <f>IFERROR(__xludf.DUMMYFUNCTION("""COMPUTED_VALUE"""),250.0)</f>
        <v>250</v>
      </c>
      <c r="B251" s="133" t="str">
        <f>IFERROR(__xludf.DUMMYFUNCTION("""COMPUTED_VALUE"""),"C175")</f>
        <v>C175</v>
      </c>
      <c r="C251" s="133" t="str">
        <f>IFERROR(__xludf.DUMMYFUNCTION("""COMPUTED_VALUE"""),"P-1-N-131020-3525")</f>
        <v>P-1-N-131020-3525</v>
      </c>
      <c r="D251" s="133"/>
      <c r="E251" s="133" t="str">
        <f>IFERROR(__xludf.DUMMYFUNCTION("""COMPUTED_VALUE"""),"تمت طباعة الشهادة")</f>
        <v>تمت طباعة الشهادة</v>
      </c>
      <c r="F251" s="133" t="str">
        <f>IFERROR(__xludf.DUMMYFUNCTION("""COMPUTED_VALUE"""),"Tuna white meat and chicken with rice 85g")</f>
        <v>Tuna white meat and chicken with rice 85g</v>
      </c>
      <c r="G251" s="133" t="str">
        <f>IFERROR(__xludf.DUMMYFUNCTION("""COMPUTED_VALUE"""),"لحم التونا الابيض والدجاج مع الارز 85 جرام")</f>
        <v>لحم التونا الابيض والدجاج مع الارز 85 جرام</v>
      </c>
      <c r="H251" s="133" t="str">
        <f>IFERROR(__xludf.DUMMYFUNCTION("""COMPUTED_VALUE"""),"MAFE20201806")</f>
        <v>MAFE20201806</v>
      </c>
      <c r="I251" s="133"/>
      <c r="J251" s="133"/>
      <c r="K251" s="133" t="str">
        <f>IFERROR(__xludf.DUMMYFUNCTION("""COMPUTED_VALUE"""),"ساوث ايست الاسيوية للتغليف والتعليب المحدودة")</f>
        <v>ساوث ايست الاسيوية للتغليف والتعليب المحدودة</v>
      </c>
      <c r="L251" s="142" t="str">
        <f>IFERROR(__xludf.DUMMYFUNCTION("""COMPUTED_VALUE"""),"C175")</f>
        <v>C175</v>
      </c>
      <c r="M251" s="133"/>
      <c r="N251" s="133"/>
      <c r="O251" s="133"/>
      <c r="P251" s="133"/>
      <c r="Q251" s="133"/>
      <c r="R251" s="133"/>
      <c r="S251" s="133"/>
      <c r="T251" s="133"/>
      <c r="U251" s="133"/>
      <c r="V251" s="133"/>
      <c r="W251" s="133"/>
      <c r="X251" s="133"/>
      <c r="Y251" s="133"/>
      <c r="Z251" s="133"/>
    </row>
    <row r="252">
      <c r="A252" s="133">
        <f>IFERROR(__xludf.DUMMYFUNCTION("""COMPUTED_VALUE"""),251.0)</f>
        <v>251</v>
      </c>
      <c r="B252" s="133" t="str">
        <f>IFERROR(__xludf.DUMMYFUNCTION("""COMPUTED_VALUE"""),"c176")</f>
        <v>c176</v>
      </c>
      <c r="C252" s="133" t="str">
        <f>IFERROR(__xludf.DUMMYFUNCTION("""COMPUTED_VALUE"""),"P-1-N-131020-3526")</f>
        <v>P-1-N-131020-3526</v>
      </c>
      <c r="D252" s="133"/>
      <c r="E252" s="133" t="str">
        <f>IFERROR(__xludf.DUMMYFUNCTION("""COMPUTED_VALUE"""),"تمت طباعة الشهادة")</f>
        <v>تمت طباعة الشهادة</v>
      </c>
      <c r="F252" s="133" t="str">
        <f>IFERROR(__xludf.DUMMYFUNCTION("""COMPUTED_VALUE"""),"Tuna white meat and beef with rice 85g")</f>
        <v>Tuna white meat and beef with rice 85g</v>
      </c>
      <c r="G252" s="133" t="str">
        <f>IFERROR(__xludf.DUMMYFUNCTION("""COMPUTED_VALUE"""),"لحم التونا الابيض و اللحم البقري مع الارز 85 جرام")</f>
        <v>لحم التونا الابيض و اللحم البقري مع الارز 85 جرام</v>
      </c>
      <c r="H252" s="133" t="str">
        <f>IFERROR(__xludf.DUMMYFUNCTION("""COMPUTED_VALUE"""),"MAFE20201804")</f>
        <v>MAFE20201804</v>
      </c>
      <c r="I252" s="133"/>
      <c r="J252" s="133"/>
      <c r="K252" s="133" t="str">
        <f>IFERROR(__xludf.DUMMYFUNCTION("""COMPUTED_VALUE"""),"ساوث ايست الاسيوية للتغليف والتعليب المحدودة")</f>
        <v>ساوث ايست الاسيوية للتغليف والتعليب المحدودة</v>
      </c>
      <c r="L252" s="142" t="str">
        <f>IFERROR(__xludf.DUMMYFUNCTION("""COMPUTED_VALUE"""),"c176")</f>
        <v>c176</v>
      </c>
      <c r="M252" s="133"/>
      <c r="N252" s="133"/>
      <c r="O252" s="133"/>
      <c r="P252" s="133"/>
      <c r="Q252" s="133"/>
      <c r="R252" s="133"/>
      <c r="S252" s="133"/>
      <c r="T252" s="133"/>
      <c r="U252" s="133"/>
      <c r="V252" s="133"/>
      <c r="W252" s="133"/>
      <c r="X252" s="133"/>
      <c r="Y252" s="133"/>
      <c r="Z252" s="133"/>
    </row>
    <row r="253">
      <c r="A253" s="133">
        <f>IFERROR(__xludf.DUMMYFUNCTION("""COMPUTED_VALUE"""),252.0)</f>
        <v>252</v>
      </c>
      <c r="B253" s="133" t="str">
        <f>IFERROR(__xludf.DUMMYFUNCTION("""COMPUTED_VALUE"""),"C139")</f>
        <v>C139</v>
      </c>
      <c r="C253" s="133" t="str">
        <f>IFERROR(__xludf.DUMMYFUNCTION("""COMPUTED_VALUE"""),"P-1-N-131020-3527")</f>
        <v>P-1-N-131020-3527</v>
      </c>
      <c r="D253" s="133"/>
      <c r="E253" s="133" t="str">
        <f>IFERROR(__xludf.DUMMYFUNCTION("""COMPUTED_VALUE"""),"تمت طباعة الشهادة")</f>
        <v>تمت طباعة الشهادة</v>
      </c>
      <c r="F253" s="133" t="str">
        <f>IFERROR(__xludf.DUMMYFUNCTION("""COMPUTED_VALUE"""),"Tuna white meat with shirasu and rice 85g")</f>
        <v>Tuna white meat with shirasu and rice 85g</v>
      </c>
      <c r="G253" s="133" t="str">
        <f>IFERROR(__xludf.DUMMYFUNCTION("""COMPUTED_VALUE"""),"لحم التونا الابيض مع شيرازو و الارز 85 جرام")</f>
        <v>لحم التونا الابيض مع شيرازو و الارز 85 جرام</v>
      </c>
      <c r="H253" s="133" t="str">
        <f>IFERROR(__xludf.DUMMYFUNCTION("""COMPUTED_VALUE"""),"MAFE20201805")</f>
        <v>MAFE20201805</v>
      </c>
      <c r="I253" s="133"/>
      <c r="J253" s="133"/>
      <c r="K253" s="133" t="str">
        <f>IFERROR(__xludf.DUMMYFUNCTION("""COMPUTED_VALUE"""),"ساوث ايست الاسيوية للتغليف والتعليب المحدودة")</f>
        <v>ساوث ايست الاسيوية للتغليف والتعليب المحدودة</v>
      </c>
      <c r="L253" s="142" t="str">
        <f>IFERROR(__xludf.DUMMYFUNCTION("""COMPUTED_VALUE"""),"C139")</f>
        <v>C139</v>
      </c>
      <c r="M253" s="133"/>
      <c r="N253" s="133"/>
      <c r="O253" s="133"/>
      <c r="P253" s="133"/>
      <c r="Q253" s="133"/>
      <c r="R253" s="133"/>
      <c r="S253" s="133"/>
      <c r="T253" s="133"/>
      <c r="U253" s="133"/>
      <c r="V253" s="133"/>
      <c r="W253" s="133"/>
      <c r="X253" s="133"/>
      <c r="Y253" s="133"/>
      <c r="Z253" s="133"/>
    </row>
    <row r="254">
      <c r="A254" s="133">
        <f>IFERROR(__xludf.DUMMYFUNCTION("""COMPUTED_VALUE"""),253.0)</f>
        <v>253</v>
      </c>
      <c r="B254" s="133" t="str">
        <f>IFERROR(__xludf.DUMMYFUNCTION("""COMPUTED_VALUE"""),"C178")</f>
        <v>C178</v>
      </c>
      <c r="C254" s="133" t="str">
        <f>IFERROR(__xludf.DUMMYFUNCTION("""COMPUTED_VALUE"""),"P-1-N-131020-3528")</f>
        <v>P-1-N-131020-3528</v>
      </c>
      <c r="D254" s="133"/>
      <c r="E254" s="133" t="str">
        <f>IFERROR(__xludf.DUMMYFUNCTION("""COMPUTED_VALUE"""),"تمت طباعة الشهادة")</f>
        <v>تمت طباعة الشهادة</v>
      </c>
      <c r="F254" s="133" t="str">
        <f>IFERROR(__xludf.DUMMYFUNCTION("""COMPUTED_VALUE"""),"Chicken flake with rice 85g")</f>
        <v>Chicken flake with rice 85g</v>
      </c>
      <c r="G254" s="133" t="str">
        <f>IFERROR(__xludf.DUMMYFUNCTION("""COMPUTED_VALUE"""),"شرائح الدجاج و الارز 85 جرام")</f>
        <v>شرائح الدجاج و الارز 85 جرام</v>
      </c>
      <c r="H254" s="133" t="str">
        <f>IFERROR(__xludf.DUMMYFUNCTION("""COMPUTED_VALUE"""),"MAFE20201803")</f>
        <v>MAFE20201803</v>
      </c>
      <c r="I254" s="133"/>
      <c r="J254" s="133"/>
      <c r="K254" s="133" t="str">
        <f>IFERROR(__xludf.DUMMYFUNCTION("""COMPUTED_VALUE"""),"ساوث ايست الاسيوية للتغليف والتعليب المحدودة")</f>
        <v>ساوث ايست الاسيوية للتغليف والتعليب المحدودة</v>
      </c>
      <c r="L254" s="142" t="str">
        <f>IFERROR(__xludf.DUMMYFUNCTION("""COMPUTED_VALUE"""),"C178")</f>
        <v>C178</v>
      </c>
      <c r="M254" s="133"/>
      <c r="N254" s="133"/>
      <c r="O254" s="133"/>
      <c r="P254" s="133"/>
      <c r="Q254" s="133"/>
      <c r="R254" s="133"/>
      <c r="S254" s="133"/>
      <c r="T254" s="133"/>
      <c r="U254" s="133"/>
      <c r="V254" s="133"/>
      <c r="W254" s="133"/>
      <c r="X254" s="133"/>
      <c r="Y254" s="133"/>
      <c r="Z254" s="133"/>
    </row>
    <row r="255">
      <c r="A255" s="133">
        <f>IFERROR(__xludf.DUMMYFUNCTION("""COMPUTED_VALUE"""),254.0)</f>
        <v>254</v>
      </c>
      <c r="B255" s="133" t="str">
        <f>IFERROR(__xludf.DUMMYFUNCTION("""COMPUTED_VALUE"""),"C179")</f>
        <v>C179</v>
      </c>
      <c r="C255" s="133" t="str">
        <f>IFERROR(__xludf.DUMMYFUNCTION("""COMPUTED_VALUE"""),"P-1-N-131020-3529")</f>
        <v>P-1-N-131020-3529</v>
      </c>
      <c r="D255" s="133"/>
      <c r="E255" s="133" t="str">
        <f>IFERROR(__xludf.DUMMYFUNCTION("""COMPUTED_VALUE"""),"تمت طباعة الشهادة")</f>
        <v>تمت طباعة الشهادة</v>
      </c>
      <c r="F255" s="133" t="str">
        <f>IFERROR(__xludf.DUMMYFUNCTION("""COMPUTED_VALUE"""),"Chicken and beef with rice 85g")</f>
        <v>Chicken and beef with rice 85g</v>
      </c>
      <c r="G255" s="133" t="str">
        <f>IFERROR(__xludf.DUMMYFUNCTION("""COMPUTED_VALUE"""),"الدجاج و اللحم البقري مع الارز 85 جرام")</f>
        <v>الدجاج و اللحم البقري مع الارز 85 جرام</v>
      </c>
      <c r="H255" s="133" t="str">
        <f>IFERROR(__xludf.DUMMYFUNCTION("""COMPUTED_VALUE"""),"MAFE20201801")</f>
        <v>MAFE20201801</v>
      </c>
      <c r="I255" s="133"/>
      <c r="J255" s="133"/>
      <c r="K255" s="133" t="str">
        <f>IFERROR(__xludf.DUMMYFUNCTION("""COMPUTED_VALUE"""),"ساوث ايست الاسيوية للتغليف والتعليب المحدودة")</f>
        <v>ساوث ايست الاسيوية للتغليف والتعليب المحدودة</v>
      </c>
      <c r="L255" s="142" t="str">
        <f>IFERROR(__xludf.DUMMYFUNCTION("""COMPUTED_VALUE"""),"C179")</f>
        <v>C179</v>
      </c>
      <c r="M255" s="133"/>
      <c r="N255" s="133"/>
      <c r="O255" s="133"/>
      <c r="P255" s="133"/>
      <c r="Q255" s="133"/>
      <c r="R255" s="133"/>
      <c r="S255" s="133"/>
      <c r="T255" s="133"/>
      <c r="U255" s="133"/>
      <c r="V255" s="133"/>
      <c r="W255" s="133"/>
      <c r="X255" s="133"/>
      <c r="Y255" s="133"/>
      <c r="Z255" s="133"/>
    </row>
    <row r="256">
      <c r="A256" s="133">
        <f>IFERROR(__xludf.DUMMYFUNCTION("""COMPUTED_VALUE"""),255.0)</f>
        <v>255</v>
      </c>
      <c r="B256" s="133" t="str">
        <f>IFERROR(__xludf.DUMMYFUNCTION("""COMPUTED_VALUE"""),"c184")</f>
        <v>c184</v>
      </c>
      <c r="C256" s="133" t="str">
        <f>IFERROR(__xludf.DUMMYFUNCTION("""COMPUTED_VALUE"""),"P-1-N-131020-3530")</f>
        <v>P-1-N-131020-3530</v>
      </c>
      <c r="D256" s="133"/>
      <c r="E256" s="133" t="str">
        <f>IFERROR(__xludf.DUMMYFUNCTION("""COMPUTED_VALUE"""),"تمت طباعة الشهادة")</f>
        <v>تمت طباعة الشهادة</v>
      </c>
      <c r="F256" s="133" t="str">
        <f>IFERROR(__xludf.DUMMYFUNCTION("""COMPUTED_VALUE"""),"Tuna with aloe kitten 85g")</f>
        <v>Tuna with aloe kitten 85g</v>
      </c>
      <c r="G256" s="133" t="str">
        <f>IFERROR(__xludf.DUMMYFUNCTION("""COMPUTED_VALUE"""),"تونا مع الصبار للقطط الصغيرة 85 جرام")</f>
        <v>تونا مع الصبار للقطط الصغيرة 85 جرام</v>
      </c>
      <c r="H256" s="133" t="str">
        <f>IFERROR(__xludf.DUMMYFUNCTION("""COMPUTED_VALUE"""),"MAFE20201802")</f>
        <v>MAFE20201802</v>
      </c>
      <c r="I256" s="133"/>
      <c r="J256" s="133"/>
      <c r="K256" s="133" t="str">
        <f>IFERROR(__xludf.DUMMYFUNCTION("""COMPUTED_VALUE"""),"ساوث ايست الاسيوية للتغليف والتعليب المحدودة")</f>
        <v>ساوث ايست الاسيوية للتغليف والتعليب المحدودة</v>
      </c>
      <c r="L256" s="142" t="str">
        <f>IFERROR(__xludf.DUMMYFUNCTION("""COMPUTED_VALUE"""),"c184")</f>
        <v>c184</v>
      </c>
      <c r="M256" s="133"/>
      <c r="N256" s="133"/>
      <c r="O256" s="133"/>
      <c r="P256" s="133"/>
      <c r="Q256" s="133"/>
      <c r="R256" s="133"/>
      <c r="S256" s="133"/>
      <c r="T256" s="133"/>
      <c r="U256" s="133"/>
      <c r="V256" s="133"/>
      <c r="W256" s="133"/>
      <c r="X256" s="133"/>
      <c r="Y256" s="133"/>
      <c r="Z256" s="133"/>
    </row>
    <row r="257">
      <c r="A257" s="133">
        <f>IFERROR(__xludf.DUMMYFUNCTION("""COMPUTED_VALUE"""),256.0)</f>
        <v>256</v>
      </c>
      <c r="B257" s="133" t="str">
        <f>IFERROR(__xludf.DUMMYFUNCTION("""COMPUTED_VALUE"""),"C185")</f>
        <v>C185</v>
      </c>
      <c r="C257" s="133" t="str">
        <f>IFERROR(__xludf.DUMMYFUNCTION("""COMPUTED_VALUE"""),"P-1-N-131020-3531")</f>
        <v>P-1-N-131020-3531</v>
      </c>
      <c r="D257" s="133"/>
      <c r="E257" s="133" t="str">
        <f>IFERROR(__xludf.DUMMYFUNCTION("""COMPUTED_VALUE"""),"تمت طباعة الشهادة")</f>
        <v>تمت طباعة الشهادة</v>
      </c>
      <c r="F257" s="133" t="str">
        <f>IFERROR(__xludf.DUMMYFUNCTION("""COMPUTED_VALUE"""),"Chicken and rice with aloe in gel 85g")</f>
        <v>Chicken and rice with aloe in gel 85g</v>
      </c>
      <c r="G257" s="133" t="str">
        <f>IFERROR(__xludf.DUMMYFUNCTION("""COMPUTED_VALUE"""),"دجاج و الارز مع الصبار بالجيلي 85 جرام")</f>
        <v>دجاج و الارز مع الصبار بالجيلي 85 جرام</v>
      </c>
      <c r="H257" s="133" t="str">
        <f>IFERROR(__xludf.DUMMYFUNCTION("""COMPUTED_VALUE"""),"MAFE20201800")</f>
        <v>MAFE20201800</v>
      </c>
      <c r="I257" s="133"/>
      <c r="J257" s="133"/>
      <c r="K257" s="133" t="str">
        <f>IFERROR(__xludf.DUMMYFUNCTION("""COMPUTED_VALUE"""),"ساوث")</f>
        <v>ساوث</v>
      </c>
      <c r="L257" s="142" t="str">
        <f>IFERROR(__xludf.DUMMYFUNCTION("""COMPUTED_VALUE"""),"C185")</f>
        <v>C185</v>
      </c>
      <c r="M257" s="133"/>
      <c r="N257" s="133"/>
      <c r="O257" s="133"/>
      <c r="P257" s="133"/>
      <c r="Q257" s="133"/>
      <c r="R257" s="133"/>
      <c r="S257" s="133"/>
      <c r="T257" s="133"/>
      <c r="U257" s="133"/>
      <c r="V257" s="133"/>
      <c r="W257" s="133"/>
      <c r="X257" s="133"/>
      <c r="Y257" s="133"/>
      <c r="Z257" s="133"/>
    </row>
    <row r="258">
      <c r="A258" s="133">
        <f>IFERROR(__xludf.DUMMYFUNCTION("""COMPUTED_VALUE"""),257.0)</f>
        <v>257</v>
      </c>
      <c r="B258" s="133" t="str">
        <f>IFERROR(__xludf.DUMMYFUNCTION("""COMPUTED_VALUE"""),"C168")</f>
        <v>C168</v>
      </c>
      <c r="C258" s="133" t="str">
        <f>IFERROR(__xludf.DUMMYFUNCTION("""COMPUTED_VALUE"""),"P-1-N-131020-3532")</f>
        <v>P-1-N-131020-3532</v>
      </c>
      <c r="D258" s="133"/>
      <c r="E258" s="133" t="str">
        <f>IFERROR(__xludf.DUMMYFUNCTION("""COMPUTED_VALUE"""),"تمت طباعة الشهادة")</f>
        <v>تمت طباعة الشهادة</v>
      </c>
      <c r="F258" s="133" t="str">
        <f>IFERROR(__xludf.DUMMYFUNCTION("""COMPUTED_VALUE"""),"Tuna white meat flakes and rice 85g")</f>
        <v>Tuna white meat flakes and rice 85g</v>
      </c>
      <c r="G258" s="133" t="str">
        <f>IFERROR(__xludf.DUMMYFUNCTION("""COMPUTED_VALUE"""),"شرائح لحم التونا الابيض و الارز 85 جرام")</f>
        <v>شرائح لحم التونا الابيض و الارز 85 جرام</v>
      </c>
      <c r="H258" s="133" t="str">
        <f>IFERROR(__xludf.DUMMYFUNCTION("""COMPUTED_VALUE"""),"MAFE20201799")</f>
        <v>MAFE20201799</v>
      </c>
      <c r="I258" s="133"/>
      <c r="J258" s="133"/>
      <c r="K258" s="133" t="str">
        <f>IFERROR(__xludf.DUMMYFUNCTION("""COMPUTED_VALUE"""),"ساوث ايست الاسيوية للتغليف والتعليب المحدودة")</f>
        <v>ساوث ايست الاسيوية للتغليف والتعليب المحدودة</v>
      </c>
      <c r="L258" s="142" t="str">
        <f>IFERROR(__xludf.DUMMYFUNCTION("""COMPUTED_VALUE"""),"C168")</f>
        <v>C168</v>
      </c>
      <c r="M258" s="133"/>
      <c r="N258" s="133"/>
      <c r="O258" s="133"/>
      <c r="P258" s="133"/>
      <c r="Q258" s="133"/>
      <c r="R258" s="133"/>
      <c r="S258" s="133"/>
      <c r="T258" s="133"/>
      <c r="U258" s="133"/>
      <c r="V258" s="133"/>
      <c r="W258" s="133"/>
      <c r="X258" s="133"/>
      <c r="Y258" s="133"/>
      <c r="Z258" s="133"/>
    </row>
    <row r="259">
      <c r="A259" s="133">
        <f>IFERROR(__xludf.DUMMYFUNCTION("""COMPUTED_VALUE"""),258.0)</f>
        <v>258</v>
      </c>
      <c r="B259" s="133" t="str">
        <f>IFERROR(__xludf.DUMMYFUNCTION("""COMPUTED_VALUE"""),"C2700")</f>
        <v>C2700</v>
      </c>
      <c r="C259" s="133" t="str">
        <f>IFERROR(__xludf.DUMMYFUNCTION("""COMPUTED_VALUE"""),"P-1-N-131020-3533")</f>
        <v>P-1-N-131020-3533</v>
      </c>
      <c r="D259" s="133"/>
      <c r="E259" s="133" t="str">
        <f>IFERROR(__xludf.DUMMYFUNCTION("""COMPUTED_VALUE"""),"تمت طباعة الشهادة")</f>
        <v>تمت طباعة الشهادة</v>
      </c>
      <c r="F259" s="133" t="str">
        <f>IFERROR(__xludf.DUMMYFUNCTION("""COMPUTED_VALUE"""),"Tuna whole meat and rice in jelly 140g")</f>
        <v>Tuna whole meat and rice in jelly 140g</v>
      </c>
      <c r="G259" s="133" t="str">
        <f>IFERROR(__xludf.DUMMYFUNCTION("""COMPUTED_VALUE"""),"التونا و الارز بالجيلي 140 جرام")</f>
        <v>التونا و الارز بالجيلي 140 جرام</v>
      </c>
      <c r="H259" s="133" t="str">
        <f>IFERROR(__xludf.DUMMYFUNCTION("""COMPUTED_VALUE"""),"MAFE20201832")</f>
        <v>MAFE20201832</v>
      </c>
      <c r="I259" s="133"/>
      <c r="J259" s="133"/>
      <c r="K259" s="133" t="str">
        <f>IFERROR(__xludf.DUMMYFUNCTION("""COMPUTED_VALUE"""),"ساوث ايست الاسيوية للتغليف والتعليب المحدودة")</f>
        <v>ساوث ايست الاسيوية للتغليف والتعليب المحدودة</v>
      </c>
      <c r="L259" s="142" t="str">
        <f>IFERROR(__xludf.DUMMYFUNCTION("""COMPUTED_VALUE"""),"C2700")</f>
        <v>C2700</v>
      </c>
      <c r="M259" s="133"/>
      <c r="N259" s="133"/>
      <c r="O259" s="133"/>
      <c r="P259" s="133"/>
      <c r="Q259" s="133"/>
      <c r="R259" s="133"/>
      <c r="S259" s="133"/>
      <c r="T259" s="133"/>
      <c r="U259" s="133"/>
      <c r="V259" s="133"/>
      <c r="W259" s="133"/>
      <c r="X259" s="133"/>
      <c r="Y259" s="133"/>
      <c r="Z259" s="133"/>
    </row>
    <row r="260">
      <c r="A260" s="133">
        <f>IFERROR(__xludf.DUMMYFUNCTION("""COMPUTED_VALUE"""),259.0)</f>
        <v>259</v>
      </c>
      <c r="B260" s="133" t="str">
        <f>IFERROR(__xludf.DUMMYFUNCTION("""COMPUTED_VALUE"""),"C2701")</f>
        <v>C2701</v>
      </c>
      <c r="C260" s="133" t="str">
        <f>IFERROR(__xludf.DUMMYFUNCTION("""COMPUTED_VALUE"""),"P-1-N-131020-3534")</f>
        <v>P-1-N-131020-3534</v>
      </c>
      <c r="D260" s="133"/>
      <c r="E260" s="133" t="str">
        <f>IFERROR(__xludf.DUMMYFUNCTION("""COMPUTED_VALUE"""),"تمت طباعة الشهادة")</f>
        <v>تمت طباعة الشهادة</v>
      </c>
      <c r="F260" s="133" t="str">
        <f>IFERROR(__xludf.DUMMYFUNCTION("""COMPUTED_VALUE"""),"Tuna whole meat with beef and rice in gel 140g")</f>
        <v>Tuna whole meat with beef and rice in gel 140g</v>
      </c>
      <c r="G260" s="133" t="str">
        <f>IFERROR(__xludf.DUMMYFUNCTION("""COMPUTED_VALUE"""),"التونا مع اللحم البقري و الارز بالجيلي 140 جرام")</f>
        <v>التونا مع اللحم البقري و الارز بالجيلي 140 جرام</v>
      </c>
      <c r="H260" s="133" t="str">
        <f>IFERROR(__xludf.DUMMYFUNCTION("""COMPUTED_VALUE"""),"MAFE20201831")</f>
        <v>MAFE20201831</v>
      </c>
      <c r="I260" s="133"/>
      <c r="J260" s="133"/>
      <c r="K260" s="133" t="str">
        <f>IFERROR(__xludf.DUMMYFUNCTION("""COMPUTED_VALUE"""),"ساوث ايست الاسيوية للتغليف والتعليب المحدودة")</f>
        <v>ساوث ايست الاسيوية للتغليف والتعليب المحدودة</v>
      </c>
      <c r="L260" s="142" t="str">
        <f>IFERROR(__xludf.DUMMYFUNCTION("""COMPUTED_VALUE"""),"C2701")</f>
        <v>C2701</v>
      </c>
      <c r="M260" s="133"/>
      <c r="N260" s="133"/>
      <c r="O260" s="133"/>
      <c r="P260" s="133"/>
      <c r="Q260" s="133"/>
      <c r="R260" s="133"/>
      <c r="S260" s="133"/>
      <c r="T260" s="133"/>
      <c r="U260" s="133"/>
      <c r="V260" s="133"/>
      <c r="W260" s="133"/>
      <c r="X260" s="133"/>
      <c r="Y260" s="133"/>
      <c r="Z260" s="133"/>
    </row>
    <row r="261">
      <c r="A261" s="133">
        <f>IFERROR(__xludf.DUMMYFUNCTION("""COMPUTED_VALUE"""),260.0)</f>
        <v>260</v>
      </c>
      <c r="B261" s="133" t="str">
        <f>IFERROR(__xludf.DUMMYFUNCTION("""COMPUTED_VALUE"""),"C2702")</f>
        <v>C2702</v>
      </c>
      <c r="C261" s="133" t="str">
        <f>IFERROR(__xludf.DUMMYFUNCTION("""COMPUTED_VALUE"""),"P-1-N-131020-3535")</f>
        <v>P-1-N-131020-3535</v>
      </c>
      <c r="D261" s="133"/>
      <c r="E261" s="133" t="str">
        <f>IFERROR(__xludf.DUMMYFUNCTION("""COMPUTED_VALUE"""),"تمت طباعة الشهادة")</f>
        <v>تمت طباعة الشهادة</v>
      </c>
      <c r="F261" s="133" t="str">
        <f>IFERROR(__xludf.DUMMYFUNCTION("""COMPUTED_VALUE"""),"Tuna white meat and rice with shirasu in solution 140g")</f>
        <v>Tuna white meat and rice with shirasu in solution 140g</v>
      </c>
      <c r="G261" s="133" t="str">
        <f>IFERROR(__xludf.DUMMYFUNCTION("""COMPUTED_VALUE"""),"خليط لحم التونا الابيض و الارز مع سمك الشيرازو 140 جرام")</f>
        <v>خليط لحم التونا الابيض و الارز مع سمك الشيرازو 140 جرام</v>
      </c>
      <c r="H261" s="133" t="str">
        <f>IFERROR(__xludf.DUMMYFUNCTION("""COMPUTED_VALUE"""),"MAFE20201830")</f>
        <v>MAFE20201830</v>
      </c>
      <c r="I261" s="133"/>
      <c r="J261" s="133"/>
      <c r="K261" s="133" t="str">
        <f>IFERROR(__xludf.DUMMYFUNCTION("""COMPUTED_VALUE"""),"ساوث ايست الاسيوية للتغليف والتعليب المحدودة")</f>
        <v>ساوث ايست الاسيوية للتغليف والتعليب المحدودة</v>
      </c>
      <c r="L261" s="142" t="str">
        <f>IFERROR(__xludf.DUMMYFUNCTION("""COMPUTED_VALUE"""),"C2702")</f>
        <v>C2702</v>
      </c>
      <c r="M261" s="133"/>
      <c r="N261" s="133"/>
      <c r="O261" s="133"/>
      <c r="P261" s="133"/>
      <c r="Q261" s="133"/>
      <c r="R261" s="133"/>
      <c r="S261" s="133"/>
      <c r="T261" s="133"/>
      <c r="U261" s="133"/>
      <c r="V261" s="133"/>
      <c r="W261" s="133"/>
      <c r="X261" s="133"/>
      <c r="Y261" s="133"/>
      <c r="Z261" s="133"/>
    </row>
    <row r="262">
      <c r="A262" s="133">
        <f>IFERROR(__xludf.DUMMYFUNCTION("""COMPUTED_VALUE"""),261.0)</f>
        <v>261</v>
      </c>
      <c r="B262" s="133" t="str">
        <f>IFERROR(__xludf.DUMMYFUNCTION("""COMPUTED_VALUE"""),"C2704")</f>
        <v>C2704</v>
      </c>
      <c r="C262" s="133" t="str">
        <f>IFERROR(__xludf.DUMMYFUNCTION("""COMPUTED_VALUE"""),"P-1-N-131020-3536")</f>
        <v>P-1-N-131020-3536</v>
      </c>
      <c r="D262" s="133"/>
      <c r="E262" s="133" t="str">
        <f>IFERROR(__xludf.DUMMYFUNCTION("""COMPUTED_VALUE"""),"تمت طباعة الشهادة")</f>
        <v>تمت طباعة الشهادة</v>
      </c>
      <c r="F262" s="133" t="str">
        <f>IFERROR(__xludf.DUMMYFUNCTION("""COMPUTED_VALUE"""),"Chicken flake and rice in gel 140g")</f>
        <v>Chicken flake and rice in gel 140g</v>
      </c>
      <c r="G262" s="133" t="str">
        <f>IFERROR(__xludf.DUMMYFUNCTION("""COMPUTED_VALUE"""),"شرائح الدجاج و الارز بالجيلي 140 جرام")</f>
        <v>شرائح الدجاج و الارز بالجيلي 140 جرام</v>
      </c>
      <c r="H262" s="133" t="str">
        <f>IFERROR(__xludf.DUMMYFUNCTION("""COMPUTED_VALUE"""),"MAFE20201829")</f>
        <v>MAFE20201829</v>
      </c>
      <c r="I262" s="133"/>
      <c r="J262" s="133"/>
      <c r="K262" s="133" t="str">
        <f>IFERROR(__xludf.DUMMYFUNCTION("""COMPUTED_VALUE"""),"ساوث ايست الاسيوية للتغليف والتعليب المحدودة")</f>
        <v>ساوث ايست الاسيوية للتغليف والتعليب المحدودة</v>
      </c>
      <c r="L262" s="142" t="str">
        <f>IFERROR(__xludf.DUMMYFUNCTION("""COMPUTED_VALUE"""),"C2704")</f>
        <v>C2704</v>
      </c>
      <c r="M262" s="133"/>
      <c r="N262" s="133"/>
      <c r="O262" s="133"/>
      <c r="P262" s="133"/>
      <c r="Q262" s="133"/>
      <c r="R262" s="133"/>
      <c r="S262" s="133"/>
      <c r="T262" s="133"/>
      <c r="U262" s="133"/>
      <c r="V262" s="133"/>
      <c r="W262" s="133"/>
      <c r="X262" s="133"/>
      <c r="Y262" s="133"/>
      <c r="Z262" s="133"/>
    </row>
    <row r="263">
      <c r="A263" s="133">
        <f>IFERROR(__xludf.DUMMYFUNCTION("""COMPUTED_VALUE"""),262.0)</f>
        <v>262</v>
      </c>
      <c r="B263" s="133"/>
      <c r="C263" s="133" t="str">
        <f>IFERROR(__xludf.DUMMYFUNCTION("""COMPUTED_VALUE"""),"P-1-N-131020-3538")</f>
        <v>P-1-N-131020-3538</v>
      </c>
      <c r="D263" s="133"/>
      <c r="E263" s="133" t="str">
        <f>IFERROR(__xludf.DUMMYFUNCTION("""COMPUTED_VALUE"""),"REJECTED")</f>
        <v>REJECTED</v>
      </c>
      <c r="F263" s="133" t="str">
        <f>IFERROR(__xludf.DUMMYFUNCTION("""COMPUTED_VALUE"""),"Tuna whole meat and rice with aloe in gel 140g")</f>
        <v>Tuna whole meat and rice with aloe in gel 140g</v>
      </c>
      <c r="G263" s="133" t="str">
        <f>IFERROR(__xludf.DUMMYFUNCTION("""COMPUTED_VALUE"""),"التونا و الارز مع الصبار بالجيلي 140 جرام")</f>
        <v>التونا و الارز مع الصبار بالجيلي 140 جرام</v>
      </c>
      <c r="H263" s="133"/>
      <c r="I263" s="133"/>
      <c r="J263" s="133"/>
      <c r="K263" s="133" t="str">
        <f>IFERROR(__xludf.DUMMYFUNCTION("""COMPUTED_VALUE"""),"ساوث ايست الاسيوية للتغليف والتعليب المحدودة")</f>
        <v>ساوث ايست الاسيوية للتغليف والتعليب المحدودة</v>
      </c>
      <c r="L263" s="133"/>
      <c r="M263" s="133"/>
      <c r="N263" s="133"/>
      <c r="O263" s="133"/>
      <c r="P263" s="133"/>
      <c r="Q263" s="133"/>
      <c r="R263" s="133"/>
      <c r="S263" s="133"/>
      <c r="T263" s="133"/>
      <c r="U263" s="133"/>
      <c r="V263" s="133"/>
      <c r="W263" s="133"/>
      <c r="X263" s="133"/>
      <c r="Y263" s="133"/>
      <c r="Z263" s="133"/>
    </row>
    <row r="264">
      <c r="A264" s="133">
        <f>IFERROR(__xludf.DUMMYFUNCTION("""COMPUTED_VALUE"""),263.0)</f>
        <v>263</v>
      </c>
      <c r="B264" s="133" t="str">
        <f>IFERROR(__xludf.DUMMYFUNCTION("""COMPUTED_VALUE"""),"C2731")</f>
        <v>C2731</v>
      </c>
      <c r="C264" s="133" t="str">
        <f>IFERROR(__xludf.DUMMYFUNCTION("""COMPUTED_VALUE"""),"P-1-N-131020-3539")</f>
        <v>P-1-N-131020-3539</v>
      </c>
      <c r="D264" s="133"/>
      <c r="E264" s="133" t="str">
        <f>IFERROR(__xludf.DUMMYFUNCTION("""COMPUTED_VALUE"""),"REJECTED")</f>
        <v>REJECTED</v>
      </c>
      <c r="F264" s="133" t="str">
        <f>IFERROR(__xludf.DUMMYFUNCTION("""COMPUTED_VALUE"""),"Chicken and rice with aloe in gel 140g")</f>
        <v>Chicken and rice with aloe in gel 140g</v>
      </c>
      <c r="G264" s="133" t="str">
        <f>IFERROR(__xludf.DUMMYFUNCTION("""COMPUTED_VALUE"""),"الدجاج و الارز مع الصبار بالجيلي 140 جرام")</f>
        <v>الدجاج و الارز مع الصبار بالجيلي 140 جرام</v>
      </c>
      <c r="H264" s="133"/>
      <c r="I264" s="133"/>
      <c r="J264" s="133"/>
      <c r="K264" s="133" t="str">
        <f>IFERROR(__xludf.DUMMYFUNCTION("""COMPUTED_VALUE"""),"ساوث ايست الاسيوية للتغليف والتعليب المحدودة")</f>
        <v>ساوث ايست الاسيوية للتغليف والتعليب المحدودة</v>
      </c>
      <c r="L264" s="142" t="str">
        <f>IFERROR(__xludf.DUMMYFUNCTION("""COMPUTED_VALUE"""),"C2731")</f>
        <v>C2731</v>
      </c>
      <c r="M264" s="133"/>
      <c r="N264" s="133"/>
      <c r="O264" s="133"/>
      <c r="P264" s="133"/>
      <c r="Q264" s="133"/>
      <c r="R264" s="133"/>
      <c r="S264" s="133"/>
      <c r="T264" s="133"/>
      <c r="U264" s="133"/>
      <c r="V264" s="133"/>
      <c r="W264" s="133"/>
      <c r="X264" s="133"/>
      <c r="Y264" s="133"/>
      <c r="Z264" s="133"/>
    </row>
    <row r="265">
      <c r="A265" s="133">
        <f>IFERROR(__xludf.DUMMYFUNCTION("""COMPUTED_VALUE"""),264.0)</f>
        <v>264</v>
      </c>
      <c r="B265" s="133" t="str">
        <f>IFERROR(__xludf.DUMMYFUNCTION("""COMPUTED_VALUE"""),"C2800")</f>
        <v>C2800</v>
      </c>
      <c r="C265" s="133" t="str">
        <f>IFERROR(__xludf.DUMMYFUNCTION("""COMPUTED_VALUE"""),"P-1-N-131020-3540")</f>
        <v>P-1-N-131020-3540</v>
      </c>
      <c r="D265" s="133"/>
      <c r="E265" s="133" t="str">
        <f>IFERROR(__xludf.DUMMYFUNCTION("""COMPUTED_VALUE"""),"تمت طباعة الشهادة")</f>
        <v>تمت طباعة الشهادة</v>
      </c>
      <c r="F265" s="133" t="str">
        <f>IFERROR(__xludf.DUMMYFUNCTION("""COMPUTED_VALUE"""),"Chicken and rice with carrot in jelly 285g")</f>
        <v>Chicken and rice with carrot in jelly 285g</v>
      </c>
      <c r="G265" s="133" t="str">
        <f>IFERROR(__xludf.DUMMYFUNCTION("""COMPUTED_VALUE"""),"دجاج و ارز مع الجزر بالجيلي 285 جرام")</f>
        <v>دجاج و ارز مع الجزر بالجيلي 285 جرام</v>
      </c>
      <c r="H265" s="133" t="str">
        <f>IFERROR(__xludf.DUMMYFUNCTION("""COMPUTED_VALUE"""),"MAFE20201828")</f>
        <v>MAFE20201828</v>
      </c>
      <c r="I265" s="133"/>
      <c r="J265" s="133"/>
      <c r="K265" s="133" t="str">
        <f>IFERROR(__xludf.DUMMYFUNCTION("""COMPUTED_VALUE"""),"ساوث ايست الاسيوية للتغليف والتعليب المحدودة")</f>
        <v>ساوث ايست الاسيوية للتغليف والتعليب المحدودة</v>
      </c>
      <c r="L265" s="142" t="str">
        <f>IFERROR(__xludf.DUMMYFUNCTION("""COMPUTED_VALUE"""),"C2800")</f>
        <v>C2800</v>
      </c>
      <c r="M265" s="133"/>
      <c r="N265" s="133"/>
      <c r="O265" s="133"/>
      <c r="P265" s="133"/>
      <c r="Q265" s="133"/>
      <c r="R265" s="133"/>
      <c r="S265" s="133"/>
      <c r="T265" s="133"/>
      <c r="U265" s="133"/>
      <c r="V265" s="133"/>
      <c r="W265" s="133"/>
      <c r="X265" s="133"/>
      <c r="Y265" s="133"/>
      <c r="Z265" s="133"/>
    </row>
    <row r="266">
      <c r="A266" s="133">
        <f>IFERROR(__xludf.DUMMYFUNCTION("""COMPUTED_VALUE"""),265.0)</f>
        <v>265</v>
      </c>
      <c r="B266" s="133" t="str">
        <f>IFERROR(__xludf.DUMMYFUNCTION("""COMPUTED_VALUE"""),"C2801")</f>
        <v>C2801</v>
      </c>
      <c r="C266" s="133" t="str">
        <f>IFERROR(__xludf.DUMMYFUNCTION("""COMPUTED_VALUE"""),"P-1-N-131020-3541")</f>
        <v>P-1-N-131020-3541</v>
      </c>
      <c r="D266" s="133"/>
      <c r="E266" s="133" t="str">
        <f>IFERROR(__xludf.DUMMYFUNCTION("""COMPUTED_VALUE"""),"تمت طباعة الشهادة")</f>
        <v>تمت طباعة الشهادة</v>
      </c>
      <c r="F266" s="133" t="str">
        <f>IFERROR(__xludf.DUMMYFUNCTION("""COMPUTED_VALUE"""),"Chicken, rice with potato and carrot in jelly 285g")</f>
        <v>Chicken, rice with potato and carrot in jelly 285g</v>
      </c>
      <c r="G266" s="133" t="str">
        <f>IFERROR(__xludf.DUMMYFUNCTION("""COMPUTED_VALUE"""),"دجاج، ارز مع بطاطا و جزر بالجيلي 285 جرام")</f>
        <v>دجاج، ارز مع بطاطا و جزر بالجيلي 285 جرام</v>
      </c>
      <c r="H266" s="133" t="str">
        <f>IFERROR(__xludf.DUMMYFUNCTION("""COMPUTED_VALUE"""),"MAFE20201855")</f>
        <v>MAFE20201855</v>
      </c>
      <c r="I266" s="133"/>
      <c r="J266" s="133"/>
      <c r="K266" s="133" t="str">
        <f>IFERROR(__xludf.DUMMYFUNCTION("""COMPUTED_VALUE"""),"ساوث ايست الاسيوية للتغليف والتعليب المحدودة")</f>
        <v>ساوث ايست الاسيوية للتغليف والتعليب المحدودة</v>
      </c>
      <c r="L266" s="142" t="str">
        <f>IFERROR(__xludf.DUMMYFUNCTION("""COMPUTED_VALUE"""),"C2801")</f>
        <v>C2801</v>
      </c>
      <c r="M266" s="133"/>
      <c r="N266" s="133"/>
      <c r="O266" s="133"/>
      <c r="P266" s="133"/>
      <c r="Q266" s="133"/>
      <c r="R266" s="133"/>
      <c r="S266" s="133"/>
      <c r="T266" s="133"/>
      <c r="U266" s="133"/>
      <c r="V266" s="133"/>
      <c r="W266" s="133"/>
      <c r="X266" s="133"/>
      <c r="Y266" s="133"/>
      <c r="Z266" s="133"/>
    </row>
    <row r="267">
      <c r="A267" s="133">
        <f>IFERROR(__xludf.DUMMYFUNCTION("""COMPUTED_VALUE"""),266.0)</f>
        <v>266</v>
      </c>
      <c r="B267" s="133" t="str">
        <f>IFERROR(__xludf.DUMMYFUNCTION("""COMPUTED_VALUE"""),"C2802")</f>
        <v>C2802</v>
      </c>
      <c r="C267" s="133" t="str">
        <f>IFERROR(__xludf.DUMMYFUNCTION("""COMPUTED_VALUE"""),"P-1-N-131020-3542")</f>
        <v>P-1-N-131020-3542</v>
      </c>
      <c r="D267" s="133"/>
      <c r="E267" s="133" t="str">
        <f>IFERROR(__xludf.DUMMYFUNCTION("""COMPUTED_VALUE"""),"تمت طباعة الشهادة")</f>
        <v>تمت طباعة الشهادة</v>
      </c>
      <c r="F267" s="133" t="str">
        <f>IFERROR(__xludf.DUMMYFUNCTION("""COMPUTED_VALUE"""),"Chicken and rice with pumpkin in jelly 285g")</f>
        <v>Chicken and rice with pumpkin in jelly 285g</v>
      </c>
      <c r="G267" s="133" t="str">
        <f>IFERROR(__xludf.DUMMYFUNCTION("""COMPUTED_VALUE"""),"دجاج و ارز بالقرع في جيلي 285 جرام")</f>
        <v>دجاج و ارز بالقرع في جيلي 285 جرام</v>
      </c>
      <c r="H267" s="133" t="str">
        <f>IFERROR(__xludf.DUMMYFUNCTION("""COMPUTED_VALUE"""),"MAFE20201854")</f>
        <v>MAFE20201854</v>
      </c>
      <c r="I267" s="133"/>
      <c r="J267" s="133"/>
      <c r="K267" s="133" t="str">
        <f>IFERROR(__xludf.DUMMYFUNCTION("""COMPUTED_VALUE"""),"ساوث")</f>
        <v>ساوث</v>
      </c>
      <c r="L267" s="142" t="str">
        <f>IFERROR(__xludf.DUMMYFUNCTION("""COMPUTED_VALUE"""),"C2802")</f>
        <v>C2802</v>
      </c>
      <c r="M267" s="133"/>
      <c r="N267" s="133"/>
      <c r="O267" s="133"/>
      <c r="P267" s="133"/>
      <c r="Q267" s="133"/>
      <c r="R267" s="133"/>
      <c r="S267" s="133"/>
      <c r="T267" s="133"/>
      <c r="U267" s="133"/>
      <c r="V267" s="133"/>
      <c r="W267" s="133"/>
      <c r="X267" s="133"/>
      <c r="Y267" s="133"/>
      <c r="Z267" s="133"/>
    </row>
    <row r="268">
      <c r="A268" s="133">
        <f>IFERROR(__xludf.DUMMYFUNCTION("""COMPUTED_VALUE"""),267.0)</f>
        <v>267</v>
      </c>
      <c r="B268" s="133" t="str">
        <f>IFERROR(__xludf.DUMMYFUNCTION("""COMPUTED_VALUE"""),"C2803")</f>
        <v>C2803</v>
      </c>
      <c r="C268" s="133" t="str">
        <f>IFERROR(__xludf.DUMMYFUNCTION("""COMPUTED_VALUE"""),"P-1-N-131020-3543")</f>
        <v>P-1-N-131020-3543</v>
      </c>
      <c r="D268" s="133"/>
      <c r="E268" s="133" t="str">
        <f>IFERROR(__xludf.DUMMYFUNCTION("""COMPUTED_VALUE"""),"تمت طباعة الشهادة")</f>
        <v>تمت طباعة الشهادة</v>
      </c>
      <c r="F268" s="133" t="str">
        <f>IFERROR(__xludf.DUMMYFUNCTION("""COMPUTED_VALUE"""),"Chicken and rice with green pea in jelly 285g")</f>
        <v>Chicken and rice with green pea in jelly 285g</v>
      </c>
      <c r="G268" s="133" t="str">
        <f>IFERROR(__xludf.DUMMYFUNCTION("""COMPUTED_VALUE"""),"دجاج و ارز مع بازلا خضراء بالجيلي 285 جرام")</f>
        <v>دجاج و ارز مع بازلا خضراء بالجيلي 285 جرام</v>
      </c>
      <c r="H268" s="133" t="str">
        <f>IFERROR(__xludf.DUMMYFUNCTION("""COMPUTED_VALUE"""),"MAFE20201827")</f>
        <v>MAFE20201827</v>
      </c>
      <c r="I268" s="133"/>
      <c r="J268" s="133"/>
      <c r="K268" s="133" t="str">
        <f>IFERROR(__xludf.DUMMYFUNCTION("""COMPUTED_VALUE"""),"ساوث ايست الاسيوية للتغليف والتعليب المحدودة")</f>
        <v>ساوث ايست الاسيوية للتغليف والتعليب المحدودة</v>
      </c>
      <c r="L268" s="142" t="str">
        <f>IFERROR(__xludf.DUMMYFUNCTION("""COMPUTED_VALUE"""),"C2803")</f>
        <v>C2803</v>
      </c>
      <c r="M268" s="133"/>
      <c r="N268" s="133"/>
      <c r="O268" s="133"/>
      <c r="P268" s="133"/>
      <c r="Q268" s="133"/>
      <c r="R268" s="133"/>
      <c r="S268" s="133"/>
      <c r="T268" s="133"/>
      <c r="U268" s="133"/>
      <c r="V268" s="133"/>
      <c r="W268" s="133"/>
      <c r="X268" s="133"/>
      <c r="Y268" s="133"/>
      <c r="Z268" s="133"/>
    </row>
    <row r="269">
      <c r="A269" s="133">
        <f>IFERROR(__xludf.DUMMYFUNCTION("""COMPUTED_VALUE"""),268.0)</f>
        <v>268</v>
      </c>
      <c r="B269" s="133" t="str">
        <f>IFERROR(__xludf.DUMMYFUNCTION("""COMPUTED_VALUE"""),"B1104")</f>
        <v>B1104</v>
      </c>
      <c r="C269" s="133" t="str">
        <f>IFERROR(__xludf.DUMMYFUNCTION("""COMPUTED_VALUE"""),"P-1-N-211020-3705")</f>
        <v>P-1-N-211020-3705</v>
      </c>
      <c r="D269" s="133"/>
      <c r="E269" s="133" t="str">
        <f>IFERROR(__xludf.DUMMYFUNCTION("""COMPUTED_VALUE"""),"REJECTED")</f>
        <v>REJECTED</v>
      </c>
      <c r="F269" s="133" t="str">
        <f>IFERROR(__xludf.DUMMYFUNCTION("""COMPUTED_VALUE"""),"Butcher's Natural &amp; Healthy Dog with Chicken and Rice Pate 390g")</f>
        <v>Butcher's Natural &amp; Healthy Dog with Chicken and Rice Pate 390g</v>
      </c>
      <c r="G269" s="133" t="str">
        <f>IFERROR(__xludf.DUMMYFUNCTION("""COMPUTED_VALUE"""),"بوتشرز")</f>
        <v>بوتشرز</v>
      </c>
      <c r="H269" s="133"/>
      <c r="I269" s="133"/>
      <c r="J269" s="133"/>
      <c r="K269" s="133" t="str">
        <f>IFERROR(__xludf.DUMMYFUNCTION("""COMPUTED_VALUE"""),"بوتشرز بت كير ال تي دي")</f>
        <v>بوتشرز بت كير ال تي دي</v>
      </c>
      <c r="L269" s="142" t="str">
        <f>IFERROR(__xludf.DUMMYFUNCTION("""COMPUTED_VALUE"""),"B1104")</f>
        <v>B1104</v>
      </c>
      <c r="M269" s="133"/>
      <c r="N269" s="133"/>
      <c r="O269" s="133"/>
      <c r="P269" s="133"/>
      <c r="Q269" s="133"/>
      <c r="R269" s="133"/>
      <c r="S269" s="133"/>
      <c r="T269" s="133"/>
      <c r="U269" s="133"/>
      <c r="V269" s="133"/>
      <c r="W269" s="133"/>
      <c r="X269" s="133"/>
      <c r="Y269" s="133"/>
      <c r="Z269" s="133"/>
    </row>
    <row r="270">
      <c r="A270" s="133">
        <f>IFERROR(__xludf.DUMMYFUNCTION("""COMPUTED_VALUE"""),269.0)</f>
        <v>269</v>
      </c>
      <c r="B270" s="133" t="str">
        <f>IFERROR(__xludf.DUMMYFUNCTION("""COMPUTED_VALUE"""),"C127")</f>
        <v>C127</v>
      </c>
      <c r="C270" s="133" t="str">
        <f>IFERROR(__xludf.DUMMYFUNCTION("""COMPUTED_VALUE"""),"P-1-N-291020-3850")</f>
        <v>P-1-N-291020-3850</v>
      </c>
      <c r="D270" s="133"/>
      <c r="E270" s="133" t="str">
        <f>IFERROR(__xludf.DUMMYFUNCTION("""COMPUTED_VALUE"""),"تمت طباعة الشهادة")</f>
        <v>تمت طباعة الشهادة</v>
      </c>
      <c r="F270" s="133" t="str">
        <f>IFERROR(__xludf.DUMMYFUNCTION("""COMPUTED_VALUE"""),"Tuna whole meat, chicken, rice in soft jelly (6*50) 300g")</f>
        <v>Tuna whole meat, chicken, rice in soft jelly (6*50) 300g</v>
      </c>
      <c r="G270" s="133" t="str">
        <f>IFERROR(__xludf.DUMMYFUNCTION("""COMPUTED_VALUE"""),"لحم التونا و الدجاج و الأرز بالجيلي الطري (6*50) 300 جرام")</f>
        <v>لحم التونا و الدجاج و الأرز بالجيلي الطري (6*50) 300 جرام</v>
      </c>
      <c r="H270" s="133" t="str">
        <f>IFERROR(__xludf.DUMMYFUNCTION("""COMPUTED_VALUE"""),"MAFE20201772")</f>
        <v>MAFE20201772</v>
      </c>
      <c r="I270" s="133"/>
      <c r="J270" s="133"/>
      <c r="K270" s="133" t="str">
        <f>IFERROR(__xludf.DUMMYFUNCTION("""COMPUTED_VALUE"""),"ساوث ايست الاسيوية للتغليف والتعليب المحدودة")</f>
        <v>ساوث ايست الاسيوية للتغليف والتعليب المحدودة</v>
      </c>
      <c r="L270" s="142" t="str">
        <f>IFERROR(__xludf.DUMMYFUNCTION("""COMPUTED_VALUE"""),"C127")</f>
        <v>C127</v>
      </c>
      <c r="M270" s="133"/>
      <c r="N270" s="133"/>
      <c r="O270" s="133"/>
      <c r="P270" s="133"/>
      <c r="Q270" s="133"/>
      <c r="R270" s="133"/>
      <c r="S270" s="133"/>
      <c r="T270" s="133"/>
      <c r="U270" s="133"/>
      <c r="V270" s="133"/>
      <c r="W270" s="133"/>
      <c r="X270" s="133"/>
      <c r="Y270" s="133"/>
      <c r="Z270" s="133"/>
    </row>
    <row r="271">
      <c r="A271" s="133">
        <f>IFERROR(__xludf.DUMMYFUNCTION("""COMPUTED_VALUE"""),270.0)</f>
        <v>270</v>
      </c>
      <c r="B271" s="133" t="str">
        <f>IFERROR(__xludf.DUMMYFUNCTION("""COMPUTED_VALUE"""),"B1107")</f>
        <v>B1107</v>
      </c>
      <c r="C271" s="133" t="str">
        <f>IFERROR(__xludf.DUMMYFUNCTION("""COMPUTED_VALUE"""),"P-1-N-291020-3853")</f>
        <v>P-1-N-291020-3853</v>
      </c>
      <c r="D271" s="133"/>
      <c r="E271" s="133" t="str">
        <f>IFERROR(__xludf.DUMMYFUNCTION("""COMPUTED_VALUE"""),"تمت طباعة الشهادة")</f>
        <v>تمت طباعة الشهادة</v>
      </c>
      <c r="F271" s="133" t="str">
        <f>IFERROR(__xludf.DUMMYFUNCTION("""COMPUTED_VALUE"""),"Butcher's Natural &amp; Healthy Dog with Beef and Rice Pate 390g")</f>
        <v>Butcher's Natural &amp; Healthy Dog with Beef and Rice Pate 390g</v>
      </c>
      <c r="G271" s="133" t="str">
        <f>IFERROR(__xludf.DUMMYFUNCTION("""COMPUTED_VALUE"""),"بوتشرز طبيعي وصحي للكلاب مع لحم البقر والرز باتي 390 جم")</f>
        <v>بوتشرز طبيعي وصحي للكلاب مع لحم البقر والرز باتي 390 جم</v>
      </c>
      <c r="H271" s="133" t="str">
        <f>IFERROR(__xludf.DUMMYFUNCTION("""COMPUTED_VALUE"""),"MAFE20201768")</f>
        <v>MAFE20201768</v>
      </c>
      <c r="I271" s="133"/>
      <c r="J271" s="133"/>
      <c r="K271" s="133" t="str">
        <f>IFERROR(__xludf.DUMMYFUNCTION("""COMPUTED_VALUE"""),"بوتشرز بت كير ال تي دي")</f>
        <v>بوتشرز بت كير ال تي دي</v>
      </c>
      <c r="L271" s="142" t="str">
        <f>IFERROR(__xludf.DUMMYFUNCTION("""COMPUTED_VALUE"""),"B1107")</f>
        <v>B1107</v>
      </c>
      <c r="M271" s="133"/>
      <c r="N271" s="133"/>
      <c r="O271" s="133"/>
      <c r="P271" s="133"/>
      <c r="Q271" s="133"/>
      <c r="R271" s="133"/>
      <c r="S271" s="133"/>
      <c r="T271" s="133"/>
      <c r="U271" s="133"/>
      <c r="V271" s="133"/>
      <c r="W271" s="133"/>
      <c r="X271" s="133"/>
      <c r="Y271" s="133"/>
      <c r="Z271" s="133"/>
    </row>
    <row r="272">
      <c r="A272" s="133">
        <f>IFERROR(__xludf.DUMMYFUNCTION("""COMPUTED_VALUE"""),271.0)</f>
        <v>271</v>
      </c>
      <c r="B272" s="133" t="str">
        <f>IFERROR(__xludf.DUMMYFUNCTION("""COMPUTED_VALUE"""),"B1110")</f>
        <v>B1110</v>
      </c>
      <c r="C272" s="133" t="str">
        <f>IFERROR(__xludf.DUMMYFUNCTION("""COMPUTED_VALUE"""),"P-1-N-291020-3854")</f>
        <v>P-1-N-291020-3854</v>
      </c>
      <c r="D272" s="133"/>
      <c r="E272" s="133" t="str">
        <f>IFERROR(__xludf.DUMMYFUNCTION("""COMPUTED_VALUE"""),"تمت طباعة الشهادة")</f>
        <v>تمت طباعة الشهادة</v>
      </c>
      <c r="F272" s="133" t="str">
        <f>IFERROR(__xludf.DUMMYFUNCTION("""COMPUTED_VALUE"""),"Butcher's Natural &amp; Healthy Dog with Lamb and Rice Pate 390g")</f>
        <v>Butcher's Natural &amp; Healthy Dog with Lamb and Rice Pate 390g</v>
      </c>
      <c r="G272" s="133" t="str">
        <f>IFERROR(__xludf.DUMMYFUNCTION("""COMPUTED_VALUE"""),"بوتشرز طبيعي وصحي للكلاب مع لحم ضأن والرز باتي 390 جم")</f>
        <v>بوتشرز طبيعي وصحي للكلاب مع لحم ضأن والرز باتي 390 جم</v>
      </c>
      <c r="H272" s="133" t="str">
        <f>IFERROR(__xludf.DUMMYFUNCTION("""COMPUTED_VALUE"""),"MAFE20201767")</f>
        <v>MAFE20201767</v>
      </c>
      <c r="I272" s="133"/>
      <c r="J272" s="133"/>
      <c r="K272" s="133" t="str">
        <f>IFERROR(__xludf.DUMMYFUNCTION("""COMPUTED_VALUE"""),"بوتشرز بت كير ال تي دي")</f>
        <v>بوتشرز بت كير ال تي دي</v>
      </c>
      <c r="L272" s="142" t="str">
        <f>IFERROR(__xludf.DUMMYFUNCTION("""COMPUTED_VALUE"""),"B1110")</f>
        <v>B1110</v>
      </c>
      <c r="M272" s="133"/>
      <c r="N272" s="133"/>
      <c r="O272" s="133"/>
      <c r="P272" s="133"/>
      <c r="Q272" s="133"/>
      <c r="R272" s="133"/>
      <c r="S272" s="133"/>
      <c r="T272" s="133"/>
      <c r="U272" s="133"/>
      <c r="V272" s="133"/>
      <c r="W272" s="133"/>
      <c r="X272" s="133"/>
      <c r="Y272" s="133"/>
      <c r="Z272" s="133"/>
    </row>
    <row r="273">
      <c r="A273" s="133">
        <f>IFERROR(__xludf.DUMMYFUNCTION("""COMPUTED_VALUE"""),272.0)</f>
        <v>272</v>
      </c>
      <c r="B273" s="133" t="str">
        <f>IFERROR(__xludf.DUMMYFUNCTION("""COMPUTED_VALUE"""),"B1104")</f>
        <v>B1104</v>
      </c>
      <c r="C273" s="133" t="str">
        <f>IFERROR(__xludf.DUMMYFUNCTION("""COMPUTED_VALUE"""),"P-1-N-291020-3856")</f>
        <v>P-1-N-291020-3856</v>
      </c>
      <c r="D273" s="133"/>
      <c r="E273" s="133" t="str">
        <f>IFERROR(__xludf.DUMMYFUNCTION("""COMPUTED_VALUE"""),"تمت طباعة الشهادة")</f>
        <v>تمت طباعة الشهادة</v>
      </c>
      <c r="F273" s="133" t="str">
        <f>IFERROR(__xludf.DUMMYFUNCTION("""COMPUTED_VALUE"""),"Butcher's Natural &amp; Healthy Dog with Chicken and Rice Pate 390g")</f>
        <v>Butcher's Natural &amp; Healthy Dog with Chicken and Rice Pate 390g</v>
      </c>
      <c r="G273" s="133" t="str">
        <f>IFERROR(__xludf.DUMMYFUNCTION("""COMPUTED_VALUE"""),"بوتشرز طبيعي وصحي للكلاب مع الدجاج والرز باتي 390 جم")</f>
        <v>بوتشرز طبيعي وصحي للكلاب مع الدجاج والرز باتي 390 جم</v>
      </c>
      <c r="H273" s="133" t="str">
        <f>IFERROR(__xludf.DUMMYFUNCTION("""COMPUTED_VALUE"""),"MAFE20201765")</f>
        <v>MAFE20201765</v>
      </c>
      <c r="I273" s="133"/>
      <c r="J273" s="133"/>
      <c r="K273" s="133" t="str">
        <f>IFERROR(__xludf.DUMMYFUNCTION("""COMPUTED_VALUE"""),"بوتشرز بت كير ال تي دي")</f>
        <v>بوتشرز بت كير ال تي دي</v>
      </c>
      <c r="L273" s="142" t="str">
        <f>IFERROR(__xludf.DUMMYFUNCTION("""COMPUTED_VALUE"""),"B1104")</f>
        <v>B1104</v>
      </c>
      <c r="M273" s="133"/>
      <c r="N273" s="133"/>
      <c r="O273" s="133"/>
      <c r="P273" s="133"/>
      <c r="Q273" s="133"/>
      <c r="R273" s="133"/>
      <c r="S273" s="133"/>
      <c r="T273" s="133"/>
      <c r="U273" s="133"/>
      <c r="V273" s="133"/>
      <c r="W273" s="133"/>
      <c r="X273" s="133"/>
      <c r="Y273" s="133"/>
      <c r="Z273" s="133"/>
    </row>
    <row r="274">
      <c r="A274" s="133">
        <f>IFERROR(__xludf.DUMMYFUNCTION("""COMPUTED_VALUE"""),273.0)</f>
        <v>273</v>
      </c>
      <c r="B274" s="133" t="str">
        <f>IFERROR(__xludf.DUMMYFUNCTION("""COMPUTED_VALUE"""),"FB1005000")</f>
        <v>FB1005000</v>
      </c>
      <c r="C274" s="133" t="str">
        <f>IFERROR(__xludf.DUMMYFUNCTION("""COMPUTED_VALUE"""),"P-1-N-011120-3874")</f>
        <v>P-1-N-011120-3874</v>
      </c>
      <c r="D274" s="133"/>
      <c r="E274" s="133" t="str">
        <f>IFERROR(__xludf.DUMMYFUNCTION("""COMPUTED_VALUE"""),"تمت طباعة الشهادة")</f>
        <v>تمت طباعة الشهادة</v>
      </c>
      <c r="F274" s="133" t="str">
        <f>IFERROR(__xludf.DUMMYFUNCTION("""COMPUTED_VALUE"""),"Fruitables Pumpkin Superblend Digestive Supplement 425g")</f>
        <v>Fruitables Pumpkin Superblend Digestive Supplement 425g</v>
      </c>
      <c r="G274" s="133" t="str">
        <f>IFERROR(__xludf.DUMMYFUNCTION("""COMPUTED_VALUE"""),"فروتابلز بمبكن سوبربلند دايجستف سبلمنت 425 جم")</f>
        <v>فروتابلز بمبكن سوبربلند دايجستف سبلمنت 425 جم</v>
      </c>
      <c r="H274" s="133" t="str">
        <f>IFERROR(__xludf.DUMMYFUNCTION("""COMPUTED_VALUE"""),"MAFE20201795")</f>
        <v>MAFE20201795</v>
      </c>
      <c r="I274" s="133"/>
      <c r="J274" s="133"/>
      <c r="K274" s="133" t="str">
        <f>IFERROR(__xludf.DUMMYFUNCTION("""COMPUTED_VALUE"""),"شركة منتجات مانا برو ذات المسؤولية المحدودة")</f>
        <v>شركة منتجات مانا برو ذات المسؤولية المحدودة</v>
      </c>
      <c r="L274" s="142" t="str">
        <f>IFERROR(__xludf.DUMMYFUNCTION("""COMPUTED_VALUE"""),"FB1005000")</f>
        <v>FB1005000</v>
      </c>
      <c r="M274" s="133"/>
      <c r="N274" s="133"/>
      <c r="O274" s="133"/>
      <c r="P274" s="133"/>
      <c r="Q274" s="133"/>
      <c r="R274" s="133"/>
      <c r="S274" s="133"/>
      <c r="T274" s="133"/>
      <c r="U274" s="133"/>
      <c r="V274" s="133"/>
      <c r="W274" s="133"/>
      <c r="X274" s="133"/>
      <c r="Y274" s="133"/>
      <c r="Z274" s="133"/>
    </row>
    <row r="275">
      <c r="A275" s="133">
        <f>IFERROR(__xludf.DUMMYFUNCTION("""COMPUTED_VALUE"""),274.0)</f>
        <v>274</v>
      </c>
      <c r="B275" s="133" t="str">
        <f>IFERROR(__xludf.DUMMYFUNCTION("""COMPUTED_VALUE"""),"FB1005002")</f>
        <v>FB1005002</v>
      </c>
      <c r="C275" s="133" t="str">
        <f>IFERROR(__xludf.DUMMYFUNCTION("""COMPUTED_VALUE"""),"P-1-N-021120-3890")</f>
        <v>P-1-N-021120-3890</v>
      </c>
      <c r="D275" s="133"/>
      <c r="E275" s="133" t="str">
        <f>IFERROR(__xludf.DUMMYFUNCTION("""COMPUTED_VALUE"""),"تمت طباعة الشهادة")</f>
        <v>تمت طباعة الشهادة</v>
      </c>
      <c r="F275" s="133" t="str">
        <f>IFERROR(__xludf.DUMMYFUNCTION("""COMPUTED_VALUE"""),"Fruitables Switch Food Transition Supplement 425g")</f>
        <v>Fruitables Switch Food Transition Supplement 425g</v>
      </c>
      <c r="G275" s="133" t="str">
        <f>IFERROR(__xludf.DUMMYFUNCTION("""COMPUTED_VALUE"""),"فروتابلز سويتش مكمل غذائي لإستبدال الطعام 425 جم")</f>
        <v>فروتابلز سويتش مكمل غذائي لإستبدال الطعام 425 جم</v>
      </c>
      <c r="H275" s="133" t="str">
        <f>IFERROR(__xludf.DUMMYFUNCTION("""COMPUTED_VALUE"""),"MAFE20201794")</f>
        <v>MAFE20201794</v>
      </c>
      <c r="I275" s="133"/>
      <c r="J275" s="133"/>
      <c r="K275" s="133" t="str">
        <f>IFERROR(__xludf.DUMMYFUNCTION("""COMPUTED_VALUE"""),"شركة منتجات مانا برو ذات المسؤولية المحدودة")</f>
        <v>شركة منتجات مانا برو ذات المسؤولية المحدودة</v>
      </c>
      <c r="L275" s="142" t="str">
        <f>IFERROR(__xludf.DUMMYFUNCTION("""COMPUTED_VALUE"""),"FB1005002")</f>
        <v>FB1005002</v>
      </c>
      <c r="M275" s="133"/>
      <c r="N275" s="133"/>
      <c r="O275" s="133"/>
      <c r="P275" s="133"/>
      <c r="Q275" s="133"/>
      <c r="R275" s="133"/>
      <c r="S275" s="133"/>
      <c r="T275" s="133"/>
      <c r="U275" s="133"/>
      <c r="V275" s="133"/>
      <c r="W275" s="133"/>
      <c r="X275" s="133"/>
      <c r="Y275" s="133"/>
      <c r="Z275" s="133"/>
    </row>
    <row r="276">
      <c r="A276" s="133">
        <f>IFERROR(__xludf.DUMMYFUNCTION("""COMPUTED_VALUE"""),275.0)</f>
        <v>275</v>
      </c>
      <c r="B276" s="133" t="str">
        <f>IFERROR(__xludf.DUMMYFUNCTION("""COMPUTED_VALUE"""),"FB1005018")</f>
        <v>FB1005018</v>
      </c>
      <c r="C276" s="133" t="str">
        <f>IFERROR(__xludf.DUMMYFUNCTION("""COMPUTED_VALUE"""),"P-1-N-021120-3893")</f>
        <v>P-1-N-021120-3893</v>
      </c>
      <c r="D276" s="133"/>
      <c r="E276" s="133" t="str">
        <f>IFERROR(__xludf.DUMMYFUNCTION("""COMPUTED_VALUE"""),"تمت طباعة الشهادة")</f>
        <v>تمت طباعة الشهادة</v>
      </c>
      <c r="F276" s="133" t="str">
        <f>IFERROR(__xludf.DUMMYFUNCTION("""COMPUTED_VALUE"""),"Wildly Natural Chicken Flavor 71g")</f>
        <v>Wildly Natural Chicken Flavor 71g</v>
      </c>
      <c r="G276" s="133" t="str">
        <f>IFERROR(__xludf.DUMMYFUNCTION("""COMPUTED_VALUE"""),"وايدلي ناتشورال نكهة الدجاج 71 جم")</f>
        <v>وايدلي ناتشورال نكهة الدجاج 71 جم</v>
      </c>
      <c r="H276" s="133" t="str">
        <f>IFERROR(__xludf.DUMMYFUNCTION("""COMPUTED_VALUE"""),"MAFE20201793")</f>
        <v>MAFE20201793</v>
      </c>
      <c r="I276" s="133"/>
      <c r="J276" s="133"/>
      <c r="K276" s="133" t="str">
        <f>IFERROR(__xludf.DUMMYFUNCTION("""COMPUTED_VALUE"""),"شركة منتجات مانا برو ذات المسؤولية المحدودة")</f>
        <v>شركة منتجات مانا برو ذات المسؤولية المحدودة</v>
      </c>
      <c r="L276" s="142" t="str">
        <f>IFERROR(__xludf.DUMMYFUNCTION("""COMPUTED_VALUE"""),"FB1005018")</f>
        <v>FB1005018</v>
      </c>
      <c r="M276" s="133"/>
      <c r="N276" s="133"/>
      <c r="O276" s="133"/>
      <c r="P276" s="133"/>
      <c r="Q276" s="133"/>
      <c r="R276" s="133"/>
      <c r="S276" s="133"/>
      <c r="T276" s="133"/>
      <c r="U276" s="133"/>
      <c r="V276" s="133"/>
      <c r="W276" s="133"/>
      <c r="X276" s="133"/>
      <c r="Y276" s="133"/>
      <c r="Z276" s="133"/>
    </row>
    <row r="277">
      <c r="A277" s="133">
        <f>IFERROR(__xludf.DUMMYFUNCTION("""COMPUTED_VALUE"""),276.0)</f>
        <v>276</v>
      </c>
      <c r="B277" s="133" t="str">
        <f>IFERROR(__xludf.DUMMYFUNCTION("""COMPUTED_VALUE"""),"FB1005019")</f>
        <v>FB1005019</v>
      </c>
      <c r="C277" s="133" t="str">
        <f>IFERROR(__xludf.DUMMYFUNCTION("""COMPUTED_VALUE"""),"P-1-N-021120-3894")</f>
        <v>P-1-N-021120-3894</v>
      </c>
      <c r="D277" s="133"/>
      <c r="E277" s="133" t="str">
        <f>IFERROR(__xludf.DUMMYFUNCTION("""COMPUTED_VALUE"""),"تمت طباعة الشهادة")</f>
        <v>تمت طباعة الشهادة</v>
      </c>
      <c r="F277" s="133" t="str">
        <f>IFERROR(__xludf.DUMMYFUNCTION("""COMPUTED_VALUE"""),"Wildly Natural Salmon Flavor 71g")</f>
        <v>Wildly Natural Salmon Flavor 71g</v>
      </c>
      <c r="G277" s="133" t="str">
        <f>IFERROR(__xludf.DUMMYFUNCTION("""COMPUTED_VALUE"""),"وايدلي ناتشورال نكهة السلمون 71 جم")</f>
        <v>وايدلي ناتشورال نكهة السلمون 71 جم</v>
      </c>
      <c r="H277" s="133" t="str">
        <f>IFERROR(__xludf.DUMMYFUNCTION("""COMPUTED_VALUE"""),"MAFE20201792")</f>
        <v>MAFE20201792</v>
      </c>
      <c r="I277" s="133"/>
      <c r="J277" s="133"/>
      <c r="K277" s="133" t="str">
        <f>IFERROR(__xludf.DUMMYFUNCTION("""COMPUTED_VALUE"""),"شركة")</f>
        <v>شركة</v>
      </c>
      <c r="L277" s="142" t="str">
        <f>IFERROR(__xludf.DUMMYFUNCTION("""COMPUTED_VALUE"""),"FB1005019")</f>
        <v>FB1005019</v>
      </c>
      <c r="M277" s="133"/>
      <c r="N277" s="133"/>
      <c r="O277" s="133"/>
      <c r="P277" s="133"/>
      <c r="Q277" s="133"/>
      <c r="R277" s="133"/>
      <c r="S277" s="133"/>
      <c r="T277" s="133"/>
      <c r="U277" s="133"/>
      <c r="V277" s="133"/>
      <c r="W277" s="133"/>
      <c r="X277" s="133"/>
      <c r="Y277" s="133"/>
      <c r="Z277" s="133"/>
    </row>
    <row r="278">
      <c r="A278" s="133">
        <f>IFERROR(__xludf.DUMMYFUNCTION("""COMPUTED_VALUE"""),277.0)</f>
        <v>277</v>
      </c>
      <c r="B278" s="133" t="str">
        <f>IFERROR(__xludf.DUMMYFUNCTION("""COMPUTED_VALUE"""),"FB1005020")</f>
        <v>FB1005020</v>
      </c>
      <c r="C278" s="133" t="str">
        <f>IFERROR(__xludf.DUMMYFUNCTION("""COMPUTED_VALUE"""),"P-1-N-021120-3895")</f>
        <v>P-1-N-021120-3895</v>
      </c>
      <c r="D278" s="133"/>
      <c r="E278" s="133" t="str">
        <f>IFERROR(__xludf.DUMMYFUNCTION("""COMPUTED_VALUE"""),"تمت طباعة الشهادة")</f>
        <v>تمت طباعة الشهادة</v>
      </c>
      <c r="F278" s="133" t="str">
        <f>IFERROR(__xludf.DUMMYFUNCTION("""COMPUTED_VALUE"""),"Wildly Natural Tuna Flavor 71g")</f>
        <v>Wildly Natural Tuna Flavor 71g</v>
      </c>
      <c r="G278" s="133" t="str">
        <f>IFERROR(__xludf.DUMMYFUNCTION("""COMPUTED_VALUE"""),"وايدلي ناتشورال نكهة التونة 71 جم")</f>
        <v>وايدلي ناتشورال نكهة التونة 71 جم</v>
      </c>
      <c r="H278" s="133" t="str">
        <f>IFERROR(__xludf.DUMMYFUNCTION("""COMPUTED_VALUE"""),"MAFE20201791")</f>
        <v>MAFE20201791</v>
      </c>
      <c r="I278" s="133"/>
      <c r="J278" s="133"/>
      <c r="K278" s="133" t="str">
        <f>IFERROR(__xludf.DUMMYFUNCTION("""COMPUTED_VALUE"""),"شركة منتجات مانا برو ذات المسؤولية المحدودة")</f>
        <v>شركة منتجات مانا برو ذات المسؤولية المحدودة</v>
      </c>
      <c r="L278" s="142" t="str">
        <f>IFERROR(__xludf.DUMMYFUNCTION("""COMPUTED_VALUE"""),"FB1005020")</f>
        <v>FB1005020</v>
      </c>
      <c r="M278" s="133"/>
      <c r="N278" s="133"/>
      <c r="O278" s="133"/>
      <c r="P278" s="133"/>
      <c r="Q278" s="133"/>
      <c r="R278" s="133"/>
      <c r="S278" s="133"/>
      <c r="T278" s="133"/>
      <c r="U278" s="133"/>
      <c r="V278" s="133"/>
      <c r="W278" s="133"/>
      <c r="X278" s="133"/>
      <c r="Y278" s="133"/>
      <c r="Z278" s="133"/>
    </row>
    <row r="279">
      <c r="A279" s="133">
        <f>IFERROR(__xludf.DUMMYFUNCTION("""COMPUTED_VALUE"""),278.0)</f>
        <v>278</v>
      </c>
      <c r="B279" s="133" t="str">
        <f>IFERROR(__xludf.DUMMYFUNCTION("""COMPUTED_VALUE"""),"FB1005100")</f>
        <v>FB1005100</v>
      </c>
      <c r="C279" s="133" t="str">
        <f>IFERROR(__xludf.DUMMYFUNCTION("""COMPUTED_VALUE"""),"P-1-N-021120-3896")</f>
        <v>P-1-N-021120-3896</v>
      </c>
      <c r="D279" s="133"/>
      <c r="E279" s="133" t="str">
        <f>IFERROR(__xludf.DUMMYFUNCTION("""COMPUTED_VALUE"""),"تمت طباعة الشهادة")</f>
        <v>تمت طباعة الشهادة</v>
      </c>
      <c r="F279" s="133" t="str">
        <f>IFERROR(__xludf.DUMMYFUNCTION("""COMPUTED_VALUE"""),"Wildly Natural Whole Jerky Roast Chick Tenders 141g")</f>
        <v>Wildly Natural Whole Jerky Roast Chick Tenders 141g</v>
      </c>
      <c r="G279" s="133" t="str">
        <f>IFERROR(__xludf.DUMMYFUNCTION("""COMPUTED_VALUE"""),"وايدلي ناتشورال هول جيركي تيندرز دجاج مشوي 141 جم")</f>
        <v>وايدلي ناتشورال هول جيركي تيندرز دجاج مشوي 141 جم</v>
      </c>
      <c r="H279" s="133" t="str">
        <f>IFERROR(__xludf.DUMMYFUNCTION("""COMPUTED_VALUE"""),"MAFE20201790")</f>
        <v>MAFE20201790</v>
      </c>
      <c r="I279" s="133"/>
      <c r="J279" s="133"/>
      <c r="K279" s="133" t="str">
        <f>IFERROR(__xludf.DUMMYFUNCTION("""COMPUTED_VALUE"""),"شركة منتجات مانا برو ذات المسؤولية المحدودة")</f>
        <v>شركة منتجات مانا برو ذات المسؤولية المحدودة</v>
      </c>
      <c r="L279" s="142" t="str">
        <f>IFERROR(__xludf.DUMMYFUNCTION("""COMPUTED_VALUE"""),"FB1005100")</f>
        <v>FB1005100</v>
      </c>
      <c r="M279" s="133"/>
      <c r="N279" s="133"/>
      <c r="O279" s="133"/>
      <c r="P279" s="133"/>
      <c r="Q279" s="133"/>
      <c r="R279" s="133"/>
      <c r="S279" s="133"/>
      <c r="T279" s="133"/>
      <c r="U279" s="133"/>
      <c r="V279" s="133"/>
      <c r="W279" s="133"/>
      <c r="X279" s="133"/>
      <c r="Y279" s="133"/>
      <c r="Z279" s="133"/>
    </row>
    <row r="280">
      <c r="A280" s="133">
        <f>IFERROR(__xludf.DUMMYFUNCTION("""COMPUTED_VALUE"""),279.0)</f>
        <v>279</v>
      </c>
      <c r="B280" s="133" t="str">
        <f>IFERROR(__xludf.DUMMYFUNCTION("""COMPUTED_VALUE"""),"FB1005102")</f>
        <v>FB1005102</v>
      </c>
      <c r="C280" s="133" t="str">
        <f>IFERROR(__xludf.DUMMYFUNCTION("""COMPUTED_VALUE"""),"P-1-N-021120-3897")</f>
        <v>P-1-N-021120-3897</v>
      </c>
      <c r="D280" s="133"/>
      <c r="E280" s="133" t="str">
        <f>IFERROR(__xludf.DUMMYFUNCTION("""COMPUTED_VALUE"""),"تمت طباعة الشهادة")</f>
        <v>تمت طباعة الشهادة</v>
      </c>
      <c r="F280" s="133" t="str">
        <f>IFERROR(__xludf.DUMMYFUNCTION("""COMPUTED_VALUE"""),"Wildly Natural Whole Jerky Roast Chick Tenders 340g")</f>
        <v>Wildly Natural Whole Jerky Roast Chick Tenders 340g</v>
      </c>
      <c r="G280" s="133" t="str">
        <f>IFERROR(__xludf.DUMMYFUNCTION("""COMPUTED_VALUE"""),"وايدلي ناتشورال هول جيركي تيندرز دجاج مشوي 340 جم")</f>
        <v>وايدلي ناتشورال هول جيركي تيندرز دجاج مشوي 340 جم</v>
      </c>
      <c r="H280" s="133" t="str">
        <f>IFERROR(__xludf.DUMMYFUNCTION("""COMPUTED_VALUE"""),"MAFE20201821")</f>
        <v>MAFE20201821</v>
      </c>
      <c r="I280" s="133"/>
      <c r="J280" s="133"/>
      <c r="K280" s="133" t="str">
        <f>IFERROR(__xludf.DUMMYFUNCTION("""COMPUTED_VALUE"""),"شركة منتجات مانا برو ذات المسؤولية المحدودة")</f>
        <v>شركة منتجات مانا برو ذات المسؤولية المحدودة</v>
      </c>
      <c r="L280" s="142" t="str">
        <f>IFERROR(__xludf.DUMMYFUNCTION("""COMPUTED_VALUE"""),"FB1005102")</f>
        <v>FB1005102</v>
      </c>
      <c r="M280" s="133"/>
      <c r="N280" s="133"/>
      <c r="O280" s="133"/>
      <c r="P280" s="133"/>
      <c r="Q280" s="133"/>
      <c r="R280" s="133"/>
      <c r="S280" s="133"/>
      <c r="T280" s="133"/>
      <c r="U280" s="133"/>
      <c r="V280" s="133"/>
      <c r="W280" s="133"/>
      <c r="X280" s="133"/>
      <c r="Y280" s="133"/>
      <c r="Z280" s="133"/>
    </row>
    <row r="281">
      <c r="A281" s="133">
        <f>IFERROR(__xludf.DUMMYFUNCTION("""COMPUTED_VALUE"""),280.0)</f>
        <v>280</v>
      </c>
      <c r="B281" s="133" t="str">
        <f>IFERROR(__xludf.DUMMYFUNCTION("""COMPUTED_VALUE"""),"FB1005105")</f>
        <v>FB1005105</v>
      </c>
      <c r="C281" s="133" t="str">
        <f>IFERROR(__xludf.DUMMYFUNCTION("""COMPUTED_VALUE"""),"P-1-N-021120-3898")</f>
        <v>P-1-N-021120-3898</v>
      </c>
      <c r="D281" s="133"/>
      <c r="E281" s="133" t="str">
        <f>IFERROR(__xludf.DUMMYFUNCTION("""COMPUTED_VALUE"""),"تمت طباعة الشهادة")</f>
        <v>تمت طباعة الشهادة</v>
      </c>
      <c r="F281" s="133" t="str">
        <f>IFERROR(__xludf.DUMMYFUNCTION("""COMPUTED_VALUE"""),"Wildly Natural Whole Jerky Alaskan Salmon Strips 141g")</f>
        <v>Wildly Natural Whole Jerky Alaskan Salmon Strips 141g</v>
      </c>
      <c r="G281" s="133" t="str">
        <f>IFERROR(__xludf.DUMMYFUNCTION("""COMPUTED_VALUE"""),"وايدلي ناتشورال هول جيركي شرائح سلمون ألاسكا 141 جم")</f>
        <v>وايدلي ناتشورال هول جيركي شرائح سلمون ألاسكا 141 جم</v>
      </c>
      <c r="H281" s="133" t="str">
        <f>IFERROR(__xludf.DUMMYFUNCTION("""COMPUTED_VALUE"""),"MAFE20201789")</f>
        <v>MAFE20201789</v>
      </c>
      <c r="I281" s="133"/>
      <c r="J281" s="133"/>
      <c r="K281" s="133" t="str">
        <f>IFERROR(__xludf.DUMMYFUNCTION("""COMPUTED_VALUE"""),"شركة منتجات مانا برو ذات المسؤولية المحدودة")</f>
        <v>شركة منتجات مانا برو ذات المسؤولية المحدودة</v>
      </c>
      <c r="L281" s="142" t="str">
        <f>IFERROR(__xludf.DUMMYFUNCTION("""COMPUTED_VALUE"""),"FB1005105")</f>
        <v>FB1005105</v>
      </c>
      <c r="M281" s="133"/>
      <c r="N281" s="133"/>
      <c r="O281" s="133"/>
      <c r="P281" s="133"/>
      <c r="Q281" s="133"/>
      <c r="R281" s="133"/>
      <c r="S281" s="133"/>
      <c r="T281" s="133"/>
      <c r="U281" s="133"/>
      <c r="V281" s="133"/>
      <c r="W281" s="133"/>
      <c r="X281" s="133"/>
      <c r="Y281" s="133"/>
      <c r="Z281" s="133"/>
    </row>
    <row r="282">
      <c r="A282" s="133">
        <f>IFERROR(__xludf.DUMMYFUNCTION("""COMPUTED_VALUE"""),281.0)</f>
        <v>281</v>
      </c>
      <c r="B282" s="133" t="str">
        <f>IFERROR(__xludf.DUMMYFUNCTION("""COMPUTED_VALUE"""),"FB1005107")</f>
        <v>FB1005107</v>
      </c>
      <c r="C282" s="133" t="str">
        <f>IFERROR(__xludf.DUMMYFUNCTION("""COMPUTED_VALUE"""),"P-1-N-021120-3899")</f>
        <v>P-1-N-021120-3899</v>
      </c>
      <c r="D282" s="133"/>
      <c r="E282" s="133" t="str">
        <f>IFERROR(__xludf.DUMMYFUNCTION("""COMPUTED_VALUE"""),"تمت طباعة الشهادة")</f>
        <v>تمت طباعة الشهادة</v>
      </c>
      <c r="F282" s="133" t="str">
        <f>IFERROR(__xludf.DUMMYFUNCTION("""COMPUTED_VALUE"""),"Wildly Natural Whole Jerky Grilled Bison Strips 340g")</f>
        <v>Wildly Natural Whole Jerky Grilled Bison Strips 340g</v>
      </c>
      <c r="G282" s="133" t="str">
        <f>IFERROR(__xludf.DUMMYFUNCTION("""COMPUTED_VALUE"""),"وايدلي ناتشورال هول جيركي شرائح بيسون مشوية 340 جم")</f>
        <v>وايدلي ناتشورال هول جيركي شرائح بيسون مشوية 340 جم</v>
      </c>
      <c r="H282" s="133" t="str">
        <f>IFERROR(__xludf.DUMMYFUNCTION("""COMPUTED_VALUE"""),"MAFE20201820")</f>
        <v>MAFE20201820</v>
      </c>
      <c r="I282" s="133"/>
      <c r="J282" s="133"/>
      <c r="K282" s="133" t="str">
        <f>IFERROR(__xludf.DUMMYFUNCTION("""COMPUTED_VALUE"""),"شركة منتجات مانا برو ذات المسؤولية المحدودة")</f>
        <v>شركة منتجات مانا برو ذات المسؤولية المحدودة</v>
      </c>
      <c r="L282" s="142" t="str">
        <f>IFERROR(__xludf.DUMMYFUNCTION("""COMPUTED_VALUE"""),"FB1005107")</f>
        <v>FB1005107</v>
      </c>
      <c r="M282" s="133"/>
      <c r="N282" s="133"/>
      <c r="O282" s="133"/>
      <c r="P282" s="133"/>
      <c r="Q282" s="133"/>
      <c r="R282" s="133"/>
      <c r="S282" s="133"/>
      <c r="T282" s="133"/>
      <c r="U282" s="133"/>
      <c r="V282" s="133"/>
      <c r="W282" s="133"/>
      <c r="X282" s="133"/>
      <c r="Y282" s="133"/>
      <c r="Z282" s="133"/>
    </row>
    <row r="283">
      <c r="A283" s="133">
        <f>IFERROR(__xludf.DUMMYFUNCTION("""COMPUTED_VALUE"""),282.0)</f>
        <v>282</v>
      </c>
      <c r="B283" s="133" t="str">
        <f>IFERROR(__xludf.DUMMYFUNCTION("""COMPUTED_VALUE"""),"FB1005104")</f>
        <v>FB1005104</v>
      </c>
      <c r="C283" s="133" t="str">
        <f>IFERROR(__xludf.DUMMYFUNCTION("""COMPUTED_VALUE"""),"P-1-N-021120-3900")</f>
        <v>P-1-N-021120-3900</v>
      </c>
      <c r="D283" s="133"/>
      <c r="E283" s="133" t="str">
        <f>IFERROR(__xludf.DUMMYFUNCTION("""COMPUTED_VALUE"""),"تمت طباعة الشهادة")</f>
        <v>تمت طباعة الشهادة</v>
      </c>
      <c r="F283" s="133" t="str">
        <f>IFERROR(__xludf.DUMMYFUNCTION("""COMPUTED_VALUE"""),"Wildly Natural Whole Jerky Grilled Bison Strips 141g")</f>
        <v>Wildly Natural Whole Jerky Grilled Bison Strips 141g</v>
      </c>
      <c r="G283" s="133" t="str">
        <f>IFERROR(__xludf.DUMMYFUNCTION("""COMPUTED_VALUE"""),"وايدلي ناتشورال هول جيركي شرائح بيسون مشوية 141 جم")</f>
        <v>وايدلي ناتشورال هول جيركي شرائح بيسون مشوية 141 جم</v>
      </c>
      <c r="H283" s="133" t="str">
        <f>IFERROR(__xludf.DUMMYFUNCTION("""COMPUTED_VALUE"""),"MAFE20201819")</f>
        <v>MAFE20201819</v>
      </c>
      <c r="I283" s="133"/>
      <c r="J283" s="133"/>
      <c r="K283" s="133" t="str">
        <f>IFERROR(__xludf.DUMMYFUNCTION("""COMPUTED_VALUE"""),"شركة منتجات مانا برو ذات المسؤولية المحدودة")</f>
        <v>شركة منتجات مانا برو ذات المسؤولية المحدودة</v>
      </c>
      <c r="L283" s="142" t="str">
        <f>IFERROR(__xludf.DUMMYFUNCTION("""COMPUTED_VALUE"""),"FB1005104")</f>
        <v>FB1005104</v>
      </c>
      <c r="M283" s="133"/>
      <c r="N283" s="133"/>
      <c r="O283" s="133"/>
      <c r="P283" s="133"/>
      <c r="Q283" s="133"/>
      <c r="R283" s="133"/>
      <c r="S283" s="133"/>
      <c r="T283" s="133"/>
      <c r="U283" s="133"/>
      <c r="V283" s="133"/>
      <c r="W283" s="133"/>
      <c r="X283" s="133"/>
      <c r="Y283" s="133"/>
      <c r="Z283" s="133"/>
    </row>
    <row r="284">
      <c r="A284" s="133">
        <f>IFERROR(__xludf.DUMMYFUNCTION("""COMPUTED_VALUE"""),283.0)</f>
        <v>283</v>
      </c>
      <c r="B284" s="133" t="str">
        <f>IFERROR(__xludf.DUMMYFUNCTION("""COMPUTED_VALUE"""),"FB1005106")</f>
        <v>FB1005106</v>
      </c>
      <c r="C284" s="133" t="str">
        <f>IFERROR(__xludf.DUMMYFUNCTION("""COMPUTED_VALUE"""),"P-1-N-021120-3901")</f>
        <v>P-1-N-021120-3901</v>
      </c>
      <c r="D284" s="133"/>
      <c r="E284" s="133" t="str">
        <f>IFERROR(__xludf.DUMMYFUNCTION("""COMPUTED_VALUE"""),"تمت طباعة الشهادة")</f>
        <v>تمت طباعة الشهادة</v>
      </c>
      <c r="F284" s="133" t="str">
        <f>IFERROR(__xludf.DUMMYFUNCTION("""COMPUTED_VALUE"""),"Wildly Natural Whole Jerky Grilled Duck Strips 141g")</f>
        <v>Wildly Natural Whole Jerky Grilled Duck Strips 141g</v>
      </c>
      <c r="G284" s="133" t="str">
        <f>IFERROR(__xludf.DUMMYFUNCTION("""COMPUTED_VALUE"""),"وايدلي ناتشورال هول جيركي شرائح البط المشوية 141 جم")</f>
        <v>وايدلي ناتشورال هول جيركي شرائح البط المشوية 141 جم</v>
      </c>
      <c r="H284" s="133" t="str">
        <f>IFERROR(__xludf.DUMMYFUNCTION("""COMPUTED_VALUE"""),"MAFE20201788")</f>
        <v>MAFE20201788</v>
      </c>
      <c r="I284" s="133"/>
      <c r="J284" s="133"/>
      <c r="K284" s="133" t="str">
        <f>IFERROR(__xludf.DUMMYFUNCTION("""COMPUTED_VALUE"""),"شركة منتجات مانا برو ذات المسؤولية المحدودة")</f>
        <v>شركة منتجات مانا برو ذات المسؤولية المحدودة</v>
      </c>
      <c r="L284" s="142" t="str">
        <f>IFERROR(__xludf.DUMMYFUNCTION("""COMPUTED_VALUE"""),"FB1005106")</f>
        <v>FB1005106</v>
      </c>
      <c r="M284" s="133"/>
      <c r="N284" s="133"/>
      <c r="O284" s="133"/>
      <c r="P284" s="133"/>
      <c r="Q284" s="133"/>
      <c r="R284" s="133"/>
      <c r="S284" s="133"/>
      <c r="T284" s="133"/>
      <c r="U284" s="133"/>
      <c r="V284" s="133"/>
      <c r="W284" s="133"/>
      <c r="X284" s="133"/>
      <c r="Y284" s="133"/>
      <c r="Z284" s="133"/>
    </row>
    <row r="285">
      <c r="A285" s="133">
        <f>IFERROR(__xludf.DUMMYFUNCTION("""COMPUTED_VALUE"""),284.0)</f>
        <v>284</v>
      </c>
      <c r="B285" s="133" t="str">
        <f>IFERROR(__xludf.DUMMYFUNCTION("""COMPUTED_VALUE"""),"C128")</f>
        <v>C128</v>
      </c>
      <c r="C285" s="133" t="str">
        <f>IFERROR(__xludf.DUMMYFUNCTION("""COMPUTED_VALUE"""),"P-1-N-031120-3927")</f>
        <v>P-1-N-031120-3927</v>
      </c>
      <c r="D285" s="133"/>
      <c r="E285" s="133" t="str">
        <f>IFERROR(__xludf.DUMMYFUNCTION("""COMPUTED_VALUE"""),"تمت طباعة الشهادة")</f>
        <v>تمت طباعة الشهادة</v>
      </c>
      <c r="F285" s="133" t="str">
        <f>IFERROR(__xludf.DUMMYFUNCTION("""COMPUTED_VALUE"""),"Tuna whole meat, papaya, rice in soft jelly (6*50) 300g")</f>
        <v>Tuna whole meat, papaya, rice in soft jelly (6*50) 300g</v>
      </c>
      <c r="G285" s="133" t="str">
        <f>IFERROR(__xludf.DUMMYFUNCTION("""COMPUTED_VALUE"""),"لحم التونا و البابايا و الأرز بالجيلي الطري (6*50) 300 جرام")</f>
        <v>لحم التونا و البابايا و الأرز بالجيلي الطري (6*50) 300 جرام</v>
      </c>
      <c r="H285" s="133" t="str">
        <f>IFERROR(__xludf.DUMMYFUNCTION("""COMPUTED_VALUE"""),"MAFE20201845")</f>
        <v>MAFE20201845</v>
      </c>
      <c r="I285" s="133"/>
      <c r="J285" s="133"/>
      <c r="K285" s="133" t="str">
        <f>IFERROR(__xludf.DUMMYFUNCTION("""COMPUTED_VALUE"""),"ساوث ايست الاسيوية للتغليف والتعليب المحدودة")</f>
        <v>ساوث ايست الاسيوية للتغليف والتعليب المحدودة</v>
      </c>
      <c r="L285" s="142" t="str">
        <f>IFERROR(__xludf.DUMMYFUNCTION("""COMPUTED_VALUE"""),"C128")</f>
        <v>C128</v>
      </c>
      <c r="M285" s="133"/>
      <c r="N285" s="133"/>
      <c r="O285" s="133"/>
      <c r="P285" s="133"/>
      <c r="Q285" s="133"/>
      <c r="R285" s="133"/>
      <c r="S285" s="133"/>
      <c r="T285" s="133"/>
      <c r="U285" s="133"/>
      <c r="V285" s="133"/>
      <c r="W285" s="133"/>
      <c r="X285" s="133"/>
      <c r="Y285" s="133"/>
      <c r="Z285" s="133"/>
    </row>
    <row r="286">
      <c r="A286" s="133">
        <f>IFERROR(__xludf.DUMMYFUNCTION("""COMPUTED_VALUE"""),285.0)</f>
        <v>285</v>
      </c>
      <c r="B286" s="133" t="str">
        <f>IFERROR(__xludf.DUMMYFUNCTION("""COMPUTED_VALUE"""),"FB1005001")</f>
        <v>FB1005001</v>
      </c>
      <c r="C286" s="133" t="str">
        <f>IFERROR(__xludf.DUMMYFUNCTION("""COMPUTED_VALUE"""),"P-1-N-031120-3929")</f>
        <v>P-1-N-031120-3929</v>
      </c>
      <c r="D286" s="133"/>
      <c r="E286" s="133" t="str">
        <f>IFERROR(__xludf.DUMMYFUNCTION("""COMPUTED_VALUE"""),"تمت طباعة الشهادة")</f>
        <v>تمت طباعة الشهادة</v>
      </c>
      <c r="F286" s="133" t="str">
        <f>IFERROR(__xludf.DUMMYFUNCTION("""COMPUTED_VALUE"""),"Fruitables Pumpkin &amp; Oatmeal Weightloss Supplement 425g")</f>
        <v>Fruitables Pumpkin &amp; Oatmeal Weightloss Supplement 425g</v>
      </c>
      <c r="G286" s="133" t="str">
        <f>IFERROR(__xludf.DUMMYFUNCTION("""COMPUTED_VALUE"""),"فروتابلز ويتلوس سوبليمنت اليقطين والشوفان 425 جم")</f>
        <v>فروتابلز ويتلوس سوبليمنت اليقطين والشوفان 425 جم</v>
      </c>
      <c r="H286" s="133" t="str">
        <f>IFERROR(__xludf.DUMMYFUNCTION("""COMPUTED_VALUE"""),"MAFE20201816")</f>
        <v>MAFE20201816</v>
      </c>
      <c r="I286" s="133"/>
      <c r="J286" s="133"/>
      <c r="K286" s="133" t="str">
        <f>IFERROR(__xludf.DUMMYFUNCTION("""COMPUTED_VALUE"""),"شركة منتجات مانا برو ذات المسؤولية المحدودة")</f>
        <v>شركة منتجات مانا برو ذات المسؤولية المحدودة</v>
      </c>
      <c r="L286" s="142" t="str">
        <f>IFERROR(__xludf.DUMMYFUNCTION("""COMPUTED_VALUE"""),"FB1005001")</f>
        <v>FB1005001</v>
      </c>
      <c r="M286" s="133"/>
      <c r="N286" s="133"/>
      <c r="O286" s="133"/>
      <c r="P286" s="133"/>
      <c r="Q286" s="133"/>
      <c r="R286" s="133"/>
      <c r="S286" s="133"/>
      <c r="T286" s="133"/>
      <c r="U286" s="133"/>
      <c r="V286" s="133"/>
      <c r="W286" s="133"/>
      <c r="X286" s="133"/>
      <c r="Y286" s="133"/>
      <c r="Z286" s="133"/>
    </row>
    <row r="287">
      <c r="A287" s="133">
        <f>IFERROR(__xludf.DUMMYFUNCTION("""COMPUTED_VALUE"""),286.0)</f>
        <v>286</v>
      </c>
      <c r="B287" s="133" t="str">
        <f>IFERROR(__xludf.DUMMYFUNCTION("""COMPUTED_VALUE"""),"FB1005022")</f>
        <v>FB1005022</v>
      </c>
      <c r="C287" s="133" t="str">
        <f>IFERROR(__xludf.DUMMYFUNCTION("""COMPUTED_VALUE"""),"P-1-N-031120-3932")</f>
        <v>P-1-N-031120-3932</v>
      </c>
      <c r="D287" s="133"/>
      <c r="E287" s="133" t="str">
        <f>IFERROR(__xludf.DUMMYFUNCTION("""COMPUTED_VALUE"""),"تمت طباعة الشهادة")</f>
        <v>تمت طباعة الشهادة</v>
      </c>
      <c r="F287" s="133" t="str">
        <f>IFERROR(__xludf.DUMMYFUNCTION("""COMPUTED_VALUE"""),"Fruitables Pumpkin &amp; Banana Flavor 198g")</f>
        <v>Fruitables Pumpkin &amp; Banana Flavor 198g</v>
      </c>
      <c r="G287" s="133" t="str">
        <f>IFERROR(__xludf.DUMMYFUNCTION("""COMPUTED_VALUE"""),"فروتابلز نكهة القرع والموز 198 جم")</f>
        <v>فروتابلز نكهة القرع والموز 198 جم</v>
      </c>
      <c r="H287" s="133" t="str">
        <f>IFERROR(__xludf.DUMMYFUNCTION("""COMPUTED_VALUE"""),"MAFE20201815")</f>
        <v>MAFE20201815</v>
      </c>
      <c r="I287" s="133"/>
      <c r="J287" s="133"/>
      <c r="K287" s="133" t="str">
        <f>IFERROR(__xludf.DUMMYFUNCTION("""COMPUTED_VALUE"""),"شركة")</f>
        <v>شركة</v>
      </c>
      <c r="L287" s="142" t="str">
        <f>IFERROR(__xludf.DUMMYFUNCTION("""COMPUTED_VALUE"""),"FB1005022")</f>
        <v>FB1005022</v>
      </c>
      <c r="M287" s="133"/>
      <c r="N287" s="133"/>
      <c r="O287" s="133"/>
      <c r="P287" s="133"/>
      <c r="Q287" s="133"/>
      <c r="R287" s="133"/>
      <c r="S287" s="133"/>
      <c r="T287" s="133"/>
      <c r="U287" s="133"/>
      <c r="V287" s="133"/>
      <c r="W287" s="133"/>
      <c r="X287" s="133"/>
      <c r="Y287" s="133"/>
      <c r="Z287" s="133"/>
    </row>
    <row r="288">
      <c r="A288" s="133">
        <f>IFERROR(__xludf.DUMMYFUNCTION("""COMPUTED_VALUE"""),287.0)</f>
        <v>287</v>
      </c>
      <c r="B288" s="133" t="str">
        <f>IFERROR(__xludf.DUMMYFUNCTION("""COMPUTED_VALUE"""),"FB1005021")</f>
        <v>FB1005021</v>
      </c>
      <c r="C288" s="133" t="str">
        <f>IFERROR(__xludf.DUMMYFUNCTION("""COMPUTED_VALUE"""),"P-1-N-031120-3933")</f>
        <v>P-1-N-031120-3933</v>
      </c>
      <c r="D288" s="133"/>
      <c r="E288" s="133" t="str">
        <f>IFERROR(__xludf.DUMMYFUNCTION("""COMPUTED_VALUE"""),"تمت طباعة الشهادة")</f>
        <v>تمت طباعة الشهادة</v>
      </c>
      <c r="F288" s="133" t="str">
        <f>IFERROR(__xludf.DUMMYFUNCTION("""COMPUTED_VALUE"""),"Fruitables Pumpkin &amp; Apple Flavor 198g")</f>
        <v>Fruitables Pumpkin &amp; Apple Flavor 198g</v>
      </c>
      <c r="G288" s="133" t="str">
        <f>IFERROR(__xludf.DUMMYFUNCTION("""COMPUTED_VALUE"""),"فروتابلز نكهة القرع والتفاح 198 جم")</f>
        <v>فروتابلز نكهة القرع والتفاح 198 جم</v>
      </c>
      <c r="H288" s="133" t="str">
        <f>IFERROR(__xludf.DUMMYFUNCTION("""COMPUTED_VALUE"""),"MAFE20201814")</f>
        <v>MAFE20201814</v>
      </c>
      <c r="I288" s="133"/>
      <c r="J288" s="133"/>
      <c r="K288" s="133" t="str">
        <f>IFERROR(__xludf.DUMMYFUNCTION("""COMPUTED_VALUE"""),"شركة منتجات مانا برو ذات المسؤولية المحدودة")</f>
        <v>شركة منتجات مانا برو ذات المسؤولية المحدودة</v>
      </c>
      <c r="L288" s="142" t="str">
        <f>IFERROR(__xludf.DUMMYFUNCTION("""COMPUTED_VALUE"""),"FB1005021")</f>
        <v>FB1005021</v>
      </c>
      <c r="M288" s="133"/>
      <c r="N288" s="133"/>
      <c r="O288" s="133"/>
      <c r="P288" s="133"/>
      <c r="Q288" s="133"/>
      <c r="R288" s="133"/>
      <c r="S288" s="133"/>
      <c r="T288" s="133"/>
      <c r="U288" s="133"/>
      <c r="V288" s="133"/>
      <c r="W288" s="133"/>
      <c r="X288" s="133"/>
      <c r="Y288" s="133"/>
      <c r="Z288" s="133"/>
    </row>
    <row r="289">
      <c r="A289" s="133">
        <f>IFERROR(__xludf.DUMMYFUNCTION("""COMPUTED_VALUE"""),288.0)</f>
        <v>288</v>
      </c>
      <c r="B289" s="133" t="str">
        <f>IFERROR(__xludf.DUMMYFUNCTION("""COMPUTED_VALUE"""),"FB1005023")</f>
        <v>FB1005023</v>
      </c>
      <c r="C289" s="133" t="str">
        <f>IFERROR(__xludf.DUMMYFUNCTION("""COMPUTED_VALUE"""),"P-1-N-031120-3935")</f>
        <v>P-1-N-031120-3935</v>
      </c>
      <c r="D289" s="133"/>
      <c r="E289" s="133" t="str">
        <f>IFERROR(__xludf.DUMMYFUNCTION("""COMPUTED_VALUE"""),"تمت طباعة الشهادة")</f>
        <v>تمت طباعة الشهادة</v>
      </c>
      <c r="F289" s="133" t="str">
        <f>IFERROR(__xludf.DUMMYFUNCTION("""COMPUTED_VALUE"""),"Fruitables Pumpkin &amp; Blueberry Flavor 198g")</f>
        <v>Fruitables Pumpkin &amp; Blueberry Flavor 198g</v>
      </c>
      <c r="G289" s="133" t="str">
        <f>IFERROR(__xludf.DUMMYFUNCTION("""COMPUTED_VALUE"""),"فروتابلز")</f>
        <v>فروتابلز</v>
      </c>
      <c r="H289" s="133" t="str">
        <f>IFERROR(__xludf.DUMMYFUNCTION("""COMPUTED_VALUE"""),"MAFE20201813")</f>
        <v>MAFE20201813</v>
      </c>
      <c r="I289" s="133"/>
      <c r="J289" s="133"/>
      <c r="K289" s="133" t="str">
        <f>IFERROR(__xludf.DUMMYFUNCTION("""COMPUTED_VALUE"""),"شركة منتجات مانا برو ذات المسؤولية المحدودة")</f>
        <v>شركة منتجات مانا برو ذات المسؤولية المحدودة</v>
      </c>
      <c r="L289" s="142" t="str">
        <f>IFERROR(__xludf.DUMMYFUNCTION("""COMPUTED_VALUE"""),"FB1005023")</f>
        <v>FB1005023</v>
      </c>
      <c r="M289" s="133"/>
      <c r="N289" s="133"/>
      <c r="O289" s="133"/>
      <c r="P289" s="133"/>
      <c r="Q289" s="133"/>
      <c r="R289" s="133"/>
      <c r="S289" s="133"/>
      <c r="T289" s="133"/>
      <c r="U289" s="133"/>
      <c r="V289" s="133"/>
      <c r="W289" s="133"/>
      <c r="X289" s="133"/>
      <c r="Y289" s="133"/>
      <c r="Z289" s="133"/>
    </row>
    <row r="290">
      <c r="A290" s="133">
        <f>IFERROR(__xludf.DUMMYFUNCTION("""COMPUTED_VALUE"""),289.0)</f>
        <v>289</v>
      </c>
      <c r="B290" s="133" t="str">
        <f>IFERROR(__xludf.DUMMYFUNCTION("""COMPUTED_VALUE"""),"FB1005024")</f>
        <v>FB1005024</v>
      </c>
      <c r="C290" s="133" t="str">
        <f>IFERROR(__xludf.DUMMYFUNCTION("""COMPUTED_VALUE"""),"P-1-N-031120-3936")</f>
        <v>P-1-N-031120-3936</v>
      </c>
      <c r="D290" s="133"/>
      <c r="E290" s="133" t="str">
        <f>IFERROR(__xludf.DUMMYFUNCTION("""COMPUTED_VALUE"""),"تمت طباعة الشهادة")</f>
        <v>تمت طباعة الشهادة</v>
      </c>
      <c r="F290" s="133" t="str">
        <f>IFERROR(__xludf.DUMMYFUNCTION("""COMPUTED_VALUE"""),"Fruitables Pumpkin &amp; Cranberry Flavor 198g")</f>
        <v>Fruitables Pumpkin &amp; Cranberry Flavor 198g</v>
      </c>
      <c r="G290" s="133" t="str">
        <f>IFERROR(__xludf.DUMMYFUNCTION("""COMPUTED_VALUE"""),"فروتابلز نكهة القرع والتوت البري 198 جم")</f>
        <v>فروتابلز نكهة القرع والتوت البري 198 جم</v>
      </c>
      <c r="H290" s="133" t="str">
        <f>IFERROR(__xludf.DUMMYFUNCTION("""COMPUTED_VALUE"""),"MAFE20201812")</f>
        <v>MAFE20201812</v>
      </c>
      <c r="I290" s="133"/>
      <c r="J290" s="133"/>
      <c r="K290" s="133" t="str">
        <f>IFERROR(__xludf.DUMMYFUNCTION("""COMPUTED_VALUE"""),"شركة منتجات مانا برو ذات المسؤولية المحدودة")</f>
        <v>شركة منتجات مانا برو ذات المسؤولية المحدودة</v>
      </c>
      <c r="L290" s="142" t="str">
        <f>IFERROR(__xludf.DUMMYFUNCTION("""COMPUTED_VALUE"""),"FB1005024")</f>
        <v>FB1005024</v>
      </c>
      <c r="M290" s="133"/>
      <c r="N290" s="133"/>
      <c r="O290" s="133"/>
      <c r="P290" s="133"/>
      <c r="Q290" s="133"/>
      <c r="R290" s="133"/>
      <c r="S290" s="133"/>
      <c r="T290" s="133"/>
      <c r="U290" s="133"/>
      <c r="V290" s="133"/>
      <c r="W290" s="133"/>
      <c r="X290" s="133"/>
      <c r="Y290" s="133"/>
      <c r="Z290" s="133"/>
    </row>
    <row r="291">
      <c r="A291" s="133">
        <f>IFERROR(__xludf.DUMMYFUNCTION("""COMPUTED_VALUE"""),290.0)</f>
        <v>290</v>
      </c>
      <c r="B291" s="133"/>
      <c r="C291" s="133" t="str">
        <f>IFERROR(__xludf.DUMMYFUNCTION("""COMPUTED_VALUE"""),"P-1-N-031120-3937")</f>
        <v>P-1-N-031120-3937</v>
      </c>
      <c r="D291" s="133"/>
      <c r="E291" s="133" t="str">
        <f>IFERROR(__xludf.DUMMYFUNCTION("""COMPUTED_VALUE"""),"REJECTED")</f>
        <v>REJECTED</v>
      </c>
      <c r="F291" s="133" t="str">
        <f>IFERROR(__xludf.DUMMYFUNCTION("""COMPUTED_VALUE"""),"Fruitables Skinny Minis Pumpkin &amp; Berry Flavor 141g")</f>
        <v>Fruitables Skinny Minis Pumpkin &amp; Berry Flavor 141g</v>
      </c>
      <c r="G291" s="133" t="str">
        <f>IFERROR(__xludf.DUMMYFUNCTION("""COMPUTED_VALUE"""),"فروتابلز سكيني مينيز بنكهة القرع والتوت 141 جم")</f>
        <v>فروتابلز سكيني مينيز بنكهة القرع والتوت 141 جم</v>
      </c>
      <c r="H291" s="133"/>
      <c r="I291" s="133"/>
      <c r="J291" s="133"/>
      <c r="K291" s="133" t="str">
        <f>IFERROR(__xludf.DUMMYFUNCTION("""COMPUTED_VALUE"""),"شركة منتجات مانا برو ذات المسؤولية المحدودة")</f>
        <v>شركة منتجات مانا برو ذات المسؤولية المحدودة</v>
      </c>
      <c r="L291" s="133"/>
      <c r="M291" s="133"/>
      <c r="N291" s="133"/>
      <c r="O291" s="133"/>
      <c r="P291" s="133"/>
      <c r="Q291" s="133"/>
      <c r="R291" s="133"/>
      <c r="S291" s="133"/>
      <c r="T291" s="133"/>
      <c r="U291" s="133"/>
      <c r="V291" s="133"/>
      <c r="W291" s="133"/>
      <c r="X291" s="133"/>
      <c r="Y291" s="133"/>
      <c r="Z291" s="133"/>
    </row>
    <row r="292">
      <c r="A292" s="133">
        <f>IFERROR(__xludf.DUMMYFUNCTION("""COMPUTED_VALUE"""),291.0)</f>
        <v>291</v>
      </c>
      <c r="B292" s="133"/>
      <c r="C292" s="133" t="str">
        <f>IFERROR(__xludf.DUMMYFUNCTION("""COMPUTED_VALUE"""),"P-1-N-031120-3938")</f>
        <v>P-1-N-031120-3938</v>
      </c>
      <c r="D292" s="133"/>
      <c r="E292" s="133" t="str">
        <f>IFERROR(__xludf.DUMMYFUNCTION("""COMPUTED_VALUE"""),"REJECTED")</f>
        <v>REJECTED</v>
      </c>
      <c r="F292" s="133" t="str">
        <f>IFERROR(__xludf.DUMMYFUNCTION("""COMPUTED_VALUE"""),"Fruitables Skinny Minis Pumpkin &amp; Mango Flavor 141g")</f>
        <v>Fruitables Skinny Minis Pumpkin &amp; Mango Flavor 141g</v>
      </c>
      <c r="G292" s="133" t="str">
        <f>IFERROR(__xludf.DUMMYFUNCTION("""COMPUTED_VALUE"""),"فروتابلز سكيني مينيز بنكهة القرع والمانجو 141 جم")</f>
        <v>فروتابلز سكيني مينيز بنكهة القرع والمانجو 141 جم</v>
      </c>
      <c r="H292" s="133"/>
      <c r="I292" s="133"/>
      <c r="J292" s="133"/>
      <c r="K292" s="133" t="str">
        <f>IFERROR(__xludf.DUMMYFUNCTION("""COMPUTED_VALUE"""),"شركة منتجات مانا برو ذات المسؤولية المحدودة")</f>
        <v>شركة منتجات مانا برو ذات المسؤولية المحدودة</v>
      </c>
      <c r="L292" s="133"/>
      <c r="M292" s="133"/>
      <c r="N292" s="133"/>
      <c r="O292" s="133"/>
      <c r="P292" s="133"/>
      <c r="Q292" s="133"/>
      <c r="R292" s="133"/>
      <c r="S292" s="133"/>
      <c r="T292" s="133"/>
      <c r="U292" s="133"/>
      <c r="V292" s="133"/>
      <c r="W292" s="133"/>
      <c r="X292" s="133"/>
      <c r="Y292" s="133"/>
      <c r="Z292" s="133"/>
    </row>
    <row r="293">
      <c r="A293" s="133">
        <f>IFERROR(__xludf.DUMMYFUNCTION("""COMPUTED_VALUE"""),292.0)</f>
        <v>292</v>
      </c>
      <c r="B293" s="133"/>
      <c r="C293" s="133" t="str">
        <f>IFERROR(__xludf.DUMMYFUNCTION("""COMPUTED_VALUE"""),"P-1-N-031120-3939")</f>
        <v>P-1-N-031120-3939</v>
      </c>
      <c r="D293" s="133"/>
      <c r="E293" s="133" t="str">
        <f>IFERROR(__xludf.DUMMYFUNCTION("""COMPUTED_VALUE"""),"REJECTED")</f>
        <v>REJECTED</v>
      </c>
      <c r="F293" s="133" t="str">
        <f>IFERROR(__xludf.DUMMYFUNCTION("""COMPUTED_VALUE"""),"Fruitables Skinny Minis Rotisserie Chicken Flavor 141g")</f>
        <v>Fruitables Skinny Minis Rotisserie Chicken Flavor 141g</v>
      </c>
      <c r="G293" s="133" t="str">
        <f>IFERROR(__xludf.DUMMYFUNCTION("""COMPUTED_VALUE"""),"فروتابلز سكيني مينيز بنكهة الدجاج المشوي 141 جم")</f>
        <v>فروتابلز سكيني مينيز بنكهة الدجاج المشوي 141 جم</v>
      </c>
      <c r="H293" s="133"/>
      <c r="I293" s="133"/>
      <c r="J293" s="133"/>
      <c r="K293" s="133" t="str">
        <f>IFERROR(__xludf.DUMMYFUNCTION("""COMPUTED_VALUE"""),"شركة منتجات مانا برو ذات المسؤولية المحدودة")</f>
        <v>شركة منتجات مانا برو ذات المسؤولية المحدودة</v>
      </c>
      <c r="L293" s="133"/>
      <c r="M293" s="133"/>
      <c r="N293" s="133"/>
      <c r="O293" s="133"/>
      <c r="P293" s="133"/>
      <c r="Q293" s="133"/>
      <c r="R293" s="133"/>
      <c r="S293" s="133"/>
      <c r="T293" s="133"/>
      <c r="U293" s="133"/>
      <c r="V293" s="133"/>
      <c r="W293" s="133"/>
      <c r="X293" s="133"/>
      <c r="Y293" s="133"/>
      <c r="Z293" s="133"/>
    </row>
    <row r="294">
      <c r="A294" s="133">
        <f>IFERROR(__xludf.DUMMYFUNCTION("""COMPUTED_VALUE"""),293.0)</f>
        <v>293</v>
      </c>
      <c r="B294" s="133"/>
      <c r="C294" s="133" t="str">
        <f>IFERROR(__xludf.DUMMYFUNCTION("""COMPUTED_VALUE"""),"P-1-N-031120-3941")</f>
        <v>P-1-N-031120-3941</v>
      </c>
      <c r="D294" s="133"/>
      <c r="E294" s="133" t="str">
        <f>IFERROR(__xludf.DUMMYFUNCTION("""COMPUTED_VALUE"""),"REJECTED")</f>
        <v>REJECTED</v>
      </c>
      <c r="F294" s="133" t="str">
        <f>IFERROR(__xludf.DUMMYFUNCTION("""COMPUTED_VALUE"""),"Fruitables Skinny Minis Grilled Bison Flavor 141g")</f>
        <v>Fruitables Skinny Minis Grilled Bison Flavor 141g</v>
      </c>
      <c r="G294" s="133" t="str">
        <f>IFERROR(__xludf.DUMMYFUNCTION("""COMPUTED_VALUE"""),"فروتابلز سكيني مينيز نكهة بيسون مشوية 141 جم")</f>
        <v>فروتابلز سكيني مينيز نكهة بيسون مشوية 141 جم</v>
      </c>
      <c r="H294" s="133"/>
      <c r="I294" s="133"/>
      <c r="J294" s="133"/>
      <c r="K294" s="133" t="str">
        <f>IFERROR(__xludf.DUMMYFUNCTION("""COMPUTED_VALUE"""),"شركة منتجات مانا برو ذات المسؤولية المحدودة")</f>
        <v>شركة منتجات مانا برو ذات المسؤولية المحدودة</v>
      </c>
      <c r="L294" s="133"/>
      <c r="M294" s="133"/>
      <c r="N294" s="133"/>
      <c r="O294" s="133"/>
      <c r="P294" s="133"/>
      <c r="Q294" s="133"/>
      <c r="R294" s="133"/>
      <c r="S294" s="133"/>
      <c r="T294" s="133"/>
      <c r="U294" s="133"/>
      <c r="V294" s="133"/>
      <c r="W294" s="133"/>
      <c r="X294" s="133"/>
      <c r="Y294" s="133"/>
      <c r="Z294" s="133"/>
    </row>
    <row r="295">
      <c r="A295" s="133">
        <f>IFERROR(__xludf.DUMMYFUNCTION("""COMPUTED_VALUE"""),294.0)</f>
        <v>294</v>
      </c>
      <c r="B295" s="133"/>
      <c r="C295" s="133" t="str">
        <f>IFERROR(__xludf.DUMMYFUNCTION("""COMPUTED_VALUE"""),"P-1-N-041120-3946")</f>
        <v>P-1-N-041120-3946</v>
      </c>
      <c r="D295" s="133"/>
      <c r="E295" s="133" t="str">
        <f>IFERROR(__xludf.DUMMYFUNCTION("""COMPUTED_VALUE"""),"REJECTED")</f>
        <v>REJECTED</v>
      </c>
      <c r="F295" s="133" t="str">
        <f>IFERROR(__xludf.DUMMYFUNCTION("""COMPUTED_VALUE"""),"Fruitables Watermelon Flavor 141g")</f>
        <v>Fruitables Watermelon Flavor 141g</v>
      </c>
      <c r="G295" s="133" t="str">
        <f>IFERROR(__xludf.DUMMYFUNCTION("""COMPUTED_VALUE"""),"فروتابلز نكهة البطيخ 141 جم")</f>
        <v>فروتابلز نكهة البطيخ 141 جم</v>
      </c>
      <c r="H295" s="133"/>
      <c r="I295" s="133"/>
      <c r="J295" s="133"/>
      <c r="K295" s="133" t="str">
        <f>IFERROR(__xludf.DUMMYFUNCTION("""COMPUTED_VALUE"""),"شركة منتجات مانا برو ذات المسؤولية المحدودة")</f>
        <v>شركة منتجات مانا برو ذات المسؤولية المحدودة</v>
      </c>
      <c r="L295" s="133"/>
      <c r="M295" s="133"/>
      <c r="N295" s="133"/>
      <c r="O295" s="133"/>
      <c r="P295" s="133"/>
      <c r="Q295" s="133"/>
      <c r="R295" s="133"/>
      <c r="S295" s="133"/>
      <c r="T295" s="133"/>
      <c r="U295" s="133"/>
      <c r="V295" s="133"/>
      <c r="W295" s="133"/>
      <c r="X295" s="133"/>
      <c r="Y295" s="133"/>
      <c r="Z295" s="133"/>
    </row>
    <row r="296">
      <c r="A296" s="133">
        <f>IFERROR(__xludf.DUMMYFUNCTION("""COMPUTED_VALUE"""),295.0)</f>
        <v>295</v>
      </c>
      <c r="B296" s="133" t="str">
        <f>IFERROR(__xludf.DUMMYFUNCTION("""COMPUTED_VALUE"""),"FB1005037")</f>
        <v>FB1005037</v>
      </c>
      <c r="C296" s="133" t="str">
        <f>IFERROR(__xludf.DUMMYFUNCTION("""COMPUTED_VALUE"""),"P-1-N-041120-3948")</f>
        <v>P-1-N-041120-3948</v>
      </c>
      <c r="D296" s="133"/>
      <c r="E296" s="133" t="str">
        <f>IFERROR(__xludf.DUMMYFUNCTION("""COMPUTED_VALUE"""),"تمت طباعة الشهادة")</f>
        <v>تمت طباعة الشهادة</v>
      </c>
      <c r="F296" s="133" t="str">
        <f>IFERROR(__xludf.DUMMYFUNCTION("""COMPUTED_VALUE"""),"Fruitables Pumpkin &amp; Spice Flavor 141g")</f>
        <v>Fruitables Pumpkin &amp; Spice Flavor 141g</v>
      </c>
      <c r="G296" s="133" t="str">
        <f>IFERROR(__xludf.DUMMYFUNCTION("""COMPUTED_VALUE"""),"فروتابلز نكهة اليقطين والتوابل 141 جم")</f>
        <v>فروتابلز نكهة اليقطين والتوابل 141 جم</v>
      </c>
      <c r="H296" s="133" t="str">
        <f>IFERROR(__xludf.DUMMYFUNCTION("""COMPUTED_VALUE"""),"MAFE20201842")</f>
        <v>MAFE20201842</v>
      </c>
      <c r="I296" s="133"/>
      <c r="J296" s="133"/>
      <c r="K296" s="133" t="str">
        <f>IFERROR(__xludf.DUMMYFUNCTION("""COMPUTED_VALUE"""),"شركة منتجات مانا برو ذات المسؤولية المحدودة")</f>
        <v>شركة منتجات مانا برو ذات المسؤولية المحدودة</v>
      </c>
      <c r="L296" s="142" t="str">
        <f>IFERROR(__xludf.DUMMYFUNCTION("""COMPUTED_VALUE"""),"FB1005037")</f>
        <v>FB1005037</v>
      </c>
      <c r="M296" s="133"/>
      <c r="N296" s="133"/>
      <c r="O296" s="133"/>
      <c r="P296" s="133"/>
      <c r="Q296" s="133"/>
      <c r="R296" s="133"/>
      <c r="S296" s="133"/>
      <c r="T296" s="133"/>
      <c r="U296" s="133"/>
      <c r="V296" s="133"/>
      <c r="W296" s="133"/>
      <c r="X296" s="133"/>
      <c r="Y296" s="133"/>
      <c r="Z296" s="133"/>
    </row>
    <row r="297">
      <c r="A297" s="133">
        <f>IFERROR(__xludf.DUMMYFUNCTION("""COMPUTED_VALUE"""),296.0)</f>
        <v>296</v>
      </c>
      <c r="B297" s="133"/>
      <c r="C297" s="133" t="str">
        <f>IFERROR(__xludf.DUMMYFUNCTION("""COMPUTED_VALUE"""),"P-1-N-041120-3951")</f>
        <v>P-1-N-041120-3951</v>
      </c>
      <c r="D297" s="133"/>
      <c r="E297" s="133" t="str">
        <f>IFERROR(__xludf.DUMMYFUNCTION("""COMPUTED_VALUE"""),"REJECTED")</f>
        <v>REJECTED</v>
      </c>
      <c r="F297" s="133" t="str">
        <f>IFERROR(__xludf.DUMMYFUNCTION("""COMPUTED_VALUE"""),"Fruitables Pumpkin 141g")</f>
        <v>Fruitables Pumpkin 141g</v>
      </c>
      <c r="G297" s="133" t="str">
        <f>IFERROR(__xludf.DUMMYFUNCTION("""COMPUTED_VALUE"""),"فروتابلز نكهة اليقطين 141 جم")</f>
        <v>فروتابلز نكهة اليقطين 141 جم</v>
      </c>
      <c r="H297" s="133"/>
      <c r="I297" s="133"/>
      <c r="J297" s="133"/>
      <c r="K297" s="133" t="str">
        <f>IFERROR(__xludf.DUMMYFUNCTION("""COMPUTED_VALUE"""),"شركة")</f>
        <v>شركة</v>
      </c>
      <c r="L297" s="133"/>
      <c r="M297" s="133"/>
      <c r="N297" s="133"/>
      <c r="O297" s="133"/>
      <c r="P297" s="133"/>
      <c r="Q297" s="133"/>
      <c r="R297" s="133"/>
      <c r="S297" s="133"/>
      <c r="T297" s="133"/>
      <c r="U297" s="133"/>
      <c r="V297" s="133"/>
      <c r="W297" s="133"/>
      <c r="X297" s="133"/>
      <c r="Y297" s="133"/>
      <c r="Z297" s="133"/>
    </row>
    <row r="298">
      <c r="A298" s="133">
        <f>IFERROR(__xludf.DUMMYFUNCTION("""COMPUTED_VALUE"""),297.0)</f>
        <v>297</v>
      </c>
      <c r="B298" s="133" t="str">
        <f>IFERROR(__xludf.DUMMYFUNCTION("""COMPUTED_VALUE"""),"FB1030608")</f>
        <v>FB1030608</v>
      </c>
      <c r="C298" s="133" t="str">
        <f>IFERROR(__xludf.DUMMYFUNCTION("""COMPUTED_VALUE"""),"P-1-N-041120-3952")</f>
        <v>P-1-N-041120-3952</v>
      </c>
      <c r="D298" s="133"/>
      <c r="E298" s="133" t="str">
        <f>IFERROR(__xludf.DUMMYFUNCTION("""COMPUTED_VALUE"""),"تمت طباعة الشهادة")</f>
        <v>تمت طباعة الشهادة</v>
      </c>
      <c r="F298" s="133" t="str">
        <f>IFERROR(__xludf.DUMMYFUNCTION("""COMPUTED_VALUE"""),"Fruitables Salmon Flavor with Cranberry 70g")</f>
        <v>Fruitables Salmon Flavor with Cranberry 70g</v>
      </c>
      <c r="G298" s="133" t="str">
        <f>IFERROR(__xludf.DUMMYFUNCTION("""COMPUTED_VALUE"""),"فروتابلز نكهة السلمون مع التوت البري 70 جم")</f>
        <v>فروتابلز نكهة السلمون مع التوت البري 70 جم</v>
      </c>
      <c r="H298" s="133" t="str">
        <f>IFERROR(__xludf.DUMMYFUNCTION("""COMPUTED_VALUE"""),"MAFE20201840")</f>
        <v>MAFE20201840</v>
      </c>
      <c r="I298" s="133"/>
      <c r="J298" s="133"/>
      <c r="K298" s="133" t="str">
        <f>IFERROR(__xludf.DUMMYFUNCTION("""COMPUTED_VALUE"""),"شركة منتجات مانا برو ذات المسؤولية المحدودة")</f>
        <v>شركة منتجات مانا برو ذات المسؤولية المحدودة</v>
      </c>
      <c r="L298" s="142" t="str">
        <f>IFERROR(__xludf.DUMMYFUNCTION("""COMPUTED_VALUE"""),"FB1030608")</f>
        <v>FB1030608</v>
      </c>
      <c r="M298" s="133"/>
      <c r="N298" s="133"/>
      <c r="O298" s="133"/>
      <c r="P298" s="133"/>
      <c r="Q298" s="133"/>
      <c r="R298" s="133"/>
      <c r="S298" s="133"/>
      <c r="T298" s="133"/>
      <c r="U298" s="133"/>
      <c r="V298" s="133"/>
      <c r="W298" s="133"/>
      <c r="X298" s="133"/>
      <c r="Y298" s="133"/>
      <c r="Z298" s="133"/>
    </row>
    <row r="299">
      <c r="A299" s="133">
        <f>IFERROR(__xludf.DUMMYFUNCTION("""COMPUTED_VALUE"""),298.0)</f>
        <v>298</v>
      </c>
      <c r="B299" s="133" t="str">
        <f>IFERROR(__xludf.DUMMYFUNCTION("""COMPUTED_VALUE"""),"FB1030609")</f>
        <v>FB1030609</v>
      </c>
      <c r="C299" s="133" t="str">
        <f>IFERROR(__xludf.DUMMYFUNCTION("""COMPUTED_VALUE"""),"P-1-N-041120-3953")</f>
        <v>P-1-N-041120-3953</v>
      </c>
      <c r="D299" s="133"/>
      <c r="E299" s="133" t="str">
        <f>IFERROR(__xludf.DUMMYFUNCTION("""COMPUTED_VALUE"""),"تمت طباعة الشهادة")</f>
        <v>تمت طباعة الشهادة</v>
      </c>
      <c r="F299" s="133" t="str">
        <f>IFERROR(__xludf.DUMMYFUNCTION("""COMPUTED_VALUE"""),"Fruitables Tuna Flavour with Pumpkin 70g")</f>
        <v>Fruitables Tuna Flavour with Pumpkin 70g</v>
      </c>
      <c r="G299" s="133" t="str">
        <f>IFERROR(__xludf.DUMMYFUNCTION("""COMPUTED_VALUE"""),"فروتابلز")</f>
        <v>فروتابلز</v>
      </c>
      <c r="H299" s="133" t="str">
        <f>IFERROR(__xludf.DUMMYFUNCTION("""COMPUTED_VALUE"""),"MAFE20201839")</f>
        <v>MAFE20201839</v>
      </c>
      <c r="I299" s="133"/>
      <c r="J299" s="133"/>
      <c r="K299" s="133" t="str">
        <f>IFERROR(__xludf.DUMMYFUNCTION("""COMPUTED_VALUE"""),"شركة منتجات مانا برو ذات المسؤولية المحدودة")</f>
        <v>شركة منتجات مانا برو ذات المسؤولية المحدودة</v>
      </c>
      <c r="L299" s="142" t="str">
        <f>IFERROR(__xludf.DUMMYFUNCTION("""COMPUTED_VALUE"""),"FB1030609")</f>
        <v>FB1030609</v>
      </c>
      <c r="M299" s="133"/>
      <c r="N299" s="133"/>
      <c r="O299" s="133"/>
      <c r="P299" s="133"/>
      <c r="Q299" s="133"/>
      <c r="R299" s="133"/>
      <c r="S299" s="133"/>
      <c r="T299" s="133"/>
      <c r="U299" s="133"/>
      <c r="V299" s="133"/>
      <c r="W299" s="133"/>
      <c r="X299" s="133"/>
      <c r="Y299" s="133"/>
      <c r="Z299" s="133"/>
    </row>
    <row r="300">
      <c r="A300" s="133">
        <f>IFERROR(__xludf.DUMMYFUNCTION("""COMPUTED_VALUE"""),299.0)</f>
        <v>299</v>
      </c>
      <c r="B300" s="133" t="str">
        <f>IFERROR(__xludf.DUMMYFUNCTION("""COMPUTED_VALUE"""),"FB1030607")</f>
        <v>FB1030607</v>
      </c>
      <c r="C300" s="133" t="str">
        <f>IFERROR(__xludf.DUMMYFUNCTION("""COMPUTED_VALUE"""),"P-1-N-041120-3955")</f>
        <v>P-1-N-041120-3955</v>
      </c>
      <c r="D300" s="133"/>
      <c r="E300" s="133" t="str">
        <f>IFERROR(__xludf.DUMMYFUNCTION("""COMPUTED_VALUE"""),"تمت طباعة الشهادة")</f>
        <v>تمت طباعة الشهادة</v>
      </c>
      <c r="F300" s="133" t="str">
        <f>IFERROR(__xludf.DUMMYFUNCTION("""COMPUTED_VALUE"""),"Fruitables Chicken Flavor with Blueberry 70g")</f>
        <v>Fruitables Chicken Flavor with Blueberry 70g</v>
      </c>
      <c r="G300" s="133" t="str">
        <f>IFERROR(__xludf.DUMMYFUNCTION("""COMPUTED_VALUE"""),"فروتابلز نكهة الدجاج مع التوت 70 جم")</f>
        <v>فروتابلز نكهة الدجاج مع التوت 70 جم</v>
      </c>
      <c r="H300" s="133" t="str">
        <f>IFERROR(__xludf.DUMMYFUNCTION("""COMPUTED_VALUE"""),"MAFE20201838")</f>
        <v>MAFE20201838</v>
      </c>
      <c r="I300" s="133"/>
      <c r="J300" s="133"/>
      <c r="K300" s="133" t="str">
        <f>IFERROR(__xludf.DUMMYFUNCTION("""COMPUTED_VALUE"""),"شركة منتجات مانا برو ذات المسؤولية المحدودة")</f>
        <v>شركة منتجات مانا برو ذات المسؤولية المحدودة</v>
      </c>
      <c r="L300" s="142" t="str">
        <f>IFERROR(__xludf.DUMMYFUNCTION("""COMPUTED_VALUE"""),"FB1030607")</f>
        <v>FB1030607</v>
      </c>
      <c r="M300" s="133"/>
      <c r="N300" s="133"/>
      <c r="O300" s="133"/>
      <c r="P300" s="133"/>
      <c r="Q300" s="133"/>
      <c r="R300" s="133"/>
      <c r="S300" s="133"/>
      <c r="T300" s="133"/>
      <c r="U300" s="133"/>
      <c r="V300" s="133"/>
      <c r="W300" s="133"/>
      <c r="X300" s="133"/>
      <c r="Y300" s="133"/>
      <c r="Z300" s="133"/>
    </row>
    <row r="301">
      <c r="A301" s="133">
        <f>IFERROR(__xludf.DUMMYFUNCTION("""COMPUTED_VALUE"""),300.0)</f>
        <v>300</v>
      </c>
      <c r="B301" s="133" t="str">
        <f>IFERROR(__xludf.DUMMYFUNCTION("""COMPUTED_VALUE"""),"PV0650")</f>
        <v>PV0650</v>
      </c>
      <c r="C301" s="133" t="str">
        <f>IFERROR(__xludf.DUMMYFUNCTION("""COMPUTED_VALUE"""),"P-1-N-041120-3964")</f>
        <v>P-1-N-041120-3964</v>
      </c>
      <c r="D301" s="133"/>
      <c r="E301" s="133" t="str">
        <f>IFERROR(__xludf.DUMMYFUNCTION("""COMPUTED_VALUE"""),"تمت طباعة الشهادة")</f>
        <v>تمت طباعة الشهادة</v>
      </c>
      <c r="F301" s="133" t="str">
        <f>IFERROR(__xludf.DUMMYFUNCTION("""COMPUTED_VALUE"""),"Whimzees Toothbrush Star (XS) 360g")</f>
        <v>Whimzees Toothbrush Star (XS) 360g</v>
      </c>
      <c r="G301" s="133" t="str">
        <f>IFERROR(__xludf.DUMMYFUNCTION("""COMPUTED_VALUE"""),"ويمزيس توثبراش ستار (صغير جدا) 360 جم")</f>
        <v>ويمزيس توثبراش ستار (صغير جدا) 360 جم</v>
      </c>
      <c r="H301" s="133" t="str">
        <f>IFERROR(__xludf.DUMMYFUNCTION("""COMPUTED_VALUE"""),"MAFE20201835")</f>
        <v>MAFE20201835</v>
      </c>
      <c r="I301" s="133"/>
      <c r="J301" s="133"/>
      <c r="K301" s="133" t="str">
        <f>IFERROR(__xludf.DUMMYFUNCTION("""COMPUTED_VALUE"""),"باراغون لمنتجات الحيوان بي في")</f>
        <v>باراغون لمنتجات الحيوان بي في</v>
      </c>
      <c r="L301" s="142" t="str">
        <f>IFERROR(__xludf.DUMMYFUNCTION("""COMPUTED_VALUE"""),"PV0650")</f>
        <v>PV0650</v>
      </c>
      <c r="M301" s="133"/>
      <c r="N301" s="133"/>
      <c r="O301" s="133"/>
      <c r="P301" s="133"/>
      <c r="Q301" s="133"/>
      <c r="R301" s="133"/>
      <c r="S301" s="133"/>
      <c r="T301" s="133"/>
      <c r="U301" s="133"/>
      <c r="V301" s="133"/>
      <c r="W301" s="133"/>
      <c r="X301" s="133"/>
      <c r="Y301" s="133"/>
      <c r="Z301" s="133"/>
    </row>
    <row r="302">
      <c r="A302" s="133">
        <f>IFERROR(__xludf.DUMMYFUNCTION("""COMPUTED_VALUE"""),301.0)</f>
        <v>301</v>
      </c>
      <c r="B302" s="133" t="str">
        <f>IFERROR(__xludf.DUMMYFUNCTION("""COMPUTED_VALUE"""),"PV0667")</f>
        <v>PV0667</v>
      </c>
      <c r="C302" s="133" t="str">
        <f>IFERROR(__xludf.DUMMYFUNCTION("""COMPUTED_VALUE"""),"P-1-N-081120-3986")</f>
        <v>P-1-N-081120-3986</v>
      </c>
      <c r="D302" s="133"/>
      <c r="E302" s="133" t="str">
        <f>IFERROR(__xludf.DUMMYFUNCTION("""COMPUTED_VALUE"""),"تمت طباعة الشهادة")</f>
        <v>تمت طباعة الشهادة</v>
      </c>
      <c r="F302" s="133" t="str">
        <f>IFERROR(__xludf.DUMMYFUNCTION("""COMPUTED_VALUE"""),"Whimzees Toothbrush Star (S) 360g")</f>
        <v>Whimzees Toothbrush Star (S) 360g</v>
      </c>
      <c r="G302" s="133" t="str">
        <f>IFERROR(__xludf.DUMMYFUNCTION("""COMPUTED_VALUE"""),"ويمزيس توثبراش ستار (صغير) 360 جم")</f>
        <v>ويمزيس توثبراش ستار (صغير) 360 جم</v>
      </c>
      <c r="H302" s="133" t="str">
        <f>IFERROR(__xludf.DUMMYFUNCTION("""COMPUTED_VALUE"""),"MAFE20201938")</f>
        <v>MAFE20201938</v>
      </c>
      <c r="I302" s="133"/>
      <c r="J302" s="133"/>
      <c r="K302" s="133" t="str">
        <f>IFERROR(__xludf.DUMMYFUNCTION("""COMPUTED_VALUE"""),"باراغون لمنتجات الحيوان بي في")</f>
        <v>باراغون لمنتجات الحيوان بي في</v>
      </c>
      <c r="L302" s="142" t="str">
        <f>IFERROR(__xludf.DUMMYFUNCTION("""COMPUTED_VALUE"""),"PV0667")</f>
        <v>PV0667</v>
      </c>
      <c r="M302" s="133"/>
      <c r="N302" s="133"/>
      <c r="O302" s="133"/>
      <c r="P302" s="133"/>
      <c r="Q302" s="133"/>
      <c r="R302" s="133"/>
      <c r="S302" s="133"/>
      <c r="T302" s="133"/>
      <c r="U302" s="133"/>
      <c r="V302" s="133"/>
      <c r="W302" s="133"/>
      <c r="X302" s="133"/>
      <c r="Y302" s="133"/>
      <c r="Z302" s="133"/>
    </row>
    <row r="303">
      <c r="A303" s="133">
        <f>IFERROR(__xludf.DUMMYFUNCTION("""COMPUTED_VALUE"""),302.0)</f>
        <v>302</v>
      </c>
      <c r="B303" s="133" t="str">
        <f>IFERROR(__xludf.DUMMYFUNCTION("""COMPUTED_VALUE"""),"PV0674")</f>
        <v>PV0674</v>
      </c>
      <c r="C303" s="133" t="str">
        <f>IFERROR(__xludf.DUMMYFUNCTION("""COMPUTED_VALUE"""),"P-1-N-081120-3987")</f>
        <v>P-1-N-081120-3987</v>
      </c>
      <c r="D303" s="133"/>
      <c r="E303" s="133" t="str">
        <f>IFERROR(__xludf.DUMMYFUNCTION("""COMPUTED_VALUE"""),"تمت طباعة الشهادة")</f>
        <v>تمت طباعة الشهادة</v>
      </c>
      <c r="F303" s="133" t="str">
        <f>IFERROR(__xludf.DUMMYFUNCTION("""COMPUTED_VALUE"""),"Whimzees Toothbrush Star (M) 360g")</f>
        <v>Whimzees Toothbrush Star (M) 360g</v>
      </c>
      <c r="G303" s="133" t="str">
        <f>IFERROR(__xludf.DUMMYFUNCTION("""COMPUTED_VALUE"""),"ويمزيس توثبراش ستار (متوسط) 360 جم")</f>
        <v>ويمزيس توثبراش ستار (متوسط) 360 جم</v>
      </c>
      <c r="H303" s="133" t="str">
        <f>IFERROR(__xludf.DUMMYFUNCTION("""COMPUTED_VALUE"""),"MAFE20201936")</f>
        <v>MAFE20201936</v>
      </c>
      <c r="I303" s="133"/>
      <c r="J303" s="133"/>
      <c r="K303" s="133" t="str">
        <f>IFERROR(__xludf.DUMMYFUNCTION("""COMPUTED_VALUE"""),"باراغون لمنتجات الحيوان بي في")</f>
        <v>باراغون لمنتجات الحيوان بي في</v>
      </c>
      <c r="L303" s="142" t="str">
        <f>IFERROR(__xludf.DUMMYFUNCTION("""COMPUTED_VALUE"""),"PV0674")</f>
        <v>PV0674</v>
      </c>
      <c r="M303" s="133"/>
      <c r="N303" s="133"/>
      <c r="O303" s="133"/>
      <c r="P303" s="133"/>
      <c r="Q303" s="133"/>
      <c r="R303" s="133"/>
      <c r="S303" s="133"/>
      <c r="T303" s="133"/>
      <c r="U303" s="133"/>
      <c r="V303" s="133"/>
      <c r="W303" s="133"/>
      <c r="X303" s="133"/>
      <c r="Y303" s="133"/>
      <c r="Z303" s="133"/>
    </row>
    <row r="304">
      <c r="A304" s="133">
        <f>IFERROR(__xludf.DUMMYFUNCTION("""COMPUTED_VALUE"""),303.0)</f>
        <v>303</v>
      </c>
      <c r="B304" s="133" t="str">
        <f>IFERROR(__xludf.DUMMYFUNCTION("""COMPUTED_VALUE"""),"PV0681")</f>
        <v>PV0681</v>
      </c>
      <c r="C304" s="133" t="str">
        <f>IFERROR(__xludf.DUMMYFUNCTION("""COMPUTED_VALUE"""),"P-1-N-081120-3988")</f>
        <v>P-1-N-081120-3988</v>
      </c>
      <c r="D304" s="133"/>
      <c r="E304" s="133" t="str">
        <f>IFERROR(__xludf.DUMMYFUNCTION("""COMPUTED_VALUE"""),"تمت طباعة الشهادة")</f>
        <v>تمت طباعة الشهادة</v>
      </c>
      <c r="F304" s="133" t="str">
        <f>IFERROR(__xludf.DUMMYFUNCTION("""COMPUTED_VALUE"""),"Whimzees Toothbrush Star (L) 360g")</f>
        <v>Whimzees Toothbrush Star (L) 360g</v>
      </c>
      <c r="G304" s="133" t="str">
        <f>IFERROR(__xludf.DUMMYFUNCTION("""COMPUTED_VALUE"""),"ويمزيس توثبراش ستار (كبير) 360 جم")</f>
        <v>ويمزيس توثبراش ستار (كبير) 360 جم</v>
      </c>
      <c r="H304" s="133" t="str">
        <f>IFERROR(__xludf.DUMMYFUNCTION("""COMPUTED_VALUE"""),"MAFE20201935")</f>
        <v>MAFE20201935</v>
      </c>
      <c r="I304" s="133"/>
      <c r="J304" s="133"/>
      <c r="K304" s="133" t="str">
        <f>IFERROR(__xludf.DUMMYFUNCTION("""COMPUTED_VALUE"""),"باراغون لمنتجات الحيوان بي في")</f>
        <v>باراغون لمنتجات الحيوان بي في</v>
      </c>
      <c r="L304" s="142" t="str">
        <f>IFERROR(__xludf.DUMMYFUNCTION("""COMPUTED_VALUE"""),"PV0681")</f>
        <v>PV0681</v>
      </c>
      <c r="M304" s="133"/>
      <c r="N304" s="133"/>
      <c r="O304" s="133"/>
      <c r="P304" s="133"/>
      <c r="Q304" s="133"/>
      <c r="R304" s="133"/>
      <c r="S304" s="133"/>
      <c r="T304" s="133"/>
      <c r="U304" s="133"/>
      <c r="V304" s="133"/>
      <c r="W304" s="133"/>
      <c r="X304" s="133"/>
      <c r="Y304" s="133"/>
      <c r="Z304" s="133"/>
    </row>
    <row r="305">
      <c r="A305" s="133">
        <f>IFERROR(__xludf.DUMMYFUNCTION("""COMPUTED_VALUE"""),304.0)</f>
        <v>304</v>
      </c>
      <c r="B305" s="133" t="str">
        <f>IFERROR(__xludf.DUMMYFUNCTION("""COMPUTED_VALUE"""),"PV2586")</f>
        <v>PV2586</v>
      </c>
      <c r="C305" s="133" t="str">
        <f>IFERROR(__xludf.DUMMYFUNCTION("""COMPUTED_VALUE"""),"P-1-N-081120-3989")</f>
        <v>P-1-N-081120-3989</v>
      </c>
      <c r="D305" s="133"/>
      <c r="E305" s="133" t="str">
        <f>IFERROR(__xludf.DUMMYFUNCTION("""COMPUTED_VALUE"""),"تمت طباعة الشهادة")</f>
        <v>تمت طباعة الشهادة</v>
      </c>
      <c r="F305" s="133" t="str">
        <f>IFERROR(__xludf.DUMMYFUNCTION("""COMPUTED_VALUE"""),"Whimzees Alligator (S) 360g")</f>
        <v>Whimzees Alligator (S) 360g</v>
      </c>
      <c r="G305" s="133" t="str">
        <f>IFERROR(__xludf.DUMMYFUNCTION("""COMPUTED_VALUE"""),"ويمزيس اليجاتور (صغير) 360 جم")</f>
        <v>ويمزيس اليجاتور (صغير) 360 جم</v>
      </c>
      <c r="H305" s="133" t="str">
        <f>IFERROR(__xludf.DUMMYFUNCTION("""COMPUTED_VALUE"""),"MAFE20201934")</f>
        <v>MAFE20201934</v>
      </c>
      <c r="I305" s="133"/>
      <c r="J305" s="133"/>
      <c r="K305" s="133" t="str">
        <f>IFERROR(__xludf.DUMMYFUNCTION("""COMPUTED_VALUE"""),"باراغون لمنتجات الحيوان بي في")</f>
        <v>باراغون لمنتجات الحيوان بي في</v>
      </c>
      <c r="L305" s="142" t="str">
        <f>IFERROR(__xludf.DUMMYFUNCTION("""COMPUTED_VALUE"""),"PV2586")</f>
        <v>PV2586</v>
      </c>
      <c r="M305" s="133"/>
      <c r="N305" s="133"/>
      <c r="O305" s="133"/>
      <c r="P305" s="133"/>
      <c r="Q305" s="133"/>
      <c r="R305" s="133"/>
      <c r="S305" s="133"/>
      <c r="T305" s="133"/>
      <c r="U305" s="133"/>
      <c r="V305" s="133"/>
      <c r="W305" s="133"/>
      <c r="X305" s="133"/>
      <c r="Y305" s="133"/>
      <c r="Z305" s="133"/>
    </row>
    <row r="306">
      <c r="A306" s="133">
        <f>IFERROR(__xludf.DUMMYFUNCTION("""COMPUTED_VALUE"""),305.0)</f>
        <v>305</v>
      </c>
      <c r="B306" s="133" t="str">
        <f>IFERROR(__xludf.DUMMYFUNCTION("""COMPUTED_VALUE"""),"PV0704")</f>
        <v>PV0704</v>
      </c>
      <c r="C306" s="133" t="str">
        <f>IFERROR(__xludf.DUMMYFUNCTION("""COMPUTED_VALUE"""),"P-1-N-081120-3990")</f>
        <v>P-1-N-081120-3990</v>
      </c>
      <c r="D306" s="133"/>
      <c r="E306" s="133" t="str">
        <f>IFERROR(__xludf.DUMMYFUNCTION("""COMPUTED_VALUE"""),"تمت طباعة الشهادة")</f>
        <v>تمت طباعة الشهادة</v>
      </c>
      <c r="F306" s="133" t="str">
        <f>IFERROR(__xludf.DUMMYFUNCTION("""COMPUTED_VALUE"""),"Whimzees Alligator (M) 360g")</f>
        <v>Whimzees Alligator (M) 360g</v>
      </c>
      <c r="G306" s="133" t="str">
        <f>IFERROR(__xludf.DUMMYFUNCTION("""COMPUTED_VALUE"""),"ويمزيس اليجاتور (متوسط) 360 جم")</f>
        <v>ويمزيس اليجاتور (متوسط) 360 جم</v>
      </c>
      <c r="H306" s="133" t="str">
        <f>IFERROR(__xludf.DUMMYFUNCTION("""COMPUTED_VALUE"""),"MAFE20201933")</f>
        <v>MAFE20201933</v>
      </c>
      <c r="I306" s="133"/>
      <c r="J306" s="133"/>
      <c r="K306" s="133" t="str">
        <f>IFERROR(__xludf.DUMMYFUNCTION("""COMPUTED_VALUE"""),"باراغون لمنتجات الحيوان بي في")</f>
        <v>باراغون لمنتجات الحيوان بي في</v>
      </c>
      <c r="L306" s="142" t="str">
        <f>IFERROR(__xludf.DUMMYFUNCTION("""COMPUTED_VALUE"""),"PV0704")</f>
        <v>PV0704</v>
      </c>
      <c r="M306" s="133"/>
      <c r="N306" s="133"/>
      <c r="O306" s="133"/>
      <c r="P306" s="133"/>
      <c r="Q306" s="133"/>
      <c r="R306" s="133"/>
      <c r="S306" s="133"/>
      <c r="T306" s="133"/>
      <c r="U306" s="133"/>
      <c r="V306" s="133"/>
      <c r="W306" s="133"/>
      <c r="X306" s="133"/>
      <c r="Y306" s="133"/>
      <c r="Z306" s="133"/>
    </row>
    <row r="307">
      <c r="A307" s="133">
        <f>IFERROR(__xludf.DUMMYFUNCTION("""COMPUTED_VALUE"""),306.0)</f>
        <v>306</v>
      </c>
      <c r="B307" s="133" t="str">
        <f>IFERROR(__xludf.DUMMYFUNCTION("""COMPUTED_VALUE"""),"PV2562")</f>
        <v>PV2562</v>
      </c>
      <c r="C307" s="133" t="str">
        <f>IFERROR(__xludf.DUMMYFUNCTION("""COMPUTED_VALUE"""),"P-1-N-081120-3991")</f>
        <v>P-1-N-081120-3991</v>
      </c>
      <c r="D307" s="133"/>
      <c r="E307" s="133" t="str">
        <f>IFERROR(__xludf.DUMMYFUNCTION("""COMPUTED_VALUE"""),"تمت طباعة الشهادة")</f>
        <v>تمت طباعة الشهادة</v>
      </c>
      <c r="F307" s="133" t="str">
        <f>IFERROR(__xludf.DUMMYFUNCTION("""COMPUTED_VALUE"""),"Whimzees Rice Bone 540g")</f>
        <v>Whimzees Rice Bone 540g</v>
      </c>
      <c r="G307" s="133" t="str">
        <f>IFERROR(__xludf.DUMMYFUNCTION("""COMPUTED_VALUE"""),"ويمزيس رايس بون 540 جم")</f>
        <v>ويمزيس رايس بون 540 جم</v>
      </c>
      <c r="H307" s="133" t="str">
        <f>IFERROR(__xludf.DUMMYFUNCTION("""COMPUTED_VALUE"""),"MAFE20201932")</f>
        <v>MAFE20201932</v>
      </c>
      <c r="I307" s="133"/>
      <c r="J307" s="133"/>
      <c r="K307" s="133" t="str">
        <f>IFERROR(__xludf.DUMMYFUNCTION("""COMPUTED_VALUE"""),"باراغون")</f>
        <v>باراغون</v>
      </c>
      <c r="L307" s="142" t="str">
        <f>IFERROR(__xludf.DUMMYFUNCTION("""COMPUTED_VALUE"""),"PV2562")</f>
        <v>PV2562</v>
      </c>
      <c r="M307" s="133"/>
      <c r="N307" s="133"/>
      <c r="O307" s="133"/>
      <c r="P307" s="133"/>
      <c r="Q307" s="133"/>
      <c r="R307" s="133"/>
      <c r="S307" s="133"/>
      <c r="T307" s="133"/>
      <c r="U307" s="133"/>
      <c r="V307" s="133"/>
      <c r="W307" s="133"/>
      <c r="X307" s="133"/>
      <c r="Y307" s="133"/>
      <c r="Z307" s="133"/>
    </row>
    <row r="308">
      <c r="A308" s="133">
        <f>IFERROR(__xludf.DUMMYFUNCTION("""COMPUTED_VALUE"""),307.0)</f>
        <v>307</v>
      </c>
      <c r="B308" s="133" t="str">
        <f>IFERROR(__xludf.DUMMYFUNCTION("""COMPUTED_VALUE"""),"PV2548")</f>
        <v>PV2548</v>
      </c>
      <c r="C308" s="133" t="str">
        <f>IFERROR(__xludf.DUMMYFUNCTION("""COMPUTED_VALUE"""),"P-1-N-081120-3992")</f>
        <v>P-1-N-081120-3992</v>
      </c>
      <c r="D308" s="133"/>
      <c r="E308" s="133" t="str">
        <f>IFERROR(__xludf.DUMMYFUNCTION("""COMPUTED_VALUE"""),"تمت طباعة الشهادة")</f>
        <v>تمت طباعة الشهادة</v>
      </c>
      <c r="F308" s="133" t="str">
        <f>IFERROR(__xludf.DUMMYFUNCTION("""COMPUTED_VALUE"""),"Whimzees Stix (XS) 420g")</f>
        <v>Whimzees Stix (XS) 420g</v>
      </c>
      <c r="G308" s="133" t="str">
        <f>IFERROR(__xludf.DUMMYFUNCTION("""COMPUTED_VALUE"""),"ويمزيس ستيكس (صغير جدا) 420 جم")</f>
        <v>ويمزيس ستيكس (صغير جدا) 420 جم</v>
      </c>
      <c r="H308" s="133" t="str">
        <f>IFERROR(__xludf.DUMMYFUNCTION("""COMPUTED_VALUE"""),"MAFE20201944")</f>
        <v>MAFE20201944</v>
      </c>
      <c r="I308" s="133"/>
      <c r="J308" s="133"/>
      <c r="K308" s="133" t="str">
        <f>IFERROR(__xludf.DUMMYFUNCTION("""COMPUTED_VALUE"""),"باراغون لمنتجات الحيوان بي في")</f>
        <v>باراغون لمنتجات الحيوان بي في</v>
      </c>
      <c r="L308" s="142" t="str">
        <f>IFERROR(__xludf.DUMMYFUNCTION("""COMPUTED_VALUE"""),"PV2548")</f>
        <v>PV2548</v>
      </c>
      <c r="M308" s="133"/>
      <c r="N308" s="133"/>
      <c r="O308" s="133"/>
      <c r="P308" s="133"/>
      <c r="Q308" s="133"/>
      <c r="R308" s="133"/>
      <c r="S308" s="133"/>
      <c r="T308" s="133"/>
      <c r="U308" s="133"/>
      <c r="V308" s="133"/>
      <c r="W308" s="133"/>
      <c r="X308" s="133"/>
      <c r="Y308" s="133"/>
      <c r="Z308" s="133"/>
    </row>
    <row r="309">
      <c r="A309" s="133">
        <f>IFERROR(__xludf.DUMMYFUNCTION("""COMPUTED_VALUE"""),308.0)</f>
        <v>308</v>
      </c>
      <c r="B309" s="133" t="str">
        <f>IFERROR(__xludf.DUMMYFUNCTION("""COMPUTED_VALUE"""),"PV2906")</f>
        <v>PV2906</v>
      </c>
      <c r="C309" s="133" t="str">
        <f>IFERROR(__xludf.DUMMYFUNCTION("""COMPUTED_VALUE"""),"P-1-N-081120-3994")</f>
        <v>P-1-N-081120-3994</v>
      </c>
      <c r="D309" s="133"/>
      <c r="E309" s="133" t="str">
        <f>IFERROR(__xludf.DUMMYFUNCTION("""COMPUTED_VALUE"""),"تمت طباعة الشهادة")</f>
        <v>تمت طباعة الشهادة</v>
      </c>
      <c r="F309" s="133" t="str">
        <f>IFERROR(__xludf.DUMMYFUNCTION("""COMPUTED_VALUE"""),"Whimzees Stix (XS) 60g")</f>
        <v>Whimzees Stix (XS) 60g</v>
      </c>
      <c r="G309" s="133" t="str">
        <f>IFERROR(__xludf.DUMMYFUNCTION("""COMPUTED_VALUE"""),"ويمزيس")</f>
        <v>ويمزيس</v>
      </c>
      <c r="H309" s="133" t="str">
        <f>IFERROR(__xludf.DUMMYFUNCTION("""COMPUTED_VALUE"""),"MAFE20201931")</f>
        <v>MAFE20201931</v>
      </c>
      <c r="I309" s="133"/>
      <c r="J309" s="133"/>
      <c r="K309" s="133" t="str">
        <f>IFERROR(__xludf.DUMMYFUNCTION("""COMPUTED_VALUE"""),"باراغون لمنتجات الحيوان بي في")</f>
        <v>باراغون لمنتجات الحيوان بي في</v>
      </c>
      <c r="L309" s="142" t="str">
        <f>IFERROR(__xludf.DUMMYFUNCTION("""COMPUTED_VALUE"""),"PV2906")</f>
        <v>PV2906</v>
      </c>
      <c r="M309" s="133"/>
      <c r="N309" s="133"/>
      <c r="O309" s="133"/>
      <c r="P309" s="133"/>
      <c r="Q309" s="133"/>
      <c r="R309" s="133"/>
      <c r="S309" s="133"/>
      <c r="T309" s="133"/>
      <c r="U309" s="133"/>
      <c r="V309" s="133"/>
      <c r="W309" s="133"/>
      <c r="X309" s="133"/>
      <c r="Y309" s="133"/>
      <c r="Z309" s="133"/>
    </row>
    <row r="310">
      <c r="A310" s="133">
        <f>IFERROR(__xludf.DUMMYFUNCTION("""COMPUTED_VALUE"""),309.0)</f>
        <v>309</v>
      </c>
      <c r="B310" s="133" t="str">
        <f>IFERROR(__xludf.DUMMYFUNCTION("""COMPUTED_VALUE"""),"PV0773")</f>
        <v>PV0773</v>
      </c>
      <c r="C310" s="133" t="str">
        <f>IFERROR(__xludf.DUMMYFUNCTION("""COMPUTED_VALUE"""),"P-1-N-081120-3996")</f>
        <v>P-1-N-081120-3996</v>
      </c>
      <c r="D310" s="133"/>
      <c r="E310" s="133" t="str">
        <f>IFERROR(__xludf.DUMMYFUNCTION("""COMPUTED_VALUE"""),"تمت طباعة الشهادة")</f>
        <v>تمت طباعة الشهادة</v>
      </c>
      <c r="F310" s="133" t="str">
        <f>IFERROR(__xludf.DUMMYFUNCTION("""COMPUTED_VALUE"""),"Whimzees Stix (S) 210g")</f>
        <v>Whimzees Stix (S) 210g</v>
      </c>
      <c r="G310" s="133" t="str">
        <f>IFERROR(__xludf.DUMMYFUNCTION("""COMPUTED_VALUE"""),"ويمزيس ستيكس (صغير) 210 جم")</f>
        <v>ويمزيس ستيكس (صغير) 210 جم</v>
      </c>
      <c r="H310" s="133" t="str">
        <f>IFERROR(__xludf.DUMMYFUNCTION("""COMPUTED_VALUE"""),"MAFE20201930")</f>
        <v>MAFE20201930</v>
      </c>
      <c r="I310" s="133"/>
      <c r="J310" s="133"/>
      <c r="K310" s="133" t="str">
        <f>IFERROR(__xludf.DUMMYFUNCTION("""COMPUTED_VALUE"""),"باراغون لمنتجات الحيوان بي في")</f>
        <v>باراغون لمنتجات الحيوان بي في</v>
      </c>
      <c r="L310" s="142" t="str">
        <f>IFERROR(__xludf.DUMMYFUNCTION("""COMPUTED_VALUE"""),"PV0773")</f>
        <v>PV0773</v>
      </c>
      <c r="M310" s="133"/>
      <c r="N310" s="133"/>
      <c r="O310" s="133"/>
      <c r="P310" s="133"/>
      <c r="Q310" s="133"/>
      <c r="R310" s="133"/>
      <c r="S310" s="133"/>
      <c r="T310" s="133"/>
      <c r="U310" s="133"/>
      <c r="V310" s="133"/>
      <c r="W310" s="133"/>
      <c r="X310" s="133"/>
      <c r="Y310" s="133"/>
      <c r="Z310" s="133"/>
    </row>
    <row r="311">
      <c r="A311" s="133">
        <f>IFERROR(__xludf.DUMMYFUNCTION("""COMPUTED_VALUE"""),310.0)</f>
        <v>310</v>
      </c>
      <c r="B311" s="133" t="str">
        <f>IFERROR(__xludf.DUMMYFUNCTION("""COMPUTED_VALUE"""),"PV2524")</f>
        <v>PV2524</v>
      </c>
      <c r="C311" s="133" t="str">
        <f>IFERROR(__xludf.DUMMYFUNCTION("""COMPUTED_VALUE"""),"P-1-N-081120-3997")</f>
        <v>P-1-N-081120-3997</v>
      </c>
      <c r="D311" s="133"/>
      <c r="E311" s="133" t="str">
        <f>IFERROR(__xludf.DUMMYFUNCTION("""COMPUTED_VALUE"""),"تمت طباعة الشهادة")</f>
        <v>تمت طباعة الشهادة</v>
      </c>
      <c r="F311" s="133" t="str">
        <f>IFERROR(__xludf.DUMMYFUNCTION("""COMPUTED_VALUE"""),"Whimzees Stix (M) 210g")</f>
        <v>Whimzees Stix (M) 210g</v>
      </c>
      <c r="G311" s="133" t="str">
        <f>IFERROR(__xludf.DUMMYFUNCTION("""COMPUTED_VALUE"""),"ويمزيس ستيكس (متوسط) 210 جم")</f>
        <v>ويمزيس ستيكس (متوسط) 210 جم</v>
      </c>
      <c r="H311" s="133" t="str">
        <f>IFERROR(__xludf.DUMMYFUNCTION("""COMPUTED_VALUE"""),"MAFE20201929")</f>
        <v>MAFE20201929</v>
      </c>
      <c r="I311" s="133"/>
      <c r="J311" s="133"/>
      <c r="K311" s="133" t="str">
        <f>IFERROR(__xludf.DUMMYFUNCTION("""COMPUTED_VALUE"""),"باراغون لمنتجات الحيوان بي في")</f>
        <v>باراغون لمنتجات الحيوان بي في</v>
      </c>
      <c r="L311" s="142" t="str">
        <f>IFERROR(__xludf.DUMMYFUNCTION("""COMPUTED_VALUE"""),"PV2524")</f>
        <v>PV2524</v>
      </c>
      <c r="M311" s="133"/>
      <c r="N311" s="133"/>
      <c r="O311" s="133"/>
      <c r="P311" s="133"/>
      <c r="Q311" s="133"/>
      <c r="R311" s="133"/>
      <c r="S311" s="133"/>
      <c r="T311" s="133"/>
      <c r="U311" s="133"/>
      <c r="V311" s="133"/>
      <c r="W311" s="133"/>
      <c r="X311" s="133"/>
      <c r="Y311" s="133"/>
      <c r="Z311" s="133"/>
    </row>
    <row r="312">
      <c r="A312" s="133">
        <f>IFERROR(__xludf.DUMMYFUNCTION("""COMPUTED_VALUE"""),311.0)</f>
        <v>311</v>
      </c>
      <c r="B312" s="133"/>
      <c r="C312" s="133" t="str">
        <f>IFERROR(__xludf.DUMMYFUNCTION("""COMPUTED_VALUE"""),"P-1-N-101120-4086")</f>
        <v>P-1-N-101120-4086</v>
      </c>
      <c r="D312" s="133"/>
      <c r="E312" s="133" t="str">
        <f>IFERROR(__xludf.DUMMYFUNCTION("""COMPUTED_VALUE"""),"REJECTED")</f>
        <v>REJECTED</v>
      </c>
      <c r="F312" s="133" t="str">
        <f>IFERROR(__xludf.DUMMYFUNCTION("""COMPUTED_VALUE"""),"Butcher's Natural &amp; Healthy with Game Chunks in Jelly ")</f>
        <v>Butcher's Natural &amp; Healthy with Game Chunks in Jelly </v>
      </c>
      <c r="G312" s="133" t="str">
        <f>IFERROR(__xludf.DUMMYFUNCTION("""COMPUTED_VALUE"""),"بوتشرز طبيعي وصحي مع قطع لحوم الطرائد في الجلي 400 جم")</f>
        <v>بوتشرز طبيعي وصحي مع قطع لحوم الطرائد في الجلي 400 جم</v>
      </c>
      <c r="H312" s="133"/>
      <c r="I312" s="133"/>
      <c r="J312" s="133"/>
      <c r="K312" s="133" t="str">
        <f>IFERROR(__xludf.DUMMYFUNCTION("""COMPUTED_VALUE"""),"بوتشرز بت كير ال تي دي")</f>
        <v>بوتشرز بت كير ال تي دي</v>
      </c>
      <c r="L312" s="133"/>
      <c r="M312" s="133"/>
      <c r="N312" s="133"/>
      <c r="O312" s="133"/>
      <c r="P312" s="133"/>
      <c r="Q312" s="133"/>
      <c r="R312" s="133"/>
      <c r="S312" s="133"/>
      <c r="T312" s="133"/>
      <c r="U312" s="133"/>
      <c r="V312" s="133"/>
      <c r="W312" s="133"/>
      <c r="X312" s="133"/>
      <c r="Y312" s="133"/>
      <c r="Z312" s="133"/>
    </row>
    <row r="313">
      <c r="A313" s="133">
        <f>IFERROR(__xludf.DUMMYFUNCTION("""COMPUTED_VALUE"""),312.0)</f>
        <v>312</v>
      </c>
      <c r="B313" s="133"/>
      <c r="C313" s="133" t="str">
        <f>IFERROR(__xludf.DUMMYFUNCTION("""COMPUTED_VALUE"""),"P-1-N-101120-4088")</f>
        <v>P-1-N-101120-4088</v>
      </c>
      <c r="D313" s="133"/>
      <c r="E313" s="133" t="str">
        <f>IFERROR(__xludf.DUMMYFUNCTION("""COMPUTED_VALUE"""),"REJECTED")</f>
        <v>REJECTED</v>
      </c>
      <c r="F313" s="133" t="str">
        <f>IFERROR(__xludf.DUMMYFUNCTION("""COMPUTED_VALUE"""),"Butcher's Natural &amp; Healthy with Trout Chunks in Jelly ")</f>
        <v>Butcher's Natural &amp; Healthy with Trout Chunks in Jelly </v>
      </c>
      <c r="G313" s="133" t="str">
        <f>IFERROR(__xludf.DUMMYFUNCTION("""COMPUTED_VALUE"""),"بوتشرز طبيعي وصحي مع التراوت في الجلي 400 جم")</f>
        <v>بوتشرز طبيعي وصحي مع التراوت في الجلي 400 جم</v>
      </c>
      <c r="H313" s="133"/>
      <c r="I313" s="133"/>
      <c r="J313" s="133"/>
      <c r="K313" s="133" t="str">
        <f>IFERROR(__xludf.DUMMYFUNCTION("""COMPUTED_VALUE"""),"بوتشرز بت كير ال تي دي")</f>
        <v>بوتشرز بت كير ال تي دي</v>
      </c>
      <c r="L313" s="133"/>
      <c r="M313" s="133"/>
      <c r="N313" s="133"/>
      <c r="O313" s="133"/>
      <c r="P313" s="133"/>
      <c r="Q313" s="133"/>
      <c r="R313" s="133"/>
      <c r="S313" s="133"/>
      <c r="T313" s="133"/>
      <c r="U313" s="133"/>
      <c r="V313" s="133"/>
      <c r="W313" s="133"/>
      <c r="X313" s="133"/>
      <c r="Y313" s="133"/>
      <c r="Z313" s="133"/>
    </row>
    <row r="314">
      <c r="A314" s="133">
        <f>IFERROR(__xludf.DUMMYFUNCTION("""COMPUTED_VALUE"""),313.0)</f>
        <v>313</v>
      </c>
      <c r="B314" s="133"/>
      <c r="C314" s="133" t="str">
        <f>IFERROR(__xludf.DUMMYFUNCTION("""COMPUTED_VALUE"""),"P-1-N-101120-4091")</f>
        <v>P-1-N-101120-4091</v>
      </c>
      <c r="D314" s="133"/>
      <c r="E314" s="133" t="str">
        <f>IFERROR(__xludf.DUMMYFUNCTION("""COMPUTED_VALUE"""),"REJECTED")</f>
        <v>REJECTED</v>
      </c>
      <c r="F314" s="133" t="str">
        <f>IFERROR(__xludf.DUMMYFUNCTION("""COMPUTED_VALUE"""),"Butcher's Natural &amp; Healthy with Beef Chunks in Jelly ")</f>
        <v>Butcher's Natural &amp; Healthy with Beef Chunks in Jelly </v>
      </c>
      <c r="G314" s="133" t="str">
        <f>IFERROR(__xludf.DUMMYFUNCTION("""COMPUTED_VALUE"""),"بوتشرز طبيعي وصحي مع قطع اللحم البقري في الجلي 400 جم")</f>
        <v>بوتشرز طبيعي وصحي مع قطع اللحم البقري في الجلي 400 جم</v>
      </c>
      <c r="H314" s="133"/>
      <c r="I314" s="133"/>
      <c r="J314" s="133"/>
      <c r="K314" s="133" t="str">
        <f>IFERROR(__xludf.DUMMYFUNCTION("""COMPUTED_VALUE"""),"بوتشرز بت كير ال تي دي")</f>
        <v>بوتشرز بت كير ال تي دي</v>
      </c>
      <c r="L314" s="133"/>
      <c r="M314" s="133"/>
      <c r="N314" s="133"/>
      <c r="O314" s="133"/>
      <c r="P314" s="133"/>
      <c r="Q314" s="133"/>
      <c r="R314" s="133"/>
      <c r="S314" s="133"/>
      <c r="T314" s="133"/>
      <c r="U314" s="133"/>
      <c r="V314" s="133"/>
      <c r="W314" s="133"/>
      <c r="X314" s="133"/>
      <c r="Y314" s="133"/>
      <c r="Z314" s="133"/>
    </row>
    <row r="315">
      <c r="A315" s="133">
        <f>IFERROR(__xludf.DUMMYFUNCTION("""COMPUTED_VALUE"""),314.0)</f>
        <v>314</v>
      </c>
      <c r="B315" s="133"/>
      <c r="C315" s="133" t="str">
        <f>IFERROR(__xludf.DUMMYFUNCTION("""COMPUTED_VALUE"""),"P-1-N-101120-4092")</f>
        <v>P-1-N-101120-4092</v>
      </c>
      <c r="D315" s="133"/>
      <c r="E315" s="133" t="str">
        <f>IFERROR(__xludf.DUMMYFUNCTION("""COMPUTED_VALUE"""),"REJECTED")</f>
        <v>REJECTED</v>
      </c>
      <c r="F315" s="133" t="str">
        <f>IFERROR(__xludf.DUMMYFUNCTION("""COMPUTED_VALUE"""),"Butcher's Natural &amp; Healthy with Chicken Chunks in Jelly ")</f>
        <v>Butcher's Natural &amp; Healthy with Chicken Chunks in Jelly </v>
      </c>
      <c r="G315" s="133" t="str">
        <f>IFERROR(__xludf.DUMMYFUNCTION("""COMPUTED_VALUE"""),"بوتشرز طبيعي وصحي مع قطع دجاج في الجلي 400 جم")</f>
        <v>بوتشرز طبيعي وصحي مع قطع دجاج في الجلي 400 جم</v>
      </c>
      <c r="H315" s="133"/>
      <c r="I315" s="133"/>
      <c r="J315" s="133"/>
      <c r="K315" s="133" t="str">
        <f>IFERROR(__xludf.DUMMYFUNCTION("""COMPUTED_VALUE"""),"بوتشرز بت كير ال تي دي")</f>
        <v>بوتشرز بت كير ال تي دي</v>
      </c>
      <c r="L315" s="133"/>
      <c r="M315" s="133"/>
      <c r="N315" s="133"/>
      <c r="O315" s="133"/>
      <c r="P315" s="133"/>
      <c r="Q315" s="133"/>
      <c r="R315" s="133"/>
      <c r="S315" s="133"/>
      <c r="T315" s="133"/>
      <c r="U315" s="133"/>
      <c r="V315" s="133"/>
      <c r="W315" s="133"/>
      <c r="X315" s="133"/>
      <c r="Y315" s="133"/>
      <c r="Z315" s="133"/>
    </row>
    <row r="316">
      <c r="A316" s="133">
        <f>IFERROR(__xludf.DUMMYFUNCTION("""COMPUTED_VALUE"""),315.0)</f>
        <v>315</v>
      </c>
      <c r="B316" s="133" t="str">
        <f>IFERROR(__xludf.DUMMYFUNCTION("""COMPUTED_VALUE"""),"B1135")</f>
        <v>B1135</v>
      </c>
      <c r="C316" s="133" t="str">
        <f>IFERROR(__xludf.DUMMYFUNCTION("""COMPUTED_VALUE"""),"P-1-N-101120-4093")</f>
        <v>P-1-N-101120-4093</v>
      </c>
      <c r="D316" s="133"/>
      <c r="E316" s="133" t="str">
        <f>IFERROR(__xludf.DUMMYFUNCTION("""COMPUTED_VALUE"""),"REJECTED")</f>
        <v>REJECTED</v>
      </c>
      <c r="F316" s="133" t="str">
        <f>IFERROR(__xludf.DUMMYFUNCTION("""COMPUTED_VALUE"""),"Butcher's Natural &amp; Healthy with Ocean Fish Chunks in Jelly ")</f>
        <v>Butcher's Natural &amp; Healthy with Ocean Fish Chunks in Jelly </v>
      </c>
      <c r="G316" s="133" t="str">
        <f>IFERROR(__xludf.DUMMYFUNCTION("""COMPUTED_VALUE"""),"بوتشرز طبيعي وصحي مع قطع أسماك المحيط في الجلي 400 جم")</f>
        <v>بوتشرز طبيعي وصحي مع قطع أسماك المحيط في الجلي 400 جم</v>
      </c>
      <c r="H316" s="133"/>
      <c r="I316" s="133"/>
      <c r="J316" s="133"/>
      <c r="K316" s="133" t="str">
        <f>IFERROR(__xludf.DUMMYFUNCTION("""COMPUTED_VALUE"""),"بوتشرز بت كير ال تي دي")</f>
        <v>بوتشرز بت كير ال تي دي</v>
      </c>
      <c r="L316" s="142" t="str">
        <f>IFERROR(__xludf.DUMMYFUNCTION("""COMPUTED_VALUE"""),"B1135")</f>
        <v>B1135</v>
      </c>
      <c r="M316" s="133"/>
      <c r="N316" s="133"/>
      <c r="O316" s="133"/>
      <c r="P316" s="133"/>
      <c r="Q316" s="133"/>
      <c r="R316" s="133"/>
      <c r="S316" s="133"/>
      <c r="T316" s="133"/>
      <c r="U316" s="133"/>
      <c r="V316" s="133"/>
      <c r="W316" s="133"/>
      <c r="X316" s="133"/>
      <c r="Y316" s="133"/>
      <c r="Z316" s="133"/>
    </row>
    <row r="317">
      <c r="A317" s="133">
        <f>IFERROR(__xludf.DUMMYFUNCTION("""COMPUTED_VALUE"""),316.0)</f>
        <v>316</v>
      </c>
      <c r="B317" s="133" t="str">
        <f>IFERROR(__xludf.DUMMYFUNCTION("""COMPUTED_VALUE"""),"C370")</f>
        <v>C370</v>
      </c>
      <c r="C317" s="133" t="str">
        <f>IFERROR(__xludf.DUMMYFUNCTION("""COMPUTED_VALUE"""),"P-1-N-111120-4105")</f>
        <v>P-1-N-111120-4105</v>
      </c>
      <c r="D317" s="133"/>
      <c r="E317" s="133" t="str">
        <f>IFERROR(__xludf.DUMMYFUNCTION("""COMPUTED_VALUE"""),"REJECTED")</f>
        <v>REJECTED</v>
      </c>
      <c r="F317" s="133" t="str">
        <f>IFERROR(__xludf.DUMMYFUNCTION("""COMPUTED_VALUE"""),"Chicken and Rice with Papaya in Gel 150g")</f>
        <v>Chicken and Rice with Papaya in Gel 150g</v>
      </c>
      <c r="G317" s="133" t="str">
        <f>IFERROR(__xludf.DUMMYFUNCTION("""COMPUTED_VALUE"""),"الدجاج والأرز مع البابايا في الجيلي 150 جرام")</f>
        <v>الدجاج والأرز مع البابايا في الجيلي 150 جرام</v>
      </c>
      <c r="H317" s="133"/>
      <c r="I317" s="133"/>
      <c r="J317" s="133"/>
      <c r="K317" s="133" t="str">
        <f>IFERROR(__xludf.DUMMYFUNCTION("""COMPUTED_VALUE"""),"ساوث")</f>
        <v>ساوث</v>
      </c>
      <c r="L317" s="142" t="str">
        <f>IFERROR(__xludf.DUMMYFUNCTION("""COMPUTED_VALUE"""),"C370")</f>
        <v>C370</v>
      </c>
      <c r="M317" s="133"/>
      <c r="N317" s="133"/>
      <c r="O317" s="133"/>
      <c r="P317" s="133"/>
      <c r="Q317" s="133"/>
      <c r="R317" s="133"/>
      <c r="S317" s="133"/>
      <c r="T317" s="133"/>
      <c r="U317" s="133"/>
      <c r="V317" s="133"/>
      <c r="W317" s="133"/>
      <c r="X317" s="133"/>
      <c r="Y317" s="133"/>
      <c r="Z317" s="133"/>
    </row>
    <row r="318">
      <c r="A318" s="133">
        <f>IFERROR(__xludf.DUMMYFUNCTION("""COMPUTED_VALUE"""),317.0)</f>
        <v>317</v>
      </c>
      <c r="B318" s="133" t="str">
        <f>IFERROR(__xludf.DUMMYFUNCTION("""COMPUTED_VALUE"""),"C371")</f>
        <v>C371</v>
      </c>
      <c r="C318" s="133" t="str">
        <f>IFERROR(__xludf.DUMMYFUNCTION("""COMPUTED_VALUE"""),"P-1-N-111120-4106")</f>
        <v>P-1-N-111120-4106</v>
      </c>
      <c r="D318" s="133"/>
      <c r="E318" s="133" t="str">
        <f>IFERROR(__xludf.DUMMYFUNCTION("""COMPUTED_VALUE"""),"تمت طباعة الشهادة")</f>
        <v>تمت طباعة الشهادة</v>
      </c>
      <c r="F318" s="133" t="str">
        <f>IFERROR(__xludf.DUMMYFUNCTION("""COMPUTED_VALUE"""),"Chicken and Rice with Pineapple in Solution 150g")</f>
        <v>Chicken and Rice with Pineapple in Solution 150g</v>
      </c>
      <c r="G318" s="133" t="str">
        <f>IFERROR(__xludf.DUMMYFUNCTION("""COMPUTED_VALUE"""),"دجاج وأرز مع الأناناس في محلول 150 جرام")</f>
        <v>دجاج وأرز مع الأناناس في محلول 150 جرام</v>
      </c>
      <c r="H318" s="133" t="str">
        <f>IFERROR(__xludf.DUMMYFUNCTION("""COMPUTED_VALUE"""),"MAFE20202039")</f>
        <v>MAFE20202039</v>
      </c>
      <c r="I318" s="133"/>
      <c r="J318" s="133"/>
      <c r="K318" s="133" t="str">
        <f>IFERROR(__xludf.DUMMYFUNCTION("""COMPUTED_VALUE"""),"ساوث ايست الاسيوية للتغليف والتعليب المحدودة")</f>
        <v>ساوث ايست الاسيوية للتغليف والتعليب المحدودة</v>
      </c>
      <c r="L318" s="142" t="str">
        <f>IFERROR(__xludf.DUMMYFUNCTION("""COMPUTED_VALUE"""),"C371")</f>
        <v>C371</v>
      </c>
      <c r="M318" s="133"/>
      <c r="N318" s="133"/>
      <c r="O318" s="133"/>
      <c r="P318" s="133"/>
      <c r="Q318" s="133"/>
      <c r="R318" s="133"/>
      <c r="S318" s="133"/>
      <c r="T318" s="133"/>
      <c r="U318" s="133"/>
      <c r="V318" s="133"/>
      <c r="W318" s="133"/>
      <c r="X318" s="133"/>
      <c r="Y318" s="133"/>
      <c r="Z318" s="133"/>
    </row>
    <row r="319">
      <c r="A319" s="133">
        <f>IFERROR(__xludf.DUMMYFUNCTION("""COMPUTED_VALUE"""),318.0)</f>
        <v>318</v>
      </c>
      <c r="B319" s="133" t="str">
        <f>IFERROR(__xludf.DUMMYFUNCTION("""COMPUTED_VALUE"""),"C372")</f>
        <v>C372</v>
      </c>
      <c r="C319" s="133" t="str">
        <f>IFERROR(__xludf.DUMMYFUNCTION("""COMPUTED_VALUE"""),"P-1-N-111120-4107")</f>
        <v>P-1-N-111120-4107</v>
      </c>
      <c r="D319" s="133"/>
      <c r="E319" s="133" t="str">
        <f>IFERROR(__xludf.DUMMYFUNCTION("""COMPUTED_VALUE"""),"تمت طباعة الشهادة")</f>
        <v>تمت طباعة الشهادة</v>
      </c>
      <c r="F319" s="133" t="str">
        <f>IFERROR(__xludf.DUMMYFUNCTION("""COMPUTED_VALUE"""),"Chicken and Rice with Apple in Solution 150g")</f>
        <v>Chicken and Rice with Apple in Solution 150g</v>
      </c>
      <c r="G319" s="133" t="str">
        <f>IFERROR(__xludf.DUMMYFUNCTION("""COMPUTED_VALUE"""),"دجاج")</f>
        <v>دجاج</v>
      </c>
      <c r="H319" s="133" t="str">
        <f>IFERROR(__xludf.DUMMYFUNCTION("""COMPUTED_VALUE"""),"MAFE20202038")</f>
        <v>MAFE20202038</v>
      </c>
      <c r="I319" s="133"/>
      <c r="J319" s="133"/>
      <c r="K319" s="133" t="str">
        <f>IFERROR(__xludf.DUMMYFUNCTION("""COMPUTED_VALUE"""),"ساوث ايست الاسيوية للتغليف والتعليب المحدودة")</f>
        <v>ساوث ايست الاسيوية للتغليف والتعليب المحدودة</v>
      </c>
      <c r="L319" s="142" t="str">
        <f>IFERROR(__xludf.DUMMYFUNCTION("""COMPUTED_VALUE"""),"C372")</f>
        <v>C372</v>
      </c>
      <c r="M319" s="133"/>
      <c r="N319" s="133"/>
      <c r="O319" s="133"/>
      <c r="P319" s="133"/>
      <c r="Q319" s="133"/>
      <c r="R319" s="133"/>
      <c r="S319" s="133"/>
      <c r="T319" s="133"/>
      <c r="U319" s="133"/>
      <c r="V319" s="133"/>
      <c r="W319" s="133"/>
      <c r="X319" s="133"/>
      <c r="Y319" s="133"/>
      <c r="Z319" s="133"/>
    </row>
    <row r="320">
      <c r="A320" s="133">
        <f>IFERROR(__xludf.DUMMYFUNCTION("""COMPUTED_VALUE"""),319.0)</f>
        <v>319</v>
      </c>
      <c r="B320" s="133" t="str">
        <f>IFERROR(__xludf.DUMMYFUNCTION("""COMPUTED_VALUE"""),"C680")</f>
        <v>C680</v>
      </c>
      <c r="C320" s="133" t="str">
        <f>IFERROR(__xludf.DUMMYFUNCTION("""COMPUTED_VALUE"""),"P-1-N-111120-4108")</f>
        <v>P-1-N-111120-4108</v>
      </c>
      <c r="D320" s="133"/>
      <c r="E320" s="133" t="str">
        <f>IFERROR(__xludf.DUMMYFUNCTION("""COMPUTED_VALUE"""),"تمت طباعة الشهادة")</f>
        <v>تمت طباعة الشهادة</v>
      </c>
      <c r="F320" s="133" t="str">
        <f>IFERROR(__xludf.DUMMYFUNCTION("""COMPUTED_VALUE"""),"Chicken Fillets 150g")</f>
        <v>Chicken Fillets 150g</v>
      </c>
      <c r="G320" s="133" t="str">
        <f>IFERROR(__xludf.DUMMYFUNCTION("""COMPUTED_VALUE"""),"فيليه دجاج 150 جرام")</f>
        <v>فيليه دجاج 150 جرام</v>
      </c>
      <c r="H320" s="133" t="str">
        <f>IFERROR(__xludf.DUMMYFUNCTION("""COMPUTED_VALUE"""),"MAFE20202037")</f>
        <v>MAFE20202037</v>
      </c>
      <c r="I320" s="133"/>
      <c r="J320" s="133"/>
      <c r="K320" s="133" t="str">
        <f>IFERROR(__xludf.DUMMYFUNCTION("""COMPUTED_VALUE"""),"ساوث ايست الاسيوية للتغليف والتعليب المحدودة")</f>
        <v>ساوث ايست الاسيوية للتغليف والتعليب المحدودة</v>
      </c>
      <c r="L320" s="142" t="str">
        <f>IFERROR(__xludf.DUMMYFUNCTION("""COMPUTED_VALUE"""),"C680")</f>
        <v>C680</v>
      </c>
      <c r="M320" s="133"/>
      <c r="N320" s="133"/>
      <c r="O320" s="133"/>
      <c r="P320" s="133"/>
      <c r="Q320" s="133"/>
      <c r="R320" s="133"/>
      <c r="S320" s="133"/>
      <c r="T320" s="133"/>
      <c r="U320" s="133"/>
      <c r="V320" s="133"/>
      <c r="W320" s="133"/>
      <c r="X320" s="133"/>
      <c r="Y320" s="133"/>
      <c r="Z320" s="133"/>
    </row>
    <row r="321">
      <c r="A321" s="133">
        <f>IFERROR(__xludf.DUMMYFUNCTION("""COMPUTED_VALUE"""),320.0)</f>
        <v>320</v>
      </c>
      <c r="B321" s="133" t="str">
        <f>IFERROR(__xludf.DUMMYFUNCTION("""COMPUTED_VALUE"""),"C681")</f>
        <v>C681</v>
      </c>
      <c r="C321" s="133" t="str">
        <f>IFERROR(__xludf.DUMMYFUNCTION("""COMPUTED_VALUE"""),"P-1-N-111120-4109")</f>
        <v>P-1-N-111120-4109</v>
      </c>
      <c r="D321" s="133"/>
      <c r="E321" s="133" t="str">
        <f>IFERROR(__xludf.DUMMYFUNCTION("""COMPUTED_VALUE"""),"تمت طباعة الشهادة")</f>
        <v>تمت طباعة الشهادة</v>
      </c>
      <c r="F321" s="133" t="str">
        <f>IFERROR(__xludf.DUMMYFUNCTION("""COMPUTED_VALUE"""),"Tuna whole meat and rice in jelly 150g")</f>
        <v>Tuna whole meat and rice in jelly 150g</v>
      </c>
      <c r="G321" s="133" t="str">
        <f>IFERROR(__xludf.DUMMYFUNCTION("""COMPUTED_VALUE"""),"لحم تونة كامل مع أرز في الجيلي 150 جرام")</f>
        <v>لحم تونة كامل مع أرز في الجيلي 150 جرام</v>
      </c>
      <c r="H321" s="133" t="str">
        <f>IFERROR(__xludf.DUMMYFUNCTION("""COMPUTED_VALUE"""),"MAFE20202036")</f>
        <v>MAFE20202036</v>
      </c>
      <c r="I321" s="133"/>
      <c r="J321" s="133"/>
      <c r="K321" s="133" t="str">
        <f>IFERROR(__xludf.DUMMYFUNCTION("""COMPUTED_VALUE"""),"ساوث ايست الاسيوية للتغليف والتعليب المحدودة")</f>
        <v>ساوث ايست الاسيوية للتغليف والتعليب المحدودة</v>
      </c>
      <c r="L321" s="142" t="str">
        <f>IFERROR(__xludf.DUMMYFUNCTION("""COMPUTED_VALUE"""),"C681")</f>
        <v>C681</v>
      </c>
      <c r="M321" s="133"/>
      <c r="N321" s="133"/>
      <c r="O321" s="133"/>
      <c r="P321" s="133"/>
      <c r="Q321" s="133"/>
      <c r="R321" s="133"/>
      <c r="S321" s="133"/>
      <c r="T321" s="133"/>
      <c r="U321" s="133"/>
      <c r="V321" s="133"/>
      <c r="W321" s="133"/>
      <c r="X321" s="133"/>
      <c r="Y321" s="133"/>
      <c r="Z321" s="133"/>
    </row>
    <row r="322">
      <c r="A322" s="133">
        <f>IFERROR(__xludf.DUMMYFUNCTION("""COMPUTED_VALUE"""),321.0)</f>
        <v>321</v>
      </c>
      <c r="B322" s="133" t="str">
        <f>IFERROR(__xludf.DUMMYFUNCTION("""COMPUTED_VALUE"""),"C682")</f>
        <v>C682</v>
      </c>
      <c r="C322" s="133" t="str">
        <f>IFERROR(__xludf.DUMMYFUNCTION("""COMPUTED_VALUE"""),"P-1-N-111120-4111")</f>
        <v>P-1-N-111120-4111</v>
      </c>
      <c r="D322" s="133"/>
      <c r="E322" s="133" t="str">
        <f>IFERROR(__xludf.DUMMYFUNCTION("""COMPUTED_VALUE"""),"تمت طباعة الشهادة")</f>
        <v>تمت طباعة الشهادة</v>
      </c>
      <c r="F322" s="133" t="str">
        <f>IFERROR(__xludf.DUMMYFUNCTION("""COMPUTED_VALUE"""),"Chicken and Beef with Rice 150g")</f>
        <v>Chicken and Beef with Rice 150g</v>
      </c>
      <c r="G322" s="133" t="str">
        <f>IFERROR(__xludf.DUMMYFUNCTION("""COMPUTED_VALUE"""),"دجاج و لحم بقري مع الأرز 150 جرام")</f>
        <v>دجاج و لحم بقري مع الأرز 150 جرام</v>
      </c>
      <c r="H322" s="133" t="str">
        <f>IFERROR(__xludf.DUMMYFUNCTION("""COMPUTED_VALUE"""),"MAFE20202035")</f>
        <v>MAFE20202035</v>
      </c>
      <c r="I322" s="133"/>
      <c r="J322" s="133"/>
      <c r="K322" s="133" t="str">
        <f>IFERROR(__xludf.DUMMYFUNCTION("""COMPUTED_VALUE"""),"ساوث ايست الاسيوية للتغليف والتعليب المحدودة")</f>
        <v>ساوث ايست الاسيوية للتغليف والتعليب المحدودة</v>
      </c>
      <c r="L322" s="142" t="str">
        <f>IFERROR(__xludf.DUMMYFUNCTION("""COMPUTED_VALUE"""),"C682")</f>
        <v>C682</v>
      </c>
      <c r="M322" s="133"/>
      <c r="N322" s="133"/>
      <c r="O322" s="133"/>
      <c r="P322" s="133"/>
      <c r="Q322" s="133"/>
      <c r="R322" s="133"/>
      <c r="S322" s="133"/>
      <c r="T322" s="133"/>
      <c r="U322" s="133"/>
      <c r="V322" s="133"/>
      <c r="W322" s="133"/>
      <c r="X322" s="133"/>
      <c r="Y322" s="133"/>
      <c r="Z322" s="133"/>
    </row>
    <row r="323">
      <c r="A323" s="133">
        <f>IFERROR(__xludf.DUMMYFUNCTION("""COMPUTED_VALUE"""),322.0)</f>
        <v>322</v>
      </c>
      <c r="B323" s="133" t="str">
        <f>IFERROR(__xludf.DUMMYFUNCTION("""COMPUTED_VALUE"""),"C684")</f>
        <v>C684</v>
      </c>
      <c r="C323" s="133" t="str">
        <f>IFERROR(__xludf.DUMMYFUNCTION("""COMPUTED_VALUE"""),"P-1-N-111120-4112")</f>
        <v>P-1-N-111120-4112</v>
      </c>
      <c r="D323" s="133"/>
      <c r="E323" s="133" t="str">
        <f>IFERROR(__xludf.DUMMYFUNCTION("""COMPUTED_VALUE"""),"REJECTED")</f>
        <v>REJECTED</v>
      </c>
      <c r="F323" s="133" t="str">
        <f>IFERROR(__xludf.DUMMYFUNCTION("""COMPUTED_VALUE"""),"Chicken and rice with aloe in gel 150g")</f>
        <v>Chicken and rice with aloe in gel 150g</v>
      </c>
      <c r="G323" s="133" t="str">
        <f>IFERROR(__xludf.DUMMYFUNCTION("""COMPUTED_VALUE"""),"الدجاج والأرز مع جل الصبار 150 جرام")</f>
        <v>الدجاج والأرز مع جل الصبار 150 جرام</v>
      </c>
      <c r="H323" s="133"/>
      <c r="I323" s="133"/>
      <c r="J323" s="133"/>
      <c r="K323" s="133" t="str">
        <f>IFERROR(__xludf.DUMMYFUNCTION("""COMPUTED_VALUE"""),"ساوث ايست الاسيوية للتغليف والتعليب المحدودة")</f>
        <v>ساوث ايست الاسيوية للتغليف والتعليب المحدودة</v>
      </c>
      <c r="L323" s="142" t="str">
        <f>IFERROR(__xludf.DUMMYFUNCTION("""COMPUTED_VALUE"""),"C684")</f>
        <v>C684</v>
      </c>
      <c r="M323" s="133"/>
      <c r="N323" s="133"/>
      <c r="O323" s="133"/>
      <c r="P323" s="133"/>
      <c r="Q323" s="133"/>
      <c r="R323" s="133"/>
      <c r="S323" s="133"/>
      <c r="T323" s="133"/>
      <c r="U323" s="133"/>
      <c r="V323" s="133"/>
      <c r="W323" s="133"/>
      <c r="X323" s="133"/>
      <c r="Y323" s="133"/>
      <c r="Z323" s="133"/>
    </row>
    <row r="324">
      <c r="A324" s="133">
        <f>IFERROR(__xludf.DUMMYFUNCTION("""COMPUTED_VALUE"""),323.0)</f>
        <v>323</v>
      </c>
      <c r="B324" s="133"/>
      <c r="C324" s="133" t="str">
        <f>IFERROR(__xludf.DUMMYFUNCTION("""COMPUTED_VALUE"""),"P-1-N-111120-4113")</f>
        <v>P-1-N-111120-4113</v>
      </c>
      <c r="D324" s="133"/>
      <c r="E324" s="133" t="str">
        <f>IFERROR(__xludf.DUMMYFUNCTION("""COMPUTED_VALUE"""),"REJECTED")</f>
        <v>REJECTED</v>
      </c>
      <c r="F324" s="133" t="str">
        <f>IFERROR(__xludf.DUMMYFUNCTION("""COMPUTED_VALUE"""),"Tuna whole meat and rice with aloe in gel 150g")</f>
        <v>Tuna whole meat and rice with aloe in gel 150g</v>
      </c>
      <c r="G324" s="133" t="str">
        <f>IFERROR(__xludf.DUMMYFUNCTION("""COMPUTED_VALUE"""),"لحم تونة كامل مع أرز مع جل الصبار 150 جرام")</f>
        <v>لحم تونة كامل مع أرز مع جل الصبار 150 جرام</v>
      </c>
      <c r="H324" s="133"/>
      <c r="I324" s="133"/>
      <c r="J324" s="133"/>
      <c r="K324" s="133" t="str">
        <f>IFERROR(__xludf.DUMMYFUNCTION("""COMPUTED_VALUE"""),"بيفار بي في")</f>
        <v>بيفار بي في</v>
      </c>
      <c r="L324" s="133"/>
      <c r="M324" s="133"/>
      <c r="N324" s="133"/>
      <c r="O324" s="133"/>
      <c r="P324" s="133"/>
      <c r="Q324" s="133"/>
      <c r="R324" s="133"/>
      <c r="S324" s="133"/>
      <c r="T324" s="133"/>
      <c r="U324" s="133"/>
      <c r="V324" s="133"/>
      <c r="W324" s="133"/>
      <c r="X324" s="133"/>
      <c r="Y324" s="133"/>
      <c r="Z324" s="133"/>
    </row>
    <row r="325">
      <c r="A325" s="133">
        <f>IFERROR(__xludf.DUMMYFUNCTION("""COMPUTED_VALUE"""),324.0)</f>
        <v>324</v>
      </c>
      <c r="B325" s="133" t="str">
        <f>IFERROR(__xludf.DUMMYFUNCTION("""COMPUTED_VALUE"""),"C684")</f>
        <v>C684</v>
      </c>
      <c r="C325" s="133" t="str">
        <f>IFERROR(__xludf.DUMMYFUNCTION("""COMPUTED_VALUE"""),"P-1-N-111120-4115")</f>
        <v>P-1-N-111120-4115</v>
      </c>
      <c r="D325" s="133"/>
      <c r="E325" s="133" t="str">
        <f>IFERROR(__xludf.DUMMYFUNCTION("""COMPUTED_VALUE"""),"REJECTED")</f>
        <v>REJECTED</v>
      </c>
      <c r="F325" s="133" t="str">
        <f>IFERROR(__xludf.DUMMYFUNCTION("""COMPUTED_VALUE"""),"Chicken and rice with aloe in gel 150g")</f>
        <v>Chicken and rice with aloe in gel 150g</v>
      </c>
      <c r="G325" s="133" t="str">
        <f>IFERROR(__xludf.DUMMYFUNCTION("""COMPUTED_VALUE"""),"الدجاج والأرز مع جل الصبار 150 جرام")</f>
        <v>الدجاج والأرز مع جل الصبار 150 جرام</v>
      </c>
      <c r="H325" s="133"/>
      <c r="I325" s="133"/>
      <c r="J325" s="133"/>
      <c r="K325" s="133" t="str">
        <f>IFERROR(__xludf.DUMMYFUNCTION("""COMPUTED_VALUE"""),"ساوث ايست الاسيوية للتغليف والتعليب المحدودة")</f>
        <v>ساوث ايست الاسيوية للتغليف والتعليب المحدودة</v>
      </c>
      <c r="L325" s="142" t="str">
        <f>IFERROR(__xludf.DUMMYFUNCTION("""COMPUTED_VALUE"""),"C684")</f>
        <v>C684</v>
      </c>
      <c r="M325" s="133"/>
      <c r="N325" s="133"/>
      <c r="O325" s="133"/>
      <c r="P325" s="133"/>
      <c r="Q325" s="133"/>
      <c r="R325" s="133"/>
      <c r="S325" s="133"/>
      <c r="T325" s="133"/>
      <c r="U325" s="133"/>
      <c r="V325" s="133"/>
      <c r="W325" s="133"/>
      <c r="X325" s="133"/>
      <c r="Y325" s="133"/>
      <c r="Z325" s="133"/>
    </row>
    <row r="326">
      <c r="A326" s="133">
        <f>IFERROR(__xludf.DUMMYFUNCTION("""COMPUTED_VALUE"""),325.0)</f>
        <v>325</v>
      </c>
      <c r="B326" s="133"/>
      <c r="C326" s="133" t="str">
        <f>IFERROR(__xludf.DUMMYFUNCTION("""COMPUTED_VALUE"""),"P-1-N-111120-4138")</f>
        <v>P-1-N-111120-4138</v>
      </c>
      <c r="D326" s="133"/>
      <c r="E326" s="133" t="str">
        <f>IFERROR(__xludf.DUMMYFUNCTION("""COMPUTED_VALUE"""),"REJECTED")</f>
        <v>REJECTED</v>
      </c>
      <c r="F326" s="133">
        <f>IFERROR(__xludf.DUMMYFUNCTION("""COMPUTED_VALUE"""),0.0)</f>
        <v>0</v>
      </c>
      <c r="G326" s="133" t="str">
        <f>IFERROR(__xludf.DUMMYFUNCTION("""COMPUTED_VALUE"""),"شوربة سلمون بالجزر 85 جرام")</f>
        <v>شوربة سلمون بالجزر 85 جرام</v>
      </c>
      <c r="H326" s="133"/>
      <c r="I326" s="133"/>
      <c r="J326" s="133"/>
      <c r="K326" s="133" t="str">
        <f>IFERROR(__xludf.DUMMYFUNCTION("""COMPUTED_VALUE"""),"ساوث ايست الاسيوية للتغليف والتعليب المحدودة")</f>
        <v>ساوث ايست الاسيوية للتغليف والتعليب المحدودة</v>
      </c>
      <c r="L326" s="133"/>
      <c r="M326" s="133"/>
      <c r="N326" s="133"/>
      <c r="O326" s="133"/>
      <c r="P326" s="133"/>
      <c r="Q326" s="133"/>
      <c r="R326" s="133"/>
      <c r="S326" s="133"/>
      <c r="T326" s="133"/>
      <c r="U326" s="133"/>
      <c r="V326" s="133"/>
      <c r="W326" s="133"/>
      <c r="X326" s="133"/>
      <c r="Y326" s="133"/>
      <c r="Z326" s="133"/>
    </row>
    <row r="327">
      <c r="A327" s="133">
        <f>IFERROR(__xludf.DUMMYFUNCTION("""COMPUTED_VALUE"""),326.0)</f>
        <v>326</v>
      </c>
      <c r="B327" s="133" t="str">
        <f>IFERROR(__xludf.DUMMYFUNCTION("""COMPUTED_VALUE"""),"C673")</f>
        <v>C673</v>
      </c>
      <c r="C327" s="133" t="str">
        <f>IFERROR(__xludf.DUMMYFUNCTION("""COMPUTED_VALUE"""),"P-1-N-111120-4139")</f>
        <v>P-1-N-111120-4139</v>
      </c>
      <c r="D327" s="133"/>
      <c r="E327" s="133" t="str">
        <f>IFERROR(__xludf.DUMMYFUNCTION("""COMPUTED_VALUE"""),"REJECTED")</f>
        <v>REJECTED</v>
      </c>
      <c r="F327" s="133" t="str">
        <f>IFERROR(__xludf.DUMMYFUNCTION("""COMPUTED_VALUE"""),"Tuna Soup with Squid 85g")</f>
        <v>Tuna Soup with Squid 85g</v>
      </c>
      <c r="G327" s="133" t="str">
        <f>IFERROR(__xludf.DUMMYFUNCTION("""COMPUTED_VALUE"""),"شوربة التونة بالحبار 85 جم")</f>
        <v>شوربة التونة بالحبار 85 جم</v>
      </c>
      <c r="H327" s="133"/>
      <c r="I327" s="133"/>
      <c r="J327" s="133"/>
      <c r="K327" s="133" t="str">
        <f>IFERROR(__xludf.DUMMYFUNCTION("""COMPUTED_VALUE"""),"ساوث")</f>
        <v>ساوث</v>
      </c>
      <c r="L327" s="142" t="str">
        <f>IFERROR(__xludf.DUMMYFUNCTION("""COMPUTED_VALUE"""),"C673")</f>
        <v>C673</v>
      </c>
      <c r="M327" s="133"/>
      <c r="N327" s="133"/>
      <c r="O327" s="133"/>
      <c r="P327" s="133"/>
      <c r="Q327" s="133"/>
      <c r="R327" s="133"/>
      <c r="S327" s="133"/>
      <c r="T327" s="133"/>
      <c r="U327" s="133"/>
      <c r="V327" s="133"/>
      <c r="W327" s="133"/>
      <c r="X327" s="133"/>
      <c r="Y327" s="133"/>
      <c r="Z327" s="133"/>
    </row>
    <row r="328">
      <c r="A328" s="133">
        <f>IFERROR(__xludf.DUMMYFUNCTION("""COMPUTED_VALUE"""),327.0)</f>
        <v>327</v>
      </c>
      <c r="B328" s="133"/>
      <c r="C328" s="133" t="str">
        <f>IFERROR(__xludf.DUMMYFUNCTION("""COMPUTED_VALUE"""),"P-1-N-111120-4140")</f>
        <v>P-1-N-111120-4140</v>
      </c>
      <c r="D328" s="133"/>
      <c r="E328" s="133" t="str">
        <f>IFERROR(__xludf.DUMMYFUNCTION("""COMPUTED_VALUE"""),"REJECTED")</f>
        <v>REJECTED</v>
      </c>
      <c r="F328" s="133" t="str">
        <f>IFERROR(__xludf.DUMMYFUNCTION("""COMPUTED_VALUE"""),"Tuna Soup with Papaya 85g")</f>
        <v>Tuna Soup with Papaya 85g</v>
      </c>
      <c r="G328" s="133" t="str">
        <f>IFERROR(__xludf.DUMMYFUNCTION("""COMPUTED_VALUE"""),"شوربة التونة بالبابايا 85 جم")</f>
        <v>شوربة التونة بالبابايا 85 جم</v>
      </c>
      <c r="H328" s="133"/>
      <c r="I328" s="133"/>
      <c r="J328" s="133"/>
      <c r="K328" s="133" t="str">
        <f>IFERROR(__xludf.DUMMYFUNCTION("""COMPUTED_VALUE"""),"ساوث ايست الاسيوية للتغليف والتعليب المحدودة")</f>
        <v>ساوث ايست الاسيوية للتغليف والتعليب المحدودة</v>
      </c>
      <c r="L328" s="133"/>
      <c r="M328" s="133"/>
      <c r="N328" s="133"/>
      <c r="O328" s="133"/>
      <c r="P328" s="133"/>
      <c r="Q328" s="133"/>
      <c r="R328" s="133"/>
      <c r="S328" s="133"/>
      <c r="T328" s="133"/>
      <c r="U328" s="133"/>
      <c r="V328" s="133"/>
      <c r="W328" s="133"/>
      <c r="X328" s="133"/>
      <c r="Y328" s="133"/>
      <c r="Z328" s="133"/>
    </row>
    <row r="329">
      <c r="A329" s="133">
        <f>IFERROR(__xludf.DUMMYFUNCTION("""COMPUTED_VALUE"""),328.0)</f>
        <v>328</v>
      </c>
      <c r="B329" s="133" t="str">
        <f>IFERROR(__xludf.DUMMYFUNCTION("""COMPUTED_VALUE"""),"C674")</f>
        <v>C674</v>
      </c>
      <c r="C329" s="133" t="str">
        <f>IFERROR(__xludf.DUMMYFUNCTION("""COMPUTED_VALUE"""),"P-1-N-111120-4141")</f>
        <v>P-1-N-111120-4141</v>
      </c>
      <c r="D329" s="133"/>
      <c r="E329" s="133" t="str">
        <f>IFERROR(__xludf.DUMMYFUNCTION("""COMPUTED_VALUE"""),"REJECTED")</f>
        <v>REJECTED</v>
      </c>
      <c r="F329" s="133" t="str">
        <f>IFERROR(__xludf.DUMMYFUNCTION("""COMPUTED_VALUE"""),"Tuna Soup with Carrot and Pumpkin 85g")</f>
        <v>Tuna Soup with Carrot and Pumpkin 85g</v>
      </c>
      <c r="G329" s="133" t="str">
        <f>IFERROR(__xludf.DUMMYFUNCTION("""COMPUTED_VALUE"""),"شوربة")</f>
        <v>شوربة</v>
      </c>
      <c r="H329" s="133"/>
      <c r="I329" s="133"/>
      <c r="J329" s="133"/>
      <c r="K329" s="133" t="str">
        <f>IFERROR(__xludf.DUMMYFUNCTION("""COMPUTED_VALUE"""),"ساوث ايست الاسيوية للتغليف والتعليب المحدودة")</f>
        <v>ساوث ايست الاسيوية للتغليف والتعليب المحدودة</v>
      </c>
      <c r="L329" s="142" t="str">
        <f>IFERROR(__xludf.DUMMYFUNCTION("""COMPUTED_VALUE"""),"C674")</f>
        <v>C674</v>
      </c>
      <c r="M329" s="133"/>
      <c r="N329" s="133"/>
      <c r="O329" s="133"/>
      <c r="P329" s="133"/>
      <c r="Q329" s="133"/>
      <c r="R329" s="133"/>
      <c r="S329" s="133"/>
      <c r="T329" s="133"/>
      <c r="U329" s="133"/>
      <c r="V329" s="133"/>
      <c r="W329" s="133"/>
      <c r="X329" s="133"/>
      <c r="Y329" s="133"/>
      <c r="Z329" s="133"/>
    </row>
    <row r="330">
      <c r="A330" s="133">
        <f>IFERROR(__xludf.DUMMYFUNCTION("""COMPUTED_VALUE"""),329.0)</f>
        <v>329</v>
      </c>
      <c r="B330" s="133"/>
      <c r="C330" s="133" t="str">
        <f>IFERROR(__xludf.DUMMYFUNCTION("""COMPUTED_VALUE"""),"P-1-N-111120-4144")</f>
        <v>P-1-N-111120-4144</v>
      </c>
      <c r="D330" s="133"/>
      <c r="E330" s="133" t="str">
        <f>IFERROR(__xludf.DUMMYFUNCTION("""COMPUTED_VALUE"""),"REJECTED")</f>
        <v>REJECTED</v>
      </c>
      <c r="F330" s="133" t="str">
        <f>IFERROR(__xludf.DUMMYFUNCTION("""COMPUTED_VALUE"""),"Chicken with Carrot and Pumpkin 85g")</f>
        <v>Chicken with Carrot and Pumpkin 85g</v>
      </c>
      <c r="G330" s="133" t="str">
        <f>IFERROR(__xludf.DUMMYFUNCTION("""COMPUTED_VALUE"""),"دجاج بالجزر والقرع 85 جم")</f>
        <v>دجاج بالجزر والقرع 85 جم</v>
      </c>
      <c r="H330" s="133"/>
      <c r="I330" s="133"/>
      <c r="J330" s="133"/>
      <c r="K330" s="133" t="str">
        <f>IFERROR(__xludf.DUMMYFUNCTION("""COMPUTED_VALUE"""),"ساوث ايست الاسيوية للتغليف والتعليب المحدودة")</f>
        <v>ساوث ايست الاسيوية للتغليف والتعليب المحدودة</v>
      </c>
      <c r="L330" s="133"/>
      <c r="M330" s="133"/>
      <c r="N330" s="133"/>
      <c r="O330" s="133"/>
      <c r="P330" s="133"/>
      <c r="Q330" s="133"/>
      <c r="R330" s="133"/>
      <c r="S330" s="133"/>
      <c r="T330" s="133"/>
      <c r="U330" s="133"/>
      <c r="V330" s="133"/>
      <c r="W330" s="133"/>
      <c r="X330" s="133"/>
      <c r="Y330" s="133"/>
      <c r="Z330" s="133"/>
    </row>
    <row r="331">
      <c r="A331" s="133">
        <f>IFERROR(__xludf.DUMMYFUNCTION("""COMPUTED_VALUE"""),330.0)</f>
        <v>330</v>
      </c>
      <c r="B331" s="133"/>
      <c r="C331" s="133" t="str">
        <f>IFERROR(__xludf.DUMMYFUNCTION("""COMPUTED_VALUE"""),"P-1-N-111120-4145")</f>
        <v>P-1-N-111120-4145</v>
      </c>
      <c r="D331" s="133"/>
      <c r="E331" s="133" t="str">
        <f>IFERROR(__xludf.DUMMYFUNCTION("""COMPUTED_VALUE"""),"REJECTED")</f>
        <v>REJECTED</v>
      </c>
      <c r="F331" s="133" t="str">
        <f>IFERROR(__xludf.DUMMYFUNCTION("""COMPUTED_VALUE"""),"Salmon Soup with Carrot 85g")</f>
        <v>Salmon Soup with Carrot 85g</v>
      </c>
      <c r="G331" s="133" t="str">
        <f>IFERROR(__xludf.DUMMYFUNCTION("""COMPUTED_VALUE"""),"شوربة سلمون بالجزر 85 جرام")</f>
        <v>شوربة سلمون بالجزر 85 جرام</v>
      </c>
      <c r="H331" s="133"/>
      <c r="I331" s="133"/>
      <c r="J331" s="133"/>
      <c r="K331" s="133" t="str">
        <f>IFERROR(__xludf.DUMMYFUNCTION("""COMPUTED_VALUE"""),"ساوث ايست الاسيوية للتغليف والتعليب المحدودة")</f>
        <v>ساوث ايست الاسيوية للتغليف والتعليب المحدودة</v>
      </c>
      <c r="L331" s="133"/>
      <c r="M331" s="133"/>
      <c r="N331" s="133"/>
      <c r="O331" s="133"/>
      <c r="P331" s="133"/>
      <c r="Q331" s="133"/>
      <c r="R331" s="133"/>
      <c r="S331" s="133"/>
      <c r="T331" s="133"/>
      <c r="U331" s="133"/>
      <c r="V331" s="133"/>
      <c r="W331" s="133"/>
      <c r="X331" s="133"/>
      <c r="Y331" s="133"/>
      <c r="Z331" s="133"/>
    </row>
    <row r="332">
      <c r="A332" s="133">
        <f>IFERROR(__xludf.DUMMYFUNCTION("""COMPUTED_VALUE"""),331.0)</f>
        <v>331</v>
      </c>
      <c r="B332" s="133" t="str">
        <f>IFERROR(__xludf.DUMMYFUNCTION("""COMPUTED_VALUE"""),"C355")</f>
        <v>C355</v>
      </c>
      <c r="C332" s="133" t="str">
        <f>IFERROR(__xludf.DUMMYFUNCTION("""COMPUTED_VALUE"""),"P-1-N-121120-4156")</f>
        <v>P-1-N-121120-4156</v>
      </c>
      <c r="D332" s="133"/>
      <c r="E332" s="133" t="str">
        <f>IFERROR(__xludf.DUMMYFUNCTION("""COMPUTED_VALUE"""),"تمت طباعة الشهادة")</f>
        <v>تمت طباعة الشهادة</v>
      </c>
      <c r="F332" s="133" t="str">
        <f>IFERROR(__xludf.DUMMYFUNCTION("""COMPUTED_VALUE"""),"Tuna whole meat and rice with kiwi in soft gel 75g")</f>
        <v>Tuna whole meat and rice with kiwi in soft gel 75g</v>
      </c>
      <c r="G332" s="133" t="str">
        <f>IFERROR(__xludf.DUMMYFUNCTION("""COMPUTED_VALUE"""),"لحم تونا كامل و أرز مع كيوي في الجيلي الطري 75 جرام")</f>
        <v>لحم تونا كامل و أرز مع كيوي في الجيلي الطري 75 جرام</v>
      </c>
      <c r="H332" s="133" t="str">
        <f>IFERROR(__xludf.DUMMYFUNCTION("""COMPUTED_VALUE"""),"MAFE20202102")</f>
        <v>MAFE20202102</v>
      </c>
      <c r="I332" s="133"/>
      <c r="J332" s="133"/>
      <c r="K332" s="133" t="str">
        <f>IFERROR(__xludf.DUMMYFUNCTION("""COMPUTED_VALUE"""),"ساوث ايست الاسيوية للتغليف والتعليب المحدودة")</f>
        <v>ساوث ايست الاسيوية للتغليف والتعليب المحدودة</v>
      </c>
      <c r="L332" s="142" t="str">
        <f>IFERROR(__xludf.DUMMYFUNCTION("""COMPUTED_VALUE"""),"C355")</f>
        <v>C355</v>
      </c>
      <c r="M332" s="133"/>
      <c r="N332" s="133"/>
      <c r="O332" s="133"/>
      <c r="P332" s="133"/>
      <c r="Q332" s="133"/>
      <c r="R332" s="133"/>
      <c r="S332" s="133"/>
      <c r="T332" s="133"/>
      <c r="U332" s="133"/>
      <c r="V332" s="133"/>
      <c r="W332" s="133"/>
      <c r="X332" s="133"/>
      <c r="Y332" s="133"/>
      <c r="Z332" s="133"/>
    </row>
    <row r="333">
      <c r="A333" s="133">
        <f>IFERROR(__xludf.DUMMYFUNCTION("""COMPUTED_VALUE"""),332.0)</f>
        <v>332</v>
      </c>
      <c r="B333" s="133" t="str">
        <f>IFERROR(__xludf.DUMMYFUNCTION("""COMPUTED_VALUE"""),"C354")</f>
        <v>C354</v>
      </c>
      <c r="C333" s="133" t="str">
        <f>IFERROR(__xludf.DUMMYFUNCTION("""COMPUTED_VALUE"""),"P-1-N-121120-4157")</f>
        <v>P-1-N-121120-4157</v>
      </c>
      <c r="D333" s="133"/>
      <c r="E333" s="133" t="str">
        <f>IFERROR(__xludf.DUMMYFUNCTION("""COMPUTED_VALUE"""),"تمت طباعة الشهادة")</f>
        <v>تمت طباعة الشهادة</v>
      </c>
      <c r="F333" s="133" t="str">
        <f>IFERROR(__xludf.DUMMYFUNCTION("""COMPUTED_VALUE"""),"Tuna white meat rice with mango in solution 75g")</f>
        <v>Tuna white meat rice with mango in solution 75g</v>
      </c>
      <c r="G333" s="133" t="str">
        <f>IFERROR(__xludf.DUMMYFUNCTION("""COMPUTED_VALUE"""),"لحم تونا أبيض و أرز مع المانجو 75 جرام")</f>
        <v>لحم تونا أبيض و أرز مع المانجو 75 جرام</v>
      </c>
      <c r="H333" s="133" t="str">
        <f>IFERROR(__xludf.DUMMYFUNCTION("""COMPUTED_VALUE"""),"MAFE20202069")</f>
        <v>MAFE20202069</v>
      </c>
      <c r="I333" s="133"/>
      <c r="J333" s="133"/>
      <c r="K333" s="133" t="str">
        <f>IFERROR(__xludf.DUMMYFUNCTION("""COMPUTED_VALUE"""),"ساوث ايست الاسيوية للتغليف والتعليب المحدودة")</f>
        <v>ساوث ايست الاسيوية للتغليف والتعليب المحدودة</v>
      </c>
      <c r="L333" s="142" t="str">
        <f>IFERROR(__xludf.DUMMYFUNCTION("""COMPUTED_VALUE"""),"C354")</f>
        <v>C354</v>
      </c>
      <c r="M333" s="133"/>
      <c r="N333" s="133"/>
      <c r="O333" s="133"/>
      <c r="P333" s="133"/>
      <c r="Q333" s="133"/>
      <c r="R333" s="133"/>
      <c r="S333" s="133"/>
      <c r="T333" s="133"/>
      <c r="U333" s="133"/>
      <c r="V333" s="133"/>
      <c r="W333" s="133"/>
      <c r="X333" s="133"/>
      <c r="Y333" s="133"/>
      <c r="Z333" s="133"/>
    </row>
    <row r="334">
      <c r="A334" s="133">
        <f>IFERROR(__xludf.DUMMYFUNCTION("""COMPUTED_VALUE"""),333.0)</f>
        <v>333</v>
      </c>
      <c r="B334" s="133" t="str">
        <f>IFERROR(__xludf.DUMMYFUNCTION("""COMPUTED_VALUE"""),"C353")</f>
        <v>C353</v>
      </c>
      <c r="C334" s="133" t="str">
        <f>IFERROR(__xludf.DUMMYFUNCTION("""COMPUTED_VALUE"""),"P-1-N-121120-4158")</f>
        <v>P-1-N-121120-4158</v>
      </c>
      <c r="D334" s="133"/>
      <c r="E334" s="133" t="str">
        <f>IFERROR(__xludf.DUMMYFUNCTION("""COMPUTED_VALUE"""),"تمت طباعة الشهادة")</f>
        <v>تمت طباعة الشهادة</v>
      </c>
      <c r="F334" s="133" t="str">
        <f>IFERROR(__xludf.DUMMYFUNCTION("""COMPUTED_VALUE"""),"Tuna whole meat, rice with pineapple in gel 75g")</f>
        <v>Tuna whole meat, rice with pineapple in gel 75g</v>
      </c>
      <c r="G334" s="133" t="str">
        <f>IFERROR(__xludf.DUMMYFUNCTION("""COMPUTED_VALUE"""),"لحم تونا كامل و أرز مع أناناس في الجيلي 75 جرام")</f>
        <v>لحم تونا كامل و أرز مع أناناس في الجيلي 75 جرام</v>
      </c>
      <c r="H334" s="133" t="str">
        <f>IFERROR(__xludf.DUMMYFUNCTION("""COMPUTED_VALUE"""),"MAFE20202068")</f>
        <v>MAFE20202068</v>
      </c>
      <c r="I334" s="133"/>
      <c r="J334" s="133"/>
      <c r="K334" s="133" t="str">
        <f>IFERROR(__xludf.DUMMYFUNCTION("""COMPUTED_VALUE"""),"ساوث ايست الاسيوية للتغليف والتعليب المحدودة")</f>
        <v>ساوث ايست الاسيوية للتغليف والتعليب المحدودة</v>
      </c>
      <c r="L334" s="142" t="str">
        <f>IFERROR(__xludf.DUMMYFUNCTION("""COMPUTED_VALUE"""),"C353")</f>
        <v>C353</v>
      </c>
      <c r="M334" s="133"/>
      <c r="N334" s="133"/>
      <c r="O334" s="133"/>
      <c r="P334" s="133"/>
      <c r="Q334" s="133"/>
      <c r="R334" s="133"/>
      <c r="S334" s="133"/>
      <c r="T334" s="133"/>
      <c r="U334" s="133"/>
      <c r="V334" s="133"/>
      <c r="W334" s="133"/>
      <c r="X334" s="133"/>
      <c r="Y334" s="133"/>
      <c r="Z334" s="133"/>
    </row>
    <row r="335">
      <c r="A335" s="133">
        <f>IFERROR(__xludf.DUMMYFUNCTION("""COMPUTED_VALUE"""),334.0)</f>
        <v>334</v>
      </c>
      <c r="B335" s="133" t="str">
        <f>IFERROR(__xludf.DUMMYFUNCTION("""COMPUTED_VALUE"""),"C352")</f>
        <v>C352</v>
      </c>
      <c r="C335" s="133" t="str">
        <f>IFERROR(__xludf.DUMMYFUNCTION("""COMPUTED_VALUE"""),"P-1-N-121120-4159")</f>
        <v>P-1-N-121120-4159</v>
      </c>
      <c r="D335" s="133"/>
      <c r="E335" s="133" t="str">
        <f>IFERROR(__xludf.DUMMYFUNCTION("""COMPUTED_VALUE"""),"تمت طباعة الشهادة")</f>
        <v>تمت طباعة الشهادة</v>
      </c>
      <c r="F335" s="133" t="str">
        <f>IFERROR(__xludf.DUMMYFUNCTION("""COMPUTED_VALUE"""),"Chicken and rice with apple in solution 75g")</f>
        <v>Chicken and rice with apple in solution 75g</v>
      </c>
      <c r="G335" s="133" t="str">
        <f>IFERROR(__xludf.DUMMYFUNCTION("""COMPUTED_VALUE"""),"دجاج و أرز مع التفاح 75 جرام")</f>
        <v>دجاج و أرز مع التفاح 75 جرام</v>
      </c>
      <c r="H335" s="133" t="str">
        <f>IFERROR(__xludf.DUMMYFUNCTION("""COMPUTED_VALUE"""),"MAFE20202067")</f>
        <v>MAFE20202067</v>
      </c>
      <c r="I335" s="133"/>
      <c r="J335" s="133"/>
      <c r="K335" s="133" t="str">
        <f>IFERROR(__xludf.DUMMYFUNCTION("""COMPUTED_VALUE"""),"ساوث ايست الاسيوية للتغليف والتعليب المحدودة")</f>
        <v>ساوث ايست الاسيوية للتغليف والتعليب المحدودة</v>
      </c>
      <c r="L335" s="142" t="str">
        <f>IFERROR(__xludf.DUMMYFUNCTION("""COMPUTED_VALUE"""),"C352")</f>
        <v>C352</v>
      </c>
      <c r="M335" s="133"/>
      <c r="N335" s="133"/>
      <c r="O335" s="133"/>
      <c r="P335" s="133"/>
      <c r="Q335" s="133"/>
      <c r="R335" s="133"/>
      <c r="S335" s="133"/>
      <c r="T335" s="133"/>
      <c r="U335" s="133"/>
      <c r="V335" s="133"/>
      <c r="W335" s="133"/>
      <c r="X335" s="133"/>
      <c r="Y335" s="133"/>
      <c r="Z335" s="133"/>
    </row>
    <row r="336">
      <c r="A336" s="133">
        <f>IFERROR(__xludf.DUMMYFUNCTION("""COMPUTED_VALUE"""),335.0)</f>
        <v>335</v>
      </c>
      <c r="B336" s="133"/>
      <c r="C336" s="133" t="str">
        <f>IFERROR(__xludf.DUMMYFUNCTION("""COMPUTED_VALUE"""),"P-1-N-121120-4160")</f>
        <v>P-1-N-121120-4160</v>
      </c>
      <c r="D336" s="133"/>
      <c r="E336" s="133" t="str">
        <f>IFERROR(__xludf.DUMMYFUNCTION("""COMPUTED_VALUE"""),"تمت طباعة الشهادة")</f>
        <v>تمت طباعة الشهادة</v>
      </c>
      <c r="F336" s="133">
        <f>IFERROR(__xludf.DUMMYFUNCTION("""COMPUTED_VALUE"""),0.0)</f>
        <v>0</v>
      </c>
      <c r="G336" s="133" t="str">
        <f>IFERROR(__xludf.DUMMYFUNCTION("""COMPUTED_VALUE"""),"دجاج و أرز مع الأناناس 75 جرام")</f>
        <v>دجاج و أرز مع الأناناس 75 جرام</v>
      </c>
      <c r="H336" s="133" t="str">
        <f>IFERROR(__xludf.DUMMYFUNCTION("""COMPUTED_VALUE"""),"MAFE20202066")</f>
        <v>MAFE20202066</v>
      </c>
      <c r="I336" s="133"/>
      <c r="J336" s="133"/>
      <c r="K336" s="133" t="str">
        <f>IFERROR(__xludf.DUMMYFUNCTION("""COMPUTED_VALUE"""),"ساوث ايست الاسيوية للتغليف والتعليب المحدودة")</f>
        <v>ساوث ايست الاسيوية للتغليف والتعليب المحدودة</v>
      </c>
      <c r="L336" s="133"/>
      <c r="M336" s="133"/>
      <c r="N336" s="133"/>
      <c r="O336" s="133"/>
      <c r="P336" s="133"/>
      <c r="Q336" s="133"/>
      <c r="R336" s="133"/>
      <c r="S336" s="133"/>
      <c r="T336" s="133"/>
      <c r="U336" s="133"/>
      <c r="V336" s="133"/>
      <c r="W336" s="133"/>
      <c r="X336" s="133"/>
      <c r="Y336" s="133"/>
      <c r="Z336" s="133"/>
    </row>
    <row r="337">
      <c r="A337" s="133">
        <f>IFERROR(__xludf.DUMMYFUNCTION("""COMPUTED_VALUE"""),336.0)</f>
        <v>336</v>
      </c>
      <c r="B337" s="133" t="str">
        <f>IFERROR(__xludf.DUMMYFUNCTION("""COMPUTED_VALUE"""),"C350")</f>
        <v>C350</v>
      </c>
      <c r="C337" s="133" t="str">
        <f>IFERROR(__xludf.DUMMYFUNCTION("""COMPUTED_VALUE"""),"P-1-N-121120-4161")</f>
        <v>P-1-N-121120-4161</v>
      </c>
      <c r="D337" s="133"/>
      <c r="E337" s="133" t="str">
        <f>IFERROR(__xludf.DUMMYFUNCTION("""COMPUTED_VALUE"""),"تمت طباعة الشهادة")</f>
        <v>تمت طباعة الشهادة</v>
      </c>
      <c r="F337" s="133" t="str">
        <f>IFERROR(__xludf.DUMMYFUNCTION("""COMPUTED_VALUE"""),"Tuna whole meat and rice with papaya in gel 75g")</f>
        <v>Tuna whole meat and rice with papaya in gel 75g</v>
      </c>
      <c r="G337" s="133" t="str">
        <f>IFERROR(__xludf.DUMMYFUNCTION("""COMPUTED_VALUE"""),"لحم تونة كامل و أرز مع بابايا في الجيلي 75 جرام")</f>
        <v>لحم تونة كامل و أرز مع بابايا في الجيلي 75 جرام</v>
      </c>
      <c r="H337" s="133" t="str">
        <f>IFERROR(__xludf.DUMMYFUNCTION("""COMPUTED_VALUE"""),"MAFE20202065")</f>
        <v>MAFE20202065</v>
      </c>
      <c r="I337" s="133"/>
      <c r="J337" s="133"/>
      <c r="K337" s="133" t="str">
        <f>IFERROR(__xludf.DUMMYFUNCTION("""COMPUTED_VALUE"""),"ساوث")</f>
        <v>ساوث</v>
      </c>
      <c r="L337" s="142" t="str">
        <f>IFERROR(__xludf.DUMMYFUNCTION("""COMPUTED_VALUE"""),"C350")</f>
        <v>C350</v>
      </c>
      <c r="M337" s="133"/>
      <c r="N337" s="133"/>
      <c r="O337" s="133"/>
      <c r="P337" s="133"/>
      <c r="Q337" s="133"/>
      <c r="R337" s="133"/>
      <c r="S337" s="133"/>
      <c r="T337" s="133"/>
      <c r="U337" s="133"/>
      <c r="V337" s="133"/>
      <c r="W337" s="133"/>
      <c r="X337" s="133"/>
      <c r="Y337" s="133"/>
      <c r="Z337" s="133"/>
    </row>
    <row r="338">
      <c r="A338" s="133">
        <f>IFERROR(__xludf.DUMMYFUNCTION("""COMPUTED_VALUE"""),337.0)</f>
        <v>337</v>
      </c>
      <c r="B338" s="133" t="str">
        <f>IFERROR(__xludf.DUMMYFUNCTION("""COMPUTED_VALUE"""),"B1141")</f>
        <v>B1141</v>
      </c>
      <c r="C338" s="133" t="str">
        <f>IFERROR(__xludf.DUMMYFUNCTION("""COMPUTED_VALUE"""),"P-1-N-121120-4164")</f>
        <v>P-1-N-121120-4164</v>
      </c>
      <c r="D338" s="133"/>
      <c r="E338" s="133" t="str">
        <f>IFERROR(__xludf.DUMMYFUNCTION("""COMPUTED_VALUE"""),"تمت طباعة الشهادة")</f>
        <v>تمت طباعة الشهادة</v>
      </c>
      <c r="F338" s="133" t="str">
        <f>IFERROR(__xludf.DUMMYFUNCTION("""COMPUTED_VALUE"""),"Butcher's Natural &amp; Healthy Cat Game and Beef CIJ ")</f>
        <v>Butcher's Natural &amp; Healthy Cat Game and Beef CIJ </v>
      </c>
      <c r="G338" s="133" t="str">
        <f>IFERROR(__xludf.DUMMYFUNCTION("""COMPUTED_VALUE"""),"بوتشرز طبيعي وصحي مع قطع لحوم الطرائد ولحم البقر في الجلي للقطط 400 جم")</f>
        <v>بوتشرز طبيعي وصحي مع قطع لحوم الطرائد ولحم البقر في الجلي للقطط 400 جم</v>
      </c>
      <c r="H338" s="133" t="str">
        <f>IFERROR(__xludf.DUMMYFUNCTION("""COMPUTED_VALUE"""),"MAFE20202011")</f>
        <v>MAFE20202011</v>
      </c>
      <c r="I338" s="133"/>
      <c r="J338" s="133"/>
      <c r="K338" s="133" t="str">
        <f>IFERROR(__xludf.DUMMYFUNCTION("""COMPUTED_VALUE"""),"بوتشرز بت كير ال تي دي")</f>
        <v>بوتشرز بت كير ال تي دي</v>
      </c>
      <c r="L338" s="142" t="str">
        <f>IFERROR(__xludf.DUMMYFUNCTION("""COMPUTED_VALUE"""),"B1141")</f>
        <v>B1141</v>
      </c>
      <c r="M338" s="133"/>
      <c r="N338" s="133"/>
      <c r="O338" s="133"/>
      <c r="P338" s="133"/>
      <c r="Q338" s="133"/>
      <c r="R338" s="133"/>
      <c r="S338" s="133"/>
      <c r="T338" s="133"/>
      <c r="U338" s="133"/>
      <c r="V338" s="133"/>
      <c r="W338" s="133"/>
      <c r="X338" s="133"/>
      <c r="Y338" s="133"/>
      <c r="Z338" s="133"/>
    </row>
    <row r="339">
      <c r="A339" s="133">
        <f>IFERROR(__xludf.DUMMYFUNCTION("""COMPUTED_VALUE"""),338.0)</f>
        <v>338</v>
      </c>
      <c r="B339" s="133" t="str">
        <f>IFERROR(__xludf.DUMMYFUNCTION("""COMPUTED_VALUE"""),"B1134")</f>
        <v>B1134</v>
      </c>
      <c r="C339" s="133" t="str">
        <f>IFERROR(__xludf.DUMMYFUNCTION("""COMPUTED_VALUE"""),"P-1-N-121120-4165")</f>
        <v>P-1-N-121120-4165</v>
      </c>
      <c r="D339" s="133"/>
      <c r="E339" s="133" t="str">
        <f>IFERROR(__xludf.DUMMYFUNCTION("""COMPUTED_VALUE"""),"تمت طباعة الشهادة")</f>
        <v>تمت طباعة الشهادة</v>
      </c>
      <c r="F339" s="133" t="str">
        <f>IFERROR(__xludf.DUMMYFUNCTION("""COMPUTED_VALUE"""),"Butcher's Natural &amp; Healthy Cat Trout CIJ ")</f>
        <v>Butcher's Natural &amp; Healthy Cat Trout CIJ </v>
      </c>
      <c r="G339" s="133" t="str">
        <f>IFERROR(__xludf.DUMMYFUNCTION("""COMPUTED_VALUE"""),"بوتشرز")</f>
        <v>بوتشرز</v>
      </c>
      <c r="H339" s="133" t="str">
        <f>IFERROR(__xludf.DUMMYFUNCTION("""COMPUTED_VALUE"""),"MAFE20201974")</f>
        <v>MAFE20201974</v>
      </c>
      <c r="I339" s="133"/>
      <c r="J339" s="133"/>
      <c r="K339" s="133" t="str">
        <f>IFERROR(__xludf.DUMMYFUNCTION("""COMPUTED_VALUE"""),"بوتشرز بت كير ال تي دي")</f>
        <v>بوتشرز بت كير ال تي دي</v>
      </c>
      <c r="L339" s="142" t="str">
        <f>IFERROR(__xludf.DUMMYFUNCTION("""COMPUTED_VALUE"""),"B1134")</f>
        <v>B1134</v>
      </c>
      <c r="M339" s="133"/>
      <c r="N339" s="133"/>
      <c r="O339" s="133"/>
      <c r="P339" s="133"/>
      <c r="Q339" s="133"/>
      <c r="R339" s="133"/>
      <c r="S339" s="133"/>
      <c r="T339" s="133"/>
      <c r="U339" s="133"/>
      <c r="V339" s="133"/>
      <c r="W339" s="133"/>
      <c r="X339" s="133"/>
      <c r="Y339" s="133"/>
      <c r="Z339" s="133"/>
    </row>
    <row r="340">
      <c r="A340" s="133">
        <f>IFERROR(__xludf.DUMMYFUNCTION("""COMPUTED_VALUE"""),339.0)</f>
        <v>339</v>
      </c>
      <c r="B340" s="133" t="str">
        <f>IFERROR(__xludf.DUMMYFUNCTION("""COMPUTED_VALUE"""),"B1137")</f>
        <v>B1137</v>
      </c>
      <c r="C340" s="133" t="str">
        <f>IFERROR(__xludf.DUMMYFUNCTION("""COMPUTED_VALUE"""),"P-1-N-121120-4166")</f>
        <v>P-1-N-121120-4166</v>
      </c>
      <c r="D340" s="133"/>
      <c r="E340" s="133" t="str">
        <f>IFERROR(__xludf.DUMMYFUNCTION("""COMPUTED_VALUE"""),"تمت طباعة الشهادة")</f>
        <v>تمت طباعة الشهادة</v>
      </c>
      <c r="F340" s="133" t="str">
        <f>IFERROR(__xludf.DUMMYFUNCTION("""COMPUTED_VALUE"""),"Butcher's Natural &amp; Healthy Cat Beef CIJ ")</f>
        <v>Butcher's Natural &amp; Healthy Cat Beef CIJ </v>
      </c>
      <c r="G340" s="133" t="str">
        <f>IFERROR(__xludf.DUMMYFUNCTION("""COMPUTED_VALUE"""),"بوتشرز طبيعي وصحي مع قطع اللحم البقري في الجلي للقطط 400 جم")</f>
        <v>بوتشرز طبيعي وصحي مع قطع اللحم البقري في الجلي للقطط 400 جم</v>
      </c>
      <c r="H340" s="133" t="str">
        <f>IFERROR(__xludf.DUMMYFUNCTION("""COMPUTED_VALUE"""),"MAFE20202010")</f>
        <v>MAFE20202010</v>
      </c>
      <c r="I340" s="133"/>
      <c r="J340" s="133"/>
      <c r="K340" s="133" t="str">
        <f>IFERROR(__xludf.DUMMYFUNCTION("""COMPUTED_VALUE"""),"بوتشرز بت كير ال تي دي")</f>
        <v>بوتشرز بت كير ال تي دي</v>
      </c>
      <c r="L340" s="142" t="str">
        <f>IFERROR(__xludf.DUMMYFUNCTION("""COMPUTED_VALUE"""),"B1137")</f>
        <v>B1137</v>
      </c>
      <c r="M340" s="133"/>
      <c r="N340" s="133"/>
      <c r="O340" s="133"/>
      <c r="P340" s="133"/>
      <c r="Q340" s="133"/>
      <c r="R340" s="133"/>
      <c r="S340" s="133"/>
      <c r="T340" s="133"/>
      <c r="U340" s="133"/>
      <c r="V340" s="133"/>
      <c r="W340" s="133"/>
      <c r="X340" s="133"/>
      <c r="Y340" s="133"/>
      <c r="Z340" s="133"/>
    </row>
    <row r="341">
      <c r="A341" s="133">
        <f>IFERROR(__xludf.DUMMYFUNCTION("""COMPUTED_VALUE"""),340.0)</f>
        <v>340</v>
      </c>
      <c r="B341" s="133" t="str">
        <f>IFERROR(__xludf.DUMMYFUNCTION("""COMPUTED_VALUE"""),"B1139")</f>
        <v>B1139</v>
      </c>
      <c r="C341" s="133" t="str">
        <f>IFERROR(__xludf.DUMMYFUNCTION("""COMPUTED_VALUE"""),"P-1-N-121120-4167")</f>
        <v>P-1-N-121120-4167</v>
      </c>
      <c r="D341" s="133"/>
      <c r="E341" s="133" t="str">
        <f>IFERROR(__xludf.DUMMYFUNCTION("""COMPUTED_VALUE"""),"تمت طباعة الشهادة")</f>
        <v>تمت طباعة الشهادة</v>
      </c>
      <c r="F341" s="133" t="str">
        <f>IFERROR(__xludf.DUMMYFUNCTION("""COMPUTED_VALUE"""),"Butcher's Natural &amp; Healthy Cat Chicken CIJ ")</f>
        <v>Butcher's Natural &amp; Healthy Cat Chicken CIJ </v>
      </c>
      <c r="G341" s="133" t="str">
        <f>IFERROR(__xludf.DUMMYFUNCTION("""COMPUTED_VALUE"""),"بوتشرز طبيعي وصحي قطع دجاج في الجلي للقطط 400 جم")</f>
        <v>بوتشرز طبيعي وصحي قطع دجاج في الجلي للقطط 400 جم</v>
      </c>
      <c r="H341" s="133" t="str">
        <f>IFERROR(__xludf.DUMMYFUNCTION("""COMPUTED_VALUE"""),"MAFE20202009")</f>
        <v>MAFE20202009</v>
      </c>
      <c r="I341" s="133"/>
      <c r="J341" s="133"/>
      <c r="K341" s="133" t="str">
        <f>IFERROR(__xludf.DUMMYFUNCTION("""COMPUTED_VALUE"""),"بوتشرز بت كير ال تي دي")</f>
        <v>بوتشرز بت كير ال تي دي</v>
      </c>
      <c r="L341" s="142" t="str">
        <f>IFERROR(__xludf.DUMMYFUNCTION("""COMPUTED_VALUE"""),"B1139")</f>
        <v>B1139</v>
      </c>
      <c r="M341" s="133"/>
      <c r="N341" s="133"/>
      <c r="O341" s="133"/>
      <c r="P341" s="133"/>
      <c r="Q341" s="133"/>
      <c r="R341" s="133"/>
      <c r="S341" s="133"/>
      <c r="T341" s="133"/>
      <c r="U341" s="133"/>
      <c r="V341" s="133"/>
      <c r="W341" s="133"/>
      <c r="X341" s="133"/>
      <c r="Y341" s="133"/>
      <c r="Z341" s="133"/>
    </row>
    <row r="342">
      <c r="A342" s="133">
        <f>IFERROR(__xludf.DUMMYFUNCTION("""COMPUTED_VALUE"""),341.0)</f>
        <v>341</v>
      </c>
      <c r="B342" s="133" t="str">
        <f>IFERROR(__xludf.DUMMYFUNCTION("""COMPUTED_VALUE"""),"B1135")</f>
        <v>B1135</v>
      </c>
      <c r="C342" s="133" t="str">
        <f>IFERROR(__xludf.DUMMYFUNCTION("""COMPUTED_VALUE"""),"P-1-N-121120-4168")</f>
        <v>P-1-N-121120-4168</v>
      </c>
      <c r="D342" s="133"/>
      <c r="E342" s="133" t="str">
        <f>IFERROR(__xludf.DUMMYFUNCTION("""COMPUTED_VALUE"""),"تمت طباعة الشهادة")</f>
        <v>تمت طباعة الشهادة</v>
      </c>
      <c r="F342" s="133" t="str">
        <f>IFERROR(__xludf.DUMMYFUNCTION("""COMPUTED_VALUE"""),"Butcher's Natural &amp; Healthy with Ocean Fish Chunks in Jelly ")</f>
        <v>Butcher's Natural &amp; Healthy with Ocean Fish Chunks in Jelly </v>
      </c>
      <c r="G342" s="133" t="str">
        <f>IFERROR(__xludf.DUMMYFUNCTION("""COMPUTED_VALUE"""),"بوتشرز طبيعي وصحي مع قطع أسماك المحيط في الجلي 400 جم")</f>
        <v>بوتشرز طبيعي وصحي مع قطع أسماك المحيط في الجلي 400 جم</v>
      </c>
      <c r="H342" s="133" t="str">
        <f>IFERROR(__xludf.DUMMYFUNCTION("""COMPUTED_VALUE"""),"MAFE20201967")</f>
        <v>MAFE20201967</v>
      </c>
      <c r="I342" s="133"/>
      <c r="J342" s="133"/>
      <c r="K342" s="133" t="str">
        <f>IFERROR(__xludf.DUMMYFUNCTION("""COMPUTED_VALUE"""),"بوتشرز بت كير ال تي دي")</f>
        <v>بوتشرز بت كير ال تي دي</v>
      </c>
      <c r="L342" s="142" t="str">
        <f>IFERROR(__xludf.DUMMYFUNCTION("""COMPUTED_VALUE"""),"B1135")</f>
        <v>B1135</v>
      </c>
      <c r="M342" s="133"/>
      <c r="N342" s="133"/>
      <c r="O342" s="133"/>
      <c r="P342" s="133"/>
      <c r="Q342" s="133"/>
      <c r="R342" s="133"/>
      <c r="S342" s="133"/>
      <c r="T342" s="133"/>
      <c r="U342" s="133"/>
      <c r="V342" s="133"/>
      <c r="W342" s="133"/>
      <c r="X342" s="133"/>
      <c r="Y342" s="133"/>
      <c r="Z342" s="133"/>
    </row>
    <row r="343">
      <c r="A343" s="133">
        <f>IFERROR(__xludf.DUMMYFUNCTION("""COMPUTED_VALUE"""),342.0)</f>
        <v>342</v>
      </c>
      <c r="B343" s="133" t="str">
        <f>IFERROR(__xludf.DUMMYFUNCTION("""COMPUTED_VALUE"""),"50010055")</f>
        <v>50010055</v>
      </c>
      <c r="C343" s="133" t="str">
        <f>IFERROR(__xludf.DUMMYFUNCTION("""COMPUTED_VALUE"""),"P-1-N-151120-4186")</f>
        <v>P-1-N-151120-4186</v>
      </c>
      <c r="D343" s="133"/>
      <c r="E343" s="133" t="str">
        <f>IFERROR(__xludf.DUMMYFUNCTION("""COMPUTED_VALUE"""),"تمت طباعة الشهادة")</f>
        <v>تمت طباعة الشهادة</v>
      </c>
      <c r="F343" s="133" t="str">
        <f>IFERROR(__xludf.DUMMYFUNCTION("""COMPUTED_VALUE"""),"Bavaro Force 28/16 18kg")</f>
        <v>Bavaro Force 28/16 18kg</v>
      </c>
      <c r="G343" s="133" t="str">
        <f>IFERROR(__xludf.DUMMYFUNCTION("""COMPUTED_VALUE"""),"بافارو فورس 28/16 18 كجم")</f>
        <v>بافارو فورس 28/16 18 كجم</v>
      </c>
      <c r="H343" s="133" t="str">
        <f>IFERROR(__xludf.DUMMYFUNCTION("""COMPUTED_VALUE"""),"MAFE20201983")</f>
        <v>MAFE20201983</v>
      </c>
      <c r="I343" s="133"/>
      <c r="J343" s="143">
        <f>IFERROR(__xludf.DUMMYFUNCTION("""COMPUTED_VALUE"""),45979.0)</f>
        <v>45979</v>
      </c>
      <c r="K343" s="133" t="str">
        <f>IFERROR(__xludf.DUMMYFUNCTION("""COMPUTED_VALUE"""),"شركة جوسيرا بت فود جي ام بي اتش كاي جي")</f>
        <v>شركة جوسيرا بت فود جي ام بي اتش كاي جي</v>
      </c>
      <c r="L343" s="142" t="str">
        <f>IFERROR(__xludf.DUMMYFUNCTION("""COMPUTED_VALUE"""),"50010055")</f>
        <v>50010055</v>
      </c>
      <c r="M343" s="133"/>
      <c r="N343" s="133"/>
      <c r="O343" s="133"/>
      <c r="P343" s="133"/>
      <c r="Q343" s="133"/>
      <c r="R343" s="133"/>
      <c r="S343" s="133"/>
      <c r="T343" s="133"/>
      <c r="U343" s="133"/>
      <c r="V343" s="133"/>
      <c r="W343" s="133"/>
      <c r="X343" s="133"/>
      <c r="Y343" s="133"/>
      <c r="Z343" s="133"/>
    </row>
    <row r="344">
      <c r="A344" s="133">
        <f>IFERROR(__xludf.DUMMYFUNCTION("""COMPUTED_VALUE"""),343.0)</f>
        <v>343</v>
      </c>
      <c r="B344" s="133" t="str">
        <f>IFERROR(__xludf.DUMMYFUNCTION("""COMPUTED_VALUE"""),"50010056")</f>
        <v>50010056</v>
      </c>
      <c r="C344" s="133" t="str">
        <f>IFERROR(__xludf.DUMMYFUNCTION("""COMPUTED_VALUE"""),"P-1-N-151120-4196")</f>
        <v>P-1-N-151120-4196</v>
      </c>
      <c r="D344" s="133"/>
      <c r="E344" s="133" t="str">
        <f>IFERROR(__xludf.DUMMYFUNCTION("""COMPUTED_VALUE"""),"تمت طباعة الشهادة")</f>
        <v>تمت طباعة الشهادة</v>
      </c>
      <c r="F344" s="133" t="str">
        <f>IFERROR(__xludf.DUMMYFUNCTION("""COMPUTED_VALUE"""),"Bavaro Task 23/9 18kg")</f>
        <v>Bavaro Task 23/9 18kg</v>
      </c>
      <c r="G344" s="133" t="str">
        <f>IFERROR(__xludf.DUMMYFUNCTION("""COMPUTED_VALUE"""),"بافارو تاسك 23/9 18 كجم")</f>
        <v>بافارو تاسك 23/9 18 كجم</v>
      </c>
      <c r="H344" s="133" t="str">
        <f>IFERROR(__xludf.DUMMYFUNCTION("""COMPUTED_VALUE"""),"MAFE20201982")</f>
        <v>MAFE20201982</v>
      </c>
      <c r="I344" s="133"/>
      <c r="J344" s="133"/>
      <c r="K344" s="133" t="str">
        <f>IFERROR(__xludf.DUMMYFUNCTION("""COMPUTED_VALUE"""),"شركة جوسيرا بت فود جي ام بي اتش كاي جي")</f>
        <v>شركة جوسيرا بت فود جي ام بي اتش كاي جي</v>
      </c>
      <c r="L344" s="142" t="str">
        <f>IFERROR(__xludf.DUMMYFUNCTION("""COMPUTED_VALUE"""),"50010056")</f>
        <v>50010056</v>
      </c>
      <c r="M344" s="133"/>
      <c r="N344" s="133"/>
      <c r="O344" s="133"/>
      <c r="P344" s="133"/>
      <c r="Q344" s="133"/>
      <c r="R344" s="133"/>
      <c r="S344" s="133"/>
      <c r="T344" s="133"/>
      <c r="U344" s="133"/>
      <c r="V344" s="133"/>
      <c r="W344" s="133"/>
      <c r="X344" s="133"/>
      <c r="Y344" s="133"/>
      <c r="Z344" s="133"/>
    </row>
    <row r="345">
      <c r="A345" s="133">
        <f>IFERROR(__xludf.DUMMYFUNCTION("""COMPUTED_VALUE"""),344.0)</f>
        <v>344</v>
      </c>
      <c r="B345" s="133" t="str">
        <f>IFERROR(__xludf.DUMMYFUNCTION("""COMPUTED_VALUE"""),"50010057")</f>
        <v>50010057</v>
      </c>
      <c r="C345" s="133" t="str">
        <f>IFERROR(__xludf.DUMMYFUNCTION("""COMPUTED_VALUE"""),"P-1-N-151120-4197")</f>
        <v>P-1-N-151120-4197</v>
      </c>
      <c r="D345" s="133"/>
      <c r="E345" s="133" t="str">
        <f>IFERROR(__xludf.DUMMYFUNCTION("""COMPUTED_VALUE"""),"تمت طباعة الشهادة")</f>
        <v>تمت طباعة الشهادة</v>
      </c>
      <c r="F345" s="133" t="str">
        <f>IFERROR(__xludf.DUMMYFUNCTION("""COMPUTED_VALUE"""),"Bavaro Work 26/12 18kg")</f>
        <v>Bavaro Work 26/12 18kg</v>
      </c>
      <c r="G345" s="133" t="str">
        <f>IFERROR(__xludf.DUMMYFUNCTION("""COMPUTED_VALUE"""),"بافارو ورك 26/12 18 كجم")</f>
        <v>بافارو ورك 26/12 18 كجم</v>
      </c>
      <c r="H345" s="133" t="str">
        <f>IFERROR(__xludf.DUMMYFUNCTION("""COMPUTED_VALUE"""),"MAFE20201981")</f>
        <v>MAFE20201981</v>
      </c>
      <c r="I345" s="133"/>
      <c r="J345" s="133"/>
      <c r="K345" s="133" t="str">
        <f>IFERROR(__xludf.DUMMYFUNCTION("""COMPUTED_VALUE"""),"شركة جوسيرا بت فود جي ام بي اتش كاي جي")</f>
        <v>شركة جوسيرا بت فود جي ام بي اتش كاي جي</v>
      </c>
      <c r="L345" s="142" t="str">
        <f>IFERROR(__xludf.DUMMYFUNCTION("""COMPUTED_VALUE"""),"50010057")</f>
        <v>50010057</v>
      </c>
      <c r="M345" s="133"/>
      <c r="N345" s="133"/>
      <c r="O345" s="133"/>
      <c r="P345" s="133"/>
      <c r="Q345" s="133"/>
      <c r="R345" s="133"/>
      <c r="S345" s="133"/>
      <c r="T345" s="133"/>
      <c r="U345" s="133"/>
      <c r="V345" s="133"/>
      <c r="W345" s="133"/>
      <c r="X345" s="133"/>
      <c r="Y345" s="133"/>
      <c r="Z345" s="133"/>
    </row>
    <row r="346">
      <c r="A346" s="133">
        <f>IFERROR(__xludf.DUMMYFUNCTION("""COMPUTED_VALUE"""),345.0)</f>
        <v>345</v>
      </c>
      <c r="B346" s="133"/>
      <c r="C346" s="133" t="str">
        <f>IFERROR(__xludf.DUMMYFUNCTION("""COMPUTED_VALUE"""),"P-1-N-151120-4202")</f>
        <v>P-1-N-151120-4202</v>
      </c>
      <c r="D346" s="133"/>
      <c r="E346" s="133" t="str">
        <f>IFERROR(__xludf.DUMMYFUNCTION("""COMPUTED_VALUE"""),"تمت طباعة الشهادة")</f>
        <v>تمت طباعة الشهادة</v>
      </c>
      <c r="F346" s="133" t="str">
        <f>IFERROR(__xludf.DUMMYFUNCTION("""COMPUTED_VALUE"""),"شركة جوسيرا بت فود جي ام بي اتش كاي جي")</f>
        <v>شركة جوسيرا بت فود جي ام بي اتش كاي جي</v>
      </c>
      <c r="G346" s="133" t="str">
        <f>IFERROR(__xludf.DUMMYFUNCTION("""COMPUTED_VALUE"""),"جوزيكات دواجن مقرمشة 18 كجم")</f>
        <v>جوزيكات دواجن مقرمشة 18 كجم</v>
      </c>
      <c r="H346" s="133" t="str">
        <f>IFERROR(__xludf.DUMMYFUNCTION("""COMPUTED_VALUE"""),"MAFE20202005")</f>
        <v>MAFE20202005</v>
      </c>
      <c r="I346" s="133"/>
      <c r="J346" s="143">
        <f>IFERROR(__xludf.DUMMYFUNCTION("""COMPUTED_VALUE"""),45980.0)</f>
        <v>45980</v>
      </c>
      <c r="K346" s="133" t="str">
        <f>IFERROR(__xludf.DUMMYFUNCTION("""COMPUTED_VALUE"""),"شركة جوسيرا بت فود جي ام بي اتش كاي جي")</f>
        <v>شركة جوسيرا بت فود جي ام بي اتش كاي جي</v>
      </c>
      <c r="L346" s="133"/>
      <c r="M346" s="133"/>
      <c r="N346" s="133"/>
      <c r="O346" s="133"/>
      <c r="P346" s="133"/>
      <c r="Q346" s="133"/>
      <c r="R346" s="133"/>
      <c r="S346" s="133"/>
      <c r="T346" s="133"/>
      <c r="U346" s="133"/>
      <c r="V346" s="133"/>
      <c r="W346" s="133"/>
      <c r="X346" s="133"/>
      <c r="Y346" s="133"/>
      <c r="Z346" s="133"/>
    </row>
    <row r="347">
      <c r="A347" s="133">
        <f>IFERROR(__xludf.DUMMYFUNCTION("""COMPUTED_VALUE"""),346.0)</f>
        <v>346</v>
      </c>
      <c r="B347" s="133" t="str">
        <f>IFERROR(__xludf.DUMMYFUNCTION("""COMPUTED_VALUE"""),"50010059")</f>
        <v>50010059</v>
      </c>
      <c r="C347" s="133" t="str">
        <f>IFERROR(__xludf.DUMMYFUNCTION("""COMPUTED_VALUE"""),"P-1-N-151120-4203")</f>
        <v>P-1-N-151120-4203</v>
      </c>
      <c r="D347" s="133"/>
      <c r="E347" s="133" t="str">
        <f>IFERROR(__xludf.DUMMYFUNCTION("""COMPUTED_VALUE"""),"تمت طباعة الشهادة")</f>
        <v>تمت طباعة الشهادة</v>
      </c>
      <c r="F347" s="133" t="str">
        <f>IFERROR(__xludf.DUMMYFUNCTION("""COMPUTED_VALUE"""),"JosiCat Crunchy Duck 18kg")</f>
        <v>JosiCat Crunchy Duck 18kg</v>
      </c>
      <c r="G347" s="133" t="str">
        <f>IFERROR(__xludf.DUMMYFUNCTION("""COMPUTED_VALUE"""),"جوزيكات بط مقرمش 18 كجم")</f>
        <v>جوزيكات بط مقرمش 18 كجم</v>
      </c>
      <c r="H347" s="133" t="str">
        <f>IFERROR(__xludf.DUMMYFUNCTION("""COMPUTED_VALUE"""),"MAFE20202004")</f>
        <v>MAFE20202004</v>
      </c>
      <c r="I347" s="133"/>
      <c r="J347" s="143">
        <f>IFERROR(__xludf.DUMMYFUNCTION("""COMPUTED_VALUE"""),45980.0)</f>
        <v>45980</v>
      </c>
      <c r="K347" s="133" t="str">
        <f>IFERROR(__xludf.DUMMYFUNCTION("""COMPUTED_VALUE"""),"شركة")</f>
        <v>شركة</v>
      </c>
      <c r="L347" s="142" t="str">
        <f>IFERROR(__xludf.DUMMYFUNCTION("""COMPUTED_VALUE"""),"50010059")</f>
        <v>50010059</v>
      </c>
      <c r="M347" s="133"/>
      <c r="N347" s="133"/>
      <c r="O347" s="133"/>
      <c r="P347" s="133"/>
      <c r="Q347" s="133"/>
      <c r="R347" s="133"/>
      <c r="S347" s="133"/>
      <c r="T347" s="133"/>
      <c r="U347" s="133"/>
      <c r="V347" s="133"/>
      <c r="W347" s="133"/>
      <c r="X347" s="133"/>
      <c r="Y347" s="133"/>
      <c r="Z347" s="133"/>
    </row>
    <row r="348">
      <c r="A348" s="133">
        <f>IFERROR(__xludf.DUMMYFUNCTION("""COMPUTED_VALUE"""),347.0)</f>
        <v>347</v>
      </c>
      <c r="B348" s="133" t="str">
        <f>IFERROR(__xludf.DUMMYFUNCTION("""COMPUTED_VALUE"""),"50010058")</f>
        <v>50010058</v>
      </c>
      <c r="C348" s="133" t="str">
        <f>IFERROR(__xludf.DUMMYFUNCTION("""COMPUTED_VALUE"""),"P-1-N-151120-4204")</f>
        <v>P-1-N-151120-4204</v>
      </c>
      <c r="D348" s="133"/>
      <c r="E348" s="133" t="str">
        <f>IFERROR(__xludf.DUMMYFUNCTION("""COMPUTED_VALUE"""),"تمت طباعة الشهادة")</f>
        <v>تمت طباعة الشهادة</v>
      </c>
      <c r="F348" s="133" t="str">
        <f>IFERROR(__xludf.DUMMYFUNCTION("""COMPUTED_VALUE"""),"JosiCat Tasty Beef 18kg")</f>
        <v>JosiCat Tasty Beef 18kg</v>
      </c>
      <c r="G348" s="133" t="str">
        <f>IFERROR(__xludf.DUMMYFUNCTION("""COMPUTED_VALUE"""),"جوزيكات لحم بقري لذيذ 18 كجم")</f>
        <v>جوزيكات لحم بقري لذيذ 18 كجم</v>
      </c>
      <c r="H348" s="133" t="str">
        <f>IFERROR(__xludf.DUMMYFUNCTION("""COMPUTED_VALUE"""),"MAFE20202003")</f>
        <v>MAFE20202003</v>
      </c>
      <c r="I348" s="133"/>
      <c r="J348" s="143">
        <f>IFERROR(__xludf.DUMMYFUNCTION("""COMPUTED_VALUE"""),45980.0)</f>
        <v>45980</v>
      </c>
      <c r="K348" s="133" t="str">
        <f>IFERROR(__xludf.DUMMYFUNCTION("""COMPUTED_VALUE"""),"شركة جوسيرا بت فود جي ام بي اتش كاي جي")</f>
        <v>شركة جوسيرا بت فود جي ام بي اتش كاي جي</v>
      </c>
      <c r="L348" s="142" t="str">
        <f>IFERROR(__xludf.DUMMYFUNCTION("""COMPUTED_VALUE"""),"50010058")</f>
        <v>50010058</v>
      </c>
      <c r="M348" s="133"/>
      <c r="N348" s="133"/>
      <c r="O348" s="133"/>
      <c r="P348" s="133"/>
      <c r="Q348" s="133"/>
      <c r="R348" s="133"/>
      <c r="S348" s="133"/>
      <c r="T348" s="133"/>
      <c r="U348" s="133"/>
      <c r="V348" s="133"/>
      <c r="W348" s="133"/>
      <c r="X348" s="133"/>
      <c r="Y348" s="133"/>
      <c r="Z348" s="133"/>
    </row>
    <row r="349">
      <c r="A349" s="133">
        <f>IFERROR(__xludf.DUMMYFUNCTION("""COMPUTED_VALUE"""),348.0)</f>
        <v>348</v>
      </c>
      <c r="B349" s="133" t="str">
        <f>IFERROR(__xludf.DUMMYFUNCTION("""COMPUTED_VALUE"""),"50010049")</f>
        <v>50010049</v>
      </c>
      <c r="C349" s="133" t="str">
        <f>IFERROR(__xludf.DUMMYFUNCTION("""COMPUTED_VALUE"""),"P-1-N-171120-4228")</f>
        <v>P-1-N-171120-4228</v>
      </c>
      <c r="D349" s="133"/>
      <c r="E349" s="133" t="str">
        <f>IFERROR(__xludf.DUMMYFUNCTION("""COMPUTED_VALUE"""),"تمت طباعة الشهادة")</f>
        <v>تمت طباعة الشهادة</v>
      </c>
      <c r="F349" s="133" t="str">
        <f>IFERROR(__xludf.DUMMYFUNCTION("""COMPUTED_VALUE"""),"JosiDog Active 18kg")</f>
        <v>JosiDog Active 18kg</v>
      </c>
      <c r="G349" s="133" t="str">
        <f>IFERROR(__xludf.DUMMYFUNCTION("""COMPUTED_VALUE"""),"جوزيدوج")</f>
        <v>جوزيدوج</v>
      </c>
      <c r="H349" s="133" t="str">
        <f>IFERROR(__xludf.DUMMYFUNCTION("""COMPUTED_VALUE"""),"MAFE20201980")</f>
        <v>MAFE20201980</v>
      </c>
      <c r="I349" s="133"/>
      <c r="J349" s="143">
        <f>IFERROR(__xludf.DUMMYFUNCTION("""COMPUTED_VALUE"""),45979.0)</f>
        <v>45979</v>
      </c>
      <c r="K349" s="133" t="str">
        <f>IFERROR(__xludf.DUMMYFUNCTION("""COMPUTED_VALUE"""),"شركة جوسيرا بت فود جي ام بي اتش كاي جي")</f>
        <v>شركة جوسيرا بت فود جي ام بي اتش كاي جي</v>
      </c>
      <c r="L349" s="142" t="str">
        <f>IFERROR(__xludf.DUMMYFUNCTION("""COMPUTED_VALUE"""),"50010049")</f>
        <v>50010049</v>
      </c>
      <c r="M349" s="133"/>
      <c r="N349" s="133"/>
      <c r="O349" s="133"/>
      <c r="P349" s="133"/>
      <c r="Q349" s="133"/>
      <c r="R349" s="133"/>
      <c r="S349" s="133"/>
      <c r="T349" s="133"/>
      <c r="U349" s="133"/>
      <c r="V349" s="133"/>
      <c r="W349" s="133"/>
      <c r="X349" s="133"/>
      <c r="Y349" s="133"/>
      <c r="Z349" s="133"/>
    </row>
    <row r="350">
      <c r="A350" s="133">
        <f>IFERROR(__xludf.DUMMYFUNCTION("""COMPUTED_VALUE"""),349.0)</f>
        <v>349</v>
      </c>
      <c r="B350" s="133" t="str">
        <f>IFERROR(__xludf.DUMMYFUNCTION("""COMPUTED_VALUE"""),"50010077")</f>
        <v>50010077</v>
      </c>
      <c r="C350" s="133" t="str">
        <f>IFERROR(__xludf.DUMMYFUNCTION("""COMPUTED_VALUE"""),"P-1-N-181120-4252")</f>
        <v>P-1-N-181120-4252</v>
      </c>
      <c r="D350" s="133"/>
      <c r="E350" s="133" t="str">
        <f>IFERROR(__xludf.DUMMYFUNCTION("""COMPUTED_VALUE"""),"تمت طباعة الشهادة")</f>
        <v>تمت طباعة الشهادة</v>
      </c>
      <c r="F350" s="133" t="str">
        <f>IFERROR(__xludf.DUMMYFUNCTION("""COMPUTED_VALUE"""),"Catelux 10kg")</f>
        <v>Catelux 10kg</v>
      </c>
      <c r="G350" s="133" t="str">
        <f>IFERROR(__xludf.DUMMYFUNCTION("""COMPUTED_VALUE"""),"كاتيلوكس 10 كجم")</f>
        <v>كاتيلوكس 10 كجم</v>
      </c>
      <c r="H350" s="133" t="str">
        <f>IFERROR(__xludf.DUMMYFUNCTION("""COMPUTED_VALUE"""),"MAFE20202002")</f>
        <v>MAFE20202002</v>
      </c>
      <c r="I350" s="133"/>
      <c r="J350" s="143">
        <f>IFERROR(__xludf.DUMMYFUNCTION("""COMPUTED_VALUE"""),45980.0)</f>
        <v>45980</v>
      </c>
      <c r="K350" s="133" t="str">
        <f>IFERROR(__xludf.DUMMYFUNCTION("""COMPUTED_VALUE"""),"شركة جوسيرا بت فود جي ام بي اتش كاي جي")</f>
        <v>شركة جوسيرا بت فود جي ام بي اتش كاي جي</v>
      </c>
      <c r="L350" s="142" t="str">
        <f>IFERROR(__xludf.DUMMYFUNCTION("""COMPUTED_VALUE"""),"50010077")</f>
        <v>50010077</v>
      </c>
      <c r="M350" s="133"/>
      <c r="N350" s="133"/>
      <c r="O350" s="133"/>
      <c r="P350" s="133"/>
      <c r="Q350" s="133"/>
      <c r="R350" s="133"/>
      <c r="S350" s="133"/>
      <c r="T350" s="133"/>
      <c r="U350" s="133"/>
      <c r="V350" s="133"/>
      <c r="W350" s="133"/>
      <c r="X350" s="133"/>
      <c r="Y350" s="133"/>
      <c r="Z350" s="133"/>
    </row>
    <row r="351">
      <c r="A351" s="133">
        <f>IFERROR(__xludf.DUMMYFUNCTION("""COMPUTED_VALUE"""),350.0)</f>
        <v>350</v>
      </c>
      <c r="B351" s="133" t="str">
        <f>IFERROR(__xludf.DUMMYFUNCTION("""COMPUTED_VALUE"""),"J50007758")</f>
        <v>J50007758</v>
      </c>
      <c r="C351" s="133" t="str">
        <f>IFERROR(__xludf.DUMMYFUNCTION("""COMPUTED_VALUE"""),"P-1-N-181120-4253")</f>
        <v>P-1-N-181120-4253</v>
      </c>
      <c r="D351" s="133"/>
      <c r="E351" s="133" t="str">
        <f>IFERROR(__xludf.DUMMYFUNCTION("""COMPUTED_VALUE"""),"تمت طباعة الشهادة")</f>
        <v>تمت طباعة الشهادة</v>
      </c>
      <c r="F351" s="133" t="str">
        <f>IFERROR(__xludf.DUMMYFUNCTION("""COMPUTED_VALUE"""),"Catelux 60g")</f>
        <v>Catelux 60g</v>
      </c>
      <c r="G351" s="133" t="str">
        <f>IFERROR(__xludf.DUMMYFUNCTION("""COMPUTED_VALUE"""),"كاتيلوكس 60 جم")</f>
        <v>كاتيلوكس 60 جم</v>
      </c>
      <c r="H351" s="133" t="str">
        <f>IFERROR(__xludf.DUMMYFUNCTION("""COMPUTED_VALUE"""),"MAFE20202001")</f>
        <v>MAFE20202001</v>
      </c>
      <c r="I351" s="133"/>
      <c r="J351" s="133"/>
      <c r="K351" s="133" t="str">
        <f>IFERROR(__xludf.DUMMYFUNCTION("""COMPUTED_VALUE"""),"شركة جوسيرا بت فود جي ام بي اتش كاي جي")</f>
        <v>شركة جوسيرا بت فود جي ام بي اتش كاي جي</v>
      </c>
      <c r="L351" s="142" t="str">
        <f>IFERROR(__xludf.DUMMYFUNCTION("""COMPUTED_VALUE"""),"J50007758")</f>
        <v>J50007758</v>
      </c>
      <c r="M351" s="133"/>
      <c r="N351" s="133"/>
      <c r="O351" s="133"/>
      <c r="P351" s="133"/>
      <c r="Q351" s="133"/>
      <c r="R351" s="133"/>
      <c r="S351" s="133"/>
      <c r="T351" s="133"/>
      <c r="U351" s="133"/>
      <c r="V351" s="133"/>
      <c r="W351" s="133"/>
      <c r="X351" s="133"/>
      <c r="Y351" s="133"/>
      <c r="Z351" s="133"/>
    </row>
    <row r="352">
      <c r="A352" s="133">
        <f>IFERROR(__xludf.DUMMYFUNCTION("""COMPUTED_VALUE"""),351.0)</f>
        <v>351</v>
      </c>
      <c r="B352" s="133" t="str">
        <f>IFERROR(__xludf.DUMMYFUNCTION("""COMPUTED_VALUE"""),"50010083")</f>
        <v>50010083</v>
      </c>
      <c r="C352" s="133" t="str">
        <f>IFERROR(__xludf.DUMMYFUNCTION("""COMPUTED_VALUE"""),"P-1-N-181120-4254")</f>
        <v>P-1-N-181120-4254</v>
      </c>
      <c r="D352" s="133"/>
      <c r="E352" s="133" t="str">
        <f>IFERROR(__xludf.DUMMYFUNCTION("""COMPUTED_VALUE"""),"تمت طباعة الشهادة")</f>
        <v>تمت طباعة الشهادة</v>
      </c>
      <c r="F352" s="133" t="str">
        <f>IFERROR(__xludf.DUMMYFUNCTION("""COMPUTED_VALUE"""),"Catelux 4.25kg")</f>
        <v>Catelux 4.25kg</v>
      </c>
      <c r="G352" s="133" t="str">
        <f>IFERROR(__xludf.DUMMYFUNCTION("""COMPUTED_VALUE"""),"كاتيلوكس 4.25 كجم")</f>
        <v>كاتيلوكس 4.25 كجم</v>
      </c>
      <c r="H352" s="133" t="str">
        <f>IFERROR(__xludf.DUMMYFUNCTION("""COMPUTED_VALUE"""),"MAFE20202000")</f>
        <v>MAFE20202000</v>
      </c>
      <c r="I352" s="133"/>
      <c r="J352" s="143">
        <f>IFERROR(__xludf.DUMMYFUNCTION("""COMPUTED_VALUE"""),45980.0)</f>
        <v>45980</v>
      </c>
      <c r="K352" s="133" t="str">
        <f>IFERROR(__xludf.DUMMYFUNCTION("""COMPUTED_VALUE"""),"شركة جوسيرا بت فود جي ام بي اتش كاي جي")</f>
        <v>شركة جوسيرا بت فود جي ام بي اتش كاي جي</v>
      </c>
      <c r="L352" s="142" t="str">
        <f>IFERROR(__xludf.DUMMYFUNCTION("""COMPUTED_VALUE"""),"50010083")</f>
        <v>50010083</v>
      </c>
      <c r="M352" s="133"/>
      <c r="N352" s="133"/>
      <c r="O352" s="133"/>
      <c r="P352" s="133"/>
      <c r="Q352" s="133"/>
      <c r="R352" s="133"/>
      <c r="S352" s="133"/>
      <c r="T352" s="133"/>
      <c r="U352" s="133"/>
      <c r="V352" s="133"/>
      <c r="W352" s="133"/>
      <c r="X352" s="133"/>
      <c r="Y352" s="133"/>
      <c r="Z352" s="133"/>
    </row>
    <row r="353">
      <c r="A353" s="133">
        <f>IFERROR(__xludf.DUMMYFUNCTION("""COMPUTED_VALUE"""),352.0)</f>
        <v>352</v>
      </c>
      <c r="B353" s="133" t="str">
        <f>IFERROR(__xludf.DUMMYFUNCTION("""COMPUTED_VALUE"""),"50010087")</f>
        <v>50010087</v>
      </c>
      <c r="C353" s="133" t="str">
        <f>IFERROR(__xludf.DUMMYFUNCTION("""COMPUTED_VALUE"""),"P-1-N-181120-4255")</f>
        <v>P-1-N-181120-4255</v>
      </c>
      <c r="D353" s="133"/>
      <c r="E353" s="133" t="str">
        <f>IFERROR(__xludf.DUMMYFUNCTION("""COMPUTED_VALUE"""),"تمت طباعة الشهادة")</f>
        <v>تمت طباعة الشهادة</v>
      </c>
      <c r="F353" s="133" t="str">
        <f>IFERROR(__xludf.DUMMYFUNCTION("""COMPUTED_VALUE"""),"Catelux ")</f>
        <v>Catelux </v>
      </c>
      <c r="G353" s="133" t="str">
        <f>IFERROR(__xludf.DUMMYFUNCTION("""COMPUTED_VALUE"""),"كاتيلوكس 400 جم")</f>
        <v>كاتيلوكس 400 جم</v>
      </c>
      <c r="H353" s="133" t="str">
        <f>IFERROR(__xludf.DUMMYFUNCTION("""COMPUTED_VALUE"""),"MAFE20201999")</f>
        <v>MAFE20201999</v>
      </c>
      <c r="I353" s="133"/>
      <c r="J353" s="143">
        <f>IFERROR(__xludf.DUMMYFUNCTION("""COMPUTED_VALUE"""),45980.0)</f>
        <v>45980</v>
      </c>
      <c r="K353" s="133" t="str">
        <f>IFERROR(__xludf.DUMMYFUNCTION("""COMPUTED_VALUE"""),"شركة جوسيرا بت فود جي ام بي اتش كاي جي")</f>
        <v>شركة جوسيرا بت فود جي ام بي اتش كاي جي</v>
      </c>
      <c r="L353" s="142" t="str">
        <f>IFERROR(__xludf.DUMMYFUNCTION("""COMPUTED_VALUE"""),"50010087")</f>
        <v>50010087</v>
      </c>
      <c r="M353" s="133"/>
      <c r="N353" s="133"/>
      <c r="O353" s="133"/>
      <c r="P353" s="133"/>
      <c r="Q353" s="133"/>
      <c r="R353" s="133"/>
      <c r="S353" s="133"/>
      <c r="T353" s="133"/>
      <c r="U353" s="133"/>
      <c r="V353" s="133"/>
      <c r="W353" s="133"/>
      <c r="X353" s="133"/>
      <c r="Y353" s="133"/>
      <c r="Z353" s="133"/>
    </row>
    <row r="354">
      <c r="A354" s="133">
        <f>IFERROR(__xludf.DUMMYFUNCTION("""COMPUTED_VALUE"""),353.0)</f>
        <v>353</v>
      </c>
      <c r="B354" s="133" t="str">
        <f>IFERROR(__xludf.DUMMYFUNCTION("""COMPUTED_VALUE"""),"50010086")</f>
        <v>50010086</v>
      </c>
      <c r="C354" s="133" t="str">
        <f>IFERROR(__xludf.DUMMYFUNCTION("""COMPUTED_VALUE"""),"P-1-N-181120-4256")</f>
        <v>P-1-N-181120-4256</v>
      </c>
      <c r="D354" s="133"/>
      <c r="E354" s="133" t="str">
        <f>IFERROR(__xludf.DUMMYFUNCTION("""COMPUTED_VALUE"""),"تمت طباعة الشهادة")</f>
        <v>تمت طباعة الشهادة</v>
      </c>
      <c r="F354" s="133" t="str">
        <f>IFERROR(__xludf.DUMMYFUNCTION("""COMPUTED_VALUE"""),"Catelux 2kg")</f>
        <v>Catelux 2kg</v>
      </c>
      <c r="G354" s="133" t="str">
        <f>IFERROR(__xludf.DUMMYFUNCTION("""COMPUTED_VALUE"""),"كاتيلوكس 2 كجم")</f>
        <v>كاتيلوكس 2 كجم</v>
      </c>
      <c r="H354" s="133" t="str">
        <f>IFERROR(__xludf.DUMMYFUNCTION("""COMPUTED_VALUE"""),"MAFE20201998")</f>
        <v>MAFE20201998</v>
      </c>
      <c r="I354" s="133"/>
      <c r="J354" s="143">
        <f>IFERROR(__xludf.DUMMYFUNCTION("""COMPUTED_VALUE"""),45980.0)</f>
        <v>45980</v>
      </c>
      <c r="K354" s="133" t="str">
        <f>IFERROR(__xludf.DUMMYFUNCTION("""COMPUTED_VALUE"""),"شركة جوسيرا بت فود جي ام بي اتش كاي جي")</f>
        <v>شركة جوسيرا بت فود جي ام بي اتش كاي جي</v>
      </c>
      <c r="L354" s="142" t="str">
        <f>IFERROR(__xludf.DUMMYFUNCTION("""COMPUTED_VALUE"""),"50010086")</f>
        <v>50010086</v>
      </c>
      <c r="M354" s="133"/>
      <c r="N354" s="133"/>
      <c r="O354" s="133"/>
      <c r="P354" s="133"/>
      <c r="Q354" s="133"/>
      <c r="R354" s="133"/>
      <c r="S354" s="133"/>
      <c r="T354" s="133"/>
      <c r="U354" s="133"/>
      <c r="V354" s="133"/>
      <c r="W354" s="133"/>
      <c r="X354" s="133"/>
      <c r="Y354" s="133"/>
      <c r="Z354" s="133"/>
    </row>
    <row r="355">
      <c r="A355" s="133">
        <f>IFERROR(__xludf.DUMMYFUNCTION("""COMPUTED_VALUE"""),354.0)</f>
        <v>354</v>
      </c>
      <c r="B355" s="133" t="str">
        <f>IFERROR(__xludf.DUMMYFUNCTION("""COMPUTED_VALUE"""),"50010069")</f>
        <v>50010069</v>
      </c>
      <c r="C355" s="133" t="str">
        <f>IFERROR(__xludf.DUMMYFUNCTION("""COMPUTED_VALUE"""),"P-1-N-181120-4257")</f>
        <v>P-1-N-181120-4257</v>
      </c>
      <c r="D355" s="133"/>
      <c r="E355" s="133" t="str">
        <f>IFERROR(__xludf.DUMMYFUNCTION("""COMPUTED_VALUE"""),"تمت طباعة الشهادة")</f>
        <v>تمت طباعة الشهادة</v>
      </c>
      <c r="F355" s="133" t="str">
        <f>IFERROR(__xludf.DUMMYFUNCTION("""COMPUTED_VALUE"""),"Catelux 15kg")</f>
        <v>Catelux 15kg</v>
      </c>
      <c r="G355" s="133" t="str">
        <f>IFERROR(__xludf.DUMMYFUNCTION("""COMPUTED_VALUE"""),"كاتيلوكس 15 كجم")</f>
        <v>كاتيلوكس 15 كجم</v>
      </c>
      <c r="H355" s="133" t="str">
        <f>IFERROR(__xludf.DUMMYFUNCTION("""COMPUTED_VALUE"""),"MAFE20202032")</f>
        <v>MAFE20202032</v>
      </c>
      <c r="I355" s="133"/>
      <c r="J355" s="143">
        <f>IFERROR(__xludf.DUMMYFUNCTION("""COMPUTED_VALUE"""),45984.0)</f>
        <v>45984</v>
      </c>
      <c r="K355" s="133" t="str">
        <f>IFERROR(__xludf.DUMMYFUNCTION("""COMPUTED_VALUE"""),"شركة جوسيرا بت فود جي ام بي اتش كاي جي")</f>
        <v>شركة جوسيرا بت فود جي ام بي اتش كاي جي</v>
      </c>
      <c r="L355" s="142" t="str">
        <f>IFERROR(__xludf.DUMMYFUNCTION("""COMPUTED_VALUE"""),"50010069")</f>
        <v>50010069</v>
      </c>
      <c r="M355" s="133"/>
      <c r="N355" s="133"/>
      <c r="O355" s="133"/>
      <c r="P355" s="133"/>
      <c r="Q355" s="133"/>
      <c r="R355" s="133"/>
      <c r="S355" s="133"/>
      <c r="T355" s="133"/>
      <c r="U355" s="133"/>
      <c r="V355" s="133"/>
      <c r="W355" s="133"/>
      <c r="X355" s="133"/>
      <c r="Y355" s="133"/>
      <c r="Z355" s="133"/>
    </row>
    <row r="356">
      <c r="A356" s="133">
        <f>IFERROR(__xludf.DUMMYFUNCTION("""COMPUTED_VALUE"""),355.0)</f>
        <v>355</v>
      </c>
      <c r="B356" s="133"/>
      <c r="C356" s="133" t="str">
        <f>IFERROR(__xludf.DUMMYFUNCTION("""COMPUTED_VALUE"""),"P-1-N-191120-4286")</f>
        <v>P-1-N-191120-4286</v>
      </c>
      <c r="D356" s="133"/>
      <c r="E356" s="133" t="str">
        <f>IFERROR(__xludf.DUMMYFUNCTION("""COMPUTED_VALUE"""),"تمت طباعة الشهادة")</f>
        <v>تمت طباعة الشهادة</v>
      </c>
      <c r="F356" s="133" t="str">
        <f>IFERROR(__xludf.DUMMYFUNCTION("""COMPUTED_VALUE"""),"شركة جوسيرا بت فود جي ام بي اتش كاي جي")</f>
        <v>شركة جوسيرا بت فود جي ام بي اتش كاي جي</v>
      </c>
      <c r="G356" s="133" t="str">
        <f>IFERROR(__xludf.DUMMYFUNCTION("""COMPUTED_VALUE"""),"سينسيكات 60 جم")</f>
        <v>سينسيكات 60 جم</v>
      </c>
      <c r="H356" s="133" t="str">
        <f>IFERROR(__xludf.DUMMYFUNCTION("""COMPUTED_VALUE"""),"MAFE20202030")</f>
        <v>MAFE20202030</v>
      </c>
      <c r="I356" s="133"/>
      <c r="J356" s="133"/>
      <c r="K356" s="133" t="str">
        <f>IFERROR(__xludf.DUMMYFUNCTION("""COMPUTED_VALUE"""),"شركة جوسيرا بت فود جي ام بي اتش كاي جي")</f>
        <v>شركة جوسيرا بت فود جي ام بي اتش كاي جي</v>
      </c>
      <c r="L356" s="133"/>
      <c r="M356" s="133"/>
      <c r="N356" s="133"/>
      <c r="O356" s="133"/>
      <c r="P356" s="133"/>
      <c r="Q356" s="133"/>
      <c r="R356" s="133"/>
      <c r="S356" s="133"/>
      <c r="T356" s="133"/>
      <c r="U356" s="133"/>
      <c r="V356" s="133"/>
      <c r="W356" s="133"/>
      <c r="X356" s="133"/>
      <c r="Y356" s="133"/>
      <c r="Z356" s="133"/>
    </row>
    <row r="357">
      <c r="A357" s="133">
        <f>IFERROR(__xludf.DUMMYFUNCTION("""COMPUTED_VALUE"""),356.0)</f>
        <v>356</v>
      </c>
      <c r="B357" s="133"/>
      <c r="C357" s="133" t="str">
        <f>IFERROR(__xludf.DUMMYFUNCTION("""COMPUTED_VALUE"""),"P-1-N-191120-4292")</f>
        <v>P-1-N-191120-4292</v>
      </c>
      <c r="D357" s="133"/>
      <c r="E357" s="133" t="str">
        <f>IFERROR(__xludf.DUMMYFUNCTION("""COMPUTED_VALUE"""),"تمت طباعة الشهادة")</f>
        <v>تمت طباعة الشهادة</v>
      </c>
      <c r="F357" s="133" t="str">
        <f>IFERROR(__xludf.DUMMYFUNCTION("""COMPUTED_VALUE"""),"Carismo 60g")</f>
        <v>Carismo 60g</v>
      </c>
      <c r="G357" s="133" t="str">
        <f>IFERROR(__xludf.DUMMYFUNCTION("""COMPUTED_VALUE"""),"كاريزمو 60 جم")</f>
        <v>كاريزمو 60 جم</v>
      </c>
      <c r="H357" s="133" t="str">
        <f>IFERROR(__xludf.DUMMYFUNCTION("""COMPUTED_VALUE"""),"MAFE20202062")</f>
        <v>MAFE20202062</v>
      </c>
      <c r="I357" s="133"/>
      <c r="J357" s="133"/>
      <c r="K357" s="133" t="str">
        <f>IFERROR(__xludf.DUMMYFUNCTION("""COMPUTED_VALUE"""),"شركة")</f>
        <v>شركة</v>
      </c>
      <c r="L357" s="133"/>
      <c r="M357" s="133"/>
      <c r="N357" s="133"/>
      <c r="O357" s="133"/>
      <c r="P357" s="133"/>
      <c r="Q357" s="133"/>
      <c r="R357" s="133"/>
      <c r="S357" s="133"/>
      <c r="T357" s="133"/>
      <c r="U357" s="133"/>
      <c r="V357" s="133"/>
      <c r="W357" s="133"/>
      <c r="X357" s="133"/>
      <c r="Y357" s="133"/>
      <c r="Z357" s="133"/>
    </row>
    <row r="358">
      <c r="A358" s="133">
        <f>IFERROR(__xludf.DUMMYFUNCTION("""COMPUTED_VALUE"""),357.0)</f>
        <v>357</v>
      </c>
      <c r="B358" s="133" t="str">
        <f>IFERROR(__xludf.DUMMYFUNCTION("""COMPUTED_VALUE"""),"J50007764")</f>
        <v>J50007764</v>
      </c>
      <c r="C358" s="133" t="str">
        <f>IFERROR(__xludf.DUMMYFUNCTION("""COMPUTED_VALUE"""),"P-1-N-191120-4293")</f>
        <v>P-1-N-191120-4293</v>
      </c>
      <c r="D358" s="133"/>
      <c r="E358" s="133" t="str">
        <f>IFERROR(__xludf.DUMMYFUNCTION("""COMPUTED_VALUE"""),"تمت طباعة الشهادة")</f>
        <v>تمت طباعة الشهادة</v>
      </c>
      <c r="F358" s="133" t="str">
        <f>IFERROR(__xludf.DUMMYFUNCTION("""COMPUTED_VALUE"""),"Culinesse 60g")</f>
        <v>Culinesse 60g</v>
      </c>
      <c r="G358" s="133" t="str">
        <f>IFERROR(__xludf.DUMMYFUNCTION("""COMPUTED_VALUE"""),"كولينس 60 جرام")</f>
        <v>كولينس 60 جرام</v>
      </c>
      <c r="H358" s="133" t="str">
        <f>IFERROR(__xludf.DUMMYFUNCTION("""COMPUTED_VALUE"""),"MAFE20202051")</f>
        <v>MAFE20202051</v>
      </c>
      <c r="I358" s="133"/>
      <c r="J358" s="133"/>
      <c r="K358" s="133" t="str">
        <f>IFERROR(__xludf.DUMMYFUNCTION("""COMPUTED_VALUE"""),"شركة جوسيرا بت فود جي ام بي اتش كاي جي")</f>
        <v>شركة جوسيرا بت فود جي ام بي اتش كاي جي</v>
      </c>
      <c r="L358" s="142" t="str">
        <f>IFERROR(__xludf.DUMMYFUNCTION("""COMPUTED_VALUE"""),"J50007764")</f>
        <v>J50007764</v>
      </c>
      <c r="M358" s="133"/>
      <c r="N358" s="133"/>
      <c r="O358" s="133"/>
      <c r="P358" s="133"/>
      <c r="Q358" s="133"/>
      <c r="R358" s="133"/>
      <c r="S358" s="133"/>
      <c r="T358" s="133"/>
      <c r="U358" s="133"/>
      <c r="V358" s="133"/>
      <c r="W358" s="133"/>
      <c r="X358" s="133"/>
      <c r="Y358" s="133"/>
      <c r="Z358" s="133"/>
    </row>
    <row r="359">
      <c r="A359" s="133">
        <f>IFERROR(__xludf.DUMMYFUNCTION("""COMPUTED_VALUE"""),358.0)</f>
        <v>358</v>
      </c>
      <c r="B359" s="133" t="str">
        <f>IFERROR(__xludf.DUMMYFUNCTION("""COMPUTED_VALUE"""),"50010090")</f>
        <v>50010090</v>
      </c>
      <c r="C359" s="133" t="str">
        <f>IFERROR(__xludf.DUMMYFUNCTION("""COMPUTED_VALUE"""),"P-1-N-191120-4294")</f>
        <v>P-1-N-191120-4294</v>
      </c>
      <c r="D359" s="133"/>
      <c r="E359" s="133" t="str">
        <f>IFERROR(__xludf.DUMMYFUNCTION("""COMPUTED_VALUE"""),"تمت طباعة الشهادة")</f>
        <v>تمت طباعة الشهادة</v>
      </c>
      <c r="F359" s="133" t="str">
        <f>IFERROR(__xludf.DUMMYFUNCTION("""COMPUTED_VALUE"""),"Culinesse 4.25kg")</f>
        <v>Culinesse 4.25kg</v>
      </c>
      <c r="G359" s="133" t="str">
        <f>IFERROR(__xludf.DUMMYFUNCTION("""COMPUTED_VALUE"""),"كولينس")</f>
        <v>كولينس</v>
      </c>
      <c r="H359" s="133" t="str">
        <f>IFERROR(__xludf.DUMMYFUNCTION("""COMPUTED_VALUE"""),"MAFE20202029")</f>
        <v>MAFE20202029</v>
      </c>
      <c r="I359" s="133"/>
      <c r="J359" s="133"/>
      <c r="K359" s="133" t="str">
        <f>IFERROR(__xludf.DUMMYFUNCTION("""COMPUTED_VALUE"""),"شركة جوسيرا بت فود جي ام بي اتش كاي جي")</f>
        <v>شركة جوسيرا بت فود جي ام بي اتش كاي جي</v>
      </c>
      <c r="L359" s="142" t="str">
        <f>IFERROR(__xludf.DUMMYFUNCTION("""COMPUTED_VALUE"""),"50010090")</f>
        <v>50010090</v>
      </c>
      <c r="M359" s="133"/>
      <c r="N359" s="133"/>
      <c r="O359" s="133"/>
      <c r="P359" s="133"/>
      <c r="Q359" s="133"/>
      <c r="R359" s="133"/>
      <c r="S359" s="133"/>
      <c r="T359" s="133"/>
      <c r="U359" s="133"/>
      <c r="V359" s="133"/>
      <c r="W359" s="133"/>
      <c r="X359" s="133"/>
      <c r="Y359" s="133"/>
      <c r="Z359" s="133"/>
    </row>
    <row r="360">
      <c r="A360" s="133">
        <f>IFERROR(__xludf.DUMMYFUNCTION("""COMPUTED_VALUE"""),359.0)</f>
        <v>359</v>
      </c>
      <c r="B360" s="133" t="str">
        <f>IFERROR(__xludf.DUMMYFUNCTION("""COMPUTED_VALUE"""),"50010088")</f>
        <v>50010088</v>
      </c>
      <c r="C360" s="133" t="str">
        <f>IFERROR(__xludf.DUMMYFUNCTION("""COMPUTED_VALUE"""),"P-1-N-191120-4296")</f>
        <v>P-1-N-191120-4296</v>
      </c>
      <c r="D360" s="133"/>
      <c r="E360" s="133" t="str">
        <f>IFERROR(__xludf.DUMMYFUNCTION("""COMPUTED_VALUE"""),"تمت طباعة الشهادة")</f>
        <v>تمت طباعة الشهادة</v>
      </c>
      <c r="F360" s="133" t="str">
        <f>IFERROR(__xludf.DUMMYFUNCTION("""COMPUTED_VALUE"""),"Culinesse 15kg")</f>
        <v>Culinesse 15kg</v>
      </c>
      <c r="G360" s="133" t="str">
        <f>IFERROR(__xludf.DUMMYFUNCTION("""COMPUTED_VALUE"""),"كولينس 15 كجم")</f>
        <v>كولينس 15 كجم</v>
      </c>
      <c r="H360" s="133" t="str">
        <f>IFERROR(__xludf.DUMMYFUNCTION("""COMPUTED_VALUE"""),"MAFE20202028")</f>
        <v>MAFE20202028</v>
      </c>
      <c r="I360" s="133"/>
      <c r="J360" s="133"/>
      <c r="K360" s="133" t="str">
        <f>IFERROR(__xludf.DUMMYFUNCTION("""COMPUTED_VALUE"""),"شركة جوسيرا بت فود جي ام بي اتش كاي جي")</f>
        <v>شركة جوسيرا بت فود جي ام بي اتش كاي جي</v>
      </c>
      <c r="L360" s="142" t="str">
        <f>IFERROR(__xludf.DUMMYFUNCTION("""COMPUTED_VALUE"""),"50010088")</f>
        <v>50010088</v>
      </c>
      <c r="M360" s="133"/>
      <c r="N360" s="133"/>
      <c r="O360" s="133"/>
      <c r="P360" s="133"/>
      <c r="Q360" s="133"/>
      <c r="R360" s="133"/>
      <c r="S360" s="133"/>
      <c r="T360" s="133"/>
      <c r="U360" s="133"/>
      <c r="V360" s="133"/>
      <c r="W360" s="133"/>
      <c r="X360" s="133"/>
      <c r="Y360" s="133"/>
      <c r="Z360" s="133"/>
    </row>
    <row r="361">
      <c r="A361" s="133">
        <f>IFERROR(__xludf.DUMMYFUNCTION("""COMPUTED_VALUE"""),360.0)</f>
        <v>360</v>
      </c>
      <c r="B361" s="133" t="str">
        <f>IFERROR(__xludf.DUMMYFUNCTION("""COMPUTED_VALUE"""),"50010089")</f>
        <v>50010089</v>
      </c>
      <c r="C361" s="133" t="str">
        <f>IFERROR(__xludf.DUMMYFUNCTION("""COMPUTED_VALUE"""),"P-1-N-191120-4298")</f>
        <v>P-1-N-191120-4298</v>
      </c>
      <c r="D361" s="133"/>
      <c r="E361" s="133" t="str">
        <f>IFERROR(__xludf.DUMMYFUNCTION("""COMPUTED_VALUE"""),"تمت طباعة الشهادة")</f>
        <v>تمت طباعة الشهادة</v>
      </c>
      <c r="F361" s="133" t="str">
        <f>IFERROR(__xludf.DUMMYFUNCTION("""COMPUTED_VALUE"""),"Culinesse 10kg")</f>
        <v>Culinesse 10kg</v>
      </c>
      <c r="G361" s="133" t="str">
        <f>IFERROR(__xludf.DUMMYFUNCTION("""COMPUTED_VALUE"""),"كولينس 10 كجم")</f>
        <v>كولينس 10 كجم</v>
      </c>
      <c r="H361" s="133" t="str">
        <f>IFERROR(__xludf.DUMMYFUNCTION("""COMPUTED_VALUE"""),"MAFE20202027")</f>
        <v>MAFE20202027</v>
      </c>
      <c r="I361" s="133"/>
      <c r="J361" s="133"/>
      <c r="K361" s="133" t="str">
        <f>IFERROR(__xludf.DUMMYFUNCTION("""COMPUTED_VALUE"""),"شركة جوسيرا بت فود جي ام بي اتش كاي جي")</f>
        <v>شركة جوسيرا بت فود جي ام بي اتش كاي جي</v>
      </c>
      <c r="L361" s="142" t="str">
        <f>IFERROR(__xludf.DUMMYFUNCTION("""COMPUTED_VALUE"""),"50010089")</f>
        <v>50010089</v>
      </c>
      <c r="M361" s="133"/>
      <c r="N361" s="133"/>
      <c r="O361" s="133"/>
      <c r="P361" s="133"/>
      <c r="Q361" s="133"/>
      <c r="R361" s="133"/>
      <c r="S361" s="133"/>
      <c r="T361" s="133"/>
      <c r="U361" s="133"/>
      <c r="V361" s="133"/>
      <c r="W361" s="133"/>
      <c r="X361" s="133"/>
      <c r="Y361" s="133"/>
      <c r="Z361" s="133"/>
    </row>
    <row r="362">
      <c r="A362" s="133">
        <f>IFERROR(__xludf.DUMMYFUNCTION("""COMPUTED_VALUE"""),361.0)</f>
        <v>361</v>
      </c>
      <c r="B362" s="133" t="str">
        <f>IFERROR(__xludf.DUMMYFUNCTION("""COMPUTED_VALUE"""),"50010091")</f>
        <v>50010091</v>
      </c>
      <c r="C362" s="133" t="str">
        <f>IFERROR(__xludf.DUMMYFUNCTION("""COMPUTED_VALUE"""),"P-1-N-191120-4299")</f>
        <v>P-1-N-191120-4299</v>
      </c>
      <c r="D362" s="133"/>
      <c r="E362" s="133" t="str">
        <f>IFERROR(__xludf.DUMMYFUNCTION("""COMPUTED_VALUE"""),"تمت طباعة الشهادة")</f>
        <v>تمت طباعة الشهادة</v>
      </c>
      <c r="F362" s="133" t="str">
        <f>IFERROR(__xludf.DUMMYFUNCTION("""COMPUTED_VALUE"""),"Culinesse 2kg")</f>
        <v>Culinesse 2kg</v>
      </c>
      <c r="G362" s="133" t="str">
        <f>IFERROR(__xludf.DUMMYFUNCTION("""COMPUTED_VALUE"""),"كولينس 2 كجم")</f>
        <v>كولينس 2 كجم</v>
      </c>
      <c r="H362" s="133" t="str">
        <f>IFERROR(__xludf.DUMMYFUNCTION("""COMPUTED_VALUE"""),"MAFE20202026")</f>
        <v>MAFE20202026</v>
      </c>
      <c r="I362" s="133"/>
      <c r="J362" s="133"/>
      <c r="K362" s="133" t="str">
        <f>IFERROR(__xludf.DUMMYFUNCTION("""COMPUTED_VALUE"""),"شركة جوسيرا بت فود جي ام بي اتش كاي جي")</f>
        <v>شركة جوسيرا بت فود جي ام بي اتش كاي جي</v>
      </c>
      <c r="L362" s="142" t="str">
        <f>IFERROR(__xludf.DUMMYFUNCTION("""COMPUTED_VALUE"""),"50010091")</f>
        <v>50010091</v>
      </c>
      <c r="M362" s="133"/>
      <c r="N362" s="133"/>
      <c r="O362" s="133"/>
      <c r="P362" s="133"/>
      <c r="Q362" s="133"/>
      <c r="R362" s="133"/>
      <c r="S362" s="133"/>
      <c r="T362" s="133"/>
      <c r="U362" s="133"/>
      <c r="V362" s="133"/>
      <c r="W362" s="133"/>
      <c r="X362" s="133"/>
      <c r="Y362" s="133"/>
      <c r="Z362" s="133"/>
    </row>
    <row r="363">
      <c r="A363" s="133">
        <f>IFERROR(__xludf.DUMMYFUNCTION("""COMPUTED_VALUE"""),362.0)</f>
        <v>362</v>
      </c>
      <c r="B363" s="133" t="str">
        <f>IFERROR(__xludf.DUMMYFUNCTION("""COMPUTED_VALUE"""),"50010092")</f>
        <v>50010092</v>
      </c>
      <c r="C363" s="133" t="str">
        <f>IFERROR(__xludf.DUMMYFUNCTION("""COMPUTED_VALUE"""),"P-1-N-191120-4300")</f>
        <v>P-1-N-191120-4300</v>
      </c>
      <c r="D363" s="133"/>
      <c r="E363" s="133" t="str">
        <f>IFERROR(__xludf.DUMMYFUNCTION("""COMPUTED_VALUE"""),"تمت طباعة الشهادة")</f>
        <v>تمت طباعة الشهادة</v>
      </c>
      <c r="F363" s="133" t="str">
        <f>IFERROR(__xludf.DUMMYFUNCTION("""COMPUTED_VALUE"""),"Culinesse ")</f>
        <v>Culinesse </v>
      </c>
      <c r="G363" s="133" t="str">
        <f>IFERROR(__xludf.DUMMYFUNCTION("""COMPUTED_VALUE"""),"كولينس 400 جرام")</f>
        <v>كولينس 400 جرام</v>
      </c>
      <c r="H363" s="133" t="str">
        <f>IFERROR(__xludf.DUMMYFUNCTION("""COMPUTED_VALUE"""),"MAFE20202025")</f>
        <v>MAFE20202025</v>
      </c>
      <c r="I363" s="133"/>
      <c r="J363" s="133"/>
      <c r="K363" s="133" t="str">
        <f>IFERROR(__xludf.DUMMYFUNCTION("""COMPUTED_VALUE"""),"شركة جوسيرا بت فود جي ام بي اتش كاي جي")</f>
        <v>شركة جوسيرا بت فود جي ام بي اتش كاي جي</v>
      </c>
      <c r="L363" s="142" t="str">
        <f>IFERROR(__xludf.DUMMYFUNCTION("""COMPUTED_VALUE"""),"50010092")</f>
        <v>50010092</v>
      </c>
      <c r="M363" s="133"/>
      <c r="N363" s="133"/>
      <c r="O363" s="133"/>
      <c r="P363" s="133"/>
      <c r="Q363" s="133"/>
      <c r="R363" s="133"/>
      <c r="S363" s="133"/>
      <c r="T363" s="133"/>
      <c r="U363" s="133"/>
      <c r="V363" s="133"/>
      <c r="W363" s="133"/>
      <c r="X363" s="133"/>
      <c r="Y363" s="133"/>
      <c r="Z363" s="133"/>
    </row>
    <row r="364">
      <c r="A364" s="133">
        <f>IFERROR(__xludf.DUMMYFUNCTION("""COMPUTED_VALUE"""),363.0)</f>
        <v>363</v>
      </c>
      <c r="B364" s="133" t="str">
        <f>IFERROR(__xludf.DUMMYFUNCTION("""COMPUTED_VALUE"""),"C370")</f>
        <v>C370</v>
      </c>
      <c r="C364" s="133" t="str">
        <f>IFERROR(__xludf.DUMMYFUNCTION("""COMPUTED_VALUE"""),"P-1-N-221120-4321")</f>
        <v>P-1-N-221120-4321</v>
      </c>
      <c r="D364" s="133"/>
      <c r="E364" s="133" t="str">
        <f>IFERROR(__xludf.DUMMYFUNCTION("""COMPUTED_VALUE"""),"تمت طباعة الشهادة")</f>
        <v>تمت طباعة الشهادة</v>
      </c>
      <c r="F364" s="133" t="str">
        <f>IFERROR(__xludf.DUMMYFUNCTION("""COMPUTED_VALUE"""),"Chicken and Rice with Papaya in Gel 150g")</f>
        <v>Chicken and Rice with Papaya in Gel 150g</v>
      </c>
      <c r="G364" s="133" t="str">
        <f>IFERROR(__xludf.DUMMYFUNCTION("""COMPUTED_VALUE"""),"الدجاج والأرز مع البابايا في الجيلي 150 جرام")</f>
        <v>الدجاج والأرز مع البابايا في الجيلي 150 جرام</v>
      </c>
      <c r="H364" s="133" t="str">
        <f>IFERROR(__xludf.DUMMYFUNCTION("""COMPUTED_VALUE"""),"MAFE20202049")</f>
        <v>MAFE20202049</v>
      </c>
      <c r="I364" s="133"/>
      <c r="J364" s="133"/>
      <c r="K364" s="133" t="str">
        <f>IFERROR(__xludf.DUMMYFUNCTION("""COMPUTED_VALUE"""),"ساوث ايست الاسيوية للتغليف والتعليب المحدودة")</f>
        <v>ساوث ايست الاسيوية للتغليف والتعليب المحدودة</v>
      </c>
      <c r="L364" s="142" t="str">
        <f>IFERROR(__xludf.DUMMYFUNCTION("""COMPUTED_VALUE"""),"C370")</f>
        <v>C370</v>
      </c>
      <c r="M364" s="133"/>
      <c r="N364" s="133"/>
      <c r="O364" s="133"/>
      <c r="P364" s="133"/>
      <c r="Q364" s="133"/>
      <c r="R364" s="133"/>
      <c r="S364" s="133"/>
      <c r="T364" s="133"/>
      <c r="U364" s="133"/>
      <c r="V364" s="133"/>
      <c r="W364" s="133"/>
      <c r="X364" s="133"/>
      <c r="Y364" s="133"/>
      <c r="Z364" s="133"/>
    </row>
    <row r="365">
      <c r="A365" s="133">
        <f>IFERROR(__xludf.DUMMYFUNCTION("""COMPUTED_VALUE"""),364.0)</f>
        <v>364</v>
      </c>
      <c r="B365" s="133"/>
      <c r="C365" s="133" t="str">
        <f>IFERROR(__xludf.DUMMYFUNCTION("""COMPUTED_VALUE"""),"P-1-N-221120-4322")</f>
        <v>P-1-N-221120-4322</v>
      </c>
      <c r="D365" s="133"/>
      <c r="E365" s="133" t="str">
        <f>IFERROR(__xludf.DUMMYFUNCTION("""COMPUTED_VALUE"""),"REJECTED")</f>
        <v>REJECTED</v>
      </c>
      <c r="F365" s="133" t="str">
        <f>IFERROR(__xludf.DUMMYFUNCTION("""COMPUTED_VALUE"""),"Tuna whole meat and rice with aloe in gel 140g")</f>
        <v>Tuna whole meat and rice with aloe in gel 140g</v>
      </c>
      <c r="G365" s="133" t="str">
        <f>IFERROR(__xludf.DUMMYFUNCTION("""COMPUTED_VALUE"""),"التونا و الارز مع الصبار بالجيلي 140 جرام")</f>
        <v>التونا و الارز مع الصبار بالجيلي 140 جرام</v>
      </c>
      <c r="H365" s="133"/>
      <c r="I365" s="133"/>
      <c r="J365" s="133"/>
      <c r="K365" s="133" t="str">
        <f>IFERROR(__xludf.DUMMYFUNCTION("""COMPUTED_VALUE"""),"ساوث ايست الاسيوية للتغليف والتعليب المحدودة")</f>
        <v>ساوث ايست الاسيوية للتغليف والتعليب المحدودة</v>
      </c>
      <c r="L365" s="133"/>
      <c r="M365" s="133"/>
      <c r="N365" s="133"/>
      <c r="O365" s="133"/>
      <c r="P365" s="133"/>
      <c r="Q365" s="133"/>
      <c r="R365" s="133"/>
      <c r="S365" s="133"/>
      <c r="T365" s="133"/>
      <c r="U365" s="133"/>
      <c r="V365" s="133"/>
      <c r="W365" s="133"/>
      <c r="X365" s="133"/>
      <c r="Y365" s="133"/>
      <c r="Z365" s="133"/>
    </row>
    <row r="366">
      <c r="A366" s="133">
        <f>IFERROR(__xludf.DUMMYFUNCTION("""COMPUTED_VALUE"""),365.0)</f>
        <v>365</v>
      </c>
      <c r="B366" s="133"/>
      <c r="C366" s="133" t="str">
        <f>IFERROR(__xludf.DUMMYFUNCTION("""COMPUTED_VALUE"""),"P-1-N-221120-4324")</f>
        <v>P-1-N-221120-4324</v>
      </c>
      <c r="D366" s="133"/>
      <c r="E366" s="133" t="str">
        <f>IFERROR(__xludf.DUMMYFUNCTION("""COMPUTED_VALUE"""),"REJECTED")</f>
        <v>REJECTED</v>
      </c>
      <c r="F366" s="133">
        <f>IFERROR(__xludf.DUMMYFUNCTION("""COMPUTED_VALUE"""),0.0)</f>
        <v>0</v>
      </c>
      <c r="G366" s="133" t="str">
        <f>IFERROR(__xludf.DUMMYFUNCTION("""COMPUTED_VALUE"""),"الدجاج و الارز مع الصبار بالجيلي 140 جرام")</f>
        <v>الدجاج و الارز مع الصبار بالجيلي 140 جرام</v>
      </c>
      <c r="H366" s="133"/>
      <c r="I366" s="133"/>
      <c r="J366" s="133"/>
      <c r="K366" s="133" t="str">
        <f>IFERROR(__xludf.DUMMYFUNCTION("""COMPUTED_VALUE"""),"ساوث ايست الاسيوية للتغليف والتعليب المحدودة")</f>
        <v>ساوث ايست الاسيوية للتغليف والتعليب المحدودة</v>
      </c>
      <c r="L366" s="133"/>
      <c r="M366" s="133"/>
      <c r="N366" s="133"/>
      <c r="O366" s="133"/>
      <c r="P366" s="133"/>
      <c r="Q366" s="133"/>
      <c r="R366" s="133"/>
      <c r="S366" s="133"/>
      <c r="T366" s="133"/>
      <c r="U366" s="133"/>
      <c r="V366" s="133"/>
      <c r="W366" s="133"/>
      <c r="X366" s="133"/>
      <c r="Y366" s="133"/>
      <c r="Z366" s="133"/>
    </row>
    <row r="367">
      <c r="A367" s="133">
        <f>IFERROR(__xludf.DUMMYFUNCTION("""COMPUTED_VALUE"""),366.0)</f>
        <v>366</v>
      </c>
      <c r="B367" s="133" t="str">
        <f>IFERROR(__xludf.DUMMYFUNCTION("""COMPUTED_VALUE"""),"J50007845")</f>
        <v>J50007845</v>
      </c>
      <c r="C367" s="133" t="str">
        <f>IFERROR(__xludf.DUMMYFUNCTION("""COMPUTED_VALUE"""),"P-1-N-231120-4330")</f>
        <v>P-1-N-231120-4330</v>
      </c>
      <c r="D367" s="133"/>
      <c r="E367" s="133" t="str">
        <f>IFERROR(__xludf.DUMMYFUNCTION("""COMPUTED_VALUE"""),"تمت طباعة الشهادة")</f>
        <v>تمت طباعة الشهادة</v>
      </c>
      <c r="F367" s="133" t="str">
        <f>IFERROR(__xludf.DUMMYFUNCTION("""COMPUTED_VALUE"""),"Dailycat 60g")</f>
        <v>Dailycat 60g</v>
      </c>
      <c r="G367" s="133" t="str">
        <f>IFERROR(__xludf.DUMMYFUNCTION("""COMPUTED_VALUE"""),"ديلي كات 60 جم")</f>
        <v>ديلي كات 60 جم</v>
      </c>
      <c r="H367" s="133" t="str">
        <f>IFERROR(__xludf.DUMMYFUNCTION("""COMPUTED_VALUE"""),"MAFE20202048")</f>
        <v>MAFE20202048</v>
      </c>
      <c r="I367" s="133"/>
      <c r="J367" s="133"/>
      <c r="K367" s="133" t="str">
        <f>IFERROR(__xludf.DUMMYFUNCTION("""COMPUTED_VALUE"""),"شركة")</f>
        <v>شركة</v>
      </c>
      <c r="L367" s="142" t="str">
        <f>IFERROR(__xludf.DUMMYFUNCTION("""COMPUTED_VALUE"""),"J50007845")</f>
        <v>J50007845</v>
      </c>
      <c r="M367" s="133"/>
      <c r="N367" s="133"/>
      <c r="O367" s="133"/>
      <c r="P367" s="133"/>
      <c r="Q367" s="133"/>
      <c r="R367" s="133"/>
      <c r="S367" s="133"/>
      <c r="T367" s="133"/>
      <c r="U367" s="133"/>
      <c r="V367" s="133"/>
      <c r="W367" s="133"/>
      <c r="X367" s="133"/>
      <c r="Y367" s="133"/>
      <c r="Z367" s="133"/>
    </row>
    <row r="368">
      <c r="A368" s="133">
        <f>IFERROR(__xludf.DUMMYFUNCTION("""COMPUTED_VALUE"""),367.0)</f>
        <v>367</v>
      </c>
      <c r="B368" s="133" t="str">
        <f>IFERROR(__xludf.DUMMYFUNCTION("""COMPUTED_VALUE"""),"50010096")</f>
        <v>50010096</v>
      </c>
      <c r="C368" s="133" t="str">
        <f>IFERROR(__xludf.DUMMYFUNCTION("""COMPUTED_VALUE"""),"P-1-N-231120-4331")</f>
        <v>P-1-N-231120-4331</v>
      </c>
      <c r="D368" s="133"/>
      <c r="E368" s="133" t="str">
        <f>IFERROR(__xludf.DUMMYFUNCTION("""COMPUTED_VALUE"""),"تمت طباعة الشهادة")</f>
        <v>تمت طباعة الشهادة</v>
      </c>
      <c r="F368" s="133" t="str">
        <f>IFERROR(__xludf.DUMMYFUNCTION("""COMPUTED_VALUE"""),"Dailycat ")</f>
        <v>Dailycat </v>
      </c>
      <c r="G368" s="133" t="str">
        <f>IFERROR(__xludf.DUMMYFUNCTION("""COMPUTED_VALUE"""),"ديلي كات 400 جم")</f>
        <v>ديلي كات 400 جم</v>
      </c>
      <c r="H368" s="133" t="str">
        <f>IFERROR(__xludf.DUMMYFUNCTION("""COMPUTED_VALUE"""),"MAFE20202047")</f>
        <v>MAFE20202047</v>
      </c>
      <c r="I368" s="133"/>
      <c r="J368" s="133"/>
      <c r="K368" s="133" t="str">
        <f>IFERROR(__xludf.DUMMYFUNCTION("""COMPUTED_VALUE"""),"شركة جوسيرا بت فود جي ام بي اتش كاي جي")</f>
        <v>شركة جوسيرا بت فود جي ام بي اتش كاي جي</v>
      </c>
      <c r="L368" s="142" t="str">
        <f>IFERROR(__xludf.DUMMYFUNCTION("""COMPUTED_VALUE"""),"50010096")</f>
        <v>50010096</v>
      </c>
      <c r="M368" s="133"/>
      <c r="N368" s="133"/>
      <c r="O368" s="133"/>
      <c r="P368" s="133"/>
      <c r="Q368" s="133"/>
      <c r="R368" s="133"/>
      <c r="S368" s="133"/>
      <c r="T368" s="133"/>
      <c r="U368" s="133"/>
      <c r="V368" s="133"/>
      <c r="W368" s="133"/>
      <c r="X368" s="133"/>
      <c r="Y368" s="133"/>
      <c r="Z368" s="133"/>
    </row>
    <row r="369">
      <c r="A369" s="133">
        <f>IFERROR(__xludf.DUMMYFUNCTION("""COMPUTED_VALUE"""),368.0)</f>
        <v>368</v>
      </c>
      <c r="B369" s="133" t="str">
        <f>IFERROR(__xludf.DUMMYFUNCTION("""COMPUTED_VALUE"""),"50010095")</f>
        <v>50010095</v>
      </c>
      <c r="C369" s="133" t="str">
        <f>IFERROR(__xludf.DUMMYFUNCTION("""COMPUTED_VALUE"""),"P-1-N-231120-4332")</f>
        <v>P-1-N-231120-4332</v>
      </c>
      <c r="D369" s="133"/>
      <c r="E369" s="133" t="str">
        <f>IFERROR(__xludf.DUMMYFUNCTION("""COMPUTED_VALUE"""),"تمت طباعة الشهادة")</f>
        <v>تمت طباعة الشهادة</v>
      </c>
      <c r="F369" s="133" t="str">
        <f>IFERROR(__xludf.DUMMYFUNCTION("""COMPUTED_VALUE"""),"Dailycat 2kg")</f>
        <v>Dailycat 2kg</v>
      </c>
      <c r="G369" s="133" t="str">
        <f>IFERROR(__xludf.DUMMYFUNCTION("""COMPUTED_VALUE"""),"ديلي")</f>
        <v>ديلي</v>
      </c>
      <c r="H369" s="133" t="str">
        <f>IFERROR(__xludf.DUMMYFUNCTION("""COMPUTED_VALUE"""),"MAFE20202046")</f>
        <v>MAFE20202046</v>
      </c>
      <c r="I369" s="133"/>
      <c r="J369" s="133"/>
      <c r="K369" s="133" t="str">
        <f>IFERROR(__xludf.DUMMYFUNCTION("""COMPUTED_VALUE"""),"شركة جوسيرا بت فود جي ام بي اتش كاي جي")</f>
        <v>شركة جوسيرا بت فود جي ام بي اتش كاي جي</v>
      </c>
      <c r="L369" s="142" t="str">
        <f>IFERROR(__xludf.DUMMYFUNCTION("""COMPUTED_VALUE"""),"50010095")</f>
        <v>50010095</v>
      </c>
      <c r="M369" s="133"/>
      <c r="N369" s="133"/>
      <c r="O369" s="133"/>
      <c r="P369" s="133"/>
      <c r="Q369" s="133"/>
      <c r="R369" s="133"/>
      <c r="S369" s="133"/>
      <c r="T369" s="133"/>
      <c r="U369" s="133"/>
      <c r="V369" s="133"/>
      <c r="W369" s="133"/>
      <c r="X369" s="133"/>
      <c r="Y369" s="133"/>
      <c r="Z369" s="133"/>
    </row>
    <row r="370">
      <c r="A370" s="133">
        <f>IFERROR(__xludf.DUMMYFUNCTION("""COMPUTED_VALUE"""),369.0)</f>
        <v>369</v>
      </c>
      <c r="B370" s="133" t="str">
        <f>IFERROR(__xludf.DUMMYFUNCTION("""COMPUTED_VALUE"""),"50010094")</f>
        <v>50010094</v>
      </c>
      <c r="C370" s="133" t="str">
        <f>IFERROR(__xludf.DUMMYFUNCTION("""COMPUTED_VALUE"""),"P-1-N-231120-4333")</f>
        <v>P-1-N-231120-4333</v>
      </c>
      <c r="D370" s="133"/>
      <c r="E370" s="133" t="str">
        <f>IFERROR(__xludf.DUMMYFUNCTION("""COMPUTED_VALUE"""),"تمت طباعة الشهادة")</f>
        <v>تمت طباعة الشهادة</v>
      </c>
      <c r="F370" s="133" t="str">
        <f>IFERROR(__xludf.DUMMYFUNCTION("""COMPUTED_VALUE"""),"Dailycat 4.25kg")</f>
        <v>Dailycat 4.25kg</v>
      </c>
      <c r="G370" s="133" t="str">
        <f>IFERROR(__xludf.DUMMYFUNCTION("""COMPUTED_VALUE"""),"ديلي كات 4.25 كجم")</f>
        <v>ديلي كات 4.25 كجم</v>
      </c>
      <c r="H370" s="133" t="str">
        <f>IFERROR(__xludf.DUMMYFUNCTION("""COMPUTED_VALUE"""),"MAFE20202045")</f>
        <v>MAFE20202045</v>
      </c>
      <c r="I370" s="133"/>
      <c r="J370" s="133"/>
      <c r="K370" s="133" t="str">
        <f>IFERROR(__xludf.DUMMYFUNCTION("""COMPUTED_VALUE"""),"شركة جوسيرا بت فود جي ام بي اتش كاي جي")</f>
        <v>شركة جوسيرا بت فود جي ام بي اتش كاي جي</v>
      </c>
      <c r="L370" s="142" t="str">
        <f>IFERROR(__xludf.DUMMYFUNCTION("""COMPUTED_VALUE"""),"50010094")</f>
        <v>50010094</v>
      </c>
      <c r="M370" s="133"/>
      <c r="N370" s="133"/>
      <c r="O370" s="133"/>
      <c r="P370" s="133"/>
      <c r="Q370" s="133"/>
      <c r="R370" s="133"/>
      <c r="S370" s="133"/>
      <c r="T370" s="133"/>
      <c r="U370" s="133"/>
      <c r="V370" s="133"/>
      <c r="W370" s="133"/>
      <c r="X370" s="133"/>
      <c r="Y370" s="133"/>
      <c r="Z370" s="133"/>
    </row>
    <row r="371">
      <c r="A371" s="133">
        <f>IFERROR(__xludf.DUMMYFUNCTION("""COMPUTED_VALUE"""),370.0)</f>
        <v>370</v>
      </c>
      <c r="B371" s="133" t="str">
        <f>IFERROR(__xludf.DUMMYFUNCTION("""COMPUTED_VALUE"""),"50010093")</f>
        <v>50010093</v>
      </c>
      <c r="C371" s="133" t="str">
        <f>IFERROR(__xludf.DUMMYFUNCTION("""COMPUTED_VALUE"""),"P-1-N-231120-4334")</f>
        <v>P-1-N-231120-4334</v>
      </c>
      <c r="D371" s="133"/>
      <c r="E371" s="133" t="str">
        <f>IFERROR(__xludf.DUMMYFUNCTION("""COMPUTED_VALUE"""),"تمت طباعة الشهادة")</f>
        <v>تمت طباعة الشهادة</v>
      </c>
      <c r="F371" s="133" t="str">
        <f>IFERROR(__xludf.DUMMYFUNCTION("""COMPUTED_VALUE"""),"Dailycat 10kg")</f>
        <v>Dailycat 10kg</v>
      </c>
      <c r="G371" s="133" t="str">
        <f>IFERROR(__xludf.DUMMYFUNCTION("""COMPUTED_VALUE"""),"ديلي كات 10 كجم")</f>
        <v>ديلي كات 10 كجم</v>
      </c>
      <c r="H371" s="133" t="str">
        <f>IFERROR(__xludf.DUMMYFUNCTION("""COMPUTED_VALUE"""),"MAFE20202044")</f>
        <v>MAFE20202044</v>
      </c>
      <c r="I371" s="133"/>
      <c r="J371" s="133"/>
      <c r="K371" s="133" t="str">
        <f>IFERROR(__xludf.DUMMYFUNCTION("""COMPUTED_VALUE"""),"شركة جوسيرا بت فود جي ام بي اتش كاي جي")</f>
        <v>شركة جوسيرا بت فود جي ام بي اتش كاي جي</v>
      </c>
      <c r="L371" s="142" t="str">
        <f>IFERROR(__xludf.DUMMYFUNCTION("""COMPUTED_VALUE"""),"50010093")</f>
        <v>50010093</v>
      </c>
      <c r="M371" s="133"/>
      <c r="N371" s="133"/>
      <c r="O371" s="133"/>
      <c r="P371" s="133"/>
      <c r="Q371" s="133"/>
      <c r="R371" s="133"/>
      <c r="S371" s="133"/>
      <c r="T371" s="133"/>
      <c r="U371" s="133"/>
      <c r="V371" s="133"/>
      <c r="W371" s="133"/>
      <c r="X371" s="133"/>
      <c r="Y371" s="133"/>
      <c r="Z371" s="133"/>
    </row>
    <row r="372">
      <c r="A372" s="133">
        <f>IFERROR(__xludf.DUMMYFUNCTION("""COMPUTED_VALUE"""),371.0)</f>
        <v>371</v>
      </c>
      <c r="B372" s="133" t="str">
        <f>IFERROR(__xludf.DUMMYFUNCTION("""COMPUTED_VALUE"""),"J50007748")</f>
        <v>J50007748</v>
      </c>
      <c r="C372" s="133" t="str">
        <f>IFERROR(__xludf.DUMMYFUNCTION("""COMPUTED_VALUE"""),"P-1-N-231120-4337")</f>
        <v>P-1-N-231120-4337</v>
      </c>
      <c r="D372" s="133"/>
      <c r="E372" s="133" t="str">
        <f>IFERROR(__xludf.DUMMYFUNCTION("""COMPUTED_VALUE"""),"تمت طباعة الشهادة")</f>
        <v>تمت طباعة الشهادة</v>
      </c>
      <c r="F372" s="133" t="str">
        <f>IFERROR(__xludf.DUMMYFUNCTION("""COMPUTED_VALUE"""),"Kitten 60g")</f>
        <v>Kitten 60g</v>
      </c>
      <c r="G372" s="133" t="str">
        <f>IFERROR(__xludf.DUMMYFUNCTION("""COMPUTED_VALUE"""),"كيتن 60 جم")</f>
        <v>كيتن 60 جم</v>
      </c>
      <c r="H372" s="133" t="str">
        <f>IFERROR(__xludf.DUMMYFUNCTION("""COMPUTED_VALUE"""),"MAFE20202043")</f>
        <v>MAFE20202043</v>
      </c>
      <c r="I372" s="133"/>
      <c r="J372" s="133"/>
      <c r="K372" s="133" t="str">
        <f>IFERROR(__xludf.DUMMYFUNCTION("""COMPUTED_VALUE"""),"شركة جوسيرا بت فود جي ام بي اتش كاي جي")</f>
        <v>شركة جوسيرا بت فود جي ام بي اتش كاي جي</v>
      </c>
      <c r="L372" s="142" t="str">
        <f>IFERROR(__xludf.DUMMYFUNCTION("""COMPUTED_VALUE"""),"J50007748")</f>
        <v>J50007748</v>
      </c>
      <c r="M372" s="133"/>
      <c r="N372" s="133"/>
      <c r="O372" s="133"/>
      <c r="P372" s="133"/>
      <c r="Q372" s="133"/>
      <c r="R372" s="133"/>
      <c r="S372" s="133"/>
      <c r="T372" s="133"/>
      <c r="U372" s="133"/>
      <c r="V372" s="133"/>
      <c r="W372" s="133"/>
      <c r="X372" s="133"/>
      <c r="Y372" s="133"/>
      <c r="Z372" s="133"/>
    </row>
    <row r="373">
      <c r="A373" s="133">
        <f>IFERROR(__xludf.DUMMYFUNCTION("""COMPUTED_VALUE"""),372.0)</f>
        <v>372</v>
      </c>
      <c r="B373" s="133" t="str">
        <f>IFERROR(__xludf.DUMMYFUNCTION("""COMPUTED_VALUE"""),"50010104")</f>
        <v>50010104</v>
      </c>
      <c r="C373" s="133" t="str">
        <f>IFERROR(__xludf.DUMMYFUNCTION("""COMPUTED_VALUE"""),"P-1-N-231120-4338")</f>
        <v>P-1-N-231120-4338</v>
      </c>
      <c r="D373" s="133"/>
      <c r="E373" s="133" t="str">
        <f>IFERROR(__xludf.DUMMYFUNCTION("""COMPUTED_VALUE"""),"تمت طباعة الشهادة")</f>
        <v>تمت طباعة الشهادة</v>
      </c>
      <c r="F373" s="133" t="str">
        <f>IFERROR(__xludf.DUMMYFUNCTION("""COMPUTED_VALUE"""),"Kitten ")</f>
        <v>Kitten </v>
      </c>
      <c r="G373" s="133" t="str">
        <f>IFERROR(__xludf.DUMMYFUNCTION("""COMPUTED_VALUE"""),"كيتن 400 جم")</f>
        <v>كيتن 400 جم</v>
      </c>
      <c r="H373" s="133" t="str">
        <f>IFERROR(__xludf.DUMMYFUNCTION("""COMPUTED_VALUE"""),"MAFE20202061")</f>
        <v>MAFE20202061</v>
      </c>
      <c r="I373" s="133"/>
      <c r="J373" s="133"/>
      <c r="K373" s="133" t="str">
        <f>IFERROR(__xludf.DUMMYFUNCTION("""COMPUTED_VALUE"""),"شركة جوسيرا بت فود جي ام بي اتش كاي جي")</f>
        <v>شركة جوسيرا بت فود جي ام بي اتش كاي جي</v>
      </c>
      <c r="L373" s="142" t="str">
        <f>IFERROR(__xludf.DUMMYFUNCTION("""COMPUTED_VALUE"""),"50010104")</f>
        <v>50010104</v>
      </c>
      <c r="M373" s="133"/>
      <c r="N373" s="133"/>
      <c r="O373" s="133"/>
      <c r="P373" s="133"/>
      <c r="Q373" s="133"/>
      <c r="R373" s="133"/>
      <c r="S373" s="133"/>
      <c r="T373" s="133"/>
      <c r="U373" s="133"/>
      <c r="V373" s="133"/>
      <c r="W373" s="133"/>
      <c r="X373" s="133"/>
      <c r="Y373" s="133"/>
      <c r="Z373" s="133"/>
    </row>
    <row r="374">
      <c r="A374" s="133">
        <f>IFERROR(__xludf.DUMMYFUNCTION("""COMPUTED_VALUE"""),373.0)</f>
        <v>373</v>
      </c>
      <c r="B374" s="133" t="str">
        <f>IFERROR(__xludf.DUMMYFUNCTION("""COMPUTED_VALUE"""),"50010103")</f>
        <v>50010103</v>
      </c>
      <c r="C374" s="133" t="str">
        <f>IFERROR(__xludf.DUMMYFUNCTION("""COMPUTED_VALUE"""),"P-1-N-231120-4339")</f>
        <v>P-1-N-231120-4339</v>
      </c>
      <c r="D374" s="133"/>
      <c r="E374" s="133" t="str">
        <f>IFERROR(__xludf.DUMMYFUNCTION("""COMPUTED_VALUE"""),"تمت طباعة الشهادة")</f>
        <v>تمت طباعة الشهادة</v>
      </c>
      <c r="F374" s="133" t="str">
        <f>IFERROR(__xludf.DUMMYFUNCTION("""COMPUTED_VALUE"""),"Kitten 2kg")</f>
        <v>Kitten 2kg</v>
      </c>
      <c r="G374" s="133" t="str">
        <f>IFERROR(__xludf.DUMMYFUNCTION("""COMPUTED_VALUE"""),"كيتن 2 كجم")</f>
        <v>كيتن 2 كجم</v>
      </c>
      <c r="H374" s="133" t="str">
        <f>IFERROR(__xludf.DUMMYFUNCTION("""COMPUTED_VALUE"""),"MAFE20202060")</f>
        <v>MAFE20202060</v>
      </c>
      <c r="I374" s="133"/>
      <c r="J374" s="133"/>
      <c r="K374" s="133" t="str">
        <f>IFERROR(__xludf.DUMMYFUNCTION("""COMPUTED_VALUE"""),"شركة جوسيرا بت فود جي ام بي اتش كاي جي")</f>
        <v>شركة جوسيرا بت فود جي ام بي اتش كاي جي</v>
      </c>
      <c r="L374" s="142" t="str">
        <f>IFERROR(__xludf.DUMMYFUNCTION("""COMPUTED_VALUE"""),"50010103")</f>
        <v>50010103</v>
      </c>
      <c r="M374" s="133"/>
      <c r="N374" s="133"/>
      <c r="O374" s="133"/>
      <c r="P374" s="133"/>
      <c r="Q374" s="133"/>
      <c r="R374" s="133"/>
      <c r="S374" s="133"/>
      <c r="T374" s="133"/>
      <c r="U374" s="133"/>
      <c r="V374" s="133"/>
      <c r="W374" s="133"/>
      <c r="X374" s="133"/>
      <c r="Y374" s="133"/>
      <c r="Z374" s="133"/>
    </row>
    <row r="375">
      <c r="A375" s="133">
        <f>IFERROR(__xludf.DUMMYFUNCTION("""COMPUTED_VALUE"""),374.0)</f>
        <v>374</v>
      </c>
      <c r="B375" s="133" t="str">
        <f>IFERROR(__xludf.DUMMYFUNCTION("""COMPUTED_VALUE"""),"50010097")</f>
        <v>50010097</v>
      </c>
      <c r="C375" s="133" t="str">
        <f>IFERROR(__xludf.DUMMYFUNCTION("""COMPUTED_VALUE"""),"P-1-N-231120-4340")</f>
        <v>P-1-N-231120-4340</v>
      </c>
      <c r="D375" s="133"/>
      <c r="E375" s="133" t="str">
        <f>IFERROR(__xludf.DUMMYFUNCTION("""COMPUTED_VALUE"""),"تمت طباعة الشهادة")</f>
        <v>تمت طباعة الشهادة</v>
      </c>
      <c r="F375" s="133" t="str">
        <f>IFERROR(__xludf.DUMMYFUNCTION("""COMPUTED_VALUE"""),"Kitten 10kg")</f>
        <v>Kitten 10kg</v>
      </c>
      <c r="G375" s="133" t="str">
        <f>IFERROR(__xludf.DUMMYFUNCTION("""COMPUTED_VALUE"""),"كيتن 10 كجم")</f>
        <v>كيتن 10 كجم</v>
      </c>
      <c r="H375" s="133" t="str">
        <f>IFERROR(__xludf.DUMMYFUNCTION("""COMPUTED_VALUE"""),"MAFE20202059")</f>
        <v>MAFE20202059</v>
      </c>
      <c r="I375" s="133"/>
      <c r="J375" s="133"/>
      <c r="K375" s="133" t="str">
        <f>IFERROR(__xludf.DUMMYFUNCTION("""COMPUTED_VALUE"""),"شركة جوسيرا بت فود جي ام بي اتش كاي جي")</f>
        <v>شركة جوسيرا بت فود جي ام بي اتش كاي جي</v>
      </c>
      <c r="L375" s="142" t="str">
        <f>IFERROR(__xludf.DUMMYFUNCTION("""COMPUTED_VALUE"""),"50010097")</f>
        <v>50010097</v>
      </c>
      <c r="M375" s="133"/>
      <c r="N375" s="133"/>
      <c r="O375" s="133"/>
      <c r="P375" s="133"/>
      <c r="Q375" s="133"/>
      <c r="R375" s="133"/>
      <c r="S375" s="133"/>
      <c r="T375" s="133"/>
      <c r="U375" s="133"/>
      <c r="V375" s="133"/>
      <c r="W375" s="133"/>
      <c r="X375" s="133"/>
      <c r="Y375" s="133"/>
      <c r="Z375" s="133"/>
    </row>
    <row r="376">
      <c r="A376" s="133">
        <f>IFERROR(__xludf.DUMMYFUNCTION("""COMPUTED_VALUE"""),375.0)</f>
        <v>375</v>
      </c>
      <c r="B376" s="133"/>
      <c r="C376" s="133" t="str">
        <f>IFERROR(__xludf.DUMMYFUNCTION("""COMPUTED_VALUE"""),"P-1-N-231120-4343")</f>
        <v>P-1-N-231120-4343</v>
      </c>
      <c r="D376" s="133"/>
      <c r="E376" s="133" t="str">
        <f>IFERROR(__xludf.DUMMYFUNCTION("""COMPUTED_VALUE"""),"تمت طباعة الشهادة")</f>
        <v>تمت طباعة الشهادة</v>
      </c>
      <c r="F376" s="133" t="str">
        <f>IFERROR(__xludf.DUMMYFUNCTION("""COMPUTED_VALUE"""),"شركة جوسيرا بت فود جي ام بي اتش كاي جي")</f>
        <v>شركة جوسيرا بت فود جي ام بي اتش كاي جي</v>
      </c>
      <c r="G376" s="133" t="str">
        <f>IFERROR(__xludf.DUMMYFUNCTION("""COMPUTED_VALUE"""),"مارينيس 60 جم")</f>
        <v>مارينيس 60 جم</v>
      </c>
      <c r="H376" s="133" t="str">
        <f>IFERROR(__xludf.DUMMYFUNCTION("""COMPUTED_VALUE"""),"MAFE20202042")</f>
        <v>MAFE20202042</v>
      </c>
      <c r="I376" s="133"/>
      <c r="J376" s="133"/>
      <c r="K376" s="133" t="str">
        <f>IFERROR(__xludf.DUMMYFUNCTION("""COMPUTED_VALUE"""),"شركة جوسيرا بت فود جي ام بي اتش كاي جي")</f>
        <v>شركة جوسيرا بت فود جي ام بي اتش كاي جي</v>
      </c>
      <c r="L376" s="133"/>
      <c r="M376" s="133"/>
      <c r="N376" s="133"/>
      <c r="O376" s="133"/>
      <c r="P376" s="133"/>
      <c r="Q376" s="133"/>
      <c r="R376" s="133"/>
      <c r="S376" s="133"/>
      <c r="T376" s="133"/>
      <c r="U376" s="133"/>
      <c r="V376" s="133"/>
      <c r="W376" s="133"/>
      <c r="X376" s="133"/>
      <c r="Y376" s="133"/>
      <c r="Z376" s="133"/>
    </row>
    <row r="377">
      <c r="A377" s="133">
        <f>IFERROR(__xludf.DUMMYFUNCTION("""COMPUTED_VALUE"""),376.0)</f>
        <v>376</v>
      </c>
      <c r="B377" s="133" t="str">
        <f>IFERROR(__xludf.DUMMYFUNCTION("""COMPUTED_VALUE"""),"50010110")</f>
        <v>50010110</v>
      </c>
      <c r="C377" s="133" t="str">
        <f>IFERROR(__xludf.DUMMYFUNCTION("""COMPUTED_VALUE"""),"P-1-N-231120-4344")</f>
        <v>P-1-N-231120-4344</v>
      </c>
      <c r="D377" s="133"/>
      <c r="E377" s="133" t="str">
        <f>IFERROR(__xludf.DUMMYFUNCTION("""COMPUTED_VALUE"""),"تمت طباعة الشهادة")</f>
        <v>تمت طباعة الشهادة</v>
      </c>
      <c r="F377" s="133" t="str">
        <f>IFERROR(__xludf.DUMMYFUNCTION("""COMPUTED_VALUE"""),"Marinesse ")</f>
        <v>Marinesse </v>
      </c>
      <c r="G377" s="133" t="str">
        <f>IFERROR(__xludf.DUMMYFUNCTION("""COMPUTED_VALUE"""),"مارينيس 400 جم")</f>
        <v>مارينيس 400 جم</v>
      </c>
      <c r="H377" s="133" t="str">
        <f>IFERROR(__xludf.DUMMYFUNCTION("""COMPUTED_VALUE"""),"MAFE20202041")</f>
        <v>MAFE20202041</v>
      </c>
      <c r="I377" s="133"/>
      <c r="J377" s="143">
        <f>IFERROR(__xludf.DUMMYFUNCTION("""COMPUTED_VALUE"""),45985.0)</f>
        <v>45985</v>
      </c>
      <c r="K377" s="133" t="str">
        <f>IFERROR(__xludf.DUMMYFUNCTION("""COMPUTED_VALUE"""),"شركة")</f>
        <v>شركة</v>
      </c>
      <c r="L377" s="142" t="str">
        <f>IFERROR(__xludf.DUMMYFUNCTION("""COMPUTED_VALUE"""),"50010110")</f>
        <v>50010110</v>
      </c>
      <c r="M377" s="133"/>
      <c r="N377" s="133"/>
      <c r="O377" s="133"/>
      <c r="P377" s="133"/>
      <c r="Q377" s="133"/>
      <c r="R377" s="133"/>
      <c r="S377" s="133"/>
      <c r="T377" s="133"/>
      <c r="U377" s="133"/>
      <c r="V377" s="133"/>
      <c r="W377" s="133"/>
      <c r="X377" s="133"/>
      <c r="Y377" s="133"/>
      <c r="Z377" s="133"/>
    </row>
    <row r="378">
      <c r="A378" s="133">
        <f>IFERROR(__xludf.DUMMYFUNCTION("""COMPUTED_VALUE"""),377.0)</f>
        <v>377</v>
      </c>
      <c r="B378" s="133" t="str">
        <f>IFERROR(__xludf.DUMMYFUNCTION("""COMPUTED_VALUE"""),"50010109")</f>
        <v>50010109</v>
      </c>
      <c r="C378" s="133" t="str">
        <f>IFERROR(__xludf.DUMMYFUNCTION("""COMPUTED_VALUE"""),"P-1-N-231120-4345")</f>
        <v>P-1-N-231120-4345</v>
      </c>
      <c r="D378" s="133"/>
      <c r="E378" s="133" t="str">
        <f>IFERROR(__xludf.DUMMYFUNCTION("""COMPUTED_VALUE"""),"تمت طباعة الشهادة")</f>
        <v>تمت طباعة الشهادة</v>
      </c>
      <c r="F378" s="133" t="str">
        <f>IFERROR(__xludf.DUMMYFUNCTION("""COMPUTED_VALUE"""),"Marinesse 2kg")</f>
        <v>Marinesse 2kg</v>
      </c>
      <c r="G378" s="133" t="str">
        <f>IFERROR(__xludf.DUMMYFUNCTION("""COMPUTED_VALUE"""),"مارينيس 2 كجم")</f>
        <v>مارينيس 2 كجم</v>
      </c>
      <c r="H378" s="133" t="str">
        <f>IFERROR(__xludf.DUMMYFUNCTION("""COMPUTED_VALUE"""),"MAFE20202058")</f>
        <v>MAFE20202058</v>
      </c>
      <c r="I378" s="133"/>
      <c r="J378" s="143">
        <f>IFERROR(__xludf.DUMMYFUNCTION("""COMPUTED_VALUE"""),45986.0)</f>
        <v>45986</v>
      </c>
      <c r="K378" s="133" t="str">
        <f>IFERROR(__xludf.DUMMYFUNCTION("""COMPUTED_VALUE"""),"شركة جوسيرا بت فود جي ام بي اتش كاي جي")</f>
        <v>شركة جوسيرا بت فود جي ام بي اتش كاي جي</v>
      </c>
      <c r="L378" s="142" t="str">
        <f>IFERROR(__xludf.DUMMYFUNCTION("""COMPUTED_VALUE"""),"50010109")</f>
        <v>50010109</v>
      </c>
      <c r="M378" s="133"/>
      <c r="N378" s="133"/>
      <c r="O378" s="133"/>
      <c r="P378" s="133"/>
      <c r="Q378" s="133"/>
      <c r="R378" s="133"/>
      <c r="S378" s="133"/>
      <c r="T378" s="133"/>
      <c r="U378" s="133"/>
      <c r="V378" s="133"/>
      <c r="W378" s="133"/>
      <c r="X378" s="133"/>
      <c r="Y378" s="133"/>
      <c r="Z378" s="133"/>
    </row>
    <row r="379">
      <c r="A379" s="133">
        <f>IFERROR(__xludf.DUMMYFUNCTION("""COMPUTED_VALUE"""),378.0)</f>
        <v>378</v>
      </c>
      <c r="B379" s="133" t="str">
        <f>IFERROR(__xludf.DUMMYFUNCTION("""COMPUTED_VALUE"""),"50010108")</f>
        <v>50010108</v>
      </c>
      <c r="C379" s="133" t="str">
        <f>IFERROR(__xludf.DUMMYFUNCTION("""COMPUTED_VALUE"""),"P-1-N-231120-4346")</f>
        <v>P-1-N-231120-4346</v>
      </c>
      <c r="D379" s="133"/>
      <c r="E379" s="133" t="str">
        <f>IFERROR(__xludf.DUMMYFUNCTION("""COMPUTED_VALUE"""),"تمت طباعة الشهادة")</f>
        <v>تمت طباعة الشهادة</v>
      </c>
      <c r="F379" s="133" t="str">
        <f>IFERROR(__xludf.DUMMYFUNCTION("""COMPUTED_VALUE"""),"Marinesse 4.25kg")</f>
        <v>Marinesse 4.25kg</v>
      </c>
      <c r="G379" s="133" t="str">
        <f>IFERROR(__xludf.DUMMYFUNCTION("""COMPUTED_VALUE"""),"مارينيس")</f>
        <v>مارينيس</v>
      </c>
      <c r="H379" s="133" t="str">
        <f>IFERROR(__xludf.DUMMYFUNCTION("""COMPUTED_VALUE"""),"MAFE20202057")</f>
        <v>MAFE20202057</v>
      </c>
      <c r="I379" s="133"/>
      <c r="J379" s="133"/>
      <c r="K379" s="133" t="str">
        <f>IFERROR(__xludf.DUMMYFUNCTION("""COMPUTED_VALUE"""),"شركة جوسيرا بت فود جي ام بي اتش كاي جي")</f>
        <v>شركة جوسيرا بت فود جي ام بي اتش كاي جي</v>
      </c>
      <c r="L379" s="142" t="str">
        <f>IFERROR(__xludf.DUMMYFUNCTION("""COMPUTED_VALUE"""),"50010108")</f>
        <v>50010108</v>
      </c>
      <c r="M379" s="133"/>
      <c r="N379" s="133"/>
      <c r="O379" s="133"/>
      <c r="P379" s="133"/>
      <c r="Q379" s="133"/>
      <c r="R379" s="133"/>
      <c r="S379" s="133"/>
      <c r="T379" s="133"/>
      <c r="U379" s="133"/>
      <c r="V379" s="133"/>
      <c r="W379" s="133"/>
      <c r="X379" s="133"/>
      <c r="Y379" s="133"/>
      <c r="Z379" s="133"/>
    </row>
    <row r="380">
      <c r="A380" s="133">
        <f>IFERROR(__xludf.DUMMYFUNCTION("""COMPUTED_VALUE"""),379.0)</f>
        <v>379</v>
      </c>
      <c r="B380" s="133" t="str">
        <f>IFERROR(__xludf.DUMMYFUNCTION("""COMPUTED_VALUE"""),"50010107")</f>
        <v>50010107</v>
      </c>
      <c r="C380" s="133" t="str">
        <f>IFERROR(__xludf.DUMMYFUNCTION("""COMPUTED_VALUE"""),"P-1-N-231120-4347")</f>
        <v>P-1-N-231120-4347</v>
      </c>
      <c r="D380" s="133"/>
      <c r="E380" s="133" t="str">
        <f>IFERROR(__xludf.DUMMYFUNCTION("""COMPUTED_VALUE"""),"تمت طباعة الشهادة")</f>
        <v>تمت طباعة الشهادة</v>
      </c>
      <c r="F380" s="133" t="str">
        <f>IFERROR(__xludf.DUMMYFUNCTION("""COMPUTED_VALUE"""),"Marinesse 10kg")</f>
        <v>Marinesse 10kg</v>
      </c>
      <c r="G380" s="133" t="str">
        <f>IFERROR(__xludf.DUMMYFUNCTION("""COMPUTED_VALUE"""),"مارينيس 10 كجم")</f>
        <v>مارينيس 10 كجم</v>
      </c>
      <c r="H380" s="133" t="str">
        <f>IFERROR(__xludf.DUMMYFUNCTION("""COMPUTED_VALUE"""),"MAFE20202056")</f>
        <v>MAFE20202056</v>
      </c>
      <c r="I380" s="133"/>
      <c r="J380" s="133"/>
      <c r="K380" s="133" t="str">
        <f>IFERROR(__xludf.DUMMYFUNCTION("""COMPUTED_VALUE"""),"شركة جوسيرا بت فود جي ام بي اتش كاي جي")</f>
        <v>شركة جوسيرا بت فود جي ام بي اتش كاي جي</v>
      </c>
      <c r="L380" s="142" t="str">
        <f>IFERROR(__xludf.DUMMYFUNCTION("""COMPUTED_VALUE"""),"50010107")</f>
        <v>50010107</v>
      </c>
      <c r="M380" s="133"/>
      <c r="N380" s="133"/>
      <c r="O380" s="133"/>
      <c r="P380" s="133"/>
      <c r="Q380" s="133"/>
      <c r="R380" s="133"/>
      <c r="S380" s="133"/>
      <c r="T380" s="133"/>
      <c r="U380" s="133"/>
      <c r="V380" s="133"/>
      <c r="W380" s="133"/>
      <c r="X380" s="133"/>
      <c r="Y380" s="133"/>
      <c r="Z380" s="133"/>
    </row>
    <row r="381">
      <c r="A381" s="133">
        <f>IFERROR(__xludf.DUMMYFUNCTION("""COMPUTED_VALUE"""),380.0)</f>
        <v>380</v>
      </c>
      <c r="B381" s="133" t="str">
        <f>IFERROR(__xludf.DUMMYFUNCTION("""COMPUTED_VALUE"""),"J50007775")</f>
        <v>J50007775</v>
      </c>
      <c r="C381" s="133" t="str">
        <f>IFERROR(__xludf.DUMMYFUNCTION("""COMPUTED_VALUE"""),"P-1-N-231120-4348")</f>
        <v>P-1-N-231120-4348</v>
      </c>
      <c r="D381" s="133"/>
      <c r="E381" s="133" t="str">
        <f>IFERROR(__xludf.DUMMYFUNCTION("""COMPUTED_VALUE"""),"تمت طباعة الشهادة")</f>
        <v>تمت طباعة الشهادة</v>
      </c>
      <c r="F381" s="133" t="str">
        <f>IFERROR(__xludf.DUMMYFUNCTION("""COMPUTED_VALUE"""),"Naturecat 60g")</f>
        <v>Naturecat 60g</v>
      </c>
      <c r="G381" s="133" t="str">
        <f>IFERROR(__xludf.DUMMYFUNCTION("""COMPUTED_VALUE"""),"ناتشوركات 60 جم")</f>
        <v>ناتشوركات 60 جم</v>
      </c>
      <c r="H381" s="133" t="str">
        <f>IFERROR(__xludf.DUMMYFUNCTION("""COMPUTED_VALUE"""),"MAFE20202116")</f>
        <v>MAFE20202116</v>
      </c>
      <c r="I381" s="133"/>
      <c r="J381" s="133"/>
      <c r="K381" s="133" t="str">
        <f>IFERROR(__xludf.DUMMYFUNCTION("""COMPUTED_VALUE"""),"شركة جوسيرا بت فود جي ام بي اتش كاي جي")</f>
        <v>شركة جوسيرا بت فود جي ام بي اتش كاي جي</v>
      </c>
      <c r="L381" s="142" t="str">
        <f>IFERROR(__xludf.DUMMYFUNCTION("""COMPUTED_VALUE"""),"J50007775")</f>
        <v>J50007775</v>
      </c>
      <c r="M381" s="133"/>
      <c r="N381" s="133"/>
      <c r="O381" s="133"/>
      <c r="P381" s="133"/>
      <c r="Q381" s="133"/>
      <c r="R381" s="133"/>
      <c r="S381" s="133"/>
      <c r="T381" s="133"/>
      <c r="U381" s="133"/>
      <c r="V381" s="133"/>
      <c r="W381" s="133"/>
      <c r="X381" s="133"/>
      <c r="Y381" s="133"/>
      <c r="Z381" s="133"/>
    </row>
    <row r="382">
      <c r="A382" s="133">
        <f>IFERROR(__xludf.DUMMYFUNCTION("""COMPUTED_VALUE"""),381.0)</f>
        <v>381</v>
      </c>
      <c r="B382" s="133" t="str">
        <f>IFERROR(__xludf.DUMMYFUNCTION("""COMPUTED_VALUE"""),"50010115")</f>
        <v>50010115</v>
      </c>
      <c r="C382" s="133" t="str">
        <f>IFERROR(__xludf.DUMMYFUNCTION("""COMPUTED_VALUE"""),"P-1-N-231120-4349")</f>
        <v>P-1-N-231120-4349</v>
      </c>
      <c r="D382" s="133"/>
      <c r="E382" s="133" t="str">
        <f>IFERROR(__xludf.DUMMYFUNCTION("""COMPUTED_VALUE"""),"تمت طباعة الشهادة")</f>
        <v>تمت طباعة الشهادة</v>
      </c>
      <c r="F382" s="133" t="str">
        <f>IFERROR(__xludf.DUMMYFUNCTION("""COMPUTED_VALUE"""),"Naturecat ")</f>
        <v>Naturecat </v>
      </c>
      <c r="G382" s="133" t="str">
        <f>IFERROR(__xludf.DUMMYFUNCTION("""COMPUTED_VALUE"""),"ناتشوركات 400 جم")</f>
        <v>ناتشوركات 400 جم</v>
      </c>
      <c r="H382" s="133" t="str">
        <f>IFERROR(__xludf.DUMMYFUNCTION("""COMPUTED_VALUE"""),"MAFE20202115")</f>
        <v>MAFE20202115</v>
      </c>
      <c r="I382" s="133"/>
      <c r="J382" s="133"/>
      <c r="K382" s="133" t="str">
        <f>IFERROR(__xludf.DUMMYFUNCTION("""COMPUTED_VALUE"""),"شركة جوسيرا بت فود جي ام بي اتش كاي جي")</f>
        <v>شركة جوسيرا بت فود جي ام بي اتش كاي جي</v>
      </c>
      <c r="L382" s="142" t="str">
        <f>IFERROR(__xludf.DUMMYFUNCTION("""COMPUTED_VALUE"""),"50010115")</f>
        <v>50010115</v>
      </c>
      <c r="M382" s="133"/>
      <c r="N382" s="133"/>
      <c r="O382" s="133"/>
      <c r="P382" s="133"/>
      <c r="Q382" s="133"/>
      <c r="R382" s="133"/>
      <c r="S382" s="133"/>
      <c r="T382" s="133"/>
      <c r="U382" s="133"/>
      <c r="V382" s="133"/>
      <c r="W382" s="133"/>
      <c r="X382" s="133"/>
      <c r="Y382" s="133"/>
      <c r="Z382" s="133"/>
    </row>
    <row r="383">
      <c r="A383" s="133">
        <f>IFERROR(__xludf.DUMMYFUNCTION("""COMPUTED_VALUE"""),382.0)</f>
        <v>382</v>
      </c>
      <c r="B383" s="133" t="str">
        <f>IFERROR(__xludf.DUMMYFUNCTION("""COMPUTED_VALUE"""),"50010114")</f>
        <v>50010114</v>
      </c>
      <c r="C383" s="133" t="str">
        <f>IFERROR(__xludf.DUMMYFUNCTION("""COMPUTED_VALUE"""),"P-1-N-231120-4350")</f>
        <v>P-1-N-231120-4350</v>
      </c>
      <c r="D383" s="133"/>
      <c r="E383" s="133" t="str">
        <f>IFERROR(__xludf.DUMMYFUNCTION("""COMPUTED_VALUE"""),"تمت طباعة الشهادة")</f>
        <v>تمت طباعة الشهادة</v>
      </c>
      <c r="F383" s="133" t="str">
        <f>IFERROR(__xludf.DUMMYFUNCTION("""COMPUTED_VALUE"""),"Naturecat 2kg")</f>
        <v>Naturecat 2kg</v>
      </c>
      <c r="G383" s="133" t="str">
        <f>IFERROR(__xludf.DUMMYFUNCTION("""COMPUTED_VALUE"""),"ناتشوركات 2 كجم")</f>
        <v>ناتشوركات 2 كجم</v>
      </c>
      <c r="H383" s="133" t="str">
        <f>IFERROR(__xludf.DUMMYFUNCTION("""COMPUTED_VALUE"""),"MAFE20202114")</f>
        <v>MAFE20202114</v>
      </c>
      <c r="I383" s="133"/>
      <c r="J383" s="133"/>
      <c r="K383" s="133" t="str">
        <f>IFERROR(__xludf.DUMMYFUNCTION("""COMPUTED_VALUE"""),"شركة جوسيرا بت فود جي ام بي اتش كاي جي")</f>
        <v>شركة جوسيرا بت فود جي ام بي اتش كاي جي</v>
      </c>
      <c r="L383" s="142" t="str">
        <f>IFERROR(__xludf.DUMMYFUNCTION("""COMPUTED_VALUE"""),"50010114")</f>
        <v>50010114</v>
      </c>
      <c r="M383" s="133"/>
      <c r="N383" s="133"/>
      <c r="O383" s="133"/>
      <c r="P383" s="133"/>
      <c r="Q383" s="133"/>
      <c r="R383" s="133"/>
      <c r="S383" s="133"/>
      <c r="T383" s="133"/>
      <c r="U383" s="133"/>
      <c r="V383" s="133"/>
      <c r="W383" s="133"/>
      <c r="X383" s="133"/>
      <c r="Y383" s="133"/>
      <c r="Z383" s="133"/>
    </row>
    <row r="384">
      <c r="A384" s="133">
        <f>IFERROR(__xludf.DUMMYFUNCTION("""COMPUTED_VALUE"""),383.0)</f>
        <v>383</v>
      </c>
      <c r="B384" s="133" t="str">
        <f>IFERROR(__xludf.DUMMYFUNCTION("""COMPUTED_VALUE"""),"50010113")</f>
        <v>50010113</v>
      </c>
      <c r="C384" s="133" t="str">
        <f>IFERROR(__xludf.DUMMYFUNCTION("""COMPUTED_VALUE"""),"P-1-N-231120-4351")</f>
        <v>P-1-N-231120-4351</v>
      </c>
      <c r="D384" s="133"/>
      <c r="E384" s="133" t="str">
        <f>IFERROR(__xludf.DUMMYFUNCTION("""COMPUTED_VALUE"""),"تمت طباعة الشهادة")</f>
        <v>تمت طباعة الشهادة</v>
      </c>
      <c r="F384" s="133" t="str">
        <f>IFERROR(__xludf.DUMMYFUNCTION("""COMPUTED_VALUE"""),"Naturecat 4.25kg")</f>
        <v>Naturecat 4.25kg</v>
      </c>
      <c r="G384" s="133" t="str">
        <f>IFERROR(__xludf.DUMMYFUNCTION("""COMPUTED_VALUE"""),"ناتشوركات 4.25 كجم")</f>
        <v>ناتشوركات 4.25 كجم</v>
      </c>
      <c r="H384" s="133" t="str">
        <f>IFERROR(__xludf.DUMMYFUNCTION("""COMPUTED_VALUE"""),"MAFE20202113")</f>
        <v>MAFE20202113</v>
      </c>
      <c r="I384" s="133"/>
      <c r="J384" s="133"/>
      <c r="K384" s="133" t="str">
        <f>IFERROR(__xludf.DUMMYFUNCTION("""COMPUTED_VALUE"""),"شركة جوسيرا بت فود جي ام بي اتش كاي جي")</f>
        <v>شركة جوسيرا بت فود جي ام بي اتش كاي جي</v>
      </c>
      <c r="L384" s="142" t="str">
        <f>IFERROR(__xludf.DUMMYFUNCTION("""COMPUTED_VALUE"""),"50010113")</f>
        <v>50010113</v>
      </c>
      <c r="M384" s="133"/>
      <c r="N384" s="133"/>
      <c r="O384" s="133"/>
      <c r="P384" s="133"/>
      <c r="Q384" s="133"/>
      <c r="R384" s="133"/>
      <c r="S384" s="133"/>
      <c r="T384" s="133"/>
      <c r="U384" s="133"/>
      <c r="V384" s="133"/>
      <c r="W384" s="133"/>
      <c r="X384" s="133"/>
      <c r="Y384" s="133"/>
      <c r="Z384" s="133"/>
    </row>
    <row r="385">
      <c r="A385" s="133">
        <f>IFERROR(__xludf.DUMMYFUNCTION("""COMPUTED_VALUE"""),384.0)</f>
        <v>384</v>
      </c>
      <c r="B385" s="133" t="str">
        <f>IFERROR(__xludf.DUMMYFUNCTION("""COMPUTED_VALUE"""),"50010112")</f>
        <v>50010112</v>
      </c>
      <c r="C385" s="133" t="str">
        <f>IFERROR(__xludf.DUMMYFUNCTION("""COMPUTED_VALUE"""),"P-1-N-231120-4352")</f>
        <v>P-1-N-231120-4352</v>
      </c>
      <c r="D385" s="133"/>
      <c r="E385" s="133" t="str">
        <f>IFERROR(__xludf.DUMMYFUNCTION("""COMPUTED_VALUE"""),"تمت طباعة الشهادة")</f>
        <v>تمت طباعة الشهادة</v>
      </c>
      <c r="F385" s="133" t="str">
        <f>IFERROR(__xludf.DUMMYFUNCTION("""COMPUTED_VALUE"""),"Naturecat 10kg")</f>
        <v>Naturecat 10kg</v>
      </c>
      <c r="G385" s="133" t="str">
        <f>IFERROR(__xludf.DUMMYFUNCTION("""COMPUTED_VALUE"""),"ناتشوركات 10 كجم")</f>
        <v>ناتشوركات 10 كجم</v>
      </c>
      <c r="H385" s="133" t="str">
        <f>IFERROR(__xludf.DUMMYFUNCTION("""COMPUTED_VALUE"""),"MAFE20202112")</f>
        <v>MAFE20202112</v>
      </c>
      <c r="I385" s="133"/>
      <c r="J385" s="133"/>
      <c r="K385" s="133" t="str">
        <f>IFERROR(__xludf.DUMMYFUNCTION("""COMPUTED_VALUE"""),"شركة جوسيرا بت فود جي ام بي اتش كاي جي")</f>
        <v>شركة جوسيرا بت فود جي ام بي اتش كاي جي</v>
      </c>
      <c r="L385" s="142" t="str">
        <f>IFERROR(__xludf.DUMMYFUNCTION("""COMPUTED_VALUE"""),"50010112")</f>
        <v>50010112</v>
      </c>
      <c r="M385" s="133"/>
      <c r="N385" s="133"/>
      <c r="O385" s="133"/>
      <c r="P385" s="133"/>
      <c r="Q385" s="133"/>
      <c r="R385" s="133"/>
      <c r="S385" s="133"/>
      <c r="T385" s="133"/>
      <c r="U385" s="133"/>
      <c r="V385" s="133"/>
      <c r="W385" s="133"/>
      <c r="X385" s="133"/>
      <c r="Y385" s="133"/>
      <c r="Z385" s="133"/>
    </row>
    <row r="386">
      <c r="A386" s="133">
        <f>IFERROR(__xludf.DUMMYFUNCTION("""COMPUTED_VALUE"""),385.0)</f>
        <v>385</v>
      </c>
      <c r="B386" s="133"/>
      <c r="C386" s="133" t="str">
        <f>IFERROR(__xludf.DUMMYFUNCTION("""COMPUTED_VALUE"""),"P-1-N-231120-4353")</f>
        <v>P-1-N-231120-4353</v>
      </c>
      <c r="D386" s="133"/>
      <c r="E386" s="133" t="str">
        <f>IFERROR(__xludf.DUMMYFUNCTION("""COMPUTED_VALUE"""),"تمت طباعة الشهادة")</f>
        <v>تمت طباعة الشهادة</v>
      </c>
      <c r="F386" s="133" t="str">
        <f>IFERROR(__xludf.DUMMYFUNCTION("""COMPUTED_VALUE"""),"شركة جوسيرا بت فود جي ام بي اتش كاي جي")</f>
        <v>شركة جوسيرا بت فود جي ام بي اتش كاي جي</v>
      </c>
      <c r="G386" s="133" t="str">
        <f>IFERROR(__xludf.DUMMYFUNCTION("""COMPUTED_VALUE"""),"ناتشوريل 60 جم")</f>
        <v>ناتشوريل 60 جم</v>
      </c>
      <c r="H386" s="133" t="str">
        <f>IFERROR(__xludf.DUMMYFUNCTION("""COMPUTED_VALUE"""),"MAFE20202111")</f>
        <v>MAFE20202111</v>
      </c>
      <c r="I386" s="133"/>
      <c r="J386" s="133"/>
      <c r="K386" s="133" t="str">
        <f>IFERROR(__xludf.DUMMYFUNCTION("""COMPUTED_VALUE"""),"شركة جوسيرا بت فود جي ام بي اتش كاي جي")</f>
        <v>شركة جوسيرا بت فود جي ام بي اتش كاي جي</v>
      </c>
      <c r="L386" s="133"/>
      <c r="M386" s="133"/>
      <c r="N386" s="133"/>
      <c r="O386" s="133"/>
      <c r="P386" s="133"/>
      <c r="Q386" s="133"/>
      <c r="R386" s="133"/>
      <c r="S386" s="133"/>
      <c r="T386" s="133"/>
      <c r="U386" s="133"/>
      <c r="V386" s="133"/>
      <c r="W386" s="133"/>
      <c r="X386" s="133"/>
      <c r="Y386" s="133"/>
      <c r="Z386" s="133"/>
    </row>
    <row r="387">
      <c r="A387" s="133">
        <f>IFERROR(__xludf.DUMMYFUNCTION("""COMPUTED_VALUE"""),386.0)</f>
        <v>386</v>
      </c>
      <c r="B387" s="133" t="str">
        <f>IFERROR(__xludf.DUMMYFUNCTION("""COMPUTED_VALUE"""),"50010120")</f>
        <v>50010120</v>
      </c>
      <c r="C387" s="133" t="str">
        <f>IFERROR(__xludf.DUMMYFUNCTION("""COMPUTED_VALUE"""),"P-1-N-231120-4354")</f>
        <v>P-1-N-231120-4354</v>
      </c>
      <c r="D387" s="133"/>
      <c r="E387" s="133" t="str">
        <f>IFERROR(__xludf.DUMMYFUNCTION("""COMPUTED_VALUE"""),"تمت طباعة الشهادة")</f>
        <v>تمت طباعة الشهادة</v>
      </c>
      <c r="F387" s="133" t="str">
        <f>IFERROR(__xludf.DUMMYFUNCTION("""COMPUTED_VALUE"""),"Naturelle ")</f>
        <v>Naturelle </v>
      </c>
      <c r="G387" s="133" t="str">
        <f>IFERROR(__xludf.DUMMYFUNCTION("""COMPUTED_VALUE"""),"ناتشوريل 400 جم")</f>
        <v>ناتشوريل 400 جم</v>
      </c>
      <c r="H387" s="133" t="str">
        <f>IFERROR(__xludf.DUMMYFUNCTION("""COMPUTED_VALUE"""),"MAFE20202110")</f>
        <v>MAFE20202110</v>
      </c>
      <c r="I387" s="133"/>
      <c r="J387" s="133"/>
      <c r="K387" s="133" t="str">
        <f>IFERROR(__xludf.DUMMYFUNCTION("""COMPUTED_VALUE"""),"شركة")</f>
        <v>شركة</v>
      </c>
      <c r="L387" s="142" t="str">
        <f>IFERROR(__xludf.DUMMYFUNCTION("""COMPUTED_VALUE"""),"50010120")</f>
        <v>50010120</v>
      </c>
      <c r="M387" s="133"/>
      <c r="N387" s="133"/>
      <c r="O387" s="133"/>
      <c r="P387" s="133"/>
      <c r="Q387" s="133"/>
      <c r="R387" s="133"/>
      <c r="S387" s="133"/>
      <c r="T387" s="133"/>
      <c r="U387" s="133"/>
      <c r="V387" s="133"/>
      <c r="W387" s="133"/>
      <c r="X387" s="133"/>
      <c r="Y387" s="133"/>
      <c r="Z387" s="133"/>
    </row>
    <row r="388">
      <c r="A388" s="133">
        <f>IFERROR(__xludf.DUMMYFUNCTION("""COMPUTED_VALUE"""),387.0)</f>
        <v>387</v>
      </c>
      <c r="B388" s="133" t="str">
        <f>IFERROR(__xludf.DUMMYFUNCTION("""COMPUTED_VALUE"""),"50010119")</f>
        <v>50010119</v>
      </c>
      <c r="C388" s="133" t="str">
        <f>IFERROR(__xludf.DUMMYFUNCTION("""COMPUTED_VALUE"""),"P-1-N-231120-4355")</f>
        <v>P-1-N-231120-4355</v>
      </c>
      <c r="D388" s="133"/>
      <c r="E388" s="133" t="str">
        <f>IFERROR(__xludf.DUMMYFUNCTION("""COMPUTED_VALUE"""),"تمت طباعة الشهادة")</f>
        <v>تمت طباعة الشهادة</v>
      </c>
      <c r="F388" s="133" t="str">
        <f>IFERROR(__xludf.DUMMYFUNCTION("""COMPUTED_VALUE"""),"Naturelle 2kg")</f>
        <v>Naturelle 2kg</v>
      </c>
      <c r="G388" s="133" t="str">
        <f>IFERROR(__xludf.DUMMYFUNCTION("""COMPUTED_VALUE"""),"ناتشوريل 2 كجم")</f>
        <v>ناتشوريل 2 كجم</v>
      </c>
      <c r="H388" s="133" t="str">
        <f>IFERROR(__xludf.DUMMYFUNCTION("""COMPUTED_VALUE"""),"MAFE20202109")</f>
        <v>MAFE20202109</v>
      </c>
      <c r="I388" s="133"/>
      <c r="J388" s="133"/>
      <c r="K388" s="133" t="str">
        <f>IFERROR(__xludf.DUMMYFUNCTION("""COMPUTED_VALUE"""),"شركة جوسيرا بت فود جي ام بي اتش كاي جي")</f>
        <v>شركة جوسيرا بت فود جي ام بي اتش كاي جي</v>
      </c>
      <c r="L388" s="142" t="str">
        <f>IFERROR(__xludf.DUMMYFUNCTION("""COMPUTED_VALUE"""),"50010119")</f>
        <v>50010119</v>
      </c>
      <c r="M388" s="133"/>
      <c r="N388" s="133"/>
      <c r="O388" s="133"/>
      <c r="P388" s="133"/>
      <c r="Q388" s="133"/>
      <c r="R388" s="133"/>
      <c r="S388" s="133"/>
      <c r="T388" s="133"/>
      <c r="U388" s="133"/>
      <c r="V388" s="133"/>
      <c r="W388" s="133"/>
      <c r="X388" s="133"/>
      <c r="Y388" s="133"/>
      <c r="Z388" s="133"/>
    </row>
    <row r="389">
      <c r="A389" s="133">
        <f>IFERROR(__xludf.DUMMYFUNCTION("""COMPUTED_VALUE"""),388.0)</f>
        <v>388</v>
      </c>
      <c r="B389" s="133" t="str">
        <f>IFERROR(__xludf.DUMMYFUNCTION("""COMPUTED_VALUE"""),"50010118")</f>
        <v>50010118</v>
      </c>
      <c r="C389" s="133" t="str">
        <f>IFERROR(__xludf.DUMMYFUNCTION("""COMPUTED_VALUE"""),"P-1-N-231120-4356")</f>
        <v>P-1-N-231120-4356</v>
      </c>
      <c r="D389" s="133"/>
      <c r="E389" s="133" t="str">
        <f>IFERROR(__xludf.DUMMYFUNCTION("""COMPUTED_VALUE"""),"تمت طباعة الشهادة")</f>
        <v>تمت طباعة الشهادة</v>
      </c>
      <c r="F389" s="133" t="str">
        <f>IFERROR(__xludf.DUMMYFUNCTION("""COMPUTED_VALUE"""),"Naturelle 4.25kg")</f>
        <v>Naturelle 4.25kg</v>
      </c>
      <c r="G389" s="133" t="str">
        <f>IFERROR(__xludf.DUMMYFUNCTION("""COMPUTED_VALUE"""),"ناتشوريل")</f>
        <v>ناتشوريل</v>
      </c>
      <c r="H389" s="133" t="str">
        <f>IFERROR(__xludf.DUMMYFUNCTION("""COMPUTED_VALUE"""),"MAFE20202144")</f>
        <v>MAFE20202144</v>
      </c>
      <c r="I389" s="133"/>
      <c r="J389" s="133"/>
      <c r="K389" s="133" t="str">
        <f>IFERROR(__xludf.DUMMYFUNCTION("""COMPUTED_VALUE"""),"شركة جوسيرا بت فود جي ام بي اتش كاي جي")</f>
        <v>شركة جوسيرا بت فود جي ام بي اتش كاي جي</v>
      </c>
      <c r="L389" s="142" t="str">
        <f>IFERROR(__xludf.DUMMYFUNCTION("""COMPUTED_VALUE"""),"50010118")</f>
        <v>50010118</v>
      </c>
      <c r="M389" s="133"/>
      <c r="N389" s="133"/>
      <c r="O389" s="133"/>
      <c r="P389" s="133"/>
      <c r="Q389" s="133"/>
      <c r="R389" s="133"/>
      <c r="S389" s="133"/>
      <c r="T389" s="133"/>
      <c r="U389" s="133"/>
      <c r="V389" s="133"/>
      <c r="W389" s="133"/>
      <c r="X389" s="133"/>
      <c r="Y389" s="133"/>
      <c r="Z389" s="133"/>
    </row>
    <row r="390">
      <c r="A390" s="133">
        <f>IFERROR(__xludf.DUMMYFUNCTION("""COMPUTED_VALUE"""),389.0)</f>
        <v>389</v>
      </c>
      <c r="B390" s="133" t="str">
        <f>IFERROR(__xludf.DUMMYFUNCTION("""COMPUTED_VALUE"""),"50010117")</f>
        <v>50010117</v>
      </c>
      <c r="C390" s="133" t="str">
        <f>IFERROR(__xludf.DUMMYFUNCTION("""COMPUTED_VALUE"""),"P-1-N-231120-4357")</f>
        <v>P-1-N-231120-4357</v>
      </c>
      <c r="D390" s="133"/>
      <c r="E390" s="133" t="str">
        <f>IFERROR(__xludf.DUMMYFUNCTION("""COMPUTED_VALUE"""),"تمت طباعة الشهادة")</f>
        <v>تمت طباعة الشهادة</v>
      </c>
      <c r="F390" s="133" t="str">
        <f>IFERROR(__xludf.DUMMYFUNCTION("""COMPUTED_VALUE"""),"Naturelle 10kg")</f>
        <v>Naturelle 10kg</v>
      </c>
      <c r="G390" s="133" t="str">
        <f>IFERROR(__xludf.DUMMYFUNCTION("""COMPUTED_VALUE"""),"ناتشوريل 10 كجم")</f>
        <v>ناتشوريل 10 كجم</v>
      </c>
      <c r="H390" s="133" t="str">
        <f>IFERROR(__xludf.DUMMYFUNCTION("""COMPUTED_VALUE"""),"MAFE20202130")</f>
        <v>MAFE20202130</v>
      </c>
      <c r="I390" s="133"/>
      <c r="J390" s="133"/>
      <c r="K390" s="133" t="str">
        <f>IFERROR(__xludf.DUMMYFUNCTION("""COMPUTED_VALUE"""),"شركة جوسيرا بت فود جي ام بي اتش كاي جي")</f>
        <v>شركة جوسيرا بت فود جي ام بي اتش كاي جي</v>
      </c>
      <c r="L390" s="142" t="str">
        <f>IFERROR(__xludf.DUMMYFUNCTION("""COMPUTED_VALUE"""),"50010117")</f>
        <v>50010117</v>
      </c>
      <c r="M390" s="133"/>
      <c r="N390" s="133"/>
      <c r="O390" s="133"/>
      <c r="P390" s="133"/>
      <c r="Q390" s="133"/>
      <c r="R390" s="133"/>
      <c r="S390" s="133"/>
      <c r="T390" s="133"/>
      <c r="U390" s="133"/>
      <c r="V390" s="133"/>
      <c r="W390" s="133"/>
      <c r="X390" s="133"/>
      <c r="Y390" s="133"/>
      <c r="Z390" s="133"/>
    </row>
    <row r="391">
      <c r="A391" s="133">
        <f>IFERROR(__xludf.DUMMYFUNCTION("""COMPUTED_VALUE"""),390.0)</f>
        <v>390</v>
      </c>
      <c r="B391" s="133" t="str">
        <f>IFERROR(__xludf.DUMMYFUNCTION("""COMPUTED_VALUE"""),"50010050")</f>
        <v>50010050</v>
      </c>
      <c r="C391" s="133" t="str">
        <f>IFERROR(__xludf.DUMMYFUNCTION("""COMPUTED_VALUE"""),"P-1-N-231120-4359")</f>
        <v>P-1-N-231120-4359</v>
      </c>
      <c r="D391" s="133"/>
      <c r="E391" s="133" t="str">
        <f>IFERROR(__xludf.DUMMYFUNCTION("""COMPUTED_VALUE"""),"REJECTED")</f>
        <v>REJECTED</v>
      </c>
      <c r="F391" s="133" t="str">
        <f>IFERROR(__xludf.DUMMYFUNCTION("""COMPUTED_VALUE"""),"JosiDog Agilo Sport 18kg")</f>
        <v>JosiDog Agilo Sport 18kg</v>
      </c>
      <c r="G391" s="133" t="str">
        <f>IFERROR(__xludf.DUMMYFUNCTION("""COMPUTED_VALUE"""),"جوسي دوج اجيلو سبورت 18 كجم")</f>
        <v>جوسي دوج اجيلو سبورت 18 كجم</v>
      </c>
      <c r="H391" s="133"/>
      <c r="I391" s="133"/>
      <c r="J391" s="133"/>
      <c r="K391" s="133" t="str">
        <f>IFERROR(__xludf.DUMMYFUNCTION("""COMPUTED_VALUE"""),"شركة جوسيرا بت فود جي ام بي اتش كاي جي")</f>
        <v>شركة جوسيرا بت فود جي ام بي اتش كاي جي</v>
      </c>
      <c r="L391" s="142" t="str">
        <f>IFERROR(__xludf.DUMMYFUNCTION("""COMPUTED_VALUE"""),"50010050")</f>
        <v>50010050</v>
      </c>
      <c r="M391" s="133"/>
      <c r="N391" s="133"/>
      <c r="O391" s="133"/>
      <c r="P391" s="133"/>
      <c r="Q391" s="133"/>
      <c r="R391" s="133"/>
      <c r="S391" s="133"/>
      <c r="T391" s="133"/>
      <c r="U391" s="133"/>
      <c r="V391" s="133"/>
      <c r="W391" s="133"/>
      <c r="X391" s="133"/>
      <c r="Y391" s="133"/>
      <c r="Z391" s="133"/>
    </row>
    <row r="392">
      <c r="A392" s="133">
        <f>IFERROR(__xludf.DUMMYFUNCTION("""COMPUTED_VALUE"""),391.0)</f>
        <v>391</v>
      </c>
      <c r="B392" s="133" t="str">
        <f>IFERROR(__xludf.DUMMYFUNCTION("""COMPUTED_VALUE"""),"50010053")</f>
        <v>50010053</v>
      </c>
      <c r="C392" s="133" t="str">
        <f>IFERROR(__xludf.DUMMYFUNCTION("""COMPUTED_VALUE"""),"P-1-N-231120-4360")</f>
        <v>P-1-N-231120-4360</v>
      </c>
      <c r="D392" s="133"/>
      <c r="E392" s="133" t="str">
        <f>IFERROR(__xludf.DUMMYFUNCTION("""COMPUTED_VALUE"""),"تمت طباعة الشهادة")</f>
        <v>تمت طباعة الشهادة</v>
      </c>
      <c r="F392" s="133" t="str">
        <f>IFERROR(__xludf.DUMMYFUNCTION("""COMPUTED_VALUE"""),"JosiDog Master Mix 18kg - 15 KG")</f>
        <v>JosiDog Master Mix 18kg - 15 KG</v>
      </c>
      <c r="G392" s="133" t="str">
        <f>IFERROR(__xludf.DUMMYFUNCTION("""COMPUTED_VALUE"""),"جوسي دوج ماستر مكس 18 كجم -15 كجم")</f>
        <v>جوسي دوج ماستر مكس 18 كجم -15 كجم</v>
      </c>
      <c r="H392" s="133" t="str">
        <f>IFERROR(__xludf.DUMMYFUNCTION("""COMPUTED_VALUE"""),"MAFE20202091")</f>
        <v>MAFE20202091</v>
      </c>
      <c r="I392" s="133"/>
      <c r="J392" s="143">
        <f>IFERROR(__xludf.DUMMYFUNCTION("""COMPUTED_VALUE"""),45987.0)</f>
        <v>45987</v>
      </c>
      <c r="K392" s="133" t="str">
        <f>IFERROR(__xludf.DUMMYFUNCTION("""COMPUTED_VALUE"""),"شركة جوسيرا بت فود جي ام بي اتش كاي جي")</f>
        <v>شركة جوسيرا بت فود جي ام بي اتش كاي جي</v>
      </c>
      <c r="L392" s="142" t="str">
        <f>IFERROR(__xludf.DUMMYFUNCTION("""COMPUTED_VALUE"""),"50010053")</f>
        <v>50010053</v>
      </c>
      <c r="M392" s="133"/>
      <c r="N392" s="133"/>
      <c r="O392" s="133"/>
      <c r="P392" s="133"/>
      <c r="Q392" s="133"/>
      <c r="R392" s="133"/>
      <c r="S392" s="133"/>
      <c r="T392" s="133"/>
      <c r="U392" s="133"/>
      <c r="V392" s="133"/>
      <c r="W392" s="133"/>
      <c r="X392" s="133"/>
      <c r="Y392" s="133"/>
      <c r="Z392" s="133"/>
    </row>
    <row r="393">
      <c r="A393" s="133">
        <f>IFERROR(__xludf.DUMMYFUNCTION("""COMPUTED_VALUE"""),392.0)</f>
        <v>392</v>
      </c>
      <c r="B393" s="133" t="str">
        <f>IFERROR(__xludf.DUMMYFUNCTION("""COMPUTED_VALUE"""),"50010054")</f>
        <v>50010054</v>
      </c>
      <c r="C393" s="133" t="str">
        <f>IFERROR(__xludf.DUMMYFUNCTION("""COMPUTED_VALUE"""),"P-1-N-231120-4361")</f>
        <v>P-1-N-231120-4361</v>
      </c>
      <c r="D393" s="133"/>
      <c r="E393" s="133" t="str">
        <f>IFERROR(__xludf.DUMMYFUNCTION("""COMPUTED_VALUE"""),"تمت طباعة الشهادة")</f>
        <v>تمت طباعة الشهادة</v>
      </c>
      <c r="F393" s="133" t="str">
        <f>IFERROR(__xludf.DUMMYFUNCTION("""COMPUTED_VALUE"""),"JosiDog Mini 18kg - 10KG")</f>
        <v>JosiDog Mini 18kg - 10KG</v>
      </c>
      <c r="G393" s="133" t="str">
        <f>IFERROR(__xludf.DUMMYFUNCTION("""COMPUTED_VALUE"""),"جوسي دوج ميني 18 كجم , 10 كجم")</f>
        <v>جوسي دوج ميني 18 كجم , 10 كجم</v>
      </c>
      <c r="H393" s="133" t="str">
        <f>IFERROR(__xludf.DUMMYFUNCTION("""COMPUTED_VALUE"""),"FOM-2024-6397-FEB-2024-48903 -C-0041-69700")</f>
        <v>FOM-2024-6397-FEB-2024-48903 -C-0041-69700</v>
      </c>
      <c r="I393" s="133"/>
      <c r="J393" s="133"/>
      <c r="K393" s="133" t="str">
        <f>IFERROR(__xludf.DUMMYFUNCTION("""COMPUTED_VALUE"""),"شركة جوسيرا بت فود جي ام بي اتش كاي جي")</f>
        <v>شركة جوسيرا بت فود جي ام بي اتش كاي جي</v>
      </c>
      <c r="L393" s="142" t="str">
        <f>IFERROR(__xludf.DUMMYFUNCTION("""COMPUTED_VALUE"""),"50010054")</f>
        <v>50010054</v>
      </c>
      <c r="M393" s="133"/>
      <c r="N393" s="133"/>
      <c r="O393" s="133"/>
      <c r="P393" s="133"/>
      <c r="Q393" s="133"/>
      <c r="R393" s="133"/>
      <c r="S393" s="133"/>
      <c r="T393" s="133"/>
      <c r="U393" s="133"/>
      <c r="V393" s="133"/>
      <c r="W393" s="133"/>
      <c r="X393" s="133"/>
      <c r="Y393" s="133"/>
      <c r="Z393" s="133"/>
    </row>
    <row r="394">
      <c r="A394" s="133">
        <f>IFERROR(__xludf.DUMMYFUNCTION("""COMPUTED_VALUE"""),393.0)</f>
        <v>393</v>
      </c>
      <c r="B394" s="133" t="str">
        <f>IFERROR(__xludf.DUMMYFUNCTION("""COMPUTED_VALUE"""),"50010052")</f>
        <v>50010052</v>
      </c>
      <c r="C394" s="133" t="str">
        <f>IFERROR(__xludf.DUMMYFUNCTION("""COMPUTED_VALUE"""),"P-1-N-231120-4363")</f>
        <v>P-1-N-231120-4363</v>
      </c>
      <c r="D394" s="133"/>
      <c r="E394" s="133" t="str">
        <f>IFERROR(__xludf.DUMMYFUNCTION("""COMPUTED_VALUE"""),"تمت طباعة الشهادة")</f>
        <v>تمت طباعة الشهادة</v>
      </c>
      <c r="F394" s="133" t="str">
        <f>IFERROR(__xludf.DUMMYFUNCTION("""COMPUTED_VALUE"""),"JosiDog Junior 18kg")</f>
        <v>JosiDog Junior 18kg</v>
      </c>
      <c r="G394" s="133" t="str">
        <f>IFERROR(__xludf.DUMMYFUNCTION("""COMPUTED_VALUE"""),"جوسي دوج جونير 18 كجم")</f>
        <v>جوسي دوج جونير 18 كجم</v>
      </c>
      <c r="H394" s="133" t="str">
        <f>IFERROR(__xludf.DUMMYFUNCTION("""COMPUTED_VALUE"""),"MAFE20202088")</f>
        <v>MAFE20202088</v>
      </c>
      <c r="I394" s="133"/>
      <c r="J394" s="143">
        <f>IFERROR(__xludf.DUMMYFUNCTION("""COMPUTED_VALUE"""),45987.0)</f>
        <v>45987</v>
      </c>
      <c r="K394" s="133" t="str">
        <f>IFERROR(__xludf.DUMMYFUNCTION("""COMPUTED_VALUE"""),"شركة جوسيرا بت فود جي ام بي اتش كاي جي")</f>
        <v>شركة جوسيرا بت فود جي ام بي اتش كاي جي</v>
      </c>
      <c r="L394" s="142" t="str">
        <f>IFERROR(__xludf.DUMMYFUNCTION("""COMPUTED_VALUE"""),"50010052")</f>
        <v>50010052</v>
      </c>
      <c r="M394" s="133"/>
      <c r="N394" s="133"/>
      <c r="O394" s="133"/>
      <c r="P394" s="133"/>
      <c r="Q394" s="133"/>
      <c r="R394" s="133"/>
      <c r="S394" s="133"/>
      <c r="T394" s="133"/>
      <c r="U394" s="133"/>
      <c r="V394" s="133"/>
      <c r="W394" s="133"/>
      <c r="X394" s="133"/>
      <c r="Y394" s="133"/>
      <c r="Z394" s="133"/>
    </row>
    <row r="395">
      <c r="A395" s="133">
        <f>IFERROR(__xludf.DUMMYFUNCTION("""COMPUTED_VALUE"""),394.0)</f>
        <v>394</v>
      </c>
      <c r="B395" s="133" t="str">
        <f>IFERROR(__xludf.DUMMYFUNCTION("""COMPUTED_VALUE"""),"50010051")</f>
        <v>50010051</v>
      </c>
      <c r="C395" s="133" t="str">
        <f>IFERROR(__xludf.DUMMYFUNCTION("""COMPUTED_VALUE"""),"P-1-N-231120-4365")</f>
        <v>P-1-N-231120-4365</v>
      </c>
      <c r="D395" s="133"/>
      <c r="E395" s="133" t="str">
        <f>IFERROR(__xludf.DUMMYFUNCTION("""COMPUTED_VALUE"""),"تمت طباعة الشهادة")</f>
        <v>تمت طباعة الشهادة</v>
      </c>
      <c r="F395" s="133" t="str">
        <f>IFERROR(__xludf.DUMMYFUNCTION("""COMPUTED_VALUE"""),"JosiDog Family 18kg")</f>
        <v>JosiDog Family 18kg</v>
      </c>
      <c r="G395" s="133" t="str">
        <f>IFERROR(__xludf.DUMMYFUNCTION("""COMPUTED_VALUE"""),"جوسي دوج فاميلي 18 كجم")</f>
        <v>جوسي دوج فاميلي 18 كجم</v>
      </c>
      <c r="H395" s="133" t="str">
        <f>IFERROR(__xludf.DUMMYFUNCTION("""COMPUTED_VALUE"""),"MAFE20202087")</f>
        <v>MAFE20202087</v>
      </c>
      <c r="I395" s="133"/>
      <c r="J395" s="133"/>
      <c r="K395" s="133" t="str">
        <f>IFERROR(__xludf.DUMMYFUNCTION("""COMPUTED_VALUE"""),"شركة جوسيرا بت فود جي ام بي اتش كاي جي")</f>
        <v>شركة جوسيرا بت فود جي ام بي اتش كاي جي</v>
      </c>
      <c r="L395" s="142" t="str">
        <f>IFERROR(__xludf.DUMMYFUNCTION("""COMPUTED_VALUE"""),"50010051")</f>
        <v>50010051</v>
      </c>
      <c r="M395" s="133"/>
      <c r="N395" s="133"/>
      <c r="O395" s="133"/>
      <c r="P395" s="133"/>
      <c r="Q395" s="133"/>
      <c r="R395" s="133"/>
      <c r="S395" s="133"/>
      <c r="T395" s="133"/>
      <c r="U395" s="133"/>
      <c r="V395" s="133"/>
      <c r="W395" s="133"/>
      <c r="X395" s="133"/>
      <c r="Y395" s="133"/>
      <c r="Z395" s="133"/>
    </row>
    <row r="396">
      <c r="A396" s="133">
        <f>IFERROR(__xludf.DUMMYFUNCTION("""COMPUTED_VALUE"""),395.0)</f>
        <v>395</v>
      </c>
      <c r="B396" s="133"/>
      <c r="C396" s="133" t="str">
        <f>IFERROR(__xludf.DUMMYFUNCTION("""COMPUTED_VALUE"""),"P-1-N-261120-4407")</f>
        <v>P-1-N-261120-4407</v>
      </c>
      <c r="D396" s="133"/>
      <c r="E396" s="133" t="str">
        <f>IFERROR(__xludf.DUMMYFUNCTION("""COMPUTED_VALUE"""),"تمت طباعة الشهادة")</f>
        <v>تمت طباعة الشهادة</v>
      </c>
      <c r="F396" s="133" t="str">
        <f>IFERROR(__xludf.DUMMYFUNCTION("""COMPUTED_VALUE"""),"شركة جوسيرا بت فود جي ام بي اتش كاي جي")</f>
        <v>شركة جوسيرا بت فود جي ام بي اتش كاي جي</v>
      </c>
      <c r="G396" s="133" t="str">
        <f>IFERROR(__xludf.DUMMYFUNCTION("""COMPUTED_VALUE"""),"جوسي دوج اجيلو سبورت 18 كجم")</f>
        <v>جوسي دوج اجيلو سبورت 18 كجم</v>
      </c>
      <c r="H396" s="133" t="str">
        <f>IFERROR(__xludf.DUMMYFUNCTION("""COMPUTED_VALUE"""),"MAFE20202498")</f>
        <v>MAFE20202498</v>
      </c>
      <c r="I396" s="133"/>
      <c r="J396" s="143">
        <f>IFERROR(__xludf.DUMMYFUNCTION("""COMPUTED_VALUE"""),46018.0)</f>
        <v>46018</v>
      </c>
      <c r="K396" s="133" t="str">
        <f>IFERROR(__xludf.DUMMYFUNCTION("""COMPUTED_VALUE"""),"شركة جوسيرا بت فود جي ام بي اتش كاي جي")</f>
        <v>شركة جوسيرا بت فود جي ام بي اتش كاي جي</v>
      </c>
      <c r="L396" s="133"/>
      <c r="M396" s="133"/>
      <c r="N396" s="133"/>
      <c r="O396" s="133"/>
      <c r="P396" s="133"/>
      <c r="Q396" s="133"/>
      <c r="R396" s="133"/>
      <c r="S396" s="133"/>
      <c r="T396" s="133"/>
      <c r="U396" s="133"/>
      <c r="V396" s="133"/>
      <c r="W396" s="133"/>
      <c r="X396" s="133"/>
      <c r="Y396" s="133"/>
      <c r="Z396" s="133"/>
    </row>
    <row r="397">
      <c r="A397" s="133">
        <f>IFERROR(__xludf.DUMMYFUNCTION("""COMPUTED_VALUE"""),396.0)</f>
        <v>396</v>
      </c>
      <c r="B397" s="133"/>
      <c r="C397" s="133" t="str">
        <f>IFERROR(__xludf.DUMMYFUNCTION("""COMPUTED_VALUE"""),"P-1-N-291120-4425")</f>
        <v>P-1-N-291120-4425</v>
      </c>
      <c r="D397" s="133"/>
      <c r="E397" s="133" t="str">
        <f>IFERROR(__xludf.DUMMYFUNCTION("""COMPUTED_VALUE"""),"REJECTED")</f>
        <v>REJECTED</v>
      </c>
      <c r="F397" s="133" t="str">
        <f>IFERROR(__xludf.DUMMYFUNCTION("""COMPUTED_VALUE"""),"Tuna whole meat and rice with aloe in gel 140g")</f>
        <v>Tuna whole meat and rice with aloe in gel 140g</v>
      </c>
      <c r="G397" s="133" t="str">
        <f>IFERROR(__xludf.DUMMYFUNCTION("""COMPUTED_VALUE"""),"التونا و الارز مع الصبار بالجيلي 140 جرام")</f>
        <v>التونا و الارز مع الصبار بالجيلي 140 جرام</v>
      </c>
      <c r="H397" s="133"/>
      <c r="I397" s="133"/>
      <c r="J397" s="133"/>
      <c r="K397" s="133" t="str">
        <f>IFERROR(__xludf.DUMMYFUNCTION("""COMPUTED_VALUE"""),"ساوث")</f>
        <v>ساوث</v>
      </c>
      <c r="L397" s="133"/>
      <c r="M397" s="133"/>
      <c r="N397" s="133"/>
      <c r="O397" s="133"/>
      <c r="P397" s="133"/>
      <c r="Q397" s="133"/>
      <c r="R397" s="133"/>
      <c r="S397" s="133"/>
      <c r="T397" s="133"/>
      <c r="U397" s="133"/>
      <c r="V397" s="133"/>
      <c r="W397" s="133"/>
      <c r="X397" s="133"/>
      <c r="Y397" s="133"/>
      <c r="Z397" s="133"/>
    </row>
    <row r="398">
      <c r="A398" s="133">
        <f>IFERROR(__xludf.DUMMYFUNCTION("""COMPUTED_VALUE"""),397.0)</f>
        <v>397</v>
      </c>
      <c r="B398" s="133" t="str">
        <f>IFERROR(__xludf.DUMMYFUNCTION("""COMPUTED_VALUE"""),"C2731")</f>
        <v>C2731</v>
      </c>
      <c r="C398" s="133" t="str">
        <f>IFERROR(__xludf.DUMMYFUNCTION("""COMPUTED_VALUE"""),"P-1-N-021220-4478")</f>
        <v>P-1-N-021220-4478</v>
      </c>
      <c r="D398" s="133"/>
      <c r="E398" s="133" t="str">
        <f>IFERROR(__xludf.DUMMYFUNCTION("""COMPUTED_VALUE"""),"REJECTED")</f>
        <v>REJECTED</v>
      </c>
      <c r="F398" s="133" t="str">
        <f>IFERROR(__xludf.DUMMYFUNCTION("""COMPUTED_VALUE"""),"Chicken and rice with aloe in gel 140g")</f>
        <v>Chicken and rice with aloe in gel 140g</v>
      </c>
      <c r="G398" s="133" t="str">
        <f>IFERROR(__xludf.DUMMYFUNCTION("""COMPUTED_VALUE"""),"الدجاج و الارز مع الصبار بالجيلي 140 جرام")</f>
        <v>الدجاج و الارز مع الصبار بالجيلي 140 جرام</v>
      </c>
      <c r="H398" s="133"/>
      <c r="I398" s="133"/>
      <c r="J398" s="133"/>
      <c r="K398" s="133" t="str">
        <f>IFERROR(__xludf.DUMMYFUNCTION("""COMPUTED_VALUE"""),"ساوث ايست الاسيوية للتغليف والتعليب المحدودة")</f>
        <v>ساوث ايست الاسيوية للتغليف والتعليب المحدودة</v>
      </c>
      <c r="L398" s="142" t="str">
        <f>IFERROR(__xludf.DUMMYFUNCTION("""COMPUTED_VALUE"""),"C2731")</f>
        <v>C2731</v>
      </c>
      <c r="M398" s="133"/>
      <c r="N398" s="133"/>
      <c r="O398" s="133"/>
      <c r="P398" s="133"/>
      <c r="Q398" s="133"/>
      <c r="R398" s="133"/>
      <c r="S398" s="133"/>
      <c r="T398" s="133"/>
      <c r="U398" s="133"/>
      <c r="V398" s="133"/>
      <c r="W398" s="133"/>
      <c r="X398" s="133"/>
      <c r="Y398" s="133"/>
      <c r="Z398" s="133"/>
    </row>
    <row r="399">
      <c r="A399" s="133">
        <f>IFERROR(__xludf.DUMMYFUNCTION("""COMPUTED_VALUE"""),398.0)</f>
        <v>398</v>
      </c>
      <c r="B399" s="133" t="str">
        <f>IFERROR(__xludf.DUMMYFUNCTION("""COMPUTED_VALUE"""),"C02900201")</f>
        <v>C02900201</v>
      </c>
      <c r="C399" s="133" t="str">
        <f>IFERROR(__xludf.DUMMYFUNCTION("""COMPUTED_VALUE"""),"P-1-N-071220-4584")</f>
        <v>P-1-N-071220-4584</v>
      </c>
      <c r="D399" s="133"/>
      <c r="E399" s="133" t="str">
        <f>IFERROR(__xludf.DUMMYFUNCTION("""COMPUTED_VALUE"""),"تمت طباعة الشهادة")</f>
        <v>تمت طباعة الشهادة</v>
      </c>
      <c r="F399" s="133" t="str">
        <f>IFERROR(__xludf.DUMMYFUNCTION("""COMPUTED_VALUE"""),"Schesir NS DRY Duck 1.4 Kg")</f>
        <v>Schesir NS DRY Duck 1.4 Kg</v>
      </c>
      <c r="G399" s="133" t="str">
        <f>IFERROR(__xludf.DUMMYFUNCTION("""COMPUTED_VALUE"""),"شيزير")</f>
        <v>شيزير</v>
      </c>
      <c r="H399" s="133" t="str">
        <f>IFERROR(__xludf.DUMMYFUNCTION("""COMPUTED_VALUE"""),"MAFE20202217")</f>
        <v>MAFE20202217</v>
      </c>
      <c r="I399" s="133"/>
      <c r="J399" s="133"/>
      <c r="K399" s="133" t="str">
        <f>IFERROR(__xludf.DUMMYFUNCTION("""COMPUTED_VALUE"""),"أغراس ديليتش اس بي أي")</f>
        <v>أغراس ديليتش اس بي أي</v>
      </c>
      <c r="L399" s="142" t="str">
        <f>IFERROR(__xludf.DUMMYFUNCTION("""COMPUTED_VALUE"""),"C02900201")</f>
        <v>C02900201</v>
      </c>
      <c r="M399" s="133"/>
      <c r="N399" s="133"/>
      <c r="O399" s="133"/>
      <c r="P399" s="133"/>
      <c r="Q399" s="133"/>
      <c r="R399" s="133"/>
      <c r="S399" s="133"/>
      <c r="T399" s="133"/>
      <c r="U399" s="133"/>
      <c r="V399" s="133"/>
      <c r="W399" s="133"/>
      <c r="X399" s="133"/>
      <c r="Y399" s="133"/>
      <c r="Z399" s="133"/>
    </row>
    <row r="400">
      <c r="A400" s="133">
        <f>IFERROR(__xludf.DUMMYFUNCTION("""COMPUTED_VALUE"""),399.0)</f>
        <v>399</v>
      </c>
      <c r="B400" s="133" t="str">
        <f>IFERROR(__xludf.DUMMYFUNCTION("""COMPUTED_VALUE"""),"C02080200")</f>
        <v>C02080200</v>
      </c>
      <c r="C400" s="133" t="str">
        <f>IFERROR(__xludf.DUMMYFUNCTION("""COMPUTED_VALUE"""),"P-1-N-131220-4685")</f>
        <v>P-1-N-131220-4685</v>
      </c>
      <c r="D400" s="133"/>
      <c r="E400" s="133" t="str">
        <f>IFERROR(__xludf.DUMMYFUNCTION("""COMPUTED_VALUE"""),"تمت طباعة الشهادة")</f>
        <v>تمت طباعة الشهادة</v>
      </c>
      <c r="F400" s="133" t="str">
        <f>IFERROR(__xludf.DUMMYFUNCTION("""COMPUTED_VALUE"""),"Schesir NS Dry Turkey 2.24 kg")</f>
        <v>Schesir NS Dry Turkey 2.24 kg</v>
      </c>
      <c r="G400" s="133" t="str">
        <f>IFERROR(__xludf.DUMMYFUNCTION("""COMPUTED_VALUE"""),"شيزير أن أس طعام جاف بالديك رومي 2.24 كجم")</f>
        <v>شيزير أن أس طعام جاف بالديك رومي 2.24 كجم</v>
      </c>
      <c r="H400" s="133" t="str">
        <f>IFERROR(__xludf.DUMMYFUNCTION("""COMPUTED_VALUE"""),"MAFE20202468")</f>
        <v>MAFE20202468</v>
      </c>
      <c r="I400" s="133"/>
      <c r="J400" s="133"/>
      <c r="K400" s="133" t="str">
        <f>IFERROR(__xludf.DUMMYFUNCTION("""COMPUTED_VALUE"""),"أغراس ديليتش اس بي أي")</f>
        <v>أغراس ديليتش اس بي أي</v>
      </c>
      <c r="L400" s="142" t="str">
        <f>IFERROR(__xludf.DUMMYFUNCTION("""COMPUTED_VALUE"""),"C02080200")</f>
        <v>C02080200</v>
      </c>
      <c r="M400" s="133"/>
      <c r="N400" s="133"/>
      <c r="O400" s="133"/>
      <c r="P400" s="133"/>
      <c r="Q400" s="133"/>
      <c r="R400" s="133"/>
      <c r="S400" s="133"/>
      <c r="T400" s="133"/>
      <c r="U400" s="133"/>
      <c r="V400" s="133"/>
      <c r="W400" s="133"/>
      <c r="X400" s="133"/>
      <c r="Y400" s="133"/>
      <c r="Z400" s="133"/>
    </row>
    <row r="401">
      <c r="A401" s="133">
        <f>IFERROR(__xludf.DUMMYFUNCTION("""COMPUTED_VALUE"""),400.0)</f>
        <v>400</v>
      </c>
      <c r="B401" s="133" t="str">
        <f>IFERROR(__xludf.DUMMYFUNCTION("""COMPUTED_VALUE"""),"C02080201")</f>
        <v>C02080201</v>
      </c>
      <c r="C401" s="133" t="str">
        <f>IFERROR(__xludf.DUMMYFUNCTION("""COMPUTED_VALUE"""),"P-1-N-131220-4686")</f>
        <v>P-1-N-131220-4686</v>
      </c>
      <c r="D401" s="133"/>
      <c r="E401" s="133" t="str">
        <f>IFERROR(__xludf.DUMMYFUNCTION("""COMPUTED_VALUE"""),"تمت طباعة الشهادة")</f>
        <v>تمت طباعة الشهادة</v>
      </c>
      <c r="F401" s="133" t="str">
        <f>IFERROR(__xludf.DUMMYFUNCTION("""COMPUTED_VALUE"""),"Schesir NS Dry Lamb 2.24 kg")</f>
        <v>Schesir NS Dry Lamb 2.24 kg</v>
      </c>
      <c r="G401" s="133" t="str">
        <f>IFERROR(__xludf.DUMMYFUNCTION("""COMPUTED_VALUE"""),"شيزير أن أس طعام جاف بلحم الضأن 2.24 كجم")</f>
        <v>شيزير أن أس طعام جاف بلحم الضأن 2.24 كجم</v>
      </c>
      <c r="H401" s="133" t="str">
        <f>IFERROR(__xludf.DUMMYFUNCTION("""COMPUTED_VALUE"""),"MAFE20202467")</f>
        <v>MAFE20202467</v>
      </c>
      <c r="I401" s="133"/>
      <c r="J401" s="133"/>
      <c r="K401" s="133" t="str">
        <f>IFERROR(__xludf.DUMMYFUNCTION("""COMPUTED_VALUE"""),"أغراس ديليتش اس بي أي")</f>
        <v>أغراس ديليتش اس بي أي</v>
      </c>
      <c r="L401" s="142" t="str">
        <f>IFERROR(__xludf.DUMMYFUNCTION("""COMPUTED_VALUE"""),"C02080201")</f>
        <v>C02080201</v>
      </c>
      <c r="M401" s="133"/>
      <c r="N401" s="133"/>
      <c r="O401" s="133"/>
      <c r="P401" s="133"/>
      <c r="Q401" s="133"/>
      <c r="R401" s="133"/>
      <c r="S401" s="133"/>
      <c r="T401" s="133"/>
      <c r="U401" s="133"/>
      <c r="V401" s="133"/>
      <c r="W401" s="133"/>
      <c r="X401" s="133"/>
      <c r="Y401" s="133"/>
      <c r="Z401" s="133"/>
    </row>
    <row r="402">
      <c r="A402" s="133">
        <f>IFERROR(__xludf.DUMMYFUNCTION("""COMPUTED_VALUE"""),401.0)</f>
        <v>401</v>
      </c>
      <c r="B402" s="133" t="str">
        <f>IFERROR(__xludf.DUMMYFUNCTION("""COMPUTED_VALUE"""),"C02080200")</f>
        <v>C02080200</v>
      </c>
      <c r="C402" s="133" t="str">
        <f>IFERROR(__xludf.DUMMYFUNCTION("""COMPUTED_VALUE"""),"P-1-N-131220-4687")</f>
        <v>P-1-N-131220-4687</v>
      </c>
      <c r="D402" s="133"/>
      <c r="E402" s="133" t="str">
        <f>IFERROR(__xludf.DUMMYFUNCTION("""COMPUTED_VALUE"""),"تمت طباعة الشهادة")</f>
        <v>تمت طباعة الشهادة</v>
      </c>
      <c r="F402" s="133" t="str">
        <f>IFERROR(__xludf.DUMMYFUNCTION("""COMPUTED_VALUE"""),"Schesir NS Dry Turkey 2.24 kg")</f>
        <v>Schesir NS Dry Turkey 2.24 kg</v>
      </c>
      <c r="G402" s="133" t="str">
        <f>IFERROR(__xludf.DUMMYFUNCTION("""COMPUTED_VALUE"""),"شيزير أن أس طعام جاف بالديك رومي 2.24 كجم")</f>
        <v>شيزير أن أس طعام جاف بالديك رومي 2.24 كجم</v>
      </c>
      <c r="H402" s="133" t="str">
        <f>IFERROR(__xludf.DUMMYFUNCTION("""COMPUTED_VALUE"""),"MAFE20202466")</f>
        <v>MAFE20202466</v>
      </c>
      <c r="I402" s="133"/>
      <c r="J402" s="133"/>
      <c r="K402" s="133" t="str">
        <f>IFERROR(__xludf.DUMMYFUNCTION("""COMPUTED_VALUE"""),"أغراس ديليتش اس بي أي")</f>
        <v>أغراس ديليتش اس بي أي</v>
      </c>
      <c r="L402" s="142" t="str">
        <f>IFERROR(__xludf.DUMMYFUNCTION("""COMPUTED_VALUE"""),"C02080200")</f>
        <v>C02080200</v>
      </c>
      <c r="M402" s="133"/>
      <c r="N402" s="133"/>
      <c r="O402" s="133"/>
      <c r="P402" s="133"/>
      <c r="Q402" s="133"/>
      <c r="R402" s="133"/>
      <c r="S402" s="133"/>
      <c r="T402" s="133"/>
      <c r="U402" s="133"/>
      <c r="V402" s="133"/>
      <c r="W402" s="133"/>
      <c r="X402" s="133"/>
      <c r="Y402" s="133"/>
      <c r="Z402" s="133"/>
    </row>
    <row r="403">
      <c r="A403" s="133">
        <f>IFERROR(__xludf.DUMMYFUNCTION("""COMPUTED_VALUE"""),402.0)</f>
        <v>402</v>
      </c>
      <c r="B403" s="133" t="str">
        <f>IFERROR(__xludf.DUMMYFUNCTION("""COMPUTED_VALUE"""),"C02080201")</f>
        <v>C02080201</v>
      </c>
      <c r="C403" s="133" t="str">
        <f>IFERROR(__xludf.DUMMYFUNCTION("""COMPUTED_VALUE"""),"P-1-N-131220-4689")</f>
        <v>P-1-N-131220-4689</v>
      </c>
      <c r="D403" s="133"/>
      <c r="E403" s="133" t="str">
        <f>IFERROR(__xludf.DUMMYFUNCTION("""COMPUTED_VALUE"""),"تمت طباعة الشهادة")</f>
        <v>تمت طباعة الشهادة</v>
      </c>
      <c r="F403" s="133" t="str">
        <f>IFERROR(__xludf.DUMMYFUNCTION("""COMPUTED_VALUE"""),"Schesir NS Dry Lamb 2.24 kg")</f>
        <v>Schesir NS Dry Lamb 2.24 kg</v>
      </c>
      <c r="G403" s="133" t="str">
        <f>IFERROR(__xludf.DUMMYFUNCTION("""COMPUTED_VALUE"""),"شيزير أن أس طعام جاف باللحم الضأن 2.24 كجم")</f>
        <v>شيزير أن أس طعام جاف باللحم الضأن 2.24 كجم</v>
      </c>
      <c r="H403" s="133" t="str">
        <f>IFERROR(__xludf.DUMMYFUNCTION("""COMPUTED_VALUE"""),"MAFE20202465")</f>
        <v>MAFE20202465</v>
      </c>
      <c r="I403" s="133"/>
      <c r="J403" s="133"/>
      <c r="K403" s="133" t="str">
        <f>IFERROR(__xludf.DUMMYFUNCTION("""COMPUTED_VALUE"""),"أغراس ديليتش اس بي أي")</f>
        <v>أغراس ديليتش اس بي أي</v>
      </c>
      <c r="L403" s="142" t="str">
        <f>IFERROR(__xludf.DUMMYFUNCTION("""COMPUTED_VALUE"""),"C02080201")</f>
        <v>C02080201</v>
      </c>
      <c r="M403" s="133"/>
      <c r="N403" s="133"/>
      <c r="O403" s="133"/>
      <c r="P403" s="133"/>
      <c r="Q403" s="133"/>
      <c r="R403" s="133"/>
      <c r="S403" s="133"/>
      <c r="T403" s="133"/>
      <c r="U403" s="133"/>
      <c r="V403" s="133"/>
      <c r="W403" s="133"/>
      <c r="X403" s="133"/>
      <c r="Y403" s="133"/>
      <c r="Z403" s="133"/>
    </row>
    <row r="404">
      <c r="A404" s="133">
        <f>IFERROR(__xludf.DUMMYFUNCTION("""COMPUTED_VALUE"""),403.0)</f>
        <v>403</v>
      </c>
      <c r="B404" s="133" t="str">
        <f>IFERROR(__xludf.DUMMYFUNCTION("""COMPUTED_VALUE"""),"C02080200")</f>
        <v>C02080200</v>
      </c>
      <c r="C404" s="133" t="str">
        <f>IFERROR(__xludf.DUMMYFUNCTION("""COMPUTED_VALUE"""),"P-1-N-131220-4690")</f>
        <v>P-1-N-131220-4690</v>
      </c>
      <c r="D404" s="133"/>
      <c r="E404" s="133" t="str">
        <f>IFERROR(__xludf.DUMMYFUNCTION("""COMPUTED_VALUE"""),"تمت طباعة الشهادة")</f>
        <v>تمت طباعة الشهادة</v>
      </c>
      <c r="F404" s="133" t="str">
        <f>IFERROR(__xludf.DUMMYFUNCTION("""COMPUTED_VALUE"""),"Schesir NS Dry Turkey 2.24 kg")</f>
        <v>Schesir NS Dry Turkey 2.24 kg</v>
      </c>
      <c r="G404" s="133" t="str">
        <f>IFERROR(__xludf.DUMMYFUNCTION("""COMPUTED_VALUE"""),"شيزير أن أس طعام جاف بالديك رومي 2.24 كجم")</f>
        <v>شيزير أن أس طعام جاف بالديك رومي 2.24 كجم</v>
      </c>
      <c r="H404" s="133" t="str">
        <f>IFERROR(__xludf.DUMMYFUNCTION("""COMPUTED_VALUE"""),"MAFE20202464")</f>
        <v>MAFE20202464</v>
      </c>
      <c r="I404" s="133"/>
      <c r="J404" s="133"/>
      <c r="K404" s="133" t="str">
        <f>IFERROR(__xludf.DUMMYFUNCTION("""COMPUTED_VALUE"""),"أغراس ديليتش اس بي أي")</f>
        <v>أغراس ديليتش اس بي أي</v>
      </c>
      <c r="L404" s="142" t="str">
        <f>IFERROR(__xludf.DUMMYFUNCTION("""COMPUTED_VALUE"""),"C02080200")</f>
        <v>C02080200</v>
      </c>
      <c r="M404" s="133"/>
      <c r="N404" s="133"/>
      <c r="O404" s="133"/>
      <c r="P404" s="133"/>
      <c r="Q404" s="133"/>
      <c r="R404" s="133"/>
      <c r="S404" s="133"/>
      <c r="T404" s="133"/>
      <c r="U404" s="133"/>
      <c r="V404" s="133"/>
      <c r="W404" s="133"/>
      <c r="X404" s="133"/>
      <c r="Y404" s="133"/>
      <c r="Z404" s="133"/>
    </row>
    <row r="405">
      <c r="A405" s="133">
        <f>IFERROR(__xludf.DUMMYFUNCTION("""COMPUTED_VALUE"""),404.0)</f>
        <v>404</v>
      </c>
      <c r="B405" s="133" t="str">
        <f>IFERROR(__xludf.DUMMYFUNCTION("""COMPUTED_VALUE"""),"C02080222")</f>
        <v>C02080222</v>
      </c>
      <c r="C405" s="133" t="str">
        <f>IFERROR(__xludf.DUMMYFUNCTION("""COMPUTED_VALUE"""),"P-1-N-131220-4691")</f>
        <v>P-1-N-131220-4691</v>
      </c>
      <c r="D405" s="133"/>
      <c r="E405" s="133" t="str">
        <f>IFERROR(__xludf.DUMMYFUNCTION("""COMPUTED_VALUE"""),"تمت طباعة الشهادة")</f>
        <v>تمت طباعة الشهادة</v>
      </c>
      <c r="F405" s="133" t="str">
        <f>IFERROR(__xludf.DUMMYFUNCTION("""COMPUTED_VALUE"""),"Schesir NS Dry Tuna 2.24 kg")</f>
        <v>Schesir NS Dry Tuna 2.24 kg</v>
      </c>
      <c r="G405" s="133" t="str">
        <f>IFERROR(__xludf.DUMMYFUNCTION("""COMPUTED_VALUE"""),"شيزير أن أس طعام جاف بالتونة 2.24 كجم")</f>
        <v>شيزير أن أس طعام جاف بالتونة 2.24 كجم</v>
      </c>
      <c r="H405" s="133" t="str">
        <f>IFERROR(__xludf.DUMMYFUNCTION("""COMPUTED_VALUE"""),"MAFE20202463")</f>
        <v>MAFE20202463</v>
      </c>
      <c r="I405" s="133"/>
      <c r="J405" s="133"/>
      <c r="K405" s="133" t="str">
        <f>IFERROR(__xludf.DUMMYFUNCTION("""COMPUTED_VALUE"""),"أغراس ديليتش اس بي أي")</f>
        <v>أغراس ديليتش اس بي أي</v>
      </c>
      <c r="L405" s="142" t="str">
        <f>IFERROR(__xludf.DUMMYFUNCTION("""COMPUTED_VALUE"""),"C02080222")</f>
        <v>C02080222</v>
      </c>
      <c r="M405" s="133"/>
      <c r="N405" s="133"/>
      <c r="O405" s="133"/>
      <c r="P405" s="133"/>
      <c r="Q405" s="133"/>
      <c r="R405" s="133"/>
      <c r="S405" s="133"/>
      <c r="T405" s="133"/>
      <c r="U405" s="133"/>
      <c r="V405" s="133"/>
      <c r="W405" s="133"/>
      <c r="X405" s="133"/>
      <c r="Y405" s="133"/>
      <c r="Z405" s="133"/>
    </row>
    <row r="406">
      <c r="A406" s="133">
        <f>IFERROR(__xludf.DUMMYFUNCTION("""COMPUTED_VALUE"""),405.0)</f>
        <v>405</v>
      </c>
      <c r="B406" s="133"/>
      <c r="C406" s="133" t="str">
        <f>IFERROR(__xludf.DUMMYFUNCTION("""COMPUTED_VALUE"""),"P-1-N-131220-4692")</f>
        <v>P-1-N-131220-4692</v>
      </c>
      <c r="D406" s="133"/>
      <c r="E406" s="133" t="str">
        <f>IFERROR(__xludf.DUMMYFUNCTION("""COMPUTED_VALUE"""),"تمت طباعة الشهادة")</f>
        <v>تمت طباعة الشهادة</v>
      </c>
      <c r="F406" s="133">
        <f>IFERROR(__xludf.DUMMYFUNCTION("""COMPUTED_VALUE"""),0.0)</f>
        <v>0</v>
      </c>
      <c r="G406" s="133" t="str">
        <f>IFERROR(__xludf.DUMMYFUNCTION("""COMPUTED_VALUE"""),"شيزير أن أس طعام جاف باللحم الضأن 2.24 كجم")</f>
        <v>شيزير أن أس طعام جاف باللحم الضأن 2.24 كجم</v>
      </c>
      <c r="H406" s="133" t="str">
        <f>IFERROR(__xludf.DUMMYFUNCTION("""COMPUTED_VALUE"""),"MAFE20202462")</f>
        <v>MAFE20202462</v>
      </c>
      <c r="I406" s="133"/>
      <c r="J406" s="133"/>
      <c r="K406" s="133" t="str">
        <f>IFERROR(__xludf.DUMMYFUNCTION("""COMPUTED_VALUE"""),"أغراس ديليتش اس بي أي")</f>
        <v>أغراس ديليتش اس بي أي</v>
      </c>
      <c r="L406" s="133"/>
      <c r="M406" s="133"/>
      <c r="N406" s="133"/>
      <c r="O406" s="133"/>
      <c r="P406" s="133"/>
      <c r="Q406" s="133"/>
      <c r="R406" s="133"/>
      <c r="S406" s="133"/>
      <c r="T406" s="133"/>
      <c r="U406" s="133"/>
      <c r="V406" s="133"/>
      <c r="W406" s="133"/>
      <c r="X406" s="133"/>
      <c r="Y406" s="133"/>
      <c r="Z406" s="133"/>
    </row>
    <row r="407">
      <c r="A407" s="133">
        <f>IFERROR(__xludf.DUMMYFUNCTION("""COMPUTED_VALUE"""),406.0)</f>
        <v>406</v>
      </c>
      <c r="B407" s="133" t="str">
        <f>IFERROR(__xludf.DUMMYFUNCTION("""COMPUTED_VALUE"""),"C02080300")</f>
        <v>C02080300</v>
      </c>
      <c r="C407" s="133" t="str">
        <f>IFERROR(__xludf.DUMMYFUNCTION("""COMPUTED_VALUE"""),"P-1-N-131220-4694")</f>
        <v>P-1-N-131220-4694</v>
      </c>
      <c r="D407" s="133"/>
      <c r="E407" s="133" t="str">
        <f>IFERROR(__xludf.DUMMYFUNCTION("""COMPUTED_VALUE"""),"تمت طباعة الشهادة")</f>
        <v>تمت طباعة الشهادة</v>
      </c>
      <c r="F407" s="133" t="str">
        <f>IFERROR(__xludf.DUMMYFUNCTION("""COMPUTED_VALUE"""),"Schesir NS Dry Turkey 4.5 kg")</f>
        <v>Schesir NS Dry Turkey 4.5 kg</v>
      </c>
      <c r="G407" s="133" t="str">
        <f>IFERROR(__xludf.DUMMYFUNCTION("""COMPUTED_VALUE"""),"شيزير أن أس طعام جاف بالديك رومي 4.5 كجم")</f>
        <v>شيزير أن أس طعام جاف بالديك رومي 4.5 كجم</v>
      </c>
      <c r="H407" s="133" t="str">
        <f>IFERROR(__xludf.DUMMYFUNCTION("""COMPUTED_VALUE"""),"MAFE20202461")</f>
        <v>MAFE20202461</v>
      </c>
      <c r="I407" s="133"/>
      <c r="J407" s="133"/>
      <c r="K407" s="133" t="str">
        <f>IFERROR(__xludf.DUMMYFUNCTION("""COMPUTED_VALUE"""),"أغراس")</f>
        <v>أغراس</v>
      </c>
      <c r="L407" s="142" t="str">
        <f>IFERROR(__xludf.DUMMYFUNCTION("""COMPUTED_VALUE"""),"C02080300")</f>
        <v>C02080300</v>
      </c>
      <c r="M407" s="133"/>
      <c r="N407" s="133"/>
      <c r="O407" s="133"/>
      <c r="P407" s="133"/>
      <c r="Q407" s="133"/>
      <c r="R407" s="133"/>
      <c r="S407" s="133"/>
      <c r="T407" s="133"/>
      <c r="U407" s="133"/>
      <c r="V407" s="133"/>
      <c r="W407" s="133"/>
      <c r="X407" s="133"/>
      <c r="Y407" s="133"/>
      <c r="Z407" s="133"/>
    </row>
    <row r="408">
      <c r="A408" s="133">
        <f>IFERROR(__xludf.DUMMYFUNCTION("""COMPUTED_VALUE"""),407.0)</f>
        <v>407</v>
      </c>
      <c r="B408" s="133" t="str">
        <f>IFERROR(__xludf.DUMMYFUNCTION("""COMPUTED_VALUE"""),"C02080900")</f>
        <v>C02080900</v>
      </c>
      <c r="C408" s="133" t="str">
        <f>IFERROR(__xludf.DUMMYFUNCTION("""COMPUTED_VALUE"""),"P-1-N-131220-4695")</f>
        <v>P-1-N-131220-4695</v>
      </c>
      <c r="D408" s="133"/>
      <c r="E408" s="133" t="str">
        <f>IFERROR(__xludf.DUMMYFUNCTION("""COMPUTED_VALUE"""),"REJECTED")</f>
        <v>REJECTED</v>
      </c>
      <c r="F408" s="133" t="str">
        <f>IFERROR(__xludf.DUMMYFUNCTION("""COMPUTED_VALUE"""),"Schesir NS Dry Turkey 9.6 kg")</f>
        <v>Schesir NS Dry Turkey 9.6 kg</v>
      </c>
      <c r="G408" s="133" t="str">
        <f>IFERROR(__xludf.DUMMYFUNCTION("""COMPUTED_VALUE"""),"شيزير أن أس طعام جاف بالديك رومي 9.6 كجم")</f>
        <v>شيزير أن أس طعام جاف بالديك رومي 9.6 كجم</v>
      </c>
      <c r="H408" s="133"/>
      <c r="I408" s="133"/>
      <c r="J408" s="133"/>
      <c r="K408" s="133" t="str">
        <f>IFERROR(__xludf.DUMMYFUNCTION("""COMPUTED_VALUE"""),"أغراس ديليتش اس بي أي")</f>
        <v>أغراس ديليتش اس بي أي</v>
      </c>
      <c r="L408" s="142" t="str">
        <f>IFERROR(__xludf.DUMMYFUNCTION("""COMPUTED_VALUE"""),"C02080900")</f>
        <v>C02080900</v>
      </c>
      <c r="M408" s="133"/>
      <c r="N408" s="133"/>
      <c r="O408" s="133"/>
      <c r="P408" s="133"/>
      <c r="Q408" s="133"/>
      <c r="R408" s="133"/>
      <c r="S408" s="133"/>
      <c r="T408" s="133"/>
      <c r="U408" s="133"/>
      <c r="V408" s="133"/>
      <c r="W408" s="133"/>
      <c r="X408" s="133"/>
      <c r="Y408" s="133"/>
      <c r="Z408" s="133"/>
    </row>
    <row r="409">
      <c r="A409" s="133">
        <f>IFERROR(__xludf.DUMMYFUNCTION("""COMPUTED_VALUE"""),408.0)</f>
        <v>408</v>
      </c>
      <c r="B409" s="133" t="str">
        <f>IFERROR(__xludf.DUMMYFUNCTION("""COMPUTED_VALUE"""),"C02080902")</f>
        <v>C02080902</v>
      </c>
      <c r="C409" s="133" t="str">
        <f>IFERROR(__xludf.DUMMYFUNCTION("""COMPUTED_VALUE"""),"P-1-N-131220-4696")</f>
        <v>P-1-N-131220-4696</v>
      </c>
      <c r="D409" s="133"/>
      <c r="E409" s="133" t="str">
        <f>IFERROR(__xludf.DUMMYFUNCTION("""COMPUTED_VALUE"""),"تمت طباعة الشهادة")</f>
        <v>تمت طباعة الشهادة</v>
      </c>
      <c r="F409" s="133" t="str">
        <f>IFERROR(__xludf.DUMMYFUNCTION("""COMPUTED_VALUE"""),"Schesir NS Dry Tuna 9.6 kg")</f>
        <v>Schesir NS Dry Tuna 9.6 kg</v>
      </c>
      <c r="G409" s="133" t="str">
        <f>IFERROR(__xludf.DUMMYFUNCTION("""COMPUTED_VALUE"""),"شيزير")</f>
        <v>شيزير</v>
      </c>
      <c r="H409" s="133" t="str">
        <f>IFERROR(__xludf.DUMMYFUNCTION("""COMPUTED_VALUE"""),"MAFE20202460")</f>
        <v>MAFE20202460</v>
      </c>
      <c r="I409" s="133"/>
      <c r="J409" s="133"/>
      <c r="K409" s="133" t="str">
        <f>IFERROR(__xludf.DUMMYFUNCTION("""COMPUTED_VALUE"""),"أغراس ديليتش اس بي أي")</f>
        <v>أغراس ديليتش اس بي أي</v>
      </c>
      <c r="L409" s="142" t="str">
        <f>IFERROR(__xludf.DUMMYFUNCTION("""COMPUTED_VALUE"""),"C02080902")</f>
        <v>C02080902</v>
      </c>
      <c r="M409" s="133"/>
      <c r="N409" s="133"/>
      <c r="O409" s="133"/>
      <c r="P409" s="133"/>
      <c r="Q409" s="133"/>
      <c r="R409" s="133"/>
      <c r="S409" s="133"/>
      <c r="T409" s="133"/>
      <c r="U409" s="133"/>
      <c r="V409" s="133"/>
      <c r="W409" s="133"/>
      <c r="X409" s="133"/>
      <c r="Y409" s="133"/>
      <c r="Z409" s="133"/>
    </row>
    <row r="410">
      <c r="A410" s="133">
        <f>IFERROR(__xludf.DUMMYFUNCTION("""COMPUTED_VALUE"""),409.0)</f>
        <v>409</v>
      </c>
      <c r="B410" s="133" t="str">
        <f>IFERROR(__xludf.DUMMYFUNCTION("""COMPUTED_VALUE"""),"C02080903")</f>
        <v>C02080903</v>
      </c>
      <c r="C410" s="133" t="str">
        <f>IFERROR(__xludf.DUMMYFUNCTION("""COMPUTED_VALUE"""),"P-1-N-131220-4697")</f>
        <v>P-1-N-131220-4697</v>
      </c>
      <c r="D410" s="133"/>
      <c r="E410" s="133" t="str">
        <f>IFERROR(__xludf.DUMMYFUNCTION("""COMPUTED_VALUE"""),"تمت طباعة الشهادة")</f>
        <v>تمت طباعة الشهادة</v>
      </c>
      <c r="F410" s="133" t="str">
        <f>IFERROR(__xludf.DUMMYFUNCTION("""COMPUTED_VALUE"""),"Schesir NS Dry Lamb 9.6 kg")</f>
        <v>Schesir NS Dry Lamb 9.6 kg</v>
      </c>
      <c r="G410" s="133" t="str">
        <f>IFERROR(__xludf.DUMMYFUNCTION("""COMPUTED_VALUE"""),"شيزير أن أس طعام جاف بلحم الضأن 9.6 كجم")</f>
        <v>شيزير أن أس طعام جاف بلحم الضأن 9.6 كجم</v>
      </c>
      <c r="H410" s="133" t="str">
        <f>IFERROR(__xludf.DUMMYFUNCTION("""COMPUTED_VALUE"""),"MAFE20202459")</f>
        <v>MAFE20202459</v>
      </c>
      <c r="I410" s="133"/>
      <c r="J410" s="133"/>
      <c r="K410" s="133" t="str">
        <f>IFERROR(__xludf.DUMMYFUNCTION("""COMPUTED_VALUE"""),"أغراس ديليتش اس بي أي")</f>
        <v>أغراس ديليتش اس بي أي</v>
      </c>
      <c r="L410" s="142" t="str">
        <f>IFERROR(__xludf.DUMMYFUNCTION("""COMPUTED_VALUE"""),"C02080903")</f>
        <v>C02080903</v>
      </c>
      <c r="M410" s="133"/>
      <c r="N410" s="133"/>
      <c r="O410" s="133"/>
      <c r="P410" s="133"/>
      <c r="Q410" s="133"/>
      <c r="R410" s="133"/>
      <c r="S410" s="133"/>
      <c r="T410" s="133"/>
      <c r="U410" s="133"/>
      <c r="V410" s="133"/>
      <c r="W410" s="133"/>
      <c r="X410" s="133"/>
      <c r="Y410" s="133"/>
      <c r="Z410" s="133"/>
    </row>
    <row r="411">
      <c r="A411" s="133">
        <f>IFERROR(__xludf.DUMMYFUNCTION("""COMPUTED_VALUE"""),410.0)</f>
        <v>410</v>
      </c>
      <c r="B411" s="133"/>
      <c r="C411" s="133" t="str">
        <f>IFERROR(__xludf.DUMMYFUNCTION("""COMPUTED_VALUE"""),"P-1-N-161220-4815")</f>
        <v>P-1-N-161220-4815</v>
      </c>
      <c r="D411" s="133"/>
      <c r="E411" s="133" t="str">
        <f>IFERROR(__xludf.DUMMYFUNCTION("""COMPUTED_VALUE"""),"تمت طباعة الشهادة")</f>
        <v>تمت طباعة الشهادة</v>
      </c>
      <c r="F411" s="133" t="str">
        <f>IFERROR(__xludf.DUMMYFUNCTION("""COMPUTED_VALUE"""),"NutriMeal mixed food for canaries 800g")</f>
        <v>NutriMeal mixed food for canaries 800g</v>
      </c>
      <c r="G411" s="133" t="str">
        <f>IFERROR(__xludf.DUMMYFUNCTION("""COMPUTED_VALUE"""),"نوتري ميل غذاء مختلط للكناري 800 جم")</f>
        <v>نوتري ميل غذاء مختلط للكناري 800 جم</v>
      </c>
      <c r="H411" s="133" t="str">
        <f>IFERROR(__xludf.DUMMYFUNCTION("""COMPUTED_VALUE"""),"MAFE2021110")</f>
        <v>MAFE2021110</v>
      </c>
      <c r="I411" s="133"/>
      <c r="J411" s="133"/>
      <c r="K411" s="133" t="str">
        <f>IFERROR(__xludf.DUMMYFUNCTION("""COMPUTED_VALUE"""),"زولكس ساس")</f>
        <v>زولكس ساس</v>
      </c>
      <c r="L411" s="133"/>
      <c r="M411" s="133"/>
      <c r="N411" s="133"/>
      <c r="O411" s="133"/>
      <c r="P411" s="133"/>
      <c r="Q411" s="133"/>
      <c r="R411" s="133"/>
      <c r="S411" s="133"/>
      <c r="T411" s="133"/>
      <c r="U411" s="133"/>
      <c r="V411" s="133"/>
      <c r="W411" s="133"/>
      <c r="X411" s="133"/>
      <c r="Y411" s="133"/>
      <c r="Z411" s="133"/>
    </row>
    <row r="412">
      <c r="A412" s="133">
        <f>IFERROR(__xludf.DUMMYFUNCTION("""COMPUTED_VALUE"""),411.0)</f>
        <v>411</v>
      </c>
      <c r="B412" s="133" t="str">
        <f>IFERROR(__xludf.DUMMYFUNCTION("""COMPUTED_VALUE"""),"139071")</f>
        <v>139071</v>
      </c>
      <c r="C412" s="133" t="str">
        <f>IFERROR(__xludf.DUMMYFUNCTION("""COMPUTED_VALUE"""),"P-1-N-161220-4816")</f>
        <v>P-1-N-161220-4816</v>
      </c>
      <c r="D412" s="133"/>
      <c r="E412" s="133" t="str">
        <f>IFERROR(__xludf.DUMMYFUNCTION("""COMPUTED_VALUE"""),"تمت طباعة الشهادة")</f>
        <v>تمت طباعة الشهادة</v>
      </c>
      <c r="F412" s="133" t="str">
        <f>IFERROR(__xludf.DUMMYFUNCTION("""COMPUTED_VALUE"""),"NutriMeal Mixed Food for Canaries 2.5kg")</f>
        <v>NutriMeal Mixed Food for Canaries 2.5kg</v>
      </c>
      <c r="G412" s="133" t="str">
        <f>IFERROR(__xludf.DUMMYFUNCTION("""COMPUTED_VALUE"""),"نوتري ميل غذاء مختلط للكناري 2.5 كجم")</f>
        <v>نوتري ميل غذاء مختلط للكناري 2.5 كجم</v>
      </c>
      <c r="H412" s="133" t="str">
        <f>IFERROR(__xludf.DUMMYFUNCTION("""COMPUTED_VALUE"""),"MAFE2021109")</f>
        <v>MAFE2021109</v>
      </c>
      <c r="I412" s="133"/>
      <c r="J412" s="133"/>
      <c r="K412" s="133" t="str">
        <f>IFERROR(__xludf.DUMMYFUNCTION("""COMPUTED_VALUE"""),"زولكس ساس")</f>
        <v>زولكس ساس</v>
      </c>
      <c r="L412" s="142" t="str">
        <f>IFERROR(__xludf.DUMMYFUNCTION("""COMPUTED_VALUE"""),"139071")</f>
        <v>139071</v>
      </c>
      <c r="M412" s="133"/>
      <c r="N412" s="133"/>
      <c r="O412" s="133"/>
      <c r="P412" s="133"/>
      <c r="Q412" s="133"/>
      <c r="R412" s="133"/>
      <c r="S412" s="133"/>
      <c r="T412" s="133"/>
      <c r="U412" s="133"/>
      <c r="V412" s="133"/>
      <c r="W412" s="133"/>
      <c r="X412" s="133"/>
      <c r="Y412" s="133"/>
      <c r="Z412" s="133"/>
    </row>
    <row r="413">
      <c r="A413" s="133">
        <f>IFERROR(__xludf.DUMMYFUNCTION("""COMPUTED_VALUE"""),412.0)</f>
        <v>412</v>
      </c>
      <c r="B413" s="133"/>
      <c r="C413" s="133" t="str">
        <f>IFERROR(__xludf.DUMMYFUNCTION("""COMPUTED_VALUE"""),"P-1-N-161220-4821")</f>
        <v>P-1-N-161220-4821</v>
      </c>
      <c r="D413" s="133"/>
      <c r="E413" s="133" t="str">
        <f>IFERROR(__xludf.DUMMYFUNCTION("""COMPUTED_VALUE"""),"تمت طباعة الشهادة")</f>
        <v>تمت طباعة الشهادة</v>
      </c>
      <c r="F413" s="133" t="str">
        <f>IFERROR(__xludf.DUMMYFUNCTION("""COMPUTED_VALUE"""),"NutriMeal Mixed Food for Exotic Birds 800g")</f>
        <v>NutriMeal Mixed Food for Exotic Birds 800g</v>
      </c>
      <c r="G413" s="133" t="str">
        <f>IFERROR(__xludf.DUMMYFUNCTION("""COMPUTED_VALUE"""),"نوتري ميل غذاء للطيور النادرة 800 جم")</f>
        <v>نوتري ميل غذاء للطيور النادرة 800 جم</v>
      </c>
      <c r="H413" s="133" t="str">
        <f>IFERROR(__xludf.DUMMYFUNCTION("""COMPUTED_VALUE"""),"MAFE2021108")</f>
        <v>MAFE2021108</v>
      </c>
      <c r="I413" s="133"/>
      <c r="J413" s="133"/>
      <c r="K413" s="133" t="str">
        <f>IFERROR(__xludf.DUMMYFUNCTION("""COMPUTED_VALUE"""),"زولكس ساس")</f>
        <v>زولكس ساس</v>
      </c>
      <c r="L413" s="133"/>
      <c r="M413" s="133"/>
      <c r="N413" s="133"/>
      <c r="O413" s="133"/>
      <c r="P413" s="133"/>
      <c r="Q413" s="133"/>
      <c r="R413" s="133"/>
      <c r="S413" s="133"/>
      <c r="T413" s="133"/>
      <c r="U413" s="133"/>
      <c r="V413" s="133"/>
      <c r="W413" s="133"/>
      <c r="X413" s="133"/>
      <c r="Y413" s="133"/>
      <c r="Z413" s="133"/>
    </row>
    <row r="414">
      <c r="A414" s="133">
        <f>IFERROR(__xludf.DUMMYFUNCTION("""COMPUTED_VALUE"""),413.0)</f>
        <v>413</v>
      </c>
      <c r="B414" s="133"/>
      <c r="C414" s="133" t="str">
        <f>IFERROR(__xludf.DUMMYFUNCTION("""COMPUTED_VALUE"""),"P-1-N-161220-4822")</f>
        <v>P-1-N-161220-4822</v>
      </c>
      <c r="D414" s="133"/>
      <c r="E414" s="133" t="str">
        <f>IFERROR(__xludf.DUMMYFUNCTION("""COMPUTED_VALUE"""),"تمت طباعة الشهادة")</f>
        <v>تمت طباعة الشهادة</v>
      </c>
      <c r="F414" s="133" t="str">
        <f>IFERROR(__xludf.DUMMYFUNCTION("""COMPUTED_VALUE"""),"NutriMeal Mixed Food for Exotic Birds 2.5 kg")</f>
        <v>NutriMeal Mixed Food for Exotic Birds 2.5 kg</v>
      </c>
      <c r="G414" s="133" t="str">
        <f>IFERROR(__xludf.DUMMYFUNCTION("""COMPUTED_VALUE"""),"نوتري ميل غذاء للطيور النادرة 2.5 كجم")</f>
        <v>نوتري ميل غذاء للطيور النادرة 2.5 كجم</v>
      </c>
      <c r="H414" s="133" t="str">
        <f>IFERROR(__xludf.DUMMYFUNCTION("""COMPUTED_VALUE"""),"MAFE2021107")</f>
        <v>MAFE2021107</v>
      </c>
      <c r="I414" s="133"/>
      <c r="J414" s="133"/>
      <c r="K414" s="133" t="str">
        <f>IFERROR(__xludf.DUMMYFUNCTION("""COMPUTED_VALUE"""),"زولكس ساس")</f>
        <v>زولكس ساس</v>
      </c>
      <c r="L414" s="133"/>
      <c r="M414" s="133"/>
      <c r="N414" s="133"/>
      <c r="O414" s="133"/>
      <c r="P414" s="133"/>
      <c r="Q414" s="133"/>
      <c r="R414" s="133"/>
      <c r="S414" s="133"/>
      <c r="T414" s="133"/>
      <c r="U414" s="133"/>
      <c r="V414" s="133"/>
      <c r="W414" s="133"/>
      <c r="X414" s="133"/>
      <c r="Y414" s="133"/>
      <c r="Z414" s="133"/>
    </row>
    <row r="415">
      <c r="A415" s="133">
        <f>IFERROR(__xludf.DUMMYFUNCTION("""COMPUTED_VALUE"""),414.0)</f>
        <v>414</v>
      </c>
      <c r="B415" s="133"/>
      <c r="C415" s="133" t="str">
        <f>IFERROR(__xludf.DUMMYFUNCTION("""COMPUTED_VALUE"""),"P-1-N-161220-4824")</f>
        <v>P-1-N-161220-4824</v>
      </c>
      <c r="D415" s="133"/>
      <c r="E415" s="133" t="str">
        <f>IFERROR(__xludf.DUMMYFUNCTION("""COMPUTED_VALUE"""),"تمت طباعة الشهادة")</f>
        <v>تمت طباعة الشهادة</v>
      </c>
      <c r="F415" s="133" t="str">
        <f>IFERROR(__xludf.DUMMYFUNCTION("""COMPUTED_VALUE"""),"NutriMeal Mixed Food for Parakeets 800g")</f>
        <v>NutriMeal Mixed Food for Parakeets 800g</v>
      </c>
      <c r="G415" s="133" t="str">
        <f>IFERROR(__xludf.DUMMYFUNCTION("""COMPUTED_VALUE"""),"نوتري ميل غذاء للببغاوات الصغيرة 800 جم")</f>
        <v>نوتري ميل غذاء للببغاوات الصغيرة 800 جم</v>
      </c>
      <c r="H415" s="133" t="str">
        <f>IFERROR(__xludf.DUMMYFUNCTION("""COMPUTED_VALUE"""),"MAFE2021106")</f>
        <v>MAFE2021106</v>
      </c>
      <c r="I415" s="133"/>
      <c r="J415" s="133"/>
      <c r="K415" s="133" t="str">
        <f>IFERROR(__xludf.DUMMYFUNCTION("""COMPUTED_VALUE"""),"زولكس ساس")</f>
        <v>زولكس ساس</v>
      </c>
      <c r="L415" s="133"/>
      <c r="M415" s="133"/>
      <c r="N415" s="133"/>
      <c r="O415" s="133"/>
      <c r="P415" s="133"/>
      <c r="Q415" s="133"/>
      <c r="R415" s="133"/>
      <c r="S415" s="133"/>
      <c r="T415" s="133"/>
      <c r="U415" s="133"/>
      <c r="V415" s="133"/>
      <c r="W415" s="133"/>
      <c r="X415" s="133"/>
      <c r="Y415" s="133"/>
      <c r="Z415" s="133"/>
    </row>
    <row r="416">
      <c r="A416" s="133">
        <f>IFERROR(__xludf.DUMMYFUNCTION("""COMPUTED_VALUE"""),415.0)</f>
        <v>415</v>
      </c>
      <c r="B416" s="133"/>
      <c r="C416" s="133" t="str">
        <f>IFERROR(__xludf.DUMMYFUNCTION("""COMPUTED_VALUE"""),"P-1-N-161220-4825")</f>
        <v>P-1-N-161220-4825</v>
      </c>
      <c r="D416" s="133"/>
      <c r="E416" s="133" t="str">
        <f>IFERROR(__xludf.DUMMYFUNCTION("""COMPUTED_VALUE"""),"تمت طباعة الشهادة")</f>
        <v>تمت طباعة الشهادة</v>
      </c>
      <c r="F416" s="133">
        <f>IFERROR(__xludf.DUMMYFUNCTION("""COMPUTED_VALUE"""),0.0)</f>
        <v>0</v>
      </c>
      <c r="G416" s="133" t="str">
        <f>IFERROR(__xludf.DUMMYFUNCTION("""COMPUTED_VALUE"""),"نوتري ميل غذاء للببغاوات الصغيرة 2.5 كجم")</f>
        <v>نوتري ميل غذاء للببغاوات الصغيرة 2.5 كجم</v>
      </c>
      <c r="H416" s="133" t="str">
        <f>IFERROR(__xludf.DUMMYFUNCTION("""COMPUTED_VALUE"""),"mafe2021105")</f>
        <v>mafe2021105</v>
      </c>
      <c r="I416" s="133"/>
      <c r="J416" s="133"/>
      <c r="K416" s="133" t="str">
        <f>IFERROR(__xludf.DUMMYFUNCTION("""COMPUTED_VALUE"""),"زولكس ساس")</f>
        <v>زولكس ساس</v>
      </c>
      <c r="L416" s="133"/>
      <c r="M416" s="133"/>
      <c r="N416" s="133"/>
      <c r="O416" s="133"/>
      <c r="P416" s="133"/>
      <c r="Q416" s="133"/>
      <c r="R416" s="133"/>
      <c r="S416" s="133"/>
      <c r="T416" s="133"/>
      <c r="U416" s="133"/>
      <c r="V416" s="133"/>
      <c r="W416" s="133"/>
      <c r="X416" s="133"/>
      <c r="Y416" s="133"/>
      <c r="Z416" s="133"/>
    </row>
    <row r="417">
      <c r="A417" s="133">
        <f>IFERROR(__xludf.DUMMYFUNCTION("""COMPUTED_VALUE"""),416.0)</f>
        <v>416</v>
      </c>
      <c r="B417" s="133"/>
      <c r="C417" s="133" t="str">
        <f>IFERROR(__xludf.DUMMYFUNCTION("""COMPUTED_VALUE"""),"P-1-N-161220-4828")</f>
        <v>P-1-N-161220-4828</v>
      </c>
      <c r="D417" s="133"/>
      <c r="E417" s="133" t="str">
        <f>IFERROR(__xludf.DUMMYFUNCTION("""COMPUTED_VALUE"""),"تمت طباعة الشهادة")</f>
        <v>تمت طباعة الشهادة</v>
      </c>
      <c r="F417" s="133" t="str">
        <f>IFERROR(__xludf.DUMMYFUNCTION("""COMPUTED_VALUE"""),"NutriMeal Mixed Food for Large Budgerigars 800g")</f>
        <v>NutriMeal Mixed Food for Large Budgerigars 800g</v>
      </c>
      <c r="G417" s="133" t="str">
        <f>IFERROR(__xludf.DUMMYFUNCTION("""COMPUTED_VALUE"""),"نوتري ميل غذاء للبادجي الكبير 800 جم")</f>
        <v>نوتري ميل غذاء للبادجي الكبير 800 جم</v>
      </c>
      <c r="H417" s="133" t="str">
        <f>IFERROR(__xludf.DUMMYFUNCTION("""COMPUTED_VALUE"""),"MAFE2021104")</f>
        <v>MAFE2021104</v>
      </c>
      <c r="I417" s="133"/>
      <c r="J417" s="133"/>
      <c r="K417" s="133" t="str">
        <f>IFERROR(__xludf.DUMMYFUNCTION("""COMPUTED_VALUE"""),"زولكس")</f>
        <v>زولكس</v>
      </c>
      <c r="L417" s="133"/>
      <c r="M417" s="133"/>
      <c r="N417" s="133"/>
      <c r="O417" s="133"/>
      <c r="P417" s="133"/>
      <c r="Q417" s="133"/>
      <c r="R417" s="133"/>
      <c r="S417" s="133"/>
      <c r="T417" s="133"/>
      <c r="U417" s="133"/>
      <c r="V417" s="133"/>
      <c r="W417" s="133"/>
      <c r="X417" s="133"/>
      <c r="Y417" s="133"/>
      <c r="Z417" s="133"/>
    </row>
    <row r="418">
      <c r="A418" s="133">
        <f>IFERROR(__xludf.DUMMYFUNCTION("""COMPUTED_VALUE"""),417.0)</f>
        <v>417</v>
      </c>
      <c r="B418" s="133"/>
      <c r="C418" s="133" t="str">
        <f>IFERROR(__xludf.DUMMYFUNCTION("""COMPUTED_VALUE"""),"P-1-N-161220-4829")</f>
        <v>P-1-N-161220-4829</v>
      </c>
      <c r="D418" s="133"/>
      <c r="E418" s="133" t="str">
        <f>IFERROR(__xludf.DUMMYFUNCTION("""COMPUTED_VALUE"""),"تمت طباعة الشهادة")</f>
        <v>تمت طباعة الشهادة</v>
      </c>
      <c r="F418" s="133" t="str">
        <f>IFERROR(__xludf.DUMMYFUNCTION("""COMPUTED_VALUE"""),"NutriMeal Mixed Food for Large Budgerigars 2.5 kg")</f>
        <v>NutriMeal Mixed Food for Large Budgerigars 2.5 kg</v>
      </c>
      <c r="G418" s="133" t="str">
        <f>IFERROR(__xludf.DUMMYFUNCTION("""COMPUTED_VALUE"""),"نوتري ميل غذاء للبادجي الكبير 2.5 كجم")</f>
        <v>نوتري ميل غذاء للبادجي الكبير 2.5 كجم</v>
      </c>
      <c r="H418" s="133" t="str">
        <f>IFERROR(__xludf.DUMMYFUNCTION("""COMPUTED_VALUE"""),"MAFE2021103")</f>
        <v>MAFE2021103</v>
      </c>
      <c r="I418" s="133"/>
      <c r="J418" s="133"/>
      <c r="K418" s="133" t="str">
        <f>IFERROR(__xludf.DUMMYFUNCTION("""COMPUTED_VALUE"""),"زولكس ساس")</f>
        <v>زولكس ساس</v>
      </c>
      <c r="L418" s="133"/>
      <c r="M418" s="133"/>
      <c r="N418" s="133"/>
      <c r="O418" s="133"/>
      <c r="P418" s="133"/>
      <c r="Q418" s="133"/>
      <c r="R418" s="133"/>
      <c r="S418" s="133"/>
      <c r="T418" s="133"/>
      <c r="U418" s="133"/>
      <c r="V418" s="133"/>
      <c r="W418" s="133"/>
      <c r="X418" s="133"/>
      <c r="Y418" s="133"/>
      <c r="Z418" s="133"/>
    </row>
    <row r="419">
      <c r="A419" s="133">
        <f>IFERROR(__xludf.DUMMYFUNCTION("""COMPUTED_VALUE"""),418.0)</f>
        <v>418</v>
      </c>
      <c r="B419" s="133"/>
      <c r="C419" s="133" t="str">
        <f>IFERROR(__xludf.DUMMYFUNCTION("""COMPUTED_VALUE"""),"P-1-N-161220-4831")</f>
        <v>P-1-N-161220-4831</v>
      </c>
      <c r="D419" s="133"/>
      <c r="E419" s="133" t="str">
        <f>IFERROR(__xludf.DUMMYFUNCTION("""COMPUTED_VALUE"""),"تمت طباعة الشهادة")</f>
        <v>تمت طباعة الشهادة</v>
      </c>
      <c r="F419" s="133" t="str">
        <f>IFERROR(__xludf.DUMMYFUNCTION("""COMPUTED_VALUE"""),"NutriMeal Mixed Food for Parrots 700g")</f>
        <v>NutriMeal Mixed Food for Parrots 700g</v>
      </c>
      <c r="G419" s="133" t="str">
        <f>IFERROR(__xludf.DUMMYFUNCTION("""COMPUTED_VALUE"""),"نوتري")</f>
        <v>نوتري</v>
      </c>
      <c r="H419" s="133" t="str">
        <f>IFERROR(__xludf.DUMMYFUNCTION("""COMPUTED_VALUE"""),"MAFE20202375")</f>
        <v>MAFE20202375</v>
      </c>
      <c r="I419" s="133"/>
      <c r="J419" s="133"/>
      <c r="K419" s="133" t="str">
        <f>IFERROR(__xludf.DUMMYFUNCTION("""COMPUTED_VALUE"""),"زولكس ساس")</f>
        <v>زولكس ساس</v>
      </c>
      <c r="L419" s="133"/>
      <c r="M419" s="133"/>
      <c r="N419" s="133"/>
      <c r="O419" s="133"/>
      <c r="P419" s="133"/>
      <c r="Q419" s="133"/>
      <c r="R419" s="133"/>
      <c r="S419" s="133"/>
      <c r="T419" s="133"/>
      <c r="U419" s="133"/>
      <c r="V419" s="133"/>
      <c r="W419" s="133"/>
      <c r="X419" s="133"/>
      <c r="Y419" s="133"/>
      <c r="Z419" s="133"/>
    </row>
    <row r="420">
      <c r="A420" s="133">
        <f>IFERROR(__xludf.DUMMYFUNCTION("""COMPUTED_VALUE"""),419.0)</f>
        <v>419</v>
      </c>
      <c r="B420" s="133"/>
      <c r="C420" s="133" t="str">
        <f>IFERROR(__xludf.DUMMYFUNCTION("""COMPUTED_VALUE"""),"P-1-N-161220-4832")</f>
        <v>P-1-N-161220-4832</v>
      </c>
      <c r="D420" s="133"/>
      <c r="E420" s="133" t="str">
        <f>IFERROR(__xludf.DUMMYFUNCTION("""COMPUTED_VALUE"""),"تمت طباعة الشهادة")</f>
        <v>تمت طباعة الشهادة</v>
      </c>
      <c r="F420" s="133" t="str">
        <f>IFERROR(__xludf.DUMMYFUNCTION("""COMPUTED_VALUE"""),"NutriMeal Mixed Food for Parrots 2.25 kg")</f>
        <v>NutriMeal Mixed Food for Parrots 2.25 kg</v>
      </c>
      <c r="G420" s="133" t="str">
        <f>IFERROR(__xludf.DUMMYFUNCTION("""COMPUTED_VALUE"""),"نوتري ميل غذاء للببغاوات 2.25 كجم")</f>
        <v>نوتري ميل غذاء للببغاوات 2.25 كجم</v>
      </c>
      <c r="H420" s="133" t="str">
        <f>IFERROR(__xludf.DUMMYFUNCTION("""COMPUTED_VALUE"""),"MAFE20202374")</f>
        <v>MAFE20202374</v>
      </c>
      <c r="I420" s="133"/>
      <c r="J420" s="133"/>
      <c r="K420" s="133" t="str">
        <f>IFERROR(__xludf.DUMMYFUNCTION("""COMPUTED_VALUE"""),"زولكس ساس")</f>
        <v>زولكس ساس</v>
      </c>
      <c r="L420" s="133"/>
      <c r="M420" s="133"/>
      <c r="N420" s="133"/>
      <c r="O420" s="133"/>
      <c r="P420" s="133"/>
      <c r="Q420" s="133"/>
      <c r="R420" s="133"/>
      <c r="S420" s="133"/>
      <c r="T420" s="133"/>
      <c r="U420" s="133"/>
      <c r="V420" s="133"/>
      <c r="W420" s="133"/>
      <c r="X420" s="133"/>
      <c r="Y420" s="133"/>
      <c r="Z420" s="133"/>
    </row>
    <row r="421">
      <c r="A421" s="133">
        <f>IFERROR(__xludf.DUMMYFUNCTION("""COMPUTED_VALUE"""),420.0)</f>
        <v>420</v>
      </c>
      <c r="B421" s="133"/>
      <c r="C421" s="133" t="str">
        <f>IFERROR(__xludf.DUMMYFUNCTION("""COMPUTED_VALUE"""),"P-1-N-181220-4883")</f>
        <v>P-1-N-181220-4883</v>
      </c>
      <c r="D421" s="133"/>
      <c r="E421" s="133" t="str">
        <f>IFERROR(__xludf.DUMMYFUNCTION("""COMPUTED_VALUE"""),"تمت طباعة الشهادة")</f>
        <v>تمت طباعة الشهادة</v>
      </c>
      <c r="F421" s="133" t="str">
        <f>IFERROR(__xludf.DUMMYFUNCTION("""COMPUTED_VALUE"""),"NutriMeal Mixed Food for Dwarf Rabbits Juniors 800g")</f>
        <v>NutriMeal Mixed Food for Dwarf Rabbits Juniors 800g</v>
      </c>
      <c r="G421" s="133" t="str">
        <f>IFERROR(__xludf.DUMMYFUNCTION("""COMPUTED_VALUE"""),"نوتري ميل غذاء مختلط للأرانب القزمية الصغيرة 800 جم")</f>
        <v>نوتري ميل غذاء مختلط للأرانب القزمية الصغيرة 800 جم</v>
      </c>
      <c r="H421" s="133" t="str">
        <f>IFERROR(__xludf.DUMMYFUNCTION("""COMPUTED_VALUE"""),"MAFE2021101")</f>
        <v>MAFE2021101</v>
      </c>
      <c r="I421" s="133"/>
      <c r="J421" s="133"/>
      <c r="K421" s="133" t="str">
        <f>IFERROR(__xludf.DUMMYFUNCTION("""COMPUTED_VALUE"""),"زولكس ساس")</f>
        <v>زولكس ساس</v>
      </c>
      <c r="L421" s="133"/>
      <c r="M421" s="133"/>
      <c r="N421" s="133"/>
      <c r="O421" s="133"/>
      <c r="P421" s="133"/>
      <c r="Q421" s="133"/>
      <c r="R421" s="133"/>
      <c r="S421" s="133"/>
      <c r="T421" s="133"/>
      <c r="U421" s="133"/>
      <c r="V421" s="133"/>
      <c r="W421" s="133"/>
      <c r="X421" s="133"/>
      <c r="Y421" s="133"/>
      <c r="Z421" s="133"/>
    </row>
    <row r="422">
      <c r="A422" s="133">
        <f>IFERROR(__xludf.DUMMYFUNCTION("""COMPUTED_VALUE"""),421.0)</f>
        <v>421</v>
      </c>
      <c r="B422" s="133"/>
      <c r="C422" s="133" t="str">
        <f>IFERROR(__xludf.DUMMYFUNCTION("""COMPUTED_VALUE"""),"P-1-N-181220-4884")</f>
        <v>P-1-N-181220-4884</v>
      </c>
      <c r="D422" s="133"/>
      <c r="E422" s="133" t="str">
        <f>IFERROR(__xludf.DUMMYFUNCTION("""COMPUTED_VALUE"""),"تمت طباعة الشهادة")</f>
        <v>تمت طباعة الشهادة</v>
      </c>
      <c r="F422" s="133" t="str">
        <f>IFERROR(__xludf.DUMMYFUNCTION("""COMPUTED_VALUE"""),"NutriMeal Mixed Food for Dwarf Rabbits Adults 800g")</f>
        <v>NutriMeal Mixed Food for Dwarf Rabbits Adults 800g</v>
      </c>
      <c r="G422" s="133" t="str">
        <f>IFERROR(__xludf.DUMMYFUNCTION("""COMPUTED_VALUE"""),"نوتري ميل غذاء مختلط للأرانب القزمية الكبيرة 800 جم")</f>
        <v>نوتري ميل غذاء مختلط للأرانب القزمية الكبيرة 800 جم</v>
      </c>
      <c r="H422" s="133" t="str">
        <f>IFERROR(__xludf.DUMMYFUNCTION("""COMPUTED_VALUE"""),"MAFE2021100")</f>
        <v>MAFE2021100</v>
      </c>
      <c r="I422" s="133"/>
      <c r="J422" s="133"/>
      <c r="K422" s="133" t="str">
        <f>IFERROR(__xludf.DUMMYFUNCTION("""COMPUTED_VALUE"""),"زولكس ساس")</f>
        <v>زولكس ساس</v>
      </c>
      <c r="L422" s="133"/>
      <c r="M422" s="133"/>
      <c r="N422" s="133"/>
      <c r="O422" s="133"/>
      <c r="P422" s="133"/>
      <c r="Q422" s="133"/>
      <c r="R422" s="133"/>
      <c r="S422" s="133"/>
      <c r="T422" s="133"/>
      <c r="U422" s="133"/>
      <c r="V422" s="133"/>
      <c r="W422" s="133"/>
      <c r="X422" s="133"/>
      <c r="Y422" s="133"/>
      <c r="Z422" s="133"/>
    </row>
    <row r="423">
      <c r="A423" s="133">
        <f>IFERROR(__xludf.DUMMYFUNCTION("""COMPUTED_VALUE"""),422.0)</f>
        <v>422</v>
      </c>
      <c r="B423" s="133"/>
      <c r="C423" s="133" t="str">
        <f>IFERROR(__xludf.DUMMYFUNCTION("""COMPUTED_VALUE"""),"P-1-N-181220-4885")</f>
        <v>P-1-N-181220-4885</v>
      </c>
      <c r="D423" s="133"/>
      <c r="E423" s="133" t="str">
        <f>IFERROR(__xludf.DUMMYFUNCTION("""COMPUTED_VALUE"""),"REJECTED")</f>
        <v>REJECTED</v>
      </c>
      <c r="F423" s="133" t="str">
        <f>IFERROR(__xludf.DUMMYFUNCTION("""COMPUTED_VALUE"""),"NutriMeal Mixed Food for Hamsters 600g")</f>
        <v>NutriMeal Mixed Food for Hamsters 600g</v>
      </c>
      <c r="G423" s="133" t="str">
        <f>IFERROR(__xludf.DUMMYFUNCTION("""COMPUTED_VALUE"""),"نوتري ميل غذاء مختلط للهامستر 600 جم")</f>
        <v>نوتري ميل غذاء مختلط للهامستر 600 جم</v>
      </c>
      <c r="H423" s="133"/>
      <c r="I423" s="133"/>
      <c r="J423" s="133"/>
      <c r="K423" s="133" t="str">
        <f>IFERROR(__xludf.DUMMYFUNCTION("""COMPUTED_VALUE"""),"زولكس ساس")</f>
        <v>زولكس ساس</v>
      </c>
      <c r="L423" s="133"/>
      <c r="M423" s="133"/>
      <c r="N423" s="133"/>
      <c r="O423" s="133"/>
      <c r="P423" s="133"/>
      <c r="Q423" s="133"/>
      <c r="R423" s="133"/>
      <c r="S423" s="133"/>
      <c r="T423" s="133"/>
      <c r="U423" s="133"/>
      <c r="V423" s="133"/>
      <c r="W423" s="133"/>
      <c r="X423" s="133"/>
      <c r="Y423" s="133"/>
      <c r="Z423" s="133"/>
    </row>
    <row r="424">
      <c r="A424" s="133">
        <f>IFERROR(__xludf.DUMMYFUNCTION("""COMPUTED_VALUE"""),423.0)</f>
        <v>423</v>
      </c>
      <c r="B424" s="133" t="str">
        <f>IFERROR(__xludf.DUMMYFUNCTION("""COMPUTED_VALUE"""),"482770")</f>
        <v>482770</v>
      </c>
      <c r="C424" s="133" t="str">
        <f>IFERROR(__xludf.DUMMYFUNCTION("""COMPUTED_VALUE"""),"P-1-N-181220-4886")</f>
        <v>P-1-N-181220-4886</v>
      </c>
      <c r="D424" s="133"/>
      <c r="E424" s="133" t="str">
        <f>IFERROR(__xludf.DUMMYFUNCTION("""COMPUTED_VALUE"""),"تمت طباعة الشهادة")</f>
        <v>تمت طباعة الشهادة</v>
      </c>
      <c r="F424" s="133" t="str">
        <f>IFERROR(__xludf.DUMMYFUNCTION("""COMPUTED_VALUE"""),"Snack Chicken Fillets 70g Rich in Chicken")</f>
        <v>Snack Chicken Fillets 70g Rich in Chicken</v>
      </c>
      <c r="G424" s="133" t="str">
        <f>IFERROR(__xludf.DUMMYFUNCTION("""COMPUTED_VALUE"""),"سناك فيليه دجاج 70 جم غني بالدجاج")</f>
        <v>سناك فيليه دجاج 70 جم غني بالدجاج</v>
      </c>
      <c r="H424" s="133" t="str">
        <f>IFERROR(__xludf.DUMMYFUNCTION("""COMPUTED_VALUE"""),"MAFE20202345")</f>
        <v>MAFE20202345</v>
      </c>
      <c r="I424" s="133"/>
      <c r="J424" s="133"/>
      <c r="K424" s="133" t="str">
        <f>IFERROR(__xludf.DUMMYFUNCTION("""COMPUTED_VALUE"""),"يانتاي هوس بت فود تك كو")</f>
        <v>يانتاي هوس بت فود تك كو</v>
      </c>
      <c r="L424" s="142" t="str">
        <f>IFERROR(__xludf.DUMMYFUNCTION("""COMPUTED_VALUE"""),"482770")</f>
        <v>482770</v>
      </c>
      <c r="M424" s="133"/>
      <c r="N424" s="133"/>
      <c r="O424" s="133"/>
      <c r="P424" s="133"/>
      <c r="Q424" s="133"/>
      <c r="R424" s="133"/>
      <c r="S424" s="133"/>
      <c r="T424" s="133"/>
      <c r="U424" s="133"/>
      <c r="V424" s="133"/>
      <c r="W424" s="133"/>
      <c r="X424" s="133"/>
      <c r="Y424" s="133"/>
      <c r="Z424" s="133"/>
    </row>
    <row r="425">
      <c r="A425" s="133">
        <f>IFERROR(__xludf.DUMMYFUNCTION("""COMPUTED_VALUE"""),424.0)</f>
        <v>424</v>
      </c>
      <c r="B425" s="133" t="str">
        <f>IFERROR(__xludf.DUMMYFUNCTION("""COMPUTED_VALUE"""),"482775")</f>
        <v>482775</v>
      </c>
      <c r="C425" s="133" t="str">
        <f>IFERROR(__xludf.DUMMYFUNCTION("""COMPUTED_VALUE"""),"P-1-N-181220-4887")</f>
        <v>P-1-N-181220-4887</v>
      </c>
      <c r="D425" s="133"/>
      <c r="E425" s="133" t="str">
        <f>IFERROR(__xludf.DUMMYFUNCTION("""COMPUTED_VALUE"""),"REJECTED")</f>
        <v>REJECTED</v>
      </c>
      <c r="F425" s="133" t="str">
        <f>IFERROR(__xludf.DUMMYFUNCTION("""COMPUTED_VALUE"""),"Snack Chewing Sticks with Chicken x10 Rich in Chicken 85g")</f>
        <v>Snack Chewing Sticks with Chicken x10 Rich in Chicken 85g</v>
      </c>
      <c r="G425" s="133" t="str">
        <f>IFERROR(__xludf.DUMMYFUNCTION("""COMPUTED_VALUE"""),"سناك اصابع مضغ بالدجاج ×10 غنية بالدجاج 85 جم")</f>
        <v>سناك اصابع مضغ بالدجاج ×10 غنية بالدجاج 85 جم</v>
      </c>
      <c r="H425" s="133"/>
      <c r="I425" s="133"/>
      <c r="J425" s="133"/>
      <c r="K425" s="133" t="str">
        <f>IFERROR(__xludf.DUMMYFUNCTION("""COMPUTED_VALUE"""),"يانتاي هوس بت فود تك كو")</f>
        <v>يانتاي هوس بت فود تك كو</v>
      </c>
      <c r="L425" s="142" t="str">
        <f>IFERROR(__xludf.DUMMYFUNCTION("""COMPUTED_VALUE"""),"482775")</f>
        <v>482775</v>
      </c>
      <c r="M425" s="133"/>
      <c r="N425" s="133"/>
      <c r="O425" s="133"/>
      <c r="P425" s="133"/>
      <c r="Q425" s="133"/>
      <c r="R425" s="133"/>
      <c r="S425" s="133"/>
      <c r="T425" s="133"/>
      <c r="U425" s="133"/>
      <c r="V425" s="133"/>
      <c r="W425" s="133"/>
      <c r="X425" s="133"/>
      <c r="Y425" s="133"/>
      <c r="Z425" s="133"/>
    </row>
    <row r="426">
      <c r="A426" s="133">
        <f>IFERROR(__xludf.DUMMYFUNCTION("""COMPUTED_VALUE"""),425.0)</f>
        <v>425</v>
      </c>
      <c r="B426" s="133"/>
      <c r="C426" s="133" t="str">
        <f>IFERROR(__xludf.DUMMYFUNCTION("""COMPUTED_VALUE"""),"P-1-N-181220-4888")</f>
        <v>P-1-N-181220-4888</v>
      </c>
      <c r="D426" s="133"/>
      <c r="E426" s="133" t="str">
        <f>IFERROR(__xludf.DUMMYFUNCTION("""COMPUTED_VALUE"""),"تمت طباعة الشهادة")</f>
        <v>تمت طباعة الشهادة</v>
      </c>
      <c r="F426" s="133">
        <f>IFERROR(__xludf.DUMMYFUNCTION("""COMPUTED_VALUE"""),0.0)</f>
        <v>0</v>
      </c>
      <c r="G426" s="133" t="str">
        <f>IFERROR(__xludf.DUMMYFUNCTION("""COMPUTED_VALUE"""),"تشو درم ستيكس بالدجاج ×7 70 جم")</f>
        <v>تشو درم ستيكس بالدجاج ×7 70 جم</v>
      </c>
      <c r="H426" s="133" t="str">
        <f>IFERROR(__xludf.DUMMYFUNCTION("""COMPUTED_VALUE"""),"MAFE20202344")</f>
        <v>MAFE20202344</v>
      </c>
      <c r="I426" s="133"/>
      <c r="J426" s="133"/>
      <c r="K426" s="133" t="str">
        <f>IFERROR(__xludf.DUMMYFUNCTION("""COMPUTED_VALUE"""),"يانتاي هوس بت فود تك كو")</f>
        <v>يانتاي هوس بت فود تك كو</v>
      </c>
      <c r="L426" s="133"/>
      <c r="M426" s="133"/>
      <c r="N426" s="133"/>
      <c r="O426" s="133"/>
      <c r="P426" s="133"/>
      <c r="Q426" s="133"/>
      <c r="R426" s="133"/>
      <c r="S426" s="133"/>
      <c r="T426" s="133"/>
      <c r="U426" s="133"/>
      <c r="V426" s="133"/>
      <c r="W426" s="133"/>
      <c r="X426" s="133"/>
      <c r="Y426" s="133"/>
      <c r="Z426" s="133"/>
    </row>
    <row r="427">
      <c r="A427" s="133">
        <f>IFERROR(__xludf.DUMMYFUNCTION("""COMPUTED_VALUE"""),426.0)</f>
        <v>426</v>
      </c>
      <c r="B427" s="133" t="str">
        <f>IFERROR(__xludf.DUMMYFUNCTION("""COMPUTED_VALUE"""),"482777")</f>
        <v>482777</v>
      </c>
      <c r="C427" s="133" t="str">
        <f>IFERROR(__xludf.DUMMYFUNCTION("""COMPUTED_VALUE"""),"P-1-N-181220-4889")</f>
        <v>P-1-N-181220-4889</v>
      </c>
      <c r="D427" s="133"/>
      <c r="E427" s="133" t="str">
        <f>IFERROR(__xludf.DUMMYFUNCTION("""COMPUTED_VALUE"""),"تمت طباعة الشهادة")</f>
        <v>تمت طباعة الشهادة</v>
      </c>
      <c r="F427" s="133" t="str">
        <f>IFERROR(__xludf.DUMMYFUNCTION("""COMPUTED_VALUE"""),"Snack Chewing Bones with Chicken XS x7 Rich in Chicken 90g")</f>
        <v>Snack Chewing Bones with Chicken XS x7 Rich in Chicken 90g</v>
      </c>
      <c r="G427" s="133" t="str">
        <f>IFERROR(__xludf.DUMMYFUNCTION("""COMPUTED_VALUE"""),"سناك عظام المضغ بالدجاج صغير جدا ×7 غني بالدجاج")</f>
        <v>سناك عظام المضغ بالدجاج صغير جدا ×7 غني بالدجاج</v>
      </c>
      <c r="H427" s="133" t="str">
        <f>IFERROR(__xludf.DUMMYFUNCTION("""COMPUTED_VALUE"""),"MAFE20202339")</f>
        <v>MAFE20202339</v>
      </c>
      <c r="I427" s="133"/>
      <c r="J427" s="133"/>
      <c r="K427" s="133" t="str">
        <f>IFERROR(__xludf.DUMMYFUNCTION("""COMPUTED_VALUE"""),"يانتاي")</f>
        <v>يانتاي</v>
      </c>
      <c r="L427" s="142" t="str">
        <f>IFERROR(__xludf.DUMMYFUNCTION("""COMPUTED_VALUE"""),"482777")</f>
        <v>482777</v>
      </c>
      <c r="M427" s="133"/>
      <c r="N427" s="133"/>
      <c r="O427" s="133"/>
      <c r="P427" s="133"/>
      <c r="Q427" s="133"/>
      <c r="R427" s="133"/>
      <c r="S427" s="133"/>
      <c r="T427" s="133"/>
      <c r="U427" s="133"/>
      <c r="V427" s="133"/>
      <c r="W427" s="133"/>
      <c r="X427" s="133"/>
      <c r="Y427" s="133"/>
      <c r="Z427" s="133"/>
    </row>
    <row r="428">
      <c r="A428" s="133">
        <f>IFERROR(__xludf.DUMMYFUNCTION("""COMPUTED_VALUE"""),427.0)</f>
        <v>427</v>
      </c>
      <c r="B428" s="133" t="str">
        <f>IFERROR(__xludf.DUMMYFUNCTION("""COMPUTED_VALUE"""),"482779")</f>
        <v>482779</v>
      </c>
      <c r="C428" s="133" t="str">
        <f>IFERROR(__xludf.DUMMYFUNCTION("""COMPUTED_VALUE"""),"P-1-N-181220-4890")</f>
        <v>P-1-N-181220-4890</v>
      </c>
      <c r="D428" s="133"/>
      <c r="E428" s="133" t="str">
        <f>IFERROR(__xludf.DUMMYFUNCTION("""COMPUTED_VALUE"""),"تمت طباعة الشهادة")</f>
        <v>تمت طباعة الشهادة</v>
      </c>
      <c r="F428" s="133" t="str">
        <f>IFERROR(__xludf.DUMMYFUNCTION("""COMPUTED_VALUE"""),"Snack Chewing Bones with Chicken M x1 Rich in Chicken 65g")</f>
        <v>Snack Chewing Bones with Chicken M x1 Rich in Chicken 65g</v>
      </c>
      <c r="G428" s="133" t="str">
        <f>IFERROR(__xludf.DUMMYFUNCTION("""COMPUTED_VALUE"""),"سناك عظام المضغ بالدجاج متوسط ×1 غني بالدجاج 65 جم")</f>
        <v>سناك عظام المضغ بالدجاج متوسط ×1 غني بالدجاج 65 جم</v>
      </c>
      <c r="H428" s="133" t="str">
        <f>IFERROR(__xludf.DUMMYFUNCTION("""COMPUTED_VALUE"""),"MAFE20202343")</f>
        <v>MAFE20202343</v>
      </c>
      <c r="I428" s="133"/>
      <c r="J428" s="133"/>
      <c r="K428" s="133" t="str">
        <f>IFERROR(__xludf.DUMMYFUNCTION("""COMPUTED_VALUE"""),"يانتاي هوس بت فود تك كو")</f>
        <v>يانتاي هوس بت فود تك كو</v>
      </c>
      <c r="L428" s="142" t="str">
        <f>IFERROR(__xludf.DUMMYFUNCTION("""COMPUTED_VALUE"""),"482779")</f>
        <v>482779</v>
      </c>
      <c r="M428" s="133"/>
      <c r="N428" s="133"/>
      <c r="O428" s="133"/>
      <c r="P428" s="133"/>
      <c r="Q428" s="133"/>
      <c r="R428" s="133"/>
      <c r="S428" s="133"/>
      <c r="T428" s="133"/>
      <c r="U428" s="133"/>
      <c r="V428" s="133"/>
      <c r="W428" s="133"/>
      <c r="X428" s="133"/>
      <c r="Y428" s="133"/>
      <c r="Z428" s="133"/>
    </row>
    <row r="429">
      <c r="A429" s="133">
        <f>IFERROR(__xludf.DUMMYFUNCTION("""COMPUTED_VALUE"""),428.0)</f>
        <v>428</v>
      </c>
      <c r="B429" s="133"/>
      <c r="C429" s="133" t="str">
        <f>IFERROR(__xludf.DUMMYFUNCTION("""COMPUTED_VALUE"""),"P-1-N-181220-4891")</f>
        <v>P-1-N-181220-4891</v>
      </c>
      <c r="D429" s="133"/>
      <c r="E429" s="133" t="str">
        <f>IFERROR(__xludf.DUMMYFUNCTION("""COMPUTED_VALUE"""),"REJECTED")</f>
        <v>REJECTED</v>
      </c>
      <c r="F429" s="133" t="str">
        <f>IFERROR(__xludf.DUMMYFUNCTION("""COMPUTED_VALUE"""),"Chewing Bone with Chicken S x2 55g")</f>
        <v>Chewing Bone with Chicken S x2 55g</v>
      </c>
      <c r="G429" s="133" t="str">
        <f>IFERROR(__xludf.DUMMYFUNCTION("""COMPUTED_VALUE"""),"عظام")</f>
        <v>عظام</v>
      </c>
      <c r="H429" s="133"/>
      <c r="I429" s="133"/>
      <c r="J429" s="133"/>
      <c r="K429" s="133" t="str">
        <f>IFERROR(__xludf.DUMMYFUNCTION("""COMPUTED_VALUE"""),"يانتاي هوس بت فود تك كو")</f>
        <v>يانتاي هوس بت فود تك كو</v>
      </c>
      <c r="L429" s="133"/>
      <c r="M429" s="133"/>
      <c r="N429" s="133"/>
      <c r="O429" s="133"/>
      <c r="P429" s="133"/>
      <c r="Q429" s="133"/>
      <c r="R429" s="133"/>
      <c r="S429" s="133"/>
      <c r="T429" s="133"/>
      <c r="U429" s="133"/>
      <c r="V429" s="133"/>
      <c r="W429" s="133"/>
      <c r="X429" s="133"/>
      <c r="Y429" s="133"/>
      <c r="Z429" s="133"/>
    </row>
    <row r="430">
      <c r="A430" s="133">
        <f>IFERROR(__xludf.DUMMYFUNCTION("""COMPUTED_VALUE"""),429.0)</f>
        <v>429</v>
      </c>
      <c r="B430" s="133"/>
      <c r="C430" s="133" t="str">
        <f>IFERROR(__xludf.DUMMYFUNCTION("""COMPUTED_VALUE"""),"P-1-N-211220-4958")</f>
        <v>P-1-N-211220-4958</v>
      </c>
      <c r="D430" s="133"/>
      <c r="E430" s="133" t="str">
        <f>IFERROR(__xludf.DUMMYFUNCTION("""COMPUTED_VALUE"""),"تمت طباعة الشهادة")</f>
        <v>تمت طباعة الشهادة</v>
      </c>
      <c r="F430" s="133" t="str">
        <f>IFERROR(__xludf.DUMMYFUNCTION("""COMPUTED_VALUE"""),"Chicken with Cheese 70g")</f>
        <v>Chicken with Cheese 70g</v>
      </c>
      <c r="G430" s="133" t="str">
        <f>IFERROR(__xludf.DUMMYFUNCTION("""COMPUTED_VALUE"""),"دجاج بالجبن 70 جم")</f>
        <v>دجاج بالجبن 70 جم</v>
      </c>
      <c r="H430" s="133" t="str">
        <f>IFERROR(__xludf.DUMMYFUNCTION("""COMPUTED_VALUE"""),"MAFE20202390")</f>
        <v>MAFE20202390</v>
      </c>
      <c r="I430" s="133"/>
      <c r="J430" s="133"/>
      <c r="K430" s="133" t="str">
        <f>IFERROR(__xludf.DUMMYFUNCTION("""COMPUTED_VALUE"""),"أم بي أم برودكتس ليمتد")</f>
        <v>أم بي أم برودكتس ليمتد</v>
      </c>
      <c r="L430" s="133"/>
      <c r="M430" s="133"/>
      <c r="N430" s="133"/>
      <c r="O430" s="133"/>
      <c r="P430" s="133"/>
      <c r="Q430" s="133"/>
      <c r="R430" s="133"/>
      <c r="S430" s="133"/>
      <c r="T430" s="133"/>
      <c r="U430" s="133"/>
      <c r="V430" s="133"/>
      <c r="W430" s="133"/>
      <c r="X430" s="133"/>
      <c r="Y430" s="133"/>
      <c r="Z430" s="133"/>
    </row>
    <row r="431">
      <c r="A431" s="133">
        <f>IFERROR(__xludf.DUMMYFUNCTION("""COMPUTED_VALUE"""),430.0)</f>
        <v>430</v>
      </c>
      <c r="B431" s="133" t="str">
        <f>IFERROR(__xludf.DUMMYFUNCTION("""COMPUTED_VALUE"""),"A1007")</f>
        <v>A1007</v>
      </c>
      <c r="C431" s="133" t="str">
        <f>IFERROR(__xludf.DUMMYFUNCTION("""COMPUTED_VALUE"""),"P-1-N-211220-4959")</f>
        <v>P-1-N-211220-4959</v>
      </c>
      <c r="D431" s="133"/>
      <c r="E431" s="133" t="str">
        <f>IFERROR(__xludf.DUMMYFUNCTION("""COMPUTED_VALUE"""),"تمت طباعة الشهادة")</f>
        <v>تمت طباعة الشهادة</v>
      </c>
      <c r="F431" s="133" t="str">
        <f>IFERROR(__xludf.DUMMYFUNCTION("""COMPUTED_VALUE"""),"Tuna with Cheese 70g")</f>
        <v>Tuna with Cheese 70g</v>
      </c>
      <c r="G431" s="133" t="str">
        <f>IFERROR(__xludf.DUMMYFUNCTION("""COMPUTED_VALUE"""),"تونة بالجبن 70 جم")</f>
        <v>تونة بالجبن 70 جم</v>
      </c>
      <c r="H431" s="133" t="str">
        <f>IFERROR(__xludf.DUMMYFUNCTION("""COMPUTED_VALUE"""),"MAFE20202389")</f>
        <v>MAFE20202389</v>
      </c>
      <c r="I431" s="133"/>
      <c r="J431" s="133"/>
      <c r="K431" s="133" t="str">
        <f>IFERROR(__xludf.DUMMYFUNCTION("""COMPUTED_VALUE"""),"أم بي أم برودكتس ليمتد")</f>
        <v>أم بي أم برودكتس ليمتد</v>
      </c>
      <c r="L431" s="142" t="str">
        <f>IFERROR(__xludf.DUMMYFUNCTION("""COMPUTED_VALUE"""),"A1007")</f>
        <v>A1007</v>
      </c>
      <c r="M431" s="133"/>
      <c r="N431" s="133"/>
      <c r="O431" s="133"/>
      <c r="P431" s="133"/>
      <c r="Q431" s="133"/>
      <c r="R431" s="133"/>
      <c r="S431" s="133"/>
      <c r="T431" s="133"/>
      <c r="U431" s="133"/>
      <c r="V431" s="133"/>
      <c r="W431" s="133"/>
      <c r="X431" s="133"/>
      <c r="Y431" s="133"/>
      <c r="Z431" s="133"/>
    </row>
    <row r="432">
      <c r="A432" s="133">
        <f>IFERROR(__xludf.DUMMYFUNCTION("""COMPUTED_VALUE"""),431.0)</f>
        <v>431</v>
      </c>
      <c r="B432" s="133" t="str">
        <f>IFERROR(__xludf.DUMMYFUNCTION("""COMPUTED_VALUE"""),"A1008")</f>
        <v>A1008</v>
      </c>
      <c r="C432" s="133" t="str">
        <f>IFERROR(__xludf.DUMMYFUNCTION("""COMPUTED_VALUE"""),"P-1-N-211220-4961")</f>
        <v>P-1-N-211220-4961</v>
      </c>
      <c r="D432" s="133"/>
      <c r="E432" s="133" t="str">
        <f>IFERROR(__xludf.DUMMYFUNCTION("""COMPUTED_VALUE"""),"تمت طباعة الشهادة")</f>
        <v>تمت طباعة الشهادة</v>
      </c>
      <c r="F432" s="133" t="str">
        <f>IFERROR(__xludf.DUMMYFUNCTION("""COMPUTED_VALUE"""),"Tuna with Shrimp 70g")</f>
        <v>Tuna with Shrimp 70g</v>
      </c>
      <c r="G432" s="133" t="str">
        <f>IFERROR(__xludf.DUMMYFUNCTION("""COMPUTED_VALUE"""),"تونة بالجمبري 70 جم")</f>
        <v>تونة بالجمبري 70 جم</v>
      </c>
      <c r="H432" s="133" t="str">
        <f>IFERROR(__xludf.DUMMYFUNCTION("""COMPUTED_VALUE"""),"MAFE2021293")</f>
        <v>MAFE2021293</v>
      </c>
      <c r="I432" s="133"/>
      <c r="J432" s="133"/>
      <c r="K432" s="133" t="str">
        <f>IFERROR(__xludf.DUMMYFUNCTION("""COMPUTED_VALUE"""),"أم بي أم برودكتس ليمتد")</f>
        <v>أم بي أم برودكتس ليمتد</v>
      </c>
      <c r="L432" s="142" t="str">
        <f>IFERROR(__xludf.DUMMYFUNCTION("""COMPUTED_VALUE"""),"A1008")</f>
        <v>A1008</v>
      </c>
      <c r="M432" s="133"/>
      <c r="N432" s="133"/>
      <c r="O432" s="133"/>
      <c r="P432" s="133"/>
      <c r="Q432" s="133"/>
      <c r="R432" s="133"/>
      <c r="S432" s="133"/>
      <c r="T432" s="133"/>
      <c r="U432" s="133"/>
      <c r="V432" s="133"/>
      <c r="W432" s="133"/>
      <c r="X432" s="133"/>
      <c r="Y432" s="133"/>
      <c r="Z432" s="133"/>
    </row>
    <row r="433">
      <c r="A433" s="133">
        <f>IFERROR(__xludf.DUMMYFUNCTION("""COMPUTED_VALUE"""),432.0)</f>
        <v>432</v>
      </c>
      <c r="B433" s="133" t="str">
        <f>IFERROR(__xludf.DUMMYFUNCTION("""COMPUTED_VALUE"""),"A1010")</f>
        <v>A1010</v>
      </c>
      <c r="C433" s="133" t="str">
        <f>IFERROR(__xludf.DUMMYFUNCTION("""COMPUTED_VALUE"""),"P-1-N-211220-4963")</f>
        <v>P-1-N-211220-4963</v>
      </c>
      <c r="D433" s="133"/>
      <c r="E433" s="133" t="str">
        <f>IFERROR(__xludf.DUMMYFUNCTION("""COMPUTED_VALUE"""),"تمت طباعة الشهادة")</f>
        <v>تمت طباعة الشهادة</v>
      </c>
      <c r="F433" s="133" t="str">
        <f>IFERROR(__xludf.DUMMYFUNCTION("""COMPUTED_VALUE"""),"Chicken with Pumpkin 70g")</f>
        <v>Chicken with Pumpkin 70g</v>
      </c>
      <c r="G433" s="133" t="str">
        <f>IFERROR(__xludf.DUMMYFUNCTION("""COMPUTED_VALUE"""),"دجاج بالقرع 70 جم")</f>
        <v>دجاج بالقرع 70 جم</v>
      </c>
      <c r="H433" s="133" t="str">
        <f>IFERROR(__xludf.DUMMYFUNCTION("""COMPUTED_VALUE"""),"MAFE20202388")</f>
        <v>MAFE20202388</v>
      </c>
      <c r="I433" s="133"/>
      <c r="J433" s="133"/>
      <c r="K433" s="133" t="str">
        <f>IFERROR(__xludf.DUMMYFUNCTION("""COMPUTED_VALUE"""),"أم بي أم برودكتس ليمتد")</f>
        <v>أم بي أم برودكتس ليمتد</v>
      </c>
      <c r="L433" s="142" t="str">
        <f>IFERROR(__xludf.DUMMYFUNCTION("""COMPUTED_VALUE"""),"A1010")</f>
        <v>A1010</v>
      </c>
      <c r="M433" s="133"/>
      <c r="N433" s="133"/>
      <c r="O433" s="133"/>
      <c r="P433" s="133"/>
      <c r="Q433" s="133"/>
      <c r="R433" s="133"/>
      <c r="S433" s="133"/>
      <c r="T433" s="133"/>
      <c r="U433" s="133"/>
      <c r="V433" s="133"/>
      <c r="W433" s="133"/>
      <c r="X433" s="133"/>
      <c r="Y433" s="133"/>
      <c r="Z433" s="133"/>
    </row>
    <row r="434">
      <c r="A434" s="133">
        <f>IFERROR(__xludf.DUMMYFUNCTION("""COMPUTED_VALUE"""),433.0)</f>
        <v>433</v>
      </c>
      <c r="B434" s="133" t="str">
        <f>IFERROR(__xludf.DUMMYFUNCTION("""COMPUTED_VALUE"""),"A1025")</f>
        <v>A1025</v>
      </c>
      <c r="C434" s="133" t="str">
        <f>IFERROR(__xludf.DUMMYFUNCTION("""COMPUTED_VALUE"""),"P-1-N-211220-4964")</f>
        <v>P-1-N-211220-4964</v>
      </c>
      <c r="D434" s="133"/>
      <c r="E434" s="133" t="str">
        <f>IFERROR(__xludf.DUMMYFUNCTION("""COMPUTED_VALUE"""),"تمت طباعة الشهادة")</f>
        <v>تمت طباعة الشهادة</v>
      </c>
      <c r="F434" s="133" t="str">
        <f>IFERROR(__xludf.DUMMYFUNCTION("""COMPUTED_VALUE"""),"Chicken with Duck 70g")</f>
        <v>Chicken with Duck 70g</v>
      </c>
      <c r="G434" s="133" t="str">
        <f>IFERROR(__xludf.DUMMYFUNCTION("""COMPUTED_VALUE"""),"دجاج بالبط 70 جم")</f>
        <v>دجاج بالبط 70 جم</v>
      </c>
      <c r="H434" s="133" t="str">
        <f>IFERROR(__xludf.DUMMYFUNCTION("""COMPUTED_VALUE"""),"MAFE20202387")</f>
        <v>MAFE20202387</v>
      </c>
      <c r="I434" s="133"/>
      <c r="J434" s="133"/>
      <c r="K434" s="133" t="str">
        <f>IFERROR(__xludf.DUMMYFUNCTION("""COMPUTED_VALUE"""),"أم بي أم برودكتس ليمتد")</f>
        <v>أم بي أم برودكتس ليمتد</v>
      </c>
      <c r="L434" s="142" t="str">
        <f>IFERROR(__xludf.DUMMYFUNCTION("""COMPUTED_VALUE"""),"A1025")</f>
        <v>A1025</v>
      </c>
      <c r="M434" s="133"/>
      <c r="N434" s="133"/>
      <c r="O434" s="133"/>
      <c r="P434" s="133"/>
      <c r="Q434" s="133"/>
      <c r="R434" s="133"/>
      <c r="S434" s="133"/>
      <c r="T434" s="133"/>
      <c r="U434" s="133"/>
      <c r="V434" s="133"/>
      <c r="W434" s="133"/>
      <c r="X434" s="133"/>
      <c r="Y434" s="133"/>
      <c r="Z434" s="133"/>
    </row>
    <row r="435">
      <c r="A435" s="133">
        <f>IFERROR(__xludf.DUMMYFUNCTION("""COMPUTED_VALUE"""),434.0)</f>
        <v>434</v>
      </c>
      <c r="B435" s="133" t="str">
        <f>IFERROR(__xludf.DUMMYFUNCTION("""COMPUTED_VALUE"""),"A1026")</f>
        <v>A1026</v>
      </c>
      <c r="C435" s="133" t="str">
        <f>IFERROR(__xludf.DUMMYFUNCTION("""COMPUTED_VALUE"""),"P-1-N-211220-4965")</f>
        <v>P-1-N-211220-4965</v>
      </c>
      <c r="D435" s="133"/>
      <c r="E435" s="133" t="str">
        <f>IFERROR(__xludf.DUMMYFUNCTION("""COMPUTED_VALUE"""),"تمت طباعة الشهادة")</f>
        <v>تمت طباعة الشهادة</v>
      </c>
      <c r="F435" s="133" t="str">
        <f>IFERROR(__xludf.DUMMYFUNCTION("""COMPUTED_VALUE"""),"Tuna Fillet with Crab 70g")</f>
        <v>Tuna Fillet with Crab 70g</v>
      </c>
      <c r="G435" s="133" t="str">
        <f>IFERROR(__xludf.DUMMYFUNCTION("""COMPUTED_VALUE"""),"فيليه تونة مع السلطعون 70 جم")</f>
        <v>فيليه تونة مع السلطعون 70 جم</v>
      </c>
      <c r="H435" s="133" t="str">
        <f>IFERROR(__xludf.DUMMYFUNCTION("""COMPUTED_VALUE"""),"MAFE20202405")</f>
        <v>MAFE20202405</v>
      </c>
      <c r="I435" s="133"/>
      <c r="J435" s="133"/>
      <c r="K435" s="133" t="str">
        <f>IFERROR(__xludf.DUMMYFUNCTION("""COMPUTED_VALUE"""),"أم بي أم برودكتس ليمتد")</f>
        <v>أم بي أم برودكتس ليمتد</v>
      </c>
      <c r="L435" s="142" t="str">
        <f>IFERROR(__xludf.DUMMYFUNCTION("""COMPUTED_VALUE"""),"A1026")</f>
        <v>A1026</v>
      </c>
      <c r="M435" s="133"/>
      <c r="N435" s="133"/>
      <c r="O435" s="133"/>
      <c r="P435" s="133"/>
      <c r="Q435" s="133"/>
      <c r="R435" s="133"/>
      <c r="S435" s="133"/>
      <c r="T435" s="133"/>
      <c r="U435" s="133"/>
      <c r="V435" s="133"/>
      <c r="W435" s="133"/>
      <c r="X435" s="133"/>
      <c r="Y435" s="133"/>
      <c r="Z435" s="133"/>
    </row>
    <row r="436">
      <c r="A436" s="133">
        <f>IFERROR(__xludf.DUMMYFUNCTION("""COMPUTED_VALUE"""),435.0)</f>
        <v>435</v>
      </c>
      <c r="B436" s="133"/>
      <c r="C436" s="133" t="str">
        <f>IFERROR(__xludf.DUMMYFUNCTION("""COMPUTED_VALUE"""),"P-1-N-211220-4966")</f>
        <v>P-1-N-211220-4966</v>
      </c>
      <c r="D436" s="133"/>
      <c r="E436" s="133" t="str">
        <f>IFERROR(__xludf.DUMMYFUNCTION("""COMPUTED_VALUE"""),"تمت طباعة الشهادة")</f>
        <v>تمت طباعة الشهادة</v>
      </c>
      <c r="F436" s="133">
        <f>IFERROR(__xludf.DUMMYFUNCTION("""COMPUTED_VALUE"""),0.0)</f>
        <v>0</v>
      </c>
      <c r="G436" s="133" t="str">
        <f>IFERROR(__xludf.DUMMYFUNCTION("""COMPUTED_VALUE"""),"فيليه تونة مع السلطعون 60 جم")</f>
        <v>فيليه تونة مع السلطعون 60 جم</v>
      </c>
      <c r="H436" s="133" t="str">
        <f>IFERROR(__xludf.DUMMYFUNCTION("""COMPUTED_VALUE"""),"MAFE20202404")</f>
        <v>MAFE20202404</v>
      </c>
      <c r="I436" s="133"/>
      <c r="J436" s="133"/>
      <c r="K436" s="133" t="str">
        <f>IFERROR(__xludf.DUMMYFUNCTION("""COMPUTED_VALUE"""),"أم بي أم برودكتس ليمتد")</f>
        <v>أم بي أم برودكتس ليمتد</v>
      </c>
      <c r="L436" s="133"/>
      <c r="M436" s="133"/>
      <c r="N436" s="133"/>
      <c r="O436" s="133"/>
      <c r="P436" s="133"/>
      <c r="Q436" s="133"/>
      <c r="R436" s="133"/>
      <c r="S436" s="133"/>
      <c r="T436" s="133"/>
      <c r="U436" s="133"/>
      <c r="V436" s="133"/>
      <c r="W436" s="133"/>
      <c r="X436" s="133"/>
      <c r="Y436" s="133"/>
      <c r="Z436" s="133"/>
    </row>
    <row r="437">
      <c r="A437" s="133">
        <f>IFERROR(__xludf.DUMMYFUNCTION("""COMPUTED_VALUE"""),436.0)</f>
        <v>436</v>
      </c>
      <c r="B437" s="133" t="str">
        <f>IFERROR(__xludf.DUMMYFUNCTION("""COMPUTED_VALUE"""),"A8007")</f>
        <v>A8007</v>
      </c>
      <c r="C437" s="133" t="str">
        <f>IFERROR(__xludf.DUMMYFUNCTION("""COMPUTED_VALUE"""),"P-1-N-211220-4967")</f>
        <v>P-1-N-211220-4967</v>
      </c>
      <c r="D437" s="133"/>
      <c r="E437" s="133" t="str">
        <f>IFERROR(__xludf.DUMMYFUNCTION("""COMPUTED_VALUE"""),"تمت طباعة الشهادة")</f>
        <v>تمت طباعة الشهادة</v>
      </c>
      <c r="F437" s="133" t="str">
        <f>IFERROR(__xludf.DUMMYFUNCTION("""COMPUTED_VALUE"""),"Chicken and Rice 70g")</f>
        <v>Chicken and Rice 70g</v>
      </c>
      <c r="G437" s="133" t="str">
        <f>IFERROR(__xludf.DUMMYFUNCTION("""COMPUTED_VALUE"""),"دجاج و أرز 70 جم")</f>
        <v>دجاج و أرز 70 جم</v>
      </c>
      <c r="H437" s="133" t="str">
        <f>IFERROR(__xludf.DUMMYFUNCTION("""COMPUTED_VALUE"""),"MAFE20202386")</f>
        <v>MAFE20202386</v>
      </c>
      <c r="I437" s="133"/>
      <c r="J437" s="133"/>
      <c r="K437" s="133" t="str">
        <f>IFERROR(__xludf.DUMMYFUNCTION("""COMPUTED_VALUE"""),"أم")</f>
        <v>أم</v>
      </c>
      <c r="L437" s="142" t="str">
        <f>IFERROR(__xludf.DUMMYFUNCTION("""COMPUTED_VALUE"""),"A8007")</f>
        <v>A8007</v>
      </c>
      <c r="M437" s="133"/>
      <c r="N437" s="133"/>
      <c r="O437" s="133"/>
      <c r="P437" s="133"/>
      <c r="Q437" s="133"/>
      <c r="R437" s="133"/>
      <c r="S437" s="133"/>
      <c r="T437" s="133"/>
      <c r="U437" s="133"/>
      <c r="V437" s="133"/>
      <c r="W437" s="133"/>
      <c r="X437" s="133"/>
      <c r="Y437" s="133"/>
      <c r="Z437" s="133"/>
    </row>
    <row r="438">
      <c r="A438" s="133">
        <f>IFERROR(__xludf.DUMMYFUNCTION("""COMPUTED_VALUE"""),437.0)</f>
        <v>437</v>
      </c>
      <c r="B438" s="133" t="str">
        <f>IFERROR(__xludf.DUMMYFUNCTION("""COMPUTED_VALUE"""),"C02900101")</f>
        <v>C02900101</v>
      </c>
      <c r="C438" s="133" t="str">
        <f>IFERROR(__xludf.DUMMYFUNCTION("""COMPUTED_VALUE"""),"P-1-N-231220-5018")</f>
        <v>P-1-N-231220-5018</v>
      </c>
      <c r="D438" s="133"/>
      <c r="E438" s="133" t="str">
        <f>IFERROR(__xludf.DUMMYFUNCTION("""COMPUTED_VALUE"""),"REJECTED")</f>
        <v>REJECTED</v>
      </c>
      <c r="F438" s="133" t="str">
        <f>IFERROR(__xludf.DUMMYFUNCTION("""COMPUTED_VALUE"""),"Schesir NS Dry Duck 350g")</f>
        <v>Schesir NS Dry Duck 350g</v>
      </c>
      <c r="G438" s="133" t="str">
        <f>IFERROR(__xludf.DUMMYFUNCTION("""COMPUTED_VALUE"""),"شيزير أن أس طعام جاف بالبط 350 جم")</f>
        <v>شيزير أن أس طعام جاف بالبط 350 جم</v>
      </c>
      <c r="H438" s="133"/>
      <c r="I438" s="133"/>
      <c r="J438" s="133"/>
      <c r="K438" s="133" t="str">
        <f>IFERROR(__xludf.DUMMYFUNCTION("""COMPUTED_VALUE"""),"أغراس ديليتش اس بي أي")</f>
        <v>أغراس ديليتش اس بي أي</v>
      </c>
      <c r="L438" s="142" t="str">
        <f>IFERROR(__xludf.DUMMYFUNCTION("""COMPUTED_VALUE"""),"C02900101")</f>
        <v>C02900101</v>
      </c>
      <c r="M438" s="133"/>
      <c r="N438" s="133"/>
      <c r="O438" s="133"/>
      <c r="P438" s="133"/>
      <c r="Q438" s="133"/>
      <c r="R438" s="133"/>
      <c r="S438" s="133"/>
      <c r="T438" s="133"/>
      <c r="U438" s="133"/>
      <c r="V438" s="133"/>
      <c r="W438" s="133"/>
      <c r="X438" s="133"/>
      <c r="Y438" s="133"/>
      <c r="Z438" s="133"/>
    </row>
    <row r="439">
      <c r="A439" s="133">
        <f>IFERROR(__xludf.DUMMYFUNCTION("""COMPUTED_VALUE"""),438.0)</f>
        <v>438</v>
      </c>
      <c r="B439" s="133" t="str">
        <f>IFERROR(__xludf.DUMMYFUNCTION("""COMPUTED_VALUE"""),"C02900100")</f>
        <v>C02900100</v>
      </c>
      <c r="C439" s="133" t="str">
        <f>IFERROR(__xludf.DUMMYFUNCTION("""COMPUTED_VALUE"""),"P-1-N-231220-5019")</f>
        <v>P-1-N-231220-5019</v>
      </c>
      <c r="D439" s="133"/>
      <c r="E439" s="133" t="str">
        <f>IFERROR(__xludf.DUMMYFUNCTION("""COMPUTED_VALUE"""),"REJECTED")</f>
        <v>REJECTED</v>
      </c>
      <c r="F439" s="133" t="str">
        <f>IFERROR(__xludf.DUMMYFUNCTION("""COMPUTED_VALUE"""),"Schesir NS Dry Turkey 350g")</f>
        <v>Schesir NS Dry Turkey 350g</v>
      </c>
      <c r="G439" s="133" t="str">
        <f>IFERROR(__xludf.DUMMYFUNCTION("""COMPUTED_VALUE"""),"شيزير")</f>
        <v>شيزير</v>
      </c>
      <c r="H439" s="133"/>
      <c r="I439" s="133"/>
      <c r="J439" s="133"/>
      <c r="K439" s="133" t="str">
        <f>IFERROR(__xludf.DUMMYFUNCTION("""COMPUTED_VALUE"""),"أغراس ديليتش اس بي أي")</f>
        <v>أغراس ديليتش اس بي أي</v>
      </c>
      <c r="L439" s="142" t="str">
        <f>IFERROR(__xludf.DUMMYFUNCTION("""COMPUTED_VALUE"""),"C02900100")</f>
        <v>C02900100</v>
      </c>
      <c r="M439" s="133"/>
      <c r="N439" s="133"/>
      <c r="O439" s="133"/>
      <c r="P439" s="133"/>
      <c r="Q439" s="133"/>
      <c r="R439" s="133"/>
      <c r="S439" s="133"/>
      <c r="T439" s="133"/>
      <c r="U439" s="133"/>
      <c r="V439" s="133"/>
      <c r="W439" s="133"/>
      <c r="X439" s="133"/>
      <c r="Y439" s="133"/>
      <c r="Z439" s="133"/>
    </row>
    <row r="440">
      <c r="A440" s="133">
        <f>IFERROR(__xludf.DUMMYFUNCTION("""COMPUTED_VALUE"""),439.0)</f>
        <v>439</v>
      </c>
      <c r="B440" s="133" t="str">
        <f>IFERROR(__xludf.DUMMYFUNCTION("""COMPUTED_VALUE"""),"C02900102")</f>
        <v>C02900102</v>
      </c>
      <c r="C440" s="133" t="str">
        <f>IFERROR(__xludf.DUMMYFUNCTION("""COMPUTED_VALUE"""),"P-1-N-231220-5020")</f>
        <v>P-1-N-231220-5020</v>
      </c>
      <c r="D440" s="133"/>
      <c r="E440" s="133" t="str">
        <f>IFERROR(__xludf.DUMMYFUNCTION("""COMPUTED_VALUE"""),"REJECTED")</f>
        <v>REJECTED</v>
      </c>
      <c r="F440" s="133" t="str">
        <f>IFERROR(__xludf.DUMMYFUNCTION("""COMPUTED_VALUE"""),"Schesir NS Dry Chicken 350g")</f>
        <v>Schesir NS Dry Chicken 350g</v>
      </c>
      <c r="G440" s="133" t="str">
        <f>IFERROR(__xludf.DUMMYFUNCTION("""COMPUTED_VALUE"""),"شيزير أن أس طعام جاف بالدجاج 350 جم")</f>
        <v>شيزير أن أس طعام جاف بالدجاج 350 جم</v>
      </c>
      <c r="H440" s="133"/>
      <c r="I440" s="133"/>
      <c r="J440" s="133"/>
      <c r="K440" s="133" t="str">
        <f>IFERROR(__xludf.DUMMYFUNCTION("""COMPUTED_VALUE"""),"أغراس ديليتش اس بي أي")</f>
        <v>أغراس ديليتش اس بي أي</v>
      </c>
      <c r="L440" s="142" t="str">
        <f>IFERROR(__xludf.DUMMYFUNCTION("""COMPUTED_VALUE"""),"C02900102")</f>
        <v>C02900102</v>
      </c>
      <c r="M440" s="133"/>
      <c r="N440" s="133"/>
      <c r="O440" s="133"/>
      <c r="P440" s="133"/>
      <c r="Q440" s="133"/>
      <c r="R440" s="133"/>
      <c r="S440" s="133"/>
      <c r="T440" s="133"/>
      <c r="U440" s="133"/>
      <c r="V440" s="133"/>
      <c r="W440" s="133"/>
      <c r="X440" s="133"/>
      <c r="Y440" s="133"/>
      <c r="Z440" s="133"/>
    </row>
    <row r="441">
      <c r="A441" s="133">
        <f>IFERROR(__xludf.DUMMYFUNCTION("""COMPUTED_VALUE"""),440.0)</f>
        <v>440</v>
      </c>
      <c r="B441" s="133" t="str">
        <f>IFERROR(__xludf.DUMMYFUNCTION("""COMPUTED_VALUE"""),"C02900103")</f>
        <v>C02900103</v>
      </c>
      <c r="C441" s="133" t="str">
        <f>IFERROR(__xludf.DUMMYFUNCTION("""COMPUTED_VALUE"""),"P-1-N-231220-5022")</f>
        <v>P-1-N-231220-5022</v>
      </c>
      <c r="D441" s="133"/>
      <c r="E441" s="133" t="str">
        <f>IFERROR(__xludf.DUMMYFUNCTION("""COMPUTED_VALUE"""),"REJECTED")</f>
        <v>REJECTED</v>
      </c>
      <c r="F441" s="133" t="str">
        <f>IFERROR(__xludf.DUMMYFUNCTION("""COMPUTED_VALUE"""),"Schesir NS Dry Beef 350g")</f>
        <v>Schesir NS Dry Beef 350g</v>
      </c>
      <c r="G441" s="133" t="str">
        <f>IFERROR(__xludf.DUMMYFUNCTION("""COMPUTED_VALUE"""),"شيزير أن أس طعام جاف بلحم بقري 350 جم")</f>
        <v>شيزير أن أس طعام جاف بلحم بقري 350 جم</v>
      </c>
      <c r="H441" s="133"/>
      <c r="I441" s="133"/>
      <c r="J441" s="133"/>
      <c r="K441" s="133" t="str">
        <f>IFERROR(__xludf.DUMMYFUNCTION("""COMPUTED_VALUE"""),"أغراس ديليتش اس بي أي")</f>
        <v>أغراس ديليتش اس بي أي</v>
      </c>
      <c r="L441" s="142" t="str">
        <f>IFERROR(__xludf.DUMMYFUNCTION("""COMPUTED_VALUE"""),"C02900103")</f>
        <v>C02900103</v>
      </c>
      <c r="M441" s="133"/>
      <c r="N441" s="133"/>
      <c r="O441" s="133"/>
      <c r="P441" s="133"/>
      <c r="Q441" s="133"/>
      <c r="R441" s="133"/>
      <c r="S441" s="133"/>
      <c r="T441" s="133"/>
      <c r="U441" s="133"/>
      <c r="V441" s="133"/>
      <c r="W441" s="133"/>
      <c r="X441" s="133"/>
      <c r="Y441" s="133"/>
      <c r="Z441" s="133"/>
    </row>
    <row r="442">
      <c r="A442" s="133">
        <f>IFERROR(__xludf.DUMMYFUNCTION("""COMPUTED_VALUE"""),441.0)</f>
        <v>441</v>
      </c>
      <c r="B442" s="133" t="str">
        <f>IFERROR(__xludf.DUMMYFUNCTION("""COMPUTED_VALUE"""),"C02900200")</f>
        <v>C02900200</v>
      </c>
      <c r="C442" s="133" t="str">
        <f>IFERROR(__xludf.DUMMYFUNCTION("""COMPUTED_VALUE"""),"P-1-N-231220-5023")</f>
        <v>P-1-N-231220-5023</v>
      </c>
      <c r="D442" s="133"/>
      <c r="E442" s="133" t="str">
        <f>IFERROR(__xludf.DUMMYFUNCTION("""COMPUTED_VALUE"""),"REJECTED")</f>
        <v>REJECTED</v>
      </c>
      <c r="F442" s="133" t="str">
        <f>IFERROR(__xludf.DUMMYFUNCTION("""COMPUTED_VALUE"""),"Schesir NS Dry Turkey 1.4 kg")</f>
        <v>Schesir NS Dry Turkey 1.4 kg</v>
      </c>
      <c r="G442" s="133" t="str">
        <f>IFERROR(__xludf.DUMMYFUNCTION("""COMPUTED_VALUE"""),"شيزير أن أس طعام جاف ببالديك الرومي 1.4 كجم")</f>
        <v>شيزير أن أس طعام جاف ببالديك الرومي 1.4 كجم</v>
      </c>
      <c r="H442" s="133"/>
      <c r="I442" s="133"/>
      <c r="J442" s="133"/>
      <c r="K442" s="133" t="str">
        <f>IFERROR(__xludf.DUMMYFUNCTION("""COMPUTED_VALUE"""),"أغراس ديليتش اس بي أي")</f>
        <v>أغراس ديليتش اس بي أي</v>
      </c>
      <c r="L442" s="142" t="str">
        <f>IFERROR(__xludf.DUMMYFUNCTION("""COMPUTED_VALUE"""),"C02900200")</f>
        <v>C02900200</v>
      </c>
      <c r="M442" s="133"/>
      <c r="N442" s="133"/>
      <c r="O442" s="133"/>
      <c r="P442" s="133"/>
      <c r="Q442" s="133"/>
      <c r="R442" s="133"/>
      <c r="S442" s="133"/>
      <c r="T442" s="133"/>
      <c r="U442" s="133"/>
      <c r="V442" s="133"/>
      <c r="W442" s="133"/>
      <c r="X442" s="133"/>
      <c r="Y442" s="133"/>
      <c r="Z442" s="133"/>
    </row>
    <row r="443">
      <c r="A443" s="133">
        <f>IFERROR(__xludf.DUMMYFUNCTION("""COMPUTED_VALUE"""),442.0)</f>
        <v>442</v>
      </c>
      <c r="B443" s="133" t="str">
        <f>IFERROR(__xludf.DUMMYFUNCTION("""COMPUTED_VALUE"""),"C02900201")</f>
        <v>C02900201</v>
      </c>
      <c r="C443" s="133" t="str">
        <f>IFERROR(__xludf.DUMMYFUNCTION("""COMPUTED_VALUE"""),"P-1-N-231220-5024")</f>
        <v>P-1-N-231220-5024</v>
      </c>
      <c r="D443" s="133"/>
      <c r="E443" s="133" t="str">
        <f>IFERROR(__xludf.DUMMYFUNCTION("""COMPUTED_VALUE"""),"REJECTED")</f>
        <v>REJECTED</v>
      </c>
      <c r="F443" s="133" t="str">
        <f>IFERROR(__xludf.DUMMYFUNCTION("""COMPUTED_VALUE"""),"Schesir NS Dry Duck 1.4 kg")</f>
        <v>Schesir NS Dry Duck 1.4 kg</v>
      </c>
      <c r="G443" s="133" t="str">
        <f>IFERROR(__xludf.DUMMYFUNCTION("""COMPUTED_VALUE"""),"شيزير أن أس طعام جاف بالبط 1.4 كجم")</f>
        <v>شيزير أن أس طعام جاف بالبط 1.4 كجم</v>
      </c>
      <c r="H443" s="133"/>
      <c r="I443" s="133"/>
      <c r="J443" s="133"/>
      <c r="K443" s="133" t="str">
        <f>IFERROR(__xludf.DUMMYFUNCTION("""COMPUTED_VALUE"""),"أغراس ديليتش اس بي أي")</f>
        <v>أغراس ديليتش اس بي أي</v>
      </c>
      <c r="L443" s="142" t="str">
        <f>IFERROR(__xludf.DUMMYFUNCTION("""COMPUTED_VALUE"""),"C02900201")</f>
        <v>C02900201</v>
      </c>
      <c r="M443" s="133"/>
      <c r="N443" s="133"/>
      <c r="O443" s="133"/>
      <c r="P443" s="133"/>
      <c r="Q443" s="133"/>
      <c r="R443" s="133"/>
      <c r="S443" s="133"/>
      <c r="T443" s="133"/>
      <c r="U443" s="133"/>
      <c r="V443" s="133"/>
      <c r="W443" s="133"/>
      <c r="X443" s="133"/>
      <c r="Y443" s="133"/>
      <c r="Z443" s="133"/>
    </row>
    <row r="444">
      <c r="A444" s="133">
        <f>IFERROR(__xludf.DUMMYFUNCTION("""COMPUTED_VALUE"""),443.0)</f>
        <v>443</v>
      </c>
      <c r="B444" s="133" t="str">
        <f>IFERROR(__xludf.DUMMYFUNCTION("""COMPUTED_VALUE"""),"C02900202")</f>
        <v>C02900202</v>
      </c>
      <c r="C444" s="133" t="str">
        <f>IFERROR(__xludf.DUMMYFUNCTION("""COMPUTED_VALUE"""),"P-1-N-231220-5026")</f>
        <v>P-1-N-231220-5026</v>
      </c>
      <c r="D444" s="133"/>
      <c r="E444" s="133" t="str">
        <f>IFERROR(__xludf.DUMMYFUNCTION("""COMPUTED_VALUE"""),"تمت طباعة الشهادة")</f>
        <v>تمت طباعة الشهادة</v>
      </c>
      <c r="F444" s="133" t="str">
        <f>IFERROR(__xludf.DUMMYFUNCTION("""COMPUTED_VALUE"""),"Schesir NS Dry Chicken 1.4 kg")</f>
        <v>Schesir NS Dry Chicken 1.4 kg</v>
      </c>
      <c r="G444" s="133" t="str">
        <f>IFERROR(__xludf.DUMMYFUNCTION("""COMPUTED_VALUE"""),"شيزير أن أس طعام جاف بالدجاج 1.4 كجم")</f>
        <v>شيزير أن أس طعام جاف بالدجاج 1.4 كجم</v>
      </c>
      <c r="H444" s="133" t="str">
        <f>IFERROR(__xludf.DUMMYFUNCTION("""COMPUTED_VALUE"""),"MAFE20202447")</f>
        <v>MAFE20202447</v>
      </c>
      <c r="I444" s="133"/>
      <c r="J444" s="133"/>
      <c r="K444" s="133" t="str">
        <f>IFERROR(__xludf.DUMMYFUNCTION("""COMPUTED_VALUE"""),"أغراس ديليتش اس بي أي")</f>
        <v>أغراس ديليتش اس بي أي</v>
      </c>
      <c r="L444" s="142" t="str">
        <f>IFERROR(__xludf.DUMMYFUNCTION("""COMPUTED_VALUE"""),"C02900202")</f>
        <v>C02900202</v>
      </c>
      <c r="M444" s="133"/>
      <c r="N444" s="133"/>
      <c r="O444" s="133"/>
      <c r="P444" s="133"/>
      <c r="Q444" s="133"/>
      <c r="R444" s="133"/>
      <c r="S444" s="133"/>
      <c r="T444" s="133"/>
      <c r="U444" s="133"/>
      <c r="V444" s="133"/>
      <c r="W444" s="133"/>
      <c r="X444" s="133"/>
      <c r="Y444" s="133"/>
      <c r="Z444" s="133"/>
    </row>
    <row r="445">
      <c r="A445" s="133">
        <f>IFERROR(__xludf.DUMMYFUNCTION("""COMPUTED_VALUE"""),444.0)</f>
        <v>444</v>
      </c>
      <c r="B445" s="133" t="str">
        <f>IFERROR(__xludf.DUMMYFUNCTION("""COMPUTED_VALUE"""),"C02900203")</f>
        <v>C02900203</v>
      </c>
      <c r="C445" s="133" t="str">
        <f>IFERROR(__xludf.DUMMYFUNCTION("""COMPUTED_VALUE"""),"P-1-N-231220-5027")</f>
        <v>P-1-N-231220-5027</v>
      </c>
      <c r="D445" s="133"/>
      <c r="E445" s="133" t="str">
        <f>IFERROR(__xludf.DUMMYFUNCTION("""COMPUTED_VALUE"""),"تمت طباعة الشهادة")</f>
        <v>تمت طباعة الشهادة</v>
      </c>
      <c r="F445" s="133" t="str">
        <f>IFERROR(__xludf.DUMMYFUNCTION("""COMPUTED_VALUE"""),"Schesir NS Dry Beef 1.4 kg")</f>
        <v>Schesir NS Dry Beef 1.4 kg</v>
      </c>
      <c r="G445" s="133" t="str">
        <f>IFERROR(__xludf.DUMMYFUNCTION("""COMPUTED_VALUE"""),"شيزير أن أس طعام جاف بلحم بقري 1.4 كجم")</f>
        <v>شيزير أن أس طعام جاف بلحم بقري 1.4 كجم</v>
      </c>
      <c r="H445" s="133" t="str">
        <f>IFERROR(__xludf.DUMMYFUNCTION("""COMPUTED_VALUE"""),"MAFE20202446")</f>
        <v>MAFE20202446</v>
      </c>
      <c r="I445" s="133"/>
      <c r="J445" s="133"/>
      <c r="K445" s="133" t="str">
        <f>IFERROR(__xludf.DUMMYFUNCTION("""COMPUTED_VALUE"""),"أغراس ديليتش اس بي أي")</f>
        <v>أغراس ديليتش اس بي أي</v>
      </c>
      <c r="L445" s="142" t="str">
        <f>IFERROR(__xludf.DUMMYFUNCTION("""COMPUTED_VALUE"""),"C02900203")</f>
        <v>C02900203</v>
      </c>
      <c r="M445" s="133"/>
      <c r="N445" s="133"/>
      <c r="O445" s="133"/>
      <c r="P445" s="133"/>
      <c r="Q445" s="133"/>
      <c r="R445" s="133"/>
      <c r="S445" s="133"/>
      <c r="T445" s="133"/>
      <c r="U445" s="133"/>
      <c r="V445" s="133"/>
      <c r="W445" s="133"/>
      <c r="X445" s="133"/>
      <c r="Y445" s="133"/>
      <c r="Z445" s="133"/>
    </row>
    <row r="446">
      <c r="A446" s="133">
        <f>IFERROR(__xludf.DUMMYFUNCTION("""COMPUTED_VALUE"""),445.0)</f>
        <v>445</v>
      </c>
      <c r="B446" s="133"/>
      <c r="C446" s="133" t="str">
        <f>IFERROR(__xludf.DUMMYFUNCTION("""COMPUTED_VALUE"""),"P-1-N-231220-5028")</f>
        <v>P-1-N-231220-5028</v>
      </c>
      <c r="D446" s="133"/>
      <c r="E446" s="133" t="str">
        <f>IFERROR(__xludf.DUMMYFUNCTION("""COMPUTED_VALUE"""),"تمت طباعة الشهادة")</f>
        <v>تمت طباعة الشهادة</v>
      </c>
      <c r="F446" s="133">
        <f>IFERROR(__xludf.DUMMYFUNCTION("""COMPUTED_VALUE"""),0.0)</f>
        <v>0</v>
      </c>
      <c r="G446" s="133" t="str">
        <f>IFERROR(__xludf.DUMMYFUNCTION("""COMPUTED_VALUE"""),"شيزير أن أس طعام جاف بالتونة 1.4 كجم")</f>
        <v>شيزير أن أس طعام جاف بالتونة 1.4 كجم</v>
      </c>
      <c r="H446" s="133" t="str">
        <f>IFERROR(__xludf.DUMMYFUNCTION("""COMPUTED_VALUE"""),"MAFE20202532")</f>
        <v>MAFE20202532</v>
      </c>
      <c r="I446" s="133"/>
      <c r="J446" s="133"/>
      <c r="K446" s="133" t="str">
        <f>IFERROR(__xludf.DUMMYFUNCTION("""COMPUTED_VALUE"""),"أغراس ديليتش اس بي أي")</f>
        <v>أغراس ديليتش اس بي أي</v>
      </c>
      <c r="L446" s="133"/>
      <c r="M446" s="133"/>
      <c r="N446" s="133"/>
      <c r="O446" s="133"/>
      <c r="P446" s="133"/>
      <c r="Q446" s="133"/>
      <c r="R446" s="133"/>
      <c r="S446" s="133"/>
      <c r="T446" s="133"/>
      <c r="U446" s="133"/>
      <c r="V446" s="133"/>
      <c r="W446" s="133"/>
      <c r="X446" s="133"/>
      <c r="Y446" s="133"/>
      <c r="Z446" s="133"/>
    </row>
    <row r="447">
      <c r="A447" s="133">
        <f>IFERROR(__xludf.DUMMYFUNCTION("""COMPUTED_VALUE"""),446.0)</f>
        <v>446</v>
      </c>
      <c r="B447" s="133" t="str">
        <f>IFERROR(__xludf.DUMMYFUNCTION("""COMPUTED_VALUE"""),"C02900200")</f>
        <v>C02900200</v>
      </c>
      <c r="C447" s="133" t="str">
        <f>IFERROR(__xludf.DUMMYFUNCTION("""COMPUTED_VALUE"""),"P-1-N-231220-5030")</f>
        <v>P-1-N-231220-5030</v>
      </c>
      <c r="D447" s="133"/>
      <c r="E447" s="133" t="str">
        <f>IFERROR(__xludf.DUMMYFUNCTION("""COMPUTED_VALUE"""),"تمت طباعة الشهادة")</f>
        <v>تمت طباعة الشهادة</v>
      </c>
      <c r="F447" s="133" t="str">
        <f>IFERROR(__xludf.DUMMYFUNCTION("""COMPUTED_VALUE"""),"Schesir NS Dry Turkey 1.4 kg")</f>
        <v>Schesir NS Dry Turkey 1.4 kg</v>
      </c>
      <c r="G447" s="133" t="str">
        <f>IFERROR(__xludf.DUMMYFUNCTION("""COMPUTED_VALUE"""),"شيزير أن أس طعام جاف ببالديك الرومي 1.4 كجم")</f>
        <v>شيزير أن أس طعام جاف ببالديك الرومي 1.4 كجم</v>
      </c>
      <c r="H447" s="133" t="str">
        <f>IFERROR(__xludf.DUMMYFUNCTION("""COMPUTED_VALUE"""),"MAFE20202531")</f>
        <v>MAFE20202531</v>
      </c>
      <c r="I447" s="133"/>
      <c r="J447" s="133"/>
      <c r="K447" s="133" t="str">
        <f>IFERROR(__xludf.DUMMYFUNCTION("""COMPUTED_VALUE"""),"أغراس")</f>
        <v>أغراس</v>
      </c>
      <c r="L447" s="142" t="str">
        <f>IFERROR(__xludf.DUMMYFUNCTION("""COMPUTED_VALUE"""),"C02900200")</f>
        <v>C02900200</v>
      </c>
      <c r="M447" s="133"/>
      <c r="N447" s="133"/>
      <c r="O447" s="133"/>
      <c r="P447" s="133"/>
      <c r="Q447" s="133"/>
      <c r="R447" s="133"/>
      <c r="S447" s="133"/>
      <c r="T447" s="133"/>
      <c r="U447" s="133"/>
      <c r="V447" s="133"/>
      <c r="W447" s="133"/>
      <c r="X447" s="133"/>
      <c r="Y447" s="133"/>
      <c r="Z447" s="133"/>
    </row>
    <row r="448">
      <c r="A448" s="133">
        <f>IFERROR(__xludf.DUMMYFUNCTION("""COMPUTED_VALUE"""),447.0)</f>
        <v>447</v>
      </c>
      <c r="B448" s="133" t="str">
        <f>IFERROR(__xludf.DUMMYFUNCTION("""COMPUTED_VALUE"""),"C02080900")</f>
        <v>C02080900</v>
      </c>
      <c r="C448" s="133" t="str">
        <f>IFERROR(__xludf.DUMMYFUNCTION("""COMPUTED_VALUE"""),"P-1-N-241220-5053")</f>
        <v>P-1-N-241220-5053</v>
      </c>
      <c r="D448" s="133"/>
      <c r="E448" s="133" t="str">
        <f>IFERROR(__xludf.DUMMYFUNCTION("""COMPUTED_VALUE"""),"تمت طباعة الشهادة")</f>
        <v>تمت طباعة الشهادة</v>
      </c>
      <c r="F448" s="133" t="str">
        <f>IFERROR(__xludf.DUMMYFUNCTION("""COMPUTED_VALUE"""),"Schesir NS Dry Turkey 9.6 kg")</f>
        <v>Schesir NS Dry Turkey 9.6 kg</v>
      </c>
      <c r="G448" s="133" t="str">
        <f>IFERROR(__xludf.DUMMYFUNCTION("""COMPUTED_VALUE"""),"شيزير أن أس طعام جاف بالديك رومي 9.6 كجم")</f>
        <v>شيزير أن أس طعام جاف بالديك رومي 9.6 كجم</v>
      </c>
      <c r="H448" s="133" t="str">
        <f>IFERROR(__xludf.DUMMYFUNCTION("""COMPUTED_VALUE"""),"MAFE20202530")</f>
        <v>MAFE20202530</v>
      </c>
      <c r="I448" s="133"/>
      <c r="J448" s="133"/>
      <c r="K448" s="133" t="str">
        <f>IFERROR(__xludf.DUMMYFUNCTION("""COMPUTED_VALUE"""),"أغراس ديليتش اس بي أي")</f>
        <v>أغراس ديليتش اس بي أي</v>
      </c>
      <c r="L448" s="142" t="str">
        <f>IFERROR(__xludf.DUMMYFUNCTION("""COMPUTED_VALUE"""),"C02080900")</f>
        <v>C02080900</v>
      </c>
      <c r="M448" s="133"/>
      <c r="N448" s="133"/>
      <c r="O448" s="133"/>
      <c r="P448" s="133"/>
      <c r="Q448" s="133"/>
      <c r="R448" s="133"/>
      <c r="S448" s="133"/>
      <c r="T448" s="133"/>
      <c r="U448" s="133"/>
      <c r="V448" s="133"/>
      <c r="W448" s="133"/>
      <c r="X448" s="133"/>
      <c r="Y448" s="133"/>
      <c r="Z448" s="133"/>
    </row>
    <row r="449">
      <c r="A449" s="133">
        <f>IFERROR(__xludf.DUMMYFUNCTION("""COMPUTED_VALUE"""),448.0)</f>
        <v>448</v>
      </c>
      <c r="B449" s="133"/>
      <c r="C449" s="133" t="str">
        <f>IFERROR(__xludf.DUMMYFUNCTION("""COMPUTED_VALUE"""),"P-1-N-271220-5088")</f>
        <v>P-1-N-271220-5088</v>
      </c>
      <c r="D449" s="133"/>
      <c r="E449" s="133" t="str">
        <f>IFERROR(__xludf.DUMMYFUNCTION("""COMPUTED_VALUE"""),"REJECTED")</f>
        <v>REJECTED</v>
      </c>
      <c r="F449" s="133" t="str">
        <f>IFERROR(__xludf.DUMMYFUNCTION("""COMPUTED_VALUE"""),"Chicken and Rice 156g")</f>
        <v>Chicken and Rice 156g</v>
      </c>
      <c r="G449" s="133" t="str">
        <f>IFERROR(__xludf.DUMMYFUNCTION("""COMPUTED_VALUE"""),"دجاج")</f>
        <v>دجاج</v>
      </c>
      <c r="H449" s="133"/>
      <c r="I449" s="133"/>
      <c r="J449" s="133"/>
      <c r="K449" s="133" t="str">
        <f>IFERROR(__xludf.DUMMYFUNCTION("""COMPUTED_VALUE"""),"أم بي أم برودكتس ليمتد")</f>
        <v>أم بي أم برودكتس ليمتد</v>
      </c>
      <c r="L449" s="133"/>
      <c r="M449" s="133"/>
      <c r="N449" s="133"/>
      <c r="O449" s="133"/>
      <c r="P449" s="133"/>
      <c r="Q449" s="133"/>
      <c r="R449" s="133"/>
      <c r="S449" s="133"/>
      <c r="T449" s="133"/>
      <c r="U449" s="133"/>
      <c r="V449" s="133"/>
      <c r="W449" s="133"/>
      <c r="X449" s="133"/>
      <c r="Y449" s="133"/>
      <c r="Z449" s="133"/>
    </row>
    <row r="450">
      <c r="A450" s="133">
        <f>IFERROR(__xludf.DUMMYFUNCTION("""COMPUTED_VALUE"""),449.0)</f>
        <v>449</v>
      </c>
      <c r="B450" s="133" t="str">
        <f>IFERROR(__xludf.DUMMYFUNCTION("""COMPUTED_VALUE"""),"A3032")</f>
        <v>A3032</v>
      </c>
      <c r="C450" s="133" t="str">
        <f>IFERROR(__xludf.DUMMYFUNCTION("""COMPUTED_VALUE"""),"P-1-N-271220-5089")</f>
        <v>P-1-N-271220-5089</v>
      </c>
      <c r="D450" s="133"/>
      <c r="E450" s="133" t="str">
        <f>IFERROR(__xludf.DUMMYFUNCTION("""COMPUTED_VALUE"""),"تمت طباعة الشهادة")</f>
        <v>تمت طباعة الشهادة</v>
      </c>
      <c r="F450" s="133" t="str">
        <f>IFERROR(__xludf.DUMMYFUNCTION("""COMPUTED_VALUE"""),"Chicken, Vegetable and Rice 156g")</f>
        <v>Chicken, Vegetable and Rice 156g</v>
      </c>
      <c r="G450" s="133" t="str">
        <f>IFERROR(__xludf.DUMMYFUNCTION("""COMPUTED_VALUE"""),"دجاج ، خضار و أرز 156 جم")</f>
        <v>دجاج ، خضار و أرز 156 جم</v>
      </c>
      <c r="H450" s="133" t="str">
        <f>IFERROR(__xludf.DUMMYFUNCTION("""COMPUTED_VALUE"""),"MAFE2021292")</f>
        <v>MAFE2021292</v>
      </c>
      <c r="I450" s="133"/>
      <c r="J450" s="133"/>
      <c r="K450" s="133" t="str">
        <f>IFERROR(__xludf.DUMMYFUNCTION("""COMPUTED_VALUE"""),"أم بي أم برودكتس ليمتد")</f>
        <v>أم بي أم برودكتس ليمتد</v>
      </c>
      <c r="L450" s="142" t="str">
        <f>IFERROR(__xludf.DUMMYFUNCTION("""COMPUTED_VALUE"""),"A3032")</f>
        <v>A3032</v>
      </c>
      <c r="M450" s="133"/>
      <c r="N450" s="133"/>
      <c r="O450" s="133"/>
      <c r="P450" s="133"/>
      <c r="Q450" s="133"/>
      <c r="R450" s="133"/>
      <c r="S450" s="133"/>
      <c r="T450" s="133"/>
      <c r="U450" s="133"/>
      <c r="V450" s="133"/>
      <c r="W450" s="133"/>
      <c r="X450" s="133"/>
      <c r="Y450" s="133"/>
      <c r="Z450" s="133"/>
    </row>
    <row r="451">
      <c r="A451" s="133">
        <f>IFERROR(__xludf.DUMMYFUNCTION("""COMPUTED_VALUE"""),450.0)</f>
        <v>450</v>
      </c>
      <c r="B451" s="133"/>
      <c r="C451" s="133" t="str">
        <f>IFERROR(__xludf.DUMMYFUNCTION("""COMPUTED_VALUE"""),"P-1-N-271220-5091")</f>
        <v>P-1-N-271220-5091</v>
      </c>
      <c r="D451" s="133"/>
      <c r="E451" s="133" t="str">
        <f>IFERROR(__xludf.DUMMYFUNCTION("""COMPUTED_VALUE"""),"REJECTED")</f>
        <v>REJECTED</v>
      </c>
      <c r="F451" s="133" t="str">
        <f>IFERROR(__xludf.DUMMYFUNCTION("""COMPUTED_VALUE"""),"Applaws Chicken Breast with Lamb in Jelly 156g")</f>
        <v>Applaws Chicken Breast with Lamb in Jelly 156g</v>
      </c>
      <c r="G451" s="133" t="str">
        <f>IFERROR(__xludf.DUMMYFUNCTION("""COMPUTED_VALUE"""),"أبلاوز صدر دجاج مع لحم غنم في جيلي 156 جم")</f>
        <v>أبلاوز صدر دجاج مع لحم غنم في جيلي 156 جم</v>
      </c>
      <c r="H451" s="133"/>
      <c r="I451" s="133"/>
      <c r="J451" s="133"/>
      <c r="K451" s="133" t="str">
        <f>IFERROR(__xludf.DUMMYFUNCTION("""COMPUTED_VALUE"""),"أم بي أم برودكتس ليمتد")</f>
        <v>أم بي أم برودكتس ليمتد</v>
      </c>
      <c r="L451" s="133"/>
      <c r="M451" s="133"/>
      <c r="N451" s="133"/>
      <c r="O451" s="133"/>
      <c r="P451" s="133"/>
      <c r="Q451" s="133"/>
      <c r="R451" s="133"/>
      <c r="S451" s="133"/>
      <c r="T451" s="133"/>
      <c r="U451" s="133"/>
      <c r="V451" s="133"/>
      <c r="W451" s="133"/>
      <c r="X451" s="133"/>
      <c r="Y451" s="133"/>
      <c r="Z451" s="133"/>
    </row>
    <row r="452">
      <c r="A452" s="133">
        <f>IFERROR(__xludf.DUMMYFUNCTION("""COMPUTED_VALUE"""),451.0)</f>
        <v>451</v>
      </c>
      <c r="B452" s="133" t="str">
        <f>IFERROR(__xludf.DUMMYFUNCTION("""COMPUTED_VALUE"""),"170533")</f>
        <v>170533</v>
      </c>
      <c r="C452" s="133" t="str">
        <f>IFERROR(__xludf.DUMMYFUNCTION("""COMPUTED_VALUE"""),"P-1-N-281220-5118")</f>
        <v>P-1-N-281220-5118</v>
      </c>
      <c r="D452" s="133"/>
      <c r="E452" s="133" t="str">
        <f>IFERROR(__xludf.DUMMYFUNCTION("""COMPUTED_VALUE"""),"تمت طباعة الشهادة")</f>
        <v>تمت طباعة الشهادة</v>
      </c>
      <c r="F452" s="133" t="str">
        <f>IFERROR(__xludf.DUMMYFUNCTION("""COMPUTED_VALUE"""),"Profine Puppy Chicken &amp; Potatoes 3kg")</f>
        <v>Profine Puppy Chicken &amp; Potatoes 3kg</v>
      </c>
      <c r="G452" s="133" t="str">
        <f>IFERROR(__xludf.DUMMYFUNCTION("""COMPUTED_VALUE"""),"بروفاين للجرو بالدجاج والبطاطس 3 كجم")</f>
        <v>بروفاين للجرو بالدجاج والبطاطس 3 كجم</v>
      </c>
      <c r="H452" s="133" t="str">
        <f>IFERROR(__xludf.DUMMYFUNCTION("""COMPUTED_VALUE"""),"MAFE20202522")</f>
        <v>MAFE20202522</v>
      </c>
      <c r="I452" s="133"/>
      <c r="J452" s="133"/>
      <c r="K452" s="133" t="str">
        <f>IFERROR(__xludf.DUMMYFUNCTION("""COMPUTED_VALUE"""),"فافو براها اس ار او")</f>
        <v>فافو براها اس ار او</v>
      </c>
      <c r="L452" s="142" t="str">
        <f>IFERROR(__xludf.DUMMYFUNCTION("""COMPUTED_VALUE"""),"170533")</f>
        <v>170533</v>
      </c>
      <c r="M452" s="133"/>
      <c r="N452" s="133"/>
      <c r="O452" s="133"/>
      <c r="P452" s="133"/>
      <c r="Q452" s="133"/>
      <c r="R452" s="133"/>
      <c r="S452" s="133"/>
      <c r="T452" s="133"/>
      <c r="U452" s="133"/>
      <c r="V452" s="133"/>
      <c r="W452" s="133"/>
      <c r="X452" s="133"/>
      <c r="Y452" s="133"/>
      <c r="Z452" s="133"/>
    </row>
    <row r="453">
      <c r="A453" s="133">
        <f>IFERROR(__xludf.DUMMYFUNCTION("""COMPUTED_VALUE"""),452.0)</f>
        <v>452</v>
      </c>
      <c r="B453" s="133" t="str">
        <f>IFERROR(__xludf.DUMMYFUNCTION("""COMPUTED_VALUE"""),"170534")</f>
        <v>170534</v>
      </c>
      <c r="C453" s="133" t="str">
        <f>IFERROR(__xludf.DUMMYFUNCTION("""COMPUTED_VALUE"""),"P-1-N-281220-5119")</f>
        <v>P-1-N-281220-5119</v>
      </c>
      <c r="D453" s="133"/>
      <c r="E453" s="133" t="str">
        <f>IFERROR(__xludf.DUMMYFUNCTION("""COMPUTED_VALUE"""),"تمت طباعة الشهادة")</f>
        <v>تمت طباعة الشهادة</v>
      </c>
      <c r="F453" s="133" t="str">
        <f>IFERROR(__xludf.DUMMYFUNCTION("""COMPUTED_VALUE"""),"Profine Junior Large Chicken &amp; Potatoes 15kg")</f>
        <v>Profine Junior Large Chicken &amp; Potatoes 15kg</v>
      </c>
      <c r="G453" s="133" t="str">
        <f>IFERROR(__xludf.DUMMYFUNCTION("""COMPUTED_VALUE"""),"بروفاين للجرو الكبير بالدجاج والبطاطس 15 كجم")</f>
        <v>بروفاين للجرو الكبير بالدجاج والبطاطس 15 كجم</v>
      </c>
      <c r="H453" s="133" t="str">
        <f>IFERROR(__xludf.DUMMYFUNCTION("""COMPUTED_VALUE"""),"MAFE20202520")</f>
        <v>MAFE20202520</v>
      </c>
      <c r="I453" s="133"/>
      <c r="J453" s="133"/>
      <c r="K453" s="133" t="str">
        <f>IFERROR(__xludf.DUMMYFUNCTION("""COMPUTED_VALUE"""),"فافو براها اس ار او")</f>
        <v>فافو براها اس ار او</v>
      </c>
      <c r="L453" s="142" t="str">
        <f>IFERROR(__xludf.DUMMYFUNCTION("""COMPUTED_VALUE"""),"170534")</f>
        <v>170534</v>
      </c>
      <c r="M453" s="133"/>
      <c r="N453" s="133"/>
      <c r="O453" s="133"/>
      <c r="P453" s="133"/>
      <c r="Q453" s="133"/>
      <c r="R453" s="133"/>
      <c r="S453" s="133"/>
      <c r="T453" s="133"/>
      <c r="U453" s="133"/>
      <c r="V453" s="133"/>
      <c r="W453" s="133"/>
      <c r="X453" s="133"/>
      <c r="Y453" s="133"/>
      <c r="Z453" s="133"/>
    </row>
    <row r="454">
      <c r="A454" s="133">
        <f>IFERROR(__xludf.DUMMYFUNCTION("""COMPUTED_VALUE"""),453.0)</f>
        <v>453</v>
      </c>
      <c r="B454" s="133" t="str">
        <f>IFERROR(__xludf.DUMMYFUNCTION("""COMPUTED_VALUE"""),"170536")</f>
        <v>170536</v>
      </c>
      <c r="C454" s="133" t="str">
        <f>IFERROR(__xludf.DUMMYFUNCTION("""COMPUTED_VALUE"""),"P-1-N-281220-5120")</f>
        <v>P-1-N-281220-5120</v>
      </c>
      <c r="D454" s="133"/>
      <c r="E454" s="133" t="str">
        <f>IFERROR(__xludf.DUMMYFUNCTION("""COMPUTED_VALUE"""),"تمت طباعة الشهادة")</f>
        <v>تمت طباعة الشهادة</v>
      </c>
      <c r="F454" s="133" t="str">
        <f>IFERROR(__xludf.DUMMYFUNCTION("""COMPUTED_VALUE"""),"Profine Adult Small Chicken &amp; Potatoes 10kg")</f>
        <v>Profine Adult Small Chicken &amp; Potatoes 10kg</v>
      </c>
      <c r="G454" s="133" t="str">
        <f>IFERROR(__xludf.DUMMYFUNCTION("""COMPUTED_VALUE"""),"بروفاين للكلاب البالغة الصغيرة بالدجاج والبطاطس 10 كجم")</f>
        <v>بروفاين للكلاب البالغة الصغيرة بالدجاج والبطاطس 10 كجم</v>
      </c>
      <c r="H454" s="133" t="str">
        <f>IFERROR(__xludf.DUMMYFUNCTION("""COMPUTED_VALUE"""),"MAFE20202519")</f>
        <v>MAFE20202519</v>
      </c>
      <c r="I454" s="133"/>
      <c r="J454" s="133"/>
      <c r="K454" s="133" t="str">
        <f>IFERROR(__xludf.DUMMYFUNCTION("""COMPUTED_VALUE"""),"فافو براها اس ار او")</f>
        <v>فافو براها اس ار او</v>
      </c>
      <c r="L454" s="142" t="str">
        <f>IFERROR(__xludf.DUMMYFUNCTION("""COMPUTED_VALUE"""),"170536")</f>
        <v>170536</v>
      </c>
      <c r="M454" s="133"/>
      <c r="N454" s="133"/>
      <c r="O454" s="133"/>
      <c r="P454" s="133"/>
      <c r="Q454" s="133"/>
      <c r="R454" s="133"/>
      <c r="S454" s="133"/>
      <c r="T454" s="133"/>
      <c r="U454" s="133"/>
      <c r="V454" s="133"/>
      <c r="W454" s="133"/>
      <c r="X454" s="133"/>
      <c r="Y454" s="133"/>
      <c r="Z454" s="133"/>
    </row>
    <row r="455">
      <c r="A455" s="133">
        <f>IFERROR(__xludf.DUMMYFUNCTION("""COMPUTED_VALUE"""),454.0)</f>
        <v>454</v>
      </c>
      <c r="B455" s="133" t="str">
        <f>IFERROR(__xludf.DUMMYFUNCTION("""COMPUTED_VALUE"""),"170537")</f>
        <v>170537</v>
      </c>
      <c r="C455" s="133" t="str">
        <f>IFERROR(__xludf.DUMMYFUNCTION("""COMPUTED_VALUE"""),"P-1-N-281220-5121")</f>
        <v>P-1-N-281220-5121</v>
      </c>
      <c r="D455" s="133"/>
      <c r="E455" s="133" t="str">
        <f>IFERROR(__xludf.DUMMYFUNCTION("""COMPUTED_VALUE"""),"تمت طباعة الشهادة")</f>
        <v>تمت طباعة الشهادة</v>
      </c>
      <c r="F455" s="133" t="str">
        <f>IFERROR(__xludf.DUMMYFUNCTION("""COMPUTED_VALUE"""),"Profine Adult Small Chicken &amp; Potatoes 2kg")</f>
        <v>Profine Adult Small Chicken &amp; Potatoes 2kg</v>
      </c>
      <c r="G455" s="133" t="str">
        <f>IFERROR(__xludf.DUMMYFUNCTION("""COMPUTED_VALUE"""),"بروفاين للكلاب البالغة الصغيرة بالدجاج والبطاطس 2 كجم")</f>
        <v>بروفاين للكلاب البالغة الصغيرة بالدجاج والبطاطس 2 كجم</v>
      </c>
      <c r="H455" s="133" t="str">
        <f>IFERROR(__xludf.DUMMYFUNCTION("""COMPUTED_VALUE"""),"MAFE20202518")</f>
        <v>MAFE20202518</v>
      </c>
      <c r="I455" s="133"/>
      <c r="J455" s="133"/>
      <c r="K455" s="133" t="str">
        <f>IFERROR(__xludf.DUMMYFUNCTION("""COMPUTED_VALUE"""),"فافو براها اس ار او")</f>
        <v>فافو براها اس ار او</v>
      </c>
      <c r="L455" s="142" t="str">
        <f>IFERROR(__xludf.DUMMYFUNCTION("""COMPUTED_VALUE"""),"170537")</f>
        <v>170537</v>
      </c>
      <c r="M455" s="133"/>
      <c r="N455" s="133"/>
      <c r="O455" s="133"/>
      <c r="P455" s="133"/>
      <c r="Q455" s="133"/>
      <c r="R455" s="133"/>
      <c r="S455" s="133"/>
      <c r="T455" s="133"/>
      <c r="U455" s="133"/>
      <c r="V455" s="133"/>
      <c r="W455" s="133"/>
      <c r="X455" s="133"/>
      <c r="Y455" s="133"/>
      <c r="Z455" s="133"/>
    </row>
    <row r="456">
      <c r="A456" s="133">
        <f>IFERROR(__xludf.DUMMYFUNCTION("""COMPUTED_VALUE"""),455.0)</f>
        <v>455</v>
      </c>
      <c r="B456" s="133"/>
      <c r="C456" s="133" t="str">
        <f>IFERROR(__xludf.DUMMYFUNCTION("""COMPUTED_VALUE"""),"P-1-N-281220-5122")</f>
        <v>P-1-N-281220-5122</v>
      </c>
      <c r="D456" s="133"/>
      <c r="E456" s="133" t="str">
        <f>IFERROR(__xludf.DUMMYFUNCTION("""COMPUTED_VALUE"""),"تمت طباعة الشهادة")</f>
        <v>تمت طباعة الشهادة</v>
      </c>
      <c r="F456" s="133">
        <f>IFERROR(__xludf.DUMMYFUNCTION("""COMPUTED_VALUE"""),0.0)</f>
        <v>0</v>
      </c>
      <c r="G456" s="133" t="str">
        <f>IFERROR(__xludf.DUMMYFUNCTION("""COMPUTED_VALUE"""),"بروفاين للكلاب البالغة بالدجاج والبطاطس 15 كجم")</f>
        <v>بروفاين للكلاب البالغة بالدجاج والبطاطس 15 كجم</v>
      </c>
      <c r="H456" s="133" t="str">
        <f>IFERROR(__xludf.DUMMYFUNCTION("""COMPUTED_VALUE"""),"MAFE20202517")</f>
        <v>MAFE20202517</v>
      </c>
      <c r="I456" s="133"/>
      <c r="J456" s="133"/>
      <c r="K456" s="133" t="str">
        <f>IFERROR(__xludf.DUMMYFUNCTION("""COMPUTED_VALUE"""),"فافو براها اس ار او")</f>
        <v>فافو براها اس ار او</v>
      </c>
      <c r="L456" s="133"/>
      <c r="M456" s="133"/>
      <c r="N456" s="133"/>
      <c r="O456" s="133"/>
      <c r="P456" s="133"/>
      <c r="Q456" s="133"/>
      <c r="R456" s="133"/>
      <c r="S456" s="133"/>
      <c r="T456" s="133"/>
      <c r="U456" s="133"/>
      <c r="V456" s="133"/>
      <c r="W456" s="133"/>
      <c r="X456" s="133"/>
      <c r="Y456" s="133"/>
      <c r="Z456" s="133"/>
    </row>
    <row r="457">
      <c r="A457" s="133">
        <f>IFERROR(__xludf.DUMMYFUNCTION("""COMPUTED_VALUE"""),456.0)</f>
        <v>456</v>
      </c>
      <c r="B457" s="133" t="str">
        <f>IFERROR(__xludf.DUMMYFUNCTION("""COMPUTED_VALUE"""),"170540")</f>
        <v>170540</v>
      </c>
      <c r="C457" s="133" t="str">
        <f>IFERROR(__xludf.DUMMYFUNCTION("""COMPUTED_VALUE"""),"P-1-N-281220-5123")</f>
        <v>P-1-N-281220-5123</v>
      </c>
      <c r="D457" s="133"/>
      <c r="E457" s="133" t="str">
        <f>IFERROR(__xludf.DUMMYFUNCTION("""COMPUTED_VALUE"""),"تمت طباعة الشهادة")</f>
        <v>تمت طباعة الشهادة</v>
      </c>
      <c r="F457" s="133" t="str">
        <f>IFERROR(__xludf.DUMMYFUNCTION("""COMPUTED_VALUE"""),"Profine Adult Chicken &amp; Potatoes 3kg")</f>
        <v>Profine Adult Chicken &amp; Potatoes 3kg</v>
      </c>
      <c r="G457" s="133" t="str">
        <f>IFERROR(__xludf.DUMMYFUNCTION("""COMPUTED_VALUE"""),"بروفاين للكلاب البالغة بالدجاج والبطاطس 3 كجم")</f>
        <v>بروفاين للكلاب البالغة بالدجاج والبطاطس 3 كجم</v>
      </c>
      <c r="H457" s="133" t="str">
        <f>IFERROR(__xludf.DUMMYFUNCTION("""COMPUTED_VALUE"""),"MAFE20202516")</f>
        <v>MAFE20202516</v>
      </c>
      <c r="I457" s="133"/>
      <c r="J457" s="133"/>
      <c r="K457" s="133" t="str">
        <f>IFERROR(__xludf.DUMMYFUNCTION("""COMPUTED_VALUE"""),"فافو")</f>
        <v>فافو</v>
      </c>
      <c r="L457" s="142" t="str">
        <f>IFERROR(__xludf.DUMMYFUNCTION("""COMPUTED_VALUE"""),"170540")</f>
        <v>170540</v>
      </c>
      <c r="M457" s="133"/>
      <c r="N457" s="133"/>
      <c r="O457" s="133"/>
      <c r="P457" s="133"/>
      <c r="Q457" s="133"/>
      <c r="R457" s="133"/>
      <c r="S457" s="133"/>
      <c r="T457" s="133"/>
      <c r="U457" s="133"/>
      <c r="V457" s="133"/>
      <c r="W457" s="133"/>
      <c r="X457" s="133"/>
      <c r="Y457" s="133"/>
      <c r="Z457" s="133"/>
    </row>
    <row r="458">
      <c r="A458" s="133">
        <f>IFERROR(__xludf.DUMMYFUNCTION("""COMPUTED_VALUE"""),457.0)</f>
        <v>457</v>
      </c>
      <c r="B458" s="133" t="str">
        <f>IFERROR(__xludf.DUMMYFUNCTION("""COMPUTED_VALUE"""),"170544")</f>
        <v>170544</v>
      </c>
      <c r="C458" s="133" t="str">
        <f>IFERROR(__xludf.DUMMYFUNCTION("""COMPUTED_VALUE"""),"P-1-N-281220-5124")</f>
        <v>P-1-N-281220-5124</v>
      </c>
      <c r="D458" s="133"/>
      <c r="E458" s="133" t="str">
        <f>IFERROR(__xludf.DUMMYFUNCTION("""COMPUTED_VALUE"""),"تمت طباعة الشهادة")</f>
        <v>تمت طباعة الشهادة</v>
      </c>
      <c r="F458" s="133" t="str">
        <f>IFERROR(__xludf.DUMMYFUNCTION("""COMPUTED_VALUE"""),"Profine Energy Chicken &amp; Potatoes 3kg")</f>
        <v>Profine Energy Chicken &amp; Potatoes 3kg</v>
      </c>
      <c r="G458" s="133" t="str">
        <f>IFERROR(__xludf.DUMMYFUNCTION("""COMPUTED_VALUE"""),"بروفاين انرجي بالدجاج والبطاطس 3 كجم")</f>
        <v>بروفاين انرجي بالدجاج والبطاطس 3 كجم</v>
      </c>
      <c r="H458" s="133" t="str">
        <f>IFERROR(__xludf.DUMMYFUNCTION("""COMPUTED_VALUE"""),"MAFE20202515")</f>
        <v>MAFE20202515</v>
      </c>
      <c r="I458" s="133"/>
      <c r="J458" s="133"/>
      <c r="K458" s="133" t="str">
        <f>IFERROR(__xludf.DUMMYFUNCTION("""COMPUTED_VALUE"""),"فافو براها اس ار او")</f>
        <v>فافو براها اس ار او</v>
      </c>
      <c r="L458" s="142" t="str">
        <f>IFERROR(__xludf.DUMMYFUNCTION("""COMPUTED_VALUE"""),"170544")</f>
        <v>170544</v>
      </c>
      <c r="M458" s="133"/>
      <c r="N458" s="133"/>
      <c r="O458" s="133"/>
      <c r="P458" s="133"/>
      <c r="Q458" s="133"/>
      <c r="R458" s="133"/>
      <c r="S458" s="133"/>
      <c r="T458" s="133"/>
      <c r="U458" s="133"/>
      <c r="V458" s="133"/>
      <c r="W458" s="133"/>
      <c r="X458" s="133"/>
      <c r="Y458" s="133"/>
      <c r="Z458" s="133"/>
    </row>
    <row r="459">
      <c r="A459" s="133">
        <f>IFERROR(__xludf.DUMMYFUNCTION("""COMPUTED_VALUE"""),458.0)</f>
        <v>458</v>
      </c>
      <c r="B459" s="133" t="str">
        <f>IFERROR(__xludf.DUMMYFUNCTION("""COMPUTED_VALUE"""),"170551")</f>
        <v>170551</v>
      </c>
      <c r="C459" s="133" t="str">
        <f>IFERROR(__xludf.DUMMYFUNCTION("""COMPUTED_VALUE"""),"P-1-N-281220-5125")</f>
        <v>P-1-N-281220-5125</v>
      </c>
      <c r="D459" s="133"/>
      <c r="E459" s="133" t="str">
        <f>IFERROR(__xludf.DUMMYFUNCTION("""COMPUTED_VALUE"""),"تمت طباعة الشهادة")</f>
        <v>تمت طباعة الشهادة</v>
      </c>
      <c r="F459" s="133" t="str">
        <f>IFERROR(__xludf.DUMMYFUNCTION("""COMPUTED_VALUE"""),"Profine Light Lamb &amp; Potatoes 15kg")</f>
        <v>Profine Light Lamb &amp; Potatoes 15kg</v>
      </c>
      <c r="G459" s="133" t="str">
        <f>IFERROR(__xludf.DUMMYFUNCTION("""COMPUTED_VALUE"""),"بروفاين")</f>
        <v>بروفاين</v>
      </c>
      <c r="H459" s="133" t="str">
        <f>IFERROR(__xludf.DUMMYFUNCTION("""COMPUTED_VALUE"""),"MAFE20202514")</f>
        <v>MAFE20202514</v>
      </c>
      <c r="I459" s="133"/>
      <c r="J459" s="133"/>
      <c r="K459" s="133" t="str">
        <f>IFERROR(__xludf.DUMMYFUNCTION("""COMPUTED_VALUE"""),"فافو براها اس ار او")</f>
        <v>فافو براها اس ار او</v>
      </c>
      <c r="L459" s="142" t="str">
        <f>IFERROR(__xludf.DUMMYFUNCTION("""COMPUTED_VALUE"""),"170551")</f>
        <v>170551</v>
      </c>
      <c r="M459" s="133"/>
      <c r="N459" s="133"/>
      <c r="O459" s="133"/>
      <c r="P459" s="133"/>
      <c r="Q459" s="133"/>
      <c r="R459" s="133"/>
      <c r="S459" s="133"/>
      <c r="T459" s="133"/>
      <c r="U459" s="133"/>
      <c r="V459" s="133"/>
      <c r="W459" s="133"/>
      <c r="X459" s="133"/>
      <c r="Y459" s="133"/>
      <c r="Z459" s="133"/>
    </row>
    <row r="460">
      <c r="A460" s="133">
        <f>IFERROR(__xludf.DUMMYFUNCTION("""COMPUTED_VALUE"""),459.0)</f>
        <v>459</v>
      </c>
      <c r="B460" s="133" t="str">
        <f>IFERROR(__xludf.DUMMYFUNCTION("""COMPUTED_VALUE"""),"170553")</f>
        <v>170553</v>
      </c>
      <c r="C460" s="133" t="str">
        <f>IFERROR(__xludf.DUMMYFUNCTION("""COMPUTED_VALUE"""),"P-1-N-281220-5126")</f>
        <v>P-1-N-281220-5126</v>
      </c>
      <c r="D460" s="133"/>
      <c r="E460" s="133" t="str">
        <f>IFERROR(__xludf.DUMMYFUNCTION("""COMPUTED_VALUE"""),"تمت طباعة الشهادة")</f>
        <v>تمت طباعة الشهادة</v>
      </c>
      <c r="F460" s="133" t="str">
        <f>IFERROR(__xludf.DUMMYFUNCTION("""COMPUTED_VALUE"""),"Profine Adult Salmon &amp; Potatoes 15kg")</f>
        <v>Profine Adult Salmon &amp; Potatoes 15kg</v>
      </c>
      <c r="G460" s="133" t="str">
        <f>IFERROR(__xludf.DUMMYFUNCTION("""COMPUTED_VALUE"""),"بروفاين للكلاب البالغة بالسلمون والبطاطس 15 كجم")</f>
        <v>بروفاين للكلاب البالغة بالسلمون والبطاطس 15 كجم</v>
      </c>
      <c r="H460" s="133" t="str">
        <f>IFERROR(__xludf.DUMMYFUNCTION("""COMPUTED_VALUE"""),"MAFE20202513")</f>
        <v>MAFE20202513</v>
      </c>
      <c r="I460" s="133"/>
      <c r="J460" s="133"/>
      <c r="K460" s="133" t="str">
        <f>IFERROR(__xludf.DUMMYFUNCTION("""COMPUTED_VALUE"""),"فافو براها اس ار او")</f>
        <v>فافو براها اس ار او</v>
      </c>
      <c r="L460" s="142" t="str">
        <f>IFERROR(__xludf.DUMMYFUNCTION("""COMPUTED_VALUE"""),"170553")</f>
        <v>170553</v>
      </c>
      <c r="M460" s="133"/>
      <c r="N460" s="133"/>
      <c r="O460" s="133"/>
      <c r="P460" s="133"/>
      <c r="Q460" s="133"/>
      <c r="R460" s="133"/>
      <c r="S460" s="133"/>
      <c r="T460" s="133"/>
      <c r="U460" s="133"/>
      <c r="V460" s="133"/>
      <c r="W460" s="133"/>
      <c r="X460" s="133"/>
      <c r="Y460" s="133"/>
      <c r="Z460" s="133"/>
    </row>
    <row r="461">
      <c r="A461" s="133">
        <f>IFERROR(__xludf.DUMMYFUNCTION("""COMPUTED_VALUE"""),460.0)</f>
        <v>460</v>
      </c>
      <c r="B461" s="133"/>
      <c r="C461" s="133" t="str">
        <f>IFERROR(__xludf.DUMMYFUNCTION("""COMPUTED_VALUE"""),"P-1-N-291220-5182")</f>
        <v>P-1-N-291220-5182</v>
      </c>
      <c r="D461" s="133"/>
      <c r="E461" s="133" t="str">
        <f>IFERROR(__xludf.DUMMYFUNCTION("""COMPUTED_VALUE"""),"تمت طباعة الشهادة")</f>
        <v>تمت طباعة الشهادة</v>
      </c>
      <c r="F461" s="133">
        <f>IFERROR(__xludf.DUMMYFUNCTION("""COMPUTED_VALUE"""),0.0)</f>
        <v>0</v>
      </c>
      <c r="G461" s="133" t="str">
        <f>IFERROR(__xludf.DUMMYFUNCTION("""COMPUTED_VALUE"""),"كيت كات بيك اوف ذا اوشن 5 كجم")</f>
        <v>كيت كات بيك اوف ذا اوشن 5 كجم</v>
      </c>
      <c r="H461" s="133" t="str">
        <f>IFERROR(__xludf.DUMMYFUNCTION("""COMPUTED_VALUE"""),"MAFE20202564")</f>
        <v>MAFE20202564</v>
      </c>
      <c r="I461" s="133"/>
      <c r="J461" s="133"/>
      <c r="K461" s="133" t="str">
        <f>IFERROR(__xludf.DUMMYFUNCTION("""COMPUTED_VALUE"""),"شركة نوتريكس العامة المحدودة")</f>
        <v>شركة نوتريكس العامة المحدودة</v>
      </c>
      <c r="L461" s="133"/>
      <c r="M461" s="133"/>
      <c r="N461" s="133"/>
      <c r="O461" s="133"/>
      <c r="P461" s="133"/>
      <c r="Q461" s="133"/>
      <c r="R461" s="133"/>
      <c r="S461" s="133"/>
      <c r="T461" s="133"/>
      <c r="U461" s="133"/>
      <c r="V461" s="133"/>
      <c r="W461" s="133"/>
      <c r="X461" s="133"/>
      <c r="Y461" s="133"/>
      <c r="Z461" s="133"/>
    </row>
    <row r="462">
      <c r="A462" s="133">
        <f>IFERROR(__xludf.DUMMYFUNCTION("""COMPUTED_VALUE"""),461.0)</f>
        <v>461</v>
      </c>
      <c r="B462" s="133" t="str">
        <f>IFERROR(__xludf.DUMMYFUNCTION("""COMPUTED_VALUE"""),"C2804")</f>
        <v>C2804</v>
      </c>
      <c r="C462" s="133" t="str">
        <f>IFERROR(__xludf.DUMMYFUNCTION("""COMPUTED_VALUE"""),"P-1-N-291220-5207")</f>
        <v>P-1-N-291220-5207</v>
      </c>
      <c r="D462" s="133"/>
      <c r="E462" s="133" t="str">
        <f>IFERROR(__xludf.DUMMYFUNCTION("""COMPUTED_VALUE"""),"REJECTED")</f>
        <v>REJECTED</v>
      </c>
      <c r="F462" s="133" t="str">
        <f>IFERROR(__xludf.DUMMYFUNCTION("""COMPUTED_VALUE"""),"Chicken and Rice with Spinach in Jelly 285g")</f>
        <v>Chicken and Rice with Spinach in Jelly 285g</v>
      </c>
      <c r="G462" s="133" t="str">
        <f>IFERROR(__xludf.DUMMYFUNCTION("""COMPUTED_VALUE"""),"الدجاج والأرز مع السبانخ بالجلي 285 جم")</f>
        <v>الدجاج والأرز مع السبانخ بالجلي 285 جم</v>
      </c>
      <c r="H462" s="133"/>
      <c r="I462" s="133"/>
      <c r="J462" s="133"/>
      <c r="K462" s="133" t="str">
        <f>IFERROR(__xludf.DUMMYFUNCTION("""COMPUTED_VALUE"""),"ساوث ايست الاسيوية للتغليف والتعليب المحدودة")</f>
        <v>ساوث ايست الاسيوية للتغليف والتعليب المحدودة</v>
      </c>
      <c r="L462" s="142" t="str">
        <f>IFERROR(__xludf.DUMMYFUNCTION("""COMPUTED_VALUE"""),"C2804")</f>
        <v>C2804</v>
      </c>
      <c r="M462" s="133"/>
      <c r="N462" s="133"/>
      <c r="O462" s="133"/>
      <c r="P462" s="133"/>
      <c r="Q462" s="133"/>
      <c r="R462" s="133"/>
      <c r="S462" s="133"/>
      <c r="T462" s="133"/>
      <c r="U462" s="133"/>
      <c r="V462" s="133"/>
      <c r="W462" s="133"/>
      <c r="X462" s="133"/>
      <c r="Y462" s="133"/>
      <c r="Z462" s="133"/>
    </row>
    <row r="463">
      <c r="A463" s="133">
        <f>IFERROR(__xludf.DUMMYFUNCTION("""COMPUTED_VALUE"""),462.0)</f>
        <v>462</v>
      </c>
      <c r="B463" s="133" t="str">
        <f>IFERROR(__xludf.DUMMYFUNCTION("""COMPUTED_VALUE"""),"C170")</f>
        <v>C170</v>
      </c>
      <c r="C463" s="133" t="str">
        <f>IFERROR(__xludf.DUMMYFUNCTION("""COMPUTED_VALUE"""),"P-1-N-291220-5214")</f>
        <v>P-1-N-291220-5214</v>
      </c>
      <c r="D463" s="133"/>
      <c r="E463" s="133" t="str">
        <f>IFERROR(__xludf.DUMMYFUNCTION("""COMPUTED_VALUE"""),"تمت طباعة الشهادة")</f>
        <v>تمت طباعة الشهادة</v>
      </c>
      <c r="F463" s="133" t="str">
        <f>IFERROR(__xludf.DUMMYFUNCTION("""COMPUTED_VALUE"""),"Salmon and Rice in Solution 85g")</f>
        <v>Salmon and Rice in Solution 85g</v>
      </c>
      <c r="G463" s="133" t="str">
        <f>IFERROR(__xludf.DUMMYFUNCTION("""COMPUTED_VALUE"""),"سمك السلمون والأرز في محلول 85 جم")</f>
        <v>سمك السلمون والأرز في محلول 85 جم</v>
      </c>
      <c r="H463" s="133" t="str">
        <f>IFERROR(__xludf.DUMMYFUNCTION("""COMPUTED_VALUE"""),"MAFE20202545")</f>
        <v>MAFE20202545</v>
      </c>
      <c r="I463" s="133"/>
      <c r="J463" s="133"/>
      <c r="K463" s="133" t="str">
        <f>IFERROR(__xludf.DUMMYFUNCTION("""COMPUTED_VALUE"""),"ساوث ايست الاسيوية للتغليف والتعليب المحدودة")</f>
        <v>ساوث ايست الاسيوية للتغليف والتعليب المحدودة</v>
      </c>
      <c r="L463" s="142" t="str">
        <f>IFERROR(__xludf.DUMMYFUNCTION("""COMPUTED_VALUE"""),"C170")</f>
        <v>C170</v>
      </c>
      <c r="M463" s="133"/>
      <c r="N463" s="133"/>
      <c r="O463" s="133"/>
      <c r="P463" s="133"/>
      <c r="Q463" s="133"/>
      <c r="R463" s="133"/>
      <c r="S463" s="133"/>
      <c r="T463" s="133"/>
      <c r="U463" s="133"/>
      <c r="V463" s="133"/>
      <c r="W463" s="133"/>
      <c r="X463" s="133"/>
      <c r="Y463" s="133"/>
      <c r="Z463" s="133"/>
    </row>
    <row r="464">
      <c r="A464" s="133">
        <f>IFERROR(__xludf.DUMMYFUNCTION("""COMPUTED_VALUE"""),463.0)</f>
        <v>463</v>
      </c>
      <c r="B464" s="133" t="str">
        <f>IFERROR(__xludf.DUMMYFUNCTION("""COMPUTED_VALUE"""),"c176")</f>
        <v>c176</v>
      </c>
      <c r="C464" s="133" t="str">
        <f>IFERROR(__xludf.DUMMYFUNCTION("""COMPUTED_VALUE"""),"P-1-N-291220-5217")</f>
        <v>P-1-N-291220-5217</v>
      </c>
      <c r="D464" s="133"/>
      <c r="E464" s="133" t="str">
        <f>IFERROR(__xludf.DUMMYFUNCTION("""COMPUTED_VALUE"""),"تمت طباعة الشهادة")</f>
        <v>تمت طباعة الشهادة</v>
      </c>
      <c r="F464" s="133" t="str">
        <f>IFERROR(__xludf.DUMMYFUNCTION("""COMPUTED_VALUE"""),"Tuna White Meat and Beef with Rice 85g")</f>
        <v>Tuna White Meat and Beef with Rice 85g</v>
      </c>
      <c r="G464" s="133" t="str">
        <f>IFERROR(__xludf.DUMMYFUNCTION("""COMPUTED_VALUE"""),"تونة لحم ابيض ولحم بقري مع أرز 85 جم")</f>
        <v>تونة لحم ابيض ولحم بقري مع أرز 85 جم</v>
      </c>
      <c r="H464" s="133" t="str">
        <f>IFERROR(__xludf.DUMMYFUNCTION("""COMPUTED_VALUE"""),"MAFE20202544")</f>
        <v>MAFE20202544</v>
      </c>
      <c r="I464" s="133"/>
      <c r="J464" s="133"/>
      <c r="K464" s="133" t="str">
        <f>IFERROR(__xludf.DUMMYFUNCTION("""COMPUTED_VALUE"""),"ساوث ايست الاسيوية للتغليف والتعليب المحدودة")</f>
        <v>ساوث ايست الاسيوية للتغليف والتعليب المحدودة</v>
      </c>
      <c r="L464" s="142" t="str">
        <f>IFERROR(__xludf.DUMMYFUNCTION("""COMPUTED_VALUE"""),"c176")</f>
        <v>c176</v>
      </c>
      <c r="M464" s="133"/>
      <c r="N464" s="133"/>
      <c r="O464" s="133"/>
      <c r="P464" s="133"/>
      <c r="Q464" s="133"/>
      <c r="R464" s="133"/>
      <c r="S464" s="133"/>
      <c r="T464" s="133"/>
      <c r="U464" s="133"/>
      <c r="V464" s="133"/>
      <c r="W464" s="133"/>
      <c r="X464" s="133"/>
      <c r="Y464" s="133"/>
      <c r="Z464" s="133"/>
    </row>
    <row r="465">
      <c r="A465" s="133">
        <f>IFERROR(__xludf.DUMMYFUNCTION("""COMPUTED_VALUE"""),464.0)</f>
        <v>464</v>
      </c>
      <c r="B465" s="133" t="str">
        <f>IFERROR(__xludf.DUMMYFUNCTION("""COMPUTED_VALUE"""),"c184")</f>
        <v>c184</v>
      </c>
      <c r="C465" s="133" t="str">
        <f>IFERROR(__xludf.DUMMYFUNCTION("""COMPUTED_VALUE"""),"P-1-N-291220-5235")</f>
        <v>P-1-N-291220-5235</v>
      </c>
      <c r="D465" s="133"/>
      <c r="E465" s="133" t="str">
        <f>IFERROR(__xludf.DUMMYFUNCTION("""COMPUTED_VALUE"""),"تمت طباعة الشهادة")</f>
        <v>تمت طباعة الشهادة</v>
      </c>
      <c r="F465" s="133" t="str">
        <f>IFERROR(__xludf.DUMMYFUNCTION("""COMPUTED_VALUE"""),"Tuna with Aloe Kitten 85g")</f>
        <v>Tuna with Aloe Kitten 85g</v>
      </c>
      <c r="G465" s="133" t="str">
        <f>IFERROR(__xludf.DUMMYFUNCTION("""COMPUTED_VALUE"""),"تونة مع الصبار للقطط الصغيرة 85 جم")</f>
        <v>تونة مع الصبار للقطط الصغيرة 85 جم</v>
      </c>
      <c r="H465" s="133" t="str">
        <f>IFERROR(__xludf.DUMMYFUNCTION("""COMPUTED_VALUE"""),"MAFE20202561")</f>
        <v>MAFE20202561</v>
      </c>
      <c r="I465" s="133"/>
      <c r="J465" s="133"/>
      <c r="K465" s="133" t="str">
        <f>IFERROR(__xludf.DUMMYFUNCTION("""COMPUTED_VALUE"""),"ساوث ايست الاسيوية للتغليف والتعليب المحدودة")</f>
        <v>ساوث ايست الاسيوية للتغليف والتعليب المحدودة</v>
      </c>
      <c r="L465" s="142" t="str">
        <f>IFERROR(__xludf.DUMMYFUNCTION("""COMPUTED_VALUE"""),"c184")</f>
        <v>c184</v>
      </c>
      <c r="M465" s="133"/>
      <c r="N465" s="133"/>
      <c r="O465" s="133"/>
      <c r="P465" s="133"/>
      <c r="Q465" s="133"/>
      <c r="R465" s="133"/>
      <c r="S465" s="133"/>
      <c r="T465" s="133"/>
      <c r="U465" s="133"/>
      <c r="V465" s="133"/>
      <c r="W465" s="133"/>
      <c r="X465" s="133"/>
      <c r="Y465" s="133"/>
      <c r="Z465" s="133"/>
    </row>
    <row r="466">
      <c r="A466" s="133">
        <f>IFERROR(__xludf.DUMMYFUNCTION("""COMPUTED_VALUE"""),465.0)</f>
        <v>465</v>
      </c>
      <c r="B466" s="133" t="str">
        <f>IFERROR(__xludf.DUMMYFUNCTION("""COMPUTED_VALUE"""),"C585")</f>
        <v>C585</v>
      </c>
      <c r="C466" s="133" t="str">
        <f>IFERROR(__xludf.DUMMYFUNCTION("""COMPUTED_VALUE"""),"P-1-N-311220-5257")</f>
        <v>P-1-N-311220-5257</v>
      </c>
      <c r="D466" s="133"/>
      <c r="E466" s="133" t="str">
        <f>IFERROR(__xludf.DUMMYFUNCTION("""COMPUTED_VALUE"""),"تمت طباعة الشهادة")</f>
        <v>تمت طباعة الشهادة</v>
      </c>
      <c r="F466" s="133" t="str">
        <f>IFERROR(__xludf.DUMMYFUNCTION("""COMPUTED_VALUE"""),"Tuna White Meat, Seabream and Rice in Fish Broth 70g")</f>
        <v>Tuna White Meat, Seabream and Rice in Fish Broth 70g</v>
      </c>
      <c r="G466" s="133" t="str">
        <f>IFERROR(__xludf.DUMMYFUNCTION("""COMPUTED_VALUE"""),"تونة باللحم الأبيض ، سمك الدنيس ، أرز في مرق السمك 70 جم")</f>
        <v>تونة باللحم الأبيض ، سمك الدنيس ، أرز في مرق السمك 70 جم</v>
      </c>
      <c r="H466" s="133" t="str">
        <f>IFERROR(__xludf.DUMMYFUNCTION("""COMPUTED_VALUE"""),"MAFE20213")</f>
        <v>MAFE20213</v>
      </c>
      <c r="I466" s="133"/>
      <c r="J466" s="133"/>
      <c r="K466" s="133" t="str">
        <f>IFERROR(__xludf.DUMMYFUNCTION("""COMPUTED_VALUE"""),"ساوث ايست الاسيوية للتغليف والتعليب المحدودة")</f>
        <v>ساوث ايست الاسيوية للتغليف والتعليب المحدودة</v>
      </c>
      <c r="L466" s="142" t="str">
        <f>IFERROR(__xludf.DUMMYFUNCTION("""COMPUTED_VALUE"""),"C585")</f>
        <v>C585</v>
      </c>
      <c r="M466" s="133"/>
      <c r="N466" s="133"/>
      <c r="O466" s="133"/>
      <c r="P466" s="133"/>
      <c r="Q466" s="133"/>
      <c r="R466" s="133"/>
      <c r="S466" s="133"/>
      <c r="T466" s="133"/>
      <c r="U466" s="133"/>
      <c r="V466" s="133"/>
      <c r="W466" s="133"/>
      <c r="X466" s="133"/>
      <c r="Y466" s="133"/>
      <c r="Z466" s="133"/>
    </row>
    <row r="467">
      <c r="A467" s="133">
        <f>IFERROR(__xludf.DUMMYFUNCTION("""COMPUTED_VALUE"""),466.0)</f>
        <v>466</v>
      </c>
      <c r="B467" s="133" t="str">
        <f>IFERROR(__xludf.DUMMYFUNCTION("""COMPUTED_VALUE"""),"A1008")</f>
        <v>A1008</v>
      </c>
      <c r="C467" s="133" t="str">
        <f>IFERROR(__xludf.DUMMYFUNCTION("""COMPUTED_VALUE"""),"P-1-N-311220-5258")</f>
        <v>P-1-N-311220-5258</v>
      </c>
      <c r="D467" s="133"/>
      <c r="E467" s="133" t="str">
        <f>IFERROR(__xludf.DUMMYFUNCTION("""COMPUTED_VALUE"""),"تمت طباعة الشهادة")</f>
        <v>تمت طباعة الشهادة</v>
      </c>
      <c r="F467" s="133" t="str">
        <f>IFERROR(__xludf.DUMMYFUNCTION("""COMPUTED_VALUE"""),"Tuna with Shrimp 70g")</f>
        <v>Tuna with Shrimp 70g</v>
      </c>
      <c r="G467" s="133" t="str">
        <f>IFERROR(__xludf.DUMMYFUNCTION("""COMPUTED_VALUE"""),"تونة مع الجمبري 70 جم")</f>
        <v>تونة مع الجمبري 70 جم</v>
      </c>
      <c r="H467" s="133" t="str">
        <f>IFERROR(__xludf.DUMMYFUNCTION("""COMPUTED_VALUE"""),"MAFE2022")</f>
        <v>MAFE2022</v>
      </c>
      <c r="I467" s="133"/>
      <c r="J467" s="133"/>
      <c r="K467" s="133" t="str">
        <f>IFERROR(__xludf.DUMMYFUNCTION("""COMPUTED_VALUE"""),"ساوث ايست الاسيوية للتغليف والتعليب المحدودة")</f>
        <v>ساوث ايست الاسيوية للتغليف والتعليب المحدودة</v>
      </c>
      <c r="L467" s="142" t="str">
        <f>IFERROR(__xludf.DUMMYFUNCTION("""COMPUTED_VALUE"""),"A1008")</f>
        <v>A1008</v>
      </c>
      <c r="M467" s="133"/>
      <c r="N467" s="133"/>
      <c r="O467" s="133"/>
      <c r="P467" s="133"/>
      <c r="Q467" s="133"/>
      <c r="R467" s="133"/>
      <c r="S467" s="133"/>
      <c r="T467" s="133"/>
      <c r="U467" s="133"/>
      <c r="V467" s="133"/>
      <c r="W467" s="133"/>
      <c r="X467" s="133"/>
      <c r="Y467" s="133"/>
      <c r="Z467" s="133"/>
    </row>
    <row r="468">
      <c r="A468" s="133">
        <f>IFERROR(__xludf.DUMMYFUNCTION("""COMPUTED_VALUE"""),467.0)</f>
        <v>467</v>
      </c>
      <c r="B468" s="133"/>
      <c r="C468" s="133" t="str">
        <f>IFERROR(__xludf.DUMMYFUNCTION("""COMPUTED_VALUE"""),"P-1-N-311220-5259")</f>
        <v>P-1-N-311220-5259</v>
      </c>
      <c r="D468" s="133"/>
      <c r="E468" s="133" t="str">
        <f>IFERROR(__xludf.DUMMYFUNCTION("""COMPUTED_VALUE"""),"REJECTED")</f>
        <v>REJECTED</v>
      </c>
      <c r="F468" s="133">
        <f>IFERROR(__xludf.DUMMYFUNCTION("""COMPUTED_VALUE"""),0.0)</f>
        <v>0</v>
      </c>
      <c r="G468" s="133" t="str">
        <f>IFERROR(__xludf.DUMMYFUNCTION("""COMPUTED_VALUE"""),"دجاج ولحم بقري مع أرز 70 جم")</f>
        <v>دجاج ولحم بقري مع أرز 70 جم</v>
      </c>
      <c r="H468" s="133"/>
      <c r="I468" s="133"/>
      <c r="J468" s="133"/>
      <c r="K468" s="133" t="str">
        <f>IFERROR(__xludf.DUMMYFUNCTION("""COMPUTED_VALUE"""),"ساوث ايست الاسيوية للتغليف والتعليب المحدودة")</f>
        <v>ساوث ايست الاسيوية للتغليف والتعليب المحدودة</v>
      </c>
      <c r="L468" s="133"/>
      <c r="M468" s="133"/>
      <c r="N468" s="133"/>
      <c r="O468" s="133"/>
      <c r="P468" s="133"/>
      <c r="Q468" s="133"/>
      <c r="R468" s="133"/>
      <c r="S468" s="133"/>
      <c r="T468" s="133"/>
      <c r="U468" s="133"/>
      <c r="V468" s="133"/>
      <c r="W468" s="133"/>
      <c r="X468" s="133"/>
      <c r="Y468" s="133"/>
      <c r="Z468" s="133"/>
    </row>
    <row r="469">
      <c r="A469" s="133">
        <f>IFERROR(__xludf.DUMMYFUNCTION("""COMPUTED_VALUE"""),468.0)</f>
        <v>468</v>
      </c>
      <c r="B469" s="133" t="str">
        <f>IFERROR(__xludf.DUMMYFUNCTION("""COMPUTED_VALUE"""),"C688")</f>
        <v>C688</v>
      </c>
      <c r="C469" s="133" t="str">
        <f>IFERROR(__xludf.DUMMYFUNCTION("""COMPUTED_VALUE"""),"P-1-N-311220-5260")</f>
        <v>P-1-N-311220-5260</v>
      </c>
      <c r="D469" s="133"/>
      <c r="E469" s="133" t="str">
        <f>IFERROR(__xludf.DUMMYFUNCTION("""COMPUTED_VALUE"""),"REJECTED")</f>
        <v>REJECTED</v>
      </c>
      <c r="F469" s="133" t="str">
        <f>IFERROR(__xludf.DUMMYFUNCTION("""COMPUTED_VALUE"""),"Tuna Whole Meat with Aloe and Rice in Gel 150g")</f>
        <v>Tuna Whole Meat with Aloe and Rice in Gel 150g</v>
      </c>
      <c r="G469" s="133" t="str">
        <f>IFERROR(__xludf.DUMMYFUNCTION("""COMPUTED_VALUE"""),"لحم تونة كامل مع الصبار والأرز في الجلي 150 جم")</f>
        <v>لحم تونة كامل مع الصبار والأرز في الجلي 150 جم</v>
      </c>
      <c r="H469" s="133"/>
      <c r="I469" s="133"/>
      <c r="J469" s="133"/>
      <c r="K469" s="133" t="str">
        <f>IFERROR(__xludf.DUMMYFUNCTION("""COMPUTED_VALUE"""),"ساوث")</f>
        <v>ساوث</v>
      </c>
      <c r="L469" s="142" t="str">
        <f>IFERROR(__xludf.DUMMYFUNCTION("""COMPUTED_VALUE"""),"C688")</f>
        <v>C688</v>
      </c>
      <c r="M469" s="133"/>
      <c r="N469" s="133"/>
      <c r="O469" s="133"/>
      <c r="P469" s="133"/>
      <c r="Q469" s="133"/>
      <c r="R469" s="133"/>
      <c r="S469" s="133"/>
      <c r="T469" s="133"/>
      <c r="U469" s="133"/>
      <c r="V469" s="133"/>
      <c r="W469" s="133"/>
      <c r="X469" s="133"/>
      <c r="Y469" s="133"/>
      <c r="Z469" s="133"/>
    </row>
    <row r="470">
      <c r="A470" s="133">
        <f>IFERROR(__xludf.DUMMYFUNCTION("""COMPUTED_VALUE"""),469.0)</f>
        <v>469</v>
      </c>
      <c r="B470" s="133" t="str">
        <f>IFERROR(__xludf.DUMMYFUNCTION("""COMPUTED_VALUE"""),"C689")</f>
        <v>C689</v>
      </c>
      <c r="C470" s="133" t="str">
        <f>IFERROR(__xludf.DUMMYFUNCTION("""COMPUTED_VALUE"""),"P-1-N-311220-5262")</f>
        <v>P-1-N-311220-5262</v>
      </c>
      <c r="D470" s="133"/>
      <c r="E470" s="133" t="str">
        <f>IFERROR(__xludf.DUMMYFUNCTION("""COMPUTED_VALUE"""),"REJECTED")</f>
        <v>REJECTED</v>
      </c>
      <c r="F470" s="133" t="str">
        <f>IFERROR(__xludf.DUMMYFUNCTION("""COMPUTED_VALUE"""),"Chicken with Aloe and Rice in Jelly 150g")</f>
        <v>Chicken with Aloe and Rice in Jelly 150g</v>
      </c>
      <c r="G470" s="133" t="str">
        <f>IFERROR(__xludf.DUMMYFUNCTION("""COMPUTED_VALUE"""),"دجاج بالصبار والأرز بالجلي 150 جم")</f>
        <v>دجاج بالصبار والأرز بالجلي 150 جم</v>
      </c>
      <c r="H470" s="133"/>
      <c r="I470" s="133"/>
      <c r="J470" s="133"/>
      <c r="K470" s="133" t="str">
        <f>IFERROR(__xludf.DUMMYFUNCTION("""COMPUTED_VALUE"""),"ساوث ايست الاسيوية للتغليف والتعليب المحدودة")</f>
        <v>ساوث ايست الاسيوية للتغليف والتعليب المحدودة</v>
      </c>
      <c r="L470" s="142" t="str">
        <f>IFERROR(__xludf.DUMMYFUNCTION("""COMPUTED_VALUE"""),"C689")</f>
        <v>C689</v>
      </c>
      <c r="M470" s="133"/>
      <c r="N470" s="133"/>
      <c r="O470" s="133"/>
      <c r="P470" s="133"/>
      <c r="Q470" s="133"/>
      <c r="R470" s="133"/>
      <c r="S470" s="133"/>
      <c r="T470" s="133"/>
      <c r="U470" s="133"/>
      <c r="V470" s="133"/>
      <c r="W470" s="133"/>
      <c r="X470" s="133"/>
      <c r="Y470" s="133"/>
      <c r="Z470" s="133"/>
    </row>
    <row r="471">
      <c r="A471" s="133">
        <f>IFERROR(__xludf.DUMMYFUNCTION("""COMPUTED_VALUE"""),470.0)</f>
        <v>470</v>
      </c>
      <c r="B471" s="133" t="str">
        <f>IFERROR(__xludf.DUMMYFUNCTION("""COMPUTED_VALUE"""),"C2731")</f>
        <v>C2731</v>
      </c>
      <c r="C471" s="133" t="str">
        <f>IFERROR(__xludf.DUMMYFUNCTION("""COMPUTED_VALUE"""),"P-1-N-311220-5269")</f>
        <v>P-1-N-311220-5269</v>
      </c>
      <c r="D471" s="133"/>
      <c r="E471" s="133" t="str">
        <f>IFERROR(__xludf.DUMMYFUNCTION("""COMPUTED_VALUE"""),"REJECTED")</f>
        <v>REJECTED</v>
      </c>
      <c r="F471" s="133" t="str">
        <f>IFERROR(__xludf.DUMMYFUNCTION("""COMPUTED_VALUE"""),"Chicken and Rice with Aloe in Gel 140g")</f>
        <v>Chicken and Rice with Aloe in Gel 140g</v>
      </c>
      <c r="G471" s="133" t="str">
        <f>IFERROR(__xludf.DUMMYFUNCTION("""COMPUTED_VALUE"""),"الدجاج")</f>
        <v>الدجاج</v>
      </c>
      <c r="H471" s="133"/>
      <c r="I471" s="133"/>
      <c r="J471" s="133"/>
      <c r="K471" s="133" t="str">
        <f>IFERROR(__xludf.DUMMYFUNCTION("""COMPUTED_VALUE"""),"ساوث ايست الاسيوية للتغليف والتعليب المحدودة")</f>
        <v>ساوث ايست الاسيوية للتغليف والتعليب المحدودة</v>
      </c>
      <c r="L471" s="142" t="str">
        <f>IFERROR(__xludf.DUMMYFUNCTION("""COMPUTED_VALUE"""),"C2731")</f>
        <v>C2731</v>
      </c>
      <c r="M471" s="133"/>
      <c r="N471" s="133"/>
      <c r="O471" s="133"/>
      <c r="P471" s="133"/>
      <c r="Q471" s="133"/>
      <c r="R471" s="133"/>
      <c r="S471" s="133"/>
      <c r="T471" s="133"/>
      <c r="U471" s="133"/>
      <c r="V471" s="133"/>
      <c r="W471" s="133"/>
      <c r="X471" s="133"/>
      <c r="Y471" s="133"/>
      <c r="Z471" s="133"/>
    </row>
    <row r="472">
      <c r="A472" s="133">
        <f>IFERROR(__xludf.DUMMYFUNCTION("""COMPUTED_VALUE"""),471.0)</f>
        <v>471</v>
      </c>
      <c r="B472" s="133" t="str">
        <f>IFERROR(__xludf.DUMMYFUNCTION("""COMPUTED_VALUE"""),"C2730")</f>
        <v>C2730</v>
      </c>
      <c r="C472" s="133" t="str">
        <f>IFERROR(__xludf.DUMMYFUNCTION("""COMPUTED_VALUE"""),"P-1-N-311220-5270")</f>
        <v>P-1-N-311220-5270</v>
      </c>
      <c r="D472" s="133"/>
      <c r="E472" s="133" t="str">
        <f>IFERROR(__xludf.DUMMYFUNCTION("""COMPUTED_VALUE"""),"REJECTED")</f>
        <v>REJECTED</v>
      </c>
      <c r="F472" s="133" t="str">
        <f>IFERROR(__xludf.DUMMYFUNCTION("""COMPUTED_VALUE"""),"Tuna with Aloe Kitten 140g")</f>
        <v>Tuna with Aloe Kitten 140g</v>
      </c>
      <c r="G472" s="133" t="str">
        <f>IFERROR(__xludf.DUMMYFUNCTION("""COMPUTED_VALUE"""),"تونة مع الصبار للقطط الصغيرة 140 جم")</f>
        <v>تونة مع الصبار للقطط الصغيرة 140 جم</v>
      </c>
      <c r="H472" s="133"/>
      <c r="I472" s="133"/>
      <c r="J472" s="133"/>
      <c r="K472" s="133" t="str">
        <f>IFERROR(__xludf.DUMMYFUNCTION("""COMPUTED_VALUE"""),"ساوث ايست الاسيوية للتغليف والتعليب المحدودة")</f>
        <v>ساوث ايست الاسيوية للتغليف والتعليب المحدودة</v>
      </c>
      <c r="L472" s="142" t="str">
        <f>IFERROR(__xludf.DUMMYFUNCTION("""COMPUTED_VALUE"""),"C2730")</f>
        <v>C2730</v>
      </c>
      <c r="M472" s="133"/>
      <c r="N472" s="133"/>
      <c r="O472" s="133"/>
      <c r="P472" s="133"/>
      <c r="Q472" s="133"/>
      <c r="R472" s="133"/>
      <c r="S472" s="133"/>
      <c r="T472" s="133"/>
      <c r="U472" s="133"/>
      <c r="V472" s="133"/>
      <c r="W472" s="133"/>
      <c r="X472" s="133"/>
      <c r="Y472" s="133"/>
      <c r="Z472" s="133"/>
    </row>
    <row r="473">
      <c r="A473" s="133">
        <f>IFERROR(__xludf.DUMMYFUNCTION("""COMPUTED_VALUE"""),472.0)</f>
        <v>472</v>
      </c>
      <c r="B473" s="133" t="str">
        <f>IFERROR(__xludf.DUMMYFUNCTION("""COMPUTED_VALUE"""),"B1020")</f>
        <v>B1020</v>
      </c>
      <c r="C473" s="133" t="str">
        <f>IFERROR(__xludf.DUMMYFUNCTION("""COMPUTED_VALUE"""),"P-1-N-030121-9")</f>
        <v>P-1-N-030121-9</v>
      </c>
      <c r="D473" s="133"/>
      <c r="E473" s="133" t="str">
        <f>IFERROR(__xludf.DUMMYFUNCTION("""COMPUTED_VALUE"""),"REJECTED")</f>
        <v>REJECTED</v>
      </c>
      <c r="F473" s="133" t="str">
        <f>IFERROR(__xludf.DUMMYFUNCTION("""COMPUTED_VALUE"""),"Butchers Functional Dog Junior Chicken CIJ ")</f>
        <v>Butchers Functional Dog Junior Chicken CIJ </v>
      </c>
      <c r="G473" s="133" t="str">
        <f>IFERROR(__xludf.DUMMYFUNCTION("""COMPUTED_VALUE"""),"بوتشرز فنكشنال بقطع الدجاج في الجلي للكلاب الصغيرة 400 جم")</f>
        <v>بوتشرز فنكشنال بقطع الدجاج في الجلي للكلاب الصغيرة 400 جم</v>
      </c>
      <c r="H473" s="133"/>
      <c r="I473" s="133"/>
      <c r="J473" s="133"/>
      <c r="K473" s="133" t="str">
        <f>IFERROR(__xludf.DUMMYFUNCTION("""COMPUTED_VALUE"""),"بوتشرز بت كير ال تي دي")</f>
        <v>بوتشرز بت كير ال تي دي</v>
      </c>
      <c r="L473" s="142" t="str">
        <f>IFERROR(__xludf.DUMMYFUNCTION("""COMPUTED_VALUE"""),"B1020")</f>
        <v>B1020</v>
      </c>
      <c r="M473" s="133"/>
      <c r="N473" s="133"/>
      <c r="O473" s="133"/>
      <c r="P473" s="133"/>
      <c r="Q473" s="133"/>
      <c r="R473" s="133"/>
      <c r="S473" s="133"/>
      <c r="T473" s="133"/>
      <c r="U473" s="133"/>
      <c r="V473" s="133"/>
      <c r="W473" s="133"/>
      <c r="X473" s="133"/>
      <c r="Y473" s="133"/>
      <c r="Z473" s="133"/>
    </row>
    <row r="474">
      <c r="A474" s="133">
        <f>IFERROR(__xludf.DUMMYFUNCTION("""COMPUTED_VALUE"""),473.0)</f>
        <v>473</v>
      </c>
      <c r="B474" s="133"/>
      <c r="C474" s="133" t="str">
        <f>IFERROR(__xludf.DUMMYFUNCTION("""COMPUTED_VALUE"""),"P-1-N-030121-11")</f>
        <v>P-1-N-030121-11</v>
      </c>
      <c r="D474" s="133"/>
      <c r="E474" s="133" t="str">
        <f>IFERROR(__xludf.DUMMYFUNCTION("""COMPUTED_VALUE"""),"REJECTED")</f>
        <v>REJECTED</v>
      </c>
      <c r="F474" s="133" t="str">
        <f>IFERROR(__xludf.DUMMYFUNCTION("""COMPUTED_VALUE"""),"P-1-N-030121-14")</f>
        <v>P-1-N-030121-14</v>
      </c>
      <c r="G474" s="133" t="str">
        <f>IFERROR(__xludf.DUMMYFUNCTION("""COMPUTED_VALUE"""),"بوتشرز فنكشنال بقطع لحم ضأن في الجلي للكلاب الصغيرة 400 جم")</f>
        <v>بوتشرز فنكشنال بقطع لحم ضأن في الجلي للكلاب الصغيرة 400 جم</v>
      </c>
      <c r="H474" s="133"/>
      <c r="I474" s="133"/>
      <c r="J474" s="133"/>
      <c r="K474" s="133" t="str">
        <f>IFERROR(__xludf.DUMMYFUNCTION("""COMPUTED_VALUE"""),"بوتشرز بت كير ال تي دي")</f>
        <v>بوتشرز بت كير ال تي دي</v>
      </c>
      <c r="L474" s="133"/>
      <c r="M474" s="133"/>
      <c r="N474" s="133"/>
      <c r="O474" s="133"/>
      <c r="P474" s="133"/>
      <c r="Q474" s="133"/>
      <c r="R474" s="133"/>
      <c r="S474" s="133"/>
      <c r="T474" s="133"/>
      <c r="U474" s="133"/>
      <c r="V474" s="133"/>
      <c r="W474" s="133"/>
      <c r="X474" s="133"/>
      <c r="Y474" s="133"/>
      <c r="Z474" s="133"/>
    </row>
    <row r="475">
      <c r="A475" s="133">
        <f>IFERROR(__xludf.DUMMYFUNCTION("""COMPUTED_VALUE"""),474.0)</f>
        <v>474</v>
      </c>
      <c r="B475" s="133" t="str">
        <f>IFERROR(__xludf.DUMMYFUNCTION("""COMPUTED_VALUE"""),"b1045")</f>
        <v>b1045</v>
      </c>
      <c r="C475" s="133" t="str">
        <f>IFERROR(__xludf.DUMMYFUNCTION("""COMPUTED_VALUE"""),"P-1-N-030121-14")</f>
        <v>P-1-N-030121-14</v>
      </c>
      <c r="D475" s="133"/>
      <c r="E475" s="133" t="str">
        <f>IFERROR(__xludf.DUMMYFUNCTION("""COMPUTED_VALUE"""),"REJECTED")</f>
        <v>REJECTED</v>
      </c>
      <c r="F475" s="133" t="str">
        <f>IFERROR(__xludf.DUMMYFUNCTION("""COMPUTED_VALUE"""),"Butchers Functional Cat Beauty Salmon CIJ ")</f>
        <v>Butchers Functional Cat Beauty Salmon CIJ </v>
      </c>
      <c r="G475" s="133" t="str">
        <f>IFERROR(__xludf.DUMMYFUNCTION("""COMPUTED_VALUE"""),"بوتشرز فنكشنال بيوتي بقطع السلمون في الجلي للقطط 400 جم")</f>
        <v>بوتشرز فنكشنال بيوتي بقطع السلمون في الجلي للقطط 400 جم</v>
      </c>
      <c r="H475" s="133"/>
      <c r="I475" s="133"/>
      <c r="J475" s="133"/>
      <c r="K475" s="133" t="str">
        <f>IFERROR(__xludf.DUMMYFUNCTION("""COMPUTED_VALUE"""),"بوتشرز بت كير ال تي دي")</f>
        <v>بوتشرز بت كير ال تي دي</v>
      </c>
      <c r="L475" s="142" t="str">
        <f>IFERROR(__xludf.DUMMYFUNCTION("""COMPUTED_VALUE"""),"b1045")</f>
        <v>b1045</v>
      </c>
      <c r="M475" s="133"/>
      <c r="N475" s="133"/>
      <c r="O475" s="133"/>
      <c r="P475" s="133"/>
      <c r="Q475" s="133"/>
      <c r="R475" s="133"/>
      <c r="S475" s="133"/>
      <c r="T475" s="133"/>
      <c r="U475" s="133"/>
      <c r="V475" s="133"/>
      <c r="W475" s="133"/>
      <c r="X475" s="133"/>
      <c r="Y475" s="133"/>
      <c r="Z475" s="133"/>
    </row>
    <row r="476">
      <c r="A476" s="133">
        <f>IFERROR(__xludf.DUMMYFUNCTION("""COMPUTED_VALUE"""),475.0)</f>
        <v>475</v>
      </c>
      <c r="B476" s="133" t="str">
        <f>IFERROR(__xludf.DUMMYFUNCTION("""COMPUTED_VALUE"""),"B1046")</f>
        <v>B1046</v>
      </c>
      <c r="C476" s="133" t="str">
        <f>IFERROR(__xludf.DUMMYFUNCTION("""COMPUTED_VALUE"""),"P-1-N-030121-16")</f>
        <v>P-1-N-030121-16</v>
      </c>
      <c r="D476" s="133"/>
      <c r="E476" s="133" t="str">
        <f>IFERROR(__xludf.DUMMYFUNCTION("""COMPUTED_VALUE"""),"تمت طباعة الشهادة")</f>
        <v>تمت طباعة الشهادة</v>
      </c>
      <c r="F476" s="133" t="str">
        <f>IFERROR(__xludf.DUMMYFUNCTION("""COMPUTED_VALUE"""),"Butchers Functional Cat Beauty Chicken CIJ ")</f>
        <v>Butchers Functional Cat Beauty Chicken CIJ </v>
      </c>
      <c r="G476" s="133" t="str">
        <f>IFERROR(__xludf.DUMMYFUNCTION("""COMPUTED_VALUE"""),"بوتشرز فنكشنال بيوتي بقطع الدجاج في الجلي للقطط 400 جم")</f>
        <v>بوتشرز فنكشنال بيوتي بقطع الدجاج في الجلي للقطط 400 جم</v>
      </c>
      <c r="H476" s="133" t="str">
        <f>IFERROR(__xludf.DUMMYFUNCTION("""COMPUTED_VALUE"""),"MAFE202126")</f>
        <v>MAFE202126</v>
      </c>
      <c r="I476" s="133"/>
      <c r="J476" s="133"/>
      <c r="K476" s="133" t="str">
        <f>IFERROR(__xludf.DUMMYFUNCTION("""COMPUTED_VALUE"""),"بوتشرز بت كير ال تي دي")</f>
        <v>بوتشرز بت كير ال تي دي</v>
      </c>
      <c r="L476" s="142" t="str">
        <f>IFERROR(__xludf.DUMMYFUNCTION("""COMPUTED_VALUE"""),"B1046")</f>
        <v>B1046</v>
      </c>
      <c r="M476" s="133"/>
      <c r="N476" s="133"/>
      <c r="O476" s="133"/>
      <c r="P476" s="133"/>
      <c r="Q476" s="133"/>
      <c r="R476" s="133"/>
      <c r="S476" s="133"/>
      <c r="T476" s="133"/>
      <c r="U476" s="133"/>
      <c r="V476" s="133"/>
      <c r="W476" s="133"/>
      <c r="X476" s="133"/>
      <c r="Y476" s="133"/>
      <c r="Z476" s="133"/>
    </row>
    <row r="477">
      <c r="A477" s="133">
        <f>IFERROR(__xludf.DUMMYFUNCTION("""COMPUTED_VALUE"""),476.0)</f>
        <v>476</v>
      </c>
      <c r="B477" s="133"/>
      <c r="C477" s="133" t="str">
        <f>IFERROR(__xludf.DUMMYFUNCTION("""COMPUTED_VALUE"""),"P-1-N-050121-35")</f>
        <v>P-1-N-050121-35</v>
      </c>
      <c r="D477" s="133"/>
      <c r="E477" s="133" t="str">
        <f>IFERROR(__xludf.DUMMYFUNCTION("""COMPUTED_VALUE"""),"REJECTED")</f>
        <v>REJECTED</v>
      </c>
      <c r="F477" s="133" t="str">
        <f>IFERROR(__xludf.DUMMYFUNCTION("""COMPUTED_VALUE"""),"Chewing Bone with Chicken S x2 55g")</f>
        <v>Chewing Bone with Chicken S x2 55g</v>
      </c>
      <c r="G477" s="133" t="str">
        <f>IFERROR(__xludf.DUMMYFUNCTION("""COMPUTED_VALUE"""),"عظام المضغ بالدجاج صغيرة ×2 55 جم")</f>
        <v>عظام المضغ بالدجاج صغيرة ×2 55 جم</v>
      </c>
      <c r="H477" s="133"/>
      <c r="I477" s="133"/>
      <c r="J477" s="133"/>
      <c r="K477" s="133" t="str">
        <f>IFERROR(__xludf.DUMMYFUNCTION("""COMPUTED_VALUE"""),"يانتاي هوس بت فود تك كو")</f>
        <v>يانتاي هوس بت فود تك كو</v>
      </c>
      <c r="L477" s="133"/>
      <c r="M477" s="133"/>
      <c r="N477" s="133"/>
      <c r="O477" s="133"/>
      <c r="P477" s="133"/>
      <c r="Q477" s="133"/>
      <c r="R477" s="133"/>
      <c r="S477" s="133"/>
      <c r="T477" s="133"/>
      <c r="U477" s="133"/>
      <c r="V477" s="133"/>
      <c r="W477" s="133"/>
      <c r="X477" s="133"/>
      <c r="Y477" s="133"/>
      <c r="Z477" s="133"/>
    </row>
    <row r="478">
      <c r="A478" s="133">
        <f>IFERROR(__xludf.DUMMYFUNCTION("""COMPUTED_VALUE"""),477.0)</f>
        <v>477</v>
      </c>
      <c r="B478" s="133"/>
      <c r="C478" s="133" t="str">
        <f>IFERROR(__xludf.DUMMYFUNCTION("""COMPUTED_VALUE"""),"P-1-N-050121-36")</f>
        <v>P-1-N-050121-36</v>
      </c>
      <c r="D478" s="133"/>
      <c r="E478" s="133" t="str">
        <f>IFERROR(__xludf.DUMMYFUNCTION("""COMPUTED_VALUE"""),"تمت طباعة الشهادة")</f>
        <v>تمت طباعة الشهادة</v>
      </c>
      <c r="F478" s="133">
        <f>IFERROR(__xludf.DUMMYFUNCTION("""COMPUTED_VALUE"""),0.0)</f>
        <v>0</v>
      </c>
      <c r="G478" s="133" t="str">
        <f>IFERROR(__xludf.DUMMYFUNCTION("""COMPUTED_VALUE"""),"سانال توب ميكس 240 جم")</f>
        <v>سانال توب ميكس 240 جم</v>
      </c>
      <c r="H478" s="133" t="str">
        <f>IFERROR(__xludf.DUMMYFUNCTION("""COMPUTED_VALUE"""),"MAFE2021327")</f>
        <v>MAFE2021327</v>
      </c>
      <c r="I478" s="133"/>
      <c r="J478" s="133"/>
      <c r="K478" s="133" t="str">
        <f>IFERROR(__xludf.DUMMYFUNCTION("""COMPUTED_VALUE"""),"نيدرما بي في")</f>
        <v>نيدرما بي في</v>
      </c>
      <c r="L478" s="133"/>
      <c r="M478" s="133"/>
      <c r="N478" s="133"/>
      <c r="O478" s="133"/>
      <c r="P478" s="133"/>
      <c r="Q478" s="133"/>
      <c r="R478" s="133"/>
      <c r="S478" s="133"/>
      <c r="T478" s="133"/>
      <c r="U478" s="133"/>
      <c r="V478" s="133"/>
      <c r="W478" s="133"/>
      <c r="X478" s="133"/>
      <c r="Y478" s="133"/>
      <c r="Z478" s="133"/>
    </row>
    <row r="479">
      <c r="A479" s="133">
        <f>IFERROR(__xludf.DUMMYFUNCTION("""COMPUTED_VALUE"""),478.0)</f>
        <v>478</v>
      </c>
      <c r="B479" s="133" t="str">
        <f>IFERROR(__xludf.DUMMYFUNCTION("""COMPUTED_VALUE"""),"sc1575")</f>
        <v>sc1575</v>
      </c>
      <c r="C479" s="133" t="str">
        <f>IFERROR(__xludf.DUMMYFUNCTION("""COMPUTED_VALUE"""),"P-1-N-050121-37")</f>
        <v>P-1-N-050121-37</v>
      </c>
      <c r="D479" s="133"/>
      <c r="E479" s="133" t="str">
        <f>IFERROR(__xludf.DUMMYFUNCTION("""COMPUTED_VALUE"""),"تمت طباعة الشهادة")</f>
        <v>تمت طباعة الشهادة</v>
      </c>
      <c r="F479" s="133" t="str">
        <f>IFERROR(__xludf.DUMMYFUNCTION("""COMPUTED_VALUE"""),"Sanal Cat Salmon Bites 75g")</f>
        <v>Sanal Cat Salmon Bites 75g</v>
      </c>
      <c r="G479" s="133" t="str">
        <f>IFERROR(__xludf.DUMMYFUNCTION("""COMPUTED_VALUE"""),"سانال بيتس بسمك السلمون للقطط 75 جم")</f>
        <v>سانال بيتس بسمك السلمون للقطط 75 جم</v>
      </c>
      <c r="H479" s="133" t="str">
        <f>IFERROR(__xludf.DUMMYFUNCTION("""COMPUTED_VALUE"""),"MAFE202178")</f>
        <v>MAFE202178</v>
      </c>
      <c r="I479" s="133"/>
      <c r="J479" s="133"/>
      <c r="K479" s="133" t="str">
        <f>IFERROR(__xludf.DUMMYFUNCTION("""COMPUTED_VALUE"""),"نيدرما")</f>
        <v>نيدرما</v>
      </c>
      <c r="L479" s="142" t="str">
        <f>IFERROR(__xludf.DUMMYFUNCTION("""COMPUTED_VALUE"""),"sc1575")</f>
        <v>sc1575</v>
      </c>
      <c r="M479" s="133"/>
      <c r="N479" s="133"/>
      <c r="O479" s="133"/>
      <c r="P479" s="133"/>
      <c r="Q479" s="133"/>
      <c r="R479" s="133"/>
      <c r="S479" s="133"/>
      <c r="T479" s="133"/>
      <c r="U479" s="133"/>
      <c r="V479" s="133"/>
      <c r="W479" s="133"/>
      <c r="X479" s="133"/>
      <c r="Y479" s="133"/>
      <c r="Z479" s="133"/>
    </row>
    <row r="480">
      <c r="A480" s="133">
        <f>IFERROR(__xludf.DUMMYFUNCTION("""COMPUTED_VALUE"""),479.0)</f>
        <v>479</v>
      </c>
      <c r="B480" s="133" t="str">
        <f>IFERROR(__xludf.DUMMYFUNCTION("""COMPUTED_VALUE"""),"sc1579")</f>
        <v>sc1579</v>
      </c>
      <c r="C480" s="133" t="str">
        <f>IFERROR(__xludf.DUMMYFUNCTION("""COMPUTED_VALUE"""),"P-1-N-050121-38")</f>
        <v>P-1-N-050121-38</v>
      </c>
      <c r="D480" s="133"/>
      <c r="E480" s="133" t="str">
        <f>IFERROR(__xludf.DUMMYFUNCTION("""COMPUTED_VALUE"""),"تمت طباعة الشهادة")</f>
        <v>تمت طباعة الشهادة</v>
      </c>
      <c r="F480" s="133" t="str">
        <f>IFERROR(__xludf.DUMMYFUNCTION("""COMPUTED_VALUE"""),"Sanal Joint Care 75g")</f>
        <v>Sanal Joint Care 75g</v>
      </c>
      <c r="G480" s="133" t="str">
        <f>IFERROR(__xludf.DUMMYFUNCTION("""COMPUTED_VALUE"""),"سانال جوينت كير 75 جم")</f>
        <v>سانال جوينت كير 75 جم</v>
      </c>
      <c r="H480" s="133" t="str">
        <f>IFERROR(__xludf.DUMMYFUNCTION("""COMPUTED_VALUE"""),"MAFE2021326")</f>
        <v>MAFE2021326</v>
      </c>
      <c r="I480" s="133"/>
      <c r="J480" s="133"/>
      <c r="K480" s="133" t="str">
        <f>IFERROR(__xludf.DUMMYFUNCTION("""COMPUTED_VALUE"""),"نيدرما بي في")</f>
        <v>نيدرما بي في</v>
      </c>
      <c r="L480" s="142" t="str">
        <f>IFERROR(__xludf.DUMMYFUNCTION("""COMPUTED_VALUE"""),"sc1579")</f>
        <v>sc1579</v>
      </c>
      <c r="M480" s="133"/>
      <c r="N480" s="133"/>
      <c r="O480" s="133"/>
      <c r="P480" s="133"/>
      <c r="Q480" s="133"/>
      <c r="R480" s="133"/>
      <c r="S480" s="133"/>
      <c r="T480" s="133"/>
      <c r="U480" s="133"/>
      <c r="V480" s="133"/>
      <c r="W480" s="133"/>
      <c r="X480" s="133"/>
      <c r="Y480" s="133"/>
      <c r="Z480" s="133"/>
    </row>
    <row r="481">
      <c r="A481" s="133">
        <f>IFERROR(__xludf.DUMMYFUNCTION("""COMPUTED_VALUE"""),480.0)</f>
        <v>480</v>
      </c>
      <c r="B481" s="133" t="str">
        <f>IFERROR(__xludf.DUMMYFUNCTION("""COMPUTED_VALUE"""),"sc1585")</f>
        <v>sc1585</v>
      </c>
      <c r="C481" s="133" t="str">
        <f>IFERROR(__xludf.DUMMYFUNCTION("""COMPUTED_VALUE"""),"P-1-N-050121-39")</f>
        <v>P-1-N-050121-39</v>
      </c>
      <c r="D481" s="133"/>
      <c r="E481" s="133" t="str">
        <f>IFERROR(__xludf.DUMMYFUNCTION("""COMPUTED_VALUE"""),"تمت طباعة الشهادة")</f>
        <v>تمت طباعة الشهادة</v>
      </c>
      <c r="F481" s="133" t="str">
        <f>IFERROR(__xludf.DUMMYFUNCTION("""COMPUTED_VALUE"""),"Sanal Cat Multi Vitamin 350g")</f>
        <v>Sanal Cat Multi Vitamin 350g</v>
      </c>
      <c r="G481" s="133" t="str">
        <f>IFERROR(__xludf.DUMMYFUNCTION("""COMPUTED_VALUE"""),"سانال")</f>
        <v>سانال</v>
      </c>
      <c r="H481" s="133" t="str">
        <f>IFERROR(__xludf.DUMMYFUNCTION("""COMPUTED_VALUE"""),"MAFE2021325")</f>
        <v>MAFE2021325</v>
      </c>
      <c r="I481" s="133"/>
      <c r="J481" s="133"/>
      <c r="K481" s="133" t="str">
        <f>IFERROR(__xludf.DUMMYFUNCTION("""COMPUTED_VALUE"""),"نيدرما بي في")</f>
        <v>نيدرما بي في</v>
      </c>
      <c r="L481" s="142" t="str">
        <f>IFERROR(__xludf.DUMMYFUNCTION("""COMPUTED_VALUE"""),"sc1585")</f>
        <v>sc1585</v>
      </c>
      <c r="M481" s="133"/>
      <c r="N481" s="133"/>
      <c r="O481" s="133"/>
      <c r="P481" s="133"/>
      <c r="Q481" s="133"/>
      <c r="R481" s="133"/>
      <c r="S481" s="133"/>
      <c r="T481" s="133"/>
      <c r="U481" s="133"/>
      <c r="V481" s="133"/>
      <c r="W481" s="133"/>
      <c r="X481" s="133"/>
      <c r="Y481" s="133"/>
      <c r="Z481" s="133"/>
    </row>
    <row r="482">
      <c r="A482" s="133">
        <f>IFERROR(__xludf.DUMMYFUNCTION("""COMPUTED_VALUE"""),481.0)</f>
        <v>481</v>
      </c>
      <c r="B482" s="133" t="str">
        <f>IFERROR(__xludf.DUMMYFUNCTION("""COMPUTED_VALUE"""),"sc1590")</f>
        <v>sc1590</v>
      </c>
      <c r="C482" s="133" t="str">
        <f>IFERROR(__xludf.DUMMYFUNCTION("""COMPUTED_VALUE"""),"P-1-N-050121-40")</f>
        <v>P-1-N-050121-40</v>
      </c>
      <c r="D482" s="133"/>
      <c r="E482" s="133" t="str">
        <f>IFERROR(__xludf.DUMMYFUNCTION("""COMPUTED_VALUE"""),"تمت طباعة الشهادة")</f>
        <v>تمت طباعة الشهادة</v>
      </c>
      <c r="F482" s="133" t="str">
        <f>IFERROR(__xludf.DUMMYFUNCTION("""COMPUTED_VALUE"""),"Sanal Fish Trio 75g")</f>
        <v>Sanal Fish Trio 75g</v>
      </c>
      <c r="G482" s="133" t="str">
        <f>IFERROR(__xludf.DUMMYFUNCTION("""COMPUTED_VALUE"""),"سانال فيش تريو 75 جم")</f>
        <v>سانال فيش تريو 75 جم</v>
      </c>
      <c r="H482" s="133" t="str">
        <f>IFERROR(__xludf.DUMMYFUNCTION("""COMPUTED_VALUE"""),"MAFE2021324")</f>
        <v>MAFE2021324</v>
      </c>
      <c r="I482" s="133"/>
      <c r="J482" s="133"/>
      <c r="K482" s="133" t="str">
        <f>IFERROR(__xludf.DUMMYFUNCTION("""COMPUTED_VALUE"""),"نيدرما بي في")</f>
        <v>نيدرما بي في</v>
      </c>
      <c r="L482" s="142" t="str">
        <f>IFERROR(__xludf.DUMMYFUNCTION("""COMPUTED_VALUE"""),"sc1590")</f>
        <v>sc1590</v>
      </c>
      <c r="M482" s="133"/>
      <c r="N482" s="133"/>
      <c r="O482" s="133"/>
      <c r="P482" s="133"/>
      <c r="Q482" s="133"/>
      <c r="R482" s="133"/>
      <c r="S482" s="133"/>
      <c r="T482" s="133"/>
      <c r="U482" s="133"/>
      <c r="V482" s="133"/>
      <c r="W482" s="133"/>
      <c r="X482" s="133"/>
      <c r="Y482" s="133"/>
      <c r="Z482" s="133"/>
    </row>
    <row r="483">
      <c r="A483" s="133">
        <f>IFERROR(__xludf.DUMMYFUNCTION("""COMPUTED_VALUE"""),482.0)</f>
        <v>482</v>
      </c>
      <c r="B483" s="133" t="str">
        <f>IFERROR(__xludf.DUMMYFUNCTION("""COMPUTED_VALUE"""),"sd2006")</f>
        <v>sd2006</v>
      </c>
      <c r="C483" s="133" t="str">
        <f>IFERROR(__xludf.DUMMYFUNCTION("""COMPUTED_VALUE"""),"P-1-N-050121-41")</f>
        <v>P-1-N-050121-41</v>
      </c>
      <c r="D483" s="133"/>
      <c r="E483" s="133" t="str">
        <f>IFERROR(__xludf.DUMMYFUNCTION("""COMPUTED_VALUE"""),"تمت طباعة الشهادة")</f>
        <v>تمت طباعة الشهادة</v>
      </c>
      <c r="F483" s="133" t="str">
        <f>IFERROR(__xludf.DUMMYFUNCTION("""COMPUTED_VALUE"""),"Sanal Calcium Plus 200g")</f>
        <v>Sanal Calcium Plus 200g</v>
      </c>
      <c r="G483" s="133" t="str">
        <f>IFERROR(__xludf.DUMMYFUNCTION("""COMPUTED_VALUE"""),"سانال كالسيوم بلس 200 جم")</f>
        <v>سانال كالسيوم بلس 200 جم</v>
      </c>
      <c r="H483" s="133" t="str">
        <f>IFERROR(__xludf.DUMMYFUNCTION("""COMPUTED_VALUE"""),"MAFE2021323")</f>
        <v>MAFE2021323</v>
      </c>
      <c r="I483" s="133"/>
      <c r="J483" s="133"/>
      <c r="K483" s="133" t="str">
        <f>IFERROR(__xludf.DUMMYFUNCTION("""COMPUTED_VALUE"""),"نيدرما بي في")</f>
        <v>نيدرما بي في</v>
      </c>
      <c r="L483" s="142" t="str">
        <f>IFERROR(__xludf.DUMMYFUNCTION("""COMPUTED_VALUE"""),"sd2006")</f>
        <v>sd2006</v>
      </c>
      <c r="M483" s="133"/>
      <c r="N483" s="133"/>
      <c r="O483" s="133"/>
      <c r="P483" s="133"/>
      <c r="Q483" s="133"/>
      <c r="R483" s="133"/>
      <c r="S483" s="133"/>
      <c r="T483" s="133"/>
      <c r="U483" s="133"/>
      <c r="V483" s="133"/>
      <c r="W483" s="133"/>
      <c r="X483" s="133"/>
      <c r="Y483" s="133"/>
      <c r="Z483" s="133"/>
    </row>
    <row r="484">
      <c r="A484" s="133">
        <f>IFERROR(__xludf.DUMMYFUNCTION("""COMPUTED_VALUE"""),483.0)</f>
        <v>483</v>
      </c>
      <c r="B484" s="133"/>
      <c r="C484" s="133" t="str">
        <f>IFERROR(__xludf.DUMMYFUNCTION("""COMPUTED_VALUE"""),"P-1-N-050121-42")</f>
        <v>P-1-N-050121-42</v>
      </c>
      <c r="D484" s="133"/>
      <c r="E484" s="133" t="str">
        <f>IFERROR(__xludf.DUMMYFUNCTION("""COMPUTED_VALUE"""),"تمت طباعة الشهادة")</f>
        <v>تمت طباعة الشهادة</v>
      </c>
      <c r="F484" s="133" t="str">
        <f>IFERROR(__xludf.DUMMYFUNCTION("""COMPUTED_VALUE"""),"P-1-N-050121-43")</f>
        <v>P-1-N-050121-43</v>
      </c>
      <c r="G484" s="133" t="str">
        <f>IFERROR(__xludf.DUMMYFUNCTION("""COMPUTED_VALUE"""),"سانال ييست كالسيوم 350 جم")</f>
        <v>سانال ييست كالسيوم 350 جم</v>
      </c>
      <c r="H484" s="133" t="str">
        <f>IFERROR(__xludf.DUMMYFUNCTION("""COMPUTED_VALUE"""),"MAFE2021322")</f>
        <v>MAFE2021322</v>
      </c>
      <c r="I484" s="133"/>
      <c r="J484" s="133"/>
      <c r="K484" s="133" t="str">
        <f>IFERROR(__xludf.DUMMYFUNCTION("""COMPUTED_VALUE"""),"نيدرما بي في")</f>
        <v>نيدرما بي في</v>
      </c>
      <c r="L484" s="133"/>
      <c r="M484" s="133"/>
      <c r="N484" s="133"/>
      <c r="O484" s="133"/>
      <c r="P484" s="133"/>
      <c r="Q484" s="133"/>
      <c r="R484" s="133"/>
      <c r="S484" s="133"/>
      <c r="T484" s="133"/>
      <c r="U484" s="133"/>
      <c r="V484" s="133"/>
      <c r="W484" s="133"/>
      <c r="X484" s="133"/>
      <c r="Y484" s="133"/>
      <c r="Z484" s="133"/>
    </row>
    <row r="485">
      <c r="A485" s="133">
        <f>IFERROR(__xludf.DUMMYFUNCTION("""COMPUTED_VALUE"""),484.0)</f>
        <v>484</v>
      </c>
      <c r="B485" s="133" t="str">
        <f>IFERROR(__xludf.DUMMYFUNCTION("""COMPUTED_VALUE"""),"sd2310")</f>
        <v>sd2310</v>
      </c>
      <c r="C485" s="133" t="str">
        <f>IFERROR(__xludf.DUMMYFUNCTION("""COMPUTED_VALUE"""),"P-1-N-050121-43")</f>
        <v>P-1-N-050121-43</v>
      </c>
      <c r="D485" s="133"/>
      <c r="E485" s="133" t="str">
        <f>IFERROR(__xludf.DUMMYFUNCTION("""COMPUTED_VALUE"""),"تمت طباعة الشهادة")</f>
        <v>تمت طباعة الشهادة</v>
      </c>
      <c r="F485" s="133" t="str">
        <f>IFERROR(__xludf.DUMMYFUNCTION("""COMPUTED_VALUE"""),"Sanal Choco Drops 250g")</f>
        <v>Sanal Choco Drops 250g</v>
      </c>
      <c r="G485" s="133" t="str">
        <f>IFERROR(__xludf.DUMMYFUNCTION("""COMPUTED_VALUE"""),"سانال شوكو دروبس 250 جم")</f>
        <v>سانال شوكو دروبس 250 جم</v>
      </c>
      <c r="H485" s="133" t="str">
        <f>IFERROR(__xludf.DUMMYFUNCTION("""COMPUTED_VALUE"""),"MAFE2021130")</f>
        <v>MAFE2021130</v>
      </c>
      <c r="I485" s="133"/>
      <c r="J485" s="133"/>
      <c r="K485" s="133" t="str">
        <f>IFERROR(__xludf.DUMMYFUNCTION("""COMPUTED_VALUE"""),"نيدرما بي في")</f>
        <v>نيدرما بي في</v>
      </c>
      <c r="L485" s="142" t="str">
        <f>IFERROR(__xludf.DUMMYFUNCTION("""COMPUTED_VALUE"""),"sd2310")</f>
        <v>sd2310</v>
      </c>
      <c r="M485" s="133"/>
      <c r="N485" s="133"/>
      <c r="O485" s="133"/>
      <c r="P485" s="133"/>
      <c r="Q485" s="133"/>
      <c r="R485" s="133"/>
      <c r="S485" s="133"/>
      <c r="T485" s="133"/>
      <c r="U485" s="133"/>
      <c r="V485" s="133"/>
      <c r="W485" s="133"/>
      <c r="X485" s="133"/>
      <c r="Y485" s="133"/>
      <c r="Z485" s="133"/>
    </row>
    <row r="486">
      <c r="A486" s="133">
        <f>IFERROR(__xludf.DUMMYFUNCTION("""COMPUTED_VALUE"""),485.0)</f>
        <v>485</v>
      </c>
      <c r="B486" s="133" t="str">
        <f>IFERROR(__xludf.DUMMYFUNCTION("""COMPUTED_VALUE"""),"SD2330")</f>
        <v>SD2330</v>
      </c>
      <c r="C486" s="133" t="str">
        <f>IFERROR(__xludf.DUMMYFUNCTION("""COMPUTED_VALUE"""),"P-1-N-050121-44")</f>
        <v>P-1-N-050121-44</v>
      </c>
      <c r="D486" s="133"/>
      <c r="E486" s="133" t="str">
        <f>IFERROR(__xludf.DUMMYFUNCTION("""COMPUTED_VALUE"""),"تمت طباعة الشهادة")</f>
        <v>تمت طباعة الشهادة</v>
      </c>
      <c r="F486" s="133" t="str">
        <f>IFERROR(__xludf.DUMMYFUNCTION("""COMPUTED_VALUE"""),"Sanal Milk Drops 250g")</f>
        <v>Sanal Milk Drops 250g</v>
      </c>
      <c r="G486" s="133" t="str">
        <f>IFERROR(__xludf.DUMMYFUNCTION("""COMPUTED_VALUE"""),"سانال ميلك دروبس 250 جم")</f>
        <v>سانال ميلك دروبس 250 جم</v>
      </c>
      <c r="H486" s="133" t="str">
        <f>IFERROR(__xludf.DUMMYFUNCTION("""COMPUTED_VALUE"""),"MAFE2021129")</f>
        <v>MAFE2021129</v>
      </c>
      <c r="I486" s="133"/>
      <c r="J486" s="133"/>
      <c r="K486" s="133" t="str">
        <f>IFERROR(__xludf.DUMMYFUNCTION("""COMPUTED_VALUE"""),"نيدرما بي في")</f>
        <v>نيدرما بي في</v>
      </c>
      <c r="L486" s="142" t="str">
        <f>IFERROR(__xludf.DUMMYFUNCTION("""COMPUTED_VALUE"""),"SD2330")</f>
        <v>SD2330</v>
      </c>
      <c r="M486" s="133"/>
      <c r="N486" s="133"/>
      <c r="O486" s="133"/>
      <c r="P486" s="133"/>
      <c r="Q486" s="133"/>
      <c r="R486" s="133"/>
      <c r="S486" s="133"/>
      <c r="T486" s="133"/>
      <c r="U486" s="133"/>
      <c r="V486" s="133"/>
      <c r="W486" s="133"/>
      <c r="X486" s="133"/>
      <c r="Y486" s="133"/>
      <c r="Z486" s="133"/>
    </row>
    <row r="487">
      <c r="A487" s="133">
        <f>IFERROR(__xludf.DUMMYFUNCTION("""COMPUTED_VALUE"""),486.0)</f>
        <v>486</v>
      </c>
      <c r="B487" s="133" t="str">
        <f>IFERROR(__xludf.DUMMYFUNCTION("""COMPUTED_VALUE"""),"sd2458")</f>
        <v>sd2458</v>
      </c>
      <c r="C487" s="133" t="str">
        <f>IFERROR(__xludf.DUMMYFUNCTION("""COMPUTED_VALUE"""),"P-1-N-050121-46")</f>
        <v>P-1-N-050121-46</v>
      </c>
      <c r="D487" s="133"/>
      <c r="E487" s="133" t="str">
        <f>IFERROR(__xludf.DUMMYFUNCTION("""COMPUTED_VALUE"""),"تمت طباعة الشهادة")</f>
        <v>تمت طباعة الشهادة</v>
      </c>
      <c r="F487" s="133" t="str">
        <f>IFERROR(__xludf.DUMMYFUNCTION("""COMPUTED_VALUE"""),"Sanal Biotin 350g")</f>
        <v>Sanal Biotin 350g</v>
      </c>
      <c r="G487" s="133" t="str">
        <f>IFERROR(__xludf.DUMMYFUNCTION("""COMPUTED_VALUE"""),"سانال بيوتين 350 جم")</f>
        <v>سانال بيوتين 350 جم</v>
      </c>
      <c r="H487" s="133" t="str">
        <f>IFERROR(__xludf.DUMMYFUNCTION("""COMPUTED_VALUE"""),"MAFE2021128")</f>
        <v>MAFE2021128</v>
      </c>
      <c r="I487" s="133"/>
      <c r="J487" s="133"/>
      <c r="K487" s="133" t="str">
        <f>IFERROR(__xludf.DUMMYFUNCTION("""COMPUTED_VALUE"""),"نيدرما بي في")</f>
        <v>نيدرما بي في</v>
      </c>
      <c r="L487" s="142" t="str">
        <f>IFERROR(__xludf.DUMMYFUNCTION("""COMPUTED_VALUE"""),"sd2458")</f>
        <v>sd2458</v>
      </c>
      <c r="M487" s="133"/>
      <c r="N487" s="133"/>
      <c r="O487" s="133"/>
      <c r="P487" s="133"/>
      <c r="Q487" s="133"/>
      <c r="R487" s="133"/>
      <c r="S487" s="133"/>
      <c r="T487" s="133"/>
      <c r="U487" s="133"/>
      <c r="V487" s="133"/>
      <c r="W487" s="133"/>
      <c r="X487" s="133"/>
      <c r="Y487" s="133"/>
      <c r="Z487" s="133"/>
    </row>
    <row r="488">
      <c r="A488" s="133">
        <f>IFERROR(__xludf.DUMMYFUNCTION("""COMPUTED_VALUE"""),487.0)</f>
        <v>487</v>
      </c>
      <c r="B488" s="133"/>
      <c r="C488" s="133" t="str">
        <f>IFERROR(__xludf.DUMMYFUNCTION("""COMPUTED_VALUE"""),"P-1-N-050121-47")</f>
        <v>P-1-N-050121-47</v>
      </c>
      <c r="D488" s="133"/>
      <c r="E488" s="133" t="str">
        <f>IFERROR(__xludf.DUMMYFUNCTION("""COMPUTED_VALUE"""),"تمت طباعة الشهادة")</f>
        <v>تمت طباعة الشهادة</v>
      </c>
      <c r="F488" s="133">
        <f>IFERROR(__xludf.DUMMYFUNCTION("""COMPUTED_VALUE"""),0.0)</f>
        <v>0</v>
      </c>
      <c r="G488" s="133" t="str">
        <f>IFERROR(__xludf.DUMMYFUNCTION("""COMPUTED_VALUE"""),"كت كات حليب للقطط 250 مل")</f>
        <v>كت كات حليب للقطط 250 مل</v>
      </c>
      <c r="H488" s="133" t="str">
        <f>IFERROR(__xludf.DUMMYFUNCTION("""COMPUTED_VALUE"""),"MAFE2021127")</f>
        <v>MAFE2021127</v>
      </c>
      <c r="I488" s="133"/>
      <c r="J488" s="133"/>
      <c r="K488" s="133" t="str">
        <f>IFERROR(__xludf.DUMMYFUNCTION("""COMPUTED_VALUE"""),"ليملكو ان في")</f>
        <v>ليملكو ان في</v>
      </c>
      <c r="L488" s="133"/>
      <c r="M488" s="133"/>
      <c r="N488" s="133"/>
      <c r="O488" s="133"/>
      <c r="P488" s="133"/>
      <c r="Q488" s="133"/>
      <c r="R488" s="133"/>
      <c r="S488" s="133"/>
      <c r="T488" s="133"/>
      <c r="U488" s="133"/>
      <c r="V488" s="133"/>
      <c r="W488" s="133"/>
      <c r="X488" s="133"/>
      <c r="Y488" s="133"/>
      <c r="Z488" s="133"/>
    </row>
    <row r="489">
      <c r="A489" s="133">
        <f>IFERROR(__xludf.DUMMYFUNCTION("""COMPUTED_VALUE"""),488.0)</f>
        <v>488</v>
      </c>
      <c r="B489" s="133" t="str">
        <f>IFERROR(__xludf.DUMMYFUNCTION("""COMPUTED_VALUE"""),"sd2910")</f>
        <v>sd2910</v>
      </c>
      <c r="C489" s="133" t="str">
        <f>IFERROR(__xludf.DUMMYFUNCTION("""COMPUTED_VALUE"""),"P-1-N-050121-48")</f>
        <v>P-1-N-050121-48</v>
      </c>
      <c r="D489" s="133"/>
      <c r="E489" s="133" t="str">
        <f>IFERROR(__xludf.DUMMYFUNCTION("""COMPUTED_VALUE"""),"تمت طباعة الشهادة")</f>
        <v>تمت طباعة الشهادة</v>
      </c>
      <c r="F489" s="133" t="str">
        <f>IFERROR(__xludf.DUMMYFUNCTION("""COMPUTED_VALUE"""),"Sanal Soft Stick Lamb 12g")</f>
        <v>Sanal Soft Stick Lamb 12g</v>
      </c>
      <c r="G489" s="133" t="str">
        <f>IFERROR(__xludf.DUMMYFUNCTION("""COMPUTED_VALUE"""),"سانال سوفت ستيك بلحم الغنم 12 جم")</f>
        <v>سانال سوفت ستيك بلحم الغنم 12 جم</v>
      </c>
      <c r="H489" s="133" t="str">
        <f>IFERROR(__xludf.DUMMYFUNCTION("""COMPUTED_VALUE"""),"MAFE2021139")</f>
        <v>MAFE2021139</v>
      </c>
      <c r="I489" s="133"/>
      <c r="J489" s="133"/>
      <c r="K489" s="133" t="str">
        <f>IFERROR(__xludf.DUMMYFUNCTION("""COMPUTED_VALUE"""),"نيدرما")</f>
        <v>نيدرما</v>
      </c>
      <c r="L489" s="142" t="str">
        <f>IFERROR(__xludf.DUMMYFUNCTION("""COMPUTED_VALUE"""),"sd2910")</f>
        <v>sd2910</v>
      </c>
      <c r="M489" s="133"/>
      <c r="N489" s="133"/>
      <c r="O489" s="133"/>
      <c r="P489" s="133"/>
      <c r="Q489" s="133"/>
      <c r="R489" s="133"/>
      <c r="S489" s="133"/>
      <c r="T489" s="133"/>
      <c r="U489" s="133"/>
      <c r="V489" s="133"/>
      <c r="W489" s="133"/>
      <c r="X489" s="133"/>
      <c r="Y489" s="133"/>
      <c r="Z489" s="133"/>
    </row>
    <row r="490">
      <c r="A490" s="133">
        <f>IFERROR(__xludf.DUMMYFUNCTION("""COMPUTED_VALUE"""),489.0)</f>
        <v>489</v>
      </c>
      <c r="B490" s="133" t="str">
        <f>IFERROR(__xludf.DUMMYFUNCTION("""COMPUTED_VALUE"""),"sd2970")</f>
        <v>sd2970</v>
      </c>
      <c r="C490" s="133" t="str">
        <f>IFERROR(__xludf.DUMMYFUNCTION("""COMPUTED_VALUE"""),"P-1-N-050121-49")</f>
        <v>P-1-N-050121-49</v>
      </c>
      <c r="D490" s="133"/>
      <c r="E490" s="133" t="str">
        <f>IFERROR(__xludf.DUMMYFUNCTION("""COMPUTED_VALUE"""),"تمت طباعة الشهادة")</f>
        <v>تمت طباعة الشهادة</v>
      </c>
      <c r="F490" s="133" t="str">
        <f>IFERROR(__xludf.DUMMYFUNCTION("""COMPUTED_VALUE"""),"Sanal Vita Bones Chicken &amp; Beef 100g")</f>
        <v>Sanal Vita Bones Chicken &amp; Beef 100g</v>
      </c>
      <c r="G490" s="133" t="str">
        <f>IFERROR(__xludf.DUMMYFUNCTION("""COMPUTED_VALUE"""),"سانال فيتا بونز دجاج ولحم بقري 100 جم")</f>
        <v>سانال فيتا بونز دجاج ولحم بقري 100 جم</v>
      </c>
      <c r="H490" s="133" t="str">
        <f>IFERROR(__xludf.DUMMYFUNCTION("""COMPUTED_VALUE"""),"MAFE2021321")</f>
        <v>MAFE2021321</v>
      </c>
      <c r="I490" s="133"/>
      <c r="J490" s="133"/>
      <c r="K490" s="133" t="str">
        <f>IFERROR(__xludf.DUMMYFUNCTION("""COMPUTED_VALUE"""),"نيدرما بي في")</f>
        <v>نيدرما بي في</v>
      </c>
      <c r="L490" s="142" t="str">
        <f>IFERROR(__xludf.DUMMYFUNCTION("""COMPUTED_VALUE"""),"sd2970")</f>
        <v>sd2970</v>
      </c>
      <c r="M490" s="133"/>
      <c r="N490" s="133"/>
      <c r="O490" s="133"/>
      <c r="P490" s="133"/>
      <c r="Q490" s="133"/>
      <c r="R490" s="133"/>
      <c r="S490" s="133"/>
      <c r="T490" s="133"/>
      <c r="U490" s="133"/>
      <c r="V490" s="133"/>
      <c r="W490" s="133"/>
      <c r="X490" s="133"/>
      <c r="Y490" s="133"/>
      <c r="Z490" s="133"/>
    </row>
    <row r="491">
      <c r="A491" s="133">
        <f>IFERROR(__xludf.DUMMYFUNCTION("""COMPUTED_VALUE"""),490.0)</f>
        <v>490</v>
      </c>
      <c r="B491" s="133" t="str">
        <f>IFERROR(__xludf.DUMMYFUNCTION("""COMPUTED_VALUE"""),"sd2971")</f>
        <v>sd2971</v>
      </c>
      <c r="C491" s="133" t="str">
        <f>IFERROR(__xludf.DUMMYFUNCTION("""COMPUTED_VALUE"""),"P-1-N-050121-50")</f>
        <v>P-1-N-050121-50</v>
      </c>
      <c r="D491" s="133"/>
      <c r="E491" s="133" t="str">
        <f>IFERROR(__xludf.DUMMYFUNCTION("""COMPUTED_VALUE"""),"تمت طباعة الشهادة")</f>
        <v>تمت طباعة الشهادة</v>
      </c>
      <c r="F491" s="133" t="str">
        <f>IFERROR(__xludf.DUMMYFUNCTION("""COMPUTED_VALUE"""),"Sanal Sport Mix Chicken &amp; Beef 100g")</f>
        <v>Sanal Sport Mix Chicken &amp; Beef 100g</v>
      </c>
      <c r="G491" s="133" t="str">
        <f>IFERROR(__xludf.DUMMYFUNCTION("""COMPUTED_VALUE"""),"سانالسبورت")</f>
        <v>سانالسبورت</v>
      </c>
      <c r="H491" s="133" t="str">
        <f>IFERROR(__xludf.DUMMYFUNCTION("""COMPUTED_VALUE"""),"MAFE2021320")</f>
        <v>MAFE2021320</v>
      </c>
      <c r="I491" s="133"/>
      <c r="J491" s="133"/>
      <c r="K491" s="133" t="str">
        <f>IFERROR(__xludf.DUMMYFUNCTION("""COMPUTED_VALUE"""),"نيدرما بي في")</f>
        <v>نيدرما بي في</v>
      </c>
      <c r="L491" s="142" t="str">
        <f>IFERROR(__xludf.DUMMYFUNCTION("""COMPUTED_VALUE"""),"sd2971")</f>
        <v>sd2971</v>
      </c>
      <c r="M491" s="133"/>
      <c r="N491" s="133"/>
      <c r="O491" s="133"/>
      <c r="P491" s="133"/>
      <c r="Q491" s="133"/>
      <c r="R491" s="133"/>
      <c r="S491" s="133"/>
      <c r="T491" s="133"/>
      <c r="U491" s="133"/>
      <c r="V491" s="133"/>
      <c r="W491" s="133"/>
      <c r="X491" s="133"/>
      <c r="Y491" s="133"/>
      <c r="Z491" s="133"/>
    </row>
    <row r="492">
      <c r="A492" s="133">
        <f>IFERROR(__xludf.DUMMYFUNCTION("""COMPUTED_VALUE"""),491.0)</f>
        <v>491</v>
      </c>
      <c r="B492" s="133" t="str">
        <f>IFERROR(__xludf.DUMMYFUNCTION("""COMPUTED_VALUE"""),"SD2973")</f>
        <v>SD2973</v>
      </c>
      <c r="C492" s="133" t="str">
        <f>IFERROR(__xludf.DUMMYFUNCTION("""COMPUTED_VALUE"""),"P-1-N-050121-51")</f>
        <v>P-1-N-050121-51</v>
      </c>
      <c r="D492" s="133"/>
      <c r="E492" s="133" t="str">
        <f>IFERROR(__xludf.DUMMYFUNCTION("""COMPUTED_VALUE"""),"تمت طباعة الشهادة")</f>
        <v>تمت طباعة الشهادة</v>
      </c>
      <c r="F492" s="133" t="str">
        <f>IFERROR(__xludf.DUMMYFUNCTION("""COMPUTED_VALUE"""),"Sanal Mini Bones Chicken &amp; Beef 100g")</f>
        <v>Sanal Mini Bones Chicken &amp; Beef 100g</v>
      </c>
      <c r="G492" s="133" t="str">
        <f>IFERROR(__xludf.DUMMYFUNCTION("""COMPUTED_VALUE"""),"سانال ميني بونز دجاج ولحم بقري 100 جم")</f>
        <v>سانال ميني بونز دجاج ولحم بقري 100 جم</v>
      </c>
      <c r="H492" s="133" t="str">
        <f>IFERROR(__xludf.DUMMYFUNCTION("""COMPUTED_VALUE"""),"MAFE2021126")</f>
        <v>MAFE2021126</v>
      </c>
      <c r="I492" s="133"/>
      <c r="J492" s="133"/>
      <c r="K492" s="133" t="str">
        <f>IFERROR(__xludf.DUMMYFUNCTION("""COMPUTED_VALUE"""),"نيدرما بي في")</f>
        <v>نيدرما بي في</v>
      </c>
      <c r="L492" s="142" t="str">
        <f>IFERROR(__xludf.DUMMYFUNCTION("""COMPUTED_VALUE"""),"SD2973")</f>
        <v>SD2973</v>
      </c>
      <c r="M492" s="133"/>
      <c r="N492" s="133"/>
      <c r="O492" s="133"/>
      <c r="P492" s="133"/>
      <c r="Q492" s="133"/>
      <c r="R492" s="133"/>
      <c r="S492" s="133"/>
      <c r="T492" s="133"/>
      <c r="U492" s="133"/>
      <c r="V492" s="133"/>
      <c r="W492" s="133"/>
      <c r="X492" s="133"/>
      <c r="Y492" s="133"/>
      <c r="Z492" s="133"/>
    </row>
    <row r="493">
      <c r="A493" s="133">
        <f>IFERROR(__xludf.DUMMYFUNCTION("""COMPUTED_VALUE"""),492.0)</f>
        <v>492</v>
      </c>
      <c r="B493" s="133" t="str">
        <f>IFERROR(__xludf.DUMMYFUNCTION("""COMPUTED_VALUE"""),"SD2980")</f>
        <v>SD2980</v>
      </c>
      <c r="C493" s="133" t="str">
        <f>IFERROR(__xludf.DUMMYFUNCTION("""COMPUTED_VALUE"""),"P-1-N-050121-53")</f>
        <v>P-1-N-050121-53</v>
      </c>
      <c r="D493" s="133"/>
      <c r="E493" s="133" t="str">
        <f>IFERROR(__xludf.DUMMYFUNCTION("""COMPUTED_VALUE"""),"تمت طباعة الشهادة")</f>
        <v>تمت طباعة الشهادة</v>
      </c>
      <c r="F493" s="133" t="str">
        <f>IFERROR(__xludf.DUMMYFUNCTION("""COMPUTED_VALUE"""),"Sanal Dog Trainers Fantasy Mix 300g")</f>
        <v>Sanal Dog Trainers Fantasy Mix 300g</v>
      </c>
      <c r="G493" s="133" t="str">
        <f>IFERROR(__xludf.DUMMYFUNCTION("""COMPUTED_VALUE"""),"سانال مدرب الكلاب فانتاسي ميكس 300 جرام")</f>
        <v>سانال مدرب الكلاب فانتاسي ميكس 300 جرام</v>
      </c>
      <c r="H493" s="133" t="str">
        <f>IFERROR(__xludf.DUMMYFUNCTION("""COMPUTED_VALUE"""),"MAFE2021125")</f>
        <v>MAFE2021125</v>
      </c>
      <c r="I493" s="133"/>
      <c r="J493" s="133"/>
      <c r="K493" s="133" t="str">
        <f>IFERROR(__xludf.DUMMYFUNCTION("""COMPUTED_VALUE"""),"نيدرما بي في")</f>
        <v>نيدرما بي في</v>
      </c>
      <c r="L493" s="142" t="str">
        <f>IFERROR(__xludf.DUMMYFUNCTION("""COMPUTED_VALUE"""),"SD2980")</f>
        <v>SD2980</v>
      </c>
      <c r="M493" s="133"/>
      <c r="N493" s="133"/>
      <c r="O493" s="133"/>
      <c r="P493" s="133"/>
      <c r="Q493" s="133"/>
      <c r="R493" s="133"/>
      <c r="S493" s="133"/>
      <c r="T493" s="133"/>
      <c r="U493" s="133"/>
      <c r="V493" s="133"/>
      <c r="W493" s="133"/>
      <c r="X493" s="133"/>
      <c r="Y493" s="133"/>
      <c r="Z493" s="133"/>
    </row>
    <row r="494">
      <c r="A494" s="133">
        <f>IFERROR(__xludf.DUMMYFUNCTION("""COMPUTED_VALUE"""),493.0)</f>
        <v>493</v>
      </c>
      <c r="B494" s="133"/>
      <c r="C494" s="133" t="str">
        <f>IFERROR(__xludf.DUMMYFUNCTION("""COMPUTED_VALUE"""),"P-1-N-050121-54")</f>
        <v>P-1-N-050121-54</v>
      </c>
      <c r="D494" s="133"/>
      <c r="E494" s="133" t="str">
        <f>IFERROR(__xludf.DUMMYFUNCTION("""COMPUTED_VALUE"""),"تمت طباعة الشهادة")</f>
        <v>تمت طباعة الشهادة</v>
      </c>
      <c r="F494" s="133" t="str">
        <f>IFERROR(__xludf.DUMMYFUNCTION("""COMPUTED_VALUE"""),"P-1-N-050121-55")</f>
        <v>P-1-N-050121-55</v>
      </c>
      <c r="G494" s="133" t="str">
        <f>IFERROR(__xludf.DUMMYFUNCTION("""COMPUTED_VALUE"""),"سانال مدرب الكلاب ديو بونز 300 جرام")</f>
        <v>سانال مدرب الكلاب ديو بونز 300 جرام</v>
      </c>
      <c r="H494" s="133" t="str">
        <f>IFERROR(__xludf.DUMMYFUNCTION("""COMPUTED_VALUE"""),"MAFE2021124")</f>
        <v>MAFE2021124</v>
      </c>
      <c r="I494" s="133"/>
      <c r="J494" s="133"/>
      <c r="K494" s="133" t="str">
        <f>IFERROR(__xludf.DUMMYFUNCTION("""COMPUTED_VALUE"""),"نيدرما بي في")</f>
        <v>نيدرما بي في</v>
      </c>
      <c r="L494" s="133"/>
      <c r="M494" s="133"/>
      <c r="N494" s="133"/>
      <c r="O494" s="133"/>
      <c r="P494" s="133"/>
      <c r="Q494" s="133"/>
      <c r="R494" s="133"/>
      <c r="S494" s="133"/>
      <c r="T494" s="133"/>
      <c r="U494" s="133"/>
      <c r="V494" s="133"/>
      <c r="W494" s="133"/>
      <c r="X494" s="133"/>
      <c r="Y494" s="133"/>
      <c r="Z494" s="133"/>
    </row>
    <row r="495">
      <c r="A495" s="133">
        <f>IFERROR(__xludf.DUMMYFUNCTION("""COMPUTED_VALUE"""),494.0)</f>
        <v>494</v>
      </c>
      <c r="B495" s="133" t="str">
        <f>IFERROR(__xludf.DUMMYFUNCTION("""COMPUTED_VALUE"""),"SD2982")</f>
        <v>SD2982</v>
      </c>
      <c r="C495" s="133" t="str">
        <f>IFERROR(__xludf.DUMMYFUNCTION("""COMPUTED_VALUE"""),"P-1-N-050121-55")</f>
        <v>P-1-N-050121-55</v>
      </c>
      <c r="D495" s="133"/>
      <c r="E495" s="133" t="str">
        <f>IFERROR(__xludf.DUMMYFUNCTION("""COMPUTED_VALUE"""),"تمت طباعة الشهادة")</f>
        <v>تمت طباعة الشهادة</v>
      </c>
      <c r="F495" s="133" t="str">
        <f>IFERROR(__xludf.DUMMYFUNCTION("""COMPUTED_VALUE"""),"Sanal Dog Trainers Mini Bones 300g")</f>
        <v>Sanal Dog Trainers Mini Bones 300g</v>
      </c>
      <c r="G495" s="133" t="str">
        <f>IFERROR(__xludf.DUMMYFUNCTION("""COMPUTED_VALUE"""),"سانال مدرب الكلاب ميني بونز 300 جرام")</f>
        <v>سانال مدرب الكلاب ميني بونز 300 جرام</v>
      </c>
      <c r="H495" s="133" t="str">
        <f>IFERROR(__xludf.DUMMYFUNCTION("""COMPUTED_VALUE"""),"MAFE2021123")</f>
        <v>MAFE2021123</v>
      </c>
      <c r="I495" s="133"/>
      <c r="J495" s="133"/>
      <c r="K495" s="133" t="str">
        <f>IFERROR(__xludf.DUMMYFUNCTION("""COMPUTED_VALUE"""),"نيدرما بي في")</f>
        <v>نيدرما بي في</v>
      </c>
      <c r="L495" s="142" t="str">
        <f>IFERROR(__xludf.DUMMYFUNCTION("""COMPUTED_VALUE"""),"SD2982")</f>
        <v>SD2982</v>
      </c>
      <c r="M495" s="133"/>
      <c r="N495" s="133"/>
      <c r="O495" s="133"/>
      <c r="P495" s="133"/>
      <c r="Q495" s="133"/>
      <c r="R495" s="133"/>
      <c r="S495" s="133"/>
      <c r="T495" s="133"/>
      <c r="U495" s="133"/>
      <c r="V495" s="133"/>
      <c r="W495" s="133"/>
      <c r="X495" s="133"/>
      <c r="Y495" s="133"/>
      <c r="Z495" s="133"/>
    </row>
    <row r="496">
      <c r="A496" s="133">
        <f>IFERROR(__xludf.DUMMYFUNCTION("""COMPUTED_VALUE"""),495.0)</f>
        <v>495</v>
      </c>
      <c r="B496" s="133" t="str">
        <f>IFERROR(__xludf.DUMMYFUNCTION("""COMPUTED_VALUE"""),"b1045")</f>
        <v>b1045</v>
      </c>
      <c r="C496" s="133" t="str">
        <f>IFERROR(__xludf.DUMMYFUNCTION("""COMPUTED_VALUE"""),"P-1-N-050121-56")</f>
        <v>P-1-N-050121-56</v>
      </c>
      <c r="D496" s="133"/>
      <c r="E496" s="133" t="str">
        <f>IFERROR(__xludf.DUMMYFUNCTION("""COMPUTED_VALUE"""),"تمت طباعة الشهادة")</f>
        <v>تمت طباعة الشهادة</v>
      </c>
      <c r="F496" s="133" t="str">
        <f>IFERROR(__xludf.DUMMYFUNCTION("""COMPUTED_VALUE"""),"Butchers Functional Cat Beauty Salmon CIJ ")</f>
        <v>Butchers Functional Cat Beauty Salmon CIJ </v>
      </c>
      <c r="G496" s="133" t="str">
        <f>IFERROR(__xludf.DUMMYFUNCTION("""COMPUTED_VALUE"""),"بوتشرز فنكشنال بيوتي بقطع السلمون في الجلي للقطط 400 جم")</f>
        <v>بوتشرز فنكشنال بيوتي بقطع السلمون في الجلي للقطط 400 جم</v>
      </c>
      <c r="H496" s="133" t="str">
        <f>IFERROR(__xludf.DUMMYFUNCTION("""COMPUTED_VALUE"""),"MAFE202135")</f>
        <v>MAFE202135</v>
      </c>
      <c r="I496" s="133"/>
      <c r="J496" s="133"/>
      <c r="K496" s="133" t="str">
        <f>IFERROR(__xludf.DUMMYFUNCTION("""COMPUTED_VALUE"""),"بوتشرز بت كير ال تي دي")</f>
        <v>بوتشرز بت كير ال تي دي</v>
      </c>
      <c r="L496" s="142" t="str">
        <f>IFERROR(__xludf.DUMMYFUNCTION("""COMPUTED_VALUE"""),"b1045")</f>
        <v>b1045</v>
      </c>
      <c r="M496" s="133"/>
      <c r="N496" s="133"/>
      <c r="O496" s="133"/>
      <c r="P496" s="133"/>
      <c r="Q496" s="133"/>
      <c r="R496" s="133"/>
      <c r="S496" s="133"/>
      <c r="T496" s="133"/>
      <c r="U496" s="133"/>
      <c r="V496" s="133"/>
      <c r="W496" s="133"/>
      <c r="X496" s="133"/>
      <c r="Y496" s="133"/>
      <c r="Z496" s="133"/>
    </row>
    <row r="497">
      <c r="A497" s="133">
        <f>IFERROR(__xludf.DUMMYFUNCTION("""COMPUTED_VALUE"""),496.0)</f>
        <v>496</v>
      </c>
      <c r="B497" s="133" t="str">
        <f>IFERROR(__xludf.DUMMYFUNCTION("""COMPUTED_VALUE"""),"DD4515P")</f>
        <v>DD4515P</v>
      </c>
      <c r="C497" s="133" t="str">
        <f>IFERROR(__xludf.DUMMYFUNCTION("""COMPUTED_VALUE"""),"P-1-N-070121-88")</f>
        <v>P-1-N-070121-88</v>
      </c>
      <c r="D497" s="133"/>
      <c r="E497" s="133" t="str">
        <f>IFERROR(__xludf.DUMMYFUNCTION("""COMPUTED_VALUE"""),"تمت طباعة الشهادة")</f>
        <v>تمت طباعة الشهادة</v>
      </c>
      <c r="F497" s="133" t="str">
        <f>IFERROR(__xludf.DUMMYFUNCTION("""COMPUTED_VALUE"""),"Applaws Puppy Small Medium Breed 15kg")</f>
        <v>Applaws Puppy Small Medium Breed 15kg</v>
      </c>
      <c r="G497" s="133" t="str">
        <f>IFERROR(__xludf.DUMMYFUNCTION("""COMPUTED_VALUE"""),"أبلاوز للسلالة الجراء الصغيرة ومتوسطة الحجم 15 كجم")</f>
        <v>أبلاوز للسلالة الجراء الصغيرة ومتوسطة الحجم 15 كجم</v>
      </c>
      <c r="H497" s="133" t="str">
        <f>IFERROR(__xludf.DUMMYFUNCTION("""COMPUTED_VALUE"""),"MAFE2021118")</f>
        <v>MAFE2021118</v>
      </c>
      <c r="I497" s="133"/>
      <c r="J497" s="133"/>
      <c r="K497" s="133" t="str">
        <f>IFERROR(__xludf.DUMMYFUNCTION("""COMPUTED_VALUE"""),"أم بي أم برودكتس ليمتد")</f>
        <v>أم بي أم برودكتس ليمتد</v>
      </c>
      <c r="L497" s="142" t="str">
        <f>IFERROR(__xludf.DUMMYFUNCTION("""COMPUTED_VALUE"""),"DD4515P")</f>
        <v>DD4515P</v>
      </c>
      <c r="M497" s="133"/>
      <c r="N497" s="133"/>
      <c r="O497" s="133"/>
      <c r="P497" s="133"/>
      <c r="Q497" s="133"/>
      <c r="R497" s="133"/>
      <c r="S497" s="133"/>
      <c r="T497" s="133"/>
      <c r="U497" s="133"/>
      <c r="V497" s="133"/>
      <c r="W497" s="133"/>
      <c r="X497" s="133"/>
      <c r="Y497" s="133"/>
      <c r="Z497" s="133"/>
    </row>
    <row r="498">
      <c r="A498" s="133">
        <f>IFERROR(__xludf.DUMMYFUNCTION("""COMPUTED_VALUE"""),497.0)</f>
        <v>497</v>
      </c>
      <c r="B498" s="133"/>
      <c r="C498" s="133" t="str">
        <f>IFERROR(__xludf.DUMMYFUNCTION("""COMPUTED_VALUE"""),"P-1-N-070121-89")</f>
        <v>P-1-N-070121-89</v>
      </c>
      <c r="D498" s="133"/>
      <c r="E498" s="133" t="str">
        <f>IFERROR(__xludf.DUMMYFUNCTION("""COMPUTED_VALUE"""),"تمت طباعة الشهادة")</f>
        <v>تمت طباعة الشهادة</v>
      </c>
      <c r="F498" s="133">
        <f>IFERROR(__xludf.DUMMYFUNCTION("""COMPUTED_VALUE"""),0.0)</f>
        <v>0</v>
      </c>
      <c r="G498" s="133" t="str">
        <f>IFERROR(__xludf.DUMMYFUNCTION("""COMPUTED_VALUE"""),"أبلاوز لسلالة الكلاب البالغة الصغيرة ومتوسطة الحجم 15 كجم")</f>
        <v>أبلاوز لسلالة الكلاب البالغة الصغيرة ومتوسطة الحجم 15 كجم</v>
      </c>
      <c r="H498" s="133" t="str">
        <f>IFERROR(__xludf.DUMMYFUNCTION("""COMPUTED_VALUE"""),"MAFE2021117")</f>
        <v>MAFE2021117</v>
      </c>
      <c r="I498" s="133"/>
      <c r="J498" s="133"/>
      <c r="K498" s="133" t="str">
        <f>IFERROR(__xludf.DUMMYFUNCTION("""COMPUTED_VALUE"""),"أم بي أم برودكتس ليمتد")</f>
        <v>أم بي أم برودكتس ليمتد</v>
      </c>
      <c r="L498" s="133"/>
      <c r="M498" s="133"/>
      <c r="N498" s="133"/>
      <c r="O498" s="133"/>
      <c r="P498" s="133"/>
      <c r="Q498" s="133"/>
      <c r="R498" s="133"/>
      <c r="S498" s="133"/>
      <c r="T498" s="133"/>
      <c r="U498" s="133"/>
      <c r="V498" s="133"/>
      <c r="W498" s="133"/>
      <c r="X498" s="133"/>
      <c r="Y498" s="133"/>
      <c r="Z498" s="133"/>
    </row>
    <row r="499">
      <c r="A499" s="133">
        <f>IFERROR(__xludf.DUMMYFUNCTION("""COMPUTED_VALUE"""),498.0)</f>
        <v>498</v>
      </c>
      <c r="B499" s="133" t="str">
        <f>IFERROR(__xludf.DUMMYFUNCTION("""COMPUTED_VALUE"""),"DD4515L")</f>
        <v>DD4515L</v>
      </c>
      <c r="C499" s="133" t="str">
        <f>IFERROR(__xludf.DUMMYFUNCTION("""COMPUTED_VALUE"""),"P-1-N-070121-90")</f>
        <v>P-1-N-070121-90</v>
      </c>
      <c r="D499" s="133"/>
      <c r="E499" s="133" t="str">
        <f>IFERROR(__xludf.DUMMYFUNCTION("""COMPUTED_VALUE"""),"تمت طباعة الشهادة")</f>
        <v>تمت طباعة الشهادة</v>
      </c>
      <c r="F499" s="133" t="str">
        <f>IFERROR(__xludf.DUMMYFUNCTION("""COMPUTED_VALUE"""),"Applaws Adult Dog Small &amp; Medium Breed Chicken with Lamb 15kg")</f>
        <v>Applaws Adult Dog Small &amp; Medium Breed Chicken with Lamb 15kg</v>
      </c>
      <c r="G499" s="133" t="str">
        <f>IFERROR(__xludf.DUMMYFUNCTION("""COMPUTED_VALUE"""),"أبلاوز لسلالة الكلاب البالغة الصغيرة ومتوسطة الحجم بالدجاج مع لحم الغنم 15 كجم")</f>
        <v>أبلاوز لسلالة الكلاب البالغة الصغيرة ومتوسطة الحجم بالدجاج مع لحم الغنم 15 كجم</v>
      </c>
      <c r="H499" s="133" t="str">
        <f>IFERROR(__xludf.DUMMYFUNCTION("""COMPUTED_VALUE"""),"MAFE2021116")</f>
        <v>MAFE2021116</v>
      </c>
      <c r="I499" s="133"/>
      <c r="J499" s="133"/>
      <c r="K499" s="133" t="str">
        <f>IFERROR(__xludf.DUMMYFUNCTION("""COMPUTED_VALUE"""),"أم")</f>
        <v>أم</v>
      </c>
      <c r="L499" s="142" t="str">
        <f>IFERROR(__xludf.DUMMYFUNCTION("""COMPUTED_VALUE"""),"DD4515L")</f>
        <v>DD4515L</v>
      </c>
      <c r="M499" s="133"/>
      <c r="N499" s="133"/>
      <c r="O499" s="133"/>
      <c r="P499" s="133"/>
      <c r="Q499" s="133"/>
      <c r="R499" s="133"/>
      <c r="S499" s="133"/>
      <c r="T499" s="133"/>
      <c r="U499" s="133"/>
      <c r="V499" s="133"/>
      <c r="W499" s="133"/>
      <c r="X499" s="133"/>
      <c r="Y499" s="133"/>
      <c r="Z499" s="133"/>
    </row>
    <row r="500">
      <c r="A500" s="133">
        <f>IFERROR(__xludf.DUMMYFUNCTION("""COMPUTED_VALUE"""),499.0)</f>
        <v>499</v>
      </c>
      <c r="B500" s="133" t="str">
        <f>IFERROR(__xludf.DUMMYFUNCTION("""COMPUTED_VALUE"""),"C673")</f>
        <v>C673</v>
      </c>
      <c r="C500" s="133" t="str">
        <f>IFERROR(__xludf.DUMMYFUNCTION("""COMPUTED_VALUE"""),"P-1-N-100121-106")</f>
        <v>P-1-N-100121-106</v>
      </c>
      <c r="D500" s="133"/>
      <c r="E500" s="133" t="str">
        <f>IFERROR(__xludf.DUMMYFUNCTION("""COMPUTED_VALUE"""),"تمت طباعة الشهادة")</f>
        <v>تمت طباعة الشهادة</v>
      </c>
      <c r="F500" s="133" t="str">
        <f>IFERROR(__xludf.DUMMYFUNCTION("""COMPUTED_VALUE"""),"Tuna Soup with Squid 85g")</f>
        <v>Tuna Soup with Squid 85g</v>
      </c>
      <c r="G500" s="133" t="str">
        <f>IFERROR(__xludf.DUMMYFUNCTION("""COMPUTED_VALUE"""),"شوربة التونة بالحبار 85 جم")</f>
        <v>شوربة التونة بالحبار 85 جم</v>
      </c>
      <c r="H500" s="133" t="str">
        <f>IFERROR(__xludf.DUMMYFUNCTION("""COMPUTED_VALUE"""),"MAFE202188")</f>
        <v>MAFE202188</v>
      </c>
      <c r="I500" s="133"/>
      <c r="J500" s="133"/>
      <c r="K500" s="133" t="str">
        <f>IFERROR(__xludf.DUMMYFUNCTION("""COMPUTED_VALUE"""),"ساوث ايست الاسيوية للتغليف والتعليب المحدودة")</f>
        <v>ساوث ايست الاسيوية للتغليف والتعليب المحدودة</v>
      </c>
      <c r="L500" s="142" t="str">
        <f>IFERROR(__xludf.DUMMYFUNCTION("""COMPUTED_VALUE"""),"C673")</f>
        <v>C673</v>
      </c>
      <c r="M500" s="133"/>
      <c r="N500" s="133"/>
      <c r="O500" s="133"/>
      <c r="P500" s="133"/>
      <c r="Q500" s="133"/>
      <c r="R500" s="133"/>
      <c r="S500" s="133"/>
      <c r="T500" s="133"/>
      <c r="U500" s="133"/>
      <c r="V500" s="133"/>
      <c r="W500" s="133"/>
      <c r="X500" s="133"/>
      <c r="Y500" s="133"/>
      <c r="Z500" s="133"/>
    </row>
    <row r="501">
      <c r="A501" s="133">
        <f>IFERROR(__xludf.DUMMYFUNCTION("""COMPUTED_VALUE"""),500.0)</f>
        <v>500</v>
      </c>
      <c r="B501" s="133" t="str">
        <f>IFERROR(__xludf.DUMMYFUNCTION("""COMPUTED_VALUE"""),"C674")</f>
        <v>C674</v>
      </c>
      <c r="C501" s="133" t="str">
        <f>IFERROR(__xludf.DUMMYFUNCTION("""COMPUTED_VALUE"""),"P-1-N-100121-107")</f>
        <v>P-1-N-100121-107</v>
      </c>
      <c r="D501" s="133"/>
      <c r="E501" s="133" t="str">
        <f>IFERROR(__xludf.DUMMYFUNCTION("""COMPUTED_VALUE"""),"تمت طباعة الشهادة")</f>
        <v>تمت طباعة الشهادة</v>
      </c>
      <c r="F501" s="133" t="str">
        <f>IFERROR(__xludf.DUMMYFUNCTION("""COMPUTED_VALUE"""),"Tuna Soup with Carrot and Pumpkin 85g")</f>
        <v>Tuna Soup with Carrot and Pumpkin 85g</v>
      </c>
      <c r="G501" s="133" t="str">
        <f>IFERROR(__xludf.DUMMYFUNCTION("""COMPUTED_VALUE"""),"شوربة")</f>
        <v>شوربة</v>
      </c>
      <c r="H501" s="133" t="str">
        <f>IFERROR(__xludf.DUMMYFUNCTION("""COMPUTED_VALUE"""),"MAFE202187")</f>
        <v>MAFE202187</v>
      </c>
      <c r="I501" s="133"/>
      <c r="J501" s="133"/>
      <c r="K501" s="133" t="str">
        <f>IFERROR(__xludf.DUMMYFUNCTION("""COMPUTED_VALUE"""),"ساوث ايست الاسيوية للتغليف والتعليب المحدودة")</f>
        <v>ساوث ايست الاسيوية للتغليف والتعليب المحدودة</v>
      </c>
      <c r="L501" s="142" t="str">
        <f>IFERROR(__xludf.DUMMYFUNCTION("""COMPUTED_VALUE"""),"C674")</f>
        <v>C674</v>
      </c>
      <c r="M501" s="133"/>
      <c r="N501" s="133"/>
      <c r="O501" s="133"/>
      <c r="P501" s="133"/>
      <c r="Q501" s="133"/>
      <c r="R501" s="133"/>
      <c r="S501" s="133"/>
      <c r="T501" s="133"/>
      <c r="U501" s="133"/>
      <c r="V501" s="133"/>
      <c r="W501" s="133"/>
      <c r="X501" s="133"/>
      <c r="Y501" s="133"/>
      <c r="Z501" s="133"/>
    </row>
    <row r="502">
      <c r="A502" s="133">
        <f>IFERROR(__xludf.DUMMYFUNCTION("""COMPUTED_VALUE"""),501.0)</f>
        <v>501</v>
      </c>
      <c r="B502" s="133"/>
      <c r="C502" s="133" t="str">
        <f>IFERROR(__xludf.DUMMYFUNCTION("""COMPUTED_VALUE"""),"P-1-N-100121-109")</f>
        <v>P-1-N-100121-109</v>
      </c>
      <c r="D502" s="133"/>
      <c r="E502" s="133" t="str">
        <f>IFERROR(__xludf.DUMMYFUNCTION("""COMPUTED_VALUE"""),"REJECTED")</f>
        <v>REJECTED</v>
      </c>
      <c r="F502" s="133" t="str">
        <f>IFERROR(__xludf.DUMMYFUNCTION("""COMPUTED_VALUE"""),"Tuna Soup with Papaya 85g")</f>
        <v>Tuna Soup with Papaya 85g</v>
      </c>
      <c r="G502" s="133" t="str">
        <f>IFERROR(__xludf.DUMMYFUNCTION("""COMPUTED_VALUE"""),"شوربة التونة بالبابايا 85 جم")</f>
        <v>شوربة التونة بالبابايا 85 جم</v>
      </c>
      <c r="H502" s="133"/>
      <c r="I502" s="133"/>
      <c r="J502" s="133"/>
      <c r="K502" s="133" t="str">
        <f>IFERROR(__xludf.DUMMYFUNCTION("""COMPUTED_VALUE"""),"ساوث ايست الاسيوية للتغليف والتعليب المحدودة")</f>
        <v>ساوث ايست الاسيوية للتغليف والتعليب المحدودة</v>
      </c>
      <c r="L502" s="133"/>
      <c r="M502" s="133"/>
      <c r="N502" s="133"/>
      <c r="O502" s="133"/>
      <c r="P502" s="133"/>
      <c r="Q502" s="133"/>
      <c r="R502" s="133"/>
      <c r="S502" s="133"/>
      <c r="T502" s="133"/>
      <c r="U502" s="133"/>
      <c r="V502" s="133"/>
      <c r="W502" s="133"/>
      <c r="X502" s="133"/>
      <c r="Y502" s="133"/>
      <c r="Z502" s="133"/>
    </row>
    <row r="503">
      <c r="A503" s="133">
        <f>IFERROR(__xludf.DUMMYFUNCTION("""COMPUTED_VALUE"""),502.0)</f>
        <v>502</v>
      </c>
      <c r="B503" s="133"/>
      <c r="C503" s="133" t="str">
        <f>IFERROR(__xludf.DUMMYFUNCTION("""COMPUTED_VALUE"""),"P-1-N-100121-111")</f>
        <v>P-1-N-100121-111</v>
      </c>
      <c r="D503" s="133"/>
      <c r="E503" s="133" t="str">
        <f>IFERROR(__xludf.DUMMYFUNCTION("""COMPUTED_VALUE"""),"REJECTED")</f>
        <v>REJECTED</v>
      </c>
      <c r="F503" s="133" t="str">
        <f>IFERROR(__xludf.DUMMYFUNCTION("""COMPUTED_VALUE"""),"Salmon Soup with Carrot 85g")</f>
        <v>Salmon Soup with Carrot 85g</v>
      </c>
      <c r="G503" s="133" t="str">
        <f>IFERROR(__xludf.DUMMYFUNCTION("""COMPUTED_VALUE"""),"شوربة سلمون بالجزر 85 جرام")</f>
        <v>شوربة سلمون بالجزر 85 جرام</v>
      </c>
      <c r="H503" s="133"/>
      <c r="I503" s="133"/>
      <c r="J503" s="133"/>
      <c r="K503" s="133" t="str">
        <f>IFERROR(__xludf.DUMMYFUNCTION("""COMPUTED_VALUE"""),"ساوث ايست الاسيوية للتغليف والتعليب المحدودة")</f>
        <v>ساوث ايست الاسيوية للتغليف والتعليب المحدودة</v>
      </c>
      <c r="L503" s="133"/>
      <c r="M503" s="133"/>
      <c r="N503" s="133"/>
      <c r="O503" s="133"/>
      <c r="P503" s="133"/>
      <c r="Q503" s="133"/>
      <c r="R503" s="133"/>
      <c r="S503" s="133"/>
      <c r="T503" s="133"/>
      <c r="U503" s="133"/>
      <c r="V503" s="133"/>
      <c r="W503" s="133"/>
      <c r="X503" s="133"/>
      <c r="Y503" s="133"/>
      <c r="Z503" s="133"/>
    </row>
    <row r="504">
      <c r="A504" s="133">
        <f>IFERROR(__xludf.DUMMYFUNCTION("""COMPUTED_VALUE"""),503.0)</f>
        <v>503</v>
      </c>
      <c r="B504" s="133"/>
      <c r="C504" s="133" t="str">
        <f>IFERROR(__xludf.DUMMYFUNCTION("""COMPUTED_VALUE"""),"P-1-N-100121-112")</f>
        <v>P-1-N-100121-112</v>
      </c>
      <c r="D504" s="133"/>
      <c r="E504" s="133" t="str">
        <f>IFERROR(__xludf.DUMMYFUNCTION("""COMPUTED_VALUE"""),"REJECTED")</f>
        <v>REJECTED</v>
      </c>
      <c r="F504" s="133" t="str">
        <f>IFERROR(__xludf.DUMMYFUNCTION("""COMPUTED_VALUE"""),"Salmon Soup with Carrot 85g")</f>
        <v>Salmon Soup with Carrot 85g</v>
      </c>
      <c r="G504" s="133" t="str">
        <f>IFERROR(__xludf.DUMMYFUNCTION("""COMPUTED_VALUE"""),"شوربة سلمون بالجزر 85 جرام")</f>
        <v>شوربة سلمون بالجزر 85 جرام</v>
      </c>
      <c r="H504" s="133"/>
      <c r="I504" s="133"/>
      <c r="J504" s="133"/>
      <c r="K504" s="133" t="str">
        <f>IFERROR(__xludf.DUMMYFUNCTION("""COMPUTED_VALUE"""),"ساوث ايست الاسيوية للتغليف والتعليب المحدودة")</f>
        <v>ساوث ايست الاسيوية للتغليف والتعليب المحدودة</v>
      </c>
      <c r="L504" s="133"/>
      <c r="M504" s="133"/>
      <c r="N504" s="133"/>
      <c r="O504" s="133"/>
      <c r="P504" s="133"/>
      <c r="Q504" s="133"/>
      <c r="R504" s="133"/>
      <c r="S504" s="133"/>
      <c r="T504" s="133"/>
      <c r="U504" s="133"/>
      <c r="V504" s="133"/>
      <c r="W504" s="133"/>
      <c r="X504" s="133"/>
      <c r="Y504" s="133"/>
      <c r="Z504" s="133"/>
    </row>
    <row r="505">
      <c r="A505" s="133">
        <f>IFERROR(__xludf.DUMMYFUNCTION("""COMPUTED_VALUE"""),504.0)</f>
        <v>504</v>
      </c>
      <c r="B505" s="133"/>
      <c r="C505" s="133" t="str">
        <f>IFERROR(__xludf.DUMMYFUNCTION("""COMPUTED_VALUE"""),"P-1-N-100121-113")</f>
        <v>P-1-N-100121-113</v>
      </c>
      <c r="D505" s="133"/>
      <c r="E505" s="133" t="str">
        <f>IFERROR(__xludf.DUMMYFUNCTION("""COMPUTED_VALUE"""),"REJECTED")</f>
        <v>REJECTED</v>
      </c>
      <c r="F505" s="133" t="str">
        <f>IFERROR(__xludf.DUMMYFUNCTION("""COMPUTED_VALUE"""),"Chicken with Carrot and Pumpkin 85g")</f>
        <v>Chicken with Carrot and Pumpkin 85g</v>
      </c>
      <c r="G505" s="133" t="str">
        <f>IFERROR(__xludf.DUMMYFUNCTION("""COMPUTED_VALUE"""),"دجاج بالجزر والقرع 85 جم")</f>
        <v>دجاج بالجزر والقرع 85 جم</v>
      </c>
      <c r="H505" s="133"/>
      <c r="I505" s="133"/>
      <c r="J505" s="133"/>
      <c r="K505" s="133" t="str">
        <f>IFERROR(__xludf.DUMMYFUNCTION("""COMPUTED_VALUE"""),"ساوث ايست الاسيوية للتغليف والتعليب المحدودة")</f>
        <v>ساوث ايست الاسيوية للتغليف والتعليب المحدودة</v>
      </c>
      <c r="L505" s="133"/>
      <c r="M505" s="133"/>
      <c r="N505" s="133"/>
      <c r="O505" s="133"/>
      <c r="P505" s="133"/>
      <c r="Q505" s="133"/>
      <c r="R505" s="133"/>
      <c r="S505" s="133"/>
      <c r="T505" s="133"/>
      <c r="U505" s="133"/>
      <c r="V505" s="133"/>
      <c r="W505" s="133"/>
      <c r="X505" s="133"/>
      <c r="Y505" s="133"/>
      <c r="Z505" s="133"/>
    </row>
    <row r="506">
      <c r="A506" s="133">
        <f>IFERROR(__xludf.DUMMYFUNCTION("""COMPUTED_VALUE"""),505.0)</f>
        <v>505</v>
      </c>
      <c r="B506" s="133" t="str">
        <f>IFERROR(__xludf.DUMMYFUNCTION("""COMPUTED_VALUE"""),"13676")</f>
        <v>13676</v>
      </c>
      <c r="C506" s="133" t="str">
        <f>IFERROR(__xludf.DUMMYFUNCTION("""COMPUTED_VALUE"""),"P-1-N-100121-117")</f>
        <v>P-1-N-100121-117</v>
      </c>
      <c r="D506" s="133"/>
      <c r="E506" s="133" t="str">
        <f>IFERROR(__xludf.DUMMYFUNCTION("""COMPUTED_VALUE"""),"REJECTED")</f>
        <v>REJECTED</v>
      </c>
      <c r="F506" s="133" t="str">
        <f>IFERROR(__xludf.DUMMYFUNCTION("""COMPUTED_VALUE"""),"Multi-Vit Rabbits and Rodents 20 ml")</f>
        <v>Multi-Vit Rabbits and Rodents 20 ml</v>
      </c>
      <c r="G506" s="133" t="str">
        <f>IFERROR(__xludf.DUMMYFUNCTION("""COMPUTED_VALUE"""),"ملتي فيت للأرانب والقوارض 20 مل")</f>
        <v>ملتي فيت للأرانب والقوارض 20 مل</v>
      </c>
      <c r="H506" s="133"/>
      <c r="I506" s="133"/>
      <c r="J506" s="133"/>
      <c r="K506" s="133" t="str">
        <f>IFERROR(__xludf.DUMMYFUNCTION("""COMPUTED_VALUE"""),"بيفار بي في")</f>
        <v>بيفار بي في</v>
      </c>
      <c r="L506" s="142" t="str">
        <f>IFERROR(__xludf.DUMMYFUNCTION("""COMPUTED_VALUE"""),"13676")</f>
        <v>13676</v>
      </c>
      <c r="M506" s="133"/>
      <c r="N506" s="133"/>
      <c r="O506" s="133"/>
      <c r="P506" s="133"/>
      <c r="Q506" s="133"/>
      <c r="R506" s="133"/>
      <c r="S506" s="133"/>
      <c r="T506" s="133"/>
      <c r="U506" s="133"/>
      <c r="V506" s="133"/>
      <c r="W506" s="133"/>
      <c r="X506" s="133"/>
      <c r="Y506" s="133"/>
      <c r="Z506" s="133"/>
    </row>
    <row r="507">
      <c r="A507" s="133">
        <f>IFERROR(__xludf.DUMMYFUNCTION("""COMPUTED_VALUE"""),506.0)</f>
        <v>506</v>
      </c>
      <c r="B507" s="133" t="str">
        <f>IFERROR(__xludf.DUMMYFUNCTION("""COMPUTED_VALUE"""),"A4027")</f>
        <v>A4027</v>
      </c>
      <c r="C507" s="133" t="str">
        <f>IFERROR(__xludf.DUMMYFUNCTION("""COMPUTED_VALUE"""),"P-1-N-100121-118")</f>
        <v>P-1-N-100121-118</v>
      </c>
      <c r="D507" s="133"/>
      <c r="E507" s="133" t="str">
        <f>IFERROR(__xludf.DUMMYFUNCTION("""COMPUTED_VALUE"""),"تمت طباعة الشهادة")</f>
        <v>تمت طباعة الشهادة</v>
      </c>
      <c r="F507" s="133" t="str">
        <f>IFERROR(__xludf.DUMMYFUNCTION("""COMPUTED_VALUE"""),"Applaws Adult Cat Ocean Fish with Salmon 1.8kg")</f>
        <v>Applaws Adult Cat Ocean Fish with Salmon 1.8kg</v>
      </c>
      <c r="G507" s="133" t="str">
        <f>IFERROR(__xludf.DUMMYFUNCTION("""COMPUTED_VALUE"""),"أبلاوز سمك المحيط مع السلمون للقطط البالغة 1.8 كجم")</f>
        <v>أبلاوز سمك المحيط مع السلمون للقطط البالغة 1.8 كجم</v>
      </c>
      <c r="H507" s="133" t="str">
        <f>IFERROR(__xludf.DUMMYFUNCTION("""COMPUTED_VALUE"""),"MAFE2021115")</f>
        <v>MAFE2021115</v>
      </c>
      <c r="I507" s="133"/>
      <c r="J507" s="133"/>
      <c r="K507" s="133" t="str">
        <f>IFERROR(__xludf.DUMMYFUNCTION("""COMPUTED_VALUE"""),"أم بي أم برودكتس ليمتد")</f>
        <v>أم بي أم برودكتس ليمتد</v>
      </c>
      <c r="L507" s="142" t="str">
        <f>IFERROR(__xludf.DUMMYFUNCTION("""COMPUTED_VALUE"""),"A4027")</f>
        <v>A4027</v>
      </c>
      <c r="M507" s="133"/>
      <c r="N507" s="133"/>
      <c r="O507" s="133"/>
      <c r="P507" s="133"/>
      <c r="Q507" s="133"/>
      <c r="R507" s="133"/>
      <c r="S507" s="133"/>
      <c r="T507" s="133"/>
      <c r="U507" s="133"/>
      <c r="V507" s="133"/>
      <c r="W507" s="133"/>
      <c r="X507" s="133"/>
      <c r="Y507" s="133"/>
      <c r="Z507" s="133"/>
    </row>
    <row r="508">
      <c r="A508" s="133">
        <f>IFERROR(__xludf.DUMMYFUNCTION("""COMPUTED_VALUE"""),507.0)</f>
        <v>507</v>
      </c>
      <c r="B508" s="133"/>
      <c r="C508" s="133" t="str">
        <f>IFERROR(__xludf.DUMMYFUNCTION("""COMPUTED_VALUE"""),"P-1-N-110121-140")</f>
        <v>P-1-N-110121-140</v>
      </c>
      <c r="D508" s="133"/>
      <c r="E508" s="133" t="str">
        <f>IFERROR(__xludf.DUMMYFUNCTION("""COMPUTED_VALUE"""),"تمت طباعة الشهادة")</f>
        <v>تمت طباعة الشهادة</v>
      </c>
      <c r="F508" s="133">
        <f>IFERROR(__xludf.DUMMYFUNCTION("""COMPUTED_VALUE"""),0.0)</f>
        <v>0</v>
      </c>
      <c r="G508" s="133" t="str">
        <f>IFERROR(__xludf.DUMMYFUNCTION("""COMPUTED_VALUE"""),"ألفيس داينر سلمون شهي 100 جرام")</f>
        <v>ألفيس داينر سلمون شهي 100 جرام</v>
      </c>
      <c r="H508" s="133" t="str">
        <f>IFERROR(__xludf.DUMMYFUNCTION("""COMPUTED_VALUE"""),"MAFE2021267")</f>
        <v>MAFE2021267</v>
      </c>
      <c r="I508" s="133"/>
      <c r="J508" s="133"/>
      <c r="K508" s="133" t="str">
        <f>IFERROR(__xludf.DUMMYFUNCTION("""COMPUTED_VALUE"""),"مارك اند شابل ليمتد")</f>
        <v>مارك اند شابل ليمتد</v>
      </c>
      <c r="L508" s="133"/>
      <c r="M508" s="133"/>
      <c r="N508" s="133"/>
      <c r="O508" s="133"/>
      <c r="P508" s="133"/>
      <c r="Q508" s="133"/>
      <c r="R508" s="133"/>
      <c r="S508" s="133"/>
      <c r="T508" s="133"/>
      <c r="U508" s="133"/>
      <c r="V508" s="133"/>
      <c r="W508" s="133"/>
      <c r="X508" s="133"/>
      <c r="Y508" s="133"/>
      <c r="Z508" s="133"/>
    </row>
    <row r="509">
      <c r="A509" s="133">
        <f>IFERROR(__xludf.DUMMYFUNCTION("""COMPUTED_VALUE"""),508.0)</f>
        <v>508</v>
      </c>
      <c r="B509" s="133" t="str">
        <f>IFERROR(__xludf.DUMMYFUNCTION("""COMPUTED_VALUE"""),"mc5658")</f>
        <v>mc5658</v>
      </c>
      <c r="C509" s="133" t="str">
        <f>IFERROR(__xludf.DUMMYFUNCTION("""COMPUTED_VALUE"""),"P-1-N-110121-141")</f>
        <v>P-1-N-110121-141</v>
      </c>
      <c r="D509" s="133"/>
      <c r="E509" s="133" t="str">
        <f>IFERROR(__xludf.DUMMYFUNCTION("""COMPUTED_VALUE"""),"تمت طباعة الشهادة")</f>
        <v>تمت طباعة الشهادة</v>
      </c>
      <c r="F509" s="133" t="str">
        <f>IFERROR(__xludf.DUMMYFUNCTION("""COMPUTED_VALUE"""),"Alfies Diner Succulent Chicken 100g")</f>
        <v>Alfies Diner Succulent Chicken 100g</v>
      </c>
      <c r="G509" s="133" t="str">
        <f>IFERROR(__xludf.DUMMYFUNCTION("""COMPUTED_VALUE"""),"ألفيس داينر دجاج طري 100 جرام")</f>
        <v>ألفيس داينر دجاج طري 100 جرام</v>
      </c>
      <c r="H509" s="133" t="str">
        <f>IFERROR(__xludf.DUMMYFUNCTION("""COMPUTED_VALUE"""),"MAFE2021266")</f>
        <v>MAFE2021266</v>
      </c>
      <c r="I509" s="133"/>
      <c r="J509" s="133"/>
      <c r="K509" s="133" t="str">
        <f>IFERROR(__xludf.DUMMYFUNCTION("""COMPUTED_VALUE"""),"مارك")</f>
        <v>مارك</v>
      </c>
      <c r="L509" s="142" t="str">
        <f>IFERROR(__xludf.DUMMYFUNCTION("""COMPUTED_VALUE"""),"mc5658")</f>
        <v>mc5658</v>
      </c>
      <c r="M509" s="133"/>
      <c r="N509" s="133"/>
      <c r="O509" s="133"/>
      <c r="P509" s="133"/>
      <c r="Q509" s="133"/>
      <c r="R509" s="133"/>
      <c r="S509" s="133"/>
      <c r="T509" s="133"/>
      <c r="U509" s="133"/>
      <c r="V509" s="133"/>
      <c r="W509" s="133"/>
      <c r="X509" s="133"/>
      <c r="Y509" s="133"/>
      <c r="Z509" s="133"/>
    </row>
    <row r="510">
      <c r="A510" s="133">
        <f>IFERROR(__xludf.DUMMYFUNCTION("""COMPUTED_VALUE"""),509.0)</f>
        <v>509</v>
      </c>
      <c r="B510" s="133" t="str">
        <f>IFERROR(__xludf.DUMMYFUNCTION("""COMPUTED_VALUE"""),"mc5665")</f>
        <v>mc5665</v>
      </c>
      <c r="C510" s="133" t="str">
        <f>IFERROR(__xludf.DUMMYFUNCTION("""COMPUTED_VALUE"""),"P-1-N-110121-143")</f>
        <v>P-1-N-110121-143</v>
      </c>
      <c r="D510" s="133"/>
      <c r="E510" s="133" t="str">
        <f>IFERROR(__xludf.DUMMYFUNCTION("""COMPUTED_VALUE"""),"تمت طباعة الشهادة")</f>
        <v>تمت طباعة الشهادة</v>
      </c>
      <c r="F510" s="133" t="str">
        <f>IFERROR(__xludf.DUMMYFUNCTION("""COMPUTED_VALUE"""),"Alfies Diner Tender Turkey 100g")</f>
        <v>Alfies Diner Tender Turkey 100g</v>
      </c>
      <c r="G510" s="133" t="str">
        <f>IFERROR(__xludf.DUMMYFUNCTION("""COMPUTED_VALUE"""),"ألفيس داينر لحم ديك رومي طري 100 جرام")</f>
        <v>ألفيس داينر لحم ديك رومي طري 100 جرام</v>
      </c>
      <c r="H510" s="133" t="str">
        <f>IFERROR(__xludf.DUMMYFUNCTION("""COMPUTED_VALUE"""),"MAFE2021265")</f>
        <v>MAFE2021265</v>
      </c>
      <c r="I510" s="133"/>
      <c r="J510" s="133"/>
      <c r="K510" s="133" t="str">
        <f>IFERROR(__xludf.DUMMYFUNCTION("""COMPUTED_VALUE"""),"مارك اند شابل ليمتد")</f>
        <v>مارك اند شابل ليمتد</v>
      </c>
      <c r="L510" s="142" t="str">
        <f>IFERROR(__xludf.DUMMYFUNCTION("""COMPUTED_VALUE"""),"mc5665")</f>
        <v>mc5665</v>
      </c>
      <c r="M510" s="133"/>
      <c r="N510" s="133"/>
      <c r="O510" s="133"/>
      <c r="P510" s="133"/>
      <c r="Q510" s="133"/>
      <c r="R510" s="133"/>
      <c r="S510" s="133"/>
      <c r="T510" s="133"/>
      <c r="U510" s="133"/>
      <c r="V510" s="133"/>
      <c r="W510" s="133"/>
      <c r="X510" s="133"/>
      <c r="Y510" s="133"/>
      <c r="Z510" s="133"/>
    </row>
    <row r="511">
      <c r="A511" s="133">
        <f>IFERROR(__xludf.DUMMYFUNCTION("""COMPUTED_VALUE"""),510.0)</f>
        <v>510</v>
      </c>
      <c r="B511" s="133" t="str">
        <f>IFERROR(__xludf.DUMMYFUNCTION("""COMPUTED_VALUE"""),"11532")</f>
        <v>11532</v>
      </c>
      <c r="C511" s="133" t="str">
        <f>IFERROR(__xludf.DUMMYFUNCTION("""COMPUTED_VALUE"""),"P-1-N-240121-316")</f>
        <v>P-1-N-240121-316</v>
      </c>
      <c r="D511" s="133"/>
      <c r="E511" s="133" t="str">
        <f>IFERROR(__xludf.DUMMYFUNCTION("""COMPUTED_VALUE"""),"REJECTED")</f>
        <v>REJECTED</v>
      </c>
      <c r="F511" s="133" t="str">
        <f>IFERROR(__xludf.DUMMYFUNCTION("""COMPUTED_VALUE"""),"Federkur Paganol Vitamintropfen 50ml")</f>
        <v>Federkur Paganol Vitamintropfen 50ml</v>
      </c>
      <c r="G511" s="133" t="str">
        <f>IFERROR(__xludf.DUMMYFUNCTION("""COMPUTED_VALUE"""),"قطرات فيتامين فيدركور باجانول 50 مل")</f>
        <v>قطرات فيتامين فيدركور باجانول 50 مل</v>
      </c>
      <c r="H511" s="133"/>
      <c r="I511" s="133"/>
      <c r="J511" s="133"/>
      <c r="K511" s="133" t="str">
        <f>IFERROR(__xludf.DUMMYFUNCTION("""COMPUTED_VALUE"""),"بيفار بي في")</f>
        <v>بيفار بي في</v>
      </c>
      <c r="L511" s="142" t="str">
        <f>IFERROR(__xludf.DUMMYFUNCTION("""COMPUTED_VALUE"""),"11532")</f>
        <v>11532</v>
      </c>
      <c r="M511" s="133"/>
      <c r="N511" s="133"/>
      <c r="O511" s="133"/>
      <c r="P511" s="133"/>
      <c r="Q511" s="133"/>
      <c r="R511" s="133"/>
      <c r="S511" s="133"/>
      <c r="T511" s="133"/>
      <c r="U511" s="133"/>
      <c r="V511" s="133"/>
      <c r="W511" s="133"/>
      <c r="X511" s="133"/>
      <c r="Y511" s="133"/>
      <c r="Z511" s="133"/>
    </row>
    <row r="512">
      <c r="A512" s="133">
        <f>IFERROR(__xludf.DUMMYFUNCTION("""COMPUTED_VALUE"""),511.0)</f>
        <v>511</v>
      </c>
      <c r="B512" s="133" t="str">
        <f>IFERROR(__xludf.DUMMYFUNCTION("""COMPUTED_VALUE"""),"mc6136")</f>
        <v>mc6136</v>
      </c>
      <c r="C512" s="133" t="str">
        <f>IFERROR(__xludf.DUMMYFUNCTION("""COMPUTED_VALUE"""),"P-1-N-240121-321")</f>
        <v>P-1-N-240121-321</v>
      </c>
      <c r="D512" s="133"/>
      <c r="E512" s="133" t="str">
        <f>IFERROR(__xludf.DUMMYFUNCTION("""COMPUTED_VALUE"""),"تمت طباعة الشهادة")</f>
        <v>تمت طباعة الشهادة</v>
      </c>
      <c r="F512" s="133" t="str">
        <f>IFERROR(__xludf.DUMMYFUNCTION("""COMPUTED_VALUE"""),"Healthy Treats Breath &amp; Dental for Dogs 70g")</f>
        <v>Healthy Treats Breath &amp; Dental for Dogs 70g</v>
      </c>
      <c r="G512" s="133" t="str">
        <f>IFERROR(__xludf.DUMMYFUNCTION("""COMPUTED_VALUE"""),"هيلثي تريتس لرائحة الفم والأسنان للكلاب 70 جرام")</f>
        <v>هيلثي تريتس لرائحة الفم والأسنان للكلاب 70 جرام</v>
      </c>
      <c r="H512" s="133" t="str">
        <f>IFERROR(__xludf.DUMMYFUNCTION("""COMPUTED_VALUE"""),"MAFE2021280")</f>
        <v>MAFE2021280</v>
      </c>
      <c r="I512" s="133"/>
      <c r="J512" s="133"/>
      <c r="K512" s="133" t="str">
        <f>IFERROR(__xludf.DUMMYFUNCTION("""COMPUTED_VALUE"""),"مارك اند شابل ليمتد")</f>
        <v>مارك اند شابل ليمتد</v>
      </c>
      <c r="L512" s="142" t="str">
        <f>IFERROR(__xludf.DUMMYFUNCTION("""COMPUTED_VALUE"""),"mc6136")</f>
        <v>mc6136</v>
      </c>
      <c r="M512" s="133"/>
      <c r="N512" s="133"/>
      <c r="O512" s="133"/>
      <c r="P512" s="133"/>
      <c r="Q512" s="133"/>
      <c r="R512" s="133"/>
      <c r="S512" s="133"/>
      <c r="T512" s="133"/>
      <c r="U512" s="133"/>
      <c r="V512" s="133"/>
      <c r="W512" s="133"/>
      <c r="X512" s="133"/>
      <c r="Y512" s="133"/>
      <c r="Z512" s="133"/>
    </row>
    <row r="513">
      <c r="A513" s="133">
        <f>IFERROR(__xludf.DUMMYFUNCTION("""COMPUTED_VALUE"""),512.0)</f>
        <v>512</v>
      </c>
      <c r="B513" s="133" t="str">
        <f>IFERROR(__xludf.DUMMYFUNCTION("""COMPUTED_VALUE"""),"mc6143")</f>
        <v>mc6143</v>
      </c>
      <c r="C513" s="133" t="str">
        <f>IFERROR(__xludf.DUMMYFUNCTION("""COMPUTED_VALUE"""),"P-1-N-240121-322")</f>
        <v>P-1-N-240121-322</v>
      </c>
      <c r="D513" s="133"/>
      <c r="E513" s="133" t="str">
        <f>IFERROR(__xludf.DUMMYFUNCTION("""COMPUTED_VALUE"""),"تمت طباعة الشهادة")</f>
        <v>تمت طباعة الشهادة</v>
      </c>
      <c r="F513" s="133" t="str">
        <f>IFERROR(__xludf.DUMMYFUNCTION("""COMPUTED_VALUE"""),"Healthy Treats Joint &amp; Hip for Dogs &amp; Puppies 70g")</f>
        <v>Healthy Treats Joint &amp; Hip for Dogs &amp; Puppies 70g</v>
      </c>
      <c r="G513" s="133" t="str">
        <f>IFERROR(__xludf.DUMMYFUNCTION("""COMPUTED_VALUE"""),"هيلثي تريتس للمفاصل والورك للكلاب والجراء 70 جرام")</f>
        <v>هيلثي تريتس للمفاصل والورك للكلاب والجراء 70 جرام</v>
      </c>
      <c r="H513" s="133" t="str">
        <f>IFERROR(__xludf.DUMMYFUNCTION("""COMPUTED_VALUE"""),"MAFE2021279")</f>
        <v>MAFE2021279</v>
      </c>
      <c r="I513" s="133"/>
      <c r="J513" s="133"/>
      <c r="K513" s="133" t="str">
        <f>IFERROR(__xludf.DUMMYFUNCTION("""COMPUTED_VALUE"""),"مارك اند شابل ليمتد")</f>
        <v>مارك اند شابل ليمتد</v>
      </c>
      <c r="L513" s="142" t="str">
        <f>IFERROR(__xludf.DUMMYFUNCTION("""COMPUTED_VALUE"""),"mc6143")</f>
        <v>mc6143</v>
      </c>
      <c r="M513" s="133"/>
      <c r="N513" s="133"/>
      <c r="O513" s="133"/>
      <c r="P513" s="133"/>
      <c r="Q513" s="133"/>
      <c r="R513" s="133"/>
      <c r="S513" s="133"/>
      <c r="T513" s="133"/>
      <c r="U513" s="133"/>
      <c r="V513" s="133"/>
      <c r="W513" s="133"/>
      <c r="X513" s="133"/>
      <c r="Y513" s="133"/>
      <c r="Z513" s="133"/>
    </row>
    <row r="514">
      <c r="A514" s="133">
        <f>IFERROR(__xludf.DUMMYFUNCTION("""COMPUTED_VALUE"""),513.0)</f>
        <v>513</v>
      </c>
      <c r="B514" s="133" t="str">
        <f>IFERROR(__xludf.DUMMYFUNCTION("""COMPUTED_VALUE"""),"MC1216")</f>
        <v>MC1216</v>
      </c>
      <c r="C514" s="133" t="str">
        <f>IFERROR(__xludf.DUMMYFUNCTION("""COMPUTED_VALUE"""),"P-1-N-240121-323")</f>
        <v>P-1-N-240121-323</v>
      </c>
      <c r="D514" s="133"/>
      <c r="E514" s="133" t="str">
        <f>IFERROR(__xludf.DUMMYFUNCTION("""COMPUTED_VALUE"""),"تمت طباعة الشهادة")</f>
        <v>تمت طباعة الشهادة</v>
      </c>
      <c r="F514" s="133" t="str">
        <f>IFERROR(__xludf.DUMMYFUNCTION("""COMPUTED_VALUE"""),"Healthy Treats Skin &amp; Coat For Dogs and Puppies 70g")</f>
        <v>Healthy Treats Skin &amp; Coat For Dogs and Puppies 70g</v>
      </c>
      <c r="G514" s="133" t="str">
        <f>IFERROR(__xludf.DUMMYFUNCTION("""COMPUTED_VALUE"""),"هيلثي تريتس للجلد والفرو للكلاب والجراء 70 جم")</f>
        <v>هيلثي تريتس للجلد والفرو للكلاب والجراء 70 جم</v>
      </c>
      <c r="H514" s="133" t="str">
        <f>IFERROR(__xludf.DUMMYFUNCTION("""COMPUTED_VALUE"""),"MAFE2021278")</f>
        <v>MAFE2021278</v>
      </c>
      <c r="I514" s="133"/>
      <c r="J514" s="133"/>
      <c r="K514" s="133" t="str">
        <f>IFERROR(__xludf.DUMMYFUNCTION("""COMPUTED_VALUE"""),"مارك اند شابل ليمتد")</f>
        <v>مارك اند شابل ليمتد</v>
      </c>
      <c r="L514" s="142" t="str">
        <f>IFERROR(__xludf.DUMMYFUNCTION("""COMPUTED_VALUE"""),"MC1216")</f>
        <v>MC1216</v>
      </c>
      <c r="M514" s="133"/>
      <c r="N514" s="133"/>
      <c r="O514" s="133"/>
      <c r="P514" s="133"/>
      <c r="Q514" s="133"/>
      <c r="R514" s="133"/>
      <c r="S514" s="133"/>
      <c r="T514" s="133"/>
      <c r="U514" s="133"/>
      <c r="V514" s="133"/>
      <c r="W514" s="133"/>
      <c r="X514" s="133"/>
      <c r="Y514" s="133"/>
      <c r="Z514" s="133"/>
    </row>
    <row r="515">
      <c r="A515" s="133">
        <f>IFERROR(__xludf.DUMMYFUNCTION("""COMPUTED_VALUE"""),514.0)</f>
        <v>514</v>
      </c>
      <c r="B515" s="133" t="str">
        <f>IFERROR(__xludf.DUMMYFUNCTION("""COMPUTED_VALUE"""),"mc6167")</f>
        <v>mc6167</v>
      </c>
      <c r="C515" s="133" t="str">
        <f>IFERROR(__xludf.DUMMYFUNCTION("""COMPUTED_VALUE"""),"P-1-N-240121-324")</f>
        <v>P-1-N-240121-324</v>
      </c>
      <c r="D515" s="133"/>
      <c r="E515" s="133" t="str">
        <f>IFERROR(__xludf.DUMMYFUNCTION("""COMPUTED_VALUE"""),"تمت طباعة الشهادة")</f>
        <v>تمت طباعة الشهادة</v>
      </c>
      <c r="F515" s="133" t="str">
        <f>IFERROR(__xludf.DUMMYFUNCTION("""COMPUTED_VALUE"""),"Healthy Treats Teething for Puppies 50g")</f>
        <v>Healthy Treats Teething for Puppies 50g</v>
      </c>
      <c r="G515" s="133" t="str">
        <f>IFERROR(__xludf.DUMMYFUNCTION("""COMPUTED_VALUE"""),"هيلثي تريتس التسنين للجراء 50 جرام")</f>
        <v>هيلثي تريتس التسنين للجراء 50 جرام</v>
      </c>
      <c r="H515" s="133" t="str">
        <f>IFERROR(__xludf.DUMMYFUNCTION("""COMPUTED_VALUE"""),"MAFE2021277")</f>
        <v>MAFE2021277</v>
      </c>
      <c r="I515" s="133"/>
      <c r="J515" s="133"/>
      <c r="K515" s="133" t="str">
        <f>IFERROR(__xludf.DUMMYFUNCTION("""COMPUTED_VALUE"""),"مارك اند شابل ليمتد")</f>
        <v>مارك اند شابل ليمتد</v>
      </c>
      <c r="L515" s="142" t="str">
        <f>IFERROR(__xludf.DUMMYFUNCTION("""COMPUTED_VALUE"""),"mc6167")</f>
        <v>mc6167</v>
      </c>
      <c r="M515" s="133"/>
      <c r="N515" s="133"/>
      <c r="O515" s="133"/>
      <c r="P515" s="133"/>
      <c r="Q515" s="133"/>
      <c r="R515" s="133"/>
      <c r="S515" s="133"/>
      <c r="T515" s="133"/>
      <c r="U515" s="133"/>
      <c r="V515" s="133"/>
      <c r="W515" s="133"/>
      <c r="X515" s="133"/>
      <c r="Y515" s="133"/>
      <c r="Z515" s="133"/>
    </row>
    <row r="516">
      <c r="A516" s="133">
        <f>IFERROR(__xludf.DUMMYFUNCTION("""COMPUTED_VALUE"""),515.0)</f>
        <v>515</v>
      </c>
      <c r="B516" s="133" t="str">
        <f>IFERROR(__xludf.DUMMYFUNCTION("""COMPUTED_VALUE"""),"MC5023")</f>
        <v>MC5023</v>
      </c>
      <c r="C516" s="133" t="str">
        <f>IFERROR(__xludf.DUMMYFUNCTION("""COMPUTED_VALUE"""),"P-1-N-240121-325")</f>
        <v>P-1-N-240121-325</v>
      </c>
      <c r="D516" s="133"/>
      <c r="E516" s="133" t="str">
        <f>IFERROR(__xludf.DUMMYFUNCTION("""COMPUTED_VALUE"""),"تمت طباعة الشهادة")</f>
        <v>تمت طباعة الشهادة</v>
      </c>
      <c r="F516" s="133" t="str">
        <f>IFERROR(__xludf.DUMMYFUNCTION("""COMPUTED_VALUE"""),"Healthy Bites Breath &amp; Dental For Cats &amp; Kittens 65g")</f>
        <v>Healthy Bites Breath &amp; Dental For Cats &amp; Kittens 65g</v>
      </c>
      <c r="G516" s="133" t="str">
        <f>IFERROR(__xludf.DUMMYFUNCTION("""COMPUTED_VALUE"""),"هيلثي بايتس لرائحة الفم والأسنان للقطط الصغيرة و البالغة 65 جرام")</f>
        <v>هيلثي بايتس لرائحة الفم والأسنان للقطط الصغيرة و البالغة 65 جرام</v>
      </c>
      <c r="H516" s="133" t="str">
        <f>IFERROR(__xludf.DUMMYFUNCTION("""COMPUTED_VALUE"""),"MAFE20201363")</f>
        <v>MAFE20201363</v>
      </c>
      <c r="I516" s="133"/>
      <c r="J516" s="133"/>
      <c r="K516" s="133" t="str">
        <f>IFERROR(__xludf.DUMMYFUNCTION("""COMPUTED_VALUE"""),"مارك اند شابل ليمتد")</f>
        <v>مارك اند شابل ليمتد</v>
      </c>
      <c r="L516" s="142" t="str">
        <f>IFERROR(__xludf.DUMMYFUNCTION("""COMPUTED_VALUE"""),"MC5023")</f>
        <v>MC5023</v>
      </c>
      <c r="M516" s="133"/>
      <c r="N516" s="133"/>
      <c r="O516" s="133"/>
      <c r="P516" s="133"/>
      <c r="Q516" s="133"/>
      <c r="R516" s="133"/>
      <c r="S516" s="133"/>
      <c r="T516" s="133"/>
      <c r="U516" s="133"/>
      <c r="V516" s="133"/>
      <c r="W516" s="133"/>
      <c r="X516" s="133"/>
      <c r="Y516" s="133"/>
      <c r="Z516" s="133"/>
    </row>
    <row r="517">
      <c r="A517" s="133">
        <f>IFERROR(__xludf.DUMMYFUNCTION("""COMPUTED_VALUE"""),516.0)</f>
        <v>516</v>
      </c>
      <c r="B517" s="133"/>
      <c r="C517" s="133" t="str">
        <f>IFERROR(__xludf.DUMMYFUNCTION("""COMPUTED_VALUE"""),"P-1-N-240121-326")</f>
        <v>P-1-N-240121-326</v>
      </c>
      <c r="D517" s="133"/>
      <c r="E517" s="133" t="str">
        <f>IFERROR(__xludf.DUMMYFUNCTION("""COMPUTED_VALUE"""),"تمت طباعة الشهادة")</f>
        <v>تمت طباعة الشهادة</v>
      </c>
      <c r="F517" s="133">
        <f>IFERROR(__xludf.DUMMYFUNCTION("""COMPUTED_VALUE"""),0.0)</f>
        <v>0</v>
      </c>
      <c r="G517" s="133" t="str">
        <f>IFERROR(__xludf.DUMMYFUNCTION("""COMPUTED_VALUE"""),"هيلثي بايتس لمنع كرات الشعر للقطط الصغيرة و البالغة 65 جم")</f>
        <v>هيلثي بايتس لمنع كرات الشعر للقطط الصغيرة و البالغة 65 جم</v>
      </c>
      <c r="H517" s="133" t="str">
        <f>IFERROR(__xludf.DUMMYFUNCTION("""COMPUTED_VALUE"""),"MAFE2021275")</f>
        <v>MAFE2021275</v>
      </c>
      <c r="I517" s="133"/>
      <c r="J517" s="133"/>
      <c r="K517" s="133" t="str">
        <f>IFERROR(__xludf.DUMMYFUNCTION("""COMPUTED_VALUE"""),"مارك اند شابل ليمتد")</f>
        <v>مارك اند شابل ليمتد</v>
      </c>
      <c r="L517" s="133"/>
      <c r="M517" s="133"/>
      <c r="N517" s="133"/>
      <c r="O517" s="133"/>
      <c r="P517" s="133"/>
      <c r="Q517" s="133"/>
      <c r="R517" s="133"/>
      <c r="S517" s="133"/>
      <c r="T517" s="133"/>
      <c r="U517" s="133"/>
      <c r="V517" s="133"/>
      <c r="W517" s="133"/>
      <c r="X517" s="133"/>
      <c r="Y517" s="133"/>
      <c r="Z517" s="133"/>
    </row>
    <row r="518">
      <c r="A518" s="133">
        <f>IFERROR(__xludf.DUMMYFUNCTION("""COMPUTED_VALUE"""),517.0)</f>
        <v>517</v>
      </c>
      <c r="B518" s="133" t="str">
        <f>IFERROR(__xludf.DUMMYFUNCTION("""COMPUTED_VALUE"""),"MC5030")</f>
        <v>MC5030</v>
      </c>
      <c r="C518" s="133" t="str">
        <f>IFERROR(__xludf.DUMMYFUNCTION("""COMPUTED_VALUE"""),"P-1-N-240121-327")</f>
        <v>P-1-N-240121-327</v>
      </c>
      <c r="D518" s="133"/>
      <c r="E518" s="133" t="str">
        <f>IFERROR(__xludf.DUMMYFUNCTION("""COMPUTED_VALUE"""),"تمت طباعة الشهادة")</f>
        <v>تمت طباعة الشهادة</v>
      </c>
      <c r="F518" s="133" t="str">
        <f>IFERROR(__xludf.DUMMYFUNCTION("""COMPUTED_VALUE"""),"Healthy Bites Urinary Care For Cats &amp; Kittens 65g")</f>
        <v>Healthy Bites Urinary Care For Cats &amp; Kittens 65g</v>
      </c>
      <c r="G518" s="133" t="str">
        <f>IFERROR(__xludf.DUMMYFUNCTION("""COMPUTED_VALUE"""),"هيلثي بايتس للعناية البولية للقطط الصغيرة و البالغة 65 جم")</f>
        <v>هيلثي بايتس للعناية البولية للقطط الصغيرة و البالغة 65 جم</v>
      </c>
      <c r="H518" s="133" t="str">
        <f>IFERROR(__xludf.DUMMYFUNCTION("""COMPUTED_VALUE"""),"MAFE2021274")</f>
        <v>MAFE2021274</v>
      </c>
      <c r="I518" s="133"/>
      <c r="J518" s="133"/>
      <c r="K518" s="133" t="str">
        <f>IFERROR(__xludf.DUMMYFUNCTION("""COMPUTED_VALUE"""),"مارك")</f>
        <v>مارك</v>
      </c>
      <c r="L518" s="142" t="str">
        <f>IFERROR(__xludf.DUMMYFUNCTION("""COMPUTED_VALUE"""),"MC5030")</f>
        <v>MC5030</v>
      </c>
      <c r="M518" s="133"/>
      <c r="N518" s="133"/>
      <c r="O518" s="133"/>
      <c r="P518" s="133"/>
      <c r="Q518" s="133"/>
      <c r="R518" s="133"/>
      <c r="S518" s="133"/>
      <c r="T518" s="133"/>
      <c r="U518" s="133"/>
      <c r="V518" s="133"/>
      <c r="W518" s="133"/>
      <c r="X518" s="133"/>
      <c r="Y518" s="133"/>
      <c r="Z518" s="133"/>
    </row>
    <row r="519">
      <c r="A519" s="133">
        <f>IFERROR(__xludf.DUMMYFUNCTION("""COMPUTED_VALUE"""),518.0)</f>
        <v>518</v>
      </c>
      <c r="B519" s="133"/>
      <c r="C519" s="133" t="str">
        <f>IFERROR(__xludf.DUMMYFUNCTION("""COMPUTED_VALUE"""),"P-1-N-280121-379")</f>
        <v>P-1-N-280121-379</v>
      </c>
      <c r="D519" s="133"/>
      <c r="E519" s="133" t="str">
        <f>IFERROR(__xludf.DUMMYFUNCTION("""COMPUTED_VALUE"""),"REJECTED")</f>
        <v>REJECTED</v>
      </c>
      <c r="F519" s="133" t="str">
        <f>IFERROR(__xludf.DUMMYFUNCTION("""COMPUTED_VALUE"""),"Applaws Chicken Breast with Lamb in Jelly 156g")</f>
        <v>Applaws Chicken Breast with Lamb in Jelly 156g</v>
      </c>
      <c r="G519" s="133" t="str">
        <f>IFERROR(__xludf.DUMMYFUNCTION("""COMPUTED_VALUE"""),"أبلاوز صدر دجاج مع لحم غنم في جيلي 156 جم")</f>
        <v>أبلاوز صدر دجاج مع لحم غنم في جيلي 156 جم</v>
      </c>
      <c r="H519" s="133"/>
      <c r="I519" s="133"/>
      <c r="J519" s="133"/>
      <c r="K519" s="133" t="str">
        <f>IFERROR(__xludf.DUMMYFUNCTION("""COMPUTED_VALUE"""),"أم بي أم برودكتس ليمتد")</f>
        <v>أم بي أم برودكتس ليمتد</v>
      </c>
      <c r="L519" s="133"/>
      <c r="M519" s="133"/>
      <c r="N519" s="133"/>
      <c r="O519" s="133"/>
      <c r="P519" s="133"/>
      <c r="Q519" s="133"/>
      <c r="R519" s="133"/>
      <c r="S519" s="133"/>
      <c r="T519" s="133"/>
      <c r="U519" s="133"/>
      <c r="V519" s="133"/>
      <c r="W519" s="133"/>
      <c r="X519" s="133"/>
      <c r="Y519" s="133"/>
      <c r="Z519" s="133"/>
    </row>
    <row r="520">
      <c r="A520" s="133">
        <f>IFERROR(__xludf.DUMMYFUNCTION("""COMPUTED_VALUE"""),519.0)</f>
        <v>519</v>
      </c>
      <c r="B520" s="133" t="str">
        <f>IFERROR(__xludf.DUMMYFUNCTION("""COMPUTED_VALUE"""),"C560")</f>
        <v>C560</v>
      </c>
      <c r="C520" s="133" t="str">
        <f>IFERROR(__xludf.DUMMYFUNCTION("""COMPUTED_VALUE"""),"P-1-N-280121-385")</f>
        <v>P-1-N-280121-385</v>
      </c>
      <c r="D520" s="133"/>
      <c r="E520" s="133" t="str">
        <f>IFERROR(__xludf.DUMMYFUNCTION("""COMPUTED_VALUE"""),"تمت طباعة الشهادة")</f>
        <v>تمت طباعة الشهادة</v>
      </c>
      <c r="F520" s="133" t="str">
        <f>IFERROR(__xludf.DUMMYFUNCTION("""COMPUTED_VALUE"""),"Tuna whole meat and rice in jelly 100g")</f>
        <v>Tuna whole meat and rice in jelly 100g</v>
      </c>
      <c r="G520" s="133" t="str">
        <f>IFERROR(__xludf.DUMMYFUNCTION("""COMPUTED_VALUE"""),"التونا")</f>
        <v>التونا</v>
      </c>
      <c r="H520" s="133" t="str">
        <f>IFERROR(__xludf.DUMMYFUNCTION("""COMPUTED_VALUE"""),"MAFE2021305")</f>
        <v>MAFE2021305</v>
      </c>
      <c r="I520" s="133"/>
      <c r="J520" s="133"/>
      <c r="K520" s="133" t="str">
        <f>IFERROR(__xludf.DUMMYFUNCTION("""COMPUTED_VALUE"""),"أغراس ديليتش اس بي أي")</f>
        <v>أغراس ديليتش اس بي أي</v>
      </c>
      <c r="L520" s="142" t="str">
        <f>IFERROR(__xludf.DUMMYFUNCTION("""COMPUTED_VALUE"""),"C560")</f>
        <v>C560</v>
      </c>
      <c r="M520" s="133"/>
      <c r="N520" s="133"/>
      <c r="O520" s="133"/>
      <c r="P520" s="133"/>
      <c r="Q520" s="133"/>
      <c r="R520" s="133"/>
      <c r="S520" s="133"/>
      <c r="T520" s="133"/>
      <c r="U520" s="133"/>
      <c r="V520" s="133"/>
      <c r="W520" s="133"/>
      <c r="X520" s="133"/>
      <c r="Y520" s="133"/>
      <c r="Z520" s="133"/>
    </row>
    <row r="521">
      <c r="A521" s="133">
        <f>IFERROR(__xludf.DUMMYFUNCTION("""COMPUTED_VALUE"""),520.0)</f>
        <v>520</v>
      </c>
      <c r="B521" s="133" t="str">
        <f>IFERROR(__xludf.DUMMYFUNCTION("""COMPUTED_VALUE"""),"C561")</f>
        <v>C561</v>
      </c>
      <c r="C521" s="133" t="str">
        <f>IFERROR(__xludf.DUMMYFUNCTION("""COMPUTED_VALUE"""),"P-1-N-280121-386")</f>
        <v>P-1-N-280121-386</v>
      </c>
      <c r="D521" s="133"/>
      <c r="E521" s="133" t="str">
        <f>IFERROR(__xludf.DUMMYFUNCTION("""COMPUTED_VALUE"""),"تمت طباعة الشهادة")</f>
        <v>تمت طباعة الشهادة</v>
      </c>
      <c r="F521" s="133" t="str">
        <f>IFERROR(__xludf.DUMMYFUNCTION("""COMPUTED_VALUE"""),"Tuna with Chicken 100g")</f>
        <v>Tuna with Chicken 100g</v>
      </c>
      <c r="G521" s="133" t="str">
        <f>IFERROR(__xludf.DUMMYFUNCTION("""COMPUTED_VALUE"""),"تونة بالدجاج 100 جرام")</f>
        <v>تونة بالدجاج 100 جرام</v>
      </c>
      <c r="H521" s="133" t="str">
        <f>IFERROR(__xludf.DUMMYFUNCTION("""COMPUTED_VALUE"""),"MAFE2021304")</f>
        <v>MAFE2021304</v>
      </c>
      <c r="I521" s="133"/>
      <c r="J521" s="133"/>
      <c r="K521" s="133" t="str">
        <f>IFERROR(__xludf.DUMMYFUNCTION("""COMPUTED_VALUE"""),"أغراس ديليتش اس بي أي")</f>
        <v>أغراس ديليتش اس بي أي</v>
      </c>
      <c r="L521" s="142" t="str">
        <f>IFERROR(__xludf.DUMMYFUNCTION("""COMPUTED_VALUE"""),"C561")</f>
        <v>C561</v>
      </c>
      <c r="M521" s="133"/>
      <c r="N521" s="133"/>
      <c r="O521" s="133"/>
      <c r="P521" s="133"/>
      <c r="Q521" s="133"/>
      <c r="R521" s="133"/>
      <c r="S521" s="133"/>
      <c r="T521" s="133"/>
      <c r="U521" s="133"/>
      <c r="V521" s="133"/>
      <c r="W521" s="133"/>
      <c r="X521" s="133"/>
      <c r="Y521" s="133"/>
      <c r="Z521" s="133"/>
    </row>
    <row r="522">
      <c r="A522" s="133">
        <f>IFERROR(__xludf.DUMMYFUNCTION("""COMPUTED_VALUE"""),521.0)</f>
        <v>521</v>
      </c>
      <c r="B522" s="133" t="str">
        <f>IFERROR(__xludf.DUMMYFUNCTION("""COMPUTED_VALUE"""),"C562")</f>
        <v>C562</v>
      </c>
      <c r="C522" s="133" t="str">
        <f>IFERROR(__xludf.DUMMYFUNCTION("""COMPUTED_VALUE"""),"P-1-N-280121-387")</f>
        <v>P-1-N-280121-387</v>
      </c>
      <c r="D522" s="133"/>
      <c r="E522" s="133" t="str">
        <f>IFERROR(__xludf.DUMMYFUNCTION("""COMPUTED_VALUE"""),"تمت طباعة الشهادة")</f>
        <v>تمت طباعة الشهادة</v>
      </c>
      <c r="F522" s="133" t="str">
        <f>IFERROR(__xludf.DUMMYFUNCTION("""COMPUTED_VALUE"""),"Chicken Fillets 100g")</f>
        <v>Chicken Fillets 100g</v>
      </c>
      <c r="G522" s="133" t="str">
        <f>IFERROR(__xludf.DUMMYFUNCTION("""COMPUTED_VALUE"""),"فيليه دجاج 100 جرام")</f>
        <v>فيليه دجاج 100 جرام</v>
      </c>
      <c r="H522" s="133" t="str">
        <f>IFERROR(__xludf.DUMMYFUNCTION("""COMPUTED_VALUE"""),"MAFE2021303")</f>
        <v>MAFE2021303</v>
      </c>
      <c r="I522" s="133"/>
      <c r="J522" s="133"/>
      <c r="K522" s="133" t="str">
        <f>IFERROR(__xludf.DUMMYFUNCTION("""COMPUTED_VALUE"""),"أغراس ديليتش اس بي أي")</f>
        <v>أغراس ديليتش اس بي أي</v>
      </c>
      <c r="L522" s="142" t="str">
        <f>IFERROR(__xludf.DUMMYFUNCTION("""COMPUTED_VALUE"""),"C562")</f>
        <v>C562</v>
      </c>
      <c r="M522" s="133"/>
      <c r="N522" s="133"/>
      <c r="O522" s="133"/>
      <c r="P522" s="133"/>
      <c r="Q522" s="133"/>
      <c r="R522" s="133"/>
      <c r="S522" s="133"/>
      <c r="T522" s="133"/>
      <c r="U522" s="133"/>
      <c r="V522" s="133"/>
      <c r="W522" s="133"/>
      <c r="X522" s="133"/>
      <c r="Y522" s="133"/>
      <c r="Z522" s="133"/>
    </row>
    <row r="523">
      <c r="A523" s="133">
        <f>IFERROR(__xludf.DUMMYFUNCTION("""COMPUTED_VALUE"""),522.0)</f>
        <v>522</v>
      </c>
      <c r="B523" s="133" t="str">
        <f>IFERROR(__xludf.DUMMYFUNCTION("""COMPUTED_VALUE"""),"C565")</f>
        <v>C565</v>
      </c>
      <c r="C523" s="133" t="str">
        <f>IFERROR(__xludf.DUMMYFUNCTION("""COMPUTED_VALUE"""),"P-1-N-280121-388")</f>
        <v>P-1-N-280121-388</v>
      </c>
      <c r="D523" s="133"/>
      <c r="E523" s="133" t="str">
        <f>IFERROR(__xludf.DUMMYFUNCTION("""COMPUTED_VALUE"""),"تمت طباعة الشهادة")</f>
        <v>تمت طباعة الشهادة</v>
      </c>
      <c r="F523" s="133" t="str">
        <f>IFERROR(__xludf.DUMMYFUNCTION("""COMPUTED_VALUE"""),"Tuna Whole Meat with Seabass in Gel 100g")</f>
        <v>Tuna Whole Meat with Seabass in Gel 100g</v>
      </c>
      <c r="G523" s="133" t="str">
        <f>IFERROR(__xludf.DUMMYFUNCTION("""COMPUTED_VALUE"""),"تونة لحم كامل بالقاروص في الجيلي 100 جم")</f>
        <v>تونة لحم كامل بالقاروص في الجيلي 100 جم</v>
      </c>
      <c r="H523" s="133" t="str">
        <f>IFERROR(__xludf.DUMMYFUNCTION("""COMPUTED_VALUE"""),"MAFE2021302")</f>
        <v>MAFE2021302</v>
      </c>
      <c r="I523" s="133"/>
      <c r="J523" s="133"/>
      <c r="K523" s="133" t="str">
        <f>IFERROR(__xludf.DUMMYFUNCTION("""COMPUTED_VALUE"""),"أغراس ديليتش اس بي أي")</f>
        <v>أغراس ديليتش اس بي أي</v>
      </c>
      <c r="L523" s="142" t="str">
        <f>IFERROR(__xludf.DUMMYFUNCTION("""COMPUTED_VALUE"""),"C565")</f>
        <v>C565</v>
      </c>
      <c r="M523" s="133"/>
      <c r="N523" s="133"/>
      <c r="O523" s="133"/>
      <c r="P523" s="133"/>
      <c r="Q523" s="133"/>
      <c r="R523" s="133"/>
      <c r="S523" s="133"/>
      <c r="T523" s="133"/>
      <c r="U523" s="133"/>
      <c r="V523" s="133"/>
      <c r="W523" s="133"/>
      <c r="X523" s="133"/>
      <c r="Y523" s="133"/>
      <c r="Z523" s="133"/>
    </row>
    <row r="524">
      <c r="A524" s="133">
        <f>IFERROR(__xludf.DUMMYFUNCTION("""COMPUTED_VALUE"""),523.0)</f>
        <v>523</v>
      </c>
      <c r="B524" s="133" t="str">
        <f>IFERROR(__xludf.DUMMYFUNCTION("""COMPUTED_VALUE"""),"C566")</f>
        <v>C566</v>
      </c>
      <c r="C524" s="133" t="str">
        <f>IFERROR(__xludf.DUMMYFUNCTION("""COMPUTED_VALUE"""),"P-1-N-280121-389")</f>
        <v>P-1-N-280121-389</v>
      </c>
      <c r="D524" s="133"/>
      <c r="E524" s="133" t="str">
        <f>IFERROR(__xludf.DUMMYFUNCTION("""COMPUTED_VALUE"""),"تمت طباعة الشهادة")</f>
        <v>تمت طباعة الشهادة</v>
      </c>
      <c r="F524" s="133" t="str">
        <f>IFERROR(__xludf.DUMMYFUNCTION("""COMPUTED_VALUE"""),"Chicken with seabass in gel 100g")</f>
        <v>Chicken with seabass in gel 100g</v>
      </c>
      <c r="G524" s="133" t="str">
        <f>IFERROR(__xludf.DUMMYFUNCTION("""COMPUTED_VALUE"""),"دجاج مع القاروص في الجيلي 100 جم")</f>
        <v>دجاج مع القاروص في الجيلي 100 جم</v>
      </c>
      <c r="H524" s="133" t="str">
        <f>IFERROR(__xludf.DUMMYFUNCTION("""COMPUTED_VALUE"""),"MAFE2021301")</f>
        <v>MAFE2021301</v>
      </c>
      <c r="I524" s="133"/>
      <c r="J524" s="133"/>
      <c r="K524" s="133" t="str">
        <f>IFERROR(__xludf.DUMMYFUNCTION("""COMPUTED_VALUE"""),"أغراس ديليتش اس بي أي")</f>
        <v>أغراس ديليتش اس بي أي</v>
      </c>
      <c r="L524" s="142" t="str">
        <f>IFERROR(__xludf.DUMMYFUNCTION("""COMPUTED_VALUE"""),"C566")</f>
        <v>C566</v>
      </c>
      <c r="M524" s="133"/>
      <c r="N524" s="133"/>
      <c r="O524" s="133"/>
      <c r="P524" s="133"/>
      <c r="Q524" s="133"/>
      <c r="R524" s="133"/>
      <c r="S524" s="133"/>
      <c r="T524" s="133"/>
      <c r="U524" s="133"/>
      <c r="V524" s="133"/>
      <c r="W524" s="133"/>
      <c r="X524" s="133"/>
      <c r="Y524" s="133"/>
      <c r="Z524" s="133"/>
    </row>
    <row r="525">
      <c r="A525" s="133">
        <f>IFERROR(__xludf.DUMMYFUNCTION("""COMPUTED_VALUE"""),524.0)</f>
        <v>524</v>
      </c>
      <c r="B525" s="133" t="str">
        <f>IFERROR(__xludf.DUMMYFUNCTION("""COMPUTED_VALUE"""),"C575")</f>
        <v>C575</v>
      </c>
      <c r="C525" s="133" t="str">
        <f>IFERROR(__xludf.DUMMYFUNCTION("""COMPUTED_VALUE"""),"P-1-N-280121-390")</f>
        <v>P-1-N-280121-390</v>
      </c>
      <c r="D525" s="133"/>
      <c r="E525" s="133" t="str">
        <f>IFERROR(__xludf.DUMMYFUNCTION("""COMPUTED_VALUE"""),"تمت طباعة الشهادة")</f>
        <v>تمت طباعة الشهادة</v>
      </c>
      <c r="F525" s="133" t="str">
        <f>IFERROR(__xludf.DUMMYFUNCTION("""COMPUTED_VALUE"""),"Kitten Tuna Whole Meat in Jelly 100g")</f>
        <v>Kitten Tuna Whole Meat in Jelly 100g</v>
      </c>
      <c r="G525" s="133" t="str">
        <f>IFERROR(__xludf.DUMMYFUNCTION("""COMPUTED_VALUE"""),"تونا لحم كامل بالجلي للقطط الصغيرة 100 جم")</f>
        <v>تونا لحم كامل بالجلي للقطط الصغيرة 100 جم</v>
      </c>
      <c r="H525" s="133" t="str">
        <f>IFERROR(__xludf.DUMMYFUNCTION("""COMPUTED_VALUE"""),"MAFE2021300")</f>
        <v>MAFE2021300</v>
      </c>
      <c r="I525" s="133"/>
      <c r="J525" s="133"/>
      <c r="K525" s="133" t="str">
        <f>IFERROR(__xludf.DUMMYFUNCTION("""COMPUTED_VALUE"""),"أغراس ديليتش اس بي أي")</f>
        <v>أغراس ديليتش اس بي أي</v>
      </c>
      <c r="L525" s="142" t="str">
        <f>IFERROR(__xludf.DUMMYFUNCTION("""COMPUTED_VALUE"""),"C575")</f>
        <v>C575</v>
      </c>
      <c r="M525" s="133"/>
      <c r="N525" s="133"/>
      <c r="O525" s="133"/>
      <c r="P525" s="133"/>
      <c r="Q525" s="133"/>
      <c r="R525" s="133"/>
      <c r="S525" s="133"/>
      <c r="T525" s="133"/>
      <c r="U525" s="133"/>
      <c r="V525" s="133"/>
      <c r="W525" s="133"/>
      <c r="X525" s="133"/>
      <c r="Y525" s="133"/>
      <c r="Z525" s="133"/>
    </row>
    <row r="526">
      <c r="A526" s="133">
        <f>IFERROR(__xludf.DUMMYFUNCTION("""COMPUTED_VALUE"""),525.0)</f>
        <v>525</v>
      </c>
      <c r="B526" s="133" t="str">
        <f>IFERROR(__xludf.DUMMYFUNCTION("""COMPUTED_VALUE"""),"C576")</f>
        <v>C576</v>
      </c>
      <c r="C526" s="133" t="str">
        <f>IFERROR(__xludf.DUMMYFUNCTION("""COMPUTED_VALUE"""),"P-1-N-280121-391")</f>
        <v>P-1-N-280121-391</v>
      </c>
      <c r="D526" s="133"/>
      <c r="E526" s="133" t="str">
        <f>IFERROR(__xludf.DUMMYFUNCTION("""COMPUTED_VALUE"""),"تمت طباعة الشهادة")</f>
        <v>تمت طباعة الشهادة</v>
      </c>
      <c r="F526" s="133" t="str">
        <f>IFERROR(__xludf.DUMMYFUNCTION("""COMPUTED_VALUE"""),"Kitten Chicken Flake in Jelly 100g")</f>
        <v>Kitten Chicken Flake in Jelly 100g</v>
      </c>
      <c r="G526" s="133" t="str">
        <f>IFERROR(__xludf.DUMMYFUNCTION("""COMPUTED_VALUE"""),"دجاج فليك بالجلي للقطط الصغيرة 100 جم")</f>
        <v>دجاج فليك بالجلي للقطط الصغيرة 100 جم</v>
      </c>
      <c r="H526" s="133" t="str">
        <f>IFERROR(__xludf.DUMMYFUNCTION("""COMPUTED_VALUE"""),"MAFE2021299")</f>
        <v>MAFE2021299</v>
      </c>
      <c r="I526" s="133"/>
      <c r="J526" s="133"/>
      <c r="K526" s="133" t="str">
        <f>IFERROR(__xludf.DUMMYFUNCTION("""COMPUTED_VALUE"""),"أغراس ديليتش اس بي أي")</f>
        <v>أغراس ديليتش اس بي أي</v>
      </c>
      <c r="L526" s="142" t="str">
        <f>IFERROR(__xludf.DUMMYFUNCTION("""COMPUTED_VALUE"""),"C576")</f>
        <v>C576</v>
      </c>
      <c r="M526" s="133"/>
      <c r="N526" s="133"/>
      <c r="O526" s="133"/>
      <c r="P526" s="133"/>
      <c r="Q526" s="133"/>
      <c r="R526" s="133"/>
      <c r="S526" s="133"/>
      <c r="T526" s="133"/>
      <c r="U526" s="133"/>
      <c r="V526" s="133"/>
      <c r="W526" s="133"/>
      <c r="X526" s="133"/>
      <c r="Y526" s="133"/>
      <c r="Z526" s="133"/>
    </row>
    <row r="527">
      <c r="A527" s="133">
        <f>IFERROR(__xludf.DUMMYFUNCTION("""COMPUTED_VALUE"""),526.0)</f>
        <v>526</v>
      </c>
      <c r="B527" s="133"/>
      <c r="C527" s="133" t="str">
        <f>IFERROR(__xludf.DUMMYFUNCTION("""COMPUTED_VALUE"""),"P-1-N-280121-393")</f>
        <v>P-1-N-280121-393</v>
      </c>
      <c r="D527" s="133"/>
      <c r="E527" s="133" t="str">
        <f>IFERROR(__xludf.DUMMYFUNCTION("""COMPUTED_VALUE"""),"تمت طباعة الشهادة")</f>
        <v>تمت طباعة الشهادة</v>
      </c>
      <c r="F527" s="133">
        <f>IFERROR(__xludf.DUMMYFUNCTION("""COMPUTED_VALUE"""),0.0)</f>
        <v>0</v>
      </c>
      <c r="G527" s="133" t="str">
        <f>IFERROR(__xludf.DUMMYFUNCTION("""COMPUTED_VALUE"""),"تونة لحم كامل ودجاج بالروبيان مع أرز في الجيلي الطري 100 جرام")</f>
        <v>تونة لحم كامل ودجاج بالروبيان مع أرز في الجيلي الطري 100 جرام</v>
      </c>
      <c r="H527" s="133" t="str">
        <f>IFERROR(__xludf.DUMMYFUNCTION("""COMPUTED_VALUE"""),"MAFE2021298")</f>
        <v>MAFE2021298</v>
      </c>
      <c r="I527" s="133"/>
      <c r="J527" s="133"/>
      <c r="K527" s="133" t="str">
        <f>IFERROR(__xludf.DUMMYFUNCTION("""COMPUTED_VALUE"""),"أغراس ديليتش اس بي أي")</f>
        <v>أغراس ديليتش اس بي أي</v>
      </c>
      <c r="L527" s="133"/>
      <c r="M527" s="133"/>
      <c r="N527" s="133"/>
      <c r="O527" s="133"/>
      <c r="P527" s="133"/>
      <c r="Q527" s="133"/>
      <c r="R527" s="133"/>
      <c r="S527" s="133"/>
      <c r="T527" s="133"/>
      <c r="U527" s="133"/>
      <c r="V527" s="133"/>
      <c r="W527" s="133"/>
      <c r="X527" s="133"/>
      <c r="Y527" s="133"/>
      <c r="Z527" s="133"/>
    </row>
    <row r="528">
      <c r="A528" s="133">
        <f>IFERROR(__xludf.DUMMYFUNCTION("""COMPUTED_VALUE"""),527.0)</f>
        <v>527</v>
      </c>
      <c r="B528" s="133" t="str">
        <f>IFERROR(__xludf.DUMMYFUNCTION("""COMPUTED_VALUE"""),"C580")</f>
        <v>C580</v>
      </c>
      <c r="C528" s="133" t="str">
        <f>IFERROR(__xludf.DUMMYFUNCTION("""COMPUTED_VALUE"""),"P-1-N-280121-394")</f>
        <v>P-1-N-280121-394</v>
      </c>
      <c r="D528" s="133"/>
      <c r="E528" s="133" t="str">
        <f>IFERROR(__xludf.DUMMYFUNCTION("""COMPUTED_VALUE"""),"تمت طباعة الشهادة")</f>
        <v>تمت طباعة الشهادة</v>
      </c>
      <c r="F528" s="133" t="str">
        <f>IFERROR(__xludf.DUMMYFUNCTION("""COMPUTED_VALUE"""),"Chicken and Rice in Chicken Broth 100g")</f>
        <v>Chicken and Rice in Chicken Broth 100g</v>
      </c>
      <c r="G528" s="133" t="str">
        <f>IFERROR(__xludf.DUMMYFUNCTION("""COMPUTED_VALUE"""),"الدجاج والأرز في مرق الدجاج 100 جرام")</f>
        <v>الدجاج والأرز في مرق الدجاج 100 جرام</v>
      </c>
      <c r="H528" s="133" t="str">
        <f>IFERROR(__xludf.DUMMYFUNCTION("""COMPUTED_VALUE"""),"MAFE2021297")</f>
        <v>MAFE2021297</v>
      </c>
      <c r="I528" s="133"/>
      <c r="J528" s="133"/>
      <c r="K528" s="133" t="str">
        <f>IFERROR(__xludf.DUMMYFUNCTION("""COMPUTED_VALUE"""),"أغراس")</f>
        <v>أغراس</v>
      </c>
      <c r="L528" s="142" t="str">
        <f>IFERROR(__xludf.DUMMYFUNCTION("""COMPUTED_VALUE"""),"C580")</f>
        <v>C580</v>
      </c>
      <c r="M528" s="133"/>
      <c r="N528" s="133"/>
      <c r="O528" s="133"/>
      <c r="P528" s="133"/>
      <c r="Q528" s="133"/>
      <c r="R528" s="133"/>
      <c r="S528" s="133"/>
      <c r="T528" s="133"/>
      <c r="U528" s="133"/>
      <c r="V528" s="133"/>
      <c r="W528" s="133"/>
      <c r="X528" s="133"/>
      <c r="Y528" s="133"/>
      <c r="Z528" s="133"/>
    </row>
    <row r="529">
      <c r="A529" s="133">
        <f>IFERROR(__xludf.DUMMYFUNCTION("""COMPUTED_VALUE"""),528.0)</f>
        <v>528</v>
      </c>
      <c r="B529" s="133" t="str">
        <f>IFERROR(__xludf.DUMMYFUNCTION("""COMPUTED_VALUE"""),"C581")</f>
        <v>C581</v>
      </c>
      <c r="C529" s="133" t="str">
        <f>IFERROR(__xludf.DUMMYFUNCTION("""COMPUTED_VALUE"""),"P-1-N-280121-395")</f>
        <v>P-1-N-280121-395</v>
      </c>
      <c r="D529" s="133"/>
      <c r="E529" s="133" t="str">
        <f>IFERROR(__xludf.DUMMYFUNCTION("""COMPUTED_VALUE"""),"تمت طباعة الشهادة")</f>
        <v>تمت طباعة الشهادة</v>
      </c>
      <c r="F529" s="133" t="str">
        <f>IFERROR(__xludf.DUMMYFUNCTION("""COMPUTED_VALUE"""),"Tuna White Meat, Seabream and Rice in Fish Broth 100g")</f>
        <v>Tuna White Meat, Seabream and Rice in Fish Broth 100g</v>
      </c>
      <c r="G529" s="133" t="str">
        <f>IFERROR(__xludf.DUMMYFUNCTION("""COMPUTED_VALUE"""),"تونة بيضاء ، لحم دنيس والأرز في مرق السمك 100 جرام")</f>
        <v>تونة بيضاء ، لحم دنيس والأرز في مرق السمك 100 جرام</v>
      </c>
      <c r="H529" s="133" t="str">
        <f>IFERROR(__xludf.DUMMYFUNCTION("""COMPUTED_VALUE"""),"MAFE2021296")</f>
        <v>MAFE2021296</v>
      </c>
      <c r="I529" s="133"/>
      <c r="J529" s="133"/>
      <c r="K529" s="133" t="str">
        <f>IFERROR(__xludf.DUMMYFUNCTION("""COMPUTED_VALUE"""),"أغراس ديليتش اس بي أي")</f>
        <v>أغراس ديليتش اس بي أي</v>
      </c>
      <c r="L529" s="142" t="str">
        <f>IFERROR(__xludf.DUMMYFUNCTION("""COMPUTED_VALUE"""),"C581")</f>
        <v>C581</v>
      </c>
      <c r="M529" s="133"/>
      <c r="N529" s="133"/>
      <c r="O529" s="133"/>
      <c r="P529" s="133"/>
      <c r="Q529" s="133"/>
      <c r="R529" s="133"/>
      <c r="S529" s="133"/>
      <c r="T529" s="133"/>
      <c r="U529" s="133"/>
      <c r="V529" s="133"/>
      <c r="W529" s="133"/>
      <c r="X529" s="133"/>
      <c r="Y529" s="133"/>
      <c r="Z529" s="133"/>
    </row>
    <row r="530">
      <c r="A530" s="133">
        <f>IFERROR(__xludf.DUMMYFUNCTION("""COMPUTED_VALUE"""),529.0)</f>
        <v>529</v>
      </c>
      <c r="B530" s="133" t="str">
        <f>IFERROR(__xludf.DUMMYFUNCTION("""COMPUTED_VALUE"""),"C582")</f>
        <v>C582</v>
      </c>
      <c r="C530" s="133" t="str">
        <f>IFERROR(__xludf.DUMMYFUNCTION("""COMPUTED_VALUE"""),"P-1-N-280121-396")</f>
        <v>P-1-N-280121-396</v>
      </c>
      <c r="D530" s="133"/>
      <c r="E530" s="133" t="str">
        <f>IFERROR(__xludf.DUMMYFUNCTION("""COMPUTED_VALUE"""),"تمت طباعة الشهادة")</f>
        <v>تمت طباعة الشهادة</v>
      </c>
      <c r="F530" s="133" t="str">
        <f>IFERROR(__xludf.DUMMYFUNCTION("""COMPUTED_VALUE"""),"Tuna Whole Meat with Salmon and Rice in Soft Jelly 100g")</f>
        <v>Tuna Whole Meat with Salmon and Rice in Soft Jelly 100g</v>
      </c>
      <c r="G530" s="133" t="str">
        <f>IFERROR(__xludf.DUMMYFUNCTION("""COMPUTED_VALUE"""),"لحم")</f>
        <v>لحم</v>
      </c>
      <c r="H530" s="133" t="str">
        <f>IFERROR(__xludf.DUMMYFUNCTION("""COMPUTED_VALUE"""),"MAFE2021295")</f>
        <v>MAFE2021295</v>
      </c>
      <c r="I530" s="133"/>
      <c r="J530" s="133"/>
      <c r="K530" s="133" t="str">
        <f>IFERROR(__xludf.DUMMYFUNCTION("""COMPUTED_VALUE"""),"أغراس ديليتش اس بي أي")</f>
        <v>أغراس ديليتش اس بي أي</v>
      </c>
      <c r="L530" s="142" t="str">
        <f>IFERROR(__xludf.DUMMYFUNCTION("""COMPUTED_VALUE"""),"C582")</f>
        <v>C582</v>
      </c>
      <c r="M530" s="133"/>
      <c r="N530" s="133"/>
      <c r="O530" s="133"/>
      <c r="P530" s="133"/>
      <c r="Q530" s="133"/>
      <c r="R530" s="133"/>
      <c r="S530" s="133"/>
      <c r="T530" s="133"/>
      <c r="U530" s="133"/>
      <c r="V530" s="133"/>
      <c r="W530" s="133"/>
      <c r="X530" s="133"/>
      <c r="Y530" s="133"/>
      <c r="Z530" s="133"/>
    </row>
    <row r="531">
      <c r="A531" s="133">
        <f>IFERROR(__xludf.DUMMYFUNCTION("""COMPUTED_VALUE"""),530.0)</f>
        <v>530</v>
      </c>
      <c r="B531" s="133" t="str">
        <f>IFERROR(__xludf.DUMMYFUNCTION("""COMPUTED_VALUE"""),"C688")</f>
        <v>C688</v>
      </c>
      <c r="C531" s="133" t="str">
        <f>IFERROR(__xludf.DUMMYFUNCTION("""COMPUTED_VALUE"""),"P-1-N-280121-397")</f>
        <v>P-1-N-280121-397</v>
      </c>
      <c r="D531" s="133"/>
      <c r="E531" s="133" t="str">
        <f>IFERROR(__xludf.DUMMYFUNCTION("""COMPUTED_VALUE"""),"REJECTED")</f>
        <v>REJECTED</v>
      </c>
      <c r="F531" s="133" t="str">
        <f>IFERROR(__xludf.DUMMYFUNCTION("""COMPUTED_VALUE"""),"Tuna Whole Meat with Aloe and Rice in Gel 150g")</f>
        <v>Tuna Whole Meat with Aloe and Rice in Gel 150g</v>
      </c>
      <c r="G531" s="133" t="str">
        <f>IFERROR(__xludf.DUMMYFUNCTION("""COMPUTED_VALUE"""),"لحم تونة كامل مع الصبار والأرز في الجلي 150 جم")</f>
        <v>لحم تونة كامل مع الصبار والأرز في الجلي 150 جم</v>
      </c>
      <c r="H531" s="133"/>
      <c r="I531" s="133"/>
      <c r="J531" s="133"/>
      <c r="K531" s="133" t="str">
        <f>IFERROR(__xludf.DUMMYFUNCTION("""COMPUTED_VALUE"""),"ساوث ايست الاسيوية للتغليف والتعليب المحدودة")</f>
        <v>ساوث ايست الاسيوية للتغليف والتعليب المحدودة</v>
      </c>
      <c r="L531" s="142" t="str">
        <f>IFERROR(__xludf.DUMMYFUNCTION("""COMPUTED_VALUE"""),"C688")</f>
        <v>C688</v>
      </c>
      <c r="M531" s="133"/>
      <c r="N531" s="133"/>
      <c r="O531" s="133"/>
      <c r="P531" s="133"/>
      <c r="Q531" s="133"/>
      <c r="R531" s="133"/>
      <c r="S531" s="133"/>
      <c r="T531" s="133"/>
      <c r="U531" s="133"/>
      <c r="V531" s="133"/>
      <c r="W531" s="133"/>
      <c r="X531" s="133"/>
      <c r="Y531" s="133"/>
      <c r="Z531" s="133"/>
    </row>
    <row r="532">
      <c r="A532" s="133">
        <f>IFERROR(__xludf.DUMMYFUNCTION("""COMPUTED_VALUE"""),531.0)</f>
        <v>531</v>
      </c>
      <c r="B532" s="133" t="str">
        <f>IFERROR(__xludf.DUMMYFUNCTION("""COMPUTED_VALUE"""),"C689")</f>
        <v>C689</v>
      </c>
      <c r="C532" s="133" t="str">
        <f>IFERROR(__xludf.DUMMYFUNCTION("""COMPUTED_VALUE"""),"P-1-N-280121-398")</f>
        <v>P-1-N-280121-398</v>
      </c>
      <c r="D532" s="133"/>
      <c r="E532" s="133" t="str">
        <f>IFERROR(__xludf.DUMMYFUNCTION("""COMPUTED_VALUE"""),"REJECTED")</f>
        <v>REJECTED</v>
      </c>
      <c r="F532" s="133" t="str">
        <f>IFERROR(__xludf.DUMMYFUNCTION("""COMPUTED_VALUE"""),"Chicken with Aloe and Rice in Jelly 150g")</f>
        <v>Chicken with Aloe and Rice in Jelly 150g</v>
      </c>
      <c r="G532" s="133" t="str">
        <f>IFERROR(__xludf.DUMMYFUNCTION("""COMPUTED_VALUE"""),"دجاج بالصبار والأرز بالجلي 150 جم")</f>
        <v>دجاج بالصبار والأرز بالجلي 150 جم</v>
      </c>
      <c r="H532" s="133"/>
      <c r="I532" s="133"/>
      <c r="J532" s="133"/>
      <c r="K532" s="133" t="str">
        <f>IFERROR(__xludf.DUMMYFUNCTION("""COMPUTED_VALUE"""),"ساوث ايست الاسيوية للتغليف والتعليب المحدودة")</f>
        <v>ساوث ايست الاسيوية للتغليف والتعليب المحدودة</v>
      </c>
      <c r="L532" s="142" t="str">
        <f>IFERROR(__xludf.DUMMYFUNCTION("""COMPUTED_VALUE"""),"C689")</f>
        <v>C689</v>
      </c>
      <c r="M532" s="133"/>
      <c r="N532" s="133"/>
      <c r="O532" s="133"/>
      <c r="P532" s="133"/>
      <c r="Q532" s="133"/>
      <c r="R532" s="133"/>
      <c r="S532" s="133"/>
      <c r="T532" s="133"/>
      <c r="U532" s="133"/>
      <c r="V532" s="133"/>
      <c r="W532" s="133"/>
      <c r="X532" s="133"/>
      <c r="Y532" s="133"/>
      <c r="Z532" s="133"/>
    </row>
    <row r="533">
      <c r="A533" s="133">
        <f>IFERROR(__xludf.DUMMYFUNCTION("""COMPUTED_VALUE"""),532.0)</f>
        <v>532</v>
      </c>
      <c r="B533" s="133" t="str">
        <f>IFERROR(__xludf.DUMMYFUNCTION("""COMPUTED_VALUE"""),"C2731")</f>
        <v>C2731</v>
      </c>
      <c r="C533" s="133" t="str">
        <f>IFERROR(__xludf.DUMMYFUNCTION("""COMPUTED_VALUE"""),"P-1-N-280121-399")</f>
        <v>P-1-N-280121-399</v>
      </c>
      <c r="D533" s="133"/>
      <c r="E533" s="133" t="str">
        <f>IFERROR(__xludf.DUMMYFUNCTION("""COMPUTED_VALUE"""),"REJECTED")</f>
        <v>REJECTED</v>
      </c>
      <c r="F533" s="133" t="str">
        <f>IFERROR(__xludf.DUMMYFUNCTION("""COMPUTED_VALUE"""),"Chicken and Rice with Aloe in Gel 140g")</f>
        <v>Chicken and Rice with Aloe in Gel 140g</v>
      </c>
      <c r="G533" s="133" t="str">
        <f>IFERROR(__xludf.DUMMYFUNCTION("""COMPUTED_VALUE"""),"الدجاج و الارز مع الصبار بالجيلي 140 جم")</f>
        <v>الدجاج و الارز مع الصبار بالجيلي 140 جم</v>
      </c>
      <c r="H533" s="133"/>
      <c r="I533" s="133"/>
      <c r="J533" s="133"/>
      <c r="K533" s="133" t="str">
        <f>IFERROR(__xludf.DUMMYFUNCTION("""COMPUTED_VALUE"""),"ساوث ايست الاسيوية للتغليف والتعليب المحدودة")</f>
        <v>ساوث ايست الاسيوية للتغليف والتعليب المحدودة</v>
      </c>
      <c r="L533" s="142" t="str">
        <f>IFERROR(__xludf.DUMMYFUNCTION("""COMPUTED_VALUE"""),"C2731")</f>
        <v>C2731</v>
      </c>
      <c r="M533" s="133"/>
      <c r="N533" s="133"/>
      <c r="O533" s="133"/>
      <c r="P533" s="133"/>
      <c r="Q533" s="133"/>
      <c r="R533" s="133"/>
      <c r="S533" s="133"/>
      <c r="T533" s="133"/>
      <c r="U533" s="133"/>
      <c r="V533" s="133"/>
      <c r="W533" s="133"/>
      <c r="X533" s="133"/>
      <c r="Y533" s="133"/>
      <c r="Z533" s="133"/>
    </row>
    <row r="534">
      <c r="A534" s="133">
        <f>IFERROR(__xludf.DUMMYFUNCTION("""COMPUTED_VALUE"""),533.0)</f>
        <v>533</v>
      </c>
      <c r="B534" s="133" t="str">
        <f>IFERROR(__xludf.DUMMYFUNCTION("""COMPUTED_VALUE"""),"C2730")</f>
        <v>C2730</v>
      </c>
      <c r="C534" s="133" t="str">
        <f>IFERROR(__xludf.DUMMYFUNCTION("""COMPUTED_VALUE"""),"P-1-N-280121-400")</f>
        <v>P-1-N-280121-400</v>
      </c>
      <c r="D534" s="133"/>
      <c r="E534" s="133" t="str">
        <f>IFERROR(__xludf.DUMMYFUNCTION("""COMPUTED_VALUE"""),"REJECTED")</f>
        <v>REJECTED</v>
      </c>
      <c r="F534" s="133" t="str">
        <f>IFERROR(__xludf.DUMMYFUNCTION("""COMPUTED_VALUE"""),"Tuna with Aloe Kitten 140g")</f>
        <v>Tuna with Aloe Kitten 140g</v>
      </c>
      <c r="G534" s="133" t="str">
        <f>IFERROR(__xludf.DUMMYFUNCTION("""COMPUTED_VALUE"""),"تونة مع الصبار للقطط الصغيرة 140 جم")</f>
        <v>تونة مع الصبار للقطط الصغيرة 140 جم</v>
      </c>
      <c r="H534" s="133"/>
      <c r="I534" s="133"/>
      <c r="J534" s="133"/>
      <c r="K534" s="133" t="str">
        <f>IFERROR(__xludf.DUMMYFUNCTION("""COMPUTED_VALUE"""),"ساوث ايست الاسيوية للتغليف والتعليب المحدودة")</f>
        <v>ساوث ايست الاسيوية للتغليف والتعليب المحدودة</v>
      </c>
      <c r="L534" s="142" t="str">
        <f>IFERROR(__xludf.DUMMYFUNCTION("""COMPUTED_VALUE"""),"C2730")</f>
        <v>C2730</v>
      </c>
      <c r="M534" s="133"/>
      <c r="N534" s="133"/>
      <c r="O534" s="133"/>
      <c r="P534" s="133"/>
      <c r="Q534" s="133"/>
      <c r="R534" s="133"/>
      <c r="S534" s="133"/>
      <c r="T534" s="133"/>
      <c r="U534" s="133"/>
      <c r="V534" s="133"/>
      <c r="W534" s="133"/>
      <c r="X534" s="133"/>
      <c r="Y534" s="133"/>
      <c r="Z534" s="133"/>
    </row>
    <row r="535">
      <c r="A535" s="133">
        <f>IFERROR(__xludf.DUMMYFUNCTION("""COMPUTED_VALUE"""),534.0)</f>
        <v>534</v>
      </c>
      <c r="B535" s="133"/>
      <c r="C535" s="133" t="str">
        <f>IFERROR(__xludf.DUMMYFUNCTION("""COMPUTED_VALUE"""),"P-1-N-310121-422")</f>
        <v>P-1-N-310121-422</v>
      </c>
      <c r="D535" s="133"/>
      <c r="E535" s="133" t="str">
        <f>IFERROR(__xludf.DUMMYFUNCTION("""COMPUTED_VALUE"""),"REJECTED")</f>
        <v>REJECTED</v>
      </c>
      <c r="F535" s="133" t="str">
        <f>IFERROR(__xludf.DUMMYFUNCTION("""COMPUTED_VALUE"""),"Dog Tin Beef Steak 156g")</f>
        <v>Dog Tin Beef Steak 156g</v>
      </c>
      <c r="G535" s="133" t="str">
        <f>IFERROR(__xludf.DUMMYFUNCTION("""COMPUTED_VALUE"""),"علبة ستيك لحم بقري للكلاب 156 جم")</f>
        <v>علبة ستيك لحم بقري للكلاب 156 جم</v>
      </c>
      <c r="H535" s="133"/>
      <c r="I535" s="133"/>
      <c r="J535" s="133"/>
      <c r="K535" s="133" t="str">
        <f>IFERROR(__xludf.DUMMYFUNCTION("""COMPUTED_VALUE"""),"أم بي أم برودكتس ليمتد")</f>
        <v>أم بي أم برودكتس ليمتد</v>
      </c>
      <c r="L535" s="133"/>
      <c r="M535" s="133"/>
      <c r="N535" s="133"/>
      <c r="O535" s="133"/>
      <c r="P535" s="133"/>
      <c r="Q535" s="133"/>
      <c r="R535" s="133"/>
      <c r="S535" s="133"/>
      <c r="T535" s="133"/>
      <c r="U535" s="133"/>
      <c r="V535" s="133"/>
      <c r="W535" s="133"/>
      <c r="X535" s="133"/>
      <c r="Y535" s="133"/>
      <c r="Z535" s="133"/>
    </row>
    <row r="536">
      <c r="A536" s="133">
        <f>IFERROR(__xludf.DUMMYFUNCTION("""COMPUTED_VALUE"""),535.0)</f>
        <v>535</v>
      </c>
      <c r="B536" s="133"/>
      <c r="C536" s="133" t="str">
        <f>IFERROR(__xludf.DUMMYFUNCTION("""COMPUTED_VALUE"""),"P-1-N-310121-423")</f>
        <v>P-1-N-310121-423</v>
      </c>
      <c r="D536" s="133"/>
      <c r="E536" s="133" t="str">
        <f>IFERROR(__xludf.DUMMYFUNCTION("""COMPUTED_VALUE"""),"REJECTED")</f>
        <v>REJECTED</v>
      </c>
      <c r="F536" s="133" t="str">
        <f>IFERROR(__xludf.DUMMYFUNCTION("""COMPUTED_VALUE"""),"Dog Tin Beef Steak with Potato 156g")</f>
        <v>Dog Tin Beef Steak with Potato 156g</v>
      </c>
      <c r="G536" s="133" t="str">
        <f>IFERROR(__xludf.DUMMYFUNCTION("""COMPUTED_VALUE"""),"علبة ستيك لحم بقري مع البطاطس للكلاب 156 جم")</f>
        <v>علبة ستيك لحم بقري مع البطاطس للكلاب 156 جم</v>
      </c>
      <c r="H536" s="133"/>
      <c r="I536" s="133"/>
      <c r="J536" s="133"/>
      <c r="K536" s="133" t="str">
        <f>IFERROR(__xludf.DUMMYFUNCTION("""COMPUTED_VALUE"""),"أم بي أم برودكتس ليمتد")</f>
        <v>أم بي أم برودكتس ليمتد</v>
      </c>
      <c r="L536" s="133"/>
      <c r="M536" s="133"/>
      <c r="N536" s="133"/>
      <c r="O536" s="133"/>
      <c r="P536" s="133"/>
      <c r="Q536" s="133"/>
      <c r="R536" s="133"/>
      <c r="S536" s="133"/>
      <c r="T536" s="133"/>
      <c r="U536" s="133"/>
      <c r="V536" s="133"/>
      <c r="W536" s="133"/>
      <c r="X536" s="133"/>
      <c r="Y536" s="133"/>
      <c r="Z536" s="133"/>
    </row>
    <row r="537">
      <c r="A537" s="133">
        <f>IFERROR(__xludf.DUMMYFUNCTION("""COMPUTED_VALUE"""),536.0)</f>
        <v>536</v>
      </c>
      <c r="B537" s="133"/>
      <c r="C537" s="133" t="str">
        <f>IFERROR(__xludf.DUMMYFUNCTION("""COMPUTED_VALUE"""),"P-1-N-310121-424")</f>
        <v>P-1-N-310121-424</v>
      </c>
      <c r="D537" s="133"/>
      <c r="E537" s="133" t="str">
        <f>IFERROR(__xludf.DUMMYFUNCTION("""COMPUTED_VALUE"""),"REJECTED")</f>
        <v>REJECTED</v>
      </c>
      <c r="F537" s="133">
        <f>IFERROR(__xludf.DUMMYFUNCTION("""COMPUTED_VALUE"""),0.0)</f>
        <v>0</v>
      </c>
      <c r="G537" s="133" t="str">
        <f>IFERROR(__xludf.DUMMYFUNCTION("""COMPUTED_VALUE"""),"علبة لحم بقري مع الخضروات للكلاب 156 جم")</f>
        <v>علبة لحم بقري مع الخضروات للكلاب 156 جم</v>
      </c>
      <c r="H537" s="133"/>
      <c r="I537" s="133"/>
      <c r="J537" s="133"/>
      <c r="K537" s="133" t="str">
        <f>IFERROR(__xludf.DUMMYFUNCTION("""COMPUTED_VALUE"""),"أم بي أم برودكتس ليمتد")</f>
        <v>أم بي أم برودكتس ليمتد</v>
      </c>
      <c r="L537" s="133"/>
      <c r="M537" s="133"/>
      <c r="N537" s="133"/>
      <c r="O537" s="133"/>
      <c r="P537" s="133"/>
      <c r="Q537" s="133"/>
      <c r="R537" s="133"/>
      <c r="S537" s="133"/>
      <c r="T537" s="133"/>
      <c r="U537" s="133"/>
      <c r="V537" s="133"/>
      <c r="W537" s="133"/>
      <c r="X537" s="133"/>
      <c r="Y537" s="133"/>
      <c r="Z537" s="133"/>
    </row>
    <row r="538">
      <c r="A538" s="133">
        <f>IFERROR(__xludf.DUMMYFUNCTION("""COMPUTED_VALUE"""),537.0)</f>
        <v>537</v>
      </c>
      <c r="B538" s="133"/>
      <c r="C538" s="133" t="str">
        <f>IFERROR(__xludf.DUMMYFUNCTION("""COMPUTED_VALUE"""),"P-1-N-020221-461")</f>
        <v>P-1-N-020221-461</v>
      </c>
      <c r="D538" s="133"/>
      <c r="E538" s="133" t="str">
        <f>IFERROR(__xludf.DUMMYFUNCTION("""COMPUTED_VALUE"""),"REJECTED")</f>
        <v>REJECTED</v>
      </c>
      <c r="F538" s="133" t="str">
        <f>IFERROR(__xludf.DUMMYFUNCTION("""COMPUTED_VALUE"""),"Canned Petfood Tuna &amp; Crab ")</f>
        <v>Canned Petfood Tuna &amp; Crab </v>
      </c>
      <c r="G538" s="133" t="str">
        <f>IFERROR(__xludf.DUMMYFUNCTION("""COMPUTED_VALUE"""),"أغذية الحيوانات الأليفة المعلبة تونة وكابوريا 400 جم")</f>
        <v>أغذية الحيوانات الأليفة المعلبة تونة وكابوريا 400 جم</v>
      </c>
      <c r="H538" s="133"/>
      <c r="I538" s="133"/>
      <c r="J538" s="133"/>
      <c r="K538" s="133" t="str">
        <f>IFERROR(__xludf.DUMMYFUNCTION("""COMPUTED_VALUE"""),"كت")</f>
        <v>كت</v>
      </c>
      <c r="L538" s="133"/>
      <c r="M538" s="133"/>
      <c r="N538" s="133"/>
      <c r="O538" s="133"/>
      <c r="P538" s="133"/>
      <c r="Q538" s="133"/>
      <c r="R538" s="133"/>
      <c r="S538" s="133"/>
      <c r="T538" s="133"/>
      <c r="U538" s="133"/>
      <c r="V538" s="133"/>
      <c r="W538" s="133"/>
      <c r="X538" s="133"/>
      <c r="Y538" s="133"/>
      <c r="Z538" s="133"/>
    </row>
    <row r="539">
      <c r="A539" s="133">
        <f>IFERROR(__xludf.DUMMYFUNCTION("""COMPUTED_VALUE"""),538.0)</f>
        <v>538</v>
      </c>
      <c r="B539" s="133"/>
      <c r="C539" s="133" t="str">
        <f>IFERROR(__xludf.DUMMYFUNCTION("""COMPUTED_VALUE"""),"P-1-N-020221-463")</f>
        <v>P-1-N-020221-463</v>
      </c>
      <c r="D539" s="133"/>
      <c r="E539" s="133" t="str">
        <f>IFERROR(__xludf.DUMMYFUNCTION("""COMPUTED_VALUE"""),"REJECTED")</f>
        <v>REJECTED</v>
      </c>
      <c r="F539" s="133" t="str">
        <f>IFERROR(__xludf.DUMMYFUNCTION("""COMPUTED_VALUE"""),"Canned Petfood Tuna &amp; Mackerel ")</f>
        <v>Canned Petfood Tuna &amp; Mackerel </v>
      </c>
      <c r="G539" s="133" t="str">
        <f>IFERROR(__xludf.DUMMYFUNCTION("""COMPUTED_VALUE"""),"أغذية الحيوانات الأليفة المعلبة تونة والماكريل 400 جم")</f>
        <v>أغذية الحيوانات الأليفة المعلبة تونة والماكريل 400 جم</v>
      </c>
      <c r="H539" s="133"/>
      <c r="I539" s="133"/>
      <c r="J539" s="133"/>
      <c r="K539" s="133" t="str">
        <f>IFERROR(__xludf.DUMMYFUNCTION("""COMPUTED_VALUE"""),"كت كات انترناشونال بي تي إي ليمتيد")</f>
        <v>كت كات انترناشونال بي تي إي ليمتيد</v>
      </c>
      <c r="L539" s="133"/>
      <c r="M539" s="133"/>
      <c r="N539" s="133"/>
      <c r="O539" s="133"/>
      <c r="P539" s="133"/>
      <c r="Q539" s="133"/>
      <c r="R539" s="133"/>
      <c r="S539" s="133"/>
      <c r="T539" s="133"/>
      <c r="U539" s="133"/>
      <c r="V539" s="133"/>
      <c r="W539" s="133"/>
      <c r="X539" s="133"/>
      <c r="Y539" s="133"/>
      <c r="Z539" s="133"/>
    </row>
    <row r="540">
      <c r="A540" s="133">
        <f>IFERROR(__xludf.DUMMYFUNCTION("""COMPUTED_VALUE"""),539.0)</f>
        <v>539</v>
      </c>
      <c r="B540" s="133"/>
      <c r="C540" s="133" t="str">
        <f>IFERROR(__xludf.DUMMYFUNCTION("""COMPUTED_VALUE"""),"P-1-N-020221-464")</f>
        <v>P-1-N-020221-464</v>
      </c>
      <c r="D540" s="133"/>
      <c r="E540" s="133" t="str">
        <f>IFERROR(__xludf.DUMMYFUNCTION("""COMPUTED_VALUE"""),"REJECTED")</f>
        <v>REJECTED</v>
      </c>
      <c r="F540" s="133" t="str">
        <f>IFERROR(__xludf.DUMMYFUNCTION("""COMPUTED_VALUE"""),"Canned Petfood Tuna &amp; Prawn ")</f>
        <v>Canned Petfood Tuna &amp; Prawn </v>
      </c>
      <c r="G540" s="133" t="str">
        <f>IFERROR(__xludf.DUMMYFUNCTION("""COMPUTED_VALUE"""),"أغذية")</f>
        <v>أغذية</v>
      </c>
      <c r="H540" s="133"/>
      <c r="I540" s="133"/>
      <c r="J540" s="133"/>
      <c r="K540" s="133" t="str">
        <f>IFERROR(__xludf.DUMMYFUNCTION("""COMPUTED_VALUE"""),"كت كات انترناشونال بي تي إي ليمتيد")</f>
        <v>كت كات انترناشونال بي تي إي ليمتيد</v>
      </c>
      <c r="L540" s="133"/>
      <c r="M540" s="133"/>
      <c r="N540" s="133"/>
      <c r="O540" s="133"/>
      <c r="P540" s="133"/>
      <c r="Q540" s="133"/>
      <c r="R540" s="133"/>
      <c r="S540" s="133"/>
      <c r="T540" s="133"/>
      <c r="U540" s="133"/>
      <c r="V540" s="133"/>
      <c r="W540" s="133"/>
      <c r="X540" s="133"/>
      <c r="Y540" s="133"/>
      <c r="Z540" s="133"/>
    </row>
    <row r="541">
      <c r="A541" s="133">
        <f>IFERROR(__xludf.DUMMYFUNCTION("""COMPUTED_VALUE"""),540.0)</f>
        <v>540</v>
      </c>
      <c r="B541" s="133"/>
      <c r="C541" s="133" t="str">
        <f>IFERROR(__xludf.DUMMYFUNCTION("""COMPUTED_VALUE"""),"P-1-N-020221-465")</f>
        <v>P-1-N-020221-465</v>
      </c>
      <c r="D541" s="133"/>
      <c r="E541" s="133" t="str">
        <f>IFERROR(__xludf.DUMMYFUNCTION("""COMPUTED_VALUE"""),"رفض التس")</f>
        <v>رفض التس</v>
      </c>
      <c r="F541" s="133" t="str">
        <f>IFERROR(__xludf.DUMMYFUNCTION("""COMPUTED_VALUE"""),"Canned Petfood Tuna &amp; Katsuobushi ")</f>
        <v>Canned Petfood Tuna &amp; Katsuobushi </v>
      </c>
      <c r="G541" s="133" t="str">
        <f>IFERROR(__xludf.DUMMYFUNCTION("""COMPUTED_VALUE"""),"أغذية الحيوانات الأليفة المعلبة تونة وكاتسوبوشي 400 جم")</f>
        <v>أغذية الحيوانات الأليفة المعلبة تونة وكاتسوبوشي 400 جم</v>
      </c>
      <c r="H541" s="133"/>
      <c r="I541" s="133"/>
      <c r="J541" s="133"/>
      <c r="K541" s="133" t="str">
        <f>IFERROR(__xludf.DUMMYFUNCTION("""COMPUTED_VALUE"""),"كت كات انترناشونال بي تي إي ليمتيد")</f>
        <v>كت كات انترناشونال بي تي إي ليمتيد</v>
      </c>
      <c r="L541" s="133"/>
      <c r="M541" s="133"/>
      <c r="N541" s="133"/>
      <c r="O541" s="133"/>
      <c r="P541" s="133"/>
      <c r="Q541" s="133"/>
      <c r="R541" s="133"/>
      <c r="S541" s="133"/>
      <c r="T541" s="133"/>
      <c r="U541" s="133"/>
      <c r="V541" s="133"/>
      <c r="W541" s="133"/>
      <c r="X541" s="133"/>
      <c r="Y541" s="133"/>
      <c r="Z541" s="133"/>
    </row>
    <row r="542">
      <c r="A542" s="133">
        <f>IFERROR(__xludf.DUMMYFUNCTION("""COMPUTED_VALUE"""),541.0)</f>
        <v>541</v>
      </c>
      <c r="B542" s="133"/>
      <c r="C542" s="133" t="str">
        <f>IFERROR(__xludf.DUMMYFUNCTION("""COMPUTED_VALUE"""),"P-1-N-020221-466")</f>
        <v>P-1-N-020221-466</v>
      </c>
      <c r="D542" s="133"/>
      <c r="E542" s="133" t="str">
        <f>IFERROR(__xludf.DUMMYFUNCTION("""COMPUTED_VALUE"""),"REJECTED")</f>
        <v>REJECTED</v>
      </c>
      <c r="F542" s="133" t="str">
        <f>IFERROR(__xludf.DUMMYFUNCTION("""COMPUTED_VALUE"""),"Canned Petfood Tuna &amp; Whitebait ")</f>
        <v>Canned Petfood Tuna &amp; Whitebait </v>
      </c>
      <c r="G542" s="133" t="str">
        <f>IFERROR(__xludf.DUMMYFUNCTION("""COMPUTED_VALUE"""),"أغذية الحيوانات الأليفة المعلبة تونة وسمك وايتبيت 400 جم")</f>
        <v>أغذية الحيوانات الأليفة المعلبة تونة وسمك وايتبيت 400 جم</v>
      </c>
      <c r="H542" s="133"/>
      <c r="I542" s="133"/>
      <c r="J542" s="133"/>
      <c r="K542" s="133" t="str">
        <f>IFERROR(__xludf.DUMMYFUNCTION("""COMPUTED_VALUE"""),"كت كات انترناشونال بي تي إي ليمتيد")</f>
        <v>كت كات انترناشونال بي تي إي ليمتيد</v>
      </c>
      <c r="L542" s="133"/>
      <c r="M542" s="133"/>
      <c r="N542" s="133"/>
      <c r="O542" s="133"/>
      <c r="P542" s="133"/>
      <c r="Q542" s="133"/>
      <c r="R542" s="133"/>
      <c r="S542" s="133"/>
      <c r="T542" s="133"/>
      <c r="U542" s="133"/>
      <c r="V542" s="133"/>
      <c r="W542" s="133"/>
      <c r="X542" s="133"/>
      <c r="Y542" s="133"/>
      <c r="Z542" s="133"/>
    </row>
    <row r="543">
      <c r="A543" s="133">
        <f>IFERROR(__xludf.DUMMYFUNCTION("""COMPUTED_VALUE"""),542.0)</f>
        <v>542</v>
      </c>
      <c r="B543" s="133"/>
      <c r="C543" s="133" t="str">
        <f>IFERROR(__xludf.DUMMYFUNCTION("""COMPUTED_VALUE"""),"P-1-N-020221-471")</f>
        <v>P-1-N-020221-471</v>
      </c>
      <c r="D543" s="133"/>
      <c r="E543" s="133" t="str">
        <f>IFERROR(__xludf.DUMMYFUNCTION("""COMPUTED_VALUE"""),"REJECTED")</f>
        <v>REJECTED</v>
      </c>
      <c r="F543" s="133" t="str">
        <f>IFERROR(__xludf.DUMMYFUNCTION("""COMPUTED_VALUE"""),"Canned Petfood Mousse with Tuna 80g")</f>
        <v>Canned Petfood Mousse with Tuna 80g</v>
      </c>
      <c r="G543" s="133" t="str">
        <f>IFERROR(__xludf.DUMMYFUNCTION("""COMPUTED_VALUE"""),"أغذية الحيوانات الأليفة المعلبة موس بالتونة 80 جم")</f>
        <v>أغذية الحيوانات الأليفة المعلبة موس بالتونة 80 جم</v>
      </c>
      <c r="H543" s="133"/>
      <c r="I543" s="133"/>
      <c r="J543" s="133"/>
      <c r="K543" s="133" t="str">
        <f>IFERROR(__xludf.DUMMYFUNCTION("""COMPUTED_VALUE"""),"كت كات انترناشونال بي تي إي ليمتيد")</f>
        <v>كت كات انترناشونال بي تي إي ليمتيد</v>
      </c>
      <c r="L543" s="133"/>
      <c r="M543" s="133"/>
      <c r="N543" s="133"/>
      <c r="O543" s="133"/>
      <c r="P543" s="133"/>
      <c r="Q543" s="133"/>
      <c r="R543" s="133"/>
      <c r="S543" s="133"/>
      <c r="T543" s="133"/>
      <c r="U543" s="133"/>
      <c r="V543" s="133"/>
      <c r="W543" s="133"/>
      <c r="X543" s="133"/>
      <c r="Y543" s="133"/>
      <c r="Z543" s="133"/>
    </row>
    <row r="544">
      <c r="A544" s="133">
        <f>IFERROR(__xludf.DUMMYFUNCTION("""COMPUTED_VALUE"""),543.0)</f>
        <v>543</v>
      </c>
      <c r="B544" s="133"/>
      <c r="C544" s="133" t="str">
        <f>IFERROR(__xludf.DUMMYFUNCTION("""COMPUTED_VALUE"""),"P-1-N-020221-472")</f>
        <v>P-1-N-020221-472</v>
      </c>
      <c r="D544" s="133"/>
      <c r="E544" s="133" t="str">
        <f>IFERROR(__xludf.DUMMYFUNCTION("""COMPUTED_VALUE"""),"REJECTED")</f>
        <v>REJECTED</v>
      </c>
      <c r="F544" s="133" t="str">
        <f>IFERROR(__xludf.DUMMYFUNCTION("""COMPUTED_VALUE"""),"Canned Petfood Mousse with Chicken 80g")</f>
        <v>Canned Petfood Mousse with Chicken 80g</v>
      </c>
      <c r="G544" s="133" t="str">
        <f>IFERROR(__xludf.DUMMYFUNCTION("""COMPUTED_VALUE"""),"أغذية الحيوانات الأليفة المعلبة موس بالدجاج 80 جم")</f>
        <v>أغذية الحيوانات الأليفة المعلبة موس بالدجاج 80 جم</v>
      </c>
      <c r="H544" s="133"/>
      <c r="I544" s="133"/>
      <c r="J544" s="133"/>
      <c r="K544" s="133" t="str">
        <f>IFERROR(__xludf.DUMMYFUNCTION("""COMPUTED_VALUE"""),"كت كات انترناشونال بي تي إي ليمتيد")</f>
        <v>كت كات انترناشونال بي تي إي ليمتيد</v>
      </c>
      <c r="L544" s="133"/>
      <c r="M544" s="133"/>
      <c r="N544" s="133"/>
      <c r="O544" s="133"/>
      <c r="P544" s="133"/>
      <c r="Q544" s="133"/>
      <c r="R544" s="133"/>
      <c r="S544" s="133"/>
      <c r="T544" s="133"/>
      <c r="U544" s="133"/>
      <c r="V544" s="133"/>
      <c r="W544" s="133"/>
      <c r="X544" s="133"/>
      <c r="Y544" s="133"/>
      <c r="Z544" s="133"/>
    </row>
    <row r="545">
      <c r="A545" s="133">
        <f>IFERROR(__xludf.DUMMYFUNCTION("""COMPUTED_VALUE"""),544.0)</f>
        <v>544</v>
      </c>
      <c r="B545" s="133"/>
      <c r="C545" s="133" t="str">
        <f>IFERROR(__xludf.DUMMYFUNCTION("""COMPUTED_VALUE"""),"P-1-N-020221-473")</f>
        <v>P-1-N-020221-473</v>
      </c>
      <c r="D545" s="133"/>
      <c r="E545" s="133" t="str">
        <f>IFERROR(__xludf.DUMMYFUNCTION("""COMPUTED_VALUE"""),"REJECTED")</f>
        <v>REJECTED</v>
      </c>
      <c r="F545" s="133" t="str">
        <f>IFERROR(__xludf.DUMMYFUNCTION("""COMPUTED_VALUE"""),"Canned Petfood Tuna Mousse &amp; Chicken Toppers 80g")</f>
        <v>Canned Petfood Tuna Mousse &amp; Chicken Toppers 80g</v>
      </c>
      <c r="G545" s="133" t="str">
        <f>IFERROR(__xludf.DUMMYFUNCTION("""COMPUTED_VALUE"""),"أغذية الحيوانات الأليفة المعلبة موس التونة و دجاج توبرز 80 جم")</f>
        <v>أغذية الحيوانات الأليفة المعلبة موس التونة و دجاج توبرز 80 جم</v>
      </c>
      <c r="H545" s="133"/>
      <c r="I545" s="133"/>
      <c r="J545" s="133"/>
      <c r="K545" s="133" t="str">
        <f>IFERROR(__xludf.DUMMYFUNCTION("""COMPUTED_VALUE"""),"كت كات انترناشونال بي تي إي ليمتيد")</f>
        <v>كت كات انترناشونال بي تي إي ليمتيد</v>
      </c>
      <c r="L545" s="133"/>
      <c r="M545" s="133"/>
      <c r="N545" s="133"/>
      <c r="O545" s="133"/>
      <c r="P545" s="133"/>
      <c r="Q545" s="133"/>
      <c r="R545" s="133"/>
      <c r="S545" s="133"/>
      <c r="T545" s="133"/>
      <c r="U545" s="133"/>
      <c r="V545" s="133"/>
      <c r="W545" s="133"/>
      <c r="X545" s="133"/>
      <c r="Y545" s="133"/>
      <c r="Z545" s="133"/>
    </row>
    <row r="546">
      <c r="A546" s="133">
        <f>IFERROR(__xludf.DUMMYFUNCTION("""COMPUTED_VALUE"""),545.0)</f>
        <v>545</v>
      </c>
      <c r="B546" s="133"/>
      <c r="C546" s="133" t="str">
        <f>IFERROR(__xludf.DUMMYFUNCTION("""COMPUTED_VALUE"""),"P-1-N-020221-474")</f>
        <v>P-1-N-020221-474</v>
      </c>
      <c r="D546" s="133"/>
      <c r="E546" s="133" t="str">
        <f>IFERROR(__xludf.DUMMYFUNCTION("""COMPUTED_VALUE"""),"REJECTED")</f>
        <v>REJECTED</v>
      </c>
      <c r="F546" s="133" t="str">
        <f>IFERROR(__xludf.DUMMYFUNCTION("""COMPUTED_VALUE"""),"Canned Petfood Chicken Mousse &amp; Tuna Toppers 80g")</f>
        <v>Canned Petfood Chicken Mousse &amp; Tuna Toppers 80g</v>
      </c>
      <c r="G546" s="133" t="str">
        <f>IFERROR(__xludf.DUMMYFUNCTION("""COMPUTED_VALUE"""),"أغذية الحيوانات الأليفة المعلبة موس الدجاج و تونة توبرز 80 جم")</f>
        <v>أغذية الحيوانات الأليفة المعلبة موس الدجاج و تونة توبرز 80 جم</v>
      </c>
      <c r="H546" s="133"/>
      <c r="I546" s="133"/>
      <c r="J546" s="133"/>
      <c r="K546" s="133" t="str">
        <f>IFERROR(__xludf.DUMMYFUNCTION("""COMPUTED_VALUE"""),"كت كات انترناشونال بي تي إي ليمتيد")</f>
        <v>كت كات انترناشونال بي تي إي ليمتيد</v>
      </c>
      <c r="L546" s="133"/>
      <c r="M546" s="133"/>
      <c r="N546" s="133"/>
      <c r="O546" s="133"/>
      <c r="P546" s="133"/>
      <c r="Q546" s="133"/>
      <c r="R546" s="133"/>
      <c r="S546" s="133"/>
      <c r="T546" s="133"/>
      <c r="U546" s="133"/>
      <c r="V546" s="133"/>
      <c r="W546" s="133"/>
      <c r="X546" s="133"/>
      <c r="Y546" s="133"/>
      <c r="Z546" s="133"/>
    </row>
    <row r="547">
      <c r="A547" s="133">
        <f>IFERROR(__xludf.DUMMYFUNCTION("""COMPUTED_VALUE"""),546.0)</f>
        <v>546</v>
      </c>
      <c r="B547" s="133"/>
      <c r="C547" s="133" t="str">
        <f>IFERROR(__xludf.DUMMYFUNCTION("""COMPUTED_VALUE"""),"P-1-N-080221-563")</f>
        <v>P-1-N-080221-563</v>
      </c>
      <c r="D547" s="133"/>
      <c r="E547" s="133" t="str">
        <f>IFERROR(__xludf.DUMMYFUNCTION("""COMPUTED_VALUE"""),"REJECTED")</f>
        <v>REJECTED</v>
      </c>
      <c r="F547" s="133">
        <f>IFERROR(__xludf.DUMMYFUNCTION("""COMPUTED_VALUE"""),0.0)</f>
        <v>0</v>
      </c>
      <c r="G547" s="133" t="str">
        <f>IFERROR(__xludf.DUMMYFUNCTION("""COMPUTED_VALUE"""),"فيت اي كيو 2 في 1 معجون العناية بالأسنان 70 جم")</f>
        <v>فيت اي كيو 2 في 1 معجون العناية بالأسنان 70 جم</v>
      </c>
      <c r="H547" s="133"/>
      <c r="I547" s="133"/>
      <c r="J547" s="133"/>
      <c r="K547" s="133" t="str">
        <f>IFERROR(__xludf.DUMMYFUNCTION("""COMPUTED_VALUE"""),"مارك اند شابل ليمتد")</f>
        <v>مارك اند شابل ليمتد</v>
      </c>
      <c r="L547" s="133"/>
      <c r="M547" s="133"/>
      <c r="N547" s="133"/>
      <c r="O547" s="133"/>
      <c r="P547" s="133"/>
      <c r="Q547" s="133"/>
      <c r="R547" s="133"/>
      <c r="S547" s="133"/>
      <c r="T547" s="133"/>
      <c r="U547" s="133"/>
      <c r="V547" s="133"/>
      <c r="W547" s="133"/>
      <c r="X547" s="133"/>
      <c r="Y547" s="133"/>
      <c r="Z547" s="133"/>
    </row>
    <row r="548">
      <c r="A548" s="133">
        <f>IFERROR(__xludf.DUMMYFUNCTION("""COMPUTED_VALUE"""),547.0)</f>
        <v>547</v>
      </c>
      <c r="B548" s="133" t="str">
        <f>IFERROR(__xludf.DUMMYFUNCTION("""COMPUTED_VALUE"""),"MC5597")</f>
        <v>MC5597</v>
      </c>
      <c r="C548" s="133" t="str">
        <f>IFERROR(__xludf.DUMMYFUNCTION("""COMPUTED_VALUE"""),"P-1-N-080221-564")</f>
        <v>P-1-N-080221-564</v>
      </c>
      <c r="D548" s="133"/>
      <c r="E548" s="133" t="str">
        <f>IFERROR(__xludf.DUMMYFUNCTION("""COMPUTED_VALUE"""),"REJECTED")</f>
        <v>REJECTED</v>
      </c>
      <c r="F548" s="133" t="str">
        <f>IFERROR(__xludf.DUMMYFUNCTION("""COMPUTED_VALUE"""),"VetIQ 2in1 Dental Care Liquid 250ml")</f>
        <v>VetIQ 2in1 Dental Care Liquid 250ml</v>
      </c>
      <c r="G548" s="133" t="str">
        <f>IFERROR(__xludf.DUMMYFUNCTION("""COMPUTED_VALUE"""),"فيت اي كيو 2 في 1 سائل العناية بالأسنان 250 مل")</f>
        <v>فيت اي كيو 2 في 1 سائل العناية بالأسنان 250 مل</v>
      </c>
      <c r="H548" s="133"/>
      <c r="I548" s="133"/>
      <c r="J548" s="133"/>
      <c r="K548" s="133" t="str">
        <f>IFERROR(__xludf.DUMMYFUNCTION("""COMPUTED_VALUE"""),"مارك")</f>
        <v>مارك</v>
      </c>
      <c r="L548" s="142" t="str">
        <f>IFERROR(__xludf.DUMMYFUNCTION("""COMPUTED_VALUE"""),"MC5597")</f>
        <v>MC5597</v>
      </c>
      <c r="M548" s="133"/>
      <c r="N548" s="133"/>
      <c r="O548" s="133"/>
      <c r="P548" s="133"/>
      <c r="Q548" s="133"/>
      <c r="R548" s="133"/>
      <c r="S548" s="133"/>
      <c r="T548" s="133"/>
      <c r="U548" s="133"/>
      <c r="V548" s="133"/>
      <c r="W548" s="133"/>
      <c r="X548" s="133"/>
      <c r="Y548" s="133"/>
      <c r="Z548" s="133"/>
    </row>
    <row r="549">
      <c r="A549" s="133">
        <f>IFERROR(__xludf.DUMMYFUNCTION("""COMPUTED_VALUE"""),548.0)</f>
        <v>548</v>
      </c>
      <c r="B549" s="133" t="str">
        <f>IFERROR(__xludf.DUMMYFUNCTION("""COMPUTED_VALUE"""),"MC5955")</f>
        <v>MC5955</v>
      </c>
      <c r="C549" s="133" t="str">
        <f>IFERROR(__xludf.DUMMYFUNCTION("""COMPUTED_VALUE"""),"P-1-N-080221-565")</f>
        <v>P-1-N-080221-565</v>
      </c>
      <c r="D549" s="133"/>
      <c r="E549" s="133" t="str">
        <f>IFERROR(__xludf.DUMMYFUNCTION("""COMPUTED_VALUE"""),"REJECTED")</f>
        <v>REJECTED</v>
      </c>
      <c r="F549" s="133" t="str">
        <f>IFERROR(__xludf.DUMMYFUNCTION("""COMPUTED_VALUE"""),"VetIQ 2in1 Dental Care Chews 60g")</f>
        <v>VetIQ 2in1 Dental Care Chews 60g</v>
      </c>
      <c r="G549" s="133" t="str">
        <f>IFERROR(__xludf.DUMMYFUNCTION("""COMPUTED_VALUE"""),"فيت اي كيو 2 في 1 تشيوز للعناية بالأسنان 60 جم")</f>
        <v>فيت اي كيو 2 في 1 تشيوز للعناية بالأسنان 60 جم</v>
      </c>
      <c r="H549" s="133"/>
      <c r="I549" s="133"/>
      <c r="J549" s="133"/>
      <c r="K549" s="133" t="str">
        <f>IFERROR(__xludf.DUMMYFUNCTION("""COMPUTED_VALUE"""),"مارك اند شابل ليمتد")</f>
        <v>مارك اند شابل ليمتد</v>
      </c>
      <c r="L549" s="142" t="str">
        <f>IFERROR(__xludf.DUMMYFUNCTION("""COMPUTED_VALUE"""),"MC5955")</f>
        <v>MC5955</v>
      </c>
      <c r="M549" s="133"/>
      <c r="N549" s="133"/>
      <c r="O549" s="133"/>
      <c r="P549" s="133"/>
      <c r="Q549" s="133"/>
      <c r="R549" s="133"/>
      <c r="S549" s="133"/>
      <c r="T549" s="133"/>
      <c r="U549" s="133"/>
      <c r="V549" s="133"/>
      <c r="W549" s="133"/>
      <c r="X549" s="133"/>
      <c r="Y549" s="133"/>
      <c r="Z549" s="133"/>
    </row>
    <row r="550">
      <c r="A550" s="133">
        <f>IFERROR(__xludf.DUMMYFUNCTION("""COMPUTED_VALUE"""),549.0)</f>
        <v>549</v>
      </c>
      <c r="B550" s="133" t="str">
        <f>IFERROR(__xludf.DUMMYFUNCTION("""COMPUTED_VALUE"""),"15327")</f>
        <v>15327</v>
      </c>
      <c r="C550" s="133" t="str">
        <f>IFERROR(__xludf.DUMMYFUNCTION("""COMPUTED_VALUE"""),"P-1-N-090221-582")</f>
        <v>P-1-N-090221-582</v>
      </c>
      <c r="D550" s="133"/>
      <c r="E550" s="133" t="str">
        <f>IFERROR(__xludf.DUMMYFUNCTION("""COMPUTED_VALUE"""),"تمت طباعة الشهادة")</f>
        <v>تمت طباعة الشهادة</v>
      </c>
      <c r="F550" s="133" t="str">
        <f>IFERROR(__xludf.DUMMYFUNCTION("""COMPUTED_VALUE"""),"Dental Easy Treat 35g")</f>
        <v>Dental Easy Treat 35g</v>
      </c>
      <c r="G550" s="133" t="str">
        <f>IFERROR(__xludf.DUMMYFUNCTION("""COMPUTED_VALUE"""),"وجبة")</f>
        <v>وجبة</v>
      </c>
      <c r="H550" s="133" t="str">
        <f>IFERROR(__xludf.DUMMYFUNCTION("""COMPUTED_VALUE"""),"MAFE2021406")</f>
        <v>MAFE2021406</v>
      </c>
      <c r="I550" s="133"/>
      <c r="J550" s="133"/>
      <c r="K550" s="133" t="str">
        <f>IFERROR(__xludf.DUMMYFUNCTION("""COMPUTED_VALUE"""),"بيفار بي في")</f>
        <v>بيفار بي في</v>
      </c>
      <c r="L550" s="142" t="str">
        <f>IFERROR(__xludf.DUMMYFUNCTION("""COMPUTED_VALUE"""),"15327")</f>
        <v>15327</v>
      </c>
      <c r="M550" s="133"/>
      <c r="N550" s="133"/>
      <c r="O550" s="133"/>
      <c r="P550" s="133"/>
      <c r="Q550" s="133"/>
      <c r="R550" s="133"/>
      <c r="S550" s="133"/>
      <c r="T550" s="133"/>
      <c r="U550" s="133"/>
      <c r="V550" s="133"/>
      <c r="W550" s="133"/>
      <c r="X550" s="133"/>
      <c r="Y550" s="133"/>
      <c r="Z550" s="133"/>
    </row>
    <row r="551">
      <c r="A551" s="133">
        <f>IFERROR(__xludf.DUMMYFUNCTION("""COMPUTED_VALUE"""),550.0)</f>
        <v>550</v>
      </c>
      <c r="B551" s="133" t="str">
        <f>IFERROR(__xludf.DUMMYFUNCTION("""COMPUTED_VALUE"""),"13676")</f>
        <v>13676</v>
      </c>
      <c r="C551" s="133" t="str">
        <f>IFERROR(__xludf.DUMMYFUNCTION("""COMPUTED_VALUE"""),"P-1-N-090221-584")</f>
        <v>P-1-N-090221-584</v>
      </c>
      <c r="D551" s="133"/>
      <c r="E551" s="133" t="str">
        <f>IFERROR(__xludf.DUMMYFUNCTION("""COMPUTED_VALUE"""),"تمت طباعة الشهادة")</f>
        <v>تمت طباعة الشهادة</v>
      </c>
      <c r="F551" s="133" t="str">
        <f>IFERROR(__xludf.DUMMYFUNCTION("""COMPUTED_VALUE"""),"Multi-Vit Rabbits and Rodents 20 ml")</f>
        <v>Multi-Vit Rabbits and Rodents 20 ml</v>
      </c>
      <c r="G551" s="133" t="str">
        <f>IFERROR(__xludf.DUMMYFUNCTION("""COMPUTED_VALUE"""),"ملتي فيت للأرانب والقوارض 20 مل")</f>
        <v>ملتي فيت للأرانب والقوارض 20 مل</v>
      </c>
      <c r="H551" s="133" t="str">
        <f>IFERROR(__xludf.DUMMYFUNCTION("""COMPUTED_VALUE"""),"MAFE2021407")</f>
        <v>MAFE2021407</v>
      </c>
      <c r="I551" s="133"/>
      <c r="J551" s="133"/>
      <c r="K551" s="133" t="str">
        <f>IFERROR(__xludf.DUMMYFUNCTION("""COMPUTED_VALUE"""),"بيفار بي في")</f>
        <v>بيفار بي في</v>
      </c>
      <c r="L551" s="142" t="str">
        <f>IFERROR(__xludf.DUMMYFUNCTION("""COMPUTED_VALUE"""),"13676")</f>
        <v>13676</v>
      </c>
      <c r="M551" s="133"/>
      <c r="N551" s="133"/>
      <c r="O551" s="133"/>
      <c r="P551" s="133"/>
      <c r="Q551" s="133"/>
      <c r="R551" s="133"/>
      <c r="S551" s="133"/>
      <c r="T551" s="133"/>
      <c r="U551" s="133"/>
      <c r="V551" s="133"/>
      <c r="W551" s="133"/>
      <c r="X551" s="133"/>
      <c r="Y551" s="133"/>
      <c r="Z551" s="133"/>
    </row>
    <row r="552">
      <c r="A552" s="133">
        <f>IFERROR(__xludf.DUMMYFUNCTION("""COMPUTED_VALUE"""),551.0)</f>
        <v>551</v>
      </c>
      <c r="B552" s="133" t="str">
        <f>IFERROR(__xludf.DUMMYFUNCTION("""COMPUTED_VALUE"""),"11532")</f>
        <v>11532</v>
      </c>
      <c r="C552" s="133" t="str">
        <f>IFERROR(__xludf.DUMMYFUNCTION("""COMPUTED_VALUE"""),"P-1-N-090221-585")</f>
        <v>P-1-N-090221-585</v>
      </c>
      <c r="D552" s="133"/>
      <c r="E552" s="133" t="str">
        <f>IFERROR(__xludf.DUMMYFUNCTION("""COMPUTED_VALUE"""),"تمت طباعة الشهادة")</f>
        <v>تمت طباعة الشهادة</v>
      </c>
      <c r="F552" s="133" t="str">
        <f>IFERROR(__xludf.DUMMYFUNCTION("""COMPUTED_VALUE"""),"Federkur Paganol Vitamintropfen 50ml")</f>
        <v>Federkur Paganol Vitamintropfen 50ml</v>
      </c>
      <c r="G552" s="133" t="str">
        <f>IFERROR(__xludf.DUMMYFUNCTION("""COMPUTED_VALUE"""),"قطرات فيتامين فيدركور باجانول 50 مل")</f>
        <v>قطرات فيتامين فيدركور باجانول 50 مل</v>
      </c>
      <c r="H552" s="133" t="str">
        <f>IFERROR(__xludf.DUMMYFUNCTION("""COMPUTED_VALUE"""),"PRFE2021405")</f>
        <v>PRFE2021405</v>
      </c>
      <c r="I552" s="133"/>
      <c r="J552" s="133"/>
      <c r="K552" s="133" t="str">
        <f>IFERROR(__xludf.DUMMYFUNCTION("""COMPUTED_VALUE"""),"بيفار بي في")</f>
        <v>بيفار بي في</v>
      </c>
      <c r="L552" s="142" t="str">
        <f>IFERROR(__xludf.DUMMYFUNCTION("""COMPUTED_VALUE"""),"11532")</f>
        <v>11532</v>
      </c>
      <c r="M552" s="133"/>
      <c r="N552" s="133"/>
      <c r="O552" s="133"/>
      <c r="P552" s="133"/>
      <c r="Q552" s="133"/>
      <c r="R552" s="133"/>
      <c r="S552" s="133"/>
      <c r="T552" s="133"/>
      <c r="U552" s="133"/>
      <c r="V552" s="133"/>
      <c r="W552" s="133"/>
      <c r="X552" s="133"/>
      <c r="Y552" s="133"/>
      <c r="Z552" s="133"/>
    </row>
    <row r="553">
      <c r="A553" s="133">
        <f>IFERROR(__xludf.DUMMYFUNCTION("""COMPUTED_VALUE"""),552.0)</f>
        <v>552</v>
      </c>
      <c r="B553" s="133"/>
      <c r="C553" s="133" t="str">
        <f>IFERROR(__xludf.DUMMYFUNCTION("""COMPUTED_VALUE"""),"P-1-N-100221-613")</f>
        <v>P-1-N-100221-613</v>
      </c>
      <c r="D553" s="133"/>
      <c r="E553" s="133" t="str">
        <f>IFERROR(__xludf.DUMMYFUNCTION("""COMPUTED_VALUE"""),"تمت طباعة الشهادة")</f>
        <v>تمت طباعة الشهادة</v>
      </c>
      <c r="F553" s="133">
        <f>IFERROR(__xludf.DUMMYFUNCTION("""COMPUTED_VALUE"""),0.0)</f>
        <v>0</v>
      </c>
      <c r="G553" s="133" t="str">
        <f>IFERROR(__xludf.DUMMYFUNCTION("""COMPUTED_VALUE"""),"كيت كات تونة مع الكاتسوبوشي 400 جم")</f>
        <v>كيت كات تونة مع الكاتسوبوشي 400 جم</v>
      </c>
      <c r="H553" s="133" t="str">
        <f>IFERROR(__xludf.DUMMYFUNCTION("""COMPUTED_VALUE"""),"MAFE2021558")</f>
        <v>MAFE2021558</v>
      </c>
      <c r="I553" s="133"/>
      <c r="J553" s="143">
        <f>IFERROR(__xludf.DUMMYFUNCTION("""COMPUTED_VALUE"""),46075.0)</f>
        <v>46075</v>
      </c>
      <c r="K553" s="133" t="str">
        <f>IFERROR(__xludf.DUMMYFUNCTION("""COMPUTED_VALUE"""),"شركة سيام للأغذية العالمية المحدودة")</f>
        <v>شركة سيام للأغذية العالمية المحدودة</v>
      </c>
      <c r="L553" s="133"/>
      <c r="M553" s="133"/>
      <c r="N553" s="133"/>
      <c r="O553" s="133"/>
      <c r="P553" s="133"/>
      <c r="Q553" s="133"/>
      <c r="R553" s="133"/>
      <c r="S553" s="133"/>
      <c r="T553" s="133"/>
      <c r="U553" s="133"/>
      <c r="V553" s="133"/>
      <c r="W553" s="133"/>
      <c r="X553" s="133"/>
      <c r="Y553" s="133"/>
      <c r="Z553" s="133"/>
    </row>
    <row r="554">
      <c r="A554" s="133">
        <f>IFERROR(__xludf.DUMMYFUNCTION("""COMPUTED_VALUE"""),553.0)</f>
        <v>553</v>
      </c>
      <c r="B554" s="133" t="str">
        <f>IFERROR(__xludf.DUMMYFUNCTION("""COMPUTED_VALUE"""),"C688")</f>
        <v>C688</v>
      </c>
      <c r="C554" s="133" t="str">
        <f>IFERROR(__xludf.DUMMYFUNCTION("""COMPUTED_VALUE"""),"P-1-N-170221-726")</f>
        <v>P-1-N-170221-726</v>
      </c>
      <c r="D554" s="133"/>
      <c r="E554" s="133" t="str">
        <f>IFERROR(__xludf.DUMMYFUNCTION("""COMPUTED_VALUE"""),"تمت طباعة الشهادة")</f>
        <v>تمت طباعة الشهادة</v>
      </c>
      <c r="F554" s="133" t="str">
        <f>IFERROR(__xludf.DUMMYFUNCTION("""COMPUTED_VALUE"""),"Tuna Whole Meat with Aloe and Rice in Gel 150g")</f>
        <v>Tuna Whole Meat with Aloe and Rice in Gel 150g</v>
      </c>
      <c r="G554" s="133" t="str">
        <f>IFERROR(__xludf.DUMMYFUNCTION("""COMPUTED_VALUE"""),"لحم تونة كامل مع الصبار والأرز في الجلي 150 جم")</f>
        <v>لحم تونة كامل مع الصبار والأرز في الجلي 150 جم</v>
      </c>
      <c r="H554" s="133" t="str">
        <f>IFERROR(__xludf.DUMMYFUNCTION("""COMPUTED_VALUE"""),"MAFE2021499")</f>
        <v>MAFE2021499</v>
      </c>
      <c r="I554" s="133"/>
      <c r="J554" s="133"/>
      <c r="K554" s="133" t="str">
        <f>IFERROR(__xludf.DUMMYFUNCTION("""COMPUTED_VALUE"""),"ساوث ايست الاسيوية للتغليف والتعليب المحدودة")</f>
        <v>ساوث ايست الاسيوية للتغليف والتعليب المحدودة</v>
      </c>
      <c r="L554" s="142" t="str">
        <f>IFERROR(__xludf.DUMMYFUNCTION("""COMPUTED_VALUE"""),"C688")</f>
        <v>C688</v>
      </c>
      <c r="M554" s="133"/>
      <c r="N554" s="133"/>
      <c r="O554" s="133"/>
      <c r="P554" s="133"/>
      <c r="Q554" s="133"/>
      <c r="R554" s="133"/>
      <c r="S554" s="133"/>
      <c r="T554" s="133"/>
      <c r="U554" s="133"/>
      <c r="V554" s="133"/>
      <c r="W554" s="133"/>
      <c r="X554" s="133"/>
      <c r="Y554" s="133"/>
      <c r="Z554" s="133"/>
    </row>
    <row r="555">
      <c r="A555" s="133">
        <f>IFERROR(__xludf.DUMMYFUNCTION("""COMPUTED_VALUE"""),554.0)</f>
        <v>554</v>
      </c>
      <c r="B555" s="133" t="str">
        <f>IFERROR(__xludf.DUMMYFUNCTION("""COMPUTED_VALUE"""),"C689")</f>
        <v>C689</v>
      </c>
      <c r="C555" s="133" t="str">
        <f>IFERROR(__xludf.DUMMYFUNCTION("""COMPUTED_VALUE"""),"P-1-N-170221-727")</f>
        <v>P-1-N-170221-727</v>
      </c>
      <c r="D555" s="133"/>
      <c r="E555" s="133" t="str">
        <f>IFERROR(__xludf.DUMMYFUNCTION("""COMPUTED_VALUE"""),"تمت طباعة الشهادة")</f>
        <v>تمت طباعة الشهادة</v>
      </c>
      <c r="F555" s="133" t="str">
        <f>IFERROR(__xludf.DUMMYFUNCTION("""COMPUTED_VALUE"""),"Chicken with Aloe and Rice in Jelly 150g")</f>
        <v>Chicken with Aloe and Rice in Jelly 150g</v>
      </c>
      <c r="G555" s="133" t="str">
        <f>IFERROR(__xludf.DUMMYFUNCTION("""COMPUTED_VALUE"""),"دجاج بالصبار والأرز بالجلي 150 جم")</f>
        <v>دجاج بالصبار والأرز بالجلي 150 جم</v>
      </c>
      <c r="H555" s="133" t="str">
        <f>IFERROR(__xludf.DUMMYFUNCTION("""COMPUTED_VALUE"""),"MAFE2021498")</f>
        <v>MAFE2021498</v>
      </c>
      <c r="I555" s="133"/>
      <c r="J555" s="133"/>
      <c r="K555" s="133" t="str">
        <f>IFERROR(__xludf.DUMMYFUNCTION("""COMPUTED_VALUE"""),"ساوث ايست الاسيوية للتغليف والتعليب المحدودة")</f>
        <v>ساوث ايست الاسيوية للتغليف والتعليب المحدودة</v>
      </c>
      <c r="L555" s="142" t="str">
        <f>IFERROR(__xludf.DUMMYFUNCTION("""COMPUTED_VALUE"""),"C689")</f>
        <v>C689</v>
      </c>
      <c r="M555" s="133"/>
      <c r="N555" s="133"/>
      <c r="O555" s="133"/>
      <c r="P555" s="133"/>
      <c r="Q555" s="133"/>
      <c r="R555" s="133"/>
      <c r="S555" s="133"/>
      <c r="T555" s="133"/>
      <c r="U555" s="133"/>
      <c r="V555" s="133"/>
      <c r="W555" s="133"/>
      <c r="X555" s="133"/>
      <c r="Y555" s="133"/>
      <c r="Z555" s="133"/>
    </row>
    <row r="556">
      <c r="A556" s="133">
        <f>IFERROR(__xludf.DUMMYFUNCTION("""COMPUTED_VALUE"""),555.0)</f>
        <v>555</v>
      </c>
      <c r="B556" s="133" t="str">
        <f>IFERROR(__xludf.DUMMYFUNCTION("""COMPUTED_VALUE"""),"C2731")</f>
        <v>C2731</v>
      </c>
      <c r="C556" s="133" t="str">
        <f>IFERROR(__xludf.DUMMYFUNCTION("""COMPUTED_VALUE"""),"P-1-N-170221-728")</f>
        <v>P-1-N-170221-728</v>
      </c>
      <c r="D556" s="133"/>
      <c r="E556" s="133" t="str">
        <f>IFERROR(__xludf.DUMMYFUNCTION("""COMPUTED_VALUE"""),"تمت طباعة الشهادة")</f>
        <v>تمت طباعة الشهادة</v>
      </c>
      <c r="F556" s="133" t="str">
        <f>IFERROR(__xludf.DUMMYFUNCTION("""COMPUTED_VALUE"""),"Chicken and Rice with Aloe in Gel 140g")</f>
        <v>Chicken and Rice with Aloe in Gel 140g</v>
      </c>
      <c r="G556" s="133" t="str">
        <f>IFERROR(__xludf.DUMMYFUNCTION("""COMPUTED_VALUE"""),"الدجاج و الارز مع الصبار بالجيلي 140 جم")</f>
        <v>الدجاج و الارز مع الصبار بالجيلي 140 جم</v>
      </c>
      <c r="H556" s="133" t="str">
        <f>IFERROR(__xludf.DUMMYFUNCTION("""COMPUTED_VALUE"""),"MAFE2021497")</f>
        <v>MAFE2021497</v>
      </c>
      <c r="I556" s="133"/>
      <c r="J556" s="133"/>
      <c r="K556" s="133" t="str">
        <f>IFERROR(__xludf.DUMMYFUNCTION("""COMPUTED_VALUE"""),"ساوث ايست الاسيوية للتغليف والتعليب المحدودة")</f>
        <v>ساوث ايست الاسيوية للتغليف والتعليب المحدودة</v>
      </c>
      <c r="L556" s="142" t="str">
        <f>IFERROR(__xludf.DUMMYFUNCTION("""COMPUTED_VALUE"""),"C2731")</f>
        <v>C2731</v>
      </c>
      <c r="M556" s="133"/>
      <c r="N556" s="133"/>
      <c r="O556" s="133"/>
      <c r="P556" s="133"/>
      <c r="Q556" s="133"/>
      <c r="R556" s="133"/>
      <c r="S556" s="133"/>
      <c r="T556" s="133"/>
      <c r="U556" s="133"/>
      <c r="V556" s="133"/>
      <c r="W556" s="133"/>
      <c r="X556" s="133"/>
      <c r="Y556" s="133"/>
      <c r="Z556" s="133"/>
    </row>
    <row r="557">
      <c r="A557" s="133">
        <f>IFERROR(__xludf.DUMMYFUNCTION("""COMPUTED_VALUE"""),556.0)</f>
        <v>556</v>
      </c>
      <c r="B557" s="133" t="str">
        <f>IFERROR(__xludf.DUMMYFUNCTION("""COMPUTED_VALUE"""),"C2730")</f>
        <v>C2730</v>
      </c>
      <c r="C557" s="133" t="str">
        <f>IFERROR(__xludf.DUMMYFUNCTION("""COMPUTED_VALUE"""),"P-1-N-170221-729")</f>
        <v>P-1-N-170221-729</v>
      </c>
      <c r="D557" s="133"/>
      <c r="E557" s="133" t="str">
        <f>IFERROR(__xludf.DUMMYFUNCTION("""COMPUTED_VALUE"""),"تمت طباعة الشهادة")</f>
        <v>تمت طباعة الشهادة</v>
      </c>
      <c r="F557" s="133" t="str">
        <f>IFERROR(__xludf.DUMMYFUNCTION("""COMPUTED_VALUE"""),"Tuna with Aloe Kitten 140g")</f>
        <v>Tuna with Aloe Kitten 140g</v>
      </c>
      <c r="G557" s="133" t="str">
        <f>IFERROR(__xludf.DUMMYFUNCTION("""COMPUTED_VALUE"""),"تونة مع الصبار للقطط الصغيرة 140 جم")</f>
        <v>تونة مع الصبار للقطط الصغيرة 140 جم</v>
      </c>
      <c r="H557" s="133" t="str">
        <f>IFERROR(__xludf.DUMMYFUNCTION("""COMPUTED_VALUE"""),"MAFE2021496")</f>
        <v>MAFE2021496</v>
      </c>
      <c r="I557" s="133"/>
      <c r="J557" s="133"/>
      <c r="K557" s="133" t="str">
        <f>IFERROR(__xludf.DUMMYFUNCTION("""COMPUTED_VALUE"""),"ساوث ايست الاسيوية للتغليف والتعليب المحدودة")</f>
        <v>ساوث ايست الاسيوية للتغليف والتعليب المحدودة</v>
      </c>
      <c r="L557" s="142" t="str">
        <f>IFERROR(__xludf.DUMMYFUNCTION("""COMPUTED_VALUE"""),"C2730")</f>
        <v>C2730</v>
      </c>
      <c r="M557" s="133"/>
      <c r="N557" s="133"/>
      <c r="O557" s="133"/>
      <c r="P557" s="133"/>
      <c r="Q557" s="133"/>
      <c r="R557" s="133"/>
      <c r="S557" s="133"/>
      <c r="T557" s="133"/>
      <c r="U557" s="133"/>
      <c r="V557" s="133"/>
      <c r="W557" s="133"/>
      <c r="X557" s="133"/>
      <c r="Y557" s="133"/>
      <c r="Z557" s="133"/>
    </row>
    <row r="558">
      <c r="A558" s="133">
        <f>IFERROR(__xludf.DUMMYFUNCTION("""COMPUTED_VALUE"""),557.0)</f>
        <v>557</v>
      </c>
      <c r="B558" s="133"/>
      <c r="C558" s="133" t="str">
        <f>IFERROR(__xludf.DUMMYFUNCTION("""COMPUTED_VALUE"""),"P-1-N-210221-795")</f>
        <v>P-1-N-210221-795</v>
      </c>
      <c r="D558" s="133"/>
      <c r="E558" s="133" t="str">
        <f>IFERROR(__xludf.DUMMYFUNCTION("""COMPUTED_VALUE"""),"تمت طباعة الشهادة")</f>
        <v>تمت طباعة الشهادة</v>
      </c>
      <c r="F558" s="133">
        <f>IFERROR(__xludf.DUMMYFUNCTION("""COMPUTED_VALUE"""),0.0)</f>
        <v>0</v>
      </c>
      <c r="G558" s="133" t="str">
        <f>IFERROR(__xludf.DUMMYFUNCTION("""COMPUTED_VALUE"""),"شيزير أن أس طعام جاف بالتونة 2.24 كجم")</f>
        <v>شيزير أن أس طعام جاف بالتونة 2.24 كجم</v>
      </c>
      <c r="H558" s="133" t="str">
        <f>IFERROR(__xludf.DUMMYFUNCTION("""COMPUTED_VALUE"""),"MAFE2021728")</f>
        <v>MAFE2021728</v>
      </c>
      <c r="I558" s="133"/>
      <c r="J558" s="133"/>
      <c r="K558" s="133" t="str">
        <f>IFERROR(__xludf.DUMMYFUNCTION("""COMPUTED_VALUE"""),"أغراس ديليتش اس بي أي")</f>
        <v>أغراس ديليتش اس بي أي</v>
      </c>
      <c r="L558" s="133"/>
      <c r="M558" s="133"/>
      <c r="N558" s="133"/>
      <c r="O558" s="133"/>
      <c r="P558" s="133"/>
      <c r="Q558" s="133"/>
      <c r="R558" s="133"/>
      <c r="S558" s="133"/>
      <c r="T558" s="133"/>
      <c r="U558" s="133"/>
      <c r="V558" s="133"/>
      <c r="W558" s="133"/>
      <c r="X558" s="133"/>
      <c r="Y558" s="133"/>
      <c r="Z558" s="133"/>
    </row>
    <row r="559">
      <c r="A559" s="133">
        <f>IFERROR(__xludf.DUMMYFUNCTION("""COMPUTED_VALUE"""),558.0)</f>
        <v>558</v>
      </c>
      <c r="B559" s="133"/>
      <c r="C559" s="133" t="str">
        <f>IFERROR(__xludf.DUMMYFUNCTION("""COMPUTED_VALUE"""),"P-1-N-210221-796")</f>
        <v>P-1-N-210221-796</v>
      </c>
      <c r="D559" s="133"/>
      <c r="E559" s="133" t="str">
        <f>IFERROR(__xludf.DUMMYFUNCTION("""COMPUTED_VALUE"""),"تمت طباعة الشهادة")</f>
        <v>تمت طباعة الشهادة</v>
      </c>
      <c r="F559" s="133" t="str">
        <f>IFERROR(__xludf.DUMMYFUNCTION("""COMPUTED_VALUE"""),"Schesir NS Dry Beef 2.24 kg")</f>
        <v>Schesir NS Dry Beef 2.24 kg</v>
      </c>
      <c r="G559" s="133" t="str">
        <f>IFERROR(__xludf.DUMMYFUNCTION("""COMPUTED_VALUE"""),"شيزير أن أس طعام جاف بلحم البقر 2.24 كجم")</f>
        <v>شيزير أن أس طعام جاف بلحم البقر 2.24 كجم</v>
      </c>
      <c r="H559" s="133" t="str">
        <f>IFERROR(__xludf.DUMMYFUNCTION("""COMPUTED_VALUE"""),"MAFE2021727")</f>
        <v>MAFE2021727</v>
      </c>
      <c r="I559" s="133"/>
      <c r="J559" s="133"/>
      <c r="K559" s="133" t="str">
        <f>IFERROR(__xludf.DUMMYFUNCTION("""COMPUTED_VALUE"""),"أغراس")</f>
        <v>أغراس</v>
      </c>
      <c r="L559" s="133"/>
      <c r="M559" s="133"/>
      <c r="N559" s="133"/>
      <c r="O559" s="133"/>
      <c r="P559" s="133"/>
      <c r="Q559" s="133"/>
      <c r="R559" s="133"/>
      <c r="S559" s="133"/>
      <c r="T559" s="133"/>
      <c r="U559" s="133"/>
      <c r="V559" s="133"/>
      <c r="W559" s="133"/>
      <c r="X559" s="133"/>
      <c r="Y559" s="133"/>
      <c r="Z559" s="133"/>
    </row>
    <row r="560">
      <c r="A560" s="133">
        <f>IFERROR(__xludf.DUMMYFUNCTION("""COMPUTED_VALUE"""),559.0)</f>
        <v>559</v>
      </c>
      <c r="B560" s="133"/>
      <c r="C560" s="133" t="str">
        <f>IFERROR(__xludf.DUMMYFUNCTION("""COMPUTED_VALUE"""),"P-1-N-210221-797")</f>
        <v>P-1-N-210221-797</v>
      </c>
      <c r="D560" s="133"/>
      <c r="E560" s="133" t="str">
        <f>IFERROR(__xludf.DUMMYFUNCTION("""COMPUTED_VALUE"""),"تمت طباعة الشهادة")</f>
        <v>تمت طباعة الشهادة</v>
      </c>
      <c r="F560" s="133" t="str">
        <f>IFERROR(__xludf.DUMMYFUNCTION("""COMPUTED_VALUE"""),"Schesir NS Dry Lamb 4.5 kg")</f>
        <v>Schesir NS Dry Lamb 4.5 kg</v>
      </c>
      <c r="G560" s="133" t="str">
        <f>IFERROR(__xludf.DUMMYFUNCTION("""COMPUTED_VALUE"""),"شيزير أن أس طعام جاف بلحم الخروف 4.5 كجم")</f>
        <v>شيزير أن أس طعام جاف بلحم الخروف 4.5 كجم</v>
      </c>
      <c r="H560" s="133" t="str">
        <f>IFERROR(__xludf.DUMMYFUNCTION("""COMPUTED_VALUE"""),"MAFE2021726")</f>
        <v>MAFE2021726</v>
      </c>
      <c r="I560" s="133"/>
      <c r="J560" s="133"/>
      <c r="K560" s="133" t="str">
        <f>IFERROR(__xludf.DUMMYFUNCTION("""COMPUTED_VALUE"""),"أغراس ديليتش اس بي أي")</f>
        <v>أغراس ديليتش اس بي أي</v>
      </c>
      <c r="L560" s="133"/>
      <c r="M560" s="133"/>
      <c r="N560" s="133"/>
      <c r="O560" s="133"/>
      <c r="P560" s="133"/>
      <c r="Q560" s="133"/>
      <c r="R560" s="133"/>
      <c r="S560" s="133"/>
      <c r="T560" s="133"/>
      <c r="U560" s="133"/>
      <c r="V560" s="133"/>
      <c r="W560" s="133"/>
      <c r="X560" s="133"/>
      <c r="Y560" s="133"/>
      <c r="Z560" s="133"/>
    </row>
    <row r="561">
      <c r="A561" s="133">
        <f>IFERROR(__xludf.DUMMYFUNCTION("""COMPUTED_VALUE"""),560.0)</f>
        <v>560</v>
      </c>
      <c r="B561" s="133"/>
      <c r="C561" s="133" t="str">
        <f>IFERROR(__xludf.DUMMYFUNCTION("""COMPUTED_VALUE"""),"P-1-N-210221-798")</f>
        <v>P-1-N-210221-798</v>
      </c>
      <c r="D561" s="133"/>
      <c r="E561" s="133" t="str">
        <f>IFERROR(__xludf.DUMMYFUNCTION("""COMPUTED_VALUE"""),"تمت طباعة الشهادة")</f>
        <v>تمت طباعة الشهادة</v>
      </c>
      <c r="F561" s="133" t="str">
        <f>IFERROR(__xludf.DUMMYFUNCTION("""COMPUTED_VALUE"""),"Schesir NS Dry Tuna 4.5 kg")</f>
        <v>Schesir NS Dry Tuna 4.5 kg</v>
      </c>
      <c r="G561" s="133" t="str">
        <f>IFERROR(__xludf.DUMMYFUNCTION("""COMPUTED_VALUE"""),"شيزير")</f>
        <v>شيزير</v>
      </c>
      <c r="H561" s="133" t="str">
        <f>IFERROR(__xludf.DUMMYFUNCTION("""COMPUTED_VALUE"""),"MAFE2021725")</f>
        <v>MAFE2021725</v>
      </c>
      <c r="I561" s="133"/>
      <c r="J561" s="133"/>
      <c r="K561" s="133" t="str">
        <f>IFERROR(__xludf.DUMMYFUNCTION("""COMPUTED_VALUE"""),"أغراس ديليتش اس بي أي")</f>
        <v>أغراس ديليتش اس بي أي</v>
      </c>
      <c r="L561" s="133"/>
      <c r="M561" s="133"/>
      <c r="N561" s="133"/>
      <c r="O561" s="133"/>
      <c r="P561" s="133"/>
      <c r="Q561" s="133"/>
      <c r="R561" s="133"/>
      <c r="S561" s="133"/>
      <c r="T561" s="133"/>
      <c r="U561" s="133"/>
      <c r="V561" s="133"/>
      <c r="W561" s="133"/>
      <c r="X561" s="133"/>
      <c r="Y561" s="133"/>
      <c r="Z561" s="133"/>
    </row>
    <row r="562">
      <c r="A562" s="133">
        <f>IFERROR(__xludf.DUMMYFUNCTION("""COMPUTED_VALUE"""),561.0)</f>
        <v>561</v>
      </c>
      <c r="B562" s="133"/>
      <c r="C562" s="133" t="str">
        <f>IFERROR(__xludf.DUMMYFUNCTION("""COMPUTED_VALUE"""),"P-1-N-210221-799")</f>
        <v>P-1-N-210221-799</v>
      </c>
      <c r="D562" s="133"/>
      <c r="E562" s="133" t="str">
        <f>IFERROR(__xludf.DUMMYFUNCTION("""COMPUTED_VALUE"""),"تمت طباعة الشهادة")</f>
        <v>تمت طباعة الشهادة</v>
      </c>
      <c r="F562" s="133" t="str">
        <f>IFERROR(__xludf.DUMMYFUNCTION("""COMPUTED_VALUE"""),"Schesir NS Dry Beef 2.24 kg")</f>
        <v>Schesir NS Dry Beef 2.24 kg</v>
      </c>
      <c r="G562" s="133" t="str">
        <f>IFERROR(__xludf.DUMMYFUNCTION("""COMPUTED_VALUE"""),"شيزير أن أس طعام جاف بلحم البقر 2.24 كجم")</f>
        <v>شيزير أن أس طعام جاف بلحم البقر 2.24 كجم</v>
      </c>
      <c r="H562" s="133" t="str">
        <f>IFERROR(__xludf.DUMMYFUNCTION("""COMPUTED_VALUE"""),"MAFE2021724")</f>
        <v>MAFE2021724</v>
      </c>
      <c r="I562" s="133"/>
      <c r="J562" s="133"/>
      <c r="K562" s="133" t="str">
        <f>IFERROR(__xludf.DUMMYFUNCTION("""COMPUTED_VALUE"""),"أغراس ديليتش اس بي أي")</f>
        <v>أغراس ديليتش اس بي أي</v>
      </c>
      <c r="L562" s="133"/>
      <c r="M562" s="133"/>
      <c r="N562" s="133"/>
      <c r="O562" s="133"/>
      <c r="P562" s="133"/>
      <c r="Q562" s="133"/>
      <c r="R562" s="133"/>
      <c r="S562" s="133"/>
      <c r="T562" s="133"/>
      <c r="U562" s="133"/>
      <c r="V562" s="133"/>
      <c r="W562" s="133"/>
      <c r="X562" s="133"/>
      <c r="Y562" s="133"/>
      <c r="Z562" s="133"/>
    </row>
    <row r="563">
      <c r="A563" s="133">
        <f>IFERROR(__xludf.DUMMYFUNCTION("""COMPUTED_VALUE"""),562.0)</f>
        <v>562</v>
      </c>
      <c r="B563" s="133"/>
      <c r="C563" s="133" t="str">
        <f>IFERROR(__xludf.DUMMYFUNCTION("""COMPUTED_VALUE"""),"P-1-N-210221-800")</f>
        <v>P-1-N-210221-800</v>
      </c>
      <c r="D563" s="133"/>
      <c r="E563" s="133" t="str">
        <f>IFERROR(__xludf.DUMMYFUNCTION("""COMPUTED_VALUE"""),"تمت طباعة الشهادة")</f>
        <v>تمت طباعة الشهادة</v>
      </c>
      <c r="F563" s="133" t="str">
        <f>IFERROR(__xludf.DUMMYFUNCTION("""COMPUTED_VALUE"""),"Schesir NS Dry Beef 9.6 kg")</f>
        <v>Schesir NS Dry Beef 9.6 kg</v>
      </c>
      <c r="G563" s="133" t="str">
        <f>IFERROR(__xludf.DUMMYFUNCTION("""COMPUTED_VALUE"""),"شيزير أن أس طعام جاف بلحم البقر 9.6 كجم")</f>
        <v>شيزير أن أس طعام جاف بلحم البقر 9.6 كجم</v>
      </c>
      <c r="H563" s="133" t="str">
        <f>IFERROR(__xludf.DUMMYFUNCTION("""COMPUTED_VALUE"""),"MAFE2021723")</f>
        <v>MAFE2021723</v>
      </c>
      <c r="I563" s="133"/>
      <c r="J563" s="133"/>
      <c r="K563" s="133" t="str">
        <f>IFERROR(__xludf.DUMMYFUNCTION("""COMPUTED_VALUE"""),"أغراس ديليتش اس بي أي")</f>
        <v>أغراس ديليتش اس بي أي</v>
      </c>
      <c r="L563" s="133"/>
      <c r="M563" s="133"/>
      <c r="N563" s="133"/>
      <c r="O563" s="133"/>
      <c r="P563" s="133"/>
      <c r="Q563" s="133"/>
      <c r="R563" s="133"/>
      <c r="S563" s="133"/>
      <c r="T563" s="133"/>
      <c r="U563" s="133"/>
      <c r="V563" s="133"/>
      <c r="W563" s="133"/>
      <c r="X563" s="133"/>
      <c r="Y563" s="133"/>
      <c r="Z563" s="133"/>
    </row>
    <row r="564">
      <c r="A564" s="133">
        <f>IFERROR(__xludf.DUMMYFUNCTION("""COMPUTED_VALUE"""),563.0)</f>
        <v>563</v>
      </c>
      <c r="B564" s="133"/>
      <c r="C564" s="133" t="str">
        <f>IFERROR(__xludf.DUMMYFUNCTION("""COMPUTED_VALUE"""),"P-1-N-210221-801")</f>
        <v>P-1-N-210221-801</v>
      </c>
      <c r="D564" s="133"/>
      <c r="E564" s="133" t="str">
        <f>IFERROR(__xludf.DUMMYFUNCTION("""COMPUTED_VALUE"""),"تمت طباعة الشهادة")</f>
        <v>تمت طباعة الشهادة</v>
      </c>
      <c r="F564" s="133" t="str">
        <f>IFERROR(__xludf.DUMMYFUNCTION("""COMPUTED_VALUE"""),"Schesir NS Dry Tuna 4.5 kg")</f>
        <v>Schesir NS Dry Tuna 4.5 kg</v>
      </c>
      <c r="G564" s="133" t="str">
        <f>IFERROR(__xludf.DUMMYFUNCTION("""COMPUTED_VALUE"""),"شيزير أن أس طعام جاف بالتونة 4.5 كجم")</f>
        <v>شيزير أن أس طعام جاف بالتونة 4.5 كجم</v>
      </c>
      <c r="H564" s="133" t="str">
        <f>IFERROR(__xludf.DUMMYFUNCTION("""COMPUTED_VALUE"""),"MAFE2021722")</f>
        <v>MAFE2021722</v>
      </c>
      <c r="I564" s="133"/>
      <c r="J564" s="133"/>
      <c r="K564" s="133" t="str">
        <f>IFERROR(__xludf.DUMMYFUNCTION("""COMPUTED_VALUE"""),"أغراس ديليتش اس بي أي")</f>
        <v>أغراس ديليتش اس بي أي</v>
      </c>
      <c r="L564" s="133"/>
      <c r="M564" s="133"/>
      <c r="N564" s="133"/>
      <c r="O564" s="133"/>
      <c r="P564" s="133"/>
      <c r="Q564" s="133"/>
      <c r="R564" s="133"/>
      <c r="S564" s="133"/>
      <c r="T564" s="133"/>
      <c r="U564" s="133"/>
      <c r="V564" s="133"/>
      <c r="W564" s="133"/>
      <c r="X564" s="133"/>
      <c r="Y564" s="133"/>
      <c r="Z564" s="133"/>
    </row>
    <row r="565">
      <c r="A565" s="133">
        <f>IFERROR(__xludf.DUMMYFUNCTION("""COMPUTED_VALUE"""),564.0)</f>
        <v>564</v>
      </c>
      <c r="B565" s="133" t="str">
        <f>IFERROR(__xludf.DUMMYFUNCTION("""COMPUTED_VALUE"""),"C02080300")</f>
        <v>C02080300</v>
      </c>
      <c r="C565" s="133" t="str">
        <f>IFERROR(__xludf.DUMMYFUNCTION("""COMPUTED_VALUE"""),"P-1-N-210221-802")</f>
        <v>P-1-N-210221-802</v>
      </c>
      <c r="D565" s="133"/>
      <c r="E565" s="133" t="str">
        <f>IFERROR(__xludf.DUMMYFUNCTION("""COMPUTED_VALUE"""),"تمت طباعة الشهادة")</f>
        <v>تمت طباعة الشهادة</v>
      </c>
      <c r="F565" s="133" t="str">
        <f>IFERROR(__xludf.DUMMYFUNCTION("""COMPUTED_VALUE"""),"Schesir NS Dry Turkey 4.5 kg")</f>
        <v>Schesir NS Dry Turkey 4.5 kg</v>
      </c>
      <c r="G565" s="133" t="str">
        <f>IFERROR(__xludf.DUMMYFUNCTION("""COMPUTED_VALUE"""),"شيزير أن أس طعام جاف ببالديك الرومي 4.5 كجم")</f>
        <v>شيزير أن أس طعام جاف ببالديك الرومي 4.5 كجم</v>
      </c>
      <c r="H565" s="133" t="str">
        <f>IFERROR(__xludf.DUMMYFUNCTION("""COMPUTED_VALUE"""),"MAFE2021721")</f>
        <v>MAFE2021721</v>
      </c>
      <c r="I565" s="133"/>
      <c r="J565" s="133"/>
      <c r="K565" s="133" t="str">
        <f>IFERROR(__xludf.DUMMYFUNCTION("""COMPUTED_VALUE"""),"أغراس ديليتش اس بي أي")</f>
        <v>أغراس ديليتش اس بي أي</v>
      </c>
      <c r="L565" s="142" t="str">
        <f>IFERROR(__xludf.DUMMYFUNCTION("""COMPUTED_VALUE"""),"C02080300")</f>
        <v>C02080300</v>
      </c>
      <c r="M565" s="133"/>
      <c r="N565" s="133"/>
      <c r="O565" s="133"/>
      <c r="P565" s="133"/>
      <c r="Q565" s="133"/>
      <c r="R565" s="133"/>
      <c r="S565" s="133"/>
      <c r="T565" s="133"/>
      <c r="U565" s="133"/>
      <c r="V565" s="133"/>
      <c r="W565" s="133"/>
      <c r="X565" s="133"/>
      <c r="Y565" s="133"/>
      <c r="Z565" s="133"/>
    </row>
    <row r="566">
      <c r="A566" s="133">
        <f>IFERROR(__xludf.DUMMYFUNCTION("""COMPUTED_VALUE"""),565.0)</f>
        <v>565</v>
      </c>
      <c r="B566" s="133"/>
      <c r="C566" s="133" t="str">
        <f>IFERROR(__xludf.DUMMYFUNCTION("""COMPUTED_VALUE"""),"P-1-N-210221-803")</f>
        <v>P-1-N-210221-803</v>
      </c>
      <c r="D566" s="133"/>
      <c r="E566" s="133" t="str">
        <f>IFERROR(__xludf.DUMMYFUNCTION("""COMPUTED_VALUE"""),"تمت طباعة الشهادة")</f>
        <v>تمت طباعة الشهادة</v>
      </c>
      <c r="F566" s="133" t="str">
        <f>IFERROR(__xludf.DUMMYFUNCTION("""COMPUTED_VALUE"""),"Schesir NS Dry Duck 4.5 kg")</f>
        <v>Schesir NS Dry Duck 4.5 kg</v>
      </c>
      <c r="G566" s="133" t="str">
        <f>IFERROR(__xludf.DUMMYFUNCTION("""COMPUTED_VALUE"""),"شيزير أن أس طعام جاف بالبط 4.5 كجم")</f>
        <v>شيزير أن أس طعام جاف بالبط 4.5 كجم</v>
      </c>
      <c r="H566" s="133" t="str">
        <f>IFERROR(__xludf.DUMMYFUNCTION("""COMPUTED_VALUE"""),"MAFE2021720")</f>
        <v>MAFE2021720</v>
      </c>
      <c r="I566" s="133"/>
      <c r="J566" s="133"/>
      <c r="K566" s="133" t="str">
        <f>IFERROR(__xludf.DUMMYFUNCTION("""COMPUTED_VALUE"""),"أغراس ديليتش اس بي أي")</f>
        <v>أغراس ديليتش اس بي أي</v>
      </c>
      <c r="L566" s="133"/>
      <c r="M566" s="133"/>
      <c r="N566" s="133"/>
      <c r="O566" s="133"/>
      <c r="P566" s="133"/>
      <c r="Q566" s="133"/>
      <c r="R566" s="133"/>
      <c r="S566" s="133"/>
      <c r="T566" s="133"/>
      <c r="U566" s="133"/>
      <c r="V566" s="133"/>
      <c r="W566" s="133"/>
      <c r="X566" s="133"/>
      <c r="Y566" s="133"/>
      <c r="Z566" s="133"/>
    </row>
    <row r="567">
      <c r="A567" s="133">
        <f>IFERROR(__xludf.DUMMYFUNCTION("""COMPUTED_VALUE"""),566.0)</f>
        <v>566</v>
      </c>
      <c r="B567" s="133"/>
      <c r="C567" s="133" t="str">
        <f>IFERROR(__xludf.DUMMYFUNCTION("""COMPUTED_VALUE"""),"P-1-N-210221-804")</f>
        <v>P-1-N-210221-804</v>
      </c>
      <c r="D567" s="133"/>
      <c r="E567" s="133" t="str">
        <f>IFERROR(__xludf.DUMMYFUNCTION("""COMPUTED_VALUE"""),"تمت طباعة الشهادة")</f>
        <v>تمت طباعة الشهادة</v>
      </c>
      <c r="F567" s="133" t="str">
        <f>IFERROR(__xludf.DUMMYFUNCTION("""COMPUTED_VALUE"""),"Schesir NS Dry Beef 4.5 kg")</f>
        <v>Schesir NS Dry Beef 4.5 kg</v>
      </c>
      <c r="G567" s="133" t="str">
        <f>IFERROR(__xludf.DUMMYFUNCTION("""COMPUTED_VALUE"""),"شيزير أن أس طعام جاف بلحم بقري 4.5 كجم")</f>
        <v>شيزير أن أس طعام جاف بلحم بقري 4.5 كجم</v>
      </c>
      <c r="H567" s="133" t="str">
        <f>IFERROR(__xludf.DUMMYFUNCTION("""COMPUTED_VALUE"""),"MAFE2021719")</f>
        <v>MAFE2021719</v>
      </c>
      <c r="I567" s="133"/>
      <c r="J567" s="133"/>
      <c r="K567" s="133" t="str">
        <f>IFERROR(__xludf.DUMMYFUNCTION("""COMPUTED_VALUE"""),"أغراس ديليتش اس بي أي")</f>
        <v>أغراس ديليتش اس بي أي</v>
      </c>
      <c r="L567" s="133"/>
      <c r="M567" s="133"/>
      <c r="N567" s="133"/>
      <c r="O567" s="133"/>
      <c r="P567" s="133"/>
      <c r="Q567" s="133"/>
      <c r="R567" s="133"/>
      <c r="S567" s="133"/>
      <c r="T567" s="133"/>
      <c r="U567" s="133"/>
      <c r="V567" s="133"/>
      <c r="W567" s="133"/>
      <c r="X567" s="133"/>
      <c r="Y567" s="133"/>
      <c r="Z567" s="133"/>
    </row>
    <row r="568">
      <c r="A568" s="133">
        <f>IFERROR(__xludf.DUMMYFUNCTION("""COMPUTED_VALUE"""),567.0)</f>
        <v>567</v>
      </c>
      <c r="B568" s="133"/>
      <c r="C568" s="133" t="str">
        <f>IFERROR(__xludf.DUMMYFUNCTION("""COMPUTED_VALUE"""),"P-1-N-030321-1071")</f>
        <v>P-1-N-030321-1071</v>
      </c>
      <c r="D568" s="133"/>
      <c r="E568" s="133" t="str">
        <f>IFERROR(__xludf.DUMMYFUNCTION("""COMPUTED_VALUE"""),"تمت طباعة الشهادة")</f>
        <v>تمت طباعة الشهادة</v>
      </c>
      <c r="F568" s="133">
        <f>IFERROR(__xludf.DUMMYFUNCTION("""COMPUTED_VALUE"""),0.0)</f>
        <v>0</v>
      </c>
      <c r="G568" s="133" t="str">
        <f>IFERROR(__xludf.DUMMYFUNCTION("""COMPUTED_VALUE"""),"معجون زيت السلمون 100 جم")</f>
        <v>معجون زيت السلمون 100 جم</v>
      </c>
      <c r="H568" s="133" t="str">
        <f>IFERROR(__xludf.DUMMYFUNCTION("""COMPUTED_VALUE"""),"MAFE2021684")</f>
        <v>MAFE2021684</v>
      </c>
      <c r="I568" s="133"/>
      <c r="J568" s="133"/>
      <c r="K568" s="133" t="str">
        <f>IFERROR(__xludf.DUMMYFUNCTION("""COMPUTED_VALUE"""),"بيفار بي في")</f>
        <v>بيفار بي في</v>
      </c>
      <c r="L568" s="133"/>
      <c r="M568" s="133"/>
      <c r="N568" s="133"/>
      <c r="O568" s="133"/>
      <c r="P568" s="133"/>
      <c r="Q568" s="133"/>
      <c r="R568" s="133"/>
      <c r="S568" s="133"/>
      <c r="T568" s="133"/>
      <c r="U568" s="133"/>
      <c r="V568" s="133"/>
      <c r="W568" s="133"/>
      <c r="X568" s="133"/>
      <c r="Y568" s="133"/>
      <c r="Z568" s="133"/>
    </row>
    <row r="569">
      <c r="A569" s="133">
        <f>IFERROR(__xludf.DUMMYFUNCTION("""COMPUTED_VALUE"""),568.0)</f>
        <v>568</v>
      </c>
      <c r="B569" s="133" t="str">
        <f>IFERROR(__xludf.DUMMYFUNCTION("""COMPUTED_VALUE"""),"C02900101")</f>
        <v>C02900101</v>
      </c>
      <c r="C569" s="133" t="str">
        <f>IFERROR(__xludf.DUMMYFUNCTION("""COMPUTED_VALUE"""),"P-1-N-070321-1126")</f>
        <v>P-1-N-070321-1126</v>
      </c>
      <c r="D569" s="133"/>
      <c r="E569" s="133" t="str">
        <f>IFERROR(__xludf.DUMMYFUNCTION("""COMPUTED_VALUE"""),"تمت طباعة الشهادة")</f>
        <v>تمت طباعة الشهادة</v>
      </c>
      <c r="F569" s="133" t="str">
        <f>IFERROR(__xludf.DUMMYFUNCTION("""COMPUTED_VALUE"""),"Schesir NS Dry Duck 350g")</f>
        <v>Schesir NS Dry Duck 350g</v>
      </c>
      <c r="G569" s="133" t="str">
        <f>IFERROR(__xludf.DUMMYFUNCTION("""COMPUTED_VALUE"""),"شيزير أن أس طعام جاف بالبط 350 جم")</f>
        <v>شيزير أن أس طعام جاف بالبط 350 جم</v>
      </c>
      <c r="H569" s="133" t="str">
        <f>IFERROR(__xludf.DUMMYFUNCTION("""COMPUTED_VALUE"""),"MAFE2021753")</f>
        <v>MAFE2021753</v>
      </c>
      <c r="I569" s="133"/>
      <c r="J569" s="133"/>
      <c r="K569" s="133" t="str">
        <f>IFERROR(__xludf.DUMMYFUNCTION("""COMPUTED_VALUE"""),"أغراس ديليتش اس بي أي")</f>
        <v>أغراس ديليتش اس بي أي</v>
      </c>
      <c r="L569" s="142" t="str">
        <f>IFERROR(__xludf.DUMMYFUNCTION("""COMPUTED_VALUE"""),"C02900101")</f>
        <v>C02900101</v>
      </c>
      <c r="M569" s="133"/>
      <c r="N569" s="133"/>
      <c r="O569" s="133"/>
      <c r="P569" s="133"/>
      <c r="Q569" s="133"/>
      <c r="R569" s="133"/>
      <c r="S569" s="133"/>
      <c r="T569" s="133"/>
      <c r="U569" s="133"/>
      <c r="V569" s="133"/>
      <c r="W569" s="133"/>
      <c r="X569" s="133"/>
      <c r="Y569" s="133"/>
      <c r="Z569" s="133"/>
    </row>
    <row r="570">
      <c r="A570" s="133">
        <f>IFERROR(__xludf.DUMMYFUNCTION("""COMPUTED_VALUE"""),569.0)</f>
        <v>569</v>
      </c>
      <c r="B570" s="133" t="str">
        <f>IFERROR(__xludf.DUMMYFUNCTION("""COMPUTED_VALUE"""),"C02900100")</f>
        <v>C02900100</v>
      </c>
      <c r="C570" s="133" t="str">
        <f>IFERROR(__xludf.DUMMYFUNCTION("""COMPUTED_VALUE"""),"P-1-N-070321-1127")</f>
        <v>P-1-N-070321-1127</v>
      </c>
      <c r="D570" s="133"/>
      <c r="E570" s="133" t="str">
        <f>IFERROR(__xludf.DUMMYFUNCTION("""COMPUTED_VALUE"""),"تمت طباعة الشهادة")</f>
        <v>تمت طباعة الشهادة</v>
      </c>
      <c r="F570" s="133" t="str">
        <f>IFERROR(__xludf.DUMMYFUNCTION("""COMPUTED_VALUE"""),"Schesir NS Dry Turkey 350g")</f>
        <v>Schesir NS Dry Turkey 350g</v>
      </c>
      <c r="G570" s="133" t="str">
        <f>IFERROR(__xludf.DUMMYFUNCTION("""COMPUTED_VALUE"""),"أغراس ديليتش اس بي أي")</f>
        <v>أغراس ديليتش اس بي أي</v>
      </c>
      <c r="H570" s="133" t="str">
        <f>IFERROR(__xludf.DUMMYFUNCTION("""COMPUTED_VALUE"""),"MAFE2021739")</f>
        <v>MAFE2021739</v>
      </c>
      <c r="I570" s="133"/>
      <c r="J570" s="133"/>
      <c r="K570" s="133"/>
      <c r="L570" s="142" t="str">
        <f>IFERROR(__xludf.DUMMYFUNCTION("""COMPUTED_VALUE"""),"C02900100")</f>
        <v>C02900100</v>
      </c>
      <c r="M570" s="133"/>
      <c r="N570" s="133"/>
      <c r="O570" s="133"/>
      <c r="P570" s="133"/>
      <c r="Q570" s="133"/>
      <c r="R570" s="133"/>
      <c r="S570" s="133"/>
      <c r="T570" s="133"/>
      <c r="U570" s="133"/>
      <c r="V570" s="133"/>
      <c r="W570" s="133"/>
      <c r="X570" s="133"/>
      <c r="Y570" s="133"/>
      <c r="Z570" s="133"/>
    </row>
    <row r="571">
      <c r="A571" s="133">
        <f>IFERROR(__xludf.DUMMYFUNCTION("""COMPUTED_VALUE"""),570.0)</f>
        <v>570</v>
      </c>
      <c r="B571" s="133" t="str">
        <f>IFERROR(__xludf.DUMMYFUNCTION("""COMPUTED_VALUE"""),"C02900102")</f>
        <v>C02900102</v>
      </c>
      <c r="C571" s="133" t="str">
        <f>IFERROR(__xludf.DUMMYFUNCTION("""COMPUTED_VALUE"""),"P-1-N-070321-1128")</f>
        <v>P-1-N-070321-1128</v>
      </c>
      <c r="D571" s="133"/>
      <c r="E571" s="133" t="str">
        <f>IFERROR(__xludf.DUMMYFUNCTION("""COMPUTED_VALUE"""),"تمت طباعة الشهادة")</f>
        <v>تمت طباعة الشهادة</v>
      </c>
      <c r="F571" s="133" t="str">
        <f>IFERROR(__xludf.DUMMYFUNCTION("""COMPUTED_VALUE"""),"Schesir NS Dry Chicken 350g")</f>
        <v>Schesir NS Dry Chicken 350g</v>
      </c>
      <c r="G571" s="133" t="str">
        <f>IFERROR(__xludf.DUMMYFUNCTION("""COMPUTED_VALUE"""),"شيزير أن أس طعام جاف بالدجاج 350 جم")</f>
        <v>شيزير أن أس طعام جاف بالدجاج 350 جم</v>
      </c>
      <c r="H571" s="133" t="str">
        <f>IFERROR(__xludf.DUMMYFUNCTION("""COMPUTED_VALUE"""),"MAFE2021738")</f>
        <v>MAFE2021738</v>
      </c>
      <c r="I571" s="133"/>
      <c r="J571" s="133"/>
      <c r="K571" s="133" t="str">
        <f>IFERROR(__xludf.DUMMYFUNCTION("""COMPUTED_VALUE"""),"شيزير أن أس طعام جاف بالدجاج 350 جم")</f>
        <v>شيزير أن أس طعام جاف بالدجاج 350 جم</v>
      </c>
      <c r="L571" s="142" t="str">
        <f>IFERROR(__xludf.DUMMYFUNCTION("""COMPUTED_VALUE"""),"C02900102")</f>
        <v>C02900102</v>
      </c>
      <c r="M571" s="133"/>
      <c r="N571" s="133"/>
      <c r="O571" s="133"/>
      <c r="P571" s="133"/>
      <c r="Q571" s="133"/>
      <c r="R571" s="133"/>
      <c r="S571" s="133"/>
      <c r="T571" s="133"/>
      <c r="U571" s="133"/>
      <c r="V571" s="133"/>
      <c r="W571" s="133"/>
      <c r="X571" s="133"/>
      <c r="Y571" s="133"/>
      <c r="Z571" s="133"/>
    </row>
    <row r="572">
      <c r="A572" s="133">
        <f>IFERROR(__xludf.DUMMYFUNCTION("""COMPUTED_VALUE"""),571.0)</f>
        <v>571</v>
      </c>
      <c r="B572" s="133"/>
      <c r="C572" s="133" t="str">
        <f>IFERROR(__xludf.DUMMYFUNCTION("""COMPUTED_VALUE"""),"P-1-N-070321-1130")</f>
        <v>P-1-N-070321-1130</v>
      </c>
      <c r="D572" s="133"/>
      <c r="E572" s="133" t="str">
        <f>IFERROR(__xludf.DUMMYFUNCTION("""COMPUTED_VALUE"""),"تمت طباعة الشهادة")</f>
        <v>تمت طباعة الشهادة</v>
      </c>
      <c r="F572" s="133" t="str">
        <f>IFERROR(__xludf.DUMMYFUNCTION("""COMPUTED_VALUE"""),"English Name")</f>
        <v>English Name</v>
      </c>
      <c r="G572" s="133" t="str">
        <f>IFERROR(__xludf.DUMMYFUNCTION("""COMPUTED_VALUE"""),"شيزير أن أس طعام جاف بلحم بقري 350 جم")</f>
        <v>شيزير أن أس طعام جاف بلحم بقري 350 جم</v>
      </c>
      <c r="H572" s="133" t="str">
        <f>IFERROR(__xludf.DUMMYFUNCTION("""COMPUTED_VALUE"""),"MAFE2021737")</f>
        <v>MAFE2021737</v>
      </c>
      <c r="I572" s="133"/>
      <c r="J572" s="133"/>
      <c r="K572" s="133" t="str">
        <f>IFERROR(__xludf.DUMMYFUNCTION("""COMPUTED_VALUE"""),"أغراس ديليتش اس بي أي")</f>
        <v>أغراس ديليتش اس بي أي</v>
      </c>
      <c r="L572" s="133"/>
      <c r="M572" s="133"/>
      <c r="N572" s="133"/>
      <c r="O572" s="133"/>
      <c r="P572" s="133"/>
      <c r="Q572" s="133"/>
      <c r="R572" s="133"/>
      <c r="S572" s="133"/>
      <c r="T572" s="133"/>
      <c r="U572" s="133"/>
      <c r="V572" s="133"/>
      <c r="W572" s="133"/>
      <c r="X572" s="133"/>
      <c r="Y572" s="133"/>
      <c r="Z572" s="133"/>
    </row>
    <row r="573">
      <c r="A573" s="133">
        <f>IFERROR(__xludf.DUMMYFUNCTION("""COMPUTED_VALUE"""),572.0)</f>
        <v>572</v>
      </c>
      <c r="B573" s="133" t="str">
        <f>IFERROR(__xludf.DUMMYFUNCTION("""COMPUTED_VALUE"""),"B1022")</f>
        <v>B1022</v>
      </c>
      <c r="C573" s="133" t="str">
        <f>IFERROR(__xludf.DUMMYFUNCTION("""COMPUTED_VALUE"""),"P-1-N-070321-1132")</f>
        <v>P-1-N-070321-1132</v>
      </c>
      <c r="D573" s="133"/>
      <c r="E573" s="133" t="str">
        <f>IFERROR(__xludf.DUMMYFUNCTION("""COMPUTED_VALUE"""),"تمت طباعة الشهادة")</f>
        <v>تمت طباعة الشهادة</v>
      </c>
      <c r="F573" s="133" t="str">
        <f>IFERROR(__xludf.DUMMYFUNCTION("""COMPUTED_VALUE"""),"Butchers Functional Dog Junior Lamb CIJ ")</f>
        <v>Butchers Functional Dog Junior Lamb CIJ </v>
      </c>
      <c r="G573" s="133" t="str">
        <f>IFERROR(__xludf.DUMMYFUNCTION("""COMPUTED_VALUE"""),"شيزير أن أس طعام جاف ببالديك الرومي 1.4 كجم")</f>
        <v>شيزير أن أس طعام جاف ببالديك الرومي 1.4 كجم</v>
      </c>
      <c r="H573" s="133" t="str">
        <f>IFERROR(__xludf.DUMMYFUNCTION("""COMPUTED_VALUE"""),"MAFE2021735")</f>
        <v>MAFE2021735</v>
      </c>
      <c r="I573" s="133"/>
      <c r="J573" s="133"/>
      <c r="K573" s="133" t="str">
        <f>IFERROR(__xludf.DUMMYFUNCTION("""COMPUTED_VALUE"""),"أغراس ديليتش اس بي أي")</f>
        <v>أغراس ديليتش اس بي أي</v>
      </c>
      <c r="L573" s="142" t="str">
        <f>IFERROR(__xludf.DUMMYFUNCTION("""COMPUTED_VALUE"""),"B1022")</f>
        <v>B1022</v>
      </c>
      <c r="M573" s="133"/>
      <c r="N573" s="133"/>
      <c r="O573" s="133"/>
      <c r="P573" s="133"/>
      <c r="Q573" s="133"/>
      <c r="R573" s="133"/>
      <c r="S573" s="133"/>
      <c r="T573" s="133"/>
      <c r="U573" s="133"/>
      <c r="V573" s="133"/>
      <c r="W573" s="133"/>
      <c r="X573" s="133"/>
      <c r="Y573" s="133"/>
      <c r="Z573" s="133"/>
    </row>
    <row r="574">
      <c r="A574" s="133">
        <f>IFERROR(__xludf.DUMMYFUNCTION("""COMPUTED_VALUE"""),573.0)</f>
        <v>573</v>
      </c>
      <c r="B574" s="133" t="str">
        <f>IFERROR(__xludf.DUMMYFUNCTION("""COMPUTED_VALUE"""),"WB80232")</f>
        <v>WB80232</v>
      </c>
      <c r="C574" s="133" t="str">
        <f>IFERROR(__xludf.DUMMYFUNCTION("""COMPUTED_VALUE"""),"P-1-N-070321-1133")</f>
        <v>P-1-N-070321-1133</v>
      </c>
      <c r="D574" s="133"/>
      <c r="E574" s="133" t="str">
        <f>IFERROR(__xludf.DUMMYFUNCTION("""COMPUTED_VALUE"""),"تمت طباعة الشهادة")</f>
        <v>تمت طباعة الشهادة</v>
      </c>
      <c r="F574" s="133" t="str">
        <f>IFERROR(__xludf.DUMMYFUNCTION("""COMPUTED_VALUE"""),"Tiki Cat Velvet Mousse with Chicken &amp; Egg 80g")</f>
        <v>Tiki Cat Velvet Mousse with Chicken &amp; Egg 80g</v>
      </c>
      <c r="G574" s="133" t="str">
        <f>IFERROR(__xludf.DUMMYFUNCTION("""COMPUTED_VALUE"""),"شيزير أن أس طعام جاف بالبط 1.4 كجم")</f>
        <v>شيزير أن أس طعام جاف بالبط 1.4 كجم</v>
      </c>
      <c r="H574" s="133" t="str">
        <f>IFERROR(__xludf.DUMMYFUNCTION("""COMPUTED_VALUE"""),"MAFE2021732")</f>
        <v>MAFE2021732</v>
      </c>
      <c r="I574" s="133"/>
      <c r="J574" s="133"/>
      <c r="K574" s="133" t="str">
        <f>IFERROR(__xludf.DUMMYFUNCTION("""COMPUTED_VALUE"""),"أغراس ديليتش اس بي أي")</f>
        <v>أغراس ديليتش اس بي أي</v>
      </c>
      <c r="L574" s="142" t="str">
        <f>IFERROR(__xludf.DUMMYFUNCTION("""COMPUTED_VALUE"""),"WB80232")</f>
        <v>WB80232</v>
      </c>
      <c r="M574" s="133"/>
      <c r="N574" s="133"/>
      <c r="O574" s="133"/>
      <c r="P574" s="133"/>
      <c r="Q574" s="133"/>
      <c r="R574" s="133"/>
      <c r="S574" s="133"/>
      <c r="T574" s="133"/>
      <c r="U574" s="133"/>
      <c r="V574" s="133"/>
      <c r="W574" s="133"/>
      <c r="X574" s="133"/>
      <c r="Y574" s="133"/>
      <c r="Z574" s="133"/>
    </row>
    <row r="575">
      <c r="A575" s="133">
        <f>IFERROR(__xludf.DUMMYFUNCTION("""COMPUTED_VALUE"""),574.0)</f>
        <v>574</v>
      </c>
      <c r="B575" s="133"/>
      <c r="C575" s="133" t="str">
        <f>IFERROR(__xludf.DUMMYFUNCTION("""COMPUTED_VALUE"""),"P-1-N-070321-1138")</f>
        <v>P-1-N-070321-1138</v>
      </c>
      <c r="D575" s="133"/>
      <c r="E575" s="133" t="str">
        <f>IFERROR(__xludf.DUMMYFUNCTION("""COMPUTED_VALUE"""),"REJECTED")</f>
        <v>REJECTED</v>
      </c>
      <c r="F575" s="133" t="str">
        <f>IFERROR(__xludf.DUMMYFUNCTION("""COMPUTED_VALUE"""),"Kit Cat Deboned Tuna Classic Aspic for Kitten 80g")</f>
        <v>Kit Cat Deboned Tuna Classic Aspic for Kitten 80g</v>
      </c>
      <c r="G575" s="133" t="str">
        <f>IFERROR(__xludf.DUMMYFUNCTION("""COMPUTED_VALUE"""),"كيت كات ديبوند تونة كلاسيك أسبك للقطط الصغيرة 80 جم")</f>
        <v>كيت كات ديبوند تونة كلاسيك أسبك للقطط الصغيرة 80 جم</v>
      </c>
      <c r="H575" s="133"/>
      <c r="I575" s="133"/>
      <c r="J575" s="133"/>
      <c r="K575" s="133" t="str">
        <f>IFERROR(__xludf.DUMMYFUNCTION("""COMPUTED_VALUE"""),"شركة سيام للأغذية العالمية المحدودة")</f>
        <v>شركة سيام للأغذية العالمية المحدودة</v>
      </c>
      <c r="L575" s="133"/>
      <c r="M575" s="133"/>
      <c r="N575" s="133"/>
      <c r="O575" s="133"/>
      <c r="P575" s="133"/>
      <c r="Q575" s="133"/>
      <c r="R575" s="133"/>
      <c r="S575" s="133"/>
      <c r="T575" s="133"/>
      <c r="U575" s="133"/>
      <c r="V575" s="133"/>
      <c r="W575" s="133"/>
      <c r="X575" s="133"/>
      <c r="Y575" s="133"/>
      <c r="Z575" s="133"/>
    </row>
    <row r="576">
      <c r="A576" s="133">
        <f>IFERROR(__xludf.DUMMYFUNCTION("""COMPUTED_VALUE"""),575.0)</f>
        <v>575</v>
      </c>
      <c r="B576" s="133"/>
      <c r="C576" s="133" t="str">
        <f>IFERROR(__xludf.DUMMYFUNCTION("""COMPUTED_VALUE"""),"P-1-N-070321-1139")</f>
        <v>P-1-N-070321-1139</v>
      </c>
      <c r="D576" s="133"/>
      <c r="E576" s="133" t="str">
        <f>IFERROR(__xludf.DUMMYFUNCTION("""COMPUTED_VALUE"""),"REJECTED")</f>
        <v>REJECTED</v>
      </c>
      <c r="F576" s="133" t="str">
        <f>IFERROR(__xludf.DUMMYFUNCTION("""COMPUTED_VALUE"""),"Kit Cat Deboned Chicken Classic Aspic for Kitten 80g")</f>
        <v>Kit Cat Deboned Chicken Classic Aspic for Kitten 80g</v>
      </c>
      <c r="G576" s="133" t="str">
        <f>IFERROR(__xludf.DUMMYFUNCTION("""COMPUTED_VALUE"""),"كيت كات ديبوند دجاج كلاسيك أسبك للقطط الصغيرة 80 جم")</f>
        <v>كيت كات ديبوند دجاج كلاسيك أسبك للقطط الصغيرة 80 جم</v>
      </c>
      <c r="H576" s="133"/>
      <c r="I576" s="133"/>
      <c r="J576" s="133"/>
      <c r="K576" s="133" t="str">
        <f>IFERROR(__xludf.DUMMYFUNCTION("""COMPUTED_VALUE"""),"شركة سيام للأغذية العالمية المحدودة")</f>
        <v>شركة سيام للأغذية العالمية المحدودة</v>
      </c>
      <c r="L576" s="133"/>
      <c r="M576" s="133"/>
      <c r="N576" s="133"/>
      <c r="O576" s="133"/>
      <c r="P576" s="133"/>
      <c r="Q576" s="133"/>
      <c r="R576" s="133"/>
      <c r="S576" s="133"/>
      <c r="T576" s="133"/>
      <c r="U576" s="133"/>
      <c r="V576" s="133"/>
      <c r="W576" s="133"/>
      <c r="X576" s="133"/>
      <c r="Y576" s="133"/>
      <c r="Z576" s="133"/>
    </row>
    <row r="577">
      <c r="A577" s="133">
        <f>IFERROR(__xludf.DUMMYFUNCTION("""COMPUTED_VALUE"""),576.0)</f>
        <v>576</v>
      </c>
      <c r="B577" s="133" t="str">
        <f>IFERROR(__xludf.DUMMYFUNCTION("""COMPUTED_VALUE"""),"USD611")</f>
        <v>USD611</v>
      </c>
      <c r="C577" s="133" t="str">
        <f>IFERROR(__xludf.DUMMYFUNCTION("""COMPUTED_VALUE"""),"P-1-N-080321-1168")</f>
        <v>P-1-N-080321-1168</v>
      </c>
      <c r="D577" s="133"/>
      <c r="E577" s="133" t="str">
        <f>IFERROR(__xludf.DUMMYFUNCTION("""COMPUTED_VALUE"""),"تمت طباعة الشهادة")</f>
        <v>تمت طباعة الشهادة</v>
      </c>
      <c r="F577" s="133" t="str">
        <f>IFERROR(__xludf.DUMMYFUNCTION("""COMPUTED_VALUE"""),"Dog Churu Chicken Recipe 80g")</f>
        <v>Dog Churu Chicken Recipe 80g</v>
      </c>
      <c r="G577" s="133" t="str">
        <f>IFERROR(__xludf.DUMMYFUNCTION("""COMPUTED_VALUE"""),"تشورو للكلاب وصفة الدجاج 80 جم")</f>
        <v>تشورو للكلاب وصفة الدجاج 80 جم</v>
      </c>
      <c r="H577" s="133" t="str">
        <f>IFERROR(__xludf.DUMMYFUNCTION("""COMPUTED_VALUE"""),"MAFE2021813")</f>
        <v>MAFE2021813</v>
      </c>
      <c r="I577" s="133"/>
      <c r="J577" s="133"/>
      <c r="K577" s="133" t="str">
        <f>IFERROR(__xludf.DUMMYFUNCTION("""COMPUTED_VALUE"""),"شركة تاي اينابا للأغذية المحدودة")</f>
        <v>شركة تاي اينابا للأغذية المحدودة</v>
      </c>
      <c r="L577" s="142" t="str">
        <f>IFERROR(__xludf.DUMMYFUNCTION("""COMPUTED_VALUE"""),"USD611")</f>
        <v>USD611</v>
      </c>
      <c r="M577" s="133"/>
      <c r="N577" s="133"/>
      <c r="O577" s="133"/>
      <c r="P577" s="133"/>
      <c r="Q577" s="133"/>
      <c r="R577" s="133"/>
      <c r="S577" s="133"/>
      <c r="T577" s="133"/>
      <c r="U577" s="133"/>
      <c r="V577" s="133"/>
      <c r="W577" s="133"/>
      <c r="X577" s="133"/>
      <c r="Y577" s="133"/>
      <c r="Z577" s="133"/>
    </row>
    <row r="578">
      <c r="A578" s="133">
        <f>IFERROR(__xludf.DUMMYFUNCTION("""COMPUTED_VALUE"""),577.0)</f>
        <v>577</v>
      </c>
      <c r="B578" s="133" t="str">
        <f>IFERROR(__xludf.DUMMYFUNCTION("""COMPUTED_VALUE"""),"USD612")</f>
        <v>USD612</v>
      </c>
      <c r="C578" s="133" t="str">
        <f>IFERROR(__xludf.DUMMYFUNCTION("""COMPUTED_VALUE"""),"P-1-N-080321-1169")</f>
        <v>P-1-N-080321-1169</v>
      </c>
      <c r="D578" s="133"/>
      <c r="E578" s="133" t="str">
        <f>IFERROR(__xludf.DUMMYFUNCTION("""COMPUTED_VALUE"""),"تمت طباعة الشهادة")</f>
        <v>تمت طباعة الشهادة</v>
      </c>
      <c r="F578" s="133" t="str">
        <f>IFERROR(__xludf.DUMMYFUNCTION("""COMPUTED_VALUE"""),"Dog Churu Chicken with Tuna Recipe 80g")</f>
        <v>Dog Churu Chicken with Tuna Recipe 80g</v>
      </c>
      <c r="G578" s="133" t="str">
        <f>IFERROR(__xludf.DUMMYFUNCTION("""COMPUTED_VALUE"""),"تشورو للكلاب وصفة الدجاج مع التونا 80 جم")</f>
        <v>تشورو للكلاب وصفة الدجاج مع التونا 80 جم</v>
      </c>
      <c r="H578" s="133" t="str">
        <f>IFERROR(__xludf.DUMMYFUNCTION("""COMPUTED_VALUE"""),"MAFE2021812")</f>
        <v>MAFE2021812</v>
      </c>
      <c r="I578" s="133"/>
      <c r="J578" s="133"/>
      <c r="K578" s="133" t="str">
        <f>IFERROR(__xludf.DUMMYFUNCTION("""COMPUTED_VALUE"""),"شركة تاي اينابا للأغذية المحدودة")</f>
        <v>شركة تاي اينابا للأغذية المحدودة</v>
      </c>
      <c r="L578" s="142" t="str">
        <f>IFERROR(__xludf.DUMMYFUNCTION("""COMPUTED_VALUE"""),"USD612")</f>
        <v>USD612</v>
      </c>
      <c r="M578" s="133"/>
      <c r="N578" s="133"/>
      <c r="O578" s="133"/>
      <c r="P578" s="133"/>
      <c r="Q578" s="133"/>
      <c r="R578" s="133"/>
      <c r="S578" s="133"/>
      <c r="T578" s="133"/>
      <c r="U578" s="133"/>
      <c r="V578" s="133"/>
      <c r="W578" s="133"/>
      <c r="X578" s="133"/>
      <c r="Y578" s="133"/>
      <c r="Z578" s="133"/>
    </row>
    <row r="579">
      <c r="A579" s="133">
        <f>IFERROR(__xludf.DUMMYFUNCTION("""COMPUTED_VALUE"""),578.0)</f>
        <v>578</v>
      </c>
      <c r="B579" s="133" t="str">
        <f>IFERROR(__xludf.DUMMYFUNCTION("""COMPUTED_VALUE"""),"USD613")</f>
        <v>USD613</v>
      </c>
      <c r="C579" s="133" t="str">
        <f>IFERROR(__xludf.DUMMYFUNCTION("""COMPUTED_VALUE"""),"P-1-N-080321-1170")</f>
        <v>P-1-N-080321-1170</v>
      </c>
      <c r="D579" s="133"/>
      <c r="E579" s="133" t="str">
        <f>IFERROR(__xludf.DUMMYFUNCTION("""COMPUTED_VALUE"""),"تمت طباعة الشهادة")</f>
        <v>تمت طباعة الشهادة</v>
      </c>
      <c r="F579" s="133" t="str">
        <f>IFERROR(__xludf.DUMMYFUNCTION("""COMPUTED_VALUE"""),"Dog Churu Chicken with Salmon Recipe 80g")</f>
        <v>Dog Churu Chicken with Salmon Recipe 80g</v>
      </c>
      <c r="G579" s="133" t="str">
        <f>IFERROR(__xludf.DUMMYFUNCTION("""COMPUTED_VALUE"""),"تشورو للكلاب وصفة الدجاج مع السالمون 80 جم")</f>
        <v>تشورو للكلاب وصفة الدجاج مع السالمون 80 جم</v>
      </c>
      <c r="H579" s="133" t="str">
        <f>IFERROR(__xludf.DUMMYFUNCTION("""COMPUTED_VALUE"""),"MAFE2021818")</f>
        <v>MAFE2021818</v>
      </c>
      <c r="I579" s="133"/>
      <c r="J579" s="133"/>
      <c r="K579" s="133" t="str">
        <f>IFERROR(__xludf.DUMMYFUNCTION("""COMPUTED_VALUE"""),"شركة تاي اينابا للأغذية المحدودة")</f>
        <v>شركة تاي اينابا للأغذية المحدودة</v>
      </c>
      <c r="L579" s="142" t="str">
        <f>IFERROR(__xludf.DUMMYFUNCTION("""COMPUTED_VALUE"""),"USD613")</f>
        <v>USD613</v>
      </c>
      <c r="M579" s="133"/>
      <c r="N579" s="133"/>
      <c r="O579" s="133"/>
      <c r="P579" s="133"/>
      <c r="Q579" s="133"/>
      <c r="R579" s="133"/>
      <c r="S579" s="133"/>
      <c r="T579" s="133"/>
      <c r="U579" s="133"/>
      <c r="V579" s="133"/>
      <c r="W579" s="133"/>
      <c r="X579" s="133"/>
      <c r="Y579" s="133"/>
      <c r="Z579" s="133"/>
    </row>
    <row r="580">
      <c r="A580" s="133">
        <f>IFERROR(__xludf.DUMMYFUNCTION("""COMPUTED_VALUE"""),579.0)</f>
        <v>579</v>
      </c>
      <c r="B580" s="133" t="str">
        <f>IFERROR(__xludf.DUMMYFUNCTION("""COMPUTED_VALUE"""),"USD614")</f>
        <v>USD614</v>
      </c>
      <c r="C580" s="133" t="str">
        <f>IFERROR(__xludf.DUMMYFUNCTION("""COMPUTED_VALUE"""),"P-1-N-080321-1171")</f>
        <v>P-1-N-080321-1171</v>
      </c>
      <c r="D580" s="133"/>
      <c r="E580" s="133" t="str">
        <f>IFERROR(__xludf.DUMMYFUNCTION("""COMPUTED_VALUE"""),"تمت طباعة الشهادة")</f>
        <v>تمت طباعة الشهادة</v>
      </c>
      <c r="F580" s="133" t="str">
        <f>IFERROR(__xludf.DUMMYFUNCTION("""COMPUTED_VALUE"""),"Dog Churu Chicken with Cheese Recipe 80g")</f>
        <v>Dog Churu Chicken with Cheese Recipe 80g</v>
      </c>
      <c r="G580" s="133" t="str">
        <f>IFERROR(__xludf.DUMMYFUNCTION("""COMPUTED_VALUE"""),"تشورو للكلاب وصفة الدجاج مع الجبنة 80 جم")</f>
        <v>تشورو للكلاب وصفة الدجاج مع الجبنة 80 جم</v>
      </c>
      <c r="H580" s="133" t="str">
        <f>IFERROR(__xludf.DUMMYFUNCTION("""COMPUTED_VALUE"""),"MAFE2021811")</f>
        <v>MAFE2021811</v>
      </c>
      <c r="I580" s="133"/>
      <c r="J580" s="133"/>
      <c r="K580" s="133" t="str">
        <f>IFERROR(__xludf.DUMMYFUNCTION("""COMPUTED_VALUE"""),"شركة تاي اينابا للأغذية المحدودة")</f>
        <v>شركة تاي اينابا للأغذية المحدودة</v>
      </c>
      <c r="L580" s="142" t="str">
        <f>IFERROR(__xludf.DUMMYFUNCTION("""COMPUTED_VALUE"""),"USD614")</f>
        <v>USD614</v>
      </c>
      <c r="M580" s="133"/>
      <c r="N580" s="133"/>
      <c r="O580" s="133"/>
      <c r="P580" s="133"/>
      <c r="Q580" s="133"/>
      <c r="R580" s="133"/>
      <c r="S580" s="133"/>
      <c r="T580" s="133"/>
      <c r="U580" s="133"/>
      <c r="V580" s="133"/>
      <c r="W580" s="133"/>
      <c r="X580" s="133"/>
      <c r="Y580" s="133"/>
      <c r="Z580" s="133"/>
    </row>
    <row r="581">
      <c r="A581" s="133">
        <f>IFERROR(__xludf.DUMMYFUNCTION("""COMPUTED_VALUE"""),580.0)</f>
        <v>580</v>
      </c>
      <c r="B581" s="133" t="str">
        <f>IFERROR(__xludf.DUMMYFUNCTION("""COMPUTED_VALUE"""),"USD615")</f>
        <v>USD615</v>
      </c>
      <c r="C581" s="133" t="str">
        <f>IFERROR(__xludf.DUMMYFUNCTION("""COMPUTED_VALUE"""),"P-1-N-080321-1172")</f>
        <v>P-1-N-080321-1172</v>
      </c>
      <c r="D581" s="133"/>
      <c r="E581" s="133" t="str">
        <f>IFERROR(__xludf.DUMMYFUNCTION("""COMPUTED_VALUE"""),"تمت طباعة الشهادة")</f>
        <v>تمت طباعة الشهادة</v>
      </c>
      <c r="F581" s="133" t="str">
        <f>IFERROR(__xludf.DUMMYFUNCTION("""COMPUTED_VALUE"""),"Dog Churu Chicken with Vegetables Recipe 80g")</f>
        <v>Dog Churu Chicken with Vegetables Recipe 80g</v>
      </c>
      <c r="G581" s="133" t="str">
        <f>IFERROR(__xludf.DUMMYFUNCTION("""COMPUTED_VALUE"""),"تشورو للكلاب وصفة الدجاج مع الخضار 80 جم")</f>
        <v>تشورو للكلاب وصفة الدجاج مع الخضار 80 جم</v>
      </c>
      <c r="H581" s="133" t="str">
        <f>IFERROR(__xludf.DUMMYFUNCTION("""COMPUTED_VALUE"""),"MAFE2021810")</f>
        <v>MAFE2021810</v>
      </c>
      <c r="I581" s="133"/>
      <c r="J581" s="133"/>
      <c r="K581" s="133" t="str">
        <f>IFERROR(__xludf.DUMMYFUNCTION("""COMPUTED_VALUE"""),"شركة تاي اينابا للأغذية المحدودة")</f>
        <v>شركة تاي اينابا للأغذية المحدودة</v>
      </c>
      <c r="L581" s="142" t="str">
        <f>IFERROR(__xludf.DUMMYFUNCTION("""COMPUTED_VALUE"""),"USD615")</f>
        <v>USD615</v>
      </c>
      <c r="M581" s="133"/>
      <c r="N581" s="133"/>
      <c r="O581" s="133"/>
      <c r="P581" s="133"/>
      <c r="Q581" s="133"/>
      <c r="R581" s="133"/>
      <c r="S581" s="133"/>
      <c r="T581" s="133"/>
      <c r="U581" s="133"/>
      <c r="V581" s="133"/>
      <c r="W581" s="133"/>
      <c r="X581" s="133"/>
      <c r="Y581" s="133"/>
      <c r="Z581" s="133"/>
    </row>
    <row r="582">
      <c r="A582" s="133">
        <f>IFERROR(__xludf.DUMMYFUNCTION("""COMPUTED_VALUE"""),581.0)</f>
        <v>581</v>
      </c>
      <c r="B582" s="133" t="str">
        <f>IFERROR(__xludf.DUMMYFUNCTION("""COMPUTED_VALUE"""),"USD721")</f>
        <v>USD721</v>
      </c>
      <c r="C582" s="133" t="str">
        <f>IFERROR(__xludf.DUMMYFUNCTION("""COMPUTED_VALUE"""),"P-1-N-080321-1173")</f>
        <v>P-1-N-080321-1173</v>
      </c>
      <c r="D582" s="133"/>
      <c r="E582" s="133" t="str">
        <f>IFERROR(__xludf.DUMMYFUNCTION("""COMPUTED_VALUE"""),"تمت طباعة الشهادة")</f>
        <v>تمت طباعة الشهادة</v>
      </c>
      <c r="F582" s="133" t="str">
        <f>IFERROR(__xludf.DUMMYFUNCTION("""COMPUTED_VALUE"""),"Churu Bites for Dog Chicken Recipe Wraps Chicken Recipe 96g")</f>
        <v>Churu Bites for Dog Chicken Recipe Wraps Chicken Recipe 96g</v>
      </c>
      <c r="G582" s="133" t="str">
        <f>IFERROR(__xludf.DUMMYFUNCTION("""COMPUTED_VALUE"""),"تشورو بايتس للكلاب وصفة الدجاج ملفوفة بوصفة الدجاج 96 جم")</f>
        <v>تشورو بايتس للكلاب وصفة الدجاج ملفوفة بوصفة الدجاج 96 جم</v>
      </c>
      <c r="H582" s="133" t="str">
        <f>IFERROR(__xludf.DUMMYFUNCTION("""COMPUTED_VALUE"""),"MAFE2021809")</f>
        <v>MAFE2021809</v>
      </c>
      <c r="I582" s="133"/>
      <c r="J582" s="133"/>
      <c r="K582" s="133" t="str">
        <f>IFERROR(__xludf.DUMMYFUNCTION("""COMPUTED_VALUE"""),"شركة تاي اينابا للأغذية المحدودة")</f>
        <v>شركة تاي اينابا للأغذية المحدودة</v>
      </c>
      <c r="L582" s="142" t="str">
        <f>IFERROR(__xludf.DUMMYFUNCTION("""COMPUTED_VALUE"""),"USD721")</f>
        <v>USD721</v>
      </c>
      <c r="M582" s="133"/>
      <c r="N582" s="133"/>
      <c r="O582" s="133"/>
      <c r="P582" s="133"/>
      <c r="Q582" s="133"/>
      <c r="R582" s="133"/>
      <c r="S582" s="133"/>
      <c r="T582" s="133"/>
      <c r="U582" s="133"/>
      <c r="V582" s="133"/>
      <c r="W582" s="133"/>
      <c r="X582" s="133"/>
      <c r="Y582" s="133"/>
      <c r="Z582" s="133"/>
    </row>
    <row r="583">
      <c r="A583" s="133">
        <f>IFERROR(__xludf.DUMMYFUNCTION("""COMPUTED_VALUE"""),582.0)</f>
        <v>582</v>
      </c>
      <c r="B583" s="133" t="str">
        <f>IFERROR(__xludf.DUMMYFUNCTION("""COMPUTED_VALUE"""),"USD722")</f>
        <v>USD722</v>
      </c>
      <c r="C583" s="133" t="str">
        <f>IFERROR(__xludf.DUMMYFUNCTION("""COMPUTED_VALUE"""),"P-1-N-080321-1174")</f>
        <v>P-1-N-080321-1174</v>
      </c>
      <c r="D583" s="133"/>
      <c r="E583" s="133" t="str">
        <f>IFERROR(__xludf.DUMMYFUNCTION("""COMPUTED_VALUE"""),"تمت طباعة الشهادة")</f>
        <v>تمت طباعة الشهادة</v>
      </c>
      <c r="F583" s="133" t="str">
        <f>IFERROR(__xludf.DUMMYFUNCTION("""COMPUTED_VALUE"""),"Churu Bites for Dog Chicken Recipe Wraps Chicken with Tuna Recipe 96g")</f>
        <v>Churu Bites for Dog Chicken Recipe Wraps Chicken with Tuna Recipe 96g</v>
      </c>
      <c r="G583" s="133" t="str">
        <f>IFERROR(__xludf.DUMMYFUNCTION("""COMPUTED_VALUE"""),"تشورو بايتس للكلاب وصفة الدجاج ملفوفة بوصفة الدجاج مع التونا 96 جم")</f>
        <v>تشورو بايتس للكلاب وصفة الدجاج ملفوفة بوصفة الدجاج مع التونا 96 جم</v>
      </c>
      <c r="H583" s="133" t="str">
        <f>IFERROR(__xludf.DUMMYFUNCTION("""COMPUTED_VALUE"""),"MAFE2021808")</f>
        <v>MAFE2021808</v>
      </c>
      <c r="I583" s="133"/>
      <c r="J583" s="133"/>
      <c r="K583" s="133" t="str">
        <f>IFERROR(__xludf.DUMMYFUNCTION("""COMPUTED_VALUE"""),"شركة تاي اينابا للأغذية المحدودة")</f>
        <v>شركة تاي اينابا للأغذية المحدودة</v>
      </c>
      <c r="L583" s="142" t="str">
        <f>IFERROR(__xludf.DUMMYFUNCTION("""COMPUTED_VALUE"""),"USD722")</f>
        <v>USD722</v>
      </c>
      <c r="M583" s="133"/>
      <c r="N583" s="133"/>
      <c r="O583" s="133"/>
      <c r="P583" s="133"/>
      <c r="Q583" s="133"/>
      <c r="R583" s="133"/>
      <c r="S583" s="133"/>
      <c r="T583" s="133"/>
      <c r="U583" s="133"/>
      <c r="V583" s="133"/>
      <c r="W583" s="133"/>
      <c r="X583" s="133"/>
      <c r="Y583" s="133"/>
      <c r="Z583" s="133"/>
    </row>
    <row r="584">
      <c r="A584" s="133">
        <f>IFERROR(__xludf.DUMMYFUNCTION("""COMPUTED_VALUE"""),583.0)</f>
        <v>583</v>
      </c>
      <c r="B584" s="133" t="str">
        <f>IFERROR(__xludf.DUMMYFUNCTION("""COMPUTED_VALUE"""),"USD724")</f>
        <v>USD724</v>
      </c>
      <c r="C584" s="133" t="str">
        <f>IFERROR(__xludf.DUMMYFUNCTION("""COMPUTED_VALUE"""),"P-1-N-080321-1175")</f>
        <v>P-1-N-080321-1175</v>
      </c>
      <c r="D584" s="133"/>
      <c r="E584" s="133" t="str">
        <f>IFERROR(__xludf.DUMMYFUNCTION("""COMPUTED_VALUE"""),"تمت طباعة الشهادة")</f>
        <v>تمت طباعة الشهادة</v>
      </c>
      <c r="F584" s="133" t="str">
        <f>IFERROR(__xludf.DUMMYFUNCTION("""COMPUTED_VALUE"""),"Churu Bites for Dog Chicken Recipe Wraps Chicken with Cheese Recipe 96g")</f>
        <v>Churu Bites for Dog Chicken Recipe Wraps Chicken with Cheese Recipe 96g</v>
      </c>
      <c r="G584" s="133" t="str">
        <f>IFERROR(__xludf.DUMMYFUNCTION("""COMPUTED_VALUE"""),"تشورو بايتس للكلاب وصفة الدجاج ملفوفة بوصفة الدجاج مع الجبنة 96 جم")</f>
        <v>تشورو بايتس للكلاب وصفة الدجاج ملفوفة بوصفة الدجاج مع الجبنة 96 جم</v>
      </c>
      <c r="H584" s="133" t="str">
        <f>IFERROR(__xludf.DUMMYFUNCTION("""COMPUTED_VALUE"""),"MAFE2021807")</f>
        <v>MAFE2021807</v>
      </c>
      <c r="I584" s="133"/>
      <c r="J584" s="133"/>
      <c r="K584" s="133" t="str">
        <f>IFERROR(__xludf.DUMMYFUNCTION("""COMPUTED_VALUE"""),"شركة تاي اينابا للأغذية المحدودة")</f>
        <v>شركة تاي اينابا للأغذية المحدودة</v>
      </c>
      <c r="L584" s="142" t="str">
        <f>IFERROR(__xludf.DUMMYFUNCTION("""COMPUTED_VALUE"""),"USD724")</f>
        <v>USD724</v>
      </c>
      <c r="M584" s="133"/>
      <c r="N584" s="133"/>
      <c r="O584" s="133"/>
      <c r="P584" s="133"/>
      <c r="Q584" s="133"/>
      <c r="R584" s="133"/>
      <c r="S584" s="133"/>
      <c r="T584" s="133"/>
      <c r="U584" s="133"/>
      <c r="V584" s="133"/>
      <c r="W584" s="133"/>
      <c r="X584" s="133"/>
      <c r="Y584" s="133"/>
      <c r="Z584" s="133"/>
    </row>
    <row r="585">
      <c r="A585" s="133">
        <f>IFERROR(__xludf.DUMMYFUNCTION("""COMPUTED_VALUE"""),584.0)</f>
        <v>584</v>
      </c>
      <c r="B585" s="133"/>
      <c r="C585" s="133" t="str">
        <f>IFERROR(__xludf.DUMMYFUNCTION("""COMPUTED_VALUE"""),"P-1-N-080321-1176")</f>
        <v>P-1-N-080321-1176</v>
      </c>
      <c r="D585" s="133"/>
      <c r="E585" s="133" t="str">
        <f>IFERROR(__xludf.DUMMYFUNCTION("""COMPUTED_VALUE"""),"تمت طباعة الشهادة")</f>
        <v>تمت طباعة الشهادة</v>
      </c>
      <c r="F585" s="133" t="str">
        <f>IFERROR(__xludf.DUMMYFUNCTION("""COMPUTED_VALUE"""),"Churu Bites for Dog Chicken Recipe Wraps Chicken with Salmon Recipe 96g")</f>
        <v>Churu Bites for Dog Chicken Recipe Wraps Chicken with Salmon Recipe 96g</v>
      </c>
      <c r="G585" s="133" t="str">
        <f>IFERROR(__xludf.DUMMYFUNCTION("""COMPUTED_VALUE"""),"تشورو بايتس للكلاب وصفة الدجاج ملفوفة بوصفة الدجاج مع السالمون 96 جم")</f>
        <v>تشورو بايتس للكلاب وصفة الدجاج ملفوفة بوصفة الدجاج مع السالمون 96 جم</v>
      </c>
      <c r="H585" s="133" t="str">
        <f>IFERROR(__xludf.DUMMYFUNCTION("""COMPUTED_VALUE"""),"MAFE2021817")</f>
        <v>MAFE2021817</v>
      </c>
      <c r="I585" s="133"/>
      <c r="J585" s="133"/>
      <c r="K585" s="133" t="str">
        <f>IFERROR(__xludf.DUMMYFUNCTION("""COMPUTED_VALUE"""),"شركة تاي اينابا للأغذية المحدودة")</f>
        <v>شركة تاي اينابا للأغذية المحدودة</v>
      </c>
      <c r="L585" s="133"/>
      <c r="M585" s="133"/>
      <c r="N585" s="133"/>
      <c r="O585" s="133"/>
      <c r="P585" s="133"/>
      <c r="Q585" s="133"/>
      <c r="R585" s="133"/>
      <c r="S585" s="133"/>
      <c r="T585" s="133"/>
      <c r="U585" s="133"/>
      <c r="V585" s="133"/>
      <c r="W585" s="133"/>
      <c r="X585" s="133"/>
      <c r="Y585" s="133"/>
      <c r="Z585" s="133"/>
    </row>
    <row r="586">
      <c r="A586" s="133">
        <f>IFERROR(__xludf.DUMMYFUNCTION("""COMPUTED_VALUE"""),585.0)</f>
        <v>585</v>
      </c>
      <c r="B586" s="133" t="str">
        <f>IFERROR(__xludf.DUMMYFUNCTION("""COMPUTED_VALUE"""),"USD731")</f>
        <v>USD731</v>
      </c>
      <c r="C586" s="133" t="str">
        <f>IFERROR(__xludf.DUMMYFUNCTION("""COMPUTED_VALUE"""),"P-1-N-080321-1177")</f>
        <v>P-1-N-080321-1177</v>
      </c>
      <c r="D586" s="133"/>
      <c r="E586" s="133" t="str">
        <f>IFERROR(__xludf.DUMMYFUNCTION("""COMPUTED_VALUE"""),"تمت طباعة الشهادة")</f>
        <v>تمت طباعة الشهادة</v>
      </c>
      <c r="F586" s="133" t="str">
        <f>IFERROR(__xludf.DUMMYFUNCTION("""COMPUTED_VALUE"""),"Churu Rolls for Dog Chicken Recipe Wraps Chicken Recipe 96g")</f>
        <v>Churu Rolls for Dog Chicken Recipe Wraps Chicken Recipe 96g</v>
      </c>
      <c r="G586" s="133" t="str">
        <f>IFERROR(__xludf.DUMMYFUNCTION("""COMPUTED_VALUE"""),"تشورو رولز للكلاب وصفة الدجاج ملفوفة بوصفة الدجاج 96 جم")</f>
        <v>تشورو رولز للكلاب وصفة الدجاج ملفوفة بوصفة الدجاج 96 جم</v>
      </c>
      <c r="H586" s="133" t="str">
        <f>IFERROR(__xludf.DUMMYFUNCTION("""COMPUTED_VALUE"""),"MAFE2021806")</f>
        <v>MAFE2021806</v>
      </c>
      <c r="I586" s="133"/>
      <c r="J586" s="133"/>
      <c r="K586" s="133" t="str">
        <f>IFERROR(__xludf.DUMMYFUNCTION("""COMPUTED_VALUE"""),"شركة تاي اينابا للأغذية المحدودة")</f>
        <v>شركة تاي اينابا للأغذية المحدودة</v>
      </c>
      <c r="L586" s="142" t="str">
        <f>IFERROR(__xludf.DUMMYFUNCTION("""COMPUTED_VALUE"""),"USD731")</f>
        <v>USD731</v>
      </c>
      <c r="M586" s="133"/>
      <c r="N586" s="133"/>
      <c r="O586" s="133"/>
      <c r="P586" s="133"/>
      <c r="Q586" s="133"/>
      <c r="R586" s="133"/>
      <c r="S586" s="133"/>
      <c r="T586" s="133"/>
      <c r="U586" s="133"/>
      <c r="V586" s="133"/>
      <c r="W586" s="133"/>
      <c r="X586" s="133"/>
      <c r="Y586" s="133"/>
      <c r="Z586" s="133"/>
    </row>
    <row r="587">
      <c r="A587" s="133">
        <f>IFERROR(__xludf.DUMMYFUNCTION("""COMPUTED_VALUE"""),586.0)</f>
        <v>586</v>
      </c>
      <c r="B587" s="133" t="str">
        <f>IFERROR(__xludf.DUMMYFUNCTION("""COMPUTED_VALUE"""),"USD732")</f>
        <v>USD732</v>
      </c>
      <c r="C587" s="133" t="str">
        <f>IFERROR(__xludf.DUMMYFUNCTION("""COMPUTED_VALUE"""),"P-1-N-080321-1178")</f>
        <v>P-1-N-080321-1178</v>
      </c>
      <c r="D587" s="133"/>
      <c r="E587" s="133" t="str">
        <f>IFERROR(__xludf.DUMMYFUNCTION("""COMPUTED_VALUE"""),"تمت طباعة الشهادة")</f>
        <v>تمت طباعة الشهادة</v>
      </c>
      <c r="F587" s="133" t="str">
        <f>IFERROR(__xludf.DUMMYFUNCTION("""COMPUTED_VALUE"""),"Churu Rolls for Dog Chicken Recipe Wraps Chicken with Salmon Recipe 96g")</f>
        <v>Churu Rolls for Dog Chicken Recipe Wraps Chicken with Salmon Recipe 96g</v>
      </c>
      <c r="G587" s="133" t="str">
        <f>IFERROR(__xludf.DUMMYFUNCTION("""COMPUTED_VALUE"""),"تشورو رولز للكلاب وصفة الدجاج ملفوفة بوصفة الدجاج مع السالمون 96 جم")</f>
        <v>تشورو رولز للكلاب وصفة الدجاج ملفوفة بوصفة الدجاج مع السالمون 96 جم</v>
      </c>
      <c r="H587" s="133" t="str">
        <f>IFERROR(__xludf.DUMMYFUNCTION("""COMPUTED_VALUE"""),"MAFE2021805")</f>
        <v>MAFE2021805</v>
      </c>
      <c r="I587" s="133"/>
      <c r="J587" s="133"/>
      <c r="K587" s="133" t="str">
        <f>IFERROR(__xludf.DUMMYFUNCTION("""COMPUTED_VALUE"""),"شركة تاي اينابا للأغذية المحدودة")</f>
        <v>شركة تاي اينابا للأغذية المحدودة</v>
      </c>
      <c r="L587" s="142" t="str">
        <f>IFERROR(__xludf.DUMMYFUNCTION("""COMPUTED_VALUE"""),"USD732")</f>
        <v>USD732</v>
      </c>
      <c r="M587" s="133"/>
      <c r="N587" s="133"/>
      <c r="O587" s="133"/>
      <c r="P587" s="133"/>
      <c r="Q587" s="133"/>
      <c r="R587" s="133"/>
      <c r="S587" s="133"/>
      <c r="T587" s="133"/>
      <c r="U587" s="133"/>
      <c r="V587" s="133"/>
      <c r="W587" s="133"/>
      <c r="X587" s="133"/>
      <c r="Y587" s="133"/>
      <c r="Z587" s="133"/>
    </row>
    <row r="588">
      <c r="A588" s="133">
        <f>IFERROR(__xludf.DUMMYFUNCTION("""COMPUTED_VALUE"""),587.0)</f>
        <v>587</v>
      </c>
      <c r="B588" s="133" t="str">
        <f>IFERROR(__xludf.DUMMYFUNCTION("""COMPUTED_VALUE"""),"USD733")</f>
        <v>USD733</v>
      </c>
      <c r="C588" s="133" t="str">
        <f>IFERROR(__xludf.DUMMYFUNCTION("""COMPUTED_VALUE"""),"P-1-N-080321-1179")</f>
        <v>P-1-N-080321-1179</v>
      </c>
      <c r="D588" s="133"/>
      <c r="E588" s="133" t="str">
        <f>IFERROR(__xludf.DUMMYFUNCTION("""COMPUTED_VALUE"""),"تمت طباعة الشهادة")</f>
        <v>تمت طباعة الشهادة</v>
      </c>
      <c r="F588" s="133" t="str">
        <f>IFERROR(__xludf.DUMMYFUNCTION("""COMPUTED_VALUE"""),"Churu Rolls for Dog Chicken Recipe Wraps Chicken with Cheese Recipe 96g")</f>
        <v>Churu Rolls for Dog Chicken Recipe Wraps Chicken with Cheese Recipe 96g</v>
      </c>
      <c r="G588" s="133" t="str">
        <f>IFERROR(__xludf.DUMMYFUNCTION("""COMPUTED_VALUE"""),"تشورو رولز للكلاب وصفة الدجاج ملفوفة بوصفة الدجاج مع الجبنة 96 جم")</f>
        <v>تشورو رولز للكلاب وصفة الدجاج ملفوفة بوصفة الدجاج مع الجبنة 96 جم</v>
      </c>
      <c r="H588" s="133" t="str">
        <f>IFERROR(__xludf.DUMMYFUNCTION("""COMPUTED_VALUE"""),"MAFE2021769")</f>
        <v>MAFE2021769</v>
      </c>
      <c r="I588" s="133"/>
      <c r="J588" s="133"/>
      <c r="K588" s="133" t="str">
        <f>IFERROR(__xludf.DUMMYFUNCTION("""COMPUTED_VALUE"""),"شركة تاي اينابا للأغذية المحدودة")</f>
        <v>شركة تاي اينابا للأغذية المحدودة</v>
      </c>
      <c r="L588" s="142" t="str">
        <f>IFERROR(__xludf.DUMMYFUNCTION("""COMPUTED_VALUE"""),"USD733")</f>
        <v>USD733</v>
      </c>
      <c r="M588" s="133"/>
      <c r="N588" s="133"/>
      <c r="O588" s="133"/>
      <c r="P588" s="133"/>
      <c r="Q588" s="133"/>
      <c r="R588" s="133"/>
      <c r="S588" s="133"/>
      <c r="T588" s="133"/>
      <c r="U588" s="133"/>
      <c r="V588" s="133"/>
      <c r="W588" s="133"/>
      <c r="X588" s="133"/>
      <c r="Y588" s="133"/>
      <c r="Z588" s="133"/>
    </row>
    <row r="589">
      <c r="A589" s="133">
        <f>IFERROR(__xludf.DUMMYFUNCTION("""COMPUTED_VALUE"""),588.0)</f>
        <v>588</v>
      </c>
      <c r="B589" s="133" t="str">
        <f>IFERROR(__xludf.DUMMYFUNCTION("""COMPUTED_VALUE"""),"A1036")</f>
        <v>A1036</v>
      </c>
      <c r="C589" s="133" t="str">
        <f>IFERROR(__xludf.DUMMYFUNCTION("""COMPUTED_VALUE"""),"P-1-N-080321-1191")</f>
        <v>P-1-N-080321-1191</v>
      </c>
      <c r="D589" s="133"/>
      <c r="E589" s="133" t="str">
        <f>IFERROR(__xludf.DUMMYFUNCTION("""COMPUTED_VALUE"""),"تمت طباعة الشهادة")</f>
        <v>تمت طباعة الشهادة</v>
      </c>
      <c r="F589" s="133" t="str">
        <f>IFERROR(__xludf.DUMMYFUNCTION("""COMPUTED_VALUE"""),"Applaws Kitten Tuna 70g")</f>
        <v>Applaws Kitten Tuna 70g</v>
      </c>
      <c r="G589" s="133" t="str">
        <f>IFERROR(__xludf.DUMMYFUNCTION("""COMPUTED_VALUE"""),"أبلاوز تونة للقطط الصغيرة 70 جم")</f>
        <v>أبلاوز تونة للقطط الصغيرة 70 جم</v>
      </c>
      <c r="H589" s="133" t="str">
        <f>IFERROR(__xludf.DUMMYFUNCTION("""COMPUTED_VALUE"""),"MAFE20211106")</f>
        <v>MAFE20211106</v>
      </c>
      <c r="I589" s="133"/>
      <c r="J589" s="133"/>
      <c r="K589" s="133" t="str">
        <f>IFERROR(__xludf.DUMMYFUNCTION("""COMPUTED_VALUE"""),"شركة تاي اينابا للأغذية المحدودة")</f>
        <v>شركة تاي اينابا للأغذية المحدودة</v>
      </c>
      <c r="L589" s="142" t="str">
        <f>IFERROR(__xludf.DUMMYFUNCTION("""COMPUTED_VALUE"""),"A1036")</f>
        <v>A1036</v>
      </c>
      <c r="M589" s="133"/>
      <c r="N589" s="133"/>
      <c r="O589" s="133"/>
      <c r="P589" s="133"/>
      <c r="Q589" s="133"/>
      <c r="R589" s="133"/>
      <c r="S589" s="133"/>
      <c r="T589" s="133"/>
      <c r="U589" s="133"/>
      <c r="V589" s="133"/>
      <c r="W589" s="133"/>
      <c r="X589" s="133"/>
      <c r="Y589" s="133"/>
      <c r="Z589" s="133"/>
    </row>
    <row r="590">
      <c r="A590" s="133">
        <f>IFERROR(__xludf.DUMMYFUNCTION("""COMPUTED_VALUE"""),589.0)</f>
        <v>589</v>
      </c>
      <c r="B590" s="133" t="str">
        <f>IFERROR(__xludf.DUMMYFUNCTION("""COMPUTED_VALUE"""),"a3120")</f>
        <v>a3120</v>
      </c>
      <c r="C590" s="133" t="str">
        <f>IFERROR(__xludf.DUMMYFUNCTION("""COMPUTED_VALUE"""),"P-1-N-080321-1192")</f>
        <v>P-1-N-080321-1192</v>
      </c>
      <c r="D590" s="133"/>
      <c r="E590" s="133" t="str">
        <f>IFERROR(__xludf.DUMMYFUNCTION("""COMPUTED_VALUE"""),"تمت طباعة الشهادة")</f>
        <v>تمت طباعة الشهادة</v>
      </c>
      <c r="F590" s="133" t="str">
        <f>IFERROR(__xludf.DUMMYFUNCTION("""COMPUTED_VALUE"""),"Applaws Chicken with Duck in Jelly 156g")</f>
        <v>Applaws Chicken with Duck in Jelly 156g</v>
      </c>
      <c r="G590" s="133" t="str">
        <f>IFERROR(__xludf.DUMMYFUNCTION("""COMPUTED_VALUE"""),"أبلاوز دجاج مع البط في جيلي 156 جم")</f>
        <v>أبلاوز دجاج مع البط في جيلي 156 جم</v>
      </c>
      <c r="H590" s="133" t="str">
        <f>IFERROR(__xludf.DUMMYFUNCTION("""COMPUTED_VALUE"""),"MAFE2021804")</f>
        <v>MAFE2021804</v>
      </c>
      <c r="I590" s="133"/>
      <c r="J590" s="133"/>
      <c r="K590" s="133" t="str">
        <f>IFERROR(__xludf.DUMMYFUNCTION("""COMPUTED_VALUE"""),"شركة بريمير لصناعة التعليب المحدودة")</f>
        <v>شركة بريمير لصناعة التعليب المحدودة</v>
      </c>
      <c r="L590" s="142" t="str">
        <f>IFERROR(__xludf.DUMMYFUNCTION("""COMPUTED_VALUE"""),"a3120")</f>
        <v>a3120</v>
      </c>
      <c r="M590" s="133"/>
      <c r="N590" s="133"/>
      <c r="O590" s="133"/>
      <c r="P590" s="133"/>
      <c r="Q590" s="133"/>
      <c r="R590" s="133"/>
      <c r="S590" s="133"/>
      <c r="T590" s="133"/>
      <c r="U590" s="133"/>
      <c r="V590" s="133"/>
      <c r="W590" s="133"/>
      <c r="X590" s="133"/>
      <c r="Y590" s="133"/>
      <c r="Z590" s="133"/>
    </row>
    <row r="591">
      <c r="A591" s="133">
        <f>IFERROR(__xludf.DUMMYFUNCTION("""COMPUTED_VALUE"""),590.0)</f>
        <v>590</v>
      </c>
      <c r="B591" s="133" t="str">
        <f>IFERROR(__xludf.DUMMYFUNCTION("""COMPUTED_VALUE"""),"A3122")</f>
        <v>A3122</v>
      </c>
      <c r="C591" s="133" t="str">
        <f>IFERROR(__xludf.DUMMYFUNCTION("""COMPUTED_VALUE"""),"P-1-N-080321-1193")</f>
        <v>P-1-N-080321-1193</v>
      </c>
      <c r="D591" s="133"/>
      <c r="E591" s="133" t="str">
        <f>IFERROR(__xludf.DUMMYFUNCTION("""COMPUTED_VALUE"""),"تمت طباعة الشهادة")</f>
        <v>تمت طباعة الشهادة</v>
      </c>
      <c r="F591" s="133" t="str">
        <f>IFERROR(__xludf.DUMMYFUNCTION("""COMPUTED_VALUE"""),"Applaws Chicken with Lamb in Jelly 156g")</f>
        <v>Applaws Chicken with Lamb in Jelly 156g</v>
      </c>
      <c r="G591" s="133" t="str">
        <f>IFERROR(__xludf.DUMMYFUNCTION("""COMPUTED_VALUE"""),"أبلاوز دجاج مع لحم غنم في جيلي 156 جم")</f>
        <v>أبلاوز دجاج مع لحم غنم في جيلي 156 جم</v>
      </c>
      <c r="H591" s="133" t="str">
        <f>IFERROR(__xludf.DUMMYFUNCTION("""COMPUTED_VALUE"""),"MAFE2021803")</f>
        <v>MAFE2021803</v>
      </c>
      <c r="I591" s="133"/>
      <c r="J591" s="133"/>
      <c r="K591" s="133" t="str">
        <f>IFERROR(__xludf.DUMMYFUNCTION("""COMPUTED_VALUE"""),"شركة بريمير لصناعة التعليب المحدودة")</f>
        <v>شركة بريمير لصناعة التعليب المحدودة</v>
      </c>
      <c r="L591" s="142" t="str">
        <f>IFERROR(__xludf.DUMMYFUNCTION("""COMPUTED_VALUE"""),"A3122")</f>
        <v>A3122</v>
      </c>
      <c r="M591" s="133"/>
      <c r="N591" s="133"/>
      <c r="O591" s="133"/>
      <c r="P591" s="133"/>
      <c r="Q591" s="133"/>
      <c r="R591" s="133"/>
      <c r="S591" s="133"/>
      <c r="T591" s="133"/>
      <c r="U591" s="133"/>
      <c r="V591" s="133"/>
      <c r="W591" s="133"/>
      <c r="X591" s="133"/>
      <c r="Y591" s="133"/>
      <c r="Z591" s="133"/>
    </row>
    <row r="592">
      <c r="A592" s="133">
        <f>IFERROR(__xludf.DUMMYFUNCTION("""COMPUTED_VALUE"""),591.0)</f>
        <v>591</v>
      </c>
      <c r="B592" s="133" t="str">
        <f>IFERROR(__xludf.DUMMYFUNCTION("""COMPUTED_VALUE"""),"a8004")</f>
        <v>a8004</v>
      </c>
      <c r="C592" s="133" t="str">
        <f>IFERROR(__xludf.DUMMYFUNCTION("""COMPUTED_VALUE"""),"P-1-N-080321-1194")</f>
        <v>P-1-N-080321-1194</v>
      </c>
      <c r="D592" s="133"/>
      <c r="E592" s="133" t="str">
        <f>IFERROR(__xludf.DUMMYFUNCTION("""COMPUTED_VALUE"""),"REJECTED")</f>
        <v>REJECTED</v>
      </c>
      <c r="F592" s="133" t="str">
        <f>IFERROR(__xludf.DUMMYFUNCTION("""COMPUTED_VALUE"""),"Applaws Cat Pouch 70g Tuna with Seabream")</f>
        <v>Applaws Cat Pouch 70g Tuna with Seabream</v>
      </c>
      <c r="G592" s="133" t="str">
        <f>IFERROR(__xludf.DUMMYFUNCTION("""COMPUTED_VALUE"""),"كيس أبلاوز للقطط 70 جم من التونة مع الدنيس")</f>
        <v>كيس أبلاوز للقطط 70 جم من التونة مع الدنيس</v>
      </c>
      <c r="H592" s="133"/>
      <c r="I592" s="133"/>
      <c r="J592" s="133"/>
      <c r="K592" s="133" t="str">
        <f>IFERROR(__xludf.DUMMYFUNCTION("""COMPUTED_VALUE"""),"شركة شوتيوات للتصنيع المحدودة")</f>
        <v>شركة شوتيوات للتصنيع المحدودة</v>
      </c>
      <c r="L592" s="142" t="str">
        <f>IFERROR(__xludf.DUMMYFUNCTION("""COMPUTED_VALUE"""),"a8004")</f>
        <v>a8004</v>
      </c>
      <c r="M592" s="133"/>
      <c r="N592" s="133"/>
      <c r="O592" s="133"/>
      <c r="P592" s="133"/>
      <c r="Q592" s="133"/>
      <c r="R592" s="133"/>
      <c r="S592" s="133"/>
      <c r="T592" s="133"/>
      <c r="U592" s="133"/>
      <c r="V592" s="133"/>
      <c r="W592" s="133"/>
      <c r="X592" s="133"/>
      <c r="Y592" s="133"/>
      <c r="Z592" s="133"/>
    </row>
    <row r="593">
      <c r="A593" s="133">
        <f>IFERROR(__xludf.DUMMYFUNCTION("""COMPUTED_VALUE"""),592.0)</f>
        <v>592</v>
      </c>
      <c r="B593" s="133"/>
      <c r="C593" s="133" t="str">
        <f>IFERROR(__xludf.DUMMYFUNCTION("""COMPUTED_VALUE"""),"P-1-N-090321-1210")</f>
        <v>P-1-N-090321-1210</v>
      </c>
      <c r="D593" s="133"/>
      <c r="E593" s="133" t="str">
        <f>IFERROR(__xludf.DUMMYFUNCTION("""COMPUTED_VALUE"""),"REJECTED")</f>
        <v>REJECTED</v>
      </c>
      <c r="F593" s="133" t="str">
        <f>IFERROR(__xludf.DUMMYFUNCTION("""COMPUTED_VALUE"""),"Kit Cat Deboned Tuna Classic Aspic for Kitten 80g")</f>
        <v>Kit Cat Deboned Tuna Classic Aspic for Kitten 80g</v>
      </c>
      <c r="G593" s="133" t="str">
        <f>IFERROR(__xludf.DUMMYFUNCTION("""COMPUTED_VALUE"""),"كيت كات ديبوند تونة كلاسيك أسبك للقطط الصغيرة 80 جم")</f>
        <v>كيت كات ديبوند تونة كلاسيك أسبك للقطط الصغيرة 80 جم</v>
      </c>
      <c r="H593" s="133"/>
      <c r="I593" s="133"/>
      <c r="J593" s="133"/>
      <c r="K593" s="133" t="str">
        <f>IFERROR(__xludf.DUMMYFUNCTION("""COMPUTED_VALUE"""),"شركة سيام للأغذية العالمية المحدودة")</f>
        <v>شركة سيام للأغذية العالمية المحدودة</v>
      </c>
      <c r="L593" s="133"/>
      <c r="M593" s="133"/>
      <c r="N593" s="133"/>
      <c r="O593" s="133"/>
      <c r="P593" s="133"/>
      <c r="Q593" s="133"/>
      <c r="R593" s="133"/>
      <c r="S593" s="133"/>
      <c r="T593" s="133"/>
      <c r="U593" s="133"/>
      <c r="V593" s="133"/>
      <c r="W593" s="133"/>
      <c r="X593" s="133"/>
      <c r="Y593" s="133"/>
      <c r="Z593" s="133"/>
    </row>
    <row r="594">
      <c r="A594" s="133">
        <f>IFERROR(__xludf.DUMMYFUNCTION("""COMPUTED_VALUE"""),593.0)</f>
        <v>593</v>
      </c>
      <c r="B594" s="133"/>
      <c r="C594" s="133" t="str">
        <f>IFERROR(__xludf.DUMMYFUNCTION("""COMPUTED_VALUE"""),"P-1-N-110321-1246")</f>
        <v>P-1-N-110321-1246</v>
      </c>
      <c r="D594" s="133"/>
      <c r="E594" s="133" t="str">
        <f>IFERROR(__xludf.DUMMYFUNCTION("""COMPUTED_VALUE"""),"تمت طباعة الشهادة")</f>
        <v>تمت طباعة الشهادة</v>
      </c>
      <c r="F594" s="133" t="str">
        <f>IFERROR(__xludf.DUMMYFUNCTION("""COMPUTED_VALUE"""),"Butcher’s Beef 15kg")</f>
        <v>Butcher’s Beef 15kg</v>
      </c>
      <c r="G594" s="133" t="str">
        <f>IFERROR(__xludf.DUMMYFUNCTION("""COMPUTED_VALUE"""),"بوتشرز بلحم بقري 15 كجم")</f>
        <v>بوتشرز بلحم بقري 15 كجم</v>
      </c>
      <c r="H594" s="133" t="str">
        <f>IFERROR(__xludf.DUMMYFUNCTION("""COMPUTED_VALUE"""),"MAFE2021964")</f>
        <v>MAFE2021964</v>
      </c>
      <c r="I594" s="133"/>
      <c r="J594" s="133"/>
      <c r="K594" s="133" t="str">
        <f>IFERROR(__xludf.DUMMYFUNCTION("""COMPUTED_VALUE"""),"بوتشرز بت كير ال تي دي")</f>
        <v>بوتشرز بت كير ال تي دي</v>
      </c>
      <c r="L594" s="133"/>
      <c r="M594" s="133"/>
      <c r="N594" s="133"/>
      <c r="O594" s="133"/>
      <c r="P594" s="133"/>
      <c r="Q594" s="133"/>
      <c r="R594" s="133"/>
      <c r="S594" s="133"/>
      <c r="T594" s="133"/>
      <c r="U594" s="133"/>
      <c r="V594" s="133"/>
      <c r="W594" s="133"/>
      <c r="X594" s="133"/>
      <c r="Y594" s="133"/>
      <c r="Z594" s="133"/>
    </row>
    <row r="595">
      <c r="A595" s="133">
        <f>IFERROR(__xludf.DUMMYFUNCTION("""COMPUTED_VALUE"""),594.0)</f>
        <v>594</v>
      </c>
      <c r="B595" s="133"/>
      <c r="C595" s="133" t="str">
        <f>IFERROR(__xludf.DUMMYFUNCTION("""COMPUTED_VALUE"""),"P-1-N-110321-1247")</f>
        <v>P-1-N-110321-1247</v>
      </c>
      <c r="D595" s="133"/>
      <c r="E595" s="133" t="str">
        <f>IFERROR(__xludf.DUMMYFUNCTION("""COMPUTED_VALUE"""),"تمت طباعة الشهادة")</f>
        <v>تمت طباعة الشهادة</v>
      </c>
      <c r="F595" s="133" t="str">
        <f>IFERROR(__xludf.DUMMYFUNCTION("""COMPUTED_VALUE"""),"Butcher’s Chicken 15kg")</f>
        <v>Butcher’s Chicken 15kg</v>
      </c>
      <c r="G595" s="133" t="str">
        <f>IFERROR(__xludf.DUMMYFUNCTION("""COMPUTED_VALUE"""),"بوتشرز بالدجاج 15 كجم")</f>
        <v>بوتشرز بالدجاج 15 كجم</v>
      </c>
      <c r="H595" s="133" t="str">
        <f>IFERROR(__xludf.DUMMYFUNCTION("""COMPUTED_VALUE"""),"MAFE2021965")</f>
        <v>MAFE2021965</v>
      </c>
      <c r="I595" s="133"/>
      <c r="J595" s="133"/>
      <c r="K595" s="133" t="str">
        <f>IFERROR(__xludf.DUMMYFUNCTION("""COMPUTED_VALUE"""),"بوتشرز بت كير ال تي دي")</f>
        <v>بوتشرز بت كير ال تي دي</v>
      </c>
      <c r="L595" s="133"/>
      <c r="M595" s="133"/>
      <c r="N595" s="133"/>
      <c r="O595" s="133"/>
      <c r="P595" s="133"/>
      <c r="Q595" s="133"/>
      <c r="R595" s="133"/>
      <c r="S595" s="133"/>
      <c r="T595" s="133"/>
      <c r="U595" s="133"/>
      <c r="V595" s="133"/>
      <c r="W595" s="133"/>
      <c r="X595" s="133"/>
      <c r="Y595" s="133"/>
      <c r="Z595" s="133"/>
    </row>
    <row r="596">
      <c r="A596" s="133">
        <f>IFERROR(__xludf.DUMMYFUNCTION("""COMPUTED_VALUE"""),595.0)</f>
        <v>595</v>
      </c>
      <c r="B596" s="133" t="str">
        <f>IFERROR(__xludf.DUMMYFUNCTION("""COMPUTED_VALUE"""),"A1010")</f>
        <v>A1010</v>
      </c>
      <c r="C596" s="133" t="str">
        <f>IFERROR(__xludf.DUMMYFUNCTION("""COMPUTED_VALUE"""),"P-1-N-140321-1268")</f>
        <v>P-1-N-140321-1268</v>
      </c>
      <c r="D596" s="133"/>
      <c r="E596" s="133" t="str">
        <f>IFERROR(__xludf.DUMMYFUNCTION("""COMPUTED_VALUE"""),"تمت طباعة الشهادة")</f>
        <v>تمت طباعة الشهادة</v>
      </c>
      <c r="F596" s="133" t="str">
        <f>IFERROR(__xludf.DUMMYFUNCTION("""COMPUTED_VALUE"""),"Chicken with Pumpkin 70g")</f>
        <v>Chicken with Pumpkin 70g</v>
      </c>
      <c r="G596" s="133" t="str">
        <f>IFERROR(__xludf.DUMMYFUNCTION("""COMPUTED_VALUE"""),"دجاج مع اليقطين 70 جم")</f>
        <v>دجاج مع اليقطين 70 جم</v>
      </c>
      <c r="H596" s="133" t="str">
        <f>IFERROR(__xludf.DUMMYFUNCTION("""COMPUTED_VALUE"""),"MAFE2021826")</f>
        <v>MAFE2021826</v>
      </c>
      <c r="I596" s="133"/>
      <c r="J596" s="133"/>
      <c r="K596" s="133" t="str">
        <f>IFERROR(__xludf.DUMMYFUNCTION("""COMPUTED_VALUE"""),"أم بي أم برودكتس ليمتد")</f>
        <v>أم بي أم برودكتس ليمتد</v>
      </c>
      <c r="L596" s="142" t="str">
        <f>IFERROR(__xludf.DUMMYFUNCTION("""COMPUTED_VALUE"""),"A1010")</f>
        <v>A1010</v>
      </c>
      <c r="M596" s="133"/>
      <c r="N596" s="133"/>
      <c r="O596" s="133"/>
      <c r="P596" s="133"/>
      <c r="Q596" s="133"/>
      <c r="R596" s="133"/>
      <c r="S596" s="133"/>
      <c r="T596" s="133"/>
      <c r="U596" s="133"/>
      <c r="V596" s="133"/>
      <c r="W596" s="133"/>
      <c r="X596" s="133"/>
      <c r="Y596" s="133"/>
      <c r="Z596" s="133"/>
    </row>
    <row r="597">
      <c r="A597" s="133">
        <f>IFERROR(__xludf.DUMMYFUNCTION("""COMPUTED_VALUE"""),596.0)</f>
        <v>596</v>
      </c>
      <c r="B597" s="133" t="str">
        <f>IFERROR(__xludf.DUMMYFUNCTION("""COMPUTED_VALUE"""),"A8008")</f>
        <v>A8008</v>
      </c>
      <c r="C597" s="133" t="str">
        <f>IFERROR(__xludf.DUMMYFUNCTION("""COMPUTED_VALUE"""),"P-1-N-140321-1270")</f>
        <v>P-1-N-140321-1270</v>
      </c>
      <c r="D597" s="133"/>
      <c r="E597" s="133" t="str">
        <f>IFERROR(__xludf.DUMMYFUNCTION("""COMPUTED_VALUE"""),"تمت طباعة الشهادة")</f>
        <v>تمت طباعة الشهادة</v>
      </c>
      <c r="F597" s="133" t="str">
        <f>IFERROR(__xludf.DUMMYFUNCTION("""COMPUTED_VALUE"""),"Applaws Cat Pouch 70g Tuna with Prawn")</f>
        <v>Applaws Cat Pouch 70g Tuna with Prawn</v>
      </c>
      <c r="G597" s="133" t="str">
        <f>IFERROR(__xludf.DUMMYFUNCTION("""COMPUTED_VALUE"""),"كيس أبلاوز للقطط 70 جم من التونة مع الروبيان")</f>
        <v>كيس أبلاوز للقطط 70 جم من التونة مع الروبيان</v>
      </c>
      <c r="H597" s="133" t="str">
        <f>IFERROR(__xludf.DUMMYFUNCTION("""COMPUTED_VALUE"""),"MAFE2021822")</f>
        <v>MAFE2021822</v>
      </c>
      <c r="I597" s="133"/>
      <c r="J597" s="133"/>
      <c r="K597" s="133" t="str">
        <f>IFERROR(__xludf.DUMMYFUNCTION("""COMPUTED_VALUE"""),"شركة شوتيوات للتصنيع المحدودة")</f>
        <v>شركة شوتيوات للتصنيع المحدودة</v>
      </c>
      <c r="L597" s="142" t="str">
        <f>IFERROR(__xludf.DUMMYFUNCTION("""COMPUTED_VALUE"""),"A8008")</f>
        <v>A8008</v>
      </c>
      <c r="M597" s="133"/>
      <c r="N597" s="133"/>
      <c r="O597" s="133"/>
      <c r="P597" s="133"/>
      <c r="Q597" s="133"/>
      <c r="R597" s="133"/>
      <c r="S597" s="133"/>
      <c r="T597" s="133"/>
      <c r="U597" s="133"/>
      <c r="V597" s="133"/>
      <c r="W597" s="133"/>
      <c r="X597" s="133"/>
      <c r="Y597" s="133"/>
      <c r="Z597" s="133"/>
    </row>
    <row r="598">
      <c r="A598" s="133">
        <f>IFERROR(__xludf.DUMMYFUNCTION("""COMPUTED_VALUE"""),597.0)</f>
        <v>597</v>
      </c>
      <c r="B598" s="133"/>
      <c r="C598" s="133" t="str">
        <f>IFERROR(__xludf.DUMMYFUNCTION("""COMPUTED_VALUE"""),"P-1-N-140321-1272")</f>
        <v>P-1-N-140321-1272</v>
      </c>
      <c r="D598" s="133"/>
      <c r="E598" s="133" t="str">
        <f>IFERROR(__xludf.DUMMYFUNCTION("""COMPUTED_VALUE"""),"تمت طباعة الشهادة")</f>
        <v>تمت طباعة الشهادة</v>
      </c>
      <c r="F598" s="133" t="str">
        <f>IFERROR(__xludf.DUMMYFUNCTION("""COMPUTED_VALUE"""),"Kit Cat Deboned Chicken &amp; Whitebait Toppers 80g")</f>
        <v>Kit Cat Deboned Chicken &amp; Whitebait Toppers 80g</v>
      </c>
      <c r="G598" s="133" t="str">
        <f>IFERROR(__xludf.DUMMYFUNCTION("""COMPUTED_VALUE"""),"كيت كات ديبونيد الدجاج و وايتبيت توبرز 80 جم")</f>
        <v>كيت كات ديبونيد الدجاج و وايتبيت توبرز 80 جم</v>
      </c>
      <c r="H598" s="133" t="str">
        <f>IFERROR(__xludf.DUMMYFUNCTION("""COMPUTED_VALUE"""),"MAFE2021966")</f>
        <v>MAFE2021966</v>
      </c>
      <c r="I598" s="133"/>
      <c r="J598" s="133"/>
      <c r="K598" s="133" t="str">
        <f>IFERROR(__xludf.DUMMYFUNCTION("""COMPUTED_VALUE"""),"شركة سيام للأغذية العالمية المحدودة")</f>
        <v>شركة سيام للأغذية العالمية المحدودة</v>
      </c>
      <c r="L598" s="133"/>
      <c r="M598" s="133"/>
      <c r="N598" s="133"/>
      <c r="O598" s="133"/>
      <c r="P598" s="133"/>
      <c r="Q598" s="133"/>
      <c r="R598" s="133"/>
      <c r="S598" s="133"/>
      <c r="T598" s="133"/>
      <c r="U598" s="133"/>
      <c r="V598" s="133"/>
      <c r="W598" s="133"/>
      <c r="X598" s="133"/>
      <c r="Y598" s="133"/>
      <c r="Z598" s="133"/>
    </row>
    <row r="599">
      <c r="A599" s="133">
        <f>IFERROR(__xludf.DUMMYFUNCTION("""COMPUTED_VALUE"""),598.0)</f>
        <v>598</v>
      </c>
      <c r="B599" s="133"/>
      <c r="C599" s="133" t="str">
        <f>IFERROR(__xludf.DUMMYFUNCTION("""COMPUTED_VALUE"""),"P-1-N-140321-1273")</f>
        <v>P-1-N-140321-1273</v>
      </c>
      <c r="D599" s="133"/>
      <c r="E599" s="133" t="str">
        <f>IFERROR(__xludf.DUMMYFUNCTION("""COMPUTED_VALUE"""),"تمت طباعة الشهادة")</f>
        <v>تمت طباعة الشهادة</v>
      </c>
      <c r="F599" s="133" t="str">
        <f>IFERROR(__xludf.DUMMYFUNCTION("""COMPUTED_VALUE"""),"Kit Cat Chicken &amp; Crabstick Toppers 80g")</f>
        <v>Kit Cat Chicken &amp; Crabstick Toppers 80g</v>
      </c>
      <c r="G599" s="133" t="str">
        <f>IFERROR(__xludf.DUMMYFUNCTION("""COMPUTED_VALUE"""),"كيت كات ديبونيد الدجاج و عصا السلطعون توبرز 80 جم")</f>
        <v>كيت كات ديبونيد الدجاج و عصا السلطعون توبرز 80 جم</v>
      </c>
      <c r="H599" s="133" t="str">
        <f>IFERROR(__xludf.DUMMYFUNCTION("""COMPUTED_VALUE"""),"MAFE2021967")</f>
        <v>MAFE2021967</v>
      </c>
      <c r="I599" s="133"/>
      <c r="J599" s="133"/>
      <c r="K599" s="133" t="str">
        <f>IFERROR(__xludf.DUMMYFUNCTION("""COMPUTED_VALUE"""),"شركة سيام للأغذية العالمية المحدودة")</f>
        <v>شركة سيام للأغذية العالمية المحدودة</v>
      </c>
      <c r="L599" s="133"/>
      <c r="M599" s="133"/>
      <c r="N599" s="133"/>
      <c r="O599" s="133"/>
      <c r="P599" s="133"/>
      <c r="Q599" s="133"/>
      <c r="R599" s="133"/>
      <c r="S599" s="133"/>
      <c r="T599" s="133"/>
      <c r="U599" s="133"/>
      <c r="V599" s="133"/>
      <c r="W599" s="133"/>
      <c r="X599" s="133"/>
      <c r="Y599" s="133"/>
      <c r="Z599" s="133"/>
    </row>
    <row r="600">
      <c r="A600" s="133">
        <f>IFERROR(__xludf.DUMMYFUNCTION("""COMPUTED_VALUE"""),599.0)</f>
        <v>599</v>
      </c>
      <c r="B600" s="133"/>
      <c r="C600" s="133" t="str">
        <f>IFERROR(__xludf.DUMMYFUNCTION("""COMPUTED_VALUE"""),"P-1-N-140321-1274")</f>
        <v>P-1-N-140321-1274</v>
      </c>
      <c r="D600" s="133"/>
      <c r="E600" s="133" t="str">
        <f>IFERROR(__xludf.DUMMYFUNCTION("""COMPUTED_VALUE"""),"تمت طباعة الشهادة")</f>
        <v>تمت طباعة الشهادة</v>
      </c>
      <c r="F600" s="133" t="str">
        <f>IFERROR(__xludf.DUMMYFUNCTION("""COMPUTED_VALUE"""),"Kit Cat Deboned Tuna and Whitebait Toppers 80g")</f>
        <v>Kit Cat Deboned Tuna and Whitebait Toppers 80g</v>
      </c>
      <c r="G600" s="133" t="str">
        <f>IFERROR(__xludf.DUMMYFUNCTION("""COMPUTED_VALUE"""),"كيت كات ديبونيد التونة و وايتبيت توبرز 80 جم")</f>
        <v>كيت كات ديبونيد التونة و وايتبيت توبرز 80 جم</v>
      </c>
      <c r="H600" s="133" t="str">
        <f>IFERROR(__xludf.DUMMYFUNCTION("""COMPUTED_VALUE"""),"MAFE2021968")</f>
        <v>MAFE2021968</v>
      </c>
      <c r="I600" s="133"/>
      <c r="J600" s="133"/>
      <c r="K600" s="133" t="str">
        <f>IFERROR(__xludf.DUMMYFUNCTION("""COMPUTED_VALUE"""),"شركة سيام للأغذية العالمية المحدودة")</f>
        <v>شركة سيام للأغذية العالمية المحدودة</v>
      </c>
      <c r="L600" s="133"/>
      <c r="M600" s="133"/>
      <c r="N600" s="133"/>
      <c r="O600" s="133"/>
      <c r="P600" s="133"/>
      <c r="Q600" s="133"/>
      <c r="R600" s="133"/>
      <c r="S600" s="133"/>
      <c r="T600" s="133"/>
      <c r="U600" s="133"/>
      <c r="V600" s="133"/>
      <c r="W600" s="133"/>
      <c r="X600" s="133"/>
      <c r="Y600" s="133"/>
      <c r="Z600" s="133"/>
    </row>
    <row r="601">
      <c r="A601" s="133">
        <f>IFERROR(__xludf.DUMMYFUNCTION("""COMPUTED_VALUE"""),600.0)</f>
        <v>600</v>
      </c>
      <c r="B601" s="133"/>
      <c r="C601" s="133" t="str">
        <f>IFERROR(__xludf.DUMMYFUNCTION("""COMPUTED_VALUE"""),"P-1-N-140321-1276")</f>
        <v>P-1-N-140321-1276</v>
      </c>
      <c r="D601" s="133"/>
      <c r="E601" s="133" t="str">
        <f>IFERROR(__xludf.DUMMYFUNCTION("""COMPUTED_VALUE"""),"تمت طباعة الشهادة")</f>
        <v>تمت طباعة الشهادة</v>
      </c>
      <c r="F601" s="133" t="str">
        <f>IFERROR(__xludf.DUMMYFUNCTION("""COMPUTED_VALUE"""),"Kit Cat Tuna with Anchovy ")</f>
        <v>Kit Cat Tuna with Anchovy </v>
      </c>
      <c r="G601" s="133" t="str">
        <f>IFERROR(__xludf.DUMMYFUNCTION("""COMPUTED_VALUE"""),"كيت كات تونة مع الأنشوجة 400 جم")</f>
        <v>كيت كات تونة مع الأنشوجة 400 جم</v>
      </c>
      <c r="H601" s="133" t="str">
        <f>IFERROR(__xludf.DUMMYFUNCTION("""COMPUTED_VALUE"""),"MAFE2021970")</f>
        <v>MAFE2021970</v>
      </c>
      <c r="I601" s="133"/>
      <c r="J601" s="143">
        <f>IFERROR(__xludf.DUMMYFUNCTION("""COMPUTED_VALUE"""),46110.0)</f>
        <v>46110</v>
      </c>
      <c r="K601" s="133" t="str">
        <f>IFERROR(__xludf.DUMMYFUNCTION("""COMPUTED_VALUE"""),"شركة سيام للأغذية العالمية المحدودة")</f>
        <v>شركة سيام للأغذية العالمية المحدودة</v>
      </c>
      <c r="L601" s="133"/>
      <c r="M601" s="133"/>
      <c r="N601" s="133"/>
      <c r="O601" s="133"/>
      <c r="P601" s="133"/>
      <c r="Q601" s="133"/>
      <c r="R601" s="133"/>
      <c r="S601" s="133"/>
      <c r="T601" s="133"/>
      <c r="U601" s="133"/>
      <c r="V601" s="133"/>
      <c r="W601" s="133"/>
      <c r="X601" s="133"/>
      <c r="Y601" s="133"/>
      <c r="Z601" s="133"/>
    </row>
    <row r="602">
      <c r="A602" s="133">
        <f>IFERROR(__xludf.DUMMYFUNCTION("""COMPUTED_VALUE"""),601.0)</f>
        <v>601</v>
      </c>
      <c r="B602" s="133"/>
      <c r="C602" s="133" t="str">
        <f>IFERROR(__xludf.DUMMYFUNCTION("""COMPUTED_VALUE"""),"P-1-N-140321-1277")</f>
        <v>P-1-N-140321-1277</v>
      </c>
      <c r="D602" s="133"/>
      <c r="E602" s="133" t="str">
        <f>IFERROR(__xludf.DUMMYFUNCTION("""COMPUTED_VALUE"""),"تمت طباعة الشهادة")</f>
        <v>تمت طباعة الشهادة</v>
      </c>
      <c r="F602" s="133" t="str">
        <f>IFERROR(__xludf.DUMMYFUNCTION("""COMPUTED_VALUE"""),"Kit Cat Tuna with Chicken ")</f>
        <v>Kit Cat Tuna with Chicken </v>
      </c>
      <c r="G602" s="133" t="str">
        <f>IFERROR(__xludf.DUMMYFUNCTION("""COMPUTED_VALUE"""),"كيت كات تونة مع الدجاج 400 جم")</f>
        <v>كيت كات تونة مع الدجاج 400 جم</v>
      </c>
      <c r="H602" s="133" t="str">
        <f>IFERROR(__xludf.DUMMYFUNCTION("""COMPUTED_VALUE"""),"MAFE2021969")</f>
        <v>MAFE2021969</v>
      </c>
      <c r="I602" s="133"/>
      <c r="J602" s="143">
        <f>IFERROR(__xludf.DUMMYFUNCTION("""COMPUTED_VALUE"""),46110.0)</f>
        <v>46110</v>
      </c>
      <c r="K602" s="133" t="str">
        <f>IFERROR(__xludf.DUMMYFUNCTION("""COMPUTED_VALUE"""),"شركة سيام للأغذية العالمية المحدودة")</f>
        <v>شركة سيام للأغذية العالمية المحدودة</v>
      </c>
      <c r="L602" s="133"/>
      <c r="M602" s="133"/>
      <c r="N602" s="133"/>
      <c r="O602" s="133"/>
      <c r="P602" s="133"/>
      <c r="Q602" s="133"/>
      <c r="R602" s="133"/>
      <c r="S602" s="133"/>
      <c r="T602" s="133"/>
      <c r="U602" s="133"/>
      <c r="V602" s="133"/>
      <c r="W602" s="133"/>
      <c r="X602" s="133"/>
      <c r="Y602" s="133"/>
      <c r="Z602" s="133"/>
    </row>
    <row r="603">
      <c r="A603" s="133">
        <f>IFERROR(__xludf.DUMMYFUNCTION("""COMPUTED_VALUE"""),602.0)</f>
        <v>602</v>
      </c>
      <c r="B603" s="133"/>
      <c r="C603" s="133" t="str">
        <f>IFERROR(__xludf.DUMMYFUNCTION("""COMPUTED_VALUE"""),"P-1-N-140321-1278")</f>
        <v>P-1-N-140321-1278</v>
      </c>
      <c r="D603" s="133"/>
      <c r="E603" s="133" t="str">
        <f>IFERROR(__xludf.DUMMYFUNCTION("""COMPUTED_VALUE"""),"REJECTED")</f>
        <v>REJECTED</v>
      </c>
      <c r="F603" s="133" t="str">
        <f>IFERROR(__xludf.DUMMYFUNCTION("""COMPUTED_VALUE"""),"Kit Cat Canned Petfood Atlantic Tuna with Wild Salmon ")</f>
        <v>Kit Cat Canned Petfood Atlantic Tuna with Wild Salmon </v>
      </c>
      <c r="G603" s="133" t="str">
        <f>IFERROR(__xludf.DUMMYFUNCTION("""COMPUTED_VALUE"""),"كيت كات أغذية الحيوانات الأليفة المعلبة تونة الأطلسي مع السلمون البري 400 جم")</f>
        <v>كيت كات أغذية الحيوانات الأليفة المعلبة تونة الأطلسي مع السلمون البري 400 جم</v>
      </c>
      <c r="H603" s="133"/>
      <c r="I603" s="133"/>
      <c r="J603" s="133"/>
      <c r="K603" s="133" t="str">
        <f>IFERROR(__xludf.DUMMYFUNCTION("""COMPUTED_VALUE"""),"شركة سيام للأغذية العالمية المحدودة")</f>
        <v>شركة سيام للأغذية العالمية المحدودة</v>
      </c>
      <c r="L603" s="133"/>
      <c r="M603" s="133"/>
      <c r="N603" s="133"/>
      <c r="O603" s="133"/>
      <c r="P603" s="133"/>
      <c r="Q603" s="133"/>
      <c r="R603" s="133"/>
      <c r="S603" s="133"/>
      <c r="T603" s="133"/>
      <c r="U603" s="133"/>
      <c r="V603" s="133"/>
      <c r="W603" s="133"/>
      <c r="X603" s="133"/>
      <c r="Y603" s="133"/>
      <c r="Z603" s="133"/>
    </row>
    <row r="604">
      <c r="A604" s="133">
        <f>IFERROR(__xludf.DUMMYFUNCTION("""COMPUTED_VALUE"""),603.0)</f>
        <v>603</v>
      </c>
      <c r="B604" s="133"/>
      <c r="C604" s="133" t="str">
        <f>IFERROR(__xludf.DUMMYFUNCTION("""COMPUTED_VALUE"""),"P-1-N-210321-1423")</f>
        <v>P-1-N-210321-1423</v>
      </c>
      <c r="D604" s="133"/>
      <c r="E604" s="133" t="str">
        <f>IFERROR(__xludf.DUMMYFUNCTION("""COMPUTED_VALUE"""),"تمت طباعة الشهادة")</f>
        <v>تمت طباعة الشهادة</v>
      </c>
      <c r="F604" s="133" t="str">
        <f>IFERROR(__xludf.DUMMYFUNCTION("""COMPUTED_VALUE"""),"NutriMeal Mixed Food for Hamsters 600g")</f>
        <v>NutriMeal Mixed Food for Hamsters 600g</v>
      </c>
      <c r="G604" s="133" t="str">
        <f>IFERROR(__xludf.DUMMYFUNCTION("""COMPUTED_VALUE"""),"نوتري ميل غذاء مختلط للهامستر 600 جم")</f>
        <v>نوتري ميل غذاء مختلط للهامستر 600 جم</v>
      </c>
      <c r="H604" s="133" t="str">
        <f>IFERROR(__xludf.DUMMYFUNCTION("""COMPUTED_VALUE"""),"MAFE2021892")</f>
        <v>MAFE2021892</v>
      </c>
      <c r="I604" s="133"/>
      <c r="J604" s="133"/>
      <c r="K604" s="133" t="str">
        <f>IFERROR(__xludf.DUMMYFUNCTION("""COMPUTED_VALUE"""),"زولكس ساس")</f>
        <v>زولكس ساس</v>
      </c>
      <c r="L604" s="133"/>
      <c r="M604" s="133"/>
      <c r="N604" s="133"/>
      <c r="O604" s="133"/>
      <c r="P604" s="133"/>
      <c r="Q604" s="133"/>
      <c r="R604" s="133"/>
      <c r="S604" s="133"/>
      <c r="T604" s="133"/>
      <c r="U604" s="133"/>
      <c r="V604" s="133"/>
      <c r="W604" s="133"/>
      <c r="X604" s="133"/>
      <c r="Y604" s="133"/>
      <c r="Z604" s="133"/>
    </row>
    <row r="605">
      <c r="A605" s="133">
        <f>IFERROR(__xludf.DUMMYFUNCTION("""COMPUTED_VALUE"""),604.0)</f>
        <v>604</v>
      </c>
      <c r="B605" s="133" t="str">
        <f>IFERROR(__xludf.DUMMYFUNCTION("""COMPUTED_VALUE"""),"B1020")</f>
        <v>B1020</v>
      </c>
      <c r="C605" s="133" t="str">
        <f>IFERROR(__xludf.DUMMYFUNCTION("""COMPUTED_VALUE"""),"P-1-N-280321-1540")</f>
        <v>P-1-N-280321-1540</v>
      </c>
      <c r="D605" s="133"/>
      <c r="E605" s="133" t="str">
        <f>IFERROR(__xludf.DUMMYFUNCTION("""COMPUTED_VALUE"""),"تمت طباعة الشهادة")</f>
        <v>تمت طباعة الشهادة</v>
      </c>
      <c r="F605" s="133" t="str">
        <f>IFERROR(__xludf.DUMMYFUNCTION("""COMPUTED_VALUE"""),"Butchers Functional Dog Junior Chicken CIJ ")</f>
        <v>Butchers Functional Dog Junior Chicken CIJ </v>
      </c>
      <c r="G605" s="133" t="str">
        <f>IFERROR(__xludf.DUMMYFUNCTION("""COMPUTED_VALUE"""),"بوتشرز فنكشنال بقطع الدجاج في الجلي للكلاب الصغيرة 400 جم")</f>
        <v>بوتشرز فنكشنال بقطع الدجاج في الجلي للكلاب الصغيرة 400 جم</v>
      </c>
      <c r="H605" s="133" t="str">
        <f>IFERROR(__xludf.DUMMYFUNCTION("""COMPUTED_VALUE"""),"MAFE2021959")</f>
        <v>MAFE2021959</v>
      </c>
      <c r="I605" s="133"/>
      <c r="J605" s="133"/>
      <c r="K605" s="133" t="str">
        <f>IFERROR(__xludf.DUMMYFUNCTION("""COMPUTED_VALUE"""),"بوتشرز بت كير ال تي دي")</f>
        <v>بوتشرز بت كير ال تي دي</v>
      </c>
      <c r="L605" s="142" t="str">
        <f>IFERROR(__xludf.DUMMYFUNCTION("""COMPUTED_VALUE"""),"B1020")</f>
        <v>B1020</v>
      </c>
      <c r="M605" s="133"/>
      <c r="N605" s="133"/>
      <c r="O605" s="133"/>
      <c r="P605" s="133"/>
      <c r="Q605" s="133"/>
      <c r="R605" s="133"/>
      <c r="S605" s="133"/>
      <c r="T605" s="133"/>
      <c r="U605" s="133"/>
      <c r="V605" s="133"/>
      <c r="W605" s="133"/>
      <c r="X605" s="133"/>
      <c r="Y605" s="133"/>
      <c r="Z605" s="133"/>
    </row>
    <row r="606">
      <c r="A606" s="133">
        <f>IFERROR(__xludf.DUMMYFUNCTION("""COMPUTED_VALUE"""),605.0)</f>
        <v>605</v>
      </c>
      <c r="B606" s="133"/>
      <c r="C606" s="133" t="str">
        <f>IFERROR(__xludf.DUMMYFUNCTION("""COMPUTED_VALUE"""),"P-1-N-280321-1541")</f>
        <v>P-1-N-280321-1541</v>
      </c>
      <c r="D606" s="133"/>
      <c r="E606" s="133" t="str">
        <f>IFERROR(__xludf.DUMMYFUNCTION("""COMPUTED_VALUE"""),"تمت طباعة الشهادة")</f>
        <v>تمت طباعة الشهادة</v>
      </c>
      <c r="F606" s="133" t="str">
        <f>IFERROR(__xludf.DUMMYFUNCTION("""COMPUTED_VALUE"""),"Butchers Functional Dog Junior Lamb CIJ ")</f>
        <v>Butchers Functional Dog Junior Lamb CIJ </v>
      </c>
      <c r="G606" s="133" t="str">
        <f>IFERROR(__xludf.DUMMYFUNCTION("""COMPUTED_VALUE"""),"بوتشرز فنكشنال بقطع لحم ضأن في الجلي للكلاب الصغيرة 400 جم")</f>
        <v>بوتشرز فنكشنال بقطع لحم ضأن في الجلي للكلاب الصغيرة 400 جم</v>
      </c>
      <c r="H606" s="133"/>
      <c r="I606" s="133"/>
      <c r="J606" s="133"/>
      <c r="K606" s="133" t="str">
        <f>IFERROR(__xludf.DUMMYFUNCTION("""COMPUTED_VALUE"""),"بوتشرز بت كير ال تي دي")</f>
        <v>بوتشرز بت كير ال تي دي</v>
      </c>
      <c r="L606" s="133"/>
      <c r="M606" s="133"/>
      <c r="N606" s="133"/>
      <c r="O606" s="133"/>
      <c r="P606" s="133"/>
      <c r="Q606" s="133"/>
      <c r="R606" s="133"/>
      <c r="S606" s="133"/>
      <c r="T606" s="133"/>
      <c r="U606" s="133"/>
      <c r="V606" s="133"/>
      <c r="W606" s="133"/>
      <c r="X606" s="133"/>
      <c r="Y606" s="133"/>
      <c r="Z606" s="133"/>
    </row>
    <row r="607">
      <c r="A607" s="133">
        <f>IFERROR(__xludf.DUMMYFUNCTION("""COMPUTED_VALUE"""),606.0)</f>
        <v>606</v>
      </c>
      <c r="B607" s="133" t="str">
        <f>IFERROR(__xludf.DUMMYFUNCTION("""COMPUTED_VALUE"""),"B1022")</f>
        <v>B1022</v>
      </c>
      <c r="C607" s="133" t="str">
        <f>IFERROR(__xludf.DUMMYFUNCTION("""COMPUTED_VALUE"""),"P-1-N-290321-1563")</f>
        <v>P-1-N-290321-1563</v>
      </c>
      <c r="D607" s="133"/>
      <c r="E607" s="133" t="str">
        <f>IFERROR(__xludf.DUMMYFUNCTION("""COMPUTED_VALUE"""),"تمت طباعة الشهادة")</f>
        <v>تمت طباعة الشهادة</v>
      </c>
      <c r="F607" s="133" t="str">
        <f>IFERROR(__xludf.DUMMYFUNCTION("""COMPUTED_VALUE"""),"Butchers Functional Dog Junior Lamb CIJ ")</f>
        <v>Butchers Functional Dog Junior Lamb CIJ </v>
      </c>
      <c r="G607" s="133" t="str">
        <f>IFERROR(__xludf.DUMMYFUNCTION("""COMPUTED_VALUE"""),"بوتشرز فنكشنال بقطع لحم ضأن في الجلي للكلاب الصغيرة 400 جم")</f>
        <v>بوتشرز فنكشنال بقطع لحم ضأن في الجلي للكلاب الصغيرة 400 جم</v>
      </c>
      <c r="H607" s="133" t="str">
        <f>IFERROR(__xludf.DUMMYFUNCTION("""COMPUTED_VALUE"""),"MAFE2021971")</f>
        <v>MAFE2021971</v>
      </c>
      <c r="I607" s="133"/>
      <c r="J607" s="133"/>
      <c r="K607" s="133" t="str">
        <f>IFERROR(__xludf.DUMMYFUNCTION("""COMPUTED_VALUE"""),"بوتشرز بت كير ال تي دي")</f>
        <v>بوتشرز بت كير ال تي دي</v>
      </c>
      <c r="L607" s="142" t="str">
        <f>IFERROR(__xludf.DUMMYFUNCTION("""COMPUTED_VALUE"""),"B1022")</f>
        <v>B1022</v>
      </c>
      <c r="M607" s="133"/>
      <c r="N607" s="133"/>
      <c r="O607" s="133"/>
      <c r="P607" s="133"/>
      <c r="Q607" s="133"/>
      <c r="R607" s="133"/>
      <c r="S607" s="133"/>
      <c r="T607" s="133"/>
      <c r="U607" s="133"/>
      <c r="V607" s="133"/>
      <c r="W607" s="133"/>
      <c r="X607" s="133"/>
      <c r="Y607" s="133"/>
      <c r="Z607" s="133"/>
    </row>
    <row r="608">
      <c r="A608" s="133">
        <f>IFERROR(__xludf.DUMMYFUNCTION("""COMPUTED_VALUE"""),607.0)</f>
        <v>607</v>
      </c>
      <c r="B608" s="133" t="str">
        <f>IFERROR(__xludf.DUMMYFUNCTION("""COMPUTED_VALUE"""),"A3031")</f>
        <v>A3031</v>
      </c>
      <c r="C608" s="133" t="str">
        <f>IFERROR(__xludf.DUMMYFUNCTION("""COMPUTED_VALUE"""),"P-1-N-010421-1645")</f>
        <v>P-1-N-010421-1645</v>
      </c>
      <c r="D608" s="133"/>
      <c r="E608" s="133" t="str">
        <f>IFERROR(__xludf.DUMMYFUNCTION("""COMPUTED_VALUE"""),"تمت طباعة الشهادة")</f>
        <v>تمت طباعة الشهادة</v>
      </c>
      <c r="F608" s="133" t="str">
        <f>IFERROR(__xludf.DUMMYFUNCTION("""COMPUTED_VALUE"""),"Chicken with Rice 156g")</f>
        <v>Chicken with Rice 156g</v>
      </c>
      <c r="G608" s="133" t="str">
        <f>IFERROR(__xludf.DUMMYFUNCTION("""COMPUTED_VALUE"""),"دجاج مع أرز 156 جم")</f>
        <v>دجاج مع أرز 156 جم</v>
      </c>
      <c r="H608" s="133" t="str">
        <f>IFERROR(__xludf.DUMMYFUNCTION("""COMPUTED_VALUE"""),"MAFE20211013")</f>
        <v>MAFE20211013</v>
      </c>
      <c r="I608" s="133"/>
      <c r="J608" s="133"/>
      <c r="K608" s="133" t="str">
        <f>IFERROR(__xludf.DUMMYFUNCTION("""COMPUTED_VALUE"""),"أم بي أم برودكتس ليمتد")</f>
        <v>أم بي أم برودكتس ليمتد</v>
      </c>
      <c r="L608" s="142" t="str">
        <f>IFERROR(__xludf.DUMMYFUNCTION("""COMPUTED_VALUE"""),"A3031")</f>
        <v>A3031</v>
      </c>
      <c r="M608" s="133"/>
      <c r="N608" s="133"/>
      <c r="O608" s="133"/>
      <c r="P608" s="133"/>
      <c r="Q608" s="133"/>
      <c r="R608" s="133"/>
      <c r="S608" s="133"/>
      <c r="T608" s="133"/>
      <c r="U608" s="133"/>
      <c r="V608" s="133"/>
      <c r="W608" s="133"/>
      <c r="X608" s="133"/>
      <c r="Y608" s="133"/>
      <c r="Z608" s="133"/>
    </row>
    <row r="609">
      <c r="A609" s="133">
        <f>IFERROR(__xludf.DUMMYFUNCTION("""COMPUTED_VALUE"""),608.0)</f>
        <v>608</v>
      </c>
      <c r="B609" s="133" t="str">
        <f>IFERROR(__xludf.DUMMYFUNCTION("""COMPUTED_VALUE"""),"A3036")</f>
        <v>A3036</v>
      </c>
      <c r="C609" s="133" t="str">
        <f>IFERROR(__xludf.DUMMYFUNCTION("""COMPUTED_VALUE"""),"P-1-N-010421-1652")</f>
        <v>P-1-N-010421-1652</v>
      </c>
      <c r="D609" s="133"/>
      <c r="E609" s="133" t="str">
        <f>IFERROR(__xludf.DUMMYFUNCTION("""COMPUTED_VALUE"""),"تمت طباعة الشهادة")</f>
        <v>تمت طباعة الشهادة</v>
      </c>
      <c r="F609" s="133" t="str">
        <f>IFERROR(__xludf.DUMMYFUNCTION("""COMPUTED_VALUE"""),"Chicken with Beef Liver and Vegetable 156 g")</f>
        <v>Chicken with Beef Liver and Vegetable 156 g</v>
      </c>
      <c r="G609" s="133" t="str">
        <f>IFERROR(__xludf.DUMMYFUNCTION("""COMPUTED_VALUE"""),"دجاج مع الكبد البقري والخضار 156 جرام")</f>
        <v>دجاج مع الكبد البقري والخضار 156 جرام</v>
      </c>
      <c r="H609" s="133" t="str">
        <f>IFERROR(__xludf.DUMMYFUNCTION("""COMPUTED_VALUE"""),"MAFE20211003")</f>
        <v>MAFE20211003</v>
      </c>
      <c r="I609" s="133"/>
      <c r="J609" s="133"/>
      <c r="K609" s="133" t="str">
        <f>IFERROR(__xludf.DUMMYFUNCTION("""COMPUTED_VALUE"""),"أم بي أم برودكتس ليمتد")</f>
        <v>أم بي أم برودكتس ليمتد</v>
      </c>
      <c r="L609" s="142" t="str">
        <f>IFERROR(__xludf.DUMMYFUNCTION("""COMPUTED_VALUE"""),"A3036")</f>
        <v>A3036</v>
      </c>
      <c r="M609" s="133"/>
      <c r="N609" s="133"/>
      <c r="O609" s="133"/>
      <c r="P609" s="133"/>
      <c r="Q609" s="133"/>
      <c r="R609" s="133"/>
      <c r="S609" s="133"/>
      <c r="T609" s="133"/>
      <c r="U609" s="133"/>
      <c r="V609" s="133"/>
      <c r="W609" s="133"/>
      <c r="X609" s="133"/>
      <c r="Y609" s="133"/>
      <c r="Z609" s="133"/>
    </row>
    <row r="610">
      <c r="A610" s="133">
        <f>IFERROR(__xludf.DUMMYFUNCTION("""COMPUTED_VALUE"""),609.0)</f>
        <v>609</v>
      </c>
      <c r="B610" s="133" t="str">
        <f>IFERROR(__xludf.DUMMYFUNCTION("""COMPUTED_VALUE"""),"461722")</f>
        <v>461722</v>
      </c>
      <c r="C610" s="133" t="str">
        <f>IFERROR(__xludf.DUMMYFUNCTION("""COMPUTED_VALUE"""),"P-1-N-060421-1830")</f>
        <v>P-1-N-060421-1830</v>
      </c>
      <c r="D610" s="133"/>
      <c r="E610" s="133" t="str">
        <f>IFERROR(__xludf.DUMMYFUNCTION("""COMPUTED_VALUE"""),"تمت طباعة الشهادة")</f>
        <v>تمت طباعة الشهادة</v>
      </c>
      <c r="F610" s="133" t="str">
        <f>IFERROR(__xludf.DUMMYFUNCTION("""COMPUTED_VALUE"""),"Crispy Muesli Hamsters &amp; Co 2.75 kg")</f>
        <v>Crispy Muesli Hamsters &amp; Co 2.75 kg</v>
      </c>
      <c r="G610" s="133" t="str">
        <f>IFERROR(__xludf.DUMMYFUNCTION("""COMPUTED_VALUE"""),"كريسبي موسلي للهامستر 2.75 كغ")</f>
        <v>كريسبي موسلي للهامستر 2.75 كغ</v>
      </c>
      <c r="H610" s="133" t="str">
        <f>IFERROR(__xludf.DUMMYFUNCTION("""COMPUTED_VALUE"""),"MAFE20211527")</f>
        <v>MAFE20211527</v>
      </c>
      <c r="I610" s="133"/>
      <c r="J610" s="133"/>
      <c r="K610" s="133" t="str">
        <f>IFERROR(__xludf.DUMMYFUNCTION("""COMPUTED_VALUE"""),"فيرسل لاقا ان في")</f>
        <v>فيرسل لاقا ان في</v>
      </c>
      <c r="L610" s="142" t="str">
        <f>IFERROR(__xludf.DUMMYFUNCTION("""COMPUTED_VALUE"""),"461722")</f>
        <v>461722</v>
      </c>
      <c r="M610" s="133"/>
      <c r="N610" s="133"/>
      <c r="O610" s="133"/>
      <c r="P610" s="133"/>
      <c r="Q610" s="133"/>
      <c r="R610" s="133"/>
      <c r="S610" s="133"/>
      <c r="T610" s="133"/>
      <c r="U610" s="133"/>
      <c r="V610" s="133"/>
      <c r="W610" s="133"/>
      <c r="X610" s="133"/>
      <c r="Y610" s="133"/>
      <c r="Z610" s="133"/>
    </row>
    <row r="611">
      <c r="A611" s="133">
        <f>IFERROR(__xludf.DUMMYFUNCTION("""COMPUTED_VALUE"""),610.0)</f>
        <v>610</v>
      </c>
      <c r="B611" s="133" t="str">
        <f>IFERROR(__xludf.DUMMYFUNCTION("""COMPUTED_VALUE"""),"50010849")</f>
        <v>50010849</v>
      </c>
      <c r="C611" s="133" t="str">
        <f>IFERROR(__xludf.DUMMYFUNCTION("""COMPUTED_VALUE"""),"P-1-N-270421-2279")</f>
        <v>P-1-N-270421-2279</v>
      </c>
      <c r="D611" s="133"/>
      <c r="E611" s="133" t="str">
        <f>IFERROR(__xludf.DUMMYFUNCTION("""COMPUTED_VALUE"""),"تمت طباعة الشهادة")</f>
        <v>تمت طباعة الشهادة</v>
      </c>
      <c r="F611" s="133" t="str">
        <f>IFERROR(__xludf.DUMMYFUNCTION("""COMPUTED_VALUE"""),"Festival 15kg")</f>
        <v>Festival 15kg</v>
      </c>
      <c r="G611" s="133" t="str">
        <f>IFERROR(__xludf.DUMMYFUNCTION("""COMPUTED_VALUE"""),"فيستيفال 15 كجم")</f>
        <v>فيستيفال 15 كجم</v>
      </c>
      <c r="H611" s="133" t="str">
        <f>IFERROR(__xludf.DUMMYFUNCTION("""COMPUTED_VALUE"""),"MAFE20211362")</f>
        <v>MAFE20211362</v>
      </c>
      <c r="I611" s="133"/>
      <c r="J611" s="133"/>
      <c r="K611" s="133" t="str">
        <f>IFERROR(__xludf.DUMMYFUNCTION("""COMPUTED_VALUE"""),"شركة جوسيرا بت فود جي ام بي اتش كاي جي")</f>
        <v>شركة جوسيرا بت فود جي ام بي اتش كاي جي</v>
      </c>
      <c r="L611" s="142" t="str">
        <f>IFERROR(__xludf.DUMMYFUNCTION("""COMPUTED_VALUE"""),"50010849")</f>
        <v>50010849</v>
      </c>
      <c r="M611" s="133"/>
      <c r="N611" s="133"/>
      <c r="O611" s="133"/>
      <c r="P611" s="133"/>
      <c r="Q611" s="133"/>
      <c r="R611" s="133"/>
      <c r="S611" s="133"/>
      <c r="T611" s="133"/>
      <c r="U611" s="133"/>
      <c r="V611" s="133"/>
      <c r="W611" s="133"/>
      <c r="X611" s="133"/>
      <c r="Y611" s="133"/>
      <c r="Z611" s="133"/>
    </row>
    <row r="612">
      <c r="A612" s="133">
        <f>IFERROR(__xludf.DUMMYFUNCTION("""COMPUTED_VALUE"""),611.0)</f>
        <v>611</v>
      </c>
      <c r="B612" s="133" t="str">
        <f>IFERROR(__xludf.DUMMYFUNCTION("""COMPUTED_VALUE"""),"50010850")</f>
        <v>50010850</v>
      </c>
      <c r="C612" s="133" t="str">
        <f>IFERROR(__xludf.DUMMYFUNCTION("""COMPUTED_VALUE"""),"P-1-N-270421-2288")</f>
        <v>P-1-N-270421-2288</v>
      </c>
      <c r="D612" s="133"/>
      <c r="E612" s="133" t="str">
        <f>IFERROR(__xludf.DUMMYFUNCTION("""COMPUTED_VALUE"""),"تمت طباعة الشهادة")</f>
        <v>تمت طباعة الشهادة</v>
      </c>
      <c r="F612" s="133" t="str">
        <f>IFERROR(__xludf.DUMMYFUNCTION("""COMPUTED_VALUE"""),"Kids 15kg")</f>
        <v>Kids 15kg</v>
      </c>
      <c r="G612" s="133" t="str">
        <f>IFERROR(__xludf.DUMMYFUNCTION("""COMPUTED_VALUE"""),"كيدس 15 كجم")</f>
        <v>كيدس 15 كجم</v>
      </c>
      <c r="H612" s="133" t="str">
        <f>IFERROR(__xludf.DUMMYFUNCTION("""COMPUTED_VALUE"""),"MAFE20211346")</f>
        <v>MAFE20211346</v>
      </c>
      <c r="I612" s="133"/>
      <c r="J612" s="133"/>
      <c r="K612" s="133" t="str">
        <f>IFERROR(__xludf.DUMMYFUNCTION("""COMPUTED_VALUE"""),"شركة جوسيرا بت فود جي ام بي اتش كاي جي")</f>
        <v>شركة جوسيرا بت فود جي ام بي اتش كاي جي</v>
      </c>
      <c r="L612" s="142" t="str">
        <f>IFERROR(__xludf.DUMMYFUNCTION("""COMPUTED_VALUE"""),"50010850")</f>
        <v>50010850</v>
      </c>
      <c r="M612" s="133"/>
      <c r="N612" s="133"/>
      <c r="O612" s="133"/>
      <c r="P612" s="133"/>
      <c r="Q612" s="133"/>
      <c r="R612" s="133"/>
      <c r="S612" s="133"/>
      <c r="T612" s="133"/>
      <c r="U612" s="133"/>
      <c r="V612" s="133"/>
      <c r="W612" s="133"/>
      <c r="X612" s="133"/>
      <c r="Y612" s="133"/>
      <c r="Z612" s="133"/>
    </row>
    <row r="613">
      <c r="A613" s="133">
        <f>IFERROR(__xludf.DUMMYFUNCTION("""COMPUTED_VALUE"""),612.0)</f>
        <v>612</v>
      </c>
      <c r="B613" s="133" t="str">
        <f>IFERROR(__xludf.DUMMYFUNCTION("""COMPUTED_VALUE"""),"50010856")</f>
        <v>50010856</v>
      </c>
      <c r="C613" s="133" t="str">
        <f>IFERROR(__xludf.DUMMYFUNCTION("""COMPUTED_VALUE"""),"P-1-N-270421-2294")</f>
        <v>P-1-N-270421-2294</v>
      </c>
      <c r="D613" s="133"/>
      <c r="E613" s="133" t="str">
        <f>IFERROR(__xludf.DUMMYFUNCTION("""COMPUTED_VALUE"""),"تمت طباعة الشهادة")</f>
        <v>تمت طباعة الشهادة</v>
      </c>
      <c r="F613" s="133" t="str">
        <f>IFERROR(__xludf.DUMMYFUNCTION("""COMPUTED_VALUE"""),"FamilyPlus 15kg")</f>
        <v>FamilyPlus 15kg</v>
      </c>
      <c r="G613" s="133" t="str">
        <f>IFERROR(__xludf.DUMMYFUNCTION("""COMPUTED_VALUE"""),"فاميلي بلس 15 كجم")</f>
        <v>فاميلي بلس 15 كجم</v>
      </c>
      <c r="H613" s="133" t="str">
        <f>IFERROR(__xludf.DUMMYFUNCTION("""COMPUTED_VALUE"""),"MAFE20211344")</f>
        <v>MAFE20211344</v>
      </c>
      <c r="I613" s="133"/>
      <c r="J613" s="133"/>
      <c r="K613" s="133" t="str">
        <f>IFERROR(__xludf.DUMMYFUNCTION("""COMPUTED_VALUE"""),"شركة جوسيرا بت فود جي ام بي اتش كاي جي")</f>
        <v>شركة جوسيرا بت فود جي ام بي اتش كاي جي</v>
      </c>
      <c r="L613" s="142" t="str">
        <f>IFERROR(__xludf.DUMMYFUNCTION("""COMPUTED_VALUE"""),"50010856")</f>
        <v>50010856</v>
      </c>
      <c r="M613" s="133"/>
      <c r="N613" s="133"/>
      <c r="O613" s="133"/>
      <c r="P613" s="133"/>
      <c r="Q613" s="133"/>
      <c r="R613" s="133"/>
      <c r="S613" s="133"/>
      <c r="T613" s="133"/>
      <c r="U613" s="133"/>
      <c r="V613" s="133"/>
      <c r="W613" s="133"/>
      <c r="X613" s="133"/>
      <c r="Y613" s="133"/>
      <c r="Z613" s="133"/>
    </row>
    <row r="614">
      <c r="A614" s="133">
        <f>IFERROR(__xludf.DUMMYFUNCTION("""COMPUTED_VALUE"""),613.0)</f>
        <v>613</v>
      </c>
      <c r="B614" s="133" t="str">
        <f>IFERROR(__xludf.DUMMYFUNCTION("""COMPUTED_VALUE"""),"50010861")</f>
        <v>50010861</v>
      </c>
      <c r="C614" s="133" t="str">
        <f>IFERROR(__xludf.DUMMYFUNCTION("""COMPUTED_VALUE"""),"P-1-N-270421-2295")</f>
        <v>P-1-N-270421-2295</v>
      </c>
      <c r="D614" s="133"/>
      <c r="E614" s="133" t="str">
        <f>IFERROR(__xludf.DUMMYFUNCTION("""COMPUTED_VALUE"""),"تمت طباعة الشهادة")</f>
        <v>تمت طباعة الشهادة</v>
      </c>
      <c r="F614" s="133" t="str">
        <f>IFERROR(__xludf.DUMMYFUNCTION("""COMPUTED_VALUE"""),"Hypoallergenic 15kg")</f>
        <v>Hypoallergenic 15kg</v>
      </c>
      <c r="G614" s="133" t="str">
        <f>IFERROR(__xludf.DUMMYFUNCTION("""COMPUTED_VALUE"""),"هيبوالرجينيك 15 كجم")</f>
        <v>هيبوالرجينيك 15 كجم</v>
      </c>
      <c r="H614" s="133" t="str">
        <f>IFERROR(__xludf.DUMMYFUNCTION("""COMPUTED_VALUE"""),"MAFE20211343")</f>
        <v>MAFE20211343</v>
      </c>
      <c r="I614" s="133"/>
      <c r="J614" s="133"/>
      <c r="K614" s="133" t="str">
        <f>IFERROR(__xludf.DUMMYFUNCTION("""COMPUTED_VALUE"""),"شركة جوسيرا بت فود جي ام بي اتش كاي جي")</f>
        <v>شركة جوسيرا بت فود جي ام بي اتش كاي جي</v>
      </c>
      <c r="L614" s="142" t="str">
        <f>IFERROR(__xludf.DUMMYFUNCTION("""COMPUTED_VALUE"""),"50010861")</f>
        <v>50010861</v>
      </c>
      <c r="M614" s="133"/>
      <c r="N614" s="133"/>
      <c r="O614" s="133"/>
      <c r="P614" s="133"/>
      <c r="Q614" s="133"/>
      <c r="R614" s="133"/>
      <c r="S614" s="133"/>
      <c r="T614" s="133"/>
      <c r="U614" s="133"/>
      <c r="V614" s="133"/>
      <c r="W614" s="133"/>
      <c r="X614" s="133"/>
      <c r="Y614" s="133"/>
      <c r="Z614" s="133"/>
    </row>
    <row r="615">
      <c r="A615" s="133">
        <f>IFERROR(__xludf.DUMMYFUNCTION("""COMPUTED_VALUE"""),614.0)</f>
        <v>614</v>
      </c>
      <c r="B615" s="133" t="str">
        <f>IFERROR(__xludf.DUMMYFUNCTION("""COMPUTED_VALUE"""),"50010877")</f>
        <v>50010877</v>
      </c>
      <c r="C615" s="133" t="str">
        <f>IFERROR(__xludf.DUMMYFUNCTION("""COMPUTED_VALUE"""),"P-1-N-270421-2297")</f>
        <v>P-1-N-270421-2297</v>
      </c>
      <c r="D615" s="133"/>
      <c r="E615" s="133" t="str">
        <f>IFERROR(__xludf.DUMMYFUNCTION("""COMPUTED_VALUE"""),"تمت طباعة الشهادة")</f>
        <v>تمت طباعة الشهادة</v>
      </c>
      <c r="F615" s="133" t="str">
        <f>IFERROR(__xludf.DUMMYFUNCTION("""COMPUTED_VALUE"""),"JosiDog Economy 15kg")</f>
        <v>JosiDog Economy 15kg</v>
      </c>
      <c r="G615" s="133" t="str">
        <f>IFERROR(__xludf.DUMMYFUNCTION("""COMPUTED_VALUE"""),"جوسي دوج ايكونومي 15 كجم")</f>
        <v>جوسي دوج ايكونومي 15 كجم</v>
      </c>
      <c r="H615" s="133" t="str">
        <f>IFERROR(__xludf.DUMMYFUNCTION("""COMPUTED_VALUE"""),"MAFE20211341")</f>
        <v>MAFE20211341</v>
      </c>
      <c r="I615" s="133"/>
      <c r="J615" s="133"/>
      <c r="K615" s="133" t="str">
        <f>IFERROR(__xludf.DUMMYFUNCTION("""COMPUTED_VALUE"""),"شركة جوسيرا بت فود جي ام بي اتش كاي جي")</f>
        <v>شركة جوسيرا بت فود جي ام بي اتش كاي جي</v>
      </c>
      <c r="L615" s="142" t="str">
        <f>IFERROR(__xludf.DUMMYFUNCTION("""COMPUTED_VALUE"""),"50010877")</f>
        <v>50010877</v>
      </c>
      <c r="M615" s="133"/>
      <c r="N615" s="133"/>
      <c r="O615" s="133"/>
      <c r="P615" s="133"/>
      <c r="Q615" s="133"/>
      <c r="R615" s="133"/>
      <c r="S615" s="133"/>
      <c r="T615" s="133"/>
      <c r="U615" s="133"/>
      <c r="V615" s="133"/>
      <c r="W615" s="133"/>
      <c r="X615" s="133"/>
      <c r="Y615" s="133"/>
      <c r="Z615" s="133"/>
    </row>
    <row r="616">
      <c r="A616" s="133">
        <f>IFERROR(__xludf.DUMMYFUNCTION("""COMPUTED_VALUE"""),615.0)</f>
        <v>615</v>
      </c>
      <c r="B616" s="133" t="str">
        <f>IFERROR(__xludf.DUMMYFUNCTION("""COMPUTED_VALUE"""),"50010836")</f>
        <v>50010836</v>
      </c>
      <c r="C616" s="133" t="str">
        <f>IFERROR(__xludf.DUMMYFUNCTION("""COMPUTED_VALUE"""),"P-1-N-270421-2309")</f>
        <v>P-1-N-270421-2309</v>
      </c>
      <c r="D616" s="133"/>
      <c r="E616" s="133" t="str">
        <f>IFERROR(__xludf.DUMMYFUNCTION("""COMPUTED_VALUE"""),"تمت طباعة الشهادة")</f>
        <v>تمت طباعة الشهادة</v>
      </c>
      <c r="F616" s="133" t="str">
        <f>IFERROR(__xludf.DUMMYFUNCTION("""COMPUTED_VALUE"""),"MiniDeluxe 15kg")</f>
        <v>MiniDeluxe 15kg</v>
      </c>
      <c r="G616" s="133" t="str">
        <f>IFERROR(__xludf.DUMMYFUNCTION("""COMPUTED_VALUE"""),"ميني ديلوكس 15 كجم")</f>
        <v>ميني ديلوكس 15 كجم</v>
      </c>
      <c r="H616" s="133" t="str">
        <f>IFERROR(__xludf.DUMMYFUNCTION("""COMPUTED_VALUE"""),"MAFE20211340")</f>
        <v>MAFE20211340</v>
      </c>
      <c r="I616" s="133"/>
      <c r="J616" s="133"/>
      <c r="K616" s="133" t="str">
        <f>IFERROR(__xludf.DUMMYFUNCTION("""COMPUTED_VALUE"""),"شركة جوسيرا بت فود جي ام بي اتش كاي جي")</f>
        <v>شركة جوسيرا بت فود جي ام بي اتش كاي جي</v>
      </c>
      <c r="L616" s="142" t="str">
        <f>IFERROR(__xludf.DUMMYFUNCTION("""COMPUTED_VALUE"""),"50010836")</f>
        <v>50010836</v>
      </c>
      <c r="M616" s="133"/>
      <c r="N616" s="133"/>
      <c r="O616" s="133"/>
      <c r="P616" s="133"/>
      <c r="Q616" s="133"/>
      <c r="R616" s="133"/>
      <c r="S616" s="133"/>
      <c r="T616" s="133"/>
      <c r="U616" s="133"/>
      <c r="V616" s="133"/>
      <c r="W616" s="133"/>
      <c r="X616" s="133"/>
      <c r="Y616" s="133"/>
      <c r="Z616" s="133"/>
    </row>
    <row r="617">
      <c r="A617" s="133">
        <f>IFERROR(__xludf.DUMMYFUNCTION("""COMPUTED_VALUE"""),616.0)</f>
        <v>616</v>
      </c>
      <c r="B617" s="133" t="str">
        <f>IFERROR(__xludf.DUMMYFUNCTION("""COMPUTED_VALUE"""),"50010847")</f>
        <v>50010847</v>
      </c>
      <c r="C617" s="133" t="str">
        <f>IFERROR(__xludf.DUMMYFUNCTION("""COMPUTED_VALUE"""),"P-1-N-270421-2310")</f>
        <v>P-1-N-270421-2310</v>
      </c>
      <c r="D617" s="133"/>
      <c r="E617" s="133" t="str">
        <f>IFERROR(__xludf.DUMMYFUNCTION("""COMPUTED_VALUE"""),"تمت طباعة الشهادة")</f>
        <v>تمت طباعة الشهادة</v>
      </c>
      <c r="F617" s="133" t="str">
        <f>IFERROR(__xludf.DUMMYFUNCTION("""COMPUTED_VALUE"""),"MiniJunior 15kg")</f>
        <v>MiniJunior 15kg</v>
      </c>
      <c r="G617" s="133" t="str">
        <f>IFERROR(__xludf.DUMMYFUNCTION("""COMPUTED_VALUE"""),"ميني جونيور 15 كجم")</f>
        <v>ميني جونيور 15 كجم</v>
      </c>
      <c r="H617" s="133" t="str">
        <f>IFERROR(__xludf.DUMMYFUNCTION("""COMPUTED_VALUE"""),"MAFE20211339")</f>
        <v>MAFE20211339</v>
      </c>
      <c r="I617" s="133"/>
      <c r="J617" s="133"/>
      <c r="K617" s="133" t="str">
        <f>IFERROR(__xludf.DUMMYFUNCTION("""COMPUTED_VALUE"""),"شركة جوسيرا بت فود جي ام بي اتش كاي جي")</f>
        <v>شركة جوسيرا بت فود جي ام بي اتش كاي جي</v>
      </c>
      <c r="L617" s="142" t="str">
        <f>IFERROR(__xludf.DUMMYFUNCTION("""COMPUTED_VALUE"""),"50010847")</f>
        <v>50010847</v>
      </c>
      <c r="M617" s="133"/>
      <c r="N617" s="133"/>
      <c r="O617" s="133"/>
      <c r="P617" s="133"/>
      <c r="Q617" s="133"/>
      <c r="R617" s="133"/>
      <c r="S617" s="133"/>
      <c r="T617" s="133"/>
      <c r="U617" s="133"/>
      <c r="V617" s="133"/>
      <c r="W617" s="133"/>
      <c r="X617" s="133"/>
      <c r="Y617" s="133"/>
      <c r="Z617" s="133"/>
    </row>
    <row r="618">
      <c r="A618" s="133">
        <f>IFERROR(__xludf.DUMMYFUNCTION("""COMPUTED_VALUE"""),617.0)</f>
        <v>617</v>
      </c>
      <c r="B618" s="133" t="str">
        <f>IFERROR(__xludf.DUMMYFUNCTION("""COMPUTED_VALUE"""),"50010852")</f>
        <v>50010852</v>
      </c>
      <c r="C618" s="133" t="str">
        <f>IFERROR(__xludf.DUMMYFUNCTION("""COMPUTED_VALUE"""),"P-1-N-270421-2311")</f>
        <v>P-1-N-270421-2311</v>
      </c>
      <c r="D618" s="133"/>
      <c r="E618" s="133" t="str">
        <f>IFERROR(__xludf.DUMMYFUNCTION("""COMPUTED_VALUE"""),"تمت طباعة الشهادة")</f>
        <v>تمت طباعة الشهادة</v>
      </c>
      <c r="F618" s="133" t="str">
        <f>IFERROR(__xludf.DUMMYFUNCTION("""COMPUTED_VALUE"""),"Optiness 15kg")</f>
        <v>Optiness 15kg</v>
      </c>
      <c r="G618" s="133" t="str">
        <f>IFERROR(__xludf.DUMMYFUNCTION("""COMPUTED_VALUE"""),"أوبتيناس 15 كجم")</f>
        <v>أوبتيناس 15 كجم</v>
      </c>
      <c r="H618" s="133" t="str">
        <f>IFERROR(__xludf.DUMMYFUNCTION("""COMPUTED_VALUE"""),"MAFE20211338")</f>
        <v>MAFE20211338</v>
      </c>
      <c r="I618" s="133"/>
      <c r="J618" s="133"/>
      <c r="K618" s="133" t="str">
        <f>IFERROR(__xludf.DUMMYFUNCTION("""COMPUTED_VALUE"""),"شركة جوسيرا بت فود جي ام بي اتش كاي جي")</f>
        <v>شركة جوسيرا بت فود جي ام بي اتش كاي جي</v>
      </c>
      <c r="L618" s="142" t="str">
        <f>IFERROR(__xludf.DUMMYFUNCTION("""COMPUTED_VALUE"""),"50010852")</f>
        <v>50010852</v>
      </c>
      <c r="M618" s="133"/>
      <c r="N618" s="133"/>
      <c r="O618" s="133"/>
      <c r="P618" s="133"/>
      <c r="Q618" s="133"/>
      <c r="R618" s="133"/>
      <c r="S618" s="133"/>
      <c r="T618" s="133"/>
      <c r="U618" s="133"/>
      <c r="V618" s="133"/>
      <c r="W618" s="133"/>
      <c r="X618" s="133"/>
      <c r="Y618" s="133"/>
      <c r="Z618" s="133"/>
    </row>
    <row r="619">
      <c r="A619" s="133">
        <f>IFERROR(__xludf.DUMMYFUNCTION("""COMPUTED_VALUE"""),618.0)</f>
        <v>618</v>
      </c>
      <c r="B619" s="133" t="str">
        <f>IFERROR(__xludf.DUMMYFUNCTION("""COMPUTED_VALUE"""),"50011364")</f>
        <v>50011364</v>
      </c>
      <c r="C619" s="133" t="str">
        <f>IFERROR(__xludf.DUMMYFUNCTION("""COMPUTED_VALUE"""),"P-1-N-270421-2312")</f>
        <v>P-1-N-270421-2312</v>
      </c>
      <c r="D619" s="133"/>
      <c r="E619" s="133" t="str">
        <f>IFERROR(__xludf.DUMMYFUNCTION("""COMPUTED_VALUE"""),"تمت طباعة الشهادة")</f>
        <v>تمت طباعة الشهادة</v>
      </c>
      <c r="F619" s="133" t="str">
        <f>IFERROR(__xludf.DUMMYFUNCTION("""COMPUTED_VALUE"""),"SensiCat 10kg")</f>
        <v>SensiCat 10kg</v>
      </c>
      <c r="G619" s="133" t="str">
        <f>IFERROR(__xludf.DUMMYFUNCTION("""COMPUTED_VALUE"""),"سينسيكات 10 كجم")</f>
        <v>سينسيكات 10 كجم</v>
      </c>
      <c r="H619" s="133" t="str">
        <f>IFERROR(__xludf.DUMMYFUNCTION("""COMPUTED_VALUE"""),"MAFE20211336")</f>
        <v>MAFE20211336</v>
      </c>
      <c r="I619" s="133"/>
      <c r="J619" s="133"/>
      <c r="K619" s="133" t="str">
        <f>IFERROR(__xludf.DUMMYFUNCTION("""COMPUTED_VALUE"""),"شركة جوسيرا بت فود جي ام بي اتش كاي جي")</f>
        <v>شركة جوسيرا بت فود جي ام بي اتش كاي جي</v>
      </c>
      <c r="L619" s="142" t="str">
        <f>IFERROR(__xludf.DUMMYFUNCTION("""COMPUTED_VALUE"""),"50011364")</f>
        <v>50011364</v>
      </c>
      <c r="M619" s="133"/>
      <c r="N619" s="133"/>
      <c r="O619" s="133"/>
      <c r="P619" s="133"/>
      <c r="Q619" s="133"/>
      <c r="R619" s="133"/>
      <c r="S619" s="133"/>
      <c r="T619" s="133"/>
      <c r="U619" s="133"/>
      <c r="V619" s="133"/>
      <c r="W619" s="133"/>
      <c r="X619" s="133"/>
      <c r="Y619" s="133"/>
      <c r="Z619" s="133"/>
    </row>
    <row r="620">
      <c r="A620" s="133">
        <f>IFERROR(__xludf.DUMMYFUNCTION("""COMPUTED_VALUE"""),619.0)</f>
        <v>619</v>
      </c>
      <c r="B620" s="133" t="str">
        <f>IFERROR(__xludf.DUMMYFUNCTION("""COMPUTED_VALUE"""),"50010857")</f>
        <v>50010857</v>
      </c>
      <c r="C620" s="133" t="str">
        <f>IFERROR(__xludf.DUMMYFUNCTION("""COMPUTED_VALUE"""),"P-1-N-270421-2313")</f>
        <v>P-1-N-270421-2313</v>
      </c>
      <c r="D620" s="133"/>
      <c r="E620" s="133" t="str">
        <f>IFERROR(__xludf.DUMMYFUNCTION("""COMPUTED_VALUE"""),"تمت طباعة الشهادة")</f>
        <v>تمت طباعة الشهادة</v>
      </c>
      <c r="F620" s="133" t="str">
        <f>IFERROR(__xludf.DUMMYFUNCTION("""COMPUTED_VALUE"""),"SensiJunior 15kg")</f>
        <v>SensiJunior 15kg</v>
      </c>
      <c r="G620" s="133" t="str">
        <f>IFERROR(__xludf.DUMMYFUNCTION("""COMPUTED_VALUE"""),"سينسي جونيور 15 كجم")</f>
        <v>سينسي جونيور 15 كجم</v>
      </c>
      <c r="H620" s="133" t="str">
        <f>IFERROR(__xludf.DUMMYFUNCTION("""COMPUTED_VALUE"""),"MAFE20211337")</f>
        <v>MAFE20211337</v>
      </c>
      <c r="I620" s="133"/>
      <c r="J620" s="133"/>
      <c r="K620" s="133" t="str">
        <f>IFERROR(__xludf.DUMMYFUNCTION("""COMPUTED_VALUE"""),"شركة جوسيرا بت فود جي ام بي اتش كاي جي")</f>
        <v>شركة جوسيرا بت فود جي ام بي اتش كاي جي</v>
      </c>
      <c r="L620" s="142" t="str">
        <f>IFERROR(__xludf.DUMMYFUNCTION("""COMPUTED_VALUE"""),"50010857")</f>
        <v>50010857</v>
      </c>
      <c r="M620" s="133"/>
      <c r="N620" s="133"/>
      <c r="O620" s="133"/>
      <c r="P620" s="133"/>
      <c r="Q620" s="133"/>
      <c r="R620" s="133"/>
      <c r="S620" s="133"/>
      <c r="T620" s="133"/>
      <c r="U620" s="133"/>
      <c r="V620" s="133"/>
      <c r="W620" s="133"/>
      <c r="X620" s="133"/>
      <c r="Y620" s="133"/>
      <c r="Z620" s="133"/>
    </row>
    <row r="621">
      <c r="A621" s="133">
        <f>IFERROR(__xludf.DUMMYFUNCTION("""COMPUTED_VALUE"""),620.0)</f>
        <v>620</v>
      </c>
      <c r="B621" s="133" t="str">
        <f>IFERROR(__xludf.DUMMYFUNCTION("""COMPUTED_VALUE"""),"50010859")</f>
        <v>50010859</v>
      </c>
      <c r="C621" s="133" t="str">
        <f>IFERROR(__xludf.DUMMYFUNCTION("""COMPUTED_VALUE"""),"P-1-N-270421-2314")</f>
        <v>P-1-N-270421-2314</v>
      </c>
      <c r="D621" s="133"/>
      <c r="E621" s="133" t="str">
        <f>IFERROR(__xludf.DUMMYFUNCTION("""COMPUTED_VALUE"""),"تمت طباعة الشهادة")</f>
        <v>تمت طباعة الشهادة</v>
      </c>
      <c r="F621" s="133" t="str">
        <f>IFERROR(__xludf.DUMMYFUNCTION("""COMPUTED_VALUE"""),"SensiPlus 15kg")</f>
        <v>SensiPlus 15kg</v>
      </c>
      <c r="G621" s="133" t="str">
        <f>IFERROR(__xludf.DUMMYFUNCTION("""COMPUTED_VALUE"""),"سينسي بلس 15 كجم")</f>
        <v>سينسي بلس 15 كجم</v>
      </c>
      <c r="H621" s="133" t="str">
        <f>IFERROR(__xludf.DUMMYFUNCTION("""COMPUTED_VALUE"""),"MAFE20211335")</f>
        <v>MAFE20211335</v>
      </c>
      <c r="I621" s="133"/>
      <c r="J621" s="133"/>
      <c r="K621" s="133" t="str">
        <f>IFERROR(__xludf.DUMMYFUNCTION("""COMPUTED_VALUE"""),"شركة جوسيرا بت فود جي ام بي اتش كاي جي")</f>
        <v>شركة جوسيرا بت فود جي ام بي اتش كاي جي</v>
      </c>
      <c r="L621" s="142" t="str">
        <f>IFERROR(__xludf.DUMMYFUNCTION("""COMPUTED_VALUE"""),"50010859")</f>
        <v>50010859</v>
      </c>
      <c r="M621" s="133"/>
      <c r="N621" s="133"/>
      <c r="O621" s="133"/>
      <c r="P621" s="133"/>
      <c r="Q621" s="133"/>
      <c r="R621" s="133"/>
      <c r="S621" s="133"/>
      <c r="T621" s="133"/>
      <c r="U621" s="133"/>
      <c r="V621" s="133"/>
      <c r="W621" s="133"/>
      <c r="X621" s="133"/>
      <c r="Y621" s="133"/>
      <c r="Z621" s="133"/>
    </row>
    <row r="622">
      <c r="A622" s="133">
        <f>IFERROR(__xludf.DUMMYFUNCTION("""COMPUTED_VALUE"""),621.0)</f>
        <v>621</v>
      </c>
      <c r="B622" s="133" t="str">
        <f>IFERROR(__xludf.DUMMYFUNCTION("""COMPUTED_VALUE"""),"50010863")</f>
        <v>50010863</v>
      </c>
      <c r="C622" s="133" t="str">
        <f>IFERROR(__xludf.DUMMYFUNCTION("""COMPUTED_VALUE"""),"P-1-N-270421-2315")</f>
        <v>P-1-N-270421-2315</v>
      </c>
      <c r="D622" s="133"/>
      <c r="E622" s="133" t="str">
        <f>IFERROR(__xludf.DUMMYFUNCTION("""COMPUTED_VALUE"""),"تمت طباعة الشهادة")</f>
        <v>تمت طباعة الشهادة</v>
      </c>
      <c r="F622" s="133" t="str">
        <f>IFERROR(__xludf.DUMMYFUNCTION("""COMPUTED_VALUE"""),"YoungStar 15kg")</f>
        <v>YoungStar 15kg</v>
      </c>
      <c r="G622" s="133" t="str">
        <f>IFERROR(__xludf.DUMMYFUNCTION("""COMPUTED_VALUE"""),"يونغ ستار 15 كجم")</f>
        <v>يونغ ستار 15 كجم</v>
      </c>
      <c r="H622" s="133" t="str">
        <f>IFERROR(__xludf.DUMMYFUNCTION("""COMPUTED_VALUE"""),"MAFE20211334")</f>
        <v>MAFE20211334</v>
      </c>
      <c r="I622" s="133"/>
      <c r="J622" s="133"/>
      <c r="K622" s="133" t="str">
        <f>IFERROR(__xludf.DUMMYFUNCTION("""COMPUTED_VALUE"""),"شركة جوسيرا بت فود جي ام بي اتش كاي جي")</f>
        <v>شركة جوسيرا بت فود جي ام بي اتش كاي جي</v>
      </c>
      <c r="L622" s="142" t="str">
        <f>IFERROR(__xludf.DUMMYFUNCTION("""COMPUTED_VALUE"""),"50010863")</f>
        <v>50010863</v>
      </c>
      <c r="M622" s="133"/>
      <c r="N622" s="133"/>
      <c r="O622" s="133"/>
      <c r="P622" s="133"/>
      <c r="Q622" s="133"/>
      <c r="R622" s="133"/>
      <c r="S622" s="133"/>
      <c r="T622" s="133"/>
      <c r="U622" s="133"/>
      <c r="V622" s="133"/>
      <c r="W622" s="133"/>
      <c r="X622" s="133"/>
      <c r="Y622" s="133"/>
      <c r="Z622" s="133"/>
    </row>
    <row r="623">
      <c r="A623" s="133">
        <f>IFERROR(__xludf.DUMMYFUNCTION("""COMPUTED_VALUE"""),622.0)</f>
        <v>622</v>
      </c>
      <c r="B623" s="133"/>
      <c r="C623" s="133" t="str">
        <f>IFERROR(__xludf.DUMMYFUNCTION("""COMPUTED_VALUE"""),"P-1-N-020521-2376")</f>
        <v>P-1-N-020521-2376</v>
      </c>
      <c r="D623" s="133"/>
      <c r="E623" s="133" t="str">
        <f>IFERROR(__xludf.DUMMYFUNCTION("""COMPUTED_VALUE"""),"REJECTED")</f>
        <v>REJECTED</v>
      </c>
      <c r="F623" s="133" t="str">
        <f>IFERROR(__xludf.DUMMYFUNCTION("""COMPUTED_VALUE"""),"Schesir NS Dry Turkey 490g")</f>
        <v>Schesir NS Dry Turkey 490g</v>
      </c>
      <c r="G623" s="133" t="str">
        <f>IFERROR(__xludf.DUMMYFUNCTION("""COMPUTED_VALUE"""),"شيزير أن أس طعام جاف بالديك الرومي 490 جم")</f>
        <v>شيزير أن أس طعام جاف بالديك الرومي 490 جم</v>
      </c>
      <c r="H623" s="133"/>
      <c r="I623" s="133"/>
      <c r="J623" s="133"/>
      <c r="K623" s="133" t="str">
        <f>IFERROR(__xludf.DUMMYFUNCTION("""COMPUTED_VALUE"""),"أغراس ديليتش اس بي أي")</f>
        <v>أغراس ديليتش اس بي أي</v>
      </c>
      <c r="L623" s="133"/>
      <c r="M623" s="133"/>
      <c r="N623" s="133"/>
      <c r="O623" s="133"/>
      <c r="P623" s="133"/>
      <c r="Q623" s="133"/>
      <c r="R623" s="133"/>
      <c r="S623" s="133"/>
      <c r="T623" s="133"/>
      <c r="U623" s="133"/>
      <c r="V623" s="133"/>
      <c r="W623" s="133"/>
      <c r="X623" s="133"/>
      <c r="Y623" s="133"/>
      <c r="Z623" s="133"/>
    </row>
    <row r="624">
      <c r="A624" s="133">
        <f>IFERROR(__xludf.DUMMYFUNCTION("""COMPUTED_VALUE"""),623.0)</f>
        <v>623</v>
      </c>
      <c r="B624" s="133"/>
      <c r="C624" s="133" t="str">
        <f>IFERROR(__xludf.DUMMYFUNCTION("""COMPUTED_VALUE"""),"P-1-N-020521-2377")</f>
        <v>P-1-N-020521-2377</v>
      </c>
      <c r="D624" s="133"/>
      <c r="E624" s="133" t="str">
        <f>IFERROR(__xludf.DUMMYFUNCTION("""COMPUTED_VALUE"""),"تمت طباعة الشهادة")</f>
        <v>تمت طباعة الشهادة</v>
      </c>
      <c r="F624" s="133" t="str">
        <f>IFERROR(__xludf.DUMMYFUNCTION("""COMPUTED_VALUE"""),"Schesir NS Dry Turkey 490g")</f>
        <v>Schesir NS Dry Turkey 490g</v>
      </c>
      <c r="G624" s="133" t="str">
        <f>IFERROR(__xludf.DUMMYFUNCTION("""COMPUTED_VALUE"""),"شيزير أن أس طعام جاف بالديك الرومي 490 جم")</f>
        <v>شيزير أن أس طعام جاف بالديك الرومي 490 جم</v>
      </c>
      <c r="H624" s="133" t="str">
        <f>IFERROR(__xludf.DUMMYFUNCTION("""COMPUTED_VALUE"""),"MAFE20211431")</f>
        <v>MAFE20211431</v>
      </c>
      <c r="I624" s="133"/>
      <c r="J624" s="133"/>
      <c r="K624" s="133" t="str">
        <f>IFERROR(__xludf.DUMMYFUNCTION("""COMPUTED_VALUE"""),"أغراس ديليتش اس بي أي")</f>
        <v>أغراس ديليتش اس بي أي</v>
      </c>
      <c r="L624" s="133"/>
      <c r="M624" s="133"/>
      <c r="N624" s="133"/>
      <c r="O624" s="133"/>
      <c r="P624" s="133"/>
      <c r="Q624" s="133"/>
      <c r="R624" s="133"/>
      <c r="S624" s="133"/>
      <c r="T624" s="133"/>
      <c r="U624" s="133"/>
      <c r="V624" s="133"/>
      <c r="W624" s="133"/>
      <c r="X624" s="133"/>
      <c r="Y624" s="133"/>
      <c r="Z624" s="133"/>
    </row>
    <row r="625">
      <c r="A625" s="133">
        <f>IFERROR(__xludf.DUMMYFUNCTION("""COMPUTED_VALUE"""),624.0)</f>
        <v>624</v>
      </c>
      <c r="B625" s="133"/>
      <c r="C625" s="133" t="str">
        <f>IFERROR(__xludf.DUMMYFUNCTION("""COMPUTED_VALUE"""),"P-1-N-020521-2378")</f>
        <v>P-1-N-020521-2378</v>
      </c>
      <c r="D625" s="133"/>
      <c r="E625" s="133" t="str">
        <f>IFERROR(__xludf.DUMMYFUNCTION("""COMPUTED_VALUE"""),"REJECTED")</f>
        <v>REJECTED</v>
      </c>
      <c r="F625" s="133" t="str">
        <f>IFERROR(__xludf.DUMMYFUNCTION("""COMPUTED_VALUE"""),"Schesir NS Dry Lamb 490g")</f>
        <v>Schesir NS Dry Lamb 490g</v>
      </c>
      <c r="G625" s="133" t="str">
        <f>IFERROR(__xludf.DUMMYFUNCTION("""COMPUTED_VALUE"""),"شيزير أن أس طعام جاف بلحم الضأن 490 جم")</f>
        <v>شيزير أن أس طعام جاف بلحم الضأن 490 جم</v>
      </c>
      <c r="H625" s="133"/>
      <c r="I625" s="133"/>
      <c r="J625" s="133"/>
      <c r="K625" s="133" t="str">
        <f>IFERROR(__xludf.DUMMYFUNCTION("""COMPUTED_VALUE"""),"أغراس ديليتش اس بي أي")</f>
        <v>أغراس ديليتش اس بي أي</v>
      </c>
      <c r="L625" s="133"/>
      <c r="M625" s="133"/>
      <c r="N625" s="133"/>
      <c r="O625" s="133"/>
      <c r="P625" s="133"/>
      <c r="Q625" s="133"/>
      <c r="R625" s="133"/>
      <c r="S625" s="133"/>
      <c r="T625" s="133"/>
      <c r="U625" s="133"/>
      <c r="V625" s="133"/>
      <c r="W625" s="133"/>
      <c r="X625" s="133"/>
      <c r="Y625" s="133"/>
      <c r="Z625" s="133"/>
    </row>
    <row r="626">
      <c r="A626" s="133">
        <f>IFERROR(__xludf.DUMMYFUNCTION("""COMPUTED_VALUE"""),625.0)</f>
        <v>625</v>
      </c>
      <c r="B626" s="133"/>
      <c r="C626" s="133" t="str">
        <f>IFERROR(__xludf.DUMMYFUNCTION("""COMPUTED_VALUE"""),"P-1-N-020521-2379")</f>
        <v>P-1-N-020521-2379</v>
      </c>
      <c r="D626" s="133"/>
      <c r="E626" s="133" t="str">
        <f>IFERROR(__xludf.DUMMYFUNCTION("""COMPUTED_VALUE"""),"تمت طباعة الشهادة")</f>
        <v>تمت طباعة الشهادة</v>
      </c>
      <c r="F626" s="133" t="str">
        <f>IFERROR(__xludf.DUMMYFUNCTION("""COMPUTED_VALUE"""),"Schesir NS Dry Lamb 490g")</f>
        <v>Schesir NS Dry Lamb 490g</v>
      </c>
      <c r="G626" s="133" t="str">
        <f>IFERROR(__xludf.DUMMYFUNCTION("""COMPUTED_VALUE"""),"شيزير أن أس طعام جاف بلحم الضأن 490 جم")</f>
        <v>شيزير أن أس طعام جاف بلحم الضأن 490 جم</v>
      </c>
      <c r="H626" s="133" t="str">
        <f>IFERROR(__xludf.DUMMYFUNCTION("""COMPUTED_VALUE"""),"MAFE20211430")</f>
        <v>MAFE20211430</v>
      </c>
      <c r="I626" s="133"/>
      <c r="J626" s="133"/>
      <c r="K626" s="133" t="str">
        <f>IFERROR(__xludf.DUMMYFUNCTION("""COMPUTED_VALUE"""),"أغراس ديليتش اس بي أي")</f>
        <v>أغراس ديليتش اس بي أي</v>
      </c>
      <c r="L626" s="133"/>
      <c r="M626" s="133"/>
      <c r="N626" s="133"/>
      <c r="O626" s="133"/>
      <c r="P626" s="133"/>
      <c r="Q626" s="133"/>
      <c r="R626" s="133"/>
      <c r="S626" s="133"/>
      <c r="T626" s="133"/>
      <c r="U626" s="133"/>
      <c r="V626" s="133"/>
      <c r="W626" s="133"/>
      <c r="X626" s="133"/>
      <c r="Y626" s="133"/>
      <c r="Z626" s="133"/>
    </row>
    <row r="627">
      <c r="A627" s="133">
        <f>IFERROR(__xludf.DUMMYFUNCTION("""COMPUTED_VALUE"""),626.0)</f>
        <v>626</v>
      </c>
      <c r="B627" s="133" t="str">
        <f>IFERROR(__xludf.DUMMYFUNCTION("""COMPUTED_VALUE"""),"50010833")</f>
        <v>50010833</v>
      </c>
      <c r="C627" s="133" t="str">
        <f>IFERROR(__xludf.DUMMYFUNCTION("""COMPUTED_VALUE"""),"P-1-N-040521-2440")</f>
        <v>P-1-N-040521-2440</v>
      </c>
      <c r="D627" s="133"/>
      <c r="E627" s="133" t="str">
        <f>IFERROR(__xludf.DUMMYFUNCTION("""COMPUTED_VALUE"""),"تمت طباعة الشهادة")</f>
        <v>تمت طباعة الشهادة</v>
      </c>
      <c r="F627" s="133" t="str">
        <f>IFERROR(__xludf.DUMMYFUNCTION("""COMPUTED_VALUE"""),"Festival 900g")</f>
        <v>Festival 900g</v>
      </c>
      <c r="G627" s="133" t="str">
        <f>IFERROR(__xludf.DUMMYFUNCTION("""COMPUTED_VALUE"""),"فيستيفال 900 جم")</f>
        <v>فيستيفال 900 جم</v>
      </c>
      <c r="H627" s="133" t="str">
        <f>IFERROR(__xludf.DUMMYFUNCTION("""COMPUTED_VALUE"""),"MAFE20211470")</f>
        <v>MAFE20211470</v>
      </c>
      <c r="I627" s="133"/>
      <c r="J627" s="133"/>
      <c r="K627" s="133" t="str">
        <f>IFERROR(__xludf.DUMMYFUNCTION("""COMPUTED_VALUE"""),"شركة جوسيرا بت فود جي ام بي اتش كاي جي")</f>
        <v>شركة جوسيرا بت فود جي ام بي اتش كاي جي</v>
      </c>
      <c r="L627" s="142" t="str">
        <f>IFERROR(__xludf.DUMMYFUNCTION("""COMPUTED_VALUE"""),"50010833")</f>
        <v>50010833</v>
      </c>
      <c r="M627" s="133"/>
      <c r="N627" s="133"/>
      <c r="O627" s="133"/>
      <c r="P627" s="133"/>
      <c r="Q627" s="133"/>
      <c r="R627" s="133"/>
      <c r="S627" s="133"/>
      <c r="T627" s="133"/>
      <c r="U627" s="133"/>
      <c r="V627" s="133"/>
      <c r="W627" s="133"/>
      <c r="X627" s="133"/>
      <c r="Y627" s="133"/>
      <c r="Z627" s="133"/>
    </row>
    <row r="628">
      <c r="A628" s="133">
        <f>IFERROR(__xludf.DUMMYFUNCTION("""COMPUTED_VALUE"""),627.0)</f>
        <v>627</v>
      </c>
      <c r="B628" s="133" t="str">
        <f>IFERROR(__xludf.DUMMYFUNCTION("""COMPUTED_VALUE"""),"50010851")</f>
        <v>50010851</v>
      </c>
      <c r="C628" s="133" t="str">
        <f>IFERROR(__xludf.DUMMYFUNCTION("""COMPUTED_VALUE"""),"P-1-N-040521-2441")</f>
        <v>P-1-N-040521-2441</v>
      </c>
      <c r="D628" s="133"/>
      <c r="E628" s="133" t="str">
        <f>IFERROR(__xludf.DUMMYFUNCTION("""COMPUTED_VALUE"""),"تمت طباعة الشهادة")</f>
        <v>تمت طباعة الشهادة</v>
      </c>
      <c r="F628" s="133" t="str">
        <f>IFERROR(__xludf.DUMMYFUNCTION("""COMPUTED_VALUE"""),"Kids 900g")</f>
        <v>Kids 900g</v>
      </c>
      <c r="G628" s="133" t="str">
        <f>IFERROR(__xludf.DUMMYFUNCTION("""COMPUTED_VALUE"""),"كيدس 900 جم")</f>
        <v>كيدس 900 جم</v>
      </c>
      <c r="H628" s="133" t="str">
        <f>IFERROR(__xludf.DUMMYFUNCTION("""COMPUTED_VALUE"""),"MAFE20211449")</f>
        <v>MAFE20211449</v>
      </c>
      <c r="I628" s="133"/>
      <c r="J628" s="133"/>
      <c r="K628" s="133" t="str">
        <f>IFERROR(__xludf.DUMMYFUNCTION("""COMPUTED_VALUE"""),"شركة جوسيرا بت فود جي ام بي اتش كاي جي")</f>
        <v>شركة جوسيرا بت فود جي ام بي اتش كاي جي</v>
      </c>
      <c r="L628" s="142" t="str">
        <f>IFERROR(__xludf.DUMMYFUNCTION("""COMPUTED_VALUE"""),"50010851")</f>
        <v>50010851</v>
      </c>
      <c r="M628" s="133"/>
      <c r="N628" s="133"/>
      <c r="O628" s="133"/>
      <c r="P628" s="133"/>
      <c r="Q628" s="133"/>
      <c r="R628" s="133"/>
      <c r="S628" s="133"/>
      <c r="T628" s="133"/>
      <c r="U628" s="133"/>
      <c r="V628" s="133"/>
      <c r="W628" s="133"/>
      <c r="X628" s="133"/>
      <c r="Y628" s="133"/>
      <c r="Z628" s="133"/>
    </row>
    <row r="629">
      <c r="A629" s="133">
        <f>IFERROR(__xludf.DUMMYFUNCTION("""COMPUTED_VALUE"""),628.0)</f>
        <v>628</v>
      </c>
      <c r="B629" s="133" t="str">
        <f>IFERROR(__xludf.DUMMYFUNCTION("""COMPUTED_VALUE"""),"50010862")</f>
        <v>50010862</v>
      </c>
      <c r="C629" s="133" t="str">
        <f>IFERROR(__xludf.DUMMYFUNCTION("""COMPUTED_VALUE"""),"P-1-N-040521-2442")</f>
        <v>P-1-N-040521-2442</v>
      </c>
      <c r="D629" s="133"/>
      <c r="E629" s="133" t="str">
        <f>IFERROR(__xludf.DUMMYFUNCTION("""COMPUTED_VALUE"""),"تمت طباعة الشهادة")</f>
        <v>تمت طباعة الشهادة</v>
      </c>
      <c r="F629" s="133" t="str">
        <f>IFERROR(__xludf.DUMMYFUNCTION("""COMPUTED_VALUE"""),"Hypoallergenic 900g")</f>
        <v>Hypoallergenic 900g</v>
      </c>
      <c r="G629" s="133" t="str">
        <f>IFERROR(__xludf.DUMMYFUNCTION("""COMPUTED_VALUE"""),"هيبوالرجينيك 900 جم")</f>
        <v>هيبوالرجينيك 900 جم</v>
      </c>
      <c r="H629" s="133" t="str">
        <f>IFERROR(__xludf.DUMMYFUNCTION("""COMPUTED_VALUE"""),"MAFE20211448")</f>
        <v>MAFE20211448</v>
      </c>
      <c r="I629" s="133"/>
      <c r="J629" s="133"/>
      <c r="K629" s="133" t="str">
        <f>IFERROR(__xludf.DUMMYFUNCTION("""COMPUTED_VALUE"""),"شركة جوسيرا بت فود جي ام بي اتش كاي جي")</f>
        <v>شركة جوسيرا بت فود جي ام بي اتش كاي جي</v>
      </c>
      <c r="L629" s="142" t="str">
        <f>IFERROR(__xludf.DUMMYFUNCTION("""COMPUTED_VALUE"""),"50010862")</f>
        <v>50010862</v>
      </c>
      <c r="M629" s="133"/>
      <c r="N629" s="133"/>
      <c r="O629" s="133"/>
      <c r="P629" s="133"/>
      <c r="Q629" s="133"/>
      <c r="R629" s="133"/>
      <c r="S629" s="133"/>
      <c r="T629" s="133"/>
      <c r="U629" s="133"/>
      <c r="V629" s="133"/>
      <c r="W629" s="133"/>
      <c r="X629" s="133"/>
      <c r="Y629" s="133"/>
      <c r="Z629" s="133"/>
    </row>
    <row r="630">
      <c r="A630" s="133">
        <f>IFERROR(__xludf.DUMMYFUNCTION("""COMPUTED_VALUE"""),629.0)</f>
        <v>629</v>
      </c>
      <c r="B630" s="133" t="str">
        <f>IFERROR(__xludf.DUMMYFUNCTION("""COMPUTED_VALUE"""),"50010846")</f>
        <v>50010846</v>
      </c>
      <c r="C630" s="133" t="str">
        <f>IFERROR(__xludf.DUMMYFUNCTION("""COMPUTED_VALUE"""),"P-1-N-040521-2443")</f>
        <v>P-1-N-040521-2443</v>
      </c>
      <c r="D630" s="133"/>
      <c r="E630" s="133" t="str">
        <f>IFERROR(__xludf.DUMMYFUNCTION("""COMPUTED_VALUE"""),"تمت طباعة الشهادة")</f>
        <v>تمت طباعة الشهادة</v>
      </c>
      <c r="F630" s="133" t="str">
        <f>IFERROR(__xludf.DUMMYFUNCTION("""COMPUTED_VALUE"""),"MiniDeluxe 900g")</f>
        <v>MiniDeluxe 900g</v>
      </c>
      <c r="G630" s="133" t="str">
        <f>IFERROR(__xludf.DUMMYFUNCTION("""COMPUTED_VALUE"""),"ميني ديلوكس 900 جم")</f>
        <v>ميني ديلوكس 900 جم</v>
      </c>
      <c r="H630" s="133" t="str">
        <f>IFERROR(__xludf.DUMMYFUNCTION("""COMPUTED_VALUE"""),"MAFE20211447")</f>
        <v>MAFE20211447</v>
      </c>
      <c r="I630" s="133"/>
      <c r="J630" s="133"/>
      <c r="K630" s="133" t="str">
        <f>IFERROR(__xludf.DUMMYFUNCTION("""COMPUTED_VALUE"""),"شركة جوسيرا بت فود جي ام بي اتش كاي جي")</f>
        <v>شركة جوسيرا بت فود جي ام بي اتش كاي جي</v>
      </c>
      <c r="L630" s="142" t="str">
        <f>IFERROR(__xludf.DUMMYFUNCTION("""COMPUTED_VALUE"""),"50010846")</f>
        <v>50010846</v>
      </c>
      <c r="M630" s="133"/>
      <c r="N630" s="133"/>
      <c r="O630" s="133"/>
      <c r="P630" s="133"/>
      <c r="Q630" s="133"/>
      <c r="R630" s="133"/>
      <c r="S630" s="133"/>
      <c r="T630" s="133"/>
      <c r="U630" s="133"/>
      <c r="V630" s="133"/>
      <c r="W630" s="133"/>
      <c r="X630" s="133"/>
      <c r="Y630" s="133"/>
      <c r="Z630" s="133"/>
    </row>
    <row r="631">
      <c r="A631" s="133">
        <f>IFERROR(__xludf.DUMMYFUNCTION("""COMPUTED_VALUE"""),630.0)</f>
        <v>630</v>
      </c>
      <c r="B631" s="133" t="str">
        <f>IFERROR(__xludf.DUMMYFUNCTION("""COMPUTED_VALUE"""),"50005673")</f>
        <v>50005673</v>
      </c>
      <c r="C631" s="133" t="str">
        <f>IFERROR(__xludf.DUMMYFUNCTION("""COMPUTED_VALUE"""),"P-1-N-040521-2444")</f>
        <v>P-1-N-040521-2444</v>
      </c>
      <c r="D631" s="133"/>
      <c r="E631" s="133" t="str">
        <f>IFERROR(__xludf.DUMMYFUNCTION("""COMPUTED_VALUE"""),"تمت طباعة الشهادة")</f>
        <v>تمت طباعة الشهادة</v>
      </c>
      <c r="F631" s="133" t="str">
        <f>IFERROR(__xludf.DUMMYFUNCTION("""COMPUTED_VALUE"""),"MiniJunior 900g")</f>
        <v>MiniJunior 900g</v>
      </c>
      <c r="G631" s="133" t="str">
        <f>IFERROR(__xludf.DUMMYFUNCTION("""COMPUTED_VALUE"""),"ميني جونيور 900 جم")</f>
        <v>ميني جونيور 900 جم</v>
      </c>
      <c r="H631" s="133" t="str">
        <f>IFERROR(__xludf.DUMMYFUNCTION("""COMPUTED_VALUE"""),"MAFE20211446")</f>
        <v>MAFE20211446</v>
      </c>
      <c r="I631" s="133"/>
      <c r="J631" s="133"/>
      <c r="K631" s="133" t="str">
        <f>IFERROR(__xludf.DUMMYFUNCTION("""COMPUTED_VALUE"""),"شركة جوسيرا بت فود جي ام بي اتش كاي جي")</f>
        <v>شركة جوسيرا بت فود جي ام بي اتش كاي جي</v>
      </c>
      <c r="L631" s="142" t="str">
        <f>IFERROR(__xludf.DUMMYFUNCTION("""COMPUTED_VALUE"""),"50005673")</f>
        <v>50005673</v>
      </c>
      <c r="M631" s="133"/>
      <c r="N631" s="133"/>
      <c r="O631" s="133"/>
      <c r="P631" s="133"/>
      <c r="Q631" s="133"/>
      <c r="R631" s="133"/>
      <c r="S631" s="133"/>
      <c r="T631" s="133"/>
      <c r="U631" s="133"/>
      <c r="V631" s="133"/>
      <c r="W631" s="133"/>
      <c r="X631" s="133"/>
      <c r="Y631" s="133"/>
      <c r="Z631" s="133"/>
    </row>
    <row r="632">
      <c r="A632" s="133">
        <f>IFERROR(__xludf.DUMMYFUNCTION("""COMPUTED_VALUE"""),631.0)</f>
        <v>631</v>
      </c>
      <c r="B632" s="133" t="str">
        <f>IFERROR(__xludf.DUMMYFUNCTION("""COMPUTED_VALUE"""),"50010853")</f>
        <v>50010853</v>
      </c>
      <c r="C632" s="133" t="str">
        <f>IFERROR(__xludf.DUMMYFUNCTION("""COMPUTED_VALUE"""),"P-1-N-040521-2445")</f>
        <v>P-1-N-040521-2445</v>
      </c>
      <c r="D632" s="133"/>
      <c r="E632" s="133" t="str">
        <f>IFERROR(__xludf.DUMMYFUNCTION("""COMPUTED_VALUE"""),"تمت طباعة الشهادة")</f>
        <v>تمت طباعة الشهادة</v>
      </c>
      <c r="F632" s="133" t="str">
        <f>IFERROR(__xludf.DUMMYFUNCTION("""COMPUTED_VALUE"""),"Optiness 900g")</f>
        <v>Optiness 900g</v>
      </c>
      <c r="G632" s="133" t="str">
        <f>IFERROR(__xludf.DUMMYFUNCTION("""COMPUTED_VALUE"""),"أوبتيناس 900 جم")</f>
        <v>أوبتيناس 900 جم</v>
      </c>
      <c r="H632" s="133" t="str">
        <f>IFERROR(__xludf.DUMMYFUNCTION("""COMPUTED_VALUE"""),"MAFE20211445")</f>
        <v>MAFE20211445</v>
      </c>
      <c r="I632" s="133"/>
      <c r="J632" s="133"/>
      <c r="K632" s="133" t="str">
        <f>IFERROR(__xludf.DUMMYFUNCTION("""COMPUTED_VALUE"""),"شركة جوسيرا بت فود جي ام بي اتش كاي جي")</f>
        <v>شركة جوسيرا بت فود جي ام بي اتش كاي جي</v>
      </c>
      <c r="L632" s="142" t="str">
        <f>IFERROR(__xludf.DUMMYFUNCTION("""COMPUTED_VALUE"""),"50010853")</f>
        <v>50010853</v>
      </c>
      <c r="M632" s="133"/>
      <c r="N632" s="133"/>
      <c r="O632" s="133"/>
      <c r="P632" s="133"/>
      <c r="Q632" s="133"/>
      <c r="R632" s="133"/>
      <c r="S632" s="133"/>
      <c r="T632" s="133"/>
      <c r="U632" s="133"/>
      <c r="V632" s="133"/>
      <c r="W632" s="133"/>
      <c r="X632" s="133"/>
      <c r="Y632" s="133"/>
      <c r="Z632" s="133"/>
    </row>
    <row r="633">
      <c r="A633" s="133">
        <f>IFERROR(__xludf.DUMMYFUNCTION("""COMPUTED_VALUE"""),632.0)</f>
        <v>632</v>
      </c>
      <c r="B633" s="133"/>
      <c r="C633" s="133" t="str">
        <f>IFERROR(__xludf.DUMMYFUNCTION("""COMPUTED_VALUE"""),"P-1-N-040521-2446")</f>
        <v>P-1-N-040521-2446</v>
      </c>
      <c r="D633" s="133"/>
      <c r="E633" s="133" t="str">
        <f>IFERROR(__xludf.DUMMYFUNCTION("""COMPUTED_VALUE"""),"تمت طباعة الشهادة")</f>
        <v>تمت طباعة الشهادة</v>
      </c>
      <c r="F633" s="133" t="str">
        <f>IFERROR(__xludf.DUMMYFUNCTION("""COMPUTED_VALUE"""),"SensiJunior 900g")</f>
        <v>SensiJunior 900g</v>
      </c>
      <c r="G633" s="133" t="str">
        <f>IFERROR(__xludf.DUMMYFUNCTION("""COMPUTED_VALUE"""),"سينسي جونيور 900 جم")</f>
        <v>سينسي جونيور 900 جم</v>
      </c>
      <c r="H633" s="133" t="str">
        <f>IFERROR(__xludf.DUMMYFUNCTION("""COMPUTED_VALUE"""),"MAFE20211444")</f>
        <v>MAFE20211444</v>
      </c>
      <c r="I633" s="133"/>
      <c r="J633" s="133"/>
      <c r="K633" s="133" t="str">
        <f>IFERROR(__xludf.DUMMYFUNCTION("""COMPUTED_VALUE"""),"شركة جوسيرا بت فود جي ام بي اتش كاي جي")</f>
        <v>شركة جوسيرا بت فود جي ام بي اتش كاي جي</v>
      </c>
      <c r="L633" s="133"/>
      <c r="M633" s="133"/>
      <c r="N633" s="133"/>
      <c r="O633" s="133"/>
      <c r="P633" s="133"/>
      <c r="Q633" s="133"/>
      <c r="R633" s="133"/>
      <c r="S633" s="133"/>
      <c r="T633" s="133"/>
      <c r="U633" s="133"/>
      <c r="V633" s="133"/>
      <c r="W633" s="133"/>
      <c r="X633" s="133"/>
      <c r="Y633" s="133"/>
      <c r="Z633" s="133"/>
    </row>
    <row r="634">
      <c r="A634" s="133">
        <f>IFERROR(__xludf.DUMMYFUNCTION("""COMPUTED_VALUE"""),633.0)</f>
        <v>633</v>
      </c>
      <c r="B634" s="133" t="str">
        <f>IFERROR(__xludf.DUMMYFUNCTION("""COMPUTED_VALUE"""),"50010860")</f>
        <v>50010860</v>
      </c>
      <c r="C634" s="133" t="str">
        <f>IFERROR(__xludf.DUMMYFUNCTION("""COMPUTED_VALUE"""),"P-1-N-040521-2447")</f>
        <v>P-1-N-040521-2447</v>
      </c>
      <c r="D634" s="133"/>
      <c r="E634" s="133" t="str">
        <f>IFERROR(__xludf.DUMMYFUNCTION("""COMPUTED_VALUE"""),"تمت طباعة الشهادة")</f>
        <v>تمت طباعة الشهادة</v>
      </c>
      <c r="F634" s="133" t="str">
        <f>IFERROR(__xludf.DUMMYFUNCTION("""COMPUTED_VALUE"""),"SensiPlus 900g")</f>
        <v>SensiPlus 900g</v>
      </c>
      <c r="G634" s="133" t="str">
        <f>IFERROR(__xludf.DUMMYFUNCTION("""COMPUTED_VALUE"""),"سينسي بلس 900 جم")</f>
        <v>سينسي بلس 900 جم</v>
      </c>
      <c r="H634" s="133" t="str">
        <f>IFERROR(__xludf.DUMMYFUNCTION("""COMPUTED_VALUE"""),"MAFE20211443")</f>
        <v>MAFE20211443</v>
      </c>
      <c r="I634" s="133"/>
      <c r="J634" s="133"/>
      <c r="K634" s="133" t="str">
        <f>IFERROR(__xludf.DUMMYFUNCTION("""COMPUTED_VALUE"""),"شركة جوسيرا بت فود جي ام بي اتش كاي جي")</f>
        <v>شركة جوسيرا بت فود جي ام بي اتش كاي جي</v>
      </c>
      <c r="L634" s="142" t="str">
        <f>IFERROR(__xludf.DUMMYFUNCTION("""COMPUTED_VALUE"""),"50010860")</f>
        <v>50010860</v>
      </c>
      <c r="M634" s="133"/>
      <c r="N634" s="133"/>
      <c r="O634" s="133"/>
      <c r="P634" s="133"/>
      <c r="Q634" s="133"/>
      <c r="R634" s="133"/>
      <c r="S634" s="133"/>
      <c r="T634" s="133"/>
      <c r="U634" s="133"/>
      <c r="V634" s="133"/>
      <c r="W634" s="133"/>
      <c r="X634" s="133"/>
      <c r="Y634" s="133"/>
      <c r="Z634" s="133"/>
    </row>
    <row r="635">
      <c r="A635" s="133">
        <f>IFERROR(__xludf.DUMMYFUNCTION("""COMPUTED_VALUE"""),634.0)</f>
        <v>634</v>
      </c>
      <c r="B635" s="133" t="str">
        <f>IFERROR(__xludf.DUMMYFUNCTION("""COMPUTED_VALUE"""),"50010864")</f>
        <v>50010864</v>
      </c>
      <c r="C635" s="133" t="str">
        <f>IFERROR(__xludf.DUMMYFUNCTION("""COMPUTED_VALUE"""),"P-1-N-040521-2448")</f>
        <v>P-1-N-040521-2448</v>
      </c>
      <c r="D635" s="133"/>
      <c r="E635" s="133" t="str">
        <f>IFERROR(__xludf.DUMMYFUNCTION("""COMPUTED_VALUE"""),"تمت طباعة الشهادة")</f>
        <v>تمت طباعة الشهادة</v>
      </c>
      <c r="F635" s="133" t="str">
        <f>IFERROR(__xludf.DUMMYFUNCTION("""COMPUTED_VALUE"""),"YoungStar 900g")</f>
        <v>YoungStar 900g</v>
      </c>
      <c r="G635" s="133" t="str">
        <f>IFERROR(__xludf.DUMMYFUNCTION("""COMPUTED_VALUE"""),"يونغ ستار 900 جم")</f>
        <v>يونغ ستار 900 جم</v>
      </c>
      <c r="H635" s="133" t="str">
        <f>IFERROR(__xludf.DUMMYFUNCTION("""COMPUTED_VALUE"""),"MAFE20211442")</f>
        <v>MAFE20211442</v>
      </c>
      <c r="I635" s="133"/>
      <c r="J635" s="133"/>
      <c r="K635" s="133" t="str">
        <f>IFERROR(__xludf.DUMMYFUNCTION("""COMPUTED_VALUE"""),"شركة جوسيرا بت فود جي ام بي اتش كاي جي")</f>
        <v>شركة جوسيرا بت فود جي ام بي اتش كاي جي</v>
      </c>
      <c r="L635" s="142" t="str">
        <f>IFERROR(__xludf.DUMMYFUNCTION("""COMPUTED_VALUE"""),"50010864")</f>
        <v>50010864</v>
      </c>
      <c r="M635" s="133"/>
      <c r="N635" s="133"/>
      <c r="O635" s="133"/>
      <c r="P635" s="133"/>
      <c r="Q635" s="133"/>
      <c r="R635" s="133"/>
      <c r="S635" s="133"/>
      <c r="T635" s="133"/>
      <c r="U635" s="133"/>
      <c r="V635" s="133"/>
      <c r="W635" s="133"/>
      <c r="X635" s="133"/>
      <c r="Y635" s="133"/>
      <c r="Z635" s="133"/>
    </row>
    <row r="636">
      <c r="A636" s="133">
        <f>IFERROR(__xludf.DUMMYFUNCTION("""COMPUTED_VALUE"""),635.0)</f>
        <v>635</v>
      </c>
      <c r="B636" s="133"/>
      <c r="C636" s="133" t="str">
        <f>IFERROR(__xludf.DUMMYFUNCTION("""COMPUTED_VALUE"""),"P-1-N-040521-2449")</f>
        <v>P-1-N-040521-2449</v>
      </c>
      <c r="D636" s="133"/>
      <c r="E636" s="133" t="str">
        <f>IFERROR(__xludf.DUMMYFUNCTION("""COMPUTED_VALUE"""),"تمت طباعة الشهادة")</f>
        <v>تمت طباعة الشهادة</v>
      </c>
      <c r="F636" s="133" t="str">
        <f>IFERROR(__xludf.DUMMYFUNCTION("""COMPUTED_VALUE"""),"Schesir NS Dry Turkey 490g")</f>
        <v>Schesir NS Dry Turkey 490g</v>
      </c>
      <c r="G636" s="133" t="str">
        <f>IFERROR(__xludf.DUMMYFUNCTION("""COMPUTED_VALUE"""),"شيزير أن أس طعام جاف بالديك الرومي 490 جم")</f>
        <v>شيزير أن أس طعام جاف بالديك الرومي 490 جم</v>
      </c>
      <c r="H636" s="133" t="str">
        <f>IFERROR(__xludf.DUMMYFUNCTION("""COMPUTED_VALUE"""),"MAFE20211441")</f>
        <v>MAFE20211441</v>
      </c>
      <c r="I636" s="133"/>
      <c r="J636" s="133"/>
      <c r="K636" s="133" t="str">
        <f>IFERROR(__xludf.DUMMYFUNCTION("""COMPUTED_VALUE"""),"أغراس ديليتش اس بي أي")</f>
        <v>أغراس ديليتش اس بي أي</v>
      </c>
      <c r="L636" s="133"/>
      <c r="M636" s="133"/>
      <c r="N636" s="133"/>
      <c r="O636" s="133"/>
      <c r="P636" s="133"/>
      <c r="Q636" s="133"/>
      <c r="R636" s="133"/>
      <c r="S636" s="133"/>
      <c r="T636" s="133"/>
      <c r="U636" s="133"/>
      <c r="V636" s="133"/>
      <c r="W636" s="133"/>
      <c r="X636" s="133"/>
      <c r="Y636" s="133"/>
      <c r="Z636" s="133"/>
    </row>
    <row r="637">
      <c r="A637" s="133">
        <f>IFERROR(__xludf.DUMMYFUNCTION("""COMPUTED_VALUE"""),636.0)</f>
        <v>636</v>
      </c>
      <c r="B637" s="133"/>
      <c r="C637" s="133" t="str">
        <f>IFERROR(__xludf.DUMMYFUNCTION("""COMPUTED_VALUE"""),"P-1-N-040521-2450")</f>
        <v>P-1-N-040521-2450</v>
      </c>
      <c r="D637" s="133"/>
      <c r="E637" s="133" t="str">
        <f>IFERROR(__xludf.DUMMYFUNCTION("""COMPUTED_VALUE"""),"تمت طباعة الشهادة")</f>
        <v>تمت طباعة الشهادة</v>
      </c>
      <c r="F637" s="133" t="str">
        <f>IFERROR(__xludf.DUMMYFUNCTION("""COMPUTED_VALUE"""),"Schesir NS Dry Lamb 490g")</f>
        <v>Schesir NS Dry Lamb 490g</v>
      </c>
      <c r="G637" s="133" t="str">
        <f>IFERROR(__xludf.DUMMYFUNCTION("""COMPUTED_VALUE"""),"شيزير أن أس طعام جاف بلحم الضأن 490 جم")</f>
        <v>شيزير أن أس طعام جاف بلحم الضأن 490 جم</v>
      </c>
      <c r="H637" s="133" t="str">
        <f>IFERROR(__xludf.DUMMYFUNCTION("""COMPUTED_VALUE"""),"MAFE20211440")</f>
        <v>MAFE20211440</v>
      </c>
      <c r="I637" s="133"/>
      <c r="J637" s="133"/>
      <c r="K637" s="133" t="str">
        <f>IFERROR(__xludf.DUMMYFUNCTION("""COMPUTED_VALUE"""),"أغراس ديليتش اس بي أي")</f>
        <v>أغراس ديليتش اس بي أي</v>
      </c>
      <c r="L637" s="133"/>
      <c r="M637" s="133"/>
      <c r="N637" s="133"/>
      <c r="O637" s="133"/>
      <c r="P637" s="133"/>
      <c r="Q637" s="133"/>
      <c r="R637" s="133"/>
      <c r="S637" s="133"/>
      <c r="T637" s="133"/>
      <c r="U637" s="133"/>
      <c r="V637" s="133"/>
      <c r="W637" s="133"/>
      <c r="X637" s="133"/>
      <c r="Y637" s="133"/>
      <c r="Z637" s="133"/>
    </row>
    <row r="638">
      <c r="A638" s="133">
        <f>IFERROR(__xludf.DUMMYFUNCTION("""COMPUTED_VALUE"""),637.0)</f>
        <v>637</v>
      </c>
      <c r="B638" s="133" t="str">
        <f>IFERROR(__xludf.DUMMYFUNCTION("""COMPUTED_VALUE"""),"461702")</f>
        <v>461702</v>
      </c>
      <c r="C638" s="133" t="str">
        <f>IFERROR(__xludf.DUMMYFUNCTION("""COMPUTED_VALUE"""),"P-1-N-040521-2451")</f>
        <v>P-1-N-040521-2451</v>
      </c>
      <c r="D638" s="133"/>
      <c r="E638" s="133" t="str">
        <f>IFERROR(__xludf.DUMMYFUNCTION("""COMPUTED_VALUE"""),"تمت طباعة الشهادة")</f>
        <v>تمت طباعة الشهادة</v>
      </c>
      <c r="F638" s="133" t="str">
        <f>IFERROR(__xludf.DUMMYFUNCTION("""COMPUTED_VALUE"""),"Crispy Muesli Rabbits 2.75 Kg")</f>
        <v>Crispy Muesli Rabbits 2.75 Kg</v>
      </c>
      <c r="G638" s="133" t="str">
        <f>IFERROR(__xludf.DUMMYFUNCTION("""COMPUTED_VALUE"""),"كريسبي موسلي للأرانب 2.75 كجم")</f>
        <v>كريسبي موسلي للأرانب 2.75 كجم</v>
      </c>
      <c r="H638" s="133" t="str">
        <f>IFERROR(__xludf.DUMMYFUNCTION("""COMPUTED_VALUE"""),"MAFE20211522")</f>
        <v>MAFE20211522</v>
      </c>
      <c r="I638" s="133"/>
      <c r="J638" s="133"/>
      <c r="K638" s="133" t="str">
        <f>IFERROR(__xludf.DUMMYFUNCTION("""COMPUTED_VALUE"""),"فيرسل لاقا ان في")</f>
        <v>فيرسل لاقا ان في</v>
      </c>
      <c r="L638" s="142" t="str">
        <f>IFERROR(__xludf.DUMMYFUNCTION("""COMPUTED_VALUE"""),"461702")</f>
        <v>461702</v>
      </c>
      <c r="M638" s="133"/>
      <c r="N638" s="133"/>
      <c r="O638" s="133"/>
      <c r="P638" s="133"/>
      <c r="Q638" s="133"/>
      <c r="R638" s="133"/>
      <c r="S638" s="133"/>
      <c r="T638" s="133"/>
      <c r="U638" s="133"/>
      <c r="V638" s="133"/>
      <c r="W638" s="133"/>
      <c r="X638" s="133"/>
      <c r="Y638" s="133"/>
      <c r="Z638" s="133"/>
    </row>
    <row r="639">
      <c r="A639" s="133">
        <f>IFERROR(__xludf.DUMMYFUNCTION("""COMPUTED_VALUE"""),638.0)</f>
        <v>638</v>
      </c>
      <c r="B639" s="133" t="str">
        <f>IFERROR(__xludf.DUMMYFUNCTION("""COMPUTED_VALUE"""),"462093")</f>
        <v>462093</v>
      </c>
      <c r="C639" s="133" t="str">
        <f>IFERROR(__xludf.DUMMYFUNCTION("""COMPUTED_VALUE"""),"P-1-N-040521-2452")</f>
        <v>P-1-N-040521-2452</v>
      </c>
      <c r="D639" s="133"/>
      <c r="E639" s="133" t="str">
        <f>IFERROR(__xludf.DUMMYFUNCTION("""COMPUTED_VALUE"""),"تمت طباعة الشهادة")</f>
        <v>تمت طباعة الشهادة</v>
      </c>
      <c r="F639" s="133" t="str">
        <f>IFERROR(__xludf.DUMMYFUNCTION("""COMPUTED_VALUE"""),"Crispy Crunchies Fruit 75g")</f>
        <v>Crispy Crunchies Fruit 75g</v>
      </c>
      <c r="G639" s="133" t="str">
        <f>IFERROR(__xludf.DUMMYFUNCTION("""COMPUTED_VALUE"""),"كريسبي كرانشيز فواكه 75 جم")</f>
        <v>كريسبي كرانشيز فواكه 75 جم</v>
      </c>
      <c r="H639" s="133" t="str">
        <f>IFERROR(__xludf.DUMMYFUNCTION("""COMPUTED_VALUE"""),"MAFE20211521")</f>
        <v>MAFE20211521</v>
      </c>
      <c r="I639" s="133"/>
      <c r="J639" s="133"/>
      <c r="K639" s="133" t="str">
        <f>IFERROR(__xludf.DUMMYFUNCTION("""COMPUTED_VALUE"""),"فيرسل لاقا ان في")</f>
        <v>فيرسل لاقا ان في</v>
      </c>
      <c r="L639" s="142" t="str">
        <f>IFERROR(__xludf.DUMMYFUNCTION("""COMPUTED_VALUE"""),"462093")</f>
        <v>462093</v>
      </c>
      <c r="M639" s="133"/>
      <c r="N639" s="133"/>
      <c r="O639" s="133"/>
      <c r="P639" s="133"/>
      <c r="Q639" s="133"/>
      <c r="R639" s="133"/>
      <c r="S639" s="133"/>
      <c r="T639" s="133"/>
      <c r="U639" s="133"/>
      <c r="V639" s="133"/>
      <c r="W639" s="133"/>
      <c r="X639" s="133"/>
      <c r="Y639" s="133"/>
      <c r="Z639" s="133"/>
    </row>
    <row r="640">
      <c r="A640" s="133">
        <f>IFERROR(__xludf.DUMMYFUNCTION("""COMPUTED_VALUE"""),639.0)</f>
        <v>639</v>
      </c>
      <c r="B640" s="133" t="str">
        <f>IFERROR(__xludf.DUMMYFUNCTION("""COMPUTED_VALUE"""),"462091")</f>
        <v>462091</v>
      </c>
      <c r="C640" s="133" t="str">
        <f>IFERROR(__xludf.DUMMYFUNCTION("""COMPUTED_VALUE"""),"P-1-N-040521-2453")</f>
        <v>P-1-N-040521-2453</v>
      </c>
      <c r="D640" s="133"/>
      <c r="E640" s="133" t="str">
        <f>IFERROR(__xludf.DUMMYFUNCTION("""COMPUTED_VALUE"""),"تمت طباعة الشهادة")</f>
        <v>تمت طباعة الشهادة</v>
      </c>
      <c r="F640" s="133" t="str">
        <f>IFERROR(__xludf.DUMMYFUNCTION("""COMPUTED_VALUE"""),"Crispy Crunchies Hay 75g")</f>
        <v>Crispy Crunchies Hay 75g</v>
      </c>
      <c r="G640" s="133" t="str">
        <f>IFERROR(__xludf.DUMMYFUNCTION("""COMPUTED_VALUE"""),"كريسبي كرانشيز هاي 75 جم")</f>
        <v>كريسبي كرانشيز هاي 75 جم</v>
      </c>
      <c r="H640" s="133" t="str">
        <f>IFERROR(__xludf.DUMMYFUNCTION("""COMPUTED_VALUE"""),"MAFE20211520")</f>
        <v>MAFE20211520</v>
      </c>
      <c r="I640" s="133"/>
      <c r="J640" s="133"/>
      <c r="K640" s="133" t="str">
        <f>IFERROR(__xludf.DUMMYFUNCTION("""COMPUTED_VALUE"""),"فيرسل لاقا ان في")</f>
        <v>فيرسل لاقا ان في</v>
      </c>
      <c r="L640" s="142" t="str">
        <f>IFERROR(__xludf.DUMMYFUNCTION("""COMPUTED_VALUE"""),"462091")</f>
        <v>462091</v>
      </c>
      <c r="M640" s="133"/>
      <c r="N640" s="133"/>
      <c r="O640" s="133"/>
      <c r="P640" s="133"/>
      <c r="Q640" s="133"/>
      <c r="R640" s="133"/>
      <c r="S640" s="133"/>
      <c r="T640" s="133"/>
      <c r="U640" s="133"/>
      <c r="V640" s="133"/>
      <c r="W640" s="133"/>
      <c r="X640" s="133"/>
      <c r="Y640" s="133"/>
      <c r="Z640" s="133"/>
    </row>
    <row r="641">
      <c r="A641" s="133">
        <f>IFERROR(__xludf.DUMMYFUNCTION("""COMPUTED_VALUE"""),640.0)</f>
        <v>640</v>
      </c>
      <c r="B641" s="133" t="str">
        <f>IFERROR(__xludf.DUMMYFUNCTION("""COMPUTED_VALUE"""),"462005")</f>
        <v>462005</v>
      </c>
      <c r="C641" s="133" t="str">
        <f>IFERROR(__xludf.DUMMYFUNCTION("""COMPUTED_VALUE"""),"P-1-N-040521-2454")</f>
        <v>P-1-N-040521-2454</v>
      </c>
      <c r="D641" s="133"/>
      <c r="E641" s="133" t="str">
        <f>IFERROR(__xludf.DUMMYFUNCTION("""COMPUTED_VALUE"""),"تمت طباعة الشهادة")</f>
        <v>تمت طباعة الشهادة</v>
      </c>
      <c r="F641" s="133" t="str">
        <f>IFERROR(__xludf.DUMMYFUNCTION("""COMPUTED_VALUE"""),"Crispy Toasties Vegetable 150g")</f>
        <v>Crispy Toasties Vegetable 150g</v>
      </c>
      <c r="G641" s="133" t="str">
        <f>IFERROR(__xludf.DUMMYFUNCTION("""COMPUTED_VALUE"""),"كريسبي توستيز خضار 150 جم")</f>
        <v>كريسبي توستيز خضار 150 جم</v>
      </c>
      <c r="H641" s="133" t="str">
        <f>IFERROR(__xludf.DUMMYFUNCTION("""COMPUTED_VALUE"""),"MAFE20211519")</f>
        <v>MAFE20211519</v>
      </c>
      <c r="I641" s="133"/>
      <c r="J641" s="133"/>
      <c r="K641" s="133" t="str">
        <f>IFERROR(__xludf.DUMMYFUNCTION("""COMPUTED_VALUE"""),"فيرسل لاقا ان في")</f>
        <v>فيرسل لاقا ان في</v>
      </c>
      <c r="L641" s="142" t="str">
        <f>IFERROR(__xludf.DUMMYFUNCTION("""COMPUTED_VALUE"""),"462005")</f>
        <v>462005</v>
      </c>
      <c r="M641" s="133"/>
      <c r="N641" s="133"/>
      <c r="O641" s="133"/>
      <c r="P641" s="133"/>
      <c r="Q641" s="133"/>
      <c r="R641" s="133"/>
      <c r="S641" s="133"/>
      <c r="T641" s="133"/>
      <c r="U641" s="133"/>
      <c r="V641" s="133"/>
      <c r="W641" s="133"/>
      <c r="X641" s="133"/>
      <c r="Y641" s="133"/>
      <c r="Z641" s="133"/>
    </row>
    <row r="642">
      <c r="A642" s="133">
        <f>IFERROR(__xludf.DUMMYFUNCTION("""COMPUTED_VALUE"""),641.0)</f>
        <v>641</v>
      </c>
      <c r="B642" s="133" t="str">
        <f>IFERROR(__xludf.DUMMYFUNCTION("""COMPUTED_VALUE"""),"50010854")</f>
        <v>50010854</v>
      </c>
      <c r="C642" s="133" t="str">
        <f>IFERROR(__xludf.DUMMYFUNCTION("""COMPUTED_VALUE"""),"P-1-N-040521-2460")</f>
        <v>P-1-N-040521-2460</v>
      </c>
      <c r="D642" s="133"/>
      <c r="E642" s="133" t="str">
        <f>IFERROR(__xludf.DUMMYFUNCTION("""COMPUTED_VALUE"""),"تمت طباعة الشهادة")</f>
        <v>تمت طباعة الشهادة</v>
      </c>
      <c r="F642" s="133" t="str">
        <f>IFERROR(__xludf.DUMMYFUNCTION("""COMPUTED_VALUE"""),"Poultry-Meal 15kg")</f>
        <v>Poultry-Meal 15kg</v>
      </c>
      <c r="G642" s="133" t="str">
        <f>IFERROR(__xludf.DUMMYFUNCTION("""COMPUTED_VALUE"""),"وجبة دواجن 15 كجم")</f>
        <v>وجبة دواجن 15 كجم</v>
      </c>
      <c r="H642" s="133" t="str">
        <f>IFERROR(__xludf.DUMMYFUNCTION("""COMPUTED_VALUE"""),"MAFE20211517")</f>
        <v>MAFE20211517</v>
      </c>
      <c r="I642" s="133"/>
      <c r="J642" s="133"/>
      <c r="K642" s="133" t="str">
        <f>IFERROR(__xludf.DUMMYFUNCTION("""COMPUTED_VALUE"""),"شركة جوسيرا بت فود جي ام بي اتش كاي جي")</f>
        <v>شركة جوسيرا بت فود جي ام بي اتش كاي جي</v>
      </c>
      <c r="L642" s="142" t="str">
        <f>IFERROR(__xludf.DUMMYFUNCTION("""COMPUTED_VALUE"""),"50010854")</f>
        <v>50010854</v>
      </c>
      <c r="M642" s="133"/>
      <c r="N642" s="133"/>
      <c r="O642" s="133"/>
      <c r="P642" s="133"/>
      <c r="Q642" s="133"/>
      <c r="R642" s="133"/>
      <c r="S642" s="133"/>
      <c r="T642" s="133"/>
      <c r="U642" s="133"/>
      <c r="V642" s="133"/>
      <c r="W642" s="133"/>
      <c r="X642" s="133"/>
      <c r="Y642" s="133"/>
      <c r="Z642" s="133"/>
    </row>
    <row r="643">
      <c r="A643" s="133">
        <f>IFERROR(__xludf.DUMMYFUNCTION("""COMPUTED_VALUE"""),642.0)</f>
        <v>642</v>
      </c>
      <c r="B643" s="133" t="str">
        <f>IFERROR(__xludf.DUMMYFUNCTION("""COMPUTED_VALUE"""),"50010855")</f>
        <v>50010855</v>
      </c>
      <c r="C643" s="133" t="str">
        <f>IFERROR(__xludf.DUMMYFUNCTION("""COMPUTED_VALUE"""),"P-1-N-040521-2461")</f>
        <v>P-1-N-040521-2461</v>
      </c>
      <c r="D643" s="133"/>
      <c r="E643" s="133" t="str">
        <f>IFERROR(__xludf.DUMMYFUNCTION("""COMPUTED_VALUE"""),"تمت طباعة الشهادة")</f>
        <v>تمت طباعة الشهادة</v>
      </c>
      <c r="F643" s="133" t="str">
        <f>IFERROR(__xludf.DUMMYFUNCTION("""COMPUTED_VALUE"""),"Poultry-Menu 900g / 90 g")</f>
        <v>Poultry-Menu 900g / 90 g</v>
      </c>
      <c r="G643" s="133" t="str">
        <f>IFERROR(__xludf.DUMMYFUNCTION("""COMPUTED_VALUE"""),"منيو دواجن 900 جم")</f>
        <v>منيو دواجن 900 جم</v>
      </c>
      <c r="H643" s="133" t="str">
        <f>IFERROR(__xludf.DUMMYFUNCTION("""COMPUTED_VALUE"""),"FOM-2024-6397-FEB-2024-49545 -C-0041-70342
")</f>
        <v>FOM-2024-6397-FEB-2024-49545 -C-0041-70342
</v>
      </c>
      <c r="I643" s="133"/>
      <c r="J643" s="133"/>
      <c r="K643" s="133" t="str">
        <f>IFERROR(__xludf.DUMMYFUNCTION("""COMPUTED_VALUE"""),"شركة جوسيرا بت فود جي ام بي اتش كاي جي")</f>
        <v>شركة جوسيرا بت فود جي ام بي اتش كاي جي</v>
      </c>
      <c r="L643" s="142" t="str">
        <f>IFERROR(__xludf.DUMMYFUNCTION("""COMPUTED_VALUE"""),"50010855")</f>
        <v>50010855</v>
      </c>
      <c r="M643" s="133"/>
      <c r="N643" s="133"/>
      <c r="O643" s="133"/>
      <c r="P643" s="133"/>
      <c r="Q643" s="133"/>
      <c r="R643" s="133"/>
      <c r="S643" s="133"/>
      <c r="T643" s="133"/>
      <c r="U643" s="133"/>
      <c r="V643" s="133"/>
      <c r="W643" s="133"/>
      <c r="X643" s="133"/>
      <c r="Y643" s="133"/>
      <c r="Z643" s="133"/>
    </row>
    <row r="644">
      <c r="A644" s="133">
        <f>IFERROR(__xludf.DUMMYFUNCTION("""COMPUTED_VALUE"""),643.0)</f>
        <v>643</v>
      </c>
      <c r="B644" s="133" t="str">
        <f>IFERROR(__xludf.DUMMYFUNCTION("""COMPUTED_VALUE"""),"50010866")</f>
        <v>50010866</v>
      </c>
      <c r="C644" s="133" t="str">
        <f>IFERROR(__xludf.DUMMYFUNCTION("""COMPUTED_VALUE"""),"P-1-N-040521-2465")</f>
        <v>P-1-N-040521-2465</v>
      </c>
      <c r="D644" s="133"/>
      <c r="E644" s="133" t="str">
        <f>IFERROR(__xludf.DUMMYFUNCTION("""COMPUTED_VALUE"""),"تمت طباعة الشهادة")</f>
        <v>تمت طباعة الشهادة</v>
      </c>
      <c r="F644" s="133" t="str">
        <f>IFERROR(__xludf.DUMMYFUNCTION("""COMPUTED_VALUE"""),"Kitten Grainfree  / 60 g")</f>
        <v>Kitten Grainfree  / 60 g</v>
      </c>
      <c r="G644" s="133" t="str">
        <f>IFERROR(__xludf.DUMMYFUNCTION("""COMPUTED_VALUE"""),"ﻛﻴﺘﻦ خالي من الحبوب 400 جم")</f>
        <v>ﻛﻴﺘﻦ خالي من الحبوب 400 جم</v>
      </c>
      <c r="H644" s="133" t="str">
        <f>IFERROR(__xludf.DUMMYFUNCTION("""COMPUTED_VALUE"""),"FOM-2024-6397-FEB-2024-49543 -C-0041-70340
")</f>
        <v>FOM-2024-6397-FEB-2024-49543 -C-0041-70340
</v>
      </c>
      <c r="I644" s="133"/>
      <c r="J644" s="133"/>
      <c r="K644" s="133" t="str">
        <f>IFERROR(__xludf.DUMMYFUNCTION("""COMPUTED_VALUE"""),"شركة جوسيرا بت فود جي ام بي اتش كاي جي")</f>
        <v>شركة جوسيرا بت فود جي ام بي اتش كاي جي</v>
      </c>
      <c r="L644" s="142" t="str">
        <f>IFERROR(__xludf.DUMMYFUNCTION("""COMPUTED_VALUE"""),"50010866")</f>
        <v>50010866</v>
      </c>
      <c r="M644" s="133"/>
      <c r="N644" s="133"/>
      <c r="O644" s="133"/>
      <c r="P644" s="133"/>
      <c r="Q644" s="133"/>
      <c r="R644" s="133"/>
      <c r="S644" s="133"/>
      <c r="T644" s="133"/>
      <c r="U644" s="133"/>
      <c r="V644" s="133"/>
      <c r="W644" s="133"/>
      <c r="X644" s="133"/>
      <c r="Y644" s="133"/>
      <c r="Z644" s="133"/>
    </row>
    <row r="645">
      <c r="A645" s="133">
        <f>IFERROR(__xludf.DUMMYFUNCTION("""COMPUTED_VALUE"""),644.0)</f>
        <v>644</v>
      </c>
      <c r="B645" s="133" t="str">
        <f>IFERROR(__xludf.DUMMYFUNCTION("""COMPUTED_VALUE"""),"50010865")</f>
        <v>50010865</v>
      </c>
      <c r="C645" s="133" t="str">
        <f>IFERROR(__xludf.DUMMYFUNCTION("""COMPUTED_VALUE"""),"P-1-N-040521-2466")</f>
        <v>P-1-N-040521-2466</v>
      </c>
      <c r="D645" s="133"/>
      <c r="E645" s="133" t="str">
        <f>IFERROR(__xludf.DUMMYFUNCTION("""COMPUTED_VALUE"""),"تمت طباعة الشهادة")</f>
        <v>تمت طباعة الشهادة</v>
      </c>
      <c r="F645" s="133" t="str">
        <f>IFERROR(__xludf.DUMMYFUNCTION("""COMPUTED_VALUE"""),"Kitten Grainfree 2kg")</f>
        <v>Kitten Grainfree 2kg</v>
      </c>
      <c r="G645" s="133" t="str">
        <f>IFERROR(__xludf.DUMMYFUNCTION("""COMPUTED_VALUE"""),"ﻛﻴﺘﻦ خالي من الحبوب 2 كجم")</f>
        <v>ﻛﻴﺘﻦ خالي من الحبوب 2 كجم</v>
      </c>
      <c r="H645" s="133" t="str">
        <f>IFERROR(__xludf.DUMMYFUNCTION("""COMPUTED_VALUE"""),"MAFE20211513")</f>
        <v>MAFE20211513</v>
      </c>
      <c r="I645" s="133"/>
      <c r="J645" s="133"/>
      <c r="K645" s="133" t="str">
        <f>IFERROR(__xludf.DUMMYFUNCTION("""COMPUTED_VALUE"""),"شركة جوسيرا بت فود جي ام بي اتش كاي جي")</f>
        <v>شركة جوسيرا بت فود جي ام بي اتش كاي جي</v>
      </c>
      <c r="L645" s="142" t="str">
        <f>IFERROR(__xludf.DUMMYFUNCTION("""COMPUTED_VALUE"""),"50010865")</f>
        <v>50010865</v>
      </c>
      <c r="M645" s="133"/>
      <c r="N645" s="133"/>
      <c r="O645" s="133"/>
      <c r="P645" s="133"/>
      <c r="Q645" s="133"/>
      <c r="R645" s="133"/>
      <c r="S645" s="133"/>
      <c r="T645" s="133"/>
      <c r="U645" s="133"/>
      <c r="V645" s="133"/>
      <c r="W645" s="133"/>
      <c r="X645" s="133"/>
      <c r="Y645" s="133"/>
      <c r="Z645" s="133"/>
    </row>
    <row r="646">
      <c r="A646" s="133">
        <f>IFERROR(__xludf.DUMMYFUNCTION("""COMPUTED_VALUE"""),645.0)</f>
        <v>645</v>
      </c>
      <c r="B646" s="133" t="str">
        <f>IFERROR(__xludf.DUMMYFUNCTION("""COMPUTED_VALUE"""),"451344")</f>
        <v>451344</v>
      </c>
      <c r="C646" s="133" t="str">
        <f>IFERROR(__xludf.DUMMYFUNCTION("""COMPUTED_VALUE"""),"P-1-N-040521-2482")</f>
        <v>P-1-N-040521-2482</v>
      </c>
      <c r="D646" s="133"/>
      <c r="E646" s="133" t="str">
        <f>IFERROR(__xludf.DUMMYFUNCTION("""COMPUTED_VALUE"""),"تمت طباعة الشهادة")</f>
        <v>تمت طباعة الشهادة</v>
      </c>
      <c r="F646" s="133" t="str">
        <f>IFERROR(__xludf.DUMMYFUNCTION("""COMPUTED_VALUE"""),"Prestige Millet Red 100g")</f>
        <v>Prestige Millet Red 100g</v>
      </c>
      <c r="G646" s="133" t="str">
        <f>IFERROR(__xludf.DUMMYFUNCTION("""COMPUTED_VALUE"""),"برستيج دخن أحمر 100 جم")</f>
        <v>برستيج دخن أحمر 100 جم</v>
      </c>
      <c r="H646" s="133" t="str">
        <f>IFERROR(__xludf.DUMMYFUNCTION("""COMPUTED_VALUE"""),"MAFE20211506")</f>
        <v>MAFE20211506</v>
      </c>
      <c r="I646" s="133"/>
      <c r="J646" s="133"/>
      <c r="K646" s="133" t="str">
        <f>IFERROR(__xludf.DUMMYFUNCTION("""COMPUTED_VALUE"""),"فيرسل لاقا ان في")</f>
        <v>فيرسل لاقا ان في</v>
      </c>
      <c r="L646" s="142" t="str">
        <f>IFERROR(__xludf.DUMMYFUNCTION("""COMPUTED_VALUE"""),"451344")</f>
        <v>451344</v>
      </c>
      <c r="M646" s="133"/>
      <c r="N646" s="133"/>
      <c r="O646" s="133"/>
      <c r="P646" s="133"/>
      <c r="Q646" s="133"/>
      <c r="R646" s="133"/>
      <c r="S646" s="133"/>
      <c r="T646" s="133"/>
      <c r="U646" s="133"/>
      <c r="V646" s="133"/>
      <c r="W646" s="133"/>
      <c r="X646" s="133"/>
      <c r="Y646" s="133"/>
      <c r="Z646" s="133"/>
    </row>
    <row r="647">
      <c r="A647" s="133">
        <f>IFERROR(__xludf.DUMMYFUNCTION("""COMPUTED_VALUE"""),646.0)</f>
        <v>646</v>
      </c>
      <c r="B647" s="133" t="str">
        <f>IFERROR(__xludf.DUMMYFUNCTION("""COMPUTED_VALUE"""),"461712")</f>
        <v>461712</v>
      </c>
      <c r="C647" s="133" t="str">
        <f>IFERROR(__xludf.DUMMYFUNCTION("""COMPUTED_VALUE"""),"P-1-N-040521-2484")</f>
        <v>P-1-N-040521-2484</v>
      </c>
      <c r="D647" s="133"/>
      <c r="E647" s="133" t="str">
        <f>IFERROR(__xludf.DUMMYFUNCTION("""COMPUTED_VALUE"""),"تمت طباعة الشهادة")</f>
        <v>تمت طباعة الشهادة</v>
      </c>
      <c r="F647" s="133" t="str">
        <f>IFERROR(__xludf.DUMMYFUNCTION("""COMPUTED_VALUE"""),"Crispy Muesli Guinea Pig 2.75 Kg")</f>
        <v>Crispy Muesli Guinea Pig 2.75 Kg</v>
      </c>
      <c r="G647" s="133" t="str">
        <f>IFERROR(__xludf.DUMMYFUNCTION("""COMPUTED_VALUE"""),"كريسبي موسلي للخنزير الغيني 2.75 كجم")</f>
        <v>كريسبي موسلي للخنزير الغيني 2.75 كجم</v>
      </c>
      <c r="H647" s="133" t="str">
        <f>IFERROR(__xludf.DUMMYFUNCTION("""COMPUTED_VALUE"""),"MAFE20211563")</f>
        <v>MAFE20211563</v>
      </c>
      <c r="I647" s="133"/>
      <c r="J647" s="133"/>
      <c r="K647" s="133" t="str">
        <f>IFERROR(__xludf.DUMMYFUNCTION("""COMPUTED_VALUE"""),"فيرسل لاقا ان في")</f>
        <v>فيرسل لاقا ان في</v>
      </c>
      <c r="L647" s="142" t="str">
        <f>IFERROR(__xludf.DUMMYFUNCTION("""COMPUTED_VALUE"""),"461712")</f>
        <v>461712</v>
      </c>
      <c r="M647" s="133"/>
      <c r="N647" s="133"/>
      <c r="O647" s="133"/>
      <c r="P647" s="133"/>
      <c r="Q647" s="133"/>
      <c r="R647" s="133"/>
      <c r="S647" s="133"/>
      <c r="T647" s="133"/>
      <c r="U647" s="133"/>
      <c r="V647" s="133"/>
      <c r="W647" s="133"/>
      <c r="X647" s="133"/>
      <c r="Y647" s="133"/>
      <c r="Z647" s="133"/>
    </row>
    <row r="648">
      <c r="A648" s="133">
        <f>IFERROR(__xludf.DUMMYFUNCTION("""COMPUTED_VALUE"""),647.0)</f>
        <v>647</v>
      </c>
      <c r="B648" s="133" t="str">
        <f>IFERROR(__xludf.DUMMYFUNCTION("""COMPUTED_VALUE"""),"422312")</f>
        <v>422312</v>
      </c>
      <c r="C648" s="133" t="str">
        <f>IFERROR(__xludf.DUMMYFUNCTION("""COMPUTED_VALUE"""),"P-1-N-040521-2485")</f>
        <v>P-1-N-040521-2485</v>
      </c>
      <c r="D648" s="133"/>
      <c r="E648" s="133" t="str">
        <f>IFERROR(__xludf.DUMMYFUNCTION("""COMPUTED_VALUE"""),"تمت طباعة الشهادة")</f>
        <v>تمت طباعة الشهادة</v>
      </c>
      <c r="F648" s="133" t="str">
        <f>IFERROR(__xludf.DUMMYFUNCTION("""COMPUTED_VALUE"""),"Sticks Big Parakeets Exotic Fruit 140g")</f>
        <v>Sticks Big Parakeets Exotic Fruit 140g</v>
      </c>
      <c r="G648" s="133" t="str">
        <f>IFERROR(__xludf.DUMMYFUNCTION("""COMPUTED_VALUE"""),"ستكس للبراكيت الكبيرة بالفاكهة الاستوائية 140 جم")</f>
        <v>ستكس للبراكيت الكبيرة بالفاكهة الاستوائية 140 جم</v>
      </c>
      <c r="H648" s="133" t="str">
        <f>IFERROR(__xludf.DUMMYFUNCTION("""COMPUTED_VALUE"""),"MAFE20211504")</f>
        <v>MAFE20211504</v>
      </c>
      <c r="I648" s="133"/>
      <c r="J648" s="133"/>
      <c r="K648" s="133" t="str">
        <f>IFERROR(__xludf.DUMMYFUNCTION("""COMPUTED_VALUE"""),"فيرسل لاقا ان في")</f>
        <v>فيرسل لاقا ان في</v>
      </c>
      <c r="L648" s="142" t="str">
        <f>IFERROR(__xludf.DUMMYFUNCTION("""COMPUTED_VALUE"""),"422312")</f>
        <v>422312</v>
      </c>
      <c r="M648" s="133"/>
      <c r="N648" s="133"/>
      <c r="O648" s="133"/>
      <c r="P648" s="133"/>
      <c r="Q648" s="133"/>
      <c r="R648" s="133"/>
      <c r="S648" s="133"/>
      <c r="T648" s="133"/>
      <c r="U648" s="133"/>
      <c r="V648" s="133"/>
      <c r="W648" s="133"/>
      <c r="X648" s="133"/>
      <c r="Y648" s="133"/>
      <c r="Z648" s="133"/>
    </row>
    <row r="649">
      <c r="A649" s="133">
        <f>IFERROR(__xludf.DUMMYFUNCTION("""COMPUTED_VALUE"""),648.0)</f>
        <v>648</v>
      </c>
      <c r="B649" s="133" t="str">
        <f>IFERROR(__xludf.DUMMYFUNCTION("""COMPUTED_VALUE"""),"422313")</f>
        <v>422313</v>
      </c>
      <c r="C649" s="133" t="str">
        <f>IFERROR(__xludf.DUMMYFUNCTION("""COMPUTED_VALUE"""),"P-1-N-040521-2486")</f>
        <v>P-1-N-040521-2486</v>
      </c>
      <c r="D649" s="133"/>
      <c r="E649" s="133" t="str">
        <f>IFERROR(__xludf.DUMMYFUNCTION("""COMPUTED_VALUE"""),"تمت طباعة الشهادة")</f>
        <v>تمت طباعة الشهادة</v>
      </c>
      <c r="F649" s="133" t="str">
        <f>IFERROR(__xludf.DUMMYFUNCTION("""COMPUTED_VALUE"""),"Sticks Big Parakeets Nuts &amp; Honey 140g")</f>
        <v>Sticks Big Parakeets Nuts &amp; Honey 140g</v>
      </c>
      <c r="G649" s="133" t="str">
        <f>IFERROR(__xludf.DUMMYFUNCTION("""COMPUTED_VALUE"""),"ستكس للبراكيت الكبيرة بالمكسرات والعسل 140 جم")</f>
        <v>ستكس للبراكيت الكبيرة بالمكسرات والعسل 140 جم</v>
      </c>
      <c r="H649" s="133" t="str">
        <f>IFERROR(__xludf.DUMMYFUNCTION("""COMPUTED_VALUE"""),"MAFE20211503")</f>
        <v>MAFE20211503</v>
      </c>
      <c r="I649" s="133"/>
      <c r="J649" s="133"/>
      <c r="K649" s="133" t="str">
        <f>IFERROR(__xludf.DUMMYFUNCTION("""COMPUTED_VALUE"""),"فيرسل لاقا ان في")</f>
        <v>فيرسل لاقا ان في</v>
      </c>
      <c r="L649" s="142" t="str">
        <f>IFERROR(__xludf.DUMMYFUNCTION("""COMPUTED_VALUE"""),"422313")</f>
        <v>422313</v>
      </c>
      <c r="M649" s="133"/>
      <c r="N649" s="133"/>
      <c r="O649" s="133"/>
      <c r="P649" s="133"/>
      <c r="Q649" s="133"/>
      <c r="R649" s="133"/>
      <c r="S649" s="133"/>
      <c r="T649" s="133"/>
      <c r="U649" s="133"/>
      <c r="V649" s="133"/>
      <c r="W649" s="133"/>
      <c r="X649" s="133"/>
      <c r="Y649" s="133"/>
      <c r="Z649" s="133"/>
    </row>
    <row r="650">
      <c r="A650" s="133">
        <f>IFERROR(__xludf.DUMMYFUNCTION("""COMPUTED_VALUE"""),649.0)</f>
        <v>649</v>
      </c>
      <c r="B650" s="133" t="str">
        <f>IFERROR(__xludf.DUMMYFUNCTION("""COMPUTED_VALUE"""),"422323")</f>
        <v>422323</v>
      </c>
      <c r="C650" s="133" t="str">
        <f>IFERROR(__xludf.DUMMYFUNCTION("""COMPUTED_VALUE"""),"P-1-N-040521-2487")</f>
        <v>P-1-N-040521-2487</v>
      </c>
      <c r="D650" s="133"/>
      <c r="E650" s="133" t="str">
        <f>IFERROR(__xludf.DUMMYFUNCTION("""COMPUTED_VALUE"""),"تمت طباعة الشهادة")</f>
        <v>تمت طباعة الشهادة</v>
      </c>
      <c r="F650" s="133" t="str">
        <f>IFERROR(__xludf.DUMMYFUNCTION("""COMPUTED_VALUE"""),"Sticks Budgies Egg-Oyster Shell 60g")</f>
        <v>Sticks Budgies Egg-Oyster Shell 60g</v>
      </c>
      <c r="G650" s="133" t="str">
        <f>IFERROR(__xludf.DUMMYFUNCTION("""COMPUTED_VALUE"""),"ستكس للبدجي بالبيض و أصداف المحار 60 جم")</f>
        <v>ستكس للبدجي بالبيض و أصداف المحار 60 جم</v>
      </c>
      <c r="H650" s="133" t="str">
        <f>IFERROR(__xludf.DUMMYFUNCTION("""COMPUTED_VALUE"""),"MAFE20211502")</f>
        <v>MAFE20211502</v>
      </c>
      <c r="I650" s="133"/>
      <c r="J650" s="133"/>
      <c r="K650" s="133" t="str">
        <f>IFERROR(__xludf.DUMMYFUNCTION("""COMPUTED_VALUE"""),"فيرسل لاقا ان في")</f>
        <v>فيرسل لاقا ان في</v>
      </c>
      <c r="L650" s="142" t="str">
        <f>IFERROR(__xludf.DUMMYFUNCTION("""COMPUTED_VALUE"""),"422323")</f>
        <v>422323</v>
      </c>
      <c r="M650" s="133"/>
      <c r="N650" s="133"/>
      <c r="O650" s="133"/>
      <c r="P650" s="133"/>
      <c r="Q650" s="133"/>
      <c r="R650" s="133"/>
      <c r="S650" s="133"/>
      <c r="T650" s="133"/>
      <c r="U650" s="133"/>
      <c r="V650" s="133"/>
      <c r="W650" s="133"/>
      <c r="X650" s="133"/>
      <c r="Y650" s="133"/>
      <c r="Z650" s="133"/>
    </row>
    <row r="651">
      <c r="A651" s="133">
        <f>IFERROR(__xludf.DUMMYFUNCTION("""COMPUTED_VALUE"""),650.0)</f>
        <v>650</v>
      </c>
      <c r="B651" s="133" t="str">
        <f>IFERROR(__xludf.DUMMYFUNCTION("""COMPUTED_VALUE"""),"422309")</f>
        <v>422309</v>
      </c>
      <c r="C651" s="133" t="str">
        <f>IFERROR(__xludf.DUMMYFUNCTION("""COMPUTED_VALUE"""),"P-1-N-040521-2488")</f>
        <v>P-1-N-040521-2488</v>
      </c>
      <c r="D651" s="133"/>
      <c r="E651" s="133" t="str">
        <f>IFERROR(__xludf.DUMMYFUNCTION("""COMPUTED_VALUE"""),"تمت طباعة الشهادة")</f>
        <v>تمت طباعة الشهادة</v>
      </c>
      <c r="F651" s="133" t="str">
        <f>IFERROR(__xludf.DUMMYFUNCTION("""COMPUTED_VALUE"""),"Sticks Budgies Exotic Fruit 60g")</f>
        <v>Sticks Budgies Exotic Fruit 60g</v>
      </c>
      <c r="G651" s="133" t="str">
        <f>IFERROR(__xludf.DUMMYFUNCTION("""COMPUTED_VALUE"""),"ستكس للبدجي بالفاكهة الاستوائية 60 جم")</f>
        <v>ستكس للبدجي بالفاكهة الاستوائية 60 جم</v>
      </c>
      <c r="H651" s="133" t="str">
        <f>IFERROR(__xludf.DUMMYFUNCTION("""COMPUTED_VALUE"""),"MAFE20211501")</f>
        <v>MAFE20211501</v>
      </c>
      <c r="I651" s="133"/>
      <c r="J651" s="133"/>
      <c r="K651" s="133" t="str">
        <f>IFERROR(__xludf.DUMMYFUNCTION("""COMPUTED_VALUE"""),"فيرسل لاقا ان في")</f>
        <v>فيرسل لاقا ان في</v>
      </c>
      <c r="L651" s="142" t="str">
        <f>IFERROR(__xludf.DUMMYFUNCTION("""COMPUTED_VALUE"""),"422309")</f>
        <v>422309</v>
      </c>
      <c r="M651" s="133"/>
      <c r="N651" s="133"/>
      <c r="O651" s="133"/>
      <c r="P651" s="133"/>
      <c r="Q651" s="133"/>
      <c r="R651" s="133"/>
      <c r="S651" s="133"/>
      <c r="T651" s="133"/>
      <c r="U651" s="133"/>
      <c r="V651" s="133"/>
      <c r="W651" s="133"/>
      <c r="X651" s="133"/>
      <c r="Y651" s="133"/>
      <c r="Z651" s="133"/>
    </row>
    <row r="652">
      <c r="A652" s="133">
        <f>IFERROR(__xludf.DUMMYFUNCTION("""COMPUTED_VALUE"""),651.0)</f>
        <v>651</v>
      </c>
      <c r="B652" s="133" t="str">
        <f>IFERROR(__xludf.DUMMYFUNCTION("""COMPUTED_VALUE"""),"422310")</f>
        <v>422310</v>
      </c>
      <c r="C652" s="133" t="str">
        <f>IFERROR(__xludf.DUMMYFUNCTION("""COMPUTED_VALUE"""),"P-1-N-040521-2491")</f>
        <v>P-1-N-040521-2491</v>
      </c>
      <c r="D652" s="133"/>
      <c r="E652" s="133" t="str">
        <f>IFERROR(__xludf.DUMMYFUNCTION("""COMPUTED_VALUE"""),"تمت طباعة الشهادة")</f>
        <v>تمت طباعة الشهادة</v>
      </c>
      <c r="F652" s="133" t="str">
        <f>IFERROR(__xludf.DUMMYFUNCTION("""COMPUTED_VALUE"""),"Sticks Budgies Forest Fruit 60g")</f>
        <v>Sticks Budgies Forest Fruit 60g</v>
      </c>
      <c r="G652" s="133" t="str">
        <f>IFERROR(__xludf.DUMMYFUNCTION("""COMPUTED_VALUE"""),"ستكس للبدجي بثمرة الغابة 60 جم")</f>
        <v>ستكس للبدجي بثمرة الغابة 60 جم</v>
      </c>
      <c r="H652" s="133" t="str">
        <f>IFERROR(__xludf.DUMMYFUNCTION("""COMPUTED_VALUE"""),"MAFE20211498")</f>
        <v>MAFE20211498</v>
      </c>
      <c r="I652" s="133"/>
      <c r="J652" s="133"/>
      <c r="K652" s="133" t="str">
        <f>IFERROR(__xludf.DUMMYFUNCTION("""COMPUTED_VALUE"""),"فيرسل لاقا ان في")</f>
        <v>فيرسل لاقا ان في</v>
      </c>
      <c r="L652" s="142" t="str">
        <f>IFERROR(__xludf.DUMMYFUNCTION("""COMPUTED_VALUE"""),"422310")</f>
        <v>422310</v>
      </c>
      <c r="M652" s="133"/>
      <c r="N652" s="133"/>
      <c r="O652" s="133"/>
      <c r="P652" s="133"/>
      <c r="Q652" s="133"/>
      <c r="R652" s="133"/>
      <c r="S652" s="133"/>
      <c r="T652" s="133"/>
      <c r="U652" s="133"/>
      <c r="V652" s="133"/>
      <c r="W652" s="133"/>
      <c r="X652" s="133"/>
      <c r="Y652" s="133"/>
      <c r="Z652" s="133"/>
    </row>
    <row r="653">
      <c r="A653" s="133">
        <f>IFERROR(__xludf.DUMMYFUNCTION("""COMPUTED_VALUE"""),652.0)</f>
        <v>652</v>
      </c>
      <c r="B653" s="133" t="str">
        <f>IFERROR(__xludf.DUMMYFUNCTION("""COMPUTED_VALUE"""),"422308")</f>
        <v>422308</v>
      </c>
      <c r="C653" s="133" t="str">
        <f>IFERROR(__xludf.DUMMYFUNCTION("""COMPUTED_VALUE"""),"P-1-N-040521-2492")</f>
        <v>P-1-N-040521-2492</v>
      </c>
      <c r="D653" s="133"/>
      <c r="E653" s="133" t="str">
        <f>IFERROR(__xludf.DUMMYFUNCTION("""COMPUTED_VALUE"""),"تمت طباعة الشهادة")</f>
        <v>تمت طباعة الشهادة</v>
      </c>
      <c r="F653" s="133" t="str">
        <f>IFERROR(__xludf.DUMMYFUNCTION("""COMPUTED_VALUE"""),"Sticks Budgies Honey 60g")</f>
        <v>Sticks Budgies Honey 60g</v>
      </c>
      <c r="G653" s="133" t="str">
        <f>IFERROR(__xludf.DUMMYFUNCTION("""COMPUTED_VALUE"""),"ستكس للبدجي بالعسل 60 جم")</f>
        <v>ستكس للبدجي بالعسل 60 جم</v>
      </c>
      <c r="H653" s="133" t="str">
        <f>IFERROR(__xludf.DUMMYFUNCTION("""COMPUTED_VALUE"""),"MAFE20211496")</f>
        <v>MAFE20211496</v>
      </c>
      <c r="I653" s="133"/>
      <c r="J653" s="133"/>
      <c r="K653" s="133" t="str">
        <f>IFERROR(__xludf.DUMMYFUNCTION("""COMPUTED_VALUE"""),"فيرسل لاقا ان في")</f>
        <v>فيرسل لاقا ان في</v>
      </c>
      <c r="L653" s="142" t="str">
        <f>IFERROR(__xludf.DUMMYFUNCTION("""COMPUTED_VALUE"""),"422308")</f>
        <v>422308</v>
      </c>
      <c r="M653" s="133"/>
      <c r="N653" s="133"/>
      <c r="O653" s="133"/>
      <c r="P653" s="133"/>
      <c r="Q653" s="133"/>
      <c r="R653" s="133"/>
      <c r="S653" s="133"/>
      <c r="T653" s="133"/>
      <c r="U653" s="133"/>
      <c r="V653" s="133"/>
      <c r="W653" s="133"/>
      <c r="X653" s="133"/>
      <c r="Y653" s="133"/>
      <c r="Z653" s="133"/>
    </row>
    <row r="654">
      <c r="A654" s="133">
        <f>IFERROR(__xludf.DUMMYFUNCTION("""COMPUTED_VALUE"""),653.0)</f>
        <v>653</v>
      </c>
      <c r="B654" s="133"/>
      <c r="C654" s="133" t="str">
        <f>IFERROR(__xludf.DUMMYFUNCTION("""COMPUTED_VALUE"""),"P-1-N-040521-2494")</f>
        <v>P-1-N-040521-2494</v>
      </c>
      <c r="D654" s="133"/>
      <c r="E654" s="133" t="str">
        <f>IFERROR(__xludf.DUMMYFUNCTION("""COMPUTED_VALUE"""),"تمت طباعة الشهادة")</f>
        <v>تمت طباعة الشهادة</v>
      </c>
      <c r="F654" s="133" t="str">
        <f>IFERROR(__xludf.DUMMYFUNCTION("""COMPUTED_VALUE"""),"Sticks Budgie Triple Variety Pack 90g")</f>
        <v>Sticks Budgie Triple Variety Pack 90g</v>
      </c>
      <c r="G654" s="133" t="str">
        <f>IFERROR(__xludf.DUMMYFUNCTION("""COMPUTED_VALUE"""),"ستكس للبدجي عبوة تنوع ثلاثي 90 جم")</f>
        <v>ستكس للبدجي عبوة تنوع ثلاثي 90 جم</v>
      </c>
      <c r="H654" s="133" t="str">
        <f>IFERROR(__xludf.DUMMYFUNCTION("""COMPUTED_VALUE"""),"MAFE20211495")</f>
        <v>MAFE20211495</v>
      </c>
      <c r="I654" s="133"/>
      <c r="J654" s="133"/>
      <c r="K654" s="133" t="str">
        <f>IFERROR(__xludf.DUMMYFUNCTION("""COMPUTED_VALUE"""),"فيرسل لاقا ان في")</f>
        <v>فيرسل لاقا ان في</v>
      </c>
      <c r="L654" s="133"/>
      <c r="M654" s="133"/>
      <c r="N654" s="133"/>
      <c r="O654" s="133"/>
      <c r="P654" s="133"/>
      <c r="Q654" s="133"/>
      <c r="R654" s="133"/>
      <c r="S654" s="133"/>
      <c r="T654" s="133"/>
      <c r="U654" s="133"/>
      <c r="V654" s="133"/>
      <c r="W654" s="133"/>
      <c r="X654" s="133"/>
      <c r="Y654" s="133"/>
      <c r="Z654" s="133"/>
    </row>
    <row r="655">
      <c r="A655" s="133">
        <f>IFERROR(__xludf.DUMMYFUNCTION("""COMPUTED_VALUE"""),654.0)</f>
        <v>654</v>
      </c>
      <c r="B655" s="133"/>
      <c r="C655" s="133" t="str">
        <f>IFERROR(__xludf.DUMMYFUNCTION("""COMPUTED_VALUE"""),"P-1-N-040521-2495")</f>
        <v>P-1-N-040521-2495</v>
      </c>
      <c r="D655" s="133"/>
      <c r="E655" s="133" t="str">
        <f>IFERROR(__xludf.DUMMYFUNCTION("""COMPUTED_VALUE"""),"تمت طباعة الشهادة")</f>
        <v>تمت طباعة الشهادة</v>
      </c>
      <c r="F655" s="133" t="str">
        <f>IFERROR(__xludf.DUMMYFUNCTION("""COMPUTED_VALUE"""),"Sticks Canary Egg-Oyster Shell 60g")</f>
        <v>Sticks Canary Egg-Oyster Shell 60g</v>
      </c>
      <c r="G655" s="133" t="str">
        <f>IFERROR(__xludf.DUMMYFUNCTION("""COMPUTED_VALUE"""),"ستكس للكناري بالبيض و أصداف المحار 60 جم")</f>
        <v>ستكس للكناري بالبيض و أصداف المحار 60 جم</v>
      </c>
      <c r="H655" s="133" t="str">
        <f>IFERROR(__xludf.DUMMYFUNCTION("""COMPUTED_VALUE"""),"MAFE20211493")</f>
        <v>MAFE20211493</v>
      </c>
      <c r="I655" s="133"/>
      <c r="J655" s="133"/>
      <c r="K655" s="133" t="str">
        <f>IFERROR(__xludf.DUMMYFUNCTION("""COMPUTED_VALUE"""),"فيرسل لاقا ان في")</f>
        <v>فيرسل لاقا ان في</v>
      </c>
      <c r="L655" s="133"/>
      <c r="M655" s="133"/>
      <c r="N655" s="133"/>
      <c r="O655" s="133"/>
      <c r="P655" s="133"/>
      <c r="Q655" s="133"/>
      <c r="R655" s="133"/>
      <c r="S655" s="133"/>
      <c r="T655" s="133"/>
      <c r="U655" s="133"/>
      <c r="V655" s="133"/>
      <c r="W655" s="133"/>
      <c r="X655" s="133"/>
      <c r="Y655" s="133"/>
      <c r="Z655" s="133"/>
    </row>
    <row r="656">
      <c r="A656" s="133">
        <f>IFERROR(__xludf.DUMMYFUNCTION("""COMPUTED_VALUE"""),655.0)</f>
        <v>655</v>
      </c>
      <c r="B656" s="133"/>
      <c r="C656" s="133" t="str">
        <f>IFERROR(__xludf.DUMMYFUNCTION("""COMPUTED_VALUE"""),"P-1-N-040521-2497")</f>
        <v>P-1-N-040521-2497</v>
      </c>
      <c r="D656" s="133"/>
      <c r="E656" s="133" t="str">
        <f>IFERROR(__xludf.DUMMYFUNCTION("""COMPUTED_VALUE"""),"تمت طباعة الشهادة")</f>
        <v>تمت طباعة الشهادة</v>
      </c>
      <c r="F656" s="133" t="str">
        <f>IFERROR(__xludf.DUMMYFUNCTION("""COMPUTED_VALUE"""),"Sticks Canaries Exotic Fruit 60g")</f>
        <v>Sticks Canaries Exotic Fruit 60g</v>
      </c>
      <c r="G656" s="133" t="str">
        <f>IFERROR(__xludf.DUMMYFUNCTION("""COMPUTED_VALUE"""),"ستكس للكناري بالفاكهة الاستوائية 60 جم")</f>
        <v>ستكس للكناري بالفاكهة الاستوائية 60 جم</v>
      </c>
      <c r="H656" s="133" t="str">
        <f>IFERROR(__xludf.DUMMYFUNCTION("""COMPUTED_VALUE"""),"MAFE20211492")</f>
        <v>MAFE20211492</v>
      </c>
      <c r="I656" s="133"/>
      <c r="J656" s="133"/>
      <c r="K656" s="133" t="str">
        <f>IFERROR(__xludf.DUMMYFUNCTION("""COMPUTED_VALUE"""),"فيرسل لاقا ان في")</f>
        <v>فيرسل لاقا ان في</v>
      </c>
      <c r="L656" s="133"/>
      <c r="M656" s="133"/>
      <c r="N656" s="133"/>
      <c r="O656" s="133"/>
      <c r="P656" s="133"/>
      <c r="Q656" s="133"/>
      <c r="R656" s="133"/>
      <c r="S656" s="133"/>
      <c r="T656" s="133"/>
      <c r="U656" s="133"/>
      <c r="V656" s="133"/>
      <c r="W656" s="133"/>
      <c r="X656" s="133"/>
      <c r="Y656" s="133"/>
      <c r="Z656" s="133"/>
    </row>
    <row r="657">
      <c r="A657" s="133">
        <f>IFERROR(__xludf.DUMMYFUNCTION("""COMPUTED_VALUE"""),656.0)</f>
        <v>656</v>
      </c>
      <c r="B657" s="133"/>
      <c r="C657" s="133" t="str">
        <f>IFERROR(__xludf.DUMMYFUNCTION("""COMPUTED_VALUE"""),"P-1-N-040521-2498")</f>
        <v>P-1-N-040521-2498</v>
      </c>
      <c r="D657" s="133"/>
      <c r="E657" s="133" t="str">
        <f>IFERROR(__xludf.DUMMYFUNCTION("""COMPUTED_VALUE"""),"تمت طباعة الشهادة")</f>
        <v>تمت طباعة الشهادة</v>
      </c>
      <c r="F657" s="133" t="str">
        <f>IFERROR(__xludf.DUMMYFUNCTION("""COMPUTED_VALUE"""),"Sticks Canaries Forest Fruit 60g")</f>
        <v>Sticks Canaries Forest Fruit 60g</v>
      </c>
      <c r="G657" s="133" t="str">
        <f>IFERROR(__xludf.DUMMYFUNCTION("""COMPUTED_VALUE"""),"ستكس للكناري بثمرة الغابة 60 جم")</f>
        <v>ستكس للكناري بثمرة الغابة 60 جم</v>
      </c>
      <c r="H657" s="133" t="str">
        <f>IFERROR(__xludf.DUMMYFUNCTION("""COMPUTED_VALUE"""),"MAFE20211491")</f>
        <v>MAFE20211491</v>
      </c>
      <c r="I657" s="133"/>
      <c r="J657" s="133"/>
      <c r="K657" s="133" t="str">
        <f>IFERROR(__xludf.DUMMYFUNCTION("""COMPUTED_VALUE"""),"ستكس للكناري بثمرة الغابة 60 جم")</f>
        <v>ستكس للكناري بثمرة الغابة 60 جم</v>
      </c>
      <c r="L657" s="133"/>
      <c r="M657" s="133"/>
      <c r="N657" s="133"/>
      <c r="O657" s="133"/>
      <c r="P657" s="133"/>
      <c r="Q657" s="133"/>
      <c r="R657" s="133"/>
      <c r="S657" s="133"/>
      <c r="T657" s="133"/>
      <c r="U657" s="133"/>
      <c r="V657" s="133"/>
      <c r="W657" s="133"/>
      <c r="X657" s="133"/>
      <c r="Y657" s="133"/>
      <c r="Z657" s="133"/>
    </row>
    <row r="658">
      <c r="A658" s="133">
        <f>IFERROR(__xludf.DUMMYFUNCTION("""COMPUTED_VALUE"""),657.0)</f>
        <v>657</v>
      </c>
      <c r="B658" s="133"/>
      <c r="C658" s="133" t="str">
        <f>IFERROR(__xludf.DUMMYFUNCTION("""COMPUTED_VALUE"""),"P-1-N-040521-2499")</f>
        <v>P-1-N-040521-2499</v>
      </c>
      <c r="D658" s="133"/>
      <c r="E658" s="133" t="str">
        <f>IFERROR(__xludf.DUMMYFUNCTION("""COMPUTED_VALUE"""),"تمت طباعة الشهادة")</f>
        <v>تمت طباعة الشهادة</v>
      </c>
      <c r="F658" s="133" t="str">
        <f>IFERROR(__xludf.DUMMYFUNCTION("""COMPUTED_VALUE"""),"Sticks Canaries Honey 60g")</f>
        <v>Sticks Canaries Honey 60g</v>
      </c>
      <c r="G658" s="133" t="str">
        <f>IFERROR(__xludf.DUMMYFUNCTION("""COMPUTED_VALUE"""),"ستكس للكناري بالعسل 60 جم")</f>
        <v>ستكس للكناري بالعسل 60 جم</v>
      </c>
      <c r="H658" s="133" t="str">
        <f>IFERROR(__xludf.DUMMYFUNCTION("""COMPUTED_VALUE"""),"MAFE20211489")</f>
        <v>MAFE20211489</v>
      </c>
      <c r="I658" s="133"/>
      <c r="J658" s="133"/>
      <c r="K658" s="133" t="str">
        <f>IFERROR(__xludf.DUMMYFUNCTION("""COMPUTED_VALUE"""),"فيرسل لاقا ان في")</f>
        <v>فيرسل لاقا ان في</v>
      </c>
      <c r="L658" s="133"/>
      <c r="M658" s="133"/>
      <c r="N658" s="133"/>
      <c r="O658" s="133"/>
      <c r="P658" s="133"/>
      <c r="Q658" s="133"/>
      <c r="R658" s="133"/>
      <c r="S658" s="133"/>
      <c r="T658" s="133"/>
      <c r="U658" s="133"/>
      <c r="V658" s="133"/>
      <c r="W658" s="133"/>
      <c r="X658" s="133"/>
      <c r="Y658" s="133"/>
      <c r="Z658" s="133"/>
    </row>
    <row r="659">
      <c r="A659" s="133">
        <f>IFERROR(__xludf.DUMMYFUNCTION("""COMPUTED_VALUE"""),658.0)</f>
        <v>658</v>
      </c>
      <c r="B659" s="133"/>
      <c r="C659" s="133" t="str">
        <f>IFERROR(__xludf.DUMMYFUNCTION("""COMPUTED_VALUE"""),"P-1-N-040521-2500")</f>
        <v>P-1-N-040521-2500</v>
      </c>
      <c r="D659" s="133"/>
      <c r="E659" s="133" t="str">
        <f>IFERROR(__xludf.DUMMYFUNCTION("""COMPUTED_VALUE"""),"تمت طباعة الشهادة")</f>
        <v>تمت طباعة الشهادة</v>
      </c>
      <c r="F659" s="133" t="str">
        <f>IFERROR(__xludf.DUMMYFUNCTION("""COMPUTED_VALUE"""),"Sticks Canary Triple Variety Pack 90g")</f>
        <v>Sticks Canary Triple Variety Pack 90g</v>
      </c>
      <c r="G659" s="133" t="str">
        <f>IFERROR(__xludf.DUMMYFUNCTION("""COMPUTED_VALUE"""),"ستكس للكناري عبوة تنوع ثلاثي 90 جم")</f>
        <v>ستكس للكناري عبوة تنوع ثلاثي 90 جم</v>
      </c>
      <c r="H659" s="133" t="str">
        <f>IFERROR(__xludf.DUMMYFUNCTION("""COMPUTED_VALUE"""),"MAFE20211488")</f>
        <v>MAFE20211488</v>
      </c>
      <c r="I659" s="133"/>
      <c r="J659" s="133"/>
      <c r="K659" s="133" t="str">
        <f>IFERROR(__xludf.DUMMYFUNCTION("""COMPUTED_VALUE"""),"Agency")</f>
        <v>Agency</v>
      </c>
      <c r="L659" s="133"/>
      <c r="M659" s="133"/>
      <c r="N659" s="133"/>
      <c r="O659" s="133"/>
      <c r="P659" s="133"/>
      <c r="Q659" s="133"/>
      <c r="R659" s="133"/>
      <c r="S659" s="133"/>
      <c r="T659" s="133"/>
      <c r="U659" s="133"/>
      <c r="V659" s="133"/>
      <c r="W659" s="133"/>
      <c r="X659" s="133"/>
      <c r="Y659" s="133"/>
      <c r="Z659" s="133"/>
    </row>
    <row r="660">
      <c r="A660" s="133">
        <f>IFERROR(__xludf.DUMMYFUNCTION("""COMPUTED_VALUE"""),659.0)</f>
        <v>659</v>
      </c>
      <c r="B660" s="133"/>
      <c r="C660" s="133" t="str">
        <f>IFERROR(__xludf.DUMMYFUNCTION("""COMPUTED_VALUE"""),"P-1-N-040521-2502")</f>
        <v>P-1-N-040521-2502</v>
      </c>
      <c r="D660" s="133"/>
      <c r="E660" s="133" t="str">
        <f>IFERROR(__xludf.DUMMYFUNCTION("""COMPUTED_VALUE"""),"تمت طباعة الشهادة")</f>
        <v>تمت طباعة الشهادة</v>
      </c>
      <c r="F660" s="133" t="str">
        <f>IFERROR(__xludf.DUMMYFUNCTION("""COMPUTED_VALUE"""),"Sticks Parrots Exotic Fruit 140g")</f>
        <v>Sticks Parrots Exotic Fruit 140g</v>
      </c>
      <c r="G660" s="133" t="str">
        <f>IFERROR(__xludf.DUMMYFUNCTION("""COMPUTED_VALUE"""),"ستكس للببغاوات بالفاكهة الاستوائية 140 جم")</f>
        <v>ستكس للببغاوات بالفاكهة الاستوائية 140 جم</v>
      </c>
      <c r="H660" s="133" t="str">
        <f>IFERROR(__xludf.DUMMYFUNCTION("""COMPUTED_VALUE"""),"MAFE20211487")</f>
        <v>MAFE20211487</v>
      </c>
      <c r="I660" s="133"/>
      <c r="J660" s="133"/>
      <c r="K660" s="133" t="str">
        <f>IFERROR(__xludf.DUMMYFUNCTION("""COMPUTED_VALUE"""),"فيرسل لاقا ان في")</f>
        <v>فيرسل لاقا ان في</v>
      </c>
      <c r="L660" s="133"/>
      <c r="M660" s="133"/>
      <c r="N660" s="133"/>
      <c r="O660" s="133"/>
      <c r="P660" s="133"/>
      <c r="Q660" s="133"/>
      <c r="R660" s="133"/>
      <c r="S660" s="133"/>
      <c r="T660" s="133"/>
      <c r="U660" s="133"/>
      <c r="V660" s="133"/>
      <c r="W660" s="133"/>
      <c r="X660" s="133"/>
      <c r="Y660" s="133"/>
      <c r="Z660" s="133"/>
    </row>
    <row r="661">
      <c r="A661" s="133">
        <f>IFERROR(__xludf.DUMMYFUNCTION("""COMPUTED_VALUE"""),660.0)</f>
        <v>660</v>
      </c>
      <c r="B661" s="133"/>
      <c r="C661" s="133" t="str">
        <f>IFERROR(__xludf.DUMMYFUNCTION("""COMPUTED_VALUE"""),"P-1-N-040521-2503")</f>
        <v>P-1-N-040521-2503</v>
      </c>
      <c r="D661" s="133"/>
      <c r="E661" s="133" t="str">
        <f>IFERROR(__xludf.DUMMYFUNCTION("""COMPUTED_VALUE"""),"تمت طباعة الشهادة")</f>
        <v>تمت طباعة الشهادة</v>
      </c>
      <c r="F661" s="133" t="str">
        <f>IFERROR(__xludf.DUMMYFUNCTION("""COMPUTED_VALUE"""),"Sticks Parrots Nuts &amp; Honey 140g")</f>
        <v>Sticks Parrots Nuts &amp; Honey 140g</v>
      </c>
      <c r="G661" s="133" t="str">
        <f>IFERROR(__xludf.DUMMYFUNCTION("""COMPUTED_VALUE"""),"ستكس للببغاوات بالمكسرات والعسل 140 جم")</f>
        <v>ستكس للببغاوات بالمكسرات والعسل 140 جم</v>
      </c>
      <c r="H661" s="133" t="str">
        <f>IFERROR(__xludf.DUMMYFUNCTION("""COMPUTED_VALUE"""),"MAFE20211486")</f>
        <v>MAFE20211486</v>
      </c>
      <c r="I661" s="133"/>
      <c r="J661" s="133"/>
      <c r="K661" s="133" t="str">
        <f>IFERROR(__xludf.DUMMYFUNCTION("""COMPUTED_VALUE"""),"فيرسل لاقا ان في")</f>
        <v>فيرسل لاقا ان في</v>
      </c>
      <c r="L661" s="133"/>
      <c r="M661" s="133"/>
      <c r="N661" s="133"/>
      <c r="O661" s="133"/>
      <c r="P661" s="133"/>
      <c r="Q661" s="133"/>
      <c r="R661" s="133"/>
      <c r="S661" s="133"/>
      <c r="T661" s="133"/>
      <c r="U661" s="133"/>
      <c r="V661" s="133"/>
      <c r="W661" s="133"/>
      <c r="X661" s="133"/>
      <c r="Y661" s="133"/>
      <c r="Z661" s="133"/>
    </row>
    <row r="662">
      <c r="A662" s="133">
        <f>IFERROR(__xludf.DUMMYFUNCTION("""COMPUTED_VALUE"""),661.0)</f>
        <v>661</v>
      </c>
      <c r="B662" s="133" t="str">
        <f>IFERROR(__xludf.DUMMYFUNCTION("""COMPUTED_VALUE"""),"422259")</f>
        <v>422259</v>
      </c>
      <c r="C662" s="133" t="str">
        <f>IFERROR(__xludf.DUMMYFUNCTION("""COMPUTED_VALUE"""),"P-1-N-040521-2504")</f>
        <v>P-1-N-040521-2504</v>
      </c>
      <c r="D662" s="133"/>
      <c r="E662" s="133" t="str">
        <f>IFERROR(__xludf.DUMMYFUNCTION("""COMPUTED_VALUE"""),"تمت طباعة الشهادة")</f>
        <v>تمت طباعة الشهادة</v>
      </c>
      <c r="F662" s="133" t="str">
        <f>IFERROR(__xludf.DUMMYFUNCTION("""COMPUTED_VALUE"""),"Prestige Snack Big Parakeets 125g")</f>
        <v>Prestige Snack Big Parakeets 125g</v>
      </c>
      <c r="G662" s="133" t="str">
        <f>IFERROR(__xludf.DUMMYFUNCTION("""COMPUTED_VALUE"""),"بريستيج سناك للبراكيت الكبيرة 125 جم")</f>
        <v>بريستيج سناك للبراكيت الكبيرة 125 جم</v>
      </c>
      <c r="H662" s="133" t="str">
        <f>IFERROR(__xludf.DUMMYFUNCTION("""COMPUTED_VALUE"""),"MAFE20211485")</f>
        <v>MAFE20211485</v>
      </c>
      <c r="I662" s="133"/>
      <c r="J662" s="133"/>
      <c r="K662" s="133" t="str">
        <f>IFERROR(__xludf.DUMMYFUNCTION("""COMPUTED_VALUE"""),"فيرسل لاقا ان في")</f>
        <v>فيرسل لاقا ان في</v>
      </c>
      <c r="L662" s="142" t="str">
        <f>IFERROR(__xludf.DUMMYFUNCTION("""COMPUTED_VALUE"""),"422259")</f>
        <v>422259</v>
      </c>
      <c r="M662" s="133"/>
      <c r="N662" s="133"/>
      <c r="O662" s="133"/>
      <c r="P662" s="133"/>
      <c r="Q662" s="133"/>
      <c r="R662" s="133"/>
      <c r="S662" s="133"/>
      <c r="T662" s="133"/>
      <c r="U662" s="133"/>
      <c r="V662" s="133"/>
      <c r="W662" s="133"/>
      <c r="X662" s="133"/>
      <c r="Y662" s="133"/>
      <c r="Z662" s="133"/>
    </row>
    <row r="663">
      <c r="A663" s="133">
        <f>IFERROR(__xludf.DUMMYFUNCTION("""COMPUTED_VALUE"""),662.0)</f>
        <v>662</v>
      </c>
      <c r="B663" s="133" t="str">
        <f>IFERROR(__xludf.DUMMYFUNCTION("""COMPUTED_VALUE"""),"50010854")</f>
        <v>50010854</v>
      </c>
      <c r="C663" s="133" t="str">
        <f>IFERROR(__xludf.DUMMYFUNCTION("""COMPUTED_VALUE"""),"P-1-N-050521-2537")</f>
        <v>P-1-N-050521-2537</v>
      </c>
      <c r="D663" s="133"/>
      <c r="E663" s="133" t="str">
        <f>IFERROR(__xludf.DUMMYFUNCTION("""COMPUTED_VALUE"""),"تمت طباعة الشهادة")</f>
        <v>تمت طباعة الشهادة</v>
      </c>
      <c r="F663" s="133" t="str">
        <f>IFERROR(__xludf.DUMMYFUNCTION("""COMPUTED_VALUE"""),"Poultry-Menu 15kg")</f>
        <v>Poultry-Menu 15kg</v>
      </c>
      <c r="G663" s="133" t="str">
        <f>IFERROR(__xludf.DUMMYFUNCTION("""COMPUTED_VALUE"""),"منيو دواجن 15 كجم")</f>
        <v>منيو دواجن 15 كجم</v>
      </c>
      <c r="H663" s="133" t="str">
        <f>IFERROR(__xludf.DUMMYFUNCTION("""COMPUTED_VALUE"""),"MAFE20211562")</f>
        <v>MAFE20211562</v>
      </c>
      <c r="I663" s="133"/>
      <c r="J663" s="133"/>
      <c r="K663" s="133" t="str">
        <f>IFERROR(__xludf.DUMMYFUNCTION("""COMPUTED_VALUE"""),"شركة جوسيرا بت فود جي ام بي اتش كاي جي")</f>
        <v>شركة جوسيرا بت فود جي ام بي اتش كاي جي</v>
      </c>
      <c r="L663" s="142" t="str">
        <f>IFERROR(__xludf.DUMMYFUNCTION("""COMPUTED_VALUE"""),"50010854")</f>
        <v>50010854</v>
      </c>
      <c r="M663" s="133"/>
      <c r="N663" s="133"/>
      <c r="O663" s="133"/>
      <c r="P663" s="133"/>
      <c r="Q663" s="133"/>
      <c r="R663" s="133"/>
      <c r="S663" s="133"/>
      <c r="T663" s="133"/>
      <c r="U663" s="133"/>
      <c r="V663" s="133"/>
      <c r="W663" s="133"/>
      <c r="X663" s="133"/>
      <c r="Y663" s="133"/>
      <c r="Z663" s="133"/>
    </row>
    <row r="664">
      <c r="A664" s="133">
        <f>IFERROR(__xludf.DUMMYFUNCTION("""COMPUTED_VALUE"""),663.0)</f>
        <v>663</v>
      </c>
      <c r="B664" s="133" t="str">
        <f>IFERROR(__xludf.DUMMYFUNCTION("""COMPUTED_VALUE"""),"50010834")</f>
        <v>50010834</v>
      </c>
      <c r="C664" s="133" t="str">
        <f>IFERROR(__xludf.DUMMYFUNCTION("""COMPUTED_VALUE"""),"P-1-N-110521-2661")</f>
        <v>P-1-N-110521-2661</v>
      </c>
      <c r="D664" s="133"/>
      <c r="E664" s="133" t="str">
        <f>IFERROR(__xludf.DUMMYFUNCTION("""COMPUTED_VALUE"""),"تمت طباعة الشهادة")</f>
        <v>تمت طباعة الشهادة</v>
      </c>
      <c r="F664" s="133" t="str">
        <f>IFERROR(__xludf.DUMMYFUNCTION("""COMPUTED_VALUE"""),"Kitten Grainfree 10kg")</f>
        <v>Kitten Grainfree 10kg</v>
      </c>
      <c r="G664" s="133" t="str">
        <f>IFERROR(__xludf.DUMMYFUNCTION("""COMPUTED_VALUE"""),"ﻛﻴﺘﻦ خالي من الحبوب 10 كجم")</f>
        <v>ﻛﻴﺘﻦ خالي من الحبوب 10 كجم</v>
      </c>
      <c r="H664" s="133" t="str">
        <f>IFERROR(__xludf.DUMMYFUNCTION("""COMPUTED_VALUE"""),"MAFE20211601")</f>
        <v>MAFE20211601</v>
      </c>
      <c r="I664" s="133"/>
      <c r="J664" s="133"/>
      <c r="K664" s="133" t="str">
        <f>IFERROR(__xludf.DUMMYFUNCTION("""COMPUTED_VALUE"""),"شركة جوسيرا بت فود جي ام بي اتش كاي جي")</f>
        <v>شركة جوسيرا بت فود جي ام بي اتش كاي جي</v>
      </c>
      <c r="L664" s="142" t="str">
        <f>IFERROR(__xludf.DUMMYFUNCTION("""COMPUTED_VALUE"""),"50010834")</f>
        <v>50010834</v>
      </c>
      <c r="M664" s="133"/>
      <c r="N664" s="133"/>
      <c r="O664" s="133"/>
      <c r="P664" s="133"/>
      <c r="Q664" s="133"/>
      <c r="R664" s="133"/>
      <c r="S664" s="133"/>
      <c r="T664" s="133"/>
      <c r="U664" s="133"/>
      <c r="V664" s="133"/>
      <c r="W664" s="133"/>
      <c r="X664" s="133"/>
      <c r="Y664" s="133"/>
      <c r="Z664" s="133"/>
    </row>
    <row r="665">
      <c r="A665" s="133">
        <f>IFERROR(__xludf.DUMMYFUNCTION("""COMPUTED_VALUE"""),664.0)</f>
        <v>664</v>
      </c>
      <c r="B665" s="133" t="str">
        <f>IFERROR(__xludf.DUMMYFUNCTION("""COMPUTED_VALUE"""),"50010835")</f>
        <v>50010835</v>
      </c>
      <c r="C665" s="133" t="str">
        <f>IFERROR(__xludf.DUMMYFUNCTION("""COMPUTED_VALUE"""),"P-1-N-110521-2662")</f>
        <v>P-1-N-110521-2662</v>
      </c>
      <c r="D665" s="133"/>
      <c r="E665" s="133" t="str">
        <f>IFERROR(__xludf.DUMMYFUNCTION("""COMPUTED_VALUE"""),"تمت طباعة الشهادة")</f>
        <v>تمت طباعة الشهادة</v>
      </c>
      <c r="F665" s="133" t="str">
        <f>IFERROR(__xludf.DUMMYFUNCTION("""COMPUTED_VALUE"""),"Kitten Grainfree 4.25kg")</f>
        <v>Kitten Grainfree 4.25kg</v>
      </c>
      <c r="G665" s="133" t="str">
        <f>IFERROR(__xludf.DUMMYFUNCTION("""COMPUTED_VALUE"""),"ﻛﻴﺘﻦ خالي من الحبوب 4.25 جم")</f>
        <v>ﻛﻴﺘﻦ خالي من الحبوب 4.25 جم</v>
      </c>
      <c r="H665" s="133" t="str">
        <f>IFERROR(__xludf.DUMMYFUNCTION("""COMPUTED_VALUE"""),"MAFE20211576")</f>
        <v>MAFE20211576</v>
      </c>
      <c r="I665" s="133"/>
      <c r="J665" s="133"/>
      <c r="K665" s="133" t="str">
        <f>IFERROR(__xludf.DUMMYFUNCTION("""COMPUTED_VALUE"""),"شركة جوسيرا بت فود جي ام بي اتش كاي جي")</f>
        <v>شركة جوسيرا بت فود جي ام بي اتش كاي جي</v>
      </c>
      <c r="L665" s="142" t="str">
        <f>IFERROR(__xludf.DUMMYFUNCTION("""COMPUTED_VALUE"""),"50010835")</f>
        <v>50010835</v>
      </c>
      <c r="M665" s="133"/>
      <c r="N665" s="133"/>
      <c r="O665" s="133"/>
      <c r="P665" s="133"/>
      <c r="Q665" s="133"/>
      <c r="R665" s="133"/>
      <c r="S665" s="133"/>
      <c r="T665" s="133"/>
      <c r="U665" s="133"/>
      <c r="V665" s="133"/>
      <c r="W665" s="133"/>
      <c r="X665" s="133"/>
      <c r="Y665" s="133"/>
      <c r="Z665" s="133"/>
    </row>
    <row r="666">
      <c r="A666" s="133">
        <f>IFERROR(__xludf.DUMMYFUNCTION("""COMPUTED_VALUE"""),665.0)</f>
        <v>665</v>
      </c>
      <c r="B666" s="133" t="str">
        <f>IFERROR(__xludf.DUMMYFUNCTION("""COMPUTED_VALUE"""),"422097")</f>
        <v>422097</v>
      </c>
      <c r="C666" s="133" t="str">
        <f>IFERROR(__xludf.DUMMYFUNCTION("""COMPUTED_VALUE"""),"P-1-N-180521-2690")</f>
        <v>P-1-N-180521-2690</v>
      </c>
      <c r="D666" s="133"/>
      <c r="E666" s="133" t="str">
        <f>IFERROR(__xludf.DUMMYFUNCTION("""COMPUTED_VALUE"""),"تمت طباعة الشهادة")</f>
        <v>تمت طباعة الشهادة</v>
      </c>
      <c r="F666" s="133" t="str">
        <f>IFERROR(__xludf.DUMMYFUNCTION("""COMPUTED_VALUE"""),"Nutribird A18 Lori 800g")</f>
        <v>Nutribird A18 Lori 800g</v>
      </c>
      <c r="G666" s="133" t="str">
        <f>IFERROR(__xludf.DUMMYFUNCTION("""COMPUTED_VALUE"""),"نيوتريبيرد اي18 لوري 800 جم")</f>
        <v>نيوتريبيرد اي18 لوري 800 جم</v>
      </c>
      <c r="H666" s="133" t="str">
        <f>IFERROR(__xludf.DUMMYFUNCTION("""COMPUTED_VALUE"""),"MAFE20211652")</f>
        <v>MAFE20211652</v>
      </c>
      <c r="I666" s="133"/>
      <c r="J666" s="133"/>
      <c r="K666" s="133" t="str">
        <f>IFERROR(__xludf.DUMMYFUNCTION("""COMPUTED_VALUE"""),"فيرسل لاقا ان في")</f>
        <v>فيرسل لاقا ان في</v>
      </c>
      <c r="L666" s="142" t="str">
        <f>IFERROR(__xludf.DUMMYFUNCTION("""COMPUTED_VALUE"""),"422097")</f>
        <v>422097</v>
      </c>
      <c r="M666" s="133"/>
      <c r="N666" s="133"/>
      <c r="O666" s="133"/>
      <c r="P666" s="133"/>
      <c r="Q666" s="133"/>
      <c r="R666" s="133"/>
      <c r="S666" s="133"/>
      <c r="T666" s="133"/>
      <c r="U666" s="133"/>
      <c r="V666" s="133"/>
      <c r="W666" s="133"/>
      <c r="X666" s="133"/>
      <c r="Y666" s="133"/>
      <c r="Z666" s="133"/>
    </row>
    <row r="667">
      <c r="A667" s="133">
        <f>IFERROR(__xludf.DUMMYFUNCTION("""COMPUTED_VALUE"""),666.0)</f>
        <v>666</v>
      </c>
      <c r="B667" s="133" t="str">
        <f>IFERROR(__xludf.DUMMYFUNCTION("""COMPUTED_VALUE"""),"422012")</f>
        <v>422012</v>
      </c>
      <c r="C667" s="133" t="str">
        <f>IFERROR(__xludf.DUMMYFUNCTION("""COMPUTED_VALUE"""),"P-1-N-180521-2691")</f>
        <v>P-1-N-180521-2691</v>
      </c>
      <c r="D667" s="133"/>
      <c r="E667" s="133" t="str">
        <f>IFERROR(__xludf.DUMMYFUNCTION("""COMPUTED_VALUE"""),"تمت طباعة الشهادة")</f>
        <v>تمت طباعة الشهادة</v>
      </c>
      <c r="F667" s="133" t="str">
        <f>IFERROR(__xludf.DUMMYFUNCTION("""COMPUTED_VALUE"""),"Nutribird A19 800g")</f>
        <v>Nutribird A19 800g</v>
      </c>
      <c r="G667" s="133" t="str">
        <f>IFERROR(__xludf.DUMMYFUNCTION("""COMPUTED_VALUE"""),"نيوتريبيرد اي19 800 جم")</f>
        <v>نيوتريبيرد اي19 800 جم</v>
      </c>
      <c r="H667" s="133" t="str">
        <f>IFERROR(__xludf.DUMMYFUNCTION("""COMPUTED_VALUE"""),"MAFE20211647")</f>
        <v>MAFE20211647</v>
      </c>
      <c r="I667" s="133"/>
      <c r="J667" s="133"/>
      <c r="K667" s="133" t="str">
        <f>IFERROR(__xludf.DUMMYFUNCTION("""COMPUTED_VALUE"""),"نيوتريبيرد اي19 800 جم")</f>
        <v>نيوتريبيرد اي19 800 جم</v>
      </c>
      <c r="L667" s="142" t="str">
        <f>IFERROR(__xludf.DUMMYFUNCTION("""COMPUTED_VALUE"""),"422012")</f>
        <v>422012</v>
      </c>
      <c r="M667" s="133"/>
      <c r="N667" s="133"/>
      <c r="O667" s="133"/>
      <c r="P667" s="133"/>
      <c r="Q667" s="133"/>
      <c r="R667" s="133"/>
      <c r="S667" s="133"/>
      <c r="T667" s="133"/>
      <c r="U667" s="133"/>
      <c r="V667" s="133"/>
      <c r="W667" s="133"/>
      <c r="X667" s="133"/>
      <c r="Y667" s="133"/>
      <c r="Z667" s="133"/>
    </row>
    <row r="668">
      <c r="A668" s="133">
        <f>IFERROR(__xludf.DUMMYFUNCTION("""COMPUTED_VALUE"""),667.0)</f>
        <v>667</v>
      </c>
      <c r="B668" s="133" t="str">
        <f>IFERROR(__xludf.DUMMYFUNCTION("""COMPUTED_VALUE"""),"422081")</f>
        <v>422081</v>
      </c>
      <c r="C668" s="133" t="str">
        <f>IFERROR(__xludf.DUMMYFUNCTION("""COMPUTED_VALUE"""),"P-1-N-180521-2692")</f>
        <v>P-1-N-180521-2692</v>
      </c>
      <c r="D668" s="133"/>
      <c r="E668" s="133" t="str">
        <f>IFERROR(__xludf.DUMMYFUNCTION("""COMPUTED_VALUE"""),"تمت طباعة الشهادة")</f>
        <v>تمت طباعة الشهادة</v>
      </c>
      <c r="F668" s="133" t="str">
        <f>IFERROR(__xludf.DUMMYFUNCTION("""COMPUTED_VALUE"""),"Nutribird A19 H.E. 800g")</f>
        <v>Nutribird A19 H.E. 800g</v>
      </c>
      <c r="G668" s="133" t="str">
        <f>IFERROR(__xludf.DUMMYFUNCTION("""COMPUTED_VALUE"""),"نيوتريبيرد اي19 اتش. إي. 800 جم")</f>
        <v>نيوتريبيرد اي19 اتش. إي. 800 جم</v>
      </c>
      <c r="H668" s="133" t="str">
        <f>IFERROR(__xludf.DUMMYFUNCTION("""COMPUTED_VALUE"""),"MAFE20211646")</f>
        <v>MAFE20211646</v>
      </c>
      <c r="I668" s="133"/>
      <c r="J668" s="133"/>
      <c r="K668" s="133" t="str">
        <f>IFERROR(__xludf.DUMMYFUNCTION("""COMPUTED_VALUE"""),"فيرسل لاقا ان في")</f>
        <v>فيرسل لاقا ان في</v>
      </c>
      <c r="L668" s="142" t="str">
        <f>IFERROR(__xludf.DUMMYFUNCTION("""COMPUTED_VALUE"""),"422081")</f>
        <v>422081</v>
      </c>
      <c r="M668" s="133"/>
      <c r="N668" s="133"/>
      <c r="O668" s="133"/>
      <c r="P668" s="133"/>
      <c r="Q668" s="133"/>
      <c r="R668" s="133"/>
      <c r="S668" s="133"/>
      <c r="T668" s="133"/>
      <c r="U668" s="133"/>
      <c r="V668" s="133"/>
      <c r="W668" s="133"/>
      <c r="X668" s="133"/>
      <c r="Y668" s="133"/>
      <c r="Z668" s="133"/>
    </row>
    <row r="669">
      <c r="A669" s="133">
        <f>IFERROR(__xludf.DUMMYFUNCTION("""COMPUTED_VALUE"""),668.0)</f>
        <v>668</v>
      </c>
      <c r="B669" s="133" t="str">
        <f>IFERROR(__xludf.DUMMYFUNCTION("""COMPUTED_VALUE"""),"422010")</f>
        <v>422010</v>
      </c>
      <c r="C669" s="133" t="str">
        <f>IFERROR(__xludf.DUMMYFUNCTION("""COMPUTED_VALUE"""),"P-1-N-180521-2693")</f>
        <v>P-1-N-180521-2693</v>
      </c>
      <c r="D669" s="133"/>
      <c r="E669" s="133" t="str">
        <f>IFERROR(__xludf.DUMMYFUNCTION("""COMPUTED_VALUE"""),"تمت طباعة الشهادة")</f>
        <v>تمت طباعة الشهادة</v>
      </c>
      <c r="F669" s="133" t="str">
        <f>IFERROR(__xludf.DUMMYFUNCTION("""COMPUTED_VALUE"""),"Nutribird A21 800g")</f>
        <v>Nutribird A21 800g</v>
      </c>
      <c r="G669" s="133" t="str">
        <f>IFERROR(__xludf.DUMMYFUNCTION("""COMPUTED_VALUE"""),"نيوتريبيرد اي21 800 جم")</f>
        <v>نيوتريبيرد اي21 800 جم</v>
      </c>
      <c r="H669" s="133" t="str">
        <f>IFERROR(__xludf.DUMMYFUNCTION("""COMPUTED_VALUE"""),"MAFE20211668")</f>
        <v>MAFE20211668</v>
      </c>
      <c r="I669" s="133"/>
      <c r="J669" s="133"/>
      <c r="K669" s="133" t="str">
        <f>IFERROR(__xludf.DUMMYFUNCTION("""COMPUTED_VALUE"""),"Agency")</f>
        <v>Agency</v>
      </c>
      <c r="L669" s="142" t="str">
        <f>IFERROR(__xludf.DUMMYFUNCTION("""COMPUTED_VALUE"""),"422010")</f>
        <v>422010</v>
      </c>
      <c r="M669" s="133"/>
      <c r="N669" s="133"/>
      <c r="O669" s="133"/>
      <c r="P669" s="133"/>
      <c r="Q669" s="133"/>
      <c r="R669" s="133"/>
      <c r="S669" s="133"/>
      <c r="T669" s="133"/>
      <c r="U669" s="133"/>
      <c r="V669" s="133"/>
      <c r="W669" s="133"/>
      <c r="X669" s="133"/>
      <c r="Y669" s="133"/>
      <c r="Z669" s="133"/>
    </row>
    <row r="670">
      <c r="A670" s="133">
        <f>IFERROR(__xludf.DUMMYFUNCTION("""COMPUTED_VALUE"""),669.0)</f>
        <v>669</v>
      </c>
      <c r="B670" s="133" t="str">
        <f>IFERROR(__xludf.DUMMYFUNCTION("""COMPUTED_VALUE"""),"C2804")</f>
        <v>C2804</v>
      </c>
      <c r="C670" s="133" t="str">
        <f>IFERROR(__xludf.DUMMYFUNCTION("""COMPUTED_VALUE"""),"P-1-N-180521-2694")</f>
        <v>P-1-N-180521-2694</v>
      </c>
      <c r="D670" s="133"/>
      <c r="E670" s="133" t="str">
        <f>IFERROR(__xludf.DUMMYFUNCTION("""COMPUTED_VALUE"""),"تمت طباعة الشهادة")</f>
        <v>تمت طباعة الشهادة</v>
      </c>
      <c r="F670" s="133" t="str">
        <f>IFERROR(__xludf.DUMMYFUNCTION("""COMPUTED_VALUE"""),"Chicken and Rice with Spinach in Jelly 285g")</f>
        <v>Chicken and Rice with Spinach in Jelly 285g</v>
      </c>
      <c r="G670" s="133" t="str">
        <f>IFERROR(__xludf.DUMMYFUNCTION("""COMPUTED_VALUE"""),"الدجاج والأرز مع السبانخ بالجلي 285 جم")</f>
        <v>الدجاج والأرز مع السبانخ بالجلي 285 جم</v>
      </c>
      <c r="H670" s="133" t="str">
        <f>IFERROR(__xludf.DUMMYFUNCTION("""COMPUTED_VALUE"""),"MAFE20211645")</f>
        <v>MAFE20211645</v>
      </c>
      <c r="I670" s="133"/>
      <c r="J670" s="133"/>
      <c r="K670" s="133" t="str">
        <f>IFERROR(__xludf.DUMMYFUNCTION("""COMPUTED_VALUE"""),"ساوث ايست الاسيوية للتغليف والتعليب المحدودة")</f>
        <v>ساوث ايست الاسيوية للتغليف والتعليب المحدودة</v>
      </c>
      <c r="L670" s="142" t="str">
        <f>IFERROR(__xludf.DUMMYFUNCTION("""COMPUTED_VALUE"""),"C2804")</f>
        <v>C2804</v>
      </c>
      <c r="M670" s="133"/>
      <c r="N670" s="133"/>
      <c r="O670" s="133"/>
      <c r="P670" s="133"/>
      <c r="Q670" s="133"/>
      <c r="R670" s="133"/>
      <c r="S670" s="133"/>
      <c r="T670" s="133"/>
      <c r="U670" s="133"/>
      <c r="V670" s="133"/>
      <c r="W670" s="133"/>
      <c r="X670" s="133"/>
      <c r="Y670" s="133"/>
      <c r="Z670" s="133"/>
    </row>
    <row r="671">
      <c r="A671" s="133">
        <f>IFERROR(__xludf.DUMMYFUNCTION("""COMPUTED_VALUE"""),670.0)</f>
        <v>670</v>
      </c>
      <c r="B671" s="133"/>
      <c r="C671" s="133" t="str">
        <f>IFERROR(__xludf.DUMMYFUNCTION("""COMPUTED_VALUE"""),"P-1-N-180521-2695")</f>
        <v>P-1-N-180521-2695</v>
      </c>
      <c r="D671" s="133"/>
      <c r="E671" s="133" t="str">
        <f>IFERROR(__xludf.DUMMYFUNCTION("""COMPUTED_VALUE"""),"تمت طباعة الشهادة")</f>
        <v>تمت طباعة الشهادة</v>
      </c>
      <c r="F671" s="133" t="str">
        <f>IFERROR(__xludf.DUMMYFUNCTION("""COMPUTED_VALUE"""),"Tuna White Meat and Rice with Carrot in broth 285g")</f>
        <v>Tuna White Meat and Rice with Carrot in broth 285g</v>
      </c>
      <c r="G671" s="133" t="str">
        <f>IFERROR(__xludf.DUMMYFUNCTION("""COMPUTED_VALUE"""),"لحم تونا ابيض مع أرز بالجزر في المرق 285 جم")</f>
        <v>لحم تونا ابيض مع أرز بالجزر في المرق 285 جم</v>
      </c>
      <c r="H671" s="133" t="str">
        <f>IFERROR(__xludf.DUMMYFUNCTION("""COMPUTED_VALUE"""),"MAFE20211667")</f>
        <v>MAFE20211667</v>
      </c>
      <c r="I671" s="133"/>
      <c r="J671" s="133"/>
      <c r="K671" s="133" t="str">
        <f>IFERROR(__xludf.DUMMYFUNCTION("""COMPUTED_VALUE"""),"ساوث ايست الاسيوية للتغليف والتعليب المحدودة")</f>
        <v>ساوث ايست الاسيوية للتغليف والتعليب المحدودة</v>
      </c>
      <c r="L671" s="133"/>
      <c r="M671" s="133"/>
      <c r="N671" s="133"/>
      <c r="O671" s="133"/>
      <c r="P671" s="133"/>
      <c r="Q671" s="133"/>
      <c r="R671" s="133"/>
      <c r="S671" s="133"/>
      <c r="T671" s="133"/>
      <c r="U671" s="133"/>
      <c r="V671" s="133"/>
      <c r="W671" s="133"/>
      <c r="X671" s="133"/>
      <c r="Y671" s="133"/>
      <c r="Z671" s="133"/>
    </row>
    <row r="672">
      <c r="A672" s="133">
        <f>IFERROR(__xludf.DUMMYFUNCTION("""COMPUTED_VALUE"""),671.0)</f>
        <v>671</v>
      </c>
      <c r="B672" s="133" t="str">
        <f>IFERROR(__xludf.DUMMYFUNCTION("""COMPUTED_VALUE"""),"422098")</f>
        <v>422098</v>
      </c>
      <c r="C672" s="133" t="str">
        <f>IFERROR(__xludf.DUMMYFUNCTION("""COMPUTED_VALUE"""),"P-1-N-230521-2788")</f>
        <v>P-1-N-230521-2788</v>
      </c>
      <c r="D672" s="133"/>
      <c r="E672" s="133" t="str">
        <f>IFERROR(__xludf.DUMMYFUNCTION("""COMPUTED_VALUE"""),"تمت طباعة الشهادة")</f>
        <v>تمت طباعة الشهادة</v>
      </c>
      <c r="F672" s="133" t="str">
        <f>IFERROR(__xludf.DUMMYFUNCTION("""COMPUTED_VALUE"""),"Nutribird A18 Lori 3kg")</f>
        <v>Nutribird A18 Lori 3kg</v>
      </c>
      <c r="G672" s="133" t="str">
        <f>IFERROR(__xludf.DUMMYFUNCTION("""COMPUTED_VALUE"""),"نيوتريبيرد اي18 لوري 3 كجم")</f>
        <v>نيوتريبيرد اي18 لوري 3 كجم</v>
      </c>
      <c r="H672" s="133" t="str">
        <f>IFERROR(__xludf.DUMMYFUNCTION("""COMPUTED_VALUE"""),"MAFE20211755")</f>
        <v>MAFE20211755</v>
      </c>
      <c r="I672" s="133"/>
      <c r="J672" s="133"/>
      <c r="K672" s="133" t="str">
        <f>IFERROR(__xludf.DUMMYFUNCTION("""COMPUTED_VALUE"""),"فيرسل لاقا ان في")</f>
        <v>فيرسل لاقا ان في</v>
      </c>
      <c r="L672" s="142" t="str">
        <f>IFERROR(__xludf.DUMMYFUNCTION("""COMPUTED_VALUE"""),"422098")</f>
        <v>422098</v>
      </c>
      <c r="M672" s="133"/>
      <c r="N672" s="133"/>
      <c r="O672" s="133"/>
      <c r="P672" s="133"/>
      <c r="Q672" s="133"/>
      <c r="R672" s="133"/>
      <c r="S672" s="133"/>
      <c r="T672" s="133"/>
      <c r="U672" s="133"/>
      <c r="V672" s="133"/>
      <c r="W672" s="133"/>
      <c r="X672" s="133"/>
      <c r="Y672" s="133"/>
      <c r="Z672" s="133"/>
    </row>
    <row r="673">
      <c r="A673" s="133">
        <f>IFERROR(__xludf.DUMMYFUNCTION("""COMPUTED_VALUE"""),672.0)</f>
        <v>672</v>
      </c>
      <c r="B673" s="133" t="str">
        <f>IFERROR(__xludf.DUMMYFUNCTION("""COMPUTED_VALUE"""),"422172")</f>
        <v>422172</v>
      </c>
      <c r="C673" s="133" t="str">
        <f>IFERROR(__xludf.DUMMYFUNCTION("""COMPUTED_VALUE"""),"P-1-N-230521-2789")</f>
        <v>P-1-N-230521-2789</v>
      </c>
      <c r="D673" s="133"/>
      <c r="E673" s="133" t="str">
        <f>IFERROR(__xludf.DUMMYFUNCTION("""COMPUTED_VALUE"""),"تمت طباعة الشهادة")</f>
        <v>تمت طباعة الشهادة</v>
      </c>
      <c r="F673" s="133" t="str">
        <f>IFERROR(__xludf.DUMMYFUNCTION("""COMPUTED_VALUE"""),"Nutribird A19 3kg")</f>
        <v>Nutribird A19 3kg</v>
      </c>
      <c r="G673" s="133" t="str">
        <f>IFERROR(__xludf.DUMMYFUNCTION("""COMPUTED_VALUE"""),"نيوتريبيرد اي19 3 كجم")</f>
        <v>نيوتريبيرد اي19 3 كجم</v>
      </c>
      <c r="H673" s="133" t="str">
        <f>IFERROR(__xludf.DUMMYFUNCTION("""COMPUTED_VALUE"""),"MAFE20211754")</f>
        <v>MAFE20211754</v>
      </c>
      <c r="I673" s="133"/>
      <c r="J673" s="133"/>
      <c r="K673" s="133" t="str">
        <f>IFERROR(__xludf.DUMMYFUNCTION("""COMPUTED_VALUE"""),"فيرسل لاقا ان في")</f>
        <v>فيرسل لاقا ان في</v>
      </c>
      <c r="L673" s="142" t="str">
        <f>IFERROR(__xludf.DUMMYFUNCTION("""COMPUTED_VALUE"""),"422172")</f>
        <v>422172</v>
      </c>
      <c r="M673" s="133"/>
      <c r="N673" s="133"/>
      <c r="O673" s="133"/>
      <c r="P673" s="133"/>
      <c r="Q673" s="133"/>
      <c r="R673" s="133"/>
      <c r="S673" s="133"/>
      <c r="T673" s="133"/>
      <c r="U673" s="133"/>
      <c r="V673" s="133"/>
      <c r="W673" s="133"/>
      <c r="X673" s="133"/>
      <c r="Y673" s="133"/>
      <c r="Z673" s="133"/>
    </row>
    <row r="674">
      <c r="A674" s="133">
        <f>IFERROR(__xludf.DUMMYFUNCTION("""COMPUTED_VALUE"""),673.0)</f>
        <v>673</v>
      </c>
      <c r="B674" s="133" t="str">
        <f>IFERROR(__xludf.DUMMYFUNCTION("""COMPUTED_VALUE"""),"422082")</f>
        <v>422082</v>
      </c>
      <c r="C674" s="133" t="str">
        <f>IFERROR(__xludf.DUMMYFUNCTION("""COMPUTED_VALUE"""),"P-1-N-230521-2790")</f>
        <v>P-1-N-230521-2790</v>
      </c>
      <c r="D674" s="133"/>
      <c r="E674" s="133" t="str">
        <f>IFERROR(__xludf.DUMMYFUNCTION("""COMPUTED_VALUE"""),"تمت طباعة الشهادة")</f>
        <v>تمت طباعة الشهادة</v>
      </c>
      <c r="F674" s="133" t="str">
        <f>IFERROR(__xludf.DUMMYFUNCTION("""COMPUTED_VALUE"""),"Nutribird A19 H.E. 3kg")</f>
        <v>Nutribird A19 H.E. 3kg</v>
      </c>
      <c r="G674" s="133" t="str">
        <f>IFERROR(__xludf.DUMMYFUNCTION("""COMPUTED_VALUE"""),"نيوتريبيرد اي19 اتش. إي. 3 كجم")</f>
        <v>نيوتريبيرد اي19 اتش. إي. 3 كجم</v>
      </c>
      <c r="H674" s="133" t="str">
        <f>IFERROR(__xludf.DUMMYFUNCTION("""COMPUTED_VALUE"""),"MAFE20211753")</f>
        <v>MAFE20211753</v>
      </c>
      <c r="I674" s="133"/>
      <c r="J674" s="133"/>
      <c r="K674" s="133" t="str">
        <f>IFERROR(__xludf.DUMMYFUNCTION("""COMPUTED_VALUE"""),"فيرسل لاقا ان في")</f>
        <v>فيرسل لاقا ان في</v>
      </c>
      <c r="L674" s="142" t="str">
        <f>IFERROR(__xludf.DUMMYFUNCTION("""COMPUTED_VALUE"""),"422082")</f>
        <v>422082</v>
      </c>
      <c r="M674" s="133"/>
      <c r="N674" s="133"/>
      <c r="O674" s="133"/>
      <c r="P674" s="133"/>
      <c r="Q674" s="133"/>
      <c r="R674" s="133"/>
      <c r="S674" s="133"/>
      <c r="T674" s="133"/>
      <c r="U674" s="133"/>
      <c r="V674" s="133"/>
      <c r="W674" s="133"/>
      <c r="X674" s="133"/>
      <c r="Y674" s="133"/>
      <c r="Z674" s="133"/>
    </row>
    <row r="675">
      <c r="A675" s="133">
        <f>IFERROR(__xludf.DUMMYFUNCTION("""COMPUTED_VALUE"""),674.0)</f>
        <v>674</v>
      </c>
      <c r="B675" s="133" t="str">
        <f>IFERROR(__xludf.DUMMYFUNCTION("""COMPUTED_VALUE"""),"422015")</f>
        <v>422015</v>
      </c>
      <c r="C675" s="133" t="str">
        <f>IFERROR(__xludf.DUMMYFUNCTION("""COMPUTED_VALUE"""),"P-1-N-230521-2791")</f>
        <v>P-1-N-230521-2791</v>
      </c>
      <c r="D675" s="133"/>
      <c r="E675" s="133" t="str">
        <f>IFERROR(__xludf.DUMMYFUNCTION("""COMPUTED_VALUE"""),"تمت طباعة الشهادة")</f>
        <v>تمت طباعة الشهادة</v>
      </c>
      <c r="F675" s="133" t="str">
        <f>IFERROR(__xludf.DUMMYFUNCTION("""COMPUTED_VALUE"""),"Nutribird A21 3kg")</f>
        <v>Nutribird A21 3kg</v>
      </c>
      <c r="G675" s="133" t="str">
        <f>IFERROR(__xludf.DUMMYFUNCTION("""COMPUTED_VALUE"""),"نيوتريبيرد اي21 3 كجم")</f>
        <v>نيوتريبيرد اي21 3 كجم</v>
      </c>
      <c r="H675" s="133" t="str">
        <f>IFERROR(__xludf.DUMMYFUNCTION("""COMPUTED_VALUE"""),"MAFE20211752")</f>
        <v>MAFE20211752</v>
      </c>
      <c r="I675" s="133"/>
      <c r="J675" s="133"/>
      <c r="K675" s="133" t="str">
        <f>IFERROR(__xludf.DUMMYFUNCTION("""COMPUTED_VALUE"""),"نيوتريبيرد اي21 3 كجم")</f>
        <v>نيوتريبيرد اي21 3 كجم</v>
      </c>
      <c r="L675" s="142" t="str">
        <f>IFERROR(__xludf.DUMMYFUNCTION("""COMPUTED_VALUE"""),"422015")</f>
        <v>422015</v>
      </c>
      <c r="M675" s="133"/>
      <c r="N675" s="133"/>
      <c r="O675" s="133"/>
      <c r="P675" s="133"/>
      <c r="Q675" s="133"/>
      <c r="R675" s="133"/>
      <c r="S675" s="133"/>
      <c r="T675" s="133"/>
      <c r="U675" s="133"/>
      <c r="V675" s="133"/>
      <c r="W675" s="133"/>
      <c r="X675" s="133"/>
      <c r="Y675" s="133"/>
      <c r="Z675" s="133"/>
    </row>
    <row r="676">
      <c r="A676" s="133">
        <f>IFERROR(__xludf.DUMMYFUNCTION("""COMPUTED_VALUE"""),675.0)</f>
        <v>675</v>
      </c>
      <c r="B676" s="133" t="str">
        <f>IFERROR(__xludf.DUMMYFUNCTION("""COMPUTED_VALUE"""),"424185")</f>
        <v>424185</v>
      </c>
      <c r="C676" s="133" t="str">
        <f>IFERROR(__xludf.DUMMYFUNCTION("""COMPUTED_VALUE"""),"P-1-N-230521-2804")</f>
        <v>P-1-N-230521-2804</v>
      </c>
      <c r="D676" s="133"/>
      <c r="E676" s="133" t="str">
        <f>IFERROR(__xludf.DUMMYFUNCTION("""COMPUTED_VALUE"""),"تمت طباعة الشهادة")</f>
        <v>تمت طباعة الشهادة</v>
      </c>
      <c r="F676" s="133" t="str">
        <f>IFERROR(__xludf.DUMMYFUNCTION("""COMPUTED_VALUE"""),"Mountain Hay Mint 500g")</f>
        <v>Mountain Hay Mint 500g</v>
      </c>
      <c r="G676" s="133" t="str">
        <f>IFERROR(__xludf.DUMMYFUNCTION("""COMPUTED_VALUE"""),"تبن جبلي بالنعناع 500 جم")</f>
        <v>تبن جبلي بالنعناع 500 جم</v>
      </c>
      <c r="H676" s="133" t="str">
        <f>IFERROR(__xludf.DUMMYFUNCTION("""COMPUTED_VALUE"""),"MAFE20211696")</f>
        <v>MAFE20211696</v>
      </c>
      <c r="I676" s="133"/>
      <c r="J676" s="133"/>
      <c r="K676" s="133" t="str">
        <f>IFERROR(__xludf.DUMMYFUNCTION("""COMPUTED_VALUE"""),"فيرسل لاقا ان في")</f>
        <v>فيرسل لاقا ان في</v>
      </c>
      <c r="L676" s="142" t="str">
        <f>IFERROR(__xludf.DUMMYFUNCTION("""COMPUTED_VALUE"""),"424185")</f>
        <v>424185</v>
      </c>
      <c r="M676" s="133"/>
      <c r="N676" s="133"/>
      <c r="O676" s="133"/>
      <c r="P676" s="133"/>
      <c r="Q676" s="133"/>
      <c r="R676" s="133"/>
      <c r="S676" s="133"/>
      <c r="T676" s="133"/>
      <c r="U676" s="133"/>
      <c r="V676" s="133"/>
      <c r="W676" s="133"/>
      <c r="X676" s="133"/>
      <c r="Y676" s="133"/>
      <c r="Z676" s="133"/>
    </row>
    <row r="677">
      <c r="A677" s="133">
        <f>IFERROR(__xludf.DUMMYFUNCTION("""COMPUTED_VALUE"""),676.0)</f>
        <v>676</v>
      </c>
      <c r="B677" s="133" t="str">
        <f>IFERROR(__xludf.DUMMYFUNCTION("""COMPUTED_VALUE"""),"422255")</f>
        <v>422255</v>
      </c>
      <c r="C677" s="133" t="str">
        <f>IFERROR(__xludf.DUMMYFUNCTION("""COMPUTED_VALUE"""),"P-1-N-230521-2815")</f>
        <v>P-1-N-230521-2815</v>
      </c>
      <c r="D677" s="133"/>
      <c r="E677" s="133" t="str">
        <f>IFERROR(__xludf.DUMMYFUNCTION("""COMPUTED_VALUE"""),"تمت طباعة الشهادة")</f>
        <v>تمت طباعة الشهادة</v>
      </c>
      <c r="F677" s="133" t="str">
        <f>IFERROR(__xludf.DUMMYFUNCTION("""COMPUTED_VALUE"""),"Prestige Snack Canaries 125g")</f>
        <v>Prestige Snack Canaries 125g</v>
      </c>
      <c r="G677" s="133" t="str">
        <f>IFERROR(__xludf.DUMMYFUNCTION("""COMPUTED_VALUE"""),"بريستيج سناك للكناري 125 جم")</f>
        <v>بريستيج سناك للكناري 125 جم</v>
      </c>
      <c r="H677" s="133" t="str">
        <f>IFERROR(__xludf.DUMMYFUNCTION("""COMPUTED_VALUE"""),"MAFE20211694")</f>
        <v>MAFE20211694</v>
      </c>
      <c r="I677" s="133"/>
      <c r="J677" s="133"/>
      <c r="K677" s="133" t="str">
        <f>IFERROR(__xludf.DUMMYFUNCTION("""COMPUTED_VALUE"""),"Agency")</f>
        <v>Agency</v>
      </c>
      <c r="L677" s="142" t="str">
        <f>IFERROR(__xludf.DUMMYFUNCTION("""COMPUTED_VALUE"""),"422255")</f>
        <v>422255</v>
      </c>
      <c r="M677" s="133"/>
      <c r="N677" s="133"/>
      <c r="O677" s="133"/>
      <c r="P677" s="133"/>
      <c r="Q677" s="133"/>
      <c r="R677" s="133"/>
      <c r="S677" s="133"/>
      <c r="T677" s="133"/>
      <c r="U677" s="133"/>
      <c r="V677" s="133"/>
      <c r="W677" s="133"/>
      <c r="X677" s="133"/>
      <c r="Y677" s="133"/>
      <c r="Z677" s="133"/>
    </row>
    <row r="678">
      <c r="A678" s="133">
        <f>IFERROR(__xludf.DUMMYFUNCTION("""COMPUTED_VALUE"""),677.0)</f>
        <v>677</v>
      </c>
      <c r="B678" s="133" t="str">
        <f>IFERROR(__xludf.DUMMYFUNCTION("""COMPUTED_VALUE"""),"422258")</f>
        <v>422258</v>
      </c>
      <c r="C678" s="133" t="str">
        <f>IFERROR(__xludf.DUMMYFUNCTION("""COMPUTED_VALUE"""),"P-1-N-230521-2816")</f>
        <v>P-1-N-230521-2816</v>
      </c>
      <c r="D678" s="133"/>
      <c r="E678" s="133" t="str">
        <f>IFERROR(__xludf.DUMMYFUNCTION("""COMPUTED_VALUE"""),"تمت طباعة الشهادة")</f>
        <v>تمت طباعة الشهادة</v>
      </c>
      <c r="F678" s="133" t="str">
        <f>IFERROR(__xludf.DUMMYFUNCTION("""COMPUTED_VALUE"""),"Prestige Snack Budgies 125g")</f>
        <v>Prestige Snack Budgies 125g</v>
      </c>
      <c r="G678" s="133" t="str">
        <f>IFERROR(__xludf.DUMMYFUNCTION("""COMPUTED_VALUE"""),"بريستيج سناك للبادجي 125 جم")</f>
        <v>بريستيج سناك للبادجي 125 جم</v>
      </c>
      <c r="H678" s="133" t="str">
        <f>IFERROR(__xludf.DUMMYFUNCTION("""COMPUTED_VALUE"""),"MAFE20211686")</f>
        <v>MAFE20211686</v>
      </c>
      <c r="I678" s="133"/>
      <c r="J678" s="133"/>
      <c r="K678" s="133" t="str">
        <f>IFERROR(__xludf.DUMMYFUNCTION("""COMPUTED_VALUE"""),"فيرسل لاقا ان في")</f>
        <v>فيرسل لاقا ان في</v>
      </c>
      <c r="L678" s="142" t="str">
        <f>IFERROR(__xludf.DUMMYFUNCTION("""COMPUTED_VALUE"""),"422258")</f>
        <v>422258</v>
      </c>
      <c r="M678" s="133"/>
      <c r="N678" s="133"/>
      <c r="O678" s="133"/>
      <c r="P678" s="133"/>
      <c r="Q678" s="133"/>
      <c r="R678" s="133"/>
      <c r="S678" s="133"/>
      <c r="T678" s="133"/>
      <c r="U678" s="133"/>
      <c r="V678" s="133"/>
      <c r="W678" s="133"/>
      <c r="X678" s="133"/>
      <c r="Y678" s="133"/>
      <c r="Z678" s="133"/>
    </row>
    <row r="679">
      <c r="A679" s="133">
        <f>IFERROR(__xludf.DUMMYFUNCTION("""COMPUTED_VALUE"""),678.0)</f>
        <v>678</v>
      </c>
      <c r="B679" s="133" t="str">
        <f>IFERROR(__xludf.DUMMYFUNCTION("""COMPUTED_VALUE"""),"422257")</f>
        <v>422257</v>
      </c>
      <c r="C679" s="133" t="str">
        <f>IFERROR(__xludf.DUMMYFUNCTION("""COMPUTED_VALUE"""),"P-1-N-230521-2817")</f>
        <v>P-1-N-230521-2817</v>
      </c>
      <c r="D679" s="133"/>
      <c r="E679" s="133" t="str">
        <f>IFERROR(__xludf.DUMMYFUNCTION("""COMPUTED_VALUE"""),"تمت طباعة الشهادة")</f>
        <v>تمت طباعة الشهادة</v>
      </c>
      <c r="F679" s="133" t="str">
        <f>IFERROR(__xludf.DUMMYFUNCTION("""COMPUTED_VALUE"""),"Prestige Snack Finches 125g")</f>
        <v>Prestige Snack Finches 125g</v>
      </c>
      <c r="G679" s="133" t="str">
        <f>IFERROR(__xludf.DUMMYFUNCTION("""COMPUTED_VALUE"""),"بريستيج سناك للفينش 125 جم")</f>
        <v>بريستيج سناك للفينش 125 جم</v>
      </c>
      <c r="H679" s="133" t="str">
        <f>IFERROR(__xludf.DUMMYFUNCTION("""COMPUTED_VALUE"""),"MAFE20211685")</f>
        <v>MAFE20211685</v>
      </c>
      <c r="I679" s="133"/>
      <c r="J679" s="133"/>
      <c r="K679" s="133" t="str">
        <f>IFERROR(__xludf.DUMMYFUNCTION("""COMPUTED_VALUE"""),"فيرسل لاقا ان في")</f>
        <v>فيرسل لاقا ان في</v>
      </c>
      <c r="L679" s="142" t="str">
        <f>IFERROR(__xludf.DUMMYFUNCTION("""COMPUTED_VALUE"""),"422257")</f>
        <v>422257</v>
      </c>
      <c r="M679" s="133"/>
      <c r="N679" s="133"/>
      <c r="O679" s="133"/>
      <c r="P679" s="133"/>
      <c r="Q679" s="133"/>
      <c r="R679" s="133"/>
      <c r="S679" s="133"/>
      <c r="T679" s="133"/>
      <c r="U679" s="133"/>
      <c r="V679" s="133"/>
      <c r="W679" s="133"/>
      <c r="X679" s="133"/>
      <c r="Y679" s="133"/>
      <c r="Z679" s="133"/>
    </row>
    <row r="680">
      <c r="A680" s="133">
        <f>IFERROR(__xludf.DUMMYFUNCTION("""COMPUTED_VALUE"""),679.0)</f>
        <v>679</v>
      </c>
      <c r="B680" s="133" t="str">
        <f>IFERROR(__xludf.DUMMYFUNCTION("""COMPUTED_VALUE"""),"422256")</f>
        <v>422256</v>
      </c>
      <c r="C680" s="133" t="str">
        <f>IFERROR(__xludf.DUMMYFUNCTION("""COMPUTED_VALUE"""),"P-1-N-230521-2818")</f>
        <v>P-1-N-230521-2818</v>
      </c>
      <c r="D680" s="133"/>
      <c r="E680" s="133" t="str">
        <f>IFERROR(__xludf.DUMMYFUNCTION("""COMPUTED_VALUE"""),"تمت طباعة الشهادة")</f>
        <v>تمت طباعة الشهادة</v>
      </c>
      <c r="F680" s="133" t="str">
        <f>IFERROR(__xludf.DUMMYFUNCTION("""COMPUTED_VALUE"""),"Prestige Snack Wild Seed 125g")</f>
        <v>Prestige Snack Wild Seed 125g</v>
      </c>
      <c r="G680" s="133" t="str">
        <f>IFERROR(__xludf.DUMMYFUNCTION("""COMPUTED_VALUE"""),"بريستيج سناك بالبذور البرية 125 جم")</f>
        <v>بريستيج سناك بالبذور البرية 125 جم</v>
      </c>
      <c r="H680" s="133" t="str">
        <f>IFERROR(__xludf.DUMMYFUNCTION("""COMPUTED_VALUE"""),"MAFE20211684")</f>
        <v>MAFE20211684</v>
      </c>
      <c r="I680" s="133"/>
      <c r="J680" s="133"/>
      <c r="K680" s="133" t="str">
        <f>IFERROR(__xludf.DUMMYFUNCTION("""COMPUTED_VALUE"""),"فيرسل لاقا ان في")</f>
        <v>فيرسل لاقا ان في</v>
      </c>
      <c r="L680" s="142" t="str">
        <f>IFERROR(__xludf.DUMMYFUNCTION("""COMPUTED_VALUE"""),"422256")</f>
        <v>422256</v>
      </c>
      <c r="M680" s="133"/>
      <c r="N680" s="133"/>
      <c r="O680" s="133"/>
      <c r="P680" s="133"/>
      <c r="Q680" s="133"/>
      <c r="R680" s="133"/>
      <c r="S680" s="133"/>
      <c r="T680" s="133"/>
      <c r="U680" s="133"/>
      <c r="V680" s="133"/>
      <c r="W680" s="133"/>
      <c r="X680" s="133"/>
      <c r="Y680" s="133"/>
      <c r="Z680" s="133"/>
    </row>
    <row r="681">
      <c r="A681" s="133">
        <f>IFERROR(__xludf.DUMMYFUNCTION("""COMPUTED_VALUE"""),680.0)</f>
        <v>680</v>
      </c>
      <c r="B681" s="133" t="str">
        <f>IFERROR(__xludf.DUMMYFUNCTION("""COMPUTED_VALUE"""),"422311")</f>
        <v>422311</v>
      </c>
      <c r="C681" s="133" t="str">
        <f>IFERROR(__xludf.DUMMYFUNCTION("""COMPUTED_VALUE"""),"P-1-N-230521-2820")</f>
        <v>P-1-N-230521-2820</v>
      </c>
      <c r="D681" s="133"/>
      <c r="E681" s="133" t="str">
        <f>IFERROR(__xludf.DUMMYFUNCTION("""COMPUTED_VALUE"""),"تمت طباعة الشهادة")</f>
        <v>تمت طباعة الشهادة</v>
      </c>
      <c r="F681" s="133" t="str">
        <f>IFERROR(__xludf.DUMMYFUNCTION("""COMPUTED_VALUE"""),"Sticks Finches Exotic Fruit 60g")</f>
        <v>Sticks Finches Exotic Fruit 60g</v>
      </c>
      <c r="G681" s="133" t="str">
        <f>IFERROR(__xludf.DUMMYFUNCTION("""COMPUTED_VALUE"""),"ستكس للفينش بالفاكهة الاستوائية 60 جم")</f>
        <v>ستكس للفينش بالفاكهة الاستوائية 60 جم</v>
      </c>
      <c r="H681" s="133" t="str">
        <f>IFERROR(__xludf.DUMMYFUNCTION("""COMPUTED_VALUE"""),"MAFE20211683")</f>
        <v>MAFE20211683</v>
      </c>
      <c r="I681" s="133"/>
      <c r="J681" s="133"/>
      <c r="K681" s="133" t="str">
        <f>IFERROR(__xludf.DUMMYFUNCTION("""COMPUTED_VALUE"""),"فيرسل لاقا ان في")</f>
        <v>فيرسل لاقا ان في</v>
      </c>
      <c r="L681" s="142" t="str">
        <f>IFERROR(__xludf.DUMMYFUNCTION("""COMPUTED_VALUE"""),"422311")</f>
        <v>422311</v>
      </c>
      <c r="M681" s="133"/>
      <c r="N681" s="133"/>
      <c r="O681" s="133"/>
      <c r="P681" s="133"/>
      <c r="Q681" s="133"/>
      <c r="R681" s="133"/>
      <c r="S681" s="133"/>
      <c r="T681" s="133"/>
      <c r="U681" s="133"/>
      <c r="V681" s="133"/>
      <c r="W681" s="133"/>
      <c r="X681" s="133"/>
      <c r="Y681" s="133"/>
      <c r="Z681" s="133"/>
    </row>
    <row r="682">
      <c r="A682" s="133">
        <f>IFERROR(__xludf.DUMMYFUNCTION("""COMPUTED_VALUE"""),681.0)</f>
        <v>681</v>
      </c>
      <c r="B682" s="133" t="str">
        <f>IFERROR(__xludf.DUMMYFUNCTION("""COMPUTED_VALUE"""),"424180")</f>
        <v>424180</v>
      </c>
      <c r="C682" s="133" t="str">
        <f>IFERROR(__xludf.DUMMYFUNCTION("""COMPUTED_VALUE"""),"P-1-N-230521-2822")</f>
        <v>P-1-N-230521-2822</v>
      </c>
      <c r="D682" s="133"/>
      <c r="E682" s="133" t="str">
        <f>IFERROR(__xludf.DUMMYFUNCTION("""COMPUTED_VALUE"""),"تمت طباعة الشهادة")</f>
        <v>تمت طباعة الشهادة</v>
      </c>
      <c r="F682" s="133" t="str">
        <f>IFERROR(__xludf.DUMMYFUNCTION("""COMPUTED_VALUE"""),"Mountain Hay Herbs 500g")</f>
        <v>Mountain Hay Herbs 500g</v>
      </c>
      <c r="G682" s="133" t="str">
        <f>IFERROR(__xludf.DUMMYFUNCTION("""COMPUTED_VALUE"""),"تبن جبلي بالأعشاب 500 جم")</f>
        <v>تبن جبلي بالأعشاب 500 جم</v>
      </c>
      <c r="H682" s="133" t="str">
        <f>IFERROR(__xludf.DUMMYFUNCTION("""COMPUTED_VALUE"""),"MAFE20211682")</f>
        <v>MAFE20211682</v>
      </c>
      <c r="I682" s="133"/>
      <c r="J682" s="133"/>
      <c r="K682" s="133" t="str">
        <f>IFERROR(__xludf.DUMMYFUNCTION("""COMPUTED_VALUE"""),"فيرسل لاقا ان في")</f>
        <v>فيرسل لاقا ان في</v>
      </c>
      <c r="L682" s="142" t="str">
        <f>IFERROR(__xludf.DUMMYFUNCTION("""COMPUTED_VALUE"""),"424180")</f>
        <v>424180</v>
      </c>
      <c r="M682" s="133"/>
      <c r="N682" s="133"/>
      <c r="O682" s="133"/>
      <c r="P682" s="133"/>
      <c r="Q682" s="133"/>
      <c r="R682" s="133"/>
      <c r="S682" s="133"/>
      <c r="T682" s="133"/>
      <c r="U682" s="133"/>
      <c r="V682" s="133"/>
      <c r="W682" s="133"/>
      <c r="X682" s="133"/>
      <c r="Y682" s="133"/>
      <c r="Z682" s="133"/>
    </row>
    <row r="683">
      <c r="A683" s="133">
        <f>IFERROR(__xludf.DUMMYFUNCTION("""COMPUTED_VALUE"""),682.0)</f>
        <v>682</v>
      </c>
      <c r="B683" s="133" t="str">
        <f>IFERROR(__xludf.DUMMYFUNCTION("""COMPUTED_VALUE"""),"424181")</f>
        <v>424181</v>
      </c>
      <c r="C683" s="133" t="str">
        <f>IFERROR(__xludf.DUMMYFUNCTION("""COMPUTED_VALUE"""),"P-1-N-230521-2823")</f>
        <v>P-1-N-230521-2823</v>
      </c>
      <c r="D683" s="133"/>
      <c r="E683" s="133" t="str">
        <f>IFERROR(__xludf.DUMMYFUNCTION("""COMPUTED_VALUE"""),"تمت طباعة الشهادة")</f>
        <v>تمت طباعة الشهادة</v>
      </c>
      <c r="F683" s="133" t="str">
        <f>IFERROR(__xludf.DUMMYFUNCTION("""COMPUTED_VALUE"""),"Mountain Hay Dandelion 500g")</f>
        <v>Mountain Hay Dandelion 500g</v>
      </c>
      <c r="G683" s="133" t="str">
        <f>IFERROR(__xludf.DUMMYFUNCTION("""COMPUTED_VALUE"""),"تبن جبلي بالهندباء 500 جم")</f>
        <v>تبن جبلي بالهندباء 500 جم</v>
      </c>
      <c r="H683" s="133" t="str">
        <f>IFERROR(__xludf.DUMMYFUNCTION("""COMPUTED_VALUE"""),"MAFE20211681")</f>
        <v>MAFE20211681</v>
      </c>
      <c r="I683" s="133"/>
      <c r="J683" s="133"/>
      <c r="K683" s="133" t="str">
        <f>IFERROR(__xludf.DUMMYFUNCTION("""COMPUTED_VALUE"""),"فيرسل لاقا ان في")</f>
        <v>فيرسل لاقا ان في</v>
      </c>
      <c r="L683" s="142" t="str">
        <f>IFERROR(__xludf.DUMMYFUNCTION("""COMPUTED_VALUE"""),"424181")</f>
        <v>424181</v>
      </c>
      <c r="M683" s="133"/>
      <c r="N683" s="133"/>
      <c r="O683" s="133"/>
      <c r="P683" s="133"/>
      <c r="Q683" s="133"/>
      <c r="R683" s="133"/>
      <c r="S683" s="133"/>
      <c r="T683" s="133"/>
      <c r="U683" s="133"/>
      <c r="V683" s="133"/>
      <c r="W683" s="133"/>
      <c r="X683" s="133"/>
      <c r="Y683" s="133"/>
      <c r="Z683" s="133"/>
    </row>
    <row r="684">
      <c r="A684" s="133">
        <f>IFERROR(__xludf.DUMMYFUNCTION("""COMPUTED_VALUE"""),683.0)</f>
        <v>683</v>
      </c>
      <c r="B684" s="133" t="str">
        <f>IFERROR(__xludf.DUMMYFUNCTION("""COMPUTED_VALUE"""),"424182")</f>
        <v>424182</v>
      </c>
      <c r="C684" s="133" t="str">
        <f>IFERROR(__xludf.DUMMYFUNCTION("""COMPUTED_VALUE"""),"P-1-N-230521-2824")</f>
        <v>P-1-N-230521-2824</v>
      </c>
      <c r="D684" s="133"/>
      <c r="E684" s="133" t="str">
        <f>IFERROR(__xludf.DUMMYFUNCTION("""COMPUTED_VALUE"""),"تمت طباعة الشهادة")</f>
        <v>تمت طباعة الشهادة</v>
      </c>
      <c r="F684" s="133" t="str">
        <f>IFERROR(__xludf.DUMMYFUNCTION("""COMPUTED_VALUE"""),"Mountain Hay Camomille 500g")</f>
        <v>Mountain Hay Camomille 500g</v>
      </c>
      <c r="G684" s="133" t="str">
        <f>IFERROR(__xludf.DUMMYFUNCTION("""COMPUTED_VALUE"""),"تبن جبلي بالبابونج 500 جم")</f>
        <v>تبن جبلي بالبابونج 500 جم</v>
      </c>
      <c r="H684" s="133" t="str">
        <f>IFERROR(__xludf.DUMMYFUNCTION("""COMPUTED_VALUE"""),"MAFE20211751")</f>
        <v>MAFE20211751</v>
      </c>
      <c r="I684" s="133"/>
      <c r="J684" s="133"/>
      <c r="K684" s="133" t="str">
        <f>IFERROR(__xludf.DUMMYFUNCTION("""COMPUTED_VALUE"""),"فيرسل لاقا ان في")</f>
        <v>فيرسل لاقا ان في</v>
      </c>
      <c r="L684" s="142" t="str">
        <f>IFERROR(__xludf.DUMMYFUNCTION("""COMPUTED_VALUE"""),"424182")</f>
        <v>424182</v>
      </c>
      <c r="M684" s="133"/>
      <c r="N684" s="133"/>
      <c r="O684" s="133"/>
      <c r="P684" s="133"/>
      <c r="Q684" s="133"/>
      <c r="R684" s="133"/>
      <c r="S684" s="133"/>
      <c r="T684" s="133"/>
      <c r="U684" s="133"/>
      <c r="V684" s="133"/>
      <c r="W684" s="133"/>
      <c r="X684" s="133"/>
      <c r="Y684" s="133"/>
      <c r="Z684" s="133"/>
    </row>
    <row r="685">
      <c r="A685" s="133">
        <f>IFERROR(__xludf.DUMMYFUNCTION("""COMPUTED_VALUE"""),684.0)</f>
        <v>684</v>
      </c>
      <c r="B685" s="133" t="str">
        <f>IFERROR(__xludf.DUMMYFUNCTION("""COMPUTED_VALUE"""),"451343")</f>
        <v>451343</v>
      </c>
      <c r="C685" s="133" t="str">
        <f>IFERROR(__xludf.DUMMYFUNCTION("""COMPUTED_VALUE"""),"P-1-N-230521-2827")</f>
        <v>P-1-N-230521-2827</v>
      </c>
      <c r="D685" s="133"/>
      <c r="E685" s="133" t="str">
        <f>IFERROR(__xludf.DUMMYFUNCTION("""COMPUTED_VALUE"""),"REJECTED")</f>
        <v>REJECTED</v>
      </c>
      <c r="F685" s="133" t="str">
        <f>IFERROR(__xludf.DUMMYFUNCTION("""COMPUTED_VALUE"""),"Prestige Millet Gold 100g")</f>
        <v>Prestige Millet Gold 100g</v>
      </c>
      <c r="G685" s="133" t="str">
        <f>IFERROR(__xludf.DUMMYFUNCTION("""COMPUTED_VALUE"""),"برستيج دخن ذهبي 100 جم")</f>
        <v>برستيج دخن ذهبي 100 جم</v>
      </c>
      <c r="H685" s="133"/>
      <c r="I685" s="133"/>
      <c r="J685" s="133"/>
      <c r="K685" s="133" t="str">
        <f>IFERROR(__xludf.DUMMYFUNCTION("""COMPUTED_VALUE"""),"برستيج دخن ذهبي 100 جم")</f>
        <v>برستيج دخن ذهبي 100 جم</v>
      </c>
      <c r="L685" s="142" t="str">
        <f>IFERROR(__xludf.DUMMYFUNCTION("""COMPUTED_VALUE"""),"451343")</f>
        <v>451343</v>
      </c>
      <c r="M685" s="133"/>
      <c r="N685" s="133"/>
      <c r="O685" s="133"/>
      <c r="P685" s="133"/>
      <c r="Q685" s="133"/>
      <c r="R685" s="133"/>
      <c r="S685" s="133"/>
      <c r="T685" s="133"/>
      <c r="U685" s="133"/>
      <c r="V685" s="133"/>
      <c r="W685" s="133"/>
      <c r="X685" s="133"/>
      <c r="Y685" s="133"/>
      <c r="Z685" s="133"/>
    </row>
    <row r="686">
      <c r="A686" s="133">
        <f>IFERROR(__xludf.DUMMYFUNCTION("""COMPUTED_VALUE"""),685.0)</f>
        <v>685</v>
      </c>
      <c r="B686" s="133" t="str">
        <f>IFERROR(__xludf.DUMMYFUNCTION("""COMPUTED_VALUE"""),"451330")</f>
        <v>451330</v>
      </c>
      <c r="C686" s="133" t="str">
        <f>IFERROR(__xludf.DUMMYFUNCTION("""COMPUTED_VALUE"""),"P-1-N-230521-2828")</f>
        <v>P-1-N-230521-2828</v>
      </c>
      <c r="D686" s="133"/>
      <c r="E686" s="133" t="str">
        <f>IFERROR(__xludf.DUMMYFUNCTION("""COMPUTED_VALUE"""),"REJECTED")</f>
        <v>REJECTED</v>
      </c>
      <c r="F686" s="133" t="str">
        <f>IFERROR(__xludf.DUMMYFUNCTION("""COMPUTED_VALUE"""),"Prestige Millet Gold 300g")</f>
        <v>Prestige Millet Gold 300g</v>
      </c>
      <c r="G686" s="133" t="str">
        <f>IFERROR(__xludf.DUMMYFUNCTION("""COMPUTED_VALUE"""),"برستيج دخن ذهبي 300 جم")</f>
        <v>برستيج دخن ذهبي 300 جم</v>
      </c>
      <c r="H686" s="133"/>
      <c r="I686" s="133"/>
      <c r="J686" s="133"/>
      <c r="K686" s="133" t="str">
        <f>IFERROR(__xludf.DUMMYFUNCTION("""COMPUTED_VALUE"""),"فيرسل لاقا ان في")</f>
        <v>فيرسل لاقا ان في</v>
      </c>
      <c r="L686" s="142" t="str">
        <f>IFERROR(__xludf.DUMMYFUNCTION("""COMPUTED_VALUE"""),"451330")</f>
        <v>451330</v>
      </c>
      <c r="M686" s="133"/>
      <c r="N686" s="133"/>
      <c r="O686" s="133"/>
      <c r="P686" s="133"/>
      <c r="Q686" s="133"/>
      <c r="R686" s="133"/>
      <c r="S686" s="133"/>
      <c r="T686" s="133"/>
      <c r="U686" s="133"/>
      <c r="V686" s="133"/>
      <c r="W686" s="133"/>
      <c r="X686" s="133"/>
      <c r="Y686" s="133"/>
      <c r="Z686" s="133"/>
    </row>
    <row r="687">
      <c r="A687" s="133">
        <f>IFERROR(__xludf.DUMMYFUNCTION("""COMPUTED_VALUE"""),686.0)</f>
        <v>686</v>
      </c>
      <c r="B687" s="133" t="str">
        <f>IFERROR(__xludf.DUMMYFUNCTION("""COMPUTED_VALUE"""),"451321")</f>
        <v>451321</v>
      </c>
      <c r="C687" s="133" t="str">
        <f>IFERROR(__xludf.DUMMYFUNCTION("""COMPUTED_VALUE"""),"P-1-N-230521-2829")</f>
        <v>P-1-N-230521-2829</v>
      </c>
      <c r="D687" s="133"/>
      <c r="E687" s="133" t="str">
        <f>IFERROR(__xludf.DUMMYFUNCTION("""COMPUTED_VALUE"""),"REJECTED")</f>
        <v>REJECTED</v>
      </c>
      <c r="F687" s="133" t="str">
        <f>IFERROR(__xludf.DUMMYFUNCTION("""COMPUTED_VALUE"""),"Prestige Millet Gold 1kg")</f>
        <v>Prestige Millet Gold 1kg</v>
      </c>
      <c r="G687" s="133" t="str">
        <f>IFERROR(__xludf.DUMMYFUNCTION("""COMPUTED_VALUE"""),"برستيج دخن ذهبي 1 كجم")</f>
        <v>برستيج دخن ذهبي 1 كجم</v>
      </c>
      <c r="H687" s="133"/>
      <c r="I687" s="133"/>
      <c r="J687" s="133"/>
      <c r="K687" s="133" t="str">
        <f>IFERROR(__xludf.DUMMYFUNCTION("""COMPUTED_VALUE"""),"Agency")</f>
        <v>Agency</v>
      </c>
      <c r="L687" s="142" t="str">
        <f>IFERROR(__xludf.DUMMYFUNCTION("""COMPUTED_VALUE"""),"451321")</f>
        <v>451321</v>
      </c>
      <c r="M687" s="133"/>
      <c r="N687" s="133"/>
      <c r="O687" s="133"/>
      <c r="P687" s="133"/>
      <c r="Q687" s="133"/>
      <c r="R687" s="133"/>
      <c r="S687" s="133"/>
      <c r="T687" s="133"/>
      <c r="U687" s="133"/>
      <c r="V687" s="133"/>
      <c r="W687" s="133"/>
      <c r="X687" s="133"/>
      <c r="Y687" s="133"/>
      <c r="Z687" s="133"/>
    </row>
    <row r="688">
      <c r="A688" s="133">
        <f>IFERROR(__xludf.DUMMYFUNCTION("""COMPUTED_VALUE"""),687.0)</f>
        <v>687</v>
      </c>
      <c r="B688" s="133" t="str">
        <f>IFERROR(__xludf.DUMMYFUNCTION("""COMPUTED_VALUE"""),"424194")</f>
        <v>424194</v>
      </c>
      <c r="C688" s="133" t="str">
        <f>IFERROR(__xludf.DUMMYFUNCTION("""COMPUTED_VALUE"""),"P-1-N-240521-2834")</f>
        <v>P-1-N-240521-2834</v>
      </c>
      <c r="D688" s="133"/>
      <c r="E688" s="133" t="str">
        <f>IFERROR(__xludf.DUMMYFUNCTION("""COMPUTED_VALUE"""),"تمت طباعة الشهادة")</f>
        <v>تمت طباعة الشهادة</v>
      </c>
      <c r="F688" s="133" t="str">
        <f>IFERROR(__xludf.DUMMYFUNCTION("""COMPUTED_VALUE"""),"Nature Timothy Hay Beetroot &amp; Tomato 500g")</f>
        <v>Nature Timothy Hay Beetroot &amp; Tomato 500g</v>
      </c>
      <c r="G688" s="133" t="str">
        <f>IFERROR(__xludf.DUMMYFUNCTION("""COMPUTED_VALUE"""),"نيتشر تيموثي تبن بالشمندر والطماطم 500 جم")</f>
        <v>نيتشر تيموثي تبن بالشمندر والطماطم 500 جم</v>
      </c>
      <c r="H688" s="133" t="str">
        <f>IFERROR(__xludf.DUMMYFUNCTION("""COMPUTED_VALUE"""),"MAFE20211750")</f>
        <v>MAFE20211750</v>
      </c>
      <c r="I688" s="133"/>
      <c r="J688" s="133"/>
      <c r="K688" s="133" t="str">
        <f>IFERROR(__xludf.DUMMYFUNCTION("""COMPUTED_VALUE"""),"فيرسل لاقا ان في")</f>
        <v>فيرسل لاقا ان في</v>
      </c>
      <c r="L688" s="142" t="str">
        <f>IFERROR(__xludf.DUMMYFUNCTION("""COMPUTED_VALUE"""),"424194")</f>
        <v>424194</v>
      </c>
      <c r="M688" s="133"/>
      <c r="N688" s="133"/>
      <c r="O688" s="133"/>
      <c r="P688" s="133"/>
      <c r="Q688" s="133"/>
      <c r="R688" s="133"/>
      <c r="S688" s="133"/>
      <c r="T688" s="133"/>
      <c r="U688" s="133"/>
      <c r="V688" s="133"/>
      <c r="W688" s="133"/>
      <c r="X688" s="133"/>
      <c r="Y688" s="133"/>
      <c r="Z688" s="133"/>
    </row>
    <row r="689">
      <c r="A689" s="133">
        <f>IFERROR(__xludf.DUMMYFUNCTION("""COMPUTED_VALUE"""),688.0)</f>
        <v>688</v>
      </c>
      <c r="B689" s="133" t="str">
        <f>IFERROR(__xludf.DUMMYFUNCTION("""COMPUTED_VALUE"""),"424192")</f>
        <v>424192</v>
      </c>
      <c r="C689" s="133" t="str">
        <f>IFERROR(__xludf.DUMMYFUNCTION("""COMPUTED_VALUE"""),"P-1-N-240521-2835")</f>
        <v>P-1-N-240521-2835</v>
      </c>
      <c r="D689" s="133"/>
      <c r="E689" s="133" t="str">
        <f>IFERROR(__xludf.DUMMYFUNCTION("""COMPUTED_VALUE"""),"تمت طباعة الشهادة")</f>
        <v>تمت طباعة الشهادة</v>
      </c>
      <c r="F689" s="133" t="str">
        <f>IFERROR(__xludf.DUMMYFUNCTION("""COMPUTED_VALUE"""),"Nature Timothy Hay Bell Pepper &amp; Parsnip 500g")</f>
        <v>Nature Timothy Hay Bell Pepper &amp; Parsnip 500g</v>
      </c>
      <c r="G689" s="133" t="str">
        <f>IFERROR(__xludf.DUMMYFUNCTION("""COMPUTED_VALUE"""),"نيتشر تيموثي تبن بالفلفل الحلو والجزر الأبيض 500 جم")</f>
        <v>نيتشر تيموثي تبن بالفلفل الحلو والجزر الأبيض 500 جم</v>
      </c>
      <c r="H689" s="133" t="str">
        <f>IFERROR(__xludf.DUMMYFUNCTION("""COMPUTED_VALUE"""),"MAFE20211749")</f>
        <v>MAFE20211749</v>
      </c>
      <c r="I689" s="133"/>
      <c r="J689" s="133"/>
      <c r="K689" s="133" t="str">
        <f>IFERROR(__xludf.DUMMYFUNCTION("""COMPUTED_VALUE"""),"فيرسل لاقا ان في")</f>
        <v>فيرسل لاقا ان في</v>
      </c>
      <c r="L689" s="142" t="str">
        <f>IFERROR(__xludf.DUMMYFUNCTION("""COMPUTED_VALUE"""),"424192")</f>
        <v>424192</v>
      </c>
      <c r="M689" s="133"/>
      <c r="N689" s="133"/>
      <c r="O689" s="133"/>
      <c r="P689" s="133"/>
      <c r="Q689" s="133"/>
      <c r="R689" s="133"/>
      <c r="S689" s="133"/>
      <c r="T689" s="133"/>
      <c r="U689" s="133"/>
      <c r="V689" s="133"/>
      <c r="W689" s="133"/>
      <c r="X689" s="133"/>
      <c r="Y689" s="133"/>
      <c r="Z689" s="133"/>
    </row>
    <row r="690">
      <c r="A690" s="133">
        <f>IFERROR(__xludf.DUMMYFUNCTION("""COMPUTED_VALUE"""),689.0)</f>
        <v>689</v>
      </c>
      <c r="B690" s="133" t="str">
        <f>IFERROR(__xludf.DUMMYFUNCTION("""COMPUTED_VALUE"""),"424193")</f>
        <v>424193</v>
      </c>
      <c r="C690" s="133" t="str">
        <f>IFERROR(__xludf.DUMMYFUNCTION("""COMPUTED_VALUE"""),"P-1-N-240521-2836")</f>
        <v>P-1-N-240521-2836</v>
      </c>
      <c r="D690" s="133"/>
      <c r="E690" s="133" t="str">
        <f>IFERROR(__xludf.DUMMYFUNCTION("""COMPUTED_VALUE"""),"تمت طباعة الشهادة")</f>
        <v>تمت طباعة الشهادة</v>
      </c>
      <c r="F690" s="133" t="str">
        <f>IFERROR(__xludf.DUMMYFUNCTION("""COMPUTED_VALUE"""),"Nature Timothy Hay Carrots &amp; Pumpkin 500g")</f>
        <v>Nature Timothy Hay Carrots &amp; Pumpkin 500g</v>
      </c>
      <c r="G690" s="133" t="str">
        <f>IFERROR(__xludf.DUMMYFUNCTION("""COMPUTED_VALUE"""),"نيتشر تيموثي تبن بالجزر واليقطين 500 جم")</f>
        <v>نيتشر تيموثي تبن بالجزر واليقطين 500 جم</v>
      </c>
      <c r="H690" s="133" t="str">
        <f>IFERROR(__xludf.DUMMYFUNCTION("""COMPUTED_VALUE"""),"MAFE20211748")</f>
        <v>MAFE20211748</v>
      </c>
      <c r="I690" s="133"/>
      <c r="J690" s="133"/>
      <c r="K690" s="133" t="str">
        <f>IFERROR(__xludf.DUMMYFUNCTION("""COMPUTED_VALUE"""),"فيرسل لاقا ان في")</f>
        <v>فيرسل لاقا ان في</v>
      </c>
      <c r="L690" s="142" t="str">
        <f>IFERROR(__xludf.DUMMYFUNCTION("""COMPUTED_VALUE"""),"424193")</f>
        <v>424193</v>
      </c>
      <c r="M690" s="133"/>
      <c r="N690" s="133"/>
      <c r="O690" s="133"/>
      <c r="P690" s="133"/>
      <c r="Q690" s="133"/>
      <c r="R690" s="133"/>
      <c r="S690" s="133"/>
      <c r="T690" s="133"/>
      <c r="U690" s="133"/>
      <c r="V690" s="133"/>
      <c r="W690" s="133"/>
      <c r="X690" s="133"/>
      <c r="Y690" s="133"/>
      <c r="Z690" s="133"/>
    </row>
    <row r="691">
      <c r="A691" s="133">
        <f>IFERROR(__xludf.DUMMYFUNCTION("""COMPUTED_VALUE"""),690.0)</f>
        <v>690</v>
      </c>
      <c r="B691" s="133" t="str">
        <f>IFERROR(__xludf.DUMMYFUNCTION("""COMPUTED_VALUE"""),"461699")</f>
        <v>461699</v>
      </c>
      <c r="C691" s="133" t="str">
        <f>IFERROR(__xludf.DUMMYFUNCTION("""COMPUTED_VALUE"""),"P-1-N-240521-2838")</f>
        <v>P-1-N-240521-2838</v>
      </c>
      <c r="D691" s="133"/>
      <c r="E691" s="133" t="str">
        <f>IFERROR(__xludf.DUMMYFUNCTION("""COMPUTED_VALUE"""),"تمت طباعة الشهادة")</f>
        <v>تمت طباعة الشهادة</v>
      </c>
      <c r="F691" s="133" t="str">
        <f>IFERROR(__xludf.DUMMYFUNCTION("""COMPUTED_VALUE"""),"Crispy Muesli Hamsters &amp; Co ")</f>
        <v>Crispy Muesli Hamsters &amp; Co </v>
      </c>
      <c r="G691" s="133" t="str">
        <f>IFERROR(__xludf.DUMMYFUNCTION("""COMPUTED_VALUE"""),"كريسبي موسلي للهامستر 400 جم")</f>
        <v>كريسبي موسلي للهامستر 400 جم</v>
      </c>
      <c r="H691" s="133" t="str">
        <f>IFERROR(__xludf.DUMMYFUNCTION("""COMPUTED_VALUE"""),"MAFE20211734")</f>
        <v>MAFE20211734</v>
      </c>
      <c r="I691" s="133"/>
      <c r="J691" s="133"/>
      <c r="K691" s="133" t="str">
        <f>IFERROR(__xludf.DUMMYFUNCTION("""COMPUTED_VALUE"""),"فيرسل لاقا ان في")</f>
        <v>فيرسل لاقا ان في</v>
      </c>
      <c r="L691" s="142" t="str">
        <f>IFERROR(__xludf.DUMMYFUNCTION("""COMPUTED_VALUE"""),"461699")</f>
        <v>461699</v>
      </c>
      <c r="M691" s="133"/>
      <c r="N691" s="133"/>
      <c r="O691" s="133"/>
      <c r="P691" s="133"/>
      <c r="Q691" s="133"/>
      <c r="R691" s="133"/>
      <c r="S691" s="133"/>
      <c r="T691" s="133"/>
      <c r="U691" s="133"/>
      <c r="V691" s="133"/>
      <c r="W691" s="133"/>
      <c r="X691" s="133"/>
      <c r="Y691" s="133"/>
      <c r="Z691" s="133"/>
    </row>
    <row r="692">
      <c r="A692" s="133">
        <f>IFERROR(__xludf.DUMMYFUNCTION("""COMPUTED_VALUE"""),691.0)</f>
        <v>691</v>
      </c>
      <c r="B692" s="133" t="str">
        <f>IFERROR(__xludf.DUMMYFUNCTION("""COMPUTED_VALUE"""),"461434")</f>
        <v>461434</v>
      </c>
      <c r="C692" s="133" t="str">
        <f>IFERROR(__xludf.DUMMYFUNCTION("""COMPUTED_VALUE"""),"P-1-N-240521-2841")</f>
        <v>P-1-N-240521-2841</v>
      </c>
      <c r="D692" s="133"/>
      <c r="E692" s="133" t="str">
        <f>IFERROR(__xludf.DUMMYFUNCTION("""COMPUTED_VALUE"""),"تمت طباعة الشهادة")</f>
        <v>تمت طباعة الشهادة</v>
      </c>
      <c r="F692" s="133" t="str">
        <f>IFERROR(__xludf.DUMMYFUNCTION("""COMPUTED_VALUE"""),"Nature Snack Berries 85g")</f>
        <v>Nature Snack Berries 85g</v>
      </c>
      <c r="G692" s="133" t="str">
        <f>IFERROR(__xludf.DUMMYFUNCTION("""COMPUTED_VALUE"""),"نيتشر سناك بالتوت 85 جم")</f>
        <v>نيتشر سناك بالتوت 85 جم</v>
      </c>
      <c r="H692" s="133" t="str">
        <f>IFERROR(__xludf.DUMMYFUNCTION("""COMPUTED_VALUE"""),"MAFE20211733")</f>
        <v>MAFE20211733</v>
      </c>
      <c r="I692" s="133"/>
      <c r="J692" s="133"/>
      <c r="K692" s="133" t="str">
        <f>IFERROR(__xludf.DUMMYFUNCTION("""COMPUTED_VALUE"""),"فيرسل لاقا ان في")</f>
        <v>فيرسل لاقا ان في</v>
      </c>
      <c r="L692" s="142" t="str">
        <f>IFERROR(__xludf.DUMMYFUNCTION("""COMPUTED_VALUE"""),"461434")</f>
        <v>461434</v>
      </c>
      <c r="M692" s="133"/>
      <c r="N692" s="133"/>
      <c r="O692" s="133"/>
      <c r="P692" s="133"/>
      <c r="Q692" s="133"/>
      <c r="R692" s="133"/>
      <c r="S692" s="133"/>
      <c r="T692" s="133"/>
      <c r="U692" s="133"/>
      <c r="V692" s="133"/>
      <c r="W692" s="133"/>
      <c r="X692" s="133"/>
      <c r="Y692" s="133"/>
      <c r="Z692" s="133"/>
    </row>
    <row r="693">
      <c r="A693" s="133">
        <f>IFERROR(__xludf.DUMMYFUNCTION("""COMPUTED_VALUE"""),692.0)</f>
        <v>692</v>
      </c>
      <c r="B693" s="133" t="str">
        <f>IFERROR(__xludf.DUMMYFUNCTION("""COMPUTED_VALUE"""),"461435")</f>
        <v>461435</v>
      </c>
      <c r="C693" s="133" t="str">
        <f>IFERROR(__xludf.DUMMYFUNCTION("""COMPUTED_VALUE"""),"P-1-N-240521-2842")</f>
        <v>P-1-N-240521-2842</v>
      </c>
      <c r="D693" s="133"/>
      <c r="E693" s="133" t="str">
        <f>IFERROR(__xludf.DUMMYFUNCTION("""COMPUTED_VALUE"""),"تمت طباعة الشهادة")</f>
        <v>تمت طباعة الشهادة</v>
      </c>
      <c r="F693" s="133" t="str">
        <f>IFERROR(__xludf.DUMMYFUNCTION("""COMPUTED_VALUE"""),"Nature Snack Fruities 85g")</f>
        <v>Nature Snack Fruities 85g</v>
      </c>
      <c r="G693" s="133" t="str">
        <f>IFERROR(__xludf.DUMMYFUNCTION("""COMPUTED_VALUE"""),"نيتشر سناك فروتيز 85 جم")</f>
        <v>نيتشر سناك فروتيز 85 جم</v>
      </c>
      <c r="H693" s="133" t="str">
        <f>IFERROR(__xludf.DUMMYFUNCTION("""COMPUTED_VALUE"""),"MAFE20211732")</f>
        <v>MAFE20211732</v>
      </c>
      <c r="I693" s="133"/>
      <c r="J693" s="133"/>
      <c r="K693" s="133" t="str">
        <f>IFERROR(__xludf.DUMMYFUNCTION("""COMPUTED_VALUE"""),"فيرسل لاقا ان في")</f>
        <v>فيرسل لاقا ان في</v>
      </c>
      <c r="L693" s="142" t="str">
        <f>IFERROR(__xludf.DUMMYFUNCTION("""COMPUTED_VALUE"""),"461435")</f>
        <v>461435</v>
      </c>
      <c r="M693" s="133"/>
      <c r="N693" s="133"/>
      <c r="O693" s="133"/>
      <c r="P693" s="133"/>
      <c r="Q693" s="133"/>
      <c r="R693" s="133"/>
      <c r="S693" s="133"/>
      <c r="T693" s="133"/>
      <c r="U693" s="133"/>
      <c r="V693" s="133"/>
      <c r="W693" s="133"/>
      <c r="X693" s="133"/>
      <c r="Y693" s="133"/>
      <c r="Z693" s="133"/>
    </row>
    <row r="694">
      <c r="A694" s="133">
        <f>IFERROR(__xludf.DUMMYFUNCTION("""COMPUTED_VALUE"""),693.0)</f>
        <v>693</v>
      </c>
      <c r="B694" s="133" t="str">
        <f>IFERROR(__xludf.DUMMYFUNCTION("""COMPUTED_VALUE"""),"461437")</f>
        <v>461437</v>
      </c>
      <c r="C694" s="133" t="str">
        <f>IFERROR(__xludf.DUMMYFUNCTION("""COMPUTED_VALUE"""),"P-1-N-240521-2843")</f>
        <v>P-1-N-240521-2843</v>
      </c>
      <c r="D694" s="133"/>
      <c r="E694" s="133" t="str">
        <f>IFERROR(__xludf.DUMMYFUNCTION("""COMPUTED_VALUE"""),"تمت طباعة الشهادة")</f>
        <v>تمت طباعة الشهادة</v>
      </c>
      <c r="F694" s="133" t="str">
        <f>IFERROR(__xludf.DUMMYFUNCTION("""COMPUTED_VALUE"""),"Nature Snack Proteins 85g")</f>
        <v>Nature Snack Proteins 85g</v>
      </c>
      <c r="G694" s="133" t="str">
        <f>IFERROR(__xludf.DUMMYFUNCTION("""COMPUTED_VALUE"""),"نيتشر سناك بروتين 85 جم")</f>
        <v>نيتشر سناك بروتين 85 جم</v>
      </c>
      <c r="H694" s="133" t="str">
        <f>IFERROR(__xludf.DUMMYFUNCTION("""COMPUTED_VALUE"""),"MAFE20211731")</f>
        <v>MAFE20211731</v>
      </c>
      <c r="I694" s="133"/>
      <c r="J694" s="133"/>
      <c r="K694" s="133" t="str">
        <f>IFERROR(__xludf.DUMMYFUNCTION("""COMPUTED_VALUE"""),"فيرسل لاقا ان في")</f>
        <v>فيرسل لاقا ان في</v>
      </c>
      <c r="L694" s="142" t="str">
        <f>IFERROR(__xludf.DUMMYFUNCTION("""COMPUTED_VALUE"""),"461437")</f>
        <v>461437</v>
      </c>
      <c r="M694" s="133"/>
      <c r="N694" s="133"/>
      <c r="O694" s="133"/>
      <c r="P694" s="133"/>
      <c r="Q694" s="133"/>
      <c r="R694" s="133"/>
      <c r="S694" s="133"/>
      <c r="T694" s="133"/>
      <c r="U694" s="133"/>
      <c r="V694" s="133"/>
      <c r="W694" s="133"/>
      <c r="X694" s="133"/>
      <c r="Y694" s="133"/>
      <c r="Z694" s="133"/>
    </row>
    <row r="695">
      <c r="A695" s="133">
        <f>IFERROR(__xludf.DUMMYFUNCTION("""COMPUTED_VALUE"""),694.0)</f>
        <v>694</v>
      </c>
      <c r="B695" s="133" t="str">
        <f>IFERROR(__xludf.DUMMYFUNCTION("""COMPUTED_VALUE"""),"461433")</f>
        <v>461433</v>
      </c>
      <c r="C695" s="133" t="str">
        <f>IFERROR(__xludf.DUMMYFUNCTION("""COMPUTED_VALUE"""),"P-1-N-240521-2844")</f>
        <v>P-1-N-240521-2844</v>
      </c>
      <c r="D695" s="133"/>
      <c r="E695" s="133" t="str">
        <f>IFERROR(__xludf.DUMMYFUNCTION("""COMPUTED_VALUE"""),"تمت طباعة الشهادة")</f>
        <v>تمت طباعة الشهادة</v>
      </c>
      <c r="F695" s="133" t="str">
        <f>IFERROR(__xludf.DUMMYFUNCTION("""COMPUTED_VALUE"""),"Nature Snack Veggies 85g")</f>
        <v>Nature Snack Veggies 85g</v>
      </c>
      <c r="G695" s="133" t="str">
        <f>IFERROR(__xludf.DUMMYFUNCTION("""COMPUTED_VALUE"""),"نيتشر سناك فيجيز 85 جم")</f>
        <v>نيتشر سناك فيجيز 85 جم</v>
      </c>
      <c r="H695" s="133" t="str">
        <f>IFERROR(__xludf.DUMMYFUNCTION("""COMPUTED_VALUE"""),"MAFE20211730")</f>
        <v>MAFE20211730</v>
      </c>
      <c r="I695" s="133"/>
      <c r="J695" s="133"/>
      <c r="K695" s="133" t="str">
        <f>IFERROR(__xludf.DUMMYFUNCTION("""COMPUTED_VALUE"""),"نيتشر سناك فيجيز 85 جم")</f>
        <v>نيتشر سناك فيجيز 85 جم</v>
      </c>
      <c r="L695" s="142" t="str">
        <f>IFERROR(__xludf.DUMMYFUNCTION("""COMPUTED_VALUE"""),"461433")</f>
        <v>461433</v>
      </c>
      <c r="M695" s="133"/>
      <c r="N695" s="133"/>
      <c r="O695" s="133"/>
      <c r="P695" s="133"/>
      <c r="Q695" s="133"/>
      <c r="R695" s="133"/>
      <c r="S695" s="133"/>
      <c r="T695" s="133"/>
      <c r="U695" s="133"/>
      <c r="V695" s="133"/>
      <c r="W695" s="133"/>
      <c r="X695" s="133"/>
      <c r="Y695" s="133"/>
      <c r="Z695" s="133"/>
    </row>
    <row r="696">
      <c r="A696" s="133">
        <f>IFERROR(__xludf.DUMMYFUNCTION("""COMPUTED_VALUE"""),695.0)</f>
        <v>695</v>
      </c>
      <c r="B696" s="133"/>
      <c r="C696" s="133" t="str">
        <f>IFERROR(__xludf.DUMMYFUNCTION("""COMPUTED_VALUE"""),"P-1-N-240521-2849")</f>
        <v>P-1-N-240521-2849</v>
      </c>
      <c r="D696" s="133"/>
      <c r="E696" s="133" t="str">
        <f>IFERROR(__xludf.DUMMYFUNCTION("""COMPUTED_VALUE"""),"تمت طباعة الشهادة")</f>
        <v>تمت طباعة الشهادة</v>
      </c>
      <c r="F696" s="133" t="str">
        <f>IFERROR(__xludf.DUMMYFUNCTION("""COMPUTED_VALUE"""),"Oropharma Ferti-Vit 25g")</f>
        <v>Oropharma Ferti-Vit 25g</v>
      </c>
      <c r="G696" s="133" t="str">
        <f>IFERROR(__xludf.DUMMYFUNCTION("""COMPUTED_VALUE"""),"أوروفارما فرتي-فيت 25 جم")</f>
        <v>أوروفارما فرتي-فيت 25 جم</v>
      </c>
      <c r="H696" s="133" t="str">
        <f>IFERROR(__xludf.DUMMYFUNCTION("""COMPUTED_VALUE"""),"PRFE20211729")</f>
        <v>PRFE20211729</v>
      </c>
      <c r="I696" s="133"/>
      <c r="J696" s="133"/>
      <c r="K696" s="133" t="str">
        <f>IFERROR(__xludf.DUMMYFUNCTION("""COMPUTED_VALUE"""),"فيرسل لاقا ان في")</f>
        <v>فيرسل لاقا ان في</v>
      </c>
      <c r="L696" s="133"/>
      <c r="M696" s="133"/>
      <c r="N696" s="133"/>
      <c r="O696" s="133"/>
      <c r="P696" s="133"/>
      <c r="Q696" s="133"/>
      <c r="R696" s="133"/>
      <c r="S696" s="133"/>
      <c r="T696" s="133"/>
      <c r="U696" s="133"/>
      <c r="V696" s="133"/>
      <c r="W696" s="133"/>
      <c r="X696" s="133"/>
      <c r="Y696" s="133"/>
      <c r="Z696" s="133"/>
    </row>
    <row r="697">
      <c r="A697" s="133">
        <f>IFERROR(__xludf.DUMMYFUNCTION("""COMPUTED_VALUE"""),696.0)</f>
        <v>696</v>
      </c>
      <c r="B697" s="133"/>
      <c r="C697" s="133" t="str">
        <f>IFERROR(__xludf.DUMMYFUNCTION("""COMPUTED_VALUE"""),"P-1-N-240521-2850")</f>
        <v>P-1-N-240521-2850</v>
      </c>
      <c r="D697" s="133"/>
      <c r="E697" s="133" t="str">
        <f>IFERROR(__xludf.DUMMYFUNCTION("""COMPUTED_VALUE"""),"تمت طباعة الشهادة")</f>
        <v>تمت طباعة الشهادة</v>
      </c>
      <c r="F697" s="133" t="str">
        <f>IFERROR(__xludf.DUMMYFUNCTION("""COMPUTED_VALUE"""),"Oropharma Ferti-Vit 200g")</f>
        <v>Oropharma Ferti-Vit 200g</v>
      </c>
      <c r="G697" s="133" t="str">
        <f>IFERROR(__xludf.DUMMYFUNCTION("""COMPUTED_VALUE"""),"أوروفارما فرتي-فيت 200 جم")</f>
        <v>أوروفارما فرتي-فيت 200 جم</v>
      </c>
      <c r="H697" s="133" t="str">
        <f>IFERROR(__xludf.DUMMYFUNCTION("""COMPUTED_VALUE"""),"PRFE20211728")</f>
        <v>PRFE20211728</v>
      </c>
      <c r="I697" s="133"/>
      <c r="J697" s="133"/>
      <c r="K697" s="133" t="str">
        <f>IFERROR(__xludf.DUMMYFUNCTION("""COMPUTED_VALUE"""),"Agency")</f>
        <v>Agency</v>
      </c>
      <c r="L697" s="133"/>
      <c r="M697" s="133"/>
      <c r="N697" s="133"/>
      <c r="O697" s="133"/>
      <c r="P697" s="133"/>
      <c r="Q697" s="133"/>
      <c r="R697" s="133"/>
      <c r="S697" s="133"/>
      <c r="T697" s="133"/>
      <c r="U697" s="133"/>
      <c r="V697" s="133"/>
      <c r="W697" s="133"/>
      <c r="X697" s="133"/>
      <c r="Y697" s="133"/>
      <c r="Z697" s="133"/>
    </row>
    <row r="698">
      <c r="A698" s="133">
        <f>IFERROR(__xludf.DUMMYFUNCTION("""COMPUTED_VALUE"""),697.0)</f>
        <v>697</v>
      </c>
      <c r="B698" s="133" t="str">
        <f>IFERROR(__xludf.DUMMYFUNCTION("""COMPUTED_VALUE"""),"460207")</f>
        <v>460207</v>
      </c>
      <c r="C698" s="133" t="str">
        <f>IFERROR(__xludf.DUMMYFUNCTION("""COMPUTED_VALUE"""),"P-1-N-240521-2851")</f>
        <v>P-1-N-240521-2851</v>
      </c>
      <c r="D698" s="133"/>
      <c r="E698" s="133" t="str">
        <f>IFERROR(__xludf.DUMMYFUNCTION("""COMPUTED_VALUE"""),"تمت طباعة الشهادة")</f>
        <v>تمت طباعة الشهادة</v>
      </c>
      <c r="F698" s="133" t="str">
        <f>IFERROR(__xludf.DUMMYFUNCTION("""COMPUTED_VALUE"""),"Oropharma Muta-Vit 25g")</f>
        <v>Oropharma Muta-Vit 25g</v>
      </c>
      <c r="G698" s="133" t="str">
        <f>IFERROR(__xludf.DUMMYFUNCTION("""COMPUTED_VALUE"""),"أوروفارما ميوتا-فيت 25 جم")</f>
        <v>أوروفارما ميوتا-فيت 25 جم</v>
      </c>
      <c r="H698" s="133" t="str">
        <f>IFERROR(__xludf.DUMMYFUNCTION("""COMPUTED_VALUE"""),"PRFE20211727")</f>
        <v>PRFE20211727</v>
      </c>
      <c r="I698" s="133"/>
      <c r="J698" s="133"/>
      <c r="K698" s="133" t="str">
        <f>IFERROR(__xludf.DUMMYFUNCTION("""COMPUTED_VALUE"""),"فيرسل لاقا ان في")</f>
        <v>فيرسل لاقا ان في</v>
      </c>
      <c r="L698" s="142" t="str">
        <f>IFERROR(__xludf.DUMMYFUNCTION("""COMPUTED_VALUE"""),"460207")</f>
        <v>460207</v>
      </c>
      <c r="M698" s="133"/>
      <c r="N698" s="133"/>
      <c r="O698" s="133"/>
      <c r="P698" s="133"/>
      <c r="Q698" s="133"/>
      <c r="R698" s="133"/>
      <c r="S698" s="133"/>
      <c r="T698" s="133"/>
      <c r="U698" s="133"/>
      <c r="V698" s="133"/>
      <c r="W698" s="133"/>
      <c r="X698" s="133"/>
      <c r="Y698" s="133"/>
      <c r="Z698" s="133"/>
    </row>
    <row r="699">
      <c r="A699" s="133">
        <f>IFERROR(__xludf.DUMMYFUNCTION("""COMPUTED_VALUE"""),698.0)</f>
        <v>698</v>
      </c>
      <c r="B699" s="133" t="str">
        <f>IFERROR(__xludf.DUMMYFUNCTION("""COMPUTED_VALUE"""),"460208")</f>
        <v>460208</v>
      </c>
      <c r="C699" s="133" t="str">
        <f>IFERROR(__xludf.DUMMYFUNCTION("""COMPUTED_VALUE"""),"P-1-N-240521-2852")</f>
        <v>P-1-N-240521-2852</v>
      </c>
      <c r="D699" s="133"/>
      <c r="E699" s="133" t="str">
        <f>IFERROR(__xludf.DUMMYFUNCTION("""COMPUTED_VALUE"""),"تمت طباعة الشهادة")</f>
        <v>تمت طباعة الشهادة</v>
      </c>
      <c r="F699" s="133" t="str">
        <f>IFERROR(__xludf.DUMMYFUNCTION("""COMPUTED_VALUE"""),"Oropharma Muta-Vit 200g")</f>
        <v>Oropharma Muta-Vit 200g</v>
      </c>
      <c r="G699" s="133" t="str">
        <f>IFERROR(__xludf.DUMMYFUNCTION("""COMPUTED_VALUE"""),"أوروفارما ميوتا-فيت 200 جم")</f>
        <v>أوروفارما ميوتا-فيت 200 جم</v>
      </c>
      <c r="H699" s="133" t="str">
        <f>IFERROR(__xludf.DUMMYFUNCTION("""COMPUTED_VALUE"""),"PRFE20211726")</f>
        <v>PRFE20211726</v>
      </c>
      <c r="I699" s="133"/>
      <c r="J699" s="133"/>
      <c r="K699" s="133" t="str">
        <f>IFERROR(__xludf.DUMMYFUNCTION("""COMPUTED_VALUE"""),"فيرسل لاقا ان في")</f>
        <v>فيرسل لاقا ان في</v>
      </c>
      <c r="L699" s="142" t="str">
        <f>IFERROR(__xludf.DUMMYFUNCTION("""COMPUTED_VALUE"""),"460208")</f>
        <v>460208</v>
      </c>
      <c r="M699" s="133"/>
      <c r="N699" s="133"/>
      <c r="O699" s="133"/>
      <c r="P699" s="133"/>
      <c r="Q699" s="133"/>
      <c r="R699" s="133"/>
      <c r="S699" s="133"/>
      <c r="T699" s="133"/>
      <c r="U699" s="133"/>
      <c r="V699" s="133"/>
      <c r="W699" s="133"/>
      <c r="X699" s="133"/>
      <c r="Y699" s="133"/>
      <c r="Z699" s="133"/>
    </row>
    <row r="700">
      <c r="A700" s="133">
        <f>IFERROR(__xludf.DUMMYFUNCTION("""COMPUTED_VALUE"""),699.0)</f>
        <v>699</v>
      </c>
      <c r="B700" s="133" t="str">
        <f>IFERROR(__xludf.DUMMYFUNCTION("""COMPUTED_VALUE"""),"460203")</f>
        <v>460203</v>
      </c>
      <c r="C700" s="133" t="str">
        <f>IFERROR(__xludf.DUMMYFUNCTION("""COMPUTED_VALUE"""),"P-1-N-240521-2853")</f>
        <v>P-1-N-240521-2853</v>
      </c>
      <c r="D700" s="133"/>
      <c r="E700" s="133" t="str">
        <f>IFERROR(__xludf.DUMMYFUNCTION("""COMPUTED_VALUE"""),"تمت طباعة الشهادة")</f>
        <v>تمت طباعة الشهادة</v>
      </c>
      <c r="F700" s="133" t="str">
        <f>IFERROR(__xludf.DUMMYFUNCTION("""COMPUTED_VALUE"""),"Oropharma Omni-Vit 25g")</f>
        <v>Oropharma Omni-Vit 25g</v>
      </c>
      <c r="G700" s="133" t="str">
        <f>IFERROR(__xludf.DUMMYFUNCTION("""COMPUTED_VALUE"""),"أوروفارما اومني-فيت 25 جم")</f>
        <v>أوروفارما اومني-فيت 25 جم</v>
      </c>
      <c r="H700" s="133" t="str">
        <f>IFERROR(__xludf.DUMMYFUNCTION("""COMPUTED_VALUE"""),"PRFE20211725")</f>
        <v>PRFE20211725</v>
      </c>
      <c r="I700" s="133"/>
      <c r="J700" s="133"/>
      <c r="K700" s="133" t="str">
        <f>IFERROR(__xludf.DUMMYFUNCTION("""COMPUTED_VALUE"""),"فيرسل لاقا ان في")</f>
        <v>فيرسل لاقا ان في</v>
      </c>
      <c r="L700" s="142" t="str">
        <f>IFERROR(__xludf.DUMMYFUNCTION("""COMPUTED_VALUE"""),"460203")</f>
        <v>460203</v>
      </c>
      <c r="M700" s="133"/>
      <c r="N700" s="133"/>
      <c r="O700" s="133"/>
      <c r="P700" s="133"/>
      <c r="Q700" s="133"/>
      <c r="R700" s="133"/>
      <c r="S700" s="133"/>
      <c r="T700" s="133"/>
      <c r="U700" s="133"/>
      <c r="V700" s="133"/>
      <c r="W700" s="133"/>
      <c r="X700" s="133"/>
      <c r="Y700" s="133"/>
      <c r="Z700" s="133"/>
    </row>
    <row r="701">
      <c r="A701" s="133">
        <f>IFERROR(__xludf.DUMMYFUNCTION("""COMPUTED_VALUE"""),700.0)</f>
        <v>700</v>
      </c>
      <c r="B701" s="133" t="str">
        <f>IFERROR(__xludf.DUMMYFUNCTION("""COMPUTED_VALUE"""),"460204")</f>
        <v>460204</v>
      </c>
      <c r="C701" s="133" t="str">
        <f>IFERROR(__xludf.DUMMYFUNCTION("""COMPUTED_VALUE"""),"P-1-N-240521-2854")</f>
        <v>P-1-N-240521-2854</v>
      </c>
      <c r="D701" s="133"/>
      <c r="E701" s="133" t="str">
        <f>IFERROR(__xludf.DUMMYFUNCTION("""COMPUTED_VALUE"""),"تمت طباعة الشهادة")</f>
        <v>تمت طباعة الشهادة</v>
      </c>
      <c r="F701" s="133" t="str">
        <f>IFERROR(__xludf.DUMMYFUNCTION("""COMPUTED_VALUE"""),"Oropharma Omni-Vit 200g")</f>
        <v>Oropharma Omni-Vit 200g</v>
      </c>
      <c r="G701" s="133" t="str">
        <f>IFERROR(__xludf.DUMMYFUNCTION("""COMPUTED_VALUE"""),"أوروفارما اومني-فيت 200 جم")</f>
        <v>أوروفارما اومني-فيت 200 جم</v>
      </c>
      <c r="H701" s="133" t="str">
        <f>IFERROR(__xludf.DUMMYFUNCTION("""COMPUTED_VALUE"""),"PRFE20211724")</f>
        <v>PRFE20211724</v>
      </c>
      <c r="I701" s="133"/>
      <c r="J701" s="133"/>
      <c r="K701" s="133" t="str">
        <f>IFERROR(__xludf.DUMMYFUNCTION("""COMPUTED_VALUE"""),"فيرسل لاقا ان في")</f>
        <v>فيرسل لاقا ان في</v>
      </c>
      <c r="L701" s="142" t="str">
        <f>IFERROR(__xludf.DUMMYFUNCTION("""COMPUTED_VALUE"""),"460204")</f>
        <v>460204</v>
      </c>
      <c r="M701" s="133"/>
      <c r="N701" s="133"/>
      <c r="O701" s="133"/>
      <c r="P701" s="133"/>
      <c r="Q701" s="133"/>
      <c r="R701" s="133"/>
      <c r="S701" s="133"/>
      <c r="T701" s="133"/>
      <c r="U701" s="133"/>
      <c r="V701" s="133"/>
      <c r="W701" s="133"/>
      <c r="X701" s="133"/>
      <c r="Y701" s="133"/>
      <c r="Z701" s="133"/>
    </row>
    <row r="702">
      <c r="A702" s="133">
        <f>IFERROR(__xludf.DUMMYFUNCTION("""COMPUTED_VALUE"""),701.0)</f>
        <v>701</v>
      </c>
      <c r="B702" s="133" t="str">
        <f>IFERROR(__xludf.DUMMYFUNCTION("""COMPUTED_VALUE"""),"451343")</f>
        <v>451343</v>
      </c>
      <c r="C702" s="133" t="str">
        <f>IFERROR(__xludf.DUMMYFUNCTION("""COMPUTED_VALUE"""),"P-1-N-250521-2887")</f>
        <v>P-1-N-250521-2887</v>
      </c>
      <c r="D702" s="133"/>
      <c r="E702" s="133" t="str">
        <f>IFERROR(__xludf.DUMMYFUNCTION("""COMPUTED_VALUE"""),"تمت طباعة الشهادة")</f>
        <v>تمت طباعة الشهادة</v>
      </c>
      <c r="F702" s="133" t="str">
        <f>IFERROR(__xludf.DUMMYFUNCTION("""COMPUTED_VALUE"""),"Prestige Millet Gold 100g")</f>
        <v>Prestige Millet Gold 100g</v>
      </c>
      <c r="G702" s="133" t="str">
        <f>IFERROR(__xludf.DUMMYFUNCTION("""COMPUTED_VALUE"""),"برستيج دخن ذهبي 100 جم")</f>
        <v>برستيج دخن ذهبي 100 جم</v>
      </c>
      <c r="H702" s="133" t="str">
        <f>IFERROR(__xludf.DUMMYFUNCTION("""COMPUTED_VALUE"""),"RFM20211747")</f>
        <v>RFM20211747</v>
      </c>
      <c r="I702" s="133"/>
      <c r="J702" s="133"/>
      <c r="K702" s="133" t="str">
        <f>IFERROR(__xludf.DUMMYFUNCTION("""COMPUTED_VALUE"""),"فيرسل لاقا ان في")</f>
        <v>فيرسل لاقا ان في</v>
      </c>
      <c r="L702" s="142" t="str">
        <f>IFERROR(__xludf.DUMMYFUNCTION("""COMPUTED_VALUE"""),"451343")</f>
        <v>451343</v>
      </c>
      <c r="M702" s="133"/>
      <c r="N702" s="133"/>
      <c r="O702" s="133"/>
      <c r="P702" s="133"/>
      <c r="Q702" s="133"/>
      <c r="R702" s="133"/>
      <c r="S702" s="133"/>
      <c r="T702" s="133"/>
      <c r="U702" s="133"/>
      <c r="V702" s="133"/>
      <c r="W702" s="133"/>
      <c r="X702" s="133"/>
      <c r="Y702" s="133"/>
      <c r="Z702" s="133"/>
    </row>
    <row r="703">
      <c r="A703" s="133">
        <f>IFERROR(__xludf.DUMMYFUNCTION("""COMPUTED_VALUE"""),702.0)</f>
        <v>702</v>
      </c>
      <c r="B703" s="133" t="str">
        <f>IFERROR(__xludf.DUMMYFUNCTION("""COMPUTED_VALUE"""),"451330")</f>
        <v>451330</v>
      </c>
      <c r="C703" s="133" t="str">
        <f>IFERROR(__xludf.DUMMYFUNCTION("""COMPUTED_VALUE"""),"P-1-N-250521-2888")</f>
        <v>P-1-N-250521-2888</v>
      </c>
      <c r="D703" s="133"/>
      <c r="E703" s="133" t="str">
        <f>IFERROR(__xludf.DUMMYFUNCTION("""COMPUTED_VALUE"""),"تمت طباعة الشهادة")</f>
        <v>تمت طباعة الشهادة</v>
      </c>
      <c r="F703" s="133" t="str">
        <f>IFERROR(__xludf.DUMMYFUNCTION("""COMPUTED_VALUE"""),"Prestige Millet Gold 300g")</f>
        <v>Prestige Millet Gold 300g</v>
      </c>
      <c r="G703" s="133" t="str">
        <f>IFERROR(__xludf.DUMMYFUNCTION("""COMPUTED_VALUE"""),"برستيج دخن ذهبي 300 جم")</f>
        <v>برستيج دخن ذهبي 300 جم</v>
      </c>
      <c r="H703" s="133" t="str">
        <f>IFERROR(__xludf.DUMMYFUNCTION("""COMPUTED_VALUE"""),"RFM20211746")</f>
        <v>RFM20211746</v>
      </c>
      <c r="I703" s="133"/>
      <c r="J703" s="133"/>
      <c r="K703" s="133" t="str">
        <f>IFERROR(__xludf.DUMMYFUNCTION("""COMPUTED_VALUE"""),"فيرسل لاقا ان في")</f>
        <v>فيرسل لاقا ان في</v>
      </c>
      <c r="L703" s="142" t="str">
        <f>IFERROR(__xludf.DUMMYFUNCTION("""COMPUTED_VALUE"""),"451330")</f>
        <v>451330</v>
      </c>
      <c r="M703" s="133"/>
      <c r="N703" s="133"/>
      <c r="O703" s="133"/>
      <c r="P703" s="133"/>
      <c r="Q703" s="133"/>
      <c r="R703" s="133"/>
      <c r="S703" s="133"/>
      <c r="T703" s="133"/>
      <c r="U703" s="133"/>
      <c r="V703" s="133"/>
      <c r="W703" s="133"/>
      <c r="X703" s="133"/>
      <c r="Y703" s="133"/>
      <c r="Z703" s="133"/>
    </row>
    <row r="704">
      <c r="A704" s="133">
        <f>IFERROR(__xludf.DUMMYFUNCTION("""COMPUTED_VALUE"""),703.0)</f>
        <v>703</v>
      </c>
      <c r="B704" s="133" t="str">
        <f>IFERROR(__xludf.DUMMYFUNCTION("""COMPUTED_VALUE"""),"451321")</f>
        <v>451321</v>
      </c>
      <c r="C704" s="133" t="str">
        <f>IFERROR(__xludf.DUMMYFUNCTION("""COMPUTED_VALUE"""),"P-1-N-250521-2889")</f>
        <v>P-1-N-250521-2889</v>
      </c>
      <c r="D704" s="133"/>
      <c r="E704" s="133" t="str">
        <f>IFERROR(__xludf.DUMMYFUNCTION("""COMPUTED_VALUE"""),"تمت طباعة الشهادة")</f>
        <v>تمت طباعة الشهادة</v>
      </c>
      <c r="F704" s="133" t="str">
        <f>IFERROR(__xludf.DUMMYFUNCTION("""COMPUTED_VALUE"""),"Prestige Millet Gold 1kg")</f>
        <v>Prestige Millet Gold 1kg</v>
      </c>
      <c r="G704" s="133" t="str">
        <f>IFERROR(__xludf.DUMMYFUNCTION("""COMPUTED_VALUE"""),"برستيج دخن ذهبي 1 كجم")</f>
        <v>برستيج دخن ذهبي 1 كجم</v>
      </c>
      <c r="H704" s="133" t="str">
        <f>IFERROR(__xludf.DUMMYFUNCTION("""COMPUTED_VALUE"""),"RFM20211745")</f>
        <v>RFM20211745</v>
      </c>
      <c r="I704" s="133"/>
      <c r="J704" s="133"/>
      <c r="K704" s="133" t="str">
        <f>IFERROR(__xludf.DUMMYFUNCTION("""COMPUTED_VALUE"""),"فيرسل لاقا ان في")</f>
        <v>فيرسل لاقا ان في</v>
      </c>
      <c r="L704" s="142" t="str">
        <f>IFERROR(__xludf.DUMMYFUNCTION("""COMPUTED_VALUE"""),"451321")</f>
        <v>451321</v>
      </c>
      <c r="M704" s="133"/>
      <c r="N704" s="133"/>
      <c r="O704" s="133"/>
      <c r="P704" s="133"/>
      <c r="Q704" s="133"/>
      <c r="R704" s="133"/>
      <c r="S704" s="133"/>
      <c r="T704" s="133"/>
      <c r="U704" s="133"/>
      <c r="V704" s="133"/>
      <c r="W704" s="133"/>
      <c r="X704" s="133"/>
      <c r="Y704" s="133"/>
      <c r="Z704" s="133"/>
    </row>
    <row r="705">
      <c r="A705" s="133">
        <f>IFERROR(__xludf.DUMMYFUNCTION("""COMPUTED_VALUE"""),704.0)</f>
        <v>704</v>
      </c>
      <c r="B705" s="133" t="str">
        <f>IFERROR(__xludf.DUMMYFUNCTION("""COMPUTED_VALUE"""),"170575")</f>
        <v>170575</v>
      </c>
      <c r="C705" s="133" t="str">
        <f>IFERROR(__xludf.DUMMYFUNCTION("""COMPUTED_VALUE"""),"P-1-N-260521-2913")</f>
        <v>P-1-N-260521-2913</v>
      </c>
      <c r="D705" s="133"/>
      <c r="E705" s="133" t="str">
        <f>IFERROR(__xludf.DUMMYFUNCTION("""COMPUTED_VALUE"""),"تمت طباعة الشهادة")</f>
        <v>تمت طباعة الشهادة</v>
      </c>
      <c r="F705" s="133" t="str">
        <f>IFERROR(__xludf.DUMMYFUNCTION("""COMPUTED_VALUE"""),"Profine Cat Light Turkey 2kg")</f>
        <v>Profine Cat Light Turkey 2kg</v>
      </c>
      <c r="G705" s="133" t="str">
        <f>IFERROR(__xludf.DUMMYFUNCTION("""COMPUTED_VALUE"""),"بروفاين للقطط بالديك الرومي الخفيف 2 كجم")</f>
        <v>بروفاين للقطط بالديك الرومي الخفيف 2 كجم</v>
      </c>
      <c r="H705" s="133" t="str">
        <f>IFERROR(__xludf.DUMMYFUNCTION("""COMPUTED_VALUE"""),"MAFE20211789")</f>
        <v>MAFE20211789</v>
      </c>
      <c r="I705" s="133"/>
      <c r="J705" s="133"/>
      <c r="K705" s="133" t="str">
        <f>IFERROR(__xludf.DUMMYFUNCTION("""COMPUTED_VALUE"""),"بروفاين للقطط بالديك الرومي الخفيف 2 كجم")</f>
        <v>بروفاين للقطط بالديك الرومي الخفيف 2 كجم</v>
      </c>
      <c r="L705" s="142" t="str">
        <f>IFERROR(__xludf.DUMMYFUNCTION("""COMPUTED_VALUE"""),"170575")</f>
        <v>170575</v>
      </c>
      <c r="M705" s="133"/>
      <c r="N705" s="133"/>
      <c r="O705" s="133"/>
      <c r="P705" s="133"/>
      <c r="Q705" s="133"/>
      <c r="R705" s="133"/>
      <c r="S705" s="133"/>
      <c r="T705" s="133"/>
      <c r="U705" s="133"/>
      <c r="V705" s="133"/>
      <c r="W705" s="133"/>
      <c r="X705" s="133"/>
      <c r="Y705" s="133"/>
      <c r="Z705" s="133"/>
    </row>
    <row r="706">
      <c r="A706" s="133">
        <f>IFERROR(__xludf.DUMMYFUNCTION("""COMPUTED_VALUE"""),705.0)</f>
        <v>705</v>
      </c>
      <c r="B706" s="133" t="str">
        <f>IFERROR(__xludf.DUMMYFUNCTION("""COMPUTED_VALUE"""),"170576")</f>
        <v>170576</v>
      </c>
      <c r="C706" s="133" t="str">
        <f>IFERROR(__xludf.DUMMYFUNCTION("""COMPUTED_VALUE"""),"P-1-N-260521-2914")</f>
        <v>P-1-N-260521-2914</v>
      </c>
      <c r="D706" s="133"/>
      <c r="E706" s="133" t="str">
        <f>IFERROR(__xludf.DUMMYFUNCTION("""COMPUTED_VALUE"""),"تمت طباعة الشهادة")</f>
        <v>تمت طباعة الشهادة</v>
      </c>
      <c r="F706" s="133" t="str">
        <f>IFERROR(__xludf.DUMMYFUNCTION("""COMPUTED_VALUE"""),"Profine Cat Light Turkey 10kg")</f>
        <v>Profine Cat Light Turkey 10kg</v>
      </c>
      <c r="G706" s="133" t="str">
        <f>IFERROR(__xludf.DUMMYFUNCTION("""COMPUTED_VALUE"""),"بروفاين للقطط بالديك الرومي الخفيف 10 كجم")</f>
        <v>بروفاين للقطط بالديك الرومي الخفيف 10 كجم</v>
      </c>
      <c r="H706" s="133" t="str">
        <f>IFERROR(__xludf.DUMMYFUNCTION("""COMPUTED_VALUE"""),"MAFE20211788")</f>
        <v>MAFE20211788</v>
      </c>
      <c r="I706" s="133"/>
      <c r="J706" s="133"/>
      <c r="K706" s="133" t="str">
        <f>IFERROR(__xludf.DUMMYFUNCTION("""COMPUTED_VALUE"""),"فافو براها اس ار او")</f>
        <v>فافو براها اس ار او</v>
      </c>
      <c r="L706" s="142" t="str">
        <f>IFERROR(__xludf.DUMMYFUNCTION("""COMPUTED_VALUE"""),"170576")</f>
        <v>170576</v>
      </c>
      <c r="M706" s="133"/>
      <c r="N706" s="133"/>
      <c r="O706" s="133"/>
      <c r="P706" s="133"/>
      <c r="Q706" s="133"/>
      <c r="R706" s="133"/>
      <c r="S706" s="133"/>
      <c r="T706" s="133"/>
      <c r="U706" s="133"/>
      <c r="V706" s="133"/>
      <c r="W706" s="133"/>
      <c r="X706" s="133"/>
      <c r="Y706" s="133"/>
      <c r="Z706" s="133"/>
    </row>
    <row r="707">
      <c r="A707" s="133">
        <f>IFERROR(__xludf.DUMMYFUNCTION("""COMPUTED_VALUE"""),706.0)</f>
        <v>706</v>
      </c>
      <c r="B707" s="133" t="str">
        <f>IFERROR(__xludf.DUMMYFUNCTION("""COMPUTED_VALUE"""),"100293")</f>
        <v>100293</v>
      </c>
      <c r="C707" s="133" t="str">
        <f>IFERROR(__xludf.DUMMYFUNCTION("""COMPUTED_VALUE"""),"P-1-N-260521-2916")</f>
        <v>P-1-N-260521-2916</v>
      </c>
      <c r="D707" s="133"/>
      <c r="E707" s="133" t="str">
        <f>IFERROR(__xludf.DUMMYFUNCTION("""COMPUTED_VALUE"""),"تمت طباعة الشهادة")</f>
        <v>تمت طباعة الشهادة</v>
      </c>
      <c r="F707" s="133" t="str">
        <f>IFERROR(__xludf.DUMMYFUNCTION("""COMPUTED_VALUE"""),"Profine Grain Free Duck Snack 200g")</f>
        <v>Profine Grain Free Duck Snack 200g</v>
      </c>
      <c r="G707" s="133" t="str">
        <f>IFERROR(__xludf.DUMMYFUNCTION("""COMPUTED_VALUE"""),"بروفاين وجبة خفيفة خالية من الحبوب بالبط 200 جم")</f>
        <v>بروفاين وجبة خفيفة خالية من الحبوب بالبط 200 جم</v>
      </c>
      <c r="H707" s="133" t="str">
        <f>IFERROR(__xludf.DUMMYFUNCTION("""COMPUTED_VALUE"""),"MAFE20211787")</f>
        <v>MAFE20211787</v>
      </c>
      <c r="I707" s="133"/>
      <c r="J707" s="133"/>
      <c r="K707" s="133" t="str">
        <f>IFERROR(__xludf.DUMMYFUNCTION("""COMPUTED_VALUE"""),"Agency")</f>
        <v>Agency</v>
      </c>
      <c r="L707" s="142" t="str">
        <f>IFERROR(__xludf.DUMMYFUNCTION("""COMPUTED_VALUE"""),"100293")</f>
        <v>100293</v>
      </c>
      <c r="M707" s="133"/>
      <c r="N707" s="133"/>
      <c r="O707" s="133"/>
      <c r="P707" s="133"/>
      <c r="Q707" s="133"/>
      <c r="R707" s="133"/>
      <c r="S707" s="133"/>
      <c r="T707" s="133"/>
      <c r="U707" s="133"/>
      <c r="V707" s="133"/>
      <c r="W707" s="133"/>
      <c r="X707" s="133"/>
      <c r="Y707" s="133"/>
      <c r="Z707" s="133"/>
    </row>
    <row r="708">
      <c r="A708" s="133">
        <f>IFERROR(__xludf.DUMMYFUNCTION("""COMPUTED_VALUE"""),707.0)</f>
        <v>707</v>
      </c>
      <c r="B708" s="133" t="str">
        <f>IFERROR(__xludf.DUMMYFUNCTION("""COMPUTED_VALUE"""),"100289")</f>
        <v>100289</v>
      </c>
      <c r="C708" s="133" t="str">
        <f>IFERROR(__xludf.DUMMYFUNCTION("""COMPUTED_VALUE"""),"P-1-N-260521-2917")</f>
        <v>P-1-N-260521-2917</v>
      </c>
      <c r="D708" s="133"/>
      <c r="E708" s="133" t="str">
        <f>IFERROR(__xludf.DUMMYFUNCTION("""COMPUTED_VALUE"""),"تمت طباعة الشهادة")</f>
        <v>تمت طباعة الشهادة</v>
      </c>
      <c r="F708" s="133" t="str">
        <f>IFERROR(__xludf.DUMMYFUNCTION("""COMPUTED_VALUE"""),"Profine Grain Free Chicken Snack 200g")</f>
        <v>Profine Grain Free Chicken Snack 200g</v>
      </c>
      <c r="G708" s="133" t="str">
        <f>IFERROR(__xludf.DUMMYFUNCTION("""COMPUTED_VALUE"""),"بروفاين وجبة خفيفة خالية من الحبوب بالدجاج 200 جم")</f>
        <v>بروفاين وجبة خفيفة خالية من الحبوب بالدجاج 200 جم</v>
      </c>
      <c r="H708" s="133" t="str">
        <f>IFERROR(__xludf.DUMMYFUNCTION("""COMPUTED_VALUE"""),"MAFE20211786")</f>
        <v>MAFE20211786</v>
      </c>
      <c r="I708" s="133"/>
      <c r="J708" s="133"/>
      <c r="K708" s="133" t="str">
        <f>IFERROR(__xludf.DUMMYFUNCTION("""COMPUTED_VALUE"""),"فافو براها اس ار او")</f>
        <v>فافو براها اس ار او</v>
      </c>
      <c r="L708" s="142" t="str">
        <f>IFERROR(__xludf.DUMMYFUNCTION("""COMPUTED_VALUE"""),"100289")</f>
        <v>100289</v>
      </c>
      <c r="M708" s="133"/>
      <c r="N708" s="133"/>
      <c r="O708" s="133"/>
      <c r="P708" s="133"/>
      <c r="Q708" s="133"/>
      <c r="R708" s="133"/>
      <c r="S708" s="133"/>
      <c r="T708" s="133"/>
      <c r="U708" s="133"/>
      <c r="V708" s="133"/>
      <c r="W708" s="133"/>
      <c r="X708" s="133"/>
      <c r="Y708" s="133"/>
      <c r="Z708" s="133"/>
    </row>
    <row r="709">
      <c r="A709" s="133">
        <f>IFERROR(__xludf.DUMMYFUNCTION("""COMPUTED_VALUE"""),708.0)</f>
        <v>708</v>
      </c>
      <c r="B709" s="133" t="str">
        <f>IFERROR(__xludf.DUMMYFUNCTION("""COMPUTED_VALUE"""),"100290")</f>
        <v>100290</v>
      </c>
      <c r="C709" s="133" t="str">
        <f>IFERROR(__xludf.DUMMYFUNCTION("""COMPUTED_VALUE"""),"P-1-N-260521-2918")</f>
        <v>P-1-N-260521-2918</v>
      </c>
      <c r="D709" s="133"/>
      <c r="E709" s="133" t="str">
        <f>IFERROR(__xludf.DUMMYFUNCTION("""COMPUTED_VALUE"""),"تمت طباعة الشهادة")</f>
        <v>تمت طباعة الشهادة</v>
      </c>
      <c r="F709" s="133" t="str">
        <f>IFERROR(__xludf.DUMMYFUNCTION("""COMPUTED_VALUE"""),"Porfine Grain Free Lamb Snack 200g")</f>
        <v>Porfine Grain Free Lamb Snack 200g</v>
      </c>
      <c r="G709" s="133" t="str">
        <f>IFERROR(__xludf.DUMMYFUNCTION("""COMPUTED_VALUE"""),"بروفاين وجبة خفيفة خالية من الحبوب بلحم الضأن 200 جم")</f>
        <v>بروفاين وجبة خفيفة خالية من الحبوب بلحم الضأن 200 جم</v>
      </c>
      <c r="H709" s="133" t="str">
        <f>IFERROR(__xludf.DUMMYFUNCTION("""COMPUTED_VALUE"""),"MAFE20211785")</f>
        <v>MAFE20211785</v>
      </c>
      <c r="I709" s="133"/>
      <c r="J709" s="133"/>
      <c r="K709" s="133" t="str">
        <f>IFERROR(__xludf.DUMMYFUNCTION("""COMPUTED_VALUE"""),"فافو براها اس ار او")</f>
        <v>فافو براها اس ار او</v>
      </c>
      <c r="L709" s="142" t="str">
        <f>IFERROR(__xludf.DUMMYFUNCTION("""COMPUTED_VALUE"""),"100290")</f>
        <v>100290</v>
      </c>
      <c r="M709" s="133"/>
      <c r="N709" s="133"/>
      <c r="O709" s="133"/>
      <c r="P709" s="133"/>
      <c r="Q709" s="133"/>
      <c r="R709" s="133"/>
      <c r="S709" s="133"/>
      <c r="T709" s="133"/>
      <c r="U709" s="133"/>
      <c r="V709" s="133"/>
      <c r="W709" s="133"/>
      <c r="X709" s="133"/>
      <c r="Y709" s="133"/>
      <c r="Z709" s="133"/>
    </row>
    <row r="710">
      <c r="A710" s="133">
        <f>IFERROR(__xludf.DUMMYFUNCTION("""COMPUTED_VALUE"""),709.0)</f>
        <v>709</v>
      </c>
      <c r="B710" s="133" t="str">
        <f>IFERROR(__xludf.DUMMYFUNCTION("""COMPUTED_VALUE"""),"100291")</f>
        <v>100291</v>
      </c>
      <c r="C710" s="133" t="str">
        <f>IFERROR(__xludf.DUMMYFUNCTION("""COMPUTED_VALUE"""),"P-1-N-260521-2919")</f>
        <v>P-1-N-260521-2919</v>
      </c>
      <c r="D710" s="133"/>
      <c r="E710" s="133" t="str">
        <f>IFERROR(__xludf.DUMMYFUNCTION("""COMPUTED_VALUE"""),"تمت طباعة الشهادة")</f>
        <v>تمت طباعة الشهادة</v>
      </c>
      <c r="F710" s="133" t="str">
        <f>IFERROR(__xludf.DUMMYFUNCTION("""COMPUTED_VALUE"""),"Porfine Grain Free Salmon Snack 200g")</f>
        <v>Porfine Grain Free Salmon Snack 200g</v>
      </c>
      <c r="G710" s="133" t="str">
        <f>IFERROR(__xludf.DUMMYFUNCTION("""COMPUTED_VALUE"""),"بروفاين وجبة خفيفة خالية من الحبوب بالسالمون 200 جم")</f>
        <v>بروفاين وجبة خفيفة خالية من الحبوب بالسالمون 200 جم</v>
      </c>
      <c r="H710" s="133" t="str">
        <f>IFERROR(__xludf.DUMMYFUNCTION("""COMPUTED_VALUE"""),"MAFE20211784")</f>
        <v>MAFE20211784</v>
      </c>
      <c r="I710" s="133"/>
      <c r="J710" s="133"/>
      <c r="K710" s="133" t="str">
        <f>IFERROR(__xludf.DUMMYFUNCTION("""COMPUTED_VALUE"""),"فافو براها اس ار او")</f>
        <v>فافو براها اس ار او</v>
      </c>
      <c r="L710" s="142" t="str">
        <f>IFERROR(__xludf.DUMMYFUNCTION("""COMPUTED_VALUE"""),"100291")</f>
        <v>100291</v>
      </c>
      <c r="M710" s="133"/>
      <c r="N710" s="133"/>
      <c r="O710" s="133"/>
      <c r="P710" s="133"/>
      <c r="Q710" s="133"/>
      <c r="R710" s="133"/>
      <c r="S710" s="133"/>
      <c r="T710" s="133"/>
      <c r="U710" s="133"/>
      <c r="V710" s="133"/>
      <c r="W710" s="133"/>
      <c r="X710" s="133"/>
      <c r="Y710" s="133"/>
      <c r="Z710" s="133"/>
    </row>
    <row r="711">
      <c r="A711" s="133">
        <f>IFERROR(__xludf.DUMMYFUNCTION("""COMPUTED_VALUE"""),710.0)</f>
        <v>710</v>
      </c>
      <c r="B711" s="133" t="str">
        <f>IFERROR(__xludf.DUMMYFUNCTION("""COMPUTED_VALUE"""),"100292")</f>
        <v>100292</v>
      </c>
      <c r="C711" s="133" t="str">
        <f>IFERROR(__xludf.DUMMYFUNCTION("""COMPUTED_VALUE"""),"P-1-N-260521-2920")</f>
        <v>P-1-N-260521-2920</v>
      </c>
      <c r="D711" s="133"/>
      <c r="E711" s="133" t="str">
        <f>IFERROR(__xludf.DUMMYFUNCTION("""COMPUTED_VALUE"""),"تمت طباعة الشهادة")</f>
        <v>تمت طباعة الشهادة</v>
      </c>
      <c r="F711" s="133" t="str">
        <f>IFERROR(__xludf.DUMMYFUNCTION("""COMPUTED_VALUE"""),"Porfine Grain Free Turkey Snack 200g")</f>
        <v>Porfine Grain Free Turkey Snack 200g</v>
      </c>
      <c r="G711" s="133" t="str">
        <f>IFERROR(__xludf.DUMMYFUNCTION("""COMPUTED_VALUE"""),"بروفاين وجبة خفيفة خالية من الحبوب بالديك رومى 200 جم")</f>
        <v>بروفاين وجبة خفيفة خالية من الحبوب بالديك رومى 200 جم</v>
      </c>
      <c r="H711" s="133" t="str">
        <f>IFERROR(__xludf.DUMMYFUNCTION("""COMPUTED_VALUE"""),"MAFE20211783")</f>
        <v>MAFE20211783</v>
      </c>
      <c r="I711" s="133"/>
      <c r="J711" s="133"/>
      <c r="K711" s="133" t="str">
        <f>IFERROR(__xludf.DUMMYFUNCTION("""COMPUTED_VALUE"""),"فافو براها اس ار او")</f>
        <v>فافو براها اس ار او</v>
      </c>
      <c r="L711" s="142" t="str">
        <f>IFERROR(__xludf.DUMMYFUNCTION("""COMPUTED_VALUE"""),"100292")</f>
        <v>100292</v>
      </c>
      <c r="M711" s="133"/>
      <c r="N711" s="133"/>
      <c r="O711" s="133"/>
      <c r="P711" s="133"/>
      <c r="Q711" s="133"/>
      <c r="R711" s="133"/>
      <c r="S711" s="133"/>
      <c r="T711" s="133"/>
      <c r="U711" s="133"/>
      <c r="V711" s="133"/>
      <c r="W711" s="133"/>
      <c r="X711" s="133"/>
      <c r="Y711" s="133"/>
      <c r="Z711" s="133"/>
    </row>
    <row r="712">
      <c r="A712" s="133">
        <f>IFERROR(__xludf.DUMMYFUNCTION("""COMPUTED_VALUE"""),711.0)</f>
        <v>711</v>
      </c>
      <c r="B712" s="133" t="str">
        <f>IFERROR(__xludf.DUMMYFUNCTION("""COMPUTED_VALUE"""),"111389")</f>
        <v>111389</v>
      </c>
      <c r="C712" s="133" t="str">
        <f>IFERROR(__xludf.DUMMYFUNCTION("""COMPUTED_VALUE"""),"P-1-N-260521-2921")</f>
        <v>P-1-N-260521-2921</v>
      </c>
      <c r="D712" s="133"/>
      <c r="E712" s="133" t="str">
        <f>IFERROR(__xludf.DUMMYFUNCTION("""COMPUTED_VALUE"""),"تمت طباعة الشهادة")</f>
        <v>تمت طباعة الشهادة</v>
      </c>
      <c r="F712" s="133" t="str">
        <f>IFERROR(__xludf.DUMMYFUNCTION("""COMPUTED_VALUE"""),"Porfine Duck Enriched with Goji Berries 50g")</f>
        <v>Porfine Duck Enriched with Goji Berries 50g</v>
      </c>
      <c r="G712" s="133" t="str">
        <f>IFERROR(__xludf.DUMMYFUNCTION("""COMPUTED_VALUE"""),"بروفاين بط مع توت القوجي 50 جم")</f>
        <v>بروفاين بط مع توت القوجي 50 جم</v>
      </c>
      <c r="H712" s="133" t="str">
        <f>IFERROR(__xludf.DUMMYFUNCTION("""COMPUTED_VALUE"""),"MAFE20211782")</f>
        <v>MAFE20211782</v>
      </c>
      <c r="I712" s="133"/>
      <c r="J712" s="133"/>
      <c r="K712" s="133" t="str">
        <f>IFERROR(__xludf.DUMMYFUNCTION("""COMPUTED_VALUE"""),"فافو براها اس ار او")</f>
        <v>فافو براها اس ار او</v>
      </c>
      <c r="L712" s="142" t="str">
        <f>IFERROR(__xludf.DUMMYFUNCTION("""COMPUTED_VALUE"""),"111389")</f>
        <v>111389</v>
      </c>
      <c r="M712" s="133"/>
      <c r="N712" s="133"/>
      <c r="O712" s="133"/>
      <c r="P712" s="133"/>
      <c r="Q712" s="133"/>
      <c r="R712" s="133"/>
      <c r="S712" s="133"/>
      <c r="T712" s="133"/>
      <c r="U712" s="133"/>
      <c r="V712" s="133"/>
      <c r="W712" s="133"/>
      <c r="X712" s="133"/>
      <c r="Y712" s="133"/>
      <c r="Z712" s="133"/>
    </row>
    <row r="713">
      <c r="A713" s="133">
        <f>IFERROR(__xludf.DUMMYFUNCTION("""COMPUTED_VALUE"""),712.0)</f>
        <v>712</v>
      </c>
      <c r="B713" s="133" t="str">
        <f>IFERROR(__xludf.DUMMYFUNCTION("""COMPUTED_VALUE"""),"111390")</f>
        <v>111390</v>
      </c>
      <c r="C713" s="133" t="str">
        <f>IFERROR(__xludf.DUMMYFUNCTION("""COMPUTED_VALUE"""),"P-1-N-260521-2922")</f>
        <v>P-1-N-260521-2922</v>
      </c>
      <c r="D713" s="133"/>
      <c r="E713" s="133" t="str">
        <f>IFERROR(__xludf.DUMMYFUNCTION("""COMPUTED_VALUE"""),"تمت طباعة الشهادة")</f>
        <v>تمت طباعة الشهادة</v>
      </c>
      <c r="F713" s="133" t="str">
        <f>IFERROR(__xludf.DUMMYFUNCTION("""COMPUTED_VALUE"""),"Porfine Tuna Enriched with Fennel 50g")</f>
        <v>Porfine Tuna Enriched with Fennel 50g</v>
      </c>
      <c r="G713" s="133" t="str">
        <f>IFERROR(__xludf.DUMMYFUNCTION("""COMPUTED_VALUE"""),"بروفاين تونة مع الشمر 50 جم")</f>
        <v>بروفاين تونة مع الشمر 50 جم</v>
      </c>
      <c r="H713" s="133" t="str">
        <f>IFERROR(__xludf.DUMMYFUNCTION("""COMPUTED_VALUE"""),"MAFE20211781")</f>
        <v>MAFE20211781</v>
      </c>
      <c r="I713" s="133"/>
      <c r="J713" s="133"/>
      <c r="K713" s="133" t="str">
        <f>IFERROR(__xludf.DUMMYFUNCTION("""COMPUTED_VALUE"""),"فافو براها اس ار او")</f>
        <v>فافو براها اس ار او</v>
      </c>
      <c r="L713" s="142" t="str">
        <f>IFERROR(__xludf.DUMMYFUNCTION("""COMPUTED_VALUE"""),"111390")</f>
        <v>111390</v>
      </c>
      <c r="M713" s="133"/>
      <c r="N713" s="133"/>
      <c r="O713" s="133"/>
      <c r="P713" s="133"/>
      <c r="Q713" s="133"/>
      <c r="R713" s="133"/>
      <c r="S713" s="133"/>
      <c r="T713" s="133"/>
      <c r="U713" s="133"/>
      <c r="V713" s="133"/>
      <c r="W713" s="133"/>
      <c r="X713" s="133"/>
      <c r="Y713" s="133"/>
      <c r="Z713" s="133"/>
    </row>
    <row r="714">
      <c r="A714" s="133">
        <f>IFERROR(__xludf.DUMMYFUNCTION("""COMPUTED_VALUE"""),713.0)</f>
        <v>713</v>
      </c>
      <c r="B714" s="133" t="str">
        <f>IFERROR(__xludf.DUMMYFUNCTION("""COMPUTED_VALUE"""),"111391")</f>
        <v>111391</v>
      </c>
      <c r="C714" s="133" t="str">
        <f>IFERROR(__xludf.DUMMYFUNCTION("""COMPUTED_VALUE"""),"P-1-N-260521-2923")</f>
        <v>P-1-N-260521-2923</v>
      </c>
      <c r="D714" s="133"/>
      <c r="E714" s="133" t="str">
        <f>IFERROR(__xludf.DUMMYFUNCTION("""COMPUTED_VALUE"""),"تمت طباعة الشهادة")</f>
        <v>تمت طباعة الشهادة</v>
      </c>
      <c r="F714" s="133" t="str">
        <f>IFERROR(__xludf.DUMMYFUNCTION("""COMPUTED_VALUE"""),"Porfine Turkey Enriched with Oat Grass 50g")</f>
        <v>Porfine Turkey Enriched with Oat Grass 50g</v>
      </c>
      <c r="G714" s="133" t="str">
        <f>IFERROR(__xludf.DUMMYFUNCTION("""COMPUTED_VALUE"""),"بروفاين ديك رومي مع عشب الشوفان 50 جم")</f>
        <v>بروفاين ديك رومي مع عشب الشوفان 50 جم</v>
      </c>
      <c r="H714" s="133" t="str">
        <f>IFERROR(__xludf.DUMMYFUNCTION("""COMPUTED_VALUE"""),"MAFE20211780")</f>
        <v>MAFE20211780</v>
      </c>
      <c r="I714" s="133"/>
      <c r="J714" s="133"/>
      <c r="K714" s="133" t="str">
        <f>IFERROR(__xludf.DUMMYFUNCTION("""COMPUTED_VALUE"""),"فافو براها اس ار او")</f>
        <v>فافو براها اس ار او</v>
      </c>
      <c r="L714" s="142" t="str">
        <f>IFERROR(__xludf.DUMMYFUNCTION("""COMPUTED_VALUE"""),"111391")</f>
        <v>111391</v>
      </c>
      <c r="M714" s="133"/>
      <c r="N714" s="133"/>
      <c r="O714" s="133"/>
      <c r="P714" s="133"/>
      <c r="Q714" s="133"/>
      <c r="R714" s="133"/>
      <c r="S714" s="133"/>
      <c r="T714" s="133"/>
      <c r="U714" s="133"/>
      <c r="V714" s="133"/>
      <c r="W714" s="133"/>
      <c r="X714" s="133"/>
      <c r="Y714" s="133"/>
      <c r="Z714" s="133"/>
    </row>
    <row r="715">
      <c r="A715" s="133">
        <f>IFERROR(__xludf.DUMMYFUNCTION("""COMPUTED_VALUE"""),714.0)</f>
        <v>714</v>
      </c>
      <c r="B715" s="133" t="str">
        <f>IFERROR(__xludf.DUMMYFUNCTION("""COMPUTED_VALUE"""),"170548")</f>
        <v>170548</v>
      </c>
      <c r="C715" s="133" t="str">
        <f>IFERROR(__xludf.DUMMYFUNCTION("""COMPUTED_VALUE"""),"P-1-N-260521-2928")</f>
        <v>P-1-N-260521-2928</v>
      </c>
      <c r="D715" s="133"/>
      <c r="E715" s="133" t="str">
        <f>IFERROR(__xludf.DUMMYFUNCTION("""COMPUTED_VALUE"""),"تمت طباعة الشهادة")</f>
        <v>تمت طباعة الشهادة</v>
      </c>
      <c r="F715" s="133" t="str">
        <f>IFERROR(__xludf.DUMMYFUNCTION("""COMPUTED_VALUE"""),"Porfine Puppy Lamb &amp; Potatoes 3kg")</f>
        <v>Porfine Puppy Lamb &amp; Potatoes 3kg</v>
      </c>
      <c r="G715" s="133" t="str">
        <f>IFERROR(__xludf.DUMMYFUNCTION("""COMPUTED_VALUE"""),"بروفاين للجراء بلحم الغنم والبطاطس 3 كجم")</f>
        <v>بروفاين للجراء بلحم الغنم والبطاطس 3 كجم</v>
      </c>
      <c r="H715" s="133" t="str">
        <f>IFERROR(__xludf.DUMMYFUNCTION("""COMPUTED_VALUE"""),"MAFE20211779")</f>
        <v>MAFE20211779</v>
      </c>
      <c r="I715" s="133"/>
      <c r="J715" s="133"/>
      <c r="K715" s="133" t="str">
        <f>IFERROR(__xludf.DUMMYFUNCTION("""COMPUTED_VALUE"""),"بروفاين للجراء بلحم الغنم والبطاطس 3 كجم")</f>
        <v>بروفاين للجراء بلحم الغنم والبطاطس 3 كجم</v>
      </c>
      <c r="L715" s="142" t="str">
        <f>IFERROR(__xludf.DUMMYFUNCTION("""COMPUTED_VALUE"""),"170548")</f>
        <v>170548</v>
      </c>
      <c r="M715" s="133"/>
      <c r="N715" s="133"/>
      <c r="O715" s="133"/>
      <c r="P715" s="133"/>
      <c r="Q715" s="133"/>
      <c r="R715" s="133"/>
      <c r="S715" s="133"/>
      <c r="T715" s="133"/>
      <c r="U715" s="133"/>
      <c r="V715" s="133"/>
      <c r="W715" s="133"/>
      <c r="X715" s="133"/>
      <c r="Y715" s="133"/>
      <c r="Z715" s="133"/>
    </row>
    <row r="716">
      <c r="A716" s="133">
        <f>IFERROR(__xludf.DUMMYFUNCTION("""COMPUTED_VALUE"""),715.0)</f>
        <v>715</v>
      </c>
      <c r="B716" s="133" t="str">
        <f>IFERROR(__xludf.DUMMYFUNCTION("""COMPUTED_VALUE"""),"170550")</f>
        <v>170550</v>
      </c>
      <c r="C716" s="133" t="str">
        <f>IFERROR(__xludf.DUMMYFUNCTION("""COMPUTED_VALUE"""),"P-1-N-260521-2929")</f>
        <v>P-1-N-260521-2929</v>
      </c>
      <c r="D716" s="133"/>
      <c r="E716" s="133" t="str">
        <f>IFERROR(__xludf.DUMMYFUNCTION("""COMPUTED_VALUE"""),"تمت طباعة الشهادة")</f>
        <v>تمت طباعة الشهادة</v>
      </c>
      <c r="F716" s="133" t="str">
        <f>IFERROR(__xludf.DUMMYFUNCTION("""COMPUTED_VALUE"""),"Porfine Adult Lamb &amp; Potatoes 3kg")</f>
        <v>Porfine Adult Lamb &amp; Potatoes 3kg</v>
      </c>
      <c r="G716" s="133" t="str">
        <f>IFERROR(__xludf.DUMMYFUNCTION("""COMPUTED_VALUE"""),"بروفاين للكلاب البالغة بلحم الغنم والبطاطس 3 كجم")</f>
        <v>بروفاين للكلاب البالغة بلحم الغنم والبطاطس 3 كجم</v>
      </c>
      <c r="H716" s="133" t="str">
        <f>IFERROR(__xludf.DUMMYFUNCTION("""COMPUTED_VALUE"""),"MAFE20211776")</f>
        <v>MAFE20211776</v>
      </c>
      <c r="I716" s="133"/>
      <c r="J716" s="133"/>
      <c r="K716" s="133" t="str">
        <f>IFERROR(__xludf.DUMMYFUNCTION("""COMPUTED_VALUE"""),"فافو براها اس ار او")</f>
        <v>فافو براها اس ار او</v>
      </c>
      <c r="L716" s="142" t="str">
        <f>IFERROR(__xludf.DUMMYFUNCTION("""COMPUTED_VALUE"""),"170550")</f>
        <v>170550</v>
      </c>
      <c r="M716" s="133"/>
      <c r="N716" s="133"/>
      <c r="O716" s="133"/>
      <c r="P716" s="133"/>
      <c r="Q716" s="133"/>
      <c r="R716" s="133"/>
      <c r="S716" s="133"/>
      <c r="T716" s="133"/>
      <c r="U716" s="133"/>
      <c r="V716" s="133"/>
      <c r="W716" s="133"/>
      <c r="X716" s="133"/>
      <c r="Y716" s="133"/>
      <c r="Z716" s="133"/>
    </row>
    <row r="717">
      <c r="A717" s="133">
        <f>IFERROR(__xludf.DUMMYFUNCTION("""COMPUTED_VALUE"""),716.0)</f>
        <v>716</v>
      </c>
      <c r="B717" s="133" t="str">
        <f>IFERROR(__xludf.DUMMYFUNCTION("""COMPUTED_VALUE"""),"170569")</f>
        <v>170569</v>
      </c>
      <c r="C717" s="133" t="str">
        <f>IFERROR(__xludf.DUMMYFUNCTION("""COMPUTED_VALUE"""),"P-1-N-260521-2930")</f>
        <v>P-1-N-260521-2930</v>
      </c>
      <c r="D717" s="133"/>
      <c r="E717" s="133" t="str">
        <f>IFERROR(__xludf.DUMMYFUNCTION("""COMPUTED_VALUE"""),"تمت طباعة الشهادة")</f>
        <v>تمت طباعة الشهادة</v>
      </c>
      <c r="F717" s="133" t="str">
        <f>IFERROR(__xludf.DUMMYFUNCTION("""COMPUTED_VALUE"""),"Porfine Cat Indoor Adult Lamb 2kg")</f>
        <v>Porfine Cat Indoor Adult Lamb 2kg</v>
      </c>
      <c r="G717" s="133" t="str">
        <f>IFERROR(__xludf.DUMMYFUNCTION("""COMPUTED_VALUE"""),"بروفاين للقطط الداخلية البالغة بلحم الغنم 2 كجم")</f>
        <v>بروفاين للقطط الداخلية البالغة بلحم الغنم 2 كجم</v>
      </c>
      <c r="H717" s="133" t="str">
        <f>IFERROR(__xludf.DUMMYFUNCTION("""COMPUTED_VALUE"""),"MAFE20211777")</f>
        <v>MAFE20211777</v>
      </c>
      <c r="I717" s="133"/>
      <c r="J717" s="133"/>
      <c r="K717" s="133" t="str">
        <f>IFERROR(__xludf.DUMMYFUNCTION("""COMPUTED_VALUE"""),"Agency")</f>
        <v>Agency</v>
      </c>
      <c r="L717" s="142" t="str">
        <f>IFERROR(__xludf.DUMMYFUNCTION("""COMPUTED_VALUE"""),"170569")</f>
        <v>170569</v>
      </c>
      <c r="M717" s="133"/>
      <c r="N717" s="133"/>
      <c r="O717" s="133"/>
      <c r="P717" s="133"/>
      <c r="Q717" s="133"/>
      <c r="R717" s="133"/>
      <c r="S717" s="133"/>
      <c r="T717" s="133"/>
      <c r="U717" s="133"/>
      <c r="V717" s="133"/>
      <c r="W717" s="133"/>
      <c r="X717" s="133"/>
      <c r="Y717" s="133"/>
      <c r="Z717" s="133"/>
    </row>
    <row r="718">
      <c r="A718" s="133">
        <f>IFERROR(__xludf.DUMMYFUNCTION("""COMPUTED_VALUE"""),717.0)</f>
        <v>717</v>
      </c>
      <c r="B718" s="133" t="str">
        <f>IFERROR(__xludf.DUMMYFUNCTION("""COMPUTED_VALUE"""),"424046")</f>
        <v>424046</v>
      </c>
      <c r="C718" s="133" t="str">
        <f>IFERROR(__xludf.DUMMYFUNCTION("""COMPUTED_VALUE"""),"P-1-N-300521-3010")</f>
        <v>P-1-N-300521-3010</v>
      </c>
      <c r="D718" s="133"/>
      <c r="E718" s="133" t="str">
        <f>IFERROR(__xludf.DUMMYFUNCTION("""COMPUTED_VALUE"""),"تمت طباعة الشهادة")</f>
        <v>تمت طباعة الشهادة</v>
      </c>
      <c r="F718" s="133" t="str">
        <f>IFERROR(__xludf.DUMMYFUNCTION("""COMPUTED_VALUE"""),"Orlux Lori 700g")</f>
        <v>Orlux Lori 700g</v>
      </c>
      <c r="G718" s="133" t="str">
        <f>IFERROR(__xludf.DUMMYFUNCTION("""COMPUTED_VALUE"""),"اورلوكس لوري 700 جم")</f>
        <v>اورلوكس لوري 700 جم</v>
      </c>
      <c r="H718" s="133" t="str">
        <f>IFERROR(__xludf.DUMMYFUNCTION("""COMPUTED_VALUE"""),"MAFE20211830")</f>
        <v>MAFE20211830</v>
      </c>
      <c r="I718" s="133"/>
      <c r="J718" s="133"/>
      <c r="K718" s="133" t="str">
        <f>IFERROR(__xludf.DUMMYFUNCTION("""COMPUTED_VALUE"""),"فيرسل لاقا ان في")</f>
        <v>فيرسل لاقا ان في</v>
      </c>
      <c r="L718" s="142" t="str">
        <f>IFERROR(__xludf.DUMMYFUNCTION("""COMPUTED_VALUE"""),"424046")</f>
        <v>424046</v>
      </c>
      <c r="M718" s="133"/>
      <c r="N718" s="133"/>
      <c r="O718" s="133"/>
      <c r="P718" s="133"/>
      <c r="Q718" s="133"/>
      <c r="R718" s="133"/>
      <c r="S718" s="133"/>
      <c r="T718" s="133"/>
      <c r="U718" s="133"/>
      <c r="V718" s="133"/>
      <c r="W718" s="133"/>
      <c r="X718" s="133"/>
      <c r="Y718" s="133"/>
      <c r="Z718" s="133"/>
    </row>
    <row r="719">
      <c r="A719" s="133">
        <f>IFERROR(__xludf.DUMMYFUNCTION("""COMPUTED_VALUE"""),718.0)</f>
        <v>718</v>
      </c>
      <c r="B719" s="133" t="str">
        <f>IFERROR(__xludf.DUMMYFUNCTION("""COMPUTED_VALUE"""),"424049")</f>
        <v>424049</v>
      </c>
      <c r="C719" s="133" t="str">
        <f>IFERROR(__xludf.DUMMYFUNCTION("""COMPUTED_VALUE"""),"P-1-N-300521-3011")</f>
        <v>P-1-N-300521-3011</v>
      </c>
      <c r="D719" s="133"/>
      <c r="E719" s="133" t="str">
        <f>IFERROR(__xludf.DUMMYFUNCTION("""COMPUTED_VALUE"""),"تمت طباعة الشهادة")</f>
        <v>تمت طباعة الشهادة</v>
      </c>
      <c r="F719" s="133" t="str">
        <f>IFERROR(__xludf.DUMMYFUNCTION("""COMPUTED_VALUE"""),"Orlux Lori 3kg")</f>
        <v>Orlux Lori 3kg</v>
      </c>
      <c r="G719" s="133" t="str">
        <f>IFERROR(__xludf.DUMMYFUNCTION("""COMPUTED_VALUE"""),"اورلوكس لوري 3 كجم")</f>
        <v>اورلوكس لوري 3 كجم</v>
      </c>
      <c r="H719" s="133" t="str">
        <f>IFERROR(__xludf.DUMMYFUNCTION("""COMPUTED_VALUE"""),"MAFE20211829")</f>
        <v>MAFE20211829</v>
      </c>
      <c r="I719" s="133"/>
      <c r="J719" s="133"/>
      <c r="K719" s="133" t="str">
        <f>IFERROR(__xludf.DUMMYFUNCTION("""COMPUTED_VALUE"""),"فيرسل لاقا ان في")</f>
        <v>فيرسل لاقا ان في</v>
      </c>
      <c r="L719" s="142" t="str">
        <f>IFERROR(__xludf.DUMMYFUNCTION("""COMPUTED_VALUE"""),"424049")</f>
        <v>424049</v>
      </c>
      <c r="M719" s="133"/>
      <c r="N719" s="133"/>
      <c r="O719" s="133"/>
      <c r="P719" s="133"/>
      <c r="Q719" s="133"/>
      <c r="R719" s="133"/>
      <c r="S719" s="133"/>
      <c r="T719" s="133"/>
      <c r="U719" s="133"/>
      <c r="V719" s="133"/>
      <c r="W719" s="133"/>
      <c r="X719" s="133"/>
      <c r="Y719" s="133"/>
      <c r="Z719" s="133"/>
    </row>
    <row r="720">
      <c r="A720" s="133">
        <f>IFERROR(__xludf.DUMMYFUNCTION("""COMPUTED_VALUE"""),719.0)</f>
        <v>719</v>
      </c>
      <c r="B720" s="133" t="str">
        <f>IFERROR(__xludf.DUMMYFUNCTION("""COMPUTED_VALUE"""),"C02900400")</f>
        <v>C02900400</v>
      </c>
      <c r="C720" s="133" t="str">
        <f>IFERROR(__xludf.DUMMYFUNCTION("""COMPUTED_VALUE"""),"P-1-N-300521-3022")</f>
        <v>P-1-N-300521-3022</v>
      </c>
      <c r="D720" s="133"/>
      <c r="E720" s="133" t="str">
        <f>IFERROR(__xludf.DUMMYFUNCTION("""COMPUTED_VALUE"""),"تمت طباعة الشهادة")</f>
        <v>تمت طباعة الشهادة</v>
      </c>
      <c r="F720" s="133" t="str">
        <f>IFERROR(__xludf.DUMMYFUNCTION("""COMPUTED_VALUE"""),"Schesir NS Dry Chicken 4.5 kg")</f>
        <v>Schesir NS Dry Chicken 4.5 kg</v>
      </c>
      <c r="G720" s="133" t="str">
        <f>IFERROR(__xludf.DUMMYFUNCTION("""COMPUTED_VALUE"""),"شيزير أن أس طعام جاف بالدجاج 4.5 كجم")</f>
        <v>شيزير أن أس طعام جاف بالدجاج 4.5 كجم</v>
      </c>
      <c r="H720" s="133" t="str">
        <f>IFERROR(__xludf.DUMMYFUNCTION("""COMPUTED_VALUE"""),"MAFE20211828")</f>
        <v>MAFE20211828</v>
      </c>
      <c r="I720" s="133"/>
      <c r="J720" s="133"/>
      <c r="K720" s="133" t="str">
        <f>IFERROR(__xludf.DUMMYFUNCTION("""COMPUTED_VALUE"""),"أغراس ديليتش اس بي أي")</f>
        <v>أغراس ديليتش اس بي أي</v>
      </c>
      <c r="L720" s="142" t="str">
        <f>IFERROR(__xludf.DUMMYFUNCTION("""COMPUTED_VALUE"""),"C02900400")</f>
        <v>C02900400</v>
      </c>
      <c r="M720" s="133"/>
      <c r="N720" s="133"/>
      <c r="O720" s="133"/>
      <c r="P720" s="133"/>
      <c r="Q720" s="133"/>
      <c r="R720" s="133"/>
      <c r="S720" s="133"/>
      <c r="T720" s="133"/>
      <c r="U720" s="133"/>
      <c r="V720" s="133"/>
      <c r="W720" s="133"/>
      <c r="X720" s="133"/>
      <c r="Y720" s="133"/>
      <c r="Z720" s="133"/>
    </row>
    <row r="721">
      <c r="A721" s="133">
        <f>IFERROR(__xludf.DUMMYFUNCTION("""COMPUTED_VALUE"""),720.0)</f>
        <v>720</v>
      </c>
      <c r="B721" s="133" t="str">
        <f>IFERROR(__xludf.DUMMYFUNCTION("""COMPUTED_VALUE"""),"C02900105")</f>
        <v>C02900105</v>
      </c>
      <c r="C721" s="133" t="str">
        <f>IFERROR(__xludf.DUMMYFUNCTION("""COMPUTED_VALUE"""),"P-1-N-300521-3040")</f>
        <v>P-1-N-300521-3040</v>
      </c>
      <c r="D721" s="133"/>
      <c r="E721" s="133" t="str">
        <f>IFERROR(__xludf.DUMMYFUNCTION("""COMPUTED_VALUE"""),"تمت طباعة الشهادة")</f>
        <v>تمت طباعة الشهادة</v>
      </c>
      <c r="F721" s="133" t="str">
        <f>IFERROR(__xludf.DUMMYFUNCTION("""COMPUTED_VALUE"""),"Schesir NS Dry Tuna 350g")</f>
        <v>Schesir NS Dry Tuna 350g</v>
      </c>
      <c r="G721" s="133" t="str">
        <f>IFERROR(__xludf.DUMMYFUNCTION("""COMPUTED_VALUE"""),"شيزير أن أس طعام جاف بالتونة 350 جم")</f>
        <v>شيزير أن أس طعام جاف بالتونة 350 جم</v>
      </c>
      <c r="H721" s="133" t="str">
        <f>IFERROR(__xludf.DUMMYFUNCTION("""COMPUTED_VALUE"""),"MAFE20211823")</f>
        <v>MAFE20211823</v>
      </c>
      <c r="I721" s="133"/>
      <c r="J721" s="133"/>
      <c r="K721" s="133" t="str">
        <f>IFERROR(__xludf.DUMMYFUNCTION("""COMPUTED_VALUE"""),"أغراس ديليتش اس بي أي")</f>
        <v>أغراس ديليتش اس بي أي</v>
      </c>
      <c r="L721" s="142" t="str">
        <f>IFERROR(__xludf.DUMMYFUNCTION("""COMPUTED_VALUE"""),"C02900105")</f>
        <v>C02900105</v>
      </c>
      <c r="M721" s="133"/>
      <c r="N721" s="133"/>
      <c r="O721" s="133"/>
      <c r="P721" s="133"/>
      <c r="Q721" s="133"/>
      <c r="R721" s="133"/>
      <c r="S721" s="133"/>
      <c r="T721" s="133"/>
      <c r="U721" s="133"/>
      <c r="V721" s="133"/>
      <c r="W721" s="133"/>
      <c r="X721" s="133"/>
      <c r="Y721" s="133"/>
      <c r="Z721" s="133"/>
    </row>
    <row r="722">
      <c r="A722" s="133">
        <f>IFERROR(__xludf.DUMMYFUNCTION("""COMPUTED_VALUE"""),721.0)</f>
        <v>721</v>
      </c>
      <c r="B722" s="133" t="str">
        <f>IFERROR(__xludf.DUMMYFUNCTION("""COMPUTED_VALUE"""),"C02900101")</f>
        <v>C02900101</v>
      </c>
      <c r="C722" s="133" t="str">
        <f>IFERROR(__xludf.DUMMYFUNCTION("""COMPUTED_VALUE"""),"P-1-N-300521-3041")</f>
        <v>P-1-N-300521-3041</v>
      </c>
      <c r="D722" s="133"/>
      <c r="E722" s="133" t="str">
        <f>IFERROR(__xludf.DUMMYFUNCTION("""COMPUTED_VALUE"""),"تمت طباعة الشهادة")</f>
        <v>تمت طباعة الشهادة</v>
      </c>
      <c r="F722" s="133" t="str">
        <f>IFERROR(__xludf.DUMMYFUNCTION("""COMPUTED_VALUE"""),"Schesir NS Dry Duck 350g")</f>
        <v>Schesir NS Dry Duck 350g</v>
      </c>
      <c r="G722" s="133" t="str">
        <f>IFERROR(__xludf.DUMMYFUNCTION("""COMPUTED_VALUE"""),"شيزير أن أس طعام جاف بالبط 350 جم")</f>
        <v>شيزير أن أس طعام جاف بالبط 350 جم</v>
      </c>
      <c r="H722" s="133" t="str">
        <f>IFERROR(__xludf.DUMMYFUNCTION("""COMPUTED_VALUE"""),"MAFE20211822")</f>
        <v>MAFE20211822</v>
      </c>
      <c r="I722" s="133"/>
      <c r="J722" s="133"/>
      <c r="K722" s="133" t="str">
        <f>IFERROR(__xludf.DUMMYFUNCTION("""COMPUTED_VALUE"""),"أغراس ديليتش اس بي أي")</f>
        <v>أغراس ديليتش اس بي أي</v>
      </c>
      <c r="L722" s="142" t="str">
        <f>IFERROR(__xludf.DUMMYFUNCTION("""COMPUTED_VALUE"""),"C02900101")</f>
        <v>C02900101</v>
      </c>
      <c r="M722" s="133"/>
      <c r="N722" s="133"/>
      <c r="O722" s="133"/>
      <c r="P722" s="133"/>
      <c r="Q722" s="133"/>
      <c r="R722" s="133"/>
      <c r="S722" s="133"/>
      <c r="T722" s="133"/>
      <c r="U722" s="133"/>
      <c r="V722" s="133"/>
      <c r="W722" s="133"/>
      <c r="X722" s="133"/>
      <c r="Y722" s="133"/>
      <c r="Z722" s="133"/>
    </row>
    <row r="723">
      <c r="A723" s="133">
        <f>IFERROR(__xludf.DUMMYFUNCTION("""COMPUTED_VALUE"""),722.0)</f>
        <v>722</v>
      </c>
      <c r="B723" s="133" t="str">
        <f>IFERROR(__xludf.DUMMYFUNCTION("""COMPUTED_VALUE"""),"C02900100")</f>
        <v>C02900100</v>
      </c>
      <c r="C723" s="133" t="str">
        <f>IFERROR(__xludf.DUMMYFUNCTION("""COMPUTED_VALUE"""),"P-1-N-300521-3042")</f>
        <v>P-1-N-300521-3042</v>
      </c>
      <c r="D723" s="133"/>
      <c r="E723" s="133" t="str">
        <f>IFERROR(__xludf.DUMMYFUNCTION("""COMPUTED_VALUE"""),"تمت طباعة الشهادة")</f>
        <v>تمت طباعة الشهادة</v>
      </c>
      <c r="F723" s="133" t="str">
        <f>IFERROR(__xludf.DUMMYFUNCTION("""COMPUTED_VALUE"""),"Schesir NS Dry Turkey 350g")</f>
        <v>Schesir NS Dry Turkey 350g</v>
      </c>
      <c r="G723" s="133" t="str">
        <f>IFERROR(__xludf.DUMMYFUNCTION("""COMPUTED_VALUE"""),"شيزير أن أس طعام جاف بالديك الرومي 350 جم")</f>
        <v>شيزير أن أس طعام جاف بالديك الرومي 350 جم</v>
      </c>
      <c r="H723" s="133" t="str">
        <f>IFERROR(__xludf.DUMMYFUNCTION("""COMPUTED_VALUE"""),"MAFE20211821")</f>
        <v>MAFE20211821</v>
      </c>
      <c r="I723" s="133"/>
      <c r="J723" s="133"/>
      <c r="K723" s="133" t="str">
        <f>IFERROR(__xludf.DUMMYFUNCTION("""COMPUTED_VALUE"""),"أغراس ديليتش اس بي أي")</f>
        <v>أغراس ديليتش اس بي أي</v>
      </c>
      <c r="L723" s="142" t="str">
        <f>IFERROR(__xludf.DUMMYFUNCTION("""COMPUTED_VALUE"""),"C02900100")</f>
        <v>C02900100</v>
      </c>
      <c r="M723" s="133"/>
      <c r="N723" s="133"/>
      <c r="O723" s="133"/>
      <c r="P723" s="133"/>
      <c r="Q723" s="133"/>
      <c r="R723" s="133"/>
      <c r="S723" s="133"/>
      <c r="T723" s="133"/>
      <c r="U723" s="133"/>
      <c r="V723" s="133"/>
      <c r="W723" s="133"/>
      <c r="X723" s="133"/>
      <c r="Y723" s="133"/>
      <c r="Z723" s="133"/>
    </row>
    <row r="724">
      <c r="A724" s="133">
        <f>IFERROR(__xludf.DUMMYFUNCTION("""COMPUTED_VALUE"""),723.0)</f>
        <v>723</v>
      </c>
      <c r="B724" s="133" t="str">
        <f>IFERROR(__xludf.DUMMYFUNCTION("""COMPUTED_VALUE"""),"B1047")</f>
        <v>B1047</v>
      </c>
      <c r="C724" s="133" t="str">
        <f>IFERROR(__xludf.DUMMYFUNCTION("""COMPUTED_VALUE"""),"P-1-N-020621-3212")</f>
        <v>P-1-N-020621-3212</v>
      </c>
      <c r="D724" s="133"/>
      <c r="E724" s="133" t="str">
        <f>IFERROR(__xludf.DUMMYFUNCTION("""COMPUTED_VALUE"""),"تمت طباعة الشهادة")</f>
        <v>تمت طباعة الشهادة</v>
      </c>
      <c r="F724" s="133" t="str">
        <f>IFERROR(__xludf.DUMMYFUNCTION("""COMPUTED_VALUE"""),"Butchers Functional Cat Beauty Lamb CIJ ")</f>
        <v>Butchers Functional Cat Beauty Lamb CIJ </v>
      </c>
      <c r="G724" s="133" t="str">
        <f>IFERROR(__xludf.DUMMYFUNCTION("""COMPUTED_VALUE"""),"بوتشرز فنكشنال بيوتي بقطع لحم الضأن في الجلي للقطط 400 جم")</f>
        <v>بوتشرز فنكشنال بيوتي بقطع لحم الضأن في الجلي للقطط 400 جم</v>
      </c>
      <c r="H724" s="133" t="str">
        <f>IFERROR(__xludf.DUMMYFUNCTION("""COMPUTED_VALUE"""),"MAFE20211876")</f>
        <v>MAFE20211876</v>
      </c>
      <c r="I724" s="133"/>
      <c r="J724" s="133"/>
      <c r="K724" s="133" t="str">
        <f>IFERROR(__xludf.DUMMYFUNCTION("""COMPUTED_VALUE"""),"بوتشرز بت كير ال تي دي")</f>
        <v>بوتشرز بت كير ال تي دي</v>
      </c>
      <c r="L724" s="142" t="str">
        <f>IFERROR(__xludf.DUMMYFUNCTION("""COMPUTED_VALUE"""),"B1047")</f>
        <v>B1047</v>
      </c>
      <c r="M724" s="133"/>
      <c r="N724" s="133"/>
      <c r="O724" s="133"/>
      <c r="P724" s="133"/>
      <c r="Q724" s="133"/>
      <c r="R724" s="133"/>
      <c r="S724" s="133"/>
      <c r="T724" s="133"/>
      <c r="U724" s="133"/>
      <c r="V724" s="133"/>
      <c r="W724" s="133"/>
      <c r="X724" s="133"/>
      <c r="Y724" s="133"/>
      <c r="Z724" s="133"/>
    </row>
    <row r="725">
      <c r="A725" s="133">
        <f>IFERROR(__xludf.DUMMYFUNCTION("""COMPUTED_VALUE"""),724.0)</f>
        <v>724</v>
      </c>
      <c r="B725" s="133" t="str">
        <f>IFERROR(__xludf.DUMMYFUNCTION("""COMPUTED_VALUE"""),"11657")</f>
        <v>11657</v>
      </c>
      <c r="C725" s="133" t="str">
        <f>IFERROR(__xludf.DUMMYFUNCTION("""COMPUTED_VALUE"""),"P-1-N-100621-3439")</f>
        <v>P-1-N-100621-3439</v>
      </c>
      <c r="D725" s="133"/>
      <c r="E725" s="133" t="str">
        <f>IFERROR(__xludf.DUMMYFUNCTION("""COMPUTED_VALUE"""),"تمت طباعة الشهادة")</f>
        <v>تمت طباعة الشهادة</v>
      </c>
      <c r="F725" s="133" t="str">
        <f>IFERROR(__xludf.DUMMYFUNCTION("""COMPUTED_VALUE"""),"Multi Vit Reptiles 20ml")</f>
        <v>Multi Vit Reptiles 20ml</v>
      </c>
      <c r="G725" s="133" t="str">
        <f>IFERROR(__xludf.DUMMYFUNCTION("""COMPUTED_VALUE"""),"مولتي فيت للزواحف 20 مل")</f>
        <v>مولتي فيت للزواحف 20 مل</v>
      </c>
      <c r="H725" s="133" t="str">
        <f>IFERROR(__xludf.DUMMYFUNCTION("""COMPUTED_VALUE"""),"PRFE20212018")</f>
        <v>PRFE20212018</v>
      </c>
      <c r="I725" s="133"/>
      <c r="J725" s="133"/>
      <c r="K725" s="133" t="str">
        <f>IFERROR(__xludf.DUMMYFUNCTION("""COMPUTED_VALUE"""),"مولتي فيت للزواحف 20 مل")</f>
        <v>مولتي فيت للزواحف 20 مل</v>
      </c>
      <c r="L725" s="142" t="str">
        <f>IFERROR(__xludf.DUMMYFUNCTION("""COMPUTED_VALUE"""),"11657")</f>
        <v>11657</v>
      </c>
      <c r="M725" s="133"/>
      <c r="N725" s="133"/>
      <c r="O725" s="133"/>
      <c r="P725" s="133"/>
      <c r="Q725" s="133"/>
      <c r="R725" s="133"/>
      <c r="S725" s="133"/>
      <c r="T725" s="133"/>
      <c r="U725" s="133"/>
      <c r="V725" s="133"/>
      <c r="W725" s="133"/>
      <c r="X725" s="133"/>
      <c r="Y725" s="133"/>
      <c r="Z725" s="133"/>
    </row>
    <row r="726">
      <c r="A726" s="133">
        <f>IFERROR(__xludf.DUMMYFUNCTION("""COMPUTED_VALUE"""),725.0)</f>
        <v>725</v>
      </c>
      <c r="B726" s="133" t="str">
        <f>IFERROR(__xludf.DUMMYFUNCTION("""COMPUTED_VALUE"""),"482772")</f>
        <v>482772</v>
      </c>
      <c r="C726" s="133" t="str">
        <f>IFERROR(__xludf.DUMMYFUNCTION("""COMPUTED_VALUE"""),"P-1-N-170621-3656")</f>
        <v>P-1-N-170621-3656</v>
      </c>
      <c r="D726" s="133"/>
      <c r="E726" s="133" t="str">
        <f>IFERROR(__xludf.DUMMYFUNCTION("""COMPUTED_VALUE"""),"تمت طباعة الشهادة")</f>
        <v>تمت طباعة الشهادة</v>
      </c>
      <c r="F726" s="133" t="str">
        <f>IFERROR(__xludf.DUMMYFUNCTION("""COMPUTED_VALUE"""),"Snack Duck Fillets 70g Rich in Duck")</f>
        <v>Snack Duck Fillets 70g Rich in Duck</v>
      </c>
      <c r="G726" s="133" t="str">
        <f>IFERROR(__xludf.DUMMYFUNCTION("""COMPUTED_VALUE"""),"سناك فيليه بط 70جم غني بالبط")</f>
        <v>سناك فيليه بط 70جم غني بالبط</v>
      </c>
      <c r="H726" s="133" t="str">
        <f>IFERROR(__xludf.DUMMYFUNCTION("""COMPUTED_VALUE"""),"MAFE20212127")</f>
        <v>MAFE20212127</v>
      </c>
      <c r="I726" s="133"/>
      <c r="J726" s="133"/>
      <c r="K726" s="133" t="str">
        <f>IFERROR(__xludf.DUMMYFUNCTION("""COMPUTED_VALUE"""),"يانتاي هوس بت فود تك كو")</f>
        <v>يانتاي هوس بت فود تك كو</v>
      </c>
      <c r="L726" s="142" t="str">
        <f>IFERROR(__xludf.DUMMYFUNCTION("""COMPUTED_VALUE"""),"482772")</f>
        <v>482772</v>
      </c>
      <c r="M726" s="133"/>
      <c r="N726" s="133"/>
      <c r="O726" s="133"/>
      <c r="P726" s="133"/>
      <c r="Q726" s="133"/>
      <c r="R726" s="133"/>
      <c r="S726" s="133"/>
      <c r="T726" s="133"/>
      <c r="U726" s="133"/>
      <c r="V726" s="133"/>
      <c r="W726" s="133"/>
      <c r="X726" s="133"/>
      <c r="Y726" s="133"/>
      <c r="Z726" s="133"/>
    </row>
    <row r="727">
      <c r="A727" s="133">
        <f>IFERROR(__xludf.DUMMYFUNCTION("""COMPUTED_VALUE"""),726.0)</f>
        <v>726</v>
      </c>
      <c r="B727" s="133" t="str">
        <f>IFERROR(__xludf.DUMMYFUNCTION("""COMPUTED_VALUE"""),"482774")</f>
        <v>482774</v>
      </c>
      <c r="C727" s="133" t="str">
        <f>IFERROR(__xludf.DUMMYFUNCTION("""COMPUTED_VALUE"""),"P-1-N-170621-3657")</f>
        <v>P-1-N-170621-3657</v>
      </c>
      <c r="D727" s="133"/>
      <c r="E727" s="133" t="str">
        <f>IFERROR(__xludf.DUMMYFUNCTION("""COMPUTED_VALUE"""),"تمت طباعة الشهادة")</f>
        <v>تمت طباعة الشهادة</v>
      </c>
      <c r="F727" s="133" t="str">
        <f>IFERROR(__xludf.DUMMYFUNCTION("""COMPUTED_VALUE"""),"Snack Chicken Wings 100g Rich in Chicken")</f>
        <v>Snack Chicken Wings 100g Rich in Chicken</v>
      </c>
      <c r="G727" s="133" t="str">
        <f>IFERROR(__xludf.DUMMYFUNCTION("""COMPUTED_VALUE"""),"سناك جوانح دجاج 100جم غني بالدجاج")</f>
        <v>سناك جوانح دجاج 100جم غني بالدجاج</v>
      </c>
      <c r="H727" s="133" t="str">
        <f>IFERROR(__xludf.DUMMYFUNCTION("""COMPUTED_VALUE"""),"MAFE20212103")</f>
        <v>MAFE20212103</v>
      </c>
      <c r="I727" s="133"/>
      <c r="J727" s="133"/>
      <c r="K727" s="133" t="str">
        <f>IFERROR(__xludf.DUMMYFUNCTION("""COMPUTED_VALUE"""),"Agency")</f>
        <v>Agency</v>
      </c>
      <c r="L727" s="142" t="str">
        <f>IFERROR(__xludf.DUMMYFUNCTION("""COMPUTED_VALUE"""),"482774")</f>
        <v>482774</v>
      </c>
      <c r="M727" s="133"/>
      <c r="N727" s="133"/>
      <c r="O727" s="133"/>
      <c r="P727" s="133"/>
      <c r="Q727" s="133"/>
      <c r="R727" s="133"/>
      <c r="S727" s="133"/>
      <c r="T727" s="133"/>
      <c r="U727" s="133"/>
      <c r="V727" s="133"/>
      <c r="W727" s="133"/>
      <c r="X727" s="133"/>
      <c r="Y727" s="133"/>
      <c r="Z727" s="133"/>
    </row>
    <row r="728">
      <c r="A728" s="133">
        <f>IFERROR(__xludf.DUMMYFUNCTION("""COMPUTED_VALUE"""),727.0)</f>
        <v>727</v>
      </c>
      <c r="B728" s="133" t="str">
        <f>IFERROR(__xludf.DUMMYFUNCTION("""COMPUTED_VALUE"""),"482775")</f>
        <v>482775</v>
      </c>
      <c r="C728" s="133" t="str">
        <f>IFERROR(__xludf.DUMMYFUNCTION("""COMPUTED_VALUE"""),"P-1-N-170621-3658")</f>
        <v>P-1-N-170621-3658</v>
      </c>
      <c r="D728" s="133"/>
      <c r="E728" s="133" t="str">
        <f>IFERROR(__xludf.DUMMYFUNCTION("""COMPUTED_VALUE"""),"تمت طباعة الشهادة")</f>
        <v>تمت طباعة الشهادة</v>
      </c>
      <c r="F728" s="133" t="str">
        <f>IFERROR(__xludf.DUMMYFUNCTION("""COMPUTED_VALUE"""),"Snack Chewing Sticks with Chicken x10 Rich in Chicken 85g")</f>
        <v>Snack Chewing Sticks with Chicken x10 Rich in Chicken 85g</v>
      </c>
      <c r="G728" s="133" t="str">
        <f>IFERROR(__xludf.DUMMYFUNCTION("""COMPUTED_VALUE"""),"سناك عظام المضغ بالدجاج ×10 قطع غني بالدجاج 85 جم")</f>
        <v>سناك عظام المضغ بالدجاج ×10 قطع غني بالدجاج 85 جم</v>
      </c>
      <c r="H728" s="133" t="str">
        <f>IFERROR(__xludf.DUMMYFUNCTION("""COMPUTED_VALUE"""),"MAFE20212102")</f>
        <v>MAFE20212102</v>
      </c>
      <c r="I728" s="133"/>
      <c r="J728" s="133"/>
      <c r="K728" s="133" t="str">
        <f>IFERROR(__xludf.DUMMYFUNCTION("""COMPUTED_VALUE"""),"يانتاي هوس بت فود تك كو")</f>
        <v>يانتاي هوس بت فود تك كو</v>
      </c>
      <c r="L728" s="142" t="str">
        <f>IFERROR(__xludf.DUMMYFUNCTION("""COMPUTED_VALUE"""),"482775")</f>
        <v>482775</v>
      </c>
      <c r="M728" s="133"/>
      <c r="N728" s="133"/>
      <c r="O728" s="133"/>
      <c r="P728" s="133"/>
      <c r="Q728" s="133"/>
      <c r="R728" s="133"/>
      <c r="S728" s="133"/>
      <c r="T728" s="133"/>
      <c r="U728" s="133"/>
      <c r="V728" s="133"/>
      <c r="W728" s="133"/>
      <c r="X728" s="133"/>
      <c r="Y728" s="133"/>
      <c r="Z728" s="133"/>
    </row>
    <row r="729">
      <c r="A729" s="133">
        <f>IFERROR(__xludf.DUMMYFUNCTION("""COMPUTED_VALUE"""),728.0)</f>
        <v>728</v>
      </c>
      <c r="B729" s="133" t="str">
        <f>IFERROR(__xludf.DUMMYFUNCTION("""COMPUTED_VALUE"""),"482784")</f>
        <v>482784</v>
      </c>
      <c r="C729" s="133" t="str">
        <f>IFERROR(__xludf.DUMMYFUNCTION("""COMPUTED_VALUE"""),"P-1-N-170621-3659")</f>
        <v>P-1-N-170621-3659</v>
      </c>
      <c r="D729" s="133"/>
      <c r="E729" s="133" t="str">
        <f>IFERROR(__xludf.DUMMYFUNCTION("""COMPUTED_VALUE"""),"تمت طباعة الشهادة")</f>
        <v>تمت طباعة الشهادة</v>
      </c>
      <c r="F729" s="133" t="str">
        <f>IFERROR(__xludf.DUMMYFUNCTION("""COMPUTED_VALUE"""),"Snack Chicken Sausages 100g Rich in Chicken")</f>
        <v>Snack Chicken Sausages 100g Rich in Chicken</v>
      </c>
      <c r="G729" s="133" t="str">
        <f>IFERROR(__xludf.DUMMYFUNCTION("""COMPUTED_VALUE"""),"سناك نقانق 100جم غني بالدجاج")</f>
        <v>سناك نقانق 100جم غني بالدجاج</v>
      </c>
      <c r="H729" s="133" t="str">
        <f>IFERROR(__xludf.DUMMYFUNCTION("""COMPUTED_VALUE"""),"MAFE20212101")</f>
        <v>MAFE20212101</v>
      </c>
      <c r="I729" s="133"/>
      <c r="J729" s="133"/>
      <c r="K729" s="133" t="str">
        <f>IFERROR(__xludf.DUMMYFUNCTION("""COMPUTED_VALUE"""),"يانتاي هوس بت فود تك كو")</f>
        <v>يانتاي هوس بت فود تك كو</v>
      </c>
      <c r="L729" s="142" t="str">
        <f>IFERROR(__xludf.DUMMYFUNCTION("""COMPUTED_VALUE"""),"482784")</f>
        <v>482784</v>
      </c>
      <c r="M729" s="133"/>
      <c r="N729" s="133"/>
      <c r="O729" s="133"/>
      <c r="P729" s="133"/>
      <c r="Q729" s="133"/>
      <c r="R729" s="133"/>
      <c r="S729" s="133"/>
      <c r="T729" s="133"/>
      <c r="U729" s="133"/>
      <c r="V729" s="133"/>
      <c r="W729" s="133"/>
      <c r="X729" s="133"/>
      <c r="Y729" s="133"/>
      <c r="Z729" s="133"/>
    </row>
    <row r="730">
      <c r="A730" s="133">
        <f>IFERROR(__xludf.DUMMYFUNCTION("""COMPUTED_VALUE"""),729.0)</f>
        <v>729</v>
      </c>
      <c r="B730" s="133" t="str">
        <f>IFERROR(__xludf.DUMMYFUNCTION("""COMPUTED_VALUE"""),"482785")</f>
        <v>482785</v>
      </c>
      <c r="C730" s="133" t="str">
        <f>IFERROR(__xludf.DUMMYFUNCTION("""COMPUTED_VALUE"""),"P-1-N-170621-3660")</f>
        <v>P-1-N-170621-3660</v>
      </c>
      <c r="D730" s="133"/>
      <c r="E730" s="133" t="str">
        <f>IFERROR(__xludf.DUMMYFUNCTION("""COMPUTED_VALUE"""),"تمت طباعة الشهادة")</f>
        <v>تمت طباعة الشهادة</v>
      </c>
      <c r="F730" s="133" t="str">
        <f>IFERROR(__xludf.DUMMYFUNCTION("""COMPUTED_VALUE"""),"Snack Chicken Sandwich 100g Rich in Chicken")</f>
        <v>Snack Chicken Sandwich 100g Rich in Chicken</v>
      </c>
      <c r="G730" s="133" t="str">
        <f>IFERROR(__xludf.DUMMYFUNCTION("""COMPUTED_VALUE"""),"سناك ساندويش100 جم غني بالدجاج")</f>
        <v>سناك ساندويش100 جم غني بالدجاج</v>
      </c>
      <c r="H730" s="133" t="str">
        <f>IFERROR(__xludf.DUMMYFUNCTION("""COMPUTED_VALUE"""),"MAFE20212100")</f>
        <v>MAFE20212100</v>
      </c>
      <c r="I730" s="133"/>
      <c r="J730" s="133"/>
      <c r="K730" s="133" t="str">
        <f>IFERROR(__xludf.DUMMYFUNCTION("""COMPUTED_VALUE"""),"يانتاي هوس بت فود تك كو")</f>
        <v>يانتاي هوس بت فود تك كو</v>
      </c>
      <c r="L730" s="142" t="str">
        <f>IFERROR(__xludf.DUMMYFUNCTION("""COMPUTED_VALUE"""),"482785")</f>
        <v>482785</v>
      </c>
      <c r="M730" s="133"/>
      <c r="N730" s="133"/>
      <c r="O730" s="133"/>
      <c r="P730" s="133"/>
      <c r="Q730" s="133"/>
      <c r="R730" s="133"/>
      <c r="S730" s="133"/>
      <c r="T730" s="133"/>
      <c r="U730" s="133"/>
      <c r="V730" s="133"/>
      <c r="W730" s="133"/>
      <c r="X730" s="133"/>
      <c r="Y730" s="133"/>
      <c r="Z730" s="133"/>
    </row>
    <row r="731">
      <c r="A731" s="133">
        <f>IFERROR(__xludf.DUMMYFUNCTION("""COMPUTED_VALUE"""),730.0)</f>
        <v>730</v>
      </c>
      <c r="B731" s="133" t="str">
        <f>IFERROR(__xludf.DUMMYFUNCTION("""COMPUTED_VALUE"""),"482786")</f>
        <v>482786</v>
      </c>
      <c r="C731" s="133" t="str">
        <f>IFERROR(__xludf.DUMMYFUNCTION("""COMPUTED_VALUE"""),"P-1-N-170621-3661")</f>
        <v>P-1-N-170621-3661</v>
      </c>
      <c r="D731" s="133"/>
      <c r="E731" s="133" t="str">
        <f>IFERROR(__xludf.DUMMYFUNCTION("""COMPUTED_VALUE"""),"تمت طباعة الشهادة")</f>
        <v>تمت طباعة الشهادة</v>
      </c>
      <c r="F731" s="133" t="str">
        <f>IFERROR(__xludf.DUMMYFUNCTION("""COMPUTED_VALUE"""),"Snack Chicken Sushi 100g Rich in Chicken")</f>
        <v>Snack Chicken Sushi 100g Rich in Chicken</v>
      </c>
      <c r="G731" s="133" t="str">
        <f>IFERROR(__xludf.DUMMYFUNCTION("""COMPUTED_VALUE"""),"سناك سوشي 100جم غني بالدجاج")</f>
        <v>سناك سوشي 100جم غني بالدجاج</v>
      </c>
      <c r="H731" s="133" t="str">
        <f>IFERROR(__xludf.DUMMYFUNCTION("""COMPUTED_VALUE"""),"MAFE20212099")</f>
        <v>MAFE20212099</v>
      </c>
      <c r="I731" s="133"/>
      <c r="J731" s="133"/>
      <c r="K731" s="133" t="str">
        <f>IFERROR(__xludf.DUMMYFUNCTION("""COMPUTED_VALUE"""),"يانتاي هوس بت فود تك كو")</f>
        <v>يانتاي هوس بت فود تك كو</v>
      </c>
      <c r="L731" s="142" t="str">
        <f>IFERROR(__xludf.DUMMYFUNCTION("""COMPUTED_VALUE"""),"482786")</f>
        <v>482786</v>
      </c>
      <c r="M731" s="133"/>
      <c r="N731" s="133"/>
      <c r="O731" s="133"/>
      <c r="P731" s="133"/>
      <c r="Q731" s="133"/>
      <c r="R731" s="133"/>
      <c r="S731" s="133"/>
      <c r="T731" s="133"/>
      <c r="U731" s="133"/>
      <c r="V731" s="133"/>
      <c r="W731" s="133"/>
      <c r="X731" s="133"/>
      <c r="Y731" s="133"/>
      <c r="Z731" s="133"/>
    </row>
    <row r="732">
      <c r="A732" s="133">
        <f>IFERROR(__xludf.DUMMYFUNCTION("""COMPUTED_VALUE"""),731.0)</f>
        <v>731</v>
      </c>
      <c r="B732" s="133" t="str">
        <f>IFERROR(__xludf.DUMMYFUNCTION("""COMPUTED_VALUE"""),"582150")</f>
        <v>582150</v>
      </c>
      <c r="C732" s="133" t="str">
        <f>IFERROR(__xludf.DUMMYFUNCTION("""COMPUTED_VALUE"""),"P-1-N-170621-3662")</f>
        <v>P-1-N-170621-3662</v>
      </c>
      <c r="D732" s="133"/>
      <c r="E732" s="133" t="str">
        <f>IFERROR(__xludf.DUMMYFUNCTION("""COMPUTED_VALUE"""),"تمت طباعة الشهادة")</f>
        <v>تمت طباعة الشهادة</v>
      </c>
      <c r="F732" s="133" t="str">
        <f>IFERROR(__xludf.DUMMYFUNCTION("""COMPUTED_VALUE"""),"Snack Mini Chicken Fillets 50g Rich in Chicken")</f>
        <v>Snack Mini Chicken Fillets 50g Rich in Chicken</v>
      </c>
      <c r="G732" s="133" t="str">
        <f>IFERROR(__xludf.DUMMYFUNCTION("""COMPUTED_VALUE"""),"سناك ميني دجاج فيليه 50جم غني بالدجاج")</f>
        <v>سناك ميني دجاج فيليه 50جم غني بالدجاج</v>
      </c>
      <c r="H732" s="133" t="str">
        <f>IFERROR(__xludf.DUMMYFUNCTION("""COMPUTED_VALUE"""),"MAFE20212098")</f>
        <v>MAFE20212098</v>
      </c>
      <c r="I732" s="133"/>
      <c r="J732" s="133"/>
      <c r="K732" s="133" t="str">
        <f>IFERROR(__xludf.DUMMYFUNCTION("""COMPUTED_VALUE"""),"يانتاي هوس بت فود تك كو")</f>
        <v>يانتاي هوس بت فود تك كو</v>
      </c>
      <c r="L732" s="142" t="str">
        <f>IFERROR(__xludf.DUMMYFUNCTION("""COMPUTED_VALUE"""),"582150")</f>
        <v>582150</v>
      </c>
      <c r="M732" s="133"/>
      <c r="N732" s="133"/>
      <c r="O732" s="133"/>
      <c r="P732" s="133"/>
      <c r="Q732" s="133"/>
      <c r="R732" s="133"/>
      <c r="S732" s="133"/>
      <c r="T732" s="133"/>
      <c r="U732" s="133"/>
      <c r="V732" s="133"/>
      <c r="W732" s="133"/>
      <c r="X732" s="133"/>
      <c r="Y732" s="133"/>
      <c r="Z732" s="133"/>
    </row>
    <row r="733">
      <c r="A733" s="133">
        <f>IFERROR(__xludf.DUMMYFUNCTION("""COMPUTED_VALUE"""),732.0)</f>
        <v>732</v>
      </c>
      <c r="B733" s="133" t="str">
        <f>IFERROR(__xludf.DUMMYFUNCTION("""COMPUTED_VALUE"""),"582151")</f>
        <v>582151</v>
      </c>
      <c r="C733" s="133" t="str">
        <f>IFERROR(__xludf.DUMMYFUNCTION("""COMPUTED_VALUE"""),"P-1-N-170621-3663")</f>
        <v>P-1-N-170621-3663</v>
      </c>
      <c r="D733" s="133"/>
      <c r="E733" s="133" t="str">
        <f>IFERROR(__xludf.DUMMYFUNCTION("""COMPUTED_VALUE"""),"تمت طباعة الشهادة")</f>
        <v>تمت طباعة الشهادة</v>
      </c>
      <c r="F733" s="133" t="str">
        <f>IFERROR(__xludf.DUMMYFUNCTION("""COMPUTED_VALUE"""),"Snack Mini Duck Slices 50g Rich in Duck")</f>
        <v>Snack Mini Duck Slices 50g Rich in Duck</v>
      </c>
      <c r="G733" s="133" t="str">
        <f>IFERROR(__xludf.DUMMYFUNCTION("""COMPUTED_VALUE"""),"سناك ميني بط شرائح 50جم غني بالبط")</f>
        <v>سناك ميني بط شرائح 50جم غني بالبط</v>
      </c>
      <c r="H733" s="133" t="str">
        <f>IFERROR(__xludf.DUMMYFUNCTION("""COMPUTED_VALUE"""),"MAFE20212097")</f>
        <v>MAFE20212097</v>
      </c>
      <c r="I733" s="133"/>
      <c r="J733" s="133"/>
      <c r="K733" s="133" t="str">
        <f>IFERROR(__xludf.DUMMYFUNCTION("""COMPUTED_VALUE"""),"يانتاي هوس بت فود تك كو")</f>
        <v>يانتاي هوس بت فود تك كو</v>
      </c>
      <c r="L733" s="142" t="str">
        <f>IFERROR(__xludf.DUMMYFUNCTION("""COMPUTED_VALUE"""),"582151")</f>
        <v>582151</v>
      </c>
      <c r="M733" s="133"/>
      <c r="N733" s="133"/>
      <c r="O733" s="133"/>
      <c r="P733" s="133"/>
      <c r="Q733" s="133"/>
      <c r="R733" s="133"/>
      <c r="S733" s="133"/>
      <c r="T733" s="133"/>
      <c r="U733" s="133"/>
      <c r="V733" s="133"/>
      <c r="W733" s="133"/>
      <c r="X733" s="133"/>
      <c r="Y733" s="133"/>
      <c r="Z733" s="133"/>
    </row>
    <row r="734">
      <c r="A734" s="133">
        <f>IFERROR(__xludf.DUMMYFUNCTION("""COMPUTED_VALUE"""),733.0)</f>
        <v>733</v>
      </c>
      <c r="B734" s="133" t="str">
        <f>IFERROR(__xludf.DUMMYFUNCTION("""COMPUTED_VALUE"""),"582152")</f>
        <v>582152</v>
      </c>
      <c r="C734" s="133" t="str">
        <f>IFERROR(__xludf.DUMMYFUNCTION("""COMPUTED_VALUE"""),"P-1-N-170621-3664")</f>
        <v>P-1-N-170621-3664</v>
      </c>
      <c r="D734" s="133"/>
      <c r="E734" s="133" t="str">
        <f>IFERROR(__xludf.DUMMYFUNCTION("""COMPUTED_VALUE"""),"تمت طباعة الشهادة")</f>
        <v>تمت طباعة الشهادة</v>
      </c>
      <c r="F734" s="133" t="str">
        <f>IFERROR(__xludf.DUMMYFUNCTION("""COMPUTED_VALUE"""),"Snack Mini Chicken Sandwich 50g Rich in Chicken")</f>
        <v>Snack Mini Chicken Sandwich 50g Rich in Chicken</v>
      </c>
      <c r="G734" s="133" t="str">
        <f>IFERROR(__xludf.DUMMYFUNCTION("""COMPUTED_VALUE"""),"سناك ميني دجاج ساندويش 50جم غني بالدجاج")</f>
        <v>سناك ميني دجاج ساندويش 50جم غني بالدجاج</v>
      </c>
      <c r="H734" s="133" t="str">
        <f>IFERROR(__xludf.DUMMYFUNCTION("""COMPUTED_VALUE"""),"MAFE20212096")</f>
        <v>MAFE20212096</v>
      </c>
      <c r="I734" s="133"/>
      <c r="J734" s="133"/>
      <c r="K734" s="133" t="str">
        <f>IFERROR(__xludf.DUMMYFUNCTION("""COMPUTED_VALUE"""),"يانتاي هوس بت فود تك كو")</f>
        <v>يانتاي هوس بت فود تك كو</v>
      </c>
      <c r="L734" s="142" t="str">
        <f>IFERROR(__xludf.DUMMYFUNCTION("""COMPUTED_VALUE"""),"582152")</f>
        <v>582152</v>
      </c>
      <c r="M734" s="133"/>
      <c r="N734" s="133"/>
      <c r="O734" s="133"/>
      <c r="P734" s="133"/>
      <c r="Q734" s="133"/>
      <c r="R734" s="133"/>
      <c r="S734" s="133"/>
      <c r="T734" s="133"/>
      <c r="U734" s="133"/>
      <c r="V734" s="133"/>
      <c r="W734" s="133"/>
      <c r="X734" s="133"/>
      <c r="Y734" s="133"/>
      <c r="Z734" s="133"/>
    </row>
    <row r="735">
      <c r="A735" s="133">
        <f>IFERROR(__xludf.DUMMYFUNCTION("""COMPUTED_VALUE"""),734.0)</f>
        <v>734</v>
      </c>
      <c r="B735" s="133" t="str">
        <f>IFERROR(__xludf.DUMMYFUNCTION("""COMPUTED_VALUE"""),"582153")</f>
        <v>582153</v>
      </c>
      <c r="C735" s="133" t="str">
        <f>IFERROR(__xludf.DUMMYFUNCTION("""COMPUTED_VALUE"""),"P-1-N-170621-3665")</f>
        <v>P-1-N-170621-3665</v>
      </c>
      <c r="D735" s="133"/>
      <c r="E735" s="133" t="str">
        <f>IFERROR(__xludf.DUMMYFUNCTION("""COMPUTED_VALUE"""),"تمت طباعة الشهادة")</f>
        <v>تمت طباعة الشهادة</v>
      </c>
      <c r="F735" s="133" t="str">
        <f>IFERROR(__xludf.DUMMYFUNCTION("""COMPUTED_VALUE"""),"Snack Mini Chicken Sushi 50g Rich in Chicken")</f>
        <v>Snack Mini Chicken Sushi 50g Rich in Chicken</v>
      </c>
      <c r="G735" s="133" t="str">
        <f>IFERROR(__xludf.DUMMYFUNCTION("""COMPUTED_VALUE"""),"سناك ميني دجاج سوشي 50 جم غني بالدجاج")</f>
        <v>سناك ميني دجاج سوشي 50 جم غني بالدجاج</v>
      </c>
      <c r="H735" s="133" t="str">
        <f>IFERROR(__xludf.DUMMYFUNCTION("""COMPUTED_VALUE"""),"MAFE20212095")</f>
        <v>MAFE20212095</v>
      </c>
      <c r="I735" s="133"/>
      <c r="J735" s="133"/>
      <c r="K735" s="133" t="str">
        <f>IFERROR(__xludf.DUMMYFUNCTION("""COMPUTED_VALUE"""),"سناك ميني دجاج سوشي 50 جم غني بالدجاج")</f>
        <v>سناك ميني دجاج سوشي 50 جم غني بالدجاج</v>
      </c>
      <c r="L735" s="142" t="str">
        <f>IFERROR(__xludf.DUMMYFUNCTION("""COMPUTED_VALUE"""),"582153")</f>
        <v>582153</v>
      </c>
      <c r="M735" s="133"/>
      <c r="N735" s="133"/>
      <c r="O735" s="133"/>
      <c r="P735" s="133"/>
      <c r="Q735" s="133"/>
      <c r="R735" s="133"/>
      <c r="S735" s="133"/>
      <c r="T735" s="133"/>
      <c r="U735" s="133"/>
      <c r="V735" s="133"/>
      <c r="W735" s="133"/>
      <c r="X735" s="133"/>
      <c r="Y735" s="133"/>
      <c r="Z735" s="133"/>
    </row>
    <row r="736">
      <c r="A736" s="133">
        <f>IFERROR(__xludf.DUMMYFUNCTION("""COMPUTED_VALUE"""),735.0)</f>
        <v>735</v>
      </c>
      <c r="B736" s="133" t="str">
        <f>IFERROR(__xludf.DUMMYFUNCTION("""COMPUTED_VALUE"""),"1001006")</f>
        <v>1001006</v>
      </c>
      <c r="C736" s="133" t="str">
        <f>IFERROR(__xludf.DUMMYFUNCTION("""COMPUTED_VALUE"""),"P-1-N-200621-3701")</f>
        <v>P-1-N-200621-3701</v>
      </c>
      <c r="D736" s="133"/>
      <c r="E736" s="133" t="str">
        <f>IFERROR(__xludf.DUMMYFUNCTION("""COMPUTED_VALUE"""),"تمت طباعة الشهادة")</f>
        <v>تمت طباعة الشهادة</v>
      </c>
      <c r="F736" s="133" t="str">
        <f>IFERROR(__xludf.DUMMYFUNCTION("""COMPUTED_VALUE"""),"Nutri-Vet Hairball Chicken Paw Gel for Cats 89ml")</f>
        <v>Nutri-Vet Hairball Chicken Paw Gel for Cats 89ml</v>
      </c>
      <c r="G736" s="133" t="str">
        <f>IFERROR(__xludf.DUMMYFUNCTION("""COMPUTED_VALUE"""),"نيوتري-فيت كرة الشعر باو جل بالدجاج للقطط 89 مل")</f>
        <v>نيوتري-فيت كرة الشعر باو جل بالدجاج للقطط 89 مل</v>
      </c>
      <c r="H736" s="133" t="str">
        <f>IFERROR(__xludf.DUMMYFUNCTION("""COMPUTED_VALUE"""),"MAFE20212093")</f>
        <v>MAFE20212093</v>
      </c>
      <c r="I736" s="133"/>
      <c r="J736" s="133"/>
      <c r="K736" s="133" t="str">
        <f>IFERROR(__xludf.DUMMYFUNCTION("""COMPUTED_VALUE"""),"شركة منتجات مانا برو ذات المسؤولية المحدودة")</f>
        <v>شركة منتجات مانا برو ذات المسؤولية المحدودة</v>
      </c>
      <c r="L736" s="142" t="str">
        <f>IFERROR(__xludf.DUMMYFUNCTION("""COMPUTED_VALUE"""),"1001006")</f>
        <v>1001006</v>
      </c>
      <c r="M736" s="133"/>
      <c r="N736" s="133"/>
      <c r="O736" s="133"/>
      <c r="P736" s="133"/>
      <c r="Q736" s="133"/>
      <c r="R736" s="133"/>
      <c r="S736" s="133"/>
      <c r="T736" s="133"/>
      <c r="U736" s="133"/>
      <c r="V736" s="133"/>
      <c r="W736" s="133"/>
      <c r="X736" s="133"/>
      <c r="Y736" s="133"/>
      <c r="Z736" s="133"/>
    </row>
    <row r="737">
      <c r="A737" s="133">
        <f>IFERROR(__xludf.DUMMYFUNCTION("""COMPUTED_VALUE"""),736.0)</f>
        <v>736</v>
      </c>
      <c r="B737" s="133" t="str">
        <f>IFERROR(__xludf.DUMMYFUNCTION("""COMPUTED_VALUE"""),"1001009")</f>
        <v>1001009</v>
      </c>
      <c r="C737" s="133" t="str">
        <f>IFERROR(__xludf.DUMMYFUNCTION("""COMPUTED_VALUE"""),"P-1-N-200621-3705")</f>
        <v>P-1-N-200621-3705</v>
      </c>
      <c r="D737" s="133"/>
      <c r="E737" s="133" t="str">
        <f>IFERROR(__xludf.DUMMYFUNCTION("""COMPUTED_VALUE"""),"تمت طباعة الشهادة")</f>
        <v>تمت طباعة الشهادة</v>
      </c>
      <c r="F737" s="133" t="str">
        <f>IFERROR(__xludf.DUMMYFUNCTION("""COMPUTED_VALUE"""),"Nutri-Vet Hip and Joint Paw Gel for Cats 89ml")</f>
        <v>Nutri-Vet Hip and Joint Paw Gel for Cats 89ml</v>
      </c>
      <c r="G737" s="133" t="str">
        <f>IFERROR(__xludf.DUMMYFUNCTION("""COMPUTED_VALUE"""),"نيوتري-فيت الورك والمفاصل باو جل للقطط 89 مل")</f>
        <v>نيوتري-فيت الورك والمفاصل باو جل للقطط 89 مل</v>
      </c>
      <c r="H737" s="133" t="str">
        <f>IFERROR(__xludf.DUMMYFUNCTION("""COMPUTED_VALUE"""),"MAFE20212092")</f>
        <v>MAFE20212092</v>
      </c>
      <c r="I737" s="133"/>
      <c r="J737" s="133"/>
      <c r="K737" s="133" t="str">
        <f>IFERROR(__xludf.DUMMYFUNCTION("""COMPUTED_VALUE"""),"Agency")</f>
        <v>Agency</v>
      </c>
      <c r="L737" s="142" t="str">
        <f>IFERROR(__xludf.DUMMYFUNCTION("""COMPUTED_VALUE"""),"1001009")</f>
        <v>1001009</v>
      </c>
      <c r="M737" s="133"/>
      <c r="N737" s="133"/>
      <c r="O737" s="133"/>
      <c r="P737" s="133"/>
      <c r="Q737" s="133"/>
      <c r="R737" s="133"/>
      <c r="S737" s="133"/>
      <c r="T737" s="133"/>
      <c r="U737" s="133"/>
      <c r="V737" s="133"/>
      <c r="W737" s="133"/>
      <c r="X737" s="133"/>
      <c r="Y737" s="133"/>
      <c r="Z737" s="133"/>
    </row>
    <row r="738">
      <c r="A738" s="133">
        <f>IFERROR(__xludf.DUMMYFUNCTION("""COMPUTED_VALUE"""),737.0)</f>
        <v>737</v>
      </c>
      <c r="B738" s="133" t="str">
        <f>IFERROR(__xludf.DUMMYFUNCTION("""COMPUTED_VALUE"""),"1001014")</f>
        <v>1001014</v>
      </c>
      <c r="C738" s="133" t="str">
        <f>IFERROR(__xludf.DUMMYFUNCTION("""COMPUTED_VALUE"""),"P-1-N-200621-3707")</f>
        <v>P-1-N-200621-3707</v>
      </c>
      <c r="D738" s="133"/>
      <c r="E738" s="133" t="str">
        <f>IFERROR(__xludf.DUMMYFUNCTION("""COMPUTED_VALUE"""),"تمت طباعة الشهادة")</f>
        <v>تمت طباعة الشهادة</v>
      </c>
      <c r="F738" s="133" t="str">
        <f>IFERROR(__xludf.DUMMYFUNCTION("""COMPUTED_VALUE"""),"Nutri-Vet Multi-Vite Paw-Gel for Cats 89ml")</f>
        <v>Nutri-Vet Multi-Vite Paw-Gel for Cats 89ml</v>
      </c>
      <c r="G738" s="133" t="str">
        <f>IFERROR(__xludf.DUMMYFUNCTION("""COMPUTED_VALUE"""),"نيوتري-فيت مولتي-فايت باو جل للقطط 89 مل")</f>
        <v>نيوتري-فيت مولتي-فايت باو جل للقطط 89 مل</v>
      </c>
      <c r="H738" s="133" t="str">
        <f>IFERROR(__xludf.DUMMYFUNCTION("""COMPUTED_VALUE"""),"MAFE20212091")</f>
        <v>MAFE20212091</v>
      </c>
      <c r="I738" s="133"/>
      <c r="J738" s="133"/>
      <c r="K738" s="133" t="str">
        <f>IFERROR(__xludf.DUMMYFUNCTION("""COMPUTED_VALUE"""),"شركة منتجات مانا برو ذات المسؤولية المحدودة")</f>
        <v>شركة منتجات مانا برو ذات المسؤولية المحدودة</v>
      </c>
      <c r="L738" s="142" t="str">
        <f>IFERROR(__xludf.DUMMYFUNCTION("""COMPUTED_VALUE"""),"1001014")</f>
        <v>1001014</v>
      </c>
      <c r="M738" s="133"/>
      <c r="N738" s="133"/>
      <c r="O738" s="133"/>
      <c r="P738" s="133"/>
      <c r="Q738" s="133"/>
      <c r="R738" s="133"/>
      <c r="S738" s="133"/>
      <c r="T738" s="133"/>
      <c r="U738" s="133"/>
      <c r="V738" s="133"/>
      <c r="W738" s="133"/>
      <c r="X738" s="133"/>
      <c r="Y738" s="133"/>
      <c r="Z738" s="133"/>
    </row>
    <row r="739">
      <c r="A739" s="133">
        <f>IFERROR(__xludf.DUMMYFUNCTION("""COMPUTED_VALUE"""),738.0)</f>
        <v>738</v>
      </c>
      <c r="B739" s="133" t="str">
        <f>IFERROR(__xludf.DUMMYFUNCTION("""COMPUTED_VALUE"""),"1001015")</f>
        <v>1001015</v>
      </c>
      <c r="C739" s="133" t="str">
        <f>IFERROR(__xludf.DUMMYFUNCTION("""COMPUTED_VALUE"""),"P-1-N-210621-3719")</f>
        <v>P-1-N-210621-3719</v>
      </c>
      <c r="D739" s="133"/>
      <c r="E739" s="133" t="str">
        <f>IFERROR(__xludf.DUMMYFUNCTION("""COMPUTED_VALUE"""),"تمت طباعة الشهادة")</f>
        <v>تمت طباعة الشهادة</v>
      </c>
      <c r="F739" s="133" t="str">
        <f>IFERROR(__xludf.DUMMYFUNCTION("""COMPUTED_VALUE"""),"Nutri-Vet Pet-Ease Paw-Gel for Cats 89ml")</f>
        <v>Nutri-Vet Pet-Ease Paw-Gel for Cats 89ml</v>
      </c>
      <c r="G739" s="133" t="str">
        <f>IFERROR(__xludf.DUMMYFUNCTION("""COMPUTED_VALUE"""),"نيوتري-فيت بت-ايز باو جل للقطط 89 مل")</f>
        <v>نيوتري-فيت بت-ايز باو جل للقطط 89 مل</v>
      </c>
      <c r="H739" s="133" t="str">
        <f>IFERROR(__xludf.DUMMYFUNCTION("""COMPUTED_VALUE"""),"MAFE20212139")</f>
        <v>MAFE20212139</v>
      </c>
      <c r="I739" s="133"/>
      <c r="J739" s="133"/>
      <c r="K739" s="133" t="str">
        <f>IFERROR(__xludf.DUMMYFUNCTION("""COMPUTED_VALUE"""),"شركة منتجات مانا برو ذات المسؤولية المحدودة")</f>
        <v>شركة منتجات مانا برو ذات المسؤولية المحدودة</v>
      </c>
      <c r="L739" s="142" t="str">
        <f>IFERROR(__xludf.DUMMYFUNCTION("""COMPUTED_VALUE"""),"1001015")</f>
        <v>1001015</v>
      </c>
      <c r="M739" s="133"/>
      <c r="N739" s="133"/>
      <c r="O739" s="133"/>
      <c r="P739" s="133"/>
      <c r="Q739" s="133"/>
      <c r="R739" s="133"/>
      <c r="S739" s="133"/>
      <c r="T739" s="133"/>
      <c r="U739" s="133"/>
      <c r="V739" s="133"/>
      <c r="W739" s="133"/>
      <c r="X739" s="133"/>
      <c r="Y739" s="133"/>
      <c r="Z739" s="133"/>
    </row>
    <row r="740">
      <c r="A740" s="133">
        <f>IFERROR(__xludf.DUMMYFUNCTION("""COMPUTED_VALUE"""),739.0)</f>
        <v>739</v>
      </c>
      <c r="B740" s="133" t="str">
        <f>IFERROR(__xludf.DUMMYFUNCTION("""COMPUTED_VALUE"""),"1001017")</f>
        <v>1001017</v>
      </c>
      <c r="C740" s="133" t="str">
        <f>IFERROR(__xludf.DUMMYFUNCTION("""COMPUTED_VALUE"""),"P-1-N-210621-3721")</f>
        <v>P-1-N-210621-3721</v>
      </c>
      <c r="D740" s="133"/>
      <c r="E740" s="133" t="str">
        <f>IFERROR(__xludf.DUMMYFUNCTION("""COMPUTED_VALUE"""),"تمت طباعة الشهادة")</f>
        <v>تمت طباعة الشهادة</v>
      </c>
      <c r="F740" s="133" t="str">
        <f>IFERROR(__xludf.DUMMYFUNCTION("""COMPUTED_VALUE"""),"Nutri-Vet Hairball Salmon Paw Gel for Cats 89ml")</f>
        <v>Nutri-Vet Hairball Salmon Paw Gel for Cats 89ml</v>
      </c>
      <c r="G740" s="133" t="str">
        <f>IFERROR(__xludf.DUMMYFUNCTION("""COMPUTED_VALUE"""),"نيوتري-فيت كرة الشعر باو جل بالسلمون للقطط 89 مل")</f>
        <v>نيوتري-فيت كرة الشعر باو جل بالسلمون للقطط 89 مل</v>
      </c>
      <c r="H740" s="133" t="str">
        <f>IFERROR(__xludf.DUMMYFUNCTION("""COMPUTED_VALUE"""),"MAFE20212138")</f>
        <v>MAFE20212138</v>
      </c>
      <c r="I740" s="133"/>
      <c r="J740" s="133"/>
      <c r="K740" s="133" t="str">
        <f>IFERROR(__xludf.DUMMYFUNCTION("""COMPUTED_VALUE"""),"شركة منتجات مانا برو ذات المسؤولية المحدودة")</f>
        <v>شركة منتجات مانا برو ذات المسؤولية المحدودة</v>
      </c>
      <c r="L740" s="142" t="str">
        <f>IFERROR(__xludf.DUMMYFUNCTION("""COMPUTED_VALUE"""),"1001017")</f>
        <v>1001017</v>
      </c>
      <c r="M740" s="133"/>
      <c r="N740" s="133"/>
      <c r="O740" s="133"/>
      <c r="P740" s="133"/>
      <c r="Q740" s="133"/>
      <c r="R740" s="133"/>
      <c r="S740" s="133"/>
      <c r="T740" s="133"/>
      <c r="U740" s="133"/>
      <c r="V740" s="133"/>
      <c r="W740" s="133"/>
      <c r="X740" s="133"/>
      <c r="Y740" s="133"/>
      <c r="Z740" s="133"/>
    </row>
    <row r="741">
      <c r="A741" s="133">
        <f>IFERROR(__xludf.DUMMYFUNCTION("""COMPUTED_VALUE"""),740.0)</f>
        <v>740</v>
      </c>
      <c r="B741" s="133" t="str">
        <f>IFERROR(__xludf.DUMMYFUNCTION("""COMPUTED_VALUE"""),"1001021")</f>
        <v>1001021</v>
      </c>
      <c r="C741" s="133" t="str">
        <f>IFERROR(__xludf.DUMMYFUNCTION("""COMPUTED_VALUE"""),"P-1-N-210621-3722")</f>
        <v>P-1-N-210621-3722</v>
      </c>
      <c r="D741" s="133"/>
      <c r="E741" s="133" t="str">
        <f>IFERROR(__xludf.DUMMYFUNCTION("""COMPUTED_VALUE"""),"تمت طباعة الشهادة")</f>
        <v>تمت طباعة الشهادة</v>
      </c>
      <c r="F741" s="133" t="str">
        <f>IFERROR(__xludf.DUMMYFUNCTION("""COMPUTED_VALUE"""),"Nutri-Vet Wild Alaskan Salmon Oil for Cats 118ml")</f>
        <v>Nutri-Vet Wild Alaskan Salmon Oil for Cats 118ml</v>
      </c>
      <c r="G741" s="133" t="str">
        <f>IFERROR(__xludf.DUMMYFUNCTION("""COMPUTED_VALUE"""),"نيوتري-فيت زيت السلمون البري من ألاسكا للقطط 118 مل")</f>
        <v>نيوتري-فيت زيت السلمون البري من ألاسكا للقطط 118 مل</v>
      </c>
      <c r="H741" s="133" t="str">
        <f>IFERROR(__xludf.DUMMYFUNCTION("""COMPUTED_VALUE"""),"MAFE20212137")</f>
        <v>MAFE20212137</v>
      </c>
      <c r="I741" s="133"/>
      <c r="J741" s="133"/>
      <c r="K741" s="133" t="str">
        <f>IFERROR(__xludf.DUMMYFUNCTION("""COMPUTED_VALUE"""),"شركة منتجات مانا برو ذات المسؤولية المحدودة")</f>
        <v>شركة منتجات مانا برو ذات المسؤولية المحدودة</v>
      </c>
      <c r="L741" s="142" t="str">
        <f>IFERROR(__xludf.DUMMYFUNCTION("""COMPUTED_VALUE"""),"1001021")</f>
        <v>1001021</v>
      </c>
      <c r="M741" s="133"/>
      <c r="N741" s="133"/>
      <c r="O741" s="133"/>
      <c r="P741" s="133"/>
      <c r="Q741" s="133"/>
      <c r="R741" s="133"/>
      <c r="S741" s="133"/>
      <c r="T741" s="133"/>
      <c r="U741" s="133"/>
      <c r="V741" s="133"/>
      <c r="W741" s="133"/>
      <c r="X741" s="133"/>
      <c r="Y741" s="133"/>
      <c r="Z741" s="133"/>
    </row>
    <row r="742">
      <c r="A742" s="133">
        <f>IFERROR(__xludf.DUMMYFUNCTION("""COMPUTED_VALUE"""),741.0)</f>
        <v>741</v>
      </c>
      <c r="B742" s="133" t="str">
        <f>IFERROR(__xludf.DUMMYFUNCTION("""COMPUTED_VALUE"""),"1001036")</f>
        <v>1001036</v>
      </c>
      <c r="C742" s="133" t="str">
        <f>IFERROR(__xludf.DUMMYFUNCTION("""COMPUTED_VALUE"""),"P-1-N-210621-3724")</f>
        <v>P-1-N-210621-3724</v>
      </c>
      <c r="D742" s="133"/>
      <c r="E742" s="133" t="str">
        <f>IFERROR(__xludf.DUMMYFUNCTION("""COMPUTED_VALUE"""),"تمت طباعة الشهادة")</f>
        <v>تمت طباعة الشهادة</v>
      </c>
      <c r="F742" s="133" t="str">
        <f>IFERROR(__xludf.DUMMYFUNCTION("""COMPUTED_VALUE"""),"Nutri-Vet Breath and Tartar Biscuits for Dogs 553g")</f>
        <v>Nutri-Vet Breath and Tartar Biscuits for Dogs 553g</v>
      </c>
      <c r="G742" s="133" t="str">
        <f>IFERROR(__xludf.DUMMYFUNCTION("""COMPUTED_VALUE"""),"نيوتري-فيت بسكويت للتنفس والجير للكلاب 553 جم")</f>
        <v>نيوتري-فيت بسكويت للتنفس والجير للكلاب 553 جم</v>
      </c>
      <c r="H742" s="133" t="str">
        <f>IFERROR(__xludf.DUMMYFUNCTION("""COMPUTED_VALUE"""),"MAFE20212163")</f>
        <v>MAFE20212163</v>
      </c>
      <c r="I742" s="133"/>
      <c r="J742" s="133"/>
      <c r="K742" s="133" t="str">
        <f>IFERROR(__xludf.DUMMYFUNCTION("""COMPUTED_VALUE"""),"شركة منتجات مانا برو ذات المسؤولية المحدودة")</f>
        <v>شركة منتجات مانا برو ذات المسؤولية المحدودة</v>
      </c>
      <c r="L742" s="142" t="str">
        <f>IFERROR(__xludf.DUMMYFUNCTION("""COMPUTED_VALUE"""),"1001036")</f>
        <v>1001036</v>
      </c>
      <c r="M742" s="133"/>
      <c r="N742" s="133"/>
      <c r="O742" s="133"/>
      <c r="P742" s="133"/>
      <c r="Q742" s="133"/>
      <c r="R742" s="133"/>
      <c r="S742" s="133"/>
      <c r="T742" s="133"/>
      <c r="U742" s="133"/>
      <c r="V742" s="133"/>
      <c r="W742" s="133"/>
      <c r="X742" s="133"/>
      <c r="Y742" s="133"/>
      <c r="Z742" s="133"/>
    </row>
    <row r="743">
      <c r="A743" s="133">
        <f>IFERROR(__xludf.DUMMYFUNCTION("""COMPUTED_VALUE"""),742.0)</f>
        <v>742</v>
      </c>
      <c r="B743" s="133" t="str">
        <f>IFERROR(__xludf.DUMMYFUNCTION("""COMPUTED_VALUE"""),"1001060")</f>
        <v>1001060</v>
      </c>
      <c r="C743" s="133" t="str">
        <f>IFERROR(__xludf.DUMMYFUNCTION("""COMPUTED_VALUE"""),"P-1-N-210621-3727")</f>
        <v>P-1-N-210621-3727</v>
      </c>
      <c r="D743" s="133"/>
      <c r="E743" s="133" t="str">
        <f>IFERROR(__xludf.DUMMYFUNCTION("""COMPUTED_VALUE"""),"تمت طباعة الشهادة")</f>
        <v>تمت طباعة الشهادة</v>
      </c>
      <c r="F743" s="133" t="str">
        <f>IFERROR(__xludf.DUMMYFUNCTION("""COMPUTED_VALUE"""),"Nutri-Vet Hip and Joint Biscuits for Dogs 553g")</f>
        <v>Nutri-Vet Hip and Joint Biscuits for Dogs 553g</v>
      </c>
      <c r="G743" s="133" t="str">
        <f>IFERROR(__xludf.DUMMYFUNCTION("""COMPUTED_VALUE"""),"نيوتري-فيت بسكويت الورك والمفاصل للكلاب 553 جم")</f>
        <v>نيوتري-فيت بسكويت الورك والمفاصل للكلاب 553 جم</v>
      </c>
      <c r="H743" s="133" t="str">
        <f>IFERROR(__xludf.DUMMYFUNCTION("""COMPUTED_VALUE"""),"MAFE20212136")</f>
        <v>MAFE20212136</v>
      </c>
      <c r="I743" s="133"/>
      <c r="J743" s="133"/>
      <c r="K743" s="133" t="str">
        <f>IFERROR(__xludf.DUMMYFUNCTION("""COMPUTED_VALUE"""),"شركة منتجات مانا برو ذات المسؤولية المحدودة")</f>
        <v>شركة منتجات مانا برو ذات المسؤولية المحدودة</v>
      </c>
      <c r="L743" s="142" t="str">
        <f>IFERROR(__xludf.DUMMYFUNCTION("""COMPUTED_VALUE"""),"1001060")</f>
        <v>1001060</v>
      </c>
      <c r="M743" s="133"/>
      <c r="N743" s="133"/>
      <c r="O743" s="133"/>
      <c r="P743" s="133"/>
      <c r="Q743" s="133"/>
      <c r="R743" s="133"/>
      <c r="S743" s="133"/>
      <c r="T743" s="133"/>
      <c r="U743" s="133"/>
      <c r="V743" s="133"/>
      <c r="W743" s="133"/>
      <c r="X743" s="133"/>
      <c r="Y743" s="133"/>
      <c r="Z743" s="133"/>
    </row>
    <row r="744">
      <c r="A744" s="133">
        <f>IFERROR(__xludf.DUMMYFUNCTION("""COMPUTED_VALUE"""),743.0)</f>
        <v>743</v>
      </c>
      <c r="B744" s="133" t="str">
        <f>IFERROR(__xludf.DUMMYFUNCTION("""COMPUTED_VALUE"""),"1001061")</f>
        <v>1001061</v>
      </c>
      <c r="C744" s="133" t="str">
        <f>IFERROR(__xludf.DUMMYFUNCTION("""COMPUTED_VALUE"""),"P-1-N-210621-3728")</f>
        <v>P-1-N-210621-3728</v>
      </c>
      <c r="D744" s="133"/>
      <c r="E744" s="133" t="str">
        <f>IFERROR(__xludf.DUMMYFUNCTION("""COMPUTED_VALUE"""),"تمت طباعة الشهادة")</f>
        <v>تمت طباعة الشهادة</v>
      </c>
      <c r="F744" s="133" t="str">
        <f>IFERROR(__xludf.DUMMYFUNCTION("""COMPUTED_VALUE"""),"Nutri-Vet Hip and Joint Biscuits for Dogs 2.7kg")</f>
        <v>Nutri-Vet Hip and Joint Biscuits for Dogs 2.7kg</v>
      </c>
      <c r="G744" s="133" t="str">
        <f>IFERROR(__xludf.DUMMYFUNCTION("""COMPUTED_VALUE"""),"نيوتري-فيت بسكويت الورك والمفاصل للكلاب 2.7 كجم")</f>
        <v>نيوتري-فيت بسكويت الورك والمفاصل للكلاب 2.7 كجم</v>
      </c>
      <c r="H744" s="133" t="str">
        <f>IFERROR(__xludf.DUMMYFUNCTION("""COMPUTED_VALUE"""),"MAFE20212135")</f>
        <v>MAFE20212135</v>
      </c>
      <c r="I744" s="133"/>
      <c r="J744" s="133"/>
      <c r="K744" s="133" t="str">
        <f>IFERROR(__xludf.DUMMYFUNCTION("""COMPUTED_VALUE"""),"شركة منتجات مانا برو ذات المسؤولية المحدودة")</f>
        <v>شركة منتجات مانا برو ذات المسؤولية المحدودة</v>
      </c>
      <c r="L744" s="142" t="str">
        <f>IFERROR(__xludf.DUMMYFUNCTION("""COMPUTED_VALUE"""),"1001061")</f>
        <v>1001061</v>
      </c>
      <c r="M744" s="133"/>
      <c r="N744" s="133"/>
      <c r="O744" s="133"/>
      <c r="P744" s="133"/>
      <c r="Q744" s="133"/>
      <c r="R744" s="133"/>
      <c r="S744" s="133"/>
      <c r="T744" s="133"/>
      <c r="U744" s="133"/>
      <c r="V744" s="133"/>
      <c r="W744" s="133"/>
      <c r="X744" s="133"/>
      <c r="Y744" s="133"/>
      <c r="Z744" s="133"/>
    </row>
    <row r="745">
      <c r="A745" s="133">
        <f>IFERROR(__xludf.DUMMYFUNCTION("""COMPUTED_VALUE"""),744.0)</f>
        <v>744</v>
      </c>
      <c r="B745" s="133" t="str">
        <f>IFERROR(__xludf.DUMMYFUNCTION("""COMPUTED_VALUE"""),"1001099")</f>
        <v>1001099</v>
      </c>
      <c r="C745" s="133" t="str">
        <f>IFERROR(__xludf.DUMMYFUNCTION("""COMPUTED_VALUE"""),"P-1-N-210621-3729")</f>
        <v>P-1-N-210621-3729</v>
      </c>
      <c r="D745" s="133"/>
      <c r="E745" s="133" t="str">
        <f>IFERROR(__xludf.DUMMYFUNCTION("""COMPUTED_VALUE"""),"تمت طباعة الشهادة")</f>
        <v>تمت طباعة الشهادة</v>
      </c>
      <c r="F745" s="133" t="str">
        <f>IFERROR(__xludf.DUMMYFUNCTION("""COMPUTED_VALUE"""),"Nutri-Vet Wild Alaskan Salmon Oil for Dogs 399ml")</f>
        <v>Nutri-Vet Wild Alaskan Salmon Oil for Dogs 399ml</v>
      </c>
      <c r="G745" s="133" t="str">
        <f>IFERROR(__xludf.DUMMYFUNCTION("""COMPUTED_VALUE"""),"نيوتري-فيت زيت السلمون البري من ألاسكا للكلاب 399 مل")</f>
        <v>نيوتري-فيت زيت السلمون البري من ألاسكا للكلاب 399 مل</v>
      </c>
      <c r="H745" s="133" t="str">
        <f>IFERROR(__xludf.DUMMYFUNCTION("""COMPUTED_VALUE"""),"MAFE20212162")</f>
        <v>MAFE20212162</v>
      </c>
      <c r="I745" s="133"/>
      <c r="J745" s="133"/>
      <c r="K745" s="133" t="str">
        <f>IFERROR(__xludf.DUMMYFUNCTION("""COMPUTED_VALUE"""),"Agency")</f>
        <v>Agency</v>
      </c>
      <c r="L745" s="142" t="str">
        <f>IFERROR(__xludf.DUMMYFUNCTION("""COMPUTED_VALUE"""),"1001099")</f>
        <v>1001099</v>
      </c>
      <c r="M745" s="133"/>
      <c r="N745" s="133"/>
      <c r="O745" s="133"/>
      <c r="P745" s="133"/>
      <c r="Q745" s="133"/>
      <c r="R745" s="133"/>
      <c r="S745" s="133"/>
      <c r="T745" s="133"/>
      <c r="U745" s="133"/>
      <c r="V745" s="133"/>
      <c r="W745" s="133"/>
      <c r="X745" s="133"/>
      <c r="Y745" s="133"/>
      <c r="Z745" s="133"/>
    </row>
    <row r="746">
      <c r="A746" s="133">
        <f>IFERROR(__xludf.DUMMYFUNCTION("""COMPUTED_VALUE"""),745.0)</f>
        <v>745</v>
      </c>
      <c r="B746" s="133" t="str">
        <f>IFERROR(__xludf.DUMMYFUNCTION("""COMPUTED_VALUE"""),"1001100")</f>
        <v>1001100</v>
      </c>
      <c r="C746" s="133" t="str">
        <f>IFERROR(__xludf.DUMMYFUNCTION("""COMPUTED_VALUE"""),"P-1-N-210621-3730")</f>
        <v>P-1-N-210621-3730</v>
      </c>
      <c r="D746" s="133"/>
      <c r="E746" s="133" t="str">
        <f>IFERROR(__xludf.DUMMYFUNCTION("""COMPUTED_VALUE"""),"تمت طباعة الشهادة")</f>
        <v>تمت طباعة الشهادة</v>
      </c>
      <c r="F746" s="133" t="str">
        <f>IFERROR(__xludf.DUMMYFUNCTION("""COMPUTED_VALUE"""),"Nutri-Vet Wild Alaskan Salmon Oil for Dogs 192ml")</f>
        <v>Nutri-Vet Wild Alaskan Salmon Oil for Dogs 192ml</v>
      </c>
      <c r="G746" s="133" t="str">
        <f>IFERROR(__xludf.DUMMYFUNCTION("""COMPUTED_VALUE"""),"نيوتري-فيت زيت السلمون البري من ألاسكا للكلاب 192 مل")</f>
        <v>نيوتري-فيت زيت السلمون البري من ألاسكا للكلاب 192 مل</v>
      </c>
      <c r="H746" s="133" t="str">
        <f>IFERROR(__xludf.DUMMYFUNCTION("""COMPUTED_VALUE"""),"MAFE20212134")</f>
        <v>MAFE20212134</v>
      </c>
      <c r="I746" s="133"/>
      <c r="J746" s="133"/>
      <c r="K746" s="133" t="str">
        <f>IFERROR(__xludf.DUMMYFUNCTION("""COMPUTED_VALUE"""),"شركة منتجات مانا برو ذات المسؤولية المحدودة")</f>
        <v>شركة منتجات مانا برو ذات المسؤولية المحدودة</v>
      </c>
      <c r="L746" s="142" t="str">
        <f>IFERROR(__xludf.DUMMYFUNCTION("""COMPUTED_VALUE"""),"1001100")</f>
        <v>1001100</v>
      </c>
      <c r="M746" s="133"/>
      <c r="N746" s="133"/>
      <c r="O746" s="133"/>
      <c r="P746" s="133"/>
      <c r="Q746" s="133"/>
      <c r="R746" s="133"/>
      <c r="S746" s="133"/>
      <c r="T746" s="133"/>
      <c r="U746" s="133"/>
      <c r="V746" s="133"/>
      <c r="W746" s="133"/>
      <c r="X746" s="133"/>
      <c r="Y746" s="133"/>
      <c r="Z746" s="133"/>
    </row>
    <row r="747">
      <c r="A747" s="133">
        <f>IFERROR(__xludf.DUMMYFUNCTION("""COMPUTED_VALUE"""),746.0)</f>
        <v>746</v>
      </c>
      <c r="B747" s="133"/>
      <c r="C747" s="133" t="str">
        <f>IFERROR(__xludf.DUMMYFUNCTION("""COMPUTED_VALUE"""),"P-1-N-230621-3793")</f>
        <v>P-1-N-230621-3793</v>
      </c>
      <c r="D747" s="133"/>
      <c r="E747" s="133" t="str">
        <f>IFERROR(__xludf.DUMMYFUNCTION("""COMPUTED_VALUE"""),"تمت طباعة الشهادة")</f>
        <v>تمت طباعة الشهادة</v>
      </c>
      <c r="F747" s="133" t="str">
        <f>IFERROR(__xludf.DUMMYFUNCTION("""COMPUTED_VALUE"""),"SCHESIR for Cat Tuna with Whitebaits 85g")</f>
        <v>SCHESIR for Cat Tuna with Whitebaits 85g</v>
      </c>
      <c r="G747" s="133" t="str">
        <f>IFERROR(__xludf.DUMMYFUNCTION("""COMPUTED_VALUE"""),"شيزير للقطط بالتونة مع الوايتبيتس 85 جم")</f>
        <v>شيزير للقطط بالتونة مع الوايتبيتس 85 جم</v>
      </c>
      <c r="H747" s="133" t="str">
        <f>IFERROR(__xludf.DUMMYFUNCTION("""COMPUTED_VALUE"""),"MAFE20212259")</f>
        <v>MAFE20212259</v>
      </c>
      <c r="I747" s="133"/>
      <c r="J747" s="133"/>
      <c r="K747" s="133" t="str">
        <f>IFERROR(__xludf.DUMMYFUNCTION("""COMPUTED_VALUE"""),"Agency")</f>
        <v>Agency</v>
      </c>
      <c r="L747" s="133"/>
      <c r="M747" s="133"/>
      <c r="N747" s="133"/>
      <c r="O747" s="133"/>
      <c r="P747" s="133"/>
      <c r="Q747" s="133"/>
      <c r="R747" s="133"/>
      <c r="S747" s="133"/>
      <c r="T747" s="133"/>
      <c r="U747" s="133"/>
      <c r="V747" s="133"/>
      <c r="W747" s="133"/>
      <c r="X747" s="133"/>
      <c r="Y747" s="133"/>
      <c r="Z747" s="133"/>
    </row>
    <row r="748">
      <c r="A748" s="133">
        <f>IFERROR(__xludf.DUMMYFUNCTION("""COMPUTED_VALUE"""),747.0)</f>
        <v>747</v>
      </c>
      <c r="B748" s="133"/>
      <c r="C748" s="133" t="str">
        <f>IFERROR(__xludf.DUMMYFUNCTION("""COMPUTED_VALUE"""),"P-1-N-230621-3794")</f>
        <v>P-1-N-230621-3794</v>
      </c>
      <c r="D748" s="133"/>
      <c r="E748" s="133" t="str">
        <f>IFERROR(__xludf.DUMMYFUNCTION("""COMPUTED_VALUE"""),"تمت طباعة الشهادة")</f>
        <v>تمت طباعة الشهادة</v>
      </c>
      <c r="F748" s="133" t="str">
        <f>IFERROR(__xludf.DUMMYFUNCTION("""COMPUTED_VALUE"""),"SCHESIR for Cat Tuna with Pineapple 85g")</f>
        <v>SCHESIR for Cat Tuna with Pineapple 85g</v>
      </c>
      <c r="G748" s="133" t="str">
        <f>IFERROR(__xludf.DUMMYFUNCTION("""COMPUTED_VALUE"""),"شيزير للقطط بالتونة مع الأناناس 85 جم")</f>
        <v>شيزير للقطط بالتونة مع الأناناس 85 جم</v>
      </c>
      <c r="H748" s="133" t="str">
        <f>IFERROR(__xludf.DUMMYFUNCTION("""COMPUTED_VALUE"""),"MAFE20212257")</f>
        <v>MAFE20212257</v>
      </c>
      <c r="I748" s="133"/>
      <c r="J748" s="133"/>
      <c r="K748" s="133" t="str">
        <f>IFERROR(__xludf.DUMMYFUNCTION("""COMPUTED_VALUE"""),"شركة يونيكورد العامة المحدودة")</f>
        <v>شركة يونيكورد العامة المحدودة</v>
      </c>
      <c r="L748" s="133"/>
      <c r="M748" s="133"/>
      <c r="N748" s="133"/>
      <c r="O748" s="133"/>
      <c r="P748" s="133"/>
      <c r="Q748" s="133"/>
      <c r="R748" s="133"/>
      <c r="S748" s="133"/>
      <c r="T748" s="133"/>
      <c r="U748" s="133"/>
      <c r="V748" s="133"/>
      <c r="W748" s="133"/>
      <c r="X748" s="133"/>
      <c r="Y748" s="133"/>
      <c r="Z748" s="133"/>
    </row>
    <row r="749">
      <c r="A749" s="133">
        <f>IFERROR(__xludf.DUMMYFUNCTION("""COMPUTED_VALUE"""),748.0)</f>
        <v>748</v>
      </c>
      <c r="B749" s="133"/>
      <c r="C749" s="133" t="str">
        <f>IFERROR(__xludf.DUMMYFUNCTION("""COMPUTED_VALUE"""),"P-1-N-230621-3795")</f>
        <v>P-1-N-230621-3795</v>
      </c>
      <c r="D749" s="133"/>
      <c r="E749" s="133" t="str">
        <f>IFERROR(__xludf.DUMMYFUNCTION("""COMPUTED_VALUE"""),"تمت طباعة الشهادة")</f>
        <v>تمت طباعة الشهادة</v>
      </c>
      <c r="F749" s="133" t="str">
        <f>IFERROR(__xludf.DUMMYFUNCTION("""COMPUTED_VALUE"""),"SCHESIR for Cat Tuna with Shrimp 85g")</f>
        <v>SCHESIR for Cat Tuna with Shrimp 85g</v>
      </c>
      <c r="G749" s="133" t="str">
        <f>IFERROR(__xludf.DUMMYFUNCTION("""COMPUTED_VALUE"""),"شيزير للقطط بالتونة مع الجمبري 85 جم")</f>
        <v>شيزير للقطط بالتونة مع الجمبري 85 جم</v>
      </c>
      <c r="H749" s="133" t="str">
        <f>IFERROR(__xludf.DUMMYFUNCTION("""COMPUTED_VALUE"""),"MAFE20212256")</f>
        <v>MAFE20212256</v>
      </c>
      <c r="I749" s="133"/>
      <c r="J749" s="133"/>
      <c r="K749" s="133" t="str">
        <f>IFERROR(__xludf.DUMMYFUNCTION("""COMPUTED_VALUE"""),"شركة يونيكورد العامة المحدودة")</f>
        <v>شركة يونيكورد العامة المحدودة</v>
      </c>
      <c r="L749" s="133"/>
      <c r="M749" s="133"/>
      <c r="N749" s="133"/>
      <c r="O749" s="133"/>
      <c r="P749" s="133"/>
      <c r="Q749" s="133"/>
      <c r="R749" s="133"/>
      <c r="S749" s="133"/>
      <c r="T749" s="133"/>
      <c r="U749" s="133"/>
      <c r="V749" s="133"/>
      <c r="W749" s="133"/>
      <c r="X749" s="133"/>
      <c r="Y749" s="133"/>
      <c r="Z749" s="133"/>
    </row>
    <row r="750">
      <c r="A750" s="133">
        <f>IFERROR(__xludf.DUMMYFUNCTION("""COMPUTED_VALUE"""),749.0)</f>
        <v>749</v>
      </c>
      <c r="B750" s="133"/>
      <c r="C750" s="133" t="str">
        <f>IFERROR(__xludf.DUMMYFUNCTION("""COMPUTED_VALUE"""),"P-1-N-230621-3796")</f>
        <v>P-1-N-230621-3796</v>
      </c>
      <c r="D750" s="133"/>
      <c r="E750" s="133" t="str">
        <f>IFERROR(__xludf.DUMMYFUNCTION("""COMPUTED_VALUE"""),"تمت طباعة الشهادة")</f>
        <v>تمت طباعة الشهادة</v>
      </c>
      <c r="F750" s="133" t="str">
        <f>IFERROR(__xludf.DUMMYFUNCTION("""COMPUTED_VALUE"""),"SCHESIR for Cat Tuna with Apple 85g")</f>
        <v>SCHESIR for Cat Tuna with Apple 85g</v>
      </c>
      <c r="G750" s="133" t="str">
        <f>IFERROR(__xludf.DUMMYFUNCTION("""COMPUTED_VALUE"""),"شيزير للقطط بالتونة مع التفاح 85 جم")</f>
        <v>شيزير للقطط بالتونة مع التفاح 85 جم</v>
      </c>
      <c r="H750" s="133" t="str">
        <f>IFERROR(__xludf.DUMMYFUNCTION("""COMPUTED_VALUE"""),"MAFE20212255")</f>
        <v>MAFE20212255</v>
      </c>
      <c r="I750" s="133"/>
      <c r="J750" s="133"/>
      <c r="K750" s="133" t="str">
        <f>IFERROR(__xludf.DUMMYFUNCTION("""COMPUTED_VALUE"""),"شركة يونيكورد العامة المحدودة")</f>
        <v>شركة يونيكورد العامة المحدودة</v>
      </c>
      <c r="L750" s="133"/>
      <c r="M750" s="133"/>
      <c r="N750" s="133"/>
      <c r="O750" s="133"/>
      <c r="P750" s="133"/>
      <c r="Q750" s="133"/>
      <c r="R750" s="133"/>
      <c r="S750" s="133"/>
      <c r="T750" s="133"/>
      <c r="U750" s="133"/>
      <c r="V750" s="133"/>
      <c r="W750" s="133"/>
      <c r="X750" s="133"/>
      <c r="Y750" s="133"/>
      <c r="Z750" s="133"/>
    </row>
    <row r="751">
      <c r="A751" s="133">
        <f>IFERROR(__xludf.DUMMYFUNCTION("""COMPUTED_VALUE"""),750.0)</f>
        <v>750</v>
      </c>
      <c r="B751" s="133" t="str">
        <f>IFERROR(__xludf.DUMMYFUNCTION("""COMPUTED_VALUE"""),"C675")</f>
        <v>C675</v>
      </c>
      <c r="C751" s="133" t="str">
        <f>IFERROR(__xludf.DUMMYFUNCTION("""COMPUTED_VALUE"""),"P-1-N-230621-3797")</f>
        <v>P-1-N-230621-3797</v>
      </c>
      <c r="D751" s="133"/>
      <c r="E751" s="133" t="str">
        <f>IFERROR(__xludf.DUMMYFUNCTION("""COMPUTED_VALUE"""),"تمت طباعة الشهادة")</f>
        <v>تمت طباعة الشهادة</v>
      </c>
      <c r="F751" s="133" t="str">
        <f>IFERROR(__xludf.DUMMYFUNCTION("""COMPUTED_VALUE"""),"SCHESIR for Cat Tuna with Papaya 85g")</f>
        <v>SCHESIR for Cat Tuna with Papaya 85g</v>
      </c>
      <c r="G751" s="133" t="str">
        <f>IFERROR(__xludf.DUMMYFUNCTION("""COMPUTED_VALUE"""),"شيزير للقطط بالتونة مع البابايا 85 جم")</f>
        <v>شيزير للقطط بالتونة مع البابايا 85 جم</v>
      </c>
      <c r="H751" s="133" t="str">
        <f>IFERROR(__xludf.DUMMYFUNCTION("""COMPUTED_VALUE"""),"MAFE20212254")</f>
        <v>MAFE20212254</v>
      </c>
      <c r="I751" s="133"/>
      <c r="J751" s="133"/>
      <c r="K751" s="133" t="str">
        <f>IFERROR(__xludf.DUMMYFUNCTION("""COMPUTED_VALUE"""),"شركة يونيكورد العامة المحدودة")</f>
        <v>شركة يونيكورد العامة المحدودة</v>
      </c>
      <c r="L751" s="142" t="str">
        <f>IFERROR(__xludf.DUMMYFUNCTION("""COMPUTED_VALUE"""),"C675")</f>
        <v>C675</v>
      </c>
      <c r="M751" s="133"/>
      <c r="N751" s="133"/>
      <c r="O751" s="133"/>
      <c r="P751" s="133"/>
      <c r="Q751" s="133"/>
      <c r="R751" s="133"/>
      <c r="S751" s="133"/>
      <c r="T751" s="133"/>
      <c r="U751" s="133"/>
      <c r="V751" s="133"/>
      <c r="W751" s="133"/>
      <c r="X751" s="133"/>
      <c r="Y751" s="133"/>
      <c r="Z751" s="133"/>
    </row>
    <row r="752">
      <c r="A752" s="133">
        <f>IFERROR(__xludf.DUMMYFUNCTION("""COMPUTED_VALUE"""),751.0)</f>
        <v>751</v>
      </c>
      <c r="B752" s="133"/>
      <c r="C752" s="133" t="str">
        <f>IFERROR(__xludf.DUMMYFUNCTION("""COMPUTED_VALUE"""),"P-1-N-230621-3798")</f>
        <v>P-1-N-230621-3798</v>
      </c>
      <c r="D752" s="133"/>
      <c r="E752" s="133" t="str">
        <f>IFERROR(__xludf.DUMMYFUNCTION("""COMPUTED_VALUE"""),"تمت طباعة الشهادة")</f>
        <v>تمت طباعة الشهادة</v>
      </c>
      <c r="F752" s="133" t="str">
        <f>IFERROR(__xludf.DUMMYFUNCTION("""COMPUTED_VALUE"""),"SCHESIR for Cat Tuna with Mackerel 85g")</f>
        <v>SCHESIR for Cat Tuna with Mackerel 85g</v>
      </c>
      <c r="G752" s="133" t="str">
        <f>IFERROR(__xludf.DUMMYFUNCTION("""COMPUTED_VALUE"""),"شيزير للقطط بالتونة مع الماكريل 85 جم")</f>
        <v>شيزير للقطط بالتونة مع الماكريل 85 جم</v>
      </c>
      <c r="H752" s="133" t="str">
        <f>IFERROR(__xludf.DUMMYFUNCTION("""COMPUTED_VALUE"""),"MAFE20212253")</f>
        <v>MAFE20212253</v>
      </c>
      <c r="I752" s="133"/>
      <c r="J752" s="133"/>
      <c r="K752" s="133" t="str">
        <f>IFERROR(__xludf.DUMMYFUNCTION("""COMPUTED_VALUE"""),"شركة يونيكورد العامة المحدودة")</f>
        <v>شركة يونيكورد العامة المحدودة</v>
      </c>
      <c r="L752" s="133"/>
      <c r="M752" s="133"/>
      <c r="N752" s="133"/>
      <c r="O752" s="133"/>
      <c r="P752" s="133"/>
      <c r="Q752" s="133"/>
      <c r="R752" s="133"/>
      <c r="S752" s="133"/>
      <c r="T752" s="133"/>
      <c r="U752" s="133"/>
      <c r="V752" s="133"/>
      <c r="W752" s="133"/>
      <c r="X752" s="133"/>
      <c r="Y752" s="133"/>
      <c r="Z752" s="133"/>
    </row>
    <row r="753">
      <c r="A753" s="133">
        <f>IFERROR(__xludf.DUMMYFUNCTION("""COMPUTED_VALUE"""),752.0)</f>
        <v>752</v>
      </c>
      <c r="B753" s="133" t="str">
        <f>IFERROR(__xludf.DUMMYFUNCTION("""COMPUTED_VALUE"""),"C0170101")</f>
        <v>C0170101</v>
      </c>
      <c r="C753" s="133" t="str">
        <f>IFERROR(__xludf.DUMMYFUNCTION("""COMPUTED_VALUE"""),"P-1-N-230621-3800")</f>
        <v>P-1-N-230621-3800</v>
      </c>
      <c r="D753" s="133"/>
      <c r="E753" s="133" t="str">
        <f>IFERROR(__xludf.DUMMYFUNCTION("""COMPUTED_VALUE"""),"تمت طباعة الشهادة")</f>
        <v>تمت طباعة الشهادة</v>
      </c>
      <c r="F753" s="133" t="str">
        <f>IFERROR(__xludf.DUMMYFUNCTION("""COMPUTED_VALUE"""),"SCHESIR for Cat Tuna with Chicken Slices 85g")</f>
        <v>SCHESIR for Cat Tuna with Chicken Slices 85g</v>
      </c>
      <c r="G753" s="133" t="str">
        <f>IFERROR(__xludf.DUMMYFUNCTION("""COMPUTED_VALUE"""),"شيزير للقطط بالتونة مع شرائح دجاج 85 جم")</f>
        <v>شيزير للقطط بالتونة مع شرائح دجاج 85 جم</v>
      </c>
      <c r="H753" s="133" t="str">
        <f>IFERROR(__xludf.DUMMYFUNCTION("""COMPUTED_VALUE"""),"MAFE20212250")</f>
        <v>MAFE20212250</v>
      </c>
      <c r="I753" s="133"/>
      <c r="J753" s="133"/>
      <c r="K753" s="133" t="str">
        <f>IFERROR(__xludf.DUMMYFUNCTION("""COMPUTED_VALUE"""),"شركة يونيكورد العامة المحدودة")</f>
        <v>شركة يونيكورد العامة المحدودة</v>
      </c>
      <c r="L753" s="142" t="str">
        <f>IFERROR(__xludf.DUMMYFUNCTION("""COMPUTED_VALUE"""),"C0170101")</f>
        <v>C0170101</v>
      </c>
      <c r="M753" s="133"/>
      <c r="N753" s="133"/>
      <c r="O753" s="133"/>
      <c r="P753" s="133"/>
      <c r="Q753" s="133"/>
      <c r="R753" s="133"/>
      <c r="S753" s="133"/>
      <c r="T753" s="133"/>
      <c r="U753" s="133"/>
      <c r="V753" s="133"/>
      <c r="W753" s="133"/>
      <c r="X753" s="133"/>
      <c r="Y753" s="133"/>
      <c r="Z753" s="133"/>
    </row>
    <row r="754">
      <c r="A754" s="133">
        <f>IFERROR(__xludf.DUMMYFUNCTION("""COMPUTED_VALUE"""),753.0)</f>
        <v>753</v>
      </c>
      <c r="B754" s="133" t="str">
        <f>IFERROR(__xludf.DUMMYFUNCTION("""COMPUTED_VALUE"""),"1068120")</f>
        <v>1068120</v>
      </c>
      <c r="C754" s="133" t="str">
        <f>IFERROR(__xludf.DUMMYFUNCTION("""COMPUTED_VALUE"""),"P-1-N-230621-3816")</f>
        <v>P-1-N-230621-3816</v>
      </c>
      <c r="D754" s="133"/>
      <c r="E754" s="133" t="str">
        <f>IFERROR(__xludf.DUMMYFUNCTION("""COMPUTED_VALUE"""),"تمت طباعة الشهادة")</f>
        <v>تمت طباعة الشهادة</v>
      </c>
      <c r="F754" s="133" t="str">
        <f>IFERROR(__xludf.DUMMYFUNCTION("""COMPUTED_VALUE"""),"Salmon in Cooking Water 4x70g")</f>
        <v>Salmon in Cooking Water 4x70g</v>
      </c>
      <c r="G754" s="133" t="str">
        <f>IFERROR(__xludf.DUMMYFUNCTION("""COMPUTED_VALUE"""),"سمك السلمون في ماء الطهي 4× 70 جرام")</f>
        <v>سمك السلمون في ماء الطهي 4× 70 جرام</v>
      </c>
      <c r="H754" s="133" t="str">
        <f>IFERROR(__xludf.DUMMYFUNCTION("""COMPUTED_VALUE"""),"MAFE20212252")</f>
        <v>MAFE20212252</v>
      </c>
      <c r="I754" s="133"/>
      <c r="J754" s="133"/>
      <c r="K754" s="133" t="str">
        <f>IFERROR(__xludf.DUMMYFUNCTION("""COMPUTED_VALUE"""),"تروبيكال كانينج بابليك كمبني ليميتيد")</f>
        <v>تروبيكال كانينج بابليك كمبني ليميتيد</v>
      </c>
      <c r="L754" s="142" t="str">
        <f>IFERROR(__xludf.DUMMYFUNCTION("""COMPUTED_VALUE"""),"1068120")</f>
        <v>1068120</v>
      </c>
      <c r="M754" s="133"/>
      <c r="N754" s="133"/>
      <c r="O754" s="133"/>
      <c r="P754" s="133"/>
      <c r="Q754" s="133"/>
      <c r="R754" s="133"/>
      <c r="S754" s="133"/>
      <c r="T754" s="133"/>
      <c r="U754" s="133"/>
      <c r="V754" s="133"/>
      <c r="W754" s="133"/>
      <c r="X754" s="133"/>
      <c r="Y754" s="133"/>
      <c r="Z754" s="133"/>
    </row>
    <row r="755">
      <c r="A755" s="133">
        <f>IFERROR(__xludf.DUMMYFUNCTION("""COMPUTED_VALUE"""),754.0)</f>
        <v>754</v>
      </c>
      <c r="B755" s="133" t="str">
        <f>IFERROR(__xludf.DUMMYFUNCTION("""COMPUTED_VALUE"""),"1068121")</f>
        <v>1068121</v>
      </c>
      <c r="C755" s="133" t="str">
        <f>IFERROR(__xludf.DUMMYFUNCTION("""COMPUTED_VALUE"""),"P-1-N-230621-3817")</f>
        <v>P-1-N-230621-3817</v>
      </c>
      <c r="D755" s="133"/>
      <c r="E755" s="133" t="str">
        <f>IFERROR(__xludf.DUMMYFUNCTION("""COMPUTED_VALUE"""),"تمت طباعة الشهادة")</f>
        <v>تمت طباعة الشهادة</v>
      </c>
      <c r="F755" s="133" t="str">
        <f>IFERROR(__xludf.DUMMYFUNCTION("""COMPUTED_VALUE"""),"Salmon with Carrots in Cooking Water 70g")</f>
        <v>Salmon with Carrots in Cooking Water 70g</v>
      </c>
      <c r="G755" s="133" t="str">
        <f>IFERROR(__xludf.DUMMYFUNCTION("""COMPUTED_VALUE"""),"سمك السلمون مع الجزر في ماء الطهي 70 جرام")</f>
        <v>سمك السلمون مع الجزر في ماء الطهي 70 جرام</v>
      </c>
      <c r="H755" s="133" t="str">
        <f>IFERROR(__xludf.DUMMYFUNCTION("""COMPUTED_VALUE"""),"MAFE20212251")</f>
        <v>MAFE20212251</v>
      </c>
      <c r="I755" s="133"/>
      <c r="J755" s="133"/>
      <c r="K755" s="133" t="str">
        <f>IFERROR(__xludf.DUMMYFUNCTION("""COMPUTED_VALUE"""),"تروبيكال كانينج بابليك كمبني ليميتيد")</f>
        <v>تروبيكال كانينج بابليك كمبني ليميتيد</v>
      </c>
      <c r="L755" s="142" t="str">
        <f>IFERROR(__xludf.DUMMYFUNCTION("""COMPUTED_VALUE"""),"1068121")</f>
        <v>1068121</v>
      </c>
      <c r="M755" s="133"/>
      <c r="N755" s="133"/>
      <c r="O755" s="133"/>
      <c r="P755" s="133"/>
      <c r="Q755" s="133"/>
      <c r="R755" s="133"/>
      <c r="S755" s="133"/>
      <c r="T755" s="133"/>
      <c r="U755" s="133"/>
      <c r="V755" s="133"/>
      <c r="W755" s="133"/>
      <c r="X755" s="133"/>
      <c r="Y755" s="133"/>
      <c r="Z755" s="133"/>
    </row>
    <row r="756">
      <c r="A756" s="133">
        <f>IFERROR(__xludf.DUMMYFUNCTION("""COMPUTED_VALUE"""),755.0)</f>
        <v>755</v>
      </c>
      <c r="B756" s="133"/>
      <c r="C756" s="133" t="str">
        <f>IFERROR(__xludf.DUMMYFUNCTION("""COMPUTED_VALUE"""),"P-1-N-230621-3818")</f>
        <v>P-1-N-230621-3818</v>
      </c>
      <c r="D756" s="133"/>
      <c r="E756" s="133" t="str">
        <f>IFERROR(__xludf.DUMMYFUNCTION("""COMPUTED_VALUE"""),"تمت طباعة الشهادة")</f>
        <v>تمت طباعة الشهادة</v>
      </c>
      <c r="F756" s="133" t="str">
        <f>IFERROR(__xludf.DUMMYFUNCTION("""COMPUTED_VALUE"""),"Salmon with Pumpkin in Cooking Water 70g")</f>
        <v>Salmon with Pumpkin in Cooking Water 70g</v>
      </c>
      <c r="G756" s="133" t="str">
        <f>IFERROR(__xludf.DUMMYFUNCTION("""COMPUTED_VALUE"""),"سمك السلمون مع اليقطين في ماء الطهي 70 جرام")</f>
        <v>سمك السلمون مع اليقطين في ماء الطهي 70 جرام</v>
      </c>
      <c r="H756" s="133" t="str">
        <f>IFERROR(__xludf.DUMMYFUNCTION("""COMPUTED_VALUE"""),"MAFE20212249")</f>
        <v>MAFE20212249</v>
      </c>
      <c r="I756" s="133"/>
      <c r="J756" s="133"/>
      <c r="K756" s="133" t="str">
        <f>IFERROR(__xludf.DUMMYFUNCTION("""COMPUTED_VALUE"""),"تروبيكال كانينج بابليك كمبني ليميتيد")</f>
        <v>تروبيكال كانينج بابليك كمبني ليميتيد</v>
      </c>
      <c r="L756" s="133"/>
      <c r="M756" s="133"/>
      <c r="N756" s="133"/>
      <c r="O756" s="133"/>
      <c r="P756" s="133"/>
      <c r="Q756" s="133"/>
      <c r="R756" s="133"/>
      <c r="S756" s="133"/>
      <c r="T756" s="133"/>
      <c r="U756" s="133"/>
      <c r="V756" s="133"/>
      <c r="W756" s="133"/>
      <c r="X756" s="133"/>
      <c r="Y756" s="133"/>
      <c r="Z756" s="133"/>
    </row>
    <row r="757">
      <c r="A757" s="133">
        <f>IFERROR(__xludf.DUMMYFUNCTION("""COMPUTED_VALUE"""),756.0)</f>
        <v>756</v>
      </c>
      <c r="B757" s="133"/>
      <c r="C757" s="133" t="str">
        <f>IFERROR(__xludf.DUMMYFUNCTION("""COMPUTED_VALUE"""),"P-1-N-230621-3819")</f>
        <v>P-1-N-230621-3819</v>
      </c>
      <c r="D757" s="133"/>
      <c r="E757" s="133" t="str">
        <f>IFERROR(__xludf.DUMMYFUNCTION("""COMPUTED_VALUE"""),"تمت طباعة الشهادة")</f>
        <v>تمت طباعة الشهادة</v>
      </c>
      <c r="F757" s="133" t="str">
        <f>IFERROR(__xludf.DUMMYFUNCTION("""COMPUTED_VALUE"""),"Salmon with Papaya in Cooking Water 70g")</f>
        <v>Salmon with Papaya in Cooking Water 70g</v>
      </c>
      <c r="G757" s="133" t="str">
        <f>IFERROR(__xludf.DUMMYFUNCTION("""COMPUTED_VALUE"""),"سمك السلمون مع البابايا في ماء الطهي 70 جرام")</f>
        <v>سمك السلمون مع البابايا في ماء الطهي 70 جرام</v>
      </c>
      <c r="H757" s="133"/>
      <c r="I757" s="133"/>
      <c r="J757" s="133"/>
      <c r="K757" s="133" t="str">
        <f>IFERROR(__xludf.DUMMYFUNCTION("""COMPUTED_VALUE"""),"تروبيكال كانينج بابليك كمبني ليميتيد")</f>
        <v>تروبيكال كانينج بابليك كمبني ليميتيد</v>
      </c>
      <c r="L757" s="133"/>
      <c r="M757" s="133"/>
      <c r="N757" s="133"/>
      <c r="O757" s="133"/>
      <c r="P757" s="133"/>
      <c r="Q757" s="133"/>
      <c r="R757" s="133"/>
      <c r="S757" s="133"/>
      <c r="T757" s="133"/>
      <c r="U757" s="133"/>
      <c r="V757" s="133"/>
      <c r="W757" s="133"/>
      <c r="X757" s="133"/>
      <c r="Y757" s="133"/>
      <c r="Z757" s="133"/>
    </row>
    <row r="758">
      <c r="A758" s="133">
        <f>IFERROR(__xludf.DUMMYFUNCTION("""COMPUTED_VALUE"""),757.0)</f>
        <v>757</v>
      </c>
      <c r="B758" s="133"/>
      <c r="C758" s="133" t="str">
        <f>IFERROR(__xludf.DUMMYFUNCTION("""COMPUTED_VALUE"""),"P-1-N-230621-3820")</f>
        <v>P-1-N-230621-3820</v>
      </c>
      <c r="D758" s="133"/>
      <c r="E758" s="133" t="str">
        <f>IFERROR(__xludf.DUMMYFUNCTION("""COMPUTED_VALUE"""),"تمت طباعة الشهادة")</f>
        <v>تمت طباعة الشهادة</v>
      </c>
      <c r="F758" s="133" t="str">
        <f>IFERROR(__xludf.DUMMYFUNCTION("""COMPUTED_VALUE"""),"Salmon with Mango in Cooking Water 70g")</f>
        <v>Salmon with Mango in Cooking Water 70g</v>
      </c>
      <c r="G758" s="133" t="str">
        <f>IFERROR(__xludf.DUMMYFUNCTION("""COMPUTED_VALUE"""),"سمك السلمون مع المانجو في ماء الطهي 70 جرام")</f>
        <v>سمك السلمون مع المانجو في ماء الطهي 70 جرام</v>
      </c>
      <c r="H758" s="133" t="str">
        <f>IFERROR(__xludf.DUMMYFUNCTION("""COMPUTED_VALUE"""),"MAFE20212247")</f>
        <v>MAFE20212247</v>
      </c>
      <c r="I758" s="133"/>
      <c r="J758" s="133"/>
      <c r="K758" s="133" t="str">
        <f>IFERROR(__xludf.DUMMYFUNCTION("""COMPUTED_VALUE"""),"تروبيكال كانينج بابليك كمبني ليميتيد")</f>
        <v>تروبيكال كانينج بابليك كمبني ليميتيد</v>
      </c>
      <c r="L758" s="133"/>
      <c r="M758" s="133"/>
      <c r="N758" s="133"/>
      <c r="O758" s="133"/>
      <c r="P758" s="133"/>
      <c r="Q758" s="133"/>
      <c r="R758" s="133"/>
      <c r="S758" s="133"/>
      <c r="T758" s="133"/>
      <c r="U758" s="133"/>
      <c r="V758" s="133"/>
      <c r="W758" s="133"/>
      <c r="X758" s="133"/>
      <c r="Y758" s="133"/>
      <c r="Z758" s="133"/>
    </row>
    <row r="759">
      <c r="A759" s="133">
        <f>IFERROR(__xludf.DUMMYFUNCTION("""COMPUTED_VALUE"""),758.0)</f>
        <v>758</v>
      </c>
      <c r="B759" s="133" t="str">
        <f>IFERROR(__xludf.DUMMYFUNCTION("""COMPUTED_VALUE"""),"15187")</f>
        <v>15187</v>
      </c>
      <c r="C759" s="133" t="str">
        <f>IFERROR(__xludf.DUMMYFUNCTION("""COMPUTED_VALUE"""),"P-1-N-070721-4202")</f>
        <v>P-1-N-070721-4202</v>
      </c>
      <c r="D759" s="133"/>
      <c r="E759" s="133" t="str">
        <f>IFERROR(__xludf.DUMMYFUNCTION("""COMPUTED_VALUE"""),"تمت طباعة الشهادة")</f>
        <v>تمت طباعة الشهادة</v>
      </c>
      <c r="F759" s="133" t="str">
        <f>IFERROR(__xludf.DUMMYFUNCTION("""COMPUTED_VALUE"""),"Beaphar Lactol Puppy Milk 500g")</f>
        <v>Beaphar Lactol Puppy Milk 500g</v>
      </c>
      <c r="G759" s="133" t="str">
        <f>IFERROR(__xludf.DUMMYFUNCTION("""COMPUTED_VALUE"""),"بيفار لاكتول حليب الجرو 500 جم")</f>
        <v>بيفار لاكتول حليب الجرو 500 جم</v>
      </c>
      <c r="H759" s="133" t="str">
        <f>IFERROR(__xludf.DUMMYFUNCTION("""COMPUTED_VALUE"""),"MAFE20212489")</f>
        <v>MAFE20212489</v>
      </c>
      <c r="I759" s="133"/>
      <c r="J759" s="133"/>
      <c r="K759" s="133" t="str">
        <f>IFERROR(__xludf.DUMMYFUNCTION("""COMPUTED_VALUE"""),"بيفار بي في")</f>
        <v>بيفار بي في</v>
      </c>
      <c r="L759" s="142" t="str">
        <f>IFERROR(__xludf.DUMMYFUNCTION("""COMPUTED_VALUE"""),"15187")</f>
        <v>15187</v>
      </c>
      <c r="M759" s="133"/>
      <c r="N759" s="133"/>
      <c r="O759" s="133"/>
      <c r="P759" s="133"/>
      <c r="Q759" s="133"/>
      <c r="R759" s="133"/>
      <c r="S759" s="133"/>
      <c r="T759" s="133"/>
      <c r="U759" s="133"/>
      <c r="V759" s="133"/>
      <c r="W759" s="133"/>
      <c r="X759" s="133"/>
      <c r="Y759" s="133"/>
      <c r="Z759" s="133"/>
    </row>
    <row r="760">
      <c r="A760" s="133">
        <f>IFERROR(__xludf.DUMMYFUNCTION("""COMPUTED_VALUE"""),759.0)</f>
        <v>759</v>
      </c>
      <c r="B760" s="133" t="str">
        <f>IFERROR(__xludf.DUMMYFUNCTION("""COMPUTED_VALUE"""),"15188")</f>
        <v>15188</v>
      </c>
      <c r="C760" s="133" t="str">
        <f>IFERROR(__xludf.DUMMYFUNCTION("""COMPUTED_VALUE"""),"P-1-N-070721-4203")</f>
        <v>P-1-N-070721-4203</v>
      </c>
      <c r="D760" s="133"/>
      <c r="E760" s="133" t="str">
        <f>IFERROR(__xludf.DUMMYFUNCTION("""COMPUTED_VALUE"""),"تمت طباعة الشهادة")</f>
        <v>تمت طباعة الشهادة</v>
      </c>
      <c r="F760" s="133" t="str">
        <f>IFERROR(__xludf.DUMMYFUNCTION("""COMPUTED_VALUE"""),"Beaphar Lactol Puppy Milk 1kg")</f>
        <v>Beaphar Lactol Puppy Milk 1kg</v>
      </c>
      <c r="G760" s="133" t="str">
        <f>IFERROR(__xludf.DUMMYFUNCTION("""COMPUTED_VALUE"""),"بيفار لاكتول حليب الجرو 1 كجم")</f>
        <v>بيفار لاكتول حليب الجرو 1 كجم</v>
      </c>
      <c r="H760" s="133" t="str">
        <f>IFERROR(__xludf.DUMMYFUNCTION("""COMPUTED_VALUE"""),"MAFE20212458")</f>
        <v>MAFE20212458</v>
      </c>
      <c r="I760" s="133"/>
      <c r="J760" s="133"/>
      <c r="K760" s="133" t="str">
        <f>IFERROR(__xludf.DUMMYFUNCTION("""COMPUTED_VALUE"""),"بيفار بي في")</f>
        <v>بيفار بي في</v>
      </c>
      <c r="L760" s="142" t="str">
        <f>IFERROR(__xludf.DUMMYFUNCTION("""COMPUTED_VALUE"""),"15188")</f>
        <v>15188</v>
      </c>
      <c r="M760" s="133"/>
      <c r="N760" s="133"/>
      <c r="O760" s="133"/>
      <c r="P760" s="133"/>
      <c r="Q760" s="133"/>
      <c r="R760" s="133"/>
      <c r="S760" s="133"/>
      <c r="T760" s="133"/>
      <c r="U760" s="133"/>
      <c r="V760" s="133"/>
      <c r="W760" s="133"/>
      <c r="X760" s="133"/>
      <c r="Y760" s="133"/>
      <c r="Z760" s="133"/>
    </row>
    <row r="761">
      <c r="A761" s="133">
        <f>IFERROR(__xludf.DUMMYFUNCTION("""COMPUTED_VALUE"""),760.0)</f>
        <v>760</v>
      </c>
      <c r="B761" s="133" t="str">
        <f>IFERROR(__xludf.DUMMYFUNCTION("""COMPUTED_VALUE"""),"b1069")</f>
        <v>b1069</v>
      </c>
      <c r="C761" s="133" t="str">
        <f>IFERROR(__xludf.DUMMYFUNCTION("""COMPUTED_VALUE"""),"P-1-N-070721-4207")</f>
        <v>P-1-N-070721-4207</v>
      </c>
      <c r="D761" s="133"/>
      <c r="E761" s="133" t="str">
        <f>IFERROR(__xludf.DUMMYFUNCTION("""COMPUTED_VALUE"""),"تمت طباعة الشهادة")</f>
        <v>تمت طباعة الشهادة</v>
      </c>
      <c r="F761" s="133" t="str">
        <f>IFERROR(__xludf.DUMMYFUNCTION("""COMPUTED_VALUE"""),"Butchers Functional Dog Sensitive Lamb &amp; Rice Pate 390g")</f>
        <v>Butchers Functional Dog Sensitive Lamb &amp; Rice Pate 390g</v>
      </c>
      <c r="G761" s="133" t="str">
        <f>IFERROR(__xludf.DUMMYFUNCTION("""COMPUTED_VALUE"""),"بوتشرز فنكشنال سنسيتيف بلحم الضأن و ارز باتي للكلاب 390 جم")</f>
        <v>بوتشرز فنكشنال سنسيتيف بلحم الضأن و ارز باتي للكلاب 390 جم</v>
      </c>
      <c r="H761" s="133" t="str">
        <f>IFERROR(__xludf.DUMMYFUNCTION("""COMPUTED_VALUE"""),"MAFE20212457")</f>
        <v>MAFE20212457</v>
      </c>
      <c r="I761" s="133"/>
      <c r="J761" s="133"/>
      <c r="K761" s="133" t="str">
        <f>IFERROR(__xludf.DUMMYFUNCTION("""COMPUTED_VALUE"""),"بوتشرز بت كير ال تي دي")</f>
        <v>بوتشرز بت كير ال تي دي</v>
      </c>
      <c r="L761" s="142" t="str">
        <f>IFERROR(__xludf.DUMMYFUNCTION("""COMPUTED_VALUE"""),"b1069")</f>
        <v>b1069</v>
      </c>
      <c r="M761" s="133"/>
      <c r="N761" s="133"/>
      <c r="O761" s="133"/>
      <c r="P761" s="133"/>
      <c r="Q761" s="133"/>
      <c r="R761" s="133"/>
      <c r="S761" s="133"/>
      <c r="T761" s="133"/>
      <c r="U761" s="133"/>
      <c r="V761" s="133"/>
      <c r="W761" s="133"/>
      <c r="X761" s="133"/>
      <c r="Y761" s="133"/>
      <c r="Z761" s="133"/>
    </row>
    <row r="762">
      <c r="A762" s="133">
        <f>IFERROR(__xludf.DUMMYFUNCTION("""COMPUTED_VALUE"""),761.0)</f>
        <v>761</v>
      </c>
      <c r="B762" s="133" t="str">
        <f>IFERROR(__xludf.DUMMYFUNCTION("""COMPUTED_VALUE"""),"b1066")</f>
        <v>b1066</v>
      </c>
      <c r="C762" s="133" t="str">
        <f>IFERROR(__xludf.DUMMYFUNCTION("""COMPUTED_VALUE"""),"P-1-N-070721-4214")</f>
        <v>P-1-N-070721-4214</v>
      </c>
      <c r="D762" s="133"/>
      <c r="E762" s="133" t="str">
        <f>IFERROR(__xludf.DUMMYFUNCTION("""COMPUTED_VALUE"""),"تمت طباعة الشهادة")</f>
        <v>تمت طباعة الشهادة</v>
      </c>
      <c r="F762" s="133" t="str">
        <f>IFERROR(__xludf.DUMMYFUNCTION("""COMPUTED_VALUE"""),"Butchers Functional Dog Beauty Salmon ")</f>
        <v>Butchers Functional Dog Beauty Salmon </v>
      </c>
      <c r="G762" s="133" t="str">
        <f>IFERROR(__xludf.DUMMYFUNCTION("""COMPUTED_VALUE"""),"بوتشرز فنكشنال بيوتي بالسلمون للكلاب 400 جم")</f>
        <v>بوتشرز فنكشنال بيوتي بالسلمون للكلاب 400 جم</v>
      </c>
      <c r="H762" s="133" t="str">
        <f>IFERROR(__xludf.DUMMYFUNCTION("""COMPUTED_VALUE"""),"MAFE20212456")</f>
        <v>MAFE20212456</v>
      </c>
      <c r="I762" s="133"/>
      <c r="J762" s="133"/>
      <c r="K762" s="133" t="str">
        <f>IFERROR(__xludf.DUMMYFUNCTION("""COMPUTED_VALUE"""),"بوتشرز بت كير ال تي دي")</f>
        <v>بوتشرز بت كير ال تي دي</v>
      </c>
      <c r="L762" s="142" t="str">
        <f>IFERROR(__xludf.DUMMYFUNCTION("""COMPUTED_VALUE"""),"b1066")</f>
        <v>b1066</v>
      </c>
      <c r="M762" s="133"/>
      <c r="N762" s="133"/>
      <c r="O762" s="133"/>
      <c r="P762" s="133"/>
      <c r="Q762" s="133"/>
      <c r="R762" s="133"/>
      <c r="S762" s="133"/>
      <c r="T762" s="133"/>
      <c r="U762" s="133"/>
      <c r="V762" s="133"/>
      <c r="W762" s="133"/>
      <c r="X762" s="133"/>
      <c r="Y762" s="133"/>
      <c r="Z762" s="133"/>
    </row>
    <row r="763">
      <c r="A763" s="133">
        <f>IFERROR(__xludf.DUMMYFUNCTION("""COMPUTED_VALUE"""),762.0)</f>
        <v>762</v>
      </c>
      <c r="B763" s="133"/>
      <c r="C763" s="133" t="str">
        <f>IFERROR(__xludf.DUMMYFUNCTION("""COMPUTED_VALUE"""),"P-1-N-260721-4505")</f>
        <v>P-1-N-260721-4505</v>
      </c>
      <c r="D763" s="133"/>
      <c r="E763" s="133" t="str">
        <f>IFERROR(__xludf.DUMMYFUNCTION("""COMPUTED_VALUE"""),"تمت طباعة الشهادة")</f>
        <v>تمت طباعة الشهادة</v>
      </c>
      <c r="F763" s="133" t="str">
        <f>IFERROR(__xludf.DUMMYFUNCTION("""COMPUTED_VALUE"""),"English Name")</f>
        <v>English Name</v>
      </c>
      <c r="G763" s="133" t="str">
        <f>IFERROR(__xludf.DUMMYFUNCTION("""COMPUTED_VALUE"""),"فروتابلز زبدة الفول السوداني وقطع التفاح 170 جم")</f>
        <v>فروتابلز زبدة الفول السوداني وقطع التفاح 170 جم</v>
      </c>
      <c r="H763" s="133" t="str">
        <f>IFERROR(__xludf.DUMMYFUNCTION("""COMPUTED_VALUE"""),"MAFE20212633")</f>
        <v>MAFE20212633</v>
      </c>
      <c r="I763" s="133"/>
      <c r="J763" s="133"/>
      <c r="K763" s="133" t="str">
        <f>IFERROR(__xludf.DUMMYFUNCTION("""COMPUTED_VALUE"""),"شركة منتجات مانا برو ذات المسؤولية المحدودة")</f>
        <v>شركة منتجات مانا برو ذات المسؤولية المحدودة</v>
      </c>
      <c r="L763" s="133"/>
      <c r="M763" s="133"/>
      <c r="N763" s="133"/>
      <c r="O763" s="133"/>
      <c r="P763" s="133"/>
      <c r="Q763" s="133"/>
      <c r="R763" s="133"/>
      <c r="S763" s="133"/>
      <c r="T763" s="133"/>
      <c r="U763" s="133"/>
      <c r="V763" s="133"/>
      <c r="W763" s="133"/>
      <c r="X763" s="133"/>
      <c r="Y763" s="133"/>
      <c r="Z763" s="133"/>
    </row>
    <row r="764">
      <c r="A764" s="133">
        <f>IFERROR(__xludf.DUMMYFUNCTION("""COMPUTED_VALUE"""),763.0)</f>
        <v>763</v>
      </c>
      <c r="B764" s="133" t="str">
        <f>IFERROR(__xludf.DUMMYFUNCTION("""COMPUTED_VALUE"""),"FB1030761")</f>
        <v>FB1030761</v>
      </c>
      <c r="C764" s="133" t="str">
        <f>IFERROR(__xludf.DUMMYFUNCTION("""COMPUTED_VALUE"""),"P-1-N-260721-4510")</f>
        <v>P-1-N-260721-4510</v>
      </c>
      <c r="D764" s="133"/>
      <c r="E764" s="133" t="str">
        <f>IFERROR(__xludf.DUMMYFUNCTION("""COMPUTED_VALUE"""),"تمت طباعة الشهادة")</f>
        <v>تمت طباعة الشهادة</v>
      </c>
      <c r="F764" s="133" t="str">
        <f>IFERROR(__xludf.DUMMYFUNCTION("""COMPUTED_VALUE"""),"Fruitables Peanut Butter &amp; Banana Bar 170g")</f>
        <v>Fruitables Peanut Butter &amp; Banana Bar 170g</v>
      </c>
      <c r="G764" s="133" t="str">
        <f>IFERROR(__xludf.DUMMYFUNCTION("""COMPUTED_VALUE"""),"فروتابلز زبدة الفول السوداني وقطع الموز 170 جم")</f>
        <v>فروتابلز زبدة الفول السوداني وقطع الموز 170 جم</v>
      </c>
      <c r="H764" s="133" t="str">
        <f>IFERROR(__xludf.DUMMYFUNCTION("""COMPUTED_VALUE"""),"MAFE20212598")</f>
        <v>MAFE20212598</v>
      </c>
      <c r="I764" s="133"/>
      <c r="J764" s="133"/>
      <c r="K764" s="133" t="str">
        <f>IFERROR(__xludf.DUMMYFUNCTION("""COMPUTED_VALUE"""),"شركة منتجات مانا برو ذات المسؤولية المحدودة")</f>
        <v>شركة منتجات مانا برو ذات المسؤولية المحدودة</v>
      </c>
      <c r="L764" s="142" t="str">
        <f>IFERROR(__xludf.DUMMYFUNCTION("""COMPUTED_VALUE"""),"FB1030761")</f>
        <v>FB1030761</v>
      </c>
      <c r="M764" s="133"/>
      <c r="N764" s="133"/>
      <c r="O764" s="133"/>
      <c r="P764" s="133"/>
      <c r="Q764" s="133"/>
      <c r="R764" s="133"/>
      <c r="S764" s="133"/>
      <c r="T764" s="133"/>
      <c r="U764" s="133"/>
      <c r="V764" s="133"/>
      <c r="W764" s="133"/>
      <c r="X764" s="133"/>
      <c r="Y764" s="133"/>
      <c r="Z764" s="133"/>
    </row>
    <row r="765">
      <c r="A765" s="133">
        <f>IFERROR(__xludf.DUMMYFUNCTION("""COMPUTED_VALUE"""),764.0)</f>
        <v>764</v>
      </c>
      <c r="B765" s="133" t="str">
        <f>IFERROR(__xludf.DUMMYFUNCTION("""COMPUTED_VALUE"""),"FB1030762")</f>
        <v>FB1030762</v>
      </c>
      <c r="C765" s="133" t="str">
        <f>IFERROR(__xludf.DUMMYFUNCTION("""COMPUTED_VALUE"""),"P-1-N-260721-4511")</f>
        <v>P-1-N-260721-4511</v>
      </c>
      <c r="D765" s="133"/>
      <c r="E765" s="133" t="str">
        <f>IFERROR(__xludf.DUMMYFUNCTION("""COMPUTED_VALUE"""),"تمت طباعة الشهادة")</f>
        <v>تمت طباعة الشهادة</v>
      </c>
      <c r="F765" s="133" t="str">
        <f>IFERROR(__xludf.DUMMYFUNCTION("""COMPUTED_VALUE"""),"Fruitables Peanut Butter &amp; Blueberry Bar 170g")</f>
        <v>Fruitables Peanut Butter &amp; Blueberry Bar 170g</v>
      </c>
      <c r="G765" s="133" t="str">
        <f>IFERROR(__xludf.DUMMYFUNCTION("""COMPUTED_VALUE"""),"فروتابلز زبدة الفول السوداني و التوت الأزرق 170 جم")</f>
        <v>فروتابلز زبدة الفول السوداني و التوت الأزرق 170 جم</v>
      </c>
      <c r="H765" s="133" t="str">
        <f>IFERROR(__xludf.DUMMYFUNCTION("""COMPUTED_VALUE"""),"MAFE20212597")</f>
        <v>MAFE20212597</v>
      </c>
      <c r="I765" s="133"/>
      <c r="J765" s="133"/>
      <c r="K765" s="133" t="str">
        <f>IFERROR(__xludf.DUMMYFUNCTION("""COMPUTED_VALUE"""),"شركة منتجات مانا برو ذات المسؤولية المحدودة")</f>
        <v>شركة منتجات مانا برو ذات المسؤولية المحدودة</v>
      </c>
      <c r="L765" s="142" t="str">
        <f>IFERROR(__xludf.DUMMYFUNCTION("""COMPUTED_VALUE"""),"FB1030762")</f>
        <v>FB1030762</v>
      </c>
      <c r="M765" s="133"/>
      <c r="N765" s="133"/>
      <c r="O765" s="133"/>
      <c r="P765" s="133"/>
      <c r="Q765" s="133"/>
      <c r="R765" s="133"/>
      <c r="S765" s="133"/>
      <c r="T765" s="133"/>
      <c r="U765" s="133"/>
      <c r="V765" s="133"/>
      <c r="W765" s="133"/>
      <c r="X765" s="133"/>
      <c r="Y765" s="133"/>
      <c r="Z765" s="133"/>
    </row>
    <row r="766">
      <c r="A766" s="133">
        <f>IFERROR(__xludf.DUMMYFUNCTION("""COMPUTED_VALUE"""),765.0)</f>
        <v>765</v>
      </c>
      <c r="B766" s="133" t="str">
        <f>IFERROR(__xludf.DUMMYFUNCTION("""COMPUTED_VALUE"""),"FB1030776")</f>
        <v>FB1030776</v>
      </c>
      <c r="C766" s="133" t="str">
        <f>IFERROR(__xludf.DUMMYFUNCTION("""COMPUTED_VALUE"""),"P-1-N-260721-4512")</f>
        <v>P-1-N-260721-4512</v>
      </c>
      <c r="D766" s="133"/>
      <c r="E766" s="133" t="str">
        <f>IFERROR(__xludf.DUMMYFUNCTION("""COMPUTED_VALUE"""),"تمت طباعة الشهادة")</f>
        <v>تمت طباعة الشهادة</v>
      </c>
      <c r="F766" s="133" t="str">
        <f>IFERROR(__xludf.DUMMYFUNCTION("""COMPUTED_VALUE"""),"Fruitables Biggies Peanut Butter &amp; Banana Crunchy Flavor 454g")</f>
        <v>Fruitables Biggies Peanut Butter &amp; Banana Crunchy Flavor 454g</v>
      </c>
      <c r="G766" s="133" t="str">
        <f>IFERROR(__xludf.DUMMYFUNCTION("""COMPUTED_VALUE"""),"فروتابلز بيجيز بزبدة الفول السوداني و نكهة الموز المقرمشة 454 جم")</f>
        <v>فروتابلز بيجيز بزبدة الفول السوداني و نكهة الموز المقرمشة 454 جم</v>
      </c>
      <c r="H766" s="133" t="str">
        <f>IFERROR(__xludf.DUMMYFUNCTION("""COMPUTED_VALUE"""),"MAFE20212596")</f>
        <v>MAFE20212596</v>
      </c>
      <c r="I766" s="133"/>
      <c r="J766" s="133"/>
      <c r="K766" s="133" t="str">
        <f>IFERROR(__xludf.DUMMYFUNCTION("""COMPUTED_VALUE"""),"شركة منتجات مانا برو ذات المسؤولية المحدودة")</f>
        <v>شركة منتجات مانا برو ذات المسؤولية المحدودة</v>
      </c>
      <c r="L766" s="142" t="str">
        <f>IFERROR(__xludf.DUMMYFUNCTION("""COMPUTED_VALUE"""),"FB1030776")</f>
        <v>FB1030776</v>
      </c>
      <c r="M766" s="133"/>
      <c r="N766" s="133"/>
      <c r="O766" s="133"/>
      <c r="P766" s="133"/>
      <c r="Q766" s="133"/>
      <c r="R766" s="133"/>
      <c r="S766" s="133"/>
      <c r="T766" s="133"/>
      <c r="U766" s="133"/>
      <c r="V766" s="133"/>
      <c r="W766" s="133"/>
      <c r="X766" s="133"/>
      <c r="Y766" s="133"/>
      <c r="Z766" s="133"/>
    </row>
    <row r="767">
      <c r="A767" s="133">
        <f>IFERROR(__xludf.DUMMYFUNCTION("""COMPUTED_VALUE"""),766.0)</f>
        <v>766</v>
      </c>
      <c r="B767" s="133" t="str">
        <f>IFERROR(__xludf.DUMMYFUNCTION("""COMPUTED_VALUE"""),"FB1030777")</f>
        <v>FB1030777</v>
      </c>
      <c r="C767" s="133" t="str">
        <f>IFERROR(__xludf.DUMMYFUNCTION("""COMPUTED_VALUE"""),"P-1-N-260721-4514")</f>
        <v>P-1-N-260721-4514</v>
      </c>
      <c r="D767" s="133"/>
      <c r="E767" s="133" t="str">
        <f>IFERROR(__xludf.DUMMYFUNCTION("""COMPUTED_VALUE"""),"تمت طباعة الشهادة")</f>
        <v>تمت طباعة الشهادة</v>
      </c>
      <c r="F767" s="133" t="str">
        <f>IFERROR(__xludf.DUMMYFUNCTION("""COMPUTED_VALUE"""),"Fruitables Biggies Almond Butter &amp; Coconut Flavor 454g")</f>
        <v>Fruitables Biggies Almond Butter &amp; Coconut Flavor 454g</v>
      </c>
      <c r="G767" s="133" t="str">
        <f>IFERROR(__xludf.DUMMYFUNCTION("""COMPUTED_VALUE"""),"فروتابلز")</f>
        <v>فروتابلز</v>
      </c>
      <c r="H767" s="133" t="str">
        <f>IFERROR(__xludf.DUMMYFUNCTION("""COMPUTED_VALUE"""),"MAFE20212621")</f>
        <v>MAFE20212621</v>
      </c>
      <c r="I767" s="133"/>
      <c r="J767" s="133"/>
      <c r="K767" s="133" t="str">
        <f>IFERROR(__xludf.DUMMYFUNCTION("""COMPUTED_VALUE"""),"شركة منتجات مانا برو ذات المسؤولية المحدودة")</f>
        <v>شركة منتجات مانا برو ذات المسؤولية المحدودة</v>
      </c>
      <c r="L767" s="142" t="str">
        <f>IFERROR(__xludf.DUMMYFUNCTION("""COMPUTED_VALUE"""),"FB1030777")</f>
        <v>FB1030777</v>
      </c>
      <c r="M767" s="133"/>
      <c r="N767" s="133"/>
      <c r="O767" s="133"/>
      <c r="P767" s="133"/>
      <c r="Q767" s="133"/>
      <c r="R767" s="133"/>
      <c r="S767" s="133"/>
      <c r="T767" s="133"/>
      <c r="U767" s="133"/>
      <c r="V767" s="133"/>
      <c r="W767" s="133"/>
      <c r="X767" s="133"/>
      <c r="Y767" s="133"/>
      <c r="Z767" s="133"/>
    </row>
    <row r="768">
      <c r="A768" s="133">
        <f>IFERROR(__xludf.DUMMYFUNCTION("""COMPUTED_VALUE"""),767.0)</f>
        <v>767</v>
      </c>
      <c r="B768" s="133" t="str">
        <f>IFERROR(__xludf.DUMMYFUNCTION("""COMPUTED_VALUE"""),"FB1030779")</f>
        <v>FB1030779</v>
      </c>
      <c r="C768" s="133" t="str">
        <f>IFERROR(__xludf.DUMMYFUNCTION("""COMPUTED_VALUE"""),"P-1-N-260721-4515")</f>
        <v>P-1-N-260721-4515</v>
      </c>
      <c r="D768" s="133"/>
      <c r="E768" s="133" t="str">
        <f>IFERROR(__xludf.DUMMYFUNCTION("""COMPUTED_VALUE"""),"تمت طباعة الشهادة")</f>
        <v>تمت طباعة الشهادة</v>
      </c>
      <c r="F768" s="133" t="str">
        <f>IFERROR(__xludf.DUMMYFUNCTION("""COMPUTED_VALUE"""),"Fruitables Biggies Pumpkin &amp; Blueberry Flavor 454g")</f>
        <v>Fruitables Biggies Pumpkin &amp; Blueberry Flavor 454g</v>
      </c>
      <c r="G768" s="133" t="str">
        <f>IFERROR(__xludf.DUMMYFUNCTION("""COMPUTED_VALUE"""),"فروتابلز بيجيز نكهة القرع والتوت 454 جم")</f>
        <v>فروتابلز بيجيز نكهة القرع والتوت 454 جم</v>
      </c>
      <c r="H768" s="133" t="str">
        <f>IFERROR(__xludf.DUMMYFUNCTION("""COMPUTED_VALUE"""),"MAFE20212595")</f>
        <v>MAFE20212595</v>
      </c>
      <c r="I768" s="133"/>
      <c r="J768" s="133"/>
      <c r="K768" s="133" t="str">
        <f>IFERROR(__xludf.DUMMYFUNCTION("""COMPUTED_VALUE"""),"Agency")</f>
        <v>Agency</v>
      </c>
      <c r="L768" s="142" t="str">
        <f>IFERROR(__xludf.DUMMYFUNCTION("""COMPUTED_VALUE"""),"FB1030779")</f>
        <v>FB1030779</v>
      </c>
      <c r="M768" s="133"/>
      <c r="N768" s="133"/>
      <c r="O768" s="133"/>
      <c r="P768" s="133"/>
      <c r="Q768" s="133"/>
      <c r="R768" s="133"/>
      <c r="S768" s="133"/>
      <c r="T768" s="133"/>
      <c r="U768" s="133"/>
      <c r="V768" s="133"/>
      <c r="W768" s="133"/>
      <c r="X768" s="133"/>
      <c r="Y768" s="133"/>
      <c r="Z768" s="133"/>
    </row>
    <row r="769">
      <c r="A769" s="133">
        <f>IFERROR(__xludf.DUMMYFUNCTION("""COMPUTED_VALUE"""),768.0)</f>
        <v>768</v>
      </c>
      <c r="B769" s="133" t="str">
        <f>IFERROR(__xludf.DUMMYFUNCTION("""COMPUTED_VALUE"""),"FB1005070")</f>
        <v>FB1005070</v>
      </c>
      <c r="C769" s="133" t="str">
        <f>IFERROR(__xludf.DUMMYFUNCTION("""COMPUTED_VALUE"""),"P-1-N-270721-4522")</f>
        <v>P-1-N-270721-4522</v>
      </c>
      <c r="D769" s="133"/>
      <c r="E769" s="133" t="str">
        <f>IFERROR(__xludf.DUMMYFUNCTION("""COMPUTED_VALUE"""),"تمت طباعة الشهادة")</f>
        <v>تمت طباعة الشهادة</v>
      </c>
      <c r="F769" s="133" t="str">
        <f>IFERROR(__xludf.DUMMYFUNCTION("""COMPUTED_VALUE"""),"Fruitables Pumpkin 425g")</f>
        <v>Fruitables Pumpkin 425g</v>
      </c>
      <c r="G769" s="133" t="str">
        <f>IFERROR(__xludf.DUMMYFUNCTION("""COMPUTED_VALUE"""),"فروتابلز باليقطين 425 جم")</f>
        <v>فروتابلز باليقطين 425 جم</v>
      </c>
      <c r="H769" s="133" t="str">
        <f>IFERROR(__xludf.DUMMYFUNCTION("""COMPUTED_VALUE"""),"MAFE20212620")</f>
        <v>MAFE20212620</v>
      </c>
      <c r="I769" s="133"/>
      <c r="J769" s="133"/>
      <c r="K769" s="133" t="str">
        <f>IFERROR(__xludf.DUMMYFUNCTION("""COMPUTED_VALUE"""),"شركة منتجات مانا برو ذات المسؤولية المحدودة")</f>
        <v>شركة منتجات مانا برو ذات المسؤولية المحدودة</v>
      </c>
      <c r="L769" s="142" t="str">
        <f>IFERROR(__xludf.DUMMYFUNCTION("""COMPUTED_VALUE"""),"FB1005070")</f>
        <v>FB1005070</v>
      </c>
      <c r="M769" s="133"/>
      <c r="N769" s="133"/>
      <c r="O769" s="133"/>
      <c r="P769" s="133"/>
      <c r="Q769" s="133"/>
      <c r="R769" s="133"/>
      <c r="S769" s="133"/>
      <c r="T769" s="133"/>
      <c r="U769" s="133"/>
      <c r="V769" s="133"/>
      <c r="W769" s="133"/>
      <c r="X769" s="133"/>
      <c r="Y769" s="133"/>
      <c r="Z769" s="133"/>
    </row>
    <row r="770">
      <c r="A770" s="133">
        <f>IFERROR(__xludf.DUMMYFUNCTION("""COMPUTED_VALUE"""),769.0)</f>
        <v>769</v>
      </c>
      <c r="B770" s="133" t="str">
        <f>IFERROR(__xludf.DUMMYFUNCTION("""COMPUTED_VALUE"""),"1001011")</f>
        <v>1001011</v>
      </c>
      <c r="C770" s="133" t="str">
        <f>IFERROR(__xludf.DUMMYFUNCTION("""COMPUTED_VALUE"""),"P-1-N-290721-4601")</f>
        <v>P-1-N-290721-4601</v>
      </c>
      <c r="D770" s="133"/>
      <c r="E770" s="133" t="str">
        <f>IFERROR(__xludf.DUMMYFUNCTION("""COMPUTED_VALUE"""),"تمت طباعة الشهادة")</f>
        <v>تمت طباعة الشهادة</v>
      </c>
      <c r="F770" s="133" t="str">
        <f>IFERROR(__xludf.DUMMYFUNCTION("""COMPUTED_VALUE"""),"Nutri-Vet L-Lysine Soft Chew for Cats 108g")</f>
        <v>Nutri-Vet L-Lysine Soft Chew for Cats 108g</v>
      </c>
      <c r="G770" s="133" t="str">
        <f>IFERROR(__xludf.DUMMYFUNCTION("""COMPUTED_VALUE"""),"نيوتري-فيت ال-ليسين لينة المضغ للقطط 108 جم")</f>
        <v>نيوتري-فيت ال-ليسين لينة المضغ للقطط 108 جم</v>
      </c>
      <c r="H770" s="133" t="str">
        <f>IFERROR(__xludf.DUMMYFUNCTION("""COMPUTED_VALUE"""),"MAFE20212664")</f>
        <v>MAFE20212664</v>
      </c>
      <c r="I770" s="133"/>
      <c r="J770" s="133"/>
      <c r="K770" s="133" t="str">
        <f>IFERROR(__xludf.DUMMYFUNCTION("""COMPUTED_VALUE"""),"شركة منتجات مانا برو ذات المسؤولية المحدودة")</f>
        <v>شركة منتجات مانا برو ذات المسؤولية المحدودة</v>
      </c>
      <c r="L770" s="142" t="str">
        <f>IFERROR(__xludf.DUMMYFUNCTION("""COMPUTED_VALUE"""),"1001011")</f>
        <v>1001011</v>
      </c>
      <c r="M770" s="133"/>
      <c r="N770" s="133"/>
      <c r="O770" s="133"/>
      <c r="P770" s="133"/>
      <c r="Q770" s="133"/>
      <c r="R770" s="133"/>
      <c r="S770" s="133"/>
      <c r="T770" s="133"/>
      <c r="U770" s="133"/>
      <c r="V770" s="133"/>
      <c r="W770" s="133"/>
      <c r="X770" s="133"/>
      <c r="Y770" s="133"/>
      <c r="Z770" s="133"/>
    </row>
    <row r="771">
      <c r="A771" s="133">
        <f>IFERROR(__xludf.DUMMYFUNCTION("""COMPUTED_VALUE"""),770.0)</f>
        <v>770</v>
      </c>
      <c r="B771" s="133" t="str">
        <f>IFERROR(__xludf.DUMMYFUNCTION("""COMPUTED_VALUE"""),"FB1030752")</f>
        <v>FB1030752</v>
      </c>
      <c r="C771" s="133" t="str">
        <f>IFERROR(__xludf.DUMMYFUNCTION("""COMPUTED_VALUE"""),"P-1-N-290721-4605")</f>
        <v>P-1-N-290721-4605</v>
      </c>
      <c r="D771" s="133"/>
      <c r="E771" s="133" t="str">
        <f>IFERROR(__xludf.DUMMYFUNCTION("""COMPUTED_VALUE"""),"تمت طباعة الشهادة")</f>
        <v>تمت طباعة الشهادة</v>
      </c>
      <c r="F771" s="133" t="str">
        <f>IFERROR(__xludf.DUMMYFUNCTION("""COMPUTED_VALUE"""),"Fruitables Pumpkin &amp; Blueberry Flavor 340g")</f>
        <v>Fruitables Pumpkin &amp; Blueberry Flavor 340g</v>
      </c>
      <c r="G771" s="133" t="str">
        <f>IFERROR(__xludf.DUMMYFUNCTION("""COMPUTED_VALUE"""),"فروتابلز نكهة القرع والتوت الأزرق 340 جم")</f>
        <v>فروتابلز نكهة القرع والتوت الأزرق 340 جم</v>
      </c>
      <c r="H771" s="133" t="str">
        <f>IFERROR(__xludf.DUMMYFUNCTION("""COMPUTED_VALUE"""),"MAFE20212660")</f>
        <v>MAFE20212660</v>
      </c>
      <c r="I771" s="133"/>
      <c r="J771" s="133"/>
      <c r="K771" s="133" t="str">
        <f>IFERROR(__xludf.DUMMYFUNCTION("""COMPUTED_VALUE"""),"شركة منتجات مانا برو ذات المسؤولية المحدودة")</f>
        <v>شركة منتجات مانا برو ذات المسؤولية المحدودة</v>
      </c>
      <c r="L771" s="142" t="str">
        <f>IFERROR(__xludf.DUMMYFUNCTION("""COMPUTED_VALUE"""),"FB1030752")</f>
        <v>FB1030752</v>
      </c>
      <c r="M771" s="133"/>
      <c r="N771" s="133"/>
      <c r="O771" s="133"/>
      <c r="P771" s="133"/>
      <c r="Q771" s="133"/>
      <c r="R771" s="133"/>
      <c r="S771" s="133"/>
      <c r="T771" s="133"/>
      <c r="U771" s="133"/>
      <c r="V771" s="133"/>
      <c r="W771" s="133"/>
      <c r="X771" s="133"/>
      <c r="Y771" s="133"/>
      <c r="Z771" s="133"/>
    </row>
    <row r="772">
      <c r="A772" s="133">
        <f>IFERROR(__xludf.DUMMYFUNCTION("""COMPUTED_VALUE"""),771.0)</f>
        <v>771</v>
      </c>
      <c r="B772" s="133" t="str">
        <f>IFERROR(__xludf.DUMMYFUNCTION("""COMPUTED_VALUE"""),"FB1030751")</f>
        <v>FB1030751</v>
      </c>
      <c r="C772" s="133" t="str">
        <f>IFERROR(__xludf.DUMMYFUNCTION("""COMPUTED_VALUE"""),"P-1-N-290721-4606")</f>
        <v>P-1-N-290721-4606</v>
      </c>
      <c r="D772" s="133"/>
      <c r="E772" s="133" t="str">
        <f>IFERROR(__xludf.DUMMYFUNCTION("""COMPUTED_VALUE"""),"تمت طباعة الشهادة")</f>
        <v>تمت طباعة الشهادة</v>
      </c>
      <c r="F772" s="133" t="str">
        <f>IFERROR(__xludf.DUMMYFUNCTION("""COMPUTED_VALUE"""),"Fruitables Pumpkin &amp; Banana Flavor 340g")</f>
        <v>Fruitables Pumpkin &amp; Banana Flavor 340g</v>
      </c>
      <c r="G772" s="133" t="str">
        <f>IFERROR(__xludf.DUMMYFUNCTION("""COMPUTED_VALUE"""),"فروتابلز نكهة القرع والموز 340 جم")</f>
        <v>فروتابلز نكهة القرع والموز 340 جم</v>
      </c>
      <c r="H772" s="133" t="str">
        <f>IFERROR(__xludf.DUMMYFUNCTION("""COMPUTED_VALUE"""),"MAFE20212659")</f>
        <v>MAFE20212659</v>
      </c>
      <c r="I772" s="133"/>
      <c r="J772" s="133"/>
      <c r="K772" s="133" t="str">
        <f>IFERROR(__xludf.DUMMYFUNCTION("""COMPUTED_VALUE"""),"شركة منتجات مانا برو ذات المسؤولية المحدودة")</f>
        <v>شركة منتجات مانا برو ذات المسؤولية المحدودة</v>
      </c>
      <c r="L772" s="142" t="str">
        <f>IFERROR(__xludf.DUMMYFUNCTION("""COMPUTED_VALUE"""),"FB1030751")</f>
        <v>FB1030751</v>
      </c>
      <c r="M772" s="133"/>
      <c r="N772" s="133"/>
      <c r="O772" s="133"/>
      <c r="P772" s="133"/>
      <c r="Q772" s="133"/>
      <c r="R772" s="133"/>
      <c r="S772" s="133"/>
      <c r="T772" s="133"/>
      <c r="U772" s="133"/>
      <c r="V772" s="133"/>
      <c r="W772" s="133"/>
      <c r="X772" s="133"/>
      <c r="Y772" s="133"/>
      <c r="Z772" s="133"/>
    </row>
    <row r="773">
      <c r="A773" s="133">
        <f>IFERROR(__xludf.DUMMYFUNCTION("""COMPUTED_VALUE"""),772.0)</f>
        <v>772</v>
      </c>
      <c r="B773" s="133"/>
      <c r="C773" s="133" t="str">
        <f>IFERROR(__xludf.DUMMYFUNCTION("""COMPUTED_VALUE"""),"P-1-N-290721-4607")</f>
        <v>P-1-N-290721-4607</v>
      </c>
      <c r="D773" s="133"/>
      <c r="E773" s="133" t="str">
        <f>IFERROR(__xludf.DUMMYFUNCTION("""COMPUTED_VALUE"""),"تمت طباعة الشهادة")</f>
        <v>تمت طباعة الشهادة</v>
      </c>
      <c r="F773" s="133" t="str">
        <f>IFERROR(__xludf.DUMMYFUNCTION("""COMPUTED_VALUE"""),"English Name")</f>
        <v>English Name</v>
      </c>
      <c r="G773" s="133" t="str">
        <f>IFERROR(__xludf.DUMMYFUNCTION("""COMPUTED_VALUE"""),"فروتابلز نكهة القرع والتفاح 340 جم")</f>
        <v>فروتابلز نكهة القرع والتفاح 340 جم</v>
      </c>
      <c r="H773" s="133" t="str">
        <f>IFERROR(__xludf.DUMMYFUNCTION("""COMPUTED_VALUE"""),"MAFE20212658")</f>
        <v>MAFE20212658</v>
      </c>
      <c r="I773" s="133"/>
      <c r="J773" s="133"/>
      <c r="K773" s="133" t="str">
        <f>IFERROR(__xludf.DUMMYFUNCTION("""COMPUTED_VALUE"""),"شركة منتجات مانا برو ذات المسؤولية المحدودة")</f>
        <v>شركة منتجات مانا برو ذات المسؤولية المحدودة</v>
      </c>
      <c r="L773" s="133"/>
      <c r="M773" s="133"/>
      <c r="N773" s="133"/>
      <c r="O773" s="133"/>
      <c r="P773" s="133"/>
      <c r="Q773" s="133"/>
      <c r="R773" s="133"/>
      <c r="S773" s="133"/>
      <c r="T773" s="133"/>
      <c r="U773" s="133"/>
      <c r="V773" s="133"/>
      <c r="W773" s="133"/>
      <c r="X773" s="133"/>
      <c r="Y773" s="133"/>
      <c r="Z773" s="133"/>
    </row>
    <row r="774">
      <c r="A774" s="133">
        <f>IFERROR(__xludf.DUMMYFUNCTION("""COMPUTED_VALUE"""),773.0)</f>
        <v>773</v>
      </c>
      <c r="B774" s="133" t="str">
        <f>IFERROR(__xludf.DUMMYFUNCTION("""COMPUTED_VALUE"""),"1001020")</f>
        <v>1001020</v>
      </c>
      <c r="C774" s="133" t="str">
        <f>IFERROR(__xludf.DUMMYFUNCTION("""COMPUTED_VALUE"""),"P-1-N-050821-4824")</f>
        <v>P-1-N-050821-4824</v>
      </c>
      <c r="D774" s="133"/>
      <c r="E774" s="133" t="str">
        <f>IFERROR(__xludf.DUMMYFUNCTION("""COMPUTED_VALUE"""),"REJECTED")</f>
        <v>REJECTED</v>
      </c>
      <c r="F774" s="133" t="str">
        <f>IFERROR(__xludf.DUMMYFUNCTION("""COMPUTED_VALUE"""),"Nutri-Vet Uri-Ease Paw-Gel for Cats 89ml")</f>
        <v>Nutri-Vet Uri-Ease Paw-Gel for Cats 89ml</v>
      </c>
      <c r="G774" s="133" t="str">
        <f>IFERROR(__xludf.DUMMYFUNCTION("""COMPUTED_VALUE"""),"نيوتري-فيت يوري-ايز باو جل للقطط 89 مل")</f>
        <v>نيوتري-فيت يوري-ايز باو جل للقطط 89 مل</v>
      </c>
      <c r="H774" s="133"/>
      <c r="I774" s="133"/>
      <c r="J774" s="133"/>
      <c r="K774" s="133" t="str">
        <f>IFERROR(__xludf.DUMMYFUNCTION("""COMPUTED_VALUE"""),"شركة منتجات مانا برو ذات المسؤولية المحدودة")</f>
        <v>شركة منتجات مانا برو ذات المسؤولية المحدودة</v>
      </c>
      <c r="L774" s="142" t="str">
        <f>IFERROR(__xludf.DUMMYFUNCTION("""COMPUTED_VALUE"""),"1001020")</f>
        <v>1001020</v>
      </c>
      <c r="M774" s="133"/>
      <c r="N774" s="133"/>
      <c r="O774" s="133"/>
      <c r="P774" s="133"/>
      <c r="Q774" s="133"/>
      <c r="R774" s="133"/>
      <c r="S774" s="133"/>
      <c r="T774" s="133"/>
      <c r="U774" s="133"/>
      <c r="V774" s="133"/>
      <c r="W774" s="133"/>
      <c r="X774" s="133"/>
      <c r="Y774" s="133"/>
      <c r="Z774" s="133"/>
    </row>
    <row r="775">
      <c r="A775" s="133">
        <f>IFERROR(__xludf.DUMMYFUNCTION("""COMPUTED_VALUE"""),774.0)</f>
        <v>774</v>
      </c>
      <c r="B775" s="133" t="str">
        <f>IFERROR(__xludf.DUMMYFUNCTION("""COMPUTED_VALUE"""),"NV1001069")</f>
        <v>NV1001069</v>
      </c>
      <c r="C775" s="133" t="str">
        <f>IFERROR(__xludf.DUMMYFUNCTION("""COMPUTED_VALUE"""),"P-1-N-100821-4901")</f>
        <v>P-1-N-100821-4901</v>
      </c>
      <c r="D775" s="133"/>
      <c r="E775" s="133" t="str">
        <f>IFERROR(__xludf.DUMMYFUNCTION("""COMPUTED_VALUE"""),"تمت طباعة الشهادة")</f>
        <v>تمت طباعة الشهادة</v>
      </c>
      <c r="F775" s="133" t="str">
        <f>IFERROR(__xludf.DUMMYFUNCTION("""COMPUTED_VALUE"""),"Nutri-Vet Multi-Vite for Dogs 204g")</f>
        <v>Nutri-Vet Multi-Vite for Dogs 204g</v>
      </c>
      <c r="G775" s="133" t="str">
        <f>IFERROR(__xludf.DUMMYFUNCTION("""COMPUTED_VALUE"""),"نيوتري-فيت مولتي-فايت للكلاب 204 جم")</f>
        <v>نيوتري-فيت مولتي-فايت للكلاب 204 جم</v>
      </c>
      <c r="H775" s="133" t="str">
        <f>IFERROR(__xludf.DUMMYFUNCTION("""COMPUTED_VALUE"""),"MAFE20212816")</f>
        <v>MAFE20212816</v>
      </c>
      <c r="I775" s="133"/>
      <c r="J775" s="133"/>
      <c r="K775" s="133" t="str">
        <f>IFERROR(__xludf.DUMMYFUNCTION("""COMPUTED_VALUE"""),"شركة منتجات مانا برو ذات المسؤولية المحدودة")</f>
        <v>شركة منتجات مانا برو ذات المسؤولية المحدودة</v>
      </c>
      <c r="L775" s="142" t="str">
        <f>IFERROR(__xludf.DUMMYFUNCTION("""COMPUTED_VALUE"""),"NV1001069")</f>
        <v>NV1001069</v>
      </c>
      <c r="M775" s="133"/>
      <c r="N775" s="133"/>
      <c r="O775" s="133"/>
      <c r="P775" s="133"/>
      <c r="Q775" s="133"/>
      <c r="R775" s="133"/>
      <c r="S775" s="133"/>
      <c r="T775" s="133"/>
      <c r="U775" s="133"/>
      <c r="V775" s="133"/>
      <c r="W775" s="133"/>
      <c r="X775" s="133"/>
      <c r="Y775" s="133"/>
      <c r="Z775" s="133"/>
    </row>
    <row r="776">
      <c r="A776" s="133">
        <f>IFERROR(__xludf.DUMMYFUNCTION("""COMPUTED_VALUE"""),775.0)</f>
        <v>775</v>
      </c>
      <c r="B776" s="133" t="str">
        <f>IFERROR(__xludf.DUMMYFUNCTION("""COMPUTED_VALUE"""),"NV1001040")</f>
        <v>NV1001040</v>
      </c>
      <c r="C776" s="133" t="str">
        <f>IFERROR(__xludf.DUMMYFUNCTION("""COMPUTED_VALUE"""),"P-1-N-100821-4903")</f>
        <v>P-1-N-100821-4903</v>
      </c>
      <c r="D776" s="133"/>
      <c r="E776" s="133" t="str">
        <f>IFERROR(__xludf.DUMMYFUNCTION("""COMPUTED_VALUE"""),"تمت طباعة الشهادة")</f>
        <v>تمت طباعة الشهادة</v>
      </c>
      <c r="F776" s="133" t="str">
        <f>IFERROR(__xludf.DUMMYFUNCTION("""COMPUTED_VALUE"""),"Nutri-Vet Brewers Yeast Chewables for Dogs 275g")</f>
        <v>Nutri-Vet Brewers Yeast Chewables for Dogs 275g</v>
      </c>
      <c r="G776" s="133" t="str">
        <f>IFERROR(__xludf.DUMMYFUNCTION("""COMPUTED_VALUE"""),"نيوتري-فيت تشوابلز بخميرة البيرة للكلاب 275 جم")</f>
        <v>نيوتري-فيت تشوابلز بخميرة البيرة للكلاب 275 جم</v>
      </c>
      <c r="H776" s="133" t="str">
        <f>IFERROR(__xludf.DUMMYFUNCTION("""COMPUTED_VALUE"""),"MAFE20212822")</f>
        <v>MAFE20212822</v>
      </c>
      <c r="I776" s="133"/>
      <c r="J776" s="133"/>
      <c r="K776" s="133" t="str">
        <f>IFERROR(__xludf.DUMMYFUNCTION("""COMPUTED_VALUE"""),"شركة منتجات مانا برو ذات المسؤولية المحدودة")</f>
        <v>شركة منتجات مانا برو ذات المسؤولية المحدودة</v>
      </c>
      <c r="L776" s="142" t="str">
        <f>IFERROR(__xludf.DUMMYFUNCTION("""COMPUTED_VALUE"""),"NV1001040")</f>
        <v>NV1001040</v>
      </c>
      <c r="M776" s="133"/>
      <c r="N776" s="133"/>
      <c r="O776" s="133"/>
      <c r="P776" s="133"/>
      <c r="Q776" s="133"/>
      <c r="R776" s="133"/>
      <c r="S776" s="133"/>
      <c r="T776" s="133"/>
      <c r="U776" s="133"/>
      <c r="V776" s="133"/>
      <c r="W776" s="133"/>
      <c r="X776" s="133"/>
      <c r="Y776" s="133"/>
      <c r="Z776" s="133"/>
    </row>
    <row r="777">
      <c r="A777" s="133">
        <f>IFERROR(__xludf.DUMMYFUNCTION("""COMPUTED_VALUE"""),776.0)</f>
        <v>776</v>
      </c>
      <c r="B777" s="133" t="str">
        <f>IFERROR(__xludf.DUMMYFUNCTION("""COMPUTED_VALUE"""),"1001020")</f>
        <v>1001020</v>
      </c>
      <c r="C777" s="133" t="str">
        <f>IFERROR(__xludf.DUMMYFUNCTION("""COMPUTED_VALUE"""),"P-1-N-150821-5057")</f>
        <v>P-1-N-150821-5057</v>
      </c>
      <c r="D777" s="133"/>
      <c r="E777" s="133" t="str">
        <f>IFERROR(__xludf.DUMMYFUNCTION("""COMPUTED_VALUE"""),"تمت طباعة الشهادة")</f>
        <v>تمت طباعة الشهادة</v>
      </c>
      <c r="F777" s="133" t="str">
        <f>IFERROR(__xludf.DUMMYFUNCTION("""COMPUTED_VALUE"""),"Nutri-Vet Uri-Ease Paw-Gel for Cats 89ml")</f>
        <v>Nutri-Vet Uri-Ease Paw-Gel for Cats 89ml</v>
      </c>
      <c r="G777" s="133" t="str">
        <f>IFERROR(__xludf.DUMMYFUNCTION("""COMPUTED_VALUE"""),"نيوتري-فيت يوري-ايز باو جل للقطط 89 مل")</f>
        <v>نيوتري-فيت يوري-ايز باو جل للقطط 89 مل</v>
      </c>
      <c r="H777" s="133" t="str">
        <f>IFERROR(__xludf.DUMMYFUNCTION("""COMPUTED_VALUE"""),"MAFE20212912")</f>
        <v>MAFE20212912</v>
      </c>
      <c r="I777" s="133"/>
      <c r="J777" s="133"/>
      <c r="K777" s="133" t="str">
        <f>IFERROR(__xludf.DUMMYFUNCTION("""COMPUTED_VALUE"""),"شركة منتجات مانا برو ذات المسؤولية المحدودة")</f>
        <v>شركة منتجات مانا برو ذات المسؤولية المحدودة</v>
      </c>
      <c r="L777" s="142" t="str">
        <f>IFERROR(__xludf.DUMMYFUNCTION("""COMPUTED_VALUE"""),"1001020")</f>
        <v>1001020</v>
      </c>
      <c r="M777" s="133"/>
      <c r="N777" s="133"/>
      <c r="O777" s="133"/>
      <c r="P777" s="133"/>
      <c r="Q777" s="133"/>
      <c r="R777" s="133"/>
      <c r="S777" s="133"/>
      <c r="T777" s="133"/>
      <c r="U777" s="133"/>
      <c r="V777" s="133"/>
      <c r="W777" s="133"/>
      <c r="X777" s="133"/>
      <c r="Y777" s="133"/>
      <c r="Z777" s="133"/>
    </row>
    <row r="778">
      <c r="A778" s="133">
        <f>IFERROR(__xludf.DUMMYFUNCTION("""COMPUTED_VALUE"""),777.0)</f>
        <v>777</v>
      </c>
      <c r="B778" s="133"/>
      <c r="C778" s="133" t="str">
        <f>IFERROR(__xludf.DUMMYFUNCTION("""COMPUTED_VALUE"""),"P-1-N-070921-5731")</f>
        <v>P-1-N-070921-5731</v>
      </c>
      <c r="D778" s="133"/>
      <c r="E778" s="133" t="str">
        <f>IFERROR(__xludf.DUMMYFUNCTION("""COMPUTED_VALUE"""),"تمت طباعة الشهادة")</f>
        <v>تمت طباعة الشهادة</v>
      </c>
      <c r="F778" s="133" t="str">
        <f>IFERROR(__xludf.DUMMYFUNCTION("""COMPUTED_VALUE"""),"Chicken")</f>
        <v>Chicken</v>
      </c>
      <c r="G778" s="133" t="str">
        <f>IFERROR(__xludf.DUMMYFUNCTION("""COMPUTED_VALUE"""),"الدجاج والأرز مع الصبار بالجيلي 150 جم")</f>
        <v>الدجاج والأرز مع الصبار بالجيلي 150 جم</v>
      </c>
      <c r="H778" s="133"/>
      <c r="I778" s="133"/>
      <c r="J778" s="133"/>
      <c r="K778" s="133" t="str">
        <f>IFERROR(__xludf.DUMMYFUNCTION("""COMPUTED_VALUE"""),"Agency")</f>
        <v>Agency</v>
      </c>
      <c r="L778" s="133"/>
      <c r="M778" s="133"/>
      <c r="N778" s="133"/>
      <c r="O778" s="133"/>
      <c r="P778" s="133"/>
      <c r="Q778" s="133"/>
      <c r="R778" s="133"/>
      <c r="S778" s="133"/>
      <c r="T778" s="133"/>
      <c r="U778" s="133"/>
      <c r="V778" s="133"/>
      <c r="W778" s="133"/>
      <c r="X778" s="133"/>
      <c r="Y778" s="133"/>
      <c r="Z778" s="133"/>
    </row>
    <row r="779">
      <c r="A779" s="133">
        <f>IFERROR(__xludf.DUMMYFUNCTION("""COMPUTED_VALUE"""),778.0)</f>
        <v>778</v>
      </c>
      <c r="B779" s="133" t="str">
        <f>IFERROR(__xludf.DUMMYFUNCTION("""COMPUTED_VALUE"""),"VB80332")</f>
        <v>VB80332</v>
      </c>
      <c r="C779" s="133" t="str">
        <f>IFERROR(__xludf.DUMMYFUNCTION("""COMPUTED_VALUE"""),"P-1-N-290921-6286")</f>
        <v>P-1-N-290921-6286</v>
      </c>
      <c r="D779" s="133"/>
      <c r="E779" s="133" t="str">
        <f>IFERROR(__xludf.DUMMYFUNCTION("""COMPUTED_VALUE"""),"تمت طباعة الشهادة")</f>
        <v>تمت طباعة الشهادة</v>
      </c>
      <c r="F779" s="133" t="str">
        <f>IFERROR(__xludf.DUMMYFUNCTION("""COMPUTED_VALUE"""),"Vet’s Best Comfort Calm Gel for Cats 100g")</f>
        <v>Vet’s Best Comfort Calm Gel for Cats 100g</v>
      </c>
      <c r="G779" s="133" t="str">
        <f>IFERROR(__xludf.DUMMYFUNCTION("""COMPUTED_VALUE"""),"فيتس بست جل مهدئ ومريح للقطط 100 جم")</f>
        <v>فيتس بست جل مهدئ ومريح للقطط 100 جم</v>
      </c>
      <c r="H779" s="133" t="str">
        <f>IFERROR(__xludf.DUMMYFUNCTION("""COMPUTED_VALUE"""),"MAFE20213496")</f>
        <v>MAFE20213496</v>
      </c>
      <c r="I779" s="133"/>
      <c r="J779" s="133"/>
      <c r="K779" s="133" t="str">
        <f>IFERROR(__xludf.DUMMYFUNCTION("""COMPUTED_VALUE"""),"شركة منتجات مانا برو ذات المسؤولية المحدودة")</f>
        <v>شركة منتجات مانا برو ذات المسؤولية المحدودة</v>
      </c>
      <c r="L779" s="142" t="str">
        <f>IFERROR(__xludf.DUMMYFUNCTION("""COMPUTED_VALUE"""),"VB80332")</f>
        <v>VB80332</v>
      </c>
      <c r="M779" s="133"/>
      <c r="N779" s="133"/>
      <c r="O779" s="133"/>
      <c r="P779" s="133"/>
      <c r="Q779" s="133"/>
      <c r="R779" s="133"/>
      <c r="S779" s="133"/>
      <c r="T779" s="133"/>
      <c r="U779" s="133"/>
      <c r="V779" s="133"/>
      <c r="W779" s="133"/>
      <c r="X779" s="133"/>
      <c r="Y779" s="133"/>
      <c r="Z779" s="133"/>
    </row>
    <row r="780">
      <c r="A780" s="133">
        <f>IFERROR(__xludf.DUMMYFUNCTION("""COMPUTED_VALUE"""),779.0)</f>
        <v>779</v>
      </c>
      <c r="B780" s="133" t="str">
        <f>IFERROR(__xludf.DUMMYFUNCTION("""COMPUTED_VALUE"""),"VB80137")</f>
        <v>VB80137</v>
      </c>
      <c r="C780" s="133" t="str">
        <f>IFERROR(__xludf.DUMMYFUNCTION("""COMPUTED_VALUE"""),"P-1-N-290921-6287")</f>
        <v>P-1-N-290921-6287</v>
      </c>
      <c r="D780" s="133"/>
      <c r="E780" s="133" t="str">
        <f>IFERROR(__xludf.DUMMYFUNCTION("""COMPUTED_VALUE"""),"تمت طباعة الشهادة")</f>
        <v>تمت طباعة الشهادة</v>
      </c>
      <c r="F780" s="133" t="str">
        <f>IFERROR(__xludf.DUMMYFUNCTION("""COMPUTED_VALUE"""),"Vet’s Best Comfort Calm Tablets for Dogs 132g")</f>
        <v>Vet’s Best Comfort Calm Tablets for Dogs 132g</v>
      </c>
      <c r="G780" s="133" t="str">
        <f>IFERROR(__xludf.DUMMYFUNCTION("""COMPUTED_VALUE"""),"فيتس بست تبلتس مهدئ ومريح للكلاب 132 جم")</f>
        <v>فيتس بست تبلتس مهدئ ومريح للكلاب 132 جم</v>
      </c>
      <c r="H780" s="133" t="str">
        <f>IFERROR(__xludf.DUMMYFUNCTION("""COMPUTED_VALUE"""),"MAFE20213502")</f>
        <v>MAFE20213502</v>
      </c>
      <c r="I780" s="133"/>
      <c r="J780" s="133"/>
      <c r="K780" s="133" t="str">
        <f>IFERROR(__xludf.DUMMYFUNCTION("""COMPUTED_VALUE"""),"شركة منتجات مانا برو ذات المسؤولية المحدودة")</f>
        <v>شركة منتجات مانا برو ذات المسؤولية المحدودة</v>
      </c>
      <c r="L780" s="142" t="str">
        <f>IFERROR(__xludf.DUMMYFUNCTION("""COMPUTED_VALUE"""),"VB80137")</f>
        <v>VB80137</v>
      </c>
      <c r="M780" s="133"/>
      <c r="N780" s="133"/>
      <c r="O780" s="133"/>
      <c r="P780" s="133"/>
      <c r="Q780" s="133"/>
      <c r="R780" s="133"/>
      <c r="S780" s="133"/>
      <c r="T780" s="133"/>
      <c r="U780" s="133"/>
      <c r="V780" s="133"/>
      <c r="W780" s="133"/>
      <c r="X780" s="133"/>
      <c r="Y780" s="133"/>
      <c r="Z780" s="133"/>
    </row>
    <row r="781">
      <c r="A781" s="133">
        <f>IFERROR(__xludf.DUMMYFUNCTION("""COMPUTED_VALUE"""),780.0)</f>
        <v>780</v>
      </c>
      <c r="B781" s="133" t="str">
        <f>IFERROR(__xludf.DUMMYFUNCTION("""COMPUTED_VALUE"""),"VB80243")</f>
        <v>VB80243</v>
      </c>
      <c r="C781" s="133" t="str">
        <f>IFERROR(__xludf.DUMMYFUNCTION("""COMPUTED_VALUE"""),"P-1-N-290921-6288")</f>
        <v>P-1-N-290921-6288</v>
      </c>
      <c r="D781" s="133"/>
      <c r="E781" s="133" t="str">
        <f>IFERROR(__xludf.DUMMYFUNCTION("""COMPUTED_VALUE"""),"تمت طباعة الشهادة")</f>
        <v>تمت طباعة الشهادة</v>
      </c>
      <c r="F781" s="133" t="str">
        <f>IFERROR(__xludf.DUMMYFUNCTION("""COMPUTED_VALUE"""),"Vet’s Best Immune Support Tablets for Dogs 150g")</f>
        <v>Vet’s Best Immune Support Tablets for Dogs 150g</v>
      </c>
      <c r="G781" s="133" t="str">
        <f>IFERROR(__xludf.DUMMYFUNCTION("""COMPUTED_VALUE"""),"فيتس بست تبلتس لدعم المناعة للكلاب 150 جم")</f>
        <v>فيتس بست تبلتس لدعم المناعة للكلاب 150 جم</v>
      </c>
      <c r="H781" s="133" t="str">
        <f>IFERROR(__xludf.DUMMYFUNCTION("""COMPUTED_VALUE"""),"MAFE20213503")</f>
        <v>MAFE20213503</v>
      </c>
      <c r="I781" s="133"/>
      <c r="J781" s="133"/>
      <c r="K781" s="133" t="str">
        <f>IFERROR(__xludf.DUMMYFUNCTION("""COMPUTED_VALUE"""),"شركة منتجات مانا برو ذات المسؤولية المحدودة")</f>
        <v>شركة منتجات مانا برو ذات المسؤولية المحدودة</v>
      </c>
      <c r="L781" s="142" t="str">
        <f>IFERROR(__xludf.DUMMYFUNCTION("""COMPUTED_VALUE"""),"VB80243")</f>
        <v>VB80243</v>
      </c>
      <c r="M781" s="133"/>
      <c r="N781" s="133"/>
      <c r="O781" s="133"/>
      <c r="P781" s="133"/>
      <c r="Q781" s="133"/>
      <c r="R781" s="133"/>
      <c r="S781" s="133"/>
      <c r="T781" s="133"/>
      <c r="U781" s="133"/>
      <c r="V781" s="133"/>
      <c r="W781" s="133"/>
      <c r="X781" s="133"/>
      <c r="Y781" s="133"/>
      <c r="Z781" s="133"/>
    </row>
    <row r="782">
      <c r="A782" s="133">
        <f>IFERROR(__xludf.DUMMYFUNCTION("""COMPUTED_VALUE"""),781.0)</f>
        <v>781</v>
      </c>
      <c r="B782" s="133" t="str">
        <f>IFERROR(__xludf.DUMMYFUNCTION("""COMPUTED_VALUE"""),"VB80333")</f>
        <v>VB80333</v>
      </c>
      <c r="C782" s="133" t="str">
        <f>IFERROR(__xludf.DUMMYFUNCTION("""COMPUTED_VALUE"""),"P-1-N-290921-6289")</f>
        <v>P-1-N-290921-6289</v>
      </c>
      <c r="D782" s="133"/>
      <c r="E782" s="133" t="str">
        <f>IFERROR(__xludf.DUMMYFUNCTION("""COMPUTED_VALUE"""),"تمت طباعة الشهادة")</f>
        <v>تمت طباعة الشهادة</v>
      </c>
      <c r="F782" s="133" t="str">
        <f>IFERROR(__xludf.DUMMYFUNCTION("""COMPUTED_VALUE"""),"Vet’s Best Hairball Control Gel for Cats 100g")</f>
        <v>Vet’s Best Hairball Control Gel for Cats 100g</v>
      </c>
      <c r="G782" s="133" t="str">
        <f>IFERROR(__xludf.DUMMYFUNCTION("""COMPUTED_VALUE"""),"فيتس بست جل لكرات الشعر للقطط 100 جم")</f>
        <v>فيتس بست جل لكرات الشعر للقطط 100 جم</v>
      </c>
      <c r="H782" s="133" t="str">
        <f>IFERROR(__xludf.DUMMYFUNCTION("""COMPUTED_VALUE"""),"MAFE20213504")</f>
        <v>MAFE20213504</v>
      </c>
      <c r="I782" s="133"/>
      <c r="J782" s="133"/>
      <c r="K782" s="133" t="str">
        <f>IFERROR(__xludf.DUMMYFUNCTION("""COMPUTED_VALUE"""),"شركة منتجات مانا برو ذات المسؤولية المحدودة")</f>
        <v>شركة منتجات مانا برو ذات المسؤولية المحدودة</v>
      </c>
      <c r="L782" s="142" t="str">
        <f>IFERROR(__xludf.DUMMYFUNCTION("""COMPUTED_VALUE"""),"VB80333")</f>
        <v>VB80333</v>
      </c>
      <c r="M782" s="133"/>
      <c r="N782" s="133"/>
      <c r="O782" s="133"/>
      <c r="P782" s="133"/>
      <c r="Q782" s="133"/>
      <c r="R782" s="133"/>
      <c r="S782" s="133"/>
      <c r="T782" s="133"/>
      <c r="U782" s="133"/>
      <c r="V782" s="133"/>
      <c r="W782" s="133"/>
      <c r="X782" s="133"/>
      <c r="Y782" s="133"/>
      <c r="Z782" s="133"/>
    </row>
    <row r="783">
      <c r="A783" s="133">
        <f>IFERROR(__xludf.DUMMYFUNCTION("""COMPUTED_VALUE"""),782.0)</f>
        <v>782</v>
      </c>
      <c r="B783" s="133"/>
      <c r="C783" s="133" t="str">
        <f>IFERROR(__xludf.DUMMYFUNCTION("""COMPUTED_VALUE"""),"P-1-N-290921-6290")</f>
        <v>P-1-N-290921-6290</v>
      </c>
      <c r="D783" s="133"/>
      <c r="E783" s="133" t="str">
        <f>IFERROR(__xludf.DUMMYFUNCTION("""COMPUTED_VALUE"""),"تمت طباعة الشهادة")</f>
        <v>تمت طباعة الشهادة</v>
      </c>
      <c r="F783" s="133" t="str">
        <f>IFERROR(__xludf.DUMMYFUNCTION("""COMPUTED_VALUE"""),"English Name")</f>
        <v>English Name</v>
      </c>
      <c r="G783" s="133" t="str">
        <f>IFERROR(__xludf.DUMMYFUNCTION("""COMPUTED_VALUE"""),"فيتس بست تبلتس للجلد والفرو للكلاب 150 جم")</f>
        <v>فيتس بست تبلتس للجلد والفرو للكلاب 150 جم</v>
      </c>
      <c r="H783" s="133" t="str">
        <f>IFERROR(__xludf.DUMMYFUNCTION("""COMPUTED_VALUE"""),"MAFE20213505")</f>
        <v>MAFE20213505</v>
      </c>
      <c r="I783" s="133"/>
      <c r="J783" s="133"/>
      <c r="K783" s="133" t="str">
        <f>IFERROR(__xludf.DUMMYFUNCTION("""COMPUTED_VALUE"""),"شركة منتجات مانا برو ذات المسؤولية المحدودة")</f>
        <v>شركة منتجات مانا برو ذات المسؤولية المحدودة</v>
      </c>
      <c r="L783" s="133"/>
      <c r="M783" s="133"/>
      <c r="N783" s="133"/>
      <c r="O783" s="133"/>
      <c r="P783" s="133"/>
      <c r="Q783" s="133"/>
      <c r="R783" s="133"/>
      <c r="S783" s="133"/>
      <c r="T783" s="133"/>
      <c r="U783" s="133"/>
      <c r="V783" s="133"/>
      <c r="W783" s="133"/>
      <c r="X783" s="133"/>
      <c r="Y783" s="133"/>
      <c r="Z783" s="133"/>
    </row>
    <row r="784">
      <c r="A784" s="133">
        <f>IFERROR(__xludf.DUMMYFUNCTION("""COMPUTED_VALUE"""),783.0)</f>
        <v>783</v>
      </c>
      <c r="B784" s="133" t="str">
        <f>IFERROR(__xludf.DUMMYFUNCTION("""COMPUTED_VALUE"""),"VB80335")</f>
        <v>VB80335</v>
      </c>
      <c r="C784" s="133" t="str">
        <f>IFERROR(__xludf.DUMMYFUNCTION("""COMPUTED_VALUE"""),"P-1-N-290921-6291")</f>
        <v>P-1-N-290921-6291</v>
      </c>
      <c r="D784" s="133"/>
      <c r="E784" s="133" t="str">
        <f>IFERROR(__xludf.DUMMYFUNCTION("""COMPUTED_VALUE"""),"تمت طباعة الشهادة")</f>
        <v>تمت طباعة الشهادة</v>
      </c>
      <c r="F784" s="133" t="str">
        <f>IFERROR(__xludf.DUMMYFUNCTION("""COMPUTED_VALUE"""),"Vet’s Best Urinary Tract Support Gel for Cats 100g")</f>
        <v>Vet’s Best Urinary Tract Support Gel for Cats 100g</v>
      </c>
      <c r="G784" s="133" t="str">
        <f>IFERROR(__xludf.DUMMYFUNCTION("""COMPUTED_VALUE"""),"فيتس بست يوريناري تراكت سابورت جل للقطط 100 جم")</f>
        <v>فيتس بست يوريناري تراكت سابورت جل للقطط 100 جم</v>
      </c>
      <c r="H784" s="133" t="str">
        <f>IFERROR(__xludf.DUMMYFUNCTION("""COMPUTED_VALUE"""),"MAFE20213526")</f>
        <v>MAFE20213526</v>
      </c>
      <c r="I784" s="133"/>
      <c r="J784" s="133"/>
      <c r="K784" s="133" t="str">
        <f>IFERROR(__xludf.DUMMYFUNCTION("""COMPUTED_VALUE"""),"شركة منتجات مانا برو ذات المسؤولية المحدودة")</f>
        <v>شركة منتجات مانا برو ذات المسؤولية المحدودة</v>
      </c>
      <c r="L784" s="142" t="str">
        <f>IFERROR(__xludf.DUMMYFUNCTION("""COMPUTED_VALUE"""),"VB80335")</f>
        <v>VB80335</v>
      </c>
      <c r="M784" s="133"/>
      <c r="N784" s="133"/>
      <c r="O784" s="133"/>
      <c r="P784" s="133"/>
      <c r="Q784" s="133"/>
      <c r="R784" s="133"/>
      <c r="S784" s="133"/>
      <c r="T784" s="133"/>
      <c r="U784" s="133"/>
      <c r="V784" s="133"/>
      <c r="W784" s="133"/>
      <c r="X784" s="133"/>
      <c r="Y784" s="133"/>
      <c r="Z784" s="133"/>
    </row>
    <row r="785">
      <c r="A785" s="133">
        <f>IFERROR(__xludf.DUMMYFUNCTION("""COMPUTED_VALUE"""),784.0)</f>
        <v>784</v>
      </c>
      <c r="B785" s="133" t="str">
        <f>IFERROR(__xludf.DUMMYFUNCTION("""COMPUTED_VALUE"""),"VB80334")</f>
        <v>VB80334</v>
      </c>
      <c r="C785" s="133" t="str">
        <f>IFERROR(__xludf.DUMMYFUNCTION("""COMPUTED_VALUE"""),"P-1-N-290921-6292")</f>
        <v>P-1-N-290921-6292</v>
      </c>
      <c r="D785" s="133"/>
      <c r="E785" s="133" t="str">
        <f>IFERROR(__xludf.DUMMYFUNCTION("""COMPUTED_VALUE"""),"تمت طباعة الشهادة")</f>
        <v>تمت طباعة الشهادة</v>
      </c>
      <c r="F785" s="133" t="str">
        <f>IFERROR(__xludf.DUMMYFUNCTION("""COMPUTED_VALUE"""),"Vet’s Best Multi System Support Gel for Cats 100g")</f>
        <v>Vet’s Best Multi System Support Gel for Cats 100g</v>
      </c>
      <c r="G785" s="133" t="str">
        <f>IFERROR(__xludf.DUMMYFUNCTION("""COMPUTED_VALUE"""),"فيتس بست جل متعدد الأنظمة لدعم القطط 100 جم")</f>
        <v>فيتس بست جل متعدد الأنظمة لدعم القطط 100 جم</v>
      </c>
      <c r="H785" s="133" t="str">
        <f>IFERROR(__xludf.DUMMYFUNCTION("""COMPUTED_VALUE"""),"MAFE20213506")</f>
        <v>MAFE20213506</v>
      </c>
      <c r="I785" s="133"/>
      <c r="J785" s="133"/>
      <c r="K785" s="133" t="str">
        <f>IFERROR(__xludf.DUMMYFUNCTION("""COMPUTED_VALUE"""),"شركة منتجات مانا برو ذات المسؤولية المحدودة")</f>
        <v>شركة منتجات مانا برو ذات المسؤولية المحدودة</v>
      </c>
      <c r="L785" s="142" t="str">
        <f>IFERROR(__xludf.DUMMYFUNCTION("""COMPUTED_VALUE"""),"VB80334")</f>
        <v>VB80334</v>
      </c>
      <c r="M785" s="133"/>
      <c r="N785" s="133"/>
      <c r="O785" s="133"/>
      <c r="P785" s="133"/>
      <c r="Q785" s="133"/>
      <c r="R785" s="133"/>
      <c r="S785" s="133"/>
      <c r="T785" s="133"/>
      <c r="U785" s="133"/>
      <c r="V785" s="133"/>
      <c r="W785" s="133"/>
      <c r="X785" s="133"/>
      <c r="Y785" s="133"/>
      <c r="Z785" s="133"/>
    </row>
    <row r="786">
      <c r="A786" s="133">
        <f>IFERROR(__xludf.DUMMYFUNCTION("""COMPUTED_VALUE"""),785.0)</f>
        <v>785</v>
      </c>
      <c r="B786" s="133" t="str">
        <f>IFERROR(__xludf.DUMMYFUNCTION("""COMPUTED_VALUE"""),"a8004")</f>
        <v>a8004</v>
      </c>
      <c r="C786" s="133" t="str">
        <f>IFERROR(__xludf.DUMMYFUNCTION("""COMPUTED_VALUE"""),"P-1-N-300921-6338")</f>
        <v>P-1-N-300921-6338</v>
      </c>
      <c r="D786" s="133"/>
      <c r="E786" s="133" t="str">
        <f>IFERROR(__xludf.DUMMYFUNCTION("""COMPUTED_VALUE"""),"تمت طباعة الشهادة")</f>
        <v>تمت طباعة الشهادة</v>
      </c>
      <c r="F786" s="133" t="str">
        <f>IFERROR(__xludf.DUMMYFUNCTION("""COMPUTED_VALUE"""),"Applaws Cat Pouch 70g Tuna with Seabream")</f>
        <v>Applaws Cat Pouch 70g Tuna with Seabream</v>
      </c>
      <c r="G786" s="133" t="str">
        <f>IFERROR(__xludf.DUMMYFUNCTION("""COMPUTED_VALUE"""),"كيس أبلاوز للقطط 70 جم من التونة مع الدنيس")</f>
        <v>كيس أبلاوز للقطط 70 جم من التونة مع الدنيس</v>
      </c>
      <c r="H786" s="133" t="str">
        <f>IFERROR(__xludf.DUMMYFUNCTION("""COMPUTED_VALUE"""),"MAFE20213507")</f>
        <v>MAFE20213507</v>
      </c>
      <c r="I786" s="133"/>
      <c r="J786" s="133"/>
      <c r="K786" s="133" t="str">
        <f>IFERROR(__xludf.DUMMYFUNCTION("""COMPUTED_VALUE"""),"شركة شوتيوات للتصنيع المحدودة")</f>
        <v>شركة شوتيوات للتصنيع المحدودة</v>
      </c>
      <c r="L786" s="142" t="str">
        <f>IFERROR(__xludf.DUMMYFUNCTION("""COMPUTED_VALUE"""),"a8004")</f>
        <v>a8004</v>
      </c>
      <c r="M786" s="133"/>
      <c r="N786" s="133"/>
      <c r="O786" s="133"/>
      <c r="P786" s="133"/>
      <c r="Q786" s="133"/>
      <c r="R786" s="133"/>
      <c r="S786" s="133"/>
      <c r="T786" s="133"/>
      <c r="U786" s="133"/>
      <c r="V786" s="133"/>
      <c r="W786" s="133"/>
      <c r="X786" s="133"/>
      <c r="Y786" s="133"/>
      <c r="Z786" s="133"/>
    </row>
    <row r="787">
      <c r="A787" s="133">
        <f>IFERROR(__xludf.DUMMYFUNCTION("""COMPUTED_VALUE"""),786.0)</f>
        <v>786</v>
      </c>
      <c r="B787" s="133" t="str">
        <f>IFERROR(__xludf.DUMMYFUNCTION("""COMPUTED_VALUE"""),"100414")</f>
        <v>100414</v>
      </c>
      <c r="C787" s="133" t="str">
        <f>IFERROR(__xludf.DUMMYFUNCTION("""COMPUTED_VALUE"""),"P-1-N-211021-6970")</f>
        <v>P-1-N-211021-6970</v>
      </c>
      <c r="D787" s="133"/>
      <c r="E787" s="133" t="str">
        <f>IFERROR(__xludf.DUMMYFUNCTION("""COMPUTED_VALUE"""),"تمت طباعة الشهادة")</f>
        <v>تمت طباعة الشهادة</v>
      </c>
      <c r="F787" s="133" t="str">
        <f>IFERROR(__xludf.DUMMYFUNCTION("""COMPUTED_VALUE"""),"Profine Chicken and Marigold 50g")</f>
        <v>Profine Chicken and Marigold 50g</v>
      </c>
      <c r="G787" s="133" t="str">
        <f>IFERROR(__xludf.DUMMYFUNCTION("""COMPUTED_VALUE"""),"بروفاين")</f>
        <v>بروفاين</v>
      </c>
      <c r="H787" s="133" t="str">
        <f>IFERROR(__xludf.DUMMYFUNCTION("""COMPUTED_VALUE"""),"MAFE20213916")</f>
        <v>MAFE20213916</v>
      </c>
      <c r="I787" s="133"/>
      <c r="J787" s="133"/>
      <c r="K787" s="133" t="str">
        <f>IFERROR(__xludf.DUMMYFUNCTION("""COMPUTED_VALUE"""),"فافو براها اس ار او")</f>
        <v>فافو براها اس ار او</v>
      </c>
      <c r="L787" s="142" t="str">
        <f>IFERROR(__xludf.DUMMYFUNCTION("""COMPUTED_VALUE"""),"100414")</f>
        <v>100414</v>
      </c>
      <c r="M787" s="133"/>
      <c r="N787" s="133"/>
      <c r="O787" s="133"/>
      <c r="P787" s="133"/>
      <c r="Q787" s="133"/>
      <c r="R787" s="133"/>
      <c r="S787" s="133"/>
      <c r="T787" s="133"/>
      <c r="U787" s="133"/>
      <c r="V787" s="133"/>
      <c r="W787" s="133"/>
      <c r="X787" s="133"/>
      <c r="Y787" s="133"/>
      <c r="Z787" s="133"/>
    </row>
    <row r="788">
      <c r="A788" s="133">
        <f>IFERROR(__xludf.DUMMYFUNCTION("""COMPUTED_VALUE"""),787.0)</f>
        <v>787</v>
      </c>
      <c r="B788" s="133" t="str">
        <f>IFERROR(__xludf.DUMMYFUNCTION("""COMPUTED_VALUE"""),"100415")</f>
        <v>100415</v>
      </c>
      <c r="C788" s="133" t="str">
        <f>IFERROR(__xludf.DUMMYFUNCTION("""COMPUTED_VALUE"""),"P-1-N-211021-6971")</f>
        <v>P-1-N-211021-6971</v>
      </c>
      <c r="D788" s="133"/>
      <c r="E788" s="133" t="str">
        <f>IFERROR(__xludf.DUMMYFUNCTION("""COMPUTED_VALUE"""),"تمت طباعة الشهادة")</f>
        <v>تمت طباعة الشهادة</v>
      </c>
      <c r="F788" s="133" t="str">
        <f>IFERROR(__xludf.DUMMYFUNCTION("""COMPUTED_VALUE"""),"Profine Lamb with Chokeberries 50g")</f>
        <v>Profine Lamb with Chokeberries 50g</v>
      </c>
      <c r="G788" s="133" t="str">
        <f>IFERROR(__xludf.DUMMYFUNCTION("""COMPUTED_VALUE"""),"بروفاين لحم ضآن مع التشوكبيري 50 جم")</f>
        <v>بروفاين لحم ضآن مع التشوكبيري 50 جم</v>
      </c>
      <c r="H788" s="133" t="str">
        <f>IFERROR(__xludf.DUMMYFUNCTION("""COMPUTED_VALUE"""),"MAFE20213891")</f>
        <v>MAFE20213891</v>
      </c>
      <c r="I788" s="133"/>
      <c r="J788" s="133"/>
      <c r="K788" s="133" t="str">
        <f>IFERROR(__xludf.DUMMYFUNCTION("""COMPUTED_VALUE"""),"Agency")</f>
        <v>Agency</v>
      </c>
      <c r="L788" s="142" t="str">
        <f>IFERROR(__xludf.DUMMYFUNCTION("""COMPUTED_VALUE"""),"100415")</f>
        <v>100415</v>
      </c>
      <c r="M788" s="133"/>
      <c r="N788" s="133"/>
      <c r="O788" s="133"/>
      <c r="P788" s="133"/>
      <c r="Q788" s="133"/>
      <c r="R788" s="133"/>
      <c r="S788" s="133"/>
      <c r="T788" s="133"/>
      <c r="U788" s="133"/>
      <c r="V788" s="133"/>
      <c r="W788" s="133"/>
      <c r="X788" s="133"/>
      <c r="Y788" s="133"/>
      <c r="Z788" s="133"/>
    </row>
    <row r="789">
      <c r="A789" s="133">
        <f>IFERROR(__xludf.DUMMYFUNCTION("""COMPUTED_VALUE"""),788.0)</f>
        <v>788</v>
      </c>
      <c r="B789" s="133" t="str">
        <f>IFERROR(__xludf.DUMMYFUNCTION("""COMPUTED_VALUE"""),"100416")</f>
        <v>100416</v>
      </c>
      <c r="C789" s="133" t="str">
        <f>IFERROR(__xludf.DUMMYFUNCTION("""COMPUTED_VALUE"""),"P-1-N-211021-6972")</f>
        <v>P-1-N-211021-6972</v>
      </c>
      <c r="D789" s="133"/>
      <c r="E789" s="133" t="str">
        <f>IFERROR(__xludf.DUMMYFUNCTION("""COMPUTED_VALUE"""),"تمت طباعة الشهادة")</f>
        <v>تمت طباعة الشهادة</v>
      </c>
      <c r="F789" s="133" t="str">
        <f>IFERROR(__xludf.DUMMYFUNCTION("""COMPUTED_VALUE"""),"Profine Salmon with Thyme 50g")</f>
        <v>Profine Salmon with Thyme 50g</v>
      </c>
      <c r="G789" s="133" t="str">
        <f>IFERROR(__xludf.DUMMYFUNCTION("""COMPUTED_VALUE"""),"بروفاين سالمون مع زعتر 50 جم")</f>
        <v>بروفاين سالمون مع زعتر 50 جم</v>
      </c>
      <c r="H789" s="133" t="str">
        <f>IFERROR(__xludf.DUMMYFUNCTION("""COMPUTED_VALUE"""),"MAFE20213890")</f>
        <v>MAFE20213890</v>
      </c>
      <c r="I789" s="133"/>
      <c r="J789" s="133"/>
      <c r="K789" s="133" t="str">
        <f>IFERROR(__xludf.DUMMYFUNCTION("""COMPUTED_VALUE"""),"فافو براها اس ار او")</f>
        <v>فافو براها اس ار او</v>
      </c>
      <c r="L789" s="142" t="str">
        <f>IFERROR(__xludf.DUMMYFUNCTION("""COMPUTED_VALUE"""),"100416")</f>
        <v>100416</v>
      </c>
      <c r="M789" s="133"/>
      <c r="N789" s="133"/>
      <c r="O789" s="133"/>
      <c r="P789" s="133"/>
      <c r="Q789" s="133"/>
      <c r="R789" s="133"/>
      <c r="S789" s="133"/>
      <c r="T789" s="133"/>
      <c r="U789" s="133"/>
      <c r="V789" s="133"/>
      <c r="W789" s="133"/>
      <c r="X789" s="133"/>
      <c r="Y789" s="133"/>
      <c r="Z789" s="133"/>
    </row>
    <row r="790">
      <c r="A790" s="133">
        <f>IFERROR(__xludf.DUMMYFUNCTION("""COMPUTED_VALUE"""),789.0)</f>
        <v>789</v>
      </c>
      <c r="B790" s="133"/>
      <c r="C790" s="133" t="str">
        <f>IFERROR(__xludf.DUMMYFUNCTION("""COMPUTED_VALUE"""),"P-1-N-011121-7322")</f>
        <v>P-1-N-011121-7322</v>
      </c>
      <c r="D790" s="133"/>
      <c r="E790" s="133" t="str">
        <f>IFERROR(__xludf.DUMMYFUNCTION("""COMPUTED_VALUE"""),"REJECTED")</f>
        <v>REJECTED</v>
      </c>
      <c r="F790" s="133" t="str">
        <f>IFERROR(__xludf.DUMMYFUNCTION("""COMPUTED_VALUE"""),"Crispy Muesli Hamsters &amp; Co 1 kg")</f>
        <v>Crispy Muesli Hamsters &amp; Co 1 kg</v>
      </c>
      <c r="G790" s="133" t="str">
        <f>IFERROR(__xludf.DUMMYFUNCTION("""COMPUTED_VALUE"""),"كريسبي موسلي للهامستر 1 كجم")</f>
        <v>كريسبي موسلي للهامستر 1 كجم</v>
      </c>
      <c r="H790" s="133"/>
      <c r="I790" s="133"/>
      <c r="J790" s="133"/>
      <c r="K790" s="133" t="str">
        <f>IFERROR(__xludf.DUMMYFUNCTION("""COMPUTED_VALUE"""),"فيرسل لاقا ان في")</f>
        <v>فيرسل لاقا ان في</v>
      </c>
      <c r="L790" s="133"/>
      <c r="M790" s="133"/>
      <c r="N790" s="133"/>
      <c r="O790" s="133"/>
      <c r="P790" s="133"/>
      <c r="Q790" s="133"/>
      <c r="R790" s="133"/>
      <c r="S790" s="133"/>
      <c r="T790" s="133"/>
      <c r="U790" s="133"/>
      <c r="V790" s="133"/>
      <c r="W790" s="133"/>
      <c r="X790" s="133"/>
      <c r="Y790" s="133"/>
      <c r="Z790" s="133"/>
    </row>
    <row r="791">
      <c r="A791" s="133">
        <f>IFERROR(__xludf.DUMMYFUNCTION("""COMPUTED_VALUE"""),790.0)</f>
        <v>790</v>
      </c>
      <c r="B791" s="133" t="str">
        <f>IFERROR(__xludf.DUMMYFUNCTION("""COMPUTED_VALUE"""),"SV6000")</f>
        <v>SV6000</v>
      </c>
      <c r="C791" s="133" t="str">
        <f>IFERROR(__xludf.DUMMYFUNCTION("""COMPUTED_VALUE"""),"P-1-N-011121-7323")</f>
        <v>P-1-N-011121-7323</v>
      </c>
      <c r="D791" s="133"/>
      <c r="E791" s="133" t="str">
        <f>IFERROR(__xludf.DUMMYFUNCTION("""COMPUTED_VALUE"""),"تمت طباعة الشهادة")</f>
        <v>تمت طباعة الشهادة</v>
      </c>
      <c r="F791" s="133" t="str">
        <f>IFERROR(__xludf.DUMMYFUNCTION("""COMPUTED_VALUE"""),"Sanal Taurin 60g")</f>
        <v>Sanal Taurin 60g</v>
      </c>
      <c r="G791" s="133" t="str">
        <f>IFERROR(__xludf.DUMMYFUNCTION("""COMPUTED_VALUE"""),"سانال تورين 60 جم")</f>
        <v>سانال تورين 60 جم</v>
      </c>
      <c r="H791" s="133" t="str">
        <f>IFERROR(__xludf.DUMMYFUNCTION("""COMPUTED_VALUE"""),"MAFE20214055")</f>
        <v>MAFE20214055</v>
      </c>
      <c r="I791" s="133"/>
      <c r="J791" s="133"/>
      <c r="K791" s="133" t="str">
        <f>IFERROR(__xludf.DUMMYFUNCTION("""COMPUTED_VALUE"""),"نيدرما بي في")</f>
        <v>نيدرما بي في</v>
      </c>
      <c r="L791" s="142" t="str">
        <f>IFERROR(__xludf.DUMMYFUNCTION("""COMPUTED_VALUE"""),"SV6000")</f>
        <v>SV6000</v>
      </c>
      <c r="M791" s="133"/>
      <c r="N791" s="133"/>
      <c r="O791" s="133"/>
      <c r="P791" s="133"/>
      <c r="Q791" s="133"/>
      <c r="R791" s="133"/>
      <c r="S791" s="133"/>
      <c r="T791" s="133"/>
      <c r="U791" s="133"/>
      <c r="V791" s="133"/>
      <c r="W791" s="133"/>
      <c r="X791" s="133"/>
      <c r="Y791" s="133"/>
      <c r="Z791" s="133"/>
    </row>
    <row r="792">
      <c r="A792" s="133">
        <f>IFERROR(__xludf.DUMMYFUNCTION("""COMPUTED_VALUE"""),791.0)</f>
        <v>791</v>
      </c>
      <c r="B792" s="133"/>
      <c r="C792" s="133" t="str">
        <f>IFERROR(__xludf.DUMMYFUNCTION("""COMPUTED_VALUE"""),"P-1-N-021121-7370")</f>
        <v>P-1-N-021121-7370</v>
      </c>
      <c r="D792" s="133"/>
      <c r="E792" s="133" t="str">
        <f>IFERROR(__xludf.DUMMYFUNCTION("""COMPUTED_VALUE"""),"تمت طباعة الشهادة")</f>
        <v>تمت طباعة الشهادة</v>
      </c>
      <c r="F792" s="133" t="str">
        <f>IFERROR(__xludf.DUMMYFUNCTION("""COMPUTED_VALUE"""),"English Name")</f>
        <v>English Name</v>
      </c>
      <c r="G792" s="133" t="str">
        <f>IFERROR(__xludf.DUMMYFUNCTION("""COMPUTED_VALUE"""),"سينسيكات 2 كجم")</f>
        <v>سينسيكات 2 كجم</v>
      </c>
      <c r="H792" s="133" t="str">
        <f>IFERROR(__xludf.DUMMYFUNCTION("""COMPUTED_VALUE"""),"MAFE20214098")</f>
        <v>MAFE20214098</v>
      </c>
      <c r="I792" s="133"/>
      <c r="J792" s="133"/>
      <c r="K792" s="133" t="str">
        <f>IFERROR(__xludf.DUMMYFUNCTION("""COMPUTED_VALUE"""),"شركة جوسيرا بت فود جي ام بي اتش كاي جي")</f>
        <v>شركة جوسيرا بت فود جي ام بي اتش كاي جي</v>
      </c>
      <c r="L792" s="133"/>
      <c r="M792" s="133"/>
      <c r="N792" s="133"/>
      <c r="O792" s="133"/>
      <c r="P792" s="133"/>
      <c r="Q792" s="133"/>
      <c r="R792" s="133"/>
      <c r="S792" s="133"/>
      <c r="T792" s="133"/>
      <c r="U792" s="133"/>
      <c r="V792" s="133"/>
      <c r="W792" s="133"/>
      <c r="X792" s="133"/>
      <c r="Y792" s="133"/>
      <c r="Z792" s="133"/>
    </row>
    <row r="793">
      <c r="A793" s="133">
        <f>IFERROR(__xludf.DUMMYFUNCTION("""COMPUTED_VALUE"""),792.0)</f>
        <v>792</v>
      </c>
      <c r="B793" s="133"/>
      <c r="C793" s="133" t="str">
        <f>IFERROR(__xludf.DUMMYFUNCTION("""COMPUTED_VALUE"""),"P-1-N-021121-7372")</f>
        <v>P-1-N-021121-7372</v>
      </c>
      <c r="D793" s="133"/>
      <c r="E793" s="133" t="str">
        <f>IFERROR(__xludf.DUMMYFUNCTION("""COMPUTED_VALUE"""),"تمت طباعة الشهادة")</f>
        <v>تمت طباعة الشهادة</v>
      </c>
      <c r="F793" s="133" t="str">
        <f>IFERROR(__xludf.DUMMYFUNCTION("""COMPUTED_VALUE"""),"SensiCat  / 60 g ")</f>
        <v>SensiCat  / 60 g </v>
      </c>
      <c r="G793" s="133" t="str">
        <f>IFERROR(__xludf.DUMMYFUNCTION("""COMPUTED_VALUE"""),"سينسيكات 400 جم")</f>
        <v>سينسيكات 400 جم</v>
      </c>
      <c r="H793" s="133" t="str">
        <f>IFERROR(__xludf.DUMMYFUNCTION("""COMPUTED_VALUE"""),"FOM-2024-6397-FEB-2024-49549 -C-0041-70346")</f>
        <v>FOM-2024-6397-FEB-2024-49549 -C-0041-70346</v>
      </c>
      <c r="I793" s="133"/>
      <c r="J793" s="133"/>
      <c r="K793" s="133" t="str">
        <f>IFERROR(__xludf.DUMMYFUNCTION("""COMPUTED_VALUE"""),"شركة جوسيرا بت فود جي ام بي اتش كاي جي")</f>
        <v>شركة جوسيرا بت فود جي ام بي اتش كاي جي</v>
      </c>
      <c r="L793" s="133"/>
      <c r="M793" s="133"/>
      <c r="N793" s="133"/>
      <c r="O793" s="133"/>
      <c r="P793" s="133"/>
      <c r="Q793" s="133"/>
      <c r="R793" s="133"/>
      <c r="S793" s="133"/>
      <c r="T793" s="133"/>
      <c r="U793" s="133"/>
      <c r="V793" s="133"/>
      <c r="W793" s="133"/>
      <c r="X793" s="133"/>
      <c r="Y793" s="133"/>
      <c r="Z793" s="133"/>
    </row>
    <row r="794">
      <c r="A794" s="133">
        <f>IFERROR(__xludf.DUMMYFUNCTION("""COMPUTED_VALUE"""),793.0)</f>
        <v>793</v>
      </c>
      <c r="B794" s="133"/>
      <c r="C794" s="133" t="str">
        <f>IFERROR(__xludf.DUMMYFUNCTION("""COMPUTED_VALUE"""),"P-1-N-081121-7514")</f>
        <v>P-1-N-081121-7514</v>
      </c>
      <c r="D794" s="133"/>
      <c r="E794" s="133" t="str">
        <f>IFERROR(__xludf.DUMMYFUNCTION("""COMPUTED_VALUE"""),"تمت طباعة الشهادة")</f>
        <v>تمت طباعة الشهادة</v>
      </c>
      <c r="F794" s="133" t="str">
        <f>IFERROR(__xludf.DUMMYFUNCTION("""COMPUTED_VALUE"""),"Kit")</f>
        <v>Kit</v>
      </c>
      <c r="G794" s="133" t="str">
        <f>IFERROR(__xludf.DUMMYFUNCTION("""COMPUTED_VALUE"""),"كيت كات كوزين كامل – تونا و بذور الشيا 150 جم")</f>
        <v>كيت كات كوزين كامل – تونا و بذور الشيا 150 جم</v>
      </c>
      <c r="H794" s="133"/>
      <c r="I794" s="133"/>
      <c r="J794" s="133"/>
      <c r="K794" s="133" t="str">
        <f>IFERROR(__xludf.DUMMYFUNCTION("""COMPUTED_VALUE"""),"Agency")</f>
        <v>Agency</v>
      </c>
      <c r="L794" s="133"/>
      <c r="M794" s="133"/>
      <c r="N794" s="133"/>
      <c r="O794" s="133"/>
      <c r="P794" s="133"/>
      <c r="Q794" s="133"/>
      <c r="R794" s="133"/>
      <c r="S794" s="133"/>
      <c r="T794" s="133"/>
      <c r="U794" s="133"/>
      <c r="V794" s="133"/>
      <c r="W794" s="133"/>
      <c r="X794" s="133"/>
      <c r="Y794" s="133"/>
      <c r="Z794" s="133"/>
    </row>
    <row r="795">
      <c r="A795" s="133">
        <f>IFERROR(__xludf.DUMMYFUNCTION("""COMPUTED_VALUE"""),794.0)</f>
        <v>794</v>
      </c>
      <c r="B795" s="133"/>
      <c r="C795" s="133" t="str">
        <f>IFERROR(__xludf.DUMMYFUNCTION("""COMPUTED_VALUE"""),"P-1-N-081121-7520")</f>
        <v>P-1-N-081121-7520</v>
      </c>
      <c r="D795" s="133"/>
      <c r="E795" s="133" t="str">
        <f>IFERROR(__xludf.DUMMYFUNCTION("""COMPUTED_VALUE"""),"تمت طباعة الشهادة")</f>
        <v>تمت طباعة الشهادة</v>
      </c>
      <c r="F795" s="133" t="str">
        <f>IFERROR(__xludf.DUMMYFUNCTION("""COMPUTED_VALUE"""),"English Name")</f>
        <v>English Name</v>
      </c>
      <c r="G795" s="133" t="str">
        <f>IFERROR(__xludf.DUMMYFUNCTION("""COMPUTED_VALUE"""),"كيت كات كوزين كامل – تونا كلاسيك 150 جم")</f>
        <v>كيت كات كوزين كامل – تونا كلاسيك 150 جم</v>
      </c>
      <c r="H795" s="133" t="str">
        <f>IFERROR(__xludf.DUMMYFUNCTION("""COMPUTED_VALUE"""),"MAFE20214135")</f>
        <v>MAFE20214135</v>
      </c>
      <c r="I795" s="133"/>
      <c r="J795" s="133"/>
      <c r="K795" s="133" t="str">
        <f>IFERROR(__xludf.DUMMYFUNCTION("""COMPUTED_VALUE"""),"تروبيكال كانينج بابليك كمبني ليميتيد")</f>
        <v>تروبيكال كانينج بابليك كمبني ليميتيد</v>
      </c>
      <c r="L795" s="133"/>
      <c r="M795" s="133"/>
      <c r="N795" s="133"/>
      <c r="O795" s="133"/>
      <c r="P795" s="133"/>
      <c r="Q795" s="133"/>
      <c r="R795" s="133"/>
      <c r="S795" s="133"/>
      <c r="T795" s="133"/>
      <c r="U795" s="133"/>
      <c r="V795" s="133"/>
      <c r="W795" s="133"/>
      <c r="X795" s="133"/>
      <c r="Y795" s="133"/>
      <c r="Z795" s="133"/>
    </row>
    <row r="796">
      <c r="A796" s="133">
        <f>IFERROR(__xludf.DUMMYFUNCTION("""COMPUTED_VALUE"""),795.0)</f>
        <v>795</v>
      </c>
      <c r="B796" s="133" t="str">
        <f>IFERROR(__xludf.DUMMYFUNCTION("""COMPUTED_VALUE"""),"4077")</f>
        <v>4077</v>
      </c>
      <c r="C796" s="133" t="str">
        <f>IFERROR(__xludf.DUMMYFUNCTION("""COMPUTED_VALUE"""),"P-1-N-101121-7590")</f>
        <v>P-1-N-101121-7590</v>
      </c>
      <c r="D796" s="133"/>
      <c r="E796" s="133" t="str">
        <f>IFERROR(__xludf.DUMMYFUNCTION("""COMPUTED_VALUE"""),"REJECTED")</f>
        <v>REJECTED</v>
      </c>
      <c r="F796" s="133" t="str">
        <f>IFERROR(__xludf.DUMMYFUNCTION("""COMPUTED_VALUE"""),"Applaws Adult Cat Ocean Fish with Salmon 6kg")</f>
        <v>Applaws Adult Cat Ocean Fish with Salmon 6kg</v>
      </c>
      <c r="G796" s="133" t="str">
        <f>IFERROR(__xludf.DUMMYFUNCTION("""COMPUTED_VALUE"""),"أبلاوز سمك المحيط مع السلمون للقطط البالغة 6 كجم")</f>
        <v>أبلاوز سمك المحيط مع السلمون للقطط البالغة 6 كجم</v>
      </c>
      <c r="H796" s="133"/>
      <c r="I796" s="133"/>
      <c r="J796" s="133"/>
      <c r="K796" s="133" t="str">
        <f>IFERROR(__xludf.DUMMYFUNCTION("""COMPUTED_VALUE"""),"أم بي أم برودكتس ليمتد")</f>
        <v>أم بي أم برودكتس ليمتد</v>
      </c>
      <c r="L796" s="142" t="str">
        <f>IFERROR(__xludf.DUMMYFUNCTION("""COMPUTED_VALUE"""),"4077")</f>
        <v>4077</v>
      </c>
      <c r="M796" s="133"/>
      <c r="N796" s="133"/>
      <c r="O796" s="133"/>
      <c r="P796" s="133"/>
      <c r="Q796" s="133"/>
      <c r="R796" s="133"/>
      <c r="S796" s="133"/>
      <c r="T796" s="133"/>
      <c r="U796" s="133"/>
      <c r="V796" s="133"/>
      <c r="W796" s="133"/>
      <c r="X796" s="133"/>
      <c r="Y796" s="133"/>
      <c r="Z796" s="133"/>
    </row>
    <row r="797">
      <c r="A797" s="133">
        <f>IFERROR(__xludf.DUMMYFUNCTION("""COMPUTED_VALUE"""),796.0)</f>
        <v>796</v>
      </c>
      <c r="B797" s="133"/>
      <c r="C797" s="133" t="str">
        <f>IFERROR(__xludf.DUMMYFUNCTION("""COMPUTED_VALUE"""),"P-1-N-101121-7591")</f>
        <v>P-1-N-101121-7591</v>
      </c>
      <c r="D797" s="133"/>
      <c r="E797" s="133" t="str">
        <f>IFERROR(__xludf.DUMMYFUNCTION("""COMPUTED_VALUE"""),"REJECTED")</f>
        <v>REJECTED</v>
      </c>
      <c r="F797" s="133" t="str">
        <f>IFERROR(__xludf.DUMMYFUNCTION("""COMPUTED_VALUE"""),"Applaws Adult Cat Ocean Fish with Salmon 350g")</f>
        <v>Applaws Adult Cat Ocean Fish with Salmon 350g</v>
      </c>
      <c r="G797" s="133" t="str">
        <f>IFERROR(__xludf.DUMMYFUNCTION("""COMPUTED_VALUE"""),"أبلاوز سمك المحيط مع السلمون للقطط البالغة 350 جم")</f>
        <v>أبلاوز سمك المحيط مع السلمون للقطط البالغة 350 جم</v>
      </c>
      <c r="H797" s="133"/>
      <c r="I797" s="133"/>
      <c r="J797" s="133"/>
      <c r="K797" s="133" t="str">
        <f>IFERROR(__xludf.DUMMYFUNCTION("""COMPUTED_VALUE"""),"أم بي أم برودكتس ليمتد")</f>
        <v>أم بي أم برودكتس ليمتد</v>
      </c>
      <c r="L797" s="133"/>
      <c r="M797" s="133"/>
      <c r="N797" s="133"/>
      <c r="O797" s="133"/>
      <c r="P797" s="133"/>
      <c r="Q797" s="133"/>
      <c r="R797" s="133"/>
      <c r="S797" s="133"/>
      <c r="T797" s="133"/>
      <c r="U797" s="133"/>
      <c r="V797" s="133"/>
      <c r="W797" s="133"/>
      <c r="X797" s="133"/>
      <c r="Y797" s="133"/>
      <c r="Z797" s="133"/>
    </row>
    <row r="798">
      <c r="A798" s="133">
        <f>IFERROR(__xludf.DUMMYFUNCTION("""COMPUTED_VALUE"""),797.0)</f>
        <v>797</v>
      </c>
      <c r="B798" s="133"/>
      <c r="C798" s="133" t="str">
        <f>IFERROR(__xludf.DUMMYFUNCTION("""COMPUTED_VALUE"""),"P-1-N-211121-7879")</f>
        <v>P-1-N-211121-7879</v>
      </c>
      <c r="D798" s="133"/>
      <c r="E798" s="133" t="str">
        <f>IFERROR(__xludf.DUMMYFUNCTION("""COMPUTED_VALUE"""),"REJECTED")</f>
        <v>REJECTED</v>
      </c>
      <c r="F798" s="133" t="str">
        <f>IFERROR(__xludf.DUMMYFUNCTION("""COMPUTED_VALUE"""),"Vet’s")</f>
        <v>Vet’s</v>
      </c>
      <c r="G798" s="133" t="str">
        <f>IFERROR(__xludf.DUMMYFUNCTION("""COMPUTED_VALUE"""),"فيتس بست تبلتس الورك والمفاصل للكلاب 144 جم")</f>
        <v>فيتس بست تبلتس الورك والمفاصل للكلاب 144 جم</v>
      </c>
      <c r="H798" s="133"/>
      <c r="I798" s="133"/>
      <c r="J798" s="133"/>
      <c r="K798" s="133" t="str">
        <f>IFERROR(__xludf.DUMMYFUNCTION("""COMPUTED_VALUE"""),"Agency")</f>
        <v>Agency</v>
      </c>
      <c r="L798" s="133"/>
      <c r="M798" s="133"/>
      <c r="N798" s="133"/>
      <c r="O798" s="133"/>
      <c r="P798" s="133"/>
      <c r="Q798" s="133"/>
      <c r="R798" s="133"/>
      <c r="S798" s="133"/>
      <c r="T798" s="133"/>
      <c r="U798" s="133"/>
      <c r="V798" s="133"/>
      <c r="W798" s="133"/>
      <c r="X798" s="133"/>
      <c r="Y798" s="133"/>
      <c r="Z798" s="133"/>
    </row>
    <row r="799">
      <c r="A799" s="133">
        <f>IFERROR(__xludf.DUMMYFUNCTION("""COMPUTED_VALUE"""),798.0)</f>
        <v>798</v>
      </c>
      <c r="B799" s="133" t="str">
        <f>IFERROR(__xludf.DUMMYFUNCTION("""COMPUTED_VALUE"""),"AHAF3108")</f>
        <v>AHAF3108</v>
      </c>
      <c r="C799" s="133" t="str">
        <f>IFERROR(__xludf.DUMMYFUNCTION("""COMPUTED_VALUE"""),"P-1-N-221121-7917")</f>
        <v>P-1-N-221121-7917</v>
      </c>
      <c r="D799" s="133"/>
      <c r="E799" s="133" t="str">
        <f>IFERROR(__xludf.DUMMYFUNCTION("""COMPUTED_VALUE"""),"تمت طباعة الشهادة")</f>
        <v>تمت طباعة الشهادة</v>
      </c>
      <c r="F799" s="133" t="str">
        <f>IFERROR(__xludf.DUMMYFUNCTION("""COMPUTED_VALUE"""),"Absolute Holistic Grain free Indoor - Chicken 1.36kg")</f>
        <v>Absolute Holistic Grain free Indoor - Chicken 1.36kg</v>
      </c>
      <c r="G799" s="133" t="str">
        <f>IFERROR(__xludf.DUMMYFUNCTION("""COMPUTED_VALUE"""),"ابسولوت هوليستيك ايندور خالي من الحبوب بالدجاج 1.36 كجم")</f>
        <v>ابسولوت هوليستيك ايندور خالي من الحبوب بالدجاج 1.36 كجم</v>
      </c>
      <c r="H799" s="133"/>
      <c r="I799" s="133"/>
      <c r="J799" s="133"/>
      <c r="K799" s="133" t="str">
        <f>IFERROR(__xludf.DUMMYFUNCTION("""COMPUTED_VALUE"""),"شركة المتحدة للحيوانات الأليفة هولندا")</f>
        <v>شركة المتحدة للحيوانات الأليفة هولندا</v>
      </c>
      <c r="L799" s="142" t="str">
        <f>IFERROR(__xludf.DUMMYFUNCTION("""COMPUTED_VALUE"""),"AHAF3108")</f>
        <v>AHAF3108</v>
      </c>
      <c r="M799" s="133"/>
      <c r="N799" s="133"/>
      <c r="O799" s="133"/>
      <c r="P799" s="133"/>
      <c r="Q799" s="133"/>
      <c r="R799" s="133"/>
      <c r="S799" s="133"/>
      <c r="T799" s="133"/>
      <c r="U799" s="133"/>
      <c r="V799" s="133"/>
      <c r="W799" s="133"/>
      <c r="X799" s="133"/>
      <c r="Y799" s="133"/>
      <c r="Z799" s="133"/>
    </row>
    <row r="800">
      <c r="A800" s="133">
        <f>IFERROR(__xludf.DUMMYFUNCTION("""COMPUTED_VALUE"""),799.0)</f>
        <v>799</v>
      </c>
      <c r="B800" s="133" t="str">
        <f>IFERROR(__xludf.DUMMYFUNCTION("""COMPUTED_VALUE"""),"AHAF3085")</f>
        <v>AHAF3085</v>
      </c>
      <c r="C800" s="133" t="str">
        <f>IFERROR(__xludf.DUMMYFUNCTION("""COMPUTED_VALUE"""),"P-1-N-221121-7918")</f>
        <v>P-1-N-221121-7918</v>
      </c>
      <c r="D800" s="133"/>
      <c r="E800" s="133" t="str">
        <f>IFERROR(__xludf.DUMMYFUNCTION("""COMPUTED_VALUE"""),"تمت طباعة الشهادة")</f>
        <v>تمت طباعة الشهادة</v>
      </c>
      <c r="F800" s="133" t="str">
        <f>IFERROR(__xludf.DUMMYFUNCTION("""COMPUTED_VALUE"""),"Absolute Holistic Grain free Coat Care - Salmon &amp; Cod 1.36kg")</f>
        <v>Absolute Holistic Grain free Coat Care - Salmon &amp; Cod 1.36kg</v>
      </c>
      <c r="G800" s="133" t="str">
        <f>IFERROR(__xludf.DUMMYFUNCTION("""COMPUTED_VALUE"""),"ابسولوت هوليستيك للعناية بالفراء خالي من الحبوب بسمك السلمون وسمك القد 1.36 كجم")</f>
        <v>ابسولوت هوليستيك للعناية بالفراء خالي من الحبوب بسمك السلمون وسمك القد 1.36 كجم</v>
      </c>
      <c r="H800" s="133"/>
      <c r="I800" s="133"/>
      <c r="J800" s="133"/>
      <c r="K800" s="133" t="str">
        <f>IFERROR(__xludf.DUMMYFUNCTION("""COMPUTED_VALUE"""),"شركة المتحدة للحيوانات الأليفة هولندا")</f>
        <v>شركة المتحدة للحيوانات الأليفة هولندا</v>
      </c>
      <c r="L800" s="142" t="str">
        <f>IFERROR(__xludf.DUMMYFUNCTION("""COMPUTED_VALUE"""),"AHAF3085")</f>
        <v>AHAF3085</v>
      </c>
      <c r="M800" s="133"/>
      <c r="N800" s="133"/>
      <c r="O800" s="133"/>
      <c r="P800" s="133"/>
      <c r="Q800" s="133"/>
      <c r="R800" s="133"/>
      <c r="S800" s="133"/>
      <c r="T800" s="133"/>
      <c r="U800" s="133"/>
      <c r="V800" s="133"/>
      <c r="W800" s="133"/>
      <c r="X800" s="133"/>
      <c r="Y800" s="133"/>
      <c r="Z800" s="133"/>
    </row>
    <row r="801">
      <c r="A801" s="133">
        <f>IFERROR(__xludf.DUMMYFUNCTION("""COMPUTED_VALUE"""),800.0)</f>
        <v>800</v>
      </c>
      <c r="B801" s="133" t="str">
        <f>IFERROR(__xludf.DUMMYFUNCTION("""COMPUTED_VALUE"""),"AHAF3146")</f>
        <v>AHAF3146</v>
      </c>
      <c r="C801" s="133" t="str">
        <f>IFERROR(__xludf.DUMMYFUNCTION("""COMPUTED_VALUE"""),"P-1-N-221121-7920")</f>
        <v>P-1-N-221121-7920</v>
      </c>
      <c r="D801" s="133"/>
      <c r="E801" s="133" t="str">
        <f>IFERROR(__xludf.DUMMYFUNCTION("""COMPUTED_VALUE"""),"تمت طباعة الشهادة")</f>
        <v>تمت طباعة الشهادة</v>
      </c>
      <c r="F801" s="133" t="str">
        <f>IFERROR(__xludf.DUMMYFUNCTION("""COMPUTED_VALUE"""),"Absolute Holistic Grain free Kitten - Chicken &amp; Salmon 1.36kg")</f>
        <v>Absolute Holistic Grain free Kitten - Chicken &amp; Salmon 1.36kg</v>
      </c>
      <c r="G801" s="133" t="str">
        <f>IFERROR(__xludf.DUMMYFUNCTION("""COMPUTED_VALUE"""),"ابسولوت هوليستيك للقطط الصغيرة خالي من الحبوب بالدجاج و السلمون 1.36 كجم")</f>
        <v>ابسولوت هوليستيك للقطط الصغيرة خالي من الحبوب بالدجاج و السلمون 1.36 كجم</v>
      </c>
      <c r="H801" s="133"/>
      <c r="I801" s="133"/>
      <c r="J801" s="133"/>
      <c r="K801" s="133" t="str">
        <f>IFERROR(__xludf.DUMMYFUNCTION("""COMPUTED_VALUE"""),"شركة المتحدة للحيوانات الأليفة هولندا")</f>
        <v>شركة المتحدة للحيوانات الأليفة هولندا</v>
      </c>
      <c r="L801" s="142" t="str">
        <f>IFERROR(__xludf.DUMMYFUNCTION("""COMPUTED_VALUE"""),"AHAF3146")</f>
        <v>AHAF3146</v>
      </c>
      <c r="M801" s="133"/>
      <c r="N801" s="133"/>
      <c r="O801" s="133"/>
      <c r="P801" s="133"/>
      <c r="Q801" s="133"/>
      <c r="R801" s="133"/>
      <c r="S801" s="133"/>
      <c r="T801" s="133"/>
      <c r="U801" s="133"/>
      <c r="V801" s="133"/>
      <c r="W801" s="133"/>
      <c r="X801" s="133"/>
      <c r="Y801" s="133"/>
      <c r="Z801" s="133"/>
    </row>
    <row r="802">
      <c r="A802" s="133">
        <f>IFERROR(__xludf.DUMMYFUNCTION("""COMPUTED_VALUE"""),801.0)</f>
        <v>801</v>
      </c>
      <c r="B802" s="133" t="str">
        <f>IFERROR(__xludf.DUMMYFUNCTION("""COMPUTED_VALUE"""),"AHAF3122")</f>
        <v>AHAF3122</v>
      </c>
      <c r="C802" s="133" t="str">
        <f>IFERROR(__xludf.DUMMYFUNCTION("""COMPUTED_VALUE"""),"P-1-N-221121-7921")</f>
        <v>P-1-N-221121-7921</v>
      </c>
      <c r="D802" s="133"/>
      <c r="E802" s="133" t="str">
        <f>IFERROR(__xludf.DUMMYFUNCTION("""COMPUTED_VALUE"""),"تمت طباعة الشهادة")</f>
        <v>تمت طباعة الشهادة</v>
      </c>
      <c r="F802" s="133" t="str">
        <f>IFERROR(__xludf.DUMMYFUNCTION("""COMPUTED_VALUE"""),"Absolute Holistic Grain free Urinary - Tuna &amp; Chicken 1.36kg")</f>
        <v>Absolute Holistic Grain free Urinary - Tuna &amp; Chicken 1.36kg</v>
      </c>
      <c r="G802" s="133" t="str">
        <f>IFERROR(__xludf.DUMMYFUNCTION("""COMPUTED_VALUE"""),"ابسولوت هوليستيك يوريناري خالي من الحبوب بالتونة والدجاج 1.36 كجم")</f>
        <v>ابسولوت هوليستيك يوريناري خالي من الحبوب بالتونة والدجاج 1.36 كجم</v>
      </c>
      <c r="H802" s="133"/>
      <c r="I802" s="133"/>
      <c r="J802" s="133"/>
      <c r="K802" s="133" t="str">
        <f>IFERROR(__xludf.DUMMYFUNCTION("""COMPUTED_VALUE"""),"شركة المتحدة للحيوانات الأليفة هولندا")</f>
        <v>شركة المتحدة للحيوانات الأليفة هولندا</v>
      </c>
      <c r="L802" s="142" t="str">
        <f>IFERROR(__xludf.DUMMYFUNCTION("""COMPUTED_VALUE"""),"AHAF3122")</f>
        <v>AHAF3122</v>
      </c>
      <c r="M802" s="133"/>
      <c r="N802" s="133"/>
      <c r="O802" s="133"/>
      <c r="P802" s="133"/>
      <c r="Q802" s="133"/>
      <c r="R802" s="133"/>
      <c r="S802" s="133"/>
      <c r="T802" s="133"/>
      <c r="U802" s="133"/>
      <c r="V802" s="133"/>
      <c r="W802" s="133"/>
      <c r="X802" s="133"/>
      <c r="Y802" s="133"/>
      <c r="Z802" s="133"/>
    </row>
    <row r="803">
      <c r="A803" s="133">
        <f>IFERROR(__xludf.DUMMYFUNCTION("""COMPUTED_VALUE"""),802.0)</f>
        <v>802</v>
      </c>
      <c r="B803" s="133"/>
      <c r="C803" s="133" t="str">
        <f>IFERROR(__xludf.DUMMYFUNCTION("""COMPUTED_VALUE"""),"P-1-N-221121-7922")</f>
        <v>P-1-N-221121-7922</v>
      </c>
      <c r="D803" s="133"/>
      <c r="E803" s="133" t="str">
        <f>IFERROR(__xludf.DUMMYFUNCTION("""COMPUTED_VALUE"""),"تمت طباعة الشهادة")</f>
        <v>تمت طباعة الشهادة</v>
      </c>
      <c r="F803" s="133" t="str">
        <f>IFERROR(__xludf.DUMMYFUNCTION("""COMPUTED_VALUE"""),"English Name")</f>
        <v>English Name</v>
      </c>
      <c r="G803" s="133" t="str">
        <f>IFERROR(__xludf.DUMMYFUNCTION("""COMPUTED_VALUE"""),"ابسولوت هوليستيك لكرة الشعر خالي من الحبوب بالديك الرومي ، الدجاج و البط 1.36 كجم")</f>
        <v>ابسولوت هوليستيك لكرة الشعر خالي من الحبوب بالديك الرومي ، الدجاج و البط 1.36 كجم</v>
      </c>
      <c r="H803" s="133"/>
      <c r="I803" s="133"/>
      <c r="J803" s="133"/>
      <c r="K803" s="133" t="str">
        <f>IFERROR(__xludf.DUMMYFUNCTION("""COMPUTED_VALUE"""),"شركة المتحدة للحيوانات الأليفة هولندا")</f>
        <v>شركة المتحدة للحيوانات الأليفة هولندا</v>
      </c>
      <c r="L803" s="133"/>
      <c r="M803" s="133"/>
      <c r="N803" s="133"/>
      <c r="O803" s="133"/>
      <c r="P803" s="133"/>
      <c r="Q803" s="133"/>
      <c r="R803" s="133"/>
      <c r="S803" s="133"/>
      <c r="T803" s="133"/>
      <c r="U803" s="133"/>
      <c r="V803" s="133"/>
      <c r="W803" s="133"/>
      <c r="X803" s="133"/>
      <c r="Y803" s="133"/>
      <c r="Z803" s="133"/>
    </row>
    <row r="804">
      <c r="A804" s="133">
        <f>IFERROR(__xludf.DUMMYFUNCTION("""COMPUTED_VALUE"""),803.0)</f>
        <v>803</v>
      </c>
      <c r="B804" s="133" t="str">
        <f>IFERROR(__xludf.DUMMYFUNCTION("""COMPUTED_VALUE"""),"SD2817")</f>
        <v>SD2817</v>
      </c>
      <c r="C804" s="133" t="str">
        <f>IFERROR(__xludf.DUMMYFUNCTION("""COMPUTED_VALUE"""),"P-1-N-231121-7948")</f>
        <v>P-1-N-231121-7948</v>
      </c>
      <c r="D804" s="133"/>
      <c r="E804" s="133" t="str">
        <f>IFERROR(__xludf.DUMMYFUNCTION("""COMPUTED_VALUE"""),"تمت طباعة الشهادة")</f>
        <v>تمت طباعة الشهادة</v>
      </c>
      <c r="F804" s="133" t="str">
        <f>IFERROR(__xludf.DUMMYFUNCTION("""COMPUTED_VALUE"""),"SANAL DOG CHICKEN BONES 80g")</f>
        <v>SANAL DOG CHICKEN BONES 80g</v>
      </c>
      <c r="G804" s="133" t="str">
        <f>IFERROR(__xludf.DUMMYFUNCTION("""COMPUTED_VALUE"""),"سانال الكلاب تشيكن بونز 80 جم")</f>
        <v>سانال الكلاب تشيكن بونز 80 جم</v>
      </c>
      <c r="H804" s="133" t="str">
        <f>IFERROR(__xludf.DUMMYFUNCTION("""COMPUTED_VALUE"""),"MAFE20214410")</f>
        <v>MAFE20214410</v>
      </c>
      <c r="I804" s="133"/>
      <c r="J804" s="133"/>
      <c r="K804" s="133" t="str">
        <f>IFERROR(__xludf.DUMMYFUNCTION("""COMPUTED_VALUE"""),"شركة تشينغداو يالوت للأغذية المحدودة")</f>
        <v>شركة تشينغداو يالوت للأغذية المحدودة</v>
      </c>
      <c r="L804" s="142" t="str">
        <f>IFERROR(__xludf.DUMMYFUNCTION("""COMPUTED_VALUE"""),"SD2817")</f>
        <v>SD2817</v>
      </c>
      <c r="M804" s="133"/>
      <c r="N804" s="133"/>
      <c r="O804" s="133"/>
      <c r="P804" s="133"/>
      <c r="Q804" s="133"/>
      <c r="R804" s="133"/>
      <c r="S804" s="133"/>
      <c r="T804" s="133"/>
      <c r="U804" s="133"/>
      <c r="V804" s="133"/>
      <c r="W804" s="133"/>
      <c r="X804" s="133"/>
      <c r="Y804" s="133"/>
      <c r="Z804" s="133"/>
    </row>
    <row r="805">
      <c r="A805" s="133">
        <f>IFERROR(__xludf.DUMMYFUNCTION("""COMPUTED_VALUE"""),804.0)</f>
        <v>804</v>
      </c>
      <c r="B805" s="133" t="str">
        <f>IFERROR(__xludf.DUMMYFUNCTION("""COMPUTED_VALUE"""),"SD2816")</f>
        <v>SD2816</v>
      </c>
      <c r="C805" s="133" t="str">
        <f>IFERROR(__xludf.DUMMYFUNCTION("""COMPUTED_VALUE"""),"P-1-N-231121-7949")</f>
        <v>P-1-N-231121-7949</v>
      </c>
      <c r="D805" s="133"/>
      <c r="E805" s="133" t="str">
        <f>IFERROR(__xludf.DUMMYFUNCTION("""COMPUTED_VALUE"""),"تمت طباعة الشهادة")</f>
        <v>تمت طباعة الشهادة</v>
      </c>
      <c r="F805" s="133" t="str">
        <f>IFERROR(__xludf.DUMMYFUNCTION("""COMPUTED_VALUE"""),"Sanal Dog Chicken Wrap 80g")</f>
        <v>Sanal Dog Chicken Wrap 80g</v>
      </c>
      <c r="G805" s="133" t="str">
        <f>IFERROR(__xludf.DUMMYFUNCTION("""COMPUTED_VALUE"""),"سانال الكلاب راب دجاج 80 جم")</f>
        <v>سانال الكلاب راب دجاج 80 جم</v>
      </c>
      <c r="H805" s="133" t="str">
        <f>IFERROR(__xludf.DUMMYFUNCTION("""COMPUTED_VALUE"""),"MAFE20214408")</f>
        <v>MAFE20214408</v>
      </c>
      <c r="I805" s="133"/>
      <c r="J805" s="133"/>
      <c r="K805" s="133" t="str">
        <f>IFERROR(__xludf.DUMMYFUNCTION("""COMPUTED_VALUE"""),"شركة تشينغداو يالوت للأغذية المحدودة")</f>
        <v>شركة تشينغداو يالوت للأغذية المحدودة</v>
      </c>
      <c r="L805" s="142" t="str">
        <f>IFERROR(__xludf.DUMMYFUNCTION("""COMPUTED_VALUE"""),"SD2816")</f>
        <v>SD2816</v>
      </c>
      <c r="M805" s="133"/>
      <c r="N805" s="133"/>
      <c r="O805" s="133"/>
      <c r="P805" s="133"/>
      <c r="Q805" s="133"/>
      <c r="R805" s="133"/>
      <c r="S805" s="133"/>
      <c r="T805" s="133"/>
      <c r="U805" s="133"/>
      <c r="V805" s="133"/>
      <c r="W805" s="133"/>
      <c r="X805" s="133"/>
      <c r="Y805" s="133"/>
      <c r="Z805" s="133"/>
    </row>
    <row r="806">
      <c r="A806" s="133">
        <f>IFERROR(__xludf.DUMMYFUNCTION("""COMPUTED_VALUE"""),805.0)</f>
        <v>805</v>
      </c>
      <c r="B806" s="133" t="str">
        <f>IFERROR(__xludf.DUMMYFUNCTION("""COMPUTED_VALUE"""),"SD2815")</f>
        <v>SD2815</v>
      </c>
      <c r="C806" s="133" t="str">
        <f>IFERROR(__xludf.DUMMYFUNCTION("""COMPUTED_VALUE"""),"P-1-N-231121-7956")</f>
        <v>P-1-N-231121-7956</v>
      </c>
      <c r="D806" s="133"/>
      <c r="E806" s="133" t="str">
        <f>IFERROR(__xludf.DUMMYFUNCTION("""COMPUTED_VALUE"""),"تمت طباعة الشهادة")</f>
        <v>تمت طباعة الشهادة</v>
      </c>
      <c r="F806" s="133" t="str">
        <f>IFERROR(__xludf.DUMMYFUNCTION("""COMPUTED_VALUE"""),"Sanal Dog Chicken &amp; Fish Strips 80g")</f>
        <v>Sanal Dog Chicken &amp; Fish Strips 80g</v>
      </c>
      <c r="G806" s="133" t="str">
        <f>IFERROR(__xludf.DUMMYFUNCTION("""COMPUTED_VALUE"""),"سانال الكلاب بشرائح الدجاج و السمك 80 جم")</f>
        <v>سانال الكلاب بشرائح الدجاج و السمك 80 جم</v>
      </c>
      <c r="H806" s="133" t="str">
        <f>IFERROR(__xludf.DUMMYFUNCTION("""COMPUTED_VALUE"""),"MAFE20214407")</f>
        <v>MAFE20214407</v>
      </c>
      <c r="I806" s="133"/>
      <c r="J806" s="133"/>
      <c r="K806" s="133" t="str">
        <f>IFERROR(__xludf.DUMMYFUNCTION("""COMPUTED_VALUE"""),"شركة تشينغداو يالوت للأغذية المحدودة")</f>
        <v>شركة تشينغداو يالوت للأغذية المحدودة</v>
      </c>
      <c r="L806" s="142" t="str">
        <f>IFERROR(__xludf.DUMMYFUNCTION("""COMPUTED_VALUE"""),"SD2815")</f>
        <v>SD2815</v>
      </c>
      <c r="M806" s="133"/>
      <c r="N806" s="133"/>
      <c r="O806" s="133"/>
      <c r="P806" s="133"/>
      <c r="Q806" s="133"/>
      <c r="R806" s="133"/>
      <c r="S806" s="133"/>
      <c r="T806" s="133"/>
      <c r="U806" s="133"/>
      <c r="V806" s="133"/>
      <c r="W806" s="133"/>
      <c r="X806" s="133"/>
      <c r="Y806" s="133"/>
      <c r="Z806" s="133"/>
    </row>
    <row r="807">
      <c r="A807" s="133">
        <f>IFERROR(__xludf.DUMMYFUNCTION("""COMPUTED_VALUE"""),806.0)</f>
        <v>806</v>
      </c>
      <c r="B807" s="133" t="str">
        <f>IFERROR(__xludf.DUMMYFUNCTION("""COMPUTED_VALUE"""),"SD2814")</f>
        <v>SD2814</v>
      </c>
      <c r="C807" s="133" t="str">
        <f>IFERROR(__xludf.DUMMYFUNCTION("""COMPUTED_VALUE"""),"P-1-N-231121-7957")</f>
        <v>P-1-N-231121-7957</v>
      </c>
      <c r="D807" s="133"/>
      <c r="E807" s="133" t="str">
        <f>IFERROR(__xludf.DUMMYFUNCTION("""COMPUTED_VALUE"""),"تمت طباعة الشهادة")</f>
        <v>تمت طباعة الشهادة</v>
      </c>
      <c r="F807" s="133" t="str">
        <f>IFERROR(__xludf.DUMMYFUNCTION("""COMPUTED_VALUE"""),"Sanal Dog Duck Filet 80g")</f>
        <v>Sanal Dog Duck Filet 80g</v>
      </c>
      <c r="G807" s="133" t="str">
        <f>IFERROR(__xludf.DUMMYFUNCTION("""COMPUTED_VALUE"""),"سانال")</f>
        <v>سانال</v>
      </c>
      <c r="H807" s="133" t="str">
        <f>IFERROR(__xludf.DUMMYFUNCTION("""COMPUTED_VALUE"""),"MAFE20214406")</f>
        <v>MAFE20214406</v>
      </c>
      <c r="I807" s="133"/>
      <c r="J807" s="133"/>
      <c r="K807" s="133" t="str">
        <f>IFERROR(__xludf.DUMMYFUNCTION("""COMPUTED_VALUE"""),"شركة تشينغداو يالوت للأغذية المحدودة")</f>
        <v>شركة تشينغداو يالوت للأغذية المحدودة</v>
      </c>
      <c r="L807" s="142" t="str">
        <f>IFERROR(__xludf.DUMMYFUNCTION("""COMPUTED_VALUE"""),"SD2814")</f>
        <v>SD2814</v>
      </c>
      <c r="M807" s="133"/>
      <c r="N807" s="133"/>
      <c r="O807" s="133"/>
      <c r="P807" s="133"/>
      <c r="Q807" s="133"/>
      <c r="R807" s="133"/>
      <c r="S807" s="133"/>
      <c r="T807" s="133"/>
      <c r="U807" s="133"/>
      <c r="V807" s="133"/>
      <c r="W807" s="133"/>
      <c r="X807" s="133"/>
      <c r="Y807" s="133"/>
      <c r="Z807" s="133"/>
    </row>
    <row r="808">
      <c r="A808" s="133">
        <f>IFERROR(__xludf.DUMMYFUNCTION("""COMPUTED_VALUE"""),807.0)</f>
        <v>807</v>
      </c>
      <c r="B808" s="133" t="str">
        <f>IFERROR(__xludf.DUMMYFUNCTION("""COMPUTED_VALUE"""),"SD2813")</f>
        <v>SD2813</v>
      </c>
      <c r="C808" s="133" t="str">
        <f>IFERROR(__xludf.DUMMYFUNCTION("""COMPUTED_VALUE"""),"P-1-N-231121-7958")</f>
        <v>P-1-N-231121-7958</v>
      </c>
      <c r="D808" s="133"/>
      <c r="E808" s="133" t="str">
        <f>IFERROR(__xludf.DUMMYFUNCTION("""COMPUTED_VALUE"""),"تمت طباعة الشهادة")</f>
        <v>تمت طباعة الشهادة</v>
      </c>
      <c r="F808" s="133" t="str">
        <f>IFERROR(__xludf.DUMMYFUNCTION("""COMPUTED_VALUE"""),"Sanal Dog Calcium Chicken Bones 80g")</f>
        <v>Sanal Dog Calcium Chicken Bones 80g</v>
      </c>
      <c r="G808" s="133" t="str">
        <f>IFERROR(__xludf.DUMMYFUNCTION("""COMPUTED_VALUE"""),"سانال الكلاب كالسيوم تشيكن بونز 80 جم")</f>
        <v>سانال الكلاب كالسيوم تشيكن بونز 80 جم</v>
      </c>
      <c r="H808" s="133" t="str">
        <f>IFERROR(__xludf.DUMMYFUNCTION("""COMPUTED_VALUE"""),"MAFE20214404")</f>
        <v>MAFE20214404</v>
      </c>
      <c r="I808" s="133"/>
      <c r="J808" s="133"/>
      <c r="K808" s="133" t="str">
        <f>IFERROR(__xludf.DUMMYFUNCTION("""COMPUTED_VALUE"""),"Agency")</f>
        <v>Agency</v>
      </c>
      <c r="L808" s="142" t="str">
        <f>IFERROR(__xludf.DUMMYFUNCTION("""COMPUTED_VALUE"""),"SD2813")</f>
        <v>SD2813</v>
      </c>
      <c r="M808" s="133"/>
      <c r="N808" s="133"/>
      <c r="O808" s="133"/>
      <c r="P808" s="133"/>
      <c r="Q808" s="133"/>
      <c r="R808" s="133"/>
      <c r="S808" s="133"/>
      <c r="T808" s="133"/>
      <c r="U808" s="133"/>
      <c r="V808" s="133"/>
      <c r="W808" s="133"/>
      <c r="X808" s="133"/>
      <c r="Y808" s="133"/>
      <c r="Z808" s="133"/>
    </row>
    <row r="809">
      <c r="A809" s="133">
        <f>IFERROR(__xludf.DUMMYFUNCTION("""COMPUTED_VALUE"""),808.0)</f>
        <v>808</v>
      </c>
      <c r="B809" s="133" t="str">
        <f>IFERROR(__xludf.DUMMYFUNCTION("""COMPUTED_VALUE"""),"SD2812")</f>
        <v>SD2812</v>
      </c>
      <c r="C809" s="133" t="str">
        <f>IFERROR(__xludf.DUMMYFUNCTION("""COMPUTED_VALUE"""),"P-1-N-231121-7959")</f>
        <v>P-1-N-231121-7959</v>
      </c>
      <c r="D809" s="133"/>
      <c r="E809" s="133" t="str">
        <f>IFERROR(__xludf.DUMMYFUNCTION("""COMPUTED_VALUE"""),"تمت طباعة الشهادة")</f>
        <v>تمت طباعة الشهادة</v>
      </c>
      <c r="F809" s="133" t="str">
        <f>IFERROR(__xludf.DUMMYFUNCTION("""COMPUTED_VALUE"""),"Sanal Dog Combo Rice &amp; Chicken 80g")</f>
        <v>Sanal Dog Combo Rice &amp; Chicken 80g</v>
      </c>
      <c r="G809" s="133" t="str">
        <f>IFERROR(__xludf.DUMMYFUNCTION("""COMPUTED_VALUE"""),"سانال الكلاب كومبو أرز ودجاج 80 جم")</f>
        <v>سانال الكلاب كومبو أرز ودجاج 80 جم</v>
      </c>
      <c r="H809" s="133" t="str">
        <f>IFERROR(__xludf.DUMMYFUNCTION("""COMPUTED_VALUE"""),"MAFE20214405")</f>
        <v>MAFE20214405</v>
      </c>
      <c r="I809" s="133"/>
      <c r="J809" s="133"/>
      <c r="K809" s="133" t="str">
        <f>IFERROR(__xludf.DUMMYFUNCTION("""COMPUTED_VALUE"""),"شركة تشينغداو يالوت للأغذية المحدودة")</f>
        <v>شركة تشينغداو يالوت للأغذية المحدودة</v>
      </c>
      <c r="L809" s="142" t="str">
        <f>IFERROR(__xludf.DUMMYFUNCTION("""COMPUTED_VALUE"""),"SD2812")</f>
        <v>SD2812</v>
      </c>
      <c r="M809" s="133"/>
      <c r="N809" s="133"/>
      <c r="O809" s="133"/>
      <c r="P809" s="133"/>
      <c r="Q809" s="133"/>
      <c r="R809" s="133"/>
      <c r="S809" s="133"/>
      <c r="T809" s="133"/>
      <c r="U809" s="133"/>
      <c r="V809" s="133"/>
      <c r="W809" s="133"/>
      <c r="X809" s="133"/>
      <c r="Y809" s="133"/>
      <c r="Z809" s="133"/>
    </row>
    <row r="810">
      <c r="A810" s="133">
        <f>IFERROR(__xludf.DUMMYFUNCTION("""COMPUTED_VALUE"""),809.0)</f>
        <v>809</v>
      </c>
      <c r="B810" s="133" t="str">
        <f>IFERROR(__xludf.DUMMYFUNCTION("""COMPUTED_VALUE"""),"SD2811")</f>
        <v>SD2811</v>
      </c>
      <c r="C810" s="133" t="str">
        <f>IFERROR(__xludf.DUMMYFUNCTION("""COMPUTED_VALUE"""),"P-1-N-231121-7960")</f>
        <v>P-1-N-231121-7960</v>
      </c>
      <c r="D810" s="133"/>
      <c r="E810" s="133" t="str">
        <f>IFERROR(__xludf.DUMMYFUNCTION("""COMPUTED_VALUE"""),"تمت طباعة الشهادة")</f>
        <v>تمت طباعة الشهادة</v>
      </c>
      <c r="F810" s="133" t="str">
        <f>IFERROR(__xludf.DUMMYFUNCTION("""COMPUTED_VALUE"""),"Sanal Dog Chicken Sushi 80g")</f>
        <v>Sanal Dog Chicken Sushi 80g</v>
      </c>
      <c r="G810" s="133" t="str">
        <f>IFERROR(__xludf.DUMMYFUNCTION("""COMPUTED_VALUE"""),"سانال الكلاب سوشي دجاج 80 جم")</f>
        <v>سانال الكلاب سوشي دجاج 80 جم</v>
      </c>
      <c r="H810" s="133" t="str">
        <f>IFERROR(__xludf.DUMMYFUNCTION("""COMPUTED_VALUE"""),"MAFE20214403")</f>
        <v>MAFE20214403</v>
      </c>
      <c r="I810" s="133"/>
      <c r="J810" s="133"/>
      <c r="K810" s="133" t="str">
        <f>IFERROR(__xludf.DUMMYFUNCTION("""COMPUTED_VALUE"""),"شركة تشينغداو يالوت للأغذية المحدودة")</f>
        <v>شركة تشينغداو يالوت للأغذية المحدودة</v>
      </c>
      <c r="L810" s="142" t="str">
        <f>IFERROR(__xludf.DUMMYFUNCTION("""COMPUTED_VALUE"""),"SD2811")</f>
        <v>SD2811</v>
      </c>
      <c r="M810" s="133"/>
      <c r="N810" s="133"/>
      <c r="O810" s="133"/>
      <c r="P810" s="133"/>
      <c r="Q810" s="133"/>
      <c r="R810" s="133"/>
      <c r="S810" s="133"/>
      <c r="T810" s="133"/>
      <c r="U810" s="133"/>
      <c r="V810" s="133"/>
      <c r="W810" s="133"/>
      <c r="X810" s="133"/>
      <c r="Y810" s="133"/>
      <c r="Z810" s="133"/>
    </row>
    <row r="811">
      <c r="A811" s="133">
        <f>IFERROR(__xludf.DUMMYFUNCTION("""COMPUTED_VALUE"""),810.0)</f>
        <v>810</v>
      </c>
      <c r="B811" s="133" t="str">
        <f>IFERROR(__xludf.DUMMYFUNCTION("""COMPUTED_VALUE"""),"SD2810")</f>
        <v>SD2810</v>
      </c>
      <c r="C811" s="133" t="str">
        <f>IFERROR(__xludf.DUMMYFUNCTION("""COMPUTED_VALUE"""),"P-1-N-231121-7961")</f>
        <v>P-1-N-231121-7961</v>
      </c>
      <c r="D811" s="133"/>
      <c r="E811" s="133" t="str">
        <f>IFERROR(__xludf.DUMMYFUNCTION("""COMPUTED_VALUE"""),"تمت طباعة الشهادة")</f>
        <v>تمت طباعة الشهادة</v>
      </c>
      <c r="F811" s="133" t="str">
        <f>IFERROR(__xludf.DUMMYFUNCTION("""COMPUTED_VALUE"""),"Sanal Dog Chicken Filet 80g")</f>
        <v>Sanal Dog Chicken Filet 80g</v>
      </c>
      <c r="G811" s="133" t="str">
        <f>IFERROR(__xludf.DUMMYFUNCTION("""COMPUTED_VALUE"""),"سانال الكلاب بفيليه الدجاج 80 جم")</f>
        <v>سانال الكلاب بفيليه الدجاج 80 جم</v>
      </c>
      <c r="H811" s="133" t="str">
        <f>IFERROR(__xludf.DUMMYFUNCTION("""COMPUTED_VALUE"""),"MAFE20214402")</f>
        <v>MAFE20214402</v>
      </c>
      <c r="I811" s="133"/>
      <c r="J811" s="133"/>
      <c r="K811" s="133" t="str">
        <f>IFERROR(__xludf.DUMMYFUNCTION("""COMPUTED_VALUE"""),"شركة تشينغداو يالوت للأغذية المحدودة")</f>
        <v>شركة تشينغداو يالوت للأغذية المحدودة</v>
      </c>
      <c r="L811" s="142" t="str">
        <f>IFERROR(__xludf.DUMMYFUNCTION("""COMPUTED_VALUE"""),"SD2810")</f>
        <v>SD2810</v>
      </c>
      <c r="M811" s="133"/>
      <c r="N811" s="133"/>
      <c r="O811" s="133"/>
      <c r="P811" s="133"/>
      <c r="Q811" s="133"/>
      <c r="R811" s="133"/>
      <c r="S811" s="133"/>
      <c r="T811" s="133"/>
      <c r="U811" s="133"/>
      <c r="V811" s="133"/>
      <c r="W811" s="133"/>
      <c r="X811" s="133"/>
      <c r="Y811" s="133"/>
      <c r="Z811" s="133"/>
    </row>
    <row r="812">
      <c r="A812" s="133">
        <f>IFERROR(__xludf.DUMMYFUNCTION("""COMPUTED_VALUE"""),811.0)</f>
        <v>811</v>
      </c>
      <c r="B812" s="133"/>
      <c r="C812" s="133" t="str">
        <f>IFERROR(__xludf.DUMMYFUNCTION("""COMPUTED_VALUE"""),"P-1-N-051221-8369")</f>
        <v>P-1-N-051221-8369</v>
      </c>
      <c r="D812" s="133"/>
      <c r="E812" s="133" t="str">
        <f>IFERROR(__xludf.DUMMYFUNCTION("""COMPUTED_VALUE"""),"REJECTED")</f>
        <v>REJECTED</v>
      </c>
      <c r="F812" s="133" t="str">
        <f>IFERROR(__xludf.DUMMYFUNCTION("""COMPUTED_VALUE"""),"Vet’s Best Hip &amp; Joint Tablets for Dogs 144g")</f>
        <v>Vet’s Best Hip &amp; Joint Tablets for Dogs 144g</v>
      </c>
      <c r="G812" s="133" t="str">
        <f>IFERROR(__xludf.DUMMYFUNCTION("""COMPUTED_VALUE"""),"فيتس بست هيب اند جوينت تبلتس للكلاب 144 جم")</f>
        <v>فيتس بست هيب اند جوينت تبلتس للكلاب 144 جم</v>
      </c>
      <c r="H812" s="133"/>
      <c r="I812" s="133"/>
      <c r="J812" s="133"/>
      <c r="K812" s="133" t="str">
        <f>IFERROR(__xludf.DUMMYFUNCTION("""COMPUTED_VALUE"""),"شركة منتجات مانا برو ذات المسؤولية المحدودة")</f>
        <v>شركة منتجات مانا برو ذات المسؤولية المحدودة</v>
      </c>
      <c r="L812" s="133"/>
      <c r="M812" s="133"/>
      <c r="N812" s="133"/>
      <c r="O812" s="133"/>
      <c r="P812" s="133"/>
      <c r="Q812" s="133"/>
      <c r="R812" s="133"/>
      <c r="S812" s="133"/>
      <c r="T812" s="133"/>
      <c r="U812" s="133"/>
      <c r="V812" s="133"/>
      <c r="W812" s="133"/>
      <c r="X812" s="133"/>
      <c r="Y812" s="133"/>
      <c r="Z812" s="133"/>
    </row>
    <row r="813">
      <c r="A813" s="133">
        <f>IFERROR(__xludf.DUMMYFUNCTION("""COMPUTED_VALUE"""),812.0)</f>
        <v>812</v>
      </c>
      <c r="B813" s="133"/>
      <c r="C813" s="133" t="str">
        <f>IFERROR(__xludf.DUMMYFUNCTION("""COMPUTED_VALUE"""),"P-1-N-061221-8398")</f>
        <v>P-1-N-061221-8398</v>
      </c>
      <c r="D813" s="133"/>
      <c r="E813" s="133" t="str">
        <f>IFERROR(__xludf.DUMMYFUNCTION("""COMPUTED_VALUE"""),"تمت طباعة الشهادة")</f>
        <v>تمت طباعة الشهادة</v>
      </c>
      <c r="F813" s="133" t="str">
        <f>IFERROR(__xludf.DUMMYFUNCTION("""COMPUTED_VALUE"""),"English Name")</f>
        <v>English Name</v>
      </c>
      <c r="G813" s="133" t="str">
        <f>IFERROR(__xludf.DUMMYFUNCTION("""COMPUTED_VALUE"""),"بادي اند بادي بسكويت تريتس للقطط 85 جم")</f>
        <v>بادي اند بادي بسكويت تريتس للقطط 85 جم</v>
      </c>
      <c r="H813" s="133" t="str">
        <f>IFERROR(__xludf.DUMMYFUNCTION("""COMPUTED_VALUE"""),"MAFE20214598")</f>
        <v>MAFE20214598</v>
      </c>
      <c r="I813" s="133"/>
      <c r="J813" s="133"/>
      <c r="K813" s="133" t="str">
        <f>IFERROR(__xludf.DUMMYFUNCTION("""COMPUTED_VALUE"""),"وايت بريدج ماركات الحيوانات الأليفة")</f>
        <v>وايت بريدج ماركات الحيوانات الأليفة</v>
      </c>
      <c r="L813" s="133"/>
      <c r="M813" s="133"/>
      <c r="N813" s="133"/>
      <c r="O813" s="133"/>
      <c r="P813" s="133"/>
      <c r="Q813" s="133"/>
      <c r="R813" s="133"/>
      <c r="S813" s="133"/>
      <c r="T813" s="133"/>
      <c r="U813" s="133"/>
      <c r="V813" s="133"/>
      <c r="W813" s="133"/>
      <c r="X813" s="133"/>
      <c r="Y813" s="133"/>
      <c r="Z813" s="133"/>
    </row>
    <row r="814">
      <c r="A814" s="133">
        <f>IFERROR(__xludf.DUMMYFUNCTION("""COMPUTED_VALUE"""),813.0)</f>
        <v>813</v>
      </c>
      <c r="B814" s="133" t="str">
        <f>IFERROR(__xludf.DUMMYFUNCTION("""COMPUTED_VALUE"""),"WB29120")</f>
        <v>WB29120</v>
      </c>
      <c r="C814" s="133" t="str">
        <f>IFERROR(__xludf.DUMMYFUNCTION("""COMPUTED_VALUE"""),"P-1-N-071221-8447")</f>
        <v>P-1-N-071221-8447</v>
      </c>
      <c r="D814" s="133"/>
      <c r="E814" s="133" t="str">
        <f>IFERROR(__xludf.DUMMYFUNCTION("""COMPUTED_VALUE"""),"تمت طباعة الشهادة")</f>
        <v>تمت طباعة الشهادة</v>
      </c>
      <c r="F814" s="133" t="str">
        <f>IFERROR(__xludf.DUMMYFUNCTION("""COMPUTED_VALUE"""),"Buddy Biscuits Grain Free Cat Treats with Tender Chicken 85g")</f>
        <v>Buddy Biscuits Grain Free Cat Treats with Tender Chicken 85g</v>
      </c>
      <c r="G814" s="133" t="str">
        <f>IFERROR(__xludf.DUMMYFUNCTION("""COMPUTED_VALUE"""),"بادي بسكويت وجبة خفيفة للقطط خالية من الحبوب مع الدجاج الطري 85 جم")</f>
        <v>بادي بسكويت وجبة خفيفة للقطط خالية من الحبوب مع الدجاج الطري 85 جم</v>
      </c>
      <c r="H814" s="133" t="str">
        <f>IFERROR(__xludf.DUMMYFUNCTION("""COMPUTED_VALUE"""),"MAFE20214631")</f>
        <v>MAFE20214631</v>
      </c>
      <c r="I814" s="133"/>
      <c r="J814" s="133"/>
      <c r="K814" s="133" t="str">
        <f>IFERROR(__xludf.DUMMYFUNCTION("""COMPUTED_VALUE"""),"وايت بريدج ماركات الحيوانات الأليفة")</f>
        <v>وايت بريدج ماركات الحيوانات الأليفة</v>
      </c>
      <c r="L814" s="142" t="str">
        <f>IFERROR(__xludf.DUMMYFUNCTION("""COMPUTED_VALUE"""),"WB29120")</f>
        <v>WB29120</v>
      </c>
      <c r="M814" s="133"/>
      <c r="N814" s="133"/>
      <c r="O814" s="133"/>
      <c r="P814" s="133"/>
      <c r="Q814" s="133"/>
      <c r="R814" s="133"/>
      <c r="S814" s="133"/>
      <c r="T814" s="133"/>
      <c r="U814" s="133"/>
      <c r="V814" s="133"/>
      <c r="W814" s="133"/>
      <c r="X814" s="133"/>
      <c r="Y814" s="133"/>
      <c r="Z814" s="133"/>
    </row>
    <row r="815">
      <c r="A815" s="133">
        <f>IFERROR(__xludf.DUMMYFUNCTION("""COMPUTED_VALUE"""),814.0)</f>
        <v>814</v>
      </c>
      <c r="B815" s="133" t="str">
        <f>IFERROR(__xludf.DUMMYFUNCTION("""COMPUTED_VALUE"""),"WB17306")</f>
        <v>WB17306</v>
      </c>
      <c r="C815" s="133" t="str">
        <f>IFERROR(__xludf.DUMMYFUNCTION("""COMPUTED_VALUE"""),"P-1-N-071221-8448")</f>
        <v>P-1-N-071221-8448</v>
      </c>
      <c r="D815" s="133"/>
      <c r="E815" s="133" t="str">
        <f>IFERROR(__xludf.DUMMYFUNCTION("""COMPUTED_VALUE"""),"تمت طباعة الشهادة")</f>
        <v>تمت طباعة الشهادة</v>
      </c>
      <c r="F815" s="133" t="str">
        <f>IFERROR(__xludf.DUMMYFUNCTION("""COMPUTED_VALUE"""),"Buddy Biscuits Mini Jerky Chicken &amp; Sweet Potato 113g")</f>
        <v>Buddy Biscuits Mini Jerky Chicken &amp; Sweet Potato 113g</v>
      </c>
      <c r="G815" s="133" t="str">
        <f>IFERROR(__xludf.DUMMYFUNCTION("""COMPUTED_VALUE"""),"بادي بسكويت ميني جيركي تشيكن وبطاطا حلوة 113 جم")</f>
        <v>بادي بسكويت ميني جيركي تشيكن وبطاطا حلوة 113 جم</v>
      </c>
      <c r="H815" s="133" t="str">
        <f>IFERROR(__xludf.DUMMYFUNCTION("""COMPUTED_VALUE"""),"MAFE20214635")</f>
        <v>MAFE20214635</v>
      </c>
      <c r="I815" s="133"/>
      <c r="J815" s="133"/>
      <c r="K815" s="133" t="str">
        <f>IFERROR(__xludf.DUMMYFUNCTION("""COMPUTED_VALUE"""),"وايت بريدج ماركات الحيوانات الأليفة")</f>
        <v>وايت بريدج ماركات الحيوانات الأليفة</v>
      </c>
      <c r="L815" s="142" t="str">
        <f>IFERROR(__xludf.DUMMYFUNCTION("""COMPUTED_VALUE"""),"WB17306")</f>
        <v>WB17306</v>
      </c>
      <c r="M815" s="133"/>
      <c r="N815" s="133"/>
      <c r="O815" s="133"/>
      <c r="P815" s="133"/>
      <c r="Q815" s="133"/>
      <c r="R815" s="133"/>
      <c r="S815" s="133"/>
      <c r="T815" s="133"/>
      <c r="U815" s="133"/>
      <c r="V815" s="133"/>
      <c r="W815" s="133"/>
      <c r="X815" s="133"/>
      <c r="Y815" s="133"/>
      <c r="Z815" s="133"/>
    </row>
    <row r="816">
      <c r="A816" s="133">
        <f>IFERROR(__xludf.DUMMYFUNCTION("""COMPUTED_VALUE"""),815.0)</f>
        <v>815</v>
      </c>
      <c r="B816" s="133" t="str">
        <f>IFERROR(__xludf.DUMMYFUNCTION("""COMPUTED_VALUE"""),"WB12515")</f>
        <v>WB12515</v>
      </c>
      <c r="C816" s="133" t="str">
        <f>IFERROR(__xludf.DUMMYFUNCTION("""COMPUTED_VALUE"""),"P-1-N-071221-8449")</f>
        <v>P-1-N-071221-8449</v>
      </c>
      <c r="D816" s="133"/>
      <c r="E816" s="133" t="str">
        <f>IFERROR(__xludf.DUMMYFUNCTION("""COMPUTED_VALUE"""),"تمت طباعة الشهادة")</f>
        <v>تمت طباعة الشهادة</v>
      </c>
      <c r="F816" s="133" t="str">
        <f>IFERROR(__xludf.DUMMYFUNCTION("""COMPUTED_VALUE"""),"Buddy Biscuits Assorted Flavors - Roasted Chicken, Grilled Beef, Sharp Cheddar 453g")</f>
        <v>Buddy Biscuits Assorted Flavors - Roasted Chicken, Grilled Beef, Sharp Cheddar 453g</v>
      </c>
      <c r="G816" s="133" t="str">
        <f>IFERROR(__xludf.DUMMYFUNCTION("""COMPUTED_VALUE"""),"بادي بسكويت بنكهات متنوعة - دجاج مشوي ، لحم بقري مشوي ، جبن شيدر حاد 453 جم")</f>
        <v>بادي بسكويت بنكهات متنوعة - دجاج مشوي ، لحم بقري مشوي ، جبن شيدر حاد 453 جم</v>
      </c>
      <c r="H816" s="133" t="str">
        <f>IFERROR(__xludf.DUMMYFUNCTION("""COMPUTED_VALUE"""),"MAFE20214634")</f>
        <v>MAFE20214634</v>
      </c>
      <c r="I816" s="133"/>
      <c r="J816" s="133"/>
      <c r="K816" s="133" t="str">
        <f>IFERROR(__xludf.DUMMYFUNCTION("""COMPUTED_VALUE"""),"وايت بريدج ماركات الحيوانات الأليفة")</f>
        <v>وايت بريدج ماركات الحيوانات الأليفة</v>
      </c>
      <c r="L816" s="142" t="str">
        <f>IFERROR(__xludf.DUMMYFUNCTION("""COMPUTED_VALUE"""),"WB12515")</f>
        <v>WB12515</v>
      </c>
      <c r="M816" s="133"/>
      <c r="N816" s="133"/>
      <c r="O816" s="133"/>
      <c r="P816" s="133"/>
      <c r="Q816" s="133"/>
      <c r="R816" s="133"/>
      <c r="S816" s="133"/>
      <c r="T816" s="133"/>
      <c r="U816" s="133"/>
      <c r="V816" s="133"/>
      <c r="W816" s="133"/>
      <c r="X816" s="133"/>
      <c r="Y816" s="133"/>
      <c r="Z816" s="133"/>
    </row>
    <row r="817">
      <c r="A817" s="133">
        <f>IFERROR(__xludf.DUMMYFUNCTION("""COMPUTED_VALUE"""),816.0)</f>
        <v>816</v>
      </c>
      <c r="B817" s="133" t="str">
        <f>IFERROR(__xludf.DUMMYFUNCTION("""COMPUTED_VALUE"""),"WB17500")</f>
        <v>WB17500</v>
      </c>
      <c r="C817" s="133" t="str">
        <f>IFERROR(__xludf.DUMMYFUNCTION("""COMPUTED_VALUE"""),"P-1-N-071221-8450")</f>
        <v>P-1-N-071221-8450</v>
      </c>
      <c r="D817" s="133"/>
      <c r="E817" s="133" t="str">
        <f>IFERROR(__xludf.DUMMYFUNCTION("""COMPUTED_VALUE"""),"تمت طباعة الشهادة")</f>
        <v>تمت طباعة الشهادة</v>
      </c>
      <c r="F817" s="133" t="str">
        <f>IFERROR(__xludf.DUMMYFUNCTION("""COMPUTED_VALUE"""),"Buddy Biscuits Chewy Treats with Peanut Butter 170g")</f>
        <v>Buddy Biscuits Chewy Treats with Peanut Butter 170g</v>
      </c>
      <c r="G817" s="133" t="str">
        <f>IFERROR(__xludf.DUMMYFUNCTION("""COMPUTED_VALUE"""),"بادي")</f>
        <v>بادي</v>
      </c>
      <c r="H817" s="133" t="str">
        <f>IFERROR(__xludf.DUMMYFUNCTION("""COMPUTED_VALUE"""),"MAFE20214656")</f>
        <v>MAFE20214656</v>
      </c>
      <c r="I817" s="133"/>
      <c r="J817" s="133"/>
      <c r="K817" s="133" t="str">
        <f>IFERROR(__xludf.DUMMYFUNCTION("""COMPUTED_VALUE"""),"وايت بريدج ماركات الحيوانات الأليفة")</f>
        <v>وايت بريدج ماركات الحيوانات الأليفة</v>
      </c>
      <c r="L817" s="142" t="str">
        <f>IFERROR(__xludf.DUMMYFUNCTION("""COMPUTED_VALUE"""),"WB17500")</f>
        <v>WB17500</v>
      </c>
      <c r="M817" s="133"/>
      <c r="N817" s="133"/>
      <c r="O817" s="133"/>
      <c r="P817" s="133"/>
      <c r="Q817" s="133"/>
      <c r="R817" s="133"/>
      <c r="S817" s="133"/>
      <c r="T817" s="133"/>
      <c r="U817" s="133"/>
      <c r="V817" s="133"/>
      <c r="W817" s="133"/>
      <c r="X817" s="133"/>
      <c r="Y817" s="133"/>
      <c r="Z817" s="133"/>
    </row>
    <row r="818">
      <c r="A818" s="133">
        <f>IFERROR(__xludf.DUMMYFUNCTION("""COMPUTED_VALUE"""),817.0)</f>
        <v>817</v>
      </c>
      <c r="B818" s="133" t="str">
        <f>IFERROR(__xludf.DUMMYFUNCTION("""COMPUTED_VALUE"""),"WB17300")</f>
        <v>WB17300</v>
      </c>
      <c r="C818" s="133" t="str">
        <f>IFERROR(__xludf.DUMMYFUNCTION("""COMPUTED_VALUE"""),"P-1-N-071221-8451")</f>
        <v>P-1-N-071221-8451</v>
      </c>
      <c r="D818" s="133"/>
      <c r="E818" s="133" t="str">
        <f>IFERROR(__xludf.DUMMYFUNCTION("""COMPUTED_VALUE"""),"تمت طباعة الشهادة")</f>
        <v>تمت طباعة الشهادة</v>
      </c>
      <c r="F818" s="133" t="str">
        <f>IFERROR(__xludf.DUMMYFUNCTION("""COMPUTED_VALUE"""),"Buddy Biscuits Chewy Treats with Roasted Chicken 170g")</f>
        <v>Buddy Biscuits Chewy Treats with Roasted Chicken 170g</v>
      </c>
      <c r="G818" s="133" t="str">
        <f>IFERROR(__xludf.DUMMYFUNCTION("""COMPUTED_VALUE"""),"بادي بسكويت وجبة خفيفة وطرية مع الدجاج المشوي 170 جم")</f>
        <v>بادي بسكويت وجبة خفيفة وطرية مع الدجاج المشوي 170 جم</v>
      </c>
      <c r="H818" s="133" t="str">
        <f>IFERROR(__xludf.DUMMYFUNCTION("""COMPUTED_VALUE"""),"MAFE20214630")</f>
        <v>MAFE20214630</v>
      </c>
      <c r="I818" s="133"/>
      <c r="J818" s="133"/>
      <c r="K818" s="133" t="str">
        <f>IFERROR(__xludf.DUMMYFUNCTION("""COMPUTED_VALUE"""),"Agency")</f>
        <v>Agency</v>
      </c>
      <c r="L818" s="142" t="str">
        <f>IFERROR(__xludf.DUMMYFUNCTION("""COMPUTED_VALUE"""),"WB17300")</f>
        <v>WB17300</v>
      </c>
      <c r="M818" s="133"/>
      <c r="N818" s="133"/>
      <c r="O818" s="133"/>
      <c r="P818" s="133"/>
      <c r="Q818" s="133"/>
      <c r="R818" s="133"/>
      <c r="S818" s="133"/>
      <c r="T818" s="133"/>
      <c r="U818" s="133"/>
      <c r="V818" s="133"/>
      <c r="W818" s="133"/>
      <c r="X818" s="133"/>
      <c r="Y818" s="133"/>
      <c r="Z818" s="133"/>
    </row>
    <row r="819">
      <c r="A819" s="133">
        <f>IFERROR(__xludf.DUMMYFUNCTION("""COMPUTED_VALUE"""),818.0)</f>
        <v>818</v>
      </c>
      <c r="B819" s="133" t="str">
        <f>IFERROR(__xludf.DUMMYFUNCTION("""COMPUTED_VALUE"""),"WB12300")</f>
        <v>WB12300</v>
      </c>
      <c r="C819" s="133" t="str">
        <f>IFERROR(__xludf.DUMMYFUNCTION("""COMPUTED_VALUE"""),"P-1-N-071221-8452")</f>
        <v>P-1-N-071221-8452</v>
      </c>
      <c r="D819" s="133"/>
      <c r="E819" s="133" t="str">
        <f>IFERROR(__xludf.DUMMYFUNCTION("""COMPUTED_VALUE"""),"تمت طباعة الشهادة")</f>
        <v>تمت طباعة الشهادة</v>
      </c>
      <c r="F819" s="133" t="str">
        <f>IFERROR(__xludf.DUMMYFUNCTION("""COMPUTED_VALUE"""),"Buddy Biscuits Crunchy Treats with Roasted Chicken 453g")</f>
        <v>Buddy Biscuits Crunchy Treats with Roasted Chicken 453g</v>
      </c>
      <c r="G819" s="133" t="str">
        <f>IFERROR(__xludf.DUMMYFUNCTION("""COMPUTED_VALUE"""),"بادي بسكويت وجبة خفيفة مقرمشة مع الدجاج المشوي 453 جم")</f>
        <v>بادي بسكويت وجبة خفيفة مقرمشة مع الدجاج المشوي 453 جم</v>
      </c>
      <c r="H819" s="133" t="str">
        <f>IFERROR(__xludf.DUMMYFUNCTION("""COMPUTED_VALUE"""),"MAFE20214626")</f>
        <v>MAFE20214626</v>
      </c>
      <c r="I819" s="133"/>
      <c r="J819" s="133"/>
      <c r="K819" s="133" t="str">
        <f>IFERROR(__xludf.DUMMYFUNCTION("""COMPUTED_VALUE"""),"وايت بريدج ماركات الحيوانات الأليفة")</f>
        <v>وايت بريدج ماركات الحيوانات الأليفة</v>
      </c>
      <c r="L819" s="142" t="str">
        <f>IFERROR(__xludf.DUMMYFUNCTION("""COMPUTED_VALUE"""),"WB12300")</f>
        <v>WB12300</v>
      </c>
      <c r="M819" s="133"/>
      <c r="N819" s="133"/>
      <c r="O819" s="133"/>
      <c r="P819" s="133"/>
      <c r="Q819" s="133"/>
      <c r="R819" s="133"/>
      <c r="S819" s="133"/>
      <c r="T819" s="133"/>
      <c r="U819" s="133"/>
      <c r="V819" s="133"/>
      <c r="W819" s="133"/>
      <c r="X819" s="133"/>
      <c r="Y819" s="133"/>
      <c r="Z819" s="133"/>
    </row>
    <row r="820">
      <c r="A820" s="133">
        <f>IFERROR(__xludf.DUMMYFUNCTION("""COMPUTED_VALUE"""),819.0)</f>
        <v>819</v>
      </c>
      <c r="B820" s="133" t="str">
        <f>IFERROR(__xludf.DUMMYFUNCTION("""COMPUTED_VALUE"""),"WB12303")</f>
        <v>WB12303</v>
      </c>
      <c r="C820" s="133" t="str">
        <f>IFERROR(__xludf.DUMMYFUNCTION("""COMPUTED_VALUE"""),"P-1-N-071221-8453")</f>
        <v>P-1-N-071221-8453</v>
      </c>
      <c r="D820" s="133"/>
      <c r="E820" s="133" t="str">
        <f>IFERROR(__xludf.DUMMYFUNCTION("""COMPUTED_VALUE"""),"تمت طباعة الشهادة")</f>
        <v>تمت طباعة الشهادة</v>
      </c>
      <c r="F820" s="133" t="str">
        <f>IFERROR(__xludf.DUMMYFUNCTION("""COMPUTED_VALUE"""),"Buddy Biscuits Crunchy Treats with Roasted Chicken 1.58kg")</f>
        <v>Buddy Biscuits Crunchy Treats with Roasted Chicken 1.58kg</v>
      </c>
      <c r="G820" s="133" t="str">
        <f>IFERROR(__xludf.DUMMYFUNCTION("""COMPUTED_VALUE"""),"بادي بسكويت وجبة خفيفة مقرمشة مع الدجاج المشوي 1.58 كجم")</f>
        <v>بادي بسكويت وجبة خفيفة مقرمشة مع الدجاج المشوي 1.58 كجم</v>
      </c>
      <c r="H820" s="133" t="str">
        <f>IFERROR(__xludf.DUMMYFUNCTION("""COMPUTED_VALUE"""),"MAFE20214629")</f>
        <v>MAFE20214629</v>
      </c>
      <c r="I820" s="133"/>
      <c r="J820" s="133"/>
      <c r="K820" s="133" t="str">
        <f>IFERROR(__xludf.DUMMYFUNCTION("""COMPUTED_VALUE"""),"وايت بريدج ماركات الحيوانات الأليفة")</f>
        <v>وايت بريدج ماركات الحيوانات الأليفة</v>
      </c>
      <c r="L820" s="142" t="str">
        <f>IFERROR(__xludf.DUMMYFUNCTION("""COMPUTED_VALUE"""),"WB12303")</f>
        <v>WB12303</v>
      </c>
      <c r="M820" s="133"/>
      <c r="N820" s="133"/>
      <c r="O820" s="133"/>
      <c r="P820" s="133"/>
      <c r="Q820" s="133"/>
      <c r="R820" s="133"/>
      <c r="S820" s="133"/>
      <c r="T820" s="133"/>
      <c r="U820" s="133"/>
      <c r="V820" s="133"/>
      <c r="W820" s="133"/>
      <c r="X820" s="133"/>
      <c r="Y820" s="133"/>
      <c r="Z820" s="133"/>
    </row>
    <row r="821">
      <c r="A821" s="133">
        <f>IFERROR(__xludf.DUMMYFUNCTION("""COMPUTED_VALUE"""),820.0)</f>
        <v>820</v>
      </c>
      <c r="B821" s="133" t="str">
        <f>IFERROR(__xludf.DUMMYFUNCTION("""COMPUTED_VALUE"""),"WB12507")</f>
        <v>WB12507</v>
      </c>
      <c r="C821" s="133" t="str">
        <f>IFERROR(__xludf.DUMMYFUNCTION("""COMPUTED_VALUE"""),"P-1-N-071221-8454")</f>
        <v>P-1-N-071221-8454</v>
      </c>
      <c r="D821" s="133"/>
      <c r="E821" s="133" t="str">
        <f>IFERROR(__xludf.DUMMYFUNCTION("""COMPUTED_VALUE"""),"تمت طباعة الشهادة")</f>
        <v>تمت طباعة الشهادة</v>
      </c>
      <c r="F821" s="133" t="str">
        <f>IFERROR(__xludf.DUMMYFUNCTION("""COMPUTED_VALUE"""),"Buddy Biscuits Crunchy Treats with Peanut Butter 1.58kg")</f>
        <v>Buddy Biscuits Crunchy Treats with Peanut Butter 1.58kg</v>
      </c>
      <c r="G821" s="133" t="str">
        <f>IFERROR(__xludf.DUMMYFUNCTION("""COMPUTED_VALUE"""),"بادي بسكويت وجبة خفيفة مقرمشة مع زبدة الفول السوداني 1.58 كجم")</f>
        <v>بادي بسكويت وجبة خفيفة مقرمشة مع زبدة الفول السوداني 1.58 كجم</v>
      </c>
      <c r="H821" s="133" t="str">
        <f>IFERROR(__xludf.DUMMYFUNCTION("""COMPUTED_VALUE"""),"MAFE20214628")</f>
        <v>MAFE20214628</v>
      </c>
      <c r="I821" s="133"/>
      <c r="J821" s="133"/>
      <c r="K821" s="133" t="str">
        <f>IFERROR(__xludf.DUMMYFUNCTION("""COMPUTED_VALUE"""),"وايت بريدج ماركات الحيوانات الأليفة")</f>
        <v>وايت بريدج ماركات الحيوانات الأليفة</v>
      </c>
      <c r="L821" s="142" t="str">
        <f>IFERROR(__xludf.DUMMYFUNCTION("""COMPUTED_VALUE"""),"WB12507")</f>
        <v>WB12507</v>
      </c>
      <c r="M821" s="133"/>
      <c r="N821" s="133"/>
      <c r="O821" s="133"/>
      <c r="P821" s="133"/>
      <c r="Q821" s="133"/>
      <c r="R821" s="133"/>
      <c r="S821" s="133"/>
      <c r="T821" s="133"/>
      <c r="U821" s="133"/>
      <c r="V821" s="133"/>
      <c r="W821" s="133"/>
      <c r="X821" s="133"/>
      <c r="Y821" s="133"/>
      <c r="Z821" s="133"/>
    </row>
    <row r="822">
      <c r="A822" s="133">
        <f>IFERROR(__xludf.DUMMYFUNCTION("""COMPUTED_VALUE"""),821.0)</f>
        <v>821</v>
      </c>
      <c r="B822" s="133" t="str">
        <f>IFERROR(__xludf.DUMMYFUNCTION("""COMPUTED_VALUE"""),"WB12500")</f>
        <v>WB12500</v>
      </c>
      <c r="C822" s="133" t="str">
        <f>IFERROR(__xludf.DUMMYFUNCTION("""COMPUTED_VALUE"""),"P-1-N-071221-8455")</f>
        <v>P-1-N-071221-8455</v>
      </c>
      <c r="D822" s="133"/>
      <c r="E822" s="133" t="str">
        <f>IFERROR(__xludf.DUMMYFUNCTION("""COMPUTED_VALUE"""),"تمت طباعة الشهادة")</f>
        <v>تمت طباعة الشهادة</v>
      </c>
      <c r="F822" s="133" t="str">
        <f>IFERROR(__xludf.DUMMYFUNCTION("""COMPUTED_VALUE"""),"Buddy Biscuits Crunchy Treats with Peanut Butter 453g")</f>
        <v>Buddy Biscuits Crunchy Treats with Peanut Butter 453g</v>
      </c>
      <c r="G822" s="133" t="str">
        <f>IFERROR(__xludf.DUMMYFUNCTION("""COMPUTED_VALUE"""),"بادي بسكويت وجبة خفيفة مقرمشة مع زبدة الفول السوداني 453 جم")</f>
        <v>بادي بسكويت وجبة خفيفة مقرمشة مع زبدة الفول السوداني 453 جم</v>
      </c>
      <c r="H822" s="133" t="str">
        <f>IFERROR(__xludf.DUMMYFUNCTION("""COMPUTED_VALUE"""),"MAFE20214625")</f>
        <v>MAFE20214625</v>
      </c>
      <c r="I822" s="133"/>
      <c r="J822" s="133"/>
      <c r="K822" s="133" t="str">
        <f>IFERROR(__xludf.DUMMYFUNCTION("""COMPUTED_VALUE"""),"وايت بريدج ماركات الحيوانات الأليفة")</f>
        <v>وايت بريدج ماركات الحيوانات الأليفة</v>
      </c>
      <c r="L822" s="142" t="str">
        <f>IFERROR(__xludf.DUMMYFUNCTION("""COMPUTED_VALUE"""),"WB12500")</f>
        <v>WB12500</v>
      </c>
      <c r="M822" s="133"/>
      <c r="N822" s="133"/>
      <c r="O822" s="133"/>
      <c r="P822" s="133"/>
      <c r="Q822" s="133"/>
      <c r="R822" s="133"/>
      <c r="S822" s="133"/>
      <c r="T822" s="133"/>
      <c r="U822" s="133"/>
      <c r="V822" s="133"/>
      <c r="W822" s="133"/>
      <c r="X822" s="133"/>
      <c r="Y822" s="133"/>
      <c r="Z822" s="133"/>
    </row>
    <row r="823">
      <c r="A823" s="133">
        <f>IFERROR(__xludf.DUMMYFUNCTION("""COMPUTED_VALUE"""),822.0)</f>
        <v>822</v>
      </c>
      <c r="B823" s="133"/>
      <c r="C823" s="133" t="str">
        <f>IFERROR(__xludf.DUMMYFUNCTION("""COMPUTED_VALUE"""),"P-1-N-071221-8456")</f>
        <v>P-1-N-071221-8456</v>
      </c>
      <c r="D823" s="133"/>
      <c r="E823" s="133" t="str">
        <f>IFERROR(__xludf.DUMMYFUNCTION("""COMPUTED_VALUE"""),"تمت طباعة الشهادة")</f>
        <v>تمت طباعة الشهادة</v>
      </c>
      <c r="F823" s="133" t="str">
        <f>IFERROR(__xludf.DUMMYFUNCTION("""COMPUTED_VALUE"""),"English Name")</f>
        <v>English Name</v>
      </c>
      <c r="G823" s="133" t="str">
        <f>IFERROR(__xludf.DUMMYFUNCTION("""COMPUTED_VALUE"""),"بادي بسكويت وجبة خفيفة طرية خالية من الحبوب مع اللحم البقري المشوي 141 جم")</f>
        <v>بادي بسكويت وجبة خفيفة طرية خالية من الحبوب مع اللحم البقري المشوي 141 جم</v>
      </c>
      <c r="H823" s="133" t="str">
        <f>IFERROR(__xludf.DUMMYFUNCTION("""COMPUTED_VALUE"""),"MAFE20214627")</f>
        <v>MAFE20214627</v>
      </c>
      <c r="I823" s="133"/>
      <c r="J823" s="133"/>
      <c r="K823" s="133" t="str">
        <f>IFERROR(__xludf.DUMMYFUNCTION("""COMPUTED_VALUE"""),"وايت بريدج ماركات الحيوانات الأليفة")</f>
        <v>وايت بريدج ماركات الحيوانات الأليفة</v>
      </c>
      <c r="L823" s="133"/>
      <c r="M823" s="133"/>
      <c r="N823" s="133"/>
      <c r="O823" s="133"/>
      <c r="P823" s="133"/>
      <c r="Q823" s="133"/>
      <c r="R823" s="133"/>
      <c r="S823" s="133"/>
      <c r="T823" s="133"/>
      <c r="U823" s="133"/>
      <c r="V823" s="133"/>
      <c r="W823" s="133"/>
      <c r="X823" s="133"/>
      <c r="Y823" s="133"/>
      <c r="Z823" s="133"/>
    </row>
    <row r="824">
      <c r="A824" s="133">
        <f>IFERROR(__xludf.DUMMYFUNCTION("""COMPUTED_VALUE"""),823.0)</f>
        <v>823</v>
      </c>
      <c r="B824" s="133" t="str">
        <f>IFERROR(__xludf.DUMMYFUNCTION("""COMPUTED_VALUE"""),"WB28250")</f>
        <v>WB28250</v>
      </c>
      <c r="C824" s="133" t="str">
        <f>IFERROR(__xludf.DUMMYFUNCTION("""COMPUTED_VALUE"""),"P-1-N-071221-8457")</f>
        <v>P-1-N-071221-8457</v>
      </c>
      <c r="D824" s="133"/>
      <c r="E824" s="133" t="str">
        <f>IFERROR(__xludf.DUMMYFUNCTION("""COMPUTED_VALUE"""),"تمت طباعة الشهادة")</f>
        <v>تمت طباعة الشهادة</v>
      </c>
      <c r="F824" s="133" t="str">
        <f>IFERROR(__xludf.DUMMYFUNCTION("""COMPUTED_VALUE"""),"Buddy Biscuits Grain Free Chewy Treats with Peanut Butter 141g")</f>
        <v>Buddy Biscuits Grain Free Chewy Treats with Peanut Butter 141g</v>
      </c>
      <c r="G824" s="133" t="str">
        <f>IFERROR(__xludf.DUMMYFUNCTION("""COMPUTED_VALUE"""),"بادي بسكويت وجبة خفيفة طرية خالية من الحبوب مع زبدة الفول السوداني 141 جم")</f>
        <v>بادي بسكويت وجبة خفيفة طرية خالية من الحبوب مع زبدة الفول السوداني 141 جم</v>
      </c>
      <c r="H824" s="133"/>
      <c r="I824" s="133"/>
      <c r="J824" s="133"/>
      <c r="K824" s="133" t="str">
        <f>IFERROR(__xludf.DUMMYFUNCTION("""COMPUTED_VALUE"""),"وايت بريدج ماركات الحيوانات الأليفة")</f>
        <v>وايت بريدج ماركات الحيوانات الأليفة</v>
      </c>
      <c r="L824" s="142" t="str">
        <f>IFERROR(__xludf.DUMMYFUNCTION("""COMPUTED_VALUE"""),"WB28250")</f>
        <v>WB28250</v>
      </c>
      <c r="M824" s="133"/>
      <c r="N824" s="133"/>
      <c r="O824" s="133"/>
      <c r="P824" s="133"/>
      <c r="Q824" s="133"/>
      <c r="R824" s="133"/>
      <c r="S824" s="133"/>
      <c r="T824" s="133"/>
      <c r="U824" s="133"/>
      <c r="V824" s="133"/>
      <c r="W824" s="133"/>
      <c r="X824" s="133"/>
      <c r="Y824" s="133"/>
      <c r="Z824" s="133"/>
    </row>
    <row r="825">
      <c r="A825" s="133">
        <f>IFERROR(__xludf.DUMMYFUNCTION("""COMPUTED_VALUE"""),824.0)</f>
        <v>824</v>
      </c>
      <c r="B825" s="133" t="str">
        <f>IFERROR(__xludf.DUMMYFUNCTION("""COMPUTED_VALUE"""),"WB28230")</f>
        <v>WB28230</v>
      </c>
      <c r="C825" s="133" t="str">
        <f>IFERROR(__xludf.DUMMYFUNCTION("""COMPUTED_VALUE"""),"P-1-N-071221-8458")</f>
        <v>P-1-N-071221-8458</v>
      </c>
      <c r="D825" s="133"/>
      <c r="E825" s="133" t="str">
        <f>IFERROR(__xludf.DUMMYFUNCTION("""COMPUTED_VALUE"""),"تمت طباعة الشهادة")</f>
        <v>تمت طباعة الشهادة</v>
      </c>
      <c r="F825" s="133" t="str">
        <f>IFERROR(__xludf.DUMMYFUNCTION("""COMPUTED_VALUE"""),"Buddy Biscuits Grain Free Chewy Treats with Roasted Chicken 141g")</f>
        <v>Buddy Biscuits Grain Free Chewy Treats with Roasted Chicken 141g</v>
      </c>
      <c r="G825" s="133" t="str">
        <f>IFERROR(__xludf.DUMMYFUNCTION("""COMPUTED_VALUE"""),"ادي بسكويت وجبة خفيفة طرية خالية من الحبوب مع الدجاج المشوي 141 جم")</f>
        <v>ادي بسكويت وجبة خفيفة طرية خالية من الحبوب مع الدجاج المشوي 141 جم</v>
      </c>
      <c r="H825" s="133" t="str">
        <f>IFERROR(__xludf.DUMMYFUNCTION("""COMPUTED_VALUE"""),"MAFE20214623")</f>
        <v>MAFE20214623</v>
      </c>
      <c r="I825" s="133"/>
      <c r="J825" s="133"/>
      <c r="K825" s="133" t="str">
        <f>IFERROR(__xludf.DUMMYFUNCTION("""COMPUTED_VALUE"""),"وايت بريدج ماركات الحيوانات الأليفة")</f>
        <v>وايت بريدج ماركات الحيوانات الأليفة</v>
      </c>
      <c r="L825" s="142" t="str">
        <f>IFERROR(__xludf.DUMMYFUNCTION("""COMPUTED_VALUE"""),"WB28230")</f>
        <v>WB28230</v>
      </c>
      <c r="M825" s="133"/>
      <c r="N825" s="133"/>
      <c r="O825" s="133"/>
      <c r="P825" s="133"/>
      <c r="Q825" s="133"/>
      <c r="R825" s="133"/>
      <c r="S825" s="133"/>
      <c r="T825" s="133"/>
      <c r="U825" s="133"/>
      <c r="V825" s="133"/>
      <c r="W825" s="133"/>
      <c r="X825" s="133"/>
      <c r="Y825" s="133"/>
      <c r="Z825" s="133"/>
    </row>
    <row r="826">
      <c r="A826" s="133">
        <f>IFERROR(__xludf.DUMMYFUNCTION("""COMPUTED_VALUE"""),825.0)</f>
        <v>825</v>
      </c>
      <c r="B826" s="133" t="str">
        <f>IFERROR(__xludf.DUMMYFUNCTION("""COMPUTED_VALUE"""),"WB28130")</f>
        <v>WB28130</v>
      </c>
      <c r="C826" s="133" t="str">
        <f>IFERROR(__xludf.DUMMYFUNCTION("""COMPUTED_VALUE"""),"P-1-N-071221-8459")</f>
        <v>P-1-N-071221-8459</v>
      </c>
      <c r="D826" s="133"/>
      <c r="E826" s="133" t="str">
        <f>IFERROR(__xludf.DUMMYFUNCTION("""COMPUTED_VALUE"""),"تمت طباعة الشهادة")</f>
        <v>تمت طباعة الشهادة</v>
      </c>
      <c r="F826" s="133" t="str">
        <f>IFERROR(__xludf.DUMMYFUNCTION("""COMPUTED_VALUE"""),"Buddy Biscuits Grain Free Crunchy Treats with Roasted Chicken 396g")</f>
        <v>Buddy Biscuits Grain Free Crunchy Treats with Roasted Chicken 396g</v>
      </c>
      <c r="G826" s="133" t="str">
        <f>IFERROR(__xludf.DUMMYFUNCTION("""COMPUTED_VALUE"""),"بادي بسكويت وجبة خفيفة مقرمشة خالية من الحبوب مع الدجاج المشوي 396 جم")</f>
        <v>بادي بسكويت وجبة خفيفة مقرمشة خالية من الحبوب مع الدجاج المشوي 396 جم</v>
      </c>
      <c r="H826" s="133"/>
      <c r="I826" s="133"/>
      <c r="J826" s="133"/>
      <c r="K826" s="133" t="str">
        <f>IFERROR(__xludf.DUMMYFUNCTION("""COMPUTED_VALUE"""),"وايت بريدج ماركات الحيوانات الأليفة")</f>
        <v>وايت بريدج ماركات الحيوانات الأليفة</v>
      </c>
      <c r="L826" s="142" t="str">
        <f>IFERROR(__xludf.DUMMYFUNCTION("""COMPUTED_VALUE"""),"WB28130")</f>
        <v>WB28130</v>
      </c>
      <c r="M826" s="133"/>
      <c r="N826" s="133"/>
      <c r="O826" s="133"/>
      <c r="P826" s="133"/>
      <c r="Q826" s="133"/>
      <c r="R826" s="133"/>
      <c r="S826" s="133"/>
      <c r="T826" s="133"/>
      <c r="U826" s="133"/>
      <c r="V826" s="133"/>
      <c r="W826" s="133"/>
      <c r="X826" s="133"/>
      <c r="Y826" s="133"/>
      <c r="Z826" s="133"/>
    </row>
    <row r="827">
      <c r="A827" s="133">
        <f>IFERROR(__xludf.DUMMYFUNCTION("""COMPUTED_VALUE"""),826.0)</f>
        <v>826</v>
      </c>
      <c r="B827" s="133" t="str">
        <f>IFERROR(__xludf.DUMMYFUNCTION("""COMPUTED_VALUE"""),"12300")</f>
        <v>12300</v>
      </c>
      <c r="C827" s="133" t="str">
        <f>IFERROR(__xludf.DUMMYFUNCTION("""COMPUTED_VALUE"""),"P-1-N-071221-8460")</f>
        <v>P-1-N-071221-8460</v>
      </c>
      <c r="D827" s="133"/>
      <c r="E827" s="133" t="str">
        <f>IFERROR(__xludf.DUMMYFUNCTION("""COMPUTED_VALUE"""),"تمت طباعة الشهادة")</f>
        <v>تمت طباعة الشهادة</v>
      </c>
      <c r="F827" s="133" t="str">
        <f>IFERROR(__xludf.DUMMYFUNCTION("""COMPUTED_VALUE"""),"Buddy Biscuits Grain Free Crunchy Treats with Peanut Butter 396g")</f>
        <v>Buddy Biscuits Grain Free Crunchy Treats with Peanut Butter 396g</v>
      </c>
      <c r="G827" s="133" t="str">
        <f>IFERROR(__xludf.DUMMYFUNCTION("""COMPUTED_VALUE"""),"ادي")</f>
        <v>ادي</v>
      </c>
      <c r="H827" s="133" t="str">
        <f>IFERROR(__xludf.DUMMYFUNCTION("""COMPUTED_VALUE"""),"MAFE20214655")</f>
        <v>MAFE20214655</v>
      </c>
      <c r="I827" s="133"/>
      <c r="J827" s="133"/>
      <c r="K827" s="133" t="str">
        <f>IFERROR(__xludf.DUMMYFUNCTION("""COMPUTED_VALUE"""),"وايت بريدج ماركات الحيوانات الأليفة")</f>
        <v>وايت بريدج ماركات الحيوانات الأليفة</v>
      </c>
      <c r="L827" s="142" t="str">
        <f>IFERROR(__xludf.DUMMYFUNCTION("""COMPUTED_VALUE"""),"12300")</f>
        <v>12300</v>
      </c>
      <c r="M827" s="133"/>
      <c r="N827" s="133"/>
      <c r="O827" s="133"/>
      <c r="P827" s="133"/>
      <c r="Q827" s="133"/>
      <c r="R827" s="133"/>
      <c r="S827" s="133"/>
      <c r="T827" s="133"/>
      <c r="U827" s="133"/>
      <c r="V827" s="133"/>
      <c r="W827" s="133"/>
      <c r="X827" s="133"/>
      <c r="Y827" s="133"/>
      <c r="Z827" s="133"/>
    </row>
    <row r="828">
      <c r="A828" s="133">
        <f>IFERROR(__xludf.DUMMYFUNCTION("""COMPUTED_VALUE"""),827.0)</f>
        <v>827</v>
      </c>
      <c r="B828" s="133" t="str">
        <f>IFERROR(__xludf.DUMMYFUNCTION("""COMPUTED_VALUE"""),"28330")</f>
        <v>28330</v>
      </c>
      <c r="C828" s="133" t="str">
        <f>IFERROR(__xludf.DUMMYFUNCTION("""COMPUTED_VALUE"""),"P-1-N-071221-8461")</f>
        <v>P-1-N-071221-8461</v>
      </c>
      <c r="D828" s="133"/>
      <c r="E828" s="133" t="str">
        <f>IFERROR(__xludf.DUMMYFUNCTION("""COMPUTED_VALUE"""),"تمت طباعة الشهادة")</f>
        <v>تمت طباعة الشهادة</v>
      </c>
      <c r="F828" s="133" t="str">
        <f>IFERROR(__xludf.DUMMYFUNCTION("""COMPUTED_VALUE"""),"Buddy Biscuits Grain Free TEENY Crunchy Treats with Peanut Butter 198g")</f>
        <v>Buddy Biscuits Grain Free TEENY Crunchy Treats with Peanut Butter 198g</v>
      </c>
      <c r="G828" s="133" t="str">
        <f>IFERROR(__xludf.DUMMYFUNCTION("""COMPUTED_VALUE"""),"بادي بسكويت حجم صغير وجبة خفيفة مقرمشة خالية من الحبوب مع زبدة الفول السوداني 198 جم")</f>
        <v>بادي بسكويت حجم صغير وجبة خفيفة مقرمشة خالية من الحبوب مع زبدة الفول السوداني 198 جم</v>
      </c>
      <c r="H828" s="133" t="str">
        <f>IFERROR(__xludf.DUMMYFUNCTION("""COMPUTED_VALUE"""),"MAFE20214654")</f>
        <v>MAFE20214654</v>
      </c>
      <c r="I828" s="133"/>
      <c r="J828" s="133"/>
      <c r="K828" s="133" t="str">
        <f>IFERROR(__xludf.DUMMYFUNCTION("""COMPUTED_VALUE"""),"Agency")</f>
        <v>Agency</v>
      </c>
      <c r="L828" s="142" t="str">
        <f>IFERROR(__xludf.DUMMYFUNCTION("""COMPUTED_VALUE"""),"28330")</f>
        <v>28330</v>
      </c>
      <c r="M828" s="133"/>
      <c r="N828" s="133"/>
      <c r="O828" s="133"/>
      <c r="P828" s="133"/>
      <c r="Q828" s="133"/>
      <c r="R828" s="133"/>
      <c r="S828" s="133"/>
      <c r="T828" s="133"/>
      <c r="U828" s="133"/>
      <c r="V828" s="133"/>
      <c r="W828" s="133"/>
      <c r="X828" s="133"/>
      <c r="Y828" s="133"/>
      <c r="Z828" s="133"/>
    </row>
    <row r="829">
      <c r="A829" s="133">
        <f>IFERROR(__xludf.DUMMYFUNCTION("""COMPUTED_VALUE"""),828.0)</f>
        <v>828</v>
      </c>
      <c r="B829" s="133" t="str">
        <f>IFERROR(__xludf.DUMMYFUNCTION("""COMPUTED_VALUE"""),"28350")</f>
        <v>28350</v>
      </c>
      <c r="C829" s="133" t="str">
        <f>IFERROR(__xludf.DUMMYFUNCTION("""COMPUTED_VALUE"""),"P-1-N-071221-8462")</f>
        <v>P-1-N-071221-8462</v>
      </c>
      <c r="D829" s="133"/>
      <c r="E829" s="133" t="str">
        <f>IFERROR(__xludf.DUMMYFUNCTION("""COMPUTED_VALUE"""),"تمت طباعة الشهادة")</f>
        <v>تمت طباعة الشهادة</v>
      </c>
      <c r="F829" s="133" t="str">
        <f>IFERROR(__xludf.DUMMYFUNCTION("""COMPUTED_VALUE"""),"Buddy Biscuits Grain Free TEENY Crunchy Treats with Roasted Chicken 198g")</f>
        <v>Buddy Biscuits Grain Free TEENY Crunchy Treats with Roasted Chicken 198g</v>
      </c>
      <c r="G829" s="133" t="str">
        <f>IFERROR(__xludf.DUMMYFUNCTION("""COMPUTED_VALUE"""),"بادي بسكويت حجم صغير وجبة خفيفة مقرمشة خالية من الحبوب مع الدجاج المشوي 198 جم")</f>
        <v>بادي بسكويت حجم صغير وجبة خفيفة مقرمشة خالية من الحبوب مع الدجاج المشوي 198 جم</v>
      </c>
      <c r="H829" s="133" t="str">
        <f>IFERROR(__xludf.DUMMYFUNCTION("""COMPUTED_VALUE"""),"MAFE20214653")</f>
        <v>MAFE20214653</v>
      </c>
      <c r="I829" s="133"/>
      <c r="J829" s="133"/>
      <c r="K829" s="133" t="str">
        <f>IFERROR(__xludf.DUMMYFUNCTION("""COMPUTED_VALUE"""),"وايت بريدج ماركات الحيوانات الأليفة")</f>
        <v>وايت بريدج ماركات الحيوانات الأليفة</v>
      </c>
      <c r="L829" s="142" t="str">
        <f>IFERROR(__xludf.DUMMYFUNCTION("""COMPUTED_VALUE"""),"28350")</f>
        <v>28350</v>
      </c>
      <c r="M829" s="133"/>
      <c r="N829" s="133"/>
      <c r="O829" s="133"/>
      <c r="P829" s="133"/>
      <c r="Q829" s="133"/>
      <c r="R829" s="133"/>
      <c r="S829" s="133"/>
      <c r="T829" s="133"/>
      <c r="U829" s="133"/>
      <c r="V829" s="133"/>
      <c r="W829" s="133"/>
      <c r="X829" s="133"/>
      <c r="Y829" s="133"/>
      <c r="Z829" s="133"/>
    </row>
    <row r="830">
      <c r="A830" s="133">
        <f>IFERROR(__xludf.DUMMYFUNCTION("""COMPUTED_VALUE"""),829.0)</f>
        <v>829</v>
      </c>
      <c r="B830" s="133" t="str">
        <f>IFERROR(__xludf.DUMMYFUNCTION("""COMPUTED_VALUE"""),"WB12530")</f>
        <v>WB12530</v>
      </c>
      <c r="C830" s="133" t="str">
        <f>IFERROR(__xludf.DUMMYFUNCTION("""COMPUTED_VALUE"""),"P-1-N-071221-8463")</f>
        <v>P-1-N-071221-8463</v>
      </c>
      <c r="D830" s="133"/>
      <c r="E830" s="133" t="str">
        <f>IFERROR(__xludf.DUMMYFUNCTION("""COMPUTED_VALUE"""),"تمت طباعة الشهادة")</f>
        <v>تمت طباعة الشهادة</v>
      </c>
      <c r="F830" s="133" t="str">
        <f>IFERROR(__xludf.DUMMYFUNCTION("""COMPUTED_VALUE"""),"Buddy Biscuits TEENY Crunchy Treats with Peanut Butter 227g")</f>
        <v>Buddy Biscuits TEENY Crunchy Treats with Peanut Butter 227g</v>
      </c>
      <c r="G830" s="133" t="str">
        <f>IFERROR(__xludf.DUMMYFUNCTION("""COMPUTED_VALUE"""),"بادي بسكويت حجم صغير وجبة خفيفة مقرمشة مع زبدة الفول السوداني 227 جم")</f>
        <v>بادي بسكويت حجم صغير وجبة خفيفة مقرمشة مع زبدة الفول السوداني 227 جم</v>
      </c>
      <c r="H830" s="133" t="str">
        <f>IFERROR(__xludf.DUMMYFUNCTION("""COMPUTED_VALUE"""),"MAFE20214652")</f>
        <v>MAFE20214652</v>
      </c>
      <c r="I830" s="133"/>
      <c r="J830" s="133"/>
      <c r="K830" s="133" t="str">
        <f>IFERROR(__xludf.DUMMYFUNCTION("""COMPUTED_VALUE"""),"وايت بريدج ماركات الحيوانات الأليفة")</f>
        <v>وايت بريدج ماركات الحيوانات الأليفة</v>
      </c>
      <c r="L830" s="142" t="str">
        <f>IFERROR(__xludf.DUMMYFUNCTION("""COMPUTED_VALUE"""),"WB12530")</f>
        <v>WB12530</v>
      </c>
      <c r="M830" s="133"/>
      <c r="N830" s="133"/>
      <c r="O830" s="133"/>
      <c r="P830" s="133"/>
      <c r="Q830" s="133"/>
      <c r="R830" s="133"/>
      <c r="S830" s="133"/>
      <c r="T830" s="133"/>
      <c r="U830" s="133"/>
      <c r="V830" s="133"/>
      <c r="W830" s="133"/>
      <c r="X830" s="133"/>
      <c r="Y830" s="133"/>
      <c r="Z830" s="133"/>
    </row>
    <row r="831">
      <c r="A831" s="133">
        <f>IFERROR(__xludf.DUMMYFUNCTION("""COMPUTED_VALUE"""),830.0)</f>
        <v>830</v>
      </c>
      <c r="B831" s="133" t="str">
        <f>IFERROR(__xludf.DUMMYFUNCTION("""COMPUTED_VALUE"""),"12530")</f>
        <v>12530</v>
      </c>
      <c r="C831" s="133" t="str">
        <f>IFERROR(__xludf.DUMMYFUNCTION("""COMPUTED_VALUE"""),"P-1-N-071221-8464")</f>
        <v>P-1-N-071221-8464</v>
      </c>
      <c r="D831" s="133"/>
      <c r="E831" s="133" t="str">
        <f>IFERROR(__xludf.DUMMYFUNCTION("""COMPUTED_VALUE"""),"تمت طباعة الشهادة")</f>
        <v>تمت طباعة الشهادة</v>
      </c>
      <c r="F831" s="133" t="str">
        <f>IFERROR(__xludf.DUMMYFUNCTION("""COMPUTED_VALUE"""),"Buddy Biscuits TEENY Crunchy Treats with Roasted Chicken 227g")</f>
        <v>Buddy Biscuits TEENY Crunchy Treats with Roasted Chicken 227g</v>
      </c>
      <c r="G831" s="133" t="str">
        <f>IFERROR(__xludf.DUMMYFUNCTION("""COMPUTED_VALUE"""),"بادي بسكويت حجم صغير وجبة خفيفة مقرمشة مع الدجاج المشوي 227 جم")</f>
        <v>بادي بسكويت حجم صغير وجبة خفيفة مقرمشة مع الدجاج المشوي 227 جم</v>
      </c>
      <c r="H831" s="133" t="str">
        <f>IFERROR(__xludf.DUMMYFUNCTION("""COMPUTED_VALUE"""),"MAFE20214651")</f>
        <v>MAFE20214651</v>
      </c>
      <c r="I831" s="133"/>
      <c r="J831" s="133"/>
      <c r="K831" s="133" t="str">
        <f>IFERROR(__xludf.DUMMYFUNCTION("""COMPUTED_VALUE"""),"وايت بريدج ماركات الحيوانات الأليفة")</f>
        <v>وايت بريدج ماركات الحيوانات الأليفة</v>
      </c>
      <c r="L831" s="142" t="str">
        <f>IFERROR(__xludf.DUMMYFUNCTION("""COMPUTED_VALUE"""),"12530")</f>
        <v>12530</v>
      </c>
      <c r="M831" s="133"/>
      <c r="N831" s="133"/>
      <c r="O831" s="133"/>
      <c r="P831" s="133"/>
      <c r="Q831" s="133"/>
      <c r="R831" s="133"/>
      <c r="S831" s="133"/>
      <c r="T831" s="133"/>
      <c r="U831" s="133"/>
      <c r="V831" s="133"/>
      <c r="W831" s="133"/>
      <c r="X831" s="133"/>
      <c r="Y831" s="133"/>
      <c r="Z831" s="133"/>
    </row>
    <row r="832">
      <c r="A832" s="133">
        <f>IFERROR(__xludf.DUMMYFUNCTION("""COMPUTED_VALUE"""),831.0)</f>
        <v>831</v>
      </c>
      <c r="B832" s="133" t="str">
        <f>IFERROR(__xludf.DUMMYFUNCTION("""COMPUTED_VALUE"""),"WB18103")</f>
        <v>WB18103</v>
      </c>
      <c r="C832" s="133" t="str">
        <f>IFERROR(__xludf.DUMMYFUNCTION("""COMPUTED_VALUE"""),"P-1-N-071221-8465")</f>
        <v>P-1-N-071221-8465</v>
      </c>
      <c r="D832" s="133"/>
      <c r="E832" s="133" t="str">
        <f>IFERROR(__xludf.DUMMYFUNCTION("""COMPUTED_VALUE"""),"تمت طباعة الشهادة")</f>
        <v>تمت طباعة الشهادة</v>
      </c>
      <c r="F832" s="133" t="str">
        <f>IFERROR(__xludf.DUMMYFUNCTION("""COMPUTED_VALUE"""),"Buddy Trainers Training Chews with Chicken Liver 198g")</f>
        <v>Buddy Trainers Training Chews with Chicken Liver 198g</v>
      </c>
      <c r="G832" s="133" t="str">
        <f>IFERROR(__xludf.DUMMYFUNCTION("""COMPUTED_VALUE"""),"بادي تراينرز وجبة خفيفة للتدريب مع كبدة الدجاج 198 جم")</f>
        <v>بادي تراينرز وجبة خفيفة للتدريب مع كبدة الدجاج 198 جم</v>
      </c>
      <c r="H832" s="133" t="str">
        <f>IFERROR(__xludf.DUMMYFUNCTION("""COMPUTED_VALUE"""),"MAFE20214650")</f>
        <v>MAFE20214650</v>
      </c>
      <c r="I832" s="133"/>
      <c r="J832" s="133"/>
      <c r="K832" s="133" t="str">
        <f>IFERROR(__xludf.DUMMYFUNCTION("""COMPUTED_VALUE"""),"وايت بريدج ماركات الحيوانات الأليفة")</f>
        <v>وايت بريدج ماركات الحيوانات الأليفة</v>
      </c>
      <c r="L832" s="142" t="str">
        <f>IFERROR(__xludf.DUMMYFUNCTION("""COMPUTED_VALUE"""),"WB18103")</f>
        <v>WB18103</v>
      </c>
      <c r="M832" s="133"/>
      <c r="N832" s="133"/>
      <c r="O832" s="133"/>
      <c r="P832" s="133"/>
      <c r="Q832" s="133"/>
      <c r="R832" s="133"/>
      <c r="S832" s="133"/>
      <c r="T832" s="133"/>
      <c r="U832" s="133"/>
      <c r="V832" s="133"/>
      <c r="W832" s="133"/>
      <c r="X832" s="133"/>
      <c r="Y832" s="133"/>
      <c r="Z832" s="133"/>
    </row>
    <row r="833">
      <c r="A833" s="133">
        <f>IFERROR(__xludf.DUMMYFUNCTION("""COMPUTED_VALUE"""),832.0)</f>
        <v>832</v>
      </c>
      <c r="B833" s="133"/>
      <c r="C833" s="133" t="str">
        <f>IFERROR(__xludf.DUMMYFUNCTION("""COMPUTED_VALUE"""),"P-1-N-071221-8466")</f>
        <v>P-1-N-071221-8466</v>
      </c>
      <c r="D833" s="133"/>
      <c r="E833" s="133" t="str">
        <f>IFERROR(__xludf.DUMMYFUNCTION("""COMPUTED_VALUE"""),"تمت طباعة الشهادة")</f>
        <v>تمت طباعة الشهادة</v>
      </c>
      <c r="F833" s="133" t="str">
        <f>IFERROR(__xludf.DUMMYFUNCTION("""COMPUTED_VALUE"""),"English Name")</f>
        <v>English Name</v>
      </c>
      <c r="G833" s="133" t="str">
        <f>IFERROR(__xludf.DUMMYFUNCTION("""COMPUTED_VALUE"""),"ادي بسكويت وجبة خفيفة للقطط خالية من الحبوب مع التونة الشهية 85 جم")</f>
        <v>ادي بسكويت وجبة خفيفة للقطط خالية من الحبوب مع التونة الشهية 85 جم</v>
      </c>
      <c r="H833" s="133" t="str">
        <f>IFERROR(__xludf.DUMMYFUNCTION("""COMPUTED_VALUE"""),"MAFE20214649")</f>
        <v>MAFE20214649</v>
      </c>
      <c r="I833" s="133"/>
      <c r="J833" s="133"/>
      <c r="K833" s="133" t="str">
        <f>IFERROR(__xludf.DUMMYFUNCTION("""COMPUTED_VALUE"""),"وايت بريدج ماركات الحيوانات الأليفة")</f>
        <v>وايت بريدج ماركات الحيوانات الأليفة</v>
      </c>
      <c r="L833" s="133"/>
      <c r="M833" s="133"/>
      <c r="N833" s="133"/>
      <c r="O833" s="133"/>
      <c r="P833" s="133"/>
      <c r="Q833" s="133"/>
      <c r="R833" s="133"/>
      <c r="S833" s="133"/>
      <c r="T833" s="133"/>
      <c r="U833" s="133"/>
      <c r="V833" s="133"/>
      <c r="W833" s="133"/>
      <c r="X833" s="133"/>
      <c r="Y833" s="133"/>
      <c r="Z833" s="133"/>
    </row>
    <row r="834">
      <c r="A834" s="133">
        <f>IFERROR(__xludf.DUMMYFUNCTION("""COMPUTED_VALUE"""),833.0)</f>
        <v>833</v>
      </c>
      <c r="B834" s="133" t="str">
        <f>IFERROR(__xludf.DUMMYFUNCTION("""COMPUTED_VALUE"""),"WB80263")</f>
        <v>WB80263</v>
      </c>
      <c r="C834" s="133" t="str">
        <f>IFERROR(__xludf.DUMMYFUNCTION("""COMPUTED_VALUE"""),"P-1-N-281221-9165")</f>
        <v>P-1-N-281221-9165</v>
      </c>
      <c r="D834" s="133"/>
      <c r="E834" s="133" t="str">
        <f>IFERROR(__xludf.DUMMYFUNCTION("""COMPUTED_VALUE"""),"REJECTED")</f>
        <v>REJECTED</v>
      </c>
      <c r="F834" s="133" t="str">
        <f>IFERROR(__xludf.DUMMYFUNCTION("""COMPUTED_VALUE"""),"Tiki Cat Aloha Friends Wet Cat Food Tuna, Tilapia &amp; Pumpkin 85g")</f>
        <v>Tiki Cat Aloha Friends Wet Cat Food Tuna, Tilapia &amp; Pumpkin 85g</v>
      </c>
      <c r="G834" s="133" t="str">
        <f>IFERROR(__xludf.DUMMYFUNCTION("""COMPUTED_VALUE"""),"تيكي كات ألوها فريندز طعام القطط الرطب بالتونا وسمك البلطي واليقطين 85 جم")</f>
        <v>تيكي كات ألوها فريندز طعام القطط الرطب بالتونا وسمك البلطي واليقطين 85 جم</v>
      </c>
      <c r="H834" s="133"/>
      <c r="I834" s="133"/>
      <c r="J834" s="133"/>
      <c r="K834" s="133" t="str">
        <f>IFERROR(__xludf.DUMMYFUNCTION("""COMPUTED_VALUE"""),"ساوث ايست الاسيوية للتغليف والتعليب المحدودة")</f>
        <v>ساوث ايست الاسيوية للتغليف والتعليب المحدودة</v>
      </c>
      <c r="L834" s="142" t="str">
        <f>IFERROR(__xludf.DUMMYFUNCTION("""COMPUTED_VALUE"""),"WB80263")</f>
        <v>WB80263</v>
      </c>
      <c r="M834" s="133"/>
      <c r="N834" s="133"/>
      <c r="O834" s="133"/>
      <c r="P834" s="133"/>
      <c r="Q834" s="133"/>
      <c r="R834" s="133"/>
      <c r="S834" s="133"/>
      <c r="T834" s="133"/>
      <c r="U834" s="133"/>
      <c r="V834" s="133"/>
      <c r="W834" s="133"/>
      <c r="X834" s="133"/>
      <c r="Y834" s="133"/>
      <c r="Z834" s="133"/>
    </row>
    <row r="835">
      <c r="A835" s="133">
        <f>IFERROR(__xludf.DUMMYFUNCTION("""COMPUTED_VALUE"""),834.0)</f>
        <v>834</v>
      </c>
      <c r="B835" s="133" t="str">
        <f>IFERROR(__xludf.DUMMYFUNCTION("""COMPUTED_VALUE"""),"WB80261")</f>
        <v>WB80261</v>
      </c>
      <c r="C835" s="133" t="str">
        <f>IFERROR(__xludf.DUMMYFUNCTION("""COMPUTED_VALUE"""),"P-1-N-281221-9167")</f>
        <v>P-1-N-281221-9167</v>
      </c>
      <c r="D835" s="133"/>
      <c r="E835" s="133" t="str">
        <f>IFERROR(__xludf.DUMMYFUNCTION("""COMPUTED_VALUE"""),"REJECTED")</f>
        <v>REJECTED</v>
      </c>
      <c r="F835" s="133" t="str">
        <f>IFERROR(__xludf.DUMMYFUNCTION("""COMPUTED_VALUE"""),"Tiki Cat Aloha Friends Wet Cat Food Tuna, Ocean Whitefish &amp; Pumpkin 85g")</f>
        <v>Tiki Cat Aloha Friends Wet Cat Food Tuna, Ocean Whitefish &amp; Pumpkin 85g</v>
      </c>
      <c r="G835" s="133" t="str">
        <f>IFERROR(__xludf.DUMMYFUNCTION("""COMPUTED_VALUE"""),"تيكي كات ألوها فريندز طعام القطط الرطب بالتونا والسمك الابيض واليقطين 85 جم")</f>
        <v>تيكي كات ألوها فريندز طعام القطط الرطب بالتونا والسمك الابيض واليقطين 85 جم</v>
      </c>
      <c r="H835" s="133"/>
      <c r="I835" s="133"/>
      <c r="J835" s="133"/>
      <c r="K835" s="133" t="str">
        <f>IFERROR(__xludf.DUMMYFUNCTION("""COMPUTED_VALUE"""),"ساوث ايست الاسيوية للتغليف والتعليب المحدودة")</f>
        <v>ساوث ايست الاسيوية للتغليف والتعليب المحدودة</v>
      </c>
      <c r="L835" s="142" t="str">
        <f>IFERROR(__xludf.DUMMYFUNCTION("""COMPUTED_VALUE"""),"WB80261")</f>
        <v>WB80261</v>
      </c>
      <c r="M835" s="133"/>
      <c r="N835" s="133"/>
      <c r="O835" s="133"/>
      <c r="P835" s="133"/>
      <c r="Q835" s="133"/>
      <c r="R835" s="133"/>
      <c r="S835" s="133"/>
      <c r="T835" s="133"/>
      <c r="U835" s="133"/>
      <c r="V835" s="133"/>
      <c r="W835" s="133"/>
      <c r="X835" s="133"/>
      <c r="Y835" s="133"/>
      <c r="Z835" s="133"/>
    </row>
    <row r="836">
      <c r="A836" s="133">
        <f>IFERROR(__xludf.DUMMYFUNCTION("""COMPUTED_VALUE"""),835.0)</f>
        <v>835</v>
      </c>
      <c r="B836" s="133" t="str">
        <f>IFERROR(__xludf.DUMMYFUNCTION("""COMPUTED_VALUE"""),"WB80262")</f>
        <v>WB80262</v>
      </c>
      <c r="C836" s="133" t="str">
        <f>IFERROR(__xludf.DUMMYFUNCTION("""COMPUTED_VALUE"""),"P-1-N-281221-9168")</f>
        <v>P-1-N-281221-9168</v>
      </c>
      <c r="D836" s="133"/>
      <c r="E836" s="133" t="str">
        <f>IFERROR(__xludf.DUMMYFUNCTION("""COMPUTED_VALUE"""),"REJECTED")</f>
        <v>REJECTED</v>
      </c>
      <c r="F836" s="133" t="str">
        <f>IFERROR(__xludf.DUMMYFUNCTION("""COMPUTED_VALUE"""),"Tiki Cat Aloha Friends Wet Cat Food Tuna, Shrimp &amp; Pumpkin 85g")</f>
        <v>Tiki Cat Aloha Friends Wet Cat Food Tuna, Shrimp &amp; Pumpkin 85g</v>
      </c>
      <c r="G836" s="133" t="str">
        <f>IFERROR(__xludf.DUMMYFUNCTION("""COMPUTED_VALUE"""),"تيكي كات ألوها فريندزطعام القطط الرطب بالتونا والجمبري واليقطين 85 جم")</f>
        <v>تيكي كات ألوها فريندزطعام القطط الرطب بالتونا والجمبري واليقطين 85 جم</v>
      </c>
      <c r="H836" s="133"/>
      <c r="I836" s="133"/>
      <c r="J836" s="133"/>
      <c r="K836" s="133" t="str">
        <f>IFERROR(__xludf.DUMMYFUNCTION("""COMPUTED_VALUE"""),"ساوث ايست الاسيوية للتغليف والتعليب المحدودة")</f>
        <v>ساوث ايست الاسيوية للتغليف والتعليب المحدودة</v>
      </c>
      <c r="L836" s="142" t="str">
        <f>IFERROR(__xludf.DUMMYFUNCTION("""COMPUTED_VALUE"""),"WB80262")</f>
        <v>WB80262</v>
      </c>
      <c r="M836" s="133"/>
      <c r="N836" s="133"/>
      <c r="O836" s="133"/>
      <c r="P836" s="133"/>
      <c r="Q836" s="133"/>
      <c r="R836" s="133"/>
      <c r="S836" s="133"/>
      <c r="T836" s="133"/>
      <c r="U836" s="133"/>
      <c r="V836" s="133"/>
      <c r="W836" s="133"/>
      <c r="X836" s="133"/>
      <c r="Y836" s="133"/>
      <c r="Z836" s="133"/>
    </row>
    <row r="837">
      <c r="A837" s="133">
        <f>IFERROR(__xludf.DUMMYFUNCTION("""COMPUTED_VALUE"""),836.0)</f>
        <v>836</v>
      </c>
      <c r="B837" s="133" t="str">
        <f>IFERROR(__xludf.DUMMYFUNCTION("""COMPUTED_VALUE"""),"WB80260")</f>
        <v>WB80260</v>
      </c>
      <c r="C837" s="133" t="str">
        <f>IFERROR(__xludf.DUMMYFUNCTION("""COMPUTED_VALUE"""),"P-1-N-281221-9169")</f>
        <v>P-1-N-281221-9169</v>
      </c>
      <c r="D837" s="133"/>
      <c r="E837" s="133" t="str">
        <f>IFERROR(__xludf.DUMMYFUNCTION("""COMPUTED_VALUE"""),"REJECTED")</f>
        <v>REJECTED</v>
      </c>
      <c r="F837" s="133" t="str">
        <f>IFERROR(__xludf.DUMMYFUNCTION("""COMPUTED_VALUE"""),"Tiki Cat Aloha Friends Wet Cat Food Tuna, Calamari &amp; Pumpkin 85g")</f>
        <v>Tiki Cat Aloha Friends Wet Cat Food Tuna, Calamari &amp; Pumpkin 85g</v>
      </c>
      <c r="G837" s="133" t="str">
        <f>IFERROR(__xludf.DUMMYFUNCTION("""COMPUTED_VALUE"""),"تيكي كات ألوها فريندزطعام القطط الرطب بالتونا والكاليماري واليقطين 85 جم")</f>
        <v>تيكي كات ألوها فريندزطعام القطط الرطب بالتونا والكاليماري واليقطين 85 جم</v>
      </c>
      <c r="H837" s="133"/>
      <c r="I837" s="133"/>
      <c r="J837" s="133"/>
      <c r="K837" s="133" t="str">
        <f>IFERROR(__xludf.DUMMYFUNCTION("""COMPUTED_VALUE"""),"ساوث ايست الاسيوية للتغليف والتعليب المحدودة")</f>
        <v>ساوث ايست الاسيوية للتغليف والتعليب المحدودة</v>
      </c>
      <c r="L837" s="142" t="str">
        <f>IFERROR(__xludf.DUMMYFUNCTION("""COMPUTED_VALUE"""),"WB80260")</f>
        <v>WB80260</v>
      </c>
      <c r="M837" s="133"/>
      <c r="N837" s="133"/>
      <c r="O837" s="133"/>
      <c r="P837" s="133"/>
      <c r="Q837" s="133"/>
      <c r="R837" s="133"/>
      <c r="S837" s="133"/>
      <c r="T837" s="133"/>
      <c r="U837" s="133"/>
      <c r="V837" s="133"/>
      <c r="W837" s="133"/>
      <c r="X837" s="133"/>
      <c r="Y837" s="133"/>
      <c r="Z837" s="133"/>
    </row>
    <row r="838">
      <c r="A838" s="133">
        <f>IFERROR(__xludf.DUMMYFUNCTION("""COMPUTED_VALUE"""),837.0)</f>
        <v>837</v>
      </c>
      <c r="B838" s="133" t="str">
        <f>IFERROR(__xludf.DUMMYFUNCTION("""COMPUTED_VALUE"""),"WB80259")</f>
        <v>WB80259</v>
      </c>
      <c r="C838" s="133" t="str">
        <f>IFERROR(__xludf.DUMMYFUNCTION("""COMPUTED_VALUE"""),"P-1-N-281221-9170")</f>
        <v>P-1-N-281221-9170</v>
      </c>
      <c r="D838" s="133"/>
      <c r="E838" s="133" t="str">
        <f>IFERROR(__xludf.DUMMYFUNCTION("""COMPUTED_VALUE"""),"REJECTED")</f>
        <v>REJECTED</v>
      </c>
      <c r="F838" s="133" t="str">
        <f>IFERROR(__xludf.DUMMYFUNCTION("""COMPUTED_VALUE"""),"Tiki Cat Aloha Friends Wet Cat Food Tuna &amp; Pumpkin 85g")</f>
        <v>Tiki Cat Aloha Friends Wet Cat Food Tuna &amp; Pumpkin 85g</v>
      </c>
      <c r="G838" s="133" t="str">
        <f>IFERROR(__xludf.DUMMYFUNCTION("""COMPUTED_VALUE"""),"تيكي كات ألوها فريندز طعام القطط الرطب بالتونا واليقطين 85 جم")</f>
        <v>تيكي كات ألوها فريندز طعام القطط الرطب بالتونا واليقطين 85 جم</v>
      </c>
      <c r="H838" s="133"/>
      <c r="I838" s="133"/>
      <c r="J838" s="133"/>
      <c r="K838" s="133" t="str">
        <f>IFERROR(__xludf.DUMMYFUNCTION("""COMPUTED_VALUE"""),"Agency")</f>
        <v>Agency</v>
      </c>
      <c r="L838" s="142" t="str">
        <f>IFERROR(__xludf.DUMMYFUNCTION("""COMPUTED_VALUE"""),"WB80259")</f>
        <v>WB80259</v>
      </c>
      <c r="M838" s="133"/>
      <c r="N838" s="133"/>
      <c r="O838" s="133"/>
      <c r="P838" s="133"/>
      <c r="Q838" s="133"/>
      <c r="R838" s="133"/>
      <c r="S838" s="133"/>
      <c r="T838" s="133"/>
      <c r="U838" s="133"/>
      <c r="V838" s="133"/>
      <c r="W838" s="133"/>
      <c r="X838" s="133"/>
      <c r="Y838" s="133"/>
      <c r="Z838" s="133"/>
    </row>
    <row r="839">
      <c r="A839" s="133">
        <f>IFERROR(__xludf.DUMMYFUNCTION("""COMPUTED_VALUE"""),838.0)</f>
        <v>838</v>
      </c>
      <c r="B839" s="133" t="str">
        <f>IFERROR(__xludf.DUMMYFUNCTION("""COMPUTED_VALUE"""),"WB80263")</f>
        <v>WB80263</v>
      </c>
      <c r="C839" s="133" t="str">
        <f>IFERROR(__xludf.DUMMYFUNCTION("""COMPUTED_VALUE"""),"P-1-N-090122-169")</f>
        <v>P-1-N-090122-169</v>
      </c>
      <c r="D839" s="133"/>
      <c r="E839" s="133" t="str">
        <f>IFERROR(__xludf.DUMMYFUNCTION("""COMPUTED_VALUE"""),"تمت طباعة الشهادة")</f>
        <v>تمت طباعة الشهادة</v>
      </c>
      <c r="F839" s="133" t="str">
        <f>IFERROR(__xludf.DUMMYFUNCTION("""COMPUTED_VALUE"""),"Tiki Cat Aloha Friends Wet Cat Food Tuna, Tilapia &amp; Pumpkin 85g")</f>
        <v>Tiki Cat Aloha Friends Wet Cat Food Tuna, Tilapia &amp; Pumpkin 85g</v>
      </c>
      <c r="G839" s="133" t="str">
        <f>IFERROR(__xludf.DUMMYFUNCTION("""COMPUTED_VALUE"""),"تيكي كات ألوها فريندز طعام القطط الرطب بالتونا وسمك البلطي واليقطين 85 جم")</f>
        <v>تيكي كات ألوها فريندز طعام القطط الرطب بالتونا وسمك البلطي واليقطين 85 جم</v>
      </c>
      <c r="H839" s="133" t="str">
        <f>IFERROR(__xludf.DUMMYFUNCTION("""COMPUTED_VALUE"""),"MAFE2022158")</f>
        <v>MAFE2022158</v>
      </c>
      <c r="I839" s="133"/>
      <c r="J839" s="133"/>
      <c r="K839" s="133" t="str">
        <f>IFERROR(__xludf.DUMMYFUNCTION("""COMPUTED_VALUE"""),"ساوث ايست الاسيوية للتغليف والتعليب المحدودة")</f>
        <v>ساوث ايست الاسيوية للتغليف والتعليب المحدودة</v>
      </c>
      <c r="L839" s="142" t="str">
        <f>IFERROR(__xludf.DUMMYFUNCTION("""COMPUTED_VALUE"""),"WB80263")</f>
        <v>WB80263</v>
      </c>
      <c r="M839" s="133"/>
      <c r="N839" s="133"/>
      <c r="O839" s="133"/>
      <c r="P839" s="133"/>
      <c r="Q839" s="133"/>
      <c r="R839" s="133"/>
      <c r="S839" s="133"/>
      <c r="T839" s="133"/>
      <c r="U839" s="133"/>
      <c r="V839" s="133"/>
      <c r="W839" s="133"/>
      <c r="X839" s="133"/>
      <c r="Y839" s="133"/>
      <c r="Z839" s="133"/>
    </row>
    <row r="840">
      <c r="A840" s="133">
        <f>IFERROR(__xludf.DUMMYFUNCTION("""COMPUTED_VALUE"""),839.0)</f>
        <v>839</v>
      </c>
      <c r="B840" s="133" t="str">
        <f>IFERROR(__xludf.DUMMYFUNCTION("""COMPUTED_VALUE"""),"WB80261")</f>
        <v>WB80261</v>
      </c>
      <c r="C840" s="133" t="str">
        <f>IFERROR(__xludf.DUMMYFUNCTION("""COMPUTED_VALUE"""),"P-1-N-090122-170")</f>
        <v>P-1-N-090122-170</v>
      </c>
      <c r="D840" s="133"/>
      <c r="E840" s="133" t="str">
        <f>IFERROR(__xludf.DUMMYFUNCTION("""COMPUTED_VALUE"""),"تمت طباعة الشهادة")</f>
        <v>تمت طباعة الشهادة</v>
      </c>
      <c r="F840" s="133" t="str">
        <f>IFERROR(__xludf.DUMMYFUNCTION("""COMPUTED_VALUE"""),"Tiki Cat Aloha Friends Wet Cat Food Tuna, Ocean Whitefish &amp; Pumpkin 85g")</f>
        <v>Tiki Cat Aloha Friends Wet Cat Food Tuna, Ocean Whitefish &amp; Pumpkin 85g</v>
      </c>
      <c r="G840" s="133" t="str">
        <f>IFERROR(__xludf.DUMMYFUNCTION("""COMPUTED_VALUE"""),"تيكي كات ألوها فريندز طعام القطط الرطب بالتونا والسمك الابيض واليقطين 85 جم")</f>
        <v>تيكي كات ألوها فريندز طعام القطط الرطب بالتونا والسمك الابيض واليقطين 85 جم</v>
      </c>
      <c r="H840" s="133" t="str">
        <f>IFERROR(__xludf.DUMMYFUNCTION("""COMPUTED_VALUE"""),"MAFE2022140")</f>
        <v>MAFE2022140</v>
      </c>
      <c r="I840" s="133"/>
      <c r="J840" s="133"/>
      <c r="K840" s="133" t="str">
        <f>IFERROR(__xludf.DUMMYFUNCTION("""COMPUTED_VALUE"""),"ساوث ايست الاسيوية للتغليف والتعليب المحدودة")</f>
        <v>ساوث ايست الاسيوية للتغليف والتعليب المحدودة</v>
      </c>
      <c r="L840" s="142" t="str">
        <f>IFERROR(__xludf.DUMMYFUNCTION("""COMPUTED_VALUE"""),"WB80261")</f>
        <v>WB80261</v>
      </c>
      <c r="M840" s="133"/>
      <c r="N840" s="133"/>
      <c r="O840" s="133"/>
      <c r="P840" s="133"/>
      <c r="Q840" s="133"/>
      <c r="R840" s="133"/>
      <c r="S840" s="133"/>
      <c r="T840" s="133"/>
      <c r="U840" s="133"/>
      <c r="V840" s="133"/>
      <c r="W840" s="133"/>
      <c r="X840" s="133"/>
      <c r="Y840" s="133"/>
      <c r="Z840" s="133"/>
    </row>
    <row r="841">
      <c r="A841" s="133">
        <f>IFERROR(__xludf.DUMMYFUNCTION("""COMPUTED_VALUE"""),840.0)</f>
        <v>840</v>
      </c>
      <c r="B841" s="133" t="str">
        <f>IFERROR(__xludf.DUMMYFUNCTION("""COMPUTED_VALUE"""),"WB80262")</f>
        <v>WB80262</v>
      </c>
      <c r="C841" s="133" t="str">
        <f>IFERROR(__xludf.DUMMYFUNCTION("""COMPUTED_VALUE"""),"P-1-N-090122-171")</f>
        <v>P-1-N-090122-171</v>
      </c>
      <c r="D841" s="133"/>
      <c r="E841" s="133" t="str">
        <f>IFERROR(__xludf.DUMMYFUNCTION("""COMPUTED_VALUE"""),"تمت طباعة الشهادة")</f>
        <v>تمت طباعة الشهادة</v>
      </c>
      <c r="F841" s="133" t="str">
        <f>IFERROR(__xludf.DUMMYFUNCTION("""COMPUTED_VALUE"""),"Tiki Cat Aloha Friends Wet Cat Food Tuna, Shrimp &amp; Pumpkin 85g")</f>
        <v>Tiki Cat Aloha Friends Wet Cat Food Tuna, Shrimp &amp; Pumpkin 85g</v>
      </c>
      <c r="G841" s="133" t="str">
        <f>IFERROR(__xludf.DUMMYFUNCTION("""COMPUTED_VALUE"""),"تيكي كات ألوها فريندزطعام القطط الرطب بالتونا والجمبري واليقطين 85 جم")</f>
        <v>تيكي كات ألوها فريندزطعام القطط الرطب بالتونا والجمبري واليقطين 85 جم</v>
      </c>
      <c r="H841" s="133" t="str">
        <f>IFERROR(__xludf.DUMMYFUNCTION("""COMPUTED_VALUE"""),"MAFE2022141")</f>
        <v>MAFE2022141</v>
      </c>
      <c r="I841" s="133"/>
      <c r="J841" s="133"/>
      <c r="K841" s="133" t="str">
        <f>IFERROR(__xludf.DUMMYFUNCTION("""COMPUTED_VALUE"""),"ساوث ايست الاسيوية للتغليف والتعليب المحدودة")</f>
        <v>ساوث ايست الاسيوية للتغليف والتعليب المحدودة</v>
      </c>
      <c r="L841" s="142" t="str">
        <f>IFERROR(__xludf.DUMMYFUNCTION("""COMPUTED_VALUE"""),"WB80262")</f>
        <v>WB80262</v>
      </c>
      <c r="M841" s="133"/>
      <c r="N841" s="133"/>
      <c r="O841" s="133"/>
      <c r="P841" s="133"/>
      <c r="Q841" s="133"/>
      <c r="R841" s="133"/>
      <c r="S841" s="133"/>
      <c r="T841" s="133"/>
      <c r="U841" s="133"/>
      <c r="V841" s="133"/>
      <c r="W841" s="133"/>
      <c r="X841" s="133"/>
      <c r="Y841" s="133"/>
      <c r="Z841" s="133"/>
    </row>
    <row r="842">
      <c r="A842" s="133">
        <f>IFERROR(__xludf.DUMMYFUNCTION("""COMPUTED_VALUE"""),841.0)</f>
        <v>841</v>
      </c>
      <c r="B842" s="133" t="str">
        <f>IFERROR(__xludf.DUMMYFUNCTION("""COMPUTED_VALUE"""),"WB80260")</f>
        <v>WB80260</v>
      </c>
      <c r="C842" s="133" t="str">
        <f>IFERROR(__xludf.DUMMYFUNCTION("""COMPUTED_VALUE"""),"P-1-N-090122-172")</f>
        <v>P-1-N-090122-172</v>
      </c>
      <c r="D842" s="133"/>
      <c r="E842" s="133" t="str">
        <f>IFERROR(__xludf.DUMMYFUNCTION("""COMPUTED_VALUE"""),"تمت طباعة الشهادة")</f>
        <v>تمت طباعة الشهادة</v>
      </c>
      <c r="F842" s="133" t="str">
        <f>IFERROR(__xludf.DUMMYFUNCTION("""COMPUTED_VALUE"""),"Tiki Cat Aloha Friends Wet Cat Food Tuna, Calamari &amp; Pumpkin 85g")</f>
        <v>Tiki Cat Aloha Friends Wet Cat Food Tuna, Calamari &amp; Pumpkin 85g</v>
      </c>
      <c r="G842" s="133" t="str">
        <f>IFERROR(__xludf.DUMMYFUNCTION("""COMPUTED_VALUE"""),"تيكي كات ألوها فريندزطعام القطط الرطب بالتونا والكاليماري واليقطين 85 جم")</f>
        <v>تيكي كات ألوها فريندزطعام القطط الرطب بالتونا والكاليماري واليقطين 85 جم</v>
      </c>
      <c r="H842" s="133" t="str">
        <f>IFERROR(__xludf.DUMMYFUNCTION("""COMPUTED_VALUE"""),"MAFE2022139")</f>
        <v>MAFE2022139</v>
      </c>
      <c r="I842" s="133"/>
      <c r="J842" s="133"/>
      <c r="K842" s="133" t="str">
        <f>IFERROR(__xludf.DUMMYFUNCTION("""COMPUTED_VALUE"""),"ساوث ايست الاسيوية للتغليف والتعليب المحدودة")</f>
        <v>ساوث ايست الاسيوية للتغليف والتعليب المحدودة</v>
      </c>
      <c r="L842" s="142" t="str">
        <f>IFERROR(__xludf.DUMMYFUNCTION("""COMPUTED_VALUE"""),"WB80260")</f>
        <v>WB80260</v>
      </c>
      <c r="M842" s="133"/>
      <c r="N842" s="133"/>
      <c r="O842" s="133"/>
      <c r="P842" s="133"/>
      <c r="Q842" s="133"/>
      <c r="R842" s="133"/>
      <c r="S842" s="133"/>
      <c r="T842" s="133"/>
      <c r="U842" s="133"/>
      <c r="V842" s="133"/>
      <c r="W842" s="133"/>
      <c r="X842" s="133"/>
      <c r="Y842" s="133"/>
      <c r="Z842" s="133"/>
    </row>
    <row r="843">
      <c r="A843" s="133">
        <f>IFERROR(__xludf.DUMMYFUNCTION("""COMPUTED_VALUE"""),842.0)</f>
        <v>842</v>
      </c>
      <c r="B843" s="133"/>
      <c r="C843" s="133" t="str">
        <f>IFERROR(__xludf.DUMMYFUNCTION("""COMPUTED_VALUE"""),"P-1-N-090122-173")</f>
        <v>P-1-N-090122-173</v>
      </c>
      <c r="D843" s="133"/>
      <c r="E843" s="133" t="str">
        <f>IFERROR(__xludf.DUMMYFUNCTION("""COMPUTED_VALUE"""),"تمت طباعة الشهادة")</f>
        <v>تمت طباعة الشهادة</v>
      </c>
      <c r="F843" s="133"/>
      <c r="G843" s="133" t="str">
        <f>IFERROR(__xludf.DUMMYFUNCTION("""COMPUTED_VALUE"""),"تيكي كات ألوها فريندز طعام القطط الرطب بالتونا واليقطين 85 جم")</f>
        <v>تيكي كات ألوها فريندز طعام القطط الرطب بالتونا واليقطين 85 جم</v>
      </c>
      <c r="H843" s="133" t="str">
        <f>IFERROR(__xludf.DUMMYFUNCTION("""COMPUTED_VALUE"""),"MAFE2022138")</f>
        <v>MAFE2022138</v>
      </c>
      <c r="I843" s="133"/>
      <c r="J843" s="133"/>
      <c r="K843" s="133" t="str">
        <f>IFERROR(__xludf.DUMMYFUNCTION("""COMPUTED_VALUE"""),"ساوث ايست الاسيوية للتغليف والتعليب المحدودة")</f>
        <v>ساوث ايست الاسيوية للتغليف والتعليب المحدودة</v>
      </c>
      <c r="L843" s="133"/>
      <c r="M843" s="133"/>
      <c r="N843" s="133"/>
      <c r="O843" s="133"/>
      <c r="P843" s="133"/>
      <c r="Q843" s="133"/>
      <c r="R843" s="133"/>
      <c r="S843" s="133"/>
      <c r="T843" s="133"/>
      <c r="U843" s="133"/>
      <c r="V843" s="133"/>
      <c r="W843" s="133"/>
      <c r="X843" s="133"/>
      <c r="Y843" s="133"/>
      <c r="Z843" s="133"/>
    </row>
    <row r="844">
      <c r="A844" s="133">
        <f>IFERROR(__xludf.DUMMYFUNCTION("""COMPUTED_VALUE"""),843.0)</f>
        <v>843</v>
      </c>
      <c r="B844" s="133" t="str">
        <f>IFERROR(__xludf.DUMMYFUNCTION("""COMPUTED_VALUE"""),"SC3870")</f>
        <v>SC3870</v>
      </c>
      <c r="C844" s="133" t="str">
        <f>IFERROR(__xludf.DUMMYFUNCTION("""COMPUTED_VALUE"""),"P-1-N-230122-484")</f>
        <v>P-1-N-230122-484</v>
      </c>
      <c r="D844" s="133"/>
      <c r="E844" s="133" t="str">
        <f>IFERROR(__xludf.DUMMYFUNCTION("""COMPUTED_VALUE"""),"تمت طباعة الشهادة")</f>
        <v>تمت طباعة الشهادة</v>
      </c>
      <c r="F844" s="133" t="str">
        <f>IFERROR(__xludf.DUMMYFUNCTION("""COMPUTED_VALUE"""),"Sanal Cream Sticks with Salmon 75g")</f>
        <v>Sanal Cream Sticks with Salmon 75g</v>
      </c>
      <c r="G844" s="133" t="str">
        <f>IFERROR(__xludf.DUMMYFUNCTION("""COMPUTED_VALUE"""),"سانال اصابع الكريمة مع السالمون 75 جم")</f>
        <v>سانال اصابع الكريمة مع السالمون 75 جم</v>
      </c>
      <c r="H844" s="133" t="str">
        <f>IFERROR(__xludf.DUMMYFUNCTION("""COMPUTED_VALUE"""),"MAFE2022365")</f>
        <v>MAFE2022365</v>
      </c>
      <c r="I844" s="133"/>
      <c r="J844" s="133"/>
      <c r="K844" s="133" t="str">
        <f>IFERROR(__xludf.DUMMYFUNCTION("""COMPUTED_VALUE"""),"نيدرما بي في")</f>
        <v>نيدرما بي في</v>
      </c>
      <c r="L844" s="142" t="str">
        <f>IFERROR(__xludf.DUMMYFUNCTION("""COMPUTED_VALUE"""),"SC3870")</f>
        <v>SC3870</v>
      </c>
      <c r="M844" s="133"/>
      <c r="N844" s="133"/>
      <c r="O844" s="133"/>
      <c r="P844" s="133"/>
      <c r="Q844" s="133"/>
      <c r="R844" s="133"/>
      <c r="S844" s="133"/>
      <c r="T844" s="133"/>
      <c r="U844" s="133"/>
      <c r="V844" s="133"/>
      <c r="W844" s="133"/>
      <c r="X844" s="133"/>
      <c r="Y844" s="133"/>
      <c r="Z844" s="133"/>
    </row>
    <row r="845">
      <c r="A845" s="133">
        <f>IFERROR(__xludf.DUMMYFUNCTION("""COMPUTED_VALUE"""),844.0)</f>
        <v>844</v>
      </c>
      <c r="B845" s="133" t="str">
        <f>IFERROR(__xludf.DUMMYFUNCTION("""COMPUTED_VALUE"""),"SC3871")</f>
        <v>SC3871</v>
      </c>
      <c r="C845" s="133" t="str">
        <f>IFERROR(__xludf.DUMMYFUNCTION("""COMPUTED_VALUE"""),"P-1-N-230122-485")</f>
        <v>P-1-N-230122-485</v>
      </c>
      <c r="D845" s="133"/>
      <c r="E845" s="133" t="str">
        <f>IFERROR(__xludf.DUMMYFUNCTION("""COMPUTED_VALUE"""),"تمت طباعة الشهادة")</f>
        <v>تمت طباعة الشهادة</v>
      </c>
      <c r="F845" s="133" t="str">
        <f>IFERROR(__xludf.DUMMYFUNCTION("""COMPUTED_VALUE"""),"Sanal Cream Sticks with Chicken 75g")</f>
        <v>Sanal Cream Sticks with Chicken 75g</v>
      </c>
      <c r="G845" s="133" t="str">
        <f>IFERROR(__xludf.DUMMYFUNCTION("""COMPUTED_VALUE"""),"سانال اصابع الكريمة مع الدجاج 75 جم")</f>
        <v>سانال اصابع الكريمة مع الدجاج 75 جم</v>
      </c>
      <c r="H845" s="133" t="str">
        <f>IFERROR(__xludf.DUMMYFUNCTION("""COMPUTED_VALUE"""),"MAFE2022364")</f>
        <v>MAFE2022364</v>
      </c>
      <c r="I845" s="133"/>
      <c r="J845" s="133"/>
      <c r="K845" s="133" t="str">
        <f>IFERROR(__xludf.DUMMYFUNCTION("""COMPUTED_VALUE"""),"نيدرما بي في")</f>
        <v>نيدرما بي في</v>
      </c>
      <c r="L845" s="142" t="str">
        <f>IFERROR(__xludf.DUMMYFUNCTION("""COMPUTED_VALUE"""),"SC3871")</f>
        <v>SC3871</v>
      </c>
      <c r="M845" s="133"/>
      <c r="N845" s="133"/>
      <c r="O845" s="133"/>
      <c r="P845" s="133"/>
      <c r="Q845" s="133"/>
      <c r="R845" s="133"/>
      <c r="S845" s="133"/>
      <c r="T845" s="133"/>
      <c r="U845" s="133"/>
      <c r="V845" s="133"/>
      <c r="W845" s="133"/>
      <c r="X845" s="133"/>
      <c r="Y845" s="133"/>
      <c r="Z845" s="133"/>
    </row>
    <row r="846">
      <c r="A846" s="133">
        <f>IFERROR(__xludf.DUMMYFUNCTION("""COMPUTED_VALUE"""),845.0)</f>
        <v>845</v>
      </c>
      <c r="B846" s="133"/>
      <c r="C846" s="133" t="str">
        <f>IFERROR(__xludf.DUMMYFUNCTION("""COMPUTED_VALUE"""),"P-1-N-060222-745")</f>
        <v>P-1-N-060222-745</v>
      </c>
      <c r="D846" s="133"/>
      <c r="E846" s="133" t="str">
        <f>IFERROR(__xludf.DUMMYFUNCTION("""COMPUTED_VALUE"""),"REJECTED")</f>
        <v>REJECTED</v>
      </c>
      <c r="F846" s="133" t="str">
        <f>IFERROR(__xludf.DUMMYFUNCTION("""COMPUTED_VALUE"""),"Schesir Chicken and Tuna Mousse with Blueberry 85g")</f>
        <v>Schesir Chicken and Tuna Mousse with Blueberry 85g</v>
      </c>
      <c r="G846" s="133" t="str">
        <f>IFERROR(__xludf.DUMMYFUNCTION("""COMPUTED_VALUE"""),"شيزير موس الدجاج والتونة بالتوت الأزرق 80 جم")</f>
        <v>شيزير موس الدجاج والتونة بالتوت الأزرق 80 جم</v>
      </c>
      <c r="H846" s="133"/>
      <c r="I846" s="133"/>
      <c r="J846" s="133"/>
      <c r="K846" s="133" t="str">
        <f>IFERROR(__xludf.DUMMYFUNCTION("""COMPUTED_VALUE"""),"شركة التحالف الآسيوي الدولية المحدودة")</f>
        <v>شركة التحالف الآسيوي الدولية المحدودة</v>
      </c>
      <c r="L846" s="133"/>
      <c r="M846" s="133"/>
      <c r="N846" s="133"/>
      <c r="O846" s="133"/>
      <c r="P846" s="133"/>
      <c r="Q846" s="133"/>
      <c r="R846" s="133"/>
      <c r="S846" s="133"/>
      <c r="T846" s="133"/>
      <c r="U846" s="133"/>
      <c r="V846" s="133"/>
      <c r="W846" s="133"/>
      <c r="X846" s="133"/>
      <c r="Y846" s="133"/>
      <c r="Z846" s="133"/>
    </row>
    <row r="847">
      <c r="A847" s="133">
        <f>IFERROR(__xludf.DUMMYFUNCTION("""COMPUTED_VALUE"""),846.0)</f>
        <v>846</v>
      </c>
      <c r="B847" s="133" t="str">
        <f>IFERROR(__xludf.DUMMYFUNCTION("""COMPUTED_VALUE"""),"1069014")</f>
        <v>1069014</v>
      </c>
      <c r="C847" s="133" t="str">
        <f>IFERROR(__xludf.DUMMYFUNCTION("""COMPUTED_VALUE"""),"P-1-N-060222-746")</f>
        <v>P-1-N-060222-746</v>
      </c>
      <c r="D847" s="133"/>
      <c r="E847" s="133" t="str">
        <f>IFERROR(__xludf.DUMMYFUNCTION("""COMPUTED_VALUE"""),"تمت طباعة الشهادة")</f>
        <v>تمت طباعة الشهادة</v>
      </c>
      <c r="F847" s="133" t="str">
        <f>IFERROR(__xludf.DUMMYFUNCTION("""COMPUTED_VALUE"""),"Schesir Tuna Mousse with Chicken and Shrimp 80g")</f>
        <v>Schesir Tuna Mousse with Chicken and Shrimp 80g</v>
      </c>
      <c r="G847" s="133" t="str">
        <f>IFERROR(__xludf.DUMMYFUNCTION("""COMPUTED_VALUE"""),"شيزير")</f>
        <v>شيزير</v>
      </c>
      <c r="H847" s="133" t="str">
        <f>IFERROR(__xludf.DUMMYFUNCTION("""COMPUTED_VALUE"""),"MAFE2022493")</f>
        <v>MAFE2022493</v>
      </c>
      <c r="I847" s="133"/>
      <c r="J847" s="133"/>
      <c r="K847" s="133" t="str">
        <f>IFERROR(__xludf.DUMMYFUNCTION("""COMPUTED_VALUE"""),"شركة التحالف الآسيوي الدولية المحدودة")</f>
        <v>شركة التحالف الآسيوي الدولية المحدودة</v>
      </c>
      <c r="L847" s="142" t="str">
        <f>IFERROR(__xludf.DUMMYFUNCTION("""COMPUTED_VALUE"""),"1069014")</f>
        <v>1069014</v>
      </c>
      <c r="M847" s="133"/>
      <c r="N847" s="133"/>
      <c r="O847" s="133"/>
      <c r="P847" s="133"/>
      <c r="Q847" s="133"/>
      <c r="R847" s="133"/>
      <c r="S847" s="133"/>
      <c r="T847" s="133"/>
      <c r="U847" s="133"/>
      <c r="V847" s="133"/>
      <c r="W847" s="133"/>
      <c r="X847" s="133"/>
      <c r="Y847" s="133"/>
      <c r="Z847" s="133"/>
    </row>
    <row r="848">
      <c r="A848" s="133">
        <f>IFERROR(__xludf.DUMMYFUNCTION("""COMPUTED_VALUE"""),847.0)</f>
        <v>847</v>
      </c>
      <c r="B848" s="133"/>
      <c r="C848" s="133" t="str">
        <f>IFERROR(__xludf.DUMMYFUNCTION("""COMPUTED_VALUE"""),"P-1-N-060222-747")</f>
        <v>P-1-N-060222-747</v>
      </c>
      <c r="D848" s="133"/>
      <c r="E848" s="133" t="str">
        <f>IFERROR(__xludf.DUMMYFUNCTION("""COMPUTED_VALUE"""),"تمت طباعة الشهادة")</f>
        <v>تمت طباعة الشهادة</v>
      </c>
      <c r="F848" s="133" t="str">
        <f>IFERROR(__xludf.DUMMYFUNCTION("""COMPUTED_VALUE"""),"Schesir")</f>
        <v>Schesir</v>
      </c>
      <c r="G848" s="133" t="str">
        <f>IFERROR(__xludf.DUMMYFUNCTION("""COMPUTED_VALUE"""),"شيزير تونة مع موس لحم الضأن 80 جم")</f>
        <v>شيزير تونة مع موس لحم الضأن 80 جم</v>
      </c>
      <c r="H848" s="133" t="str">
        <f>IFERROR(__xludf.DUMMYFUNCTION("""COMPUTED_VALUE"""),"MAFE2022494")</f>
        <v>MAFE2022494</v>
      </c>
      <c r="I848" s="133"/>
      <c r="J848" s="133"/>
      <c r="K848" s="133" t="str">
        <f>IFERROR(__xludf.DUMMYFUNCTION("""COMPUTED_VALUE"""),"Agency")</f>
        <v>Agency</v>
      </c>
      <c r="L848" s="133"/>
      <c r="M848" s="133"/>
      <c r="N848" s="133"/>
      <c r="O848" s="133"/>
      <c r="P848" s="133"/>
      <c r="Q848" s="133"/>
      <c r="R848" s="133"/>
      <c r="S848" s="133"/>
      <c r="T848" s="133"/>
      <c r="U848" s="133"/>
      <c r="V848" s="133"/>
      <c r="W848" s="133"/>
      <c r="X848" s="133"/>
      <c r="Y848" s="133"/>
      <c r="Z848" s="133"/>
    </row>
    <row r="849">
      <c r="A849" s="133">
        <f>IFERROR(__xludf.DUMMYFUNCTION("""COMPUTED_VALUE"""),848.0)</f>
        <v>848</v>
      </c>
      <c r="B849" s="133" t="str">
        <f>IFERROR(__xludf.DUMMYFUNCTION("""COMPUTED_VALUE"""),"1069012")</f>
        <v>1069012</v>
      </c>
      <c r="C849" s="133" t="str">
        <f>IFERROR(__xludf.DUMMYFUNCTION("""COMPUTED_VALUE"""),"P-1-N-060222-748")</f>
        <v>P-1-N-060222-748</v>
      </c>
      <c r="D849" s="133"/>
      <c r="E849" s="133" t="str">
        <f>IFERROR(__xludf.DUMMYFUNCTION("""COMPUTED_VALUE"""),"تمت طباعة الشهادة")</f>
        <v>تمت طباعة الشهادة</v>
      </c>
      <c r="F849" s="133" t="str">
        <f>IFERROR(__xludf.DUMMYFUNCTION("""COMPUTED_VALUE"""),"Schesir Tuna with Beef Mousse 80g")</f>
        <v>Schesir Tuna with Beef Mousse 80g</v>
      </c>
      <c r="G849" s="133" t="str">
        <f>IFERROR(__xludf.DUMMYFUNCTION("""COMPUTED_VALUE"""),"شيزير تونة مع موس لحم البقر 80 جم")</f>
        <v>شيزير تونة مع موس لحم البقر 80 جم</v>
      </c>
      <c r="H849" s="133" t="str">
        <f>IFERROR(__xludf.DUMMYFUNCTION("""COMPUTED_VALUE"""),"MAFE2022492")</f>
        <v>MAFE2022492</v>
      </c>
      <c r="I849" s="133"/>
      <c r="J849" s="133"/>
      <c r="K849" s="133" t="str">
        <f>IFERROR(__xludf.DUMMYFUNCTION("""COMPUTED_VALUE"""),"شركة التحالف الآسيوي الدولية المحدودة")</f>
        <v>شركة التحالف الآسيوي الدولية المحدودة</v>
      </c>
      <c r="L849" s="142" t="str">
        <f>IFERROR(__xludf.DUMMYFUNCTION("""COMPUTED_VALUE"""),"1069012")</f>
        <v>1069012</v>
      </c>
      <c r="M849" s="133"/>
      <c r="N849" s="133"/>
      <c r="O849" s="133"/>
      <c r="P849" s="133"/>
      <c r="Q849" s="133"/>
      <c r="R849" s="133"/>
      <c r="S849" s="133"/>
      <c r="T849" s="133"/>
      <c r="U849" s="133"/>
      <c r="V849" s="133"/>
      <c r="W849" s="133"/>
      <c r="X849" s="133"/>
      <c r="Y849" s="133"/>
      <c r="Z849" s="133"/>
    </row>
    <row r="850">
      <c r="A850" s="133">
        <f>IFERROR(__xludf.DUMMYFUNCTION("""COMPUTED_VALUE"""),849.0)</f>
        <v>849</v>
      </c>
      <c r="B850" s="133" t="str">
        <f>IFERROR(__xludf.DUMMYFUNCTION("""COMPUTED_VALUE"""),"1069015")</f>
        <v>1069015</v>
      </c>
      <c r="C850" s="133" t="str">
        <f>IFERROR(__xludf.DUMMYFUNCTION("""COMPUTED_VALUE"""),"P-1-N-060222-749")</f>
        <v>P-1-N-060222-749</v>
      </c>
      <c r="D850" s="133"/>
      <c r="E850" s="133" t="str">
        <f>IFERROR(__xludf.DUMMYFUNCTION("""COMPUTED_VALUE"""),"تمت طباعة الشهادة")</f>
        <v>تمت طباعة الشهادة</v>
      </c>
      <c r="F850" s="133" t="str">
        <f>IFERROR(__xludf.DUMMYFUNCTION("""COMPUTED_VALUE"""),"Schesir Chicken and Tuna Mousse with Kiwi 80g")</f>
        <v>Schesir Chicken and Tuna Mousse with Kiwi 80g</v>
      </c>
      <c r="G850" s="133" t="str">
        <f>IFERROR(__xludf.DUMMYFUNCTION("""COMPUTED_VALUE"""),"شيزير موس الدجاج والتونة مع الكيوي 80 جم")</f>
        <v>شيزير موس الدجاج والتونة مع الكيوي 80 جم</v>
      </c>
      <c r="H850" s="133" t="str">
        <f>IFERROR(__xludf.DUMMYFUNCTION("""COMPUTED_VALUE"""),"MAFE2022491")</f>
        <v>MAFE2022491</v>
      </c>
      <c r="I850" s="133"/>
      <c r="J850" s="133"/>
      <c r="K850" s="133" t="str">
        <f>IFERROR(__xludf.DUMMYFUNCTION("""COMPUTED_VALUE"""),"شركة التحالف الآسيوي الدولية المحدودة")</f>
        <v>شركة التحالف الآسيوي الدولية المحدودة</v>
      </c>
      <c r="L850" s="142" t="str">
        <f>IFERROR(__xludf.DUMMYFUNCTION("""COMPUTED_VALUE"""),"1069015")</f>
        <v>1069015</v>
      </c>
      <c r="M850" s="133"/>
      <c r="N850" s="133"/>
      <c r="O850" s="133"/>
      <c r="P850" s="133"/>
      <c r="Q850" s="133"/>
      <c r="R850" s="133"/>
      <c r="S850" s="133"/>
      <c r="T850" s="133"/>
      <c r="U850" s="133"/>
      <c r="V850" s="133"/>
      <c r="W850" s="133"/>
      <c r="X850" s="133"/>
      <c r="Y850" s="133"/>
      <c r="Z850" s="133"/>
    </row>
    <row r="851">
      <c r="A851" s="133">
        <f>IFERROR(__xludf.DUMMYFUNCTION("""COMPUTED_VALUE"""),850.0)</f>
        <v>850</v>
      </c>
      <c r="B851" s="133" t="str">
        <f>IFERROR(__xludf.DUMMYFUNCTION("""COMPUTED_VALUE"""),"1069010")</f>
        <v>1069010</v>
      </c>
      <c r="C851" s="133" t="str">
        <f>IFERROR(__xludf.DUMMYFUNCTION("""COMPUTED_VALUE"""),"P-1-N-060222-750")</f>
        <v>P-1-N-060222-750</v>
      </c>
      <c r="D851" s="133"/>
      <c r="E851" s="133" t="str">
        <f>IFERROR(__xludf.DUMMYFUNCTION("""COMPUTED_VALUE"""),"تمت طباعة الشهادة")</f>
        <v>تمت طباعة الشهادة</v>
      </c>
      <c r="F851" s="133" t="str">
        <f>IFERROR(__xludf.DUMMYFUNCTION("""COMPUTED_VALUE"""),"Schesir Chicken and Tuna Mousse with Mango 80g")</f>
        <v>Schesir Chicken and Tuna Mousse with Mango 80g</v>
      </c>
      <c r="G851" s="133" t="str">
        <f>IFERROR(__xludf.DUMMYFUNCTION("""COMPUTED_VALUE"""),"شيزير موس الدجاج والتونة مع المانجو 80 جم")</f>
        <v>شيزير موس الدجاج والتونة مع المانجو 80 جم</v>
      </c>
      <c r="H851" s="133" t="str">
        <f>IFERROR(__xludf.DUMMYFUNCTION("""COMPUTED_VALUE"""),"MAFE2022490")</f>
        <v>MAFE2022490</v>
      </c>
      <c r="I851" s="133"/>
      <c r="J851" s="133"/>
      <c r="K851" s="133" t="str">
        <f>IFERROR(__xludf.DUMMYFUNCTION("""COMPUTED_VALUE"""),"شركة التحالف الآسيوي الدولية المحدودة")</f>
        <v>شركة التحالف الآسيوي الدولية المحدودة</v>
      </c>
      <c r="L851" s="142" t="str">
        <f>IFERROR(__xludf.DUMMYFUNCTION("""COMPUTED_VALUE"""),"1069010")</f>
        <v>1069010</v>
      </c>
      <c r="M851" s="133"/>
      <c r="N851" s="133"/>
      <c r="O851" s="133"/>
      <c r="P851" s="133"/>
      <c r="Q851" s="133"/>
      <c r="R851" s="133"/>
      <c r="S851" s="133"/>
      <c r="T851" s="133"/>
      <c r="U851" s="133"/>
      <c r="V851" s="133"/>
      <c r="W851" s="133"/>
      <c r="X851" s="133"/>
      <c r="Y851" s="133"/>
      <c r="Z851" s="133"/>
    </row>
    <row r="852">
      <c r="A852" s="133">
        <f>IFERROR(__xludf.DUMMYFUNCTION("""COMPUTED_VALUE"""),851.0)</f>
        <v>851</v>
      </c>
      <c r="B852" s="133" t="str">
        <f>IFERROR(__xludf.DUMMYFUNCTION("""COMPUTED_VALUE"""),"1071830")</f>
        <v>1071830</v>
      </c>
      <c r="C852" s="133" t="str">
        <f>IFERROR(__xludf.DUMMYFUNCTION("""COMPUTED_VALUE"""),"P-1-N-060222-751")</f>
        <v>P-1-N-060222-751</v>
      </c>
      <c r="D852" s="133"/>
      <c r="E852" s="133" t="str">
        <f>IFERROR(__xludf.DUMMYFUNCTION("""COMPUTED_VALUE"""),"تمت طباعة الشهادة")</f>
        <v>تمت طباعة الشهادة</v>
      </c>
      <c r="F852" s="133" t="str">
        <f>IFERROR(__xludf.DUMMYFUNCTION("""COMPUTED_VALUE"""),"Schesir Tuna with Anchovy, Sweet Potato &amp; Cranberry 85g")</f>
        <v>Schesir Tuna with Anchovy, Sweet Potato &amp; Cranberry 85g</v>
      </c>
      <c r="G852" s="133" t="str">
        <f>IFERROR(__xludf.DUMMYFUNCTION("""COMPUTED_VALUE"""),"شيزير تونة مع الأنشوجة والبطاطا الحلوة والتوت البري 85 جم")</f>
        <v>شيزير تونة مع الأنشوجة والبطاطا الحلوة والتوت البري 85 جم</v>
      </c>
      <c r="H852" s="133" t="str">
        <f>IFERROR(__xludf.DUMMYFUNCTION("""COMPUTED_VALUE"""),"MAFE2022417")</f>
        <v>MAFE2022417</v>
      </c>
      <c r="I852" s="133"/>
      <c r="J852" s="133"/>
      <c r="K852" s="133" t="str">
        <f>IFERROR(__xludf.DUMMYFUNCTION("""COMPUTED_VALUE"""),"شركة التحالف الآسيوي الدولية المحدودة")</f>
        <v>شركة التحالف الآسيوي الدولية المحدودة</v>
      </c>
      <c r="L852" s="142" t="str">
        <f>IFERROR(__xludf.DUMMYFUNCTION("""COMPUTED_VALUE"""),"1071830")</f>
        <v>1071830</v>
      </c>
      <c r="M852" s="133"/>
      <c r="N852" s="133"/>
      <c r="O852" s="133"/>
      <c r="P852" s="133"/>
      <c r="Q852" s="133"/>
      <c r="R852" s="133"/>
      <c r="S852" s="133"/>
      <c r="T852" s="133"/>
      <c r="U852" s="133"/>
      <c r="V852" s="133"/>
      <c r="W852" s="133"/>
      <c r="X852" s="133"/>
      <c r="Y852" s="133"/>
      <c r="Z852" s="133"/>
    </row>
    <row r="853">
      <c r="A853" s="133">
        <f>IFERROR(__xludf.DUMMYFUNCTION("""COMPUTED_VALUE"""),852.0)</f>
        <v>852</v>
      </c>
      <c r="B853" s="133"/>
      <c r="C853" s="133" t="str">
        <f>IFERROR(__xludf.DUMMYFUNCTION("""COMPUTED_VALUE"""),"P-1-N-060222-752")</f>
        <v>P-1-N-060222-752</v>
      </c>
      <c r="D853" s="133"/>
      <c r="E853" s="133" t="str">
        <f>IFERROR(__xludf.DUMMYFUNCTION("""COMPUTED_VALUE"""),"تمت طباعة الشهادة")</f>
        <v>تمت طباعة الشهادة</v>
      </c>
      <c r="F853" s="133" t="str">
        <f>IFERROR(__xludf.DUMMYFUNCTION("""COMPUTED_VALUE"""),"English Name")</f>
        <v>English Name</v>
      </c>
      <c r="G853" s="133" t="str">
        <f>IFERROR(__xludf.DUMMYFUNCTION("""COMPUTED_VALUE"""),"شيزير تونة مع سوريمي وبابايا وبازلاء خضراء 85 جم")</f>
        <v>شيزير تونة مع سوريمي وبابايا وبازلاء خضراء 85 جم</v>
      </c>
      <c r="H853" s="133" t="str">
        <f>IFERROR(__xludf.DUMMYFUNCTION("""COMPUTED_VALUE"""),"MAFE2022416")</f>
        <v>MAFE2022416</v>
      </c>
      <c r="I853" s="133"/>
      <c r="J853" s="133"/>
      <c r="K853" s="133" t="str">
        <f>IFERROR(__xludf.DUMMYFUNCTION("""COMPUTED_VALUE"""),"شركة التحالف الآسيوي الدولية المحدودة")</f>
        <v>شركة التحالف الآسيوي الدولية المحدودة</v>
      </c>
      <c r="L853" s="133"/>
      <c r="M853" s="133"/>
      <c r="N853" s="133"/>
      <c r="O853" s="133"/>
      <c r="P853" s="133"/>
      <c r="Q853" s="133"/>
      <c r="R853" s="133"/>
      <c r="S853" s="133"/>
      <c r="T853" s="133"/>
      <c r="U853" s="133"/>
      <c r="V853" s="133"/>
      <c r="W853" s="133"/>
      <c r="X853" s="133"/>
      <c r="Y853" s="133"/>
      <c r="Z853" s="133"/>
    </row>
    <row r="854">
      <c r="A854" s="133">
        <f>IFERROR(__xludf.DUMMYFUNCTION("""COMPUTED_VALUE"""),853.0)</f>
        <v>853</v>
      </c>
      <c r="B854" s="133"/>
      <c r="C854" s="133" t="str">
        <f>IFERROR(__xludf.DUMMYFUNCTION("""COMPUTED_VALUE"""),"P-1-N-060222-753")</f>
        <v>P-1-N-060222-753</v>
      </c>
      <c r="D854" s="133"/>
      <c r="E854" s="133" t="str">
        <f>IFERROR(__xludf.DUMMYFUNCTION("""COMPUTED_VALUE"""),"تمت طباعة الشهادة")</f>
        <v>تمت طباعة الشهادة</v>
      </c>
      <c r="F854" s="133" t="str">
        <f>IFERROR(__xludf.DUMMYFUNCTION("""COMPUTED_VALUE"""),"Schesir Ocean Fish with Pumpkin &amp; Pear 85g")</f>
        <v>Schesir Ocean Fish with Pumpkin &amp; Pear 85g</v>
      </c>
      <c r="G854" s="133" t="str">
        <f>IFERROR(__xludf.DUMMYFUNCTION("""COMPUTED_VALUE"""),"شيزير أسماك المحيط مع القرع والكمثرى 85 جم")</f>
        <v>شيزير أسماك المحيط مع القرع والكمثرى 85 جم</v>
      </c>
      <c r="H854" s="133" t="str">
        <f>IFERROR(__xludf.DUMMYFUNCTION("""COMPUTED_VALUE"""),"MAFE2022415")</f>
        <v>MAFE2022415</v>
      </c>
      <c r="I854" s="133"/>
      <c r="J854" s="133"/>
      <c r="K854" s="133" t="str">
        <f>IFERROR(__xludf.DUMMYFUNCTION("""COMPUTED_VALUE"""),"شركة التحالف الآسيوي الدولية المحدودة")</f>
        <v>شركة التحالف الآسيوي الدولية المحدودة</v>
      </c>
      <c r="L854" s="133"/>
      <c r="M854" s="133"/>
      <c r="N854" s="133"/>
      <c r="O854" s="133"/>
      <c r="P854" s="133"/>
      <c r="Q854" s="133"/>
      <c r="R854" s="133"/>
      <c r="S854" s="133"/>
      <c r="T854" s="133"/>
      <c r="U854" s="133"/>
      <c r="V854" s="133"/>
      <c r="W854" s="133"/>
      <c r="X854" s="133"/>
      <c r="Y854" s="133"/>
      <c r="Z854" s="133"/>
    </row>
    <row r="855">
      <c r="A855" s="133">
        <f>IFERROR(__xludf.DUMMYFUNCTION("""COMPUTED_VALUE"""),854.0)</f>
        <v>854</v>
      </c>
      <c r="B855" s="133" t="str">
        <f>IFERROR(__xludf.DUMMYFUNCTION("""COMPUTED_VALUE"""),"1071810")</f>
        <v>1071810</v>
      </c>
      <c r="C855" s="133" t="str">
        <f>IFERROR(__xludf.DUMMYFUNCTION("""COMPUTED_VALUE"""),"P-1-N-060222-754")</f>
        <v>P-1-N-060222-754</v>
      </c>
      <c r="D855" s="133"/>
      <c r="E855" s="133" t="str">
        <f>IFERROR(__xludf.DUMMYFUNCTION("""COMPUTED_VALUE"""),"تمت طباعة الشهادة")</f>
        <v>تمت طباعة الشهادة</v>
      </c>
      <c r="F855" s="133" t="str">
        <f>IFERROR(__xludf.DUMMYFUNCTION("""COMPUTED_VALUE"""),"Schesir Chicken with Goji Berry &amp; Spinach 85g")</f>
        <v>Schesir Chicken with Goji Berry &amp; Spinach 85g</v>
      </c>
      <c r="G855" s="133" t="str">
        <f>IFERROR(__xludf.DUMMYFUNCTION("""COMPUTED_VALUE"""),"شيزير دجاج مع غوجي بيري و سبانخ 85 جم")</f>
        <v>شيزير دجاج مع غوجي بيري و سبانخ 85 جم</v>
      </c>
      <c r="H855" s="133" t="str">
        <f>IFERROR(__xludf.DUMMYFUNCTION("""COMPUTED_VALUE"""),"MAFE2022414")</f>
        <v>MAFE2022414</v>
      </c>
      <c r="I855" s="133"/>
      <c r="J855" s="133"/>
      <c r="K855" s="133" t="str">
        <f>IFERROR(__xludf.DUMMYFUNCTION("""COMPUTED_VALUE"""),"شركة التحالف الآسيوي الدولية المحدودة")</f>
        <v>شركة التحالف الآسيوي الدولية المحدودة</v>
      </c>
      <c r="L855" s="142" t="str">
        <f>IFERROR(__xludf.DUMMYFUNCTION("""COMPUTED_VALUE"""),"1071810")</f>
        <v>1071810</v>
      </c>
      <c r="M855" s="133"/>
      <c r="N855" s="133"/>
      <c r="O855" s="133"/>
      <c r="P855" s="133"/>
      <c r="Q855" s="133"/>
      <c r="R855" s="133"/>
      <c r="S855" s="133"/>
      <c r="T855" s="133"/>
      <c r="U855" s="133"/>
      <c r="V855" s="133"/>
      <c r="W855" s="133"/>
      <c r="X855" s="133"/>
      <c r="Y855" s="133"/>
      <c r="Z855" s="133"/>
    </row>
    <row r="856">
      <c r="A856" s="133">
        <f>IFERROR(__xludf.DUMMYFUNCTION("""COMPUTED_VALUE"""),855.0)</f>
        <v>855</v>
      </c>
      <c r="B856" s="133" t="str">
        <f>IFERROR(__xludf.DUMMYFUNCTION("""COMPUTED_VALUE"""),"1071800")</f>
        <v>1071800</v>
      </c>
      <c r="C856" s="133" t="str">
        <f>IFERROR(__xludf.DUMMYFUNCTION("""COMPUTED_VALUE"""),"P-1-N-060222-755")</f>
        <v>P-1-N-060222-755</v>
      </c>
      <c r="D856" s="133"/>
      <c r="E856" s="133" t="str">
        <f>IFERROR(__xludf.DUMMYFUNCTION("""COMPUTED_VALUE"""),"تمت طباعة الشهادة")</f>
        <v>تمت طباعة الشهادة</v>
      </c>
      <c r="F856" s="133" t="str">
        <f>IFERROR(__xludf.DUMMYFUNCTION("""COMPUTED_VALUE"""),"Schesir Chicken with Pineapple &amp; Carrot 85g")</f>
        <v>Schesir Chicken with Pineapple &amp; Carrot 85g</v>
      </c>
      <c r="G856" s="133" t="str">
        <f>IFERROR(__xludf.DUMMYFUNCTION("""COMPUTED_VALUE"""),"شيزير دجاج بالأناناس والجزر 85 جم")</f>
        <v>شيزير دجاج بالأناناس والجزر 85 جم</v>
      </c>
      <c r="H856" s="133" t="str">
        <f>IFERROR(__xludf.DUMMYFUNCTION("""COMPUTED_VALUE"""),"MAFE2022413")</f>
        <v>MAFE2022413</v>
      </c>
      <c r="I856" s="133"/>
      <c r="J856" s="133"/>
      <c r="K856" s="133" t="str">
        <f>IFERROR(__xludf.DUMMYFUNCTION("""COMPUTED_VALUE"""),"شركة التحالف الآسيوي الدولية المحدودة")</f>
        <v>شركة التحالف الآسيوي الدولية المحدودة</v>
      </c>
      <c r="L856" s="142" t="str">
        <f>IFERROR(__xludf.DUMMYFUNCTION("""COMPUTED_VALUE"""),"1071800")</f>
        <v>1071800</v>
      </c>
      <c r="M856" s="133"/>
      <c r="N856" s="133"/>
      <c r="O856" s="133"/>
      <c r="P856" s="133"/>
      <c r="Q856" s="133"/>
      <c r="R856" s="133"/>
      <c r="S856" s="133"/>
      <c r="T856" s="133"/>
      <c r="U856" s="133"/>
      <c r="V856" s="133"/>
      <c r="W856" s="133"/>
      <c r="X856" s="133"/>
      <c r="Y856" s="133"/>
      <c r="Z856" s="133"/>
    </row>
    <row r="857">
      <c r="A857" s="133">
        <f>IFERROR(__xludf.DUMMYFUNCTION("""COMPUTED_VALUE"""),856.0)</f>
        <v>856</v>
      </c>
      <c r="B857" s="133" t="str">
        <f>IFERROR(__xludf.DUMMYFUNCTION("""COMPUTED_VALUE"""),"1071820")</f>
        <v>1071820</v>
      </c>
      <c r="C857" s="133" t="str">
        <f>IFERROR(__xludf.DUMMYFUNCTION("""COMPUTED_VALUE"""),"P-1-N-060222-756")</f>
        <v>P-1-N-060222-756</v>
      </c>
      <c r="D857" s="133"/>
      <c r="E857" s="133" t="str">
        <f>IFERROR(__xludf.DUMMYFUNCTION("""COMPUTED_VALUE"""),"تمت طباعة الشهادة")</f>
        <v>تمت طباعة الشهادة</v>
      </c>
      <c r="F857" s="133" t="str">
        <f>IFERROR(__xludf.DUMMYFUNCTION("""COMPUTED_VALUE"""),"Schesir Chicken with Beef, Mango &amp; Green Beans 85g")</f>
        <v>Schesir Chicken with Beef, Mango &amp; Green Beans 85g</v>
      </c>
      <c r="G857" s="133" t="str">
        <f>IFERROR(__xludf.DUMMYFUNCTION("""COMPUTED_VALUE"""),"شيزير دجاج مع لحم البقر والمانجو والفاصوليا الخضراء 85 جم")</f>
        <v>شيزير دجاج مع لحم البقر والمانجو والفاصوليا الخضراء 85 جم</v>
      </c>
      <c r="H857" s="133" t="str">
        <f>IFERROR(__xludf.DUMMYFUNCTION("""COMPUTED_VALUE"""),"MAFE2022412")</f>
        <v>MAFE2022412</v>
      </c>
      <c r="I857" s="133"/>
      <c r="J857" s="133"/>
      <c r="K857" s="133" t="str">
        <f>IFERROR(__xludf.DUMMYFUNCTION("""COMPUTED_VALUE"""),"شركة التحالف الآسيوي الدولية المحدودة")</f>
        <v>شركة التحالف الآسيوي الدولية المحدودة</v>
      </c>
      <c r="L857" s="142" t="str">
        <f>IFERROR(__xludf.DUMMYFUNCTION("""COMPUTED_VALUE"""),"1071820")</f>
        <v>1071820</v>
      </c>
      <c r="M857" s="133"/>
      <c r="N857" s="133"/>
      <c r="O857" s="133"/>
      <c r="P857" s="133"/>
      <c r="Q857" s="133"/>
      <c r="R857" s="133"/>
      <c r="S857" s="133"/>
      <c r="T857" s="133"/>
      <c r="U857" s="133"/>
      <c r="V857" s="133"/>
      <c r="W857" s="133"/>
      <c r="X857" s="133"/>
      <c r="Y857" s="133"/>
      <c r="Z857" s="133"/>
    </row>
    <row r="858">
      <c r="A858" s="133">
        <f>IFERROR(__xludf.DUMMYFUNCTION("""COMPUTED_VALUE"""),857.0)</f>
        <v>857</v>
      </c>
      <c r="B858" s="133"/>
      <c r="C858" s="133" t="str">
        <f>IFERROR(__xludf.DUMMYFUNCTION("""COMPUTED_VALUE"""),"P-1-N-080222-838")</f>
        <v>P-1-N-080222-838</v>
      </c>
      <c r="D858" s="133"/>
      <c r="E858" s="133" t="str">
        <f>IFERROR(__xludf.DUMMYFUNCTION("""COMPUTED_VALUE"""),"تمت طباعة الشهادة")</f>
        <v>تمت طباعة الشهادة</v>
      </c>
      <c r="F858" s="133" t="str">
        <f>IFERROR(__xludf.DUMMYFUNCTION("""COMPUTED_VALUE"""),"EXOTIC")</f>
        <v>EXOTIC</v>
      </c>
      <c r="G858" s="133" t="str">
        <f>IFERROR(__xludf.DUMMYFUNCTION("""COMPUTED_VALUE"""),"اكسوتك فروت ميكس اكسبرت 600 جم")</f>
        <v>اكسوتك فروت ميكس اكسبرت 600 جم</v>
      </c>
      <c r="H858" s="133" t="str">
        <f>IFERROR(__xludf.DUMMYFUNCTION("""COMPUTED_VALUE"""),"MAFE2022568")</f>
        <v>MAFE2022568</v>
      </c>
      <c r="I858" s="133"/>
      <c r="J858" s="133"/>
      <c r="K858" s="133" t="str">
        <f>IFERROR(__xludf.DUMMYFUNCTION("""COMPUTED_VALUE"""),"Agency")</f>
        <v>Agency</v>
      </c>
      <c r="L858" s="133"/>
      <c r="M858" s="133"/>
      <c r="N858" s="133"/>
      <c r="O858" s="133"/>
      <c r="P858" s="133"/>
      <c r="Q858" s="133"/>
      <c r="R858" s="133"/>
      <c r="S858" s="133"/>
      <c r="T858" s="133"/>
      <c r="U858" s="133"/>
      <c r="V858" s="133"/>
      <c r="W858" s="133"/>
      <c r="X858" s="133"/>
      <c r="Y858" s="133"/>
      <c r="Z858" s="133"/>
    </row>
    <row r="859">
      <c r="A859" s="133">
        <f>IFERROR(__xludf.DUMMYFUNCTION("""COMPUTED_VALUE"""),858.0)</f>
        <v>858</v>
      </c>
      <c r="B859" s="133" t="str">
        <f>IFERROR(__xludf.DUMMYFUNCTION("""COMPUTED_VALUE"""),"421953")</f>
        <v>421953</v>
      </c>
      <c r="C859" s="133" t="str">
        <f>IFERROR(__xludf.DUMMYFUNCTION("""COMPUTED_VALUE"""),"P-1-N-080222-840")</f>
        <v>P-1-N-080222-840</v>
      </c>
      <c r="D859" s="133"/>
      <c r="E859" s="133" t="str">
        <f>IFERROR(__xludf.DUMMYFUNCTION("""COMPUTED_VALUE"""),"تمت طباعة الشهادة")</f>
        <v>تمت طباعة الشهادة</v>
      </c>
      <c r="F859" s="133" t="str">
        <f>IFERROR(__xludf.DUMMYFUNCTION("""COMPUTED_VALUE"""),"EXOTIC NUTS MIX EXPERT 750g")</f>
        <v>EXOTIC NUTS MIX EXPERT 750g</v>
      </c>
      <c r="G859" s="133" t="str">
        <f>IFERROR(__xludf.DUMMYFUNCTION("""COMPUTED_VALUE"""),"اكسوتك نتس ميكس اكسبرت 750 جم")</f>
        <v>اكسوتك نتس ميكس اكسبرت 750 جم</v>
      </c>
      <c r="H859" s="133" t="str">
        <f>IFERROR(__xludf.DUMMYFUNCTION("""COMPUTED_VALUE"""),"MAFE2022559")</f>
        <v>MAFE2022559</v>
      </c>
      <c r="I859" s="133"/>
      <c r="J859" s="133"/>
      <c r="K859" s="133" t="str">
        <f>IFERROR(__xludf.DUMMYFUNCTION("""COMPUTED_VALUE"""),"فيرسل لاقا ان في")</f>
        <v>فيرسل لاقا ان في</v>
      </c>
      <c r="L859" s="142" t="str">
        <f>IFERROR(__xludf.DUMMYFUNCTION("""COMPUTED_VALUE"""),"421953")</f>
        <v>421953</v>
      </c>
      <c r="M859" s="133"/>
      <c r="N859" s="133"/>
      <c r="O859" s="133"/>
      <c r="P859" s="133"/>
      <c r="Q859" s="133"/>
      <c r="R859" s="133"/>
      <c r="S859" s="133"/>
      <c r="T859" s="133"/>
      <c r="U859" s="133"/>
      <c r="V859" s="133"/>
      <c r="W859" s="133"/>
      <c r="X859" s="133"/>
      <c r="Y859" s="133"/>
      <c r="Z859" s="133"/>
    </row>
    <row r="860">
      <c r="A860" s="133">
        <f>IFERROR(__xludf.DUMMYFUNCTION("""COMPUTED_VALUE"""),859.0)</f>
        <v>859</v>
      </c>
      <c r="B860" s="133" t="str">
        <f>IFERROR(__xludf.DUMMYFUNCTION("""COMPUTED_VALUE"""),"c01069011")</f>
        <v>c01069011</v>
      </c>
      <c r="C860" s="133" t="str">
        <f>IFERROR(__xludf.DUMMYFUNCTION("""COMPUTED_VALUE"""),"P-1-N-130222-927")</f>
        <v>P-1-N-130222-927</v>
      </c>
      <c r="D860" s="133"/>
      <c r="E860" s="133" t="str">
        <f>IFERROR(__xludf.DUMMYFUNCTION("""COMPUTED_VALUE"""),"تمت طباعة الشهادة")</f>
        <v>تمت طباعة الشهادة</v>
      </c>
      <c r="F860" s="133" t="str">
        <f>IFERROR(__xludf.DUMMYFUNCTION("""COMPUTED_VALUE"""),"Schesir Chicken and Tuna Mousse with Blueberry 80g")</f>
        <v>Schesir Chicken and Tuna Mousse with Blueberry 80g</v>
      </c>
      <c r="G860" s="133" t="str">
        <f>IFERROR(__xludf.DUMMYFUNCTION("""COMPUTED_VALUE"""),"شيزير موس الدجاج والتونة بالتوت الأزرق 80 جم")</f>
        <v>شيزير موس الدجاج والتونة بالتوت الأزرق 80 جم</v>
      </c>
      <c r="H860" s="133" t="str">
        <f>IFERROR(__xludf.DUMMYFUNCTION("""COMPUTED_VALUE"""),"MAFE2022593")</f>
        <v>MAFE2022593</v>
      </c>
      <c r="I860" s="133"/>
      <c r="J860" s="133"/>
      <c r="K860" s="133" t="str">
        <f>IFERROR(__xludf.DUMMYFUNCTION("""COMPUTED_VALUE"""),"شركة التحالف الآسيوي الدولية المحدودة")</f>
        <v>شركة التحالف الآسيوي الدولية المحدودة</v>
      </c>
      <c r="L860" s="142" t="str">
        <f>IFERROR(__xludf.DUMMYFUNCTION("""COMPUTED_VALUE"""),"c01069011")</f>
        <v>c01069011</v>
      </c>
      <c r="M860" s="133"/>
      <c r="N860" s="133"/>
      <c r="O860" s="133"/>
      <c r="P860" s="133"/>
      <c r="Q860" s="133"/>
      <c r="R860" s="133"/>
      <c r="S860" s="133"/>
      <c r="T860" s="133"/>
      <c r="U860" s="133"/>
      <c r="V860" s="133"/>
      <c r="W860" s="133"/>
      <c r="X860" s="133"/>
      <c r="Y860" s="133"/>
      <c r="Z860" s="133"/>
    </row>
    <row r="861">
      <c r="A861" s="133">
        <f>IFERROR(__xludf.DUMMYFUNCTION("""COMPUTED_VALUE"""),860.0)</f>
        <v>860</v>
      </c>
      <c r="B861" s="133" t="str">
        <f>IFERROR(__xludf.DUMMYFUNCTION("""COMPUTED_VALUE"""),"WB80264")</f>
        <v>WB80264</v>
      </c>
      <c r="C861" s="133" t="str">
        <f>IFERROR(__xludf.DUMMYFUNCTION("""COMPUTED_VALUE"""),"P-1-N-130222-944")</f>
        <v>P-1-N-130222-944</v>
      </c>
      <c r="D861" s="133"/>
      <c r="E861" s="133" t="str">
        <f>IFERROR(__xludf.DUMMYFUNCTION("""COMPUTED_VALUE"""),"تمت طباعة الشهادة")</f>
        <v>تمت طباعة الشهادة</v>
      </c>
      <c r="F861" s="133" t="str">
        <f>IFERROR(__xludf.DUMMYFUNCTION("""COMPUTED_VALUE"""),"Tiki Cat Special Fussy with Duck Liver and Egg in Broth 68g")</f>
        <v>Tiki Cat Special Fussy with Duck Liver and Egg in Broth 68g</v>
      </c>
      <c r="G861" s="133" t="str">
        <f>IFERROR(__xludf.DUMMYFUNCTION("""COMPUTED_VALUE"""),"تيكي كات سبشال فسي مع كبدة البط والبيض في مرق 68 جم")</f>
        <v>تيكي كات سبشال فسي مع كبدة البط والبيض في مرق 68 جم</v>
      </c>
      <c r="H861" s="133" t="str">
        <f>IFERROR(__xludf.DUMMYFUNCTION("""COMPUTED_VALUE"""),"MAFE2022538")</f>
        <v>MAFE2022538</v>
      </c>
      <c r="I861" s="133"/>
      <c r="J861" s="133"/>
      <c r="K861" s="133" t="str">
        <f>IFERROR(__xludf.DUMMYFUNCTION("""COMPUTED_VALUE"""),"شركة التحالف الآسيوي الدولية المحدودة")</f>
        <v>شركة التحالف الآسيوي الدولية المحدودة</v>
      </c>
      <c r="L861" s="142" t="str">
        <f>IFERROR(__xludf.DUMMYFUNCTION("""COMPUTED_VALUE"""),"WB80264")</f>
        <v>WB80264</v>
      </c>
      <c r="M861" s="133"/>
      <c r="N861" s="133"/>
      <c r="O861" s="133"/>
      <c r="P861" s="133"/>
      <c r="Q861" s="133"/>
      <c r="R861" s="133"/>
      <c r="S861" s="133"/>
      <c r="T861" s="133"/>
      <c r="U861" s="133"/>
      <c r="V861" s="133"/>
      <c r="W861" s="133"/>
      <c r="X861" s="133"/>
      <c r="Y861" s="133"/>
      <c r="Z861" s="133"/>
    </row>
    <row r="862">
      <c r="A862" s="133">
        <f>IFERROR(__xludf.DUMMYFUNCTION("""COMPUTED_VALUE"""),861.0)</f>
        <v>861</v>
      </c>
      <c r="B862" s="133" t="str">
        <f>IFERROR(__xludf.DUMMYFUNCTION("""COMPUTED_VALUE"""),"WB80265")</f>
        <v>WB80265</v>
      </c>
      <c r="C862" s="133" t="str">
        <f>IFERROR(__xludf.DUMMYFUNCTION("""COMPUTED_VALUE"""),"P-1-N-130222-946")</f>
        <v>P-1-N-130222-946</v>
      </c>
      <c r="D862" s="133"/>
      <c r="E862" s="133" t="str">
        <f>IFERROR(__xludf.DUMMYFUNCTION("""COMPUTED_VALUE"""),"تمت طباعة الشهادة")</f>
        <v>تمت طباعة الشهادة</v>
      </c>
      <c r="F862" s="133" t="str">
        <f>IFERROR(__xludf.DUMMYFUNCTION("""COMPUTED_VALUE"""),"Tiki Cat Special Light Chicken with Turkey and Pumpkin Recipe in Broth 68g")</f>
        <v>Tiki Cat Special Light Chicken with Turkey and Pumpkin Recipe in Broth 68g</v>
      </c>
      <c r="G862" s="133" t="str">
        <f>IFERROR(__xludf.DUMMYFUNCTION("""COMPUTED_VALUE"""),"تيكي كات سبشال لايت وصفة الدجاج مع الديك الرومي والقرع في المرق 68 جم")</f>
        <v>تيكي كات سبشال لايت وصفة الدجاج مع الديك الرومي والقرع في المرق 68 جم</v>
      </c>
      <c r="H862" s="133" t="str">
        <f>IFERROR(__xludf.DUMMYFUNCTION("""COMPUTED_VALUE"""),"MAFE2022537")</f>
        <v>MAFE2022537</v>
      </c>
      <c r="I862" s="133"/>
      <c r="J862" s="133"/>
      <c r="K862" s="133" t="str">
        <f>IFERROR(__xludf.DUMMYFUNCTION("""COMPUTED_VALUE"""),"شركة التحالف الآسيوي الدولية المحدودة")</f>
        <v>شركة التحالف الآسيوي الدولية المحدودة</v>
      </c>
      <c r="L862" s="142" t="str">
        <f>IFERROR(__xludf.DUMMYFUNCTION("""COMPUTED_VALUE"""),"WB80265")</f>
        <v>WB80265</v>
      </c>
      <c r="M862" s="133"/>
      <c r="N862" s="133"/>
      <c r="O862" s="133"/>
      <c r="P862" s="133"/>
      <c r="Q862" s="133"/>
      <c r="R862" s="133"/>
      <c r="S862" s="133"/>
      <c r="T862" s="133"/>
      <c r="U862" s="133"/>
      <c r="V862" s="133"/>
      <c r="W862" s="133"/>
      <c r="X862" s="133"/>
      <c r="Y862" s="133"/>
      <c r="Z862" s="133"/>
    </row>
    <row r="863">
      <c r="A863" s="133">
        <f>IFERROR(__xludf.DUMMYFUNCTION("""COMPUTED_VALUE"""),862.0)</f>
        <v>862</v>
      </c>
      <c r="B863" s="133"/>
      <c r="C863" s="133" t="str">
        <f>IFERROR(__xludf.DUMMYFUNCTION("""COMPUTED_VALUE"""),"P-1-N-130222-947")</f>
        <v>P-1-N-130222-947</v>
      </c>
      <c r="D863" s="133"/>
      <c r="E863" s="133" t="str">
        <f>IFERROR(__xludf.DUMMYFUNCTION("""COMPUTED_VALUE"""),"تمت طباعة الشهادة")</f>
        <v>تمت طباعة الشهادة</v>
      </c>
      <c r="F863" s="133" t="str">
        <f>IFERROR(__xludf.DUMMYFUNCTION("""COMPUTED_VALUE"""),"English Name")</f>
        <v>English Name</v>
      </c>
      <c r="G863" s="133" t="str">
        <f>IFERROR(__xludf.DUMMYFUNCTION("""COMPUTED_VALUE"""),"تيكي كات ألوها فريندز وصفة الدجاج مع القرع واللحم البقري في المرق 70 جم")</f>
        <v>تيكي كات ألوها فريندز وصفة الدجاج مع القرع واللحم البقري في المرق 70 جم</v>
      </c>
      <c r="H863" s="133" t="str">
        <f>IFERROR(__xludf.DUMMYFUNCTION("""COMPUTED_VALUE"""),"MAFE2022526")</f>
        <v>MAFE2022526</v>
      </c>
      <c r="I863" s="133"/>
      <c r="J863" s="133"/>
      <c r="K863" s="133" t="str">
        <f>IFERROR(__xludf.DUMMYFUNCTION("""COMPUTED_VALUE"""),"شركة التحالف الآسيوي الدولية المحدودة")</f>
        <v>شركة التحالف الآسيوي الدولية المحدودة</v>
      </c>
      <c r="L863" s="133"/>
      <c r="M863" s="133"/>
      <c r="N863" s="133"/>
      <c r="O863" s="133"/>
      <c r="P863" s="133"/>
      <c r="Q863" s="133"/>
      <c r="R863" s="133"/>
      <c r="S863" s="133"/>
      <c r="T863" s="133"/>
      <c r="U863" s="133"/>
      <c r="V863" s="133"/>
      <c r="W863" s="133"/>
      <c r="X863" s="133"/>
      <c r="Y863" s="133"/>
      <c r="Z863" s="133"/>
    </row>
    <row r="864">
      <c r="A864" s="133">
        <f>IFERROR(__xludf.DUMMYFUNCTION("""COMPUTED_VALUE"""),863.0)</f>
        <v>863</v>
      </c>
      <c r="B864" s="133" t="str">
        <f>IFERROR(__xludf.DUMMYFUNCTION("""COMPUTED_VALUE"""),"WB80234")</f>
        <v>WB80234</v>
      </c>
      <c r="C864" s="133" t="str">
        <f>IFERROR(__xludf.DUMMYFUNCTION("""COMPUTED_VALUE"""),"P-1-N-130222-948")</f>
        <v>P-1-N-130222-948</v>
      </c>
      <c r="D864" s="133"/>
      <c r="E864" s="133" t="str">
        <f>IFERROR(__xludf.DUMMYFUNCTION("""COMPUTED_VALUE"""),"تمت طباعة الشهادة")</f>
        <v>تمت طباعة الشهادة</v>
      </c>
      <c r="F864" s="133" t="str">
        <f>IFERROR(__xludf.DUMMYFUNCTION("""COMPUTED_VALUE"""),"Tiki Cat Velvet Mousse Kitten with Chicken &amp; Chicken Liver 68g")</f>
        <v>Tiki Cat Velvet Mousse Kitten with Chicken &amp; Chicken Liver 68g</v>
      </c>
      <c r="G864" s="133" t="str">
        <f>IFERROR(__xludf.DUMMYFUNCTION("""COMPUTED_VALUE"""),"تيكي كات فلفت موس كيتن مع دجاج و كبدة دجاج 68 جم")</f>
        <v>تيكي كات فلفت موس كيتن مع دجاج و كبدة دجاج 68 جم</v>
      </c>
      <c r="H864" s="133" t="str">
        <f>IFERROR(__xludf.DUMMYFUNCTION("""COMPUTED_VALUE"""),"MAFE2022525")</f>
        <v>MAFE2022525</v>
      </c>
      <c r="I864" s="133"/>
      <c r="J864" s="133"/>
      <c r="K864" s="133" t="str">
        <f>IFERROR(__xludf.DUMMYFUNCTION("""COMPUTED_VALUE"""),"شركة التحالف الآسيوي الدولية المحدودة")</f>
        <v>شركة التحالف الآسيوي الدولية المحدودة</v>
      </c>
      <c r="L864" s="142" t="str">
        <f>IFERROR(__xludf.DUMMYFUNCTION("""COMPUTED_VALUE"""),"WB80234")</f>
        <v>WB80234</v>
      </c>
      <c r="M864" s="133"/>
      <c r="N864" s="133"/>
      <c r="O864" s="133"/>
      <c r="P864" s="133"/>
      <c r="Q864" s="133"/>
      <c r="R864" s="133"/>
      <c r="S864" s="133"/>
      <c r="T864" s="133"/>
      <c r="U864" s="133"/>
      <c r="V864" s="133"/>
      <c r="W864" s="133"/>
      <c r="X864" s="133"/>
      <c r="Y864" s="133"/>
      <c r="Z864" s="133"/>
    </row>
    <row r="865">
      <c r="A865" s="133">
        <f>IFERROR(__xludf.DUMMYFUNCTION("""COMPUTED_VALUE"""),864.0)</f>
        <v>864</v>
      </c>
      <c r="B865" s="133" t="str">
        <f>IFERROR(__xludf.DUMMYFUNCTION("""COMPUTED_VALUE"""),"WB80235")</f>
        <v>WB80235</v>
      </c>
      <c r="C865" s="133" t="str">
        <f>IFERROR(__xludf.DUMMYFUNCTION("""COMPUTED_VALUE"""),"P-1-N-130222-949")</f>
        <v>P-1-N-130222-949</v>
      </c>
      <c r="D865" s="133"/>
      <c r="E865" s="133" t="str">
        <f>IFERROR(__xludf.DUMMYFUNCTION("""COMPUTED_VALUE"""),"تمت طباعة الشهادة")</f>
        <v>تمت طباعة الشهادة</v>
      </c>
      <c r="F865" s="133" t="str">
        <f>IFERROR(__xludf.DUMMYFUNCTION("""COMPUTED_VALUE"""),"Tiki Cat Velvet Mousse Kitten with Salmon &amp; Chicken 68g")</f>
        <v>Tiki Cat Velvet Mousse Kitten with Salmon &amp; Chicken 68g</v>
      </c>
      <c r="G865" s="133" t="str">
        <f>IFERROR(__xludf.DUMMYFUNCTION("""COMPUTED_VALUE"""),"تيكي كات فلفت موس كيتن مع السلمون والدجاج 68 جم")</f>
        <v>تيكي كات فلفت موس كيتن مع السلمون والدجاج 68 جم</v>
      </c>
      <c r="H865" s="133" t="str">
        <f>IFERROR(__xludf.DUMMYFUNCTION("""COMPUTED_VALUE"""),"MAFE2022524")</f>
        <v>MAFE2022524</v>
      </c>
      <c r="I865" s="133"/>
      <c r="J865" s="133"/>
      <c r="K865" s="133" t="str">
        <f>IFERROR(__xludf.DUMMYFUNCTION("""COMPUTED_VALUE"""),"شركة التحالف الآسيوي الدولية المحدودة")</f>
        <v>شركة التحالف الآسيوي الدولية المحدودة</v>
      </c>
      <c r="L865" s="142" t="str">
        <f>IFERROR(__xludf.DUMMYFUNCTION("""COMPUTED_VALUE"""),"WB80235")</f>
        <v>WB80235</v>
      </c>
      <c r="M865" s="133"/>
      <c r="N865" s="133"/>
      <c r="O865" s="133"/>
      <c r="P865" s="133"/>
      <c r="Q865" s="133"/>
      <c r="R865" s="133"/>
      <c r="S865" s="133"/>
      <c r="T865" s="133"/>
      <c r="U865" s="133"/>
      <c r="V865" s="133"/>
      <c r="W865" s="133"/>
      <c r="X865" s="133"/>
      <c r="Y865" s="133"/>
      <c r="Z865" s="133"/>
    </row>
    <row r="866">
      <c r="A866" s="133">
        <f>IFERROR(__xludf.DUMMYFUNCTION("""COMPUTED_VALUE"""),865.0)</f>
        <v>865</v>
      </c>
      <c r="B866" s="133"/>
      <c r="C866" s="133" t="str">
        <f>IFERROR(__xludf.DUMMYFUNCTION("""COMPUTED_VALUE"""),"P-1-N-130222-950")</f>
        <v>P-1-N-130222-950</v>
      </c>
      <c r="D866" s="133"/>
      <c r="E866" s="133" t="str">
        <f>IFERROR(__xludf.DUMMYFUNCTION("""COMPUTED_VALUE"""),"تمت طباعة الشهادة")</f>
        <v>تمت طباعة الشهادة</v>
      </c>
      <c r="F866" s="133" t="str">
        <f>IFERROR(__xludf.DUMMYFUNCTION("""COMPUTED_VALUE"""),"Tiki Cat Velvet Mousse with Chicken &amp; Egg 80g")</f>
        <v>Tiki Cat Velvet Mousse with Chicken &amp; Egg 80g</v>
      </c>
      <c r="G866" s="133" t="str">
        <f>IFERROR(__xludf.DUMMYFUNCTION("""COMPUTED_VALUE"""),"تيكي كات فلفت موس مع الدجاج والبيض 80 جم")</f>
        <v>تيكي كات فلفت موس مع الدجاج والبيض 80 جم</v>
      </c>
      <c r="H866" s="133" t="str">
        <f>IFERROR(__xludf.DUMMYFUNCTION("""COMPUTED_VALUE"""),"MAFE2022523")</f>
        <v>MAFE2022523</v>
      </c>
      <c r="I866" s="133"/>
      <c r="J866" s="133"/>
      <c r="K866" s="133" t="str">
        <f>IFERROR(__xludf.DUMMYFUNCTION("""COMPUTED_VALUE"""),"شركة التحالف الآسيوي الدولية المحدودة")</f>
        <v>شركة التحالف الآسيوي الدولية المحدودة</v>
      </c>
      <c r="L866" s="133"/>
      <c r="M866" s="133"/>
      <c r="N866" s="133"/>
      <c r="O866" s="133"/>
      <c r="P866" s="133"/>
      <c r="Q866" s="133"/>
      <c r="R866" s="133"/>
      <c r="S866" s="133"/>
      <c r="T866" s="133"/>
      <c r="U866" s="133"/>
      <c r="V866" s="133"/>
      <c r="W866" s="133"/>
      <c r="X866" s="133"/>
      <c r="Y866" s="133"/>
      <c r="Z866" s="133"/>
    </row>
    <row r="867">
      <c r="A867" s="133">
        <f>IFERROR(__xludf.DUMMYFUNCTION("""COMPUTED_VALUE"""),866.0)</f>
        <v>866</v>
      </c>
      <c r="B867" s="133" t="str">
        <f>IFERROR(__xludf.DUMMYFUNCTION("""COMPUTED_VALUE"""),"WB80231")</f>
        <v>WB80231</v>
      </c>
      <c r="C867" s="133" t="str">
        <f>IFERROR(__xludf.DUMMYFUNCTION("""COMPUTED_VALUE"""),"P-1-N-130222-951")</f>
        <v>P-1-N-130222-951</v>
      </c>
      <c r="D867" s="133"/>
      <c r="E867" s="133" t="str">
        <f>IFERROR(__xludf.DUMMYFUNCTION("""COMPUTED_VALUE"""),"تمت طباعة الشهادة")</f>
        <v>تمت طباعة الشهادة</v>
      </c>
      <c r="F867" s="133" t="str">
        <f>IFERROR(__xludf.DUMMYFUNCTION("""COMPUTED_VALUE"""),"Tiki Cat Velvet Mousse with Chicken 80g")</f>
        <v>Tiki Cat Velvet Mousse with Chicken 80g</v>
      </c>
      <c r="G867" s="133" t="str">
        <f>IFERROR(__xludf.DUMMYFUNCTION("""COMPUTED_VALUE"""),"تيكي")</f>
        <v>تيكي</v>
      </c>
      <c r="H867" s="133" t="str">
        <f>IFERROR(__xludf.DUMMYFUNCTION("""COMPUTED_VALUE"""),"MAFE2022522")</f>
        <v>MAFE2022522</v>
      </c>
      <c r="I867" s="133"/>
      <c r="J867" s="133"/>
      <c r="K867" s="133" t="str">
        <f>IFERROR(__xludf.DUMMYFUNCTION("""COMPUTED_VALUE"""),"شركة التحالف الآسيوي الدولية المحدودة")</f>
        <v>شركة التحالف الآسيوي الدولية المحدودة</v>
      </c>
      <c r="L867" s="142" t="str">
        <f>IFERROR(__xludf.DUMMYFUNCTION("""COMPUTED_VALUE"""),"WB80231")</f>
        <v>WB80231</v>
      </c>
      <c r="M867" s="133"/>
      <c r="N867" s="133"/>
      <c r="O867" s="133"/>
      <c r="P867" s="133"/>
      <c r="Q867" s="133"/>
      <c r="R867" s="133"/>
      <c r="S867" s="133"/>
      <c r="T867" s="133"/>
      <c r="U867" s="133"/>
      <c r="V867" s="133"/>
      <c r="W867" s="133"/>
      <c r="X867" s="133"/>
      <c r="Y867" s="133"/>
      <c r="Z867" s="133"/>
    </row>
    <row r="868">
      <c r="A868" s="133">
        <f>IFERROR(__xludf.DUMMYFUNCTION("""COMPUTED_VALUE"""),867.0)</f>
        <v>867</v>
      </c>
      <c r="B868" s="133" t="str">
        <f>IFERROR(__xludf.DUMMYFUNCTION("""COMPUTED_VALUE"""),"WB80238")</f>
        <v>WB80238</v>
      </c>
      <c r="C868" s="133" t="str">
        <f>IFERROR(__xludf.DUMMYFUNCTION("""COMPUTED_VALUE"""),"P-1-N-130222-952")</f>
        <v>P-1-N-130222-952</v>
      </c>
      <c r="D868" s="133"/>
      <c r="E868" s="133" t="str">
        <f>IFERROR(__xludf.DUMMYFUNCTION("""COMPUTED_VALUE"""),"تمت طباعة الشهادة")</f>
        <v>تمت طباعة الشهادة</v>
      </c>
      <c r="F868" s="133" t="str">
        <f>IFERROR(__xludf.DUMMYFUNCTION("""COMPUTED_VALUE"""),"Tiki Cat Velvet Mousse with Salmon 80g")</f>
        <v>Tiki Cat Velvet Mousse with Salmon 80g</v>
      </c>
      <c r="G868" s="133" t="str">
        <f>IFERROR(__xludf.DUMMYFUNCTION("""COMPUTED_VALUE"""),"تيكي كات فلفت موس مع السلمون 80 جم")</f>
        <v>تيكي كات فلفت موس مع السلمون 80 جم</v>
      </c>
      <c r="H868" s="133" t="str">
        <f>IFERROR(__xludf.DUMMYFUNCTION("""COMPUTED_VALUE"""),"MAFE2022521")</f>
        <v>MAFE2022521</v>
      </c>
      <c r="I868" s="133"/>
      <c r="J868" s="133"/>
      <c r="K868" s="133" t="str">
        <f>IFERROR(__xludf.DUMMYFUNCTION("""COMPUTED_VALUE"""),"Agency")</f>
        <v>Agency</v>
      </c>
      <c r="L868" s="142" t="str">
        <f>IFERROR(__xludf.DUMMYFUNCTION("""COMPUTED_VALUE"""),"WB80238")</f>
        <v>WB80238</v>
      </c>
      <c r="M868" s="133"/>
      <c r="N868" s="133"/>
      <c r="O868" s="133"/>
      <c r="P868" s="133"/>
      <c r="Q868" s="133"/>
      <c r="R868" s="133"/>
      <c r="S868" s="133"/>
      <c r="T868" s="133"/>
      <c r="U868" s="133"/>
      <c r="V868" s="133"/>
      <c r="W868" s="133"/>
      <c r="X868" s="133"/>
      <c r="Y868" s="133"/>
      <c r="Z868" s="133"/>
    </row>
    <row r="869">
      <c r="A869" s="133">
        <f>IFERROR(__xludf.DUMMYFUNCTION("""COMPUTED_VALUE"""),868.0)</f>
        <v>868</v>
      </c>
      <c r="B869" s="133" t="str">
        <f>IFERROR(__xludf.DUMMYFUNCTION("""COMPUTED_VALUE"""),"WB80224")</f>
        <v>WB80224</v>
      </c>
      <c r="C869" s="133" t="str">
        <f>IFERROR(__xludf.DUMMYFUNCTION("""COMPUTED_VALUE"""),"P-1-N-130222-953")</f>
        <v>P-1-N-130222-953</v>
      </c>
      <c r="D869" s="133"/>
      <c r="E869" s="133" t="str">
        <f>IFERROR(__xludf.DUMMYFUNCTION("""COMPUTED_VALUE"""),"تمت طباعة الشهادة")</f>
        <v>تمت طباعة الشهادة</v>
      </c>
      <c r="F869" s="133" t="str">
        <f>IFERROR(__xludf.DUMMYFUNCTION("""COMPUTED_VALUE"""),"Tiki Cat Chicken Recipe in Chicken Consomme 80g")</f>
        <v>Tiki Cat Chicken Recipe in Chicken Consomme 80g</v>
      </c>
      <c r="G869" s="133" t="str">
        <f>IFERROR(__xludf.DUMMYFUNCTION("""COMPUTED_VALUE"""),"تيكي كات وصفة الدجاج في مرقة دجاج 80 جم")</f>
        <v>تيكي كات وصفة الدجاج في مرقة دجاج 80 جم</v>
      </c>
      <c r="H869" s="133" t="str">
        <f>IFERROR(__xludf.DUMMYFUNCTION("""COMPUTED_VALUE"""),"MAFE2022520")</f>
        <v>MAFE2022520</v>
      </c>
      <c r="I869" s="133"/>
      <c r="J869" s="133"/>
      <c r="K869" s="133" t="str">
        <f>IFERROR(__xludf.DUMMYFUNCTION("""COMPUTED_VALUE"""),"شركة التحالف الآسيوي الدولية المحدودة")</f>
        <v>شركة التحالف الآسيوي الدولية المحدودة</v>
      </c>
      <c r="L869" s="142" t="str">
        <f>IFERROR(__xludf.DUMMYFUNCTION("""COMPUTED_VALUE"""),"WB80224")</f>
        <v>WB80224</v>
      </c>
      <c r="M869" s="133"/>
      <c r="N869" s="133"/>
      <c r="O869" s="133"/>
      <c r="P869" s="133"/>
      <c r="Q869" s="133"/>
      <c r="R869" s="133"/>
      <c r="S869" s="133"/>
      <c r="T869" s="133"/>
      <c r="U869" s="133"/>
      <c r="V869" s="133"/>
      <c r="W869" s="133"/>
      <c r="X869" s="133"/>
      <c r="Y869" s="133"/>
      <c r="Z869" s="133"/>
    </row>
    <row r="870">
      <c r="A870" s="133">
        <f>IFERROR(__xludf.DUMMYFUNCTION("""COMPUTED_VALUE"""),869.0)</f>
        <v>869</v>
      </c>
      <c r="B870" s="133" t="str">
        <f>IFERROR(__xludf.DUMMYFUNCTION("""COMPUTED_VALUE"""),"WB80267")</f>
        <v>WB80267</v>
      </c>
      <c r="C870" s="133" t="str">
        <f>IFERROR(__xludf.DUMMYFUNCTION("""COMPUTED_VALUE"""),"P-1-N-130222-954")</f>
        <v>P-1-N-130222-954</v>
      </c>
      <c r="D870" s="133"/>
      <c r="E870" s="133" t="str">
        <f>IFERROR(__xludf.DUMMYFUNCTION("""COMPUTED_VALUE"""),"تمت طباعة الشهادة")</f>
        <v>تمت طباعة الشهادة</v>
      </c>
      <c r="F870" s="133" t="str">
        <f>IFERROR(__xludf.DUMMYFUNCTION("""COMPUTED_VALUE"""),"Tiki Cat Tilapia Recipe in Tilapia Consomme 80g")</f>
        <v>Tiki Cat Tilapia Recipe in Tilapia Consomme 80g</v>
      </c>
      <c r="G870" s="133" t="str">
        <f>IFERROR(__xludf.DUMMYFUNCTION("""COMPUTED_VALUE"""),"تيكي كات وصفة البلطي في مرق البلطي 80 جم")</f>
        <v>تيكي كات وصفة البلطي في مرق البلطي 80 جم</v>
      </c>
      <c r="H870" s="133" t="str">
        <f>IFERROR(__xludf.DUMMYFUNCTION("""COMPUTED_VALUE"""),"MAFE2022519")</f>
        <v>MAFE2022519</v>
      </c>
      <c r="I870" s="133"/>
      <c r="J870" s="133"/>
      <c r="K870" s="133" t="str">
        <f>IFERROR(__xludf.DUMMYFUNCTION("""COMPUTED_VALUE"""),"شركة التحالف الآسيوي الدولية المحدودة")</f>
        <v>شركة التحالف الآسيوي الدولية المحدودة</v>
      </c>
      <c r="L870" s="142" t="str">
        <f>IFERROR(__xludf.DUMMYFUNCTION("""COMPUTED_VALUE"""),"WB80267")</f>
        <v>WB80267</v>
      </c>
      <c r="M870" s="133"/>
      <c r="N870" s="133"/>
      <c r="O870" s="133"/>
      <c r="P870" s="133"/>
      <c r="Q870" s="133"/>
      <c r="R870" s="133"/>
      <c r="S870" s="133"/>
      <c r="T870" s="133"/>
      <c r="U870" s="133"/>
      <c r="V870" s="133"/>
      <c r="W870" s="133"/>
      <c r="X870" s="133"/>
      <c r="Y870" s="133"/>
      <c r="Z870" s="133"/>
    </row>
    <row r="871">
      <c r="A871" s="133">
        <f>IFERROR(__xludf.DUMMYFUNCTION("""COMPUTED_VALUE"""),870.0)</f>
        <v>870</v>
      </c>
      <c r="B871" s="133" t="str">
        <f>IFERROR(__xludf.DUMMYFUNCTION("""COMPUTED_VALUE"""),"WB80230")</f>
        <v>WB80230</v>
      </c>
      <c r="C871" s="133" t="str">
        <f>IFERROR(__xludf.DUMMYFUNCTION("""COMPUTED_VALUE"""),"P-1-N-130222-955")</f>
        <v>P-1-N-130222-955</v>
      </c>
      <c r="D871" s="133"/>
      <c r="E871" s="133" t="str">
        <f>IFERROR(__xludf.DUMMYFUNCTION("""COMPUTED_VALUE"""),"تمت طباعة الشهادة")</f>
        <v>تمت طباعة الشهادة</v>
      </c>
      <c r="F871" s="133" t="str">
        <f>IFERROR(__xludf.DUMMYFUNCTION("""COMPUTED_VALUE"""),"Tiki Cat Stix Wet Treats with Tuna in Creamy Gravy 85g")</f>
        <v>Tiki Cat Stix Wet Treats with Tuna in Creamy Gravy 85g</v>
      </c>
      <c r="G871" s="133" t="str">
        <f>IFERROR(__xludf.DUMMYFUNCTION("""COMPUTED_VALUE"""),"تيكي كات ستيكس وت تريتس مع التونة في مرق الكريمة 85 جم")</f>
        <v>تيكي كات ستيكس وت تريتس مع التونة في مرق الكريمة 85 جم</v>
      </c>
      <c r="H871" s="133" t="str">
        <f>IFERROR(__xludf.DUMMYFUNCTION("""COMPUTED_VALUE"""),"MAFE2022518")</f>
        <v>MAFE2022518</v>
      </c>
      <c r="I871" s="133"/>
      <c r="J871" s="133"/>
      <c r="K871" s="133" t="str">
        <f>IFERROR(__xludf.DUMMYFUNCTION("""COMPUTED_VALUE"""),"شركة التحالف الآسيوي الدولية المحدودة")</f>
        <v>شركة التحالف الآسيوي الدولية المحدودة</v>
      </c>
      <c r="L871" s="142" t="str">
        <f>IFERROR(__xludf.DUMMYFUNCTION("""COMPUTED_VALUE"""),"WB80230")</f>
        <v>WB80230</v>
      </c>
      <c r="M871" s="133"/>
      <c r="N871" s="133"/>
      <c r="O871" s="133"/>
      <c r="P871" s="133"/>
      <c r="Q871" s="133"/>
      <c r="R871" s="133"/>
      <c r="S871" s="133"/>
      <c r="T871" s="133"/>
      <c r="U871" s="133"/>
      <c r="V871" s="133"/>
      <c r="W871" s="133"/>
      <c r="X871" s="133"/>
      <c r="Y871" s="133"/>
      <c r="Z871" s="133"/>
    </row>
    <row r="872">
      <c r="A872" s="133">
        <f>IFERROR(__xludf.DUMMYFUNCTION("""COMPUTED_VALUE"""),871.0)</f>
        <v>871</v>
      </c>
      <c r="B872" s="133" t="str">
        <f>IFERROR(__xludf.DUMMYFUNCTION("""COMPUTED_VALUE"""),"WB80229")</f>
        <v>WB80229</v>
      </c>
      <c r="C872" s="133" t="str">
        <f>IFERROR(__xludf.DUMMYFUNCTION("""COMPUTED_VALUE"""),"P-1-N-130222-956")</f>
        <v>P-1-N-130222-956</v>
      </c>
      <c r="D872" s="133"/>
      <c r="E872" s="133" t="str">
        <f>IFERROR(__xludf.DUMMYFUNCTION("""COMPUTED_VALUE"""),"تمت طباعة الشهادة")</f>
        <v>تمت طباعة الشهادة</v>
      </c>
      <c r="F872" s="133" t="str">
        <f>IFERROR(__xludf.DUMMYFUNCTION("""COMPUTED_VALUE"""),"Tiki Cat Stix Wet Treats with Tuna &amp; Scallops in Creamy Gravy 85g")</f>
        <v>Tiki Cat Stix Wet Treats with Tuna &amp; Scallops in Creamy Gravy 85g</v>
      </c>
      <c r="G872" s="133" t="str">
        <f>IFERROR(__xludf.DUMMYFUNCTION("""COMPUTED_VALUE"""),"تيكي كات ستيكس وت تريتس مع التونة والاسكالوب في مرق الكريمة 85 جم")</f>
        <v>تيكي كات ستيكس وت تريتس مع التونة والاسكالوب في مرق الكريمة 85 جم</v>
      </c>
      <c r="H872" s="133" t="str">
        <f>IFERROR(__xludf.DUMMYFUNCTION("""COMPUTED_VALUE"""),"MAFE2022517")</f>
        <v>MAFE2022517</v>
      </c>
      <c r="I872" s="133"/>
      <c r="J872" s="133"/>
      <c r="K872" s="133" t="str">
        <f>IFERROR(__xludf.DUMMYFUNCTION("""COMPUTED_VALUE"""),"شركة التحالف الآسيوي الدولية المحدودة")</f>
        <v>شركة التحالف الآسيوي الدولية المحدودة</v>
      </c>
      <c r="L872" s="142" t="str">
        <f>IFERROR(__xludf.DUMMYFUNCTION("""COMPUTED_VALUE"""),"WB80229")</f>
        <v>WB80229</v>
      </c>
      <c r="M872" s="133"/>
      <c r="N872" s="133"/>
      <c r="O872" s="133"/>
      <c r="P872" s="133"/>
      <c r="Q872" s="133"/>
      <c r="R872" s="133"/>
      <c r="S872" s="133"/>
      <c r="T872" s="133"/>
      <c r="U872" s="133"/>
      <c r="V872" s="133"/>
      <c r="W872" s="133"/>
      <c r="X872" s="133"/>
      <c r="Y872" s="133"/>
      <c r="Z872" s="133"/>
    </row>
    <row r="873">
      <c r="A873" s="133">
        <f>IFERROR(__xludf.DUMMYFUNCTION("""COMPUTED_VALUE"""),872.0)</f>
        <v>872</v>
      </c>
      <c r="B873" s="133"/>
      <c r="C873" s="133" t="str">
        <f>IFERROR(__xludf.DUMMYFUNCTION("""COMPUTED_VALUE"""),"P-1-N-150222-978")</f>
        <v>P-1-N-150222-978</v>
      </c>
      <c r="D873" s="133"/>
      <c r="E873" s="133" t="str">
        <f>IFERROR(__xludf.DUMMYFUNCTION("""COMPUTED_VALUE"""),"تمت طباعة الشهادة")</f>
        <v>تمت طباعة الشهادة</v>
      </c>
      <c r="F873" s="133" t="str">
        <f>IFERROR(__xludf.DUMMYFUNCTION("""COMPUTED_VALUE"""),"English Name")</f>
        <v>English Name</v>
      </c>
      <c r="G873" s="133" t="str">
        <f>IFERROR(__xludf.DUMMYFUNCTION("""COMPUTED_VALUE"""),"اكسوتك لايت ميكس اكسبرت 750 جم")</f>
        <v>اكسوتك لايت ميكس اكسبرت 750 جم</v>
      </c>
      <c r="H873" s="133" t="str">
        <f>IFERROR(__xludf.DUMMYFUNCTION("""COMPUTED_VALUE"""),"MAFE2022557")</f>
        <v>MAFE2022557</v>
      </c>
      <c r="I873" s="133"/>
      <c r="J873" s="133"/>
      <c r="K873" s="133" t="str">
        <f>IFERROR(__xludf.DUMMYFUNCTION("""COMPUTED_VALUE"""),"فيرسل لاقا ان في")</f>
        <v>فيرسل لاقا ان في</v>
      </c>
      <c r="L873" s="133"/>
      <c r="M873" s="133"/>
      <c r="N873" s="133"/>
      <c r="O873" s="133"/>
      <c r="P873" s="133"/>
      <c r="Q873" s="133"/>
      <c r="R873" s="133"/>
      <c r="S873" s="133"/>
      <c r="T873" s="133"/>
      <c r="U873" s="133"/>
      <c r="V873" s="133"/>
      <c r="W873" s="133"/>
      <c r="X873" s="133"/>
      <c r="Y873" s="133"/>
      <c r="Z873" s="133"/>
    </row>
    <row r="874">
      <c r="A874" s="133">
        <f>IFERROR(__xludf.DUMMYFUNCTION("""COMPUTED_VALUE"""),873.0)</f>
        <v>873</v>
      </c>
      <c r="B874" s="133" t="str">
        <f>IFERROR(__xludf.DUMMYFUNCTION("""COMPUTED_VALUE"""),"461308")</f>
        <v>461308</v>
      </c>
      <c r="C874" s="133" t="str">
        <f>IFERROR(__xludf.DUMMYFUNCTION("""COMPUTED_VALUE"""),"P-1-N-150222-979")</f>
        <v>P-1-N-150222-979</v>
      </c>
      <c r="D874" s="133"/>
      <c r="E874" s="133" t="str">
        <f>IFERROR(__xludf.DUMMYFUNCTION("""COMPUTED_VALUE"""),"تمت طباعة الشهادة")</f>
        <v>تمت طباعة الشهادة</v>
      </c>
      <c r="F874" s="133" t="str">
        <f>IFERROR(__xludf.DUMMYFUNCTION("""COMPUTED_VALUE"""),"Complete Cuni Junior 500g")</f>
        <v>Complete Cuni Junior 500g</v>
      </c>
      <c r="G874" s="133" t="str">
        <f>IFERROR(__xludf.DUMMYFUNCTION("""COMPUTED_VALUE"""),"كومبليت كوني جونيور 500 جم")</f>
        <v>كومبليت كوني جونيور 500 جم</v>
      </c>
      <c r="H874" s="133" t="str">
        <f>IFERROR(__xludf.DUMMYFUNCTION("""COMPUTED_VALUE"""),"MAFE2022556")</f>
        <v>MAFE2022556</v>
      </c>
      <c r="I874" s="133"/>
      <c r="J874" s="133"/>
      <c r="K874" s="133" t="str">
        <f>IFERROR(__xludf.DUMMYFUNCTION("""COMPUTED_VALUE"""),"فيرسل لاقا ان في")</f>
        <v>فيرسل لاقا ان في</v>
      </c>
      <c r="L874" s="142" t="str">
        <f>IFERROR(__xludf.DUMMYFUNCTION("""COMPUTED_VALUE"""),"461308")</f>
        <v>461308</v>
      </c>
      <c r="M874" s="133"/>
      <c r="N874" s="133"/>
      <c r="O874" s="133"/>
      <c r="P874" s="133"/>
      <c r="Q874" s="133"/>
      <c r="R874" s="133"/>
      <c r="S874" s="133"/>
      <c r="T874" s="133"/>
      <c r="U874" s="133"/>
      <c r="V874" s="133"/>
      <c r="W874" s="133"/>
      <c r="X874" s="133"/>
      <c r="Y874" s="133"/>
      <c r="Z874" s="133"/>
    </row>
    <row r="875">
      <c r="A875" s="133">
        <f>IFERROR(__xludf.DUMMYFUNCTION("""COMPUTED_VALUE"""),874.0)</f>
        <v>874</v>
      </c>
      <c r="B875" s="133" t="str">
        <f>IFERROR(__xludf.DUMMYFUNCTION("""COMPUTED_VALUE"""),"461310")</f>
        <v>461310</v>
      </c>
      <c r="C875" s="133" t="str">
        <f>IFERROR(__xludf.DUMMYFUNCTION("""COMPUTED_VALUE"""),"P-1-N-150222-980")</f>
        <v>P-1-N-150222-980</v>
      </c>
      <c r="D875" s="133"/>
      <c r="E875" s="133" t="str">
        <f>IFERROR(__xludf.DUMMYFUNCTION("""COMPUTED_VALUE"""),"تمت طباعة الشهادة")</f>
        <v>تمت طباعة الشهادة</v>
      </c>
      <c r="F875" s="133" t="str">
        <f>IFERROR(__xludf.DUMMYFUNCTION("""COMPUTED_VALUE"""),"Complete Cuni Sensitive 500g")</f>
        <v>Complete Cuni Sensitive 500g</v>
      </c>
      <c r="G875" s="133" t="str">
        <f>IFERROR(__xludf.DUMMYFUNCTION("""COMPUTED_VALUE"""),"كومبليت كوني سنسيتيف 500 جم")</f>
        <v>كومبليت كوني سنسيتيف 500 جم</v>
      </c>
      <c r="H875" s="133" t="str">
        <f>IFERROR(__xludf.DUMMYFUNCTION("""COMPUTED_VALUE"""),"MAFE2022555")</f>
        <v>MAFE2022555</v>
      </c>
      <c r="I875" s="133"/>
      <c r="J875" s="133"/>
      <c r="K875" s="133" t="str">
        <f>IFERROR(__xludf.DUMMYFUNCTION("""COMPUTED_VALUE"""),"فيرسل لاقا ان في")</f>
        <v>فيرسل لاقا ان في</v>
      </c>
      <c r="L875" s="142" t="str">
        <f>IFERROR(__xludf.DUMMYFUNCTION("""COMPUTED_VALUE"""),"461310")</f>
        <v>461310</v>
      </c>
      <c r="M875" s="133"/>
      <c r="N875" s="133"/>
      <c r="O875" s="133"/>
      <c r="P875" s="133"/>
      <c r="Q875" s="133"/>
      <c r="R875" s="133"/>
      <c r="S875" s="133"/>
      <c r="T875" s="133"/>
      <c r="U875" s="133"/>
      <c r="V875" s="133"/>
      <c r="W875" s="133"/>
      <c r="X875" s="133"/>
      <c r="Y875" s="133"/>
      <c r="Z875" s="133"/>
    </row>
    <row r="876">
      <c r="A876" s="133">
        <f>IFERROR(__xludf.DUMMYFUNCTION("""COMPUTED_VALUE"""),875.0)</f>
        <v>875</v>
      </c>
      <c r="B876" s="133" t="str">
        <f>IFERROR(__xludf.DUMMYFUNCTION("""COMPUTED_VALUE"""),"461250")</f>
        <v>461250</v>
      </c>
      <c r="C876" s="133" t="str">
        <f>IFERROR(__xludf.DUMMYFUNCTION("""COMPUTED_VALUE"""),"P-1-N-150222-981")</f>
        <v>P-1-N-150222-981</v>
      </c>
      <c r="D876" s="133"/>
      <c r="E876" s="133" t="str">
        <f>IFERROR(__xludf.DUMMYFUNCTION("""COMPUTED_VALUE"""),"تمت طباعة الشهادة")</f>
        <v>تمت طباعة الشهادة</v>
      </c>
      <c r="F876" s="133" t="str">
        <f>IFERROR(__xludf.DUMMYFUNCTION("""COMPUTED_VALUE"""),"Complete Cuni Adult 500g")</f>
        <v>Complete Cuni Adult 500g</v>
      </c>
      <c r="G876" s="133" t="str">
        <f>IFERROR(__xludf.DUMMYFUNCTION("""COMPUTED_VALUE"""),"كومبليت كوني ادولت 500 جم")</f>
        <v>كومبليت كوني ادولت 500 جم</v>
      </c>
      <c r="H876" s="133" t="str">
        <f>IFERROR(__xludf.DUMMYFUNCTION("""COMPUTED_VALUE"""),"MAFE2022554")</f>
        <v>MAFE2022554</v>
      </c>
      <c r="I876" s="133"/>
      <c r="J876" s="133"/>
      <c r="K876" s="133" t="str">
        <f>IFERROR(__xludf.DUMMYFUNCTION("""COMPUTED_VALUE"""),"فيرسل لاقا ان في")</f>
        <v>فيرسل لاقا ان في</v>
      </c>
      <c r="L876" s="142" t="str">
        <f>IFERROR(__xludf.DUMMYFUNCTION("""COMPUTED_VALUE"""),"461250")</f>
        <v>461250</v>
      </c>
      <c r="M876" s="133"/>
      <c r="N876" s="133"/>
      <c r="O876" s="133"/>
      <c r="P876" s="133"/>
      <c r="Q876" s="133"/>
      <c r="R876" s="133"/>
      <c r="S876" s="133"/>
      <c r="T876" s="133"/>
      <c r="U876" s="133"/>
      <c r="V876" s="133"/>
      <c r="W876" s="133"/>
      <c r="X876" s="133"/>
      <c r="Y876" s="133"/>
      <c r="Z876" s="133"/>
    </row>
    <row r="877">
      <c r="A877" s="133">
        <f>IFERROR(__xludf.DUMMYFUNCTION("""COMPUTED_VALUE"""),876.0)</f>
        <v>876</v>
      </c>
      <c r="B877" s="133" t="str">
        <f>IFERROR(__xludf.DUMMYFUNCTION("""COMPUTED_VALUE"""),"461296")</f>
        <v>461296</v>
      </c>
      <c r="C877" s="133" t="str">
        <f>IFERROR(__xludf.DUMMYFUNCTION("""COMPUTED_VALUE"""),"P-1-N-150222-982")</f>
        <v>P-1-N-150222-982</v>
      </c>
      <c r="D877" s="133"/>
      <c r="E877" s="133" t="str">
        <f>IFERROR(__xludf.DUMMYFUNCTION("""COMPUTED_VALUE"""),"تمت طباعة الشهادة")</f>
        <v>تمت طباعة الشهادة</v>
      </c>
      <c r="F877" s="133" t="str">
        <f>IFERROR(__xludf.DUMMYFUNCTION("""COMPUTED_VALUE"""),"Complete Hamster &amp; Gerbil 500g")</f>
        <v>Complete Hamster &amp; Gerbil 500g</v>
      </c>
      <c r="G877" s="133" t="str">
        <f>IFERROR(__xludf.DUMMYFUNCTION("""COMPUTED_VALUE"""),"كومبليت")</f>
        <v>كومبليت</v>
      </c>
      <c r="H877" s="133" t="str">
        <f>IFERROR(__xludf.DUMMYFUNCTION("""COMPUTED_VALUE"""),"MAFE2022550")</f>
        <v>MAFE2022550</v>
      </c>
      <c r="I877" s="133"/>
      <c r="J877" s="133"/>
      <c r="K877" s="133" t="str">
        <f>IFERROR(__xludf.DUMMYFUNCTION("""COMPUTED_VALUE"""),"فيرسل لاقا ان في")</f>
        <v>فيرسل لاقا ان في</v>
      </c>
      <c r="L877" s="142" t="str">
        <f>IFERROR(__xludf.DUMMYFUNCTION("""COMPUTED_VALUE"""),"461296")</f>
        <v>461296</v>
      </c>
      <c r="M877" s="133"/>
      <c r="N877" s="133"/>
      <c r="O877" s="133"/>
      <c r="P877" s="133"/>
      <c r="Q877" s="133"/>
      <c r="R877" s="133"/>
      <c r="S877" s="133"/>
      <c r="T877" s="133"/>
      <c r="U877" s="133"/>
      <c r="V877" s="133"/>
      <c r="W877" s="133"/>
      <c r="X877" s="133"/>
      <c r="Y877" s="133"/>
      <c r="Z877" s="133"/>
    </row>
    <row r="878">
      <c r="A878" s="133">
        <f>IFERROR(__xludf.DUMMYFUNCTION("""COMPUTED_VALUE"""),877.0)</f>
        <v>877</v>
      </c>
      <c r="B878" s="133"/>
      <c r="C878" s="133" t="str">
        <f>IFERROR(__xludf.DUMMYFUNCTION("""COMPUTED_VALUE"""),"P-1-N-150222-983")</f>
        <v>P-1-N-150222-983</v>
      </c>
      <c r="D878" s="133"/>
      <c r="E878" s="133" t="str">
        <f>IFERROR(__xludf.DUMMYFUNCTION("""COMPUTED_VALUE"""),"تمت طباعة الشهادة")</f>
        <v>تمت طباعة الشهادة</v>
      </c>
      <c r="F878" s="133" t="str">
        <f>IFERROR(__xludf.DUMMYFUNCTION("""COMPUTED_VALUE"""),"Oropharma")</f>
        <v>Oropharma</v>
      </c>
      <c r="G878" s="133" t="str">
        <f>IFERROR(__xludf.DUMMYFUNCTION("""COMPUTED_VALUE"""),"أوروفارما أورو دايجست 150 جم")</f>
        <v>أوروفارما أورو دايجست 150 جم</v>
      </c>
      <c r="H878" s="133" t="str">
        <f>IFERROR(__xludf.DUMMYFUNCTION("""COMPUTED_VALUE"""),"PRFE2022583")</f>
        <v>PRFE2022583</v>
      </c>
      <c r="I878" s="133"/>
      <c r="J878" s="133"/>
      <c r="K878" s="133" t="str">
        <f>IFERROR(__xludf.DUMMYFUNCTION("""COMPUTED_VALUE"""),"Agency")</f>
        <v>Agency</v>
      </c>
      <c r="L878" s="133"/>
      <c r="M878" s="133"/>
      <c r="N878" s="133"/>
      <c r="O878" s="133"/>
      <c r="P878" s="133"/>
      <c r="Q878" s="133"/>
      <c r="R878" s="133"/>
      <c r="S878" s="133"/>
      <c r="T878" s="133"/>
      <c r="U878" s="133"/>
      <c r="V878" s="133"/>
      <c r="W878" s="133"/>
      <c r="X878" s="133"/>
      <c r="Y878" s="133"/>
      <c r="Z878" s="133"/>
    </row>
    <row r="879">
      <c r="A879" s="133">
        <f>IFERROR(__xludf.DUMMYFUNCTION("""COMPUTED_VALUE"""),878.0)</f>
        <v>878</v>
      </c>
      <c r="B879" s="133" t="str">
        <f>IFERROR(__xludf.DUMMYFUNCTION("""COMPUTED_VALUE"""),"460214")</f>
        <v>460214</v>
      </c>
      <c r="C879" s="133" t="str">
        <f>IFERROR(__xludf.DUMMYFUNCTION("""COMPUTED_VALUE"""),"P-1-N-150222-984")</f>
        <v>P-1-N-150222-984</v>
      </c>
      <c r="D879" s="133"/>
      <c r="E879" s="133" t="str">
        <f>IFERROR(__xludf.DUMMYFUNCTION("""COMPUTED_VALUE"""),"تمت طباعة الشهادة")</f>
        <v>تمت طباعة الشهادة</v>
      </c>
      <c r="F879" s="133" t="str">
        <f>IFERROR(__xludf.DUMMYFUNCTION("""COMPUTED_VALUE"""),"Oropharma Calci-Lux 150g")</f>
        <v>Oropharma Calci-Lux 150g</v>
      </c>
      <c r="G879" s="133" t="str">
        <f>IFERROR(__xludf.DUMMYFUNCTION("""COMPUTED_VALUE"""),"أوروفارما كالسي لوكس 150 جم")</f>
        <v>أوروفارما كالسي لوكس 150 جم</v>
      </c>
      <c r="H879" s="133" t="str">
        <f>IFERROR(__xludf.DUMMYFUNCTION("""COMPUTED_VALUE"""),"NMFE2022553")</f>
        <v>NMFE2022553</v>
      </c>
      <c r="I879" s="133"/>
      <c r="J879" s="133"/>
      <c r="K879" s="133" t="str">
        <f>IFERROR(__xludf.DUMMYFUNCTION("""COMPUTED_VALUE"""),"فيرسل لاقا ان في")</f>
        <v>فيرسل لاقا ان في</v>
      </c>
      <c r="L879" s="142" t="str">
        <f>IFERROR(__xludf.DUMMYFUNCTION("""COMPUTED_VALUE"""),"460214")</f>
        <v>460214</v>
      </c>
      <c r="M879" s="133"/>
      <c r="N879" s="133"/>
      <c r="O879" s="133"/>
      <c r="P879" s="133"/>
      <c r="Q879" s="133"/>
      <c r="R879" s="133"/>
      <c r="S879" s="133"/>
      <c r="T879" s="133"/>
      <c r="U879" s="133"/>
      <c r="V879" s="133"/>
      <c r="W879" s="133"/>
      <c r="X879" s="133"/>
      <c r="Y879" s="133"/>
      <c r="Z879" s="133"/>
    </row>
    <row r="880">
      <c r="A880" s="133">
        <f>IFERROR(__xludf.DUMMYFUNCTION("""COMPUTED_VALUE"""),879.0)</f>
        <v>879</v>
      </c>
      <c r="B880" s="133" t="str">
        <f>IFERROR(__xludf.DUMMYFUNCTION("""COMPUTED_VALUE"""),"422220")</f>
        <v>422220</v>
      </c>
      <c r="C880" s="133" t="str">
        <f>IFERROR(__xludf.DUMMYFUNCTION("""COMPUTED_VALUE"""),"P-1-N-150222-985")</f>
        <v>P-1-N-150222-985</v>
      </c>
      <c r="D880" s="133"/>
      <c r="E880" s="133" t="str">
        <f>IFERROR(__xludf.DUMMYFUNCTION("""COMPUTED_VALUE"""),"تمت طباعة الشهادة")</f>
        <v>تمت طباعة الشهادة</v>
      </c>
      <c r="F880" s="133" t="str">
        <f>IFERROR(__xludf.DUMMYFUNCTION("""COMPUTED_VALUE"""),"Prestige Loro Parque African Parakeet Mix 1kg")</f>
        <v>Prestige Loro Parque African Parakeet Mix 1kg</v>
      </c>
      <c r="G880" s="133" t="str">
        <f>IFERROR(__xludf.DUMMYFUNCTION("""COMPUTED_VALUE"""),"بريستيج لورو باركيه مزيج البراكيت الأفريقي 1 كجم")</f>
        <v>بريستيج لورو باركيه مزيج البراكيت الأفريقي 1 كجم</v>
      </c>
      <c r="H880" s="133" t="str">
        <f>IFERROR(__xludf.DUMMYFUNCTION("""COMPUTED_VALUE"""),"MAFE2022552")</f>
        <v>MAFE2022552</v>
      </c>
      <c r="I880" s="133"/>
      <c r="J880" s="133"/>
      <c r="K880" s="133" t="str">
        <f>IFERROR(__xludf.DUMMYFUNCTION("""COMPUTED_VALUE"""),"فيرسل لاقا ان في")</f>
        <v>فيرسل لاقا ان في</v>
      </c>
      <c r="L880" s="142" t="str">
        <f>IFERROR(__xludf.DUMMYFUNCTION("""COMPUTED_VALUE"""),"422220")</f>
        <v>422220</v>
      </c>
      <c r="M880" s="133"/>
      <c r="N880" s="133"/>
      <c r="O880" s="133"/>
      <c r="P880" s="133"/>
      <c r="Q880" s="133"/>
      <c r="R880" s="133"/>
      <c r="S880" s="133"/>
      <c r="T880" s="133"/>
      <c r="U880" s="133"/>
      <c r="V880" s="133"/>
      <c r="W880" s="133"/>
      <c r="X880" s="133"/>
      <c r="Y880" s="133"/>
      <c r="Z880" s="133"/>
    </row>
    <row r="881">
      <c r="A881" s="133">
        <f>IFERROR(__xludf.DUMMYFUNCTION("""COMPUTED_VALUE"""),880.0)</f>
        <v>880</v>
      </c>
      <c r="B881" s="133" t="str">
        <f>IFERROR(__xludf.DUMMYFUNCTION("""COMPUTED_VALUE"""),"422223")</f>
        <v>422223</v>
      </c>
      <c r="C881" s="133" t="str">
        <f>IFERROR(__xludf.DUMMYFUNCTION("""COMPUTED_VALUE"""),"P-1-N-150222-986")</f>
        <v>P-1-N-150222-986</v>
      </c>
      <c r="D881" s="133"/>
      <c r="E881" s="133" t="str">
        <f>IFERROR(__xludf.DUMMYFUNCTION("""COMPUTED_VALUE"""),"تمت طباعة الشهادة")</f>
        <v>تمت طباعة الشهادة</v>
      </c>
      <c r="F881" s="133" t="str">
        <f>IFERROR(__xludf.DUMMYFUNCTION("""COMPUTED_VALUE"""),"Prestige Loro Parque African Parakeet Mix - Expert 20kg")</f>
        <v>Prestige Loro Parque African Parakeet Mix - Expert 20kg</v>
      </c>
      <c r="G881" s="133" t="str">
        <f>IFERROR(__xludf.DUMMYFUNCTION("""COMPUTED_VALUE"""),"بريستيج لورو باركيه مزيج البراكيت الأفريقي - اكسبرت 20 كجم")</f>
        <v>بريستيج لورو باركيه مزيج البراكيت الأفريقي - اكسبرت 20 كجم</v>
      </c>
      <c r="H881" s="133" t="str">
        <f>IFERROR(__xludf.DUMMYFUNCTION("""COMPUTED_VALUE"""),"MAFE2022551")</f>
        <v>MAFE2022551</v>
      </c>
      <c r="I881" s="133"/>
      <c r="J881" s="133"/>
      <c r="K881" s="133" t="str">
        <f>IFERROR(__xludf.DUMMYFUNCTION("""COMPUTED_VALUE"""),"فيرسل لاقا ان في")</f>
        <v>فيرسل لاقا ان في</v>
      </c>
      <c r="L881" s="142" t="str">
        <f>IFERROR(__xludf.DUMMYFUNCTION("""COMPUTED_VALUE"""),"422223")</f>
        <v>422223</v>
      </c>
      <c r="M881" s="133"/>
      <c r="N881" s="133"/>
      <c r="O881" s="133"/>
      <c r="P881" s="133"/>
      <c r="Q881" s="133"/>
      <c r="R881" s="133"/>
      <c r="S881" s="133"/>
      <c r="T881" s="133"/>
      <c r="U881" s="133"/>
      <c r="V881" s="133"/>
      <c r="W881" s="133"/>
      <c r="X881" s="133"/>
      <c r="Y881" s="133"/>
      <c r="Z881" s="133"/>
    </row>
    <row r="882">
      <c r="A882" s="133">
        <f>IFERROR(__xludf.DUMMYFUNCTION("""COMPUTED_VALUE"""),881.0)</f>
        <v>881</v>
      </c>
      <c r="B882" s="133" t="str">
        <f>IFERROR(__xludf.DUMMYFUNCTION("""COMPUTED_VALUE"""),"422201")</f>
        <v>422201</v>
      </c>
      <c r="C882" s="133" t="str">
        <f>IFERROR(__xludf.DUMMYFUNCTION("""COMPUTED_VALUE"""),"P-1-N-150222-987")</f>
        <v>P-1-N-150222-987</v>
      </c>
      <c r="D882" s="133"/>
      <c r="E882" s="133" t="str">
        <f>IFERROR(__xludf.DUMMYFUNCTION("""COMPUTED_VALUE"""),"تمت طباعة الشهادة")</f>
        <v>تمت طباعة الشهادة</v>
      </c>
      <c r="F882" s="133" t="str">
        <f>IFERROR(__xludf.DUMMYFUNCTION("""COMPUTED_VALUE"""),"Prestige Loro Parque African Parrot Mix 1kg")</f>
        <v>Prestige Loro Parque African Parrot Mix 1kg</v>
      </c>
      <c r="G882" s="133" t="str">
        <f>IFERROR(__xludf.DUMMYFUNCTION("""COMPUTED_VALUE"""),"بريستيج لورو باركيه مزيج الببغاء الأفريقي 1 كجم")</f>
        <v>بريستيج لورو باركيه مزيج الببغاء الأفريقي 1 كجم</v>
      </c>
      <c r="H882" s="133" t="str">
        <f>IFERROR(__xludf.DUMMYFUNCTION("""COMPUTED_VALUE"""),"MAFE2022549")</f>
        <v>MAFE2022549</v>
      </c>
      <c r="I882" s="133"/>
      <c r="J882" s="133"/>
      <c r="K882" s="133" t="str">
        <f>IFERROR(__xludf.DUMMYFUNCTION("""COMPUTED_VALUE"""),"فيرسل لاقا ان في")</f>
        <v>فيرسل لاقا ان في</v>
      </c>
      <c r="L882" s="142" t="str">
        <f>IFERROR(__xludf.DUMMYFUNCTION("""COMPUTED_VALUE"""),"422201")</f>
        <v>422201</v>
      </c>
      <c r="M882" s="133"/>
      <c r="N882" s="133"/>
      <c r="O882" s="133"/>
      <c r="P882" s="133"/>
      <c r="Q882" s="133"/>
      <c r="R882" s="133"/>
      <c r="S882" s="133"/>
      <c r="T882" s="133"/>
      <c r="U882" s="133"/>
      <c r="V882" s="133"/>
      <c r="W882" s="133"/>
      <c r="X882" s="133"/>
      <c r="Y882" s="133"/>
      <c r="Z882" s="133"/>
    </row>
    <row r="883">
      <c r="A883" s="133">
        <f>IFERROR(__xludf.DUMMYFUNCTION("""COMPUTED_VALUE"""),882.0)</f>
        <v>882</v>
      </c>
      <c r="B883" s="133"/>
      <c r="C883" s="133" t="str">
        <f>IFERROR(__xludf.DUMMYFUNCTION("""COMPUTED_VALUE"""),"P-1-N-150222-988")</f>
        <v>P-1-N-150222-988</v>
      </c>
      <c r="D883" s="133"/>
      <c r="E883" s="133" t="str">
        <f>IFERROR(__xludf.DUMMYFUNCTION("""COMPUTED_VALUE"""),"تمت طباعة الشهادة")</f>
        <v>تمت طباعة الشهادة</v>
      </c>
      <c r="F883" s="133" t="str">
        <f>IFERROR(__xludf.DUMMYFUNCTION("""COMPUTED_VALUE"""),"English Name")</f>
        <v>English Name</v>
      </c>
      <c r="G883" s="133" t="str">
        <f>IFERROR(__xludf.DUMMYFUNCTION("""COMPUTED_VALUE"""),"بريستيج لورو باركيه مزيج الببغاء الأفريقي 2.5 كجم")</f>
        <v>بريستيج لورو باركيه مزيج الببغاء الأفريقي 2.5 كجم</v>
      </c>
      <c r="H883" s="133" t="str">
        <f>IFERROR(__xludf.DUMMYFUNCTION("""COMPUTED_VALUE"""),"MAFE2022548")</f>
        <v>MAFE2022548</v>
      </c>
      <c r="I883" s="133"/>
      <c r="J883" s="133"/>
      <c r="K883" s="133" t="str">
        <f>IFERROR(__xludf.DUMMYFUNCTION("""COMPUTED_VALUE"""),"فيرسل لاقا ان في")</f>
        <v>فيرسل لاقا ان في</v>
      </c>
      <c r="L883" s="133"/>
      <c r="M883" s="133"/>
      <c r="N883" s="133"/>
      <c r="O883" s="133"/>
      <c r="P883" s="133"/>
      <c r="Q883" s="133"/>
      <c r="R883" s="133"/>
      <c r="S883" s="133"/>
      <c r="T883" s="133"/>
      <c r="U883" s="133"/>
      <c r="V883" s="133"/>
      <c r="W883" s="133"/>
      <c r="X883" s="133"/>
      <c r="Y883" s="133"/>
      <c r="Z883" s="133"/>
    </row>
    <row r="884">
      <c r="A884" s="133">
        <f>IFERROR(__xludf.DUMMYFUNCTION("""COMPUTED_VALUE"""),883.0)</f>
        <v>883</v>
      </c>
      <c r="B884" s="133" t="str">
        <f>IFERROR(__xludf.DUMMYFUNCTION("""COMPUTED_VALUE"""),"422207")</f>
        <v>422207</v>
      </c>
      <c r="C884" s="133" t="str">
        <f>IFERROR(__xludf.DUMMYFUNCTION("""COMPUTED_VALUE"""),"P-1-N-150222-989")</f>
        <v>P-1-N-150222-989</v>
      </c>
      <c r="D884" s="133"/>
      <c r="E884" s="133" t="str">
        <f>IFERROR(__xludf.DUMMYFUNCTION("""COMPUTED_VALUE"""),"تمت طباعة الشهادة")</f>
        <v>تمت طباعة الشهادة</v>
      </c>
      <c r="F884" s="133" t="str">
        <f>IFERROR(__xludf.DUMMYFUNCTION("""COMPUTED_VALUE"""),"Prestige Loro Parque African Parrot Mix - Expert 15kg")</f>
        <v>Prestige Loro Parque African Parrot Mix - Expert 15kg</v>
      </c>
      <c r="G884" s="133" t="str">
        <f>IFERROR(__xludf.DUMMYFUNCTION("""COMPUTED_VALUE"""),"بريستيج لورو باركيه مزيج الببغاء الأفريقي - اكسبرت 15 كجم")</f>
        <v>بريستيج لورو باركيه مزيج الببغاء الأفريقي - اكسبرت 15 كجم</v>
      </c>
      <c r="H884" s="133" t="str">
        <f>IFERROR(__xludf.DUMMYFUNCTION("""COMPUTED_VALUE"""),"MAFE2022547")</f>
        <v>MAFE2022547</v>
      </c>
      <c r="I884" s="133"/>
      <c r="J884" s="133"/>
      <c r="K884" s="133" t="str">
        <f>IFERROR(__xludf.DUMMYFUNCTION("""COMPUTED_VALUE"""),"فيرسل لاقا ان في")</f>
        <v>فيرسل لاقا ان في</v>
      </c>
      <c r="L884" s="142" t="str">
        <f>IFERROR(__xludf.DUMMYFUNCTION("""COMPUTED_VALUE"""),"422207")</f>
        <v>422207</v>
      </c>
      <c r="M884" s="133"/>
      <c r="N884" s="133"/>
      <c r="O884" s="133"/>
      <c r="P884" s="133"/>
      <c r="Q884" s="133"/>
      <c r="R884" s="133"/>
      <c r="S884" s="133"/>
      <c r="T884" s="133"/>
      <c r="U884" s="133"/>
      <c r="V884" s="133"/>
      <c r="W884" s="133"/>
      <c r="X884" s="133"/>
      <c r="Y884" s="133"/>
      <c r="Z884" s="133"/>
    </row>
    <row r="885">
      <c r="A885" s="133">
        <f>IFERROR(__xludf.DUMMYFUNCTION("""COMPUTED_VALUE"""),884.0)</f>
        <v>884</v>
      </c>
      <c r="B885" s="133" t="str">
        <f>IFERROR(__xludf.DUMMYFUNCTION("""COMPUTED_VALUE"""),"461697")</f>
        <v>461697</v>
      </c>
      <c r="C885" s="133" t="str">
        <f>IFERROR(__xludf.DUMMYFUNCTION("""COMPUTED_VALUE"""),"P-1-N-170222-1056")</f>
        <v>P-1-N-170222-1056</v>
      </c>
      <c r="D885" s="133"/>
      <c r="E885" s="133" t="str">
        <f>IFERROR(__xludf.DUMMYFUNCTION("""COMPUTED_VALUE"""),"تمت طباعة الشهادة")</f>
        <v>تمت طباعة الشهادة</v>
      </c>
      <c r="F885" s="133" t="str">
        <f>IFERROR(__xludf.DUMMYFUNCTION("""COMPUTED_VALUE"""),"Crispy Muesli Rabbits ")</f>
        <v>Crispy Muesli Rabbits </v>
      </c>
      <c r="G885" s="133" t="str">
        <f>IFERROR(__xludf.DUMMYFUNCTION("""COMPUTED_VALUE"""),"كريسبي موسلي للأرانب 400 جم")</f>
        <v>كريسبي موسلي للأرانب 400 جم</v>
      </c>
      <c r="H885" s="133" t="str">
        <f>IFERROR(__xludf.DUMMYFUNCTION("""COMPUTED_VALUE"""),"MAFE2022638")</f>
        <v>MAFE2022638</v>
      </c>
      <c r="I885" s="133"/>
      <c r="J885" s="133"/>
      <c r="K885" s="133" t="str">
        <f>IFERROR(__xludf.DUMMYFUNCTION("""COMPUTED_VALUE"""),"فيرسل لاقا ان في")</f>
        <v>فيرسل لاقا ان في</v>
      </c>
      <c r="L885" s="142" t="str">
        <f>IFERROR(__xludf.DUMMYFUNCTION("""COMPUTED_VALUE"""),"461697")</f>
        <v>461697</v>
      </c>
      <c r="M885" s="133"/>
      <c r="N885" s="133"/>
      <c r="O885" s="133"/>
      <c r="P885" s="133"/>
      <c r="Q885" s="133"/>
      <c r="R885" s="133"/>
      <c r="S885" s="133"/>
      <c r="T885" s="133"/>
      <c r="U885" s="133"/>
      <c r="V885" s="133"/>
      <c r="W885" s="133"/>
      <c r="X885" s="133"/>
      <c r="Y885" s="133"/>
      <c r="Z885" s="133"/>
    </row>
    <row r="886">
      <c r="A886" s="133">
        <f>IFERROR(__xludf.DUMMYFUNCTION("""COMPUTED_VALUE"""),885.0)</f>
        <v>885</v>
      </c>
      <c r="B886" s="133" t="str">
        <f>IFERROR(__xludf.DUMMYFUNCTION("""COMPUTED_VALUE"""),"422097")</f>
        <v>422097</v>
      </c>
      <c r="C886" s="133" t="str">
        <f>IFERROR(__xludf.DUMMYFUNCTION("""COMPUTED_VALUE"""),"P-1-N-170222-1057")</f>
        <v>P-1-N-170222-1057</v>
      </c>
      <c r="D886" s="133"/>
      <c r="E886" s="133" t="str">
        <f>IFERROR(__xludf.DUMMYFUNCTION("""COMPUTED_VALUE"""),"تمت طباعة الشهادة")</f>
        <v>تمت طباعة الشهادة</v>
      </c>
      <c r="F886" s="133" t="str">
        <f>IFERROR(__xludf.DUMMYFUNCTION("""COMPUTED_VALUE"""),"Nutribird A18 Lori 800g")</f>
        <v>Nutribird A18 Lori 800g</v>
      </c>
      <c r="G886" s="133" t="str">
        <f>IFERROR(__xludf.DUMMYFUNCTION("""COMPUTED_VALUE"""),"نيوتريبيرد اي18 لوري 800 جم")</f>
        <v>نيوتريبيرد اي18 لوري 800 جم</v>
      </c>
      <c r="H886" s="133" t="str">
        <f>IFERROR(__xludf.DUMMYFUNCTION("""COMPUTED_VALUE"""),"MAFE2022627")</f>
        <v>MAFE2022627</v>
      </c>
      <c r="I886" s="133"/>
      <c r="J886" s="133"/>
      <c r="K886" s="133" t="str">
        <f>IFERROR(__xludf.DUMMYFUNCTION("""COMPUTED_VALUE"""),"فيرسل لاقا ان في")</f>
        <v>فيرسل لاقا ان في</v>
      </c>
      <c r="L886" s="142" t="str">
        <f>IFERROR(__xludf.DUMMYFUNCTION("""COMPUTED_VALUE"""),"422097")</f>
        <v>422097</v>
      </c>
      <c r="M886" s="133"/>
      <c r="N886" s="133"/>
      <c r="O886" s="133"/>
      <c r="P886" s="133"/>
      <c r="Q886" s="133"/>
      <c r="R886" s="133"/>
      <c r="S886" s="133"/>
      <c r="T886" s="133"/>
      <c r="U886" s="133"/>
      <c r="V886" s="133"/>
      <c r="W886" s="133"/>
      <c r="X886" s="133"/>
      <c r="Y886" s="133"/>
      <c r="Z886" s="133"/>
    </row>
    <row r="887">
      <c r="A887" s="133">
        <f>IFERROR(__xludf.DUMMYFUNCTION("""COMPUTED_VALUE"""),886.0)</f>
        <v>886</v>
      </c>
      <c r="B887" s="133" t="str">
        <f>IFERROR(__xludf.DUMMYFUNCTION("""COMPUTED_VALUE"""),"422170")</f>
        <v>422170</v>
      </c>
      <c r="C887" s="133" t="str">
        <f>IFERROR(__xludf.DUMMYFUNCTION("""COMPUTED_VALUE"""),"P-1-N-170222-1058")</f>
        <v>P-1-N-170222-1058</v>
      </c>
      <c r="D887" s="133"/>
      <c r="E887" s="133" t="str">
        <f>IFERROR(__xludf.DUMMYFUNCTION("""COMPUTED_VALUE"""),"تمت طباعة الشهادة")</f>
        <v>تمت طباعة الشهادة</v>
      </c>
      <c r="F887" s="133" t="str">
        <f>IFERROR(__xludf.DUMMYFUNCTION("""COMPUTED_VALUE"""),"Nutribird A19 250g")</f>
        <v>Nutribird A19 250g</v>
      </c>
      <c r="G887" s="133" t="str">
        <f>IFERROR(__xludf.DUMMYFUNCTION("""COMPUTED_VALUE"""),"نيوتريبيرد")</f>
        <v>نيوتريبيرد</v>
      </c>
      <c r="H887" s="133" t="str">
        <f>IFERROR(__xludf.DUMMYFUNCTION("""COMPUTED_VALUE"""),"MAFE2022637")</f>
        <v>MAFE2022637</v>
      </c>
      <c r="I887" s="133"/>
      <c r="J887" s="133"/>
      <c r="K887" s="133" t="str">
        <f>IFERROR(__xludf.DUMMYFUNCTION("""COMPUTED_VALUE"""),"فيرسل لاقا ان في")</f>
        <v>فيرسل لاقا ان في</v>
      </c>
      <c r="L887" s="142" t="str">
        <f>IFERROR(__xludf.DUMMYFUNCTION("""COMPUTED_VALUE"""),"422170")</f>
        <v>422170</v>
      </c>
      <c r="M887" s="133"/>
      <c r="N887" s="133"/>
      <c r="O887" s="133"/>
      <c r="P887" s="133"/>
      <c r="Q887" s="133"/>
      <c r="R887" s="133"/>
      <c r="S887" s="133"/>
      <c r="T887" s="133"/>
      <c r="U887" s="133"/>
      <c r="V887" s="133"/>
      <c r="W887" s="133"/>
      <c r="X887" s="133"/>
      <c r="Y887" s="133"/>
      <c r="Z887" s="133"/>
    </row>
    <row r="888">
      <c r="A888" s="133">
        <f>IFERROR(__xludf.DUMMYFUNCTION("""COMPUTED_VALUE"""),887.0)</f>
        <v>887</v>
      </c>
      <c r="B888" s="133" t="str">
        <f>IFERROR(__xludf.DUMMYFUNCTION("""COMPUTED_VALUE"""),"422012")</f>
        <v>422012</v>
      </c>
      <c r="C888" s="133" t="str">
        <f>IFERROR(__xludf.DUMMYFUNCTION("""COMPUTED_VALUE"""),"P-1-N-170222-1059")</f>
        <v>P-1-N-170222-1059</v>
      </c>
      <c r="D888" s="133"/>
      <c r="E888" s="133" t="str">
        <f>IFERROR(__xludf.DUMMYFUNCTION("""COMPUTED_VALUE"""),"تمت طباعة الشهادة")</f>
        <v>تمت طباعة الشهادة</v>
      </c>
      <c r="F888" s="133" t="str">
        <f>IFERROR(__xludf.DUMMYFUNCTION("""COMPUTED_VALUE"""),"Nutribird A19 800g")</f>
        <v>Nutribird A19 800g</v>
      </c>
      <c r="G888" s="133" t="str">
        <f>IFERROR(__xludf.DUMMYFUNCTION("""COMPUTED_VALUE"""),"نيوتريبيرد اي19 800 جم")</f>
        <v>نيوتريبيرد اي19 800 جم</v>
      </c>
      <c r="H888" s="133" t="str">
        <f>IFERROR(__xludf.DUMMYFUNCTION("""COMPUTED_VALUE"""),"MAFE2022630")</f>
        <v>MAFE2022630</v>
      </c>
      <c r="I888" s="133"/>
      <c r="J888" s="133"/>
      <c r="K888" s="133" t="str">
        <f>IFERROR(__xludf.DUMMYFUNCTION("""COMPUTED_VALUE"""),"Agency")</f>
        <v>Agency</v>
      </c>
      <c r="L888" s="142" t="str">
        <f>IFERROR(__xludf.DUMMYFUNCTION("""COMPUTED_VALUE"""),"422012")</f>
        <v>422012</v>
      </c>
      <c r="M888" s="133"/>
      <c r="N888" s="133"/>
      <c r="O888" s="133"/>
      <c r="P888" s="133"/>
      <c r="Q888" s="133"/>
      <c r="R888" s="133"/>
      <c r="S888" s="133"/>
      <c r="T888" s="133"/>
      <c r="U888" s="133"/>
      <c r="V888" s="133"/>
      <c r="W888" s="133"/>
      <c r="X888" s="133"/>
      <c r="Y888" s="133"/>
      <c r="Z888" s="133"/>
    </row>
    <row r="889">
      <c r="A889" s="133">
        <f>IFERROR(__xludf.DUMMYFUNCTION("""COMPUTED_VALUE"""),888.0)</f>
        <v>888</v>
      </c>
      <c r="B889" s="133" t="str">
        <f>IFERROR(__xludf.DUMMYFUNCTION("""COMPUTED_VALUE"""),"422173")</f>
        <v>422173</v>
      </c>
      <c r="C889" s="133" t="str">
        <f>IFERROR(__xludf.DUMMYFUNCTION("""COMPUTED_VALUE"""),"P-1-N-170222-1060")</f>
        <v>P-1-N-170222-1060</v>
      </c>
      <c r="D889" s="133"/>
      <c r="E889" s="133" t="str">
        <f>IFERROR(__xludf.DUMMYFUNCTION("""COMPUTED_VALUE"""),"تمت طباعة الشهادة")</f>
        <v>تمت طباعة الشهادة</v>
      </c>
      <c r="F889" s="133" t="str">
        <f>IFERROR(__xludf.DUMMYFUNCTION("""COMPUTED_VALUE"""),"Nutribird A21 250g")</f>
        <v>Nutribird A21 250g</v>
      </c>
      <c r="G889" s="133" t="str">
        <f>IFERROR(__xludf.DUMMYFUNCTION("""COMPUTED_VALUE"""),"نيوتريبيرد اي21 250 جم")</f>
        <v>نيوتريبيرد اي21 250 جم</v>
      </c>
      <c r="H889" s="133" t="str">
        <f>IFERROR(__xludf.DUMMYFUNCTION("""COMPUTED_VALUE"""),"MAFE2022636")</f>
        <v>MAFE2022636</v>
      </c>
      <c r="I889" s="133"/>
      <c r="J889" s="133"/>
      <c r="K889" s="133" t="str">
        <f>IFERROR(__xludf.DUMMYFUNCTION("""COMPUTED_VALUE"""),"فيرسل لاقا ان في")</f>
        <v>فيرسل لاقا ان في</v>
      </c>
      <c r="L889" s="142" t="str">
        <f>IFERROR(__xludf.DUMMYFUNCTION("""COMPUTED_VALUE"""),"422173")</f>
        <v>422173</v>
      </c>
      <c r="M889" s="133"/>
      <c r="N889" s="133"/>
      <c r="O889" s="133"/>
      <c r="P889" s="133"/>
      <c r="Q889" s="133"/>
      <c r="R889" s="133"/>
      <c r="S889" s="133"/>
      <c r="T889" s="133"/>
      <c r="U889" s="133"/>
      <c r="V889" s="133"/>
      <c r="W889" s="133"/>
      <c r="X889" s="133"/>
      <c r="Y889" s="133"/>
      <c r="Z889" s="133"/>
    </row>
    <row r="890">
      <c r="A890" s="133">
        <f>IFERROR(__xludf.DUMMYFUNCTION("""COMPUTED_VALUE"""),889.0)</f>
        <v>889</v>
      </c>
      <c r="B890" s="133" t="str">
        <f>IFERROR(__xludf.DUMMYFUNCTION("""COMPUTED_VALUE"""),"422010")</f>
        <v>422010</v>
      </c>
      <c r="C890" s="133" t="str">
        <f>IFERROR(__xludf.DUMMYFUNCTION("""COMPUTED_VALUE"""),"P-1-N-170222-1061")</f>
        <v>P-1-N-170222-1061</v>
      </c>
      <c r="D890" s="133"/>
      <c r="E890" s="133" t="str">
        <f>IFERROR(__xludf.DUMMYFUNCTION("""COMPUTED_VALUE"""),"تمت طباعة الشهادة")</f>
        <v>تمت طباعة الشهادة</v>
      </c>
      <c r="F890" s="133" t="str">
        <f>IFERROR(__xludf.DUMMYFUNCTION("""COMPUTED_VALUE"""),"Nutribird A21 800g")</f>
        <v>Nutribird A21 800g</v>
      </c>
      <c r="G890" s="133" t="str">
        <f>IFERROR(__xludf.DUMMYFUNCTION("""COMPUTED_VALUE"""),"نيوتريبيرد اي21 800 جم")</f>
        <v>نيوتريبيرد اي21 800 جم</v>
      </c>
      <c r="H890" s="133" t="str">
        <f>IFERROR(__xludf.DUMMYFUNCTION("""COMPUTED_VALUE"""),"MAFE2022635")</f>
        <v>MAFE2022635</v>
      </c>
      <c r="I890" s="133"/>
      <c r="J890" s="133"/>
      <c r="K890" s="133" t="str">
        <f>IFERROR(__xludf.DUMMYFUNCTION("""COMPUTED_VALUE"""),"فيرسل لاقا ان في")</f>
        <v>فيرسل لاقا ان في</v>
      </c>
      <c r="L890" s="142" t="str">
        <f>IFERROR(__xludf.DUMMYFUNCTION("""COMPUTED_VALUE"""),"422010")</f>
        <v>422010</v>
      </c>
      <c r="M890" s="133"/>
      <c r="N890" s="133"/>
      <c r="O890" s="133"/>
      <c r="P890" s="133"/>
      <c r="Q890" s="133"/>
      <c r="R890" s="133"/>
      <c r="S890" s="133"/>
      <c r="T890" s="133"/>
      <c r="U890" s="133"/>
      <c r="V890" s="133"/>
      <c r="W890" s="133"/>
      <c r="X890" s="133"/>
      <c r="Y890" s="133"/>
      <c r="Z890" s="133"/>
    </row>
    <row r="891">
      <c r="A891" s="133">
        <f>IFERROR(__xludf.DUMMYFUNCTION("""COMPUTED_VALUE"""),890.0)</f>
        <v>890</v>
      </c>
      <c r="B891" s="133" t="str">
        <f>IFERROR(__xludf.DUMMYFUNCTION("""COMPUTED_VALUE"""),"422015")</f>
        <v>422015</v>
      </c>
      <c r="C891" s="133" t="str">
        <f>IFERROR(__xludf.DUMMYFUNCTION("""COMPUTED_VALUE"""),"P-1-N-170222-1062")</f>
        <v>P-1-N-170222-1062</v>
      </c>
      <c r="D891" s="133"/>
      <c r="E891" s="133" t="str">
        <f>IFERROR(__xludf.DUMMYFUNCTION("""COMPUTED_VALUE"""),"تمت طباعة الشهادة")</f>
        <v>تمت طباعة الشهادة</v>
      </c>
      <c r="F891" s="133" t="str">
        <f>IFERROR(__xludf.DUMMYFUNCTION("""COMPUTED_VALUE"""),"Nutribird A21 3kg")</f>
        <v>Nutribird A21 3kg</v>
      </c>
      <c r="G891" s="133" t="str">
        <f>IFERROR(__xludf.DUMMYFUNCTION("""COMPUTED_VALUE"""),"نيوتريبيرد اي21 3 كجم")</f>
        <v>نيوتريبيرد اي21 3 كجم</v>
      </c>
      <c r="H891" s="133" t="str">
        <f>IFERROR(__xludf.DUMMYFUNCTION("""COMPUTED_VALUE"""),"MAFE2022631")</f>
        <v>MAFE2022631</v>
      </c>
      <c r="I891" s="133"/>
      <c r="J891" s="133"/>
      <c r="K891" s="133" t="str">
        <f>IFERROR(__xludf.DUMMYFUNCTION("""COMPUTED_VALUE"""),"فيرسل لاقا ان في")</f>
        <v>فيرسل لاقا ان في</v>
      </c>
      <c r="L891" s="142" t="str">
        <f>IFERROR(__xludf.DUMMYFUNCTION("""COMPUTED_VALUE"""),"422015")</f>
        <v>422015</v>
      </c>
      <c r="M891" s="133"/>
      <c r="N891" s="133"/>
      <c r="O891" s="133"/>
      <c r="P891" s="133"/>
      <c r="Q891" s="133"/>
      <c r="R891" s="133"/>
      <c r="S891" s="133"/>
      <c r="T891" s="133"/>
      <c r="U891" s="133"/>
      <c r="V891" s="133"/>
      <c r="W891" s="133"/>
      <c r="X891" s="133"/>
      <c r="Y891" s="133"/>
      <c r="Z891" s="133"/>
    </row>
    <row r="892">
      <c r="A892" s="133">
        <f>IFERROR(__xludf.DUMMYFUNCTION("""COMPUTED_VALUE"""),891.0)</f>
        <v>891</v>
      </c>
      <c r="B892" s="133" t="str">
        <f>IFERROR(__xludf.DUMMYFUNCTION("""COMPUTED_VALUE"""),"422176")</f>
        <v>422176</v>
      </c>
      <c r="C892" s="133" t="str">
        <f>IFERROR(__xludf.DUMMYFUNCTION("""COMPUTED_VALUE"""),"P-1-N-170222-1063")</f>
        <v>P-1-N-170222-1063</v>
      </c>
      <c r="D892" s="133"/>
      <c r="E892" s="133" t="str">
        <f>IFERROR(__xludf.DUMMYFUNCTION("""COMPUTED_VALUE"""),"تمت طباعة الشهادة")</f>
        <v>تمت طباعة الشهادة</v>
      </c>
      <c r="F892" s="133" t="str">
        <f>IFERROR(__xludf.DUMMYFUNCTION("""COMPUTED_VALUE"""),"Nutribird ALLROUND 250g")</f>
        <v>Nutribird ALLROUND 250g</v>
      </c>
      <c r="G892" s="133" t="str">
        <f>IFERROR(__xludf.DUMMYFUNCTION("""COMPUTED_VALUE"""),"نيوتريبيرد اولراوند 250 جم")</f>
        <v>نيوتريبيرد اولراوند 250 جم</v>
      </c>
      <c r="H892" s="133" t="str">
        <f>IFERROR(__xludf.DUMMYFUNCTION("""COMPUTED_VALUE"""),"MAFE2022634")</f>
        <v>MAFE2022634</v>
      </c>
      <c r="I892" s="133"/>
      <c r="J892" s="133"/>
      <c r="K892" s="133" t="str">
        <f>IFERROR(__xludf.DUMMYFUNCTION("""COMPUTED_VALUE"""),"فيرسل لاقا ان في")</f>
        <v>فيرسل لاقا ان في</v>
      </c>
      <c r="L892" s="142" t="str">
        <f>IFERROR(__xludf.DUMMYFUNCTION("""COMPUTED_VALUE"""),"422176")</f>
        <v>422176</v>
      </c>
      <c r="M892" s="133"/>
      <c r="N892" s="133"/>
      <c r="O892" s="133"/>
      <c r="P892" s="133"/>
      <c r="Q892" s="133"/>
      <c r="R892" s="133"/>
      <c r="S892" s="133"/>
      <c r="T892" s="133"/>
      <c r="U892" s="133"/>
      <c r="V892" s="133"/>
      <c r="W892" s="133"/>
      <c r="X892" s="133"/>
      <c r="Y892" s="133"/>
      <c r="Z892" s="133"/>
    </row>
    <row r="893">
      <c r="A893" s="133">
        <f>IFERROR(__xludf.DUMMYFUNCTION("""COMPUTED_VALUE"""),892.0)</f>
        <v>892</v>
      </c>
      <c r="B893" s="133"/>
      <c r="C893" s="133" t="str">
        <f>IFERROR(__xludf.DUMMYFUNCTION("""COMPUTED_VALUE"""),"P-1-N-170222-1064")</f>
        <v>P-1-N-170222-1064</v>
      </c>
      <c r="D893" s="133"/>
      <c r="E893" s="133" t="str">
        <f>IFERROR(__xludf.DUMMYFUNCTION("""COMPUTED_VALUE"""),"تمت طباعة الشهادة")</f>
        <v>تمت طباعة الشهادة</v>
      </c>
      <c r="F893" s="133" t="str">
        <f>IFERROR(__xludf.DUMMYFUNCTION("""COMPUTED_VALUE"""),"English Name")</f>
        <v>English Name</v>
      </c>
      <c r="G893" s="133" t="str">
        <f>IFERROR(__xludf.DUMMYFUNCTION("""COMPUTED_VALUE"""),"نيوتريبيرد اولراوند 800 جم")</f>
        <v>نيوتريبيرد اولراوند 800 جم</v>
      </c>
      <c r="H893" s="133" t="str">
        <f>IFERROR(__xludf.DUMMYFUNCTION("""COMPUTED_VALUE"""),"MAFE2022632")</f>
        <v>MAFE2022632</v>
      </c>
      <c r="I893" s="133"/>
      <c r="J893" s="133"/>
      <c r="K893" s="133" t="str">
        <f>IFERROR(__xludf.DUMMYFUNCTION("""COMPUTED_VALUE"""),"فيرسل لاقا ان في")</f>
        <v>فيرسل لاقا ان في</v>
      </c>
      <c r="L893" s="133"/>
      <c r="M893" s="133"/>
      <c r="N893" s="133"/>
      <c r="O893" s="133"/>
      <c r="P893" s="133"/>
      <c r="Q893" s="133"/>
      <c r="R893" s="133"/>
      <c r="S893" s="133"/>
      <c r="T893" s="133"/>
      <c r="U893" s="133"/>
      <c r="V893" s="133"/>
      <c r="W893" s="133"/>
      <c r="X893" s="133"/>
      <c r="Y893" s="133"/>
      <c r="Z893" s="133"/>
    </row>
    <row r="894">
      <c r="A894" s="133">
        <f>IFERROR(__xludf.DUMMYFUNCTION("""COMPUTED_VALUE"""),893.0)</f>
        <v>893</v>
      </c>
      <c r="B894" s="133" t="str">
        <f>IFERROR(__xludf.DUMMYFUNCTION("""COMPUTED_VALUE"""),"VL422101")</f>
        <v>VL422101</v>
      </c>
      <c r="C894" s="133" t="str">
        <f>IFERROR(__xludf.DUMMYFUNCTION("""COMPUTED_VALUE"""),"P-1-N-170222-1074")</f>
        <v>P-1-N-170222-1074</v>
      </c>
      <c r="D894" s="133"/>
      <c r="E894" s="133" t="str">
        <f>IFERROR(__xludf.DUMMYFUNCTION("""COMPUTED_VALUE"""),"تمت طباعة الشهادة")</f>
        <v>تمت طباعة الشهادة</v>
      </c>
      <c r="F894" s="133" t="str">
        <f>IFERROR(__xludf.DUMMYFUNCTION("""COMPUTED_VALUE"""),"Nutribird B14 800g")</f>
        <v>Nutribird B14 800g</v>
      </c>
      <c r="G894" s="133" t="str">
        <f>IFERROR(__xludf.DUMMYFUNCTION("""COMPUTED_VALUE"""),"نيوتريبيرد بي14 800 جم")</f>
        <v>نيوتريبيرد بي14 800 جم</v>
      </c>
      <c r="H894" s="133"/>
      <c r="I894" s="133"/>
      <c r="J894" s="133"/>
      <c r="K894" s="133" t="str">
        <f>IFERROR(__xludf.DUMMYFUNCTION("""COMPUTED_VALUE"""),"فيرسل لاقا ان في")</f>
        <v>فيرسل لاقا ان في</v>
      </c>
      <c r="L894" s="142" t="str">
        <f>IFERROR(__xludf.DUMMYFUNCTION("""COMPUTED_VALUE"""),"VL422101")</f>
        <v>VL422101</v>
      </c>
      <c r="M894" s="133"/>
      <c r="N894" s="133"/>
      <c r="O894" s="133"/>
      <c r="P894" s="133"/>
      <c r="Q894" s="133"/>
      <c r="R894" s="133"/>
      <c r="S894" s="133"/>
      <c r="T894" s="133"/>
      <c r="U894" s="133"/>
      <c r="V894" s="133"/>
      <c r="W894" s="133"/>
      <c r="X894" s="133"/>
      <c r="Y894" s="133"/>
      <c r="Z894" s="133"/>
    </row>
    <row r="895">
      <c r="A895" s="133">
        <f>IFERROR(__xludf.DUMMYFUNCTION("""COMPUTED_VALUE"""),894.0)</f>
        <v>894</v>
      </c>
      <c r="B895" s="133" t="str">
        <f>IFERROR(__xludf.DUMMYFUNCTION("""COMPUTED_VALUE"""),"VL422103")</f>
        <v>VL422103</v>
      </c>
      <c r="C895" s="133" t="str">
        <f>IFERROR(__xludf.DUMMYFUNCTION("""COMPUTED_VALUE"""),"P-1-N-170222-1075")</f>
        <v>P-1-N-170222-1075</v>
      </c>
      <c r="D895" s="133"/>
      <c r="E895" s="133" t="str">
        <f>IFERROR(__xludf.DUMMYFUNCTION("""COMPUTED_VALUE"""),"تمت طباعة الشهادة")</f>
        <v>تمت طباعة الشهادة</v>
      </c>
      <c r="F895" s="133" t="str">
        <f>IFERROR(__xludf.DUMMYFUNCTION("""COMPUTED_VALUE"""),"Nutribird B18 3kg")</f>
        <v>Nutribird B18 3kg</v>
      </c>
      <c r="G895" s="133" t="str">
        <f>IFERROR(__xludf.DUMMYFUNCTION("""COMPUTED_VALUE"""),"نيوتريبيرد بي18 3 كجم")</f>
        <v>نيوتريبيرد بي18 3 كجم</v>
      </c>
      <c r="H895" s="133" t="str">
        <f>IFERROR(__xludf.DUMMYFUNCTION("""COMPUTED_VALUE"""),"MAFE2022623")</f>
        <v>MAFE2022623</v>
      </c>
      <c r="I895" s="133"/>
      <c r="J895" s="133"/>
      <c r="K895" s="133" t="str">
        <f>IFERROR(__xludf.DUMMYFUNCTION("""COMPUTED_VALUE"""),"فيرسل لاقا ان في")</f>
        <v>فيرسل لاقا ان في</v>
      </c>
      <c r="L895" s="142" t="str">
        <f>IFERROR(__xludf.DUMMYFUNCTION("""COMPUTED_VALUE"""),"VL422103")</f>
        <v>VL422103</v>
      </c>
      <c r="M895" s="133"/>
      <c r="N895" s="133"/>
      <c r="O895" s="133"/>
      <c r="P895" s="133"/>
      <c r="Q895" s="133"/>
      <c r="R895" s="133"/>
      <c r="S895" s="133"/>
      <c r="T895" s="133"/>
      <c r="U895" s="133"/>
      <c r="V895" s="133"/>
      <c r="W895" s="133"/>
      <c r="X895" s="133"/>
      <c r="Y895" s="133"/>
      <c r="Z895" s="133"/>
    </row>
    <row r="896">
      <c r="A896" s="133">
        <f>IFERROR(__xludf.DUMMYFUNCTION("""COMPUTED_VALUE"""),895.0)</f>
        <v>895</v>
      </c>
      <c r="B896" s="133" t="str">
        <f>IFERROR(__xludf.DUMMYFUNCTION("""COMPUTED_VALUE"""),"VL422115")</f>
        <v>VL422115</v>
      </c>
      <c r="C896" s="133" t="str">
        <f>IFERROR(__xludf.DUMMYFUNCTION("""COMPUTED_VALUE"""),"P-1-N-170222-1076")</f>
        <v>P-1-N-170222-1076</v>
      </c>
      <c r="D896" s="133"/>
      <c r="E896" s="133" t="str">
        <f>IFERROR(__xludf.DUMMYFUNCTION("""COMPUTED_VALUE"""),"تمت طباعة الشهادة")</f>
        <v>تمت طباعة الشهادة</v>
      </c>
      <c r="F896" s="133" t="str">
        <f>IFERROR(__xludf.DUMMYFUNCTION("""COMPUTED_VALUE"""),"Nutribird G14 Tropical 1kg")</f>
        <v>Nutribird G14 Tropical 1kg</v>
      </c>
      <c r="G896" s="133" t="str">
        <f>IFERROR(__xludf.DUMMYFUNCTION("""COMPUTED_VALUE"""),"نيوتريبيرد جي14 تروبيكال 1 كجم")</f>
        <v>نيوتريبيرد جي14 تروبيكال 1 كجم</v>
      </c>
      <c r="H896" s="133" t="str">
        <f>IFERROR(__xludf.DUMMYFUNCTION("""COMPUTED_VALUE"""),"MAFE2022626")</f>
        <v>MAFE2022626</v>
      </c>
      <c r="I896" s="133"/>
      <c r="J896" s="133"/>
      <c r="K896" s="133" t="str">
        <f>IFERROR(__xludf.DUMMYFUNCTION("""COMPUTED_VALUE"""),"فيرسل لاقا ان في")</f>
        <v>فيرسل لاقا ان في</v>
      </c>
      <c r="L896" s="142" t="str">
        <f>IFERROR(__xludf.DUMMYFUNCTION("""COMPUTED_VALUE"""),"VL422115")</f>
        <v>VL422115</v>
      </c>
      <c r="M896" s="133"/>
      <c r="N896" s="133"/>
      <c r="O896" s="133"/>
      <c r="P896" s="133"/>
      <c r="Q896" s="133"/>
      <c r="R896" s="133"/>
      <c r="S896" s="133"/>
      <c r="T896" s="133"/>
      <c r="U896" s="133"/>
      <c r="V896" s="133"/>
      <c r="W896" s="133"/>
      <c r="X896" s="133"/>
      <c r="Y896" s="133"/>
      <c r="Z896" s="133"/>
    </row>
    <row r="897">
      <c r="A897" s="133">
        <f>IFERROR(__xludf.DUMMYFUNCTION("""COMPUTED_VALUE"""),896.0)</f>
        <v>896</v>
      </c>
      <c r="B897" s="133" t="str">
        <f>IFERROR(__xludf.DUMMYFUNCTION("""COMPUTED_VALUE"""),"VL422116")</f>
        <v>VL422116</v>
      </c>
      <c r="C897" s="133" t="str">
        <f>IFERROR(__xludf.DUMMYFUNCTION("""COMPUTED_VALUE"""),"P-1-N-170222-1077")</f>
        <v>P-1-N-170222-1077</v>
      </c>
      <c r="D897" s="133"/>
      <c r="E897" s="133" t="str">
        <f>IFERROR(__xludf.DUMMYFUNCTION("""COMPUTED_VALUE"""),"تمت طباعة الشهادة")</f>
        <v>تمت طباعة الشهادة</v>
      </c>
      <c r="F897" s="133" t="str">
        <f>IFERROR(__xludf.DUMMYFUNCTION("""COMPUTED_VALUE"""),"Nutribird G14 Tropical 3kg")</f>
        <v>Nutribird G14 Tropical 3kg</v>
      </c>
      <c r="G897" s="133" t="str">
        <f>IFERROR(__xludf.DUMMYFUNCTION("""COMPUTED_VALUE"""),"نيوتريبيرد")</f>
        <v>نيوتريبيرد</v>
      </c>
      <c r="H897" s="133" t="str">
        <f>IFERROR(__xludf.DUMMYFUNCTION("""COMPUTED_VALUE"""),"MAFE2022629")</f>
        <v>MAFE2022629</v>
      </c>
      <c r="I897" s="133"/>
      <c r="J897" s="133"/>
      <c r="K897" s="133" t="str">
        <f>IFERROR(__xludf.DUMMYFUNCTION("""COMPUTED_VALUE"""),"فيرسل لاقا ان في")</f>
        <v>فيرسل لاقا ان في</v>
      </c>
      <c r="L897" s="142" t="str">
        <f>IFERROR(__xludf.DUMMYFUNCTION("""COMPUTED_VALUE"""),"VL422116")</f>
        <v>VL422116</v>
      </c>
      <c r="M897" s="133"/>
      <c r="N897" s="133"/>
      <c r="O897" s="133"/>
      <c r="P897" s="133"/>
      <c r="Q897" s="133"/>
      <c r="R897" s="133"/>
      <c r="S897" s="133"/>
      <c r="T897" s="133"/>
      <c r="U897" s="133"/>
      <c r="V897" s="133"/>
      <c r="W897" s="133"/>
      <c r="X897" s="133"/>
      <c r="Y897" s="133"/>
      <c r="Z897" s="133"/>
    </row>
    <row r="898">
      <c r="A898" s="133">
        <f>IFERROR(__xludf.DUMMYFUNCTION("""COMPUTED_VALUE"""),897.0)</f>
        <v>897</v>
      </c>
      <c r="B898" s="133" t="str">
        <f>IFERROR(__xludf.DUMMYFUNCTION("""COMPUTED_VALUE"""),"VL422128")</f>
        <v>VL422128</v>
      </c>
      <c r="C898" s="133" t="str">
        <f>IFERROR(__xludf.DUMMYFUNCTION("""COMPUTED_VALUE"""),"P-1-N-170222-1078")</f>
        <v>P-1-N-170222-1078</v>
      </c>
      <c r="D898" s="133"/>
      <c r="E898" s="133" t="str">
        <f>IFERROR(__xludf.DUMMYFUNCTION("""COMPUTED_VALUE"""),"تمت طباعة الشهادة")</f>
        <v>تمت طباعة الشهادة</v>
      </c>
      <c r="F898" s="133" t="str">
        <f>IFERROR(__xludf.DUMMYFUNCTION("""COMPUTED_VALUE"""),"Nutribird P15 Tropical 1kg")</f>
        <v>Nutribird P15 Tropical 1kg</v>
      </c>
      <c r="G898" s="133" t="str">
        <f>IFERROR(__xludf.DUMMYFUNCTION("""COMPUTED_VALUE"""),"نيوتريبيرد بي15 تروبيكال 1 كجم")</f>
        <v>نيوتريبيرد بي15 تروبيكال 1 كجم</v>
      </c>
      <c r="H898" s="133" t="str">
        <f>IFERROR(__xludf.DUMMYFUNCTION("""COMPUTED_VALUE"""),"MAFE2022628")</f>
        <v>MAFE2022628</v>
      </c>
      <c r="I898" s="133"/>
      <c r="J898" s="133"/>
      <c r="K898" s="133" t="str">
        <f>IFERROR(__xludf.DUMMYFUNCTION("""COMPUTED_VALUE"""),"فيرسل لاقا ان في")</f>
        <v>فيرسل لاقا ان في</v>
      </c>
      <c r="L898" s="142" t="str">
        <f>IFERROR(__xludf.DUMMYFUNCTION("""COMPUTED_VALUE"""),"VL422128")</f>
        <v>VL422128</v>
      </c>
      <c r="M898" s="133"/>
      <c r="N898" s="133"/>
      <c r="O898" s="133"/>
      <c r="P898" s="133"/>
      <c r="Q898" s="133"/>
      <c r="R898" s="133"/>
      <c r="S898" s="133"/>
      <c r="T898" s="133"/>
      <c r="U898" s="133"/>
      <c r="V898" s="133"/>
      <c r="W898" s="133"/>
      <c r="X898" s="133"/>
      <c r="Y898" s="133"/>
      <c r="Z898" s="133"/>
    </row>
    <row r="899">
      <c r="A899" s="133">
        <f>IFERROR(__xludf.DUMMYFUNCTION("""COMPUTED_VALUE"""),898.0)</f>
        <v>898</v>
      </c>
      <c r="B899" s="133" t="str">
        <f>IFERROR(__xludf.DUMMYFUNCTION("""COMPUTED_VALUE"""),"VL422129")</f>
        <v>VL422129</v>
      </c>
      <c r="C899" s="133" t="str">
        <f>IFERROR(__xludf.DUMMYFUNCTION("""COMPUTED_VALUE"""),"P-1-N-170222-1079")</f>
        <v>P-1-N-170222-1079</v>
      </c>
      <c r="D899" s="133"/>
      <c r="E899" s="133" t="str">
        <f>IFERROR(__xludf.DUMMYFUNCTION("""COMPUTED_VALUE"""),"تمت طباعة الشهادة")</f>
        <v>تمت طباعة الشهادة</v>
      </c>
      <c r="F899" s="133" t="str">
        <f>IFERROR(__xludf.DUMMYFUNCTION("""COMPUTED_VALUE"""),"Nutribird P15 Tropical 3kg")</f>
        <v>Nutribird P15 Tropical 3kg</v>
      </c>
      <c r="G899" s="133" t="str">
        <f>IFERROR(__xludf.DUMMYFUNCTION("""COMPUTED_VALUE"""),"نيوتريبيرد بي15 تروبيكال 3 كجم")</f>
        <v>نيوتريبيرد بي15 تروبيكال 3 كجم</v>
      </c>
      <c r="H899" s="133" t="str">
        <f>IFERROR(__xludf.DUMMYFUNCTION("""COMPUTED_VALUE"""),"MAFE2022625")</f>
        <v>MAFE2022625</v>
      </c>
      <c r="I899" s="133"/>
      <c r="J899" s="133"/>
      <c r="K899" s="133" t="str">
        <f>IFERROR(__xludf.DUMMYFUNCTION("""COMPUTED_VALUE"""),"فيرسل لاقا ان في")</f>
        <v>فيرسل لاقا ان في</v>
      </c>
      <c r="L899" s="142" t="str">
        <f>IFERROR(__xludf.DUMMYFUNCTION("""COMPUTED_VALUE"""),"VL422129")</f>
        <v>VL422129</v>
      </c>
      <c r="M899" s="133"/>
      <c r="N899" s="133"/>
      <c r="O899" s="133"/>
      <c r="P899" s="133"/>
      <c r="Q899" s="133"/>
      <c r="R899" s="133"/>
      <c r="S899" s="133"/>
      <c r="T899" s="133"/>
      <c r="U899" s="133"/>
      <c r="V899" s="133"/>
      <c r="W899" s="133"/>
      <c r="X899" s="133"/>
      <c r="Y899" s="133"/>
      <c r="Z899" s="133"/>
    </row>
    <row r="900">
      <c r="A900" s="133">
        <f>IFERROR(__xludf.DUMMYFUNCTION("""COMPUTED_VALUE"""),899.0)</f>
        <v>899</v>
      </c>
      <c r="B900" s="133" t="str">
        <f>IFERROR(__xludf.DUMMYFUNCTION("""COMPUTED_VALUE"""),"422122")</f>
        <v>422122</v>
      </c>
      <c r="C900" s="133" t="str">
        <f>IFERROR(__xludf.DUMMYFUNCTION("""COMPUTED_VALUE"""),"P-1-N-170222-1081")</f>
        <v>P-1-N-170222-1081</v>
      </c>
      <c r="D900" s="133"/>
      <c r="E900" s="133" t="str">
        <f>IFERROR(__xludf.DUMMYFUNCTION("""COMPUTED_VALUE"""),"تمت طباعة الشهادة")</f>
        <v>تمت طباعة الشهادة</v>
      </c>
      <c r="F900" s="133" t="str">
        <f>IFERROR(__xludf.DUMMYFUNCTION("""COMPUTED_VALUE"""),"Nutribird Lori 700g")</f>
        <v>Nutribird Lori 700g</v>
      </c>
      <c r="G900" s="133" t="str">
        <f>IFERROR(__xludf.DUMMYFUNCTION("""COMPUTED_VALUE"""),"نيوتريبيرد لوري 700 جم")</f>
        <v>نيوتريبيرد لوري 700 جم</v>
      </c>
      <c r="H900" s="133" t="str">
        <f>IFERROR(__xludf.DUMMYFUNCTION("""COMPUTED_VALUE"""),"MAFE2022620")</f>
        <v>MAFE2022620</v>
      </c>
      <c r="I900" s="133"/>
      <c r="J900" s="133"/>
      <c r="K900" s="133" t="str">
        <f>IFERROR(__xludf.DUMMYFUNCTION("""COMPUTED_VALUE"""),"فيرسل لاقا ان في")</f>
        <v>فيرسل لاقا ان في</v>
      </c>
      <c r="L900" s="142" t="str">
        <f>IFERROR(__xludf.DUMMYFUNCTION("""COMPUTED_VALUE"""),"422122")</f>
        <v>422122</v>
      </c>
      <c r="M900" s="133"/>
      <c r="N900" s="133"/>
      <c r="O900" s="133"/>
      <c r="P900" s="133"/>
      <c r="Q900" s="133"/>
      <c r="R900" s="133"/>
      <c r="S900" s="133"/>
      <c r="T900" s="133"/>
      <c r="U900" s="133"/>
      <c r="V900" s="133"/>
      <c r="W900" s="133"/>
      <c r="X900" s="133"/>
      <c r="Y900" s="133"/>
      <c r="Z900" s="133"/>
    </row>
    <row r="901">
      <c r="A901" s="133">
        <f>IFERROR(__xludf.DUMMYFUNCTION("""COMPUTED_VALUE"""),900.0)</f>
        <v>900</v>
      </c>
      <c r="B901" s="133" t="str">
        <f>IFERROR(__xludf.DUMMYFUNCTION("""COMPUTED_VALUE"""),"VL422178")</f>
        <v>VL422178</v>
      </c>
      <c r="C901" s="133" t="str">
        <f>IFERROR(__xludf.DUMMYFUNCTION("""COMPUTED_VALUE"""),"P-1-N-170222-1082")</f>
        <v>P-1-N-170222-1082</v>
      </c>
      <c r="D901" s="133"/>
      <c r="E901" s="133" t="str">
        <f>IFERROR(__xludf.DUMMYFUNCTION("""COMPUTED_VALUE"""),"تمت طباعة الشهادة")</f>
        <v>تمت طباعة الشهادة</v>
      </c>
      <c r="F901" s="133" t="str">
        <f>IFERROR(__xludf.DUMMYFUNCTION("""COMPUTED_VALUE"""),"Nutribird Handmix 500g")</f>
        <v>Nutribird Handmix 500g</v>
      </c>
      <c r="G901" s="133" t="str">
        <f>IFERROR(__xludf.DUMMYFUNCTION("""COMPUTED_VALUE"""),"نيوتريبيرد هاندميكس 500 جم")</f>
        <v>نيوتريبيرد هاندميكس 500 جم</v>
      </c>
      <c r="H901" s="133" t="str">
        <f>IFERROR(__xludf.DUMMYFUNCTION("""COMPUTED_VALUE"""),"MAFE2022624")</f>
        <v>MAFE2022624</v>
      </c>
      <c r="I901" s="133"/>
      <c r="J901" s="133"/>
      <c r="K901" s="133" t="str">
        <f>IFERROR(__xludf.DUMMYFUNCTION("""COMPUTED_VALUE"""),"فيرسل لاقا ان في")</f>
        <v>فيرسل لاقا ان في</v>
      </c>
      <c r="L901" s="142" t="str">
        <f>IFERROR(__xludf.DUMMYFUNCTION("""COMPUTED_VALUE"""),"VL422178")</f>
        <v>VL422178</v>
      </c>
      <c r="M901" s="133"/>
      <c r="N901" s="133"/>
      <c r="O901" s="133"/>
      <c r="P901" s="133"/>
      <c r="Q901" s="133"/>
      <c r="R901" s="133"/>
      <c r="S901" s="133"/>
      <c r="T901" s="133"/>
      <c r="U901" s="133"/>
      <c r="V901" s="133"/>
      <c r="W901" s="133"/>
      <c r="X901" s="133"/>
      <c r="Y901" s="133"/>
      <c r="Z901" s="133"/>
    </row>
    <row r="902">
      <c r="A902" s="133">
        <f>IFERROR(__xludf.DUMMYFUNCTION("""COMPUTED_VALUE"""),901.0)</f>
        <v>901</v>
      </c>
      <c r="B902" s="133" t="str">
        <f>IFERROR(__xludf.DUMMYFUNCTION("""COMPUTED_VALUE"""),"VL424169")</f>
        <v>VL424169</v>
      </c>
      <c r="C902" s="133" t="str">
        <f>IFERROR(__xludf.DUMMYFUNCTION("""COMPUTED_VALUE"""),"P-1-N-170222-1084")</f>
        <v>P-1-N-170222-1084</v>
      </c>
      <c r="D902" s="133"/>
      <c r="E902" s="133" t="str">
        <f>IFERROR(__xludf.DUMMYFUNCTION("""COMPUTED_VALUE"""),"تمت طباعة الشهادة")</f>
        <v>تمت طباعة الشهادة</v>
      </c>
      <c r="F902" s="133" t="str">
        <f>IFERROR(__xludf.DUMMYFUNCTION("""COMPUTED_VALUE"""),"Orlux Forti Patee 250g")</f>
        <v>Orlux Forti Patee 250g</v>
      </c>
      <c r="G902" s="133" t="str">
        <f>IFERROR(__xludf.DUMMYFUNCTION("""COMPUTED_VALUE"""),"أورلوكس فورتي باتي 250 جم")</f>
        <v>أورلوكس فورتي باتي 250 جم</v>
      </c>
      <c r="H902" s="133" t="str">
        <f>IFERROR(__xludf.DUMMYFUNCTION("""COMPUTED_VALUE"""),"MAFE2022622")</f>
        <v>MAFE2022622</v>
      </c>
      <c r="I902" s="133"/>
      <c r="J902" s="133"/>
      <c r="K902" s="133" t="str">
        <f>IFERROR(__xludf.DUMMYFUNCTION("""COMPUTED_VALUE"""),"فيرسل لاقا ان في")</f>
        <v>فيرسل لاقا ان في</v>
      </c>
      <c r="L902" s="142" t="str">
        <f>IFERROR(__xludf.DUMMYFUNCTION("""COMPUTED_VALUE"""),"VL424169")</f>
        <v>VL424169</v>
      </c>
      <c r="M902" s="133"/>
      <c r="N902" s="133"/>
      <c r="O902" s="133"/>
      <c r="P902" s="133"/>
      <c r="Q902" s="133"/>
      <c r="R902" s="133"/>
      <c r="S902" s="133"/>
      <c r="T902" s="133"/>
      <c r="U902" s="133"/>
      <c r="V902" s="133"/>
      <c r="W902" s="133"/>
      <c r="X902" s="133"/>
      <c r="Y902" s="133"/>
      <c r="Z902" s="133"/>
    </row>
    <row r="903">
      <c r="A903" s="133">
        <f>IFERROR(__xludf.DUMMYFUNCTION("""COMPUTED_VALUE"""),902.0)</f>
        <v>902</v>
      </c>
      <c r="B903" s="133" t="str">
        <f>IFERROR(__xludf.DUMMYFUNCTION("""COMPUTED_VALUE"""),"VL424170")</f>
        <v>VL424170</v>
      </c>
      <c r="C903" s="133" t="str">
        <f>IFERROR(__xludf.DUMMYFUNCTION("""COMPUTED_VALUE"""),"P-1-N-170222-1085")</f>
        <v>P-1-N-170222-1085</v>
      </c>
      <c r="D903" s="133"/>
      <c r="E903" s="133" t="str">
        <f>IFERROR(__xludf.DUMMYFUNCTION("""COMPUTED_VALUE"""),"تمت طباعة الشهادة")</f>
        <v>تمت طباعة الشهادة</v>
      </c>
      <c r="F903" s="133" t="str">
        <f>IFERROR(__xludf.DUMMYFUNCTION("""COMPUTED_VALUE"""),"Orlux Frutti Patee 250g")</f>
        <v>Orlux Frutti Patee 250g</v>
      </c>
      <c r="G903" s="133" t="str">
        <f>IFERROR(__xludf.DUMMYFUNCTION("""COMPUTED_VALUE"""),"أورلوكس فروتي باتي 250 جم")</f>
        <v>أورلوكس فروتي باتي 250 جم</v>
      </c>
      <c r="H903" s="133" t="str">
        <f>IFERROR(__xludf.DUMMYFUNCTION("""COMPUTED_VALUE"""),"MAFE2022619")</f>
        <v>MAFE2022619</v>
      </c>
      <c r="I903" s="133"/>
      <c r="J903" s="133"/>
      <c r="K903" s="133" t="str">
        <f>IFERROR(__xludf.DUMMYFUNCTION("""COMPUTED_VALUE"""),"فيرسل لاقا ان في")</f>
        <v>فيرسل لاقا ان في</v>
      </c>
      <c r="L903" s="142" t="str">
        <f>IFERROR(__xludf.DUMMYFUNCTION("""COMPUTED_VALUE"""),"VL424170")</f>
        <v>VL424170</v>
      </c>
      <c r="M903" s="133"/>
      <c r="N903" s="133"/>
      <c r="O903" s="133"/>
      <c r="P903" s="133"/>
      <c r="Q903" s="133"/>
      <c r="R903" s="133"/>
      <c r="S903" s="133"/>
      <c r="T903" s="133"/>
      <c r="U903" s="133"/>
      <c r="V903" s="133"/>
      <c r="W903" s="133"/>
      <c r="X903" s="133"/>
      <c r="Y903" s="133"/>
      <c r="Z903" s="133"/>
    </row>
    <row r="904">
      <c r="A904" s="133">
        <f>IFERROR(__xludf.DUMMYFUNCTION("""COMPUTED_VALUE"""),903.0)</f>
        <v>903</v>
      </c>
      <c r="B904" s="133" t="str">
        <f>IFERROR(__xludf.DUMMYFUNCTION("""COMPUTED_VALUE"""),"424211")</f>
        <v>424211</v>
      </c>
      <c r="C904" s="133" t="str">
        <f>IFERROR(__xludf.DUMMYFUNCTION("""COMPUTED_VALUE"""),"P-1-N-170222-1086")</f>
        <v>P-1-N-170222-1086</v>
      </c>
      <c r="D904" s="133"/>
      <c r="E904" s="133" t="str">
        <f>IFERROR(__xludf.DUMMYFUNCTION("""COMPUTED_VALUE"""),"تمت طباعة الشهادة")</f>
        <v>تمت طباعة الشهادة</v>
      </c>
      <c r="F904" s="133" t="str">
        <f>IFERROR(__xludf.DUMMYFUNCTION("""COMPUTED_VALUE"""),"Orlux Frutti Patee Expert 1kg")</f>
        <v>Orlux Frutti Patee Expert 1kg</v>
      </c>
      <c r="G904" s="133" t="str">
        <f>IFERROR(__xludf.DUMMYFUNCTION("""COMPUTED_VALUE"""),"أورلوكس فروتي باتي اكسبرت 1 كجم")</f>
        <v>أورلوكس فروتي باتي اكسبرت 1 كجم</v>
      </c>
      <c r="H904" s="133" t="str">
        <f>IFERROR(__xludf.DUMMYFUNCTION("""COMPUTED_VALUE"""),"MAFE2022621")</f>
        <v>MAFE2022621</v>
      </c>
      <c r="I904" s="133"/>
      <c r="J904" s="133"/>
      <c r="K904" s="133" t="str">
        <f>IFERROR(__xludf.DUMMYFUNCTION("""COMPUTED_VALUE"""),"فيرسل لاقا ان في")</f>
        <v>فيرسل لاقا ان في</v>
      </c>
      <c r="L904" s="142" t="str">
        <f>IFERROR(__xludf.DUMMYFUNCTION("""COMPUTED_VALUE"""),"424211")</f>
        <v>424211</v>
      </c>
      <c r="M904" s="133"/>
      <c r="N904" s="133"/>
      <c r="O904" s="133"/>
      <c r="P904" s="133"/>
      <c r="Q904" s="133"/>
      <c r="R904" s="133"/>
      <c r="S904" s="133"/>
      <c r="T904" s="133"/>
      <c r="U904" s="133"/>
      <c r="V904" s="133"/>
      <c r="W904" s="133"/>
      <c r="X904" s="133"/>
      <c r="Y904" s="133"/>
      <c r="Z904" s="133"/>
    </row>
    <row r="905">
      <c r="A905" s="133">
        <f>IFERROR(__xludf.DUMMYFUNCTION("""COMPUTED_VALUE"""),904.0)</f>
        <v>904</v>
      </c>
      <c r="B905" s="133" t="str">
        <f>IFERROR(__xludf.DUMMYFUNCTION("""COMPUTED_VALUE"""),"VL424205")</f>
        <v>VL424205</v>
      </c>
      <c r="C905" s="133" t="str">
        <f>IFERROR(__xludf.DUMMYFUNCTION("""COMPUTED_VALUE"""),"P-1-N-170222-1087")</f>
        <v>P-1-N-170222-1087</v>
      </c>
      <c r="D905" s="133"/>
      <c r="E905" s="133" t="str">
        <f>IFERROR(__xludf.DUMMYFUNCTION("""COMPUTED_VALUE"""),"تمت طباعة الشهادة")</f>
        <v>تمت طباعة الشهادة</v>
      </c>
      <c r="F905" s="133" t="str">
        <f>IFERROR(__xludf.DUMMYFUNCTION("""COMPUTED_VALUE"""),"Orlux Gold Patee Yellow Expert 1kg")</f>
        <v>Orlux Gold Patee Yellow Expert 1kg</v>
      </c>
      <c r="G905" s="133" t="str">
        <f>IFERROR(__xludf.DUMMYFUNCTION("""COMPUTED_VALUE"""),"أورلوكس جولد باتي يالو اكسبرت 1 كجم")</f>
        <v>أورلوكس جولد باتي يالو اكسبرت 1 كجم</v>
      </c>
      <c r="H905" s="133" t="str">
        <f>IFERROR(__xludf.DUMMYFUNCTION("""COMPUTED_VALUE"""),"MAFE2022618")</f>
        <v>MAFE2022618</v>
      </c>
      <c r="I905" s="133"/>
      <c r="J905" s="133"/>
      <c r="K905" s="133" t="str">
        <f>IFERROR(__xludf.DUMMYFUNCTION("""COMPUTED_VALUE"""),"فيرسل لاقا ان في")</f>
        <v>فيرسل لاقا ان في</v>
      </c>
      <c r="L905" s="142" t="str">
        <f>IFERROR(__xludf.DUMMYFUNCTION("""COMPUTED_VALUE"""),"VL424205")</f>
        <v>VL424205</v>
      </c>
      <c r="M905" s="133"/>
      <c r="N905" s="133"/>
      <c r="O905" s="133"/>
      <c r="P905" s="133"/>
      <c r="Q905" s="133"/>
      <c r="R905" s="133"/>
      <c r="S905" s="133"/>
      <c r="T905" s="133"/>
      <c r="U905" s="133"/>
      <c r="V905" s="133"/>
      <c r="W905" s="133"/>
      <c r="X905" s="133"/>
      <c r="Y905" s="133"/>
      <c r="Z905" s="133"/>
    </row>
    <row r="906">
      <c r="A906" s="133">
        <f>IFERROR(__xludf.DUMMYFUNCTION("""COMPUTED_VALUE"""),905.0)</f>
        <v>905</v>
      </c>
      <c r="B906" s="133" t="str">
        <f>IFERROR(__xludf.DUMMYFUNCTION("""COMPUTED_VALUE"""),"VL424048")</f>
        <v>VL424048</v>
      </c>
      <c r="C906" s="133" t="str">
        <f>IFERROR(__xludf.DUMMYFUNCTION("""COMPUTED_VALUE"""),"P-1-N-170222-1088")</f>
        <v>P-1-N-170222-1088</v>
      </c>
      <c r="D906" s="133"/>
      <c r="E906" s="133" t="str">
        <f>IFERROR(__xludf.DUMMYFUNCTION("""COMPUTED_VALUE"""),"تمت طباعة الشهادة")</f>
        <v>تمت طباعة الشهادة</v>
      </c>
      <c r="F906" s="133" t="str">
        <f>IFERROR(__xludf.DUMMYFUNCTION("""COMPUTED_VALUE"""),"Orlux Gold Patee Small Parakeets 250g")</f>
        <v>Orlux Gold Patee Small Parakeets 250g</v>
      </c>
      <c r="G906" s="133" t="str">
        <f>IFERROR(__xludf.DUMMYFUNCTION("""COMPUTED_VALUE"""),"أورلوكس جولد باتي البراكيت الصغيرة 250 جم")</f>
        <v>أورلوكس جولد باتي البراكيت الصغيرة 250 جم</v>
      </c>
      <c r="H906" s="133" t="str">
        <f>IFERROR(__xludf.DUMMYFUNCTION("""COMPUTED_VALUE"""),"MAFE2022617")</f>
        <v>MAFE2022617</v>
      </c>
      <c r="I906" s="133"/>
      <c r="J906" s="133"/>
      <c r="K906" s="133" t="str">
        <f>IFERROR(__xludf.DUMMYFUNCTION("""COMPUTED_VALUE"""),"فيرسل لاقا ان في")</f>
        <v>فيرسل لاقا ان في</v>
      </c>
      <c r="L906" s="142" t="str">
        <f>IFERROR(__xludf.DUMMYFUNCTION("""COMPUTED_VALUE"""),"VL424048")</f>
        <v>VL424048</v>
      </c>
      <c r="M906" s="133"/>
      <c r="N906" s="133"/>
      <c r="O906" s="133"/>
      <c r="P906" s="133"/>
      <c r="Q906" s="133"/>
      <c r="R906" s="133"/>
      <c r="S906" s="133"/>
      <c r="T906" s="133"/>
      <c r="U906" s="133"/>
      <c r="V906" s="133"/>
      <c r="W906" s="133"/>
      <c r="X906" s="133"/>
      <c r="Y906" s="133"/>
      <c r="Z906" s="133"/>
    </row>
    <row r="907">
      <c r="A907" s="133">
        <f>IFERROR(__xludf.DUMMYFUNCTION("""COMPUTED_VALUE"""),906.0)</f>
        <v>906</v>
      </c>
      <c r="B907" s="133" t="str">
        <f>IFERROR(__xludf.DUMMYFUNCTION("""COMPUTED_VALUE"""),"VL424086")</f>
        <v>VL424086</v>
      </c>
      <c r="C907" s="133" t="str">
        <f>IFERROR(__xludf.DUMMYFUNCTION("""COMPUTED_VALUE"""),"P-1-N-170222-1089")</f>
        <v>P-1-N-170222-1089</v>
      </c>
      <c r="D907" s="133"/>
      <c r="E907" s="133" t="str">
        <f>IFERROR(__xludf.DUMMYFUNCTION("""COMPUTED_VALUE"""),"تمت طباعة الشهادة")</f>
        <v>تمت طباعة الشهادة</v>
      </c>
      <c r="F907" s="133" t="str">
        <f>IFERROR(__xludf.DUMMYFUNCTION("""COMPUTED_VALUE"""),"Orlux Gold Patee Small Parakeets 1kg")</f>
        <v>Orlux Gold Patee Small Parakeets 1kg</v>
      </c>
      <c r="G907" s="133" t="str">
        <f>IFERROR(__xludf.DUMMYFUNCTION("""COMPUTED_VALUE"""),"أورلوكس جولد باتي البراكيت الصغيرة 1 كجم")</f>
        <v>أورلوكس جولد باتي البراكيت الصغيرة 1 كجم</v>
      </c>
      <c r="H907" s="133" t="str">
        <f>IFERROR(__xludf.DUMMYFUNCTION("""COMPUTED_VALUE"""),"MAFE2022616")</f>
        <v>MAFE2022616</v>
      </c>
      <c r="I907" s="133"/>
      <c r="J907" s="133"/>
      <c r="K907" s="133" t="str">
        <f>IFERROR(__xludf.DUMMYFUNCTION("""COMPUTED_VALUE"""),"فيرسل لاقا ان في")</f>
        <v>فيرسل لاقا ان في</v>
      </c>
      <c r="L907" s="142" t="str">
        <f>IFERROR(__xludf.DUMMYFUNCTION("""COMPUTED_VALUE"""),"VL424086")</f>
        <v>VL424086</v>
      </c>
      <c r="M907" s="133"/>
      <c r="N907" s="133"/>
      <c r="O907" s="133"/>
      <c r="P907" s="133"/>
      <c r="Q907" s="133"/>
      <c r="R907" s="133"/>
      <c r="S907" s="133"/>
      <c r="T907" s="133"/>
      <c r="U907" s="133"/>
      <c r="V907" s="133"/>
      <c r="W907" s="133"/>
      <c r="X907" s="133"/>
      <c r="Y907" s="133"/>
      <c r="Z907" s="133"/>
    </row>
    <row r="908">
      <c r="A908" s="133">
        <f>IFERROR(__xludf.DUMMYFUNCTION("""COMPUTED_VALUE"""),907.0)</f>
        <v>907</v>
      </c>
      <c r="B908" s="133" t="str">
        <f>IFERROR(__xludf.DUMMYFUNCTION("""COMPUTED_VALUE"""),"AHAF3115")</f>
        <v>AHAF3115</v>
      </c>
      <c r="C908" s="133" t="str">
        <f>IFERROR(__xludf.DUMMYFUNCTION("""COMPUTED_VALUE"""),"P-1-N-210222-1220")</f>
        <v>P-1-N-210222-1220</v>
      </c>
      <c r="D908" s="133"/>
      <c r="E908" s="133" t="str">
        <f>IFERROR(__xludf.DUMMYFUNCTION("""COMPUTED_VALUE"""),"تمت طباعة الشهادة")</f>
        <v>تمت طباعة الشهادة</v>
      </c>
      <c r="F908" s="133" t="str">
        <f>IFERROR(__xludf.DUMMYFUNCTION("""COMPUTED_VALUE"""),"Absolute Holistic Grain free Indoor - Chicken 4.54kg")</f>
        <v>Absolute Holistic Grain free Indoor - Chicken 4.54kg</v>
      </c>
      <c r="G908" s="133" t="str">
        <f>IFERROR(__xludf.DUMMYFUNCTION("""COMPUTED_VALUE"""),"ابسولوت هوليستيك ايندور خالي من الحبوب بالدجاج 4.54 كجم")</f>
        <v>ابسولوت هوليستيك ايندور خالي من الحبوب بالدجاج 4.54 كجم</v>
      </c>
      <c r="H908" s="133" t="str">
        <f>IFERROR(__xludf.DUMMYFUNCTION("""COMPUTED_VALUE"""),"MAFE2022703")</f>
        <v>MAFE2022703</v>
      </c>
      <c r="I908" s="133"/>
      <c r="J908" s="133"/>
      <c r="K908" s="133" t="str">
        <f>IFERROR(__xludf.DUMMYFUNCTION("""COMPUTED_VALUE"""),"شركة المتحدة للحيوانات الأليفة هولندا")</f>
        <v>شركة المتحدة للحيوانات الأليفة هولندا</v>
      </c>
      <c r="L908" s="142" t="str">
        <f>IFERROR(__xludf.DUMMYFUNCTION("""COMPUTED_VALUE"""),"AHAF3115")</f>
        <v>AHAF3115</v>
      </c>
      <c r="M908" s="133"/>
      <c r="N908" s="133"/>
      <c r="O908" s="133"/>
      <c r="P908" s="133"/>
      <c r="Q908" s="133"/>
      <c r="R908" s="133"/>
      <c r="S908" s="133"/>
      <c r="T908" s="133"/>
      <c r="U908" s="133"/>
      <c r="V908" s="133"/>
      <c r="W908" s="133"/>
      <c r="X908" s="133"/>
      <c r="Y908" s="133"/>
      <c r="Z908" s="133"/>
    </row>
    <row r="909">
      <c r="A909" s="133">
        <f>IFERROR(__xludf.DUMMYFUNCTION("""COMPUTED_VALUE"""),908.0)</f>
        <v>908</v>
      </c>
      <c r="B909" s="133" t="str">
        <f>IFERROR(__xludf.DUMMYFUNCTION("""COMPUTED_VALUE"""),"AHAF3092")</f>
        <v>AHAF3092</v>
      </c>
      <c r="C909" s="133" t="str">
        <f>IFERROR(__xludf.DUMMYFUNCTION("""COMPUTED_VALUE"""),"P-1-N-210222-1221")</f>
        <v>P-1-N-210222-1221</v>
      </c>
      <c r="D909" s="133"/>
      <c r="E909" s="133" t="str">
        <f>IFERROR(__xludf.DUMMYFUNCTION("""COMPUTED_VALUE"""),"تمت طباعة الشهادة")</f>
        <v>تمت طباعة الشهادة</v>
      </c>
      <c r="F909" s="133" t="str">
        <f>IFERROR(__xludf.DUMMYFUNCTION("""COMPUTED_VALUE"""),"Absolute Holistic Grain free Coat Care - Salmon &amp; Cod 4.54kg")</f>
        <v>Absolute Holistic Grain free Coat Care - Salmon &amp; Cod 4.54kg</v>
      </c>
      <c r="G909" s="133" t="str">
        <f>IFERROR(__xludf.DUMMYFUNCTION("""COMPUTED_VALUE"""),"ابسولوت هوليستيك للعناية بالفراء خالي من الحبوب بسمك السلمون وسمك القد 4.54 كجم")</f>
        <v>ابسولوت هوليستيك للعناية بالفراء خالي من الحبوب بسمك السلمون وسمك القد 4.54 كجم</v>
      </c>
      <c r="H909" s="133" t="str">
        <f>IFERROR(__xludf.DUMMYFUNCTION("""COMPUTED_VALUE"""),"MAFE2022701")</f>
        <v>MAFE2022701</v>
      </c>
      <c r="I909" s="133"/>
      <c r="J909" s="133"/>
      <c r="K909" s="133" t="str">
        <f>IFERROR(__xludf.DUMMYFUNCTION("""COMPUTED_VALUE"""),"شركة المتحدة للحيوانات الأليفة هولندا")</f>
        <v>شركة المتحدة للحيوانات الأليفة هولندا</v>
      </c>
      <c r="L909" s="142" t="str">
        <f>IFERROR(__xludf.DUMMYFUNCTION("""COMPUTED_VALUE"""),"AHAF3092")</f>
        <v>AHAF3092</v>
      </c>
      <c r="M909" s="133"/>
      <c r="N909" s="133"/>
      <c r="O909" s="133"/>
      <c r="P909" s="133"/>
      <c r="Q909" s="133"/>
      <c r="R909" s="133"/>
      <c r="S909" s="133"/>
      <c r="T909" s="133"/>
      <c r="U909" s="133"/>
      <c r="V909" s="133"/>
      <c r="W909" s="133"/>
      <c r="X909" s="133"/>
      <c r="Y909" s="133"/>
      <c r="Z909" s="133"/>
    </row>
    <row r="910">
      <c r="A910" s="133">
        <f>IFERROR(__xludf.DUMMYFUNCTION("""COMPUTED_VALUE"""),909.0)</f>
        <v>909</v>
      </c>
      <c r="B910" s="133" t="str">
        <f>IFERROR(__xludf.DUMMYFUNCTION("""COMPUTED_VALUE"""),"AHAF3153")</f>
        <v>AHAF3153</v>
      </c>
      <c r="C910" s="133" t="str">
        <f>IFERROR(__xludf.DUMMYFUNCTION("""COMPUTED_VALUE"""),"P-1-N-210222-1222")</f>
        <v>P-1-N-210222-1222</v>
      </c>
      <c r="D910" s="133"/>
      <c r="E910" s="133" t="str">
        <f>IFERROR(__xludf.DUMMYFUNCTION("""COMPUTED_VALUE"""),"تمت طباعة الشهادة")</f>
        <v>تمت طباعة الشهادة</v>
      </c>
      <c r="F910" s="133" t="str">
        <f>IFERROR(__xludf.DUMMYFUNCTION("""COMPUTED_VALUE"""),"Absolute Holistic Grain free Kitten - Chicken &amp; Salmon 4.54kg")</f>
        <v>Absolute Holistic Grain free Kitten - Chicken &amp; Salmon 4.54kg</v>
      </c>
      <c r="G910" s="133" t="str">
        <f>IFERROR(__xludf.DUMMYFUNCTION("""COMPUTED_VALUE"""),"ابسولوت هوليستيك للقطط الصغيرة خالي من الحبوب بالدجاج و السلمون 4.54 كجم")</f>
        <v>ابسولوت هوليستيك للقطط الصغيرة خالي من الحبوب بالدجاج و السلمون 4.54 كجم</v>
      </c>
      <c r="H910" s="133" t="str">
        <f>IFERROR(__xludf.DUMMYFUNCTION("""COMPUTED_VALUE"""),"MAFE2022700")</f>
        <v>MAFE2022700</v>
      </c>
      <c r="I910" s="133"/>
      <c r="J910" s="133"/>
      <c r="K910" s="133" t="str">
        <f>IFERROR(__xludf.DUMMYFUNCTION("""COMPUTED_VALUE"""),"شركة المتحدة للحيوانات الأليفة هولندا")</f>
        <v>شركة المتحدة للحيوانات الأليفة هولندا</v>
      </c>
      <c r="L910" s="142" t="str">
        <f>IFERROR(__xludf.DUMMYFUNCTION("""COMPUTED_VALUE"""),"AHAF3153")</f>
        <v>AHAF3153</v>
      </c>
      <c r="M910" s="133"/>
      <c r="N910" s="133"/>
      <c r="O910" s="133"/>
      <c r="P910" s="133"/>
      <c r="Q910" s="133"/>
      <c r="R910" s="133"/>
      <c r="S910" s="133"/>
      <c r="T910" s="133"/>
      <c r="U910" s="133"/>
      <c r="V910" s="133"/>
      <c r="W910" s="133"/>
      <c r="X910" s="133"/>
      <c r="Y910" s="133"/>
      <c r="Z910" s="133"/>
    </row>
    <row r="911">
      <c r="A911" s="133">
        <f>IFERROR(__xludf.DUMMYFUNCTION("""COMPUTED_VALUE"""),910.0)</f>
        <v>910</v>
      </c>
      <c r="B911" s="133" t="str">
        <f>IFERROR(__xludf.DUMMYFUNCTION("""COMPUTED_VALUE"""),"AHAF3139")</f>
        <v>AHAF3139</v>
      </c>
      <c r="C911" s="133" t="str">
        <f>IFERROR(__xludf.DUMMYFUNCTION("""COMPUTED_VALUE"""),"P-1-N-210222-1223")</f>
        <v>P-1-N-210222-1223</v>
      </c>
      <c r="D911" s="133"/>
      <c r="E911" s="133" t="str">
        <f>IFERROR(__xludf.DUMMYFUNCTION("""COMPUTED_VALUE"""),"تمت طباعة الشهادة")</f>
        <v>تمت طباعة الشهادة</v>
      </c>
      <c r="F911" s="133" t="str">
        <f>IFERROR(__xludf.DUMMYFUNCTION("""COMPUTED_VALUE"""),"Absolute Holistic Grain free Urinary - Tuna &amp; Chicken 4.54kg")</f>
        <v>Absolute Holistic Grain free Urinary - Tuna &amp; Chicken 4.54kg</v>
      </c>
      <c r="G911" s="133" t="str">
        <f>IFERROR(__xludf.DUMMYFUNCTION("""COMPUTED_VALUE"""),"ابسولوت هوليستيك يوريناري خالي من الحبوب بالتونة والدجاج 4.54 كجم")</f>
        <v>ابسولوت هوليستيك يوريناري خالي من الحبوب بالتونة والدجاج 4.54 كجم</v>
      </c>
      <c r="H911" s="133" t="str">
        <f>IFERROR(__xludf.DUMMYFUNCTION("""COMPUTED_VALUE"""),"MAFE2022699")</f>
        <v>MAFE2022699</v>
      </c>
      <c r="I911" s="133"/>
      <c r="J911" s="133"/>
      <c r="K911" s="133" t="str">
        <f>IFERROR(__xludf.DUMMYFUNCTION("""COMPUTED_VALUE"""),"شركة المتحدة للحيوانات الأليفة هولندا")</f>
        <v>شركة المتحدة للحيوانات الأليفة هولندا</v>
      </c>
      <c r="L911" s="142" t="str">
        <f>IFERROR(__xludf.DUMMYFUNCTION("""COMPUTED_VALUE"""),"AHAF3139")</f>
        <v>AHAF3139</v>
      </c>
      <c r="M911" s="133"/>
      <c r="N911" s="133"/>
      <c r="O911" s="133"/>
      <c r="P911" s="133"/>
      <c r="Q911" s="133"/>
      <c r="R911" s="133"/>
      <c r="S911" s="133"/>
      <c r="T911" s="133"/>
      <c r="U911" s="133"/>
      <c r="V911" s="133"/>
      <c r="W911" s="133"/>
      <c r="X911" s="133"/>
      <c r="Y911" s="133"/>
      <c r="Z911" s="133"/>
    </row>
    <row r="912">
      <c r="A912" s="133">
        <f>IFERROR(__xludf.DUMMYFUNCTION("""COMPUTED_VALUE"""),911.0)</f>
        <v>911</v>
      </c>
      <c r="B912" s="133" t="str">
        <f>IFERROR(__xludf.DUMMYFUNCTION("""COMPUTED_VALUE"""),"AHAF3078")</f>
        <v>AHAF3078</v>
      </c>
      <c r="C912" s="133" t="str">
        <f>IFERROR(__xludf.DUMMYFUNCTION("""COMPUTED_VALUE"""),"P-1-N-210222-1224")</f>
        <v>P-1-N-210222-1224</v>
      </c>
      <c r="D912" s="133"/>
      <c r="E912" s="133" t="str">
        <f>IFERROR(__xludf.DUMMYFUNCTION("""COMPUTED_VALUE"""),"تمت طباعة الشهادة")</f>
        <v>تمت طباعة الشهادة</v>
      </c>
      <c r="F912" s="133" t="str">
        <f>IFERROR(__xludf.DUMMYFUNCTION("""COMPUTED_VALUE"""),"Absolute Holistic Grain free Hairball - Turkey, Chicken &amp; Duck 4.54kg")</f>
        <v>Absolute Holistic Grain free Hairball - Turkey, Chicken &amp; Duck 4.54kg</v>
      </c>
      <c r="G912" s="133" t="str">
        <f>IFERROR(__xludf.DUMMYFUNCTION("""COMPUTED_VALUE"""),"ابسولوت هوليستيك لكرة الشعر خالي من الحبوب بالديك الرومي ، الدجاج و البط 4.54 كجم")</f>
        <v>ابسولوت هوليستيك لكرة الشعر خالي من الحبوب بالديك الرومي ، الدجاج و البط 4.54 كجم</v>
      </c>
      <c r="H912" s="133" t="str">
        <f>IFERROR(__xludf.DUMMYFUNCTION("""COMPUTED_VALUE"""),"MAFE2022698")</f>
        <v>MAFE2022698</v>
      </c>
      <c r="I912" s="133"/>
      <c r="J912" s="133"/>
      <c r="K912" s="133" t="str">
        <f>IFERROR(__xludf.DUMMYFUNCTION("""COMPUTED_VALUE"""),"شركة المتحدة للحيوانات الأليفة هولندا")</f>
        <v>شركة المتحدة للحيوانات الأليفة هولندا</v>
      </c>
      <c r="L912" s="142" t="str">
        <f>IFERROR(__xludf.DUMMYFUNCTION("""COMPUTED_VALUE"""),"AHAF3078")</f>
        <v>AHAF3078</v>
      </c>
      <c r="M912" s="133"/>
      <c r="N912" s="133"/>
      <c r="O912" s="133"/>
      <c r="P912" s="133"/>
      <c r="Q912" s="133"/>
      <c r="R912" s="133"/>
      <c r="S912" s="133"/>
      <c r="T912" s="133"/>
      <c r="U912" s="133"/>
      <c r="V912" s="133"/>
      <c r="W912" s="133"/>
      <c r="X912" s="133"/>
      <c r="Y912" s="133"/>
      <c r="Z912" s="133"/>
    </row>
    <row r="913">
      <c r="A913" s="133">
        <f>IFERROR(__xludf.DUMMYFUNCTION("""COMPUTED_VALUE"""),912.0)</f>
        <v>912</v>
      </c>
      <c r="B913" s="133" t="str">
        <f>IFERROR(__xludf.DUMMYFUNCTION("""COMPUTED_VALUE"""),"10283")</f>
        <v>10283</v>
      </c>
      <c r="C913" s="133" t="str">
        <f>IFERROR(__xludf.DUMMYFUNCTION("""COMPUTED_VALUE"""),"P-1-N-210222-1225")</f>
        <v>P-1-N-210222-1225</v>
      </c>
      <c r="D913" s="133"/>
      <c r="E913" s="133" t="str">
        <f>IFERROR(__xludf.DUMMYFUNCTION("""COMPUTED_VALUE"""),"تمت طباعة الشهادة")</f>
        <v>تمت طباعة الشهادة</v>
      </c>
      <c r="F913" s="133" t="str">
        <f>IFERROR(__xludf.DUMMYFUNCTION("""COMPUTED_VALUE"""),"Kidney Support Easy 35g")</f>
        <v>Kidney Support Easy 35g</v>
      </c>
      <c r="G913" s="133" t="str">
        <f>IFERROR(__xludf.DUMMYFUNCTION("""COMPUTED_VALUE"""),"كيدني سابورت ئيسي 35 جم")</f>
        <v>كيدني سابورت ئيسي 35 جم</v>
      </c>
      <c r="H913" s="133" t="str">
        <f>IFERROR(__xludf.DUMMYFUNCTION("""COMPUTED_VALUE"""),"MAFE2022697")</f>
        <v>MAFE2022697</v>
      </c>
      <c r="I913" s="133"/>
      <c r="J913" s="133"/>
      <c r="K913" s="133" t="str">
        <f>IFERROR(__xludf.DUMMYFUNCTION("""COMPUTED_VALUE"""),"بيفار بي في")</f>
        <v>بيفار بي في</v>
      </c>
      <c r="L913" s="142" t="str">
        <f>IFERROR(__xludf.DUMMYFUNCTION("""COMPUTED_VALUE"""),"10283")</f>
        <v>10283</v>
      </c>
      <c r="M913" s="133"/>
      <c r="N913" s="133"/>
      <c r="O913" s="133"/>
      <c r="P913" s="133"/>
      <c r="Q913" s="133"/>
      <c r="R913" s="133"/>
      <c r="S913" s="133"/>
      <c r="T913" s="133"/>
      <c r="U913" s="133"/>
      <c r="V913" s="133"/>
      <c r="W913" s="133"/>
      <c r="X913" s="133"/>
      <c r="Y913" s="133"/>
      <c r="Z913" s="133"/>
    </row>
    <row r="914">
      <c r="A914" s="133">
        <f>IFERROR(__xludf.DUMMYFUNCTION("""COMPUTED_VALUE"""),913.0)</f>
        <v>913</v>
      </c>
      <c r="B914" s="133" t="str">
        <f>IFERROR(__xludf.DUMMYFUNCTION("""COMPUTED_VALUE"""),"WB80252")</f>
        <v>WB80252</v>
      </c>
      <c r="C914" s="133" t="str">
        <f>IFERROR(__xludf.DUMMYFUNCTION("""COMPUTED_VALUE"""),"P-1-N-010322-1432")</f>
        <v>P-1-N-010322-1432</v>
      </c>
      <c r="D914" s="133"/>
      <c r="E914" s="133" t="str">
        <f>IFERROR(__xludf.DUMMYFUNCTION("""COMPUTED_VALUE"""),"تمت طباعة الشهادة")</f>
        <v>تمت طباعة الشهادة</v>
      </c>
      <c r="F914" s="133" t="str">
        <f>IFERROR(__xludf.DUMMYFUNCTION("""COMPUTED_VALUE"""),"Tiki Dog Stix Wet Treats with Chicken in Creamy Gravy 85g")</f>
        <v>Tiki Dog Stix Wet Treats with Chicken in Creamy Gravy 85g</v>
      </c>
      <c r="G914" s="133" t="str">
        <f>IFERROR(__xludf.DUMMYFUNCTION("""COMPUTED_VALUE"""),"تيكي دوج ستيكس وت تريتس مع الدجاج في مرق الكريمة 85 جم")</f>
        <v>تيكي دوج ستيكس وت تريتس مع الدجاج في مرق الكريمة 85 جم</v>
      </c>
      <c r="H914" s="133" t="str">
        <f>IFERROR(__xludf.DUMMYFUNCTION("""COMPUTED_VALUE"""),"MAFE2022901")</f>
        <v>MAFE2022901</v>
      </c>
      <c r="I914" s="133"/>
      <c r="J914" s="133"/>
      <c r="K914" s="133" t="str">
        <f>IFERROR(__xludf.DUMMYFUNCTION("""COMPUTED_VALUE"""),"شركة التحالف الآسيوي الدولية المحدودة")</f>
        <v>شركة التحالف الآسيوي الدولية المحدودة</v>
      </c>
      <c r="L914" s="142" t="str">
        <f>IFERROR(__xludf.DUMMYFUNCTION("""COMPUTED_VALUE"""),"WB80252")</f>
        <v>WB80252</v>
      </c>
      <c r="M914" s="133"/>
      <c r="N914" s="133"/>
      <c r="O914" s="133"/>
      <c r="P914" s="133"/>
      <c r="Q914" s="133"/>
      <c r="R914" s="133"/>
      <c r="S914" s="133"/>
      <c r="T914" s="133"/>
      <c r="U914" s="133"/>
      <c r="V914" s="133"/>
      <c r="W914" s="133"/>
      <c r="X914" s="133"/>
      <c r="Y914" s="133"/>
      <c r="Z914" s="133"/>
    </row>
    <row r="915">
      <c r="A915" s="133">
        <f>IFERROR(__xludf.DUMMYFUNCTION("""COMPUTED_VALUE"""),914.0)</f>
        <v>914</v>
      </c>
      <c r="B915" s="133" t="str">
        <f>IFERROR(__xludf.DUMMYFUNCTION("""COMPUTED_VALUE"""),"WB80253")</f>
        <v>WB80253</v>
      </c>
      <c r="C915" s="133" t="str">
        <f>IFERROR(__xludf.DUMMYFUNCTION("""COMPUTED_VALUE"""),"P-1-N-010322-1433")</f>
        <v>P-1-N-010322-1433</v>
      </c>
      <c r="D915" s="133"/>
      <c r="E915" s="133" t="str">
        <f>IFERROR(__xludf.DUMMYFUNCTION("""COMPUTED_VALUE"""),"تمت طباعة الشهادة")</f>
        <v>تمت طباعة الشهادة</v>
      </c>
      <c r="F915" s="133" t="str">
        <f>IFERROR(__xludf.DUMMYFUNCTION("""COMPUTED_VALUE"""),"Tiki Dog Stix Wet Treats with Duck in Creamy Gravy 85g")</f>
        <v>Tiki Dog Stix Wet Treats with Duck in Creamy Gravy 85g</v>
      </c>
      <c r="G915" s="133" t="str">
        <f>IFERROR(__xludf.DUMMYFUNCTION("""COMPUTED_VALUE"""),"تيكي دوج ستيكس وت تريتس مع البط في مرق الكريمة 85 جم")</f>
        <v>تيكي دوج ستيكس وت تريتس مع البط في مرق الكريمة 85 جم</v>
      </c>
      <c r="H915" s="133" t="str">
        <f>IFERROR(__xludf.DUMMYFUNCTION("""COMPUTED_VALUE"""),"MAFE2022900")</f>
        <v>MAFE2022900</v>
      </c>
      <c r="I915" s="133"/>
      <c r="J915" s="133"/>
      <c r="K915" s="133" t="str">
        <f>IFERROR(__xludf.DUMMYFUNCTION("""COMPUTED_VALUE"""),"شركة التحالف الآسيوي الدولية المحدودة")</f>
        <v>شركة التحالف الآسيوي الدولية المحدودة</v>
      </c>
      <c r="L915" s="142" t="str">
        <f>IFERROR(__xludf.DUMMYFUNCTION("""COMPUTED_VALUE"""),"WB80253")</f>
        <v>WB80253</v>
      </c>
      <c r="M915" s="133"/>
      <c r="N915" s="133"/>
      <c r="O915" s="133"/>
      <c r="P915" s="133"/>
      <c r="Q915" s="133"/>
      <c r="R915" s="133"/>
      <c r="S915" s="133"/>
      <c r="T915" s="133"/>
      <c r="U915" s="133"/>
      <c r="V915" s="133"/>
      <c r="W915" s="133"/>
      <c r="X915" s="133"/>
      <c r="Y915" s="133"/>
      <c r="Z915" s="133"/>
    </row>
    <row r="916">
      <c r="A916" s="133">
        <f>IFERROR(__xludf.DUMMYFUNCTION("""COMPUTED_VALUE"""),915.0)</f>
        <v>915</v>
      </c>
      <c r="B916" s="133" t="str">
        <f>IFERROR(__xludf.DUMMYFUNCTION("""COMPUTED_VALUE"""),"1071700")</f>
        <v>1071700</v>
      </c>
      <c r="C916" s="133" t="str">
        <f>IFERROR(__xludf.DUMMYFUNCTION("""COMPUTED_VALUE"""),"P-1-N-080322-1585")</f>
        <v>P-1-N-080322-1585</v>
      </c>
      <c r="D916" s="133"/>
      <c r="E916" s="133" t="str">
        <f>IFERROR(__xludf.DUMMYFUNCTION("""COMPUTED_VALUE"""),"تمت طباعة الشهادة")</f>
        <v>تمت طباعة الشهادة</v>
      </c>
      <c r="F916" s="133" t="str">
        <f>IFERROR(__xludf.DUMMYFUNCTION("""COMPUTED_VALUE"""),"Chicken in Broth 85g")</f>
        <v>Chicken in Broth 85g</v>
      </c>
      <c r="G916" s="133" t="str">
        <f>IFERROR(__xludf.DUMMYFUNCTION("""COMPUTED_VALUE"""),"دجاج في مرق 85 جم")</f>
        <v>دجاج في مرق 85 جم</v>
      </c>
      <c r="H916" s="133" t="str">
        <f>IFERROR(__xludf.DUMMYFUNCTION("""COMPUTED_VALUE"""),"MAFE20221076")</f>
        <v>MAFE20221076</v>
      </c>
      <c r="I916" s="133"/>
      <c r="J916" s="133"/>
      <c r="K916" s="133" t="str">
        <f>IFERROR(__xludf.DUMMYFUNCTION("""COMPUTED_VALUE"""),"شركة التحالف الآسيوي الدولية المحدودة")</f>
        <v>شركة التحالف الآسيوي الدولية المحدودة</v>
      </c>
      <c r="L916" s="142" t="str">
        <f>IFERROR(__xludf.DUMMYFUNCTION("""COMPUTED_VALUE"""),"1071700")</f>
        <v>1071700</v>
      </c>
      <c r="M916" s="133"/>
      <c r="N916" s="133"/>
      <c r="O916" s="133"/>
      <c r="P916" s="133"/>
      <c r="Q916" s="133"/>
      <c r="R916" s="133"/>
      <c r="S916" s="133"/>
      <c r="T916" s="133"/>
      <c r="U916" s="133"/>
      <c r="V916" s="133"/>
      <c r="W916" s="133"/>
      <c r="X916" s="133"/>
      <c r="Y916" s="133"/>
      <c r="Z916" s="133"/>
    </row>
    <row r="917">
      <c r="A917" s="133">
        <f>IFERROR(__xludf.DUMMYFUNCTION("""COMPUTED_VALUE"""),916.0)</f>
        <v>916</v>
      </c>
      <c r="B917" s="133" t="str">
        <f>IFERROR(__xludf.DUMMYFUNCTION("""COMPUTED_VALUE"""),"1071705")</f>
        <v>1071705</v>
      </c>
      <c r="C917" s="133" t="str">
        <f>IFERROR(__xludf.DUMMYFUNCTION("""COMPUTED_VALUE"""),"P-1-N-080322-1586")</f>
        <v>P-1-N-080322-1586</v>
      </c>
      <c r="D917" s="133"/>
      <c r="E917" s="133" t="str">
        <f>IFERROR(__xludf.DUMMYFUNCTION("""COMPUTED_VALUE"""),"تمت طباعة الشهادة")</f>
        <v>تمت طباعة الشهادة</v>
      </c>
      <c r="F917" s="133" t="str">
        <f>IFERROR(__xludf.DUMMYFUNCTION("""COMPUTED_VALUE"""),"Ocean Fish Topper 85g")</f>
        <v>Ocean Fish Topper 85g</v>
      </c>
      <c r="G917" s="133" t="str">
        <f>IFERROR(__xludf.DUMMYFUNCTION("""COMPUTED_VALUE"""),"توبر أسماك المحيط 85 جم")</f>
        <v>توبر أسماك المحيط 85 جم</v>
      </c>
      <c r="H917" s="133" t="str">
        <f>IFERROR(__xludf.DUMMYFUNCTION("""COMPUTED_VALUE"""),"MAFE20221082")</f>
        <v>MAFE20221082</v>
      </c>
      <c r="I917" s="133"/>
      <c r="J917" s="133"/>
      <c r="K917" s="133" t="str">
        <f>IFERROR(__xludf.DUMMYFUNCTION("""COMPUTED_VALUE"""),"شركة التحالف الآسيوي الدولية المحدودة")</f>
        <v>شركة التحالف الآسيوي الدولية المحدودة</v>
      </c>
      <c r="L917" s="142" t="str">
        <f>IFERROR(__xludf.DUMMYFUNCTION("""COMPUTED_VALUE"""),"1071705")</f>
        <v>1071705</v>
      </c>
      <c r="M917" s="133"/>
      <c r="N917" s="133"/>
      <c r="O917" s="133"/>
      <c r="P917" s="133"/>
      <c r="Q917" s="133"/>
      <c r="R917" s="133"/>
      <c r="S917" s="133"/>
      <c r="T917" s="133"/>
      <c r="U917" s="133"/>
      <c r="V917" s="133"/>
      <c r="W917" s="133"/>
      <c r="X917" s="133"/>
      <c r="Y917" s="133"/>
      <c r="Z917" s="133"/>
    </row>
    <row r="918">
      <c r="A918" s="133">
        <f>IFERROR(__xludf.DUMMYFUNCTION("""COMPUTED_VALUE"""),917.0)</f>
        <v>917</v>
      </c>
      <c r="B918" s="133"/>
      <c r="C918" s="133" t="str">
        <f>IFERROR(__xludf.DUMMYFUNCTION("""COMPUTED_VALUE"""),"P-1-N-080322-1587")</f>
        <v>P-1-N-080322-1587</v>
      </c>
      <c r="D918" s="133"/>
      <c r="E918" s="133" t="str">
        <f>IFERROR(__xludf.DUMMYFUNCTION("""COMPUTED_VALUE"""),"تمت طباعة الشهادة")</f>
        <v>تمت طباعة الشهادة</v>
      </c>
      <c r="F918" s="133" t="str">
        <f>IFERROR(__xludf.DUMMYFUNCTION("""COMPUTED_VALUE"""),"Tuna Salad 85g")</f>
        <v>Tuna Salad 85g</v>
      </c>
      <c r="G918" s="133" t="str">
        <f>IFERROR(__xludf.DUMMYFUNCTION("""COMPUTED_VALUE"""),"سلطة التونة 85 جم")</f>
        <v>سلطة التونة 85 جم</v>
      </c>
      <c r="H918" s="133" t="str">
        <f>IFERROR(__xludf.DUMMYFUNCTION("""COMPUTED_VALUE"""),"MAFE20221080")</f>
        <v>MAFE20221080</v>
      </c>
      <c r="I918" s="133"/>
      <c r="J918" s="133"/>
      <c r="K918" s="133" t="str">
        <f>IFERROR(__xludf.DUMMYFUNCTION("""COMPUTED_VALUE"""),"شركة التحالف الآسيوي الدولية المحدودة")</f>
        <v>شركة التحالف الآسيوي الدولية المحدودة</v>
      </c>
      <c r="L918" s="133"/>
      <c r="M918" s="133"/>
      <c r="N918" s="133"/>
      <c r="O918" s="133"/>
      <c r="P918" s="133"/>
      <c r="Q918" s="133"/>
      <c r="R918" s="133"/>
      <c r="S918" s="133"/>
      <c r="T918" s="133"/>
      <c r="U918" s="133"/>
      <c r="V918" s="133"/>
      <c r="W918" s="133"/>
      <c r="X918" s="133"/>
      <c r="Y918" s="133"/>
      <c r="Z918" s="133"/>
    </row>
    <row r="919">
      <c r="A919" s="133">
        <f>IFERROR(__xludf.DUMMYFUNCTION("""COMPUTED_VALUE"""),918.0)</f>
        <v>918</v>
      </c>
      <c r="B919" s="133" t="str">
        <f>IFERROR(__xludf.DUMMYFUNCTION("""COMPUTED_VALUE"""),"1071701")</f>
        <v>1071701</v>
      </c>
      <c r="C919" s="133" t="str">
        <f>IFERROR(__xludf.DUMMYFUNCTION("""COMPUTED_VALUE"""),"P-1-N-080322-1588")</f>
        <v>P-1-N-080322-1588</v>
      </c>
      <c r="D919" s="133"/>
      <c r="E919" s="133" t="str">
        <f>IFERROR(__xludf.DUMMYFUNCTION("""COMPUTED_VALUE"""),"تمت طباعة الشهادة")</f>
        <v>تمت طباعة الشهادة</v>
      </c>
      <c r="F919" s="133" t="str">
        <f>IFERROR(__xludf.DUMMYFUNCTION("""COMPUTED_VALUE"""),"Chicken with Potato in Gravy 85g")</f>
        <v>Chicken with Potato in Gravy 85g</v>
      </c>
      <c r="G919" s="133" t="str">
        <f>IFERROR(__xludf.DUMMYFUNCTION("""COMPUTED_VALUE"""),"دجاج مع بطاطا في مرق 85 جم")</f>
        <v>دجاج مع بطاطا في مرق 85 جم</v>
      </c>
      <c r="H919" s="133" t="str">
        <f>IFERROR(__xludf.DUMMYFUNCTION("""COMPUTED_VALUE"""),"MAFE20221079")</f>
        <v>MAFE20221079</v>
      </c>
      <c r="I919" s="133"/>
      <c r="J919" s="133"/>
      <c r="K919" s="133" t="str">
        <f>IFERROR(__xludf.DUMMYFUNCTION("""COMPUTED_VALUE"""),"شركة التحالف الآسيوي الدولية المحدودة")</f>
        <v>شركة التحالف الآسيوي الدولية المحدودة</v>
      </c>
      <c r="L919" s="142" t="str">
        <f>IFERROR(__xludf.DUMMYFUNCTION("""COMPUTED_VALUE"""),"1071701")</f>
        <v>1071701</v>
      </c>
      <c r="M919" s="133"/>
      <c r="N919" s="133"/>
      <c r="O919" s="133"/>
      <c r="P919" s="133"/>
      <c r="Q919" s="133"/>
      <c r="R919" s="133"/>
      <c r="S919" s="133"/>
      <c r="T919" s="133"/>
      <c r="U919" s="133"/>
      <c r="V919" s="133"/>
      <c r="W919" s="133"/>
      <c r="X919" s="133"/>
      <c r="Y919" s="133"/>
      <c r="Z919" s="133"/>
    </row>
    <row r="920">
      <c r="A920" s="133">
        <f>IFERROR(__xludf.DUMMYFUNCTION("""COMPUTED_VALUE"""),919.0)</f>
        <v>919</v>
      </c>
      <c r="B920" s="133" t="str">
        <f>IFERROR(__xludf.DUMMYFUNCTION("""COMPUTED_VALUE"""),"1071702")</f>
        <v>1071702</v>
      </c>
      <c r="C920" s="133" t="str">
        <f>IFERROR(__xludf.DUMMYFUNCTION("""COMPUTED_VALUE"""),"P-1-N-080322-1589")</f>
        <v>P-1-N-080322-1589</v>
      </c>
      <c r="D920" s="133"/>
      <c r="E920" s="133" t="str">
        <f>IFERROR(__xludf.DUMMYFUNCTION("""COMPUTED_VALUE"""),"تمت طباعة الشهادة")</f>
        <v>تمت طباعة الشهادة</v>
      </c>
      <c r="F920" s="133" t="str">
        <f>IFERROR(__xludf.DUMMYFUNCTION("""COMPUTED_VALUE"""),"Chicken Salad 85g")</f>
        <v>Chicken Salad 85g</v>
      </c>
      <c r="G920" s="133" t="str">
        <f>IFERROR(__xludf.DUMMYFUNCTION("""COMPUTED_VALUE"""),"سلطة الدجاج 85 جم")</f>
        <v>سلطة الدجاج 85 جم</v>
      </c>
      <c r="H920" s="133" t="str">
        <f>IFERROR(__xludf.DUMMYFUNCTION("""COMPUTED_VALUE"""),"MAFE20221078")</f>
        <v>MAFE20221078</v>
      </c>
      <c r="I920" s="133"/>
      <c r="J920" s="133"/>
      <c r="K920" s="133" t="str">
        <f>IFERROR(__xludf.DUMMYFUNCTION("""COMPUTED_VALUE"""),"شركة التحالف الآسيوي الدولية المحدودة")</f>
        <v>شركة التحالف الآسيوي الدولية المحدودة</v>
      </c>
      <c r="L920" s="142" t="str">
        <f>IFERROR(__xludf.DUMMYFUNCTION("""COMPUTED_VALUE"""),"1071702")</f>
        <v>1071702</v>
      </c>
      <c r="M920" s="133"/>
      <c r="N920" s="133"/>
      <c r="O920" s="133"/>
      <c r="P920" s="133"/>
      <c r="Q920" s="133"/>
      <c r="R920" s="133"/>
      <c r="S920" s="133"/>
      <c r="T920" s="133"/>
      <c r="U920" s="133"/>
      <c r="V920" s="133"/>
      <c r="W920" s="133"/>
      <c r="X920" s="133"/>
      <c r="Y920" s="133"/>
      <c r="Z920" s="133"/>
    </row>
    <row r="921">
      <c r="A921" s="133">
        <f>IFERROR(__xludf.DUMMYFUNCTION("""COMPUTED_VALUE"""),920.0)</f>
        <v>920</v>
      </c>
      <c r="B921" s="133" t="str">
        <f>IFERROR(__xludf.DUMMYFUNCTION("""COMPUTED_VALUE"""),"C01071704")</f>
        <v>C01071704</v>
      </c>
      <c r="C921" s="133" t="str">
        <f>IFERROR(__xludf.DUMMYFUNCTION("""COMPUTED_VALUE"""),"P-1-N-080322-1590")</f>
        <v>P-1-N-080322-1590</v>
      </c>
      <c r="D921" s="133"/>
      <c r="E921" s="133" t="str">
        <f>IFERROR(__xludf.DUMMYFUNCTION("""COMPUTED_VALUE"""),"تمت طباعة الشهادة")</f>
        <v>تمت طباعة الشهادة</v>
      </c>
      <c r="F921" s="133" t="str">
        <f>IFERROR(__xludf.DUMMYFUNCTION("""COMPUTED_VALUE"""),"Chicken with Lamb Topper 85g")</f>
        <v>Chicken with Lamb Topper 85g</v>
      </c>
      <c r="G921" s="133" t="str">
        <f>IFERROR(__xludf.DUMMYFUNCTION("""COMPUTED_VALUE"""),"دجاج مع لحم الضأن 85 جم")</f>
        <v>دجاج مع لحم الضأن 85 جم</v>
      </c>
      <c r="H921" s="133" t="str">
        <f>IFERROR(__xludf.DUMMYFUNCTION("""COMPUTED_VALUE"""),"MAFE20221075")</f>
        <v>MAFE20221075</v>
      </c>
      <c r="I921" s="133"/>
      <c r="J921" s="133"/>
      <c r="K921" s="133" t="str">
        <f>IFERROR(__xludf.DUMMYFUNCTION("""COMPUTED_VALUE"""),"شركة التحالف الآسيوي الدولية المحدودة")</f>
        <v>شركة التحالف الآسيوي الدولية المحدودة</v>
      </c>
      <c r="L921" s="142" t="str">
        <f>IFERROR(__xludf.DUMMYFUNCTION("""COMPUTED_VALUE"""),"C01071704")</f>
        <v>C01071704</v>
      </c>
      <c r="M921" s="133"/>
      <c r="N921" s="133"/>
      <c r="O921" s="133"/>
      <c r="P921" s="133"/>
      <c r="Q921" s="133"/>
      <c r="R921" s="133"/>
      <c r="S921" s="133"/>
      <c r="T921" s="133"/>
      <c r="U921" s="133"/>
      <c r="V921" s="133"/>
      <c r="W921" s="133"/>
      <c r="X921" s="133"/>
      <c r="Y921" s="133"/>
      <c r="Z921" s="133"/>
    </row>
    <row r="922">
      <c r="A922" s="133">
        <f>IFERROR(__xludf.DUMMYFUNCTION("""COMPUTED_VALUE"""),921.0)</f>
        <v>921</v>
      </c>
      <c r="B922" s="133" t="str">
        <f>IFERROR(__xludf.DUMMYFUNCTION("""COMPUTED_VALUE"""),"WB80223")</f>
        <v>WB80223</v>
      </c>
      <c r="C922" s="133" t="str">
        <f>IFERROR(__xludf.DUMMYFUNCTION("""COMPUTED_VALUE"""),"P-1-N-090322-1599")</f>
        <v>P-1-N-090322-1599</v>
      </c>
      <c r="D922" s="133"/>
      <c r="E922" s="133" t="str">
        <f>IFERROR(__xludf.DUMMYFUNCTION("""COMPUTED_VALUE"""),"تمت طباعة الشهادة")</f>
        <v>تمت طباعة الشهادة</v>
      </c>
      <c r="F922" s="133" t="str">
        <f>IFERROR(__xludf.DUMMYFUNCTION("""COMPUTED_VALUE"""),"Tiki Cat Salmon &amp; Chicken Recipe in Chicken Consomme 80g")</f>
        <v>Tiki Cat Salmon &amp; Chicken Recipe in Chicken Consomme 80g</v>
      </c>
      <c r="G922" s="133" t="str">
        <f>IFERROR(__xludf.DUMMYFUNCTION("""COMPUTED_VALUE"""),"تيكي كات وصفة السلمون والدجاج في مرقة دجاج 80 جم")</f>
        <v>تيكي كات وصفة السلمون والدجاج في مرقة دجاج 80 جم</v>
      </c>
      <c r="H922" s="133" t="str">
        <f>IFERROR(__xludf.DUMMYFUNCTION("""COMPUTED_VALUE"""),"MAFE20221073")</f>
        <v>MAFE20221073</v>
      </c>
      <c r="I922" s="133"/>
      <c r="J922" s="133"/>
      <c r="K922" s="133" t="str">
        <f>IFERROR(__xludf.DUMMYFUNCTION("""COMPUTED_VALUE"""),"شركة التحالف الآسيوي الدولية المحدودة")</f>
        <v>شركة التحالف الآسيوي الدولية المحدودة</v>
      </c>
      <c r="L922" s="142" t="str">
        <f>IFERROR(__xludf.DUMMYFUNCTION("""COMPUTED_VALUE"""),"WB80223")</f>
        <v>WB80223</v>
      </c>
      <c r="M922" s="133"/>
      <c r="N922" s="133"/>
      <c r="O922" s="133"/>
      <c r="P922" s="133"/>
      <c r="Q922" s="133"/>
      <c r="R922" s="133"/>
      <c r="S922" s="133"/>
      <c r="T922" s="133"/>
      <c r="U922" s="133"/>
      <c r="V922" s="133"/>
      <c r="W922" s="133"/>
      <c r="X922" s="133"/>
      <c r="Y922" s="133"/>
      <c r="Z922" s="133"/>
    </row>
    <row r="923">
      <c r="A923" s="133">
        <f>IFERROR(__xludf.DUMMYFUNCTION("""COMPUTED_VALUE"""),922.0)</f>
        <v>922</v>
      </c>
      <c r="B923" s="133" t="str">
        <f>IFERROR(__xludf.DUMMYFUNCTION("""COMPUTED_VALUE"""),"WB80245")</f>
        <v>WB80245</v>
      </c>
      <c r="C923" s="133" t="str">
        <f>IFERROR(__xludf.DUMMYFUNCTION("""COMPUTED_VALUE"""),"P-1-N-090322-1608")</f>
        <v>P-1-N-090322-1608</v>
      </c>
      <c r="D923" s="133"/>
      <c r="E923" s="133" t="str">
        <f>IFERROR(__xludf.DUMMYFUNCTION("""COMPUTED_VALUE"""),"تمت طباعة الشهادة")</f>
        <v>تمت طباعة الشهادة</v>
      </c>
      <c r="F923" s="133" t="str">
        <f>IFERROR(__xludf.DUMMYFUNCTION("""COMPUTED_VALUE"""),"Tiki Dog Peking Duck Recipe in Broth 85g")</f>
        <v>Tiki Dog Peking Duck Recipe in Broth 85g</v>
      </c>
      <c r="G923" s="133" t="str">
        <f>IFERROR(__xludf.DUMMYFUNCTION("""COMPUTED_VALUE"""),"تيكي دوج وصفة بط بكين في مرق 85 جم")</f>
        <v>تيكي دوج وصفة بط بكين في مرق 85 جم</v>
      </c>
      <c r="H923" s="133" t="str">
        <f>IFERROR(__xludf.DUMMYFUNCTION("""COMPUTED_VALUE"""),"MAFE20221072")</f>
        <v>MAFE20221072</v>
      </c>
      <c r="I923" s="133"/>
      <c r="J923" s="133"/>
      <c r="K923" s="133" t="str">
        <f>IFERROR(__xludf.DUMMYFUNCTION("""COMPUTED_VALUE"""),"شركة التحالف الآسيوي الدولية المحدودة")</f>
        <v>شركة التحالف الآسيوي الدولية المحدودة</v>
      </c>
      <c r="L923" s="142" t="str">
        <f>IFERROR(__xludf.DUMMYFUNCTION("""COMPUTED_VALUE"""),"WB80245")</f>
        <v>WB80245</v>
      </c>
      <c r="M923" s="133"/>
      <c r="N923" s="133"/>
      <c r="O923" s="133"/>
      <c r="P923" s="133"/>
      <c r="Q923" s="133"/>
      <c r="R923" s="133"/>
      <c r="S923" s="133"/>
      <c r="T923" s="133"/>
      <c r="U923" s="133"/>
      <c r="V923" s="133"/>
      <c r="W923" s="133"/>
      <c r="X923" s="133"/>
      <c r="Y923" s="133"/>
      <c r="Z923" s="133"/>
    </row>
    <row r="924">
      <c r="A924" s="133">
        <f>IFERROR(__xludf.DUMMYFUNCTION("""COMPUTED_VALUE"""),923.0)</f>
        <v>923</v>
      </c>
      <c r="B924" s="133" t="str">
        <f>IFERROR(__xludf.DUMMYFUNCTION("""COMPUTED_VALUE"""),"WB80255")</f>
        <v>WB80255</v>
      </c>
      <c r="C924" s="133" t="str">
        <f>IFERROR(__xludf.DUMMYFUNCTION("""COMPUTED_VALUE"""),"P-1-N-090322-1609")</f>
        <v>P-1-N-090322-1609</v>
      </c>
      <c r="D924" s="133"/>
      <c r="E924" s="133" t="str">
        <f>IFERROR(__xludf.DUMMYFUNCTION("""COMPUTED_VALUE"""),"تمت طباعة الشهادة")</f>
        <v>تمت طباعة الشهادة</v>
      </c>
      <c r="F924" s="133" t="str">
        <f>IFERROR(__xludf.DUMMYFUNCTION("""COMPUTED_VALUE"""),"Tiki Dog Petites Chicken with Beef Liver Recipe in Chicken Broth 85g")</f>
        <v>Tiki Dog Petites Chicken with Beef Liver Recipe in Chicken Broth 85g</v>
      </c>
      <c r="G924" s="133" t="str">
        <f>IFERROR(__xludf.DUMMYFUNCTION("""COMPUTED_VALUE"""),"تيكي دوج بيتيتس وصفة دجاج مع كبد البقر في مرق الدجاج 85 جم")</f>
        <v>تيكي دوج بيتيتس وصفة دجاج مع كبد البقر في مرق الدجاج 85 جم</v>
      </c>
      <c r="H924" s="133" t="str">
        <f>IFERROR(__xludf.DUMMYFUNCTION("""COMPUTED_VALUE"""),"MAFE20221071")</f>
        <v>MAFE20221071</v>
      </c>
      <c r="I924" s="133"/>
      <c r="J924" s="133"/>
      <c r="K924" s="133" t="str">
        <f>IFERROR(__xludf.DUMMYFUNCTION("""COMPUTED_VALUE"""),"شركة التحالف الآسيوي الدولية المحدودة")</f>
        <v>شركة التحالف الآسيوي الدولية المحدودة</v>
      </c>
      <c r="L924" s="142" t="str">
        <f>IFERROR(__xludf.DUMMYFUNCTION("""COMPUTED_VALUE"""),"WB80255")</f>
        <v>WB80255</v>
      </c>
      <c r="M924" s="133"/>
      <c r="N924" s="133"/>
      <c r="O924" s="133"/>
      <c r="P924" s="133"/>
      <c r="Q924" s="133"/>
      <c r="R924" s="133"/>
      <c r="S924" s="133"/>
      <c r="T924" s="133"/>
      <c r="U924" s="133"/>
      <c r="V924" s="133"/>
      <c r="W924" s="133"/>
      <c r="X924" s="133"/>
      <c r="Y924" s="133"/>
      <c r="Z924" s="133"/>
    </row>
    <row r="925">
      <c r="A925" s="133">
        <f>IFERROR(__xludf.DUMMYFUNCTION("""COMPUTED_VALUE"""),924.0)</f>
        <v>924</v>
      </c>
      <c r="B925" s="133" t="str">
        <f>IFERROR(__xludf.DUMMYFUNCTION("""COMPUTED_VALUE"""),"WB80254")</f>
        <v>WB80254</v>
      </c>
      <c r="C925" s="133" t="str">
        <f>IFERROR(__xludf.DUMMYFUNCTION("""COMPUTED_VALUE"""),"P-1-N-090322-1610")</f>
        <v>P-1-N-090322-1610</v>
      </c>
      <c r="D925" s="133"/>
      <c r="E925" s="133" t="str">
        <f>IFERROR(__xludf.DUMMYFUNCTION("""COMPUTED_VALUE"""),"تمت طباعة الشهادة")</f>
        <v>تمت طباعة الشهادة</v>
      </c>
      <c r="F925" s="133" t="str">
        <f>IFERROR(__xludf.DUMMYFUNCTION("""COMPUTED_VALUE"""),"Tiki Dog Petites Chicken with Chicken Liver Recipe in Chicken Broth 85g")</f>
        <v>Tiki Dog Petites Chicken with Chicken Liver Recipe in Chicken Broth 85g</v>
      </c>
      <c r="G925" s="133" t="str">
        <f>IFERROR(__xludf.DUMMYFUNCTION("""COMPUTED_VALUE"""),"تيكي دوج بيتيتس وصفة دجاج مع كبد الدجاج في مرق الدجاج 85 جم")</f>
        <v>تيكي دوج بيتيتس وصفة دجاج مع كبد الدجاج في مرق الدجاج 85 جم</v>
      </c>
      <c r="H925" s="133"/>
      <c r="I925" s="133"/>
      <c r="J925" s="133"/>
      <c r="K925" s="133" t="str">
        <f>IFERROR(__xludf.DUMMYFUNCTION("""COMPUTED_VALUE"""),"شركة التحالف الآسيوي الدولية المحدودة")</f>
        <v>شركة التحالف الآسيوي الدولية المحدودة</v>
      </c>
      <c r="L925" s="142" t="str">
        <f>IFERROR(__xludf.DUMMYFUNCTION("""COMPUTED_VALUE"""),"WB80254")</f>
        <v>WB80254</v>
      </c>
      <c r="M925" s="133"/>
      <c r="N925" s="133"/>
      <c r="O925" s="133"/>
      <c r="P925" s="133"/>
      <c r="Q925" s="133"/>
      <c r="R925" s="133"/>
      <c r="S925" s="133"/>
      <c r="T925" s="133"/>
      <c r="U925" s="133"/>
      <c r="V925" s="133"/>
      <c r="W925" s="133"/>
      <c r="X925" s="133"/>
      <c r="Y925" s="133"/>
      <c r="Z925" s="133"/>
    </row>
    <row r="926">
      <c r="A926" s="133">
        <f>IFERROR(__xludf.DUMMYFUNCTION("""COMPUTED_VALUE"""),925.0)</f>
        <v>925</v>
      </c>
      <c r="B926" s="133" t="str">
        <f>IFERROR(__xludf.DUMMYFUNCTION("""COMPUTED_VALUE"""),"WB80256")</f>
        <v>WB80256</v>
      </c>
      <c r="C926" s="133" t="str">
        <f>IFERROR(__xludf.DUMMYFUNCTION("""COMPUTED_VALUE"""),"P-1-N-090322-1611")</f>
        <v>P-1-N-090322-1611</v>
      </c>
      <c r="D926" s="133"/>
      <c r="E926" s="133" t="str">
        <f>IFERROR(__xludf.DUMMYFUNCTION("""COMPUTED_VALUE"""),"تمت طباعة الشهادة")</f>
        <v>تمت طباعة الشهادة</v>
      </c>
      <c r="F926" s="133" t="str">
        <f>IFERROR(__xludf.DUMMYFUNCTION("""COMPUTED_VALUE"""),"Tiki Dog Petites Chicken with Duck Recipe in Chicken Broth 85g")</f>
        <v>Tiki Dog Petites Chicken with Duck Recipe in Chicken Broth 85g</v>
      </c>
      <c r="G926" s="133" t="str">
        <f>IFERROR(__xludf.DUMMYFUNCTION("""COMPUTED_VALUE"""),"تيكي دوج بيتيتس وصفة دجاج مع البط في مرق الدجاج 85 جم")</f>
        <v>تيكي دوج بيتيتس وصفة دجاج مع البط في مرق الدجاج 85 جم</v>
      </c>
      <c r="H926" s="133" t="str">
        <f>IFERROR(__xludf.DUMMYFUNCTION("""COMPUTED_VALUE"""),"MAFE20221031")</f>
        <v>MAFE20221031</v>
      </c>
      <c r="I926" s="133"/>
      <c r="J926" s="133"/>
      <c r="K926" s="133" t="str">
        <f>IFERROR(__xludf.DUMMYFUNCTION("""COMPUTED_VALUE"""),"شركة التحالف الآسيوي الدولية المحدودة")</f>
        <v>شركة التحالف الآسيوي الدولية المحدودة</v>
      </c>
      <c r="L926" s="142" t="str">
        <f>IFERROR(__xludf.DUMMYFUNCTION("""COMPUTED_VALUE"""),"WB80256")</f>
        <v>WB80256</v>
      </c>
      <c r="M926" s="133"/>
      <c r="N926" s="133"/>
      <c r="O926" s="133"/>
      <c r="P926" s="133"/>
      <c r="Q926" s="133"/>
      <c r="R926" s="133"/>
      <c r="S926" s="133"/>
      <c r="T926" s="133"/>
      <c r="U926" s="133"/>
      <c r="V926" s="133"/>
      <c r="W926" s="133"/>
      <c r="X926" s="133"/>
      <c r="Y926" s="133"/>
      <c r="Z926" s="133"/>
    </row>
    <row r="927">
      <c r="A927" s="133">
        <f>IFERROR(__xludf.DUMMYFUNCTION("""COMPUTED_VALUE"""),926.0)</f>
        <v>926</v>
      </c>
      <c r="B927" s="133"/>
      <c r="C927" s="133" t="str">
        <f>IFERROR(__xludf.DUMMYFUNCTION("""COMPUTED_VALUE"""),"P-1-N-090322-1612")</f>
        <v>P-1-N-090322-1612</v>
      </c>
      <c r="D927" s="133"/>
      <c r="E927" s="133" t="str">
        <f>IFERROR(__xludf.DUMMYFUNCTION("""COMPUTED_VALUE"""),"تمت طباعة الشهادة")</f>
        <v>تمت طباعة الشهادة</v>
      </c>
      <c r="F927" s="133" t="str">
        <f>IFERROR(__xludf.DUMMYFUNCTION("""COMPUTED_VALUE"""),"Tiki")</f>
        <v>Tiki</v>
      </c>
      <c r="G927" s="133" t="str">
        <f>IFERROR(__xludf.DUMMYFUNCTION("""COMPUTED_VALUE"""),"تيكي دوج وصفة دجاج في مرق 85 جم")</f>
        <v>تيكي دوج وصفة دجاج في مرق 85 جم</v>
      </c>
      <c r="H927" s="133"/>
      <c r="I927" s="133"/>
      <c r="J927" s="133"/>
      <c r="K927" s="133" t="str">
        <f>IFERROR(__xludf.DUMMYFUNCTION("""COMPUTED_VALUE"""),"شركة التحالف الآسيوي الدولية المحدودة")</f>
        <v>شركة التحالف الآسيوي الدولية المحدودة</v>
      </c>
      <c r="L927" s="133"/>
      <c r="M927" s="133"/>
      <c r="N927" s="133"/>
      <c r="O927" s="133"/>
      <c r="P927" s="133"/>
      <c r="Q927" s="133"/>
      <c r="R927" s="133"/>
      <c r="S927" s="133"/>
      <c r="T927" s="133"/>
      <c r="U927" s="133"/>
      <c r="V927" s="133"/>
      <c r="W927" s="133"/>
      <c r="X927" s="133"/>
      <c r="Y927" s="133"/>
      <c r="Z927" s="133"/>
    </row>
    <row r="928">
      <c r="A928" s="133">
        <f>IFERROR(__xludf.DUMMYFUNCTION("""COMPUTED_VALUE"""),927.0)</f>
        <v>927</v>
      </c>
      <c r="B928" s="133" t="str">
        <f>IFERROR(__xludf.DUMMYFUNCTION("""COMPUTED_VALUE"""),"WB80240")</f>
        <v>WB80240</v>
      </c>
      <c r="C928" s="133" t="str">
        <f>IFERROR(__xludf.DUMMYFUNCTION("""COMPUTED_VALUE"""),"P-1-N-090322-1613")</f>
        <v>P-1-N-090322-1613</v>
      </c>
      <c r="D928" s="133"/>
      <c r="E928" s="133" t="str">
        <f>IFERROR(__xludf.DUMMYFUNCTION("""COMPUTED_VALUE"""),"تمت طباعة الشهادة")</f>
        <v>تمت طباعة الشهادة</v>
      </c>
      <c r="F928" s="133" t="str">
        <f>IFERROR(__xludf.DUMMYFUNCTION("""COMPUTED_VALUE"""),"Tiki Dog Chicken with Beef Recipe in Broth 85g")</f>
        <v>Tiki Dog Chicken with Beef Recipe in Broth 85g</v>
      </c>
      <c r="G928" s="133" t="str">
        <f>IFERROR(__xludf.DUMMYFUNCTION("""COMPUTED_VALUE"""),"تيكي دوج وصفة الدجاج باللحم البقري في مرق 85 جم")</f>
        <v>تيكي دوج وصفة الدجاج باللحم البقري في مرق 85 جم</v>
      </c>
      <c r="H928" s="133" t="str">
        <f>IFERROR(__xludf.DUMMYFUNCTION("""COMPUTED_VALUE"""),"MAFE20221019")</f>
        <v>MAFE20221019</v>
      </c>
      <c r="I928" s="133"/>
      <c r="J928" s="133"/>
      <c r="K928" s="133" t="str">
        <f>IFERROR(__xludf.DUMMYFUNCTION("""COMPUTED_VALUE"""),"شركة التحالف الآسيوي الدولية المحدودة")</f>
        <v>شركة التحالف الآسيوي الدولية المحدودة</v>
      </c>
      <c r="L928" s="142" t="str">
        <f>IFERROR(__xludf.DUMMYFUNCTION("""COMPUTED_VALUE"""),"WB80240")</f>
        <v>WB80240</v>
      </c>
      <c r="M928" s="133"/>
      <c r="N928" s="133"/>
      <c r="O928" s="133"/>
      <c r="P928" s="133"/>
      <c r="Q928" s="133"/>
      <c r="R928" s="133"/>
      <c r="S928" s="133"/>
      <c r="T928" s="133"/>
      <c r="U928" s="133"/>
      <c r="V928" s="133"/>
      <c r="W928" s="133"/>
      <c r="X928" s="133"/>
      <c r="Y928" s="133"/>
      <c r="Z928" s="133"/>
    </row>
    <row r="929">
      <c r="A929" s="133">
        <f>IFERROR(__xludf.DUMMYFUNCTION("""COMPUTED_VALUE"""),928.0)</f>
        <v>928</v>
      </c>
      <c r="B929" s="133" t="str">
        <f>IFERROR(__xludf.DUMMYFUNCTION("""COMPUTED_VALUE"""),"WB80241")</f>
        <v>WB80241</v>
      </c>
      <c r="C929" s="133" t="str">
        <f>IFERROR(__xludf.DUMMYFUNCTION("""COMPUTED_VALUE"""),"P-1-N-090322-1614")</f>
        <v>P-1-N-090322-1614</v>
      </c>
      <c r="D929" s="133"/>
      <c r="E929" s="133" t="str">
        <f>IFERROR(__xludf.DUMMYFUNCTION("""COMPUTED_VALUE"""),"تمت طباعة الشهادة")</f>
        <v>تمت طباعة الشهادة</v>
      </c>
      <c r="F929" s="133" t="str">
        <f>IFERROR(__xludf.DUMMYFUNCTION("""COMPUTED_VALUE"""),"Tiki Dog Chicken with Duck Recipe in Broth 85g")</f>
        <v>Tiki Dog Chicken with Duck Recipe in Broth 85g</v>
      </c>
      <c r="G929" s="133" t="str">
        <f>IFERROR(__xludf.DUMMYFUNCTION("""COMPUTED_VALUE"""),"تيكي دوج وصفة الدجاج مع البط في مرق 85 جم")</f>
        <v>تيكي دوج وصفة الدجاج مع البط في مرق 85 جم</v>
      </c>
      <c r="H929" s="133"/>
      <c r="I929" s="133"/>
      <c r="J929" s="133"/>
      <c r="K929" s="133" t="str">
        <f>IFERROR(__xludf.DUMMYFUNCTION("""COMPUTED_VALUE"""),"شركة التحالف الآسيوي الدولية المحدودة")</f>
        <v>شركة التحالف الآسيوي الدولية المحدودة</v>
      </c>
      <c r="L929" s="142" t="str">
        <f>IFERROR(__xludf.DUMMYFUNCTION("""COMPUTED_VALUE"""),"WB80241")</f>
        <v>WB80241</v>
      </c>
      <c r="M929" s="133"/>
      <c r="N929" s="133"/>
      <c r="O929" s="133"/>
      <c r="P929" s="133"/>
      <c r="Q929" s="133"/>
      <c r="R929" s="133"/>
      <c r="S929" s="133"/>
      <c r="T929" s="133"/>
      <c r="U929" s="133"/>
      <c r="V929" s="133"/>
      <c r="W929" s="133"/>
      <c r="X929" s="133"/>
      <c r="Y929" s="133"/>
      <c r="Z929" s="133"/>
    </row>
    <row r="930">
      <c r="A930" s="133">
        <f>IFERROR(__xludf.DUMMYFUNCTION("""COMPUTED_VALUE"""),929.0)</f>
        <v>929</v>
      </c>
      <c r="B930" s="133" t="str">
        <f>IFERROR(__xludf.DUMMYFUNCTION("""COMPUTED_VALUE"""),"WB80242")</f>
        <v>WB80242</v>
      </c>
      <c r="C930" s="133" t="str">
        <f>IFERROR(__xludf.DUMMYFUNCTION("""COMPUTED_VALUE"""),"P-1-N-090322-1615")</f>
        <v>P-1-N-090322-1615</v>
      </c>
      <c r="D930" s="133"/>
      <c r="E930" s="133" t="str">
        <f>IFERROR(__xludf.DUMMYFUNCTION("""COMPUTED_VALUE"""),"تمت طباعة الشهادة")</f>
        <v>تمت طباعة الشهادة</v>
      </c>
      <c r="F930" s="133" t="str">
        <f>IFERROR(__xludf.DUMMYFUNCTION("""COMPUTED_VALUE"""),"Tiki Dog Chicken with Egg Recipe in Broth 85g")</f>
        <v>Tiki Dog Chicken with Egg Recipe in Broth 85g</v>
      </c>
      <c r="G930" s="133" t="str">
        <f>IFERROR(__xludf.DUMMYFUNCTION("""COMPUTED_VALUE"""),"تيكي دوج وصفة الدجاج بالبيض في مرق 85 جم")</f>
        <v>تيكي دوج وصفة الدجاج بالبيض في مرق 85 جم</v>
      </c>
      <c r="H930" s="133"/>
      <c r="I930" s="133"/>
      <c r="J930" s="133"/>
      <c r="K930" s="133" t="str">
        <f>IFERROR(__xludf.DUMMYFUNCTION("""COMPUTED_VALUE"""),"شركة التحالف الآسيوي الدولية المحدودة")</f>
        <v>شركة التحالف الآسيوي الدولية المحدودة</v>
      </c>
      <c r="L930" s="142" t="str">
        <f>IFERROR(__xludf.DUMMYFUNCTION("""COMPUTED_VALUE"""),"WB80242")</f>
        <v>WB80242</v>
      </c>
      <c r="M930" s="133"/>
      <c r="N930" s="133"/>
      <c r="O930" s="133"/>
      <c r="P930" s="133"/>
      <c r="Q930" s="133"/>
      <c r="R930" s="133"/>
      <c r="S930" s="133"/>
      <c r="T930" s="133"/>
      <c r="U930" s="133"/>
      <c r="V930" s="133"/>
      <c r="W930" s="133"/>
      <c r="X930" s="133"/>
      <c r="Y930" s="133"/>
      <c r="Z930" s="133"/>
    </row>
    <row r="931">
      <c r="A931" s="133">
        <f>IFERROR(__xludf.DUMMYFUNCTION("""COMPUTED_VALUE"""),930.0)</f>
        <v>930</v>
      </c>
      <c r="B931" s="133" t="str">
        <f>IFERROR(__xludf.DUMMYFUNCTION("""COMPUTED_VALUE"""),"WB80243")</f>
        <v>WB80243</v>
      </c>
      <c r="C931" s="133" t="str">
        <f>IFERROR(__xludf.DUMMYFUNCTION("""COMPUTED_VALUE"""),"P-1-N-090322-1616")</f>
        <v>P-1-N-090322-1616</v>
      </c>
      <c r="D931" s="133"/>
      <c r="E931" s="133" t="str">
        <f>IFERROR(__xludf.DUMMYFUNCTION("""COMPUTED_VALUE"""),"تمت طباعة الشهادة")</f>
        <v>تمت طباعة الشهادة</v>
      </c>
      <c r="F931" s="133" t="str">
        <f>IFERROR(__xludf.DUMMYFUNCTION("""COMPUTED_VALUE"""),"Tiki Dog Chicken with Salmon Recipe in Broth 85g")</f>
        <v>Tiki Dog Chicken with Salmon Recipe in Broth 85g</v>
      </c>
      <c r="G931" s="133" t="str">
        <f>IFERROR(__xludf.DUMMYFUNCTION("""COMPUTED_VALUE"""),"تيكي دوج وصفة دجاج مع السلمون في مرق 85 جم")</f>
        <v>تيكي دوج وصفة دجاج مع السلمون في مرق 85 جم</v>
      </c>
      <c r="H931" s="133"/>
      <c r="I931" s="133"/>
      <c r="J931" s="133"/>
      <c r="K931" s="133" t="str">
        <f>IFERROR(__xludf.DUMMYFUNCTION("""COMPUTED_VALUE"""),"شركة التحالف الآسيوي الدولية المحدودة")</f>
        <v>شركة التحالف الآسيوي الدولية المحدودة</v>
      </c>
      <c r="L931" s="142" t="str">
        <f>IFERROR(__xludf.DUMMYFUNCTION("""COMPUTED_VALUE"""),"WB80243")</f>
        <v>WB80243</v>
      </c>
      <c r="M931" s="133"/>
      <c r="N931" s="133"/>
      <c r="O931" s="133"/>
      <c r="P931" s="133"/>
      <c r="Q931" s="133"/>
      <c r="R931" s="133"/>
      <c r="S931" s="133"/>
      <c r="T931" s="133"/>
      <c r="U931" s="133"/>
      <c r="V931" s="133"/>
      <c r="W931" s="133"/>
      <c r="X931" s="133"/>
      <c r="Y931" s="133"/>
      <c r="Z931" s="133"/>
    </row>
    <row r="932">
      <c r="A932" s="133">
        <f>IFERROR(__xludf.DUMMYFUNCTION("""COMPUTED_VALUE"""),931.0)</f>
        <v>931</v>
      </c>
      <c r="B932" s="133" t="str">
        <f>IFERROR(__xludf.DUMMYFUNCTION("""COMPUTED_VALUE"""),"WB80246")</f>
        <v>WB80246</v>
      </c>
      <c r="C932" s="133" t="str">
        <f>IFERROR(__xludf.DUMMYFUNCTION("""COMPUTED_VALUE"""),"P-1-N-090322-1617")</f>
        <v>P-1-N-090322-1617</v>
      </c>
      <c r="D932" s="133"/>
      <c r="E932" s="133" t="str">
        <f>IFERROR(__xludf.DUMMYFUNCTION("""COMPUTED_VALUE"""),"تمت طباعة الشهادة")</f>
        <v>تمت طباعة الشهادة</v>
      </c>
      <c r="F932" s="133" t="str">
        <f>IFERROR(__xludf.DUMMYFUNCTION("""COMPUTED_VALUE"""),"Tiki Dog Beef with Potatoes &amp; Carrot Burgundy Recipe in Broth 85g")</f>
        <v>Tiki Dog Beef with Potatoes &amp; Carrot Burgundy Recipe in Broth 85g</v>
      </c>
      <c r="G932" s="133" t="str">
        <f>IFERROR(__xludf.DUMMYFUNCTION("""COMPUTED_VALUE"""),"تيكي دوج وصفة لحم البقر مع البطاطس والجزر في المرق 85 جم")</f>
        <v>تيكي دوج وصفة لحم البقر مع البطاطس والجزر في المرق 85 جم</v>
      </c>
      <c r="H932" s="133"/>
      <c r="I932" s="133"/>
      <c r="J932" s="133"/>
      <c r="K932" s="133" t="str">
        <f>IFERROR(__xludf.DUMMYFUNCTION("""COMPUTED_VALUE"""),"شركة التحالف الآسيوي الدولية المحدودة")</f>
        <v>شركة التحالف الآسيوي الدولية المحدودة</v>
      </c>
      <c r="L932" s="142" t="str">
        <f>IFERROR(__xludf.DUMMYFUNCTION("""COMPUTED_VALUE"""),"WB80246")</f>
        <v>WB80246</v>
      </c>
      <c r="M932" s="133"/>
      <c r="N932" s="133"/>
      <c r="O932" s="133"/>
      <c r="P932" s="133"/>
      <c r="Q932" s="133"/>
      <c r="R932" s="133"/>
      <c r="S932" s="133"/>
      <c r="T932" s="133"/>
      <c r="U932" s="133"/>
      <c r="V932" s="133"/>
      <c r="W932" s="133"/>
      <c r="X932" s="133"/>
      <c r="Y932" s="133"/>
      <c r="Z932" s="133"/>
    </row>
    <row r="933">
      <c r="A933" s="133">
        <f>IFERROR(__xludf.DUMMYFUNCTION("""COMPUTED_VALUE"""),932.0)</f>
        <v>932</v>
      </c>
      <c r="B933" s="133" t="str">
        <f>IFERROR(__xludf.DUMMYFUNCTION("""COMPUTED_VALUE"""),"WB80251")</f>
        <v>WB80251</v>
      </c>
      <c r="C933" s="133" t="str">
        <f>IFERROR(__xludf.DUMMYFUNCTION("""COMPUTED_VALUE"""),"P-1-N-090322-1618")</f>
        <v>P-1-N-090322-1618</v>
      </c>
      <c r="D933" s="133"/>
      <c r="E933" s="133" t="str">
        <f>IFERROR(__xludf.DUMMYFUNCTION("""COMPUTED_VALUE"""),"تمت طباعة الشهادة")</f>
        <v>تمت طباعة الشهادة</v>
      </c>
      <c r="F933" s="133" t="str">
        <f>IFERROR(__xludf.DUMMYFUNCTION("""COMPUTED_VALUE"""),"Tiki Dog Chicken Curry Recipe in Broth 85g")</f>
        <v>Tiki Dog Chicken Curry Recipe in Broth 85g</v>
      </c>
      <c r="G933" s="133" t="str">
        <f>IFERROR(__xludf.DUMMYFUNCTION("""COMPUTED_VALUE"""),"تيكي دوج وصفة كاري الدجاج في مرق 85 جم")</f>
        <v>تيكي دوج وصفة كاري الدجاج في مرق 85 جم</v>
      </c>
      <c r="H933" s="133"/>
      <c r="I933" s="133"/>
      <c r="J933" s="133"/>
      <c r="K933" s="133" t="str">
        <f>IFERROR(__xludf.DUMMYFUNCTION("""COMPUTED_VALUE"""),"شركة التحالف الآسيوي الدولية المحدودة")</f>
        <v>شركة التحالف الآسيوي الدولية المحدودة</v>
      </c>
      <c r="L933" s="142" t="str">
        <f>IFERROR(__xludf.DUMMYFUNCTION("""COMPUTED_VALUE"""),"WB80251")</f>
        <v>WB80251</v>
      </c>
      <c r="M933" s="133"/>
      <c r="N933" s="133"/>
      <c r="O933" s="133"/>
      <c r="P933" s="133"/>
      <c r="Q933" s="133"/>
      <c r="R933" s="133"/>
      <c r="S933" s="133"/>
      <c r="T933" s="133"/>
      <c r="U933" s="133"/>
      <c r="V933" s="133"/>
      <c r="W933" s="133"/>
      <c r="X933" s="133"/>
      <c r="Y933" s="133"/>
      <c r="Z933" s="133"/>
    </row>
    <row r="934">
      <c r="A934" s="133">
        <f>IFERROR(__xludf.DUMMYFUNCTION("""COMPUTED_VALUE"""),933.0)</f>
        <v>933</v>
      </c>
      <c r="B934" s="133" t="str">
        <f>IFERROR(__xludf.DUMMYFUNCTION("""COMPUTED_VALUE"""),"WB80248")</f>
        <v>WB80248</v>
      </c>
      <c r="C934" s="133" t="str">
        <f>IFERROR(__xludf.DUMMYFUNCTION("""COMPUTED_VALUE"""),"P-1-N-090322-1619")</f>
        <v>P-1-N-090322-1619</v>
      </c>
      <c r="D934" s="133"/>
      <c r="E934" s="133" t="str">
        <f>IFERROR(__xludf.DUMMYFUNCTION("""COMPUTED_VALUE"""),"تمت طباعة الشهادة")</f>
        <v>تمت طباعة الشهادة</v>
      </c>
      <c r="F934" s="133" t="str">
        <f>IFERROR(__xludf.DUMMYFUNCTION("""COMPUTED_VALUE"""),"Tiki Dog Chicken Masala Recipe in Broth 85g")</f>
        <v>Tiki Dog Chicken Masala Recipe in Broth 85g</v>
      </c>
      <c r="G934" s="133" t="str">
        <f>IFERROR(__xludf.DUMMYFUNCTION("""COMPUTED_VALUE"""),"تيكي دوج وصفة ماسالا الدجاج في مرق 85 جم")</f>
        <v>تيكي دوج وصفة ماسالا الدجاج في مرق 85 جم</v>
      </c>
      <c r="H934" s="133"/>
      <c r="I934" s="133"/>
      <c r="J934" s="133"/>
      <c r="K934" s="133" t="str">
        <f>IFERROR(__xludf.DUMMYFUNCTION("""COMPUTED_VALUE"""),"شركة التحالف الآسيوي الدولية المحدودة")</f>
        <v>شركة التحالف الآسيوي الدولية المحدودة</v>
      </c>
      <c r="L934" s="142" t="str">
        <f>IFERROR(__xludf.DUMMYFUNCTION("""COMPUTED_VALUE"""),"WB80248")</f>
        <v>WB80248</v>
      </c>
      <c r="M934" s="133"/>
      <c r="N934" s="133"/>
      <c r="O934" s="133"/>
      <c r="P934" s="133"/>
      <c r="Q934" s="133"/>
      <c r="R934" s="133"/>
      <c r="S934" s="133"/>
      <c r="T934" s="133"/>
      <c r="U934" s="133"/>
      <c r="V934" s="133"/>
      <c r="W934" s="133"/>
      <c r="X934" s="133"/>
      <c r="Y934" s="133"/>
      <c r="Z934" s="133"/>
    </row>
    <row r="935">
      <c r="A935" s="133">
        <f>IFERROR(__xludf.DUMMYFUNCTION("""COMPUTED_VALUE"""),934.0)</f>
        <v>934</v>
      </c>
      <c r="B935" s="133" t="str">
        <f>IFERROR(__xludf.DUMMYFUNCTION("""COMPUTED_VALUE"""),"WB80247")</f>
        <v>WB80247</v>
      </c>
      <c r="C935" s="133" t="str">
        <f>IFERROR(__xludf.DUMMYFUNCTION("""COMPUTED_VALUE"""),"P-1-N-090322-1620")</f>
        <v>P-1-N-090322-1620</v>
      </c>
      <c r="D935" s="133"/>
      <c r="E935" s="133" t="str">
        <f>IFERROR(__xludf.DUMMYFUNCTION("""COMPUTED_VALUE"""),"تمت طباعة الشهادة")</f>
        <v>تمت طباعة الشهادة</v>
      </c>
      <c r="F935" s="133" t="str">
        <f>IFERROR(__xludf.DUMMYFUNCTION("""COMPUTED_VALUE"""),"Tiki Dog Lamb with Couscous &amp; Chickpea Recipe in Broth 85g")</f>
        <v>Tiki Dog Lamb with Couscous &amp; Chickpea Recipe in Broth 85g</v>
      </c>
      <c r="G935" s="133" t="str">
        <f>IFERROR(__xludf.DUMMYFUNCTION("""COMPUTED_VALUE"""),"تيكي دوج وصفة لحم الضأن مع الكسكس والحمص في المرق 85 جم")</f>
        <v>تيكي دوج وصفة لحم الضأن مع الكسكس والحمص في المرق 85 جم</v>
      </c>
      <c r="H935" s="133"/>
      <c r="I935" s="133"/>
      <c r="J935" s="133"/>
      <c r="K935" s="133" t="str">
        <f>IFERROR(__xludf.DUMMYFUNCTION("""COMPUTED_VALUE"""),"شركة التحالف الآسيوي الدولية المحدودة")</f>
        <v>شركة التحالف الآسيوي الدولية المحدودة</v>
      </c>
      <c r="L935" s="142" t="str">
        <f>IFERROR(__xludf.DUMMYFUNCTION("""COMPUTED_VALUE"""),"WB80247")</f>
        <v>WB80247</v>
      </c>
      <c r="M935" s="133"/>
      <c r="N935" s="133"/>
      <c r="O935" s="133"/>
      <c r="P935" s="133"/>
      <c r="Q935" s="133"/>
      <c r="R935" s="133"/>
      <c r="S935" s="133"/>
      <c r="T935" s="133"/>
      <c r="U935" s="133"/>
      <c r="V935" s="133"/>
      <c r="W935" s="133"/>
      <c r="X935" s="133"/>
      <c r="Y935" s="133"/>
      <c r="Z935" s="133"/>
    </row>
    <row r="936">
      <c r="A936" s="133">
        <f>IFERROR(__xludf.DUMMYFUNCTION("""COMPUTED_VALUE"""),935.0)</f>
        <v>935</v>
      </c>
      <c r="B936" s="133" t="str">
        <f>IFERROR(__xludf.DUMMYFUNCTION("""COMPUTED_VALUE"""),"WB80244")</f>
        <v>WB80244</v>
      </c>
      <c r="C936" s="133" t="str">
        <f>IFERROR(__xludf.DUMMYFUNCTION("""COMPUTED_VALUE"""),"P-1-N-090322-1621")</f>
        <v>P-1-N-090322-1621</v>
      </c>
      <c r="D936" s="133"/>
      <c r="E936" s="133" t="str">
        <f>IFERROR(__xludf.DUMMYFUNCTION("""COMPUTED_VALUE"""),"تمت طباعة الشهادة")</f>
        <v>تمت طباعة الشهادة</v>
      </c>
      <c r="F936" s="133" t="str">
        <f>IFERROR(__xludf.DUMMYFUNCTION("""COMPUTED_VALUE"""),"Tiki Dog Chicken with Snow Peas Stir Fry Recipe in Broth 85g")</f>
        <v>Tiki Dog Chicken with Snow Peas Stir Fry Recipe in Broth 85g</v>
      </c>
      <c r="G936" s="133" t="str">
        <f>IFERROR(__xludf.DUMMYFUNCTION("""COMPUTED_VALUE"""),"تيكي دوج وصفة الدجاج مع بازلاء الثلج المقلى في المرق 85 جم")</f>
        <v>تيكي دوج وصفة الدجاج مع بازلاء الثلج المقلى في المرق 85 جم</v>
      </c>
      <c r="H936" s="133"/>
      <c r="I936" s="133"/>
      <c r="J936" s="133"/>
      <c r="K936" s="133" t="str">
        <f>IFERROR(__xludf.DUMMYFUNCTION("""COMPUTED_VALUE"""),"شركة التحالف الآسيوي الدولية المحدودة")</f>
        <v>شركة التحالف الآسيوي الدولية المحدودة</v>
      </c>
      <c r="L936" s="142" t="str">
        <f>IFERROR(__xludf.DUMMYFUNCTION("""COMPUTED_VALUE"""),"WB80244")</f>
        <v>WB80244</v>
      </c>
      <c r="M936" s="133"/>
      <c r="N936" s="133"/>
      <c r="O936" s="133"/>
      <c r="P936" s="133"/>
      <c r="Q936" s="133"/>
      <c r="R936" s="133"/>
      <c r="S936" s="133"/>
      <c r="T936" s="133"/>
      <c r="U936" s="133"/>
      <c r="V936" s="133"/>
      <c r="W936" s="133"/>
      <c r="X936" s="133"/>
      <c r="Y936" s="133"/>
      <c r="Z936" s="133"/>
    </row>
    <row r="937">
      <c r="A937" s="133">
        <f>IFERROR(__xludf.DUMMYFUNCTION("""COMPUTED_VALUE"""),936.0)</f>
        <v>936</v>
      </c>
      <c r="B937" s="133" t="str">
        <f>IFERROR(__xludf.DUMMYFUNCTION("""COMPUTED_VALUE"""),"WB80222")</f>
        <v>WB80222</v>
      </c>
      <c r="C937" s="133" t="str">
        <f>IFERROR(__xludf.DUMMYFUNCTION("""COMPUTED_VALUE"""),"P-1-N-100322-1633")</f>
        <v>P-1-N-100322-1633</v>
      </c>
      <c r="D937" s="133"/>
      <c r="E937" s="133" t="str">
        <f>IFERROR(__xludf.DUMMYFUNCTION("""COMPUTED_VALUE"""),"تمت طباعة الشهادة")</f>
        <v>تمت طباعة الشهادة</v>
      </c>
      <c r="F937" s="133" t="str">
        <f>IFERROR(__xludf.DUMMYFUNCTION("""COMPUTED_VALUE"""),"Tiki Cat Luau Chicken with Egg Recipe in Chicken Consomme 80g")</f>
        <v>Tiki Cat Luau Chicken with Egg Recipe in Chicken Consomme 80g</v>
      </c>
      <c r="G937" s="133" t="str">
        <f>IFERROR(__xludf.DUMMYFUNCTION("""COMPUTED_VALUE"""),"تيكي كات لواو وصفة دجاج بالبيض في مرقة دجاج 80 جم")</f>
        <v>تيكي كات لواو وصفة دجاج بالبيض في مرقة دجاج 80 جم</v>
      </c>
      <c r="H937" s="133"/>
      <c r="I937" s="133"/>
      <c r="J937" s="133"/>
      <c r="K937" s="133" t="str">
        <f>IFERROR(__xludf.DUMMYFUNCTION("""COMPUTED_VALUE"""),"شركة التحالف الآسيوي الدولية المحدودة")</f>
        <v>شركة التحالف الآسيوي الدولية المحدودة</v>
      </c>
      <c r="L937" s="142" t="str">
        <f>IFERROR(__xludf.DUMMYFUNCTION("""COMPUTED_VALUE"""),"WB80222")</f>
        <v>WB80222</v>
      </c>
      <c r="M937" s="133"/>
      <c r="N937" s="133"/>
      <c r="O937" s="133"/>
      <c r="P937" s="133"/>
      <c r="Q937" s="133"/>
      <c r="R937" s="133"/>
      <c r="S937" s="133"/>
      <c r="T937" s="133"/>
      <c r="U937" s="133"/>
      <c r="V937" s="133"/>
      <c r="W937" s="133"/>
      <c r="X937" s="133"/>
      <c r="Y937" s="133"/>
      <c r="Z937" s="133"/>
    </row>
    <row r="938">
      <c r="A938" s="133">
        <f>IFERROR(__xludf.DUMMYFUNCTION("""COMPUTED_VALUE"""),937.0)</f>
        <v>937</v>
      </c>
      <c r="B938" s="133" t="str">
        <f>IFERROR(__xludf.DUMMYFUNCTION("""COMPUTED_VALUE"""),"WB80210")</f>
        <v>WB80210</v>
      </c>
      <c r="C938" s="133" t="str">
        <f>IFERROR(__xludf.DUMMYFUNCTION("""COMPUTED_VALUE"""),"P-1-N-100322-1634")</f>
        <v>P-1-N-100322-1634</v>
      </c>
      <c r="D938" s="133"/>
      <c r="E938" s="133" t="str">
        <f>IFERROR(__xludf.DUMMYFUNCTION("""COMPUTED_VALUE"""),"تمت طباعة الشهادة")</f>
        <v>تمت طباعة الشهادة</v>
      </c>
      <c r="F938" s="133" t="str">
        <f>IFERROR(__xludf.DUMMYFUNCTION("""COMPUTED_VALUE"""),"Tiki Cat After Dark Chicken Recipe in Broth 80g")</f>
        <v>Tiki Cat After Dark Chicken Recipe in Broth 80g</v>
      </c>
      <c r="G938" s="133" t="str">
        <f>IFERROR(__xludf.DUMMYFUNCTION("""COMPUTED_VALUE"""),"تيكي كات افتر دارك وصفة الدجاج في المرق 80 جم")</f>
        <v>تيكي كات افتر دارك وصفة الدجاج في المرق 80 جم</v>
      </c>
      <c r="H938" s="133" t="str">
        <f>IFERROR(__xludf.DUMMYFUNCTION("""COMPUTED_VALUE"""),"MAFE20221070")</f>
        <v>MAFE20221070</v>
      </c>
      <c r="I938" s="133"/>
      <c r="J938" s="133"/>
      <c r="K938" s="133" t="str">
        <f>IFERROR(__xludf.DUMMYFUNCTION("""COMPUTED_VALUE"""),"شركة التحالف الآسيوي الدولية المحدودة")</f>
        <v>شركة التحالف الآسيوي الدولية المحدودة</v>
      </c>
      <c r="L938" s="142" t="str">
        <f>IFERROR(__xludf.DUMMYFUNCTION("""COMPUTED_VALUE"""),"WB80210")</f>
        <v>WB80210</v>
      </c>
      <c r="M938" s="133"/>
      <c r="N938" s="133"/>
      <c r="O938" s="133"/>
      <c r="P938" s="133"/>
      <c r="Q938" s="133"/>
      <c r="R938" s="133"/>
      <c r="S938" s="133"/>
      <c r="T938" s="133"/>
      <c r="U938" s="133"/>
      <c r="V938" s="133"/>
      <c r="W938" s="133"/>
      <c r="X938" s="133"/>
      <c r="Y938" s="133"/>
      <c r="Z938" s="133"/>
    </row>
    <row r="939">
      <c r="A939" s="133">
        <f>IFERROR(__xludf.DUMMYFUNCTION("""COMPUTED_VALUE"""),938.0)</f>
        <v>938</v>
      </c>
      <c r="B939" s="133" t="str">
        <f>IFERROR(__xludf.DUMMYFUNCTION("""COMPUTED_VALUE"""),"WB80212")</f>
        <v>WB80212</v>
      </c>
      <c r="C939" s="133" t="str">
        <f>IFERROR(__xludf.DUMMYFUNCTION("""COMPUTED_VALUE"""),"P-1-N-100322-1635")</f>
        <v>P-1-N-100322-1635</v>
      </c>
      <c r="D939" s="133"/>
      <c r="E939" s="133" t="str">
        <f>IFERROR(__xludf.DUMMYFUNCTION("""COMPUTED_VALUE"""),"تمت طباعة الشهادة")</f>
        <v>تمت طباعة الشهادة</v>
      </c>
      <c r="F939" s="133" t="str">
        <f>IFERROR(__xludf.DUMMYFUNCTION("""COMPUTED_VALUE"""),"Tiki Cat After Dark Chicken with Duck Recipe in Broth 80g")</f>
        <v>Tiki Cat After Dark Chicken with Duck Recipe in Broth 80g</v>
      </c>
      <c r="G939" s="133" t="str">
        <f>IFERROR(__xludf.DUMMYFUNCTION("""COMPUTED_VALUE"""),"تيكي كات افتر دارك وصفة الدجاج مع البط في المرق 80 جم")</f>
        <v>تيكي كات افتر دارك وصفة الدجاج مع البط في المرق 80 جم</v>
      </c>
      <c r="H939" s="133" t="str">
        <f>IFERROR(__xludf.DUMMYFUNCTION("""COMPUTED_VALUE"""),"MAFE20221068")</f>
        <v>MAFE20221068</v>
      </c>
      <c r="I939" s="133"/>
      <c r="J939" s="133"/>
      <c r="K939" s="133" t="str">
        <f>IFERROR(__xludf.DUMMYFUNCTION("""COMPUTED_VALUE"""),"شركة التحالف الآسيوي الدولية المحدودة")</f>
        <v>شركة التحالف الآسيوي الدولية المحدودة</v>
      </c>
      <c r="L939" s="142" t="str">
        <f>IFERROR(__xludf.DUMMYFUNCTION("""COMPUTED_VALUE"""),"WB80212")</f>
        <v>WB80212</v>
      </c>
      <c r="M939" s="133"/>
      <c r="N939" s="133"/>
      <c r="O939" s="133"/>
      <c r="P939" s="133"/>
      <c r="Q939" s="133"/>
      <c r="R939" s="133"/>
      <c r="S939" s="133"/>
      <c r="T939" s="133"/>
      <c r="U939" s="133"/>
      <c r="V939" s="133"/>
      <c r="W939" s="133"/>
      <c r="X939" s="133"/>
      <c r="Y939" s="133"/>
      <c r="Z939" s="133"/>
    </row>
    <row r="940">
      <c r="A940" s="133">
        <f>IFERROR(__xludf.DUMMYFUNCTION("""COMPUTED_VALUE"""),939.0)</f>
        <v>939</v>
      </c>
      <c r="B940" s="133" t="str">
        <f>IFERROR(__xludf.DUMMYFUNCTION("""COMPUTED_VALUE"""),"WB80214")</f>
        <v>WB80214</v>
      </c>
      <c r="C940" s="133" t="str">
        <f>IFERROR(__xludf.DUMMYFUNCTION("""COMPUTED_VALUE"""),"P-1-N-100322-1636")</f>
        <v>P-1-N-100322-1636</v>
      </c>
      <c r="D940" s="133"/>
      <c r="E940" s="133" t="str">
        <f>IFERROR(__xludf.DUMMYFUNCTION("""COMPUTED_VALUE"""),"تمت طباعة الشهادة")</f>
        <v>تمت طباعة الشهادة</v>
      </c>
      <c r="F940" s="133" t="str">
        <f>IFERROR(__xludf.DUMMYFUNCTION("""COMPUTED_VALUE"""),"Tiki Cat After Dark Chicken with Quail Egg Recipe in Broth 80g")</f>
        <v>Tiki Cat After Dark Chicken with Quail Egg Recipe in Broth 80g</v>
      </c>
      <c r="G940" s="133" t="str">
        <f>IFERROR(__xludf.DUMMYFUNCTION("""COMPUTED_VALUE"""),"تيكي كات افتر دارك وصفة الدجاج مع بيض السمان في المرق 80 جم")</f>
        <v>تيكي كات افتر دارك وصفة الدجاج مع بيض السمان في المرق 80 جم</v>
      </c>
      <c r="H940" s="133" t="str">
        <f>IFERROR(__xludf.DUMMYFUNCTION("""COMPUTED_VALUE"""),"MAFE20221067")</f>
        <v>MAFE20221067</v>
      </c>
      <c r="I940" s="133"/>
      <c r="J940" s="133"/>
      <c r="K940" s="133" t="str">
        <f>IFERROR(__xludf.DUMMYFUNCTION("""COMPUTED_VALUE"""),"شركة التحالف الآسيوي الدولية المحدودة")</f>
        <v>شركة التحالف الآسيوي الدولية المحدودة</v>
      </c>
      <c r="L940" s="142" t="str">
        <f>IFERROR(__xludf.DUMMYFUNCTION("""COMPUTED_VALUE"""),"WB80214")</f>
        <v>WB80214</v>
      </c>
      <c r="M940" s="133"/>
      <c r="N940" s="133"/>
      <c r="O940" s="133"/>
      <c r="P940" s="133"/>
      <c r="Q940" s="133"/>
      <c r="R940" s="133"/>
      <c r="S940" s="133"/>
      <c r="T940" s="133"/>
      <c r="U940" s="133"/>
      <c r="V940" s="133"/>
      <c r="W940" s="133"/>
      <c r="X940" s="133"/>
      <c r="Y940" s="133"/>
      <c r="Z940" s="133"/>
    </row>
    <row r="941">
      <c r="A941" s="133">
        <f>IFERROR(__xludf.DUMMYFUNCTION("""COMPUTED_VALUE"""),940.0)</f>
        <v>940</v>
      </c>
      <c r="B941" s="133" t="str">
        <f>IFERROR(__xludf.DUMMYFUNCTION("""COMPUTED_VALUE"""),"WB80211")</f>
        <v>WB80211</v>
      </c>
      <c r="C941" s="133" t="str">
        <f>IFERROR(__xludf.DUMMYFUNCTION("""COMPUTED_VALUE"""),"P-1-N-100322-1637")</f>
        <v>P-1-N-100322-1637</v>
      </c>
      <c r="D941" s="133"/>
      <c r="E941" s="133" t="str">
        <f>IFERROR(__xludf.DUMMYFUNCTION("""COMPUTED_VALUE"""),"تمت طباعة الشهادة")</f>
        <v>تمت طباعة الشهادة</v>
      </c>
      <c r="F941" s="133" t="str">
        <f>IFERROR(__xludf.DUMMYFUNCTION("""COMPUTED_VALUE"""),"Tiki Cat After Dark Chicken with Beef Recipe in Broth 80g")</f>
        <v>Tiki Cat After Dark Chicken with Beef Recipe in Broth 80g</v>
      </c>
      <c r="G941" s="133" t="str">
        <f>IFERROR(__xludf.DUMMYFUNCTION("""COMPUTED_VALUE"""),"تيكي كات افتر دارك وصفة الدجاج باللحم البقري في المرق 80 جم")</f>
        <v>تيكي كات افتر دارك وصفة الدجاج باللحم البقري في المرق 80 جم</v>
      </c>
      <c r="H941" s="133"/>
      <c r="I941" s="133"/>
      <c r="J941" s="133"/>
      <c r="K941" s="133" t="str">
        <f>IFERROR(__xludf.DUMMYFUNCTION("""COMPUTED_VALUE"""),"شركة التحالف الآسيوي الدولية المحدودة")</f>
        <v>شركة التحالف الآسيوي الدولية المحدودة</v>
      </c>
      <c r="L941" s="142" t="str">
        <f>IFERROR(__xludf.DUMMYFUNCTION("""COMPUTED_VALUE"""),"WB80211")</f>
        <v>WB80211</v>
      </c>
      <c r="M941" s="133"/>
      <c r="N941" s="133"/>
      <c r="O941" s="133"/>
      <c r="P941" s="133"/>
      <c r="Q941" s="133"/>
      <c r="R941" s="133"/>
      <c r="S941" s="133"/>
      <c r="T941" s="133"/>
      <c r="U941" s="133"/>
      <c r="V941" s="133"/>
      <c r="W941" s="133"/>
      <c r="X941" s="133"/>
      <c r="Y941" s="133"/>
      <c r="Z941" s="133"/>
    </row>
    <row r="942">
      <c r="A942" s="133">
        <f>IFERROR(__xludf.DUMMYFUNCTION("""COMPUTED_VALUE"""),941.0)</f>
        <v>941</v>
      </c>
      <c r="B942" s="133" t="str">
        <f>IFERROR(__xludf.DUMMYFUNCTION("""COMPUTED_VALUE"""),"WB80213")</f>
        <v>WB80213</v>
      </c>
      <c r="C942" s="133" t="str">
        <f>IFERROR(__xludf.DUMMYFUNCTION("""COMPUTED_VALUE"""),"P-1-N-100322-1638")</f>
        <v>P-1-N-100322-1638</v>
      </c>
      <c r="D942" s="133"/>
      <c r="E942" s="133" t="str">
        <f>IFERROR(__xludf.DUMMYFUNCTION("""COMPUTED_VALUE"""),"تمت طباعة الشهادة")</f>
        <v>تمت طباعة الشهادة</v>
      </c>
      <c r="F942" s="133" t="str">
        <f>IFERROR(__xludf.DUMMYFUNCTION("""COMPUTED_VALUE"""),"Tiki Cat After Dark Chicken with Lamb Recipe in Broth 80g")</f>
        <v>Tiki Cat After Dark Chicken with Lamb Recipe in Broth 80g</v>
      </c>
      <c r="G942" s="133" t="str">
        <f>IFERROR(__xludf.DUMMYFUNCTION("""COMPUTED_VALUE"""),"تيكي كات افتر دارك وصفة الدجاج مع لحم الضأن في المرق 80 جم")</f>
        <v>تيكي كات افتر دارك وصفة الدجاج مع لحم الضأن في المرق 80 جم</v>
      </c>
      <c r="H942" s="133"/>
      <c r="I942" s="133"/>
      <c r="J942" s="133"/>
      <c r="K942" s="133" t="str">
        <f>IFERROR(__xludf.DUMMYFUNCTION("""COMPUTED_VALUE"""),"شركة التحالف الآسيوي الدولية المحدودة")</f>
        <v>شركة التحالف الآسيوي الدولية المحدودة</v>
      </c>
      <c r="L942" s="142" t="str">
        <f>IFERROR(__xludf.DUMMYFUNCTION("""COMPUTED_VALUE"""),"WB80213")</f>
        <v>WB80213</v>
      </c>
      <c r="M942" s="133"/>
      <c r="N942" s="133"/>
      <c r="O942" s="133"/>
      <c r="P942" s="133"/>
      <c r="Q942" s="133"/>
      <c r="R942" s="133"/>
      <c r="S942" s="133"/>
      <c r="T942" s="133"/>
      <c r="U942" s="133"/>
      <c r="V942" s="133"/>
      <c r="W942" s="133"/>
      <c r="X942" s="133"/>
      <c r="Y942" s="133"/>
      <c r="Z942" s="133"/>
    </row>
    <row r="943">
      <c r="A943" s="133">
        <f>IFERROR(__xludf.DUMMYFUNCTION("""COMPUTED_VALUE"""),942.0)</f>
        <v>942</v>
      </c>
      <c r="B943" s="133" t="str">
        <f>IFERROR(__xludf.DUMMYFUNCTION("""COMPUTED_VALUE"""),"WB80233")</f>
        <v>WB80233</v>
      </c>
      <c r="C943" s="133" t="str">
        <f>IFERROR(__xludf.DUMMYFUNCTION("""COMPUTED_VALUE"""),"P-1-N-100322-1639")</f>
        <v>P-1-N-100322-1639</v>
      </c>
      <c r="D943" s="133"/>
      <c r="E943" s="133" t="str">
        <f>IFERROR(__xludf.DUMMYFUNCTION("""COMPUTED_VALUE"""),"تمت طباعة الشهادة")</f>
        <v>تمت طباعة الشهادة</v>
      </c>
      <c r="F943" s="133" t="str">
        <f>IFERROR(__xludf.DUMMYFUNCTION("""COMPUTED_VALUE"""),"Tiki Cat Velvet Mousse with Chicken &amp; Salmon in Broth 80g")</f>
        <v>Tiki Cat Velvet Mousse with Chicken &amp; Salmon in Broth 80g</v>
      </c>
      <c r="G943" s="133" t="str">
        <f>IFERROR(__xludf.DUMMYFUNCTION("""COMPUTED_VALUE"""),"تيكي كات فلفت موس مع الدجاج و السلمون في مرق 80 جم")</f>
        <v>تيكي كات فلفت موس مع الدجاج و السلمون في مرق 80 جم</v>
      </c>
      <c r="H943" s="133" t="str">
        <f>IFERROR(__xludf.DUMMYFUNCTION("""COMPUTED_VALUE"""),"MAFE2022999")</f>
        <v>MAFE2022999</v>
      </c>
      <c r="I943" s="133"/>
      <c r="J943" s="133"/>
      <c r="K943" s="133" t="str">
        <f>IFERROR(__xludf.DUMMYFUNCTION("""COMPUTED_VALUE"""),"شركة التحالف الآسيوي الدولية المحدودة")</f>
        <v>شركة التحالف الآسيوي الدولية المحدودة</v>
      </c>
      <c r="L943" s="142" t="str">
        <f>IFERROR(__xludf.DUMMYFUNCTION("""COMPUTED_VALUE"""),"WB80233")</f>
        <v>WB80233</v>
      </c>
      <c r="M943" s="133"/>
      <c r="N943" s="133"/>
      <c r="O943" s="133"/>
      <c r="P943" s="133"/>
      <c r="Q943" s="133"/>
      <c r="R943" s="133"/>
      <c r="S943" s="133"/>
      <c r="T943" s="133"/>
      <c r="U943" s="133"/>
      <c r="V943" s="133"/>
      <c r="W943" s="133"/>
      <c r="X943" s="133"/>
      <c r="Y943" s="133"/>
      <c r="Z943" s="133"/>
    </row>
    <row r="944">
      <c r="A944" s="133">
        <f>IFERROR(__xludf.DUMMYFUNCTION("""COMPUTED_VALUE"""),943.0)</f>
        <v>943</v>
      </c>
      <c r="B944" s="133" t="str">
        <f>IFERROR(__xludf.DUMMYFUNCTION("""COMPUTED_VALUE"""),"WB80236")</f>
        <v>WB80236</v>
      </c>
      <c r="C944" s="133" t="str">
        <f>IFERROR(__xludf.DUMMYFUNCTION("""COMPUTED_VALUE"""),"P-1-N-100322-1640")</f>
        <v>P-1-N-100322-1640</v>
      </c>
      <c r="D944" s="133"/>
      <c r="E944" s="133" t="str">
        <f>IFERROR(__xludf.DUMMYFUNCTION("""COMPUTED_VALUE"""),"تمت طباعة الشهادة")</f>
        <v>تمت طباعة الشهادة</v>
      </c>
      <c r="F944" s="133" t="str">
        <f>IFERROR(__xludf.DUMMYFUNCTION("""COMPUTED_VALUE"""),"Tiki Cat Velvet Mousse with Tuna &amp; Chicken in Broth 80g")</f>
        <v>Tiki Cat Velvet Mousse with Tuna &amp; Chicken in Broth 80g</v>
      </c>
      <c r="G944" s="133" t="str">
        <f>IFERROR(__xludf.DUMMYFUNCTION("""COMPUTED_VALUE"""),"تيكي كات فلفت موس مع تونة ودجاج في مرق 80 جم")</f>
        <v>تيكي كات فلفت موس مع تونة ودجاج في مرق 80 جم</v>
      </c>
      <c r="H944" s="133" t="str">
        <f>IFERROR(__xludf.DUMMYFUNCTION("""COMPUTED_VALUE"""),"MAFE2022998")</f>
        <v>MAFE2022998</v>
      </c>
      <c r="I944" s="133"/>
      <c r="J944" s="133"/>
      <c r="K944" s="133" t="str">
        <f>IFERROR(__xludf.DUMMYFUNCTION("""COMPUTED_VALUE"""),"شركة التحالف الآسيوي الدولية المحدودة")</f>
        <v>شركة التحالف الآسيوي الدولية المحدودة</v>
      </c>
      <c r="L944" s="142" t="str">
        <f>IFERROR(__xludf.DUMMYFUNCTION("""COMPUTED_VALUE"""),"WB80236")</f>
        <v>WB80236</v>
      </c>
      <c r="M944" s="133"/>
      <c r="N944" s="133"/>
      <c r="O944" s="133"/>
      <c r="P944" s="133"/>
      <c r="Q944" s="133"/>
      <c r="R944" s="133"/>
      <c r="S944" s="133"/>
      <c r="T944" s="133"/>
      <c r="U944" s="133"/>
      <c r="V944" s="133"/>
      <c r="W944" s="133"/>
      <c r="X944" s="133"/>
      <c r="Y944" s="133"/>
      <c r="Z944" s="133"/>
    </row>
    <row r="945">
      <c r="A945" s="133">
        <f>IFERROR(__xludf.DUMMYFUNCTION("""COMPUTED_VALUE"""),944.0)</f>
        <v>944</v>
      </c>
      <c r="B945" s="133" t="str">
        <f>IFERROR(__xludf.DUMMYFUNCTION("""COMPUTED_VALUE"""),"WB80237")</f>
        <v>WB80237</v>
      </c>
      <c r="C945" s="133" t="str">
        <f>IFERROR(__xludf.DUMMYFUNCTION("""COMPUTED_VALUE"""),"P-1-N-100322-1641")</f>
        <v>P-1-N-100322-1641</v>
      </c>
      <c r="D945" s="133"/>
      <c r="E945" s="133" t="str">
        <f>IFERROR(__xludf.DUMMYFUNCTION("""COMPUTED_VALUE"""),"تمت طباعة الشهادة")</f>
        <v>تمت طباعة الشهادة</v>
      </c>
      <c r="F945" s="133" t="str">
        <f>IFERROR(__xludf.DUMMYFUNCTION("""COMPUTED_VALUE"""),"Tiki Cat Velvet Mousse with Tuna &amp; Mackerel in Broth 80g")</f>
        <v>Tiki Cat Velvet Mousse with Tuna &amp; Mackerel in Broth 80g</v>
      </c>
      <c r="G945" s="133" t="str">
        <f>IFERROR(__xludf.DUMMYFUNCTION("""COMPUTED_VALUE"""),"تيكي كات فلفت موس مع التونة والماكريل في المرق 80 جم")</f>
        <v>تيكي كات فلفت موس مع التونة والماكريل في المرق 80 جم</v>
      </c>
      <c r="H945" s="133" t="str">
        <f>IFERROR(__xludf.DUMMYFUNCTION("""COMPUTED_VALUE"""),"MAFE2022997")</f>
        <v>MAFE2022997</v>
      </c>
      <c r="I945" s="133"/>
      <c r="J945" s="133"/>
      <c r="K945" s="133" t="str">
        <f>IFERROR(__xludf.DUMMYFUNCTION("""COMPUTED_VALUE"""),"شركة التحالف الآسيوي الدولية المحدودة")</f>
        <v>شركة التحالف الآسيوي الدولية المحدودة</v>
      </c>
      <c r="L945" s="142" t="str">
        <f>IFERROR(__xludf.DUMMYFUNCTION("""COMPUTED_VALUE"""),"WB80237")</f>
        <v>WB80237</v>
      </c>
      <c r="M945" s="133"/>
      <c r="N945" s="133"/>
      <c r="O945" s="133"/>
      <c r="P945" s="133"/>
      <c r="Q945" s="133"/>
      <c r="R945" s="133"/>
      <c r="S945" s="133"/>
      <c r="T945" s="133"/>
      <c r="U945" s="133"/>
      <c r="V945" s="133"/>
      <c r="W945" s="133"/>
      <c r="X945" s="133"/>
      <c r="Y945" s="133"/>
      <c r="Z945" s="133"/>
    </row>
    <row r="946">
      <c r="A946" s="133">
        <f>IFERROR(__xludf.DUMMYFUNCTION("""COMPUTED_VALUE"""),945.0)</f>
        <v>945</v>
      </c>
      <c r="B946" s="133" t="str">
        <f>IFERROR(__xludf.DUMMYFUNCTION("""COMPUTED_VALUE"""),"WB80215")</f>
        <v>WB80215</v>
      </c>
      <c r="C946" s="133" t="str">
        <f>IFERROR(__xludf.DUMMYFUNCTION("""COMPUTED_VALUE"""),"P-1-N-100322-1642")</f>
        <v>P-1-N-100322-1642</v>
      </c>
      <c r="D946" s="133"/>
      <c r="E946" s="133" t="str">
        <f>IFERROR(__xludf.DUMMYFUNCTION("""COMPUTED_VALUE"""),"تمت طباعة الشهادة")</f>
        <v>تمت طباعة الشهادة</v>
      </c>
      <c r="F946" s="133" t="str">
        <f>IFERROR(__xludf.DUMMYFUNCTION("""COMPUTED_VALUE"""),"Tiki Cat Aloha Friends Chicken with Pumpkin Recipe in Broth 70g")</f>
        <v>Tiki Cat Aloha Friends Chicken with Pumpkin Recipe in Broth 70g</v>
      </c>
      <c r="G946" s="133" t="str">
        <f>IFERROR(__xludf.DUMMYFUNCTION("""COMPUTED_VALUE"""),"تيكي كات ألوها فريندز وصفة الدجاج مع القرع في مرق 70 جم")</f>
        <v>تيكي كات ألوها فريندز وصفة الدجاج مع القرع في مرق 70 جم</v>
      </c>
      <c r="H946" s="133" t="str">
        <f>IFERROR(__xludf.DUMMYFUNCTION("""COMPUTED_VALUE"""),"MAFE2022996")</f>
        <v>MAFE2022996</v>
      </c>
      <c r="I946" s="133"/>
      <c r="J946" s="133"/>
      <c r="K946" s="133" t="str">
        <f>IFERROR(__xludf.DUMMYFUNCTION("""COMPUTED_VALUE"""),"شركة التحالف الآسيوي الدولية المحدودة")</f>
        <v>شركة التحالف الآسيوي الدولية المحدودة</v>
      </c>
      <c r="L946" s="142" t="str">
        <f>IFERROR(__xludf.DUMMYFUNCTION("""COMPUTED_VALUE"""),"WB80215")</f>
        <v>WB80215</v>
      </c>
      <c r="M946" s="133"/>
      <c r="N946" s="133"/>
      <c r="O946" s="133"/>
      <c r="P946" s="133"/>
      <c r="Q946" s="133"/>
      <c r="R946" s="133"/>
      <c r="S946" s="133"/>
      <c r="T946" s="133"/>
      <c r="U946" s="133"/>
      <c r="V946" s="133"/>
      <c r="W946" s="133"/>
      <c r="X946" s="133"/>
      <c r="Y946" s="133"/>
      <c r="Z946" s="133"/>
    </row>
    <row r="947">
      <c r="A947" s="133">
        <f>IFERROR(__xludf.DUMMYFUNCTION("""COMPUTED_VALUE"""),946.0)</f>
        <v>946</v>
      </c>
      <c r="B947" s="133" t="str">
        <f>IFERROR(__xludf.DUMMYFUNCTION("""COMPUTED_VALUE"""),"WB80217")</f>
        <v>WB80217</v>
      </c>
      <c r="C947" s="133" t="str">
        <f>IFERROR(__xludf.DUMMYFUNCTION("""COMPUTED_VALUE"""),"P-1-N-100322-1643")</f>
        <v>P-1-N-100322-1643</v>
      </c>
      <c r="D947" s="133"/>
      <c r="E947" s="133" t="str">
        <f>IFERROR(__xludf.DUMMYFUNCTION("""COMPUTED_VALUE"""),"تمت طباعة الشهادة")</f>
        <v>تمت طباعة الشهادة</v>
      </c>
      <c r="F947" s="133" t="str">
        <f>IFERROR(__xludf.DUMMYFUNCTION("""COMPUTED_VALUE"""),"Tiki Cat Aloha Friends Chicken with Pumpkin &amp; Duck Recipe in Broth 70g")</f>
        <v>Tiki Cat Aloha Friends Chicken with Pumpkin &amp; Duck Recipe in Broth 70g</v>
      </c>
      <c r="G947" s="133" t="str">
        <f>IFERROR(__xludf.DUMMYFUNCTION("""COMPUTED_VALUE"""),"تيكي كات ألوها فريندز وصفة الدجاج مع القرع والبط في المرق 70 جم")</f>
        <v>تيكي كات ألوها فريندز وصفة الدجاج مع القرع والبط في المرق 70 جم</v>
      </c>
      <c r="H947" s="133" t="str">
        <f>IFERROR(__xludf.DUMMYFUNCTION("""COMPUTED_VALUE"""),"MAFE2022995")</f>
        <v>MAFE2022995</v>
      </c>
      <c r="I947" s="133"/>
      <c r="J947" s="133"/>
      <c r="K947" s="133" t="str">
        <f>IFERROR(__xludf.DUMMYFUNCTION("""COMPUTED_VALUE"""),"شركة التحالف الآسيوي الدولية المحدودة")</f>
        <v>شركة التحالف الآسيوي الدولية المحدودة</v>
      </c>
      <c r="L947" s="142" t="str">
        <f>IFERROR(__xludf.DUMMYFUNCTION("""COMPUTED_VALUE"""),"WB80217")</f>
        <v>WB80217</v>
      </c>
      <c r="M947" s="133"/>
      <c r="N947" s="133"/>
      <c r="O947" s="133"/>
      <c r="P947" s="133"/>
      <c r="Q947" s="133"/>
      <c r="R947" s="133"/>
      <c r="S947" s="133"/>
      <c r="T947" s="133"/>
      <c r="U947" s="133"/>
      <c r="V947" s="133"/>
      <c r="W947" s="133"/>
      <c r="X947" s="133"/>
      <c r="Y947" s="133"/>
      <c r="Z947" s="133"/>
    </row>
    <row r="948">
      <c r="A948" s="133">
        <f>IFERROR(__xludf.DUMMYFUNCTION("""COMPUTED_VALUE"""),947.0)</f>
        <v>947</v>
      </c>
      <c r="B948" s="133" t="str">
        <f>IFERROR(__xludf.DUMMYFUNCTION("""COMPUTED_VALUE"""),"WB80219")</f>
        <v>WB80219</v>
      </c>
      <c r="C948" s="133" t="str">
        <f>IFERROR(__xludf.DUMMYFUNCTION("""COMPUTED_VALUE"""),"P-1-N-100322-1644")</f>
        <v>P-1-N-100322-1644</v>
      </c>
      <c r="D948" s="133"/>
      <c r="E948" s="133" t="str">
        <f>IFERROR(__xludf.DUMMYFUNCTION("""COMPUTED_VALUE"""),"تمت طباعة الشهادة")</f>
        <v>تمت طباعة الشهادة</v>
      </c>
      <c r="F948" s="133" t="str">
        <f>IFERROR(__xludf.DUMMYFUNCTION("""COMPUTED_VALUE"""),"Tiki Cat Aloha Friends Chicken with Pumpkin &amp; Lamb Recipe in Broth 70g")</f>
        <v>Tiki Cat Aloha Friends Chicken with Pumpkin &amp; Lamb Recipe in Broth 70g</v>
      </c>
      <c r="G948" s="133" t="str">
        <f>IFERROR(__xludf.DUMMYFUNCTION("""COMPUTED_VALUE"""),"تيكي كات ألوها فريندز وصفة الدجاج مع القرع ولحم الضأن في المرق 70 جم")</f>
        <v>تيكي كات ألوها فريندز وصفة الدجاج مع القرع ولحم الضأن في المرق 70 جم</v>
      </c>
      <c r="H948" s="133" t="str">
        <f>IFERROR(__xludf.DUMMYFUNCTION("""COMPUTED_VALUE"""),"MAFE2022994")</f>
        <v>MAFE2022994</v>
      </c>
      <c r="I948" s="133"/>
      <c r="J948" s="133"/>
      <c r="K948" s="133" t="str">
        <f>IFERROR(__xludf.DUMMYFUNCTION("""COMPUTED_VALUE"""),"شركة التحالف الآسيوي الدولية المحدودة")</f>
        <v>شركة التحالف الآسيوي الدولية المحدودة</v>
      </c>
      <c r="L948" s="142" t="str">
        <f>IFERROR(__xludf.DUMMYFUNCTION("""COMPUTED_VALUE"""),"WB80219")</f>
        <v>WB80219</v>
      </c>
      <c r="M948" s="133"/>
      <c r="N948" s="133"/>
      <c r="O948" s="133"/>
      <c r="P948" s="133"/>
      <c r="Q948" s="133"/>
      <c r="R948" s="133"/>
      <c r="S948" s="133"/>
      <c r="T948" s="133"/>
      <c r="U948" s="133"/>
      <c r="V948" s="133"/>
      <c r="W948" s="133"/>
      <c r="X948" s="133"/>
      <c r="Y948" s="133"/>
      <c r="Z948" s="133"/>
    </row>
    <row r="949">
      <c r="A949" s="133">
        <f>IFERROR(__xludf.DUMMYFUNCTION("""COMPUTED_VALUE"""),948.0)</f>
        <v>948</v>
      </c>
      <c r="B949" s="133" t="str">
        <f>IFERROR(__xludf.DUMMYFUNCTION("""COMPUTED_VALUE"""),"WB80218")</f>
        <v>WB80218</v>
      </c>
      <c r="C949" s="133" t="str">
        <f>IFERROR(__xludf.DUMMYFUNCTION("""COMPUTED_VALUE"""),"P-1-N-100322-1645")</f>
        <v>P-1-N-100322-1645</v>
      </c>
      <c r="D949" s="133"/>
      <c r="E949" s="133" t="str">
        <f>IFERROR(__xludf.DUMMYFUNCTION("""COMPUTED_VALUE"""),"تمت طباعة الشهادة")</f>
        <v>تمت طباعة الشهادة</v>
      </c>
      <c r="F949" s="133" t="str">
        <f>IFERROR(__xludf.DUMMYFUNCTION("""COMPUTED_VALUE"""),"Tiki Cat Aloha Friends Chicken with Pumpkin &amp; Egg Recipe in Broth 70g")</f>
        <v>Tiki Cat Aloha Friends Chicken with Pumpkin &amp; Egg Recipe in Broth 70g</v>
      </c>
      <c r="G949" s="133" t="str">
        <f>IFERROR(__xludf.DUMMYFUNCTION("""COMPUTED_VALUE"""),"تيكي كات ألوها فريندز وصفة الدجاج مع القرع والبيض في مرق 70 جم")</f>
        <v>تيكي كات ألوها فريندز وصفة الدجاج مع القرع والبيض في مرق 70 جم</v>
      </c>
      <c r="H949" s="133" t="str">
        <f>IFERROR(__xludf.DUMMYFUNCTION("""COMPUTED_VALUE"""),"MAFE2022993")</f>
        <v>MAFE2022993</v>
      </c>
      <c r="I949" s="133"/>
      <c r="J949" s="133"/>
      <c r="K949" s="133" t="str">
        <f>IFERROR(__xludf.DUMMYFUNCTION("""COMPUTED_VALUE"""),"شركة التحالف الآسيوي الدولية المحدودة")</f>
        <v>شركة التحالف الآسيوي الدولية المحدودة</v>
      </c>
      <c r="L949" s="142" t="str">
        <f>IFERROR(__xludf.DUMMYFUNCTION("""COMPUTED_VALUE"""),"WB80218")</f>
        <v>WB80218</v>
      </c>
      <c r="M949" s="133"/>
      <c r="N949" s="133"/>
      <c r="O949" s="133"/>
      <c r="P949" s="133"/>
      <c r="Q949" s="133"/>
      <c r="R949" s="133"/>
      <c r="S949" s="133"/>
      <c r="T949" s="133"/>
      <c r="U949" s="133"/>
      <c r="V949" s="133"/>
      <c r="W949" s="133"/>
      <c r="X949" s="133"/>
      <c r="Y949" s="133"/>
      <c r="Z949" s="133"/>
    </row>
    <row r="950">
      <c r="A950" s="133">
        <f>IFERROR(__xludf.DUMMYFUNCTION("""COMPUTED_VALUE"""),949.0)</f>
        <v>949</v>
      </c>
      <c r="B950" s="133" t="str">
        <f>IFERROR(__xludf.DUMMYFUNCTION("""COMPUTED_VALUE"""),"WB80220")</f>
        <v>WB80220</v>
      </c>
      <c r="C950" s="133" t="str">
        <f>IFERROR(__xludf.DUMMYFUNCTION("""COMPUTED_VALUE"""),"P-1-N-100322-1646")</f>
        <v>P-1-N-100322-1646</v>
      </c>
      <c r="D950" s="133"/>
      <c r="E950" s="133" t="str">
        <f>IFERROR(__xludf.DUMMYFUNCTION("""COMPUTED_VALUE"""),"تمت طباعة الشهادة")</f>
        <v>تمت طباعة الشهادة</v>
      </c>
      <c r="F950" s="133" t="str">
        <f>IFERROR(__xludf.DUMMYFUNCTION("""COMPUTED_VALUE"""),"Tiki Cat Salmon Recipe in Salmon Consomme 80g")</f>
        <v>Tiki Cat Salmon Recipe in Salmon Consomme 80g</v>
      </c>
      <c r="G950" s="133" t="str">
        <f>IFERROR(__xludf.DUMMYFUNCTION("""COMPUTED_VALUE"""),"تيكي كات وصفة السلمون في مرق السلمون 80 جم")</f>
        <v>تيكي كات وصفة السلمون في مرق السلمون 80 جم</v>
      </c>
      <c r="H950" s="133" t="str">
        <f>IFERROR(__xludf.DUMMYFUNCTION("""COMPUTED_VALUE"""),"MAFE2022992")</f>
        <v>MAFE2022992</v>
      </c>
      <c r="I950" s="133"/>
      <c r="J950" s="133"/>
      <c r="K950" s="133" t="str">
        <f>IFERROR(__xludf.DUMMYFUNCTION("""COMPUTED_VALUE"""),"شركة التحالف الآسيوي الدولية المحدودة")</f>
        <v>شركة التحالف الآسيوي الدولية المحدودة</v>
      </c>
      <c r="L950" s="142" t="str">
        <f>IFERROR(__xludf.DUMMYFUNCTION("""COMPUTED_VALUE"""),"WB80220")</f>
        <v>WB80220</v>
      </c>
      <c r="M950" s="133"/>
      <c r="N950" s="133"/>
      <c r="O950" s="133"/>
      <c r="P950" s="133"/>
      <c r="Q950" s="133"/>
      <c r="R950" s="133"/>
      <c r="S950" s="133"/>
      <c r="T950" s="133"/>
      <c r="U950" s="133"/>
      <c r="V950" s="133"/>
      <c r="W950" s="133"/>
      <c r="X950" s="133"/>
      <c r="Y950" s="133"/>
      <c r="Z950" s="133"/>
    </row>
    <row r="951">
      <c r="A951" s="133">
        <f>IFERROR(__xludf.DUMMYFUNCTION("""COMPUTED_VALUE"""),950.0)</f>
        <v>950</v>
      </c>
      <c r="B951" s="133" t="str">
        <f>IFERROR(__xludf.DUMMYFUNCTION("""COMPUTED_VALUE"""),"WB80228")</f>
        <v>WB80228</v>
      </c>
      <c r="C951" s="133" t="str">
        <f>IFERROR(__xludf.DUMMYFUNCTION("""COMPUTED_VALUE"""),"P-1-N-100322-1647")</f>
        <v>P-1-N-100322-1647</v>
      </c>
      <c r="D951" s="133"/>
      <c r="E951" s="133" t="str">
        <f>IFERROR(__xludf.DUMMYFUNCTION("""COMPUTED_VALUE"""),"تمت طباعة الشهادة")</f>
        <v>تمت طباعة الشهادة</v>
      </c>
      <c r="F951" s="133" t="str">
        <f>IFERROR(__xludf.DUMMYFUNCTION("""COMPUTED_VALUE"""),"Tiki Cat Stix Wet Treats with Salmon in Creamy Gravy 85g")</f>
        <v>Tiki Cat Stix Wet Treats with Salmon in Creamy Gravy 85g</v>
      </c>
      <c r="G951" s="133" t="str">
        <f>IFERROR(__xludf.DUMMYFUNCTION("""COMPUTED_VALUE"""),"تيكي كات ستيكس وت تريتس مع السلمون في مرق الكريمة 85 جم")</f>
        <v>تيكي كات ستيكس وت تريتس مع السلمون في مرق الكريمة 85 جم</v>
      </c>
      <c r="H951" s="133" t="str">
        <f>IFERROR(__xludf.DUMMYFUNCTION("""COMPUTED_VALUE"""),"MAFE2022991")</f>
        <v>MAFE2022991</v>
      </c>
      <c r="I951" s="133"/>
      <c r="J951" s="133"/>
      <c r="K951" s="133" t="str">
        <f>IFERROR(__xludf.DUMMYFUNCTION("""COMPUTED_VALUE"""),"شركة التحالف الآسيوي الدولية المحدودة")</f>
        <v>شركة التحالف الآسيوي الدولية المحدودة</v>
      </c>
      <c r="L951" s="142" t="str">
        <f>IFERROR(__xludf.DUMMYFUNCTION("""COMPUTED_VALUE"""),"WB80228")</f>
        <v>WB80228</v>
      </c>
      <c r="M951" s="133"/>
      <c r="N951" s="133"/>
      <c r="O951" s="133"/>
      <c r="P951" s="133"/>
      <c r="Q951" s="133"/>
      <c r="R951" s="133"/>
      <c r="S951" s="133"/>
      <c r="T951" s="133"/>
      <c r="U951" s="133"/>
      <c r="V951" s="133"/>
      <c r="W951" s="133"/>
      <c r="X951" s="133"/>
      <c r="Y951" s="133"/>
      <c r="Z951" s="133"/>
    </row>
    <row r="952">
      <c r="A952" s="133">
        <f>IFERROR(__xludf.DUMMYFUNCTION("""COMPUTED_VALUE"""),951.0)</f>
        <v>951</v>
      </c>
      <c r="B952" s="133" t="str">
        <f>IFERROR(__xludf.DUMMYFUNCTION("""COMPUTED_VALUE"""),"WB80226")</f>
        <v>WB80226</v>
      </c>
      <c r="C952" s="133" t="str">
        <f>IFERROR(__xludf.DUMMYFUNCTION("""COMPUTED_VALUE"""),"P-1-N-100322-1648")</f>
        <v>P-1-N-100322-1648</v>
      </c>
      <c r="D952" s="133"/>
      <c r="E952" s="133" t="str">
        <f>IFERROR(__xludf.DUMMYFUNCTION("""COMPUTED_VALUE"""),"تمت طباعة الشهادة")</f>
        <v>تمت طباعة الشهادة</v>
      </c>
      <c r="F952" s="133" t="str">
        <f>IFERROR(__xludf.DUMMYFUNCTION("""COMPUTED_VALUE"""),"Tiki Cat Stix Wet Treats with Chicken in Creamy Gravy 85g")</f>
        <v>Tiki Cat Stix Wet Treats with Chicken in Creamy Gravy 85g</v>
      </c>
      <c r="G952" s="133" t="str">
        <f>IFERROR(__xludf.DUMMYFUNCTION("""COMPUTED_VALUE"""),"تيكي كات ستيكس وت تريتس مع الدجاج في مرق الكريمة 85 جم")</f>
        <v>تيكي كات ستيكس وت تريتس مع الدجاج في مرق الكريمة 85 جم</v>
      </c>
      <c r="H952" s="133" t="str">
        <f>IFERROR(__xludf.DUMMYFUNCTION("""COMPUTED_VALUE"""),"MAFE2022990")</f>
        <v>MAFE2022990</v>
      </c>
      <c r="I952" s="133"/>
      <c r="J952" s="133"/>
      <c r="K952" s="133" t="str">
        <f>IFERROR(__xludf.DUMMYFUNCTION("""COMPUTED_VALUE"""),"شركة التحالف الآسيوي الدولية المحدودة")</f>
        <v>شركة التحالف الآسيوي الدولية المحدودة</v>
      </c>
      <c r="L952" s="142" t="str">
        <f>IFERROR(__xludf.DUMMYFUNCTION("""COMPUTED_VALUE"""),"WB80226")</f>
        <v>WB80226</v>
      </c>
      <c r="M952" s="133"/>
      <c r="N952" s="133"/>
      <c r="O952" s="133"/>
      <c r="P952" s="133"/>
      <c r="Q952" s="133"/>
      <c r="R952" s="133"/>
      <c r="S952" s="133"/>
      <c r="T952" s="133"/>
      <c r="U952" s="133"/>
      <c r="V952" s="133"/>
      <c r="W952" s="133"/>
      <c r="X952" s="133"/>
      <c r="Y952" s="133"/>
      <c r="Z952" s="133"/>
    </row>
    <row r="953">
      <c r="A953" s="133">
        <f>IFERROR(__xludf.DUMMYFUNCTION("""COMPUTED_VALUE"""),952.0)</f>
        <v>952</v>
      </c>
      <c r="B953" s="133"/>
      <c r="C953" s="133" t="str">
        <f>IFERROR(__xludf.DUMMYFUNCTION("""COMPUTED_VALUE"""),"P-1-N-170322-1813")</f>
        <v>P-1-N-170322-1813</v>
      </c>
      <c r="D953" s="133"/>
      <c r="E953" s="133" t="str">
        <f>IFERROR(__xludf.DUMMYFUNCTION("""COMPUTED_VALUE"""),"REJECTED")</f>
        <v>REJECTED</v>
      </c>
      <c r="F953" s="133" t="str">
        <f>IFERROR(__xludf.DUMMYFUNCTION("""COMPUTED_VALUE"""),"Beaphar Intensive Red 10g")</f>
        <v>Beaphar Intensive Red 10g</v>
      </c>
      <c r="G953" s="133" t="str">
        <f>IFERROR(__xludf.DUMMYFUNCTION("""COMPUTED_VALUE"""),"بيافار انتنسيف رد 10 غ")</f>
        <v>بيافار انتنسيف رد 10 غ</v>
      </c>
      <c r="H953" s="133"/>
      <c r="I953" s="133"/>
      <c r="J953" s="133"/>
      <c r="K953" s="133" t="str">
        <f>IFERROR(__xludf.DUMMYFUNCTION("""COMPUTED_VALUE"""),"بيفار بي في")</f>
        <v>بيفار بي في</v>
      </c>
      <c r="L953" s="133"/>
      <c r="M953" s="133"/>
      <c r="N953" s="133"/>
      <c r="O953" s="133"/>
      <c r="P953" s="133"/>
      <c r="Q953" s="133"/>
      <c r="R953" s="133"/>
      <c r="S953" s="133"/>
      <c r="T953" s="133"/>
      <c r="U953" s="133"/>
      <c r="V953" s="133"/>
      <c r="W953" s="133"/>
      <c r="X953" s="133"/>
      <c r="Y953" s="133"/>
      <c r="Z953" s="133"/>
    </row>
    <row r="954">
      <c r="A954" s="133">
        <f>IFERROR(__xludf.DUMMYFUNCTION("""COMPUTED_VALUE"""),953.0)</f>
        <v>953</v>
      </c>
      <c r="B954" s="133"/>
      <c r="C954" s="133" t="str">
        <f>IFERROR(__xludf.DUMMYFUNCTION("""COMPUTED_VALUE"""),"P-1-N-190322-1883")</f>
        <v>P-1-N-190322-1883</v>
      </c>
      <c r="D954" s="133"/>
      <c r="E954" s="133" t="str">
        <f>IFERROR(__xludf.DUMMYFUNCTION("""COMPUTED_VALUE"""),"REJECTED")</f>
        <v>REJECTED</v>
      </c>
      <c r="F954" s="133" t="str">
        <f>IFERROR(__xludf.DUMMYFUNCTION("""COMPUTED_VALUE"""),"Calming Cat Treats 35 g")</f>
        <v>Calming Cat Treats 35 g</v>
      </c>
      <c r="G954" s="133" t="str">
        <f>IFERROR(__xludf.DUMMYFUNCTION("""COMPUTED_VALUE"""),"كالمينغ كات تريتس 35 جرام")</f>
        <v>كالمينغ كات تريتس 35 جرام</v>
      </c>
      <c r="H954" s="133"/>
      <c r="I954" s="133"/>
      <c r="J954" s="133"/>
      <c r="K954" s="133" t="str">
        <f>IFERROR(__xludf.DUMMYFUNCTION("""COMPUTED_VALUE"""),"بيفار بي في")</f>
        <v>بيفار بي في</v>
      </c>
      <c r="L954" s="133"/>
      <c r="M954" s="133"/>
      <c r="N954" s="133"/>
      <c r="O954" s="133"/>
      <c r="P954" s="133"/>
      <c r="Q954" s="133"/>
      <c r="R954" s="133"/>
      <c r="S954" s="133"/>
      <c r="T954" s="133"/>
      <c r="U954" s="133"/>
      <c r="V954" s="133"/>
      <c r="W954" s="133"/>
      <c r="X954" s="133"/>
      <c r="Y954" s="133"/>
      <c r="Z954" s="133"/>
    </row>
    <row r="955">
      <c r="A955" s="133">
        <f>IFERROR(__xludf.DUMMYFUNCTION("""COMPUTED_VALUE"""),954.0)</f>
        <v>954</v>
      </c>
      <c r="B955" s="133"/>
      <c r="C955" s="133" t="str">
        <f>IFERROR(__xludf.DUMMYFUNCTION("""COMPUTED_VALUE"""),"P-1-N-140422-2497")</f>
        <v>P-1-N-140422-2497</v>
      </c>
      <c r="D955" s="133"/>
      <c r="E955" s="133" t="str">
        <f>IFERROR(__xludf.DUMMYFUNCTION("""COMPUTED_VALUE"""),"تمت طباعة الشهادة")</f>
        <v>تمت طباعة الشهادة</v>
      </c>
      <c r="F955" s="133" t="str">
        <f>IFERROR(__xludf.DUMMYFUNCTION("""COMPUTED_VALUE"""),"Tiki Dog Petites Chicken with Salmon Recipe in Chicken Broth 85g")</f>
        <v>Tiki Dog Petites Chicken with Salmon Recipe in Chicken Broth 85g</v>
      </c>
      <c r="G955" s="133" t="str">
        <f>IFERROR(__xludf.DUMMYFUNCTION("""COMPUTED_VALUE"""),"تيكي دوج بيتيتس وصفة الدجاج مع السلمون في مرق الدجاج 85 جم")</f>
        <v>تيكي دوج بيتيتس وصفة الدجاج مع السلمون في مرق الدجاج 85 جم</v>
      </c>
      <c r="H955" s="133"/>
      <c r="I955" s="133"/>
      <c r="J955" s="133"/>
      <c r="K955" s="133" t="str">
        <f>IFERROR(__xludf.DUMMYFUNCTION("""COMPUTED_VALUE"""),"شركة التحالف الآسيوي الدولية المحدودة")</f>
        <v>شركة التحالف الآسيوي الدولية المحدودة</v>
      </c>
      <c r="L955" s="133"/>
      <c r="M955" s="133"/>
      <c r="N955" s="133"/>
      <c r="O955" s="133"/>
      <c r="P955" s="133"/>
      <c r="Q955" s="133"/>
      <c r="R955" s="133"/>
      <c r="S955" s="133"/>
      <c r="T955" s="133"/>
      <c r="U955" s="133"/>
      <c r="V955" s="133"/>
      <c r="W955" s="133"/>
      <c r="X955" s="133"/>
      <c r="Y955" s="133"/>
      <c r="Z955" s="133"/>
    </row>
    <row r="956">
      <c r="A956" s="133">
        <f>IFERROR(__xludf.DUMMYFUNCTION("""COMPUTED_VALUE"""),955.0)</f>
        <v>955</v>
      </c>
      <c r="B956" s="133" t="str">
        <f>IFERROR(__xludf.DUMMYFUNCTION("""COMPUTED_VALUE"""),"139082")</f>
        <v>139082</v>
      </c>
      <c r="C956" s="133" t="str">
        <f>IFERROR(__xludf.DUMMYFUNCTION("""COMPUTED_VALUE"""),"P-1-N-160522-2947")</f>
        <v>P-1-N-160522-2947</v>
      </c>
      <c r="D956" s="133"/>
      <c r="E956" s="133" t="str">
        <f>IFERROR(__xludf.DUMMYFUNCTION("""COMPUTED_VALUE"""),"تمت طباعة الشهادة")</f>
        <v>تمت طباعة الشهادة</v>
      </c>
      <c r="F956" s="133" t="str">
        <f>IFERROR(__xludf.DUMMYFUNCTION("""COMPUTED_VALUE"""),"NUTRIMEAL3 CANARY 800g")</f>
        <v>NUTRIMEAL3 CANARY 800g</v>
      </c>
      <c r="G956" s="133" t="str">
        <f>IFERROR(__xludf.DUMMYFUNCTION("""COMPUTED_VALUE"""),"نوتري ميل 3 كناري 800 جم")</f>
        <v>نوتري ميل 3 كناري 800 جم</v>
      </c>
      <c r="H956" s="133" t="str">
        <f>IFERROR(__xludf.DUMMYFUNCTION("""COMPUTED_VALUE"""),"MAFE20221667")</f>
        <v>MAFE20221667</v>
      </c>
      <c r="I956" s="133"/>
      <c r="J956" s="133"/>
      <c r="K956" s="133" t="str">
        <f>IFERROR(__xludf.DUMMYFUNCTION("""COMPUTED_VALUE"""),"الفا برود ساس")</f>
        <v>الفا برود ساس</v>
      </c>
      <c r="L956" s="142" t="str">
        <f>IFERROR(__xludf.DUMMYFUNCTION("""COMPUTED_VALUE"""),"139082")</f>
        <v>139082</v>
      </c>
      <c r="M956" s="133"/>
      <c r="N956" s="133"/>
      <c r="O956" s="133"/>
      <c r="P956" s="133"/>
      <c r="Q956" s="133"/>
      <c r="R956" s="133"/>
      <c r="S956" s="133"/>
      <c r="T956" s="133"/>
      <c r="U956" s="133"/>
      <c r="V956" s="133"/>
      <c r="W956" s="133"/>
      <c r="X956" s="133"/>
      <c r="Y956" s="133"/>
      <c r="Z956" s="133"/>
    </row>
    <row r="957">
      <c r="A957" s="133">
        <f>IFERROR(__xludf.DUMMYFUNCTION("""COMPUTED_VALUE"""),956.0)</f>
        <v>956</v>
      </c>
      <c r="B957" s="133" t="str">
        <f>IFERROR(__xludf.DUMMYFUNCTION("""COMPUTED_VALUE"""),"139083")</f>
        <v>139083</v>
      </c>
      <c r="C957" s="133" t="str">
        <f>IFERROR(__xludf.DUMMYFUNCTION("""COMPUTED_VALUE"""),"P-1-N-160522-2948")</f>
        <v>P-1-N-160522-2948</v>
      </c>
      <c r="D957" s="133"/>
      <c r="E957" s="133" t="str">
        <f>IFERROR(__xludf.DUMMYFUNCTION("""COMPUTED_VALUE"""),"تمت طباعة الشهادة")</f>
        <v>تمت طباعة الشهادة</v>
      </c>
      <c r="F957" s="133" t="str">
        <f>IFERROR(__xludf.DUMMYFUNCTION("""COMPUTED_VALUE"""),"NUTRIMEAL 3 CANARY 2.5kg")</f>
        <v>NUTRIMEAL 3 CANARY 2.5kg</v>
      </c>
      <c r="G957" s="133" t="str">
        <f>IFERROR(__xludf.DUMMYFUNCTION("""COMPUTED_VALUE"""),"نوتري ميل 3 كناري 2.5 كجم")</f>
        <v>نوتري ميل 3 كناري 2.5 كجم</v>
      </c>
      <c r="H957" s="133"/>
      <c r="I957" s="133"/>
      <c r="J957" s="133"/>
      <c r="K957" s="133" t="str">
        <f>IFERROR(__xludf.DUMMYFUNCTION("""COMPUTED_VALUE"""),"الفا برود ساس")</f>
        <v>الفا برود ساس</v>
      </c>
      <c r="L957" s="142" t="str">
        <f>IFERROR(__xludf.DUMMYFUNCTION("""COMPUTED_VALUE"""),"139083")</f>
        <v>139083</v>
      </c>
      <c r="M957" s="133"/>
      <c r="N957" s="133"/>
      <c r="O957" s="133"/>
      <c r="P957" s="133"/>
      <c r="Q957" s="133"/>
      <c r="R957" s="133"/>
      <c r="S957" s="133"/>
      <c r="T957" s="133"/>
      <c r="U957" s="133"/>
      <c r="V957" s="133"/>
      <c r="W957" s="133"/>
      <c r="X957" s="133"/>
      <c r="Y957" s="133"/>
      <c r="Z957" s="133"/>
    </row>
    <row r="958">
      <c r="A958" s="133">
        <f>IFERROR(__xludf.DUMMYFUNCTION("""COMPUTED_VALUE"""),957.0)</f>
        <v>957</v>
      </c>
      <c r="B958" s="133" t="str">
        <f>IFERROR(__xludf.DUMMYFUNCTION("""COMPUTED_VALUE"""),"139084")</f>
        <v>139084</v>
      </c>
      <c r="C958" s="133" t="str">
        <f>IFERROR(__xludf.DUMMYFUNCTION("""COMPUTED_VALUE"""),"P-1-N-160522-2949")</f>
        <v>P-1-N-160522-2949</v>
      </c>
      <c r="D958" s="133"/>
      <c r="E958" s="133" t="str">
        <f>IFERROR(__xludf.DUMMYFUNCTION("""COMPUTED_VALUE"""),"تمت طباعة الشهادة")</f>
        <v>تمت طباعة الشهادة</v>
      </c>
      <c r="F958" s="133" t="str">
        <f>IFERROR(__xludf.DUMMYFUNCTION("""COMPUTED_VALUE"""),"NUTRIMEAL3 EXOTIC BIRD 800g")</f>
        <v>NUTRIMEAL3 EXOTIC BIRD 800g</v>
      </c>
      <c r="G958" s="133" t="str">
        <f>IFERROR(__xludf.DUMMYFUNCTION("""COMPUTED_VALUE"""),"نوتري ميل 3 للطيورالاستوائية 800 جم")</f>
        <v>نوتري ميل 3 للطيورالاستوائية 800 جم</v>
      </c>
      <c r="H958" s="133" t="str">
        <f>IFERROR(__xludf.DUMMYFUNCTION("""COMPUTED_VALUE"""),"MAFE20221738")</f>
        <v>MAFE20221738</v>
      </c>
      <c r="I958" s="133"/>
      <c r="J958" s="133"/>
      <c r="K958" s="133" t="str">
        <f>IFERROR(__xludf.DUMMYFUNCTION("""COMPUTED_VALUE"""),"الفا برود ساس")</f>
        <v>الفا برود ساس</v>
      </c>
      <c r="L958" s="142" t="str">
        <f>IFERROR(__xludf.DUMMYFUNCTION("""COMPUTED_VALUE"""),"139084")</f>
        <v>139084</v>
      </c>
      <c r="M958" s="133"/>
      <c r="N958" s="133"/>
      <c r="O958" s="133"/>
      <c r="P958" s="133"/>
      <c r="Q958" s="133"/>
      <c r="R958" s="133"/>
      <c r="S958" s="133"/>
      <c r="T958" s="133"/>
      <c r="U958" s="133"/>
      <c r="V958" s="133"/>
      <c r="W958" s="133"/>
      <c r="X958" s="133"/>
      <c r="Y958" s="133"/>
      <c r="Z958" s="133"/>
    </row>
    <row r="959">
      <c r="A959" s="133">
        <f>IFERROR(__xludf.DUMMYFUNCTION("""COMPUTED_VALUE"""),958.0)</f>
        <v>958</v>
      </c>
      <c r="B959" s="133" t="str">
        <f>IFERROR(__xludf.DUMMYFUNCTION("""COMPUTED_VALUE"""),"139085")</f>
        <v>139085</v>
      </c>
      <c r="C959" s="133" t="str">
        <f>IFERROR(__xludf.DUMMYFUNCTION("""COMPUTED_VALUE"""),"P-1-N-160522-2950")</f>
        <v>P-1-N-160522-2950</v>
      </c>
      <c r="D959" s="133"/>
      <c r="E959" s="133" t="str">
        <f>IFERROR(__xludf.DUMMYFUNCTION("""COMPUTED_VALUE"""),"تمت طباعة الشهادة")</f>
        <v>تمت طباعة الشهادة</v>
      </c>
      <c r="F959" s="133" t="str">
        <f>IFERROR(__xludf.DUMMYFUNCTION("""COMPUTED_VALUE"""),"NUTRIMEAL3 EXOTIC BIRD 2.5kg")</f>
        <v>NUTRIMEAL3 EXOTIC BIRD 2.5kg</v>
      </c>
      <c r="G959" s="133" t="str">
        <f>IFERROR(__xludf.DUMMYFUNCTION("""COMPUTED_VALUE"""),"نوتري ميل 3 للطيورالاستوائية 2.5 كجم")</f>
        <v>نوتري ميل 3 للطيورالاستوائية 2.5 كجم</v>
      </c>
      <c r="H959" s="133"/>
      <c r="I959" s="133"/>
      <c r="J959" s="133"/>
      <c r="K959" s="133" t="str">
        <f>IFERROR(__xludf.DUMMYFUNCTION("""COMPUTED_VALUE"""),"الفا برود ساس")</f>
        <v>الفا برود ساس</v>
      </c>
      <c r="L959" s="142" t="str">
        <f>IFERROR(__xludf.DUMMYFUNCTION("""COMPUTED_VALUE"""),"139085")</f>
        <v>139085</v>
      </c>
      <c r="M959" s="133"/>
      <c r="N959" s="133"/>
      <c r="O959" s="133"/>
      <c r="P959" s="133"/>
      <c r="Q959" s="133"/>
      <c r="R959" s="133"/>
      <c r="S959" s="133"/>
      <c r="T959" s="133"/>
      <c r="U959" s="133"/>
      <c r="V959" s="133"/>
      <c r="W959" s="133"/>
      <c r="X959" s="133"/>
      <c r="Y959" s="133"/>
      <c r="Z959" s="133"/>
    </row>
    <row r="960">
      <c r="A960" s="133">
        <f>IFERROR(__xludf.DUMMYFUNCTION("""COMPUTED_VALUE"""),959.0)</f>
        <v>959</v>
      </c>
      <c r="B960" s="133" t="str">
        <f>IFERROR(__xludf.DUMMYFUNCTION("""COMPUTED_VALUE"""),"139086")</f>
        <v>139086</v>
      </c>
      <c r="C960" s="133" t="str">
        <f>IFERROR(__xludf.DUMMYFUNCTION("""COMPUTED_VALUE"""),"P-1-N-160522-2951")</f>
        <v>P-1-N-160522-2951</v>
      </c>
      <c r="D960" s="133"/>
      <c r="E960" s="133" t="str">
        <f>IFERROR(__xludf.DUMMYFUNCTION("""COMPUTED_VALUE"""),"تمت طباعة الشهادة")</f>
        <v>تمت طباعة الشهادة</v>
      </c>
      <c r="F960" s="133" t="str">
        <f>IFERROR(__xludf.DUMMYFUNCTION("""COMPUTED_VALUE"""),"NUTRIMEAL3 PARAKEETS 800g")</f>
        <v>NUTRIMEAL3 PARAKEETS 800g</v>
      </c>
      <c r="G960" s="133" t="str">
        <f>IFERROR(__xludf.DUMMYFUNCTION("""COMPUTED_VALUE"""),"نوتري ميل 3 للبراكيت 800 جم")</f>
        <v>نوتري ميل 3 للبراكيت 800 جم</v>
      </c>
      <c r="H960" s="133" t="str">
        <f>IFERROR(__xludf.DUMMYFUNCTION("""COMPUTED_VALUE"""),"MAFE20221665")</f>
        <v>MAFE20221665</v>
      </c>
      <c r="I960" s="133"/>
      <c r="J960" s="133"/>
      <c r="K960" s="133" t="str">
        <f>IFERROR(__xludf.DUMMYFUNCTION("""COMPUTED_VALUE"""),"الفا برود ساس")</f>
        <v>الفا برود ساس</v>
      </c>
      <c r="L960" s="142" t="str">
        <f>IFERROR(__xludf.DUMMYFUNCTION("""COMPUTED_VALUE"""),"139086")</f>
        <v>139086</v>
      </c>
      <c r="M960" s="133"/>
      <c r="N960" s="133"/>
      <c r="O960" s="133"/>
      <c r="P960" s="133"/>
      <c r="Q960" s="133"/>
      <c r="R960" s="133"/>
      <c r="S960" s="133"/>
      <c r="T960" s="133"/>
      <c r="U960" s="133"/>
      <c r="V960" s="133"/>
      <c r="W960" s="133"/>
      <c r="X960" s="133"/>
      <c r="Y960" s="133"/>
      <c r="Z960" s="133"/>
    </row>
    <row r="961">
      <c r="A961" s="133">
        <f>IFERROR(__xludf.DUMMYFUNCTION("""COMPUTED_VALUE"""),960.0)</f>
        <v>960</v>
      </c>
      <c r="B961" s="133" t="str">
        <f>IFERROR(__xludf.DUMMYFUNCTION("""COMPUTED_VALUE"""),"139087")</f>
        <v>139087</v>
      </c>
      <c r="C961" s="133" t="str">
        <f>IFERROR(__xludf.DUMMYFUNCTION("""COMPUTED_VALUE"""),"P-1-N-160522-2952")</f>
        <v>P-1-N-160522-2952</v>
      </c>
      <c r="D961" s="133"/>
      <c r="E961" s="133" t="str">
        <f>IFERROR(__xludf.DUMMYFUNCTION("""COMPUTED_VALUE"""),"تمت طباعة الشهادة")</f>
        <v>تمت طباعة الشهادة</v>
      </c>
      <c r="F961" s="133" t="str">
        <f>IFERROR(__xludf.DUMMYFUNCTION("""COMPUTED_VALUE"""),"NUTRIMEAL3 PARAKEETS 2.5kg")</f>
        <v>NUTRIMEAL3 PARAKEETS 2.5kg</v>
      </c>
      <c r="G961" s="133" t="str">
        <f>IFERROR(__xludf.DUMMYFUNCTION("""COMPUTED_VALUE"""),"نوتري ميل 3 للبراكيت 2.5 كجم")</f>
        <v>نوتري ميل 3 للبراكيت 2.5 كجم</v>
      </c>
      <c r="H961" s="133" t="str">
        <f>IFERROR(__xludf.DUMMYFUNCTION("""COMPUTED_VALUE"""),"MAFE20221664")</f>
        <v>MAFE20221664</v>
      </c>
      <c r="I961" s="133"/>
      <c r="J961" s="133"/>
      <c r="K961" s="133" t="str">
        <f>IFERROR(__xludf.DUMMYFUNCTION("""COMPUTED_VALUE"""),"الفا برود ساس")</f>
        <v>الفا برود ساس</v>
      </c>
      <c r="L961" s="142" t="str">
        <f>IFERROR(__xludf.DUMMYFUNCTION("""COMPUTED_VALUE"""),"139087")</f>
        <v>139087</v>
      </c>
      <c r="M961" s="133"/>
      <c r="N961" s="133"/>
      <c r="O961" s="133"/>
      <c r="P961" s="133"/>
      <c r="Q961" s="133"/>
      <c r="R961" s="133"/>
      <c r="S961" s="133"/>
      <c r="T961" s="133"/>
      <c r="U961" s="133"/>
      <c r="V961" s="133"/>
      <c r="W961" s="133"/>
      <c r="X961" s="133"/>
      <c r="Y961" s="133"/>
      <c r="Z961" s="133"/>
    </row>
    <row r="962">
      <c r="A962" s="133">
        <f>IFERROR(__xludf.DUMMYFUNCTION("""COMPUTED_VALUE"""),961.0)</f>
        <v>961</v>
      </c>
      <c r="B962" s="133" t="str">
        <f>IFERROR(__xludf.DUMMYFUNCTION("""COMPUTED_VALUE"""),"139088")</f>
        <v>139088</v>
      </c>
      <c r="C962" s="133" t="str">
        <f>IFERROR(__xludf.DUMMYFUNCTION("""COMPUTED_VALUE"""),"P-1-N-160522-2953")</f>
        <v>P-1-N-160522-2953</v>
      </c>
      <c r="D962" s="133"/>
      <c r="E962" s="133" t="str">
        <f>IFERROR(__xludf.DUMMYFUNCTION("""COMPUTED_VALUE"""),"تمت طباعة الشهادة")</f>
        <v>تمت طباعة الشهادة</v>
      </c>
      <c r="F962" s="133" t="str">
        <f>IFERROR(__xludf.DUMMYFUNCTION("""COMPUTED_VALUE"""),"NUTRIMEAL3 LARGE PARAKEETS 800g")</f>
        <v>NUTRIMEAL3 LARGE PARAKEETS 800g</v>
      </c>
      <c r="G962" s="133" t="str">
        <f>IFERROR(__xludf.DUMMYFUNCTION("""COMPUTED_VALUE"""),"نوتري ميل 3 للبراكيت الكبيرة 800 جم")</f>
        <v>نوتري ميل 3 للبراكيت الكبيرة 800 جم</v>
      </c>
      <c r="H962" s="133" t="str">
        <f>IFERROR(__xludf.DUMMYFUNCTION("""COMPUTED_VALUE"""),"MAFE20221663")</f>
        <v>MAFE20221663</v>
      </c>
      <c r="I962" s="133"/>
      <c r="J962" s="133"/>
      <c r="K962" s="133" t="str">
        <f>IFERROR(__xludf.DUMMYFUNCTION("""COMPUTED_VALUE"""),"الفا برود ساس")</f>
        <v>الفا برود ساس</v>
      </c>
      <c r="L962" s="142" t="str">
        <f>IFERROR(__xludf.DUMMYFUNCTION("""COMPUTED_VALUE"""),"139088")</f>
        <v>139088</v>
      </c>
      <c r="M962" s="133"/>
      <c r="N962" s="133"/>
      <c r="O962" s="133"/>
      <c r="P962" s="133"/>
      <c r="Q962" s="133"/>
      <c r="R962" s="133"/>
      <c r="S962" s="133"/>
      <c r="T962" s="133"/>
      <c r="U962" s="133"/>
      <c r="V962" s="133"/>
      <c r="W962" s="133"/>
      <c r="X962" s="133"/>
      <c r="Y962" s="133"/>
      <c r="Z962" s="133"/>
    </row>
    <row r="963">
      <c r="A963" s="133">
        <f>IFERROR(__xludf.DUMMYFUNCTION("""COMPUTED_VALUE"""),962.0)</f>
        <v>962</v>
      </c>
      <c r="B963" s="133" t="str">
        <f>IFERROR(__xludf.DUMMYFUNCTION("""COMPUTED_VALUE"""),"139089")</f>
        <v>139089</v>
      </c>
      <c r="C963" s="133" t="str">
        <f>IFERROR(__xludf.DUMMYFUNCTION("""COMPUTED_VALUE"""),"P-1-N-160522-2954")</f>
        <v>P-1-N-160522-2954</v>
      </c>
      <c r="D963" s="133"/>
      <c r="E963" s="133" t="str">
        <f>IFERROR(__xludf.DUMMYFUNCTION("""COMPUTED_VALUE"""),"تمت طباعة الشهادة")</f>
        <v>تمت طباعة الشهادة</v>
      </c>
      <c r="F963" s="133" t="str">
        <f>IFERROR(__xludf.DUMMYFUNCTION("""COMPUTED_VALUE"""),"NUTRIMEAL3 LARGE PARAKEETS 2.5kg")</f>
        <v>NUTRIMEAL3 LARGE PARAKEETS 2.5kg</v>
      </c>
      <c r="G963" s="133" t="str">
        <f>IFERROR(__xludf.DUMMYFUNCTION("""COMPUTED_VALUE"""),"نوتري ميل 3 للبراكيت الكبيرة 2.5 كجم")</f>
        <v>نوتري ميل 3 للبراكيت الكبيرة 2.5 كجم</v>
      </c>
      <c r="H963" s="133" t="str">
        <f>IFERROR(__xludf.DUMMYFUNCTION("""COMPUTED_VALUE"""),"MAFE20221662")</f>
        <v>MAFE20221662</v>
      </c>
      <c r="I963" s="133"/>
      <c r="J963" s="133"/>
      <c r="K963" s="133" t="str">
        <f>IFERROR(__xludf.DUMMYFUNCTION("""COMPUTED_VALUE"""),"الفا برود ساس")</f>
        <v>الفا برود ساس</v>
      </c>
      <c r="L963" s="142" t="str">
        <f>IFERROR(__xludf.DUMMYFUNCTION("""COMPUTED_VALUE"""),"139089")</f>
        <v>139089</v>
      </c>
      <c r="M963" s="133"/>
      <c r="N963" s="133"/>
      <c r="O963" s="133"/>
      <c r="P963" s="133"/>
      <c r="Q963" s="133"/>
      <c r="R963" s="133"/>
      <c r="S963" s="133"/>
      <c r="T963" s="133"/>
      <c r="U963" s="133"/>
      <c r="V963" s="133"/>
      <c r="W963" s="133"/>
      <c r="X963" s="133"/>
      <c r="Y963" s="133"/>
      <c r="Z963" s="133"/>
    </row>
    <row r="964">
      <c r="A964" s="133">
        <f>IFERROR(__xludf.DUMMYFUNCTION("""COMPUTED_VALUE"""),963.0)</f>
        <v>963</v>
      </c>
      <c r="B964" s="133" t="str">
        <f>IFERROR(__xludf.DUMMYFUNCTION("""COMPUTED_VALUE"""),"139090")</f>
        <v>139090</v>
      </c>
      <c r="C964" s="133" t="str">
        <f>IFERROR(__xludf.DUMMYFUNCTION("""COMPUTED_VALUE"""),"P-1-N-160522-2955")</f>
        <v>P-1-N-160522-2955</v>
      </c>
      <c r="D964" s="133"/>
      <c r="E964" s="133" t="str">
        <f>IFERROR(__xludf.DUMMYFUNCTION("""COMPUTED_VALUE"""),"تمت طباعة الشهادة")</f>
        <v>تمت طباعة الشهادة</v>
      </c>
      <c r="F964" s="133" t="str">
        <f>IFERROR(__xludf.DUMMYFUNCTION("""COMPUTED_VALUE"""),"NUTRIMEAL3 PARROTS 700g")</f>
        <v>NUTRIMEAL3 PARROTS 700g</v>
      </c>
      <c r="G964" s="133" t="str">
        <f>IFERROR(__xludf.DUMMYFUNCTION("""COMPUTED_VALUE"""),"نوتري ميل 3 للببغاوات 700 جم")</f>
        <v>نوتري ميل 3 للببغاوات 700 جم</v>
      </c>
      <c r="H964" s="133" t="str">
        <f>IFERROR(__xludf.DUMMYFUNCTION("""COMPUTED_VALUE"""),"MAFE20221661")</f>
        <v>MAFE20221661</v>
      </c>
      <c r="I964" s="133"/>
      <c r="J964" s="133"/>
      <c r="K964" s="133" t="str">
        <f>IFERROR(__xludf.DUMMYFUNCTION("""COMPUTED_VALUE"""),"الفا برود ساس")</f>
        <v>الفا برود ساس</v>
      </c>
      <c r="L964" s="142" t="str">
        <f>IFERROR(__xludf.DUMMYFUNCTION("""COMPUTED_VALUE"""),"139090")</f>
        <v>139090</v>
      </c>
      <c r="M964" s="133"/>
      <c r="N964" s="133"/>
      <c r="O964" s="133"/>
      <c r="P964" s="133"/>
      <c r="Q964" s="133"/>
      <c r="R964" s="133"/>
      <c r="S964" s="133"/>
      <c r="T964" s="133"/>
      <c r="U964" s="133"/>
      <c r="V964" s="133"/>
      <c r="W964" s="133"/>
      <c r="X964" s="133"/>
      <c r="Y964" s="133"/>
      <c r="Z964" s="133"/>
    </row>
    <row r="965">
      <c r="A965" s="133">
        <f>IFERROR(__xludf.DUMMYFUNCTION("""COMPUTED_VALUE"""),964.0)</f>
        <v>964</v>
      </c>
      <c r="B965" s="133" t="str">
        <f>IFERROR(__xludf.DUMMYFUNCTION("""COMPUTED_VALUE"""),"139091")</f>
        <v>139091</v>
      </c>
      <c r="C965" s="133" t="str">
        <f>IFERROR(__xludf.DUMMYFUNCTION("""COMPUTED_VALUE"""),"P-1-N-160522-2956")</f>
        <v>P-1-N-160522-2956</v>
      </c>
      <c r="D965" s="133"/>
      <c r="E965" s="133" t="str">
        <f>IFERROR(__xludf.DUMMYFUNCTION("""COMPUTED_VALUE"""),"تمت طباعة الشهادة")</f>
        <v>تمت طباعة الشهادة</v>
      </c>
      <c r="F965" s="133" t="str">
        <f>IFERROR(__xludf.DUMMYFUNCTION("""COMPUTED_VALUE"""),"NUTRIMEAL3 PARROTS 2.25kg")</f>
        <v>NUTRIMEAL3 PARROTS 2.25kg</v>
      </c>
      <c r="G965" s="133" t="str">
        <f>IFERROR(__xludf.DUMMYFUNCTION("""COMPUTED_VALUE"""),"نوتري ميل 3 للببغاوات 2.25 كجم")</f>
        <v>نوتري ميل 3 للببغاوات 2.25 كجم</v>
      </c>
      <c r="H965" s="133" t="str">
        <f>IFERROR(__xludf.DUMMYFUNCTION("""COMPUTED_VALUE"""),"MAFE20221701")</f>
        <v>MAFE20221701</v>
      </c>
      <c r="I965" s="133"/>
      <c r="J965" s="133"/>
      <c r="K965" s="133" t="str">
        <f>IFERROR(__xludf.DUMMYFUNCTION("""COMPUTED_VALUE"""),"الفا برود ساس")</f>
        <v>الفا برود ساس</v>
      </c>
      <c r="L965" s="142" t="str">
        <f>IFERROR(__xludf.DUMMYFUNCTION("""COMPUTED_VALUE"""),"139091")</f>
        <v>139091</v>
      </c>
      <c r="M965" s="133"/>
      <c r="N965" s="133"/>
      <c r="O965" s="133"/>
      <c r="P965" s="133"/>
      <c r="Q965" s="133"/>
      <c r="R965" s="133"/>
      <c r="S965" s="133"/>
      <c r="T965" s="133"/>
      <c r="U965" s="133"/>
      <c r="V965" s="133"/>
      <c r="W965" s="133"/>
      <c r="X965" s="133"/>
      <c r="Y965" s="133"/>
      <c r="Z965" s="133"/>
    </row>
    <row r="966">
      <c r="A966" s="133">
        <f>IFERROR(__xludf.DUMMYFUNCTION("""COMPUTED_VALUE"""),965.0)</f>
        <v>965</v>
      </c>
      <c r="B966" s="133" t="str">
        <f>IFERROR(__xludf.DUMMYFUNCTION("""COMPUTED_VALUE"""),"210194")</f>
        <v>210194</v>
      </c>
      <c r="C966" s="133" t="str">
        <f>IFERROR(__xludf.DUMMYFUNCTION("""COMPUTED_VALUE"""),"P-1-N-160522-2957")</f>
        <v>P-1-N-160522-2957</v>
      </c>
      <c r="D966" s="133"/>
      <c r="E966" s="133" t="str">
        <f>IFERROR(__xludf.DUMMYFUNCTION("""COMPUTED_VALUE"""),"تمت طباعة الشهادة")</f>
        <v>تمت طباعة الشهادة</v>
      </c>
      <c r="F966" s="133" t="str">
        <f>IFERROR(__xludf.DUMMYFUNCTION("""COMPUTED_VALUE"""),"NUTRIMEAL3 JUNIOR DWARF RABBITS 800g")</f>
        <v>NUTRIMEAL3 JUNIOR DWARF RABBITS 800g</v>
      </c>
      <c r="G966" s="133" t="str">
        <f>IFERROR(__xludf.DUMMYFUNCTION("""COMPUTED_VALUE"""),"نوتري ميل 3 للارانب القزمية الصغيرة 800 جم")</f>
        <v>نوتري ميل 3 للارانب القزمية الصغيرة 800 جم</v>
      </c>
      <c r="H966" s="133" t="str">
        <f>IFERROR(__xludf.DUMMYFUNCTION("""COMPUTED_VALUE"""),"MAFE20221700")</f>
        <v>MAFE20221700</v>
      </c>
      <c r="I966" s="133"/>
      <c r="J966" s="133"/>
      <c r="K966" s="133" t="str">
        <f>IFERROR(__xludf.DUMMYFUNCTION("""COMPUTED_VALUE"""),"الفا برود ساس")</f>
        <v>الفا برود ساس</v>
      </c>
      <c r="L966" s="142" t="str">
        <f>IFERROR(__xludf.DUMMYFUNCTION("""COMPUTED_VALUE"""),"210194")</f>
        <v>210194</v>
      </c>
      <c r="M966" s="133"/>
      <c r="N966" s="133"/>
      <c r="O966" s="133"/>
      <c r="P966" s="133"/>
      <c r="Q966" s="133"/>
      <c r="R966" s="133"/>
      <c r="S966" s="133"/>
      <c r="T966" s="133"/>
      <c r="U966" s="133"/>
      <c r="V966" s="133"/>
      <c r="W966" s="133"/>
      <c r="X966" s="133"/>
      <c r="Y966" s="133"/>
      <c r="Z966" s="133"/>
    </row>
    <row r="967">
      <c r="A967" s="133">
        <f>IFERROR(__xludf.DUMMYFUNCTION("""COMPUTED_VALUE"""),966.0)</f>
        <v>966</v>
      </c>
      <c r="B967" s="133" t="str">
        <f>IFERROR(__xludf.DUMMYFUNCTION("""COMPUTED_VALUE"""),"210195")</f>
        <v>210195</v>
      </c>
      <c r="C967" s="133" t="str">
        <f>IFERROR(__xludf.DUMMYFUNCTION("""COMPUTED_VALUE"""),"P-1-N-160522-2958")</f>
        <v>P-1-N-160522-2958</v>
      </c>
      <c r="D967" s="133"/>
      <c r="E967" s="133" t="str">
        <f>IFERROR(__xludf.DUMMYFUNCTION("""COMPUTED_VALUE"""),"تمت طباعة الشهادة")</f>
        <v>تمت طباعة الشهادة</v>
      </c>
      <c r="F967" s="133" t="str">
        <f>IFERROR(__xludf.DUMMYFUNCTION("""COMPUTED_VALUE"""),"NUTRIMEAL3 JUNIOR DWARF RABBITS PELLETS 800g")</f>
        <v>NUTRIMEAL3 JUNIOR DWARF RABBITS PELLETS 800g</v>
      </c>
      <c r="G967" s="133" t="str">
        <f>IFERROR(__xludf.DUMMYFUNCTION("""COMPUTED_VALUE"""),"نوتري ميل 3 حبيبات للارانب القزمية الصغيرة 800 جم")</f>
        <v>نوتري ميل 3 حبيبات للارانب القزمية الصغيرة 800 جم</v>
      </c>
      <c r="H967" s="133" t="str">
        <f>IFERROR(__xludf.DUMMYFUNCTION("""COMPUTED_VALUE"""),"MAFE20221705")</f>
        <v>MAFE20221705</v>
      </c>
      <c r="I967" s="133"/>
      <c r="J967" s="133"/>
      <c r="K967" s="133" t="str">
        <f>IFERROR(__xludf.DUMMYFUNCTION("""COMPUTED_VALUE"""),"الفا برود ساس")</f>
        <v>الفا برود ساس</v>
      </c>
      <c r="L967" s="142" t="str">
        <f>IFERROR(__xludf.DUMMYFUNCTION("""COMPUTED_VALUE"""),"210195")</f>
        <v>210195</v>
      </c>
      <c r="M967" s="133"/>
      <c r="N967" s="133"/>
      <c r="O967" s="133"/>
      <c r="P967" s="133"/>
      <c r="Q967" s="133"/>
      <c r="R967" s="133"/>
      <c r="S967" s="133"/>
      <c r="T967" s="133"/>
      <c r="U967" s="133"/>
      <c r="V967" s="133"/>
      <c r="W967" s="133"/>
      <c r="X967" s="133"/>
      <c r="Y967" s="133"/>
      <c r="Z967" s="133"/>
    </row>
    <row r="968">
      <c r="A968" s="133">
        <f>IFERROR(__xludf.DUMMYFUNCTION("""COMPUTED_VALUE"""),967.0)</f>
        <v>967</v>
      </c>
      <c r="B968" s="133" t="str">
        <f>IFERROR(__xludf.DUMMYFUNCTION("""COMPUTED_VALUE"""),"210196")</f>
        <v>210196</v>
      </c>
      <c r="C968" s="133" t="str">
        <f>IFERROR(__xludf.DUMMYFUNCTION("""COMPUTED_VALUE"""),"P-1-N-160522-2959")</f>
        <v>P-1-N-160522-2959</v>
      </c>
      <c r="D968" s="133"/>
      <c r="E968" s="133" t="str">
        <f>IFERROR(__xludf.DUMMYFUNCTION("""COMPUTED_VALUE"""),"تمت طباعة الشهادة")</f>
        <v>تمت طباعة الشهادة</v>
      </c>
      <c r="F968" s="133" t="str">
        <f>IFERROR(__xludf.DUMMYFUNCTION("""COMPUTED_VALUE"""),"NUTRIMEAL3 JUNIOR DWARF RABBITS PELLETS 2.5kg")</f>
        <v>NUTRIMEAL3 JUNIOR DWARF RABBITS PELLETS 2.5kg</v>
      </c>
      <c r="G968" s="133" t="str">
        <f>IFERROR(__xludf.DUMMYFUNCTION("""COMPUTED_VALUE"""),"نوتري ميل 3 حبيبات للارانب القزمية الصغيرة 2.5 كجم")</f>
        <v>نوتري ميل 3 حبيبات للارانب القزمية الصغيرة 2.5 كجم</v>
      </c>
      <c r="H968" s="133" t="str">
        <f>IFERROR(__xludf.DUMMYFUNCTION("""COMPUTED_VALUE"""),"MAFE20221704")</f>
        <v>MAFE20221704</v>
      </c>
      <c r="I968" s="133"/>
      <c r="J968" s="133"/>
      <c r="K968" s="133" t="str">
        <f>IFERROR(__xludf.DUMMYFUNCTION("""COMPUTED_VALUE"""),"الفا برود ساس")</f>
        <v>الفا برود ساس</v>
      </c>
      <c r="L968" s="142" t="str">
        <f>IFERROR(__xludf.DUMMYFUNCTION("""COMPUTED_VALUE"""),"210196")</f>
        <v>210196</v>
      </c>
      <c r="M968" s="133"/>
      <c r="N968" s="133"/>
      <c r="O968" s="133"/>
      <c r="P968" s="133"/>
      <c r="Q968" s="133"/>
      <c r="R968" s="133"/>
      <c r="S968" s="133"/>
      <c r="T968" s="133"/>
      <c r="U968" s="133"/>
      <c r="V968" s="133"/>
      <c r="W968" s="133"/>
      <c r="X968" s="133"/>
      <c r="Y968" s="133"/>
      <c r="Z968" s="133"/>
    </row>
    <row r="969">
      <c r="A969" s="133">
        <f>IFERROR(__xludf.DUMMYFUNCTION("""COMPUTED_VALUE"""),968.0)</f>
        <v>968</v>
      </c>
      <c r="B969" s="133" t="str">
        <f>IFERROR(__xludf.DUMMYFUNCTION("""COMPUTED_VALUE"""),"210199")</f>
        <v>210199</v>
      </c>
      <c r="C969" s="133" t="str">
        <f>IFERROR(__xludf.DUMMYFUNCTION("""COMPUTED_VALUE"""),"P-1-N-160522-2960")</f>
        <v>P-1-N-160522-2960</v>
      </c>
      <c r="D969" s="133"/>
      <c r="E969" s="133" t="str">
        <f>IFERROR(__xludf.DUMMYFUNCTION("""COMPUTED_VALUE"""),"تمت طباعة الشهادة")</f>
        <v>تمت طباعة الشهادة</v>
      </c>
      <c r="F969" s="133" t="str">
        <f>IFERROR(__xludf.DUMMYFUNCTION("""COMPUTED_VALUE"""),"NUTRIMEAL3 ADULT DWARF RABBITS PELLETS 800g")</f>
        <v>NUTRIMEAL3 ADULT DWARF RABBITS PELLETS 800g</v>
      </c>
      <c r="G969" s="133" t="str">
        <f>IFERROR(__xludf.DUMMYFUNCTION("""COMPUTED_VALUE"""),"نوتري ميل 3 حبيبات للارانب القزمية الكبيرة 800 جم")</f>
        <v>نوتري ميل 3 حبيبات للارانب القزمية الكبيرة 800 جم</v>
      </c>
      <c r="H969" s="133" t="str">
        <f>IFERROR(__xludf.DUMMYFUNCTION("""COMPUTED_VALUE"""),"MAFE20221703")</f>
        <v>MAFE20221703</v>
      </c>
      <c r="I969" s="133"/>
      <c r="J969" s="133"/>
      <c r="K969" s="133" t="str">
        <f>IFERROR(__xludf.DUMMYFUNCTION("""COMPUTED_VALUE"""),"الفا برود ساس")</f>
        <v>الفا برود ساس</v>
      </c>
      <c r="L969" s="142" t="str">
        <f>IFERROR(__xludf.DUMMYFUNCTION("""COMPUTED_VALUE"""),"210199")</f>
        <v>210199</v>
      </c>
      <c r="M969" s="133"/>
      <c r="N969" s="133"/>
      <c r="O969" s="133"/>
      <c r="P969" s="133"/>
      <c r="Q969" s="133"/>
      <c r="R969" s="133"/>
      <c r="S969" s="133"/>
      <c r="T969" s="133"/>
      <c r="U969" s="133"/>
      <c r="V969" s="133"/>
      <c r="W969" s="133"/>
      <c r="X969" s="133"/>
      <c r="Y969" s="133"/>
      <c r="Z969" s="133"/>
    </row>
    <row r="970">
      <c r="A970" s="133">
        <f>IFERROR(__xludf.DUMMYFUNCTION("""COMPUTED_VALUE"""),969.0)</f>
        <v>969</v>
      </c>
      <c r="B970" s="133" t="str">
        <f>IFERROR(__xludf.DUMMYFUNCTION("""COMPUTED_VALUE"""),"210200")</f>
        <v>210200</v>
      </c>
      <c r="C970" s="133" t="str">
        <f>IFERROR(__xludf.DUMMYFUNCTION("""COMPUTED_VALUE"""),"P-1-N-160522-2961")</f>
        <v>P-1-N-160522-2961</v>
      </c>
      <c r="D970" s="133"/>
      <c r="E970" s="133" t="str">
        <f>IFERROR(__xludf.DUMMYFUNCTION("""COMPUTED_VALUE"""),"تمت طباعة الشهادة")</f>
        <v>تمت طباعة الشهادة</v>
      </c>
      <c r="F970" s="133" t="str">
        <f>IFERROR(__xludf.DUMMYFUNCTION("""COMPUTED_VALUE"""),"NUTRIMEAL3 ADULT DWARF RABBITS PELLETS 2.5kg")</f>
        <v>NUTRIMEAL3 ADULT DWARF RABBITS PELLETS 2.5kg</v>
      </c>
      <c r="G970" s="133" t="str">
        <f>IFERROR(__xludf.DUMMYFUNCTION("""COMPUTED_VALUE"""),"نوتري ميل 3 حبيبات للارانب القزمية الكبيرة 2.5 كجم")</f>
        <v>نوتري ميل 3 حبيبات للارانب القزمية الكبيرة 2.5 كجم</v>
      </c>
      <c r="H970" s="133" t="str">
        <f>IFERROR(__xludf.DUMMYFUNCTION("""COMPUTED_VALUE"""),"MAFE20221695")</f>
        <v>MAFE20221695</v>
      </c>
      <c r="I970" s="133"/>
      <c r="J970" s="133"/>
      <c r="K970" s="133" t="str">
        <f>IFERROR(__xludf.DUMMYFUNCTION("""COMPUTED_VALUE"""),"الفا برود ساس")</f>
        <v>الفا برود ساس</v>
      </c>
      <c r="L970" s="142" t="str">
        <f>IFERROR(__xludf.DUMMYFUNCTION("""COMPUTED_VALUE"""),"210200")</f>
        <v>210200</v>
      </c>
      <c r="M970" s="133"/>
      <c r="N970" s="133"/>
      <c r="O970" s="133"/>
      <c r="P970" s="133"/>
      <c r="Q970" s="133"/>
      <c r="R970" s="133"/>
      <c r="S970" s="133"/>
      <c r="T970" s="133"/>
      <c r="U970" s="133"/>
      <c r="V970" s="133"/>
      <c r="W970" s="133"/>
      <c r="X970" s="133"/>
      <c r="Y970" s="133"/>
      <c r="Z970" s="133"/>
    </row>
    <row r="971">
      <c r="A971" s="133">
        <f>IFERROR(__xludf.DUMMYFUNCTION("""COMPUTED_VALUE"""),970.0)</f>
        <v>970</v>
      </c>
      <c r="B971" s="133" t="str">
        <f>IFERROR(__xludf.DUMMYFUNCTION("""COMPUTED_VALUE"""),"210233")</f>
        <v>210233</v>
      </c>
      <c r="C971" s="133" t="str">
        <f>IFERROR(__xludf.DUMMYFUNCTION("""COMPUTED_VALUE"""),"P-1-N-160522-2962")</f>
        <v>P-1-N-160522-2962</v>
      </c>
      <c r="D971" s="133"/>
      <c r="E971" s="133" t="str">
        <f>IFERROR(__xludf.DUMMYFUNCTION("""COMPUTED_VALUE"""),"تمت طباعة الشهادة")</f>
        <v>تمت طباعة الشهادة</v>
      </c>
      <c r="F971" s="133" t="str">
        <f>IFERROR(__xludf.DUMMYFUNCTION("""COMPUTED_VALUE"""),"NUTRIMEAL3 ADULT DWARF RABBITS PELLETS 7kg")</f>
        <v>NUTRIMEAL3 ADULT DWARF RABBITS PELLETS 7kg</v>
      </c>
      <c r="G971" s="133" t="str">
        <f>IFERROR(__xludf.DUMMYFUNCTION("""COMPUTED_VALUE"""),"نوتري ميل 3 حبيبات للارانب القزمية الكبيرة 7 كجم")</f>
        <v>نوتري ميل 3 حبيبات للارانب القزمية الكبيرة 7 كجم</v>
      </c>
      <c r="H971" s="133" t="str">
        <f>IFERROR(__xludf.DUMMYFUNCTION("""COMPUTED_VALUE"""),"MAFE20221702")</f>
        <v>MAFE20221702</v>
      </c>
      <c r="I971" s="133"/>
      <c r="J971" s="133"/>
      <c r="K971" s="133" t="str">
        <f>IFERROR(__xludf.DUMMYFUNCTION("""COMPUTED_VALUE"""),"الفا برود ساس")</f>
        <v>الفا برود ساس</v>
      </c>
      <c r="L971" s="142" t="str">
        <f>IFERROR(__xludf.DUMMYFUNCTION("""COMPUTED_VALUE"""),"210233")</f>
        <v>210233</v>
      </c>
      <c r="M971" s="133"/>
      <c r="N971" s="133"/>
      <c r="O971" s="133"/>
      <c r="P971" s="133"/>
      <c r="Q971" s="133"/>
      <c r="R971" s="133"/>
      <c r="S971" s="133"/>
      <c r="T971" s="133"/>
      <c r="U971" s="133"/>
      <c r="V971" s="133"/>
      <c r="W971" s="133"/>
      <c r="X971" s="133"/>
      <c r="Y971" s="133"/>
      <c r="Z971" s="133"/>
    </row>
    <row r="972">
      <c r="A972" s="133">
        <f>IFERROR(__xludf.DUMMYFUNCTION("""COMPUTED_VALUE"""),971.0)</f>
        <v>971</v>
      </c>
      <c r="B972" s="133" t="str">
        <f>IFERROR(__xludf.DUMMYFUNCTION("""COMPUTED_VALUE"""),"210197")</f>
        <v>210197</v>
      </c>
      <c r="C972" s="133" t="str">
        <f>IFERROR(__xludf.DUMMYFUNCTION("""COMPUTED_VALUE"""),"P-1-N-160522-2963")</f>
        <v>P-1-N-160522-2963</v>
      </c>
      <c r="D972" s="133"/>
      <c r="E972" s="133" t="str">
        <f>IFERROR(__xludf.DUMMYFUNCTION("""COMPUTED_VALUE"""),"تمت طباعة الشهادة")</f>
        <v>تمت طباعة الشهادة</v>
      </c>
      <c r="F972" s="133" t="str">
        <f>IFERROR(__xludf.DUMMYFUNCTION("""COMPUTED_VALUE"""),"NUTRIMEAL3 ADULT DWARF RABBITS 800g")</f>
        <v>NUTRIMEAL3 ADULT DWARF RABBITS 800g</v>
      </c>
      <c r="G972" s="133" t="str">
        <f>IFERROR(__xludf.DUMMYFUNCTION("""COMPUTED_VALUE"""),"نوتري ميل 3 للارانب القزمية الكبيرة 800 جم")</f>
        <v>نوتري ميل 3 للارانب القزمية الكبيرة 800 جم</v>
      </c>
      <c r="H972" s="133" t="str">
        <f>IFERROR(__xludf.DUMMYFUNCTION("""COMPUTED_VALUE"""),"MAFE20221699")</f>
        <v>MAFE20221699</v>
      </c>
      <c r="I972" s="133"/>
      <c r="J972" s="133"/>
      <c r="K972" s="133" t="str">
        <f>IFERROR(__xludf.DUMMYFUNCTION("""COMPUTED_VALUE"""),"الفا برود ساس")</f>
        <v>الفا برود ساس</v>
      </c>
      <c r="L972" s="142" t="str">
        <f>IFERROR(__xludf.DUMMYFUNCTION("""COMPUTED_VALUE"""),"210197")</f>
        <v>210197</v>
      </c>
      <c r="M972" s="133"/>
      <c r="N972" s="133"/>
      <c r="O972" s="133"/>
      <c r="P972" s="133"/>
      <c r="Q972" s="133"/>
      <c r="R972" s="133"/>
      <c r="S972" s="133"/>
      <c r="T972" s="133"/>
      <c r="U972" s="133"/>
      <c r="V972" s="133"/>
      <c r="W972" s="133"/>
      <c r="X972" s="133"/>
      <c r="Y972" s="133"/>
      <c r="Z972" s="133"/>
    </row>
    <row r="973">
      <c r="A973" s="133">
        <f>IFERROR(__xludf.DUMMYFUNCTION("""COMPUTED_VALUE"""),972.0)</f>
        <v>972</v>
      </c>
      <c r="B973" s="133" t="str">
        <f>IFERROR(__xludf.DUMMYFUNCTION("""COMPUTED_VALUE"""),"210198")</f>
        <v>210198</v>
      </c>
      <c r="C973" s="133" t="str">
        <f>IFERROR(__xludf.DUMMYFUNCTION("""COMPUTED_VALUE"""),"P-1-N-160522-2964")</f>
        <v>P-1-N-160522-2964</v>
      </c>
      <c r="D973" s="133"/>
      <c r="E973" s="133" t="str">
        <f>IFERROR(__xludf.DUMMYFUNCTION("""COMPUTED_VALUE"""),"تمت طباعة الشهادة")</f>
        <v>تمت طباعة الشهادة</v>
      </c>
      <c r="F973" s="133" t="str">
        <f>IFERROR(__xludf.DUMMYFUNCTION("""COMPUTED_VALUE"""),"NUTRIMEAL3 ADULT DWARF RABBITS 2.5kg")</f>
        <v>NUTRIMEAL3 ADULT DWARF RABBITS 2.5kg</v>
      </c>
      <c r="G973" s="133" t="str">
        <f>IFERROR(__xludf.DUMMYFUNCTION("""COMPUTED_VALUE"""),"نوتري ميل 3 للارانب القزمية الكبيرة 2.5 كجم")</f>
        <v>نوتري ميل 3 للارانب القزمية الكبيرة 2.5 كجم</v>
      </c>
      <c r="H973" s="133" t="str">
        <f>IFERROR(__xludf.DUMMYFUNCTION("""COMPUTED_VALUE"""),"MAFE20221697")</f>
        <v>MAFE20221697</v>
      </c>
      <c r="I973" s="133"/>
      <c r="J973" s="133"/>
      <c r="K973" s="133" t="str">
        <f>IFERROR(__xludf.DUMMYFUNCTION("""COMPUTED_VALUE"""),"الفا برود ساس")</f>
        <v>الفا برود ساس</v>
      </c>
      <c r="L973" s="142" t="str">
        <f>IFERROR(__xludf.DUMMYFUNCTION("""COMPUTED_VALUE"""),"210198")</f>
        <v>210198</v>
      </c>
      <c r="M973" s="133"/>
      <c r="N973" s="133"/>
      <c r="O973" s="133"/>
      <c r="P973" s="133"/>
      <c r="Q973" s="133"/>
      <c r="R973" s="133"/>
      <c r="S973" s="133"/>
      <c r="T973" s="133"/>
      <c r="U973" s="133"/>
      <c r="V973" s="133"/>
      <c r="W973" s="133"/>
      <c r="X973" s="133"/>
      <c r="Y973" s="133"/>
      <c r="Z973" s="133"/>
    </row>
    <row r="974">
      <c r="A974" s="133">
        <f>IFERROR(__xludf.DUMMYFUNCTION("""COMPUTED_VALUE"""),973.0)</f>
        <v>973</v>
      </c>
      <c r="B974" s="133" t="str">
        <f>IFERROR(__xludf.DUMMYFUNCTION("""COMPUTED_VALUE"""),"210232")</f>
        <v>210232</v>
      </c>
      <c r="C974" s="133" t="str">
        <f>IFERROR(__xludf.DUMMYFUNCTION("""COMPUTED_VALUE"""),"P-1-N-160522-2965")</f>
        <v>P-1-N-160522-2965</v>
      </c>
      <c r="D974" s="133"/>
      <c r="E974" s="133" t="str">
        <f>IFERROR(__xludf.DUMMYFUNCTION("""COMPUTED_VALUE"""),"تمت طباعة الشهادة")</f>
        <v>تمت طباعة الشهادة</v>
      </c>
      <c r="F974" s="133" t="str">
        <f>IFERROR(__xludf.DUMMYFUNCTION("""COMPUTED_VALUE"""),"NUTRIMEAL3 ADULT DWARF RABBITS 6kg")</f>
        <v>NUTRIMEAL3 ADULT DWARF RABBITS 6kg</v>
      </c>
      <c r="G974" s="133" t="str">
        <f>IFERROR(__xludf.DUMMYFUNCTION("""COMPUTED_VALUE"""),"نوتري ميل 3 للارانب القزمية الكبيرة 6 كجم")</f>
        <v>نوتري ميل 3 للارانب القزمية الكبيرة 6 كجم</v>
      </c>
      <c r="H974" s="133" t="str">
        <f>IFERROR(__xludf.DUMMYFUNCTION("""COMPUTED_VALUE"""),"MAFE20221698")</f>
        <v>MAFE20221698</v>
      </c>
      <c r="I974" s="133"/>
      <c r="J974" s="133"/>
      <c r="K974" s="133" t="str">
        <f>IFERROR(__xludf.DUMMYFUNCTION("""COMPUTED_VALUE"""),"الفا برود ساس")</f>
        <v>الفا برود ساس</v>
      </c>
      <c r="L974" s="142" t="str">
        <f>IFERROR(__xludf.DUMMYFUNCTION("""COMPUTED_VALUE"""),"210232")</f>
        <v>210232</v>
      </c>
      <c r="M974" s="133"/>
      <c r="N974" s="133"/>
      <c r="O974" s="133"/>
      <c r="P974" s="133"/>
      <c r="Q974" s="133"/>
      <c r="R974" s="133"/>
      <c r="S974" s="133"/>
      <c r="T974" s="133"/>
      <c r="U974" s="133"/>
      <c r="V974" s="133"/>
      <c r="W974" s="133"/>
      <c r="X974" s="133"/>
      <c r="Y974" s="133"/>
      <c r="Z974" s="133"/>
    </row>
    <row r="975">
      <c r="A975" s="133">
        <f>IFERROR(__xludf.DUMMYFUNCTION("""COMPUTED_VALUE"""),974.0)</f>
        <v>974</v>
      </c>
      <c r="B975" s="133"/>
      <c r="C975" s="133" t="str">
        <f>IFERROR(__xludf.DUMMYFUNCTION("""COMPUTED_VALUE"""),"P-1-N-160522-2966")</f>
        <v>P-1-N-160522-2966</v>
      </c>
      <c r="D975" s="133"/>
      <c r="E975" s="133" t="str">
        <f>IFERROR(__xludf.DUMMYFUNCTION("""COMPUTED_VALUE"""),"تمت طباعة الشهادة")</f>
        <v>تمت طباعة الشهادة</v>
      </c>
      <c r="F975" s="133" t="str">
        <f>IFERROR(__xludf.DUMMYFUNCTION("""COMPUTED_VALUE"""),"NUTRIMEAL")</f>
        <v>NUTRIMEAL</v>
      </c>
      <c r="G975" s="133" t="str">
        <f>IFERROR(__xludf.DUMMYFUNCTION("""COMPUTED_VALUE"""),"نوتري ميل 3 للارانب القزمية الصغيرة 6 كجم")</f>
        <v>نوتري ميل 3 للارانب القزمية الصغيرة 6 كجم</v>
      </c>
      <c r="H975" s="133" t="str">
        <f>IFERROR(__xludf.DUMMYFUNCTION("""COMPUTED_VALUE"""),"MAFE20221696")</f>
        <v>MAFE20221696</v>
      </c>
      <c r="I975" s="133"/>
      <c r="J975" s="133"/>
      <c r="K975" s="133" t="str">
        <f>IFERROR(__xludf.DUMMYFUNCTION("""COMPUTED_VALUE"""),"الفا برود ساس")</f>
        <v>الفا برود ساس</v>
      </c>
      <c r="L975" s="133"/>
      <c r="M975" s="133"/>
      <c r="N975" s="133"/>
      <c r="O975" s="133"/>
      <c r="P975" s="133"/>
      <c r="Q975" s="133"/>
      <c r="R975" s="133"/>
      <c r="S975" s="133"/>
      <c r="T975" s="133"/>
      <c r="U975" s="133"/>
      <c r="V975" s="133"/>
      <c r="W975" s="133"/>
      <c r="X975" s="133"/>
      <c r="Y975" s="133"/>
      <c r="Z975" s="133"/>
    </row>
    <row r="976">
      <c r="A976" s="133">
        <f>IFERROR(__xludf.DUMMYFUNCTION("""COMPUTED_VALUE"""),975.0)</f>
        <v>975</v>
      </c>
      <c r="B976" s="133" t="str">
        <f>IFERROR(__xludf.DUMMYFUNCTION("""COMPUTED_VALUE"""),"210208")</f>
        <v>210208</v>
      </c>
      <c r="C976" s="133" t="str">
        <f>IFERROR(__xludf.DUMMYFUNCTION("""COMPUTED_VALUE"""),"P-1-N-160522-2967")</f>
        <v>P-1-N-160522-2967</v>
      </c>
      <c r="D976" s="133"/>
      <c r="E976" s="133" t="str">
        <f>IFERROR(__xludf.DUMMYFUNCTION("""COMPUTED_VALUE"""),"تمت طباعة الشهادة")</f>
        <v>تمت طباعة الشهادة</v>
      </c>
      <c r="F976" s="133" t="str">
        <f>IFERROR(__xludf.DUMMYFUNCTION("""COMPUTED_VALUE"""),"NUTRIMEAL3 HAMSTERS 600g")</f>
        <v>NUTRIMEAL3 HAMSTERS 600g</v>
      </c>
      <c r="G976" s="133" t="str">
        <f>IFERROR(__xludf.DUMMYFUNCTION("""COMPUTED_VALUE"""),"نوتري ميل 3 للهامستر 600 جم")</f>
        <v>نوتري ميل 3 للهامستر 600 جم</v>
      </c>
      <c r="H976" s="133" t="str">
        <f>IFERROR(__xludf.DUMMYFUNCTION("""COMPUTED_VALUE"""),"MAFE20221694")</f>
        <v>MAFE20221694</v>
      </c>
      <c r="I976" s="133"/>
      <c r="J976" s="133"/>
      <c r="K976" s="133" t="str">
        <f>IFERROR(__xludf.DUMMYFUNCTION("""COMPUTED_VALUE"""),"الفا برود ساس")</f>
        <v>الفا برود ساس</v>
      </c>
      <c r="L976" s="142" t="str">
        <f>IFERROR(__xludf.DUMMYFUNCTION("""COMPUTED_VALUE"""),"210208")</f>
        <v>210208</v>
      </c>
      <c r="M976" s="133"/>
      <c r="N976" s="133"/>
      <c r="O976" s="133"/>
      <c r="P976" s="133"/>
      <c r="Q976" s="133"/>
      <c r="R976" s="133"/>
      <c r="S976" s="133"/>
      <c r="T976" s="133"/>
      <c r="U976" s="133"/>
      <c r="V976" s="133"/>
      <c r="W976" s="133"/>
      <c r="X976" s="133"/>
      <c r="Y976" s="133"/>
      <c r="Z976" s="133"/>
    </row>
    <row r="977">
      <c r="A977" s="133">
        <f>IFERROR(__xludf.DUMMYFUNCTION("""COMPUTED_VALUE"""),976.0)</f>
        <v>976</v>
      </c>
      <c r="B977" s="133" t="str">
        <f>IFERROR(__xludf.DUMMYFUNCTION("""COMPUTED_VALUE"""),"210201")</f>
        <v>210201</v>
      </c>
      <c r="C977" s="133" t="str">
        <f>IFERROR(__xludf.DUMMYFUNCTION("""COMPUTED_VALUE"""),"P-1-N-160522-2968")</f>
        <v>P-1-N-160522-2968</v>
      </c>
      <c r="D977" s="133"/>
      <c r="E977" s="133" t="str">
        <f>IFERROR(__xludf.DUMMYFUNCTION("""COMPUTED_VALUE"""),"تمت طباعة الشهادة")</f>
        <v>تمت طباعة الشهادة</v>
      </c>
      <c r="F977" s="133" t="str">
        <f>IFERROR(__xludf.DUMMYFUNCTION("""COMPUTED_VALUE"""),"NUTRIMEAL3 GUINEA PIGS 800g")</f>
        <v>NUTRIMEAL3 GUINEA PIGS 800g</v>
      </c>
      <c r="G977" s="133" t="str">
        <f>IFERROR(__xludf.DUMMYFUNCTION("""COMPUTED_VALUE"""),"نوتري ميل 3 للخنزير الغيني 800 جم")</f>
        <v>نوتري ميل 3 للخنزير الغيني 800 جم</v>
      </c>
      <c r="H977" s="133" t="str">
        <f>IFERROR(__xludf.DUMMYFUNCTION("""COMPUTED_VALUE"""),"MAFE20221693")</f>
        <v>MAFE20221693</v>
      </c>
      <c r="I977" s="133"/>
      <c r="J977" s="133"/>
      <c r="K977" s="133" t="str">
        <f>IFERROR(__xludf.DUMMYFUNCTION("""COMPUTED_VALUE"""),"الفا برود ساس")</f>
        <v>الفا برود ساس</v>
      </c>
      <c r="L977" s="142" t="str">
        <f>IFERROR(__xludf.DUMMYFUNCTION("""COMPUTED_VALUE"""),"210201")</f>
        <v>210201</v>
      </c>
      <c r="M977" s="133"/>
      <c r="N977" s="133"/>
      <c r="O977" s="133"/>
      <c r="P977" s="133"/>
      <c r="Q977" s="133"/>
      <c r="R977" s="133"/>
      <c r="S977" s="133"/>
      <c r="T977" s="133"/>
      <c r="U977" s="133"/>
      <c r="V977" s="133"/>
      <c r="W977" s="133"/>
      <c r="X977" s="133"/>
      <c r="Y977" s="133"/>
      <c r="Z977" s="133"/>
    </row>
    <row r="978">
      <c r="A978" s="133">
        <f>IFERROR(__xludf.DUMMYFUNCTION("""COMPUTED_VALUE"""),977.0)</f>
        <v>977</v>
      </c>
      <c r="B978" s="133" t="str">
        <f>IFERROR(__xludf.DUMMYFUNCTION("""COMPUTED_VALUE"""),"210202")</f>
        <v>210202</v>
      </c>
      <c r="C978" s="133" t="str">
        <f>IFERROR(__xludf.DUMMYFUNCTION("""COMPUTED_VALUE"""),"P-1-N-160522-2969")</f>
        <v>P-1-N-160522-2969</v>
      </c>
      <c r="D978" s="133"/>
      <c r="E978" s="133" t="str">
        <f>IFERROR(__xludf.DUMMYFUNCTION("""COMPUTED_VALUE"""),"تمت طباعة الشهادة")</f>
        <v>تمت طباعة الشهادة</v>
      </c>
      <c r="F978" s="133" t="str">
        <f>IFERROR(__xludf.DUMMYFUNCTION("""COMPUTED_VALUE"""),"NUTRIMEAL3 GUINEA PIGS 2.5kg")</f>
        <v>NUTRIMEAL3 GUINEA PIGS 2.5kg</v>
      </c>
      <c r="G978" s="133" t="str">
        <f>IFERROR(__xludf.DUMMYFUNCTION("""COMPUTED_VALUE"""),"نوتري ميل 3 للخنزير الغيني 2.5 كجم")</f>
        <v>نوتري ميل 3 للخنزير الغيني 2.5 كجم</v>
      </c>
      <c r="H978" s="133" t="str">
        <f>IFERROR(__xludf.DUMMYFUNCTION("""COMPUTED_VALUE"""),"MAFE20221692")</f>
        <v>MAFE20221692</v>
      </c>
      <c r="I978" s="133"/>
      <c r="J978" s="133"/>
      <c r="K978" s="133" t="str">
        <f>IFERROR(__xludf.DUMMYFUNCTION("""COMPUTED_VALUE"""),"الفا برود ساس")</f>
        <v>الفا برود ساس</v>
      </c>
      <c r="L978" s="142" t="str">
        <f>IFERROR(__xludf.DUMMYFUNCTION("""COMPUTED_VALUE"""),"210202")</f>
        <v>210202</v>
      </c>
      <c r="M978" s="133"/>
      <c r="N978" s="133"/>
      <c r="O978" s="133"/>
      <c r="P978" s="133"/>
      <c r="Q978" s="133"/>
      <c r="R978" s="133"/>
      <c r="S978" s="133"/>
      <c r="T978" s="133"/>
      <c r="U978" s="133"/>
      <c r="V978" s="133"/>
      <c r="W978" s="133"/>
      <c r="X978" s="133"/>
      <c r="Y978" s="133"/>
      <c r="Z978" s="133"/>
    </row>
    <row r="979">
      <c r="A979" s="133">
        <f>IFERROR(__xludf.DUMMYFUNCTION("""COMPUTED_VALUE"""),978.0)</f>
        <v>978</v>
      </c>
      <c r="B979" s="133" t="str">
        <f>IFERROR(__xludf.DUMMYFUNCTION("""COMPUTED_VALUE"""),"210203")</f>
        <v>210203</v>
      </c>
      <c r="C979" s="133" t="str">
        <f>IFERROR(__xludf.DUMMYFUNCTION("""COMPUTED_VALUE"""),"P-1-N-160522-2970")</f>
        <v>P-1-N-160522-2970</v>
      </c>
      <c r="D979" s="133"/>
      <c r="E979" s="133" t="str">
        <f>IFERROR(__xludf.DUMMYFUNCTION("""COMPUTED_VALUE"""),"تمت طباعة الشهادة")</f>
        <v>تمت طباعة الشهادة</v>
      </c>
      <c r="F979" s="133" t="str">
        <f>IFERROR(__xludf.DUMMYFUNCTION("""COMPUTED_VALUE"""),"NUTRIMEAL 3 GUINEA PIGS PELLETS 800g")</f>
        <v>NUTRIMEAL 3 GUINEA PIGS PELLETS 800g</v>
      </c>
      <c r="G979" s="133" t="str">
        <f>IFERROR(__xludf.DUMMYFUNCTION("""COMPUTED_VALUE"""),"نوتري ميل 3 حبيبات للخنزير الغيني 800 جم")</f>
        <v>نوتري ميل 3 حبيبات للخنزير الغيني 800 جم</v>
      </c>
      <c r="H979" s="133" t="str">
        <f>IFERROR(__xludf.DUMMYFUNCTION("""COMPUTED_VALUE"""),"MAFE20221691")</f>
        <v>MAFE20221691</v>
      </c>
      <c r="I979" s="133"/>
      <c r="J979" s="133"/>
      <c r="K979" s="133" t="str">
        <f>IFERROR(__xludf.DUMMYFUNCTION("""COMPUTED_VALUE"""),"الفا برود ساس")</f>
        <v>الفا برود ساس</v>
      </c>
      <c r="L979" s="142" t="str">
        <f>IFERROR(__xludf.DUMMYFUNCTION("""COMPUTED_VALUE"""),"210203")</f>
        <v>210203</v>
      </c>
      <c r="M979" s="133"/>
      <c r="N979" s="133"/>
      <c r="O979" s="133"/>
      <c r="P979" s="133"/>
      <c r="Q979" s="133"/>
      <c r="R979" s="133"/>
      <c r="S979" s="133"/>
      <c r="T979" s="133"/>
      <c r="U979" s="133"/>
      <c r="V979" s="133"/>
      <c r="W979" s="133"/>
      <c r="X979" s="133"/>
      <c r="Y979" s="133"/>
      <c r="Z979" s="133"/>
    </row>
    <row r="980">
      <c r="A980" s="133">
        <f>IFERROR(__xludf.DUMMYFUNCTION("""COMPUTED_VALUE"""),979.0)</f>
        <v>979</v>
      </c>
      <c r="B980" s="133" t="str">
        <f>IFERROR(__xludf.DUMMYFUNCTION("""COMPUTED_VALUE"""),"210204")</f>
        <v>210204</v>
      </c>
      <c r="C980" s="133" t="str">
        <f>IFERROR(__xludf.DUMMYFUNCTION("""COMPUTED_VALUE"""),"P-1-N-160522-2971")</f>
        <v>P-1-N-160522-2971</v>
      </c>
      <c r="D980" s="133"/>
      <c r="E980" s="133" t="str">
        <f>IFERROR(__xludf.DUMMYFUNCTION("""COMPUTED_VALUE"""),"تمت طباعة الشهادة")</f>
        <v>تمت طباعة الشهادة</v>
      </c>
      <c r="F980" s="133" t="str">
        <f>IFERROR(__xludf.DUMMYFUNCTION("""COMPUTED_VALUE"""),"NUTRIMEAL3 GUINEA PIGS PELLETS 2.5kg")</f>
        <v>NUTRIMEAL3 GUINEA PIGS PELLETS 2.5kg</v>
      </c>
      <c r="G980" s="133" t="str">
        <f>IFERROR(__xludf.DUMMYFUNCTION("""COMPUTED_VALUE"""),"نوتري ميل 3 حبيبات للخنزير الغيني 2.5 كجم")</f>
        <v>نوتري ميل 3 حبيبات للخنزير الغيني 2.5 كجم</v>
      </c>
      <c r="H980" s="133" t="str">
        <f>IFERROR(__xludf.DUMMYFUNCTION("""COMPUTED_VALUE"""),"MAFE20221690")</f>
        <v>MAFE20221690</v>
      </c>
      <c r="I980" s="133"/>
      <c r="J980" s="133"/>
      <c r="K980" s="133" t="str">
        <f>IFERROR(__xludf.DUMMYFUNCTION("""COMPUTED_VALUE"""),"الفا برود ساس")</f>
        <v>الفا برود ساس</v>
      </c>
      <c r="L980" s="142" t="str">
        <f>IFERROR(__xludf.DUMMYFUNCTION("""COMPUTED_VALUE"""),"210204")</f>
        <v>210204</v>
      </c>
      <c r="M980" s="133"/>
      <c r="N980" s="133"/>
      <c r="O980" s="133"/>
      <c r="P980" s="133"/>
      <c r="Q980" s="133"/>
      <c r="R980" s="133"/>
      <c r="S980" s="133"/>
      <c r="T980" s="133"/>
      <c r="U980" s="133"/>
      <c r="V980" s="133"/>
      <c r="W980" s="133"/>
      <c r="X980" s="133"/>
      <c r="Y980" s="133"/>
      <c r="Z980" s="133"/>
    </row>
    <row r="981">
      <c r="A981" s="133">
        <f>IFERROR(__xludf.DUMMYFUNCTION("""COMPUTED_VALUE"""),980.0)</f>
        <v>980</v>
      </c>
      <c r="B981" s="133" t="str">
        <f>IFERROR(__xludf.DUMMYFUNCTION("""COMPUTED_VALUE"""),"USA624")</f>
        <v>USA624</v>
      </c>
      <c r="C981" s="133" t="str">
        <f>IFERROR(__xludf.DUMMYFUNCTION("""COMPUTED_VALUE"""),"P-1-N-280622-3882")</f>
        <v>P-1-N-280622-3882</v>
      </c>
      <c r="D981" s="133"/>
      <c r="E981" s="133" t="str">
        <f>IFERROR(__xludf.DUMMYFUNCTION("""COMPUTED_VALUE"""),"تمت طباعة الشهادة")</f>
        <v>تمت طباعة الشهادة</v>
      </c>
      <c r="F981" s="133" t="str">
        <f>IFERROR(__xludf.DUMMYFUNCTION("""COMPUTED_VALUE"""),"Churu Tuna Recipe 5x14g Churu Tuna with Chicken Recipe 5x14g Churu Tuna with Scallop Recipe 5x14g Churu Tuna with Cheese Recipe 5x14g")</f>
        <v>Churu Tuna Recipe 5x14g Churu Tuna with Chicken Recipe 5x14g Churu Tuna with Scallop Recipe 5x14g Churu Tuna with Cheese Recipe 5x14g</v>
      </c>
      <c r="G981" s="133" t="str">
        <f>IFERROR(__xludf.DUMMYFUNCTION("""COMPUTED_VALUE"""),"تشورو تونا 5×14جرام تشورو تونا مع الدجاج 5×14جرام تشورو تونا مع المحار 5×14جرام تشورو تونا مع الجبنة 5×14جرام")</f>
        <v>تشورو تونا 5×14جرام تشورو تونا مع الدجاج 5×14جرام تشورو تونا مع المحار 5×14جرام تشورو تونا مع الجبنة 5×14جرام</v>
      </c>
      <c r="H981" s="133" t="str">
        <f>IFERROR(__xludf.DUMMYFUNCTION("""COMPUTED_VALUE"""),"MAFE20222156")</f>
        <v>MAFE20222156</v>
      </c>
      <c r="I981" s="133"/>
      <c r="J981" s="133"/>
      <c r="K981" s="133" t="str">
        <f>IFERROR(__xludf.DUMMYFUNCTION("""COMPUTED_VALUE"""),"شركة تاي اينابا للأغذية المحدودة")</f>
        <v>شركة تاي اينابا للأغذية المحدودة</v>
      </c>
      <c r="L981" s="142" t="str">
        <f>IFERROR(__xludf.DUMMYFUNCTION("""COMPUTED_VALUE"""),"USA624")</f>
        <v>USA624</v>
      </c>
      <c r="M981" s="133"/>
      <c r="N981" s="133"/>
      <c r="O981" s="133"/>
      <c r="P981" s="133"/>
      <c r="Q981" s="133"/>
      <c r="R981" s="133"/>
      <c r="S981" s="133"/>
      <c r="T981" s="133"/>
      <c r="U981" s="133"/>
      <c r="V981" s="133"/>
      <c r="W981" s="133"/>
      <c r="X981" s="133"/>
      <c r="Y981" s="133"/>
      <c r="Z981" s="133"/>
    </row>
    <row r="982">
      <c r="A982" s="133">
        <f>IFERROR(__xludf.DUMMYFUNCTION("""COMPUTED_VALUE"""),981.0)</f>
        <v>981</v>
      </c>
      <c r="B982" s="133" t="str">
        <f>IFERROR(__xludf.DUMMYFUNCTION("""COMPUTED_VALUE"""),"USA627")</f>
        <v>USA627</v>
      </c>
      <c r="C982" s="133" t="str">
        <f>IFERROR(__xludf.DUMMYFUNCTION("""COMPUTED_VALUE"""),"P-1-N-290622-3900")</f>
        <v>P-1-N-290622-3900</v>
      </c>
      <c r="D982" s="133"/>
      <c r="E982" s="133" t="str">
        <f>IFERROR(__xludf.DUMMYFUNCTION("""COMPUTED_VALUE"""),"تمت طباعة الشهادة")</f>
        <v>تمت طباعة الشهادة</v>
      </c>
      <c r="F982" s="133" t="str">
        <f>IFERROR(__xludf.DUMMYFUNCTION("""COMPUTED_VALUE"""),"Churu Chicken Recipe 5x14g Churu Chicken with Scallop Recipe 5x14g Churu Chicken with Cheese Recipe 5x14g Churu Chicken with Crab Flavor Recipe 5x14g")</f>
        <v>Churu Chicken Recipe 5x14g Churu Chicken with Scallop Recipe 5x14g Churu Chicken with Cheese Recipe 5x14g Churu Chicken with Crab Flavor Recipe 5x14g</v>
      </c>
      <c r="G982" s="133" t="str">
        <f>IFERROR(__xludf.DUMMYFUNCTION("""COMPUTED_VALUE"""),"تشورو دجاج 5×14جرام تشورو دجاج مع المحار 5×14جرام تشورو دجاج مع الجبنة 5×14جرام تشورو دجاج مع السلطعون 5×14جرام")</f>
        <v>تشورو دجاج 5×14جرام تشورو دجاج مع المحار 5×14جرام تشورو دجاج مع الجبنة 5×14جرام تشورو دجاج مع السلطعون 5×14جرام</v>
      </c>
      <c r="H982" s="133" t="str">
        <f>IFERROR(__xludf.DUMMYFUNCTION("""COMPUTED_VALUE"""),"MAFE20222175")</f>
        <v>MAFE20222175</v>
      </c>
      <c r="I982" s="133"/>
      <c r="J982" s="133"/>
      <c r="K982" s="133" t="str">
        <f>IFERROR(__xludf.DUMMYFUNCTION("""COMPUTED_VALUE"""),"شركة تاي اينابا للأغذية المحدودة")</f>
        <v>شركة تاي اينابا للأغذية المحدودة</v>
      </c>
      <c r="L982" s="142" t="str">
        <f>IFERROR(__xludf.DUMMYFUNCTION("""COMPUTED_VALUE"""),"USA627")</f>
        <v>USA627</v>
      </c>
      <c r="M982" s="133"/>
      <c r="N982" s="133"/>
      <c r="O982" s="133"/>
      <c r="P982" s="133"/>
      <c r="Q982" s="133"/>
      <c r="R982" s="133"/>
      <c r="S982" s="133"/>
      <c r="T982" s="133"/>
      <c r="U982" s="133"/>
      <c r="V982" s="133"/>
      <c r="W982" s="133"/>
      <c r="X982" s="133"/>
      <c r="Y982" s="133"/>
      <c r="Z982" s="133"/>
    </row>
    <row r="983">
      <c r="A983" s="133">
        <f>IFERROR(__xludf.DUMMYFUNCTION("""COMPUTED_VALUE"""),982.0)</f>
        <v>982</v>
      </c>
      <c r="B983" s="133" t="str">
        <f>IFERROR(__xludf.DUMMYFUNCTION("""COMPUTED_VALUE"""),"USA628")</f>
        <v>USA628</v>
      </c>
      <c r="C983" s="133" t="str">
        <f>IFERROR(__xludf.DUMMYFUNCTION("""COMPUTED_VALUE"""),"P-1-N-290622-3901")</f>
        <v>P-1-N-290622-3901</v>
      </c>
      <c r="D983" s="133"/>
      <c r="E983" s="133" t="str">
        <f>IFERROR(__xludf.DUMMYFUNCTION("""COMPUTED_VALUE"""),"تمت طباعة الشهادة")</f>
        <v>تمت طباعة الشهادة</v>
      </c>
      <c r="F983" s="133" t="str">
        <f>IFERROR(__xludf.DUMMYFUNCTION("""COMPUTED_VALUE"""),"Churu Chicken with Cheese Recipe 5x14g Churu Chicken with Beef Recipe 5x14g Churu Chicken with Cheese &amp; Beef Recipe 5x14g Churu Chicken with Salmon Recipe 5x14g")</f>
        <v>Churu Chicken with Cheese Recipe 5x14g Churu Chicken with Beef Recipe 5x14g Churu Chicken with Cheese &amp; Beef Recipe 5x14g Churu Chicken with Salmon Recipe 5x14g</v>
      </c>
      <c r="G983" s="133" t="str">
        <f>IFERROR(__xludf.DUMMYFUNCTION("""COMPUTED_VALUE"""),"تشورو دجاج مع الجبنة 5×14جرام تشورو دجاج مع اللحم البقري 5×14جرام تشورو دجاج مع الجبنة واللحم البقري 5×14جرام تشورو دجاج مع السالمون 5×14جرام")</f>
        <v>تشورو دجاج مع الجبنة 5×14جرام تشورو دجاج مع اللحم البقري 5×14جرام تشورو دجاج مع الجبنة واللحم البقري 5×14جرام تشورو دجاج مع السالمون 5×14جرام</v>
      </c>
      <c r="H983" s="133" t="str">
        <f>IFERROR(__xludf.DUMMYFUNCTION("""COMPUTED_VALUE"""),"MAFE20222186")</f>
        <v>MAFE20222186</v>
      </c>
      <c r="I983" s="133"/>
      <c r="J983" s="133"/>
      <c r="K983" s="133" t="str">
        <f>IFERROR(__xludf.DUMMYFUNCTION("""COMPUTED_VALUE"""),"شركة تاي اينابا للأغذية المحدودة")</f>
        <v>شركة تاي اينابا للأغذية المحدودة</v>
      </c>
      <c r="L983" s="142" t="str">
        <f>IFERROR(__xludf.DUMMYFUNCTION("""COMPUTED_VALUE"""),"USA628")</f>
        <v>USA628</v>
      </c>
      <c r="M983" s="133"/>
      <c r="N983" s="133"/>
      <c r="O983" s="133"/>
      <c r="P983" s="133"/>
      <c r="Q983" s="133"/>
      <c r="R983" s="133"/>
      <c r="S983" s="133"/>
      <c r="T983" s="133"/>
      <c r="U983" s="133"/>
      <c r="V983" s="133"/>
      <c r="W983" s="133"/>
      <c r="X983" s="133"/>
      <c r="Y983" s="133"/>
      <c r="Z983" s="133"/>
    </row>
    <row r="984">
      <c r="A984" s="133">
        <f>IFERROR(__xludf.DUMMYFUNCTION("""COMPUTED_VALUE"""),983.0)</f>
        <v>983</v>
      </c>
      <c r="B984" s="133" t="str">
        <f>IFERROR(__xludf.DUMMYFUNCTION("""COMPUTED_VALUE"""),"USA641")</f>
        <v>USA641</v>
      </c>
      <c r="C984" s="133" t="str">
        <f>IFERROR(__xludf.DUMMYFUNCTION("""COMPUTED_VALUE"""),"P-1-N-290622-3904")</f>
        <v>P-1-N-290622-3904</v>
      </c>
      <c r="D984" s="133"/>
      <c r="E984" s="133" t="str">
        <f>IFERROR(__xludf.DUMMYFUNCTION("""COMPUTED_VALUE"""),"تمت طباعة الشهادة")</f>
        <v>تمت طباعة الشهادة</v>
      </c>
      <c r="F984" s="133" t="str">
        <f>IFERROR(__xludf.DUMMYFUNCTION("""COMPUTED_VALUE"""),"Churu Tuna Recipe 10x14g Churu Tuna with Beef Recipe 10x14g Churu Tuna with Bonito Flakes Recipe 10x14g Churu Tuna Recipe with Seafood Flavor 10x14g")</f>
        <v>Churu Tuna Recipe 10x14g Churu Tuna with Beef Recipe 10x14g Churu Tuna with Bonito Flakes Recipe 10x14g Churu Tuna Recipe with Seafood Flavor 10x14g</v>
      </c>
      <c r="G984" s="133" t="str">
        <f>IFERROR(__xludf.DUMMYFUNCTION("""COMPUTED_VALUE"""),"تشورو تونا 10×14جرام تشورو تونا مع اللحم البقري 10×14جرام تشورو تونا مع رقائق البونيتو 10×14جرام تشورو تونا مع ثمار البحر 10×14جرام")</f>
        <v>تشورو تونا 10×14جرام تشورو تونا مع اللحم البقري 10×14جرام تشورو تونا مع رقائق البونيتو 10×14جرام تشورو تونا مع ثمار البحر 10×14جرام</v>
      </c>
      <c r="H984" s="133" t="str">
        <f>IFERROR(__xludf.DUMMYFUNCTION("""COMPUTED_VALUE"""),"MAFE20222185")</f>
        <v>MAFE20222185</v>
      </c>
      <c r="I984" s="133"/>
      <c r="J984" s="133"/>
      <c r="K984" s="133" t="str">
        <f>IFERROR(__xludf.DUMMYFUNCTION("""COMPUTED_VALUE"""),"شركة تاي اينابا للأغذية المحدودة")</f>
        <v>شركة تاي اينابا للأغذية المحدودة</v>
      </c>
      <c r="L984" s="142" t="str">
        <f>IFERROR(__xludf.DUMMYFUNCTION("""COMPUTED_VALUE"""),"USA641")</f>
        <v>USA641</v>
      </c>
      <c r="M984" s="133"/>
      <c r="N984" s="133"/>
      <c r="O984" s="133"/>
      <c r="P984" s="133"/>
      <c r="Q984" s="133"/>
      <c r="R984" s="133"/>
      <c r="S984" s="133"/>
      <c r="T984" s="133"/>
      <c r="U984" s="133"/>
      <c r="V984" s="133"/>
      <c r="W984" s="133"/>
      <c r="X984" s="133"/>
      <c r="Y984" s="133"/>
      <c r="Z984" s="133"/>
    </row>
    <row r="985">
      <c r="A985" s="133">
        <f>IFERROR(__xludf.DUMMYFUNCTION("""COMPUTED_VALUE"""),984.0)</f>
        <v>984</v>
      </c>
      <c r="B985" s="133" t="str">
        <f>IFERROR(__xludf.DUMMYFUNCTION("""COMPUTED_VALUE"""),"USA643")</f>
        <v>USA643</v>
      </c>
      <c r="C985" s="133" t="str">
        <f>IFERROR(__xludf.DUMMYFUNCTION("""COMPUTED_VALUE"""),"P-1-N-290622-3905")</f>
        <v>P-1-N-290622-3905</v>
      </c>
      <c r="D985" s="133"/>
      <c r="E985" s="133" t="str">
        <f>IFERROR(__xludf.DUMMYFUNCTION("""COMPUTED_VALUE"""),"تمت طباعة الشهادة")</f>
        <v>تمت طباعة الشهادة</v>
      </c>
      <c r="F985" s="133" t="str">
        <f>IFERROR(__xludf.DUMMYFUNCTION("""COMPUTED_VALUE"""),"Churu Chicken Recipe 5x14g Churu Chicken with Scallop Recipe 5x14g Churu Chicken with Crab Flavor Recipe 5x14g Churu Chicken with Beef Recipe 5x14g")</f>
        <v>Churu Chicken Recipe 5x14g Churu Chicken with Scallop Recipe 5x14g Churu Chicken with Crab Flavor Recipe 5x14g Churu Chicken with Beef Recipe 5x14g</v>
      </c>
      <c r="G985" s="133" t="str">
        <f>IFERROR(__xludf.DUMMYFUNCTION("""COMPUTED_VALUE"""),"تشورو دجاج 10×14جرام تشورو دجاج مع المحار 10×14جرام تشورو تونا مع السلطعون 10×14جرام تشورو تونا مع اللحم البقري 10×14جرام")</f>
        <v>تشورو دجاج 10×14جرام تشورو دجاج مع المحار 10×14جرام تشورو تونا مع السلطعون 10×14جرام تشورو تونا مع اللحم البقري 10×14جرام</v>
      </c>
      <c r="H985" s="133" t="str">
        <f>IFERROR(__xludf.DUMMYFUNCTION("""COMPUTED_VALUE"""),"MAFE20222184")</f>
        <v>MAFE20222184</v>
      </c>
      <c r="I985" s="133"/>
      <c r="J985" s="133"/>
      <c r="K985" s="133" t="str">
        <f>IFERROR(__xludf.DUMMYFUNCTION("""COMPUTED_VALUE"""),"شركة تاي اينابا للأغذية المحدودة")</f>
        <v>شركة تاي اينابا للأغذية المحدودة</v>
      </c>
      <c r="L985" s="142" t="str">
        <f>IFERROR(__xludf.DUMMYFUNCTION("""COMPUTED_VALUE"""),"USA643")</f>
        <v>USA643</v>
      </c>
      <c r="M985" s="133"/>
      <c r="N985" s="133"/>
      <c r="O985" s="133"/>
      <c r="P985" s="133"/>
      <c r="Q985" s="133"/>
      <c r="R985" s="133"/>
      <c r="S985" s="133"/>
      <c r="T985" s="133"/>
      <c r="U985" s="133"/>
      <c r="V985" s="133"/>
      <c r="W985" s="133"/>
      <c r="X985" s="133"/>
      <c r="Y985" s="133"/>
      <c r="Z985" s="133"/>
    </row>
    <row r="986">
      <c r="A986" s="133">
        <f>IFERROR(__xludf.DUMMYFUNCTION("""COMPUTED_VALUE"""),985.0)</f>
        <v>985</v>
      </c>
      <c r="B986" s="133" t="str">
        <f>IFERROR(__xludf.DUMMYFUNCTION("""COMPUTED_VALUE"""),"USA661")</f>
        <v>USA661</v>
      </c>
      <c r="C986" s="133" t="str">
        <f>IFERROR(__xludf.DUMMYFUNCTION("""COMPUTED_VALUE"""),"P-1-N-290622-3906")</f>
        <v>P-1-N-290622-3906</v>
      </c>
      <c r="D986" s="133"/>
      <c r="E986" s="133" t="str">
        <f>IFERROR(__xludf.DUMMYFUNCTION("""COMPUTED_VALUE"""),"تمت طباعة الشهادة")</f>
        <v>تمت طباعة الشهادة</v>
      </c>
      <c r="F986" s="133" t="str">
        <f>IFERROR(__xludf.DUMMYFUNCTION("""COMPUTED_VALUE"""),"Churu Tuna with Beef Recipe 4x14g")</f>
        <v>Churu Tuna with Beef Recipe 4x14g</v>
      </c>
      <c r="G986" s="133" t="str">
        <f>IFERROR(__xludf.DUMMYFUNCTION("""COMPUTED_VALUE"""),"تشورو تونا مع اللحم البقري 4×14جرام")</f>
        <v>تشورو تونا مع اللحم البقري 4×14جرام</v>
      </c>
      <c r="H986" s="133" t="str">
        <f>IFERROR(__xludf.DUMMYFUNCTION("""COMPUTED_VALUE"""),"MAFE20222172")</f>
        <v>MAFE20222172</v>
      </c>
      <c r="I986" s="133"/>
      <c r="J986" s="133"/>
      <c r="K986" s="133" t="str">
        <f>IFERROR(__xludf.DUMMYFUNCTION("""COMPUTED_VALUE"""),"شركة تاي اينابا للأغذية المحدودة")</f>
        <v>شركة تاي اينابا للأغذية المحدودة</v>
      </c>
      <c r="L986" s="142" t="str">
        <f>IFERROR(__xludf.DUMMYFUNCTION("""COMPUTED_VALUE"""),"USA661")</f>
        <v>USA661</v>
      </c>
      <c r="M986" s="133"/>
      <c r="N986" s="133"/>
      <c r="O986" s="133"/>
      <c r="P986" s="133"/>
      <c r="Q986" s="133"/>
      <c r="R986" s="133"/>
      <c r="S986" s="133"/>
      <c r="T986" s="133"/>
      <c r="U986" s="133"/>
      <c r="V986" s="133"/>
      <c r="W986" s="133"/>
      <c r="X986" s="133"/>
      <c r="Y986" s="133"/>
      <c r="Z986" s="133"/>
    </row>
    <row r="987">
      <c r="A987" s="133">
        <f>IFERROR(__xludf.DUMMYFUNCTION("""COMPUTED_VALUE"""),986.0)</f>
        <v>986</v>
      </c>
      <c r="B987" s="133" t="str">
        <f>IFERROR(__xludf.DUMMYFUNCTION("""COMPUTED_VALUE"""),"USA662")</f>
        <v>USA662</v>
      </c>
      <c r="C987" s="133" t="str">
        <f>IFERROR(__xludf.DUMMYFUNCTION("""COMPUTED_VALUE"""),"P-1-N-290622-3907")</f>
        <v>P-1-N-290622-3907</v>
      </c>
      <c r="D987" s="133"/>
      <c r="E987" s="133" t="str">
        <f>IFERROR(__xludf.DUMMYFUNCTION("""COMPUTED_VALUE"""),"تمت طباعة الشهادة")</f>
        <v>تمت طباعة الشهادة</v>
      </c>
      <c r="F987" s="133" t="str">
        <f>IFERROR(__xludf.DUMMYFUNCTION("""COMPUTED_VALUE"""),"Churu Chicken with Beef Recipe 4x14g")</f>
        <v>Churu Chicken with Beef Recipe 4x14g</v>
      </c>
      <c r="G987" s="133" t="str">
        <f>IFERROR(__xludf.DUMMYFUNCTION("""COMPUTED_VALUE"""),"تشورو دجاج مع اللحم البقري 4×14جرام")</f>
        <v>تشورو دجاج مع اللحم البقري 4×14جرام</v>
      </c>
      <c r="H987" s="133" t="str">
        <f>IFERROR(__xludf.DUMMYFUNCTION("""COMPUTED_VALUE"""),"MAFE20222176")</f>
        <v>MAFE20222176</v>
      </c>
      <c r="I987" s="133"/>
      <c r="J987" s="133"/>
      <c r="K987" s="133" t="str">
        <f>IFERROR(__xludf.DUMMYFUNCTION("""COMPUTED_VALUE"""),"شركة تاي اينابا للأغذية المحدودة")</f>
        <v>شركة تاي اينابا للأغذية المحدودة</v>
      </c>
      <c r="L987" s="142" t="str">
        <f>IFERROR(__xludf.DUMMYFUNCTION("""COMPUTED_VALUE"""),"USA662")</f>
        <v>USA662</v>
      </c>
      <c r="M987" s="133"/>
      <c r="N987" s="133"/>
      <c r="O987" s="133"/>
      <c r="P987" s="133"/>
      <c r="Q987" s="133"/>
      <c r="R987" s="133"/>
      <c r="S987" s="133"/>
      <c r="T987" s="133"/>
      <c r="U987" s="133"/>
      <c r="V987" s="133"/>
      <c r="W987" s="133"/>
      <c r="X987" s="133"/>
      <c r="Y987" s="133"/>
      <c r="Z987" s="133"/>
    </row>
    <row r="988">
      <c r="A988" s="133">
        <f>IFERROR(__xludf.DUMMYFUNCTION("""COMPUTED_VALUE"""),987.0)</f>
        <v>987</v>
      </c>
      <c r="B988" s="133" t="str">
        <f>IFERROR(__xludf.DUMMYFUNCTION("""COMPUTED_VALUE"""),"USA663")</f>
        <v>USA663</v>
      </c>
      <c r="C988" s="133" t="str">
        <f>IFERROR(__xludf.DUMMYFUNCTION("""COMPUTED_VALUE"""),"P-1-N-290622-3908")</f>
        <v>P-1-N-290622-3908</v>
      </c>
      <c r="D988" s="133"/>
      <c r="E988" s="133" t="str">
        <f>IFERROR(__xludf.DUMMYFUNCTION("""COMPUTED_VALUE"""),"تمت طباعة الشهادة")</f>
        <v>تمت طباعة الشهادة</v>
      </c>
      <c r="F988" s="133" t="str">
        <f>IFERROR(__xludf.DUMMYFUNCTION("""COMPUTED_VALUE"""),"Churu Tuna with Cheese Recipe 4x14g")</f>
        <v>Churu Tuna with Cheese Recipe 4x14g</v>
      </c>
      <c r="G988" s="133" t="str">
        <f>IFERROR(__xludf.DUMMYFUNCTION("""COMPUTED_VALUE"""),"تشورو تونا مع الجبنة 4×14جرام")</f>
        <v>تشورو تونا مع الجبنة 4×14جرام</v>
      </c>
      <c r="H988" s="133" t="str">
        <f>IFERROR(__xludf.DUMMYFUNCTION("""COMPUTED_VALUE"""),"MAFE20222169")</f>
        <v>MAFE20222169</v>
      </c>
      <c r="I988" s="133"/>
      <c r="J988" s="133"/>
      <c r="K988" s="133" t="str">
        <f>IFERROR(__xludf.DUMMYFUNCTION("""COMPUTED_VALUE"""),"شركة تاي اينابا للأغذية المحدودة")</f>
        <v>شركة تاي اينابا للأغذية المحدودة</v>
      </c>
      <c r="L988" s="142" t="str">
        <f>IFERROR(__xludf.DUMMYFUNCTION("""COMPUTED_VALUE"""),"USA663")</f>
        <v>USA663</v>
      </c>
      <c r="M988" s="133"/>
      <c r="N988" s="133"/>
      <c r="O988" s="133"/>
      <c r="P988" s="133"/>
      <c r="Q988" s="133"/>
      <c r="R988" s="133"/>
      <c r="S988" s="133"/>
      <c r="T988" s="133"/>
      <c r="U988" s="133"/>
      <c r="V988" s="133"/>
      <c r="W988" s="133"/>
      <c r="X988" s="133"/>
      <c r="Y988" s="133"/>
      <c r="Z988" s="133"/>
    </row>
    <row r="989">
      <c r="A989" s="133">
        <f>IFERROR(__xludf.DUMMYFUNCTION("""COMPUTED_VALUE"""),988.0)</f>
        <v>988</v>
      </c>
      <c r="B989" s="133" t="str">
        <f>IFERROR(__xludf.DUMMYFUNCTION("""COMPUTED_VALUE"""),"USA664")</f>
        <v>USA664</v>
      </c>
      <c r="C989" s="133" t="str">
        <f>IFERROR(__xludf.DUMMYFUNCTION("""COMPUTED_VALUE"""),"P-1-N-290622-3910")</f>
        <v>P-1-N-290622-3910</v>
      </c>
      <c r="D989" s="133"/>
      <c r="E989" s="133" t="str">
        <f>IFERROR(__xludf.DUMMYFUNCTION("""COMPUTED_VALUE"""),"تمت طباعة الشهادة")</f>
        <v>تمت طباعة الشهادة</v>
      </c>
      <c r="F989" s="133" t="str">
        <f>IFERROR(__xludf.DUMMYFUNCTION("""COMPUTED_VALUE"""),"Churu Tuna with Clam Flavor 4x14g")</f>
        <v>Churu Tuna with Clam Flavor 4x14g</v>
      </c>
      <c r="G989" s="133" t="str">
        <f>IFERROR(__xludf.DUMMYFUNCTION("""COMPUTED_VALUE"""),"تشورو تونا مع نكهة البطلينوس 4×14جرام")</f>
        <v>تشورو تونا مع نكهة البطلينوس 4×14جرام</v>
      </c>
      <c r="H989" s="133" t="str">
        <f>IFERROR(__xludf.DUMMYFUNCTION("""COMPUTED_VALUE"""),"MAFE20222174")</f>
        <v>MAFE20222174</v>
      </c>
      <c r="I989" s="133"/>
      <c r="J989" s="133"/>
      <c r="K989" s="133" t="str">
        <f>IFERROR(__xludf.DUMMYFUNCTION("""COMPUTED_VALUE"""),"شركة تاي اينابا للأغذية المحدودة")</f>
        <v>شركة تاي اينابا للأغذية المحدودة</v>
      </c>
      <c r="L989" s="142" t="str">
        <f>IFERROR(__xludf.DUMMYFUNCTION("""COMPUTED_VALUE"""),"USA664")</f>
        <v>USA664</v>
      </c>
      <c r="M989" s="133"/>
      <c r="N989" s="133"/>
      <c r="O989" s="133"/>
      <c r="P989" s="133"/>
      <c r="Q989" s="133"/>
      <c r="R989" s="133"/>
      <c r="S989" s="133"/>
      <c r="T989" s="133"/>
      <c r="U989" s="133"/>
      <c r="V989" s="133"/>
      <c r="W989" s="133"/>
      <c r="X989" s="133"/>
      <c r="Y989" s="133"/>
      <c r="Z989" s="133"/>
    </row>
    <row r="990">
      <c r="A990" s="133">
        <f>IFERROR(__xludf.DUMMYFUNCTION("""COMPUTED_VALUE"""),989.0)</f>
        <v>989</v>
      </c>
      <c r="B990" s="133" t="str">
        <f>IFERROR(__xludf.DUMMYFUNCTION("""COMPUTED_VALUE"""),"USA665")</f>
        <v>USA665</v>
      </c>
      <c r="C990" s="133" t="str">
        <f>IFERROR(__xludf.DUMMYFUNCTION("""COMPUTED_VALUE"""),"P-1-N-290622-3911")</f>
        <v>P-1-N-290622-3911</v>
      </c>
      <c r="D990" s="133"/>
      <c r="E990" s="133" t="str">
        <f>IFERROR(__xludf.DUMMYFUNCTION("""COMPUTED_VALUE"""),"تمت طباعة الشهادة")</f>
        <v>تمت طباعة الشهادة</v>
      </c>
      <c r="F990" s="133" t="str">
        <f>IFERROR(__xludf.DUMMYFUNCTION("""COMPUTED_VALUE"""),"Churu Tuna Recipe with Crab Flavor 4x14g")</f>
        <v>Churu Tuna Recipe with Crab Flavor 4x14g</v>
      </c>
      <c r="G990" s="133" t="str">
        <f>IFERROR(__xludf.DUMMYFUNCTION("""COMPUTED_VALUE"""),"تشورو تونا مع السلطعون 4×14جرام")</f>
        <v>تشورو تونا مع السلطعون 4×14جرام</v>
      </c>
      <c r="H990" s="133" t="str">
        <f>IFERROR(__xludf.DUMMYFUNCTION("""COMPUTED_VALUE"""),"MAFE20222173")</f>
        <v>MAFE20222173</v>
      </c>
      <c r="I990" s="133"/>
      <c r="J990" s="133"/>
      <c r="K990" s="133" t="str">
        <f>IFERROR(__xludf.DUMMYFUNCTION("""COMPUTED_VALUE"""),"شركة تاي اينابا للأغذية المحدودة")</f>
        <v>شركة تاي اينابا للأغذية المحدودة</v>
      </c>
      <c r="L990" s="142" t="str">
        <f>IFERROR(__xludf.DUMMYFUNCTION("""COMPUTED_VALUE"""),"USA665")</f>
        <v>USA665</v>
      </c>
      <c r="M990" s="133"/>
      <c r="N990" s="133"/>
      <c r="O990" s="133"/>
      <c r="P990" s="133"/>
      <c r="Q990" s="133"/>
      <c r="R990" s="133"/>
      <c r="S990" s="133"/>
      <c r="T990" s="133"/>
      <c r="U990" s="133"/>
      <c r="V990" s="133"/>
      <c r="W990" s="133"/>
      <c r="X990" s="133"/>
      <c r="Y990" s="133"/>
      <c r="Z990" s="133"/>
    </row>
    <row r="991">
      <c r="A991" s="133">
        <f>IFERROR(__xludf.DUMMYFUNCTION("""COMPUTED_VALUE"""),990.0)</f>
        <v>990</v>
      </c>
      <c r="B991" s="133" t="str">
        <f>IFERROR(__xludf.DUMMYFUNCTION("""COMPUTED_VALUE"""),"USA666")</f>
        <v>USA666</v>
      </c>
      <c r="C991" s="133" t="str">
        <f>IFERROR(__xludf.DUMMYFUNCTION("""COMPUTED_VALUE"""),"P-1-N-290622-3912")</f>
        <v>P-1-N-290622-3912</v>
      </c>
      <c r="D991" s="133"/>
      <c r="E991" s="133" t="str">
        <f>IFERROR(__xludf.DUMMYFUNCTION("""COMPUTED_VALUE"""),"تمت طباعة الشهادة")</f>
        <v>تمت طباعة الشهادة</v>
      </c>
      <c r="F991" s="133" t="str">
        <f>IFERROR(__xludf.DUMMYFUNCTION("""COMPUTED_VALUE"""),"Churu Tuna Recipe with Shrimp Flavor 4x14g")</f>
        <v>Churu Tuna Recipe with Shrimp Flavor 4x14g</v>
      </c>
      <c r="G991" s="133" t="str">
        <f>IFERROR(__xludf.DUMMYFUNCTION("""COMPUTED_VALUE"""),"تشورو تونا مع الجمبري 4×14جرام")</f>
        <v>تشورو تونا مع الجمبري 4×14جرام</v>
      </c>
      <c r="H991" s="133" t="str">
        <f>IFERROR(__xludf.DUMMYFUNCTION("""COMPUTED_VALUE"""),"MAFE20222171")</f>
        <v>MAFE20222171</v>
      </c>
      <c r="I991" s="133"/>
      <c r="J991" s="133"/>
      <c r="K991" s="133" t="str">
        <f>IFERROR(__xludf.DUMMYFUNCTION("""COMPUTED_VALUE"""),"شركة تاي اينابا للأغذية المحدودة")</f>
        <v>شركة تاي اينابا للأغذية المحدودة</v>
      </c>
      <c r="L991" s="142" t="str">
        <f>IFERROR(__xludf.DUMMYFUNCTION("""COMPUTED_VALUE"""),"USA666")</f>
        <v>USA666</v>
      </c>
      <c r="M991" s="133"/>
      <c r="N991" s="133"/>
      <c r="O991" s="133"/>
      <c r="P991" s="133"/>
      <c r="Q991" s="133"/>
      <c r="R991" s="133"/>
      <c r="S991" s="133"/>
      <c r="T991" s="133"/>
      <c r="U991" s="133"/>
      <c r="V991" s="133"/>
      <c r="W991" s="133"/>
      <c r="X991" s="133"/>
      <c r="Y991" s="133"/>
      <c r="Z991" s="133"/>
    </row>
    <row r="992">
      <c r="A992" s="133">
        <f>IFERROR(__xludf.DUMMYFUNCTION("""COMPUTED_VALUE"""),991.0)</f>
        <v>991</v>
      </c>
      <c r="B992" s="133" t="str">
        <f>IFERROR(__xludf.DUMMYFUNCTION("""COMPUTED_VALUE"""),"USA667")</f>
        <v>USA667</v>
      </c>
      <c r="C992" s="133" t="str">
        <f>IFERROR(__xludf.DUMMYFUNCTION("""COMPUTED_VALUE"""),"P-1-N-290622-3913")</f>
        <v>P-1-N-290622-3913</v>
      </c>
      <c r="D992" s="133"/>
      <c r="E992" s="133" t="str">
        <f>IFERROR(__xludf.DUMMYFUNCTION("""COMPUTED_VALUE"""),"تمت طباعة الشهادة")</f>
        <v>تمت طباعة الشهادة</v>
      </c>
      <c r="F992" s="133" t="str">
        <f>IFERROR(__xludf.DUMMYFUNCTION("""COMPUTED_VALUE"""),"Churu Chicken with Salmon Recipe 4x14g")</f>
        <v>Churu Chicken with Salmon Recipe 4x14g</v>
      </c>
      <c r="G992" s="133" t="str">
        <f>IFERROR(__xludf.DUMMYFUNCTION("""COMPUTED_VALUE"""),"تشورو دجاج مع السالمون 4×14جرام")</f>
        <v>تشورو دجاج مع السالمون 4×14جرام</v>
      </c>
      <c r="H992" s="133" t="str">
        <f>IFERROR(__xludf.DUMMYFUNCTION("""COMPUTED_VALUE"""),"MAFE20222168")</f>
        <v>MAFE20222168</v>
      </c>
      <c r="I992" s="133"/>
      <c r="J992" s="133"/>
      <c r="K992" s="133" t="str">
        <f>IFERROR(__xludf.DUMMYFUNCTION("""COMPUTED_VALUE"""),"شركة تاي اينابا للأغذية المحدودة")</f>
        <v>شركة تاي اينابا للأغذية المحدودة</v>
      </c>
      <c r="L992" s="142" t="str">
        <f>IFERROR(__xludf.DUMMYFUNCTION("""COMPUTED_VALUE"""),"USA667")</f>
        <v>USA667</v>
      </c>
      <c r="M992" s="133"/>
      <c r="N992" s="133"/>
      <c r="O992" s="133"/>
      <c r="P992" s="133"/>
      <c r="Q992" s="133"/>
      <c r="R992" s="133"/>
      <c r="S992" s="133"/>
      <c r="T992" s="133"/>
      <c r="U992" s="133"/>
      <c r="V992" s="133"/>
      <c r="W992" s="133"/>
      <c r="X992" s="133"/>
      <c r="Y992" s="133"/>
      <c r="Z992" s="133"/>
    </row>
    <row r="993">
      <c r="A993" s="133">
        <f>IFERROR(__xludf.DUMMYFUNCTION("""COMPUTED_VALUE"""),992.0)</f>
        <v>992</v>
      </c>
      <c r="B993" s="133" t="str">
        <f>IFERROR(__xludf.DUMMYFUNCTION("""COMPUTED_VALUE"""),"USA670")</f>
        <v>USA670</v>
      </c>
      <c r="C993" s="133" t="str">
        <f>IFERROR(__xludf.DUMMYFUNCTION("""COMPUTED_VALUE"""),"P-1-N-290622-3915")</f>
        <v>P-1-N-290622-3915</v>
      </c>
      <c r="D993" s="133"/>
      <c r="E993" s="133" t="str">
        <f>IFERROR(__xludf.DUMMYFUNCTION("""COMPUTED_VALUE"""),"تمت طباعة الشهادة")</f>
        <v>تمت طباعة الشهادة</v>
      </c>
      <c r="F993" s="133" t="str">
        <f>IFERROR(__xludf.DUMMYFUNCTION("""COMPUTED_VALUE"""),"Churu Chicken with Cheese &amp; Beef Recipe 4x14g")</f>
        <v>Churu Chicken with Cheese &amp; Beef Recipe 4x14g</v>
      </c>
      <c r="G993" s="133" t="str">
        <f>IFERROR(__xludf.DUMMYFUNCTION("""COMPUTED_VALUE"""),"تشورو دجاج مع الجبنة واللحم البقري 4×14جرام")</f>
        <v>تشورو دجاج مع الجبنة واللحم البقري 4×14جرام</v>
      </c>
      <c r="H993" s="133" t="str">
        <f>IFERROR(__xludf.DUMMYFUNCTION("""COMPUTED_VALUE"""),"MAFE20222170")</f>
        <v>MAFE20222170</v>
      </c>
      <c r="I993" s="133"/>
      <c r="J993" s="133"/>
      <c r="K993" s="133" t="str">
        <f>IFERROR(__xludf.DUMMYFUNCTION("""COMPUTED_VALUE"""),"شركة تاي اينابا للأغذية المحدودة")</f>
        <v>شركة تاي اينابا للأغذية المحدودة</v>
      </c>
      <c r="L993" s="142" t="str">
        <f>IFERROR(__xludf.DUMMYFUNCTION("""COMPUTED_VALUE"""),"USA670")</f>
        <v>USA670</v>
      </c>
      <c r="M993" s="133"/>
      <c r="N993" s="133"/>
      <c r="O993" s="133"/>
      <c r="P993" s="133"/>
      <c r="Q993" s="133"/>
      <c r="R993" s="133"/>
      <c r="S993" s="133"/>
      <c r="T993" s="133"/>
      <c r="U993" s="133"/>
      <c r="V993" s="133"/>
      <c r="W993" s="133"/>
      <c r="X993" s="133"/>
      <c r="Y993" s="133"/>
      <c r="Z993" s="133"/>
    </row>
    <row r="994">
      <c r="A994" s="133">
        <f>IFERROR(__xludf.DUMMYFUNCTION("""COMPUTED_VALUE"""),993.0)</f>
        <v>993</v>
      </c>
      <c r="B994" s="133" t="str">
        <f>IFERROR(__xludf.DUMMYFUNCTION("""COMPUTED_VALUE"""),"USA681")</f>
        <v>USA681</v>
      </c>
      <c r="C994" s="133" t="str">
        <f>IFERROR(__xludf.DUMMYFUNCTION("""COMPUTED_VALUE"""),"P-1-N-290622-3917")</f>
        <v>P-1-N-290622-3917</v>
      </c>
      <c r="D994" s="133"/>
      <c r="E994" s="133" t="str">
        <f>IFERROR(__xludf.DUMMYFUNCTION("""COMPUTED_VALUE"""),"تمت طباعة الشهادة")</f>
        <v>تمت طباعة الشهادة</v>
      </c>
      <c r="F994" s="133" t="str">
        <f>IFERROR(__xludf.DUMMYFUNCTION("""COMPUTED_VALUE"""),"Churu Tuna with Salmon Recipe 10x14g Churu Tuna with Cheese Recipe 10x14g Churu Tuna Recipe with Clam Flavor 10x14g Churu Tuna Recipe with Crab Flavor 10x14g Churu Tuna Recipe with Shrimp Flavor 10x14g Churu Tuna with Bonito Flakes Recipe 10x14g")</f>
        <v>Churu Tuna with Salmon Recipe 10x14g Churu Tuna with Cheese Recipe 10x14g Churu Tuna Recipe with Clam Flavor 10x14g Churu Tuna Recipe with Crab Flavor 10x14g Churu Tuna Recipe with Shrimp Flavor 10x14g Churu Tuna with Bonito Flakes Recipe 10x14g</v>
      </c>
      <c r="G994" s="133" t="str">
        <f>IFERROR(__xludf.DUMMYFUNCTION("""COMPUTED_VALUE"""),"تشورو تونا مع السالمون 10×14جرام تشورو تونا مع الجبنة 10×14جرام تشورو تونا مع نكهة السمك 10×14جرام تشورو تونا مع السلطعون 10×14جرام تشورو تونا مع الجمبري 10×14جرام تشورو تونا مع رقائق البونيتو 10×14جرام")</f>
        <v>تشورو تونا مع السالمون 10×14جرام تشورو تونا مع الجبنة 10×14جرام تشورو تونا مع نكهة السمك 10×14جرام تشورو تونا مع السلطعون 10×14جرام تشورو تونا مع الجمبري 10×14جرام تشورو تونا مع رقائق البونيتو 10×14جرام</v>
      </c>
      <c r="H994" s="133" t="str">
        <f>IFERROR(__xludf.DUMMYFUNCTION("""COMPUTED_VALUE"""),"MAFE20222167")</f>
        <v>MAFE20222167</v>
      </c>
      <c r="I994" s="133"/>
      <c r="J994" s="133"/>
      <c r="K994" s="133" t="str">
        <f>IFERROR(__xludf.DUMMYFUNCTION("""COMPUTED_VALUE"""),"شركة تاي اينابا للأغذية المحدودة")</f>
        <v>شركة تاي اينابا للأغذية المحدودة</v>
      </c>
      <c r="L994" s="142" t="str">
        <f>IFERROR(__xludf.DUMMYFUNCTION("""COMPUTED_VALUE"""),"USA681")</f>
        <v>USA681</v>
      </c>
      <c r="M994" s="133"/>
      <c r="N994" s="133"/>
      <c r="O994" s="133"/>
      <c r="P994" s="133"/>
      <c r="Q994" s="133"/>
      <c r="R994" s="133"/>
      <c r="S994" s="133"/>
      <c r="T994" s="133"/>
      <c r="U994" s="133"/>
      <c r="V994" s="133"/>
      <c r="W994" s="133"/>
      <c r="X994" s="133"/>
      <c r="Y994" s="133"/>
      <c r="Z994" s="133"/>
    </row>
    <row r="995">
      <c r="A995" s="133">
        <f>IFERROR(__xludf.DUMMYFUNCTION("""COMPUTED_VALUE"""),994.0)</f>
        <v>994</v>
      </c>
      <c r="B995" s="133" t="str">
        <f>IFERROR(__xludf.DUMMYFUNCTION("""COMPUTED_VALUE"""),"USA682")</f>
        <v>USA682</v>
      </c>
      <c r="C995" s="133" t="str">
        <f>IFERROR(__xludf.DUMMYFUNCTION("""COMPUTED_VALUE"""),"P-1-N-290622-3919")</f>
        <v>P-1-N-290622-3919</v>
      </c>
      <c r="D995" s="133"/>
      <c r="E995" s="133" t="str">
        <f>IFERROR(__xludf.DUMMYFUNCTION("""COMPUTED_VALUE"""),"تمت طباعة الشهادة")</f>
        <v>تمت طباعة الشهادة</v>
      </c>
      <c r="F995" s="133" t="str">
        <f>IFERROR(__xludf.DUMMYFUNCTION("""COMPUTED_VALUE"""),"Churu Chicken Recipe 10x14g Churu Chicken with Scallop Recipe 10x14g Churu Chicken with Cheese Recipe 10x14g Churu Chicken with Beef Recipe 10x14g Churu Chicken with Cheese &amp; Beef Recipe 10x14g Churu Chicken with Salmon Recipe 10x14g")</f>
        <v>Churu Chicken Recipe 10x14g Churu Chicken with Scallop Recipe 10x14g Churu Chicken with Cheese Recipe 10x14g Churu Chicken with Beef Recipe 10x14g Churu Chicken with Cheese &amp; Beef Recipe 10x14g Churu Chicken with Salmon Recipe 10x14g</v>
      </c>
      <c r="G995" s="133" t="str">
        <f>IFERROR(__xludf.DUMMYFUNCTION("""COMPUTED_VALUE"""),"تشورو دجاج 10×14جرام تشورو دجاج مع المحار 10×14جرام تشورو دجاج مع الجبنة 10×14جرام تشورو دجاج مع اللحم البقري 10×14جرام تشورو دجاج مع الجبنة واللحم البقري 10×14جرام تشورو دجاج مع السالمون 10×14جرام")</f>
        <v>تشورو دجاج 10×14جرام تشورو دجاج مع المحار 10×14جرام تشورو دجاج مع الجبنة 10×14جرام تشورو دجاج مع اللحم البقري 10×14جرام تشورو دجاج مع الجبنة واللحم البقري 10×14جرام تشورو دجاج مع السالمون 10×14جرام</v>
      </c>
      <c r="H995" s="133" t="str">
        <f>IFERROR(__xludf.DUMMYFUNCTION("""COMPUTED_VALUE"""),"MAFE20222166")</f>
        <v>MAFE20222166</v>
      </c>
      <c r="I995" s="133"/>
      <c r="J995" s="133"/>
      <c r="K995" s="133" t="str">
        <f>IFERROR(__xludf.DUMMYFUNCTION("""COMPUTED_VALUE"""),"شركة تاي اينابا للأغذية المحدودة")</f>
        <v>شركة تاي اينابا للأغذية المحدودة</v>
      </c>
      <c r="L995" s="142" t="str">
        <f>IFERROR(__xludf.DUMMYFUNCTION("""COMPUTED_VALUE"""),"USA682")</f>
        <v>USA682</v>
      </c>
      <c r="M995" s="133"/>
      <c r="N995" s="133"/>
      <c r="O995" s="133"/>
      <c r="P995" s="133"/>
      <c r="Q995" s="133"/>
      <c r="R995" s="133"/>
      <c r="S995" s="133"/>
      <c r="T995" s="133"/>
      <c r="U995" s="133"/>
      <c r="V995" s="133"/>
      <c r="W995" s="133"/>
      <c r="X995" s="133"/>
      <c r="Y995" s="133"/>
      <c r="Z995" s="133"/>
    </row>
    <row r="996">
      <c r="A996" s="133">
        <f>IFERROR(__xludf.DUMMYFUNCTION("""COMPUTED_VALUE"""),995.0)</f>
        <v>995</v>
      </c>
      <c r="B996" s="133" t="str">
        <f>IFERROR(__xludf.DUMMYFUNCTION("""COMPUTED_VALUE"""),"USA741")</f>
        <v>USA741</v>
      </c>
      <c r="C996" s="133" t="str">
        <f>IFERROR(__xludf.DUMMYFUNCTION("""COMPUTED_VALUE"""),"P-1-N-290622-3921")</f>
        <v>P-1-N-290622-3921</v>
      </c>
      <c r="D996" s="133"/>
      <c r="E996" s="133" t="str">
        <f>IFERROR(__xludf.DUMMYFUNCTION("""COMPUTED_VALUE"""),"تمت طباعة الشهادة")</f>
        <v>تمت طباعة الشهادة</v>
      </c>
      <c r="F996" s="133" t="str">
        <f>IFERROR(__xludf.DUMMYFUNCTION("""COMPUTED_VALUE"""),"Churu Fun Bites Chicken Recipe Wraps Tuna Recipe 3x20g")</f>
        <v>Churu Fun Bites Chicken Recipe Wraps Tuna Recipe 3x20g</v>
      </c>
      <c r="G996" s="133" t="str">
        <f>IFERROR(__xludf.DUMMYFUNCTION("""COMPUTED_VALUE"""),"تشورو فان بايتس دجاج راب وتونا 3×20 جرام")</f>
        <v>تشورو فان بايتس دجاج راب وتونا 3×20 جرام</v>
      </c>
      <c r="H996" s="133" t="str">
        <f>IFERROR(__xludf.DUMMYFUNCTION("""COMPUTED_VALUE"""),"MAFE20222189")</f>
        <v>MAFE20222189</v>
      </c>
      <c r="I996" s="133"/>
      <c r="J996" s="133"/>
      <c r="K996" s="133" t="str">
        <f>IFERROR(__xludf.DUMMYFUNCTION("""COMPUTED_VALUE"""),"شركة تاي اينابا للأغذية المحدودة")</f>
        <v>شركة تاي اينابا للأغذية المحدودة</v>
      </c>
      <c r="L996" s="142" t="str">
        <f>IFERROR(__xludf.DUMMYFUNCTION("""COMPUTED_VALUE"""),"USA741")</f>
        <v>USA741</v>
      </c>
      <c r="M996" s="133"/>
      <c r="N996" s="133"/>
      <c r="O996" s="133"/>
      <c r="P996" s="133"/>
      <c r="Q996" s="133"/>
      <c r="R996" s="133"/>
      <c r="S996" s="133"/>
      <c r="T996" s="133"/>
      <c r="U996" s="133"/>
      <c r="V996" s="133"/>
      <c r="W996" s="133"/>
      <c r="X996" s="133"/>
      <c r="Y996" s="133"/>
      <c r="Z996" s="133"/>
    </row>
    <row r="997">
      <c r="A997" s="133">
        <f>IFERROR(__xludf.DUMMYFUNCTION("""COMPUTED_VALUE"""),996.0)</f>
        <v>996</v>
      </c>
      <c r="B997" s="133" t="str">
        <f>IFERROR(__xludf.DUMMYFUNCTION("""COMPUTED_VALUE"""),"USA742")</f>
        <v>USA742</v>
      </c>
      <c r="C997" s="133" t="str">
        <f>IFERROR(__xludf.DUMMYFUNCTION("""COMPUTED_VALUE"""),"P-1-N-290622-3922")</f>
        <v>P-1-N-290622-3922</v>
      </c>
      <c r="D997" s="133"/>
      <c r="E997" s="133" t="str">
        <f>IFERROR(__xludf.DUMMYFUNCTION("""COMPUTED_VALUE"""),"تمت طباعة الشهادة")</f>
        <v>تمت طباعة الشهادة</v>
      </c>
      <c r="F997" s="133" t="str">
        <f>IFERROR(__xludf.DUMMYFUNCTION("""COMPUTED_VALUE"""),"Churu Fun Bites Chicken Recipe Wraps Tuna with Scallop Recipe 3x20g")</f>
        <v>Churu Fun Bites Chicken Recipe Wraps Tuna with Scallop Recipe 3x20g</v>
      </c>
      <c r="G997" s="133" t="str">
        <f>IFERROR(__xludf.DUMMYFUNCTION("""COMPUTED_VALUE"""),"تشورو فان بايتس دجاج راب وتونا مع المحار 3×20 جرام")</f>
        <v>تشورو فان بايتس دجاج راب وتونا مع المحار 3×20 جرام</v>
      </c>
      <c r="H997" s="133" t="str">
        <f>IFERROR(__xludf.DUMMYFUNCTION("""COMPUTED_VALUE"""),"MAFE20222188")</f>
        <v>MAFE20222188</v>
      </c>
      <c r="I997" s="133"/>
      <c r="J997" s="133"/>
      <c r="K997" s="133" t="str">
        <f>IFERROR(__xludf.DUMMYFUNCTION("""COMPUTED_VALUE"""),"شركة تاي اينابا للأغذية المحدودة")</f>
        <v>شركة تاي اينابا للأغذية المحدودة</v>
      </c>
      <c r="L997" s="142" t="str">
        <f>IFERROR(__xludf.DUMMYFUNCTION("""COMPUTED_VALUE"""),"USA742")</f>
        <v>USA742</v>
      </c>
      <c r="M997" s="133"/>
      <c r="N997" s="133"/>
      <c r="O997" s="133"/>
      <c r="P997" s="133"/>
      <c r="Q997" s="133"/>
      <c r="R997" s="133"/>
      <c r="S997" s="133"/>
      <c r="T997" s="133"/>
      <c r="U997" s="133"/>
      <c r="V997" s="133"/>
      <c r="W997" s="133"/>
      <c r="X997" s="133"/>
      <c r="Y997" s="133"/>
      <c r="Z997" s="133"/>
    </row>
    <row r="998">
      <c r="A998" s="133">
        <f>IFERROR(__xludf.DUMMYFUNCTION("""COMPUTED_VALUE"""),997.0)</f>
        <v>997</v>
      </c>
      <c r="B998" s="133" t="str">
        <f>IFERROR(__xludf.DUMMYFUNCTION("""COMPUTED_VALUE"""),"USA743")</f>
        <v>USA743</v>
      </c>
      <c r="C998" s="133" t="str">
        <f>IFERROR(__xludf.DUMMYFUNCTION("""COMPUTED_VALUE"""),"P-1-N-290622-3923")</f>
        <v>P-1-N-290622-3923</v>
      </c>
      <c r="D998" s="133"/>
      <c r="E998" s="133" t="str">
        <f>IFERROR(__xludf.DUMMYFUNCTION("""COMPUTED_VALUE"""),"تمت طباعة الشهادة")</f>
        <v>تمت طباعة الشهادة</v>
      </c>
      <c r="F998" s="133" t="str">
        <f>IFERROR(__xludf.DUMMYFUNCTION("""COMPUTED_VALUE"""),"Churu Fun Bites Chicken Recipe Wraps Chicken Recipe 3x20g")</f>
        <v>Churu Fun Bites Chicken Recipe Wraps Chicken Recipe 3x20g</v>
      </c>
      <c r="G998" s="133" t="str">
        <f>IFERROR(__xludf.DUMMYFUNCTION("""COMPUTED_VALUE"""),"تشورو فان بايتس دجاج راب ودجاج 3×20 جرام")</f>
        <v>تشورو فان بايتس دجاج راب ودجاج 3×20 جرام</v>
      </c>
      <c r="H998" s="133" t="str">
        <f>IFERROR(__xludf.DUMMYFUNCTION("""COMPUTED_VALUE"""),"MAFE20222187")</f>
        <v>MAFE20222187</v>
      </c>
      <c r="I998" s="133"/>
      <c r="J998" s="133"/>
      <c r="K998" s="133" t="str">
        <f>IFERROR(__xludf.DUMMYFUNCTION("""COMPUTED_VALUE"""),"شركة تاي اينابا للأغذية المحدودة")</f>
        <v>شركة تاي اينابا للأغذية المحدودة</v>
      </c>
      <c r="L998" s="142" t="str">
        <f>IFERROR(__xludf.DUMMYFUNCTION("""COMPUTED_VALUE"""),"USA743")</f>
        <v>USA743</v>
      </c>
      <c r="M998" s="133"/>
      <c r="N998" s="133"/>
      <c r="O998" s="133"/>
      <c r="P998" s="133"/>
      <c r="Q998" s="133"/>
      <c r="R998" s="133"/>
      <c r="S998" s="133"/>
      <c r="T998" s="133"/>
      <c r="U998" s="133"/>
      <c r="V998" s="133"/>
      <c r="W998" s="133"/>
      <c r="X998" s="133"/>
      <c r="Y998" s="133"/>
      <c r="Z998" s="133"/>
    </row>
    <row r="999">
      <c r="A999" s="133">
        <f>IFERROR(__xludf.DUMMYFUNCTION("""COMPUTED_VALUE"""),998.0)</f>
        <v>998</v>
      </c>
      <c r="B999" s="133" t="str">
        <f>IFERROR(__xludf.DUMMYFUNCTION("""COMPUTED_VALUE"""),"SC3500")</f>
        <v>SC3500</v>
      </c>
      <c r="C999" s="133" t="str">
        <f>IFERROR(__xludf.DUMMYFUNCTION("""COMPUTED_VALUE"""),"P-1-N-310722-4291")</f>
        <v>P-1-N-310722-4291</v>
      </c>
      <c r="D999" s="133"/>
      <c r="E999" s="133" t="str">
        <f>IFERROR(__xludf.DUMMYFUNCTION("""COMPUTED_VALUE"""),"تمت طباعة الشهادة")</f>
        <v>تمت طباعة الشهادة</v>
      </c>
      <c r="F999" s="133" t="str">
        <f>IFERROR(__xludf.DUMMYFUNCTION("""COMPUTED_VALUE"""),"Sanal TopMix 50g")</f>
        <v>Sanal TopMix 50g</v>
      </c>
      <c r="G999" s="133" t="str">
        <f>IFERROR(__xludf.DUMMYFUNCTION("""COMPUTED_VALUE"""),"سانال توب ميكس 50 جم")</f>
        <v>سانال توب ميكس 50 جم</v>
      </c>
      <c r="H999" s="133" t="str">
        <f>IFERROR(__xludf.DUMMYFUNCTION("""COMPUTED_VALUE"""),"MAFE20222372")</f>
        <v>MAFE20222372</v>
      </c>
      <c r="I999" s="133"/>
      <c r="J999" s="133"/>
      <c r="K999" s="133" t="str">
        <f>IFERROR(__xludf.DUMMYFUNCTION("""COMPUTED_VALUE"""),"نيدرما بي في")</f>
        <v>نيدرما بي في</v>
      </c>
      <c r="L999" s="142" t="str">
        <f>IFERROR(__xludf.DUMMYFUNCTION("""COMPUTED_VALUE"""),"SC3500")</f>
        <v>SC3500</v>
      </c>
      <c r="M999" s="133"/>
      <c r="N999" s="133"/>
      <c r="O999" s="133"/>
      <c r="P999" s="133"/>
      <c r="Q999" s="133"/>
      <c r="R999" s="133"/>
      <c r="S999" s="133"/>
      <c r="T999" s="133"/>
      <c r="U999" s="133"/>
      <c r="V999" s="133"/>
      <c r="W999" s="133"/>
      <c r="X999" s="133"/>
      <c r="Y999" s="133"/>
      <c r="Z999" s="133"/>
    </row>
    <row r="1000">
      <c r="A1000" s="133">
        <f>IFERROR(__xludf.DUMMYFUNCTION("""COMPUTED_VALUE"""),999.0)</f>
        <v>999</v>
      </c>
      <c r="B1000" s="133" t="str">
        <f>IFERROR(__xludf.DUMMYFUNCTION("""COMPUTED_VALUE"""),"SC1600")</f>
        <v>SC1600</v>
      </c>
      <c r="C1000" s="133" t="str">
        <f>IFERROR(__xludf.DUMMYFUNCTION("""COMPUTED_VALUE"""),"P-1-N-310722-4292")</f>
        <v>P-1-N-310722-4292</v>
      </c>
      <c r="D1000" s="133"/>
      <c r="E1000" s="133" t="str">
        <f>IFERROR(__xludf.DUMMYFUNCTION("""COMPUTED_VALUE"""),"تمت طباعة الشهادة")</f>
        <v>تمت طباعة الشهادة</v>
      </c>
      <c r="F1000" s="133" t="str">
        <f>IFERROR(__xludf.DUMMYFUNCTION("""COMPUTED_VALUE"""),"Sanal Kitten 30g")</f>
        <v>Sanal Kitten 30g</v>
      </c>
      <c r="G1000" s="133" t="str">
        <f>IFERROR(__xludf.DUMMYFUNCTION("""COMPUTED_VALUE"""),"سانال القطط الصغيرة 30 جم")</f>
        <v>سانال القطط الصغيرة 30 جم</v>
      </c>
      <c r="H1000" s="133" t="str">
        <f>IFERROR(__xludf.DUMMYFUNCTION("""COMPUTED_VALUE"""),"MAFE20222361")</f>
        <v>MAFE20222361</v>
      </c>
      <c r="I1000" s="133"/>
      <c r="J1000" s="133"/>
      <c r="K1000" s="133" t="str">
        <f>IFERROR(__xludf.DUMMYFUNCTION("""COMPUTED_VALUE"""),"نيدرما بي في")</f>
        <v>نيدرما بي في</v>
      </c>
      <c r="L1000" s="142" t="str">
        <f>IFERROR(__xludf.DUMMYFUNCTION("""COMPUTED_VALUE"""),"SC1600")</f>
        <v>SC1600</v>
      </c>
      <c r="M1000" s="133"/>
      <c r="N1000" s="133"/>
      <c r="O1000" s="133"/>
      <c r="P1000" s="133"/>
      <c r="Q1000" s="133"/>
      <c r="R1000" s="133"/>
      <c r="S1000" s="133"/>
      <c r="T1000" s="133"/>
      <c r="U1000" s="133"/>
      <c r="V1000" s="133"/>
      <c r="W1000" s="133"/>
      <c r="X1000" s="133"/>
      <c r="Y1000" s="133"/>
      <c r="Z1000" s="133"/>
    </row>
    <row r="1001">
      <c r="A1001" s="133">
        <f>IFERROR(__xludf.DUMMYFUNCTION("""COMPUTED_VALUE"""),1000.0)</f>
        <v>1000</v>
      </c>
      <c r="B1001" s="133" t="str">
        <f>IFERROR(__xludf.DUMMYFUNCTION("""COMPUTED_VALUE"""),"SC1800")</f>
        <v>SC1800</v>
      </c>
      <c r="C1001" s="133" t="str">
        <f>IFERROR(__xludf.DUMMYFUNCTION("""COMPUTED_VALUE"""),"P-1-N-310722-4293")</f>
        <v>P-1-N-310722-4293</v>
      </c>
      <c r="D1001" s="133"/>
      <c r="E1001" s="133" t="str">
        <f>IFERROR(__xludf.DUMMYFUNCTION("""COMPUTED_VALUE"""),"تمت طباعة الشهادة")</f>
        <v>تمت طباعة الشهادة</v>
      </c>
      <c r="F1001" s="133" t="str">
        <f>IFERROR(__xludf.DUMMYFUNCTION("""COMPUTED_VALUE"""),"Sanal Catnip 30g")</f>
        <v>Sanal Catnip 30g</v>
      </c>
      <c r="G1001" s="133" t="str">
        <f>IFERROR(__xludf.DUMMYFUNCTION("""COMPUTED_VALUE"""),"سانال كاتنيب 30 جم")</f>
        <v>سانال كاتنيب 30 جم</v>
      </c>
      <c r="H1001" s="133" t="str">
        <f>IFERROR(__xludf.DUMMYFUNCTION("""COMPUTED_VALUE"""),"MAFE20222359")</f>
        <v>MAFE20222359</v>
      </c>
      <c r="I1001" s="133"/>
      <c r="J1001" s="133"/>
      <c r="K1001" s="133" t="str">
        <f>IFERROR(__xludf.DUMMYFUNCTION("""COMPUTED_VALUE"""),"نيدرما بي في")</f>
        <v>نيدرما بي في</v>
      </c>
      <c r="L1001" s="142" t="str">
        <f>IFERROR(__xludf.DUMMYFUNCTION("""COMPUTED_VALUE"""),"SC1800")</f>
        <v>SC1800</v>
      </c>
      <c r="M1001" s="133"/>
      <c r="N1001" s="133"/>
      <c r="O1001" s="133"/>
      <c r="P1001" s="133"/>
      <c r="Q1001" s="133"/>
      <c r="R1001" s="133"/>
      <c r="S1001" s="133"/>
      <c r="T1001" s="133"/>
      <c r="U1001" s="133"/>
      <c r="V1001" s="133"/>
      <c r="W1001" s="133"/>
      <c r="X1001" s="133"/>
      <c r="Y1001" s="133"/>
      <c r="Z1001" s="133"/>
    </row>
    <row r="1002">
      <c r="A1002" s="133">
        <f>IFERROR(__xludf.DUMMYFUNCTION("""COMPUTED_VALUE"""),1001.0)</f>
        <v>1001</v>
      </c>
      <c r="B1002" s="133" t="str">
        <f>IFERROR(__xludf.DUMMYFUNCTION("""COMPUTED_VALUE"""),"SC1500")</f>
        <v>SC1500</v>
      </c>
      <c r="C1002" s="133" t="str">
        <f>IFERROR(__xludf.DUMMYFUNCTION("""COMPUTED_VALUE"""),"P-1-N-310722-4294")</f>
        <v>P-1-N-310722-4294</v>
      </c>
      <c r="D1002" s="133"/>
      <c r="E1002" s="133" t="str">
        <f>IFERROR(__xludf.DUMMYFUNCTION("""COMPUTED_VALUE"""),"تمت طباعة الشهادة")</f>
        <v>تمت طباعة الشهادة</v>
      </c>
      <c r="F1002" s="133" t="str">
        <f>IFERROR(__xludf.DUMMYFUNCTION("""COMPUTED_VALUE"""),"Sanal Cat Fantasy 150g")</f>
        <v>Sanal Cat Fantasy 150g</v>
      </c>
      <c r="G1002" s="133" t="str">
        <f>IFERROR(__xludf.DUMMYFUNCTION("""COMPUTED_VALUE"""),"سانال كات فانتاسي 150 جم")</f>
        <v>سانال كات فانتاسي 150 جم</v>
      </c>
      <c r="H1002" s="133" t="str">
        <f>IFERROR(__xludf.DUMMYFUNCTION("""COMPUTED_VALUE"""),"MAFE20222360")</f>
        <v>MAFE20222360</v>
      </c>
      <c r="I1002" s="133"/>
      <c r="J1002" s="133"/>
      <c r="K1002" s="133" t="str">
        <f>IFERROR(__xludf.DUMMYFUNCTION("""COMPUTED_VALUE"""),"نيدرما بي في")</f>
        <v>نيدرما بي في</v>
      </c>
      <c r="L1002" s="142" t="str">
        <f>IFERROR(__xludf.DUMMYFUNCTION("""COMPUTED_VALUE"""),"SC1500")</f>
        <v>SC1500</v>
      </c>
      <c r="M1002" s="133"/>
      <c r="N1002" s="133"/>
      <c r="O1002" s="133"/>
      <c r="P1002" s="133"/>
      <c r="Q1002" s="133"/>
      <c r="R1002" s="133"/>
      <c r="S1002" s="133"/>
      <c r="T1002" s="133"/>
      <c r="U1002" s="133"/>
      <c r="V1002" s="133"/>
      <c r="W1002" s="133"/>
      <c r="X1002" s="133"/>
      <c r="Y1002" s="133"/>
      <c r="Z1002" s="133"/>
    </row>
    <row r="1003">
      <c r="A1003" s="133">
        <f>IFERROR(__xludf.DUMMYFUNCTION("""COMPUTED_VALUE"""),1002.0)</f>
        <v>1002</v>
      </c>
      <c r="B1003" s="133" t="str">
        <f>IFERROR(__xludf.DUMMYFUNCTION("""COMPUTED_VALUE"""),"SV6020")</f>
        <v>SV6020</v>
      </c>
      <c r="C1003" s="133" t="str">
        <f>IFERROR(__xludf.DUMMYFUNCTION("""COMPUTED_VALUE"""),"P-1-N-310722-4295")</f>
        <v>P-1-N-310722-4295</v>
      </c>
      <c r="D1003" s="133"/>
      <c r="E1003" s="133" t="str">
        <f>IFERROR(__xludf.DUMMYFUNCTION("""COMPUTED_VALUE"""),"تمت طباعة الشهادة")</f>
        <v>تمت طباعة الشهادة</v>
      </c>
      <c r="F1003" s="133" t="str">
        <f>IFERROR(__xludf.DUMMYFUNCTION("""COMPUTED_VALUE"""),"Sanal Malt Paste 15g")</f>
        <v>Sanal Malt Paste 15g</v>
      </c>
      <c r="G1003" s="133" t="str">
        <f>IFERROR(__xludf.DUMMYFUNCTION("""COMPUTED_VALUE"""),"سانال مالت بايست 15 جم")</f>
        <v>سانال مالت بايست 15 جم</v>
      </c>
      <c r="H1003" s="133" t="str">
        <f>IFERROR(__xludf.DUMMYFUNCTION("""COMPUTED_VALUE"""),"MAFE20222348")</f>
        <v>MAFE20222348</v>
      </c>
      <c r="I1003" s="133"/>
      <c r="J1003" s="133"/>
      <c r="K1003" s="133" t="str">
        <f>IFERROR(__xludf.DUMMYFUNCTION("""COMPUTED_VALUE"""),"نيدرما بي في")</f>
        <v>نيدرما بي في</v>
      </c>
      <c r="L1003" s="142" t="str">
        <f>IFERROR(__xludf.DUMMYFUNCTION("""COMPUTED_VALUE"""),"SV6020")</f>
        <v>SV6020</v>
      </c>
      <c r="M1003" s="133"/>
      <c r="N1003" s="133"/>
      <c r="O1003" s="133"/>
      <c r="P1003" s="133"/>
      <c r="Q1003" s="133"/>
      <c r="R1003" s="133"/>
      <c r="S1003" s="133"/>
      <c r="T1003" s="133"/>
      <c r="U1003" s="133"/>
      <c r="V1003" s="133"/>
      <c r="W1003" s="133"/>
      <c r="X1003" s="133"/>
      <c r="Y1003" s="133"/>
      <c r="Z1003" s="133"/>
    </row>
    <row r="1004">
      <c r="A1004" s="133">
        <f>IFERROR(__xludf.DUMMYFUNCTION("""COMPUTED_VALUE"""),1003.0)</f>
        <v>1003</v>
      </c>
      <c r="B1004" s="133" t="str">
        <f>IFERROR(__xludf.DUMMYFUNCTION("""COMPUTED_VALUE"""),"SV6010")</f>
        <v>SV6010</v>
      </c>
      <c r="C1004" s="133" t="str">
        <f>IFERROR(__xludf.DUMMYFUNCTION("""COMPUTED_VALUE"""),"P-1-N-310722-4296")</f>
        <v>P-1-N-310722-4296</v>
      </c>
      <c r="D1004" s="133"/>
      <c r="E1004" s="133" t="str">
        <f>IFERROR(__xludf.DUMMYFUNCTION("""COMPUTED_VALUE"""),"تمت طباعة الشهادة")</f>
        <v>تمت طباعة الشهادة</v>
      </c>
      <c r="F1004" s="133" t="str">
        <f>IFERROR(__xludf.DUMMYFUNCTION("""COMPUTED_VALUE"""),"Sanal Malt Paste 100g")</f>
        <v>Sanal Malt Paste 100g</v>
      </c>
      <c r="G1004" s="133" t="str">
        <f>IFERROR(__xludf.DUMMYFUNCTION("""COMPUTED_VALUE"""),"سانال مالت بايست 100 جم")</f>
        <v>سانال مالت بايست 100 جم</v>
      </c>
      <c r="H1004" s="133" t="str">
        <f>IFERROR(__xludf.DUMMYFUNCTION("""COMPUTED_VALUE"""),"MAFE20222352")</f>
        <v>MAFE20222352</v>
      </c>
      <c r="I1004" s="133"/>
      <c r="J1004" s="133"/>
      <c r="K1004" s="133" t="str">
        <f>IFERROR(__xludf.DUMMYFUNCTION("""COMPUTED_VALUE"""),"نيدرما بي في")</f>
        <v>نيدرما بي في</v>
      </c>
      <c r="L1004" s="142" t="str">
        <f>IFERROR(__xludf.DUMMYFUNCTION("""COMPUTED_VALUE"""),"SV6010")</f>
        <v>SV6010</v>
      </c>
      <c r="M1004" s="133"/>
      <c r="N1004" s="133"/>
      <c r="O1004" s="133"/>
      <c r="P1004" s="133"/>
      <c r="Q1004" s="133"/>
      <c r="R1004" s="133"/>
      <c r="S1004" s="133"/>
      <c r="T1004" s="133"/>
      <c r="U1004" s="133"/>
      <c r="V1004" s="133"/>
      <c r="W1004" s="133"/>
      <c r="X1004" s="133"/>
      <c r="Y1004" s="133"/>
      <c r="Z1004" s="133"/>
    </row>
    <row r="1005">
      <c r="A1005" s="133">
        <f>IFERROR(__xludf.DUMMYFUNCTION("""COMPUTED_VALUE"""),1004.0)</f>
        <v>1004</v>
      </c>
      <c r="B1005" s="133" t="str">
        <f>IFERROR(__xludf.DUMMYFUNCTION("""COMPUTED_VALUE"""),"SD2400")</f>
        <v>SD2400</v>
      </c>
      <c r="C1005" s="133" t="str">
        <f>IFERROR(__xludf.DUMMYFUNCTION("""COMPUTED_VALUE"""),"P-1-N-310722-4297")</f>
        <v>P-1-N-310722-4297</v>
      </c>
      <c r="D1005" s="133"/>
      <c r="E1005" s="133" t="str">
        <f>IFERROR(__xludf.DUMMYFUNCTION("""COMPUTED_VALUE"""),"تمت طباعة الشهادة")</f>
        <v>تمت طباعة الشهادة</v>
      </c>
      <c r="F1005" s="133" t="str">
        <f>IFERROR(__xludf.DUMMYFUNCTION("""COMPUTED_VALUE"""),"Sanal Puppy Training 30g")</f>
        <v>Sanal Puppy Training 30g</v>
      </c>
      <c r="G1005" s="133" t="str">
        <f>IFERROR(__xludf.DUMMYFUNCTION("""COMPUTED_VALUE"""),"سانال تدريب الجرو 30 جم")</f>
        <v>سانال تدريب الجرو 30 جم</v>
      </c>
      <c r="H1005" s="133" t="str">
        <f>IFERROR(__xludf.DUMMYFUNCTION("""COMPUTED_VALUE"""),"MAFE20222358")</f>
        <v>MAFE20222358</v>
      </c>
      <c r="I1005" s="133"/>
      <c r="J1005" s="133"/>
      <c r="K1005" s="133" t="str">
        <f>IFERROR(__xludf.DUMMYFUNCTION("""COMPUTED_VALUE"""),"نيدرما بي في")</f>
        <v>نيدرما بي في</v>
      </c>
      <c r="L1005" s="142" t="str">
        <f>IFERROR(__xludf.DUMMYFUNCTION("""COMPUTED_VALUE"""),"SD2400")</f>
        <v>SD2400</v>
      </c>
      <c r="M1005" s="133"/>
      <c r="N1005" s="133"/>
      <c r="O1005" s="133"/>
      <c r="P1005" s="133"/>
      <c r="Q1005" s="133"/>
      <c r="R1005" s="133"/>
      <c r="S1005" s="133"/>
      <c r="T1005" s="133"/>
      <c r="U1005" s="133"/>
      <c r="V1005" s="133"/>
      <c r="W1005" s="133"/>
      <c r="X1005" s="133"/>
      <c r="Y1005" s="133"/>
      <c r="Z1005" s="133"/>
    </row>
    <row r="1006">
      <c r="A1006" s="133">
        <f>IFERROR(__xludf.DUMMYFUNCTION("""COMPUTED_VALUE"""),1005.0)</f>
        <v>1005</v>
      </c>
      <c r="B1006" s="133" t="str">
        <f>IFERROR(__xludf.DUMMYFUNCTION("""COMPUTED_VALUE"""),"SD2406")</f>
        <v>SD2406</v>
      </c>
      <c r="C1006" s="133" t="str">
        <f>IFERROR(__xludf.DUMMYFUNCTION("""COMPUTED_VALUE"""),"P-1-N-310722-4298")</f>
        <v>P-1-N-310722-4298</v>
      </c>
      <c r="D1006" s="133"/>
      <c r="E1006" s="133" t="str">
        <f>IFERROR(__xludf.DUMMYFUNCTION("""COMPUTED_VALUE"""),"تمت طباعة الشهادة")</f>
        <v>تمت طباعة الشهادة</v>
      </c>
      <c r="F1006" s="133" t="str">
        <f>IFERROR(__xludf.DUMMYFUNCTION("""COMPUTED_VALUE"""),"Sanal Puppy Training 75g")</f>
        <v>Sanal Puppy Training 75g</v>
      </c>
      <c r="G1006" s="133" t="str">
        <f>IFERROR(__xludf.DUMMYFUNCTION("""COMPUTED_VALUE"""),"سانال تدريب الجرو 75 جم")</f>
        <v>سانال تدريب الجرو 75 جم</v>
      </c>
      <c r="H1006" s="133" t="str">
        <f>IFERROR(__xludf.DUMMYFUNCTION("""COMPUTED_VALUE"""),"MAFE20222356")</f>
        <v>MAFE20222356</v>
      </c>
      <c r="I1006" s="133"/>
      <c r="J1006" s="133"/>
      <c r="K1006" s="133" t="str">
        <f>IFERROR(__xludf.DUMMYFUNCTION("""COMPUTED_VALUE"""),"نيدرما بي في")</f>
        <v>نيدرما بي في</v>
      </c>
      <c r="L1006" s="142" t="str">
        <f>IFERROR(__xludf.DUMMYFUNCTION("""COMPUTED_VALUE"""),"SD2406")</f>
        <v>SD2406</v>
      </c>
      <c r="M1006" s="133"/>
      <c r="N1006" s="133"/>
      <c r="O1006" s="133"/>
      <c r="P1006" s="133"/>
      <c r="Q1006" s="133"/>
      <c r="R1006" s="133"/>
      <c r="S1006" s="133"/>
      <c r="T1006" s="133"/>
      <c r="U1006" s="133"/>
      <c r="V1006" s="133"/>
      <c r="W1006" s="133"/>
      <c r="X1006" s="133"/>
      <c r="Y1006" s="133"/>
      <c r="Z1006" s="133"/>
    </row>
    <row r="1007">
      <c r="A1007" s="133">
        <f>IFERROR(__xludf.DUMMYFUNCTION("""COMPUTED_VALUE"""),1006.0)</f>
        <v>1006</v>
      </c>
      <c r="B1007" s="133" t="str">
        <f>IFERROR(__xludf.DUMMYFUNCTION("""COMPUTED_VALUE"""),"SV5100")</f>
        <v>SV5100</v>
      </c>
      <c r="C1007" s="133" t="str">
        <f>IFERROR(__xludf.DUMMYFUNCTION("""COMPUTED_VALUE"""),"P-1-N-310722-4299")</f>
        <v>P-1-N-310722-4299</v>
      </c>
      <c r="D1007" s="133"/>
      <c r="E1007" s="133" t="str">
        <f>IFERROR(__xludf.DUMMYFUNCTION("""COMPUTED_VALUE"""),"تمت طباعة الشهادة")</f>
        <v>تمت طباعة الشهادة</v>
      </c>
      <c r="F1007" s="133" t="str">
        <f>IFERROR(__xludf.DUMMYFUNCTION("""COMPUTED_VALUE"""),"Sanal Dog Multi Vitamin Paste 100g")</f>
        <v>Sanal Dog Multi Vitamin Paste 100g</v>
      </c>
      <c r="G1007" s="133" t="str">
        <f>IFERROR(__xludf.DUMMYFUNCTION("""COMPUTED_VALUE"""),"سانال دوج ملتي فيتامين بايست 100 جم")</f>
        <v>سانال دوج ملتي فيتامين بايست 100 جم</v>
      </c>
      <c r="H1007" s="133" t="str">
        <f>IFERROR(__xludf.DUMMYFUNCTION("""COMPUTED_VALUE"""),"MAFE20222349")</f>
        <v>MAFE20222349</v>
      </c>
      <c r="I1007" s="133"/>
      <c r="J1007" s="133"/>
      <c r="K1007" s="133" t="str">
        <f>IFERROR(__xludf.DUMMYFUNCTION("""COMPUTED_VALUE"""),"نيدرما بي في")</f>
        <v>نيدرما بي في</v>
      </c>
      <c r="L1007" s="142" t="str">
        <f>IFERROR(__xludf.DUMMYFUNCTION("""COMPUTED_VALUE"""),"SV5100")</f>
        <v>SV5100</v>
      </c>
      <c r="M1007" s="133"/>
      <c r="N1007" s="133"/>
      <c r="O1007" s="133"/>
      <c r="P1007" s="133"/>
      <c r="Q1007" s="133"/>
      <c r="R1007" s="133"/>
      <c r="S1007" s="133"/>
      <c r="T1007" s="133"/>
      <c r="U1007" s="133"/>
      <c r="V1007" s="133"/>
      <c r="W1007" s="133"/>
      <c r="X1007" s="133"/>
      <c r="Y1007" s="133"/>
      <c r="Z1007" s="133"/>
    </row>
    <row r="1008">
      <c r="A1008" s="133">
        <f>IFERROR(__xludf.DUMMYFUNCTION("""COMPUTED_VALUE"""),1007.0)</f>
        <v>1007</v>
      </c>
      <c r="B1008" s="133"/>
      <c r="C1008" s="133" t="str">
        <f>IFERROR(__xludf.DUMMYFUNCTION("""COMPUTED_VALUE"""),"P-1-N-080822-4490")</f>
        <v>P-1-N-080822-4490</v>
      </c>
      <c r="D1008" s="133"/>
      <c r="E1008" s="133" t="str">
        <f>IFERROR(__xludf.DUMMYFUNCTION("""COMPUTED_VALUE"""),"تمت طباعة الشهادة")</f>
        <v>تمت طباعة الشهادة</v>
      </c>
      <c r="F1008" s="133" t="str">
        <f>IFERROR(__xludf.DUMMYFUNCTION("""COMPUTED_VALUE"""),"VL GOLDENFEAST CENTRAL AMERICAN 1.36KG")</f>
        <v>VL GOLDENFEAST CENTRAL AMERICAN 1.36KG</v>
      </c>
      <c r="G1008" s="133" t="str">
        <f>IFERROR(__xludf.DUMMYFUNCTION("""COMPUTED_VALUE"""),"في ال غولدن فييست أمريكا الوسطى 1.36 كجم")</f>
        <v>في ال غولدن فييست أمريكا الوسطى 1.36 كجم</v>
      </c>
      <c r="H1008" s="133" t="str">
        <f>IFERROR(__xludf.DUMMYFUNCTION("""COMPUTED_VALUE"""),"MAFE20222525")</f>
        <v>MAFE20222525</v>
      </c>
      <c r="I1008" s="133"/>
      <c r="J1008" s="133"/>
      <c r="K1008" s="133" t="str">
        <f>IFERROR(__xludf.DUMMYFUNCTION("""COMPUTED_VALUE"""),"مؤسسة مجموعة ذا هيغينز")</f>
        <v>مؤسسة مجموعة ذا هيغينز</v>
      </c>
      <c r="L1008" s="133"/>
      <c r="M1008" s="133"/>
      <c r="N1008" s="133"/>
      <c r="O1008" s="133"/>
      <c r="P1008" s="133"/>
      <c r="Q1008" s="133"/>
      <c r="R1008" s="133"/>
      <c r="S1008" s="133"/>
      <c r="T1008" s="133"/>
      <c r="U1008" s="133"/>
      <c r="V1008" s="133"/>
      <c r="W1008" s="133"/>
      <c r="X1008" s="133"/>
      <c r="Y1008" s="133"/>
      <c r="Z1008" s="133"/>
    </row>
    <row r="1009">
      <c r="A1009" s="133">
        <f>IFERROR(__xludf.DUMMYFUNCTION("""COMPUTED_VALUE"""),1008.0)</f>
        <v>1008</v>
      </c>
      <c r="B1009" s="133"/>
      <c r="C1009" s="133" t="str">
        <f>IFERROR(__xludf.DUMMYFUNCTION("""COMPUTED_VALUE"""),"P-1-N-080822-4491")</f>
        <v>P-1-N-080822-4491</v>
      </c>
      <c r="D1009" s="133"/>
      <c r="E1009" s="133" t="str">
        <f>IFERROR(__xludf.DUMMYFUNCTION("""COMPUTED_VALUE"""),"تمت طباعة الشهادة")</f>
        <v>تمت طباعة الشهادة</v>
      </c>
      <c r="F1009" s="133" t="str">
        <f>IFERROR(__xludf.DUMMYFUNCTION("""COMPUTED_VALUE"""),"VL GOLDENFEAST INDONESIAN 1.36KG")</f>
        <v>VL GOLDENFEAST INDONESIAN 1.36KG</v>
      </c>
      <c r="G1009" s="133" t="str">
        <f>IFERROR(__xludf.DUMMYFUNCTION("""COMPUTED_VALUE"""),"في ال غولدن فييست إندونيسي 1.36 كجم")</f>
        <v>في ال غولدن فييست إندونيسي 1.36 كجم</v>
      </c>
      <c r="H1009" s="133" t="str">
        <f>IFERROR(__xludf.DUMMYFUNCTION("""COMPUTED_VALUE"""),"MAFE20222524")</f>
        <v>MAFE20222524</v>
      </c>
      <c r="I1009" s="133"/>
      <c r="J1009" s="133"/>
      <c r="K1009" s="133" t="str">
        <f>IFERROR(__xludf.DUMMYFUNCTION("""COMPUTED_VALUE"""),"مؤسسة مجموعة ذا هيغينز")</f>
        <v>مؤسسة مجموعة ذا هيغينز</v>
      </c>
      <c r="L1009" s="133"/>
      <c r="M1009" s="133"/>
      <c r="N1009" s="133"/>
      <c r="O1009" s="133"/>
      <c r="P1009" s="133"/>
      <c r="Q1009" s="133"/>
      <c r="R1009" s="133"/>
      <c r="S1009" s="133"/>
      <c r="T1009" s="133"/>
      <c r="U1009" s="133"/>
      <c r="V1009" s="133"/>
      <c r="W1009" s="133"/>
      <c r="X1009" s="133"/>
      <c r="Y1009" s="133"/>
      <c r="Z1009" s="133"/>
    </row>
    <row r="1010">
      <c r="A1010" s="133">
        <f>IFERROR(__xludf.DUMMYFUNCTION("""COMPUTED_VALUE"""),1009.0)</f>
        <v>1009</v>
      </c>
      <c r="B1010" s="133"/>
      <c r="C1010" s="133" t="str">
        <f>IFERROR(__xludf.DUMMYFUNCTION("""COMPUTED_VALUE"""),"P-1-N-080822-4492")</f>
        <v>P-1-N-080822-4492</v>
      </c>
      <c r="D1010" s="133"/>
      <c r="E1010" s="133" t="str">
        <f>IFERROR(__xludf.DUMMYFUNCTION("""COMPUTED_VALUE"""),"تمت طباعة الشهادة")</f>
        <v>تمت طباعة الشهادة</v>
      </c>
      <c r="F1010" s="133" t="str">
        <f>IFERROR(__xludf.DUMMYFUNCTION("""COMPUTED_VALUE"""),"VL GOLDENFEAST MADAGASCAR 1.36KG")</f>
        <v>VL GOLDENFEAST MADAGASCAR 1.36KG</v>
      </c>
      <c r="G1010" s="133" t="str">
        <f>IFERROR(__xludf.DUMMYFUNCTION("""COMPUTED_VALUE"""),"في ال غولدن فييست مدغشقر 1.36 كجم")</f>
        <v>في ال غولدن فييست مدغشقر 1.36 كجم</v>
      </c>
      <c r="H1010" s="133" t="str">
        <f>IFERROR(__xludf.DUMMYFUNCTION("""COMPUTED_VALUE"""),"MAFE20222515")</f>
        <v>MAFE20222515</v>
      </c>
      <c r="I1010" s="133"/>
      <c r="J1010" s="133"/>
      <c r="K1010" s="133" t="str">
        <f>IFERROR(__xludf.DUMMYFUNCTION("""COMPUTED_VALUE"""),"مؤسسة مجموعة ذا هيغينز")</f>
        <v>مؤسسة مجموعة ذا هيغينز</v>
      </c>
      <c r="L1010" s="133"/>
      <c r="M1010" s="133"/>
      <c r="N1010" s="133"/>
      <c r="O1010" s="133"/>
      <c r="P1010" s="133"/>
      <c r="Q1010" s="133"/>
      <c r="R1010" s="133"/>
      <c r="S1010" s="133"/>
      <c r="T1010" s="133"/>
      <c r="U1010" s="133"/>
      <c r="V1010" s="133"/>
      <c r="W1010" s="133"/>
      <c r="X1010" s="133"/>
      <c r="Y1010" s="133"/>
      <c r="Z1010" s="133"/>
    </row>
    <row r="1011">
      <c r="A1011" s="133">
        <f>IFERROR(__xludf.DUMMYFUNCTION("""COMPUTED_VALUE"""),1010.0)</f>
        <v>1010</v>
      </c>
      <c r="B1011" s="133"/>
      <c r="C1011" s="133" t="str">
        <f>IFERROR(__xludf.DUMMYFUNCTION("""COMPUTED_VALUE"""),"P-1-N-080822-4493")</f>
        <v>P-1-N-080822-4493</v>
      </c>
      <c r="D1011" s="133"/>
      <c r="E1011" s="133" t="str">
        <f>IFERROR(__xludf.DUMMYFUNCTION("""COMPUTED_VALUE"""),"تمت طباعة الشهادة")</f>
        <v>تمت طباعة الشهادة</v>
      </c>
      <c r="F1011" s="133" t="str">
        <f>IFERROR(__xludf.DUMMYFUNCTION("""COMPUTED_VALUE"""),"VL GOLDENFEAST AMAZON 1.36KG")</f>
        <v>VL GOLDENFEAST AMAZON 1.36KG</v>
      </c>
      <c r="G1011" s="133" t="str">
        <f>IFERROR(__xludf.DUMMYFUNCTION("""COMPUTED_VALUE"""),"في ال غولدن فييست أمازون 1.36 كجم")</f>
        <v>في ال غولدن فييست أمازون 1.36 كجم</v>
      </c>
      <c r="H1011" s="133" t="str">
        <f>IFERROR(__xludf.DUMMYFUNCTION("""COMPUTED_VALUE"""),"MAFE20222523")</f>
        <v>MAFE20222523</v>
      </c>
      <c r="I1011" s="133"/>
      <c r="J1011" s="133"/>
      <c r="K1011" s="133" t="str">
        <f>IFERROR(__xludf.DUMMYFUNCTION("""COMPUTED_VALUE"""),"مؤسسة مجموعة ذا هيغينز")</f>
        <v>مؤسسة مجموعة ذا هيغينز</v>
      </c>
      <c r="L1011" s="133"/>
      <c r="M1011" s="133"/>
      <c r="N1011" s="133"/>
      <c r="O1011" s="133"/>
      <c r="P1011" s="133"/>
      <c r="Q1011" s="133"/>
      <c r="R1011" s="133"/>
      <c r="S1011" s="133"/>
      <c r="T1011" s="133"/>
      <c r="U1011" s="133"/>
      <c r="V1011" s="133"/>
      <c r="W1011" s="133"/>
      <c r="X1011" s="133"/>
      <c r="Y1011" s="133"/>
      <c r="Z1011" s="133"/>
    </row>
    <row r="1012">
      <c r="A1012" s="133">
        <f>IFERROR(__xludf.DUMMYFUNCTION("""COMPUTED_VALUE"""),1011.0)</f>
        <v>1011</v>
      </c>
      <c r="B1012" s="133"/>
      <c r="C1012" s="133" t="str">
        <f>IFERROR(__xludf.DUMMYFUNCTION("""COMPUTED_VALUE"""),"P-1-N-080822-4494")</f>
        <v>P-1-N-080822-4494</v>
      </c>
      <c r="D1012" s="133"/>
      <c r="E1012" s="133" t="str">
        <f>IFERROR(__xludf.DUMMYFUNCTION("""COMPUTED_VALUE"""),"تمت طباعة الشهادة")</f>
        <v>تمت طباعة الشهادة</v>
      </c>
      <c r="F1012" s="133" t="str">
        <f>IFERROR(__xludf.DUMMYFUNCTION("""COMPUTED_VALUE"""),"VL GOLDENFEAST CARRIBEAN 1.36KG")</f>
        <v>VL GOLDENFEAST CARRIBEAN 1.36KG</v>
      </c>
      <c r="G1012" s="133" t="str">
        <f>IFERROR(__xludf.DUMMYFUNCTION("""COMPUTED_VALUE"""),"في ال غولدن فييست الكاريبي 1.36 كجم")</f>
        <v>في ال غولدن فييست الكاريبي 1.36 كجم</v>
      </c>
      <c r="H1012" s="133" t="str">
        <f>IFERROR(__xludf.DUMMYFUNCTION("""COMPUTED_VALUE"""),"MAFE20222522")</f>
        <v>MAFE20222522</v>
      </c>
      <c r="I1012" s="133"/>
      <c r="J1012" s="133"/>
      <c r="K1012" s="133" t="str">
        <f>IFERROR(__xludf.DUMMYFUNCTION("""COMPUTED_VALUE"""),"مؤسسة مجموعة ذا هيغينز")</f>
        <v>مؤسسة مجموعة ذا هيغينز</v>
      </c>
      <c r="L1012" s="133"/>
      <c r="M1012" s="133"/>
      <c r="N1012" s="133"/>
      <c r="O1012" s="133"/>
      <c r="P1012" s="133"/>
      <c r="Q1012" s="133"/>
      <c r="R1012" s="133"/>
      <c r="S1012" s="133"/>
      <c r="T1012" s="133"/>
      <c r="U1012" s="133"/>
      <c r="V1012" s="133"/>
      <c r="W1012" s="133"/>
      <c r="X1012" s="133"/>
      <c r="Y1012" s="133"/>
      <c r="Z1012" s="133"/>
    </row>
    <row r="1013">
      <c r="A1013" s="133">
        <f>IFERROR(__xludf.DUMMYFUNCTION("""COMPUTED_VALUE"""),1012.0)</f>
        <v>1012</v>
      </c>
      <c r="B1013" s="133"/>
      <c r="C1013" s="133" t="str">
        <f>IFERROR(__xludf.DUMMYFUNCTION("""COMPUTED_VALUE"""),"P-1-N-080822-4495")</f>
        <v>P-1-N-080822-4495</v>
      </c>
      <c r="D1013" s="133"/>
      <c r="E1013" s="133" t="str">
        <f>IFERROR(__xludf.DUMMYFUNCTION("""COMPUTED_VALUE"""),"تمت طباعة الشهادة")</f>
        <v>تمت طباعة الشهادة</v>
      </c>
      <c r="F1013" s="133" t="str">
        <f>IFERROR(__xludf.DUMMYFUNCTION("""COMPUTED_VALUE"""),"VL GOLDENFEAST BONITA NUT 1.36KG")</f>
        <v>VL GOLDENFEAST BONITA NUT 1.36KG</v>
      </c>
      <c r="G1013" s="133" t="str">
        <f>IFERROR(__xludf.DUMMYFUNCTION("""COMPUTED_VALUE"""),"في ال غولدن فييست جوز البونيتا 1.36 كجم")</f>
        <v>في ال غولدن فييست جوز البونيتا 1.36 كجم</v>
      </c>
      <c r="H1013" s="133" t="str">
        <f>IFERROR(__xludf.DUMMYFUNCTION("""COMPUTED_VALUE"""),"MAFE20222513")</f>
        <v>MAFE20222513</v>
      </c>
      <c r="I1013" s="133"/>
      <c r="J1013" s="133"/>
      <c r="K1013" s="133" t="str">
        <f>IFERROR(__xludf.DUMMYFUNCTION("""COMPUTED_VALUE"""),"مؤسسة مجموعة ذا هيغينز")</f>
        <v>مؤسسة مجموعة ذا هيغينز</v>
      </c>
      <c r="L1013" s="133"/>
      <c r="M1013" s="133"/>
      <c r="N1013" s="133"/>
      <c r="O1013" s="133"/>
      <c r="P1013" s="133"/>
      <c r="Q1013" s="133"/>
      <c r="R1013" s="133"/>
      <c r="S1013" s="133"/>
      <c r="T1013" s="133"/>
      <c r="U1013" s="133"/>
      <c r="V1013" s="133"/>
      <c r="W1013" s="133"/>
      <c r="X1013" s="133"/>
      <c r="Y1013" s="133"/>
      <c r="Z1013" s="133"/>
    </row>
    <row r="1014">
      <c r="A1014" s="133">
        <f>IFERROR(__xludf.DUMMYFUNCTION("""COMPUTED_VALUE"""),1013.0)</f>
        <v>1013</v>
      </c>
      <c r="B1014" s="133"/>
      <c r="C1014" s="133" t="str">
        <f>IFERROR(__xludf.DUMMYFUNCTION("""COMPUTED_VALUE"""),"P-1-N-080822-4496")</f>
        <v>P-1-N-080822-4496</v>
      </c>
      <c r="D1014" s="133"/>
      <c r="E1014" s="133" t="str">
        <f>IFERROR(__xludf.DUMMYFUNCTION("""COMPUTED_VALUE"""),"تمت طباعة الشهادة")</f>
        <v>تمت طباعة الشهادة</v>
      </c>
      <c r="F1014" s="133" t="str">
        <f>IFERROR(__xludf.DUMMYFUNCTION("""COMPUTED_VALUE"""),"VL GOLDENFEAST BEAN SUPREME TREAT 1.36KG")</f>
        <v>VL GOLDENFEAST BEAN SUPREME TREAT 1.36KG</v>
      </c>
      <c r="G1014" s="133" t="str">
        <f>IFERROR(__xludf.DUMMYFUNCTION("""COMPUTED_VALUE"""),"في ال غولدن فييست وجبة فول سوبريم 1.36 كجم")</f>
        <v>في ال غولدن فييست وجبة فول سوبريم 1.36 كجم</v>
      </c>
      <c r="H1014" s="133" t="str">
        <f>IFERROR(__xludf.DUMMYFUNCTION("""COMPUTED_VALUE"""),"MAFE20222516")</f>
        <v>MAFE20222516</v>
      </c>
      <c r="I1014" s="133"/>
      <c r="J1014" s="133"/>
      <c r="K1014" s="133" t="str">
        <f>IFERROR(__xludf.DUMMYFUNCTION("""COMPUTED_VALUE"""),"مؤسسة مجموعة ذا هيغينز")</f>
        <v>مؤسسة مجموعة ذا هيغينز</v>
      </c>
      <c r="L1014" s="133"/>
      <c r="M1014" s="133"/>
      <c r="N1014" s="133"/>
      <c r="O1014" s="133"/>
      <c r="P1014" s="133"/>
      <c r="Q1014" s="133"/>
      <c r="R1014" s="133"/>
      <c r="S1014" s="133"/>
      <c r="T1014" s="133"/>
      <c r="U1014" s="133"/>
      <c r="V1014" s="133"/>
      <c r="W1014" s="133"/>
      <c r="X1014" s="133"/>
      <c r="Y1014" s="133"/>
      <c r="Z1014" s="133"/>
    </row>
    <row r="1015">
      <c r="A1015" s="133">
        <f>IFERROR(__xludf.DUMMYFUNCTION("""COMPUTED_VALUE"""),1014.0)</f>
        <v>1014</v>
      </c>
      <c r="B1015" s="133"/>
      <c r="C1015" s="133" t="str">
        <f>IFERROR(__xludf.DUMMYFUNCTION("""COMPUTED_VALUE"""),"P-1-N-080822-4498")</f>
        <v>P-1-N-080822-4498</v>
      </c>
      <c r="D1015" s="133"/>
      <c r="E1015" s="133" t="str">
        <f>IFERROR(__xludf.DUMMYFUNCTION("""COMPUTED_VALUE"""),"تمت طباعة الشهادة")</f>
        <v>تمت طباعة الشهادة</v>
      </c>
      <c r="F1015" s="133" t="str">
        <f>IFERROR(__xludf.DUMMYFUNCTION("""COMPUTED_VALUE"""),"VITA SEED PARROT 1.36KG")</f>
        <v>VITA SEED PARROT 1.36KG</v>
      </c>
      <c r="G1015" s="133" t="str">
        <f>IFERROR(__xludf.DUMMYFUNCTION("""COMPUTED_VALUE"""),"فيتا سييد ببغاء 1.36 كجم")</f>
        <v>فيتا سييد ببغاء 1.36 كجم</v>
      </c>
      <c r="H1015" s="133" t="str">
        <f>IFERROR(__xludf.DUMMYFUNCTION("""COMPUTED_VALUE"""),"MAFE20222521")</f>
        <v>MAFE20222521</v>
      </c>
      <c r="I1015" s="133"/>
      <c r="J1015" s="133"/>
      <c r="K1015" s="133" t="str">
        <f>IFERROR(__xludf.DUMMYFUNCTION("""COMPUTED_VALUE"""),"مؤسسة مجموعة ذا هيغينز")</f>
        <v>مؤسسة مجموعة ذا هيغينز</v>
      </c>
      <c r="L1015" s="133"/>
      <c r="M1015" s="133"/>
      <c r="N1015" s="133"/>
      <c r="O1015" s="133"/>
      <c r="P1015" s="133"/>
      <c r="Q1015" s="133"/>
      <c r="R1015" s="133"/>
      <c r="S1015" s="133"/>
      <c r="T1015" s="133"/>
      <c r="U1015" s="133"/>
      <c r="V1015" s="133"/>
      <c r="W1015" s="133"/>
      <c r="X1015" s="133"/>
      <c r="Y1015" s="133"/>
      <c r="Z1015" s="133"/>
    </row>
    <row r="1016">
      <c r="A1016" s="133">
        <f>IFERROR(__xludf.DUMMYFUNCTION("""COMPUTED_VALUE"""),1015.0)</f>
        <v>1015</v>
      </c>
      <c r="B1016" s="133"/>
      <c r="C1016" s="133" t="str">
        <f>IFERROR(__xludf.DUMMYFUNCTION("""COMPUTED_VALUE"""),"P-1-N-080822-4499")</f>
        <v>P-1-N-080822-4499</v>
      </c>
      <c r="D1016" s="133"/>
      <c r="E1016" s="133" t="str">
        <f>IFERROR(__xludf.DUMMYFUNCTION("""COMPUTED_VALUE"""),"تمت طباعة الشهادة")</f>
        <v>تمت طباعة الشهادة</v>
      </c>
      <c r="F1016" s="133" t="str">
        <f>IFERROR(__xludf.DUMMYFUNCTION("""COMPUTED_VALUE"""),"VITA SEED CONURE/LOVEBIRD 1.13KG")</f>
        <v>VITA SEED CONURE/LOVEBIRD 1.13KG</v>
      </c>
      <c r="G1016" s="133" t="str">
        <f>IFERROR(__xludf.DUMMYFUNCTION("""COMPUTED_VALUE"""),"فيتا سييد كونيور / طيور الحب 1.13 كجم")</f>
        <v>فيتا سييد كونيور / طيور الحب 1.13 كجم</v>
      </c>
      <c r="H1016" s="133" t="str">
        <f>IFERROR(__xludf.DUMMYFUNCTION("""COMPUTED_VALUE"""),"MAFE20222520")</f>
        <v>MAFE20222520</v>
      </c>
      <c r="I1016" s="133"/>
      <c r="J1016" s="133"/>
      <c r="K1016" s="133" t="str">
        <f>IFERROR(__xludf.DUMMYFUNCTION("""COMPUTED_VALUE"""),"مؤسسة مجموعة ذا هيغينز")</f>
        <v>مؤسسة مجموعة ذا هيغينز</v>
      </c>
      <c r="L1016" s="133"/>
      <c r="M1016" s="133"/>
      <c r="N1016" s="133"/>
      <c r="O1016" s="133"/>
      <c r="P1016" s="133"/>
      <c r="Q1016" s="133"/>
      <c r="R1016" s="133"/>
      <c r="S1016" s="133"/>
      <c r="T1016" s="133"/>
      <c r="U1016" s="133"/>
      <c r="V1016" s="133"/>
      <c r="W1016" s="133"/>
      <c r="X1016" s="133"/>
      <c r="Y1016" s="133"/>
      <c r="Z1016" s="133"/>
    </row>
    <row r="1017">
      <c r="A1017" s="133">
        <f>IFERROR(__xludf.DUMMYFUNCTION("""COMPUTED_VALUE"""),1016.0)</f>
        <v>1016</v>
      </c>
      <c r="B1017" s="133"/>
      <c r="C1017" s="133" t="str">
        <f>IFERROR(__xludf.DUMMYFUNCTION("""COMPUTED_VALUE"""),"P-1-N-080822-4500")</f>
        <v>P-1-N-080822-4500</v>
      </c>
      <c r="D1017" s="133"/>
      <c r="E1017" s="133" t="str">
        <f>IFERROR(__xludf.DUMMYFUNCTION("""COMPUTED_VALUE"""),"تمت طباعة الشهادة")</f>
        <v>تمت طباعة الشهادة</v>
      </c>
      <c r="F1017" s="133" t="str">
        <f>IFERROR(__xludf.DUMMYFUNCTION("""COMPUTED_VALUE"""),"VITA SEED COCKATIEL 1.13KG")</f>
        <v>VITA SEED COCKATIEL 1.13KG</v>
      </c>
      <c r="G1017" s="133" t="str">
        <f>IFERROR(__xludf.DUMMYFUNCTION("""COMPUTED_VALUE"""),"فيتا سييد كوكاتيل 1.13 كجم")</f>
        <v>فيتا سييد كوكاتيل 1.13 كجم</v>
      </c>
      <c r="H1017" s="133" t="str">
        <f>IFERROR(__xludf.DUMMYFUNCTION("""COMPUTED_VALUE"""),"MAFE20222519")</f>
        <v>MAFE20222519</v>
      </c>
      <c r="I1017" s="133"/>
      <c r="J1017" s="133"/>
      <c r="K1017" s="133" t="str">
        <f>IFERROR(__xludf.DUMMYFUNCTION("""COMPUTED_VALUE"""),"مؤسسة مجموعة ذا هيغينز")</f>
        <v>مؤسسة مجموعة ذا هيغينز</v>
      </c>
      <c r="L1017" s="133"/>
      <c r="M1017" s="133"/>
      <c r="N1017" s="133"/>
      <c r="O1017" s="133"/>
      <c r="P1017" s="133"/>
      <c r="Q1017" s="133"/>
      <c r="R1017" s="133"/>
      <c r="S1017" s="133"/>
      <c r="T1017" s="133"/>
      <c r="U1017" s="133"/>
      <c r="V1017" s="133"/>
      <c r="W1017" s="133"/>
      <c r="X1017" s="133"/>
      <c r="Y1017" s="133"/>
      <c r="Z1017" s="133"/>
    </row>
    <row r="1018">
      <c r="A1018" s="133">
        <f>IFERROR(__xludf.DUMMYFUNCTION("""COMPUTED_VALUE"""),1017.0)</f>
        <v>1017</v>
      </c>
      <c r="B1018" s="133"/>
      <c r="C1018" s="133" t="str">
        <f>IFERROR(__xludf.DUMMYFUNCTION("""COMPUTED_VALUE"""),"P-1-N-080822-4501")</f>
        <v>P-1-N-080822-4501</v>
      </c>
      <c r="D1018" s="133"/>
      <c r="E1018" s="133" t="str">
        <f>IFERROR(__xludf.DUMMYFUNCTION("""COMPUTED_VALUE"""),"تمت طباعة الشهادة")</f>
        <v>تمت طباعة الشهادة</v>
      </c>
      <c r="F1018" s="133" t="str">
        <f>IFERROR(__xludf.DUMMYFUNCTION("""COMPUTED_VALUE"""),"MAYAN HARVEST YUCATAN 1.36KG")</f>
        <v>MAYAN HARVEST YUCATAN 1.36KG</v>
      </c>
      <c r="G1018" s="133" t="str">
        <f>IFERROR(__xludf.DUMMYFUNCTION("""COMPUTED_VALUE"""),"مايان هارفست يوكاتان 1.36 كجم")</f>
        <v>مايان هارفست يوكاتان 1.36 كجم</v>
      </c>
      <c r="H1018" s="133" t="str">
        <f>IFERROR(__xludf.DUMMYFUNCTION("""COMPUTED_VALUE"""),"MAFE20222518")</f>
        <v>MAFE20222518</v>
      </c>
      <c r="I1018" s="133"/>
      <c r="J1018" s="133"/>
      <c r="K1018" s="133" t="str">
        <f>IFERROR(__xludf.DUMMYFUNCTION("""COMPUTED_VALUE"""),"مؤسسة مجموعة ذا هيغينز")</f>
        <v>مؤسسة مجموعة ذا هيغينز</v>
      </c>
      <c r="L1018" s="133"/>
      <c r="M1018" s="133"/>
      <c r="N1018" s="133"/>
      <c r="O1018" s="133"/>
      <c r="P1018" s="133"/>
      <c r="Q1018" s="133"/>
      <c r="R1018" s="133"/>
      <c r="S1018" s="133"/>
      <c r="T1018" s="133"/>
      <c r="U1018" s="133"/>
      <c r="V1018" s="133"/>
      <c r="W1018" s="133"/>
      <c r="X1018" s="133"/>
      <c r="Y1018" s="133"/>
      <c r="Z1018" s="133"/>
    </row>
    <row r="1019">
      <c r="A1019" s="133">
        <f>IFERROR(__xludf.DUMMYFUNCTION("""COMPUTED_VALUE"""),1018.0)</f>
        <v>1018</v>
      </c>
      <c r="B1019" s="133"/>
      <c r="C1019" s="133" t="str">
        <f>IFERROR(__xludf.DUMMYFUNCTION("""COMPUTED_VALUE"""),"P-1-N-080822-4502")</f>
        <v>P-1-N-080822-4502</v>
      </c>
      <c r="D1019" s="133"/>
      <c r="E1019" s="133" t="str">
        <f>IFERROR(__xludf.DUMMYFUNCTION("""COMPUTED_VALUE"""),"تمت طباعة الشهادة")</f>
        <v>تمت طباعة الشهادة</v>
      </c>
      <c r="F1019" s="133" t="str">
        <f>IFERROR(__xludf.DUMMYFUNCTION("""COMPUTED_VALUE"""),"MAYAN HARVEST TIKAL 1.36KG")</f>
        <v>MAYAN HARVEST TIKAL 1.36KG</v>
      </c>
      <c r="G1019" s="133" t="str">
        <f>IFERROR(__xludf.DUMMYFUNCTION("""COMPUTED_VALUE"""),"مايان هارفست تيكال 1.36 كجم")</f>
        <v>مايان هارفست تيكال 1.36 كجم</v>
      </c>
      <c r="H1019" s="133" t="str">
        <f>IFERROR(__xludf.DUMMYFUNCTION("""COMPUTED_VALUE"""),"MAFE20222512")</f>
        <v>MAFE20222512</v>
      </c>
      <c r="I1019" s="133"/>
      <c r="J1019" s="133"/>
      <c r="K1019" s="133" t="str">
        <f>IFERROR(__xludf.DUMMYFUNCTION("""COMPUTED_VALUE"""),"مؤسسة مجموعة ذا هيغينز")</f>
        <v>مؤسسة مجموعة ذا هيغينز</v>
      </c>
      <c r="L1019" s="133"/>
      <c r="M1019" s="133"/>
      <c r="N1019" s="133"/>
      <c r="O1019" s="133"/>
      <c r="P1019" s="133"/>
      <c r="Q1019" s="133"/>
      <c r="R1019" s="133"/>
      <c r="S1019" s="133"/>
      <c r="T1019" s="133"/>
      <c r="U1019" s="133"/>
      <c r="V1019" s="133"/>
      <c r="W1019" s="133"/>
      <c r="X1019" s="133"/>
      <c r="Y1019" s="133"/>
      <c r="Z1019" s="133"/>
    </row>
    <row r="1020">
      <c r="A1020" s="133">
        <f>IFERROR(__xludf.DUMMYFUNCTION("""COMPUTED_VALUE"""),1019.0)</f>
        <v>1019</v>
      </c>
      <c r="B1020" s="133" t="str">
        <f>IFERROR(__xludf.DUMMYFUNCTION("""COMPUTED_VALUE"""),"HS30236")</f>
        <v>HS30236</v>
      </c>
      <c r="C1020" s="133" t="str">
        <f>IFERROR(__xludf.DUMMYFUNCTION("""COMPUTED_VALUE"""),"P-1-N-080822-4503")</f>
        <v>P-1-N-080822-4503</v>
      </c>
      <c r="D1020" s="133"/>
      <c r="E1020" s="133" t="str">
        <f>IFERROR(__xludf.DUMMYFUNCTION("""COMPUTED_VALUE"""),"تمت طباعة الشهادة")</f>
        <v>تمت طباعة الشهادة</v>
      </c>
      <c r="F1020" s="133" t="str">
        <f>IFERROR(__xludf.DUMMYFUNCTION("""COMPUTED_VALUE"""),"SUNBURST CONURE 1.36KG")</f>
        <v>SUNBURST CONURE 1.36KG</v>
      </c>
      <c r="G1020" s="133" t="str">
        <f>IFERROR(__xludf.DUMMYFUNCTION("""COMPUTED_VALUE"""),"صنبرست كونيور 1.36 كجم")</f>
        <v>صنبرست كونيور 1.36 كجم</v>
      </c>
      <c r="H1020" s="133" t="str">
        <f>IFERROR(__xludf.DUMMYFUNCTION("""COMPUTED_VALUE"""),"MAFE20222517")</f>
        <v>MAFE20222517</v>
      </c>
      <c r="I1020" s="133"/>
      <c r="J1020" s="133"/>
      <c r="K1020" s="133" t="str">
        <f>IFERROR(__xludf.DUMMYFUNCTION("""COMPUTED_VALUE"""),"مؤسسة مجموعة ذا هيغينز")</f>
        <v>مؤسسة مجموعة ذا هيغينز</v>
      </c>
      <c r="L1020" s="142" t="str">
        <f>IFERROR(__xludf.DUMMYFUNCTION("""COMPUTED_VALUE"""),"HS30236")</f>
        <v>HS30236</v>
      </c>
      <c r="M1020" s="133"/>
      <c r="N1020" s="133"/>
      <c r="O1020" s="133"/>
      <c r="P1020" s="133"/>
      <c r="Q1020" s="133"/>
      <c r="R1020" s="133"/>
      <c r="S1020" s="133"/>
      <c r="T1020" s="133"/>
      <c r="U1020" s="133"/>
      <c r="V1020" s="133"/>
      <c r="W1020" s="133"/>
      <c r="X1020" s="133"/>
      <c r="Y1020" s="133"/>
      <c r="Z1020" s="133"/>
    </row>
    <row r="1021">
      <c r="A1021" s="133">
        <f>IFERROR(__xludf.DUMMYFUNCTION("""COMPUTED_VALUE"""),1020.0)</f>
        <v>1020</v>
      </c>
      <c r="B1021" s="133"/>
      <c r="C1021" s="133" t="str">
        <f>IFERROR(__xludf.DUMMYFUNCTION("""COMPUTED_VALUE"""),"P-1-N-080822-4504")</f>
        <v>P-1-N-080822-4504</v>
      </c>
      <c r="D1021" s="133"/>
      <c r="E1021" s="133" t="str">
        <f>IFERROR(__xludf.DUMMYFUNCTION("""COMPUTED_VALUE"""),"تمت طباعة الشهادة")</f>
        <v>تمت طباعة الشهادة</v>
      </c>
      <c r="F1021" s="133" t="str">
        <f>IFERROR(__xludf.DUMMYFUNCTION("""COMPUTED_VALUE"""),"SUNBURST PARROT 1.36KG")</f>
        <v>SUNBURST PARROT 1.36KG</v>
      </c>
      <c r="G1021" s="133" t="str">
        <f>IFERROR(__xludf.DUMMYFUNCTION("""COMPUTED_VALUE"""),"صنبرست ببغاء 1.36 كجم")</f>
        <v>صنبرست ببغاء 1.36 كجم</v>
      </c>
      <c r="H1021" s="133" t="str">
        <f>IFERROR(__xludf.DUMMYFUNCTION("""COMPUTED_VALUE"""),"MAFE20222514")</f>
        <v>MAFE20222514</v>
      </c>
      <c r="I1021" s="133"/>
      <c r="J1021" s="133"/>
      <c r="K1021" s="133" t="str">
        <f>IFERROR(__xludf.DUMMYFUNCTION("""COMPUTED_VALUE"""),"مؤسسة مجموعة ذا هيغينز")</f>
        <v>مؤسسة مجموعة ذا هيغينز</v>
      </c>
      <c r="L1021" s="133"/>
      <c r="M1021" s="133"/>
      <c r="N1021" s="133"/>
      <c r="O1021" s="133"/>
      <c r="P1021" s="133"/>
      <c r="Q1021" s="133"/>
      <c r="R1021" s="133"/>
      <c r="S1021" s="133"/>
      <c r="T1021" s="133"/>
      <c r="U1021" s="133"/>
      <c r="V1021" s="133"/>
      <c r="W1021" s="133"/>
      <c r="X1021" s="133"/>
      <c r="Y1021" s="133"/>
      <c r="Z1021" s="133"/>
    </row>
    <row r="1022">
      <c r="A1022" s="133">
        <f>IFERROR(__xludf.DUMMYFUNCTION("""COMPUTED_VALUE"""),1021.0)</f>
        <v>1021</v>
      </c>
      <c r="B1022" s="133" t="str">
        <f>IFERROR(__xludf.DUMMYFUNCTION("""COMPUTED_VALUE"""),"HS32250")</f>
        <v>HS32250</v>
      </c>
      <c r="C1022" s="133" t="str">
        <f>IFERROR(__xludf.DUMMYFUNCTION("""COMPUTED_VALUE"""),"P-1-N-080822-4505")</f>
        <v>P-1-N-080822-4505</v>
      </c>
      <c r="D1022" s="133"/>
      <c r="E1022" s="133" t="str">
        <f>IFERROR(__xludf.DUMMYFUNCTION("""COMPUTED_VALUE"""),"تمت طباعة الشهادة")</f>
        <v>تمت طباعة الشهادة</v>
      </c>
      <c r="F1022" s="133" t="str">
        <f>IFERROR(__xludf.DUMMYFUNCTION("""COMPUTED_VALUE"""),"SUNBURST TREATS FRUIT TO NUTS 141.75G")</f>
        <v>SUNBURST TREATS FRUIT TO NUTS 141.75G</v>
      </c>
      <c r="G1022" s="133" t="str">
        <f>IFERROR(__xludf.DUMMYFUNCTION("""COMPUTED_VALUE"""),"صنبرست وجبة ممتعة من الفاكهة إلى المكسرات 141.75 جم")</f>
        <v>صنبرست وجبة ممتعة من الفاكهة إلى المكسرات 141.75 جم</v>
      </c>
      <c r="H1022" s="133" t="str">
        <f>IFERROR(__xludf.DUMMYFUNCTION("""COMPUTED_VALUE"""),"MAFE20222511")</f>
        <v>MAFE20222511</v>
      </c>
      <c r="I1022" s="133"/>
      <c r="J1022" s="133"/>
      <c r="K1022" s="133" t="str">
        <f>IFERROR(__xludf.DUMMYFUNCTION("""COMPUTED_VALUE"""),"مؤسسة مجموعة ذا هيغينز")</f>
        <v>مؤسسة مجموعة ذا هيغينز</v>
      </c>
      <c r="L1022" s="142" t="str">
        <f>IFERROR(__xludf.DUMMYFUNCTION("""COMPUTED_VALUE"""),"HS32250")</f>
        <v>HS32250</v>
      </c>
      <c r="M1022" s="133"/>
      <c r="N1022" s="133"/>
      <c r="O1022" s="133"/>
      <c r="P1022" s="133"/>
      <c r="Q1022" s="133"/>
      <c r="R1022" s="133"/>
      <c r="S1022" s="133"/>
      <c r="T1022" s="133"/>
      <c r="U1022" s="133"/>
      <c r="V1022" s="133"/>
      <c r="W1022" s="133"/>
      <c r="X1022" s="133"/>
      <c r="Y1022" s="133"/>
      <c r="Z1022" s="133"/>
    </row>
    <row r="1023">
      <c r="A1023" s="133">
        <f>IFERROR(__xludf.DUMMYFUNCTION("""COMPUTED_VALUE"""),1022.0)</f>
        <v>1022</v>
      </c>
      <c r="B1023" s="133"/>
      <c r="C1023" s="133" t="str">
        <f>IFERROR(__xludf.DUMMYFUNCTION("""COMPUTED_VALUE"""),"P-1-N-080822-4506")</f>
        <v>P-1-N-080822-4506</v>
      </c>
      <c r="D1023" s="133"/>
      <c r="E1023" s="133" t="str">
        <f>IFERROR(__xludf.DUMMYFUNCTION("""COMPUTED_VALUE"""),"تمت طباعة الشهادة")</f>
        <v>تمت طباعة الشهادة</v>
      </c>
      <c r="F1023" s="133" t="str">
        <f>IFERROR(__xludf.DUMMYFUNCTION("""COMPUTED_VALUE"""),"PROTEIN EGG FOOD 141.75G")</f>
        <v>PROTEIN EGG FOOD 141.75G</v>
      </c>
      <c r="G1023" s="133" t="str">
        <f>IFERROR(__xludf.DUMMYFUNCTION("""COMPUTED_VALUE"""),"غذاء بروتين البيض 141.75 جم")</f>
        <v>غذاء بروتين البيض 141.75 جم</v>
      </c>
      <c r="H1023" s="133" t="str">
        <f>IFERROR(__xludf.DUMMYFUNCTION("""COMPUTED_VALUE"""),"MAFE20222510")</f>
        <v>MAFE20222510</v>
      </c>
      <c r="I1023" s="133"/>
      <c r="J1023" s="133"/>
      <c r="K1023" s="133" t="str">
        <f>IFERROR(__xludf.DUMMYFUNCTION("""COMPUTED_VALUE"""),"مؤسسة مجموعة ذا هيغينز")</f>
        <v>مؤسسة مجموعة ذا هيغينز</v>
      </c>
      <c r="L1023" s="133"/>
      <c r="M1023" s="133"/>
      <c r="N1023" s="133"/>
      <c r="O1023" s="133"/>
      <c r="P1023" s="133"/>
      <c r="Q1023" s="133"/>
      <c r="R1023" s="133"/>
      <c r="S1023" s="133"/>
      <c r="T1023" s="133"/>
      <c r="U1023" s="133"/>
      <c r="V1023" s="133"/>
      <c r="W1023" s="133"/>
      <c r="X1023" s="133"/>
      <c r="Y1023" s="133"/>
      <c r="Z1023" s="133"/>
    </row>
    <row r="1024">
      <c r="A1024" s="133">
        <f>IFERROR(__xludf.DUMMYFUNCTION("""COMPUTED_VALUE"""),1023.0)</f>
        <v>1023</v>
      </c>
      <c r="B1024" s="133" t="str">
        <f>IFERROR(__xludf.DUMMYFUNCTION("""COMPUTED_VALUE"""),"C01072010")</f>
        <v>C01072010</v>
      </c>
      <c r="C1024" s="133" t="str">
        <f>IFERROR(__xludf.DUMMYFUNCTION("""COMPUTED_VALUE"""),"P-1-N-080822-4519")</f>
        <v>P-1-N-080822-4519</v>
      </c>
      <c r="D1024" s="133"/>
      <c r="E1024" s="133" t="str">
        <f>IFERROR(__xludf.DUMMYFUNCTION("""COMPUTED_VALUE"""),"تمت طباعة الشهادة")</f>
        <v>تمت طباعة الشهادة</v>
      </c>
      <c r="F1024" s="133" t="str">
        <f>IFERROR(__xludf.DUMMYFUNCTION("""COMPUTED_VALUE"""),"SCHESIR KITTEN CHICKEN CREAM 150g")</f>
        <v>SCHESIR KITTEN CHICKEN CREAM 150g</v>
      </c>
      <c r="G1024" s="133" t="str">
        <f>IFERROR(__xludf.DUMMYFUNCTION("""COMPUTED_VALUE"""),"شيزيركيتن كريمة الدجاج 150 جم")</f>
        <v>شيزيركيتن كريمة الدجاج 150 جم</v>
      </c>
      <c r="H1024" s="133" t="str">
        <f>IFERROR(__xludf.DUMMYFUNCTION("""COMPUTED_VALUE"""),"MAFE20222644")</f>
        <v>MAFE20222644</v>
      </c>
      <c r="I1024" s="133"/>
      <c r="J1024" s="133"/>
      <c r="K1024" s="133" t="str">
        <f>IFERROR(__xludf.DUMMYFUNCTION("""COMPUTED_VALUE"""),"شركة التحالف الآسيوي الدولية المحدودة")</f>
        <v>شركة التحالف الآسيوي الدولية المحدودة</v>
      </c>
      <c r="L1024" s="142" t="str">
        <f>IFERROR(__xludf.DUMMYFUNCTION("""COMPUTED_VALUE"""),"C01072010")</f>
        <v>C01072010</v>
      </c>
      <c r="M1024" s="133"/>
      <c r="N1024" s="133"/>
      <c r="O1024" s="133"/>
      <c r="P1024" s="133"/>
      <c r="Q1024" s="133"/>
      <c r="R1024" s="133"/>
      <c r="S1024" s="133"/>
      <c r="T1024" s="133"/>
      <c r="U1024" s="133"/>
      <c r="V1024" s="133"/>
      <c r="W1024" s="133"/>
      <c r="X1024" s="133"/>
      <c r="Y1024" s="133"/>
      <c r="Z1024" s="133"/>
    </row>
    <row r="1025">
      <c r="A1025" s="133">
        <f>IFERROR(__xludf.DUMMYFUNCTION("""COMPUTED_VALUE"""),1024.0)</f>
        <v>1024</v>
      </c>
      <c r="B1025" s="133" t="str">
        <f>IFERROR(__xludf.DUMMYFUNCTION("""COMPUTED_VALUE"""),"C01072020")</f>
        <v>C01072020</v>
      </c>
      <c r="C1025" s="133" t="str">
        <f>IFERROR(__xludf.DUMMYFUNCTION("""COMPUTED_VALUE"""),"P-1-N-080822-4520")</f>
        <v>P-1-N-080822-4520</v>
      </c>
      <c r="D1025" s="133"/>
      <c r="E1025" s="133" t="str">
        <f>IFERROR(__xludf.DUMMYFUNCTION("""COMPUTED_VALUE"""),"تمت طباعة الشهادة")</f>
        <v>تمت طباعة الشهادة</v>
      </c>
      <c r="F1025" s="133" t="str">
        <f>IFERROR(__xludf.DUMMYFUNCTION("""COMPUTED_VALUE"""),"Schesir Kitten Tuna Cream 150g")</f>
        <v>Schesir Kitten Tuna Cream 150g</v>
      </c>
      <c r="G1025" s="133" t="str">
        <f>IFERROR(__xludf.DUMMYFUNCTION("""COMPUTED_VALUE"""),"شيزيركيتن كريمة التونة 150 جم")</f>
        <v>شيزيركيتن كريمة التونة 150 جم</v>
      </c>
      <c r="H1025" s="133" t="str">
        <f>IFERROR(__xludf.DUMMYFUNCTION("""COMPUTED_VALUE"""),"MAFE20222643")</f>
        <v>MAFE20222643</v>
      </c>
      <c r="I1025" s="133"/>
      <c r="J1025" s="133"/>
      <c r="K1025" s="133" t="str">
        <f>IFERROR(__xludf.DUMMYFUNCTION("""COMPUTED_VALUE"""),"شركة التحالف الآسيوي الدولية المحدودة")</f>
        <v>شركة التحالف الآسيوي الدولية المحدودة</v>
      </c>
      <c r="L1025" s="142" t="str">
        <f>IFERROR(__xludf.DUMMYFUNCTION("""COMPUTED_VALUE"""),"C01072020")</f>
        <v>C01072020</v>
      </c>
      <c r="M1025" s="133"/>
      <c r="N1025" s="133"/>
      <c r="O1025" s="133"/>
      <c r="P1025" s="133"/>
      <c r="Q1025" s="133"/>
      <c r="R1025" s="133"/>
      <c r="S1025" s="133"/>
      <c r="T1025" s="133"/>
      <c r="U1025" s="133"/>
      <c r="V1025" s="133"/>
      <c r="W1025" s="133"/>
      <c r="X1025" s="133"/>
      <c r="Y1025" s="133"/>
      <c r="Z1025" s="133"/>
    </row>
    <row r="1026">
      <c r="A1026" s="133">
        <f>IFERROR(__xludf.DUMMYFUNCTION("""COMPUTED_VALUE"""),1025.0)</f>
        <v>1025</v>
      </c>
      <c r="B1026" s="133" t="str">
        <f>IFERROR(__xludf.DUMMYFUNCTION("""COMPUTED_VALUE"""),"C01072310")</f>
        <v>C01072310</v>
      </c>
      <c r="C1026" s="133" t="str">
        <f>IFERROR(__xludf.DUMMYFUNCTION("""COMPUTED_VALUE"""),"P-1-N-080822-4522")</f>
        <v>P-1-N-080822-4522</v>
      </c>
      <c r="D1026" s="133"/>
      <c r="E1026" s="133" t="str">
        <f>IFERROR(__xludf.DUMMYFUNCTION("""COMPUTED_VALUE"""),"تمت طباعة الشهادة")</f>
        <v>تمت طباعة الشهادة</v>
      </c>
      <c r="F1026" s="133" t="str">
        <f>IFERROR(__xludf.DUMMYFUNCTION("""COMPUTED_VALUE"""),"SCHESIR KITTEN CHICKEN MOUSSE 85g")</f>
        <v>SCHESIR KITTEN CHICKEN MOUSSE 85g</v>
      </c>
      <c r="G1026" s="133" t="str">
        <f>IFERROR(__xludf.DUMMYFUNCTION("""COMPUTED_VALUE"""),"شيزير كيتن موس دجاج 85 جم")</f>
        <v>شيزير كيتن موس دجاج 85 جم</v>
      </c>
      <c r="H1026" s="133" t="str">
        <f>IFERROR(__xludf.DUMMYFUNCTION("""COMPUTED_VALUE"""),"MAFE20222686")</f>
        <v>MAFE20222686</v>
      </c>
      <c r="I1026" s="133"/>
      <c r="J1026" s="133"/>
      <c r="K1026" s="133" t="str">
        <f>IFERROR(__xludf.DUMMYFUNCTION("""COMPUTED_VALUE"""),"شركة التحالف الآسيوي الدولية المحدودة")</f>
        <v>شركة التحالف الآسيوي الدولية المحدودة</v>
      </c>
      <c r="L1026" s="142" t="str">
        <f>IFERROR(__xludf.DUMMYFUNCTION("""COMPUTED_VALUE"""),"C01072310")</f>
        <v>C01072310</v>
      </c>
      <c r="M1026" s="133"/>
      <c r="N1026" s="133"/>
      <c r="O1026" s="133"/>
      <c r="P1026" s="133"/>
      <c r="Q1026" s="133"/>
      <c r="R1026" s="133"/>
      <c r="S1026" s="133"/>
      <c r="T1026" s="133"/>
      <c r="U1026" s="133"/>
      <c r="V1026" s="133"/>
      <c r="W1026" s="133"/>
      <c r="X1026" s="133"/>
      <c r="Y1026" s="133"/>
      <c r="Z1026" s="133"/>
    </row>
    <row r="1027">
      <c r="A1027" s="133">
        <f>IFERROR(__xludf.DUMMYFUNCTION("""COMPUTED_VALUE"""),1026.0)</f>
        <v>1026</v>
      </c>
      <c r="B1027" s="133" t="str">
        <f>IFERROR(__xludf.DUMMYFUNCTION("""COMPUTED_VALUE"""),"C01072320")</f>
        <v>C01072320</v>
      </c>
      <c r="C1027" s="133" t="str">
        <f>IFERROR(__xludf.DUMMYFUNCTION("""COMPUTED_VALUE"""),"P-1-N-080822-4523")</f>
        <v>P-1-N-080822-4523</v>
      </c>
      <c r="D1027" s="133"/>
      <c r="E1027" s="133" t="str">
        <f>IFERROR(__xludf.DUMMYFUNCTION("""COMPUTED_VALUE"""),"تمت طباعة الشهادة")</f>
        <v>تمت طباعة الشهادة</v>
      </c>
      <c r="F1027" s="133" t="str">
        <f>IFERROR(__xludf.DUMMYFUNCTION("""COMPUTED_VALUE"""),"Schesir Kitten Tuna Mousse 85g")</f>
        <v>Schesir Kitten Tuna Mousse 85g</v>
      </c>
      <c r="G1027" s="133" t="str">
        <f>IFERROR(__xludf.DUMMYFUNCTION("""COMPUTED_VALUE"""),"شيزير كيتن موس تونة 85 جم")</f>
        <v>شيزير كيتن موس تونة 85 جم</v>
      </c>
      <c r="H1027" s="133" t="str">
        <f>IFERROR(__xludf.DUMMYFUNCTION("""COMPUTED_VALUE"""),"MAFE20222677")</f>
        <v>MAFE20222677</v>
      </c>
      <c r="I1027" s="133"/>
      <c r="J1027" s="133"/>
      <c r="K1027" s="133" t="str">
        <f>IFERROR(__xludf.DUMMYFUNCTION("""COMPUTED_VALUE"""),"شركة التحالف الآسيوي الدولية المحدودة")</f>
        <v>شركة التحالف الآسيوي الدولية المحدودة</v>
      </c>
      <c r="L1027" s="142" t="str">
        <f>IFERROR(__xludf.DUMMYFUNCTION("""COMPUTED_VALUE"""),"C01072320")</f>
        <v>C01072320</v>
      </c>
      <c r="M1027" s="133"/>
      <c r="N1027" s="133"/>
      <c r="O1027" s="133"/>
      <c r="P1027" s="133"/>
      <c r="Q1027" s="133"/>
      <c r="R1027" s="133"/>
      <c r="S1027" s="133"/>
      <c r="T1027" s="133"/>
      <c r="U1027" s="133"/>
      <c r="V1027" s="133"/>
      <c r="W1027" s="133"/>
      <c r="X1027" s="133"/>
      <c r="Y1027" s="133"/>
      <c r="Z1027" s="133"/>
    </row>
    <row r="1028">
      <c r="A1028" s="133">
        <f>IFERROR(__xludf.DUMMYFUNCTION("""COMPUTED_VALUE"""),1027.0)</f>
        <v>1027</v>
      </c>
      <c r="B1028" s="133" t="str">
        <f>IFERROR(__xludf.DUMMYFUNCTION("""COMPUTED_VALUE"""),"FB1031097")</f>
        <v>FB1031097</v>
      </c>
      <c r="C1028" s="133" t="str">
        <f>IFERROR(__xludf.DUMMYFUNCTION("""COMPUTED_VALUE"""),"P-1-N-140822-4663")</f>
        <v>P-1-N-140822-4663</v>
      </c>
      <c r="D1028" s="133"/>
      <c r="E1028" s="133" t="str">
        <f>IFERROR(__xludf.DUMMYFUNCTION("""COMPUTED_VALUE"""),"تمت طباعة الشهادة")</f>
        <v>تمت طباعة الشهادة</v>
      </c>
      <c r="F1028" s="133" t="str">
        <f>IFERROR(__xludf.DUMMYFUNCTION("""COMPUTED_VALUE"""),"Fruitables Yogos Real Yogurt &amp; Strawberry/Banana Treats 340g")</f>
        <v>Fruitables Yogos Real Yogurt &amp; Strawberry/Banana Treats 340g</v>
      </c>
      <c r="G1028" s="133" t="str">
        <f>IFERROR(__xludf.DUMMYFUNCTION("""COMPUTED_VALUE"""),"فروتابلز يوغوز وجبة ممتعة بالزبادي الحقيقي والفراولة والموز 340 جم")</f>
        <v>فروتابلز يوغوز وجبة ممتعة بالزبادي الحقيقي والفراولة والموز 340 جم</v>
      </c>
      <c r="H1028" s="133" t="str">
        <f>IFERROR(__xludf.DUMMYFUNCTION("""COMPUTED_VALUE"""),"MAFE20222548")</f>
        <v>MAFE20222548</v>
      </c>
      <c r="I1028" s="133"/>
      <c r="J1028" s="133"/>
      <c r="K1028" s="133" t="str">
        <f>IFERROR(__xludf.DUMMYFUNCTION("""COMPUTED_VALUE"""),"شركة منتجات مانا برو ذات المسؤولية المحدودة")</f>
        <v>شركة منتجات مانا برو ذات المسؤولية المحدودة</v>
      </c>
      <c r="L1028" s="142" t="str">
        <f>IFERROR(__xludf.DUMMYFUNCTION("""COMPUTED_VALUE"""),"FB1031097")</f>
        <v>FB1031097</v>
      </c>
      <c r="M1028" s="133"/>
      <c r="N1028" s="133"/>
      <c r="O1028" s="133"/>
      <c r="P1028" s="133"/>
      <c r="Q1028" s="133"/>
      <c r="R1028" s="133"/>
      <c r="S1028" s="133"/>
      <c r="T1028" s="133"/>
      <c r="U1028" s="133"/>
      <c r="V1028" s="133"/>
      <c r="W1028" s="133"/>
      <c r="X1028" s="133"/>
      <c r="Y1028" s="133"/>
      <c r="Z1028" s="133"/>
    </row>
    <row r="1029">
      <c r="A1029" s="133">
        <f>IFERROR(__xludf.DUMMYFUNCTION("""COMPUTED_VALUE"""),1028.0)</f>
        <v>1028</v>
      </c>
      <c r="B1029" s="133" t="str">
        <f>IFERROR(__xludf.DUMMYFUNCTION("""COMPUTED_VALUE"""),"FB1031098")</f>
        <v>FB1031098</v>
      </c>
      <c r="C1029" s="133" t="str">
        <f>IFERROR(__xludf.DUMMYFUNCTION("""COMPUTED_VALUE"""),"P-1-N-140822-4664")</f>
        <v>P-1-N-140822-4664</v>
      </c>
      <c r="D1029" s="133"/>
      <c r="E1029" s="133" t="str">
        <f>IFERROR(__xludf.DUMMYFUNCTION("""COMPUTED_VALUE"""),"تمت طباعة الشهادة")</f>
        <v>تمت طباعة الشهادة</v>
      </c>
      <c r="F1029" s="133" t="str">
        <f>IFERROR(__xludf.DUMMYFUNCTION("""COMPUTED_VALUE"""),"Fruitables Yogos Real Yogurt &amp; Blueberry Treats 340g")</f>
        <v>Fruitables Yogos Real Yogurt &amp; Blueberry Treats 340g</v>
      </c>
      <c r="G1029" s="133" t="str">
        <f>IFERROR(__xludf.DUMMYFUNCTION("""COMPUTED_VALUE"""),"فروتابلز يوغوز وجبة ممتعة بالزبادي الحقيقي والتوت 340 جم")</f>
        <v>فروتابلز يوغوز وجبة ممتعة بالزبادي الحقيقي والتوت 340 جم</v>
      </c>
      <c r="H1029" s="133" t="str">
        <f>IFERROR(__xludf.DUMMYFUNCTION("""COMPUTED_VALUE"""),"MAFE20222537")</f>
        <v>MAFE20222537</v>
      </c>
      <c r="I1029" s="133"/>
      <c r="J1029" s="133"/>
      <c r="K1029" s="133" t="str">
        <f>IFERROR(__xludf.DUMMYFUNCTION("""COMPUTED_VALUE"""),"شركة منتجات مانا برو ذات المسؤولية المحدودة")</f>
        <v>شركة منتجات مانا برو ذات المسؤولية المحدودة</v>
      </c>
      <c r="L1029" s="142" t="str">
        <f>IFERROR(__xludf.DUMMYFUNCTION("""COMPUTED_VALUE"""),"FB1031098")</f>
        <v>FB1031098</v>
      </c>
      <c r="M1029" s="133"/>
      <c r="N1029" s="133"/>
      <c r="O1029" s="133"/>
      <c r="P1029" s="133"/>
      <c r="Q1029" s="133"/>
      <c r="R1029" s="133"/>
      <c r="S1029" s="133"/>
      <c r="T1029" s="133"/>
      <c r="U1029" s="133"/>
      <c r="V1029" s="133"/>
      <c r="W1029" s="133"/>
      <c r="X1029" s="133"/>
      <c r="Y1029" s="133"/>
      <c r="Z1029" s="133"/>
    </row>
    <row r="1030">
      <c r="A1030" s="133">
        <f>IFERROR(__xludf.DUMMYFUNCTION("""COMPUTED_VALUE"""),1029.0)</f>
        <v>1029</v>
      </c>
      <c r="B1030" s="133" t="str">
        <f>IFERROR(__xludf.DUMMYFUNCTION("""COMPUTED_VALUE"""),"FB1031099")</f>
        <v>FB1031099</v>
      </c>
      <c r="C1030" s="133" t="str">
        <f>IFERROR(__xludf.DUMMYFUNCTION("""COMPUTED_VALUE"""),"P-1-N-140822-4665")</f>
        <v>P-1-N-140822-4665</v>
      </c>
      <c r="D1030" s="133"/>
      <c r="E1030" s="133" t="str">
        <f>IFERROR(__xludf.DUMMYFUNCTION("""COMPUTED_VALUE"""),"تمت طباعة الشهادة")</f>
        <v>تمت طباعة الشهادة</v>
      </c>
      <c r="F1030" s="133" t="str">
        <f>IFERROR(__xludf.DUMMYFUNCTION("""COMPUTED_VALUE"""),"Fruitables Yogos Real Yogurt &amp; Coconut Treats 340g")</f>
        <v>Fruitables Yogos Real Yogurt &amp; Coconut Treats 340g</v>
      </c>
      <c r="G1030" s="133" t="str">
        <f>IFERROR(__xludf.DUMMYFUNCTION("""COMPUTED_VALUE"""),"فروتابلز يوغوز وجبة ممتعة بالزبادي الحقيقي وجوزة الهند 340 جم")</f>
        <v>فروتابلز يوغوز وجبة ممتعة بالزبادي الحقيقي وجوزة الهند 340 جم</v>
      </c>
      <c r="H1030" s="133" t="str">
        <f>IFERROR(__xludf.DUMMYFUNCTION("""COMPUTED_VALUE"""),"MAFE20222540")</f>
        <v>MAFE20222540</v>
      </c>
      <c r="I1030" s="133"/>
      <c r="J1030" s="133"/>
      <c r="K1030" s="133" t="str">
        <f>IFERROR(__xludf.DUMMYFUNCTION("""COMPUTED_VALUE"""),"شركة منتجات مانا برو ذات المسؤولية المحدودة")</f>
        <v>شركة منتجات مانا برو ذات المسؤولية المحدودة</v>
      </c>
      <c r="L1030" s="142" t="str">
        <f>IFERROR(__xludf.DUMMYFUNCTION("""COMPUTED_VALUE"""),"FB1031099")</f>
        <v>FB1031099</v>
      </c>
      <c r="M1030" s="133"/>
      <c r="N1030" s="133"/>
      <c r="O1030" s="133"/>
      <c r="P1030" s="133"/>
      <c r="Q1030" s="133"/>
      <c r="R1030" s="133"/>
      <c r="S1030" s="133"/>
      <c r="T1030" s="133"/>
      <c r="U1030" s="133"/>
      <c r="V1030" s="133"/>
      <c r="W1030" s="133"/>
      <c r="X1030" s="133"/>
      <c r="Y1030" s="133"/>
      <c r="Z1030" s="133"/>
    </row>
    <row r="1031">
      <c r="A1031" s="133">
        <f>IFERROR(__xludf.DUMMYFUNCTION("""COMPUTED_VALUE"""),1030.0)</f>
        <v>1030</v>
      </c>
      <c r="B1031" s="133"/>
      <c r="C1031" s="133" t="str">
        <f>IFERROR(__xludf.DUMMYFUNCTION("""COMPUTED_VALUE"""),"P-1-N-150822-4729")</f>
        <v>P-1-N-150822-4729</v>
      </c>
      <c r="D1031" s="133"/>
      <c r="E1031" s="133" t="str">
        <f>IFERROR(__xludf.DUMMYFUNCTION("""COMPUTED_VALUE"""),"تمت طباعة الشهادة")</f>
        <v>تمت طباعة الشهادة</v>
      </c>
      <c r="F1031" s="133" t="str">
        <f>IFERROR(__xludf.DUMMYFUNCTION("""COMPUTED_VALUE"""),"Kit")</f>
        <v>Kit</v>
      </c>
      <c r="G1031" s="133" t="str">
        <f>IFERROR(__xludf.DUMMYFUNCTION("""COMPUTED_VALUE"""),"كيت كات السلمون والمأكولات البحرية 15 جم")</f>
        <v>كيت كات السلمون والمأكولات البحرية 15 جم</v>
      </c>
      <c r="H1031" s="133" t="str">
        <f>IFERROR(__xludf.DUMMYFUNCTION("""COMPUTED_VALUE"""),"MAFE20222536")</f>
        <v>MAFE20222536</v>
      </c>
      <c r="I1031" s="133"/>
      <c r="J1031" s="133"/>
      <c r="K1031" s="133" t="str">
        <f>IFERROR(__xludf.DUMMYFUNCTION("""COMPUTED_VALUE"""),"شركة برو بيت النمسا لأغذية الحيوانات الأليفة")</f>
        <v>شركة برو بيت النمسا لأغذية الحيوانات الأليفة</v>
      </c>
      <c r="L1031" s="133"/>
      <c r="M1031" s="133"/>
      <c r="N1031" s="133"/>
      <c r="O1031" s="133"/>
      <c r="P1031" s="133"/>
      <c r="Q1031" s="133"/>
      <c r="R1031" s="133"/>
      <c r="S1031" s="133"/>
      <c r="T1031" s="133"/>
      <c r="U1031" s="133"/>
      <c r="V1031" s="133"/>
      <c r="W1031" s="133"/>
      <c r="X1031" s="133"/>
      <c r="Y1031" s="133"/>
      <c r="Z1031" s="133"/>
    </row>
    <row r="1032">
      <c r="A1032" s="133">
        <f>IFERROR(__xludf.DUMMYFUNCTION("""COMPUTED_VALUE"""),1031.0)</f>
        <v>1031</v>
      </c>
      <c r="B1032" s="133" t="str">
        <f>IFERROR(__xludf.DUMMYFUNCTION("""COMPUTED_VALUE"""),"5652")</f>
        <v>5652</v>
      </c>
      <c r="C1032" s="133" t="str">
        <f>IFERROR(__xludf.DUMMYFUNCTION("""COMPUTED_VALUE"""),"P-1-N-150822-4732")</f>
        <v>P-1-N-150822-4732</v>
      </c>
      <c r="D1032" s="133"/>
      <c r="E1032" s="133" t="str">
        <f>IFERROR(__xludf.DUMMYFUNCTION("""COMPUTED_VALUE"""),"تمت طباعة الشهادة")</f>
        <v>تمت طباعة الشهادة</v>
      </c>
      <c r="F1032" s="133" t="str">
        <f>IFERROR(__xludf.DUMMYFUNCTION("""COMPUTED_VALUE"""),"Kit Cat Cat Stick - Salmon &amp; Katsuobushi 15g")</f>
        <v>Kit Cat Cat Stick - Salmon &amp; Katsuobushi 15g</v>
      </c>
      <c r="G1032" s="133" t="str">
        <f>IFERROR(__xludf.DUMMYFUNCTION("""COMPUTED_VALUE"""),"كيت كات سمك السلمون وكاتسوبوشي 15 جم")</f>
        <v>كيت كات سمك السلمون وكاتسوبوشي 15 جم</v>
      </c>
      <c r="H1032" s="133" t="str">
        <f>IFERROR(__xludf.DUMMYFUNCTION("""COMPUTED_VALUE"""),"MAFE20222529")</f>
        <v>MAFE20222529</v>
      </c>
      <c r="I1032" s="133"/>
      <c r="J1032" s="133"/>
      <c r="K1032" s="133" t="str">
        <f>IFERROR(__xludf.DUMMYFUNCTION("""COMPUTED_VALUE"""),"شركة برو بيت النمسا لأغذية الحيوانات الأليفة")</f>
        <v>شركة برو بيت النمسا لأغذية الحيوانات الأليفة</v>
      </c>
      <c r="L1032" s="142" t="str">
        <f>IFERROR(__xludf.DUMMYFUNCTION("""COMPUTED_VALUE"""),"5652")</f>
        <v>5652</v>
      </c>
      <c r="M1032" s="133"/>
      <c r="N1032" s="133"/>
      <c r="O1032" s="133"/>
      <c r="P1032" s="133"/>
      <c r="Q1032" s="133"/>
      <c r="R1032" s="133"/>
      <c r="S1032" s="133"/>
      <c r="T1032" s="133"/>
      <c r="U1032" s="133"/>
      <c r="V1032" s="133"/>
      <c r="W1032" s="133"/>
      <c r="X1032" s="133"/>
      <c r="Y1032" s="133"/>
      <c r="Z1032" s="133"/>
    </row>
    <row r="1033">
      <c r="A1033" s="133">
        <f>IFERROR(__xludf.DUMMYFUNCTION("""COMPUTED_VALUE"""),1032.0)</f>
        <v>1032</v>
      </c>
      <c r="B1033" s="133"/>
      <c r="C1033" s="133" t="str">
        <f>IFERROR(__xludf.DUMMYFUNCTION("""COMPUTED_VALUE"""),"P-1-N-180822-4858")</f>
        <v>P-1-N-180822-4858</v>
      </c>
      <c r="D1033" s="133"/>
      <c r="E1033" s="133" t="str">
        <f>IFERROR(__xludf.DUMMYFUNCTION("""COMPUTED_VALUE"""),"تمت طباعة الشهادة")</f>
        <v>تمت طباعة الشهادة</v>
      </c>
      <c r="F1033" s="133" t="str">
        <f>IFERROR(__xludf.DUMMYFUNCTION("""COMPUTED_VALUE"""),"Kit Cat Purrfect Pockets Dental Care 60g")</f>
        <v>Kit Cat Purrfect Pockets Dental Care 60g</v>
      </c>
      <c r="G1033" s="133" t="str">
        <f>IFERROR(__xludf.DUMMYFUNCTION("""COMPUTED_VALUE"""),"كيت كات برفكت باكتس العناية بالأسنان 60 ﺟﻢ")</f>
        <v>كيت كات برفكت باكتس العناية بالأسنان 60 ﺟﻢ</v>
      </c>
      <c r="H1033" s="133" t="str">
        <f>IFERROR(__xludf.DUMMYFUNCTION("""COMPUTED_VALUE"""),"MAFE20222674")</f>
        <v>MAFE20222674</v>
      </c>
      <c r="I1033" s="133"/>
      <c r="J1033" s="133"/>
      <c r="K1033" s="133" t="str">
        <f>IFERROR(__xludf.DUMMYFUNCTION("""COMPUTED_VALUE"""),"الشركة المتحدة للحيوانات الأليفة أسبانيا")</f>
        <v>الشركة المتحدة للحيوانات الأليفة أسبانيا</v>
      </c>
      <c r="L1033" s="133"/>
      <c r="M1033" s="133"/>
      <c r="N1033" s="133"/>
      <c r="O1033" s="133"/>
      <c r="P1033" s="133"/>
      <c r="Q1033" s="133"/>
      <c r="R1033" s="133"/>
      <c r="S1033" s="133"/>
      <c r="T1033" s="133"/>
      <c r="U1033" s="133"/>
      <c r="V1033" s="133"/>
      <c r="W1033" s="133"/>
      <c r="X1033" s="133"/>
      <c r="Y1033" s="133"/>
      <c r="Z1033" s="133"/>
    </row>
    <row r="1034">
      <c r="A1034" s="133">
        <f>IFERROR(__xludf.DUMMYFUNCTION("""COMPUTED_VALUE"""),1033.0)</f>
        <v>1033</v>
      </c>
      <c r="B1034" s="133"/>
      <c r="C1034" s="133" t="str">
        <f>IFERROR(__xludf.DUMMYFUNCTION("""COMPUTED_VALUE"""),"P-1-N-240822-4978")</f>
        <v>P-1-N-240822-4978</v>
      </c>
      <c r="D1034" s="133"/>
      <c r="E1034" s="133" t="str">
        <f>IFERROR(__xludf.DUMMYFUNCTION("""COMPUTED_VALUE"""),"تمت طباعة الشهادة")</f>
        <v>تمت طباعة الشهادة</v>
      </c>
      <c r="F1034" s="133" t="str">
        <f>IFERROR(__xludf.DUMMYFUNCTION("""COMPUTED_VALUE"""),"JosiCat Chicken in Sauce 415g")</f>
        <v>JosiCat Chicken in Sauce 415g</v>
      </c>
      <c r="G1034" s="133" t="str">
        <f>IFERROR(__xludf.DUMMYFUNCTION("""COMPUTED_VALUE"""),"جوسيكات دجاج بالصلصة 415 جم")</f>
        <v>جوسيكات دجاج بالصلصة 415 جم</v>
      </c>
      <c r="H1034" s="133" t="str">
        <f>IFERROR(__xludf.DUMMYFUNCTION("""COMPUTED_VALUE"""),"MAFE20222766")</f>
        <v>MAFE20222766</v>
      </c>
      <c r="I1034" s="133"/>
      <c r="J1034" s="133"/>
      <c r="K1034" s="133" t="str">
        <f>IFERROR(__xludf.DUMMYFUNCTION("""COMPUTED_VALUE"""),"شركة جوسيرا بت فود جي ام بي اتش كاي جي")</f>
        <v>شركة جوسيرا بت فود جي ام بي اتش كاي جي</v>
      </c>
      <c r="L1034" s="133"/>
      <c r="M1034" s="133"/>
      <c r="N1034" s="133"/>
      <c r="O1034" s="133"/>
      <c r="P1034" s="133"/>
      <c r="Q1034" s="133"/>
      <c r="R1034" s="133"/>
      <c r="S1034" s="133"/>
      <c r="T1034" s="133"/>
      <c r="U1034" s="133"/>
      <c r="V1034" s="133"/>
      <c r="W1034" s="133"/>
      <c r="X1034" s="133"/>
      <c r="Y1034" s="133"/>
      <c r="Z1034" s="133"/>
    </row>
    <row r="1035">
      <c r="A1035" s="133">
        <f>IFERROR(__xludf.DUMMYFUNCTION("""COMPUTED_VALUE"""),1034.0)</f>
        <v>1034</v>
      </c>
      <c r="B1035" s="133"/>
      <c r="C1035" s="133" t="str">
        <f>IFERROR(__xludf.DUMMYFUNCTION("""COMPUTED_VALUE"""),"P-1-N-240822-4979")</f>
        <v>P-1-N-240822-4979</v>
      </c>
      <c r="D1035" s="133"/>
      <c r="E1035" s="133" t="str">
        <f>IFERROR(__xludf.DUMMYFUNCTION("""COMPUTED_VALUE"""),"تمت طباعة الشهادة")</f>
        <v>تمت طباعة الشهادة</v>
      </c>
      <c r="F1035" s="133" t="str">
        <f>IFERROR(__xludf.DUMMYFUNCTION("""COMPUTED_VALUE"""),"JosiCat Beef in Sauce 415g")</f>
        <v>JosiCat Beef in Sauce 415g</v>
      </c>
      <c r="G1035" s="133" t="str">
        <f>IFERROR(__xludf.DUMMYFUNCTION("""COMPUTED_VALUE"""),"جوسيكات لحم بقري بالصلصة 415 جم")</f>
        <v>جوسيكات لحم بقري بالصلصة 415 جم</v>
      </c>
      <c r="H1035" s="133" t="str">
        <f>IFERROR(__xludf.DUMMYFUNCTION("""COMPUTED_VALUE"""),"MAFE20222763")</f>
        <v>MAFE20222763</v>
      </c>
      <c r="I1035" s="133"/>
      <c r="J1035" s="133"/>
      <c r="K1035" s="133" t="str">
        <f>IFERROR(__xludf.DUMMYFUNCTION("""COMPUTED_VALUE"""),"شركة جوسيرا بت فود جي ام بي اتش كاي جي")</f>
        <v>شركة جوسيرا بت فود جي ام بي اتش كاي جي</v>
      </c>
      <c r="L1035" s="133"/>
      <c r="M1035" s="133"/>
      <c r="N1035" s="133"/>
      <c r="O1035" s="133"/>
      <c r="P1035" s="133"/>
      <c r="Q1035" s="133"/>
      <c r="R1035" s="133"/>
      <c r="S1035" s="133"/>
      <c r="T1035" s="133"/>
      <c r="U1035" s="133"/>
      <c r="V1035" s="133"/>
      <c r="W1035" s="133"/>
      <c r="X1035" s="133"/>
      <c r="Y1035" s="133"/>
      <c r="Z1035" s="133"/>
    </row>
    <row r="1036">
      <c r="A1036" s="133">
        <f>IFERROR(__xludf.DUMMYFUNCTION("""COMPUTED_VALUE"""),1035.0)</f>
        <v>1035</v>
      </c>
      <c r="B1036" s="133"/>
      <c r="C1036" s="133" t="str">
        <f>IFERROR(__xludf.DUMMYFUNCTION("""COMPUTED_VALUE"""),"P-1-N-240822-4980")</f>
        <v>P-1-N-240822-4980</v>
      </c>
      <c r="D1036" s="133"/>
      <c r="E1036" s="133" t="str">
        <f>IFERROR(__xludf.DUMMYFUNCTION("""COMPUTED_VALUE"""),"تمت طباعة الشهادة")</f>
        <v>تمت طباعة الشهادة</v>
      </c>
      <c r="F1036" s="133" t="str">
        <f>IFERROR(__xludf.DUMMYFUNCTION("""COMPUTED_VALUE"""),"JosiCat Fish in Sauce 415g")</f>
        <v>JosiCat Fish in Sauce 415g</v>
      </c>
      <c r="G1036" s="133" t="str">
        <f>IFERROR(__xludf.DUMMYFUNCTION("""COMPUTED_VALUE"""),"جوسيكات سمك بالصلصة 415 جم")</f>
        <v>جوسيكات سمك بالصلصة 415 جم</v>
      </c>
      <c r="H1036" s="133" t="str">
        <f>IFERROR(__xludf.DUMMYFUNCTION("""COMPUTED_VALUE"""),"MAFE20222764")</f>
        <v>MAFE20222764</v>
      </c>
      <c r="I1036" s="133"/>
      <c r="J1036" s="133"/>
      <c r="K1036" s="133" t="str">
        <f>IFERROR(__xludf.DUMMYFUNCTION("""COMPUTED_VALUE"""),"شركة جوسيرا بت فود جي ام بي اتش كاي جي")</f>
        <v>شركة جوسيرا بت فود جي ام بي اتش كاي جي</v>
      </c>
      <c r="L1036" s="133"/>
      <c r="M1036" s="133"/>
      <c r="N1036" s="133"/>
      <c r="O1036" s="133"/>
      <c r="P1036" s="133"/>
      <c r="Q1036" s="133"/>
      <c r="R1036" s="133"/>
      <c r="S1036" s="133"/>
      <c r="T1036" s="133"/>
      <c r="U1036" s="133"/>
      <c r="V1036" s="133"/>
      <c r="W1036" s="133"/>
      <c r="X1036" s="133"/>
      <c r="Y1036" s="133"/>
      <c r="Z1036" s="133"/>
    </row>
    <row r="1037">
      <c r="A1037" s="133">
        <f>IFERROR(__xludf.DUMMYFUNCTION("""COMPUTED_VALUE"""),1036.0)</f>
        <v>1036</v>
      </c>
      <c r="B1037" s="133"/>
      <c r="C1037" s="133" t="str">
        <f>IFERROR(__xludf.DUMMYFUNCTION("""COMPUTED_VALUE"""),"P-1-N-240822-4981")</f>
        <v>P-1-N-240822-4981</v>
      </c>
      <c r="D1037" s="133"/>
      <c r="E1037" s="133" t="str">
        <f>IFERROR(__xludf.DUMMYFUNCTION("""COMPUTED_VALUE"""),"تمت طباعة الشهادة")</f>
        <v>تمت طباعة الشهادة</v>
      </c>
      <c r="F1037" s="133" t="str">
        <f>IFERROR(__xludf.DUMMYFUNCTION("""COMPUTED_VALUE"""),"JosiDog Beef in Sauce 415g")</f>
        <v>JosiDog Beef in Sauce 415g</v>
      </c>
      <c r="G1037" s="133" t="str">
        <f>IFERROR(__xludf.DUMMYFUNCTION("""COMPUTED_VALUE"""),"جوسيدوج لحم بقري بالصلصة 415 جم")</f>
        <v>جوسيدوج لحم بقري بالصلصة 415 جم</v>
      </c>
      <c r="H1037" s="133" t="str">
        <f>IFERROR(__xludf.DUMMYFUNCTION("""COMPUTED_VALUE"""),"MAFE20222765")</f>
        <v>MAFE20222765</v>
      </c>
      <c r="I1037" s="133"/>
      <c r="J1037" s="133"/>
      <c r="K1037" s="133" t="str">
        <f>IFERROR(__xludf.DUMMYFUNCTION("""COMPUTED_VALUE"""),"شركة جوسيرا بت فود جي ام بي اتش كاي جي")</f>
        <v>شركة جوسيرا بت فود جي ام بي اتش كاي جي</v>
      </c>
      <c r="L1037" s="133"/>
      <c r="M1037" s="133"/>
      <c r="N1037" s="133"/>
      <c r="O1037" s="133"/>
      <c r="P1037" s="133"/>
      <c r="Q1037" s="133"/>
      <c r="R1037" s="133"/>
      <c r="S1037" s="133"/>
      <c r="T1037" s="133"/>
      <c r="U1037" s="133"/>
      <c r="V1037" s="133"/>
      <c r="W1037" s="133"/>
      <c r="X1037" s="133"/>
      <c r="Y1037" s="133"/>
      <c r="Z1037" s="133"/>
    </row>
    <row r="1038">
      <c r="A1038" s="133">
        <f>IFERROR(__xludf.DUMMYFUNCTION("""COMPUTED_VALUE"""),1037.0)</f>
        <v>1037</v>
      </c>
      <c r="B1038" s="133"/>
      <c r="C1038" s="133" t="str">
        <f>IFERROR(__xludf.DUMMYFUNCTION("""COMPUTED_VALUE"""),"P-1-N-240822-4982")</f>
        <v>P-1-N-240822-4982</v>
      </c>
      <c r="D1038" s="133"/>
      <c r="E1038" s="133" t="str">
        <f>IFERROR(__xludf.DUMMYFUNCTION("""COMPUTED_VALUE"""),"تمت طباعة الشهادة")</f>
        <v>تمت طباعة الشهادة</v>
      </c>
      <c r="F1038" s="133" t="str">
        <f>IFERROR(__xludf.DUMMYFUNCTION("""COMPUTED_VALUE"""),"JosiDog Chicken in Sauce 415g")</f>
        <v>JosiDog Chicken in Sauce 415g</v>
      </c>
      <c r="G1038" s="133" t="str">
        <f>IFERROR(__xludf.DUMMYFUNCTION("""COMPUTED_VALUE"""),"جوسيدوج دجاج بالصلصة 415 جم")</f>
        <v>جوسيدوج دجاج بالصلصة 415 جم</v>
      </c>
      <c r="H1038" s="133" t="str">
        <f>IFERROR(__xludf.DUMMYFUNCTION("""COMPUTED_VALUE"""),"MAFE20222762")</f>
        <v>MAFE20222762</v>
      </c>
      <c r="I1038" s="133"/>
      <c r="J1038" s="133"/>
      <c r="K1038" s="133" t="str">
        <f>IFERROR(__xludf.DUMMYFUNCTION("""COMPUTED_VALUE"""),"شركة جوسيرا بت فود جي ام بي اتش كاي جي")</f>
        <v>شركة جوسيرا بت فود جي ام بي اتش كاي جي</v>
      </c>
      <c r="L1038" s="133"/>
      <c r="M1038" s="133"/>
      <c r="N1038" s="133"/>
      <c r="O1038" s="133"/>
      <c r="P1038" s="133"/>
      <c r="Q1038" s="133"/>
      <c r="R1038" s="133"/>
      <c r="S1038" s="133"/>
      <c r="T1038" s="133"/>
      <c r="U1038" s="133"/>
      <c r="V1038" s="133"/>
      <c r="W1038" s="133"/>
      <c r="X1038" s="133"/>
      <c r="Y1038" s="133"/>
      <c r="Z1038" s="133"/>
    </row>
    <row r="1039">
      <c r="A1039" s="133">
        <f>IFERROR(__xludf.DUMMYFUNCTION("""COMPUTED_VALUE"""),1038.0)</f>
        <v>1038</v>
      </c>
      <c r="B1039" s="133"/>
      <c r="C1039" s="133" t="str">
        <f>IFERROR(__xludf.DUMMYFUNCTION("""COMPUTED_VALUE"""),"P-1-N-240822-4983")</f>
        <v>P-1-N-240822-4983</v>
      </c>
      <c r="D1039" s="133"/>
      <c r="E1039" s="133" t="str">
        <f>IFERROR(__xludf.DUMMYFUNCTION("""COMPUTED_VALUE"""),"تمت طباعة الشهادة")</f>
        <v>تمت طباعة الشهادة</v>
      </c>
      <c r="F1039" s="133" t="str">
        <f>IFERROR(__xludf.DUMMYFUNCTION("""COMPUTED_VALUE"""),"JosiDog Game in Sauce 415g")</f>
        <v>JosiDog Game in Sauce 415g</v>
      </c>
      <c r="G1039" s="133" t="str">
        <f>IFERROR(__xludf.DUMMYFUNCTION("""COMPUTED_VALUE"""),"جوسيدوج لحوم الطرائد بالصلصة 415 جم")</f>
        <v>جوسيدوج لحوم الطرائد بالصلصة 415 جم</v>
      </c>
      <c r="H1039" s="133" t="str">
        <f>IFERROR(__xludf.DUMMYFUNCTION("""COMPUTED_VALUE"""),"MAFE20222761")</f>
        <v>MAFE20222761</v>
      </c>
      <c r="I1039" s="133"/>
      <c r="J1039" s="133"/>
      <c r="K1039" s="133" t="str">
        <f>IFERROR(__xludf.DUMMYFUNCTION("""COMPUTED_VALUE"""),"شركة جوسيرا بت فود جي ام بي اتش كاي جي")</f>
        <v>شركة جوسيرا بت فود جي ام بي اتش كاي جي</v>
      </c>
      <c r="L1039" s="133"/>
      <c r="M1039" s="133"/>
      <c r="N1039" s="133"/>
      <c r="O1039" s="133"/>
      <c r="P1039" s="133"/>
      <c r="Q1039" s="133"/>
      <c r="R1039" s="133"/>
      <c r="S1039" s="133"/>
      <c r="T1039" s="133"/>
      <c r="U1039" s="133"/>
      <c r="V1039" s="133"/>
      <c r="W1039" s="133"/>
      <c r="X1039" s="133"/>
      <c r="Y1039" s="133"/>
      <c r="Z1039" s="133"/>
    </row>
    <row r="1040">
      <c r="A1040" s="133">
        <f>IFERROR(__xludf.DUMMYFUNCTION("""COMPUTED_VALUE"""),1039.0)</f>
        <v>1039</v>
      </c>
      <c r="B1040" s="133" t="str">
        <f>IFERROR(__xludf.DUMMYFUNCTION("""COMPUTED_VALUE"""),"50012124")</f>
        <v>50012124</v>
      </c>
      <c r="C1040" s="133" t="str">
        <f>IFERROR(__xludf.DUMMYFUNCTION("""COMPUTED_VALUE"""),"P-1-N-290822-5039")</f>
        <v>P-1-N-290822-5039</v>
      </c>
      <c r="D1040" s="133"/>
      <c r="E1040" s="133" t="str">
        <f>IFERROR(__xludf.DUMMYFUNCTION("""COMPUTED_VALUE"""),"تمت طباعة الشهادة")</f>
        <v>تمت طباعة الشهادة</v>
      </c>
      <c r="F1040" s="133" t="str">
        <f>IFERROR(__xludf.DUMMYFUNCTION("""COMPUTED_VALUE"""),"Gastrointestinal Cat 2kg")</f>
        <v>Gastrointestinal Cat 2kg</v>
      </c>
      <c r="G1040" s="133" t="str">
        <f>IFERROR(__xludf.DUMMYFUNCTION("""COMPUTED_VALUE"""),"جاسترو اينتستينال كات 2 كم")</f>
        <v>جاسترو اينتستينال كات 2 كم</v>
      </c>
      <c r="H1040" s="133" t="str">
        <f>IFERROR(__xludf.DUMMYFUNCTION("""COMPUTED_VALUE"""),"MAFE20222757")</f>
        <v>MAFE20222757</v>
      </c>
      <c r="I1040" s="133"/>
      <c r="J1040" s="143">
        <f>IFERROR(__xludf.DUMMYFUNCTION("""COMPUTED_VALUE"""),46635.0)</f>
        <v>46635</v>
      </c>
      <c r="K1040" s="133" t="str">
        <f>IFERROR(__xludf.DUMMYFUNCTION("""COMPUTED_VALUE"""),"شركة جوسيرا بت فود جي ام بي اتش كاي جي")</f>
        <v>شركة جوسيرا بت فود جي ام بي اتش كاي جي</v>
      </c>
      <c r="L1040" s="142" t="str">
        <f>IFERROR(__xludf.DUMMYFUNCTION("""COMPUTED_VALUE"""),"50012124")</f>
        <v>50012124</v>
      </c>
      <c r="M1040" s="133"/>
      <c r="N1040" s="133"/>
      <c r="O1040" s="133"/>
      <c r="P1040" s="133"/>
      <c r="Q1040" s="133"/>
      <c r="R1040" s="133"/>
      <c r="S1040" s="133"/>
      <c r="T1040" s="133"/>
      <c r="U1040" s="133"/>
      <c r="V1040" s="133"/>
      <c r="W1040" s="133"/>
      <c r="X1040" s="133"/>
      <c r="Y1040" s="133"/>
      <c r="Z1040" s="133"/>
    </row>
    <row r="1041">
      <c r="A1041" s="133">
        <f>IFERROR(__xludf.DUMMYFUNCTION("""COMPUTED_VALUE"""),1040.0)</f>
        <v>1040</v>
      </c>
      <c r="B1041" s="133" t="str">
        <f>IFERROR(__xludf.DUMMYFUNCTION("""COMPUTED_VALUE"""),"50012126")</f>
        <v>50012126</v>
      </c>
      <c r="C1041" s="133" t="str">
        <f>IFERROR(__xludf.DUMMYFUNCTION("""COMPUTED_VALUE"""),"P-1-N-290822-5040")</f>
        <v>P-1-N-290822-5040</v>
      </c>
      <c r="D1041" s="133"/>
      <c r="E1041" s="133" t="str">
        <f>IFERROR(__xludf.DUMMYFUNCTION("""COMPUTED_VALUE"""),"تمت طباعة الشهادة")</f>
        <v>تمت طباعة الشهادة</v>
      </c>
      <c r="F1041" s="133" t="str">
        <f>IFERROR(__xludf.DUMMYFUNCTION("""COMPUTED_VALUE"""),"Hypoallergenic Cat 2kg")</f>
        <v>Hypoallergenic Cat 2kg</v>
      </c>
      <c r="G1041" s="133" t="str">
        <f>IFERROR(__xludf.DUMMYFUNCTION("""COMPUTED_VALUE"""),"هايبو ألرجنيك كات 2 كجم")</f>
        <v>هايبو ألرجنيك كات 2 كجم</v>
      </c>
      <c r="H1041" s="133" t="str">
        <f>IFERROR(__xludf.DUMMYFUNCTION("""COMPUTED_VALUE"""),"MAFE20222758")</f>
        <v>MAFE20222758</v>
      </c>
      <c r="I1041" s="133"/>
      <c r="J1041" s="133"/>
      <c r="K1041" s="133" t="str">
        <f>IFERROR(__xludf.DUMMYFUNCTION("""COMPUTED_VALUE"""),"شركة جوسيرا بت فود جي ام بي اتش كاي جي")</f>
        <v>شركة جوسيرا بت فود جي ام بي اتش كاي جي</v>
      </c>
      <c r="L1041" s="142" t="str">
        <f>IFERROR(__xludf.DUMMYFUNCTION("""COMPUTED_VALUE"""),"50012126")</f>
        <v>50012126</v>
      </c>
      <c r="M1041" s="133"/>
      <c r="N1041" s="133"/>
      <c r="O1041" s="133"/>
      <c r="P1041" s="133"/>
      <c r="Q1041" s="133"/>
      <c r="R1041" s="133"/>
      <c r="S1041" s="133"/>
      <c r="T1041" s="133"/>
      <c r="U1041" s="133"/>
      <c r="V1041" s="133"/>
      <c r="W1041" s="133"/>
      <c r="X1041" s="133"/>
      <c r="Y1041" s="133"/>
      <c r="Z1041" s="133"/>
    </row>
    <row r="1042">
      <c r="A1042" s="133">
        <f>IFERROR(__xludf.DUMMYFUNCTION("""COMPUTED_VALUE"""),1041.0)</f>
        <v>1041</v>
      </c>
      <c r="B1042" s="133" t="str">
        <f>IFERROR(__xludf.DUMMYFUNCTION("""COMPUTED_VALUE"""),"50012128")</f>
        <v>50012128</v>
      </c>
      <c r="C1042" s="133" t="str">
        <f>IFERROR(__xludf.DUMMYFUNCTION("""COMPUTED_VALUE"""),"P-1-N-290822-5041")</f>
        <v>P-1-N-290822-5041</v>
      </c>
      <c r="D1042" s="133"/>
      <c r="E1042" s="133" t="str">
        <f>IFERROR(__xludf.DUMMYFUNCTION("""COMPUTED_VALUE"""),"تمت طباعة الشهادة")</f>
        <v>تمت طباعة الشهادة</v>
      </c>
      <c r="F1042" s="133" t="str">
        <f>IFERROR(__xludf.DUMMYFUNCTION("""COMPUTED_VALUE"""),"Renal Cat 2kg")</f>
        <v>Renal Cat 2kg</v>
      </c>
      <c r="G1042" s="133" t="str">
        <f>IFERROR(__xludf.DUMMYFUNCTION("""COMPUTED_VALUE"""),"رينال كات 2 كجم")</f>
        <v>رينال كات 2 كجم</v>
      </c>
      <c r="H1042" s="133" t="str">
        <f>IFERROR(__xludf.DUMMYFUNCTION("""COMPUTED_VALUE"""),"MAFE20222756")</f>
        <v>MAFE20222756</v>
      </c>
      <c r="I1042" s="133"/>
      <c r="J1042" s="143">
        <f>IFERROR(__xludf.DUMMYFUNCTION("""COMPUTED_VALUE"""),46635.0)</f>
        <v>46635</v>
      </c>
      <c r="K1042" s="133" t="str">
        <f>IFERROR(__xludf.DUMMYFUNCTION("""COMPUTED_VALUE"""),"شركة جوسيرا بت فود جي ام بي اتش كاي جي")</f>
        <v>شركة جوسيرا بت فود جي ام بي اتش كاي جي</v>
      </c>
      <c r="L1042" s="142" t="str">
        <f>IFERROR(__xludf.DUMMYFUNCTION("""COMPUTED_VALUE"""),"50012128")</f>
        <v>50012128</v>
      </c>
      <c r="M1042" s="133"/>
      <c r="N1042" s="133"/>
      <c r="O1042" s="133"/>
      <c r="P1042" s="133"/>
      <c r="Q1042" s="133"/>
      <c r="R1042" s="133"/>
      <c r="S1042" s="133"/>
      <c r="T1042" s="133"/>
      <c r="U1042" s="133"/>
      <c r="V1042" s="133"/>
      <c r="W1042" s="133"/>
      <c r="X1042" s="133"/>
      <c r="Y1042" s="133"/>
      <c r="Z1042" s="133"/>
    </row>
    <row r="1043">
      <c r="A1043" s="133">
        <f>IFERROR(__xludf.DUMMYFUNCTION("""COMPUTED_VALUE"""),1042.0)</f>
        <v>1042</v>
      </c>
      <c r="B1043" s="133" t="str">
        <f>IFERROR(__xludf.DUMMYFUNCTION("""COMPUTED_VALUE"""),"50012130")</f>
        <v>50012130</v>
      </c>
      <c r="C1043" s="133" t="str">
        <f>IFERROR(__xludf.DUMMYFUNCTION("""COMPUTED_VALUE"""),"P-1-N-290822-5042")</f>
        <v>P-1-N-290822-5042</v>
      </c>
      <c r="D1043" s="133"/>
      <c r="E1043" s="133" t="str">
        <f>IFERROR(__xludf.DUMMYFUNCTION("""COMPUTED_VALUE"""),"تمت طباعة الشهادة")</f>
        <v>تمت طباعة الشهادة</v>
      </c>
      <c r="F1043" s="133" t="str">
        <f>IFERROR(__xludf.DUMMYFUNCTION("""COMPUTED_VALUE"""),"Urinary Cat 2kg")</f>
        <v>Urinary Cat 2kg</v>
      </c>
      <c r="G1043" s="133" t="str">
        <f>IFERROR(__xludf.DUMMYFUNCTION("""COMPUTED_VALUE"""),"يوريناري كات 2 كجم")</f>
        <v>يوريناري كات 2 كجم</v>
      </c>
      <c r="H1043" s="133" t="str">
        <f>IFERROR(__xludf.DUMMYFUNCTION("""COMPUTED_VALUE"""),"MAFE20222755")</f>
        <v>MAFE20222755</v>
      </c>
      <c r="I1043" s="133"/>
      <c r="J1043" s="143">
        <f>IFERROR(__xludf.DUMMYFUNCTION("""COMPUTED_VALUE"""),46635.0)</f>
        <v>46635</v>
      </c>
      <c r="K1043" s="133" t="str">
        <f>IFERROR(__xludf.DUMMYFUNCTION("""COMPUTED_VALUE"""),"شركة جوسيرا بت فود جي ام بي اتش كاي جي")</f>
        <v>شركة جوسيرا بت فود جي ام بي اتش كاي جي</v>
      </c>
      <c r="L1043" s="142" t="str">
        <f>IFERROR(__xludf.DUMMYFUNCTION("""COMPUTED_VALUE"""),"50012130")</f>
        <v>50012130</v>
      </c>
      <c r="M1043" s="133"/>
      <c r="N1043" s="133"/>
      <c r="O1043" s="133"/>
      <c r="P1043" s="133"/>
      <c r="Q1043" s="133"/>
      <c r="R1043" s="133"/>
      <c r="S1043" s="133"/>
      <c r="T1043" s="133"/>
      <c r="U1043" s="133"/>
      <c r="V1043" s="133"/>
      <c r="W1043" s="133"/>
      <c r="X1043" s="133"/>
      <c r="Y1043" s="133"/>
      <c r="Z1043" s="133"/>
    </row>
    <row r="1044">
      <c r="A1044" s="133">
        <f>IFERROR(__xludf.DUMMYFUNCTION("""COMPUTED_VALUE"""),1043.0)</f>
        <v>1043</v>
      </c>
      <c r="B1044" s="133" t="str">
        <f>IFERROR(__xludf.DUMMYFUNCTION("""COMPUTED_VALUE"""),"50012132")</f>
        <v>50012132</v>
      </c>
      <c r="C1044" s="133" t="str">
        <f>IFERROR(__xludf.DUMMYFUNCTION("""COMPUTED_VALUE"""),"P-1-N-290822-5043")</f>
        <v>P-1-N-290822-5043</v>
      </c>
      <c r="D1044" s="133"/>
      <c r="E1044" s="133" t="str">
        <f>IFERROR(__xludf.DUMMYFUNCTION("""COMPUTED_VALUE"""),"تمت طباعة الشهادة")</f>
        <v>تمت طباعة الشهادة</v>
      </c>
      <c r="F1044" s="133" t="str">
        <f>IFERROR(__xludf.DUMMYFUNCTION("""COMPUTED_VALUE"""),"Weight &amp; Diabetic Cat 2kg")</f>
        <v>Weight &amp; Diabetic Cat 2kg</v>
      </c>
      <c r="G1044" s="133" t="str">
        <f>IFERROR(__xludf.DUMMYFUNCTION("""COMPUTED_VALUE"""),"ويت اند ديابتك كات 2 كجم")</f>
        <v>ويت اند ديابتك كات 2 كجم</v>
      </c>
      <c r="H1044" s="133" t="str">
        <f>IFERROR(__xludf.DUMMYFUNCTION("""COMPUTED_VALUE"""),"MAFE20222754")</f>
        <v>MAFE20222754</v>
      </c>
      <c r="I1044" s="133"/>
      <c r="J1044" s="133"/>
      <c r="K1044" s="133" t="str">
        <f>IFERROR(__xludf.DUMMYFUNCTION("""COMPUTED_VALUE"""),"شركة جوسيرا بت فود جي ام بي اتش كاي جي")</f>
        <v>شركة جوسيرا بت فود جي ام بي اتش كاي جي</v>
      </c>
      <c r="L1044" s="142" t="str">
        <f>IFERROR(__xludf.DUMMYFUNCTION("""COMPUTED_VALUE"""),"50012132")</f>
        <v>50012132</v>
      </c>
      <c r="M1044" s="133"/>
      <c r="N1044" s="133"/>
      <c r="O1044" s="133"/>
      <c r="P1044" s="133"/>
      <c r="Q1044" s="133"/>
      <c r="R1044" s="133"/>
      <c r="S1044" s="133"/>
      <c r="T1044" s="133"/>
      <c r="U1044" s="133"/>
      <c r="V1044" s="133"/>
      <c r="W1044" s="133"/>
      <c r="X1044" s="133"/>
      <c r="Y1044" s="133"/>
      <c r="Z1044" s="133"/>
    </row>
    <row r="1045">
      <c r="A1045" s="133">
        <f>IFERROR(__xludf.DUMMYFUNCTION("""COMPUTED_VALUE"""),1044.0)</f>
        <v>1044</v>
      </c>
      <c r="B1045" s="133" t="str">
        <f>IFERROR(__xludf.DUMMYFUNCTION("""COMPUTED_VALUE"""),"1008043")</f>
        <v>1008043</v>
      </c>
      <c r="C1045" s="133" t="str">
        <f>IFERROR(__xludf.DUMMYFUNCTION("""COMPUTED_VALUE"""),"P-1-N-150922-5340")</f>
        <v>P-1-N-150922-5340</v>
      </c>
      <c r="D1045" s="133"/>
      <c r="E1045" s="133" t="str">
        <f>IFERROR(__xludf.DUMMYFUNCTION("""COMPUTED_VALUE"""),"تمت طباعة الشهادة")</f>
        <v>تمت طباعة الشهادة</v>
      </c>
      <c r="F1045" s="133" t="str">
        <f>IFERROR(__xludf.DUMMYFUNCTION("""COMPUTED_VALUE"""),"ZUPREEM FRUITBLEND SMALL 907g")</f>
        <v>ZUPREEM FRUITBLEND SMALL 907g</v>
      </c>
      <c r="G1045" s="133" t="str">
        <f>IFERROR(__xludf.DUMMYFUNCTION("""COMPUTED_VALUE"""),"زوبريم فروتبلند صغير 907 ﺟﻢ")</f>
        <v>زوبريم فروتبلند صغير 907 ﺟﻢ</v>
      </c>
      <c r="H1045" s="133" t="str">
        <f>IFERROR(__xludf.DUMMYFUNCTION("""COMPUTED_VALUE"""),"MAFE20222954")</f>
        <v>MAFE20222954</v>
      </c>
      <c r="I1045" s="133"/>
      <c r="J1045" s="133"/>
      <c r="K1045" s="133" t="str">
        <f>IFERROR(__xludf.DUMMYFUNCTION("""COMPUTED_VALUE"""),"شركة المنتجات الغذائية المتميزة")</f>
        <v>شركة المنتجات الغذائية المتميزة</v>
      </c>
      <c r="L1045" s="142" t="str">
        <f>IFERROR(__xludf.DUMMYFUNCTION("""COMPUTED_VALUE"""),"1008043")</f>
        <v>1008043</v>
      </c>
      <c r="M1045" s="133"/>
      <c r="N1045" s="133"/>
      <c r="O1045" s="133"/>
      <c r="P1045" s="133"/>
      <c r="Q1045" s="133"/>
      <c r="R1045" s="133"/>
      <c r="S1045" s="133"/>
      <c r="T1045" s="133"/>
      <c r="U1045" s="133"/>
      <c r="V1045" s="133"/>
      <c r="W1045" s="133"/>
      <c r="X1045" s="133"/>
      <c r="Y1045" s="133"/>
      <c r="Z1045" s="133"/>
    </row>
    <row r="1046">
      <c r="A1046" s="133">
        <f>IFERROR(__xludf.DUMMYFUNCTION("""COMPUTED_VALUE"""),1045.0)</f>
        <v>1045</v>
      </c>
      <c r="B1046" s="133" t="str">
        <f>IFERROR(__xludf.DUMMYFUNCTION("""COMPUTED_VALUE"""),"1008045")</f>
        <v>1008045</v>
      </c>
      <c r="C1046" s="133" t="str">
        <f>IFERROR(__xludf.DUMMYFUNCTION("""COMPUTED_VALUE"""),"P-1-N-150922-5341")</f>
        <v>P-1-N-150922-5341</v>
      </c>
      <c r="D1046" s="133"/>
      <c r="E1046" s="133" t="str">
        <f>IFERROR(__xludf.DUMMYFUNCTION("""COMPUTED_VALUE"""),"تمت طباعة الشهادة")</f>
        <v>تمت طباعة الشهادة</v>
      </c>
      <c r="F1046" s="133" t="str">
        <f>IFERROR(__xludf.DUMMYFUNCTION("""COMPUTED_VALUE"""),"ZUPREEM FRUITBLEND SMALL 4.5kg")</f>
        <v>ZUPREEM FRUITBLEND SMALL 4.5kg</v>
      </c>
      <c r="G1046" s="133" t="str">
        <f>IFERROR(__xludf.DUMMYFUNCTION("""COMPUTED_VALUE"""),"زوبريم فروتبلند صغير 4.5 كجم")</f>
        <v>زوبريم فروتبلند صغير 4.5 كجم</v>
      </c>
      <c r="H1046" s="133" t="str">
        <f>IFERROR(__xludf.DUMMYFUNCTION("""COMPUTED_VALUE"""),"MAFE20222953")</f>
        <v>MAFE20222953</v>
      </c>
      <c r="I1046" s="133"/>
      <c r="J1046" s="133"/>
      <c r="K1046" s="133" t="str">
        <f>IFERROR(__xludf.DUMMYFUNCTION("""COMPUTED_VALUE"""),"شركة المنتجات الغذائية المتميزة")</f>
        <v>شركة المنتجات الغذائية المتميزة</v>
      </c>
      <c r="L1046" s="142" t="str">
        <f>IFERROR(__xludf.DUMMYFUNCTION("""COMPUTED_VALUE"""),"1008045")</f>
        <v>1008045</v>
      </c>
      <c r="M1046" s="133"/>
      <c r="N1046" s="133"/>
      <c r="O1046" s="133"/>
      <c r="P1046" s="133"/>
      <c r="Q1046" s="133"/>
      <c r="R1046" s="133"/>
      <c r="S1046" s="133"/>
      <c r="T1046" s="133"/>
      <c r="U1046" s="133"/>
      <c r="V1046" s="133"/>
      <c r="W1046" s="133"/>
      <c r="X1046" s="133"/>
      <c r="Y1046" s="133"/>
      <c r="Z1046" s="133"/>
    </row>
    <row r="1047">
      <c r="A1047" s="133">
        <f>IFERROR(__xludf.DUMMYFUNCTION("""COMPUTED_VALUE"""),1046.0)</f>
        <v>1046</v>
      </c>
      <c r="B1047" s="133" t="str">
        <f>IFERROR(__xludf.DUMMYFUNCTION("""COMPUTED_VALUE"""),"1008049")</f>
        <v>1008049</v>
      </c>
      <c r="C1047" s="133" t="str">
        <f>IFERROR(__xludf.DUMMYFUNCTION("""COMPUTED_VALUE"""),"P-1-N-150922-5342")</f>
        <v>P-1-N-150922-5342</v>
      </c>
      <c r="D1047" s="133"/>
      <c r="E1047" s="133" t="str">
        <f>IFERROR(__xludf.DUMMYFUNCTION("""COMPUTED_VALUE"""),"تمت طباعة الشهادة")</f>
        <v>تمت طباعة الشهادة</v>
      </c>
      <c r="F1047" s="133" t="str">
        <f>IFERROR(__xludf.DUMMYFUNCTION("""COMPUTED_VALUE"""),"ZUPREEM FRUITBLEND MEDIUM 907g")</f>
        <v>ZUPREEM FRUITBLEND MEDIUM 907g</v>
      </c>
      <c r="G1047" s="133" t="str">
        <f>IFERROR(__xludf.DUMMYFUNCTION("""COMPUTED_VALUE"""),"زوبريم فروتبلند متوسط 907 ﺟﻢ")</f>
        <v>زوبريم فروتبلند متوسط 907 ﺟﻢ</v>
      </c>
      <c r="H1047" s="133" t="str">
        <f>IFERROR(__xludf.DUMMYFUNCTION("""COMPUTED_VALUE"""),"MAFE20222952")</f>
        <v>MAFE20222952</v>
      </c>
      <c r="I1047" s="133"/>
      <c r="J1047" s="133"/>
      <c r="K1047" s="133" t="str">
        <f>IFERROR(__xludf.DUMMYFUNCTION("""COMPUTED_VALUE"""),"شركة المنتجات الغذائية المتميزة")</f>
        <v>شركة المنتجات الغذائية المتميزة</v>
      </c>
      <c r="L1047" s="142" t="str">
        <f>IFERROR(__xludf.DUMMYFUNCTION("""COMPUTED_VALUE"""),"1008049")</f>
        <v>1008049</v>
      </c>
      <c r="M1047" s="133"/>
      <c r="N1047" s="133"/>
      <c r="O1047" s="133"/>
      <c r="P1047" s="133"/>
      <c r="Q1047" s="133"/>
      <c r="R1047" s="133"/>
      <c r="S1047" s="133"/>
      <c r="T1047" s="133"/>
      <c r="U1047" s="133"/>
      <c r="V1047" s="133"/>
      <c r="W1047" s="133"/>
      <c r="X1047" s="133"/>
      <c r="Y1047" s="133"/>
      <c r="Z1047" s="133"/>
    </row>
    <row r="1048">
      <c r="A1048" s="133">
        <f>IFERROR(__xludf.DUMMYFUNCTION("""COMPUTED_VALUE"""),1047.0)</f>
        <v>1047</v>
      </c>
      <c r="B1048" s="133" t="str">
        <f>IFERROR(__xludf.DUMMYFUNCTION("""COMPUTED_VALUE"""),"1008017")</f>
        <v>1008017</v>
      </c>
      <c r="C1048" s="133" t="str">
        <f>IFERROR(__xludf.DUMMYFUNCTION("""COMPUTED_VALUE"""),"P-1-N-150922-5344")</f>
        <v>P-1-N-150922-5344</v>
      </c>
      <c r="D1048" s="133"/>
      <c r="E1048" s="133" t="str">
        <f>IFERROR(__xludf.DUMMYFUNCTION("""COMPUTED_VALUE"""),"تمت طباعة الشهادة")</f>
        <v>تمت طباعة الشهادة</v>
      </c>
      <c r="F1048" s="133" t="str">
        <f>IFERROR(__xludf.DUMMYFUNCTION("""COMPUTED_VALUE"""),"ZUPREEM TROPICAL MIX MEDIUM 170g")</f>
        <v>ZUPREEM TROPICAL MIX MEDIUM 170g</v>
      </c>
      <c r="G1048" s="133" t="str">
        <f>IFERROR(__xludf.DUMMYFUNCTION("""COMPUTED_VALUE"""),"زوبريم تروبيكال ميكس متوسط 170 ﺟﻢ")</f>
        <v>زوبريم تروبيكال ميكس متوسط 170 ﺟﻢ</v>
      </c>
      <c r="H1048" s="133" t="str">
        <f>IFERROR(__xludf.DUMMYFUNCTION("""COMPUTED_VALUE"""),"MAFE20222950")</f>
        <v>MAFE20222950</v>
      </c>
      <c r="I1048" s="133"/>
      <c r="J1048" s="133"/>
      <c r="K1048" s="133" t="str">
        <f>IFERROR(__xludf.DUMMYFUNCTION("""COMPUTED_VALUE"""),"شركة المنتجات الغذائية المتميزة")</f>
        <v>شركة المنتجات الغذائية المتميزة</v>
      </c>
      <c r="L1048" s="142" t="str">
        <f>IFERROR(__xludf.DUMMYFUNCTION("""COMPUTED_VALUE"""),"1008017")</f>
        <v>1008017</v>
      </c>
      <c r="M1048" s="133"/>
      <c r="N1048" s="133"/>
      <c r="O1048" s="133"/>
      <c r="P1048" s="133"/>
      <c r="Q1048" s="133"/>
      <c r="R1048" s="133"/>
      <c r="S1048" s="133"/>
      <c r="T1048" s="133"/>
      <c r="U1048" s="133"/>
      <c r="V1048" s="133"/>
      <c r="W1048" s="133"/>
      <c r="X1048" s="133"/>
      <c r="Y1048" s="133"/>
      <c r="Z1048" s="133"/>
    </row>
    <row r="1049">
      <c r="A1049" s="133">
        <f>IFERROR(__xludf.DUMMYFUNCTION("""COMPUTED_VALUE"""),1048.0)</f>
        <v>1048</v>
      </c>
      <c r="B1049" s="133" t="str">
        <f>IFERROR(__xludf.DUMMYFUNCTION("""COMPUTED_VALUE"""),"1008018")</f>
        <v>1008018</v>
      </c>
      <c r="C1049" s="133" t="str">
        <f>IFERROR(__xludf.DUMMYFUNCTION("""COMPUTED_VALUE"""),"P-1-N-150922-5345")</f>
        <v>P-1-N-150922-5345</v>
      </c>
      <c r="D1049" s="133"/>
      <c r="E1049" s="133" t="str">
        <f>IFERROR(__xludf.DUMMYFUNCTION("""COMPUTED_VALUE"""),"تمت طباعة الشهادة")</f>
        <v>تمت طباعة الشهادة</v>
      </c>
      <c r="F1049" s="133" t="str">
        <f>IFERROR(__xludf.DUMMYFUNCTION("""COMPUTED_VALUE"""),"ZUPREEM TROPICAL MIX LARGE 170g")</f>
        <v>ZUPREEM TROPICAL MIX LARGE 170g</v>
      </c>
      <c r="G1049" s="133" t="str">
        <f>IFERROR(__xludf.DUMMYFUNCTION("""COMPUTED_VALUE"""),"زوبريم تروبيكال ميكس كبير 170 ﺟﻢ")</f>
        <v>زوبريم تروبيكال ميكس كبير 170 ﺟﻢ</v>
      </c>
      <c r="H1049" s="133" t="str">
        <f>IFERROR(__xludf.DUMMYFUNCTION("""COMPUTED_VALUE"""),"MAFE20222948")</f>
        <v>MAFE20222948</v>
      </c>
      <c r="I1049" s="133"/>
      <c r="J1049" s="133"/>
      <c r="K1049" s="133" t="str">
        <f>IFERROR(__xludf.DUMMYFUNCTION("""COMPUTED_VALUE"""),"شركة المنتجات الغذائية المتميزة")</f>
        <v>شركة المنتجات الغذائية المتميزة</v>
      </c>
      <c r="L1049" s="142" t="str">
        <f>IFERROR(__xludf.DUMMYFUNCTION("""COMPUTED_VALUE"""),"1008018")</f>
        <v>1008018</v>
      </c>
      <c r="M1049" s="133"/>
      <c r="N1049" s="133"/>
      <c r="O1049" s="133"/>
      <c r="P1049" s="133"/>
      <c r="Q1049" s="133"/>
      <c r="R1049" s="133"/>
      <c r="S1049" s="133"/>
      <c r="T1049" s="133"/>
      <c r="U1049" s="133"/>
      <c r="V1049" s="133"/>
      <c r="W1049" s="133"/>
      <c r="X1049" s="133"/>
      <c r="Y1049" s="133"/>
      <c r="Z1049" s="133"/>
    </row>
    <row r="1050">
      <c r="A1050" s="133">
        <f>IFERROR(__xludf.DUMMYFUNCTION("""COMPUTED_VALUE"""),1049.0)</f>
        <v>1049</v>
      </c>
      <c r="B1050" s="133" t="str">
        <f>IFERROR(__xludf.DUMMYFUNCTION("""COMPUTED_VALUE"""),"1008019")</f>
        <v>1008019</v>
      </c>
      <c r="C1050" s="133" t="str">
        <f>IFERROR(__xludf.DUMMYFUNCTION("""COMPUTED_VALUE"""),"P-1-N-150922-5346")</f>
        <v>P-1-N-150922-5346</v>
      </c>
      <c r="D1050" s="133"/>
      <c r="E1050" s="133" t="str">
        <f>IFERROR(__xludf.DUMMYFUNCTION("""COMPUTED_VALUE"""),"تمت طباعة الشهادة")</f>
        <v>تمت طباعة الشهادة</v>
      </c>
      <c r="F1050" s="133" t="str">
        <f>IFERROR(__xludf.DUMMYFUNCTION("""COMPUTED_VALUE"""),"ZUPREEM GARDEN MIX MEDIUM 170g")</f>
        <v>ZUPREEM GARDEN MIX MEDIUM 170g</v>
      </c>
      <c r="G1050" s="133" t="str">
        <f>IFERROR(__xludf.DUMMYFUNCTION("""COMPUTED_VALUE"""),"زوبريم جاردين ميكس متوسط 170 ﺟﻢ")</f>
        <v>زوبريم جاردين ميكس متوسط 170 ﺟﻢ</v>
      </c>
      <c r="H1050" s="133" t="str">
        <f>IFERROR(__xludf.DUMMYFUNCTION("""COMPUTED_VALUE"""),"MAFE20222947")</f>
        <v>MAFE20222947</v>
      </c>
      <c r="I1050" s="133"/>
      <c r="J1050" s="133"/>
      <c r="K1050" s="133" t="str">
        <f>IFERROR(__xludf.DUMMYFUNCTION("""COMPUTED_VALUE"""),"شركة المنتجات الغذائية المتميزة")</f>
        <v>شركة المنتجات الغذائية المتميزة</v>
      </c>
      <c r="L1050" s="142" t="str">
        <f>IFERROR(__xludf.DUMMYFUNCTION("""COMPUTED_VALUE"""),"1008019")</f>
        <v>1008019</v>
      </c>
      <c r="M1050" s="133"/>
      <c r="N1050" s="133"/>
      <c r="O1050" s="133"/>
      <c r="P1050" s="133"/>
      <c r="Q1050" s="133"/>
      <c r="R1050" s="133"/>
      <c r="S1050" s="133"/>
      <c r="T1050" s="133"/>
      <c r="U1050" s="133"/>
      <c r="V1050" s="133"/>
      <c r="W1050" s="133"/>
      <c r="X1050" s="133"/>
      <c r="Y1050" s="133"/>
      <c r="Z1050" s="133"/>
    </row>
    <row r="1051">
      <c r="A1051" s="133">
        <f>IFERROR(__xludf.DUMMYFUNCTION("""COMPUTED_VALUE"""),1050.0)</f>
        <v>1050</v>
      </c>
      <c r="B1051" s="133" t="str">
        <f>IFERROR(__xludf.DUMMYFUNCTION("""COMPUTED_VALUE"""),"1008020")</f>
        <v>1008020</v>
      </c>
      <c r="C1051" s="133" t="str">
        <f>IFERROR(__xludf.DUMMYFUNCTION("""COMPUTED_VALUE"""),"P-1-N-150922-5347")</f>
        <v>P-1-N-150922-5347</v>
      </c>
      <c r="D1051" s="133"/>
      <c r="E1051" s="133" t="str">
        <f>IFERROR(__xludf.DUMMYFUNCTION("""COMPUTED_VALUE"""),"تمت طباعة الشهادة")</f>
        <v>تمت طباعة الشهادة</v>
      </c>
      <c r="F1051" s="133" t="str">
        <f>IFERROR(__xludf.DUMMYFUNCTION("""COMPUTED_VALUE"""),"ZUPREEM GARDEN MIX LARGE 170g")</f>
        <v>ZUPREEM GARDEN MIX LARGE 170g</v>
      </c>
      <c r="G1051" s="133" t="str">
        <f>IFERROR(__xludf.DUMMYFUNCTION("""COMPUTED_VALUE"""),"زوبريم جاردينز ميكس كبير 170 ﺟﻢ")</f>
        <v>زوبريم جاردينز ميكس كبير 170 ﺟﻢ</v>
      </c>
      <c r="H1051" s="133" t="str">
        <f>IFERROR(__xludf.DUMMYFUNCTION("""COMPUTED_VALUE"""),"MAFE20222943")</f>
        <v>MAFE20222943</v>
      </c>
      <c r="I1051" s="133"/>
      <c r="J1051" s="133"/>
      <c r="K1051" s="133" t="str">
        <f>IFERROR(__xludf.DUMMYFUNCTION("""COMPUTED_VALUE"""),"شركة المنتجات الغذائية المتميزة")</f>
        <v>شركة المنتجات الغذائية المتميزة</v>
      </c>
      <c r="L1051" s="142" t="str">
        <f>IFERROR(__xludf.DUMMYFUNCTION("""COMPUTED_VALUE"""),"1008020")</f>
        <v>1008020</v>
      </c>
      <c r="M1051" s="133"/>
      <c r="N1051" s="133"/>
      <c r="O1051" s="133"/>
      <c r="P1051" s="133"/>
      <c r="Q1051" s="133"/>
      <c r="R1051" s="133"/>
      <c r="S1051" s="133"/>
      <c r="T1051" s="133"/>
      <c r="U1051" s="133"/>
      <c r="V1051" s="133"/>
      <c r="W1051" s="133"/>
      <c r="X1051" s="133"/>
      <c r="Y1051" s="133"/>
      <c r="Z1051" s="133"/>
    </row>
    <row r="1052">
      <c r="A1052" s="133">
        <f>IFERROR(__xludf.DUMMYFUNCTION("""COMPUTED_VALUE"""),1051.0)</f>
        <v>1051</v>
      </c>
      <c r="B1052" s="133" t="str">
        <f>IFERROR(__xludf.DUMMYFUNCTION("""COMPUTED_VALUE"""),"1008015")</f>
        <v>1008015</v>
      </c>
      <c r="C1052" s="133" t="str">
        <f>IFERROR(__xludf.DUMMYFUNCTION("""COMPUTED_VALUE"""),"P-1-N-150922-5348")</f>
        <v>P-1-N-150922-5348</v>
      </c>
      <c r="D1052" s="133"/>
      <c r="E1052" s="133" t="str">
        <f>IFERROR(__xludf.DUMMYFUNCTION("""COMPUTED_VALUE"""),"تمت طباعة الشهادة")</f>
        <v>تمت طباعة الشهادة</v>
      </c>
      <c r="F1052" s="133" t="str">
        <f>IFERROR(__xludf.DUMMYFUNCTION("""COMPUTED_VALUE"""),"ZUPREEM ORCHARD MIX MEDIUM 170g")</f>
        <v>ZUPREEM ORCHARD MIX MEDIUM 170g</v>
      </c>
      <c r="G1052" s="133" t="str">
        <f>IFERROR(__xludf.DUMMYFUNCTION("""COMPUTED_VALUE"""),"زوبريم أوركارد ميكس متوسط 170 ﺟﻢ")</f>
        <v>زوبريم أوركارد ميكس متوسط 170 ﺟﻢ</v>
      </c>
      <c r="H1052" s="133" t="str">
        <f>IFERROR(__xludf.DUMMYFUNCTION("""COMPUTED_VALUE"""),"MAFE20222937")</f>
        <v>MAFE20222937</v>
      </c>
      <c r="I1052" s="133"/>
      <c r="J1052" s="133"/>
      <c r="K1052" s="133" t="str">
        <f>IFERROR(__xludf.DUMMYFUNCTION("""COMPUTED_VALUE"""),"شركة المنتجات الغذائية المتميزة")</f>
        <v>شركة المنتجات الغذائية المتميزة</v>
      </c>
      <c r="L1052" s="142" t="str">
        <f>IFERROR(__xludf.DUMMYFUNCTION("""COMPUTED_VALUE"""),"1008015")</f>
        <v>1008015</v>
      </c>
      <c r="M1052" s="133"/>
      <c r="N1052" s="133"/>
      <c r="O1052" s="133"/>
      <c r="P1052" s="133"/>
      <c r="Q1052" s="133"/>
      <c r="R1052" s="133"/>
      <c r="S1052" s="133"/>
      <c r="T1052" s="133"/>
      <c r="U1052" s="133"/>
      <c r="V1052" s="133"/>
      <c r="W1052" s="133"/>
      <c r="X1052" s="133"/>
      <c r="Y1052" s="133"/>
      <c r="Z1052" s="133"/>
    </row>
    <row r="1053">
      <c r="A1053" s="133">
        <f>IFERROR(__xludf.DUMMYFUNCTION("""COMPUTED_VALUE"""),1052.0)</f>
        <v>1052</v>
      </c>
      <c r="B1053" s="133" t="str">
        <f>IFERROR(__xludf.DUMMYFUNCTION("""COMPUTED_VALUE"""),"1008016")</f>
        <v>1008016</v>
      </c>
      <c r="C1053" s="133" t="str">
        <f>IFERROR(__xludf.DUMMYFUNCTION("""COMPUTED_VALUE"""),"P-1-N-150922-5349")</f>
        <v>P-1-N-150922-5349</v>
      </c>
      <c r="D1053" s="133"/>
      <c r="E1053" s="133" t="str">
        <f>IFERROR(__xludf.DUMMYFUNCTION("""COMPUTED_VALUE"""),"تمت طباعة الشهادة")</f>
        <v>تمت طباعة الشهادة</v>
      </c>
      <c r="F1053" s="133" t="str">
        <f>IFERROR(__xludf.DUMMYFUNCTION("""COMPUTED_VALUE"""),"ZUPREEM ORCHARD MIX LARGE 170g")</f>
        <v>ZUPREEM ORCHARD MIX LARGE 170g</v>
      </c>
      <c r="G1053" s="133" t="str">
        <f>IFERROR(__xludf.DUMMYFUNCTION("""COMPUTED_VALUE"""),"زوبريم أوركارد ميكس كبير 170 ﺟﻢ")</f>
        <v>زوبريم أوركارد ميكس كبير 170 ﺟﻢ</v>
      </c>
      <c r="H1053" s="133" t="str">
        <f>IFERROR(__xludf.DUMMYFUNCTION("""COMPUTED_VALUE"""),"MAFE20222942")</f>
        <v>MAFE20222942</v>
      </c>
      <c r="I1053" s="133"/>
      <c r="J1053" s="133"/>
      <c r="K1053" s="133" t="str">
        <f>IFERROR(__xludf.DUMMYFUNCTION("""COMPUTED_VALUE"""),"شركة المنتجات الغذائية المتميزة")</f>
        <v>شركة المنتجات الغذائية المتميزة</v>
      </c>
      <c r="L1053" s="142" t="str">
        <f>IFERROR(__xludf.DUMMYFUNCTION("""COMPUTED_VALUE"""),"1008016")</f>
        <v>1008016</v>
      </c>
      <c r="M1053" s="133"/>
      <c r="N1053" s="133"/>
      <c r="O1053" s="133"/>
      <c r="P1053" s="133"/>
      <c r="Q1053" s="133"/>
      <c r="R1053" s="133"/>
      <c r="S1053" s="133"/>
      <c r="T1053" s="133"/>
      <c r="U1053" s="133"/>
      <c r="V1053" s="133"/>
      <c r="W1053" s="133"/>
      <c r="X1053" s="133"/>
      <c r="Y1053" s="133"/>
      <c r="Z1053" s="133"/>
    </row>
    <row r="1054">
      <c r="A1054" s="133">
        <f>IFERROR(__xludf.DUMMYFUNCTION("""COMPUTED_VALUE"""),1053.0)</f>
        <v>1053</v>
      </c>
      <c r="B1054" s="133" t="str">
        <f>IFERROR(__xludf.DUMMYFUNCTION("""COMPUTED_VALUE"""),"1008076")</f>
        <v>1008076</v>
      </c>
      <c r="C1054" s="133" t="str">
        <f>IFERROR(__xludf.DUMMYFUNCTION("""COMPUTED_VALUE"""),"P-1-N-150922-5350")</f>
        <v>P-1-N-150922-5350</v>
      </c>
      <c r="D1054" s="133"/>
      <c r="E1054" s="133" t="str">
        <f>IFERROR(__xludf.DUMMYFUNCTION("""COMPUTED_VALUE"""),"تمت طباعة الشهادة")</f>
        <v>تمت طباعة الشهادة</v>
      </c>
      <c r="F1054" s="133" t="str">
        <f>IFERROR(__xludf.DUMMYFUNCTION("""COMPUTED_VALUE"""),"ZUPREEM NATURAL SMALL 1kg")</f>
        <v>ZUPREEM NATURAL SMALL 1kg</v>
      </c>
      <c r="G1054" s="133" t="str">
        <f>IFERROR(__xludf.DUMMYFUNCTION("""COMPUTED_VALUE"""),"زوبريم ناتشورال صغير 1 كجم")</f>
        <v>زوبريم ناتشورال صغير 1 كجم</v>
      </c>
      <c r="H1054" s="133" t="str">
        <f>IFERROR(__xludf.DUMMYFUNCTION("""COMPUTED_VALUE"""),"MAFE20222940")</f>
        <v>MAFE20222940</v>
      </c>
      <c r="I1054" s="133"/>
      <c r="J1054" s="133"/>
      <c r="K1054" s="133" t="str">
        <f>IFERROR(__xludf.DUMMYFUNCTION("""COMPUTED_VALUE"""),"شركة المنتجات الغذائية المتميزة")</f>
        <v>شركة المنتجات الغذائية المتميزة</v>
      </c>
      <c r="L1054" s="142" t="str">
        <f>IFERROR(__xludf.DUMMYFUNCTION("""COMPUTED_VALUE"""),"1008076")</f>
        <v>1008076</v>
      </c>
      <c r="M1054" s="133"/>
      <c r="N1054" s="133"/>
      <c r="O1054" s="133"/>
      <c r="P1054" s="133"/>
      <c r="Q1054" s="133"/>
      <c r="R1054" s="133"/>
      <c r="S1054" s="133"/>
      <c r="T1054" s="133"/>
      <c r="U1054" s="133"/>
      <c r="V1054" s="133"/>
      <c r="W1054" s="133"/>
      <c r="X1054" s="133"/>
      <c r="Y1054" s="133"/>
      <c r="Z1054" s="133"/>
    </row>
    <row r="1055">
      <c r="A1055" s="133">
        <f>IFERROR(__xludf.DUMMYFUNCTION("""COMPUTED_VALUE"""),1054.0)</f>
        <v>1054</v>
      </c>
      <c r="B1055" s="133" t="str">
        <f>IFERROR(__xludf.DUMMYFUNCTION("""COMPUTED_VALUE"""),"1008079")</f>
        <v>1008079</v>
      </c>
      <c r="C1055" s="133" t="str">
        <f>IFERROR(__xludf.DUMMYFUNCTION("""COMPUTED_VALUE"""),"P-1-N-150922-5351")</f>
        <v>P-1-N-150922-5351</v>
      </c>
      <c r="D1055" s="133"/>
      <c r="E1055" s="133" t="str">
        <f>IFERROR(__xludf.DUMMYFUNCTION("""COMPUTED_VALUE"""),"تمت طباعة الشهادة")</f>
        <v>تمت طباعة الشهادة</v>
      </c>
      <c r="F1055" s="133" t="str">
        <f>IFERROR(__xludf.DUMMYFUNCTION("""COMPUTED_VALUE"""),"ZUPREEM NATURAL MEDIUM 1.1kg")</f>
        <v>ZUPREEM NATURAL MEDIUM 1.1kg</v>
      </c>
      <c r="G1055" s="133" t="str">
        <f>IFERROR(__xludf.DUMMYFUNCTION("""COMPUTED_VALUE"""),"زوبريم ناتشورال متوسط 1.1 كجم")</f>
        <v>زوبريم ناتشورال متوسط 1.1 كجم</v>
      </c>
      <c r="H1055" s="133" t="str">
        <f>IFERROR(__xludf.DUMMYFUNCTION("""COMPUTED_VALUE"""),"MAFE20222938")</f>
        <v>MAFE20222938</v>
      </c>
      <c r="I1055" s="133"/>
      <c r="J1055" s="133"/>
      <c r="K1055" s="133" t="str">
        <f>IFERROR(__xludf.DUMMYFUNCTION("""COMPUTED_VALUE"""),"شركة المنتجات الغذائية المتميزة")</f>
        <v>شركة المنتجات الغذائية المتميزة</v>
      </c>
      <c r="L1055" s="142" t="str">
        <f>IFERROR(__xludf.DUMMYFUNCTION("""COMPUTED_VALUE"""),"1008079")</f>
        <v>1008079</v>
      </c>
      <c r="M1055" s="133"/>
      <c r="N1055" s="133"/>
      <c r="O1055" s="133"/>
      <c r="P1055" s="133"/>
      <c r="Q1055" s="133"/>
      <c r="R1055" s="133"/>
      <c r="S1055" s="133"/>
      <c r="T1055" s="133"/>
      <c r="U1055" s="133"/>
      <c r="V1055" s="133"/>
      <c r="W1055" s="133"/>
      <c r="X1055" s="133"/>
      <c r="Y1055" s="133"/>
      <c r="Z1055" s="133"/>
    </row>
    <row r="1056">
      <c r="A1056" s="133">
        <f>IFERROR(__xludf.DUMMYFUNCTION("""COMPUTED_VALUE"""),1055.0)</f>
        <v>1055</v>
      </c>
      <c r="B1056" s="133" t="str">
        <f>IFERROR(__xludf.DUMMYFUNCTION("""COMPUTED_VALUE"""),"1008085")</f>
        <v>1008085</v>
      </c>
      <c r="C1056" s="133" t="str">
        <f>IFERROR(__xludf.DUMMYFUNCTION("""COMPUTED_VALUE"""),"P-1-N-150922-5352")</f>
        <v>P-1-N-150922-5352</v>
      </c>
      <c r="D1056" s="133"/>
      <c r="E1056" s="133" t="str">
        <f>IFERROR(__xludf.DUMMYFUNCTION("""COMPUTED_VALUE"""),"تمت طباعة الشهادة")</f>
        <v>تمت طباعة الشهادة</v>
      </c>
      <c r="F1056" s="133" t="str">
        <f>IFERROR(__xludf.DUMMYFUNCTION("""COMPUTED_VALUE"""),"ZUPREEM NATURAL LARGE 1.4kg")</f>
        <v>ZUPREEM NATURAL LARGE 1.4kg</v>
      </c>
      <c r="G1056" s="133" t="str">
        <f>IFERROR(__xludf.DUMMYFUNCTION("""COMPUTED_VALUE"""),"زوبريم ناتشورال كبير 1.4 كجم")</f>
        <v>زوبريم ناتشورال كبير 1.4 كجم</v>
      </c>
      <c r="H1056" s="133" t="str">
        <f>IFERROR(__xludf.DUMMYFUNCTION("""COMPUTED_VALUE"""),"MAFE20222936")</f>
        <v>MAFE20222936</v>
      </c>
      <c r="I1056" s="133"/>
      <c r="J1056" s="133"/>
      <c r="K1056" s="133" t="str">
        <f>IFERROR(__xludf.DUMMYFUNCTION("""COMPUTED_VALUE"""),"شركة المنتجات الغذائية المتميزة")</f>
        <v>شركة المنتجات الغذائية المتميزة</v>
      </c>
      <c r="L1056" s="142" t="str">
        <f>IFERROR(__xludf.DUMMYFUNCTION("""COMPUTED_VALUE"""),"1008085")</f>
        <v>1008085</v>
      </c>
      <c r="M1056" s="133"/>
      <c r="N1056" s="133"/>
      <c r="O1056" s="133"/>
      <c r="P1056" s="133"/>
      <c r="Q1056" s="133"/>
      <c r="R1056" s="133"/>
      <c r="S1056" s="133"/>
      <c r="T1056" s="133"/>
      <c r="U1056" s="133"/>
      <c r="V1056" s="133"/>
      <c r="W1056" s="133"/>
      <c r="X1056" s="133"/>
      <c r="Y1056" s="133"/>
      <c r="Z1056" s="133"/>
    </row>
    <row r="1057">
      <c r="A1057" s="133">
        <f>IFERROR(__xludf.DUMMYFUNCTION("""COMPUTED_VALUE"""),1056.0)</f>
        <v>1056</v>
      </c>
      <c r="B1057" s="133" t="str">
        <f>IFERROR(__xludf.DUMMYFUNCTION("""COMPUTED_VALUE"""),"1008000")</f>
        <v>1008000</v>
      </c>
      <c r="C1057" s="133" t="str">
        <f>IFERROR(__xludf.DUMMYFUNCTION("""COMPUTED_VALUE"""),"P-1-N-061022-5690")</f>
        <v>P-1-N-061022-5690</v>
      </c>
      <c r="D1057" s="133"/>
      <c r="E1057" s="133" t="str">
        <f>IFERROR(__xludf.DUMMYFUNCTION("""COMPUTED_VALUE"""),"REJECTED")</f>
        <v>REJECTED</v>
      </c>
      <c r="F1057" s="133" t="str">
        <f>IFERROR(__xludf.DUMMYFUNCTION("""COMPUTED_VALUE"""),"ZUPREEM SMARTSELECTS CAN&amp;FICH 907g")</f>
        <v>ZUPREEM SMARTSELECTS CAN&amp;FICH 907g</v>
      </c>
      <c r="G1057" s="133" t="str">
        <f>IFERROR(__xludf.DUMMYFUNCTION("""COMPUTED_VALUE"""),"زوبريم سمارت سلكتس الكناري والفينش 907 ﺟﻢ")</f>
        <v>زوبريم سمارت سلكتس الكناري والفينش 907 ﺟﻢ</v>
      </c>
      <c r="H1057" s="133"/>
      <c r="I1057" s="133"/>
      <c r="J1057" s="133"/>
      <c r="K1057" s="133" t="str">
        <f>IFERROR(__xludf.DUMMYFUNCTION("""COMPUTED_VALUE"""),"شركة المنتجات الغذائية المتميزة")</f>
        <v>شركة المنتجات الغذائية المتميزة</v>
      </c>
      <c r="L1057" s="142" t="str">
        <f>IFERROR(__xludf.DUMMYFUNCTION("""COMPUTED_VALUE"""),"1008000")</f>
        <v>1008000</v>
      </c>
      <c r="M1057" s="133"/>
      <c r="N1057" s="133"/>
      <c r="O1057" s="133"/>
      <c r="P1057" s="133"/>
      <c r="Q1057" s="133"/>
      <c r="R1057" s="133"/>
      <c r="S1057" s="133"/>
      <c r="T1057" s="133"/>
      <c r="U1057" s="133"/>
      <c r="V1057" s="133"/>
      <c r="W1057" s="133"/>
      <c r="X1057" s="133"/>
      <c r="Y1057" s="133"/>
      <c r="Z1057" s="133"/>
    </row>
    <row r="1058">
      <c r="A1058" s="133">
        <f>IFERROR(__xludf.DUMMYFUNCTION("""COMPUTED_VALUE"""),1057.0)</f>
        <v>1057</v>
      </c>
      <c r="B1058" s="133" t="str">
        <f>IFERROR(__xludf.DUMMYFUNCTION("""COMPUTED_VALUE"""),"1008001")</f>
        <v>1008001</v>
      </c>
      <c r="C1058" s="133" t="str">
        <f>IFERROR(__xludf.DUMMYFUNCTION("""COMPUTED_VALUE"""),"P-1-N-061022-5691")</f>
        <v>P-1-N-061022-5691</v>
      </c>
      <c r="D1058" s="133"/>
      <c r="E1058" s="133" t="str">
        <f>IFERROR(__xludf.DUMMYFUNCTION("""COMPUTED_VALUE"""),"REJECTED")</f>
        <v>REJECTED</v>
      </c>
      <c r="F1058" s="133" t="str">
        <f>IFERROR(__xludf.DUMMYFUNCTION("""COMPUTED_VALUE"""),"ZUPREEM SMARTSELECTS PARAKEETS 907g")</f>
        <v>ZUPREEM SMARTSELECTS PARAKEETS 907g</v>
      </c>
      <c r="G1058" s="133" t="str">
        <f>IFERROR(__xludf.DUMMYFUNCTION("""COMPUTED_VALUE"""),"زوبريم سمارت سلكتس البراكيت 907 ﺟﻢ")</f>
        <v>زوبريم سمارت سلكتس البراكيت 907 ﺟﻢ</v>
      </c>
      <c r="H1058" s="133"/>
      <c r="I1058" s="133"/>
      <c r="J1058" s="133"/>
      <c r="K1058" s="133" t="str">
        <f>IFERROR(__xludf.DUMMYFUNCTION("""COMPUTED_VALUE"""),"شركة المنتجات الغذائية المتميزة")</f>
        <v>شركة المنتجات الغذائية المتميزة</v>
      </c>
      <c r="L1058" s="142" t="str">
        <f>IFERROR(__xludf.DUMMYFUNCTION("""COMPUTED_VALUE"""),"1008001")</f>
        <v>1008001</v>
      </c>
      <c r="M1058" s="133"/>
      <c r="N1058" s="133"/>
      <c r="O1058" s="133"/>
      <c r="P1058" s="133"/>
      <c r="Q1058" s="133"/>
      <c r="R1058" s="133"/>
      <c r="S1058" s="133"/>
      <c r="T1058" s="133"/>
      <c r="U1058" s="133"/>
      <c r="V1058" s="133"/>
      <c r="W1058" s="133"/>
      <c r="X1058" s="133"/>
      <c r="Y1058" s="133"/>
      <c r="Z1058" s="133"/>
    </row>
    <row r="1059">
      <c r="A1059" s="133">
        <f>IFERROR(__xludf.DUMMYFUNCTION("""COMPUTED_VALUE"""),1058.0)</f>
        <v>1058</v>
      </c>
      <c r="B1059" s="133" t="str">
        <f>IFERROR(__xludf.DUMMYFUNCTION("""COMPUTED_VALUE"""),"1008002")</f>
        <v>1008002</v>
      </c>
      <c r="C1059" s="133" t="str">
        <f>IFERROR(__xludf.DUMMYFUNCTION("""COMPUTED_VALUE"""),"P-1-N-061022-5692")</f>
        <v>P-1-N-061022-5692</v>
      </c>
      <c r="D1059" s="133"/>
      <c r="E1059" s="133" t="str">
        <f>IFERROR(__xludf.DUMMYFUNCTION("""COMPUTED_VALUE"""),"REJECTED")</f>
        <v>REJECTED</v>
      </c>
      <c r="F1059" s="133" t="str">
        <f>IFERROR(__xludf.DUMMYFUNCTION("""COMPUTED_VALUE"""),"ZUPREEM SMARTSELECTS COCKTIEL 1.1kg")</f>
        <v>ZUPREEM SMARTSELECTS COCKTIEL 1.1kg</v>
      </c>
      <c r="G1059" s="133" t="str">
        <f>IFERROR(__xludf.DUMMYFUNCTION("""COMPUTED_VALUE"""),"زوبريم سمارت سلكتس الكوكاتيل 1.1 كجم")</f>
        <v>زوبريم سمارت سلكتس الكوكاتيل 1.1 كجم</v>
      </c>
      <c r="H1059" s="133"/>
      <c r="I1059" s="133"/>
      <c r="J1059" s="133"/>
      <c r="K1059" s="133" t="str">
        <f>IFERROR(__xludf.DUMMYFUNCTION("""COMPUTED_VALUE"""),"شركة المنتجات الغذائية المتميزة")</f>
        <v>شركة المنتجات الغذائية المتميزة</v>
      </c>
      <c r="L1059" s="142" t="str">
        <f>IFERROR(__xludf.DUMMYFUNCTION("""COMPUTED_VALUE"""),"1008002")</f>
        <v>1008002</v>
      </c>
      <c r="M1059" s="133"/>
      <c r="N1059" s="133"/>
      <c r="O1059" s="133"/>
      <c r="P1059" s="133"/>
      <c r="Q1059" s="133"/>
      <c r="R1059" s="133"/>
      <c r="S1059" s="133"/>
      <c r="T1059" s="133"/>
      <c r="U1059" s="133"/>
      <c r="V1059" s="133"/>
      <c r="W1059" s="133"/>
      <c r="X1059" s="133"/>
      <c r="Y1059" s="133"/>
      <c r="Z1059" s="133"/>
    </row>
    <row r="1060">
      <c r="A1060" s="133">
        <f>IFERROR(__xludf.DUMMYFUNCTION("""COMPUTED_VALUE"""),1059.0)</f>
        <v>1059</v>
      </c>
      <c r="B1060" s="133" t="str">
        <f>IFERROR(__xludf.DUMMYFUNCTION("""COMPUTED_VALUE"""),"1008003")</f>
        <v>1008003</v>
      </c>
      <c r="C1060" s="133" t="str">
        <f>IFERROR(__xludf.DUMMYFUNCTION("""COMPUTED_VALUE"""),"P-1-N-061022-5693")</f>
        <v>P-1-N-061022-5693</v>
      </c>
      <c r="D1060" s="133"/>
      <c r="E1060" s="133" t="str">
        <f>IFERROR(__xludf.DUMMYFUNCTION("""COMPUTED_VALUE"""),"REJECTED")</f>
        <v>REJECTED</v>
      </c>
      <c r="F1060" s="133" t="str">
        <f>IFERROR(__xludf.DUMMYFUNCTION("""COMPUTED_VALUE"""),"ZUPREEM SMARTSELECTS P&amp;C 1.8kg")</f>
        <v>ZUPREEM SMARTSELECTS P&amp;C 1.8kg</v>
      </c>
      <c r="G1060" s="133" t="str">
        <f>IFERROR(__xludf.DUMMYFUNCTION("""COMPUTED_VALUE"""),"زوبريم سمارت سلكتس الببغاوات و الكنيور 1.8 كجم")</f>
        <v>زوبريم سمارت سلكتس الببغاوات و الكنيور 1.8 كجم</v>
      </c>
      <c r="H1060" s="133"/>
      <c r="I1060" s="133"/>
      <c r="J1060" s="133"/>
      <c r="K1060" s="133" t="str">
        <f>IFERROR(__xludf.DUMMYFUNCTION("""COMPUTED_VALUE"""),"شركة المنتجات الغذائية المتميزة")</f>
        <v>شركة المنتجات الغذائية المتميزة</v>
      </c>
      <c r="L1060" s="142" t="str">
        <f>IFERROR(__xludf.DUMMYFUNCTION("""COMPUTED_VALUE"""),"1008003")</f>
        <v>1008003</v>
      </c>
      <c r="M1060" s="133"/>
      <c r="N1060" s="133"/>
      <c r="O1060" s="133"/>
      <c r="P1060" s="133"/>
      <c r="Q1060" s="133"/>
      <c r="R1060" s="133"/>
      <c r="S1060" s="133"/>
      <c r="T1060" s="133"/>
      <c r="U1060" s="133"/>
      <c r="V1060" s="133"/>
      <c r="W1060" s="133"/>
      <c r="X1060" s="133"/>
      <c r="Y1060" s="133"/>
      <c r="Z1060" s="133"/>
    </row>
    <row r="1061">
      <c r="A1061" s="133">
        <f>IFERROR(__xludf.DUMMYFUNCTION("""COMPUTED_VALUE"""),1060.0)</f>
        <v>1060</v>
      </c>
      <c r="B1061" s="133" t="str">
        <f>IFERROR(__xludf.DUMMYFUNCTION("""COMPUTED_VALUE"""),"1008004")</f>
        <v>1008004</v>
      </c>
      <c r="C1061" s="133" t="str">
        <f>IFERROR(__xludf.DUMMYFUNCTION("""COMPUTED_VALUE"""),"P-1-N-061022-5694")</f>
        <v>P-1-N-061022-5694</v>
      </c>
      <c r="D1061" s="133"/>
      <c r="E1061" s="133" t="str">
        <f>IFERROR(__xludf.DUMMYFUNCTION("""COMPUTED_VALUE"""),"REJECTED")</f>
        <v>REJECTED</v>
      </c>
      <c r="F1061" s="133" t="str">
        <f>IFERROR(__xludf.DUMMYFUNCTION("""COMPUTED_VALUE"""),"ZUPREEM SMARTSELECTS MACAWS 1.8kg")</f>
        <v>ZUPREEM SMARTSELECTS MACAWS 1.8kg</v>
      </c>
      <c r="G1061" s="133" t="str">
        <f>IFERROR(__xludf.DUMMYFUNCTION("""COMPUTED_VALUE"""),"زوبريم سمارت سلكتس المكاو 1.8 كجم")</f>
        <v>زوبريم سمارت سلكتس المكاو 1.8 كجم</v>
      </c>
      <c r="H1061" s="133"/>
      <c r="I1061" s="133"/>
      <c r="J1061" s="133"/>
      <c r="K1061" s="133" t="str">
        <f>IFERROR(__xludf.DUMMYFUNCTION("""COMPUTED_VALUE"""),"شركة المنتجات الغذائية المتميزة")</f>
        <v>شركة المنتجات الغذائية المتميزة</v>
      </c>
      <c r="L1061" s="142" t="str">
        <f>IFERROR(__xludf.DUMMYFUNCTION("""COMPUTED_VALUE"""),"1008004")</f>
        <v>1008004</v>
      </c>
      <c r="M1061" s="133"/>
      <c r="N1061" s="133"/>
      <c r="O1061" s="133"/>
      <c r="P1061" s="133"/>
      <c r="Q1061" s="133"/>
      <c r="R1061" s="133"/>
      <c r="S1061" s="133"/>
      <c r="T1061" s="133"/>
      <c r="U1061" s="133"/>
      <c r="V1061" s="133"/>
      <c r="W1061" s="133"/>
      <c r="X1061" s="133"/>
      <c r="Y1061" s="133"/>
      <c r="Z1061" s="133"/>
    </row>
    <row r="1062">
      <c r="A1062" s="133">
        <f>IFERROR(__xludf.DUMMYFUNCTION("""COMPUTED_VALUE"""),1061.0)</f>
        <v>1061</v>
      </c>
      <c r="B1062" s="133" t="str">
        <f>IFERROR(__xludf.DUMMYFUNCTION("""COMPUTED_VALUE"""),"1008005")</f>
        <v>1008005</v>
      </c>
      <c r="C1062" s="133" t="str">
        <f>IFERROR(__xludf.DUMMYFUNCTION("""COMPUTED_VALUE"""),"P-1-N-061022-5695")</f>
        <v>P-1-N-061022-5695</v>
      </c>
      <c r="D1062" s="133"/>
      <c r="E1062" s="133" t="str">
        <f>IFERROR(__xludf.DUMMYFUNCTION("""COMPUTED_VALUE"""),"REJECTED")</f>
        <v>REJECTED</v>
      </c>
      <c r="F1062" s="133" t="str">
        <f>IFERROR(__xludf.DUMMYFUNCTION("""COMPUTED_VALUE"""),"ZUPREEM PURE FUN SMALL 907g")</f>
        <v>ZUPREEM PURE FUN SMALL 907g</v>
      </c>
      <c r="G1062" s="133" t="str">
        <f>IFERROR(__xludf.DUMMYFUNCTION("""COMPUTED_VALUE"""),"زوبريم بيور فن صغير 907 ﺟﻢ")</f>
        <v>زوبريم بيور فن صغير 907 ﺟﻢ</v>
      </c>
      <c r="H1062" s="133"/>
      <c r="I1062" s="133"/>
      <c r="J1062" s="133"/>
      <c r="K1062" s="133" t="str">
        <f>IFERROR(__xludf.DUMMYFUNCTION("""COMPUTED_VALUE"""),"شركة المنتجات الغذائية المتميزة")</f>
        <v>شركة المنتجات الغذائية المتميزة</v>
      </c>
      <c r="L1062" s="142" t="str">
        <f>IFERROR(__xludf.DUMMYFUNCTION("""COMPUTED_VALUE"""),"1008005")</f>
        <v>1008005</v>
      </c>
      <c r="M1062" s="133"/>
      <c r="N1062" s="133"/>
      <c r="O1062" s="133"/>
      <c r="P1062" s="133"/>
      <c r="Q1062" s="133"/>
      <c r="R1062" s="133"/>
      <c r="S1062" s="133"/>
      <c r="T1062" s="133"/>
      <c r="U1062" s="133"/>
      <c r="V1062" s="133"/>
      <c r="W1062" s="133"/>
      <c r="X1062" s="133"/>
      <c r="Y1062" s="133"/>
      <c r="Z1062" s="133"/>
    </row>
    <row r="1063">
      <c r="A1063" s="133">
        <f>IFERROR(__xludf.DUMMYFUNCTION("""COMPUTED_VALUE"""),1062.0)</f>
        <v>1062</v>
      </c>
      <c r="B1063" s="133" t="str">
        <f>IFERROR(__xludf.DUMMYFUNCTION("""COMPUTED_VALUE"""),"1008006")</f>
        <v>1008006</v>
      </c>
      <c r="C1063" s="133" t="str">
        <f>IFERROR(__xludf.DUMMYFUNCTION("""COMPUTED_VALUE"""),"P-1-N-061022-5696")</f>
        <v>P-1-N-061022-5696</v>
      </c>
      <c r="D1063" s="133"/>
      <c r="E1063" s="133" t="str">
        <f>IFERROR(__xludf.DUMMYFUNCTION("""COMPUTED_VALUE"""),"REJECTED")</f>
        <v>REJECTED</v>
      </c>
      <c r="F1063" s="133" t="str">
        <f>IFERROR(__xludf.DUMMYFUNCTION("""COMPUTED_VALUE"""),"ZUPREEM FUN MEDIUM 907g")</f>
        <v>ZUPREEM FUN MEDIUM 907g</v>
      </c>
      <c r="G1063" s="133" t="str">
        <f>IFERROR(__xludf.DUMMYFUNCTION("""COMPUTED_VALUE"""),"زوبريم فن متوسط 907 ﺟﻢ")</f>
        <v>زوبريم فن متوسط 907 ﺟﻢ</v>
      </c>
      <c r="H1063" s="133"/>
      <c r="I1063" s="133"/>
      <c r="J1063" s="133"/>
      <c r="K1063" s="133" t="str">
        <f>IFERROR(__xludf.DUMMYFUNCTION("""COMPUTED_VALUE"""),"شركة المنتجات الغذائية المتميزة")</f>
        <v>شركة المنتجات الغذائية المتميزة</v>
      </c>
      <c r="L1063" s="142" t="str">
        <f>IFERROR(__xludf.DUMMYFUNCTION("""COMPUTED_VALUE"""),"1008006")</f>
        <v>1008006</v>
      </c>
      <c r="M1063" s="133"/>
      <c r="N1063" s="133"/>
      <c r="O1063" s="133"/>
      <c r="P1063" s="133"/>
      <c r="Q1063" s="133"/>
      <c r="R1063" s="133"/>
      <c r="S1063" s="133"/>
      <c r="T1063" s="133"/>
      <c r="U1063" s="133"/>
      <c r="V1063" s="133"/>
      <c r="W1063" s="133"/>
      <c r="X1063" s="133"/>
      <c r="Y1063" s="133"/>
      <c r="Z1063" s="133"/>
    </row>
    <row r="1064">
      <c r="A1064" s="133">
        <f>IFERROR(__xludf.DUMMYFUNCTION("""COMPUTED_VALUE"""),1063.0)</f>
        <v>1063</v>
      </c>
      <c r="B1064" s="133" t="str">
        <f>IFERROR(__xludf.DUMMYFUNCTION("""COMPUTED_VALUE"""),"1008007")</f>
        <v>1008007</v>
      </c>
      <c r="C1064" s="133" t="str">
        <f>IFERROR(__xludf.DUMMYFUNCTION("""COMPUTED_VALUE"""),"P-1-N-061022-5697")</f>
        <v>P-1-N-061022-5697</v>
      </c>
      <c r="D1064" s="133"/>
      <c r="E1064" s="133" t="str">
        <f>IFERROR(__xludf.DUMMYFUNCTION("""COMPUTED_VALUE"""),"REJECTED")</f>
        <v>REJECTED</v>
      </c>
      <c r="F1064" s="133" t="str">
        <f>IFERROR(__xludf.DUMMYFUNCTION("""COMPUTED_VALUE"""),"ZUPREEM PURE FUN P&amp;C 907g")</f>
        <v>ZUPREEM PURE FUN P&amp;C 907g</v>
      </c>
      <c r="G1064" s="133" t="str">
        <f>IFERROR(__xludf.DUMMYFUNCTION("""COMPUTED_VALUE"""),"زوبريم بيور فن الببغاوات و الكنيور 907 ﺟﻢ")</f>
        <v>زوبريم بيور فن الببغاوات و الكنيور 907 ﺟﻢ</v>
      </c>
      <c r="H1064" s="133"/>
      <c r="I1064" s="133"/>
      <c r="J1064" s="133"/>
      <c r="K1064" s="133" t="str">
        <f>IFERROR(__xludf.DUMMYFUNCTION("""COMPUTED_VALUE"""),"شركة المنتجات الغذائية المتميزة")</f>
        <v>شركة المنتجات الغذائية المتميزة</v>
      </c>
      <c r="L1064" s="142" t="str">
        <f>IFERROR(__xludf.DUMMYFUNCTION("""COMPUTED_VALUE"""),"1008007")</f>
        <v>1008007</v>
      </c>
      <c r="M1064" s="133"/>
      <c r="N1064" s="133"/>
      <c r="O1064" s="133"/>
      <c r="P1064" s="133"/>
      <c r="Q1064" s="133"/>
      <c r="R1064" s="133"/>
      <c r="S1064" s="133"/>
      <c r="T1064" s="133"/>
      <c r="U1064" s="133"/>
      <c r="V1064" s="133"/>
      <c r="W1064" s="133"/>
      <c r="X1064" s="133"/>
      <c r="Y1064" s="133"/>
      <c r="Z1064" s="133"/>
    </row>
    <row r="1065">
      <c r="A1065" s="133">
        <f>IFERROR(__xludf.DUMMYFUNCTION("""COMPUTED_VALUE"""),1064.0)</f>
        <v>1064</v>
      </c>
      <c r="B1065" s="133" t="str">
        <f>IFERROR(__xludf.DUMMYFUNCTION("""COMPUTED_VALUE"""),"1008008")</f>
        <v>1008008</v>
      </c>
      <c r="C1065" s="133" t="str">
        <f>IFERROR(__xludf.DUMMYFUNCTION("""COMPUTED_VALUE"""),"P-1-N-061022-5698")</f>
        <v>P-1-N-061022-5698</v>
      </c>
      <c r="D1065" s="133"/>
      <c r="E1065" s="133" t="str">
        <f>IFERROR(__xludf.DUMMYFUNCTION("""COMPUTED_VALUE"""),"REJECTED")</f>
        <v>REJECTED</v>
      </c>
      <c r="F1065" s="133" t="str">
        <f>IFERROR(__xludf.DUMMYFUNCTION("""COMPUTED_VALUE"""),"ZUPREEM PURE FUN LARGE 907g")</f>
        <v>ZUPREEM PURE FUN LARGE 907g</v>
      </c>
      <c r="G1065" s="133" t="str">
        <f>IFERROR(__xludf.DUMMYFUNCTION("""COMPUTED_VALUE"""),"زوبريم بيور فن كبير 907 ﺟﻢ")</f>
        <v>زوبريم بيور فن كبير 907 ﺟﻢ</v>
      </c>
      <c r="H1065" s="133"/>
      <c r="I1065" s="133"/>
      <c r="J1065" s="133"/>
      <c r="K1065" s="133" t="str">
        <f>IFERROR(__xludf.DUMMYFUNCTION("""COMPUTED_VALUE"""),"شركة المنتجات الغذائية المتميزة")</f>
        <v>شركة المنتجات الغذائية المتميزة</v>
      </c>
      <c r="L1065" s="142" t="str">
        <f>IFERROR(__xludf.DUMMYFUNCTION("""COMPUTED_VALUE"""),"1008008")</f>
        <v>1008008</v>
      </c>
      <c r="M1065" s="133"/>
      <c r="N1065" s="133"/>
      <c r="O1065" s="133"/>
      <c r="P1065" s="133"/>
      <c r="Q1065" s="133"/>
      <c r="R1065" s="133"/>
      <c r="S1065" s="133"/>
      <c r="T1065" s="133"/>
      <c r="U1065" s="133"/>
      <c r="V1065" s="133"/>
      <c r="W1065" s="133"/>
      <c r="X1065" s="133"/>
      <c r="Y1065" s="133"/>
      <c r="Z1065" s="133"/>
    </row>
    <row r="1066">
      <c r="A1066" s="133">
        <f>IFERROR(__xludf.DUMMYFUNCTION("""COMPUTED_VALUE"""),1065.0)</f>
        <v>1065</v>
      </c>
      <c r="B1066" s="133" t="str">
        <f>IFERROR(__xludf.DUMMYFUNCTION("""COMPUTED_VALUE"""),"1008009")</f>
        <v>1008009</v>
      </c>
      <c r="C1066" s="133" t="str">
        <f>IFERROR(__xludf.DUMMYFUNCTION("""COMPUTED_VALUE"""),"P-1-N-061022-5699")</f>
        <v>P-1-N-061022-5699</v>
      </c>
      <c r="D1066" s="133"/>
      <c r="E1066" s="133" t="str">
        <f>IFERROR(__xludf.DUMMYFUNCTION("""COMPUTED_VALUE"""),"REJECTED")</f>
        <v>REJECTED</v>
      </c>
      <c r="F1066" s="133" t="str">
        <f>IFERROR(__xludf.DUMMYFUNCTION("""COMPUTED_VALUE"""),"ZUPREEM SENSIBLE SEED SMALL 907g")</f>
        <v>ZUPREEM SENSIBLE SEED SMALL 907g</v>
      </c>
      <c r="G1066" s="133" t="str">
        <f>IFERROR(__xludf.DUMMYFUNCTION("""COMPUTED_VALUE"""),"زوبريم سينسيبل سييد صغير 907 ﺟﻢ")</f>
        <v>زوبريم سينسيبل سييد صغير 907 ﺟﻢ</v>
      </c>
      <c r="H1066" s="133"/>
      <c r="I1066" s="133"/>
      <c r="J1066" s="133"/>
      <c r="K1066" s="133" t="str">
        <f>IFERROR(__xludf.DUMMYFUNCTION("""COMPUTED_VALUE"""),"شركة المنتجات الغذائية المتميزة")</f>
        <v>شركة المنتجات الغذائية المتميزة</v>
      </c>
      <c r="L1066" s="142" t="str">
        <f>IFERROR(__xludf.DUMMYFUNCTION("""COMPUTED_VALUE"""),"1008009")</f>
        <v>1008009</v>
      </c>
      <c r="M1066" s="133"/>
      <c r="N1066" s="133"/>
      <c r="O1066" s="133"/>
      <c r="P1066" s="133"/>
      <c r="Q1066" s="133"/>
      <c r="R1066" s="133"/>
      <c r="S1066" s="133"/>
      <c r="T1066" s="133"/>
      <c r="U1066" s="133"/>
      <c r="V1066" s="133"/>
      <c r="W1066" s="133"/>
      <c r="X1066" s="133"/>
      <c r="Y1066" s="133"/>
      <c r="Z1066" s="133"/>
    </row>
    <row r="1067">
      <c r="A1067" s="133">
        <f>IFERROR(__xludf.DUMMYFUNCTION("""COMPUTED_VALUE"""),1066.0)</f>
        <v>1066</v>
      </c>
      <c r="B1067" s="133" t="str">
        <f>IFERROR(__xludf.DUMMYFUNCTION("""COMPUTED_VALUE"""),"1008010")</f>
        <v>1008010</v>
      </c>
      <c r="C1067" s="133" t="str">
        <f>IFERROR(__xludf.DUMMYFUNCTION("""COMPUTED_VALUE"""),"P-1-N-061022-5700")</f>
        <v>P-1-N-061022-5700</v>
      </c>
      <c r="D1067" s="133"/>
      <c r="E1067" s="133" t="str">
        <f>IFERROR(__xludf.DUMMYFUNCTION("""COMPUTED_VALUE"""),"REJECTED")</f>
        <v>REJECTED</v>
      </c>
      <c r="F1067" s="133" t="str">
        <f>IFERROR(__xludf.DUMMYFUNCTION("""COMPUTED_VALUE"""),"ZUPREEM SENSIBLE SEED MEDIUM 907g")</f>
        <v>ZUPREEM SENSIBLE SEED MEDIUM 907g</v>
      </c>
      <c r="G1067" s="133" t="str">
        <f>IFERROR(__xludf.DUMMYFUNCTION("""COMPUTED_VALUE"""),"زوبريم سينسيبل سييد متوسط 907 ﺟﻢ")</f>
        <v>زوبريم سينسيبل سييد متوسط 907 ﺟﻢ</v>
      </c>
      <c r="H1067" s="133"/>
      <c r="I1067" s="133"/>
      <c r="J1067" s="133"/>
      <c r="K1067" s="133" t="str">
        <f>IFERROR(__xludf.DUMMYFUNCTION("""COMPUTED_VALUE"""),"شركة المنتجات الغذائية المتميزة")</f>
        <v>شركة المنتجات الغذائية المتميزة</v>
      </c>
      <c r="L1067" s="142" t="str">
        <f>IFERROR(__xludf.DUMMYFUNCTION("""COMPUTED_VALUE"""),"1008010")</f>
        <v>1008010</v>
      </c>
      <c r="M1067" s="133"/>
      <c r="N1067" s="133"/>
      <c r="O1067" s="133"/>
      <c r="P1067" s="133"/>
      <c r="Q1067" s="133"/>
      <c r="R1067" s="133"/>
      <c r="S1067" s="133"/>
      <c r="T1067" s="133"/>
      <c r="U1067" s="133"/>
      <c r="V1067" s="133"/>
      <c r="W1067" s="133"/>
      <c r="X1067" s="133"/>
      <c r="Y1067" s="133"/>
      <c r="Z1067" s="133"/>
    </row>
    <row r="1068">
      <c r="A1068" s="133">
        <f>IFERROR(__xludf.DUMMYFUNCTION("""COMPUTED_VALUE"""),1067.0)</f>
        <v>1067</v>
      </c>
      <c r="B1068" s="133" t="str">
        <f>IFERROR(__xludf.DUMMYFUNCTION("""COMPUTED_VALUE"""),"1008011")</f>
        <v>1008011</v>
      </c>
      <c r="C1068" s="133" t="str">
        <f>IFERROR(__xludf.DUMMYFUNCTION("""COMPUTED_VALUE"""),"P-1-N-061022-5701")</f>
        <v>P-1-N-061022-5701</v>
      </c>
      <c r="D1068" s="133"/>
      <c r="E1068" s="133" t="str">
        <f>IFERROR(__xludf.DUMMYFUNCTION("""COMPUTED_VALUE"""),"REJECTED")</f>
        <v>REJECTED</v>
      </c>
      <c r="F1068" s="133" t="str">
        <f>IFERROR(__xludf.DUMMYFUNCTION("""COMPUTED_VALUE"""),"ZUPREEM SENSIBLE SEED P&amp;C 907g")</f>
        <v>ZUPREEM SENSIBLE SEED P&amp;C 907g</v>
      </c>
      <c r="G1068" s="133" t="str">
        <f>IFERROR(__xludf.DUMMYFUNCTION("""COMPUTED_VALUE"""),"زوبريم سينسيبل سييد الببغاوات و الكنيور 907 ﺟﻢ")</f>
        <v>زوبريم سينسيبل سييد الببغاوات و الكنيور 907 ﺟﻢ</v>
      </c>
      <c r="H1068" s="133"/>
      <c r="I1068" s="133"/>
      <c r="J1068" s="133"/>
      <c r="K1068" s="133" t="str">
        <f>IFERROR(__xludf.DUMMYFUNCTION("""COMPUTED_VALUE"""),"شركة المنتجات الغذائية المتميزة")</f>
        <v>شركة المنتجات الغذائية المتميزة</v>
      </c>
      <c r="L1068" s="142" t="str">
        <f>IFERROR(__xludf.DUMMYFUNCTION("""COMPUTED_VALUE"""),"1008011")</f>
        <v>1008011</v>
      </c>
      <c r="M1068" s="133"/>
      <c r="N1068" s="133"/>
      <c r="O1068" s="133"/>
      <c r="P1068" s="133"/>
      <c r="Q1068" s="133"/>
      <c r="R1068" s="133"/>
      <c r="S1068" s="133"/>
      <c r="T1068" s="133"/>
      <c r="U1068" s="133"/>
      <c r="V1068" s="133"/>
      <c r="W1068" s="133"/>
      <c r="X1068" s="133"/>
      <c r="Y1068" s="133"/>
      <c r="Z1068" s="133"/>
    </row>
    <row r="1069">
      <c r="A1069" s="133">
        <f>IFERROR(__xludf.DUMMYFUNCTION("""COMPUTED_VALUE"""),1068.0)</f>
        <v>1068</v>
      </c>
      <c r="B1069" s="133" t="str">
        <f>IFERROR(__xludf.DUMMYFUNCTION("""COMPUTED_VALUE"""),"1008012")</f>
        <v>1008012</v>
      </c>
      <c r="C1069" s="133" t="str">
        <f>IFERROR(__xludf.DUMMYFUNCTION("""COMPUTED_VALUE"""),"P-1-N-061022-5702")</f>
        <v>P-1-N-061022-5702</v>
      </c>
      <c r="D1069" s="133"/>
      <c r="E1069" s="133" t="str">
        <f>IFERROR(__xludf.DUMMYFUNCTION("""COMPUTED_VALUE"""),"REJECTED")</f>
        <v>REJECTED</v>
      </c>
      <c r="F1069" s="133" t="str">
        <f>IFERROR(__xludf.DUMMYFUNCTION("""COMPUTED_VALUE"""),"ZUPREEM SENSIBLE SEED LARGE 907g")</f>
        <v>ZUPREEM SENSIBLE SEED LARGE 907g</v>
      </c>
      <c r="G1069" s="133" t="str">
        <f>IFERROR(__xludf.DUMMYFUNCTION("""COMPUTED_VALUE"""),"زوبريم سينسيبل سييد كبير 907 ﺟﻢ")</f>
        <v>زوبريم سينسيبل سييد كبير 907 ﺟﻢ</v>
      </c>
      <c r="H1069" s="133"/>
      <c r="I1069" s="133"/>
      <c r="J1069" s="133"/>
      <c r="K1069" s="133" t="str">
        <f>IFERROR(__xludf.DUMMYFUNCTION("""COMPUTED_VALUE"""),"شركة المنتجات الغذائية المتميزة")</f>
        <v>شركة المنتجات الغذائية المتميزة</v>
      </c>
      <c r="L1069" s="142" t="str">
        <f>IFERROR(__xludf.DUMMYFUNCTION("""COMPUTED_VALUE"""),"1008012")</f>
        <v>1008012</v>
      </c>
      <c r="M1069" s="133"/>
      <c r="N1069" s="133"/>
      <c r="O1069" s="133"/>
      <c r="P1069" s="133"/>
      <c r="Q1069" s="133"/>
      <c r="R1069" s="133"/>
      <c r="S1069" s="133"/>
      <c r="T1069" s="133"/>
      <c r="U1069" s="133"/>
      <c r="V1069" s="133"/>
      <c r="W1069" s="133"/>
      <c r="X1069" s="133"/>
      <c r="Y1069" s="133"/>
      <c r="Z1069" s="133"/>
    </row>
    <row r="1070">
      <c r="A1070" s="133">
        <f>IFERROR(__xludf.DUMMYFUNCTION("""COMPUTED_VALUE"""),1069.0)</f>
        <v>1069</v>
      </c>
      <c r="B1070" s="133" t="str">
        <f>IFERROR(__xludf.DUMMYFUNCTION("""COMPUTED_VALUE"""),"1008038")</f>
        <v>1008038</v>
      </c>
      <c r="C1070" s="133" t="str">
        <f>IFERROR(__xludf.DUMMYFUNCTION("""COMPUTED_VALUE"""),"P-1-N-091022-5730")</f>
        <v>P-1-N-091022-5730</v>
      </c>
      <c r="D1070" s="133"/>
      <c r="E1070" s="133" t="str">
        <f>IFERROR(__xludf.DUMMYFUNCTION("""COMPUTED_VALUE"""),"REJECTED")</f>
        <v>REJECTED</v>
      </c>
      <c r="F1070" s="133" t="str">
        <f>IFERROR(__xludf.DUMMYFUNCTION("""COMPUTED_VALUE"""),"ZUPREEM FRUITBLEND XSMALL 907g")</f>
        <v>ZUPREEM FRUITBLEND XSMALL 907g</v>
      </c>
      <c r="G1070" s="133" t="str">
        <f>IFERROR(__xludf.DUMMYFUNCTION("""COMPUTED_VALUE"""),"زوبريم فروتبلند صغير جدا 907 جم")</f>
        <v>زوبريم فروتبلند صغير جدا 907 جم</v>
      </c>
      <c r="H1070" s="133"/>
      <c r="I1070" s="133"/>
      <c r="J1070" s="133"/>
      <c r="K1070" s="133" t="str">
        <f>IFERROR(__xludf.DUMMYFUNCTION("""COMPUTED_VALUE"""),"شركة المنتجات الغذائية المتميزة")</f>
        <v>شركة المنتجات الغذائية المتميزة</v>
      </c>
      <c r="L1070" s="142" t="str">
        <f>IFERROR(__xludf.DUMMYFUNCTION("""COMPUTED_VALUE"""),"1008038")</f>
        <v>1008038</v>
      </c>
      <c r="M1070" s="133"/>
      <c r="N1070" s="133"/>
      <c r="O1070" s="133"/>
      <c r="P1070" s="133"/>
      <c r="Q1070" s="133"/>
      <c r="R1070" s="133"/>
      <c r="S1070" s="133"/>
      <c r="T1070" s="133"/>
      <c r="U1070" s="133"/>
      <c r="V1070" s="133"/>
      <c r="W1070" s="133"/>
      <c r="X1070" s="133"/>
      <c r="Y1070" s="133"/>
      <c r="Z1070" s="133"/>
    </row>
    <row r="1071">
      <c r="A1071" s="133">
        <f>IFERROR(__xludf.DUMMYFUNCTION("""COMPUTED_VALUE"""),1070.0)</f>
        <v>1070</v>
      </c>
      <c r="B1071" s="133" t="str">
        <f>IFERROR(__xludf.DUMMYFUNCTION("""COMPUTED_VALUE"""),"1008040")</f>
        <v>1008040</v>
      </c>
      <c r="C1071" s="133" t="str">
        <f>IFERROR(__xludf.DUMMYFUNCTION("""COMPUTED_VALUE"""),"P-1-N-091022-5731")</f>
        <v>P-1-N-091022-5731</v>
      </c>
      <c r="D1071" s="133"/>
      <c r="E1071" s="133" t="str">
        <f>IFERROR(__xludf.DUMMYFUNCTION("""COMPUTED_VALUE"""),"REJECTED")</f>
        <v>REJECTED</v>
      </c>
      <c r="F1071" s="133" t="str">
        <f>IFERROR(__xludf.DUMMYFUNCTION("""COMPUTED_VALUE"""),"ZUPREEM FRUITBLEND XSMALL 4.5kg")</f>
        <v>ZUPREEM FRUITBLEND XSMALL 4.5kg</v>
      </c>
      <c r="G1071" s="133" t="str">
        <f>IFERROR(__xludf.DUMMYFUNCTION("""COMPUTED_VALUE"""),"زوبريم فروتبلند صغير جدا 4.5 كجم")</f>
        <v>زوبريم فروتبلند صغير جدا 4.5 كجم</v>
      </c>
      <c r="H1071" s="133"/>
      <c r="I1071" s="133"/>
      <c r="J1071" s="133"/>
      <c r="K1071" s="133" t="str">
        <f>IFERROR(__xludf.DUMMYFUNCTION("""COMPUTED_VALUE"""),"شركة المنتجات الغذائية المتميزة")</f>
        <v>شركة المنتجات الغذائية المتميزة</v>
      </c>
      <c r="L1071" s="142" t="str">
        <f>IFERROR(__xludf.DUMMYFUNCTION("""COMPUTED_VALUE"""),"1008040")</f>
        <v>1008040</v>
      </c>
      <c r="M1071" s="133"/>
      <c r="N1071" s="133"/>
      <c r="O1071" s="133"/>
      <c r="P1071" s="133"/>
      <c r="Q1071" s="133"/>
      <c r="R1071" s="133"/>
      <c r="S1071" s="133"/>
      <c r="T1071" s="133"/>
      <c r="U1071" s="133"/>
      <c r="V1071" s="133"/>
      <c r="W1071" s="133"/>
      <c r="X1071" s="133"/>
      <c r="Y1071" s="133"/>
      <c r="Z1071" s="133"/>
    </row>
    <row r="1072">
      <c r="A1072" s="133">
        <f>IFERROR(__xludf.DUMMYFUNCTION("""COMPUTED_VALUE"""),1071.0)</f>
        <v>1071</v>
      </c>
      <c r="B1072" s="133" t="str">
        <f>IFERROR(__xludf.DUMMYFUNCTION("""COMPUTED_VALUE"""),"1008055")</f>
        <v>1008055</v>
      </c>
      <c r="C1072" s="133" t="str">
        <f>IFERROR(__xludf.DUMMYFUNCTION("""COMPUTED_VALUE"""),"P-1-N-091022-5732")</f>
        <v>P-1-N-091022-5732</v>
      </c>
      <c r="D1072" s="133"/>
      <c r="E1072" s="133" t="str">
        <f>IFERROR(__xludf.DUMMYFUNCTION("""COMPUTED_VALUE"""),"REJECTED")</f>
        <v>REJECTED</v>
      </c>
      <c r="F1072" s="133" t="str">
        <f>IFERROR(__xludf.DUMMYFUNCTION("""COMPUTED_VALUE"""),"ZUPREEM FRUITBLEND MED/LARGE 907g")</f>
        <v>ZUPREEM FRUITBLEND MED/LARGE 907g</v>
      </c>
      <c r="G1072" s="133" t="str">
        <f>IFERROR(__xludf.DUMMYFUNCTION("""COMPUTED_VALUE"""),"زوبريم فروتبلند متوسط / كبير 907 جم")</f>
        <v>زوبريم فروتبلند متوسط / كبير 907 جم</v>
      </c>
      <c r="H1072" s="133"/>
      <c r="I1072" s="133"/>
      <c r="J1072" s="133"/>
      <c r="K1072" s="133" t="str">
        <f>IFERROR(__xludf.DUMMYFUNCTION("""COMPUTED_VALUE"""),"شركة المنتجات الغذائية المتميزة")</f>
        <v>شركة المنتجات الغذائية المتميزة</v>
      </c>
      <c r="L1072" s="142" t="str">
        <f>IFERROR(__xludf.DUMMYFUNCTION("""COMPUTED_VALUE"""),"1008055")</f>
        <v>1008055</v>
      </c>
      <c r="M1072" s="133"/>
      <c r="N1072" s="133"/>
      <c r="O1072" s="133"/>
      <c r="P1072" s="133"/>
      <c r="Q1072" s="133"/>
      <c r="R1072" s="133"/>
      <c r="S1072" s="133"/>
      <c r="T1072" s="133"/>
      <c r="U1072" s="133"/>
      <c r="V1072" s="133"/>
      <c r="W1072" s="133"/>
      <c r="X1072" s="133"/>
      <c r="Y1072" s="133"/>
      <c r="Z1072" s="133"/>
    </row>
    <row r="1073">
      <c r="A1073" s="133">
        <f>IFERROR(__xludf.DUMMYFUNCTION("""COMPUTED_VALUE"""),1072.0)</f>
        <v>1072</v>
      </c>
      <c r="B1073" s="133" t="str">
        <f>IFERROR(__xludf.DUMMYFUNCTION("""COMPUTED_VALUE"""),"1008062")</f>
        <v>1008062</v>
      </c>
      <c r="C1073" s="133" t="str">
        <f>IFERROR(__xludf.DUMMYFUNCTION("""COMPUTED_VALUE"""),"P-1-N-091022-5733")</f>
        <v>P-1-N-091022-5733</v>
      </c>
      <c r="D1073" s="133"/>
      <c r="E1073" s="133" t="str">
        <f>IFERROR(__xludf.DUMMYFUNCTION("""COMPUTED_VALUE"""),"REJECTED")</f>
        <v>REJECTED</v>
      </c>
      <c r="F1073" s="133" t="str">
        <f>IFERROR(__xludf.DUMMYFUNCTION("""COMPUTED_VALUE"""),"ZUPREEM FRUITBLEND LARGE 907g")</f>
        <v>ZUPREEM FRUITBLEND LARGE 907g</v>
      </c>
      <c r="G1073" s="133" t="str">
        <f>IFERROR(__xludf.DUMMYFUNCTION("""COMPUTED_VALUE"""),"زوبريم فروتبلند كبير 907 جم")</f>
        <v>زوبريم فروتبلند كبير 907 جم</v>
      </c>
      <c r="H1073" s="133"/>
      <c r="I1073" s="133"/>
      <c r="J1073" s="133"/>
      <c r="K1073" s="133" t="str">
        <f>IFERROR(__xludf.DUMMYFUNCTION("""COMPUTED_VALUE"""),"شركة المنتجات الغذائية المتميزة")</f>
        <v>شركة المنتجات الغذائية المتميزة</v>
      </c>
      <c r="L1073" s="142" t="str">
        <f>IFERROR(__xludf.DUMMYFUNCTION("""COMPUTED_VALUE"""),"1008062")</f>
        <v>1008062</v>
      </c>
      <c r="M1073" s="133"/>
      <c r="N1073" s="133"/>
      <c r="O1073" s="133"/>
      <c r="P1073" s="133"/>
      <c r="Q1073" s="133"/>
      <c r="R1073" s="133"/>
      <c r="S1073" s="133"/>
      <c r="T1073" s="133"/>
      <c r="U1073" s="133"/>
      <c r="V1073" s="133"/>
      <c r="W1073" s="133"/>
      <c r="X1073" s="133"/>
      <c r="Y1073" s="133"/>
      <c r="Z1073" s="133"/>
    </row>
    <row r="1074">
      <c r="A1074" s="133">
        <f>IFERROR(__xludf.DUMMYFUNCTION("""COMPUTED_VALUE"""),1073.0)</f>
        <v>1073</v>
      </c>
      <c r="B1074" s="133" t="str">
        <f>IFERROR(__xludf.DUMMYFUNCTION("""COMPUTED_VALUE"""),"1008033")</f>
        <v>1008033</v>
      </c>
      <c r="C1074" s="133" t="str">
        <f>IFERROR(__xludf.DUMMYFUNCTION("""COMPUTED_VALUE"""),"P-1-N-091022-5734")</f>
        <v>P-1-N-091022-5734</v>
      </c>
      <c r="D1074" s="133"/>
      <c r="E1074" s="133" t="str">
        <f>IFERROR(__xludf.DUMMYFUNCTION("""COMPUTED_VALUE"""),"REJECTED")</f>
        <v>REJECTED</v>
      </c>
      <c r="F1074" s="133" t="str">
        <f>IFERROR(__xludf.DUMMYFUNCTION("""COMPUTED_VALUE"""),"ZUPREEM FRUITBLEND MED BREEDER 907g")</f>
        <v>ZUPREEM FRUITBLEND MED BREEDER 907g</v>
      </c>
      <c r="G1074" s="133" t="str">
        <f>IFERROR(__xludf.DUMMYFUNCTION("""COMPUTED_VALUE"""),"زوبريم فروتبلند للتربية متوسط 907 جم")</f>
        <v>زوبريم فروتبلند للتربية متوسط 907 جم</v>
      </c>
      <c r="H1074" s="133"/>
      <c r="I1074" s="133"/>
      <c r="J1074" s="133"/>
      <c r="K1074" s="133" t="str">
        <f>IFERROR(__xludf.DUMMYFUNCTION("""COMPUTED_VALUE"""),"شركة المنتجات الغذائية المتميزة")</f>
        <v>شركة المنتجات الغذائية المتميزة</v>
      </c>
      <c r="L1074" s="142" t="str">
        <f>IFERROR(__xludf.DUMMYFUNCTION("""COMPUTED_VALUE"""),"1008033")</f>
        <v>1008033</v>
      </c>
      <c r="M1074" s="133"/>
      <c r="N1074" s="133"/>
      <c r="O1074" s="133"/>
      <c r="P1074" s="133"/>
      <c r="Q1074" s="133"/>
      <c r="R1074" s="133"/>
      <c r="S1074" s="133"/>
      <c r="T1074" s="133"/>
      <c r="U1074" s="133"/>
      <c r="V1074" s="133"/>
      <c r="W1074" s="133"/>
      <c r="X1074" s="133"/>
      <c r="Y1074" s="133"/>
      <c r="Z1074" s="133"/>
    </row>
    <row r="1075">
      <c r="A1075" s="133">
        <f>IFERROR(__xludf.DUMMYFUNCTION("""COMPUTED_VALUE"""),1074.0)</f>
        <v>1074</v>
      </c>
      <c r="B1075" s="133" t="str">
        <f>IFERROR(__xludf.DUMMYFUNCTION("""COMPUTED_VALUE"""),"1008035")</f>
        <v>1008035</v>
      </c>
      <c r="C1075" s="133" t="str">
        <f>IFERROR(__xludf.DUMMYFUNCTION("""COMPUTED_VALUE"""),"P-1-N-091022-5735")</f>
        <v>P-1-N-091022-5735</v>
      </c>
      <c r="D1075" s="133"/>
      <c r="E1075" s="133" t="str">
        <f>IFERROR(__xludf.DUMMYFUNCTION("""COMPUTED_VALUE"""),"REJECTED")</f>
        <v>REJECTED</v>
      </c>
      <c r="F1075" s="133" t="str">
        <f>IFERROR(__xludf.DUMMYFUNCTION("""COMPUTED_VALUE"""),"ZUPREEM FRUITBLEND MED/LARGE BREEDER 907g")</f>
        <v>ZUPREEM FRUITBLEND MED/LARGE BREEDER 907g</v>
      </c>
      <c r="G1075" s="133" t="str">
        <f>IFERROR(__xludf.DUMMYFUNCTION("""COMPUTED_VALUE"""),"زوبريم فروتبلند للتربية متوسط/كبير 907 جم")</f>
        <v>زوبريم فروتبلند للتربية متوسط/كبير 907 جم</v>
      </c>
      <c r="H1075" s="133"/>
      <c r="I1075" s="133"/>
      <c r="J1075" s="133"/>
      <c r="K1075" s="133" t="str">
        <f>IFERROR(__xludf.DUMMYFUNCTION("""COMPUTED_VALUE"""),"شركة المنتجات الغذائية المتميزة")</f>
        <v>شركة المنتجات الغذائية المتميزة</v>
      </c>
      <c r="L1075" s="142" t="str">
        <f>IFERROR(__xludf.DUMMYFUNCTION("""COMPUTED_VALUE"""),"1008035")</f>
        <v>1008035</v>
      </c>
      <c r="M1075" s="133"/>
      <c r="N1075" s="133"/>
      <c r="O1075" s="133"/>
      <c r="P1075" s="133"/>
      <c r="Q1075" s="133"/>
      <c r="R1075" s="133"/>
      <c r="S1075" s="133"/>
      <c r="T1075" s="133"/>
      <c r="U1075" s="133"/>
      <c r="V1075" s="133"/>
      <c r="W1075" s="133"/>
      <c r="X1075" s="133"/>
      <c r="Y1075" s="133"/>
      <c r="Z1075" s="133"/>
    </row>
    <row r="1076">
      <c r="A1076" s="133">
        <f>IFERROR(__xludf.DUMMYFUNCTION("""COMPUTED_VALUE"""),1075.0)</f>
        <v>1075</v>
      </c>
      <c r="B1076" s="133" t="str">
        <f>IFERROR(__xludf.DUMMYFUNCTION("""COMPUTED_VALUE"""),"137126")</f>
        <v>137126</v>
      </c>
      <c r="C1076" s="133" t="str">
        <f>IFERROR(__xludf.DUMMYFUNCTION("""COMPUTED_VALUE"""),"P-1-N-201022-6005")</f>
        <v>P-1-N-201022-6005</v>
      </c>
      <c r="D1076" s="133"/>
      <c r="E1076" s="133" t="str">
        <f>IFERROR(__xludf.DUMMYFUNCTION("""COMPUTED_VALUE"""),"REJECTED")</f>
        <v>REJECTED</v>
      </c>
      <c r="F1076" s="133" t="str">
        <f>IFERROR(__xludf.DUMMYFUNCTION("""COMPUTED_VALUE"""),"NUTRIMEAL Premium sticks for canaries - CANARY GRASS + SHELLS 110g")</f>
        <v>NUTRIMEAL Premium sticks for canaries - CANARY GRASS + SHELLS 110g</v>
      </c>
      <c r="G1076" s="133" t="str">
        <f>IFERROR(__xludf.DUMMYFUNCTION("""COMPUTED_VALUE"""),"نوتري ميل بريميوم ستيكس للكناري - عشب الكناري + الأصداف 110جم")</f>
        <v>نوتري ميل بريميوم ستيكس للكناري - عشب الكناري + الأصداف 110جم</v>
      </c>
      <c r="H1076" s="133"/>
      <c r="I1076" s="133"/>
      <c r="J1076" s="133"/>
      <c r="K1076" s="133" t="str">
        <f>IFERROR(__xludf.DUMMYFUNCTION("""COMPUTED_VALUE"""),"بي بي اتش نيستور توماش كاوكي")</f>
        <v>بي بي اتش نيستور توماش كاوكي</v>
      </c>
      <c r="L1076" s="142" t="str">
        <f>IFERROR(__xludf.DUMMYFUNCTION("""COMPUTED_VALUE"""),"137126")</f>
        <v>137126</v>
      </c>
      <c r="M1076" s="133"/>
      <c r="N1076" s="133"/>
      <c r="O1076" s="133"/>
      <c r="P1076" s="133"/>
      <c r="Q1076" s="133"/>
      <c r="R1076" s="133"/>
      <c r="S1076" s="133"/>
      <c r="T1076" s="133"/>
      <c r="U1076" s="133"/>
      <c r="V1076" s="133"/>
      <c r="W1076" s="133"/>
      <c r="X1076" s="133"/>
      <c r="Y1076" s="133"/>
      <c r="Z1076" s="133"/>
    </row>
    <row r="1077">
      <c r="A1077" s="133">
        <f>IFERROR(__xludf.DUMMYFUNCTION("""COMPUTED_VALUE"""),1076.0)</f>
        <v>1076</v>
      </c>
      <c r="B1077" s="133" t="str">
        <f>IFERROR(__xludf.DUMMYFUNCTION("""COMPUTED_VALUE"""),"137127")</f>
        <v>137127</v>
      </c>
      <c r="C1077" s="133" t="str">
        <f>IFERROR(__xludf.DUMMYFUNCTION("""COMPUTED_VALUE"""),"P-1-N-201022-6006")</f>
        <v>P-1-N-201022-6006</v>
      </c>
      <c r="D1077" s="133"/>
      <c r="E1077" s="133" t="str">
        <f>IFERROR(__xludf.DUMMYFUNCTION("""COMPUTED_VALUE"""),"تمت طباعة الشهادة")</f>
        <v>تمت طباعة الشهادة</v>
      </c>
      <c r="F1077" s="133" t="str">
        <f>IFERROR(__xludf.DUMMYFUNCTION("""COMPUTED_VALUE"""),"NUTRILMEAL PREMIUM STICKS FOR EXOTIC BIRDS - YELLOW MILLET + SHELLS 110g")</f>
        <v>NUTRILMEAL PREMIUM STICKS FOR EXOTIC BIRDS - YELLOW MILLET + SHELLS 110g</v>
      </c>
      <c r="G1077" s="133" t="str">
        <f>IFERROR(__xludf.DUMMYFUNCTION("""COMPUTED_VALUE"""),"نوتري ميل بريميوم ستيكس للطيور االتسووايي - الدخن الأصفر + الأصداف 110 جم")</f>
        <v>نوتري ميل بريميوم ستيكس للطيور االتسووايي - الدخن الأصفر + الأصداف 110 جم</v>
      </c>
      <c r="H1077" s="133" t="str">
        <f>IFERROR(__xludf.DUMMYFUNCTION("""COMPUTED_VALUE"""),"MAFE20223263")</f>
        <v>MAFE20223263</v>
      </c>
      <c r="I1077" s="133"/>
      <c r="J1077" s="133"/>
      <c r="K1077" s="133" t="str">
        <f>IFERROR(__xludf.DUMMYFUNCTION("""COMPUTED_VALUE"""),"بي بي اتش نيستور توماش كاوكي")</f>
        <v>بي بي اتش نيستور توماش كاوكي</v>
      </c>
      <c r="L1077" s="142" t="str">
        <f>IFERROR(__xludf.DUMMYFUNCTION("""COMPUTED_VALUE"""),"137127")</f>
        <v>137127</v>
      </c>
      <c r="M1077" s="133"/>
      <c r="N1077" s="133"/>
      <c r="O1077" s="133"/>
      <c r="P1077" s="133"/>
      <c r="Q1077" s="133"/>
      <c r="R1077" s="133"/>
      <c r="S1077" s="133"/>
      <c r="T1077" s="133"/>
      <c r="U1077" s="133"/>
      <c r="V1077" s="133"/>
      <c r="W1077" s="133"/>
      <c r="X1077" s="133"/>
      <c r="Y1077" s="133"/>
      <c r="Z1077" s="133"/>
    </row>
    <row r="1078">
      <c r="A1078" s="133">
        <f>IFERROR(__xludf.DUMMYFUNCTION("""COMPUTED_VALUE"""),1077.0)</f>
        <v>1077</v>
      </c>
      <c r="B1078" s="133" t="str">
        <f>IFERROR(__xludf.DUMMYFUNCTION("""COMPUTED_VALUE"""),"137128")</f>
        <v>137128</v>
      </c>
      <c r="C1078" s="133" t="str">
        <f>IFERROR(__xludf.DUMMYFUNCTION("""COMPUTED_VALUE"""),"P-1-N-201022-6007")</f>
        <v>P-1-N-201022-6007</v>
      </c>
      <c r="D1078" s="133"/>
      <c r="E1078" s="133" t="str">
        <f>IFERROR(__xludf.DUMMYFUNCTION("""COMPUTED_VALUE"""),"تمت طباعة الشهادة")</f>
        <v>تمت طباعة الشهادة</v>
      </c>
      <c r="F1078" s="133" t="str">
        <f>IFERROR(__xludf.DUMMYFUNCTION("""COMPUTED_VALUE"""),"NUTRILMEAL PREMIUM STICKS FOR PARAKEETS - RED MILLET + SHELLS 110g")</f>
        <v>NUTRILMEAL PREMIUM STICKS FOR PARAKEETS - RED MILLET + SHELLS 110g</v>
      </c>
      <c r="G1078" s="133" t="str">
        <f>IFERROR(__xludf.DUMMYFUNCTION("""COMPUTED_VALUE"""),"نوتري ميل بريميوم ستيكس للبراكيت - الدخن الأحمر + الأصداف 110 جم")</f>
        <v>نوتري ميل بريميوم ستيكس للبراكيت - الدخن الأحمر + الأصداف 110 جم</v>
      </c>
      <c r="H1078" s="133" t="str">
        <f>IFERROR(__xludf.DUMMYFUNCTION("""COMPUTED_VALUE"""),"MAFE20223264")</f>
        <v>MAFE20223264</v>
      </c>
      <c r="I1078" s="133"/>
      <c r="J1078" s="133"/>
      <c r="K1078" s="133" t="str">
        <f>IFERROR(__xludf.DUMMYFUNCTION("""COMPUTED_VALUE"""),"بي بي اتش نيستور توماش كاوكي")</f>
        <v>بي بي اتش نيستور توماش كاوكي</v>
      </c>
      <c r="L1078" s="142" t="str">
        <f>IFERROR(__xludf.DUMMYFUNCTION("""COMPUTED_VALUE"""),"137128")</f>
        <v>137128</v>
      </c>
      <c r="M1078" s="133"/>
      <c r="N1078" s="133"/>
      <c r="O1078" s="133"/>
      <c r="P1078" s="133"/>
      <c r="Q1078" s="133"/>
      <c r="R1078" s="133"/>
      <c r="S1078" s="133"/>
      <c r="T1078" s="133"/>
      <c r="U1078" s="133"/>
      <c r="V1078" s="133"/>
      <c r="W1078" s="133"/>
      <c r="X1078" s="133"/>
      <c r="Y1078" s="133"/>
      <c r="Z1078" s="133"/>
    </row>
    <row r="1079">
      <c r="A1079" s="133">
        <f>IFERROR(__xludf.DUMMYFUNCTION("""COMPUTED_VALUE"""),1078.0)</f>
        <v>1078</v>
      </c>
      <c r="B1079" s="133" t="str">
        <f>IFERROR(__xludf.DUMMYFUNCTION("""COMPUTED_VALUE"""),"137129")</f>
        <v>137129</v>
      </c>
      <c r="C1079" s="133" t="str">
        <f>IFERROR(__xludf.DUMMYFUNCTION("""COMPUTED_VALUE"""),"P-1-N-201022-6008")</f>
        <v>P-1-N-201022-6008</v>
      </c>
      <c r="D1079" s="133"/>
      <c r="E1079" s="133" t="str">
        <f>IFERROR(__xludf.DUMMYFUNCTION("""COMPUTED_VALUE"""),"تمت طباعة الشهادة")</f>
        <v>تمت طباعة الشهادة</v>
      </c>
      <c r="F1079" s="133" t="str">
        <f>IFERROR(__xludf.DUMMYFUNCTION("""COMPUTED_VALUE"""),"NUTRILMEAL PREMIUM STICKS FOR LARGE PARAKEETS - SUNFLOWER SEED + SHELLS 110g")</f>
        <v>NUTRILMEAL PREMIUM STICKS FOR LARGE PARAKEETS - SUNFLOWER SEED + SHELLS 110g</v>
      </c>
      <c r="G1079" s="133" t="str">
        <f>IFERROR(__xludf.DUMMYFUNCTION("""COMPUTED_VALUE"""),"نوتري ميل بريميوم ستيكس للبراكيت الكبيرة - بذور دوار الشمس + الأصداف 110 جم")</f>
        <v>نوتري ميل بريميوم ستيكس للبراكيت الكبيرة - بذور دوار الشمس + الأصداف 110 جم</v>
      </c>
      <c r="H1079" s="133" t="str">
        <f>IFERROR(__xludf.DUMMYFUNCTION("""COMPUTED_VALUE"""),"MAFE20223318")</f>
        <v>MAFE20223318</v>
      </c>
      <c r="I1079" s="133"/>
      <c r="J1079" s="133"/>
      <c r="K1079" s="133" t="str">
        <f>IFERROR(__xludf.DUMMYFUNCTION("""COMPUTED_VALUE"""),"بي بي اتش نيستور توماش كاوكي")</f>
        <v>بي بي اتش نيستور توماش كاوكي</v>
      </c>
      <c r="L1079" s="142" t="str">
        <f>IFERROR(__xludf.DUMMYFUNCTION("""COMPUTED_VALUE"""),"137129")</f>
        <v>137129</v>
      </c>
      <c r="M1079" s="133"/>
      <c r="N1079" s="133"/>
      <c r="O1079" s="133"/>
      <c r="P1079" s="133"/>
      <c r="Q1079" s="133"/>
      <c r="R1079" s="133"/>
      <c r="S1079" s="133"/>
      <c r="T1079" s="133"/>
      <c r="U1079" s="133"/>
      <c r="V1079" s="133"/>
      <c r="W1079" s="133"/>
      <c r="X1079" s="133"/>
      <c r="Y1079" s="133"/>
      <c r="Z1079" s="133"/>
    </row>
    <row r="1080">
      <c r="A1080" s="133">
        <f>IFERROR(__xludf.DUMMYFUNCTION("""COMPUTED_VALUE"""),1079.0)</f>
        <v>1079</v>
      </c>
      <c r="B1080" s="133" t="str">
        <f>IFERROR(__xludf.DUMMYFUNCTION("""COMPUTED_VALUE"""),"209282")</f>
        <v>209282</v>
      </c>
      <c r="C1080" s="133" t="str">
        <f>IFERROR(__xludf.DUMMYFUNCTION("""COMPUTED_VALUE"""),"P-1-N-201022-6009")</f>
        <v>P-1-N-201022-6009</v>
      </c>
      <c r="D1080" s="133"/>
      <c r="E1080" s="133" t="str">
        <f>IFERROR(__xludf.DUMMYFUNCTION("""COMPUTED_VALUE"""),"تمت طباعة الشهادة")</f>
        <v>تمت طباعة الشهادة</v>
      </c>
      <c r="F1080" s="133" t="str">
        <f>IFERROR(__xludf.DUMMYFUNCTION("""COMPUTED_VALUE"""),"NUTRILMEAL PREMIUM STICKS FOR DWARF RABBITS - CARROT 115g")</f>
        <v>NUTRILMEAL PREMIUM STICKS FOR DWARF RABBITS - CARROT 115g</v>
      </c>
      <c r="G1080" s="133" t="str">
        <f>IFERROR(__xludf.DUMMYFUNCTION("""COMPUTED_VALUE"""),"نوتري ميل بريميوم ستيكس للأرانب القزمية - الجزر 115 جم")</f>
        <v>نوتري ميل بريميوم ستيكس للأرانب القزمية - الجزر 115 جم</v>
      </c>
      <c r="H1080" s="133" t="str">
        <f>IFERROR(__xludf.DUMMYFUNCTION("""COMPUTED_VALUE"""),"MAFE20223262")</f>
        <v>MAFE20223262</v>
      </c>
      <c r="I1080" s="133"/>
      <c r="J1080" s="133"/>
      <c r="K1080" s="133" t="str">
        <f>IFERROR(__xludf.DUMMYFUNCTION("""COMPUTED_VALUE"""),"بي بي اتش نيستور توماش كاوكي")</f>
        <v>بي بي اتش نيستور توماش كاوكي</v>
      </c>
      <c r="L1080" s="142" t="str">
        <f>IFERROR(__xludf.DUMMYFUNCTION("""COMPUTED_VALUE"""),"209282")</f>
        <v>209282</v>
      </c>
      <c r="M1080" s="133"/>
      <c r="N1080" s="133"/>
      <c r="O1080" s="133"/>
      <c r="P1080" s="133"/>
      <c r="Q1080" s="133"/>
      <c r="R1080" s="133"/>
      <c r="S1080" s="133"/>
      <c r="T1080" s="133"/>
      <c r="U1080" s="133"/>
      <c r="V1080" s="133"/>
      <c r="W1080" s="133"/>
      <c r="X1080" s="133"/>
      <c r="Y1080" s="133"/>
      <c r="Z1080" s="133"/>
    </row>
    <row r="1081">
      <c r="A1081" s="133">
        <f>IFERROR(__xludf.DUMMYFUNCTION("""COMPUTED_VALUE"""),1080.0)</f>
        <v>1080</v>
      </c>
      <c r="B1081" s="133" t="str">
        <f>IFERROR(__xludf.DUMMYFUNCTION("""COMPUTED_VALUE"""),"209284")</f>
        <v>209284</v>
      </c>
      <c r="C1081" s="133" t="str">
        <f>IFERROR(__xludf.DUMMYFUNCTION("""COMPUTED_VALUE"""),"P-1-N-201022-6010")</f>
        <v>P-1-N-201022-6010</v>
      </c>
      <c r="D1081" s="133"/>
      <c r="E1081" s="133" t="str">
        <f>IFERROR(__xludf.DUMMYFUNCTION("""COMPUTED_VALUE"""),"تمت طباعة الشهادة")</f>
        <v>تمت طباعة الشهادة</v>
      </c>
      <c r="F1081" s="133" t="str">
        <f>IFERROR(__xludf.DUMMYFUNCTION("""COMPUTED_VALUE"""),"NUTRILMEAL PREMIUM STICKS FOR DWARF RABBITS - VEGETABLES 115g")</f>
        <v>NUTRILMEAL PREMIUM STICKS FOR DWARF RABBITS - VEGETABLES 115g</v>
      </c>
      <c r="G1081" s="133" t="str">
        <f>IFERROR(__xludf.DUMMYFUNCTION("""COMPUTED_VALUE"""),"نوتري ميل بريميوم ستيكس للأرانب القزمية - الخضروات 115 جم")</f>
        <v>نوتري ميل بريميوم ستيكس للأرانب القزمية - الخضروات 115 جم</v>
      </c>
      <c r="H1081" s="133" t="str">
        <f>IFERROR(__xludf.DUMMYFUNCTION("""COMPUTED_VALUE"""),"MAFE20223261")</f>
        <v>MAFE20223261</v>
      </c>
      <c r="I1081" s="133"/>
      <c r="J1081" s="133"/>
      <c r="K1081" s="133" t="str">
        <f>IFERROR(__xludf.DUMMYFUNCTION("""COMPUTED_VALUE"""),"بي بي اتش نيستور توماش كاوكي")</f>
        <v>بي بي اتش نيستور توماش كاوكي</v>
      </c>
      <c r="L1081" s="142" t="str">
        <f>IFERROR(__xludf.DUMMYFUNCTION("""COMPUTED_VALUE"""),"209284")</f>
        <v>209284</v>
      </c>
      <c r="M1081" s="133"/>
      <c r="N1081" s="133"/>
      <c r="O1081" s="133"/>
      <c r="P1081" s="133"/>
      <c r="Q1081" s="133"/>
      <c r="R1081" s="133"/>
      <c r="S1081" s="133"/>
      <c r="T1081" s="133"/>
      <c r="U1081" s="133"/>
      <c r="V1081" s="133"/>
      <c r="W1081" s="133"/>
      <c r="X1081" s="133"/>
      <c r="Y1081" s="133"/>
      <c r="Z1081" s="133"/>
    </row>
    <row r="1082">
      <c r="A1082" s="133">
        <f>IFERROR(__xludf.DUMMYFUNCTION("""COMPUTED_VALUE"""),1081.0)</f>
        <v>1081</v>
      </c>
      <c r="B1082" s="133" t="str">
        <f>IFERROR(__xludf.DUMMYFUNCTION("""COMPUTED_VALUE"""),"209287")</f>
        <v>209287</v>
      </c>
      <c r="C1082" s="133" t="str">
        <f>IFERROR(__xludf.DUMMYFUNCTION("""COMPUTED_VALUE"""),"P-1-N-201022-6011")</f>
        <v>P-1-N-201022-6011</v>
      </c>
      <c r="D1082" s="133"/>
      <c r="E1082" s="133" t="str">
        <f>IFERROR(__xludf.DUMMYFUNCTION("""COMPUTED_VALUE"""),"تمت طباعة الشهادة")</f>
        <v>تمت طباعة الشهادة</v>
      </c>
      <c r="F1082" s="133" t="str">
        <f>IFERROR(__xludf.DUMMYFUNCTION("""COMPUTED_VALUE"""),"NUTRILMEAL PREMIUM STICKS FOR HAMSTERS AND GERBILS - OATS 110g")</f>
        <v>NUTRILMEAL PREMIUM STICKS FOR HAMSTERS AND GERBILS - OATS 110g</v>
      </c>
      <c r="G1082" s="133" t="str">
        <f>IFERROR(__xludf.DUMMYFUNCTION("""COMPUTED_VALUE"""),"نوتري ميل بريميوم ستيكس للهامستر والجربيلز - الشوفان 110 جم")</f>
        <v>نوتري ميل بريميوم ستيكس للهامستر والجربيلز - الشوفان 110 جم</v>
      </c>
      <c r="H1082" s="133" t="str">
        <f>IFERROR(__xludf.DUMMYFUNCTION("""COMPUTED_VALUE"""),"MAFE20223281")</f>
        <v>MAFE20223281</v>
      </c>
      <c r="I1082" s="133"/>
      <c r="J1082" s="133"/>
      <c r="K1082" s="133" t="str">
        <f>IFERROR(__xludf.DUMMYFUNCTION("""COMPUTED_VALUE"""),"بي بي اتش نيستور توماش كاوكي")</f>
        <v>بي بي اتش نيستور توماش كاوكي</v>
      </c>
      <c r="L1082" s="142" t="str">
        <f>IFERROR(__xludf.DUMMYFUNCTION("""COMPUTED_VALUE"""),"209287")</f>
        <v>209287</v>
      </c>
      <c r="M1082" s="133"/>
      <c r="N1082" s="133"/>
      <c r="O1082" s="133"/>
      <c r="P1082" s="133"/>
      <c r="Q1082" s="133"/>
      <c r="R1082" s="133"/>
      <c r="S1082" s="133"/>
      <c r="T1082" s="133"/>
      <c r="U1082" s="133"/>
      <c r="V1082" s="133"/>
      <c r="W1082" s="133"/>
      <c r="X1082" s="133"/>
      <c r="Y1082" s="133"/>
      <c r="Z1082" s="133"/>
    </row>
    <row r="1083">
      <c r="A1083" s="133">
        <f>IFERROR(__xludf.DUMMYFUNCTION("""COMPUTED_VALUE"""),1082.0)</f>
        <v>1082</v>
      </c>
      <c r="B1083" s="133"/>
      <c r="C1083" s="133" t="str">
        <f>IFERROR(__xludf.DUMMYFUNCTION("""COMPUTED_VALUE"""),"P-1-N-251022-6105")</f>
        <v>P-1-N-251022-6105</v>
      </c>
      <c r="D1083" s="133"/>
      <c r="E1083" s="133" t="str">
        <f>IFERROR(__xludf.DUMMYFUNCTION("""COMPUTED_VALUE"""),"REJECTED")</f>
        <v>REJECTED</v>
      </c>
      <c r="F1083" s="133" t="str">
        <f>IFERROR(__xludf.DUMMYFUNCTION("""COMPUTED_VALUE"""),"MINERAL GRIT 170.1g")</f>
        <v>MINERAL GRIT 170.1g</v>
      </c>
      <c r="G1083" s="133" t="str">
        <f>IFERROR(__xludf.DUMMYFUNCTION("""COMPUTED_VALUE"""),"مينيرال غريت 170.1 جم")</f>
        <v>مينيرال غريت 170.1 جم</v>
      </c>
      <c r="H1083" s="133"/>
      <c r="I1083" s="133"/>
      <c r="J1083" s="133"/>
      <c r="K1083" s="133" t="str">
        <f>IFERROR(__xludf.DUMMYFUNCTION("""COMPUTED_VALUE"""),"مؤسسة مجموعة ذا هيغينز")</f>
        <v>مؤسسة مجموعة ذا هيغينز</v>
      </c>
      <c r="L1083" s="133"/>
      <c r="M1083" s="133"/>
      <c r="N1083" s="133"/>
      <c r="O1083" s="133"/>
      <c r="P1083" s="133"/>
      <c r="Q1083" s="133"/>
      <c r="R1083" s="133"/>
      <c r="S1083" s="133"/>
      <c r="T1083" s="133"/>
      <c r="U1083" s="133"/>
      <c r="V1083" s="133"/>
      <c r="W1083" s="133"/>
      <c r="X1083" s="133"/>
      <c r="Y1083" s="133"/>
      <c r="Z1083" s="133"/>
    </row>
    <row r="1084">
      <c r="A1084" s="133">
        <f>IFERROR(__xludf.DUMMYFUNCTION("""COMPUTED_VALUE"""),1083.0)</f>
        <v>1083</v>
      </c>
      <c r="B1084" s="133" t="str">
        <f>IFERROR(__xludf.DUMMYFUNCTION("""COMPUTED_VALUE"""),"1008068")</f>
        <v>1008068</v>
      </c>
      <c r="C1084" s="133" t="str">
        <f>IFERROR(__xludf.DUMMYFUNCTION("""COMPUTED_VALUE"""),"P-1-N-301022-6209")</f>
        <v>P-1-N-301022-6209</v>
      </c>
      <c r="D1084" s="133"/>
      <c r="E1084" s="133" t="str">
        <f>IFERROR(__xludf.DUMMYFUNCTION("""COMPUTED_VALUE"""),"تمت طباعة الشهادة")</f>
        <v>تمت طباعة الشهادة</v>
      </c>
      <c r="F1084" s="133" t="str">
        <f>IFERROR(__xludf.DUMMYFUNCTION("""COMPUTED_VALUE"""),"ZUPREEM NUTBLEND 1.5kg")</f>
        <v>ZUPREEM NUTBLEND 1.5kg</v>
      </c>
      <c r="G1084" s="133" t="str">
        <f>IFERROR(__xludf.DUMMYFUNCTION("""COMPUTED_VALUE"""),"زوبريم نوتبلند 1.5 كجم")</f>
        <v>زوبريم نوتبلند 1.5 كجم</v>
      </c>
      <c r="H1084" s="133" t="str">
        <f>IFERROR(__xludf.DUMMYFUNCTION("""COMPUTED_VALUE"""),"MAFE20223380")</f>
        <v>MAFE20223380</v>
      </c>
      <c r="I1084" s="133"/>
      <c r="J1084" s="133"/>
      <c r="K1084" s="133" t="str">
        <f>IFERROR(__xludf.DUMMYFUNCTION("""COMPUTED_VALUE"""),"شركة المنتجات الغذائية المتميزة")</f>
        <v>شركة المنتجات الغذائية المتميزة</v>
      </c>
      <c r="L1084" s="142" t="str">
        <f>IFERROR(__xludf.DUMMYFUNCTION("""COMPUTED_VALUE"""),"1008068")</f>
        <v>1008068</v>
      </c>
      <c r="M1084" s="133"/>
      <c r="N1084" s="133"/>
      <c r="O1084" s="133"/>
      <c r="P1084" s="133"/>
      <c r="Q1084" s="133"/>
      <c r="R1084" s="133"/>
      <c r="S1084" s="133"/>
      <c r="T1084" s="133"/>
      <c r="U1084" s="133"/>
      <c r="V1084" s="133"/>
      <c r="W1084" s="133"/>
      <c r="X1084" s="133"/>
      <c r="Y1084" s="133"/>
      <c r="Z1084" s="133"/>
    </row>
    <row r="1085">
      <c r="A1085" s="133">
        <f>IFERROR(__xludf.DUMMYFUNCTION("""COMPUTED_VALUE"""),1084.0)</f>
        <v>1084</v>
      </c>
      <c r="B1085" s="133" t="str">
        <f>IFERROR(__xludf.DUMMYFUNCTION("""COMPUTED_VALUE"""),"1008071")</f>
        <v>1008071</v>
      </c>
      <c r="C1085" s="133" t="str">
        <f>IFERROR(__xludf.DUMMYFUNCTION("""COMPUTED_VALUE"""),"P-1-N-301022-6210")</f>
        <v>P-1-N-301022-6210</v>
      </c>
      <c r="D1085" s="133"/>
      <c r="E1085" s="133" t="str">
        <f>IFERROR(__xludf.DUMMYFUNCTION("""COMPUTED_VALUE"""),"تمت طباعة الشهادة")</f>
        <v>تمت طباعة الشهادة</v>
      </c>
      <c r="F1085" s="133" t="str">
        <f>IFERROR(__xludf.DUMMYFUNCTION("""COMPUTED_VALUE"""),"ZUPREEM VEGBLEND 1.5kg")</f>
        <v>ZUPREEM VEGBLEND 1.5kg</v>
      </c>
      <c r="G1085" s="133" t="str">
        <f>IFERROR(__xludf.DUMMYFUNCTION("""COMPUTED_VALUE"""),"زوبريم فيجيبلند 1.5 كجم")</f>
        <v>زوبريم فيجيبلند 1.5 كجم</v>
      </c>
      <c r="H1085" s="133" t="str">
        <f>IFERROR(__xludf.DUMMYFUNCTION("""COMPUTED_VALUE"""),"MAFE20223389")</f>
        <v>MAFE20223389</v>
      </c>
      <c r="I1085" s="133"/>
      <c r="J1085" s="133"/>
      <c r="K1085" s="133" t="str">
        <f>IFERROR(__xludf.DUMMYFUNCTION("""COMPUTED_VALUE"""),"شركة المنتجات الغذائية المتميزة")</f>
        <v>شركة المنتجات الغذائية المتميزة</v>
      </c>
      <c r="L1085" s="142" t="str">
        <f>IFERROR(__xludf.DUMMYFUNCTION("""COMPUTED_VALUE"""),"1008071")</f>
        <v>1008071</v>
      </c>
      <c r="M1085" s="133"/>
      <c r="N1085" s="133"/>
      <c r="O1085" s="133"/>
      <c r="P1085" s="133"/>
      <c r="Q1085" s="133"/>
      <c r="R1085" s="133"/>
      <c r="S1085" s="133"/>
      <c r="T1085" s="133"/>
      <c r="U1085" s="133"/>
      <c r="V1085" s="133"/>
      <c r="W1085" s="133"/>
      <c r="X1085" s="133"/>
      <c r="Y1085" s="133"/>
      <c r="Z1085" s="133"/>
    </row>
    <row r="1086">
      <c r="A1086" s="133">
        <f>IFERROR(__xludf.DUMMYFUNCTION("""COMPUTED_VALUE"""),1085.0)</f>
        <v>1085</v>
      </c>
      <c r="B1086" s="133" t="str">
        <f>IFERROR(__xludf.DUMMYFUNCTION("""COMPUTED_VALUE"""),"1008082")</f>
        <v>1008082</v>
      </c>
      <c r="C1086" s="133" t="str">
        <f>IFERROR(__xludf.DUMMYFUNCTION("""COMPUTED_VALUE"""),"P-1-N-301022-6212")</f>
        <v>P-1-N-301022-6212</v>
      </c>
      <c r="D1086" s="133"/>
      <c r="E1086" s="133" t="str">
        <f>IFERROR(__xludf.DUMMYFUNCTION("""COMPUTED_VALUE"""),"تمت طباعة الشهادة")</f>
        <v>تمت طباعة الشهادة</v>
      </c>
      <c r="F1086" s="133" t="str">
        <f>IFERROR(__xludf.DUMMYFUNCTION("""COMPUTED_VALUE"""),"ZUPREEM NATURAL MED/LARGE BREED 1.4kg")</f>
        <v>ZUPREEM NATURAL MED/LARGE BREED 1.4kg</v>
      </c>
      <c r="G1086" s="133" t="str">
        <f>IFERROR(__xludf.DUMMYFUNCTION("""COMPUTED_VALUE"""),"زوبريم ناتشورال سلالة متوسطة / كبيرة 1.4 كجم")</f>
        <v>زوبريم ناتشورال سلالة متوسطة / كبيرة 1.4 كجم</v>
      </c>
      <c r="H1086" s="133" t="str">
        <f>IFERROR(__xludf.DUMMYFUNCTION("""COMPUTED_VALUE"""),"MAFE20223387")</f>
        <v>MAFE20223387</v>
      </c>
      <c r="I1086" s="133"/>
      <c r="J1086" s="133"/>
      <c r="K1086" s="133" t="str">
        <f>IFERROR(__xludf.DUMMYFUNCTION("""COMPUTED_VALUE"""),"شركة المنتجات الغذائية المتميزة")</f>
        <v>شركة المنتجات الغذائية المتميزة</v>
      </c>
      <c r="L1086" s="142" t="str">
        <f>IFERROR(__xludf.DUMMYFUNCTION("""COMPUTED_VALUE"""),"1008082")</f>
        <v>1008082</v>
      </c>
      <c r="M1086" s="133"/>
      <c r="N1086" s="133"/>
      <c r="O1086" s="133"/>
      <c r="P1086" s="133"/>
      <c r="Q1086" s="133"/>
      <c r="R1086" s="133"/>
      <c r="S1086" s="133"/>
      <c r="T1086" s="133"/>
      <c r="U1086" s="133"/>
      <c r="V1086" s="133"/>
      <c r="W1086" s="133"/>
      <c r="X1086" s="133"/>
      <c r="Y1086" s="133"/>
      <c r="Z1086" s="133"/>
    </row>
    <row r="1087">
      <c r="A1087" s="133">
        <f>IFERROR(__xludf.DUMMYFUNCTION("""COMPUTED_VALUE"""),1086.0)</f>
        <v>1086</v>
      </c>
      <c r="B1087" s="133" t="str">
        <f>IFERROR(__xludf.DUMMYFUNCTION("""COMPUTED_VALUE"""),"1008074")</f>
        <v>1008074</v>
      </c>
      <c r="C1087" s="133" t="str">
        <f>IFERROR(__xludf.DUMMYFUNCTION("""COMPUTED_VALUE"""),"P-1-N-301022-6213")</f>
        <v>P-1-N-301022-6213</v>
      </c>
      <c r="D1087" s="133"/>
      <c r="E1087" s="133" t="str">
        <f>IFERROR(__xludf.DUMMYFUNCTION("""COMPUTED_VALUE"""),"تمت طباعة الشهادة")</f>
        <v>تمت طباعة الشهادة</v>
      </c>
      <c r="F1087" s="133" t="str">
        <f>IFERROR(__xludf.DUMMYFUNCTION("""COMPUTED_VALUE"""),"ZUPREEM PASTABLEND MED/LARGE 1.4kg")</f>
        <v>ZUPREEM PASTABLEND MED/LARGE 1.4kg</v>
      </c>
      <c r="G1087" s="133" t="str">
        <f>IFERROR(__xludf.DUMMYFUNCTION("""COMPUTED_VALUE"""),"زوبريم باستابلند متوسط / كبير 1.4 كجم")</f>
        <v>زوبريم باستابلند متوسط / كبير 1.4 كجم</v>
      </c>
      <c r="H1087" s="133" t="str">
        <f>IFERROR(__xludf.DUMMYFUNCTION("""COMPUTED_VALUE"""),"MAFE20223388")</f>
        <v>MAFE20223388</v>
      </c>
      <c r="I1087" s="133"/>
      <c r="J1087" s="133"/>
      <c r="K1087" s="133" t="str">
        <f>IFERROR(__xludf.DUMMYFUNCTION("""COMPUTED_VALUE"""),"شركة المنتجات الغذائية المتميزة")</f>
        <v>شركة المنتجات الغذائية المتميزة</v>
      </c>
      <c r="L1087" s="142" t="str">
        <f>IFERROR(__xludf.DUMMYFUNCTION("""COMPUTED_VALUE"""),"1008074")</f>
        <v>1008074</v>
      </c>
      <c r="M1087" s="133"/>
      <c r="N1087" s="133"/>
      <c r="O1087" s="133"/>
      <c r="P1087" s="133"/>
      <c r="Q1087" s="133"/>
      <c r="R1087" s="133"/>
      <c r="S1087" s="133"/>
      <c r="T1087" s="133"/>
      <c r="U1087" s="133"/>
      <c r="V1087" s="133"/>
      <c r="W1087" s="133"/>
      <c r="X1087" s="133"/>
      <c r="Y1087" s="133"/>
      <c r="Z1087" s="133"/>
    </row>
    <row r="1088">
      <c r="A1088" s="133">
        <f>IFERROR(__xludf.DUMMYFUNCTION("""COMPUTED_VALUE"""),1087.0)</f>
        <v>1087</v>
      </c>
      <c r="B1088" s="133" t="str">
        <f>IFERROR(__xludf.DUMMYFUNCTION("""COMPUTED_VALUE"""),"1008073")</f>
        <v>1008073</v>
      </c>
      <c r="C1088" s="133" t="str">
        <f>IFERROR(__xludf.DUMMYFUNCTION("""COMPUTED_VALUE"""),"P-1-N-301022-6214")</f>
        <v>P-1-N-301022-6214</v>
      </c>
      <c r="D1088" s="133"/>
      <c r="E1088" s="133" t="str">
        <f>IFERROR(__xludf.DUMMYFUNCTION("""COMPUTED_VALUE"""),"تمت طباعة الشهادة")</f>
        <v>تمت طباعة الشهادة</v>
      </c>
      <c r="F1088" s="133" t="str">
        <f>IFERROR(__xludf.DUMMYFUNCTION("""COMPUTED_VALUE"""),"ZUPREEM PASTABLEND MEDIUM 907G")</f>
        <v>ZUPREEM PASTABLEND MEDIUM 907G</v>
      </c>
      <c r="G1088" s="133" t="str">
        <f>IFERROR(__xludf.DUMMYFUNCTION("""COMPUTED_VALUE"""),"زوبريم باستابلند متوسط 907 جم")</f>
        <v>زوبريم باستابلند متوسط 907 جم</v>
      </c>
      <c r="H1088" s="133" t="str">
        <f>IFERROR(__xludf.DUMMYFUNCTION("""COMPUTED_VALUE"""),"MAFE20223379")</f>
        <v>MAFE20223379</v>
      </c>
      <c r="I1088" s="133"/>
      <c r="J1088" s="133"/>
      <c r="K1088" s="133" t="str">
        <f>IFERROR(__xludf.DUMMYFUNCTION("""COMPUTED_VALUE"""),"شركة المنتجات الغذائية المتميزة")</f>
        <v>شركة المنتجات الغذائية المتميزة</v>
      </c>
      <c r="L1088" s="142" t="str">
        <f>IFERROR(__xludf.DUMMYFUNCTION("""COMPUTED_VALUE"""),"1008073")</f>
        <v>1008073</v>
      </c>
      <c r="M1088" s="133"/>
      <c r="N1088" s="133"/>
      <c r="O1088" s="133"/>
      <c r="P1088" s="133"/>
      <c r="Q1088" s="133"/>
      <c r="R1088" s="133"/>
      <c r="S1088" s="133"/>
      <c r="T1088" s="133"/>
      <c r="U1088" s="133"/>
      <c r="V1088" s="133"/>
      <c r="W1088" s="133"/>
      <c r="X1088" s="133"/>
      <c r="Y1088" s="133"/>
      <c r="Z1088" s="133"/>
    </row>
    <row r="1089">
      <c r="A1089" s="133">
        <f>IFERROR(__xludf.DUMMYFUNCTION("""COMPUTED_VALUE"""),1088.0)</f>
        <v>1088</v>
      </c>
      <c r="B1089" s="133" t="str">
        <f>IFERROR(__xludf.DUMMYFUNCTION("""COMPUTED_VALUE"""),"1008075")</f>
        <v>1008075</v>
      </c>
      <c r="C1089" s="133" t="str">
        <f>IFERROR(__xludf.DUMMYFUNCTION("""COMPUTED_VALUE"""),"P-1-N-301022-6215")</f>
        <v>P-1-N-301022-6215</v>
      </c>
      <c r="D1089" s="133"/>
      <c r="E1089" s="133" t="str">
        <f>IFERROR(__xludf.DUMMYFUNCTION("""COMPUTED_VALUE"""),"تمت طباعة الشهادة")</f>
        <v>تمت طباعة الشهادة</v>
      </c>
      <c r="F1089" s="133" t="str">
        <f>IFERROR(__xludf.DUMMYFUNCTION("""COMPUTED_VALUE"""),"ZUPREEM PASTABLEND LARGE 1.4kg")</f>
        <v>ZUPREEM PASTABLEND LARGE 1.4kg</v>
      </c>
      <c r="G1089" s="133" t="str">
        <f>IFERROR(__xludf.DUMMYFUNCTION("""COMPUTED_VALUE"""),"زوبريم باستابلند كبير 1.4 كجم")</f>
        <v>زوبريم باستابلند كبير 1.4 كجم</v>
      </c>
      <c r="H1089" s="133" t="str">
        <f>IFERROR(__xludf.DUMMYFUNCTION("""COMPUTED_VALUE"""),"MAFE20223386")</f>
        <v>MAFE20223386</v>
      </c>
      <c r="I1089" s="133"/>
      <c r="J1089" s="133"/>
      <c r="K1089" s="133" t="str">
        <f>IFERROR(__xludf.DUMMYFUNCTION("""COMPUTED_VALUE"""),"شركة المنتجات الغذائية المتميزة")</f>
        <v>شركة المنتجات الغذائية المتميزة</v>
      </c>
      <c r="L1089" s="142" t="str">
        <f>IFERROR(__xludf.DUMMYFUNCTION("""COMPUTED_VALUE"""),"1008075")</f>
        <v>1008075</v>
      </c>
      <c r="M1089" s="133"/>
      <c r="N1089" s="133"/>
      <c r="O1089" s="133"/>
      <c r="P1089" s="133"/>
      <c r="Q1089" s="133"/>
      <c r="R1089" s="133"/>
      <c r="S1089" s="133"/>
      <c r="T1089" s="133"/>
      <c r="U1089" s="133"/>
      <c r="V1089" s="133"/>
      <c r="W1089" s="133"/>
      <c r="X1089" s="133"/>
      <c r="Y1089" s="133"/>
      <c r="Z1089" s="133"/>
    </row>
    <row r="1090">
      <c r="A1090" s="133">
        <f>IFERROR(__xludf.DUMMYFUNCTION("""COMPUTED_VALUE"""),1089.0)</f>
        <v>1089</v>
      </c>
      <c r="B1090" s="133" t="str">
        <f>IFERROR(__xludf.DUMMYFUNCTION("""COMPUTED_VALUE"""),"1008000")</f>
        <v>1008000</v>
      </c>
      <c r="C1090" s="133" t="str">
        <f>IFERROR(__xludf.DUMMYFUNCTION("""COMPUTED_VALUE"""),"P-1-N-301022-6216")</f>
        <v>P-1-N-301022-6216</v>
      </c>
      <c r="D1090" s="133"/>
      <c r="E1090" s="133" t="str">
        <f>IFERROR(__xludf.DUMMYFUNCTION("""COMPUTED_VALUE"""),"تمت طباعة الشهادة")</f>
        <v>تمت طباعة الشهادة</v>
      </c>
      <c r="F1090" s="133" t="str">
        <f>IFERROR(__xludf.DUMMYFUNCTION("""COMPUTED_VALUE"""),"ZUPREEM SMARTSELECTS CAN&amp;FICH 907g")</f>
        <v>ZUPREEM SMARTSELECTS CAN&amp;FICH 907g</v>
      </c>
      <c r="G1090" s="133" t="str">
        <f>IFERROR(__xludf.DUMMYFUNCTION("""COMPUTED_VALUE"""),"زوبريم سمارت سلكتس الكناري والفيش 907 ﺟﻢ")</f>
        <v>زوبريم سمارت سلكتس الكناري والفيش 907 ﺟﻢ</v>
      </c>
      <c r="H1090" s="133" t="str">
        <f>IFERROR(__xludf.DUMMYFUNCTION("""COMPUTED_VALUE"""),"MAFE20223404")</f>
        <v>MAFE20223404</v>
      </c>
      <c r="I1090" s="133"/>
      <c r="J1090" s="133"/>
      <c r="K1090" s="133" t="str">
        <f>IFERROR(__xludf.DUMMYFUNCTION("""COMPUTED_VALUE"""),"شركة المنتجات الغذائية المتميزة")</f>
        <v>شركة المنتجات الغذائية المتميزة</v>
      </c>
      <c r="L1090" s="142" t="str">
        <f>IFERROR(__xludf.DUMMYFUNCTION("""COMPUTED_VALUE"""),"1008000")</f>
        <v>1008000</v>
      </c>
      <c r="M1090" s="133"/>
      <c r="N1090" s="133"/>
      <c r="O1090" s="133"/>
      <c r="P1090" s="133"/>
      <c r="Q1090" s="133"/>
      <c r="R1090" s="133"/>
      <c r="S1090" s="133"/>
      <c r="T1090" s="133"/>
      <c r="U1090" s="133"/>
      <c r="V1090" s="133"/>
      <c r="W1090" s="133"/>
      <c r="X1090" s="133"/>
      <c r="Y1090" s="133"/>
      <c r="Z1090" s="133"/>
    </row>
    <row r="1091">
      <c r="A1091" s="133">
        <f>IFERROR(__xludf.DUMMYFUNCTION("""COMPUTED_VALUE"""),1090.0)</f>
        <v>1090</v>
      </c>
      <c r="B1091" s="133" t="str">
        <f>IFERROR(__xludf.DUMMYFUNCTION("""COMPUTED_VALUE"""),"1008001")</f>
        <v>1008001</v>
      </c>
      <c r="C1091" s="133" t="str">
        <f>IFERROR(__xludf.DUMMYFUNCTION("""COMPUTED_VALUE"""),"P-1-N-301022-6217")</f>
        <v>P-1-N-301022-6217</v>
      </c>
      <c r="D1091" s="133"/>
      <c r="E1091" s="133" t="str">
        <f>IFERROR(__xludf.DUMMYFUNCTION("""COMPUTED_VALUE"""),"تمت طباعة الشهادة")</f>
        <v>تمت طباعة الشهادة</v>
      </c>
      <c r="F1091" s="133" t="str">
        <f>IFERROR(__xludf.DUMMYFUNCTION("""COMPUTED_VALUE"""),"ZUPREEM SMARTSELECTS PARAKEETS 907g")</f>
        <v>ZUPREEM SMARTSELECTS PARAKEETS 907g</v>
      </c>
      <c r="G1091" s="133" t="str">
        <f>IFERROR(__xludf.DUMMYFUNCTION("""COMPUTED_VALUE"""),"زوبريم سمارت سلكتس البراكيت 907 ﺟﻢ")</f>
        <v>زوبريم سمارت سلكتس البراكيت 907 ﺟﻢ</v>
      </c>
      <c r="H1091" s="133" t="str">
        <f>IFERROR(__xludf.DUMMYFUNCTION("""COMPUTED_VALUE"""),"MAFE20223385")</f>
        <v>MAFE20223385</v>
      </c>
      <c r="I1091" s="133"/>
      <c r="J1091" s="133"/>
      <c r="K1091" s="133" t="str">
        <f>IFERROR(__xludf.DUMMYFUNCTION("""COMPUTED_VALUE"""),"شركة المنتجات الغذائية المتميزة")</f>
        <v>شركة المنتجات الغذائية المتميزة</v>
      </c>
      <c r="L1091" s="142" t="str">
        <f>IFERROR(__xludf.DUMMYFUNCTION("""COMPUTED_VALUE"""),"1008001")</f>
        <v>1008001</v>
      </c>
      <c r="M1091" s="133"/>
      <c r="N1091" s="133"/>
      <c r="O1091" s="133"/>
      <c r="P1091" s="133"/>
      <c r="Q1091" s="133"/>
      <c r="R1091" s="133"/>
      <c r="S1091" s="133"/>
      <c r="T1091" s="133"/>
      <c r="U1091" s="133"/>
      <c r="V1091" s="133"/>
      <c r="W1091" s="133"/>
      <c r="X1091" s="133"/>
      <c r="Y1091" s="133"/>
      <c r="Z1091" s="133"/>
    </row>
    <row r="1092">
      <c r="A1092" s="133">
        <f>IFERROR(__xludf.DUMMYFUNCTION("""COMPUTED_VALUE"""),1091.0)</f>
        <v>1091</v>
      </c>
      <c r="B1092" s="133" t="str">
        <f>IFERROR(__xludf.DUMMYFUNCTION("""COMPUTED_VALUE"""),"1008002")</f>
        <v>1008002</v>
      </c>
      <c r="C1092" s="133" t="str">
        <f>IFERROR(__xludf.DUMMYFUNCTION("""COMPUTED_VALUE"""),"P-1-N-301022-6218")</f>
        <v>P-1-N-301022-6218</v>
      </c>
      <c r="D1092" s="133"/>
      <c r="E1092" s="133" t="str">
        <f>IFERROR(__xludf.DUMMYFUNCTION("""COMPUTED_VALUE"""),"تمت طباعة الشهادة")</f>
        <v>تمت طباعة الشهادة</v>
      </c>
      <c r="F1092" s="133" t="str">
        <f>IFERROR(__xludf.DUMMYFUNCTION("""COMPUTED_VALUE"""),"ZUPREEM SMARTSELECTS COCKTIEL 1.1kg")</f>
        <v>ZUPREEM SMARTSELECTS COCKTIEL 1.1kg</v>
      </c>
      <c r="G1092" s="133" t="str">
        <f>IFERROR(__xludf.DUMMYFUNCTION("""COMPUTED_VALUE"""),"زوبريم سمارت سلكتس الكوكاتيل 1.1 كجم")</f>
        <v>زوبريم سمارت سلكتس الكوكاتيل 1.1 كجم</v>
      </c>
      <c r="H1092" s="133" t="str">
        <f>IFERROR(__xludf.DUMMYFUNCTION("""COMPUTED_VALUE"""),"MAFE20223383")</f>
        <v>MAFE20223383</v>
      </c>
      <c r="I1092" s="133"/>
      <c r="J1092" s="133"/>
      <c r="K1092" s="133" t="str">
        <f>IFERROR(__xludf.DUMMYFUNCTION("""COMPUTED_VALUE"""),"شركة المنتجات الغذائية المتميزة")</f>
        <v>شركة المنتجات الغذائية المتميزة</v>
      </c>
      <c r="L1092" s="142" t="str">
        <f>IFERROR(__xludf.DUMMYFUNCTION("""COMPUTED_VALUE"""),"1008002")</f>
        <v>1008002</v>
      </c>
      <c r="M1092" s="133"/>
      <c r="N1092" s="133"/>
      <c r="O1092" s="133"/>
      <c r="P1092" s="133"/>
      <c r="Q1092" s="133"/>
      <c r="R1092" s="133"/>
      <c r="S1092" s="133"/>
      <c r="T1092" s="133"/>
      <c r="U1092" s="133"/>
      <c r="V1092" s="133"/>
      <c r="W1092" s="133"/>
      <c r="X1092" s="133"/>
      <c r="Y1092" s="133"/>
      <c r="Z1092" s="133"/>
    </row>
    <row r="1093">
      <c r="A1093" s="133">
        <f>IFERROR(__xludf.DUMMYFUNCTION("""COMPUTED_VALUE"""),1092.0)</f>
        <v>1092</v>
      </c>
      <c r="B1093" s="133" t="str">
        <f>IFERROR(__xludf.DUMMYFUNCTION("""COMPUTED_VALUE"""),"1008003")</f>
        <v>1008003</v>
      </c>
      <c r="C1093" s="133" t="str">
        <f>IFERROR(__xludf.DUMMYFUNCTION("""COMPUTED_VALUE"""),"P-1-N-301022-6219")</f>
        <v>P-1-N-301022-6219</v>
      </c>
      <c r="D1093" s="133"/>
      <c r="E1093" s="133" t="str">
        <f>IFERROR(__xludf.DUMMYFUNCTION("""COMPUTED_VALUE"""),"تمت طباعة الشهادة")</f>
        <v>تمت طباعة الشهادة</v>
      </c>
      <c r="F1093" s="133" t="str">
        <f>IFERROR(__xludf.DUMMYFUNCTION("""COMPUTED_VALUE"""),"ZUPREEM SMARTSELECTS P&amp;C 1.8kg")</f>
        <v>ZUPREEM SMARTSELECTS P&amp;C 1.8kg</v>
      </c>
      <c r="G1093" s="133" t="str">
        <f>IFERROR(__xludf.DUMMYFUNCTION("""COMPUTED_VALUE"""),"زوبريم سمارت سلكتس الببغاوات و الكنيور 1.8 كجم")</f>
        <v>زوبريم سمارت سلكتس الببغاوات و الكنيور 1.8 كجم</v>
      </c>
      <c r="H1093" s="133" t="str">
        <f>IFERROR(__xludf.DUMMYFUNCTION("""COMPUTED_VALUE"""),"MAFE20223382")</f>
        <v>MAFE20223382</v>
      </c>
      <c r="I1093" s="133"/>
      <c r="J1093" s="133"/>
      <c r="K1093" s="133" t="str">
        <f>IFERROR(__xludf.DUMMYFUNCTION("""COMPUTED_VALUE"""),"شركة المنتجات الغذائية المتميزة")</f>
        <v>شركة المنتجات الغذائية المتميزة</v>
      </c>
      <c r="L1093" s="142" t="str">
        <f>IFERROR(__xludf.DUMMYFUNCTION("""COMPUTED_VALUE"""),"1008003")</f>
        <v>1008003</v>
      </c>
      <c r="M1093" s="133"/>
      <c r="N1093" s="133"/>
      <c r="O1093" s="133"/>
      <c r="P1093" s="133"/>
      <c r="Q1093" s="133"/>
      <c r="R1093" s="133"/>
      <c r="S1093" s="133"/>
      <c r="T1093" s="133"/>
      <c r="U1093" s="133"/>
      <c r="V1093" s="133"/>
      <c r="W1093" s="133"/>
      <c r="X1093" s="133"/>
      <c r="Y1093" s="133"/>
      <c r="Z1093" s="133"/>
    </row>
    <row r="1094">
      <c r="A1094" s="133">
        <f>IFERROR(__xludf.DUMMYFUNCTION("""COMPUTED_VALUE"""),1093.0)</f>
        <v>1093</v>
      </c>
      <c r="B1094" s="133" t="str">
        <f>IFERROR(__xludf.DUMMYFUNCTION("""COMPUTED_VALUE"""),"1008004")</f>
        <v>1008004</v>
      </c>
      <c r="C1094" s="133" t="str">
        <f>IFERROR(__xludf.DUMMYFUNCTION("""COMPUTED_VALUE"""),"P-1-N-301022-6220")</f>
        <v>P-1-N-301022-6220</v>
      </c>
      <c r="D1094" s="133"/>
      <c r="E1094" s="133" t="str">
        <f>IFERROR(__xludf.DUMMYFUNCTION("""COMPUTED_VALUE"""),"تمت طباعة الشهادة")</f>
        <v>تمت طباعة الشهادة</v>
      </c>
      <c r="F1094" s="133" t="str">
        <f>IFERROR(__xludf.DUMMYFUNCTION("""COMPUTED_VALUE"""),"ZUPREEM SMARTSELECTS MACAWS 1.8kg")</f>
        <v>ZUPREEM SMARTSELECTS MACAWS 1.8kg</v>
      </c>
      <c r="G1094" s="133" t="str">
        <f>IFERROR(__xludf.DUMMYFUNCTION("""COMPUTED_VALUE"""),"زوبريم سمارت سلكتس المكاو 1.8 كجم")</f>
        <v>زوبريم سمارت سلكتس المكاو 1.8 كجم</v>
      </c>
      <c r="H1094" s="133" t="str">
        <f>IFERROR(__xludf.DUMMYFUNCTION("""COMPUTED_VALUE"""),"MAFE20223381")</f>
        <v>MAFE20223381</v>
      </c>
      <c r="I1094" s="133"/>
      <c r="J1094" s="133"/>
      <c r="K1094" s="133" t="str">
        <f>IFERROR(__xludf.DUMMYFUNCTION("""COMPUTED_VALUE"""),"شركة المنتجات الغذائية المتميزة")</f>
        <v>شركة المنتجات الغذائية المتميزة</v>
      </c>
      <c r="L1094" s="142" t="str">
        <f>IFERROR(__xludf.DUMMYFUNCTION("""COMPUTED_VALUE"""),"1008004")</f>
        <v>1008004</v>
      </c>
      <c r="M1094" s="133"/>
      <c r="N1094" s="133"/>
      <c r="O1094" s="133"/>
      <c r="P1094" s="133"/>
      <c r="Q1094" s="133"/>
      <c r="R1094" s="133"/>
      <c r="S1094" s="133"/>
      <c r="T1094" s="133"/>
      <c r="U1094" s="133"/>
      <c r="V1094" s="133"/>
      <c r="W1094" s="133"/>
      <c r="X1094" s="133"/>
      <c r="Y1094" s="133"/>
      <c r="Z1094" s="133"/>
    </row>
    <row r="1095">
      <c r="A1095" s="133">
        <f>IFERROR(__xludf.DUMMYFUNCTION("""COMPUTED_VALUE"""),1094.0)</f>
        <v>1094</v>
      </c>
      <c r="B1095" s="133" t="str">
        <f>IFERROR(__xludf.DUMMYFUNCTION("""COMPUTED_VALUE"""),"1008005")</f>
        <v>1008005</v>
      </c>
      <c r="C1095" s="133" t="str">
        <f>IFERROR(__xludf.DUMMYFUNCTION("""COMPUTED_VALUE"""),"P-1-N-301022-6221")</f>
        <v>P-1-N-301022-6221</v>
      </c>
      <c r="D1095" s="133"/>
      <c r="E1095" s="133" t="str">
        <f>IFERROR(__xludf.DUMMYFUNCTION("""COMPUTED_VALUE"""),"تمت طباعة الشهادة")</f>
        <v>تمت طباعة الشهادة</v>
      </c>
      <c r="F1095" s="133" t="str">
        <f>IFERROR(__xludf.DUMMYFUNCTION("""COMPUTED_VALUE"""),"ZUPREEM PURE FUN SMALL 907g")</f>
        <v>ZUPREEM PURE FUN SMALL 907g</v>
      </c>
      <c r="G1095" s="133" t="str">
        <f>IFERROR(__xludf.DUMMYFUNCTION("""COMPUTED_VALUE"""),"زوبريم بيور فن صغير 907 ﺟﻢ")</f>
        <v>زوبريم بيور فن صغير 907 ﺟﻢ</v>
      </c>
      <c r="H1095" s="133" t="str">
        <f>IFERROR(__xludf.DUMMYFUNCTION("""COMPUTED_VALUE"""),"MAFE20223374")</f>
        <v>MAFE20223374</v>
      </c>
      <c r="I1095" s="133"/>
      <c r="J1095" s="133"/>
      <c r="K1095" s="133" t="str">
        <f>IFERROR(__xludf.DUMMYFUNCTION("""COMPUTED_VALUE"""),"شركة المنتجات الغذائية المتميزة")</f>
        <v>شركة المنتجات الغذائية المتميزة</v>
      </c>
      <c r="L1095" s="142" t="str">
        <f>IFERROR(__xludf.DUMMYFUNCTION("""COMPUTED_VALUE"""),"1008005")</f>
        <v>1008005</v>
      </c>
      <c r="M1095" s="133"/>
      <c r="N1095" s="133"/>
      <c r="O1095" s="133"/>
      <c r="P1095" s="133"/>
      <c r="Q1095" s="133"/>
      <c r="R1095" s="133"/>
      <c r="S1095" s="133"/>
      <c r="T1095" s="133"/>
      <c r="U1095" s="133"/>
      <c r="V1095" s="133"/>
      <c r="W1095" s="133"/>
      <c r="X1095" s="133"/>
      <c r="Y1095" s="133"/>
      <c r="Z1095" s="133"/>
    </row>
    <row r="1096">
      <c r="A1096" s="133">
        <f>IFERROR(__xludf.DUMMYFUNCTION("""COMPUTED_VALUE"""),1095.0)</f>
        <v>1095</v>
      </c>
      <c r="B1096" s="133" t="str">
        <f>IFERROR(__xludf.DUMMYFUNCTION("""COMPUTED_VALUE"""),"1008006")</f>
        <v>1008006</v>
      </c>
      <c r="C1096" s="133" t="str">
        <f>IFERROR(__xludf.DUMMYFUNCTION("""COMPUTED_VALUE"""),"P-1-N-301022-6222")</f>
        <v>P-1-N-301022-6222</v>
      </c>
      <c r="D1096" s="133"/>
      <c r="E1096" s="133" t="str">
        <f>IFERROR(__xludf.DUMMYFUNCTION("""COMPUTED_VALUE"""),"تمت طباعة الشهادة")</f>
        <v>تمت طباعة الشهادة</v>
      </c>
      <c r="F1096" s="133" t="str">
        <f>IFERROR(__xludf.DUMMYFUNCTION("""COMPUTED_VALUE"""),"ZUPREEM FUN MEDIUM 907g")</f>
        <v>ZUPREEM FUN MEDIUM 907g</v>
      </c>
      <c r="G1096" s="133" t="str">
        <f>IFERROR(__xludf.DUMMYFUNCTION("""COMPUTED_VALUE"""),"زوبريم فن متوسط 907 ﺟﻢ")</f>
        <v>زوبريم فن متوسط 907 ﺟﻢ</v>
      </c>
      <c r="H1096" s="133" t="str">
        <f>IFERROR(__xludf.DUMMYFUNCTION("""COMPUTED_VALUE"""),"MAFE20223378")</f>
        <v>MAFE20223378</v>
      </c>
      <c r="I1096" s="133"/>
      <c r="J1096" s="133"/>
      <c r="K1096" s="133" t="str">
        <f>IFERROR(__xludf.DUMMYFUNCTION("""COMPUTED_VALUE"""),"شركة المنتجات الغذائية المتميزة")</f>
        <v>شركة المنتجات الغذائية المتميزة</v>
      </c>
      <c r="L1096" s="142" t="str">
        <f>IFERROR(__xludf.DUMMYFUNCTION("""COMPUTED_VALUE"""),"1008006")</f>
        <v>1008006</v>
      </c>
      <c r="M1096" s="133"/>
      <c r="N1096" s="133"/>
      <c r="O1096" s="133"/>
      <c r="P1096" s="133"/>
      <c r="Q1096" s="133"/>
      <c r="R1096" s="133"/>
      <c r="S1096" s="133"/>
      <c r="T1096" s="133"/>
      <c r="U1096" s="133"/>
      <c r="V1096" s="133"/>
      <c r="W1096" s="133"/>
      <c r="X1096" s="133"/>
      <c r="Y1096" s="133"/>
      <c r="Z1096" s="133"/>
    </row>
    <row r="1097">
      <c r="A1097" s="133">
        <f>IFERROR(__xludf.DUMMYFUNCTION("""COMPUTED_VALUE"""),1096.0)</f>
        <v>1096</v>
      </c>
      <c r="B1097" s="133" t="str">
        <f>IFERROR(__xludf.DUMMYFUNCTION("""COMPUTED_VALUE"""),"1008007")</f>
        <v>1008007</v>
      </c>
      <c r="C1097" s="133" t="str">
        <f>IFERROR(__xludf.DUMMYFUNCTION("""COMPUTED_VALUE"""),"P-1-N-301022-6223")</f>
        <v>P-1-N-301022-6223</v>
      </c>
      <c r="D1097" s="133"/>
      <c r="E1097" s="133" t="str">
        <f>IFERROR(__xludf.DUMMYFUNCTION("""COMPUTED_VALUE"""),"تمت طباعة الشهادة")</f>
        <v>تمت طباعة الشهادة</v>
      </c>
      <c r="F1097" s="133" t="str">
        <f>IFERROR(__xludf.DUMMYFUNCTION("""COMPUTED_VALUE"""),"ZUPREEM PURE FUN P&amp;C 907g")</f>
        <v>ZUPREEM PURE FUN P&amp;C 907g</v>
      </c>
      <c r="G1097" s="133" t="str">
        <f>IFERROR(__xludf.DUMMYFUNCTION("""COMPUTED_VALUE"""),"زوبريم بيور فن الببغاوات و الكنيور 907 ﺟﻢ")</f>
        <v>زوبريم بيور فن الببغاوات و الكنيور 907 ﺟﻢ</v>
      </c>
      <c r="H1097" s="133" t="str">
        <f>IFERROR(__xludf.DUMMYFUNCTION("""COMPUTED_VALUE"""),"MAFE20223377")</f>
        <v>MAFE20223377</v>
      </c>
      <c r="I1097" s="133"/>
      <c r="J1097" s="133"/>
      <c r="K1097" s="133" t="str">
        <f>IFERROR(__xludf.DUMMYFUNCTION("""COMPUTED_VALUE"""),"شركة المنتجات الغذائية المتميزة")</f>
        <v>شركة المنتجات الغذائية المتميزة</v>
      </c>
      <c r="L1097" s="142" t="str">
        <f>IFERROR(__xludf.DUMMYFUNCTION("""COMPUTED_VALUE"""),"1008007")</f>
        <v>1008007</v>
      </c>
      <c r="M1097" s="133"/>
      <c r="N1097" s="133"/>
      <c r="O1097" s="133"/>
      <c r="P1097" s="133"/>
      <c r="Q1097" s="133"/>
      <c r="R1097" s="133"/>
      <c r="S1097" s="133"/>
      <c r="T1097" s="133"/>
      <c r="U1097" s="133"/>
      <c r="V1097" s="133"/>
      <c r="W1097" s="133"/>
      <c r="X1097" s="133"/>
      <c r="Y1097" s="133"/>
      <c r="Z1097" s="133"/>
    </row>
    <row r="1098">
      <c r="A1098" s="133">
        <f>IFERROR(__xludf.DUMMYFUNCTION("""COMPUTED_VALUE"""),1097.0)</f>
        <v>1097</v>
      </c>
      <c r="B1098" s="133" t="str">
        <f>IFERROR(__xludf.DUMMYFUNCTION("""COMPUTED_VALUE"""),"1008008")</f>
        <v>1008008</v>
      </c>
      <c r="C1098" s="133" t="str">
        <f>IFERROR(__xludf.DUMMYFUNCTION("""COMPUTED_VALUE"""),"P-1-N-301022-6224")</f>
        <v>P-1-N-301022-6224</v>
      </c>
      <c r="D1098" s="133"/>
      <c r="E1098" s="133" t="str">
        <f>IFERROR(__xludf.DUMMYFUNCTION("""COMPUTED_VALUE"""),"تمت طباعة الشهادة")</f>
        <v>تمت طباعة الشهادة</v>
      </c>
      <c r="F1098" s="133" t="str">
        <f>IFERROR(__xludf.DUMMYFUNCTION("""COMPUTED_VALUE"""),"ZUPREEM PURE FUN LARGE 907g")</f>
        <v>ZUPREEM PURE FUN LARGE 907g</v>
      </c>
      <c r="G1098" s="133" t="str">
        <f>IFERROR(__xludf.DUMMYFUNCTION("""COMPUTED_VALUE"""),"زوبريم بيور فن كبير 907 ﺟﻢ")</f>
        <v>زوبريم بيور فن كبير 907 ﺟﻢ</v>
      </c>
      <c r="H1098" s="133" t="str">
        <f>IFERROR(__xludf.DUMMYFUNCTION("""COMPUTED_VALUE"""),"MAFE20223419")</f>
        <v>MAFE20223419</v>
      </c>
      <c r="I1098" s="133"/>
      <c r="J1098" s="133"/>
      <c r="K1098" s="133" t="str">
        <f>IFERROR(__xludf.DUMMYFUNCTION("""COMPUTED_VALUE"""),"شركة المنتجات الغذائية المتميزة")</f>
        <v>شركة المنتجات الغذائية المتميزة</v>
      </c>
      <c r="L1098" s="142" t="str">
        <f>IFERROR(__xludf.DUMMYFUNCTION("""COMPUTED_VALUE"""),"1008008")</f>
        <v>1008008</v>
      </c>
      <c r="M1098" s="133"/>
      <c r="N1098" s="133"/>
      <c r="O1098" s="133"/>
      <c r="P1098" s="133"/>
      <c r="Q1098" s="133"/>
      <c r="R1098" s="133"/>
      <c r="S1098" s="133"/>
      <c r="T1098" s="133"/>
      <c r="U1098" s="133"/>
      <c r="V1098" s="133"/>
      <c r="W1098" s="133"/>
      <c r="X1098" s="133"/>
      <c r="Y1098" s="133"/>
      <c r="Z1098" s="133"/>
    </row>
    <row r="1099">
      <c r="A1099" s="133">
        <f>IFERROR(__xludf.DUMMYFUNCTION("""COMPUTED_VALUE"""),1098.0)</f>
        <v>1098</v>
      </c>
      <c r="B1099" s="133" t="str">
        <f>IFERROR(__xludf.DUMMYFUNCTION("""COMPUTED_VALUE"""),"1008009")</f>
        <v>1008009</v>
      </c>
      <c r="C1099" s="133" t="str">
        <f>IFERROR(__xludf.DUMMYFUNCTION("""COMPUTED_VALUE"""),"P-1-N-301022-6225")</f>
        <v>P-1-N-301022-6225</v>
      </c>
      <c r="D1099" s="133"/>
      <c r="E1099" s="133" t="str">
        <f>IFERROR(__xludf.DUMMYFUNCTION("""COMPUTED_VALUE"""),"تمت طباعة الشهادة")</f>
        <v>تمت طباعة الشهادة</v>
      </c>
      <c r="F1099" s="133" t="str">
        <f>IFERROR(__xludf.DUMMYFUNCTION("""COMPUTED_VALUE"""),"ZUPREEM SENSIBLE SEED SMALL 907g")</f>
        <v>ZUPREEM SENSIBLE SEED SMALL 907g</v>
      </c>
      <c r="G1099" s="133" t="str">
        <f>IFERROR(__xludf.DUMMYFUNCTION("""COMPUTED_VALUE"""),"زوبريم سينسيبل سييد صغير 907 ﺟﻢ")</f>
        <v>زوبريم سينسيبل سييد صغير 907 ﺟﻢ</v>
      </c>
      <c r="H1099" s="133" t="str">
        <f>IFERROR(__xludf.DUMMYFUNCTION("""COMPUTED_VALUE"""),"MAFE20223418")</f>
        <v>MAFE20223418</v>
      </c>
      <c r="I1099" s="133"/>
      <c r="J1099" s="133"/>
      <c r="K1099" s="133" t="str">
        <f>IFERROR(__xludf.DUMMYFUNCTION("""COMPUTED_VALUE"""),"شركة المنتجات الغذائية المتميزة")</f>
        <v>شركة المنتجات الغذائية المتميزة</v>
      </c>
      <c r="L1099" s="142" t="str">
        <f>IFERROR(__xludf.DUMMYFUNCTION("""COMPUTED_VALUE"""),"1008009")</f>
        <v>1008009</v>
      </c>
      <c r="M1099" s="133"/>
      <c r="N1099" s="133"/>
      <c r="O1099" s="133"/>
      <c r="P1099" s="133"/>
      <c r="Q1099" s="133"/>
      <c r="R1099" s="133"/>
      <c r="S1099" s="133"/>
      <c r="T1099" s="133"/>
      <c r="U1099" s="133"/>
      <c r="V1099" s="133"/>
      <c r="W1099" s="133"/>
      <c r="X1099" s="133"/>
      <c r="Y1099" s="133"/>
      <c r="Z1099" s="133"/>
    </row>
    <row r="1100">
      <c r="A1100" s="133">
        <f>IFERROR(__xludf.DUMMYFUNCTION("""COMPUTED_VALUE"""),1099.0)</f>
        <v>1099</v>
      </c>
      <c r="B1100" s="133" t="str">
        <f>IFERROR(__xludf.DUMMYFUNCTION("""COMPUTED_VALUE"""),"1008010")</f>
        <v>1008010</v>
      </c>
      <c r="C1100" s="133" t="str">
        <f>IFERROR(__xludf.DUMMYFUNCTION("""COMPUTED_VALUE"""),"P-1-N-301022-6226")</f>
        <v>P-1-N-301022-6226</v>
      </c>
      <c r="D1100" s="133"/>
      <c r="E1100" s="133" t="str">
        <f>IFERROR(__xludf.DUMMYFUNCTION("""COMPUTED_VALUE"""),"تمت طباعة الشهادة")</f>
        <v>تمت طباعة الشهادة</v>
      </c>
      <c r="F1100" s="133" t="str">
        <f>IFERROR(__xludf.DUMMYFUNCTION("""COMPUTED_VALUE"""),"ZUPREEM SENSIBLE SEED MEDIUM 907g")</f>
        <v>ZUPREEM SENSIBLE SEED MEDIUM 907g</v>
      </c>
      <c r="G1100" s="133" t="str">
        <f>IFERROR(__xludf.DUMMYFUNCTION("""COMPUTED_VALUE"""),"زوبريم سينسيبل سييد متوسط 907 ﺟﻢ")</f>
        <v>زوبريم سينسيبل سييد متوسط 907 ﺟﻢ</v>
      </c>
      <c r="H1100" s="133" t="str">
        <f>IFERROR(__xludf.DUMMYFUNCTION("""COMPUTED_VALUE"""),"MAFE20223417")</f>
        <v>MAFE20223417</v>
      </c>
      <c r="I1100" s="133"/>
      <c r="J1100" s="133"/>
      <c r="K1100" s="133" t="str">
        <f>IFERROR(__xludf.DUMMYFUNCTION("""COMPUTED_VALUE"""),"شركة المنتجات الغذائية المتميزة")</f>
        <v>شركة المنتجات الغذائية المتميزة</v>
      </c>
      <c r="L1100" s="142" t="str">
        <f>IFERROR(__xludf.DUMMYFUNCTION("""COMPUTED_VALUE"""),"1008010")</f>
        <v>1008010</v>
      </c>
      <c r="M1100" s="133"/>
      <c r="N1100" s="133"/>
      <c r="O1100" s="133"/>
      <c r="P1100" s="133"/>
      <c r="Q1100" s="133"/>
      <c r="R1100" s="133"/>
      <c r="S1100" s="133"/>
      <c r="T1100" s="133"/>
      <c r="U1100" s="133"/>
      <c r="V1100" s="133"/>
      <c r="W1100" s="133"/>
      <c r="X1100" s="133"/>
      <c r="Y1100" s="133"/>
      <c r="Z1100" s="133"/>
    </row>
    <row r="1101">
      <c r="A1101" s="133">
        <f>IFERROR(__xludf.DUMMYFUNCTION("""COMPUTED_VALUE"""),1100.0)</f>
        <v>1100</v>
      </c>
      <c r="B1101" s="133" t="str">
        <f>IFERROR(__xludf.DUMMYFUNCTION("""COMPUTED_VALUE"""),"1008011")</f>
        <v>1008011</v>
      </c>
      <c r="C1101" s="133" t="str">
        <f>IFERROR(__xludf.DUMMYFUNCTION("""COMPUTED_VALUE"""),"P-1-N-301022-6227")</f>
        <v>P-1-N-301022-6227</v>
      </c>
      <c r="D1101" s="133"/>
      <c r="E1101" s="133" t="str">
        <f>IFERROR(__xludf.DUMMYFUNCTION("""COMPUTED_VALUE"""),"تمت طباعة الشهادة")</f>
        <v>تمت طباعة الشهادة</v>
      </c>
      <c r="F1101" s="133" t="str">
        <f>IFERROR(__xludf.DUMMYFUNCTION("""COMPUTED_VALUE"""),"ZUPREEM SENSIBLE SEED P&amp;C 907g")</f>
        <v>ZUPREEM SENSIBLE SEED P&amp;C 907g</v>
      </c>
      <c r="G1101" s="133" t="str">
        <f>IFERROR(__xludf.DUMMYFUNCTION("""COMPUTED_VALUE"""),"زوبريم سينسيبل سييد الببغاوات و الكنيور 907 ﺟﻢ")</f>
        <v>زوبريم سينسيبل سييد الببغاوات و الكنيور 907 ﺟﻢ</v>
      </c>
      <c r="H1101" s="133" t="str">
        <f>IFERROR(__xludf.DUMMYFUNCTION("""COMPUTED_VALUE"""),"MAFE20223416")</f>
        <v>MAFE20223416</v>
      </c>
      <c r="I1101" s="133"/>
      <c r="J1101" s="133"/>
      <c r="K1101" s="133" t="str">
        <f>IFERROR(__xludf.DUMMYFUNCTION("""COMPUTED_VALUE"""),"شركة المنتجات الغذائية المتميزة")</f>
        <v>شركة المنتجات الغذائية المتميزة</v>
      </c>
      <c r="L1101" s="142" t="str">
        <f>IFERROR(__xludf.DUMMYFUNCTION("""COMPUTED_VALUE"""),"1008011")</f>
        <v>1008011</v>
      </c>
      <c r="M1101" s="133"/>
      <c r="N1101" s="133"/>
      <c r="O1101" s="133"/>
      <c r="P1101" s="133"/>
      <c r="Q1101" s="133"/>
      <c r="R1101" s="133"/>
      <c r="S1101" s="133"/>
      <c r="T1101" s="133"/>
      <c r="U1101" s="133"/>
      <c r="V1101" s="133"/>
      <c r="W1101" s="133"/>
      <c r="X1101" s="133"/>
      <c r="Y1101" s="133"/>
      <c r="Z1101" s="133"/>
    </row>
    <row r="1102">
      <c r="A1102" s="133">
        <f>IFERROR(__xludf.DUMMYFUNCTION("""COMPUTED_VALUE"""),1101.0)</f>
        <v>1101</v>
      </c>
      <c r="B1102" s="133" t="str">
        <f>IFERROR(__xludf.DUMMYFUNCTION("""COMPUTED_VALUE"""),"1008012")</f>
        <v>1008012</v>
      </c>
      <c r="C1102" s="133" t="str">
        <f>IFERROR(__xludf.DUMMYFUNCTION("""COMPUTED_VALUE"""),"P-1-N-301022-6228")</f>
        <v>P-1-N-301022-6228</v>
      </c>
      <c r="D1102" s="133"/>
      <c r="E1102" s="133" t="str">
        <f>IFERROR(__xludf.DUMMYFUNCTION("""COMPUTED_VALUE"""),"تمت طباعة الشهادة")</f>
        <v>تمت طباعة الشهادة</v>
      </c>
      <c r="F1102" s="133" t="str">
        <f>IFERROR(__xludf.DUMMYFUNCTION("""COMPUTED_VALUE"""),"ZUPREEM SENSIBLE SEED LARGE 907g")</f>
        <v>ZUPREEM SENSIBLE SEED LARGE 907g</v>
      </c>
      <c r="G1102" s="133" t="str">
        <f>IFERROR(__xludf.DUMMYFUNCTION("""COMPUTED_VALUE"""),"زوبريم سينسيبل سييد كبير 907 ﺟﻢ")</f>
        <v>زوبريم سينسيبل سييد كبير 907 ﺟﻢ</v>
      </c>
      <c r="H1102" s="133" t="str">
        <f>IFERROR(__xludf.DUMMYFUNCTION("""COMPUTED_VALUE"""),"MAFE20223415")</f>
        <v>MAFE20223415</v>
      </c>
      <c r="I1102" s="133"/>
      <c r="J1102" s="133"/>
      <c r="K1102" s="133" t="str">
        <f>IFERROR(__xludf.DUMMYFUNCTION("""COMPUTED_VALUE"""),"شركة المنتجات الغذائية المتميزة")</f>
        <v>شركة المنتجات الغذائية المتميزة</v>
      </c>
      <c r="L1102" s="142" t="str">
        <f>IFERROR(__xludf.DUMMYFUNCTION("""COMPUTED_VALUE"""),"1008012")</f>
        <v>1008012</v>
      </c>
      <c r="M1102" s="133"/>
      <c r="N1102" s="133"/>
      <c r="O1102" s="133"/>
      <c r="P1102" s="133"/>
      <c r="Q1102" s="133"/>
      <c r="R1102" s="133"/>
      <c r="S1102" s="133"/>
      <c r="T1102" s="133"/>
      <c r="U1102" s="133"/>
      <c r="V1102" s="133"/>
      <c r="W1102" s="133"/>
      <c r="X1102" s="133"/>
      <c r="Y1102" s="133"/>
      <c r="Z1102" s="133"/>
    </row>
    <row r="1103">
      <c r="A1103" s="133">
        <f>IFERROR(__xludf.DUMMYFUNCTION("""COMPUTED_VALUE"""),1102.0)</f>
        <v>1102</v>
      </c>
      <c r="B1103" s="133" t="str">
        <f>IFERROR(__xludf.DUMMYFUNCTION("""COMPUTED_VALUE"""),"1008038")</f>
        <v>1008038</v>
      </c>
      <c r="C1103" s="133" t="str">
        <f>IFERROR(__xludf.DUMMYFUNCTION("""COMPUTED_VALUE"""),"P-1-N-301022-6229")</f>
        <v>P-1-N-301022-6229</v>
      </c>
      <c r="D1103" s="133"/>
      <c r="E1103" s="133" t="str">
        <f>IFERROR(__xludf.DUMMYFUNCTION("""COMPUTED_VALUE"""),"تمت طباعة الشهادة")</f>
        <v>تمت طباعة الشهادة</v>
      </c>
      <c r="F1103" s="133" t="str">
        <f>IFERROR(__xludf.DUMMYFUNCTION("""COMPUTED_VALUE"""),"ZUPREEM FRUITBLEND XSMALL 907g")</f>
        <v>ZUPREEM FRUITBLEND XSMALL 907g</v>
      </c>
      <c r="G1103" s="133" t="str">
        <f>IFERROR(__xludf.DUMMYFUNCTION("""COMPUTED_VALUE"""),"زوبريم فروتبلند صغير جدا 907 جم")</f>
        <v>زوبريم فروتبلند صغير جدا 907 جم</v>
      </c>
      <c r="H1103" s="133" t="str">
        <f>IFERROR(__xludf.DUMMYFUNCTION("""COMPUTED_VALUE"""),"MAFE20223403")</f>
        <v>MAFE20223403</v>
      </c>
      <c r="I1103" s="133"/>
      <c r="J1103" s="133"/>
      <c r="K1103" s="133" t="str">
        <f>IFERROR(__xludf.DUMMYFUNCTION("""COMPUTED_VALUE"""),"شركة المنتجات الغذائية المتميزة")</f>
        <v>شركة المنتجات الغذائية المتميزة</v>
      </c>
      <c r="L1103" s="142" t="str">
        <f>IFERROR(__xludf.DUMMYFUNCTION("""COMPUTED_VALUE"""),"1008038")</f>
        <v>1008038</v>
      </c>
      <c r="M1103" s="133"/>
      <c r="N1103" s="133"/>
      <c r="O1103" s="133"/>
      <c r="P1103" s="133"/>
      <c r="Q1103" s="133"/>
      <c r="R1103" s="133"/>
      <c r="S1103" s="133"/>
      <c r="T1103" s="133"/>
      <c r="U1103" s="133"/>
      <c r="V1103" s="133"/>
      <c r="W1103" s="133"/>
      <c r="X1103" s="133"/>
      <c r="Y1103" s="133"/>
      <c r="Z1103" s="133"/>
    </row>
    <row r="1104">
      <c r="A1104" s="133">
        <f>IFERROR(__xludf.DUMMYFUNCTION("""COMPUTED_VALUE"""),1103.0)</f>
        <v>1103</v>
      </c>
      <c r="B1104" s="133" t="str">
        <f>IFERROR(__xludf.DUMMYFUNCTION("""COMPUTED_VALUE"""),"1008040")</f>
        <v>1008040</v>
      </c>
      <c r="C1104" s="133" t="str">
        <f>IFERROR(__xludf.DUMMYFUNCTION("""COMPUTED_VALUE"""),"P-1-N-301022-6230")</f>
        <v>P-1-N-301022-6230</v>
      </c>
      <c r="D1104" s="133"/>
      <c r="E1104" s="133" t="str">
        <f>IFERROR(__xludf.DUMMYFUNCTION("""COMPUTED_VALUE"""),"تمت طباعة الشهادة")</f>
        <v>تمت طباعة الشهادة</v>
      </c>
      <c r="F1104" s="133" t="str">
        <f>IFERROR(__xludf.DUMMYFUNCTION("""COMPUTED_VALUE"""),"ZUPREEM FRUITBLEND XSMALL 4.5kg")</f>
        <v>ZUPREEM FRUITBLEND XSMALL 4.5kg</v>
      </c>
      <c r="G1104" s="133" t="str">
        <f>IFERROR(__xludf.DUMMYFUNCTION("""COMPUTED_VALUE"""),"زوبريم فروتبلند صغير جدا 4.5 كجم")</f>
        <v>زوبريم فروتبلند صغير جدا 4.5 كجم</v>
      </c>
      <c r="H1104" s="133" t="str">
        <f>IFERROR(__xludf.DUMMYFUNCTION("""COMPUTED_VALUE"""),"MAFE20223401")</f>
        <v>MAFE20223401</v>
      </c>
      <c r="I1104" s="133"/>
      <c r="J1104" s="133"/>
      <c r="K1104" s="133" t="str">
        <f>IFERROR(__xludf.DUMMYFUNCTION("""COMPUTED_VALUE"""),"شركة المنتجات الغذائية المتميزة")</f>
        <v>شركة المنتجات الغذائية المتميزة</v>
      </c>
      <c r="L1104" s="142" t="str">
        <f>IFERROR(__xludf.DUMMYFUNCTION("""COMPUTED_VALUE"""),"1008040")</f>
        <v>1008040</v>
      </c>
      <c r="M1104" s="133"/>
      <c r="N1104" s="133"/>
      <c r="O1104" s="133"/>
      <c r="P1104" s="133"/>
      <c r="Q1104" s="133"/>
      <c r="R1104" s="133"/>
      <c r="S1104" s="133"/>
      <c r="T1104" s="133"/>
      <c r="U1104" s="133"/>
      <c r="V1104" s="133"/>
      <c r="W1104" s="133"/>
      <c r="X1104" s="133"/>
      <c r="Y1104" s="133"/>
      <c r="Z1104" s="133"/>
    </row>
    <row r="1105">
      <c r="A1105" s="133">
        <f>IFERROR(__xludf.DUMMYFUNCTION("""COMPUTED_VALUE"""),1104.0)</f>
        <v>1104</v>
      </c>
      <c r="B1105" s="133" t="str">
        <f>IFERROR(__xludf.DUMMYFUNCTION("""COMPUTED_VALUE"""),"1008055")</f>
        <v>1008055</v>
      </c>
      <c r="C1105" s="133" t="str">
        <f>IFERROR(__xludf.DUMMYFUNCTION("""COMPUTED_VALUE"""),"P-1-N-301022-6231")</f>
        <v>P-1-N-301022-6231</v>
      </c>
      <c r="D1105" s="133"/>
      <c r="E1105" s="133" t="str">
        <f>IFERROR(__xludf.DUMMYFUNCTION("""COMPUTED_VALUE"""),"تمت طباعة الشهادة")</f>
        <v>تمت طباعة الشهادة</v>
      </c>
      <c r="F1105" s="133" t="str">
        <f>IFERROR(__xludf.DUMMYFUNCTION("""COMPUTED_VALUE"""),"ZUPREEM FRUITBLEND MED/LARGE 907g")</f>
        <v>ZUPREEM FRUITBLEND MED/LARGE 907g</v>
      </c>
      <c r="G1105" s="133" t="str">
        <f>IFERROR(__xludf.DUMMYFUNCTION("""COMPUTED_VALUE"""),"زوبريم فروتبلند متوسط / كبير 907 جم")</f>
        <v>زوبريم فروتبلند متوسط / كبير 907 جم</v>
      </c>
      <c r="H1105" s="133" t="str">
        <f>IFERROR(__xludf.DUMMYFUNCTION("""COMPUTED_VALUE"""),"MAFE20223402")</f>
        <v>MAFE20223402</v>
      </c>
      <c r="I1105" s="133"/>
      <c r="J1105" s="133"/>
      <c r="K1105" s="133" t="str">
        <f>IFERROR(__xludf.DUMMYFUNCTION("""COMPUTED_VALUE"""),"شركة المنتجات الغذائية المتميزة")</f>
        <v>شركة المنتجات الغذائية المتميزة</v>
      </c>
      <c r="L1105" s="142" t="str">
        <f>IFERROR(__xludf.DUMMYFUNCTION("""COMPUTED_VALUE"""),"1008055")</f>
        <v>1008055</v>
      </c>
      <c r="M1105" s="133"/>
      <c r="N1105" s="133"/>
      <c r="O1105" s="133"/>
      <c r="P1105" s="133"/>
      <c r="Q1105" s="133"/>
      <c r="R1105" s="133"/>
      <c r="S1105" s="133"/>
      <c r="T1105" s="133"/>
      <c r="U1105" s="133"/>
      <c r="V1105" s="133"/>
      <c r="W1105" s="133"/>
      <c r="X1105" s="133"/>
      <c r="Y1105" s="133"/>
      <c r="Z1105" s="133"/>
    </row>
    <row r="1106">
      <c r="A1106" s="133">
        <f>IFERROR(__xludf.DUMMYFUNCTION("""COMPUTED_VALUE"""),1105.0)</f>
        <v>1105</v>
      </c>
      <c r="B1106" s="133" t="str">
        <f>IFERROR(__xludf.DUMMYFUNCTION("""COMPUTED_VALUE"""),"1008062")</f>
        <v>1008062</v>
      </c>
      <c r="C1106" s="133" t="str">
        <f>IFERROR(__xludf.DUMMYFUNCTION("""COMPUTED_VALUE"""),"P-1-N-301022-6232")</f>
        <v>P-1-N-301022-6232</v>
      </c>
      <c r="D1106" s="133"/>
      <c r="E1106" s="133" t="str">
        <f>IFERROR(__xludf.DUMMYFUNCTION("""COMPUTED_VALUE"""),"تمت طباعة الشهادة")</f>
        <v>تمت طباعة الشهادة</v>
      </c>
      <c r="F1106" s="133" t="str">
        <f>IFERROR(__xludf.DUMMYFUNCTION("""COMPUTED_VALUE"""),"ZUPREEM FRUITBLEND LARGE 907g")</f>
        <v>ZUPREEM FRUITBLEND LARGE 907g</v>
      </c>
      <c r="G1106" s="133" t="str">
        <f>IFERROR(__xludf.DUMMYFUNCTION("""COMPUTED_VALUE"""),"زوبريم فروتبلند كبير 907 جم")</f>
        <v>زوبريم فروتبلند كبير 907 جم</v>
      </c>
      <c r="H1106" s="133" t="str">
        <f>IFERROR(__xludf.DUMMYFUNCTION("""COMPUTED_VALUE"""),"MAFE20223400")</f>
        <v>MAFE20223400</v>
      </c>
      <c r="I1106" s="133"/>
      <c r="J1106" s="133"/>
      <c r="K1106" s="133" t="str">
        <f>IFERROR(__xludf.DUMMYFUNCTION("""COMPUTED_VALUE"""),"شركة المنتجات الغذائية المتميزة")</f>
        <v>شركة المنتجات الغذائية المتميزة</v>
      </c>
      <c r="L1106" s="142" t="str">
        <f>IFERROR(__xludf.DUMMYFUNCTION("""COMPUTED_VALUE"""),"1008062")</f>
        <v>1008062</v>
      </c>
      <c r="M1106" s="133"/>
      <c r="N1106" s="133"/>
      <c r="O1106" s="133"/>
      <c r="P1106" s="133"/>
      <c r="Q1106" s="133"/>
      <c r="R1106" s="133"/>
      <c r="S1106" s="133"/>
      <c r="T1106" s="133"/>
      <c r="U1106" s="133"/>
      <c r="V1106" s="133"/>
      <c r="W1106" s="133"/>
      <c r="X1106" s="133"/>
      <c r="Y1106" s="133"/>
      <c r="Z1106" s="133"/>
    </row>
    <row r="1107">
      <c r="A1107" s="133">
        <f>IFERROR(__xludf.DUMMYFUNCTION("""COMPUTED_VALUE"""),1106.0)</f>
        <v>1106</v>
      </c>
      <c r="B1107" s="133" t="str">
        <f>IFERROR(__xludf.DUMMYFUNCTION("""COMPUTED_VALUE"""),"1008033")</f>
        <v>1008033</v>
      </c>
      <c r="C1107" s="133" t="str">
        <f>IFERROR(__xludf.DUMMYFUNCTION("""COMPUTED_VALUE"""),"P-1-N-301022-6233")</f>
        <v>P-1-N-301022-6233</v>
      </c>
      <c r="D1107" s="133"/>
      <c r="E1107" s="133" t="str">
        <f>IFERROR(__xludf.DUMMYFUNCTION("""COMPUTED_VALUE"""),"تمت طباعة الشهادة")</f>
        <v>تمت طباعة الشهادة</v>
      </c>
      <c r="F1107" s="133" t="str">
        <f>IFERROR(__xludf.DUMMYFUNCTION("""COMPUTED_VALUE"""),"ZUPREEM FRUITBLEND MED BREEDER 907g")</f>
        <v>ZUPREEM FRUITBLEND MED BREEDER 907g</v>
      </c>
      <c r="G1107" s="133" t="str">
        <f>IFERROR(__xludf.DUMMYFUNCTION("""COMPUTED_VALUE"""),"زوبريم فروتبلند للتربية متوسط 907 جم")</f>
        <v>زوبريم فروتبلند للتربية متوسط 907 جم</v>
      </c>
      <c r="H1107" s="133" t="str">
        <f>IFERROR(__xludf.DUMMYFUNCTION("""COMPUTED_VALUE"""),"MAFE20223399")</f>
        <v>MAFE20223399</v>
      </c>
      <c r="I1107" s="133"/>
      <c r="J1107" s="133"/>
      <c r="K1107" s="133" t="str">
        <f>IFERROR(__xludf.DUMMYFUNCTION("""COMPUTED_VALUE"""),"شركة المنتجات الغذائية المتميزة")</f>
        <v>شركة المنتجات الغذائية المتميزة</v>
      </c>
      <c r="L1107" s="142" t="str">
        <f>IFERROR(__xludf.DUMMYFUNCTION("""COMPUTED_VALUE"""),"1008033")</f>
        <v>1008033</v>
      </c>
      <c r="M1107" s="133"/>
      <c r="N1107" s="133"/>
      <c r="O1107" s="133"/>
      <c r="P1107" s="133"/>
      <c r="Q1107" s="133"/>
      <c r="R1107" s="133"/>
      <c r="S1107" s="133"/>
      <c r="T1107" s="133"/>
      <c r="U1107" s="133"/>
      <c r="V1107" s="133"/>
      <c r="W1107" s="133"/>
      <c r="X1107" s="133"/>
      <c r="Y1107" s="133"/>
      <c r="Z1107" s="133"/>
    </row>
    <row r="1108">
      <c r="A1108" s="133">
        <f>IFERROR(__xludf.DUMMYFUNCTION("""COMPUTED_VALUE"""),1107.0)</f>
        <v>1107</v>
      </c>
      <c r="B1108" s="133" t="str">
        <f>IFERROR(__xludf.DUMMYFUNCTION("""COMPUTED_VALUE"""),"1008035")</f>
        <v>1008035</v>
      </c>
      <c r="C1108" s="133" t="str">
        <f>IFERROR(__xludf.DUMMYFUNCTION("""COMPUTED_VALUE"""),"P-1-N-301022-6234")</f>
        <v>P-1-N-301022-6234</v>
      </c>
      <c r="D1108" s="133"/>
      <c r="E1108" s="133" t="str">
        <f>IFERROR(__xludf.DUMMYFUNCTION("""COMPUTED_VALUE"""),"تمت طباعة الشهادة")</f>
        <v>تمت طباعة الشهادة</v>
      </c>
      <c r="F1108" s="133" t="str">
        <f>IFERROR(__xludf.DUMMYFUNCTION("""COMPUTED_VALUE"""),"ZUPREEM FRUITBLEND MED/LARGE BREEDER 907g")</f>
        <v>ZUPREEM FRUITBLEND MED/LARGE BREEDER 907g</v>
      </c>
      <c r="G1108" s="133" t="str">
        <f>IFERROR(__xludf.DUMMYFUNCTION("""COMPUTED_VALUE"""),"زوبريم فروتبلند للتربية متوسط/كبير 907 جم")</f>
        <v>زوبريم فروتبلند للتربية متوسط/كبير 907 جم</v>
      </c>
      <c r="H1108" s="133" t="str">
        <f>IFERROR(__xludf.DUMMYFUNCTION("""COMPUTED_VALUE"""),"MAFE20223398")</f>
        <v>MAFE20223398</v>
      </c>
      <c r="I1108" s="133"/>
      <c r="J1108" s="133"/>
      <c r="K1108" s="133" t="str">
        <f>IFERROR(__xludf.DUMMYFUNCTION("""COMPUTED_VALUE"""),"شركة المنتجات الغذائية المتميزة")</f>
        <v>شركة المنتجات الغذائية المتميزة</v>
      </c>
      <c r="L1108" s="142" t="str">
        <f>IFERROR(__xludf.DUMMYFUNCTION("""COMPUTED_VALUE"""),"1008035")</f>
        <v>1008035</v>
      </c>
      <c r="M1108" s="133"/>
      <c r="N1108" s="133"/>
      <c r="O1108" s="133"/>
      <c r="P1108" s="133"/>
      <c r="Q1108" s="133"/>
      <c r="R1108" s="133"/>
      <c r="S1108" s="133"/>
      <c r="T1108" s="133"/>
      <c r="U1108" s="133"/>
      <c r="V1108" s="133"/>
      <c r="W1108" s="133"/>
      <c r="X1108" s="133"/>
      <c r="Y1108" s="133"/>
      <c r="Z1108" s="133"/>
    </row>
    <row r="1109">
      <c r="A1109" s="133">
        <f>IFERROR(__xludf.DUMMYFUNCTION("""COMPUTED_VALUE"""),1108.0)</f>
        <v>1108</v>
      </c>
      <c r="B1109" s="133" t="str">
        <f>IFERROR(__xludf.DUMMYFUNCTION("""COMPUTED_VALUE"""),"1008088")</f>
        <v>1008088</v>
      </c>
      <c r="C1109" s="133" t="str">
        <f>IFERROR(__xludf.DUMMYFUNCTION("""COMPUTED_VALUE"""),"P-1-N-301022-6236")</f>
        <v>P-1-N-301022-6236</v>
      </c>
      <c r="D1109" s="133"/>
      <c r="E1109" s="133" t="str">
        <f>IFERROR(__xludf.DUMMYFUNCTION("""COMPUTED_VALUE"""),"تمت طباعة الشهادة")</f>
        <v>تمت طباعة الشهادة</v>
      </c>
      <c r="F1109" s="133" t="str">
        <f>IFERROR(__xludf.DUMMYFUNCTION("""COMPUTED_VALUE"""),"ZUPREEM RABBIT 2.3KG")</f>
        <v>ZUPREEM RABBIT 2.3KG</v>
      </c>
      <c r="G1109" s="133" t="str">
        <f>IFERROR(__xludf.DUMMYFUNCTION("""COMPUTED_VALUE"""),"زوبريم للأرانب 2.3 كجم")</f>
        <v>زوبريم للأرانب 2.3 كجم</v>
      </c>
      <c r="H1109" s="133" t="str">
        <f>IFERROR(__xludf.DUMMYFUNCTION("""COMPUTED_VALUE"""),"MAFE20223608")</f>
        <v>MAFE20223608</v>
      </c>
      <c r="I1109" s="133"/>
      <c r="J1109" s="133"/>
      <c r="K1109" s="133" t="str">
        <f>IFERROR(__xludf.DUMMYFUNCTION("""COMPUTED_VALUE"""),"شركة المنتجات الغذائية المتميزة")</f>
        <v>شركة المنتجات الغذائية المتميزة</v>
      </c>
      <c r="L1109" s="142" t="str">
        <f>IFERROR(__xludf.DUMMYFUNCTION("""COMPUTED_VALUE"""),"1008088")</f>
        <v>1008088</v>
      </c>
      <c r="M1109" s="133"/>
      <c r="N1109" s="133"/>
      <c r="O1109" s="133"/>
      <c r="P1109" s="133"/>
      <c r="Q1109" s="133"/>
      <c r="R1109" s="133"/>
      <c r="S1109" s="133"/>
      <c r="T1109" s="133"/>
      <c r="U1109" s="133"/>
      <c r="V1109" s="133"/>
      <c r="W1109" s="133"/>
      <c r="X1109" s="133"/>
      <c r="Y1109" s="133"/>
      <c r="Z1109" s="133"/>
    </row>
    <row r="1110">
      <c r="A1110" s="133">
        <f>IFERROR(__xludf.DUMMYFUNCTION("""COMPUTED_VALUE"""),1109.0)</f>
        <v>1109</v>
      </c>
      <c r="B1110" s="133" t="str">
        <f>IFERROR(__xludf.DUMMYFUNCTION("""COMPUTED_VALUE"""),"1008091")</f>
        <v>1008091</v>
      </c>
      <c r="C1110" s="133" t="str">
        <f>IFERROR(__xludf.DUMMYFUNCTION("""COMPUTED_VALUE"""),"P-1-N-301022-6237")</f>
        <v>P-1-N-301022-6237</v>
      </c>
      <c r="D1110" s="133"/>
      <c r="E1110" s="133" t="str">
        <f>IFERROR(__xludf.DUMMYFUNCTION("""COMPUTED_VALUE"""),"تمت طباعة الشهادة")</f>
        <v>تمت طباعة الشهادة</v>
      </c>
      <c r="F1110" s="133" t="str">
        <f>IFERROR(__xludf.DUMMYFUNCTION("""COMPUTED_VALUE"""),"ZUPREEM GUINEA PIG 2.3kg")</f>
        <v>ZUPREEM GUINEA PIG 2.3kg</v>
      </c>
      <c r="G1110" s="133" t="str">
        <f>IFERROR(__xludf.DUMMYFUNCTION("""COMPUTED_VALUE"""),"زوبريم للخنازير الغينيا 2.3 كجم")</f>
        <v>زوبريم للخنازير الغينيا 2.3 كجم</v>
      </c>
      <c r="H1110" s="133" t="str">
        <f>IFERROR(__xludf.DUMMYFUNCTION("""COMPUTED_VALUE"""),"MAFE20223607")</f>
        <v>MAFE20223607</v>
      </c>
      <c r="I1110" s="133"/>
      <c r="J1110" s="133"/>
      <c r="K1110" s="133" t="str">
        <f>IFERROR(__xludf.DUMMYFUNCTION("""COMPUTED_VALUE"""),"شركة المنتجات الغذائية المتميزة")</f>
        <v>شركة المنتجات الغذائية المتميزة</v>
      </c>
      <c r="L1110" s="142" t="str">
        <f>IFERROR(__xludf.DUMMYFUNCTION("""COMPUTED_VALUE"""),"1008091")</f>
        <v>1008091</v>
      </c>
      <c r="M1110" s="133"/>
      <c r="N1110" s="133"/>
      <c r="O1110" s="133"/>
      <c r="P1110" s="133"/>
      <c r="Q1110" s="133"/>
      <c r="R1110" s="133"/>
      <c r="S1110" s="133"/>
      <c r="T1110" s="133"/>
      <c r="U1110" s="133"/>
      <c r="V1110" s="133"/>
      <c r="W1110" s="133"/>
      <c r="X1110" s="133"/>
      <c r="Y1110" s="133"/>
      <c r="Z1110" s="133"/>
    </row>
    <row r="1111">
      <c r="A1111" s="133">
        <f>IFERROR(__xludf.DUMMYFUNCTION("""COMPUTED_VALUE"""),1110.0)</f>
        <v>1110</v>
      </c>
      <c r="B1111" s="133" t="str">
        <f>IFERROR(__xludf.DUMMYFUNCTION("""COMPUTED_VALUE"""),"1008093")</f>
        <v>1008093</v>
      </c>
      <c r="C1111" s="133" t="str">
        <f>IFERROR(__xludf.DUMMYFUNCTION("""COMPUTED_VALUE"""),"P-1-N-301022-6238")</f>
        <v>P-1-N-301022-6238</v>
      </c>
      <c r="D1111" s="133"/>
      <c r="E1111" s="133" t="str">
        <f>IFERROR(__xludf.DUMMYFUNCTION("""COMPUTED_VALUE"""),"تمت طباعة الشهادة")</f>
        <v>تمت طباعة الشهادة</v>
      </c>
      <c r="F1111" s="133" t="str">
        <f>IFERROR(__xludf.DUMMYFUNCTION("""COMPUTED_VALUE"""),"ZUPREEM HAY 397g")</f>
        <v>ZUPREEM HAY 397g</v>
      </c>
      <c r="G1111" s="133" t="str">
        <f>IFERROR(__xludf.DUMMYFUNCTION("""COMPUTED_VALUE"""),"زوبريم تبن 397 جم")</f>
        <v>زوبريم تبن 397 جم</v>
      </c>
      <c r="H1111" s="133" t="str">
        <f>IFERROR(__xludf.DUMMYFUNCTION("""COMPUTED_VALUE"""),"RFM20223396")</f>
        <v>RFM20223396</v>
      </c>
      <c r="I1111" s="133"/>
      <c r="J1111" s="133"/>
      <c r="K1111" s="133" t="str">
        <f>IFERROR(__xludf.DUMMYFUNCTION("""COMPUTED_VALUE"""),"شركة المنتجات الغذائية المتميزة")</f>
        <v>شركة المنتجات الغذائية المتميزة</v>
      </c>
      <c r="L1111" s="142" t="str">
        <f>IFERROR(__xludf.DUMMYFUNCTION("""COMPUTED_VALUE"""),"1008093")</f>
        <v>1008093</v>
      </c>
      <c r="M1111" s="133"/>
      <c r="N1111" s="133"/>
      <c r="O1111" s="133"/>
      <c r="P1111" s="133"/>
      <c r="Q1111" s="133"/>
      <c r="R1111" s="133"/>
      <c r="S1111" s="133"/>
      <c r="T1111" s="133"/>
      <c r="U1111" s="133"/>
      <c r="V1111" s="133"/>
      <c r="W1111" s="133"/>
      <c r="X1111" s="133"/>
      <c r="Y1111" s="133"/>
      <c r="Z1111" s="133"/>
    </row>
    <row r="1112">
      <c r="A1112" s="133">
        <f>IFERROR(__xludf.DUMMYFUNCTION("""COMPUTED_VALUE"""),1111.0)</f>
        <v>1111</v>
      </c>
      <c r="B1112" s="133" t="str">
        <f>IFERROR(__xludf.DUMMYFUNCTION("""COMPUTED_VALUE"""),"1008094")</f>
        <v>1008094</v>
      </c>
      <c r="C1112" s="133" t="str">
        <f>IFERROR(__xludf.DUMMYFUNCTION("""COMPUTED_VALUE"""),"P-1-N-301022-6239")</f>
        <v>P-1-N-301022-6239</v>
      </c>
      <c r="D1112" s="133"/>
      <c r="E1112" s="133" t="str">
        <f>IFERROR(__xludf.DUMMYFUNCTION("""COMPUTED_VALUE"""),"تمت طباعة الشهادة")</f>
        <v>تمت طباعة الشهادة</v>
      </c>
      <c r="F1112" s="133" t="str">
        <f>IFERROR(__xludf.DUMMYFUNCTION("""COMPUTED_VALUE"""),"ZUPREEM HAY 1.13kg")</f>
        <v>ZUPREEM HAY 1.13kg</v>
      </c>
      <c r="G1112" s="133" t="str">
        <f>IFERROR(__xludf.DUMMYFUNCTION("""COMPUTED_VALUE"""),"زوبريم تبن 1.13 كجم")</f>
        <v>زوبريم تبن 1.13 كجم</v>
      </c>
      <c r="H1112" s="133" t="str">
        <f>IFERROR(__xludf.DUMMYFUNCTION("""COMPUTED_VALUE"""),"RFM20223395")</f>
        <v>RFM20223395</v>
      </c>
      <c r="I1112" s="133"/>
      <c r="J1112" s="133"/>
      <c r="K1112" s="133" t="str">
        <f>IFERROR(__xludf.DUMMYFUNCTION("""COMPUTED_VALUE"""),"شركة المنتجات الغذائية المتميزة")</f>
        <v>شركة المنتجات الغذائية المتميزة</v>
      </c>
      <c r="L1112" s="142" t="str">
        <f>IFERROR(__xludf.DUMMYFUNCTION("""COMPUTED_VALUE"""),"1008094")</f>
        <v>1008094</v>
      </c>
      <c r="M1112" s="133"/>
      <c r="N1112" s="133"/>
      <c r="O1112" s="133"/>
      <c r="P1112" s="133"/>
      <c r="Q1112" s="133"/>
      <c r="R1112" s="133"/>
      <c r="S1112" s="133"/>
      <c r="T1112" s="133"/>
      <c r="U1112" s="133"/>
      <c r="V1112" s="133"/>
      <c r="W1112" s="133"/>
      <c r="X1112" s="133"/>
      <c r="Y1112" s="133"/>
      <c r="Z1112" s="133"/>
    </row>
    <row r="1113">
      <c r="A1113" s="133">
        <f>IFERROR(__xludf.DUMMYFUNCTION("""COMPUTED_VALUE"""),1112.0)</f>
        <v>1112</v>
      </c>
      <c r="B1113" s="133" t="str">
        <f>IFERROR(__xludf.DUMMYFUNCTION("""COMPUTED_VALUE"""),"137126")</f>
        <v>137126</v>
      </c>
      <c r="C1113" s="133" t="str">
        <f>IFERROR(__xludf.DUMMYFUNCTION("""COMPUTED_VALUE"""),"P-1-N-021122-6290")</f>
        <v>P-1-N-021122-6290</v>
      </c>
      <c r="D1113" s="133"/>
      <c r="E1113" s="133" t="str">
        <f>IFERROR(__xludf.DUMMYFUNCTION("""COMPUTED_VALUE"""),"تمت طباعة الشهادة")</f>
        <v>تمت طباعة الشهادة</v>
      </c>
      <c r="F1113" s="133" t="str">
        <f>IFERROR(__xludf.DUMMYFUNCTION("""COMPUTED_VALUE"""),"NUTRIMEAL Premium sticks for canaries - CANARY GRASS + SHELLS 110g")</f>
        <v>NUTRIMEAL Premium sticks for canaries - CANARY GRASS + SHELLS 110g</v>
      </c>
      <c r="G1113" s="133" t="str">
        <f>IFERROR(__xludf.DUMMYFUNCTION("""COMPUTED_VALUE"""),"نوتري ميل بريميوم ستيكس للكناري - عشب الكناري + الأصداف 110جم")</f>
        <v>نوتري ميل بريميوم ستيكس للكناري - عشب الكناري + الأصداف 110جم</v>
      </c>
      <c r="H1113" s="133" t="str">
        <f>IFERROR(__xludf.DUMMYFUNCTION("""COMPUTED_VALUE"""),"MAFE20223513")</f>
        <v>MAFE20223513</v>
      </c>
      <c r="I1113" s="133"/>
      <c r="J1113" s="133"/>
      <c r="K1113" s="133" t="str">
        <f>IFERROR(__xludf.DUMMYFUNCTION("""COMPUTED_VALUE"""),"بي بي اتش نيستور توماش كاوكي")</f>
        <v>بي بي اتش نيستور توماش كاوكي</v>
      </c>
      <c r="L1113" s="142" t="str">
        <f>IFERROR(__xludf.DUMMYFUNCTION("""COMPUTED_VALUE"""),"137126")</f>
        <v>137126</v>
      </c>
      <c r="M1113" s="133"/>
      <c r="N1113" s="133"/>
      <c r="O1113" s="133"/>
      <c r="P1113" s="133"/>
      <c r="Q1113" s="133"/>
      <c r="R1113" s="133"/>
      <c r="S1113" s="133"/>
      <c r="T1113" s="133"/>
      <c r="U1113" s="133"/>
      <c r="V1113" s="133"/>
      <c r="W1113" s="133"/>
      <c r="X1113" s="133"/>
      <c r="Y1113" s="133"/>
      <c r="Z1113" s="133"/>
    </row>
    <row r="1114">
      <c r="A1114" s="133">
        <f>IFERROR(__xludf.DUMMYFUNCTION("""COMPUTED_VALUE"""),1113.0)</f>
        <v>1113</v>
      </c>
      <c r="B1114" s="133" t="str">
        <f>IFERROR(__xludf.DUMMYFUNCTION("""COMPUTED_VALUE"""),"USA803")</f>
        <v>USA803</v>
      </c>
      <c r="C1114" s="133" t="str">
        <f>IFERROR(__xludf.DUMMYFUNCTION("""COMPUTED_VALUE"""),"P-1-N-101122-6435")</f>
        <v>P-1-N-101122-6435</v>
      </c>
      <c r="D1114" s="133"/>
      <c r="E1114" s="133" t="str">
        <f>IFERROR(__xludf.DUMMYFUNCTION("""COMPUTED_VALUE"""),"تمت طباعة الشهادة")</f>
        <v>تمت طباعة الشهادة</v>
      </c>
      <c r="F1114" s="133" t="str">
        <f>IFERROR(__xludf.DUMMYFUNCTION("""COMPUTED_VALUE"""),"Twin Packs Tuna &amp; Chicken with Scallop Recipe in Scallop Broth 80g")</f>
        <v>Twin Packs Tuna &amp; Chicken with Scallop Recipe in Scallop Broth 80g</v>
      </c>
      <c r="G1114" s="133" t="str">
        <f>IFERROR(__xludf.DUMMYFUNCTION("""COMPUTED_VALUE"""),"توين باكس وصفة تونا ودجاج مع المحار بمرق المحار 80 جم")</f>
        <v>توين باكس وصفة تونا ودجاج مع المحار بمرق المحار 80 جم</v>
      </c>
      <c r="H1114" s="133" t="str">
        <f>IFERROR(__xludf.DUMMYFUNCTION("""COMPUTED_VALUE"""),"MAFE20223550")</f>
        <v>MAFE20223550</v>
      </c>
      <c r="I1114" s="133"/>
      <c r="J1114" s="133"/>
      <c r="K1114" s="133" t="str">
        <f>IFERROR(__xludf.DUMMYFUNCTION("""COMPUTED_VALUE"""),"شركة تاي اينابا للأغذية المحدودة")</f>
        <v>شركة تاي اينابا للأغذية المحدودة</v>
      </c>
      <c r="L1114" s="142" t="str">
        <f>IFERROR(__xludf.DUMMYFUNCTION("""COMPUTED_VALUE"""),"USA803")</f>
        <v>USA803</v>
      </c>
      <c r="M1114" s="133"/>
      <c r="N1114" s="133"/>
      <c r="O1114" s="133"/>
      <c r="P1114" s="133"/>
      <c r="Q1114" s="133"/>
      <c r="R1114" s="133"/>
      <c r="S1114" s="133"/>
      <c r="T1114" s="133"/>
      <c r="U1114" s="133"/>
      <c r="V1114" s="133"/>
      <c r="W1114" s="133"/>
      <c r="X1114" s="133"/>
      <c r="Y1114" s="133"/>
      <c r="Z1114" s="133"/>
    </row>
    <row r="1115">
      <c r="A1115" s="133">
        <f>IFERROR(__xludf.DUMMYFUNCTION("""COMPUTED_VALUE"""),1114.0)</f>
        <v>1114</v>
      </c>
      <c r="B1115" s="133" t="str">
        <f>IFERROR(__xludf.DUMMYFUNCTION("""COMPUTED_VALUE"""),"USA801")</f>
        <v>USA801</v>
      </c>
      <c r="C1115" s="133" t="str">
        <f>IFERROR(__xludf.DUMMYFUNCTION("""COMPUTED_VALUE"""),"P-1-N-101122-6436")</f>
        <v>P-1-N-101122-6436</v>
      </c>
      <c r="D1115" s="133"/>
      <c r="E1115" s="133" t="str">
        <f>IFERROR(__xludf.DUMMYFUNCTION("""COMPUTED_VALUE"""),"تمت طباعة الشهادة")</f>
        <v>تمت طباعة الشهادة</v>
      </c>
      <c r="F1115" s="133" t="str">
        <f>IFERROR(__xludf.DUMMYFUNCTION("""COMPUTED_VALUE"""),"Twin Packs Tuna &amp; Chicken Recipe in Tuna Broth 80g")</f>
        <v>Twin Packs Tuna &amp; Chicken Recipe in Tuna Broth 80g</v>
      </c>
      <c r="G1115" s="133" t="str">
        <f>IFERROR(__xludf.DUMMYFUNCTION("""COMPUTED_VALUE"""),"توين باكس وصفة تونا ودجاج بمرق التونا 80 جم")</f>
        <v>توين باكس وصفة تونا ودجاج بمرق التونا 80 جم</v>
      </c>
      <c r="H1115" s="133" t="str">
        <f>IFERROR(__xludf.DUMMYFUNCTION("""COMPUTED_VALUE"""),"MAFE20223549")</f>
        <v>MAFE20223549</v>
      </c>
      <c r="I1115" s="133"/>
      <c r="J1115" s="133"/>
      <c r="K1115" s="133" t="str">
        <f>IFERROR(__xludf.DUMMYFUNCTION("""COMPUTED_VALUE"""),"شركة تاي اينابا للأغذية المحدودة")</f>
        <v>شركة تاي اينابا للأغذية المحدودة</v>
      </c>
      <c r="L1115" s="142" t="str">
        <f>IFERROR(__xludf.DUMMYFUNCTION("""COMPUTED_VALUE"""),"USA801")</f>
        <v>USA801</v>
      </c>
      <c r="M1115" s="133"/>
      <c r="N1115" s="133"/>
      <c r="O1115" s="133"/>
      <c r="P1115" s="133"/>
      <c r="Q1115" s="133"/>
      <c r="R1115" s="133"/>
      <c r="S1115" s="133"/>
      <c r="T1115" s="133"/>
      <c r="U1115" s="133"/>
      <c r="V1115" s="133"/>
      <c r="W1115" s="133"/>
      <c r="X1115" s="133"/>
      <c r="Y1115" s="133"/>
      <c r="Z1115" s="133"/>
    </row>
    <row r="1116">
      <c r="A1116" s="133">
        <f>IFERROR(__xludf.DUMMYFUNCTION("""COMPUTED_VALUE"""),1115.0)</f>
        <v>1115</v>
      </c>
      <c r="B1116" s="133" t="str">
        <f>IFERROR(__xludf.DUMMYFUNCTION("""COMPUTED_VALUE"""),"USA802")</f>
        <v>USA802</v>
      </c>
      <c r="C1116" s="133" t="str">
        <f>IFERROR(__xludf.DUMMYFUNCTION("""COMPUTED_VALUE"""),"P-1-N-101122-6437")</f>
        <v>P-1-N-101122-6437</v>
      </c>
      <c r="D1116" s="133"/>
      <c r="E1116" s="133" t="str">
        <f>IFERROR(__xludf.DUMMYFUNCTION("""COMPUTED_VALUE"""),"تمت طباعة الشهادة")</f>
        <v>تمت طباعة الشهادة</v>
      </c>
      <c r="F1116" s="133" t="str">
        <f>IFERROR(__xludf.DUMMYFUNCTION("""COMPUTED_VALUE"""),"Twin Packs Chicken Recipe in Chicken Broth 80g")</f>
        <v>Twin Packs Chicken Recipe in Chicken Broth 80g</v>
      </c>
      <c r="G1116" s="133" t="str">
        <f>IFERROR(__xludf.DUMMYFUNCTION("""COMPUTED_VALUE"""),"توين باكس وصفة دجاج بمرق الدجاج 80 جم")</f>
        <v>توين باكس وصفة دجاج بمرق الدجاج 80 جم</v>
      </c>
      <c r="H1116" s="133" t="str">
        <f>IFERROR(__xludf.DUMMYFUNCTION("""COMPUTED_VALUE"""),"MAFE20223542")</f>
        <v>MAFE20223542</v>
      </c>
      <c r="I1116" s="133"/>
      <c r="J1116" s="133"/>
      <c r="K1116" s="133" t="str">
        <f>IFERROR(__xludf.DUMMYFUNCTION("""COMPUTED_VALUE"""),"شركة تاي اينابا للأغذية المحدودة")</f>
        <v>شركة تاي اينابا للأغذية المحدودة</v>
      </c>
      <c r="L1116" s="142" t="str">
        <f>IFERROR(__xludf.DUMMYFUNCTION("""COMPUTED_VALUE"""),"USA802")</f>
        <v>USA802</v>
      </c>
      <c r="M1116" s="133"/>
      <c r="N1116" s="133"/>
      <c r="O1116" s="133"/>
      <c r="P1116" s="133"/>
      <c r="Q1116" s="133"/>
      <c r="R1116" s="133"/>
      <c r="S1116" s="133"/>
      <c r="T1116" s="133"/>
      <c r="U1116" s="133"/>
      <c r="V1116" s="133"/>
      <c r="W1116" s="133"/>
      <c r="X1116" s="133"/>
      <c r="Y1116" s="133"/>
      <c r="Z1116" s="133"/>
    </row>
    <row r="1117">
      <c r="A1117" s="133">
        <f>IFERROR(__xludf.DUMMYFUNCTION("""COMPUTED_VALUE"""),1116.0)</f>
        <v>1116</v>
      </c>
      <c r="B1117" s="133"/>
      <c r="C1117" s="133" t="str">
        <f>IFERROR(__xludf.DUMMYFUNCTION("""COMPUTED_VALUE"""),"P-1-N-061222-7027")</f>
        <v>P-1-N-061222-7027</v>
      </c>
      <c r="D1117" s="133"/>
      <c r="E1117" s="133" t="str">
        <f>IFERROR(__xludf.DUMMYFUNCTION("""COMPUTED_VALUE"""),"تمت طباعة الشهادة")</f>
        <v>تمت طباعة الشهادة</v>
      </c>
      <c r="F1117" s="133" t="str">
        <f>IFERROR(__xludf.DUMMYFUNCTION("""COMPUTED_VALUE"""),"goDUCK with superfoods 150g")</f>
        <v>goDUCK with superfoods 150g</v>
      </c>
      <c r="G1117" s="133" t="str">
        <f>IFERROR(__xludf.DUMMYFUNCTION("""COMPUTED_VALUE"""),"غو بط مع سوبرفوودس 150 ﺟﻢ")</f>
        <v>غو بط مع سوبرفوودس 150 ﺟﻢ</v>
      </c>
      <c r="H1117" s="133" t="str">
        <f>IFERROR(__xludf.DUMMYFUNCTION("""COMPUTED_VALUE"""),"MAFE20223997")</f>
        <v>MAFE20223997</v>
      </c>
      <c r="I1117" s="133"/>
      <c r="J1117" s="133"/>
      <c r="K1117" s="133" t="str">
        <f>IFERROR(__xludf.DUMMYFUNCTION("""COMPUTED_VALUE"""),"هيرمان جي إم بي إتش")</f>
        <v>هيرمان جي إم بي إتش</v>
      </c>
      <c r="L1117" s="133"/>
      <c r="M1117" s="133"/>
      <c r="N1117" s="133"/>
      <c r="O1117" s="133"/>
      <c r="P1117" s="133"/>
      <c r="Q1117" s="133"/>
      <c r="R1117" s="133"/>
      <c r="S1117" s="133"/>
      <c r="T1117" s="133"/>
      <c r="U1117" s="133"/>
      <c r="V1117" s="133"/>
      <c r="W1117" s="133"/>
      <c r="X1117" s="133"/>
      <c r="Y1117" s="133"/>
      <c r="Z1117" s="133"/>
    </row>
    <row r="1118">
      <c r="A1118" s="133">
        <f>IFERROR(__xludf.DUMMYFUNCTION("""COMPUTED_VALUE"""),1117.0)</f>
        <v>1117</v>
      </c>
      <c r="B1118" s="133"/>
      <c r="C1118" s="133" t="str">
        <f>IFERROR(__xludf.DUMMYFUNCTION("""COMPUTED_VALUE"""),"P-1-N-061222-7028")</f>
        <v>P-1-N-061222-7028</v>
      </c>
      <c r="D1118" s="133"/>
      <c r="E1118" s="133" t="str">
        <f>IFERROR(__xludf.DUMMYFUNCTION("""COMPUTED_VALUE"""),"تمت طباعة الشهادة")</f>
        <v>تمت طباعة الشهادة</v>
      </c>
      <c r="F1118" s="133" t="str">
        <f>IFERROR(__xludf.DUMMYFUNCTION("""COMPUTED_VALUE"""),"goDUCK with superfoods for Dog-Puppy 150g")</f>
        <v>goDUCK with superfoods for Dog-Puppy 150g</v>
      </c>
      <c r="G1118" s="133" t="str">
        <f>IFERROR(__xludf.DUMMYFUNCTION("""COMPUTED_VALUE"""),"غو بط مع سوبرفوودس للجرو 150 ﺟﻢ")</f>
        <v>غو بط مع سوبرفوودس للجرو 150 ﺟﻢ</v>
      </c>
      <c r="H1118" s="133" t="str">
        <f>IFERROR(__xludf.DUMMYFUNCTION("""COMPUTED_VALUE"""),"MAFE20224029")</f>
        <v>MAFE20224029</v>
      </c>
      <c r="I1118" s="133"/>
      <c r="J1118" s="133"/>
      <c r="K1118" s="133" t="str">
        <f>IFERROR(__xludf.DUMMYFUNCTION("""COMPUTED_VALUE"""),"هيرمان جي إم بي إتش")</f>
        <v>هيرمان جي إم بي إتش</v>
      </c>
      <c r="L1118" s="133"/>
      <c r="M1118" s="133"/>
      <c r="N1118" s="133"/>
      <c r="O1118" s="133"/>
      <c r="P1118" s="133"/>
      <c r="Q1118" s="133"/>
      <c r="R1118" s="133"/>
      <c r="S1118" s="133"/>
      <c r="T1118" s="133"/>
      <c r="U1118" s="133"/>
      <c r="V1118" s="133"/>
      <c r="W1118" s="133"/>
      <c r="X1118" s="133"/>
      <c r="Y1118" s="133"/>
      <c r="Z1118" s="133"/>
    </row>
    <row r="1119">
      <c r="A1119" s="133">
        <f>IFERROR(__xludf.DUMMYFUNCTION("""COMPUTED_VALUE"""),1118.0)</f>
        <v>1118</v>
      </c>
      <c r="B1119" s="133"/>
      <c r="C1119" s="133" t="str">
        <f>IFERROR(__xludf.DUMMYFUNCTION("""COMPUTED_VALUE"""),"P-1-N-061222-7029")</f>
        <v>P-1-N-061222-7029</v>
      </c>
      <c r="D1119" s="133"/>
      <c r="E1119" s="133" t="str">
        <f>IFERROR(__xludf.DUMMYFUNCTION("""COMPUTED_VALUE"""),"تمت طباعة الشهادة")</f>
        <v>تمت طباعة الشهادة</v>
      </c>
      <c r="F1119" s="133" t="str">
        <f>IFERROR(__xludf.DUMMYFUNCTION("""COMPUTED_VALUE"""),"goLAMB with superfoods for Dogs 150g")</f>
        <v>goLAMB with superfoods for Dogs 150g</v>
      </c>
      <c r="G1119" s="133" t="str">
        <f>IFERROR(__xludf.DUMMYFUNCTION("""COMPUTED_VALUE"""),"غو لحم الضأن مع سوبرفوودس للكلاب 150 ﺟﻢ")</f>
        <v>غو لحم الضأن مع سوبرفوودس للكلاب 150 ﺟﻢ</v>
      </c>
      <c r="H1119" s="133" t="str">
        <f>IFERROR(__xludf.DUMMYFUNCTION("""COMPUTED_VALUE"""),"MAFE20224030")</f>
        <v>MAFE20224030</v>
      </c>
      <c r="I1119" s="133"/>
      <c r="J1119" s="133"/>
      <c r="K1119" s="133" t="str">
        <f>IFERROR(__xludf.DUMMYFUNCTION("""COMPUTED_VALUE"""),"هيرمان جي إم بي إتش")</f>
        <v>هيرمان جي إم بي إتش</v>
      </c>
      <c r="L1119" s="133"/>
      <c r="M1119" s="133"/>
      <c r="N1119" s="133"/>
      <c r="O1119" s="133"/>
      <c r="P1119" s="133"/>
      <c r="Q1119" s="133"/>
      <c r="R1119" s="133"/>
      <c r="S1119" s="133"/>
      <c r="T1119" s="133"/>
      <c r="U1119" s="133"/>
      <c r="V1119" s="133"/>
      <c r="W1119" s="133"/>
      <c r="X1119" s="133"/>
      <c r="Y1119" s="133"/>
      <c r="Z1119" s="133"/>
    </row>
    <row r="1120">
      <c r="A1120" s="133">
        <f>IFERROR(__xludf.DUMMYFUNCTION("""COMPUTED_VALUE"""),1119.0)</f>
        <v>1119</v>
      </c>
      <c r="B1120" s="133"/>
      <c r="C1120" s="133" t="str">
        <f>IFERROR(__xludf.DUMMYFUNCTION("""COMPUTED_VALUE"""),"P-1-N-061222-7030")</f>
        <v>P-1-N-061222-7030</v>
      </c>
      <c r="D1120" s="133"/>
      <c r="E1120" s="133" t="str">
        <f>IFERROR(__xludf.DUMMYFUNCTION("""COMPUTED_VALUE"""),"تمت طباعة الشهادة")</f>
        <v>تمت طباعة الشهادة</v>
      </c>
      <c r="F1120" s="133" t="str">
        <f>IFERROR(__xludf.DUMMYFUNCTION("""COMPUTED_VALUE"""),"goVENISON with superfoods for Dogs 150g")</f>
        <v>goVENISON with superfoods for Dogs 150g</v>
      </c>
      <c r="G1120" s="133" t="str">
        <f>IFERROR(__xludf.DUMMYFUNCTION("""COMPUTED_VALUE"""),"غو لحم الغزال مع سوبرفوودس للكلاب 150 ﺟﻢ")</f>
        <v>غو لحم الغزال مع سوبرفوودس للكلاب 150 ﺟﻢ</v>
      </c>
      <c r="H1120" s="133" t="str">
        <f>IFERROR(__xludf.DUMMYFUNCTION("""COMPUTED_VALUE"""),"MAFE20224015")</f>
        <v>MAFE20224015</v>
      </c>
      <c r="I1120" s="133"/>
      <c r="J1120" s="133"/>
      <c r="K1120" s="133" t="str">
        <f>IFERROR(__xludf.DUMMYFUNCTION("""COMPUTED_VALUE"""),"هيرمان جي إم بي إتش")</f>
        <v>هيرمان جي إم بي إتش</v>
      </c>
      <c r="L1120" s="133"/>
      <c r="M1120" s="133"/>
      <c r="N1120" s="133"/>
      <c r="O1120" s="133"/>
      <c r="P1120" s="133"/>
      <c r="Q1120" s="133"/>
      <c r="R1120" s="133"/>
      <c r="S1120" s="133"/>
      <c r="T1120" s="133"/>
      <c r="U1120" s="133"/>
      <c r="V1120" s="133"/>
      <c r="W1120" s="133"/>
      <c r="X1120" s="133"/>
      <c r="Y1120" s="133"/>
      <c r="Z1120" s="133"/>
    </row>
    <row r="1121">
      <c r="A1121" s="133">
        <f>IFERROR(__xludf.DUMMYFUNCTION("""COMPUTED_VALUE"""),1120.0)</f>
        <v>1120</v>
      </c>
      <c r="B1121" s="133"/>
      <c r="C1121" s="133" t="str">
        <f>IFERROR(__xludf.DUMMYFUNCTION("""COMPUTED_VALUE"""),"P-1-N-061222-7031")</f>
        <v>P-1-N-061222-7031</v>
      </c>
      <c r="D1121" s="133"/>
      <c r="E1121" s="133" t="str">
        <f>IFERROR(__xludf.DUMMYFUNCTION("""COMPUTED_VALUE"""),"تمت طباعة الشهادة")</f>
        <v>تمت طباعة الشهادة</v>
      </c>
      <c r="F1121" s="133" t="str">
        <f>IFERROR(__xludf.DUMMYFUNCTION("""COMPUTED_VALUE"""),"goRABBIT with superfoods for Dogs 150g")</f>
        <v>goRABBIT with superfoods for Dogs 150g</v>
      </c>
      <c r="G1121" s="133" t="str">
        <f>IFERROR(__xludf.DUMMYFUNCTION("""COMPUTED_VALUE"""),"غو أرنب مع سوبرفوودس للكلاب 150 ﺟﻢ")</f>
        <v>غو أرنب مع سوبرفوودس للكلاب 150 ﺟﻢ</v>
      </c>
      <c r="H1121" s="133" t="str">
        <f>IFERROR(__xludf.DUMMYFUNCTION("""COMPUTED_VALUE"""),"MAFE20224022")</f>
        <v>MAFE20224022</v>
      </c>
      <c r="I1121" s="133"/>
      <c r="J1121" s="133"/>
      <c r="K1121" s="133" t="str">
        <f>IFERROR(__xludf.DUMMYFUNCTION("""COMPUTED_VALUE"""),"هيرمان جي إم بي إتش")</f>
        <v>هيرمان جي إم بي إتش</v>
      </c>
      <c r="L1121" s="133"/>
      <c r="M1121" s="133"/>
      <c r="N1121" s="133"/>
      <c r="O1121" s="133"/>
      <c r="P1121" s="133"/>
      <c r="Q1121" s="133"/>
      <c r="R1121" s="133"/>
      <c r="S1121" s="133"/>
      <c r="T1121" s="133"/>
      <c r="U1121" s="133"/>
      <c r="V1121" s="133"/>
      <c r="W1121" s="133"/>
      <c r="X1121" s="133"/>
      <c r="Y1121" s="133"/>
      <c r="Z1121" s="133"/>
    </row>
    <row r="1122">
      <c r="A1122" s="133">
        <f>IFERROR(__xludf.DUMMYFUNCTION("""COMPUTED_VALUE"""),1121.0)</f>
        <v>1121</v>
      </c>
      <c r="B1122" s="133" t="str">
        <f>IFERROR(__xludf.DUMMYFUNCTION("""COMPUTED_VALUE"""),"EGGD85")</f>
        <v>EGGD85</v>
      </c>
      <c r="C1122" s="133" t="str">
        <f>IFERROR(__xludf.DUMMYFUNCTION("""COMPUTED_VALUE"""),"P-1-N-061222-7032")</f>
        <v>P-1-N-061222-7032</v>
      </c>
      <c r="D1122" s="133"/>
      <c r="E1122" s="133" t="str">
        <f>IFERROR(__xludf.DUMMYFUNCTION("""COMPUTED_VALUE"""),"تمت طباعة الشهادة")</f>
        <v>تمت طباعة الشهادة</v>
      </c>
      <c r="F1122" s="133" t="str">
        <f>IFERROR(__xludf.DUMMYFUNCTION("""COMPUTED_VALUE"""),"goDUCK with superfoods for Cats 85g")</f>
        <v>goDUCK with superfoods for Cats 85g</v>
      </c>
      <c r="G1122" s="133" t="str">
        <f>IFERROR(__xludf.DUMMYFUNCTION("""COMPUTED_VALUE"""),"غو بط مع سوبرفوودس للقطط 85 ﺟﻢ")</f>
        <v>غو بط مع سوبرفوودس للقطط 85 ﺟﻢ</v>
      </c>
      <c r="H1122" s="133" t="str">
        <f>IFERROR(__xludf.DUMMYFUNCTION("""COMPUTED_VALUE"""),"MAFE20224028")</f>
        <v>MAFE20224028</v>
      </c>
      <c r="I1122" s="133"/>
      <c r="J1122" s="133"/>
      <c r="K1122" s="133" t="str">
        <f>IFERROR(__xludf.DUMMYFUNCTION("""COMPUTED_VALUE"""),"هيرمان جي إم بي إتش")</f>
        <v>هيرمان جي إم بي إتش</v>
      </c>
      <c r="L1122" s="142" t="str">
        <f>IFERROR(__xludf.DUMMYFUNCTION("""COMPUTED_VALUE"""),"EGGD85")</f>
        <v>EGGD85</v>
      </c>
      <c r="M1122" s="133"/>
      <c r="N1122" s="133"/>
      <c r="O1122" s="133"/>
      <c r="P1122" s="133"/>
      <c r="Q1122" s="133"/>
      <c r="R1122" s="133"/>
      <c r="S1122" s="133"/>
      <c r="T1122" s="133"/>
      <c r="U1122" s="133"/>
      <c r="V1122" s="133"/>
      <c r="W1122" s="133"/>
      <c r="X1122" s="133"/>
      <c r="Y1122" s="133"/>
      <c r="Z1122" s="133"/>
    </row>
    <row r="1123">
      <c r="A1123" s="133">
        <f>IFERROR(__xludf.DUMMYFUNCTION("""COMPUTED_VALUE"""),1122.0)</f>
        <v>1122</v>
      </c>
      <c r="B1123" s="133" t="str">
        <f>IFERROR(__xludf.DUMMYFUNCTION("""COMPUTED_VALUE"""),"EGGC85")</f>
        <v>EGGC85</v>
      </c>
      <c r="C1123" s="133" t="str">
        <f>IFERROR(__xludf.DUMMYFUNCTION("""COMPUTED_VALUE"""),"P-1-N-061222-7033")</f>
        <v>P-1-N-061222-7033</v>
      </c>
      <c r="D1123" s="133"/>
      <c r="E1123" s="133" t="str">
        <f>IFERROR(__xludf.DUMMYFUNCTION("""COMPUTED_VALUE"""),"تمت طباعة الشهادة")</f>
        <v>تمت طباعة الشهادة</v>
      </c>
      <c r="F1123" s="133" t="str">
        <f>IFERROR(__xludf.DUMMYFUNCTION("""COMPUTED_VALUE"""),"goCHICKEN with superfoods for Cats 85g")</f>
        <v>goCHICKEN with superfoods for Cats 85g</v>
      </c>
      <c r="G1123" s="133" t="str">
        <f>IFERROR(__xludf.DUMMYFUNCTION("""COMPUTED_VALUE"""),"غو دجاج مع سوبرفوودس للقطط 85 ﺟﻢ")</f>
        <v>غو دجاج مع سوبرفوودس للقطط 85 ﺟﻢ</v>
      </c>
      <c r="H1123" s="133" t="str">
        <f>IFERROR(__xludf.DUMMYFUNCTION("""COMPUTED_VALUE"""),"MAFE20224027")</f>
        <v>MAFE20224027</v>
      </c>
      <c r="I1123" s="133"/>
      <c r="J1123" s="133"/>
      <c r="K1123" s="133" t="str">
        <f>IFERROR(__xludf.DUMMYFUNCTION("""COMPUTED_VALUE"""),"هيرمان جي إم بي إتش")</f>
        <v>هيرمان جي إم بي إتش</v>
      </c>
      <c r="L1123" s="142" t="str">
        <f>IFERROR(__xludf.DUMMYFUNCTION("""COMPUTED_VALUE"""),"EGGC85")</f>
        <v>EGGC85</v>
      </c>
      <c r="M1123" s="133"/>
      <c r="N1123" s="133"/>
      <c r="O1123" s="133"/>
      <c r="P1123" s="133"/>
      <c r="Q1123" s="133"/>
      <c r="R1123" s="133"/>
      <c r="S1123" s="133"/>
      <c r="T1123" s="133"/>
      <c r="U1123" s="133"/>
      <c r="V1123" s="133"/>
      <c r="W1123" s="133"/>
      <c r="X1123" s="133"/>
      <c r="Y1123" s="133"/>
      <c r="Z1123" s="133"/>
    </row>
    <row r="1124">
      <c r="A1124" s="133">
        <f>IFERROR(__xludf.DUMMYFUNCTION("""COMPUTED_VALUE"""),1123.0)</f>
        <v>1123</v>
      </c>
      <c r="B1124" s="133" t="str">
        <f>IFERROR(__xludf.DUMMYFUNCTION("""COMPUTED_VALUE"""),"EGGSC85")</f>
        <v>EGGSC85</v>
      </c>
      <c r="C1124" s="133" t="str">
        <f>IFERROR(__xludf.DUMMYFUNCTION("""COMPUTED_VALUE"""),"P-1-N-061222-7034")</f>
        <v>P-1-N-061222-7034</v>
      </c>
      <c r="D1124" s="133"/>
      <c r="E1124" s="133" t="str">
        <f>IFERROR(__xludf.DUMMYFUNCTION("""COMPUTED_VALUE"""),"تمت طباعة الشهادة")</f>
        <v>تمت طباعة الشهادة</v>
      </c>
      <c r="F1124" s="133" t="str">
        <f>IFERROR(__xludf.DUMMYFUNCTION("""COMPUTED_VALUE"""),"GoSALMON &amp; CHICKEN with superfoods for Cats 85g")</f>
        <v>GoSALMON &amp; CHICKEN with superfoods for Cats 85g</v>
      </c>
      <c r="G1124" s="133" t="str">
        <f>IFERROR(__xludf.DUMMYFUNCTION("""COMPUTED_VALUE"""),"غو سمك السلمون والدجاج مع سوبرفوودس للقطط 85 ﺟﻢ")</f>
        <v>غو سمك السلمون والدجاج مع سوبرفوودس للقطط 85 ﺟﻢ</v>
      </c>
      <c r="H1124" s="133" t="str">
        <f>IFERROR(__xludf.DUMMYFUNCTION("""COMPUTED_VALUE"""),"MAFE20223998")</f>
        <v>MAFE20223998</v>
      </c>
      <c r="I1124" s="133"/>
      <c r="J1124" s="133"/>
      <c r="K1124" s="133" t="str">
        <f>IFERROR(__xludf.DUMMYFUNCTION("""COMPUTED_VALUE"""),"هيرمان جي إم بي إتش")</f>
        <v>هيرمان جي إم بي إتش</v>
      </c>
      <c r="L1124" s="142" t="str">
        <f>IFERROR(__xludf.DUMMYFUNCTION("""COMPUTED_VALUE"""),"EGGSC85")</f>
        <v>EGGSC85</v>
      </c>
      <c r="M1124" s="133"/>
      <c r="N1124" s="133"/>
      <c r="O1124" s="133"/>
      <c r="P1124" s="133"/>
      <c r="Q1124" s="133"/>
      <c r="R1124" s="133"/>
      <c r="S1124" s="133"/>
      <c r="T1124" s="133"/>
      <c r="U1124" s="133"/>
      <c r="V1124" s="133"/>
      <c r="W1124" s="133"/>
      <c r="X1124" s="133"/>
      <c r="Y1124" s="133"/>
      <c r="Z1124" s="133"/>
    </row>
    <row r="1125">
      <c r="A1125" s="133">
        <f>IFERROR(__xludf.DUMMYFUNCTION("""COMPUTED_VALUE"""),1124.0)</f>
        <v>1124</v>
      </c>
      <c r="B1125" s="133" t="str">
        <f>IFERROR(__xludf.DUMMYFUNCTION("""COMPUTED_VALUE"""),"EGGG85")</f>
        <v>EGGG85</v>
      </c>
      <c r="C1125" s="133" t="str">
        <f>IFERROR(__xludf.DUMMYFUNCTION("""COMPUTED_VALUE"""),"P-1-N-061222-7035")</f>
        <v>P-1-N-061222-7035</v>
      </c>
      <c r="D1125" s="133"/>
      <c r="E1125" s="133" t="str">
        <f>IFERROR(__xludf.DUMMYFUNCTION("""COMPUTED_VALUE"""),"تمت طباعة الشهادة")</f>
        <v>تمت طباعة الشهادة</v>
      </c>
      <c r="F1125" s="133" t="str">
        <f>IFERROR(__xludf.DUMMYFUNCTION("""COMPUTED_VALUE"""),"goGOOSE for Kitten 85g")</f>
        <v>goGOOSE for Kitten 85g</v>
      </c>
      <c r="G1125" s="133" t="str">
        <f>IFERROR(__xludf.DUMMYFUNCTION("""COMPUTED_VALUE"""),"غو غوس للقطط الصغيرة 85 ﺟﻢ")</f>
        <v>غو غوس للقطط الصغيرة 85 ﺟﻢ</v>
      </c>
      <c r="H1125" s="133" t="str">
        <f>IFERROR(__xludf.DUMMYFUNCTION("""COMPUTED_VALUE"""),"MAFE20223996")</f>
        <v>MAFE20223996</v>
      </c>
      <c r="I1125" s="133"/>
      <c r="J1125" s="133"/>
      <c r="K1125" s="133" t="str">
        <f>IFERROR(__xludf.DUMMYFUNCTION("""COMPUTED_VALUE"""),"هيرمان جي إم بي إتش")</f>
        <v>هيرمان جي إم بي إتش</v>
      </c>
      <c r="L1125" s="142" t="str">
        <f>IFERROR(__xludf.DUMMYFUNCTION("""COMPUTED_VALUE"""),"EGGG85")</f>
        <v>EGGG85</v>
      </c>
      <c r="M1125" s="133"/>
      <c r="N1125" s="133"/>
      <c r="O1125" s="133"/>
      <c r="P1125" s="133"/>
      <c r="Q1125" s="133"/>
      <c r="R1125" s="133"/>
      <c r="S1125" s="133"/>
      <c r="T1125" s="133"/>
      <c r="U1125" s="133"/>
      <c r="V1125" s="133"/>
      <c r="W1125" s="133"/>
      <c r="X1125" s="133"/>
      <c r="Y1125" s="133"/>
      <c r="Z1125" s="133"/>
    </row>
    <row r="1126">
      <c r="A1126" s="133">
        <f>IFERROR(__xludf.DUMMYFUNCTION("""COMPUTED_VALUE"""),1125.0)</f>
        <v>1125</v>
      </c>
      <c r="B1126" s="133"/>
      <c r="C1126" s="133" t="str">
        <f>IFERROR(__xludf.DUMMYFUNCTION("""COMPUTED_VALUE"""),"P-1-N-131222-7219")</f>
        <v>P-1-N-131222-7219</v>
      </c>
      <c r="D1126" s="133"/>
      <c r="E1126" s="133" t="str">
        <f>IFERROR(__xludf.DUMMYFUNCTION("""COMPUTED_VALUE"""),"تمت طباعة الشهادة")</f>
        <v>تمت طباعة الشهادة</v>
      </c>
      <c r="F1126" s="133" t="str">
        <f>IFERROR(__xludf.DUMMYFUNCTION("""COMPUTED_VALUE"""),"Lara Adult Beef Flavour 10kg")</f>
        <v>Lara Adult Beef Flavour 10kg</v>
      </c>
      <c r="G1126" s="133" t="str">
        <f>IFERROR(__xludf.DUMMYFUNCTION("""COMPUTED_VALUE"""),"لارا أدولت نكهة اللحم البقري 10 كجم")</f>
        <v>لارا أدولت نكهة اللحم البقري 10 كجم</v>
      </c>
      <c r="H1126" s="133" t="str">
        <f>IFERROR(__xludf.DUMMYFUNCTION("""COMPUTED_VALUE"""),"MAFE20223953")</f>
        <v>MAFE20223953</v>
      </c>
      <c r="I1126" s="133"/>
      <c r="J1126" s="133"/>
      <c r="K1126" s="133" t="str">
        <f>IFERROR(__xludf.DUMMYFUNCTION("""COMPUTED_VALUE"""),"فيرسل لاقا ان في")</f>
        <v>فيرسل لاقا ان في</v>
      </c>
      <c r="L1126" s="133"/>
      <c r="M1126" s="133"/>
      <c r="N1126" s="133"/>
      <c r="O1126" s="133"/>
      <c r="P1126" s="133"/>
      <c r="Q1126" s="133"/>
      <c r="R1126" s="133"/>
      <c r="S1126" s="133"/>
      <c r="T1126" s="133"/>
      <c r="U1126" s="133"/>
      <c r="V1126" s="133"/>
      <c r="W1126" s="133"/>
      <c r="X1126" s="133"/>
      <c r="Y1126" s="133"/>
      <c r="Z1126" s="133"/>
    </row>
    <row r="1127">
      <c r="A1127" s="133">
        <f>IFERROR(__xludf.DUMMYFUNCTION("""COMPUTED_VALUE"""),1126.0)</f>
        <v>1126</v>
      </c>
      <c r="B1127" s="133"/>
      <c r="C1127" s="133" t="str">
        <f>IFERROR(__xludf.DUMMYFUNCTION("""COMPUTED_VALUE"""),"P-1-N-131222-7220")</f>
        <v>P-1-N-131222-7220</v>
      </c>
      <c r="D1127" s="133"/>
      <c r="E1127" s="133" t="str">
        <f>IFERROR(__xludf.DUMMYFUNCTION("""COMPUTED_VALUE"""),"تمت طباعة الشهادة")</f>
        <v>تمت طباعة الشهادة</v>
      </c>
      <c r="F1127" s="133" t="str">
        <f>IFERROR(__xludf.DUMMYFUNCTION("""COMPUTED_VALUE"""),"Lara Adult Beef Flavour 2kg")</f>
        <v>Lara Adult Beef Flavour 2kg</v>
      </c>
      <c r="G1127" s="133" t="str">
        <f>IFERROR(__xludf.DUMMYFUNCTION("""COMPUTED_VALUE"""),"لارا أدولت نكهة اللحم البقري 2 كجم")</f>
        <v>لارا أدولت نكهة اللحم البقري 2 كجم</v>
      </c>
      <c r="H1127" s="133" t="str">
        <f>IFERROR(__xludf.DUMMYFUNCTION("""COMPUTED_VALUE"""),"MAFE20223955")</f>
        <v>MAFE20223955</v>
      </c>
      <c r="I1127" s="133"/>
      <c r="J1127" s="133"/>
      <c r="K1127" s="133" t="str">
        <f>IFERROR(__xludf.DUMMYFUNCTION("""COMPUTED_VALUE"""),"فيرسل لاقا ان في")</f>
        <v>فيرسل لاقا ان في</v>
      </c>
      <c r="L1127" s="133"/>
      <c r="M1127" s="133"/>
      <c r="N1127" s="133"/>
      <c r="O1127" s="133"/>
      <c r="P1127" s="133"/>
      <c r="Q1127" s="133"/>
      <c r="R1127" s="133"/>
      <c r="S1127" s="133"/>
      <c r="T1127" s="133"/>
      <c r="U1127" s="133"/>
      <c r="V1127" s="133"/>
      <c r="W1127" s="133"/>
      <c r="X1127" s="133"/>
      <c r="Y1127" s="133"/>
      <c r="Z1127" s="133"/>
    </row>
    <row r="1128">
      <c r="A1128" s="133">
        <f>IFERROR(__xludf.DUMMYFUNCTION("""COMPUTED_VALUE"""),1127.0)</f>
        <v>1127</v>
      </c>
      <c r="B1128" s="133"/>
      <c r="C1128" s="133" t="str">
        <f>IFERROR(__xludf.DUMMYFUNCTION("""COMPUTED_VALUE"""),"P-1-N-131222-7221")</f>
        <v>P-1-N-131222-7221</v>
      </c>
      <c r="D1128" s="133"/>
      <c r="E1128" s="133" t="str">
        <f>IFERROR(__xludf.DUMMYFUNCTION("""COMPUTED_VALUE"""),"تمت طباعة الشهادة")</f>
        <v>تمت طباعة الشهادة</v>
      </c>
      <c r="F1128" s="133" t="str">
        <f>IFERROR(__xludf.DUMMYFUNCTION("""COMPUTED_VALUE"""),"Lara Adult Indoor with Turkey-Chicken 2kg")</f>
        <v>Lara Adult Indoor with Turkey-Chicken 2kg</v>
      </c>
      <c r="G1128" s="133" t="str">
        <f>IFERROR(__xludf.DUMMYFUNCTION("""COMPUTED_VALUE"""),"لارا أدولت إندور مع ديك رومي - دجاج 2 كجم")</f>
        <v>لارا أدولت إندور مع ديك رومي - دجاج 2 كجم</v>
      </c>
      <c r="H1128" s="133" t="str">
        <f>IFERROR(__xludf.DUMMYFUNCTION("""COMPUTED_VALUE"""),"MAFE20223945")</f>
        <v>MAFE20223945</v>
      </c>
      <c r="I1128" s="133"/>
      <c r="J1128" s="133"/>
      <c r="K1128" s="133" t="str">
        <f>IFERROR(__xludf.DUMMYFUNCTION("""COMPUTED_VALUE"""),"فيرسل لاقا ان في")</f>
        <v>فيرسل لاقا ان في</v>
      </c>
      <c r="L1128" s="133"/>
      <c r="M1128" s="133"/>
      <c r="N1128" s="133"/>
      <c r="O1128" s="133"/>
      <c r="P1128" s="133"/>
      <c r="Q1128" s="133"/>
      <c r="R1128" s="133"/>
      <c r="S1128" s="133"/>
      <c r="T1128" s="133"/>
      <c r="U1128" s="133"/>
      <c r="V1128" s="133"/>
      <c r="W1128" s="133"/>
      <c r="X1128" s="133"/>
      <c r="Y1128" s="133"/>
      <c r="Z1128" s="133"/>
    </row>
    <row r="1129">
      <c r="A1129" s="133">
        <f>IFERROR(__xludf.DUMMYFUNCTION("""COMPUTED_VALUE"""),1128.0)</f>
        <v>1128</v>
      </c>
      <c r="B1129" s="133"/>
      <c r="C1129" s="133" t="str">
        <f>IFERROR(__xludf.DUMMYFUNCTION("""COMPUTED_VALUE"""),"P-1-N-131222-7222")</f>
        <v>P-1-N-131222-7222</v>
      </c>
      <c r="D1129" s="133"/>
      <c r="E1129" s="133" t="str">
        <f>IFERROR(__xludf.DUMMYFUNCTION("""COMPUTED_VALUE"""),"تمت طباعة الشهادة")</f>
        <v>تمت طباعة الشهادة</v>
      </c>
      <c r="F1129" s="133" t="str">
        <f>IFERROR(__xludf.DUMMYFUNCTION("""COMPUTED_VALUE"""),"Lara Adult Sterilized with Chicken 10kg")</f>
        <v>Lara Adult Sterilized with Chicken 10kg</v>
      </c>
      <c r="G1129" s="133" t="str">
        <f>IFERROR(__xludf.DUMMYFUNCTION("""COMPUTED_VALUE"""),"لارا أدولت العقيم بالدجاج 10 كجم")</f>
        <v>لارا أدولت العقيم بالدجاج 10 كجم</v>
      </c>
      <c r="H1129" s="133" t="str">
        <f>IFERROR(__xludf.DUMMYFUNCTION("""COMPUTED_VALUE"""),"MAFE20223952")</f>
        <v>MAFE20223952</v>
      </c>
      <c r="I1129" s="133"/>
      <c r="J1129" s="133"/>
      <c r="K1129" s="133" t="str">
        <f>IFERROR(__xludf.DUMMYFUNCTION("""COMPUTED_VALUE"""),"فيرسل لاقا ان في")</f>
        <v>فيرسل لاقا ان في</v>
      </c>
      <c r="L1129" s="133"/>
      <c r="M1129" s="133"/>
      <c r="N1129" s="133"/>
      <c r="O1129" s="133"/>
      <c r="P1129" s="133"/>
      <c r="Q1129" s="133"/>
      <c r="R1129" s="133"/>
      <c r="S1129" s="133"/>
      <c r="T1129" s="133"/>
      <c r="U1129" s="133"/>
      <c r="V1129" s="133"/>
      <c r="W1129" s="133"/>
      <c r="X1129" s="133"/>
      <c r="Y1129" s="133"/>
      <c r="Z1129" s="133"/>
    </row>
    <row r="1130">
      <c r="A1130" s="133">
        <f>IFERROR(__xludf.DUMMYFUNCTION("""COMPUTED_VALUE"""),1129.0)</f>
        <v>1129</v>
      </c>
      <c r="B1130" s="133" t="str">
        <f>IFERROR(__xludf.DUMMYFUNCTION("""COMPUTED_VALUE"""),"VL441076")</f>
        <v>VL441076</v>
      </c>
      <c r="C1130" s="133" t="str">
        <f>IFERROR(__xludf.DUMMYFUNCTION("""COMPUTED_VALUE"""),"P-1-N-131222-7223")</f>
        <v>P-1-N-131222-7223</v>
      </c>
      <c r="D1130" s="133"/>
      <c r="E1130" s="133" t="str">
        <f>IFERROR(__xludf.DUMMYFUNCTION("""COMPUTED_VALUE"""),"تمت طباعة الشهادة")</f>
        <v>تمت طباعة الشهادة</v>
      </c>
      <c r="F1130" s="133" t="str">
        <f>IFERROR(__xludf.DUMMYFUNCTION("""COMPUTED_VALUE"""),"Lara Adult Sterilized with Chicken 350g")</f>
        <v>Lara Adult Sterilized with Chicken 350g</v>
      </c>
      <c r="G1130" s="133" t="str">
        <f>IFERROR(__xludf.DUMMYFUNCTION("""COMPUTED_VALUE"""),"لارا أدولت العقيم بالدجاج 350 جم")</f>
        <v>لارا أدولت العقيم بالدجاج 350 جم</v>
      </c>
      <c r="H1130" s="133" t="str">
        <f>IFERROR(__xludf.DUMMYFUNCTION("""COMPUTED_VALUE"""),"MAFE20223950")</f>
        <v>MAFE20223950</v>
      </c>
      <c r="I1130" s="133"/>
      <c r="J1130" s="133"/>
      <c r="K1130" s="133" t="str">
        <f>IFERROR(__xludf.DUMMYFUNCTION("""COMPUTED_VALUE"""),"فيرسل لاقا ان في")</f>
        <v>فيرسل لاقا ان في</v>
      </c>
      <c r="L1130" s="142" t="str">
        <f>IFERROR(__xludf.DUMMYFUNCTION("""COMPUTED_VALUE"""),"VL441076")</f>
        <v>VL441076</v>
      </c>
      <c r="M1130" s="133"/>
      <c r="N1130" s="133"/>
      <c r="O1130" s="133"/>
      <c r="P1130" s="133"/>
      <c r="Q1130" s="133"/>
      <c r="R1130" s="133"/>
      <c r="S1130" s="133"/>
      <c r="T1130" s="133"/>
      <c r="U1130" s="133"/>
      <c r="V1130" s="133"/>
      <c r="W1130" s="133"/>
      <c r="X1130" s="133"/>
      <c r="Y1130" s="133"/>
      <c r="Z1130" s="133"/>
    </row>
    <row r="1131">
      <c r="A1131" s="133">
        <f>IFERROR(__xludf.DUMMYFUNCTION("""COMPUTED_VALUE"""),1130.0)</f>
        <v>1130</v>
      </c>
      <c r="B1131" s="133"/>
      <c r="C1131" s="133" t="str">
        <f>IFERROR(__xludf.DUMMYFUNCTION("""COMPUTED_VALUE"""),"P-1-N-131222-7224")</f>
        <v>P-1-N-131222-7224</v>
      </c>
      <c r="D1131" s="133"/>
      <c r="E1131" s="133" t="str">
        <f>IFERROR(__xludf.DUMMYFUNCTION("""COMPUTED_VALUE"""),"تمت طباعة الشهادة")</f>
        <v>تمت طباعة الشهادة</v>
      </c>
      <c r="F1131" s="133" t="str">
        <f>IFERROR(__xludf.DUMMYFUNCTION("""COMPUTED_VALUE"""),"Lara Adult Sterilized with Chicken 2kg")</f>
        <v>Lara Adult Sterilized with Chicken 2kg</v>
      </c>
      <c r="G1131" s="133" t="str">
        <f>IFERROR(__xludf.DUMMYFUNCTION("""COMPUTED_VALUE"""),"لارا أدولت العقيم بالدجاج 2 كجم")</f>
        <v>لارا أدولت العقيم بالدجاج 2 كجم</v>
      </c>
      <c r="H1131" s="133" t="str">
        <f>IFERROR(__xludf.DUMMYFUNCTION("""COMPUTED_VALUE"""),"MAFE20223951")</f>
        <v>MAFE20223951</v>
      </c>
      <c r="I1131" s="133"/>
      <c r="J1131" s="133"/>
      <c r="K1131" s="133" t="str">
        <f>IFERROR(__xludf.DUMMYFUNCTION("""COMPUTED_VALUE"""),"فيرسل لاقا ان في")</f>
        <v>فيرسل لاقا ان في</v>
      </c>
      <c r="L1131" s="133"/>
      <c r="M1131" s="133"/>
      <c r="N1131" s="133"/>
      <c r="O1131" s="133"/>
      <c r="P1131" s="133"/>
      <c r="Q1131" s="133"/>
      <c r="R1131" s="133"/>
      <c r="S1131" s="133"/>
      <c r="T1131" s="133"/>
      <c r="U1131" s="133"/>
      <c r="V1131" s="133"/>
      <c r="W1131" s="133"/>
      <c r="X1131" s="133"/>
      <c r="Y1131" s="133"/>
      <c r="Z1131" s="133"/>
    </row>
    <row r="1132">
      <c r="A1132" s="133">
        <f>IFERROR(__xludf.DUMMYFUNCTION("""COMPUTED_VALUE"""),1131.0)</f>
        <v>1131</v>
      </c>
      <c r="B1132" s="133"/>
      <c r="C1132" s="133" t="str">
        <f>IFERROR(__xludf.DUMMYFUNCTION("""COMPUTED_VALUE"""),"P-1-N-131222-7226")</f>
        <v>P-1-N-131222-7226</v>
      </c>
      <c r="D1132" s="133"/>
      <c r="E1132" s="133" t="str">
        <f>IFERROR(__xludf.DUMMYFUNCTION("""COMPUTED_VALUE"""),"تمت طباعة الشهادة")</f>
        <v>تمت طباعة الشهادة</v>
      </c>
      <c r="F1132" s="133" t="str">
        <f>IFERROR(__xludf.DUMMYFUNCTION("""COMPUTED_VALUE"""),"Lara Adult Urinary Care with Chicken 2kg")</f>
        <v>Lara Adult Urinary Care with Chicken 2kg</v>
      </c>
      <c r="G1132" s="133" t="str">
        <f>IFERROR(__xludf.DUMMYFUNCTION("""COMPUTED_VALUE"""),"لارا أدولت يوريناري كير بالدجاج 2 كجم")</f>
        <v>لارا أدولت يوريناري كير بالدجاج 2 كجم</v>
      </c>
      <c r="H1132" s="133" t="str">
        <f>IFERROR(__xludf.DUMMYFUNCTION("""COMPUTED_VALUE"""),"MAFE20223949")</f>
        <v>MAFE20223949</v>
      </c>
      <c r="I1132" s="133"/>
      <c r="J1132" s="133"/>
      <c r="K1132" s="133" t="str">
        <f>IFERROR(__xludf.DUMMYFUNCTION("""COMPUTED_VALUE"""),"فيرسل لاقا ان في")</f>
        <v>فيرسل لاقا ان في</v>
      </c>
      <c r="L1132" s="133"/>
      <c r="M1132" s="133"/>
      <c r="N1132" s="133"/>
      <c r="O1132" s="133"/>
      <c r="P1132" s="133"/>
      <c r="Q1132" s="133"/>
      <c r="R1132" s="133"/>
      <c r="S1132" s="133"/>
      <c r="T1132" s="133"/>
      <c r="U1132" s="133"/>
      <c r="V1132" s="133"/>
      <c r="W1132" s="133"/>
      <c r="X1132" s="133"/>
      <c r="Y1132" s="133"/>
      <c r="Z1132" s="133"/>
    </row>
    <row r="1133">
      <c r="A1133" s="133">
        <f>IFERROR(__xludf.DUMMYFUNCTION("""COMPUTED_VALUE"""),1132.0)</f>
        <v>1132</v>
      </c>
      <c r="B1133" s="133"/>
      <c r="C1133" s="133" t="str">
        <f>IFERROR(__xludf.DUMMYFUNCTION("""COMPUTED_VALUE"""),"P-1-N-131222-7227")</f>
        <v>P-1-N-131222-7227</v>
      </c>
      <c r="D1133" s="133"/>
      <c r="E1133" s="133" t="str">
        <f>IFERROR(__xludf.DUMMYFUNCTION("""COMPUTED_VALUE"""),"تمت طباعة الشهادة")</f>
        <v>تمت طباعة الشهادة</v>
      </c>
      <c r="F1133" s="133" t="str">
        <f>IFERROR(__xludf.DUMMYFUNCTION("""COMPUTED_VALUE"""),"Lara Adult with Lamb 2kg")</f>
        <v>Lara Adult with Lamb 2kg</v>
      </c>
      <c r="G1133" s="133" t="str">
        <f>IFERROR(__xludf.DUMMYFUNCTION("""COMPUTED_VALUE"""),"لارا أدولت بلحم الضأن 2 كجم")</f>
        <v>لارا أدولت بلحم الضأن 2 كجم</v>
      </c>
      <c r="H1133" s="133" t="str">
        <f>IFERROR(__xludf.DUMMYFUNCTION("""COMPUTED_VALUE"""),"MAFE20223948")</f>
        <v>MAFE20223948</v>
      </c>
      <c r="I1133" s="133"/>
      <c r="J1133" s="133"/>
      <c r="K1133" s="133" t="str">
        <f>IFERROR(__xludf.DUMMYFUNCTION("""COMPUTED_VALUE"""),"فيرسل لاقا ان في")</f>
        <v>فيرسل لاقا ان في</v>
      </c>
      <c r="L1133" s="133"/>
      <c r="M1133" s="133"/>
      <c r="N1133" s="133"/>
      <c r="O1133" s="133"/>
      <c r="P1133" s="133"/>
      <c r="Q1133" s="133"/>
      <c r="R1133" s="133"/>
      <c r="S1133" s="133"/>
      <c r="T1133" s="133"/>
      <c r="U1133" s="133"/>
      <c r="V1133" s="133"/>
      <c r="W1133" s="133"/>
      <c r="X1133" s="133"/>
      <c r="Y1133" s="133"/>
      <c r="Z1133" s="133"/>
    </row>
    <row r="1134">
      <c r="A1134" s="133">
        <f>IFERROR(__xludf.DUMMYFUNCTION("""COMPUTED_VALUE"""),1133.0)</f>
        <v>1133</v>
      </c>
      <c r="B1134" s="133"/>
      <c r="C1134" s="133" t="str">
        <f>IFERROR(__xludf.DUMMYFUNCTION("""COMPUTED_VALUE"""),"P-1-N-131222-7228")</f>
        <v>P-1-N-131222-7228</v>
      </c>
      <c r="D1134" s="133"/>
      <c r="E1134" s="133" t="str">
        <f>IFERROR(__xludf.DUMMYFUNCTION("""COMPUTED_VALUE"""),"تمت طباعة الشهادة")</f>
        <v>تمت طباعة الشهادة</v>
      </c>
      <c r="F1134" s="133" t="str">
        <f>IFERROR(__xludf.DUMMYFUNCTION("""COMPUTED_VALUE"""),"Lara Adult with Lamb 10kg")</f>
        <v>Lara Adult with Lamb 10kg</v>
      </c>
      <c r="G1134" s="133" t="str">
        <f>IFERROR(__xludf.DUMMYFUNCTION("""COMPUTED_VALUE"""),"لارا أدولت بلحم الضأن 10 كجم")</f>
        <v>لارا أدولت بلحم الضأن 10 كجم</v>
      </c>
      <c r="H1134" s="133" t="str">
        <f>IFERROR(__xludf.DUMMYFUNCTION("""COMPUTED_VALUE"""),"MAFE20223947")</f>
        <v>MAFE20223947</v>
      </c>
      <c r="I1134" s="133"/>
      <c r="J1134" s="133"/>
      <c r="K1134" s="133" t="str">
        <f>IFERROR(__xludf.DUMMYFUNCTION("""COMPUTED_VALUE"""),"فيرسل لاقا ان في")</f>
        <v>فيرسل لاقا ان في</v>
      </c>
      <c r="L1134" s="133"/>
      <c r="M1134" s="133"/>
      <c r="N1134" s="133"/>
      <c r="O1134" s="133"/>
      <c r="P1134" s="133"/>
      <c r="Q1134" s="133"/>
      <c r="R1134" s="133"/>
      <c r="S1134" s="133"/>
      <c r="T1134" s="133"/>
      <c r="U1134" s="133"/>
      <c r="V1134" s="133"/>
      <c r="W1134" s="133"/>
      <c r="X1134" s="133"/>
      <c r="Y1134" s="133"/>
      <c r="Z1134" s="133"/>
    </row>
    <row r="1135">
      <c r="A1135" s="133">
        <f>IFERROR(__xludf.DUMMYFUNCTION("""COMPUTED_VALUE"""),1134.0)</f>
        <v>1134</v>
      </c>
      <c r="B1135" s="133"/>
      <c r="C1135" s="133" t="str">
        <f>IFERROR(__xludf.DUMMYFUNCTION("""COMPUTED_VALUE"""),"P-1-N-131222-7229")</f>
        <v>P-1-N-131222-7229</v>
      </c>
      <c r="D1135" s="133"/>
      <c r="E1135" s="133" t="str">
        <f>IFERROR(__xludf.DUMMYFUNCTION("""COMPUTED_VALUE"""),"تمت طباعة الشهادة")</f>
        <v>تمت طباعة الشهادة</v>
      </c>
      <c r="F1135" s="133" t="str">
        <f>IFERROR(__xludf.DUMMYFUNCTION("""COMPUTED_VALUE"""),"Lara Adult with Salmon 10kg")</f>
        <v>Lara Adult with Salmon 10kg</v>
      </c>
      <c r="G1135" s="133" t="str">
        <f>IFERROR(__xludf.DUMMYFUNCTION("""COMPUTED_VALUE"""),"لارا أدولت بالسلمون 10 كجم")</f>
        <v>لارا أدولت بالسلمون 10 كجم</v>
      </c>
      <c r="H1135" s="133" t="str">
        <f>IFERROR(__xludf.DUMMYFUNCTION("""COMPUTED_VALUE"""),"MAFE20223942")</f>
        <v>MAFE20223942</v>
      </c>
      <c r="I1135" s="133"/>
      <c r="J1135" s="133"/>
      <c r="K1135" s="133" t="str">
        <f>IFERROR(__xludf.DUMMYFUNCTION("""COMPUTED_VALUE"""),"فيرسل لاقا ان في")</f>
        <v>فيرسل لاقا ان في</v>
      </c>
      <c r="L1135" s="133"/>
      <c r="M1135" s="133"/>
      <c r="N1135" s="133"/>
      <c r="O1135" s="133"/>
      <c r="P1135" s="133"/>
      <c r="Q1135" s="133"/>
      <c r="R1135" s="133"/>
      <c r="S1135" s="133"/>
      <c r="T1135" s="133"/>
      <c r="U1135" s="133"/>
      <c r="V1135" s="133"/>
      <c r="W1135" s="133"/>
      <c r="X1135" s="133"/>
      <c r="Y1135" s="133"/>
      <c r="Z1135" s="133"/>
    </row>
    <row r="1136">
      <c r="A1136" s="133">
        <f>IFERROR(__xludf.DUMMYFUNCTION("""COMPUTED_VALUE"""),1135.0)</f>
        <v>1135</v>
      </c>
      <c r="B1136" s="133"/>
      <c r="C1136" s="133" t="str">
        <f>IFERROR(__xludf.DUMMYFUNCTION("""COMPUTED_VALUE"""),"P-1-N-131222-7230")</f>
        <v>P-1-N-131222-7230</v>
      </c>
      <c r="D1136" s="133"/>
      <c r="E1136" s="133" t="str">
        <f>IFERROR(__xludf.DUMMYFUNCTION("""COMPUTED_VALUE"""),"تمت طباعة الشهادة")</f>
        <v>تمت طباعة الشهادة</v>
      </c>
      <c r="F1136" s="133" t="str">
        <f>IFERROR(__xludf.DUMMYFUNCTION("""COMPUTED_VALUE"""),"Lara")</f>
        <v>Lara</v>
      </c>
      <c r="G1136" s="133" t="str">
        <f>IFERROR(__xludf.DUMMYFUNCTION("""COMPUTED_VALUE"""),"لارا أدولت بالسلمون 350 جم")</f>
        <v>لارا أدولت بالسلمون 350 جم</v>
      </c>
      <c r="H1136" s="133" t="str">
        <f>IFERROR(__xludf.DUMMYFUNCTION("""COMPUTED_VALUE"""),"MAFE20223943")</f>
        <v>MAFE20223943</v>
      </c>
      <c r="I1136" s="133"/>
      <c r="J1136" s="133"/>
      <c r="K1136" s="133" t="str">
        <f>IFERROR(__xludf.DUMMYFUNCTION("""COMPUTED_VALUE"""),"فيرسل لاقا ان في")</f>
        <v>فيرسل لاقا ان في</v>
      </c>
      <c r="L1136" s="133"/>
      <c r="M1136" s="133"/>
      <c r="N1136" s="133"/>
      <c r="O1136" s="133"/>
      <c r="P1136" s="133"/>
      <c r="Q1136" s="133"/>
      <c r="R1136" s="133"/>
      <c r="S1136" s="133"/>
      <c r="T1136" s="133"/>
      <c r="U1136" s="133"/>
      <c r="V1136" s="133"/>
      <c r="W1136" s="133"/>
      <c r="X1136" s="133"/>
      <c r="Y1136" s="133"/>
      <c r="Z1136" s="133"/>
    </row>
    <row r="1137">
      <c r="A1137" s="133">
        <f>IFERROR(__xludf.DUMMYFUNCTION("""COMPUTED_VALUE"""),1136.0)</f>
        <v>1136</v>
      </c>
      <c r="B1137" s="133"/>
      <c r="C1137" s="133" t="str">
        <f>IFERROR(__xludf.DUMMYFUNCTION("""COMPUTED_VALUE"""),"P-1-N-131222-7231")</f>
        <v>P-1-N-131222-7231</v>
      </c>
      <c r="D1137" s="133"/>
      <c r="E1137" s="133" t="str">
        <f>IFERROR(__xludf.DUMMYFUNCTION("""COMPUTED_VALUE"""),"تمت طباعة الشهادة")</f>
        <v>تمت طباعة الشهادة</v>
      </c>
      <c r="F1137" s="133" t="str">
        <f>IFERROR(__xludf.DUMMYFUNCTION("""COMPUTED_VALUE"""),"Lara Adult with Salmon 2kg")</f>
        <v>Lara Adult with Salmon 2kg</v>
      </c>
      <c r="G1137" s="133" t="str">
        <f>IFERROR(__xludf.DUMMYFUNCTION("""COMPUTED_VALUE"""),"لارا أدولت بالسلمون 2 كجم")</f>
        <v>لارا أدولت بالسلمون 2 كجم</v>
      </c>
      <c r="H1137" s="133" t="str">
        <f>IFERROR(__xludf.DUMMYFUNCTION("""COMPUTED_VALUE"""),"MAFE20223941")</f>
        <v>MAFE20223941</v>
      </c>
      <c r="I1137" s="133"/>
      <c r="J1137" s="133"/>
      <c r="K1137" s="133" t="str">
        <f>IFERROR(__xludf.DUMMYFUNCTION("""COMPUTED_VALUE"""),"فيرسل لاقا ان في")</f>
        <v>فيرسل لاقا ان في</v>
      </c>
      <c r="L1137" s="133"/>
      <c r="M1137" s="133"/>
      <c r="N1137" s="133"/>
      <c r="O1137" s="133"/>
      <c r="P1137" s="133"/>
      <c r="Q1137" s="133"/>
      <c r="R1137" s="133"/>
      <c r="S1137" s="133"/>
      <c r="T1137" s="133"/>
      <c r="U1137" s="133"/>
      <c r="V1137" s="133"/>
      <c r="W1137" s="133"/>
      <c r="X1137" s="133"/>
      <c r="Y1137" s="133"/>
      <c r="Z1137" s="133"/>
    </row>
    <row r="1138">
      <c r="A1138" s="133">
        <f>IFERROR(__xludf.DUMMYFUNCTION("""COMPUTED_VALUE"""),1137.0)</f>
        <v>1137</v>
      </c>
      <c r="B1138" s="133"/>
      <c r="C1138" s="133" t="str">
        <f>IFERROR(__xludf.DUMMYFUNCTION("""COMPUTED_VALUE"""),"P-1-N-131222-7232")</f>
        <v>P-1-N-131222-7232</v>
      </c>
      <c r="D1138" s="133"/>
      <c r="E1138" s="133" t="str">
        <f>IFERROR(__xludf.DUMMYFUNCTION("""COMPUTED_VALUE"""),"تمت طباعة الشهادة")</f>
        <v>تمت طباعة الشهادة</v>
      </c>
      <c r="F1138" s="133" t="str">
        <f>IFERROR(__xludf.DUMMYFUNCTION("""COMPUTED_VALUE"""),"Lara Adult with Turkey-Chicken 10kg")</f>
        <v>Lara Adult with Turkey-Chicken 10kg</v>
      </c>
      <c r="G1138" s="133" t="str">
        <f>IFERROR(__xludf.DUMMYFUNCTION("""COMPUTED_VALUE"""),"لارا أدولت بالديك الرومي والدجاج 10 كجم")</f>
        <v>لارا أدولت بالديك الرومي والدجاج 10 كجم</v>
      </c>
      <c r="H1138" s="133" t="str">
        <f>IFERROR(__xludf.DUMMYFUNCTION("""COMPUTED_VALUE"""),"MAFE20223977")</f>
        <v>MAFE20223977</v>
      </c>
      <c r="I1138" s="133"/>
      <c r="J1138" s="133"/>
      <c r="K1138" s="133" t="str">
        <f>IFERROR(__xludf.DUMMYFUNCTION("""COMPUTED_VALUE"""),"فيرسل لاقا ان في")</f>
        <v>فيرسل لاقا ان في</v>
      </c>
      <c r="L1138" s="133"/>
      <c r="M1138" s="133"/>
      <c r="N1138" s="133"/>
      <c r="O1138" s="133"/>
      <c r="P1138" s="133"/>
      <c r="Q1138" s="133"/>
      <c r="R1138" s="133"/>
      <c r="S1138" s="133"/>
      <c r="T1138" s="133"/>
      <c r="U1138" s="133"/>
      <c r="V1138" s="133"/>
      <c r="W1138" s="133"/>
      <c r="X1138" s="133"/>
      <c r="Y1138" s="133"/>
      <c r="Z1138" s="133"/>
    </row>
    <row r="1139">
      <c r="A1139" s="133">
        <f>IFERROR(__xludf.DUMMYFUNCTION("""COMPUTED_VALUE"""),1138.0)</f>
        <v>1138</v>
      </c>
      <c r="B1139" s="133" t="str">
        <f>IFERROR(__xludf.DUMMYFUNCTION("""COMPUTED_VALUE"""),"VL441068")</f>
        <v>VL441068</v>
      </c>
      <c r="C1139" s="133" t="str">
        <f>IFERROR(__xludf.DUMMYFUNCTION("""COMPUTED_VALUE"""),"P-1-N-131222-7233")</f>
        <v>P-1-N-131222-7233</v>
      </c>
      <c r="D1139" s="133"/>
      <c r="E1139" s="133" t="str">
        <f>IFERROR(__xludf.DUMMYFUNCTION("""COMPUTED_VALUE"""),"تمت طباعة الشهادة")</f>
        <v>تمت طباعة الشهادة</v>
      </c>
      <c r="F1139" s="133" t="str">
        <f>IFERROR(__xludf.DUMMYFUNCTION("""COMPUTED_VALUE"""),"Lara Adult with Turkey-Chicken 350g")</f>
        <v>Lara Adult with Turkey-Chicken 350g</v>
      </c>
      <c r="G1139" s="133" t="str">
        <f>IFERROR(__xludf.DUMMYFUNCTION("""COMPUTED_VALUE"""),"لارا أدولت بالديك الرومي والدجاج 350 جم")</f>
        <v>لارا أدولت بالديك الرومي والدجاج 350 جم</v>
      </c>
      <c r="H1139" s="133" t="str">
        <f>IFERROR(__xludf.DUMMYFUNCTION("""COMPUTED_VALUE"""),"MAFE20223973")</f>
        <v>MAFE20223973</v>
      </c>
      <c r="I1139" s="133"/>
      <c r="J1139" s="133"/>
      <c r="K1139" s="133" t="str">
        <f>IFERROR(__xludf.DUMMYFUNCTION("""COMPUTED_VALUE"""),"فيرسل لاقا ان في")</f>
        <v>فيرسل لاقا ان في</v>
      </c>
      <c r="L1139" s="142" t="str">
        <f>IFERROR(__xludf.DUMMYFUNCTION("""COMPUTED_VALUE"""),"VL441068")</f>
        <v>VL441068</v>
      </c>
      <c r="M1139" s="133"/>
      <c r="N1139" s="133"/>
      <c r="O1139" s="133"/>
      <c r="P1139" s="133"/>
      <c r="Q1139" s="133"/>
      <c r="R1139" s="133"/>
      <c r="S1139" s="133"/>
      <c r="T1139" s="133"/>
      <c r="U1139" s="133"/>
      <c r="V1139" s="133"/>
      <c r="W1139" s="133"/>
      <c r="X1139" s="133"/>
      <c r="Y1139" s="133"/>
      <c r="Z1139" s="133"/>
    </row>
    <row r="1140">
      <c r="A1140" s="133">
        <f>IFERROR(__xludf.DUMMYFUNCTION("""COMPUTED_VALUE"""),1139.0)</f>
        <v>1139</v>
      </c>
      <c r="B1140" s="133"/>
      <c r="C1140" s="133" t="str">
        <f>IFERROR(__xludf.DUMMYFUNCTION("""COMPUTED_VALUE"""),"P-1-N-131222-7234")</f>
        <v>P-1-N-131222-7234</v>
      </c>
      <c r="D1140" s="133"/>
      <c r="E1140" s="133" t="str">
        <f>IFERROR(__xludf.DUMMYFUNCTION("""COMPUTED_VALUE"""),"تمت طباعة الشهادة")</f>
        <v>تمت طباعة الشهادة</v>
      </c>
      <c r="F1140" s="133" t="str">
        <f>IFERROR(__xludf.DUMMYFUNCTION("""COMPUTED_VALUE"""),"Lara Adult with Turkey-Chicken 2kg")</f>
        <v>Lara Adult with Turkey-Chicken 2kg</v>
      </c>
      <c r="G1140" s="133" t="str">
        <f>IFERROR(__xludf.DUMMYFUNCTION("""COMPUTED_VALUE"""),"لارا أدولت بالديك الرومي والدجاج 2 كجم")</f>
        <v>لارا أدولت بالديك الرومي والدجاج 2 كجم</v>
      </c>
      <c r="H1140" s="133" t="str">
        <f>IFERROR(__xludf.DUMMYFUNCTION("""COMPUTED_VALUE"""),"MAFE20223978")</f>
        <v>MAFE20223978</v>
      </c>
      <c r="I1140" s="133"/>
      <c r="J1140" s="133"/>
      <c r="K1140" s="133" t="str">
        <f>IFERROR(__xludf.DUMMYFUNCTION("""COMPUTED_VALUE"""),"فيرسل لاقا ان في")</f>
        <v>فيرسل لاقا ان في</v>
      </c>
      <c r="L1140" s="133"/>
      <c r="M1140" s="133"/>
      <c r="N1140" s="133"/>
      <c r="O1140" s="133"/>
      <c r="P1140" s="133"/>
      <c r="Q1140" s="133"/>
      <c r="R1140" s="133"/>
      <c r="S1140" s="133"/>
      <c r="T1140" s="133"/>
      <c r="U1140" s="133"/>
      <c r="V1140" s="133"/>
      <c r="W1140" s="133"/>
      <c r="X1140" s="133"/>
      <c r="Y1140" s="133"/>
      <c r="Z1140" s="133"/>
    </row>
    <row r="1141">
      <c r="A1141" s="133">
        <f>IFERROR(__xludf.DUMMYFUNCTION("""COMPUTED_VALUE"""),1140.0)</f>
        <v>1140</v>
      </c>
      <c r="B1141" s="133" t="str">
        <f>IFERROR(__xludf.DUMMYFUNCTION("""COMPUTED_VALUE"""),"VL441064")</f>
        <v>VL441064</v>
      </c>
      <c r="C1141" s="133" t="str">
        <f>IFERROR(__xludf.DUMMYFUNCTION("""COMPUTED_VALUE"""),"P-1-N-131222-7235")</f>
        <v>P-1-N-131222-7235</v>
      </c>
      <c r="D1141" s="133"/>
      <c r="E1141" s="133" t="str">
        <f>IFERROR(__xludf.DUMMYFUNCTION("""COMPUTED_VALUE"""),"تمت طباعة الشهادة")</f>
        <v>تمت طباعة الشهادة</v>
      </c>
      <c r="F1141" s="133" t="str">
        <f>IFERROR(__xludf.DUMMYFUNCTION("""COMPUTED_VALUE"""),"Lara Junior with Chicken 350g")</f>
        <v>Lara Junior with Chicken 350g</v>
      </c>
      <c r="G1141" s="133" t="str">
        <f>IFERROR(__xludf.DUMMYFUNCTION("""COMPUTED_VALUE"""),"لارا جونيور بالدجاج 350 جم")</f>
        <v>لارا جونيور بالدجاج 350 جم</v>
      </c>
      <c r="H1141" s="133" t="str">
        <f>IFERROR(__xludf.DUMMYFUNCTION("""COMPUTED_VALUE"""),"MAFE20223969")</f>
        <v>MAFE20223969</v>
      </c>
      <c r="I1141" s="133"/>
      <c r="J1141" s="133"/>
      <c r="K1141" s="133" t="str">
        <f>IFERROR(__xludf.DUMMYFUNCTION("""COMPUTED_VALUE"""),"فيرسل لاقا ان في")</f>
        <v>فيرسل لاقا ان في</v>
      </c>
      <c r="L1141" s="142" t="str">
        <f>IFERROR(__xludf.DUMMYFUNCTION("""COMPUTED_VALUE"""),"VL441064")</f>
        <v>VL441064</v>
      </c>
      <c r="M1141" s="133"/>
      <c r="N1141" s="133"/>
      <c r="O1141" s="133"/>
      <c r="P1141" s="133"/>
      <c r="Q1141" s="133"/>
      <c r="R1141" s="133"/>
      <c r="S1141" s="133"/>
      <c r="T1141" s="133"/>
      <c r="U1141" s="133"/>
      <c r="V1141" s="133"/>
      <c r="W1141" s="133"/>
      <c r="X1141" s="133"/>
      <c r="Y1141" s="133"/>
      <c r="Z1141" s="133"/>
    </row>
    <row r="1142">
      <c r="A1142" s="133">
        <f>IFERROR(__xludf.DUMMYFUNCTION("""COMPUTED_VALUE"""),1141.0)</f>
        <v>1141</v>
      </c>
      <c r="B1142" s="133"/>
      <c r="C1142" s="133" t="str">
        <f>IFERROR(__xludf.DUMMYFUNCTION("""COMPUTED_VALUE"""),"P-1-N-131222-7236")</f>
        <v>P-1-N-131222-7236</v>
      </c>
      <c r="D1142" s="133"/>
      <c r="E1142" s="133" t="str">
        <f>IFERROR(__xludf.DUMMYFUNCTION("""COMPUTED_VALUE"""),"تمت طباعة الشهادة")</f>
        <v>تمت طباعة الشهادة</v>
      </c>
      <c r="F1142" s="133" t="str">
        <f>IFERROR(__xludf.DUMMYFUNCTION("""COMPUTED_VALUE"""),"Lara Junior with Chicken 2kg")</f>
        <v>Lara Junior with Chicken 2kg</v>
      </c>
      <c r="G1142" s="133" t="str">
        <f>IFERROR(__xludf.DUMMYFUNCTION("""COMPUTED_VALUE"""),"لارا جونيور بالدجاج 2 كجم")</f>
        <v>لارا جونيور بالدجاج 2 كجم</v>
      </c>
      <c r="H1142" s="133" t="str">
        <f>IFERROR(__xludf.DUMMYFUNCTION("""COMPUTED_VALUE"""),"MAFE20223976")</f>
        <v>MAFE20223976</v>
      </c>
      <c r="I1142" s="133"/>
      <c r="J1142" s="133"/>
      <c r="K1142" s="133" t="str">
        <f>IFERROR(__xludf.DUMMYFUNCTION("""COMPUTED_VALUE"""),"فيرسل لاقا ان في")</f>
        <v>فيرسل لاقا ان في</v>
      </c>
      <c r="L1142" s="133"/>
      <c r="M1142" s="133"/>
      <c r="N1142" s="133"/>
      <c r="O1142" s="133"/>
      <c r="P1142" s="133"/>
      <c r="Q1142" s="133"/>
      <c r="R1142" s="133"/>
      <c r="S1142" s="133"/>
      <c r="T1142" s="133"/>
      <c r="U1142" s="133"/>
      <c r="V1142" s="133"/>
      <c r="W1142" s="133"/>
      <c r="X1142" s="133"/>
      <c r="Y1142" s="133"/>
      <c r="Z1142" s="133"/>
    </row>
    <row r="1143">
      <c r="A1143" s="133">
        <f>IFERROR(__xludf.DUMMYFUNCTION("""COMPUTED_VALUE"""),1142.0)</f>
        <v>1142</v>
      </c>
      <c r="B1143" s="133"/>
      <c r="C1143" s="133" t="str">
        <f>IFERROR(__xludf.DUMMYFUNCTION("""COMPUTED_VALUE"""),"P-1-N-131222-7237")</f>
        <v>P-1-N-131222-7237</v>
      </c>
      <c r="D1143" s="133"/>
      <c r="E1143" s="133" t="str">
        <f>IFERROR(__xludf.DUMMYFUNCTION("""COMPUTED_VALUE"""),"تمت طباعة الشهادة")</f>
        <v>تمت طباعة الشهادة</v>
      </c>
      <c r="F1143" s="133" t="str">
        <f>IFERROR(__xludf.DUMMYFUNCTION("""COMPUTED_VALUE"""),"Lara Senior with Turkey-Chicken 350g")</f>
        <v>Lara Senior with Turkey-Chicken 350g</v>
      </c>
      <c r="G1143" s="133" t="str">
        <f>IFERROR(__xludf.DUMMYFUNCTION("""COMPUTED_VALUE"""),"لارا سينيور بالديك الرومي والدجاج 350 جم")</f>
        <v>لارا سينيور بالديك الرومي والدجاج 350 جم</v>
      </c>
      <c r="H1143" s="133" t="str">
        <f>IFERROR(__xludf.DUMMYFUNCTION("""COMPUTED_VALUE"""),"MAFE20223974")</f>
        <v>MAFE20223974</v>
      </c>
      <c r="I1143" s="133"/>
      <c r="J1143" s="133"/>
      <c r="K1143" s="133" t="str">
        <f>IFERROR(__xludf.DUMMYFUNCTION("""COMPUTED_VALUE"""),"فيرسل لاقا ان في")</f>
        <v>فيرسل لاقا ان في</v>
      </c>
      <c r="L1143" s="133"/>
      <c r="M1143" s="133"/>
      <c r="N1143" s="133"/>
      <c r="O1143" s="133"/>
      <c r="P1143" s="133"/>
      <c r="Q1143" s="133"/>
      <c r="R1143" s="133"/>
      <c r="S1143" s="133"/>
      <c r="T1143" s="133"/>
      <c r="U1143" s="133"/>
      <c r="V1143" s="133"/>
      <c r="W1143" s="133"/>
      <c r="X1143" s="133"/>
      <c r="Y1143" s="133"/>
      <c r="Z1143" s="133"/>
    </row>
    <row r="1144">
      <c r="A1144" s="133">
        <f>IFERROR(__xludf.DUMMYFUNCTION("""COMPUTED_VALUE"""),1143.0)</f>
        <v>1143</v>
      </c>
      <c r="B1144" s="133"/>
      <c r="C1144" s="133" t="str">
        <f>IFERROR(__xludf.DUMMYFUNCTION("""COMPUTED_VALUE"""),"P-1-N-131222-7238")</f>
        <v>P-1-N-131222-7238</v>
      </c>
      <c r="D1144" s="133"/>
      <c r="E1144" s="133" t="str">
        <f>IFERROR(__xludf.DUMMYFUNCTION("""COMPUTED_VALUE"""),"تمت طباعة الشهادة")</f>
        <v>تمت طباعة الشهادة</v>
      </c>
      <c r="F1144" s="133" t="str">
        <f>IFERROR(__xludf.DUMMYFUNCTION("""COMPUTED_VALUE"""),"Lara Senior with Turkey-Chicken 2kg")</f>
        <v>Lara Senior with Turkey-Chicken 2kg</v>
      </c>
      <c r="G1144" s="133" t="str">
        <f>IFERROR(__xludf.DUMMYFUNCTION("""COMPUTED_VALUE"""),"لارا سينيور بالديك الرومي والدجاج 2 كجم")</f>
        <v>لارا سينيور بالديك الرومي والدجاج 2 كجم</v>
      </c>
      <c r="H1144" s="133" t="str">
        <f>IFERROR(__xludf.DUMMYFUNCTION("""COMPUTED_VALUE"""),"MAFE20223975")</f>
        <v>MAFE20223975</v>
      </c>
      <c r="I1144" s="133"/>
      <c r="J1144" s="133"/>
      <c r="K1144" s="133" t="str">
        <f>IFERROR(__xludf.DUMMYFUNCTION("""COMPUTED_VALUE"""),"فيرسل لاقا ان في")</f>
        <v>فيرسل لاقا ان في</v>
      </c>
      <c r="L1144" s="133"/>
      <c r="M1144" s="133"/>
      <c r="N1144" s="133"/>
      <c r="O1144" s="133"/>
      <c r="P1144" s="133"/>
      <c r="Q1144" s="133"/>
      <c r="R1144" s="133"/>
      <c r="S1144" s="133"/>
      <c r="T1144" s="133"/>
      <c r="U1144" s="133"/>
      <c r="V1144" s="133"/>
      <c r="W1144" s="133"/>
      <c r="X1144" s="133"/>
      <c r="Y1144" s="133"/>
      <c r="Z1144" s="133"/>
    </row>
    <row r="1145">
      <c r="A1145" s="133">
        <f>IFERROR(__xludf.DUMMYFUNCTION("""COMPUTED_VALUE"""),1144.0)</f>
        <v>1144</v>
      </c>
      <c r="B1145" s="133"/>
      <c r="C1145" s="133" t="str">
        <f>IFERROR(__xludf.DUMMYFUNCTION("""COMPUTED_VALUE"""),"P-1-N-141222-7258")</f>
        <v>P-1-N-141222-7258</v>
      </c>
      <c r="D1145" s="133"/>
      <c r="E1145" s="133" t="str">
        <f>IFERROR(__xludf.DUMMYFUNCTION("""COMPUTED_VALUE"""),"تمت طباعة الشهادة")</f>
        <v>تمت طباعة الشهادة</v>
      </c>
      <c r="F1145" s="133" t="str">
        <f>IFERROR(__xludf.DUMMYFUNCTION("""COMPUTED_VALUE"""),"Kit Cat Petite Pouch 70g - Tuna &amp; Chicken")</f>
        <v>Kit Cat Petite Pouch 70g - Tuna &amp; Chicken</v>
      </c>
      <c r="G1145" s="133" t="str">
        <f>IFERROR(__xludf.DUMMYFUNCTION("""COMPUTED_VALUE"""),"كت كات بيتيت باوتش 70 جرام - تونة ودجاج")</f>
        <v>كت كات بيتيت باوتش 70 جرام - تونة ودجاج</v>
      </c>
      <c r="H1145" s="133" t="str">
        <f>IFERROR(__xludf.DUMMYFUNCTION("""COMPUTED_VALUE"""),"MAFE20223971")</f>
        <v>MAFE20223971</v>
      </c>
      <c r="I1145" s="133"/>
      <c r="J1145" s="133"/>
      <c r="K1145" s="133" t="str">
        <f>IFERROR(__xludf.DUMMYFUNCTION("""COMPUTED_VALUE"""),"شركة سيام للأغذية العالمية المحدودة")</f>
        <v>شركة سيام للأغذية العالمية المحدودة</v>
      </c>
      <c r="L1145" s="133"/>
      <c r="M1145" s="133"/>
      <c r="N1145" s="133"/>
      <c r="O1145" s="133"/>
      <c r="P1145" s="133"/>
      <c r="Q1145" s="133"/>
      <c r="R1145" s="133"/>
      <c r="S1145" s="133"/>
      <c r="T1145" s="133"/>
      <c r="U1145" s="133"/>
      <c r="V1145" s="133"/>
      <c r="W1145" s="133"/>
      <c r="X1145" s="133"/>
      <c r="Y1145" s="133"/>
      <c r="Z1145" s="133"/>
    </row>
    <row r="1146">
      <c r="A1146" s="133">
        <f>IFERROR(__xludf.DUMMYFUNCTION("""COMPUTED_VALUE"""),1145.0)</f>
        <v>1145</v>
      </c>
      <c r="B1146" s="133"/>
      <c r="C1146" s="133" t="str">
        <f>IFERROR(__xludf.DUMMYFUNCTION("""COMPUTED_VALUE"""),"P-1-N-141222-7259")</f>
        <v>P-1-N-141222-7259</v>
      </c>
      <c r="D1146" s="133"/>
      <c r="E1146" s="133" t="str">
        <f>IFERROR(__xludf.DUMMYFUNCTION("""COMPUTED_VALUE"""),"تمت طباعة الشهادة")</f>
        <v>تمت طباعة الشهادة</v>
      </c>
      <c r="F1146" s="133" t="str">
        <f>IFERROR(__xludf.DUMMYFUNCTION("""COMPUTED_VALUE"""),"Kit Cat Petite Pouch 70g - Tuna &amp; Whitefish")</f>
        <v>Kit Cat Petite Pouch 70g - Tuna &amp; Whitefish</v>
      </c>
      <c r="G1146" s="133" t="str">
        <f>IFERROR(__xludf.DUMMYFUNCTION("""COMPUTED_VALUE"""),"كت كات بيتيت باوتش 70 جرام - تونة والسمك الأبيض")</f>
        <v>كت كات بيتيت باوتش 70 جرام - تونة والسمك الأبيض</v>
      </c>
      <c r="H1146" s="133" t="str">
        <f>IFERROR(__xludf.DUMMYFUNCTION("""COMPUTED_VALUE"""),"MAFE20223970")</f>
        <v>MAFE20223970</v>
      </c>
      <c r="I1146" s="133"/>
      <c r="J1146" s="133"/>
      <c r="K1146" s="133" t="str">
        <f>IFERROR(__xludf.DUMMYFUNCTION("""COMPUTED_VALUE"""),"شركة سيام للأغذية العالمية المحدودة")</f>
        <v>شركة سيام للأغذية العالمية المحدودة</v>
      </c>
      <c r="L1146" s="133"/>
      <c r="M1146" s="133"/>
      <c r="N1146" s="133"/>
      <c r="O1146" s="133"/>
      <c r="P1146" s="133"/>
      <c r="Q1146" s="133"/>
      <c r="R1146" s="133"/>
      <c r="S1146" s="133"/>
      <c r="T1146" s="133"/>
      <c r="U1146" s="133"/>
      <c r="V1146" s="133"/>
      <c r="W1146" s="133"/>
      <c r="X1146" s="133"/>
      <c r="Y1146" s="133"/>
      <c r="Z1146" s="133"/>
    </row>
    <row r="1147">
      <c r="A1147" s="133">
        <f>IFERROR(__xludf.DUMMYFUNCTION("""COMPUTED_VALUE"""),1146.0)</f>
        <v>1146</v>
      </c>
      <c r="B1147" s="133"/>
      <c r="C1147" s="133" t="str">
        <f>IFERROR(__xludf.DUMMYFUNCTION("""COMPUTED_VALUE"""),"P-1-N-141222-7260")</f>
        <v>P-1-N-141222-7260</v>
      </c>
      <c r="D1147" s="133"/>
      <c r="E1147" s="133" t="str">
        <f>IFERROR(__xludf.DUMMYFUNCTION("""COMPUTED_VALUE"""),"تمت طباعة الشهادة")</f>
        <v>تمت طباعة الشهادة</v>
      </c>
      <c r="F1147" s="133" t="str">
        <f>IFERROR(__xludf.DUMMYFUNCTION("""COMPUTED_VALUE"""),"Kit Cat Petite Pouch 70g - Tuna &amp; Saba")</f>
        <v>Kit Cat Petite Pouch 70g - Tuna &amp; Saba</v>
      </c>
      <c r="G1147" s="133" t="str">
        <f>IFERROR(__xludf.DUMMYFUNCTION("""COMPUTED_VALUE"""),"كت كات بيتيت باوتش 70 جرام - تونة وصبا")</f>
        <v>كت كات بيتيت باوتش 70 جرام - تونة وصبا</v>
      </c>
      <c r="H1147" s="133" t="str">
        <f>IFERROR(__xludf.DUMMYFUNCTION("""COMPUTED_VALUE"""),"MAFE20223968")</f>
        <v>MAFE20223968</v>
      </c>
      <c r="I1147" s="133"/>
      <c r="J1147" s="133"/>
      <c r="K1147" s="133" t="str">
        <f>IFERROR(__xludf.DUMMYFUNCTION("""COMPUTED_VALUE"""),"شركة سيام للأغذية العالمية المحدودة")</f>
        <v>شركة سيام للأغذية العالمية المحدودة</v>
      </c>
      <c r="L1147" s="133"/>
      <c r="M1147" s="133"/>
      <c r="N1147" s="133"/>
      <c r="O1147" s="133"/>
      <c r="P1147" s="133"/>
      <c r="Q1147" s="133"/>
      <c r="R1147" s="133"/>
      <c r="S1147" s="133"/>
      <c r="T1147" s="133"/>
      <c r="U1147" s="133"/>
      <c r="V1147" s="133"/>
      <c r="W1147" s="133"/>
      <c r="X1147" s="133"/>
      <c r="Y1147" s="133"/>
      <c r="Z1147" s="133"/>
    </row>
    <row r="1148">
      <c r="A1148" s="133">
        <f>IFERROR(__xludf.DUMMYFUNCTION("""COMPUTED_VALUE"""),1147.0)</f>
        <v>1147</v>
      </c>
      <c r="B1148" s="133"/>
      <c r="C1148" s="133" t="str">
        <f>IFERROR(__xludf.DUMMYFUNCTION("""COMPUTED_VALUE"""),"P-1-N-141222-7261")</f>
        <v>P-1-N-141222-7261</v>
      </c>
      <c r="D1148" s="133"/>
      <c r="E1148" s="133" t="str">
        <f>IFERROR(__xludf.DUMMYFUNCTION("""COMPUTED_VALUE"""),"تمت طباعة الشهادة")</f>
        <v>تمت طباعة الشهادة</v>
      </c>
      <c r="F1148" s="133" t="str">
        <f>IFERROR(__xludf.DUMMYFUNCTION("""COMPUTED_VALUE"""),"Kit Cat Petite Pouch 70g - Tuna &amp; Salmon")</f>
        <v>Kit Cat Petite Pouch 70g - Tuna &amp; Salmon</v>
      </c>
      <c r="G1148" s="133" t="str">
        <f>IFERROR(__xludf.DUMMYFUNCTION("""COMPUTED_VALUE"""),"كت كات بيتيت باوتش 70 جرام - تونة وسمك السالمون")</f>
        <v>كت كات بيتيت باوتش 70 جرام - تونة وسمك السالمون</v>
      </c>
      <c r="H1148" s="133" t="str">
        <f>IFERROR(__xludf.DUMMYFUNCTION("""COMPUTED_VALUE"""),"MAFE20223967")</f>
        <v>MAFE20223967</v>
      </c>
      <c r="I1148" s="133"/>
      <c r="J1148" s="133"/>
      <c r="K1148" s="133" t="str">
        <f>IFERROR(__xludf.DUMMYFUNCTION("""COMPUTED_VALUE"""),"شركة سيام للأغذية العالمية المحدودة")</f>
        <v>شركة سيام للأغذية العالمية المحدودة</v>
      </c>
      <c r="L1148" s="133"/>
      <c r="M1148" s="133"/>
      <c r="N1148" s="133"/>
      <c r="O1148" s="133"/>
      <c r="P1148" s="133"/>
      <c r="Q1148" s="133"/>
      <c r="R1148" s="133"/>
      <c r="S1148" s="133"/>
      <c r="T1148" s="133"/>
      <c r="U1148" s="133"/>
      <c r="V1148" s="133"/>
      <c r="W1148" s="133"/>
      <c r="X1148" s="133"/>
      <c r="Y1148" s="133"/>
      <c r="Z1148" s="133"/>
    </row>
    <row r="1149">
      <c r="A1149" s="133">
        <f>IFERROR(__xludf.DUMMYFUNCTION("""COMPUTED_VALUE"""),1148.0)</f>
        <v>1148</v>
      </c>
      <c r="B1149" s="133"/>
      <c r="C1149" s="133" t="str">
        <f>IFERROR(__xludf.DUMMYFUNCTION("""COMPUTED_VALUE"""),"P-1-N-141222-7262")</f>
        <v>P-1-N-141222-7262</v>
      </c>
      <c r="D1149" s="133"/>
      <c r="E1149" s="133" t="str">
        <f>IFERROR(__xludf.DUMMYFUNCTION("""COMPUTED_VALUE"""),"تمت طباعة الشهادة")</f>
        <v>تمت طباعة الشهادة</v>
      </c>
      <c r="F1149" s="133" t="str">
        <f>IFERROR(__xludf.DUMMYFUNCTION("""COMPUTED_VALUE"""),"Kit Cat Petite Pouch 70g - Tuna &amp; Beef")</f>
        <v>Kit Cat Petite Pouch 70g - Tuna &amp; Beef</v>
      </c>
      <c r="G1149" s="133" t="str">
        <f>IFERROR(__xludf.DUMMYFUNCTION("""COMPUTED_VALUE"""),"كت كات بيتيت باوتش 70 جرام - تونة ولحم بقري")</f>
        <v>كت كات بيتيت باوتش 70 جرام - تونة ولحم بقري</v>
      </c>
      <c r="H1149" s="133" t="str">
        <f>IFERROR(__xludf.DUMMYFUNCTION("""COMPUTED_VALUE"""),"MAFE20224079")</f>
        <v>MAFE20224079</v>
      </c>
      <c r="I1149" s="133"/>
      <c r="J1149" s="133"/>
      <c r="K1149" s="133" t="str">
        <f>IFERROR(__xludf.DUMMYFUNCTION("""COMPUTED_VALUE"""),"شركة سيام للأغذية العالمية المحدودة")</f>
        <v>شركة سيام للأغذية العالمية المحدودة</v>
      </c>
      <c r="L1149" s="133"/>
      <c r="M1149" s="133"/>
      <c r="N1149" s="133"/>
      <c r="O1149" s="133"/>
      <c r="P1149" s="133"/>
      <c r="Q1149" s="133"/>
      <c r="R1149" s="133"/>
      <c r="S1149" s="133"/>
      <c r="T1149" s="133"/>
      <c r="U1149" s="133"/>
      <c r="V1149" s="133"/>
      <c r="W1149" s="133"/>
      <c r="X1149" s="133"/>
      <c r="Y1149" s="133"/>
      <c r="Z1149" s="133"/>
    </row>
    <row r="1150">
      <c r="A1150" s="133">
        <f>IFERROR(__xludf.DUMMYFUNCTION("""COMPUTED_VALUE"""),1149.0)</f>
        <v>1149</v>
      </c>
      <c r="B1150" s="133"/>
      <c r="C1150" s="133" t="str">
        <f>IFERROR(__xludf.DUMMYFUNCTION("""COMPUTED_VALUE"""),"P-1-N-141222-7263")</f>
        <v>P-1-N-141222-7263</v>
      </c>
      <c r="D1150" s="133"/>
      <c r="E1150" s="133" t="str">
        <f>IFERROR(__xludf.DUMMYFUNCTION("""COMPUTED_VALUE"""),"تمت طباعة الشهادة")</f>
        <v>تمت طباعة الشهادة</v>
      </c>
      <c r="F1150" s="133" t="str">
        <f>IFERROR(__xludf.DUMMYFUNCTION("""COMPUTED_VALUE"""),"Kit Cat Petite Pouch 70g – Classic Tuna")</f>
        <v>Kit Cat Petite Pouch 70g – Classic Tuna</v>
      </c>
      <c r="G1150" s="133" t="str">
        <f>IFERROR(__xludf.DUMMYFUNCTION("""COMPUTED_VALUE"""),"كت كات بيتيت باوتش 70 جرام - تونة كلاسيك")</f>
        <v>كت كات بيتيت باوتش 70 جرام - تونة كلاسيك</v>
      </c>
      <c r="H1150" s="133" t="str">
        <f>IFERROR(__xludf.DUMMYFUNCTION("""COMPUTED_VALUE"""),"MAFE20224078")</f>
        <v>MAFE20224078</v>
      </c>
      <c r="I1150" s="133"/>
      <c r="J1150" s="133"/>
      <c r="K1150" s="133" t="str">
        <f>IFERROR(__xludf.DUMMYFUNCTION("""COMPUTED_VALUE"""),"شركة سيام للأغذية العالمية المحدودة")</f>
        <v>شركة سيام للأغذية العالمية المحدودة</v>
      </c>
      <c r="L1150" s="133"/>
      <c r="M1150" s="133"/>
      <c r="N1150" s="133"/>
      <c r="O1150" s="133"/>
      <c r="P1150" s="133"/>
      <c r="Q1150" s="133"/>
      <c r="R1150" s="133"/>
      <c r="S1150" s="133"/>
      <c r="T1150" s="133"/>
      <c r="U1150" s="133"/>
      <c r="V1150" s="133"/>
      <c r="W1150" s="133"/>
      <c r="X1150" s="133"/>
      <c r="Y1150" s="133"/>
      <c r="Z1150" s="133"/>
    </row>
    <row r="1151">
      <c r="A1151" s="133">
        <f>IFERROR(__xludf.DUMMYFUNCTION("""COMPUTED_VALUE"""),1150.0)</f>
        <v>1150</v>
      </c>
      <c r="B1151" s="133"/>
      <c r="C1151" s="133" t="str">
        <f>IFERROR(__xludf.DUMMYFUNCTION("""COMPUTED_VALUE"""),"P-1-N-141222-7264")</f>
        <v>P-1-N-141222-7264</v>
      </c>
      <c r="D1151" s="133"/>
      <c r="E1151" s="133" t="str">
        <f>IFERROR(__xludf.DUMMYFUNCTION("""COMPUTED_VALUE"""),"تمت طباعة الشهادة")</f>
        <v>تمت طباعة الشهادة</v>
      </c>
      <c r="F1151" s="133" t="str">
        <f>IFERROR(__xludf.DUMMYFUNCTION("""COMPUTED_VALUE"""),"Kit Cat Petite Pouch 70g – Kitten Tuna")</f>
        <v>Kit Cat Petite Pouch 70g – Kitten Tuna</v>
      </c>
      <c r="G1151" s="133" t="str">
        <f>IFERROR(__xludf.DUMMYFUNCTION("""COMPUTED_VALUE"""),"كت كات بيتيت باوتش 70 جرام - تونة للقطط الصغيرة")</f>
        <v>كت كات بيتيت باوتش 70 جرام - تونة للقطط الصغيرة</v>
      </c>
      <c r="H1151" s="133" t="str">
        <f>IFERROR(__xludf.DUMMYFUNCTION("""COMPUTED_VALUE"""),"MAFE20224069")</f>
        <v>MAFE20224069</v>
      </c>
      <c r="I1151" s="133"/>
      <c r="J1151" s="133"/>
      <c r="K1151" s="133" t="str">
        <f>IFERROR(__xludf.DUMMYFUNCTION("""COMPUTED_VALUE"""),"شركة سيام للأغذية العالمية المحدودة")</f>
        <v>شركة سيام للأغذية العالمية المحدودة</v>
      </c>
      <c r="L1151" s="133"/>
      <c r="M1151" s="133"/>
      <c r="N1151" s="133"/>
      <c r="O1151" s="133"/>
      <c r="P1151" s="133"/>
      <c r="Q1151" s="133"/>
      <c r="R1151" s="133"/>
      <c r="S1151" s="133"/>
      <c r="T1151" s="133"/>
      <c r="U1151" s="133"/>
      <c r="V1151" s="133"/>
      <c r="W1151" s="133"/>
      <c r="X1151" s="133"/>
      <c r="Y1151" s="133"/>
      <c r="Z1151" s="133"/>
    </row>
    <row r="1152">
      <c r="A1152" s="133">
        <f>IFERROR(__xludf.DUMMYFUNCTION("""COMPUTED_VALUE"""),1151.0)</f>
        <v>1151</v>
      </c>
      <c r="B1152" s="133"/>
      <c r="C1152" s="133" t="str">
        <f>IFERROR(__xludf.DUMMYFUNCTION("""COMPUTED_VALUE"""),"P-1-N-141222-7265")</f>
        <v>P-1-N-141222-7265</v>
      </c>
      <c r="D1152" s="133"/>
      <c r="E1152" s="133" t="str">
        <f>IFERROR(__xludf.DUMMYFUNCTION("""COMPUTED_VALUE"""),"تمت طباعة الشهادة")</f>
        <v>تمت طباعة الشهادة</v>
      </c>
      <c r="F1152" s="133" t="str">
        <f>IFERROR(__xludf.DUMMYFUNCTION("""COMPUTED_VALUE"""),"Kit Cat Petite Pouch 70g - Chicken &amp; Tuna")</f>
        <v>Kit Cat Petite Pouch 70g - Chicken &amp; Tuna</v>
      </c>
      <c r="G1152" s="133" t="str">
        <f>IFERROR(__xludf.DUMMYFUNCTION("""COMPUTED_VALUE"""),"كت كات بيتيت باوتش 70 جرام - دجاج وتونا")</f>
        <v>كت كات بيتيت باوتش 70 جرام - دجاج وتونا</v>
      </c>
      <c r="H1152" s="133" t="str">
        <f>IFERROR(__xludf.DUMMYFUNCTION("""COMPUTED_VALUE"""),"MAFE20224077")</f>
        <v>MAFE20224077</v>
      </c>
      <c r="I1152" s="133"/>
      <c r="J1152" s="133"/>
      <c r="K1152" s="133" t="str">
        <f>IFERROR(__xludf.DUMMYFUNCTION("""COMPUTED_VALUE"""),"شركة سيام للأغذية العالمية المحدودة")</f>
        <v>شركة سيام للأغذية العالمية المحدودة</v>
      </c>
      <c r="L1152" s="133"/>
      <c r="M1152" s="133"/>
      <c r="N1152" s="133"/>
      <c r="O1152" s="133"/>
      <c r="P1152" s="133"/>
      <c r="Q1152" s="133"/>
      <c r="R1152" s="133"/>
      <c r="S1152" s="133"/>
      <c r="T1152" s="133"/>
      <c r="U1152" s="133"/>
      <c r="V1152" s="133"/>
      <c r="W1152" s="133"/>
      <c r="X1152" s="133"/>
      <c r="Y1152" s="133"/>
      <c r="Z1152" s="133"/>
    </row>
    <row r="1153">
      <c r="A1153" s="133">
        <f>IFERROR(__xludf.DUMMYFUNCTION("""COMPUTED_VALUE"""),1152.0)</f>
        <v>1152</v>
      </c>
      <c r="B1153" s="133"/>
      <c r="C1153" s="133" t="str">
        <f>IFERROR(__xludf.DUMMYFUNCTION("""COMPUTED_VALUE"""),"P-1-N-141222-7266")</f>
        <v>P-1-N-141222-7266</v>
      </c>
      <c r="D1153" s="133"/>
      <c r="E1153" s="133" t="str">
        <f>IFERROR(__xludf.DUMMYFUNCTION("""COMPUTED_VALUE"""),"تمت طباعة الشهادة")</f>
        <v>تمت طباعة الشهادة</v>
      </c>
      <c r="F1153" s="133" t="str">
        <f>IFERROR(__xludf.DUMMYFUNCTION("""COMPUTED_VALUE"""),"Kit Cat Petite Pouch 70g - Chicken &amp; Whitefish")</f>
        <v>Kit Cat Petite Pouch 70g - Chicken &amp; Whitefish</v>
      </c>
      <c r="G1153" s="133" t="str">
        <f>IFERROR(__xludf.DUMMYFUNCTION("""COMPUTED_VALUE"""),"كت كات بيتيت باوتش 70 جرام - دجاج والسمك الأبيض")</f>
        <v>كت كات بيتيت باوتش 70 جرام - دجاج والسمك الأبيض</v>
      </c>
      <c r="H1153" s="133" t="str">
        <f>IFERROR(__xludf.DUMMYFUNCTION("""COMPUTED_VALUE"""),"MAFE20224076")</f>
        <v>MAFE20224076</v>
      </c>
      <c r="I1153" s="133"/>
      <c r="J1153" s="133"/>
      <c r="K1153" s="133" t="str">
        <f>IFERROR(__xludf.DUMMYFUNCTION("""COMPUTED_VALUE"""),"شركة سيام للأغذية العالمية المحدودة")</f>
        <v>شركة سيام للأغذية العالمية المحدودة</v>
      </c>
      <c r="L1153" s="133"/>
      <c r="M1153" s="133"/>
      <c r="N1153" s="133"/>
      <c r="O1153" s="133"/>
      <c r="P1153" s="133"/>
      <c r="Q1153" s="133"/>
      <c r="R1153" s="133"/>
      <c r="S1153" s="133"/>
      <c r="T1153" s="133"/>
      <c r="U1153" s="133"/>
      <c r="V1153" s="133"/>
      <c r="W1153" s="133"/>
      <c r="X1153" s="133"/>
      <c r="Y1153" s="133"/>
      <c r="Z1153" s="133"/>
    </row>
    <row r="1154">
      <c r="A1154" s="133">
        <f>IFERROR(__xludf.DUMMYFUNCTION("""COMPUTED_VALUE"""),1153.0)</f>
        <v>1153</v>
      </c>
      <c r="B1154" s="133"/>
      <c r="C1154" s="133" t="str">
        <f>IFERROR(__xludf.DUMMYFUNCTION("""COMPUTED_VALUE"""),"P-1-N-141222-7267")</f>
        <v>P-1-N-141222-7267</v>
      </c>
      <c r="D1154" s="133"/>
      <c r="E1154" s="133" t="str">
        <f>IFERROR(__xludf.DUMMYFUNCTION("""COMPUTED_VALUE"""),"تمت طباعة الشهادة")</f>
        <v>تمت طباعة الشهادة</v>
      </c>
      <c r="F1154" s="133" t="str">
        <f>IFERROR(__xludf.DUMMYFUNCTION("""COMPUTED_VALUE"""),"Kit Cat Petite Pouch 70g - Chicken &amp; Saba")</f>
        <v>Kit Cat Petite Pouch 70g - Chicken &amp; Saba</v>
      </c>
      <c r="G1154" s="133" t="str">
        <f>IFERROR(__xludf.DUMMYFUNCTION("""COMPUTED_VALUE"""),"كت كات بيتيت باوتش 70 جرام - دجاج وسمك السابا")</f>
        <v>كت كات بيتيت باوتش 70 جرام - دجاج وسمك السابا</v>
      </c>
      <c r="H1154" s="133" t="str">
        <f>IFERROR(__xludf.DUMMYFUNCTION("""COMPUTED_VALUE"""),"MAFE20224170")</f>
        <v>MAFE20224170</v>
      </c>
      <c r="I1154" s="133"/>
      <c r="J1154" s="133"/>
      <c r="K1154" s="133" t="str">
        <f>IFERROR(__xludf.DUMMYFUNCTION("""COMPUTED_VALUE"""),"شركة سيام للأغذية العالمية المحدودة")</f>
        <v>شركة سيام للأغذية العالمية المحدودة</v>
      </c>
      <c r="L1154" s="133"/>
      <c r="M1154" s="133"/>
      <c r="N1154" s="133"/>
      <c r="O1154" s="133"/>
      <c r="P1154" s="133"/>
      <c r="Q1154" s="133"/>
      <c r="R1154" s="133"/>
      <c r="S1154" s="133"/>
      <c r="T1154" s="133"/>
      <c r="U1154" s="133"/>
      <c r="V1154" s="133"/>
      <c r="W1154" s="133"/>
      <c r="X1154" s="133"/>
      <c r="Y1154" s="133"/>
      <c r="Z1154" s="133"/>
    </row>
    <row r="1155">
      <c r="A1155" s="133">
        <f>IFERROR(__xludf.DUMMYFUNCTION("""COMPUTED_VALUE"""),1154.0)</f>
        <v>1154</v>
      </c>
      <c r="B1155" s="133"/>
      <c r="C1155" s="133" t="str">
        <f>IFERROR(__xludf.DUMMYFUNCTION("""COMPUTED_VALUE"""),"P-1-N-141222-7268")</f>
        <v>P-1-N-141222-7268</v>
      </c>
      <c r="D1155" s="133"/>
      <c r="E1155" s="133" t="str">
        <f>IFERROR(__xludf.DUMMYFUNCTION("""COMPUTED_VALUE"""),"تمت طباعة الشهادة")</f>
        <v>تمت طباعة الشهادة</v>
      </c>
      <c r="F1155" s="133" t="str">
        <f>IFERROR(__xludf.DUMMYFUNCTION("""COMPUTED_VALUE"""),"Kit Cat Petite Pouch 70g - Chicken &amp; Salmon")</f>
        <v>Kit Cat Petite Pouch 70g - Chicken &amp; Salmon</v>
      </c>
      <c r="G1155" s="133" t="str">
        <f>IFERROR(__xludf.DUMMYFUNCTION("""COMPUTED_VALUE"""),"كت كات بيتيت باوتش 70 جرام - دجاج وسمك السالمون")</f>
        <v>كت كات بيتيت باوتش 70 جرام - دجاج وسمك السالمون</v>
      </c>
      <c r="H1155" s="133" t="str">
        <f>IFERROR(__xludf.DUMMYFUNCTION("""COMPUTED_VALUE"""),"MAFE20224070")</f>
        <v>MAFE20224070</v>
      </c>
      <c r="I1155" s="133"/>
      <c r="J1155" s="133"/>
      <c r="K1155" s="133" t="str">
        <f>IFERROR(__xludf.DUMMYFUNCTION("""COMPUTED_VALUE"""),"شركة سيام للأغذية العالمية المحدودة")</f>
        <v>شركة سيام للأغذية العالمية المحدودة</v>
      </c>
      <c r="L1155" s="133"/>
      <c r="M1155" s="133"/>
      <c r="N1155" s="133"/>
      <c r="O1155" s="133"/>
      <c r="P1155" s="133"/>
      <c r="Q1155" s="133"/>
      <c r="R1155" s="133"/>
      <c r="S1155" s="133"/>
      <c r="T1155" s="133"/>
      <c r="U1155" s="133"/>
      <c r="V1155" s="133"/>
      <c r="W1155" s="133"/>
      <c r="X1155" s="133"/>
      <c r="Y1155" s="133"/>
      <c r="Z1155" s="133"/>
    </row>
    <row r="1156">
      <c r="A1156" s="133">
        <f>IFERROR(__xludf.DUMMYFUNCTION("""COMPUTED_VALUE"""),1155.0)</f>
        <v>1155</v>
      </c>
      <c r="B1156" s="133"/>
      <c r="C1156" s="133" t="str">
        <f>IFERROR(__xludf.DUMMYFUNCTION("""COMPUTED_VALUE"""),"P-1-N-141222-7269")</f>
        <v>P-1-N-141222-7269</v>
      </c>
      <c r="D1156" s="133"/>
      <c r="E1156" s="133" t="str">
        <f>IFERROR(__xludf.DUMMYFUNCTION("""COMPUTED_VALUE"""),"تمت طباعة الشهادة")</f>
        <v>تمت طباعة الشهادة</v>
      </c>
      <c r="F1156" s="133" t="str">
        <f>IFERROR(__xludf.DUMMYFUNCTION("""COMPUTED_VALUE"""),"Kit Cat Petite Pouch 70g - Chicken &amp; Beef")</f>
        <v>Kit Cat Petite Pouch 70g - Chicken &amp; Beef</v>
      </c>
      <c r="G1156" s="133" t="str">
        <f>IFERROR(__xludf.DUMMYFUNCTION("""COMPUTED_VALUE"""),"كت كات بيتيت باوتش 70 جرام - دجاج ولحم بقري")</f>
        <v>كت كات بيتيت باوتش 70 جرام - دجاج ولحم بقري</v>
      </c>
      <c r="H1156" s="133" t="str">
        <f>IFERROR(__xludf.DUMMYFUNCTION("""COMPUTED_VALUE"""),"MAFE20224075")</f>
        <v>MAFE20224075</v>
      </c>
      <c r="I1156" s="133"/>
      <c r="J1156" s="133"/>
      <c r="K1156" s="133" t="str">
        <f>IFERROR(__xludf.DUMMYFUNCTION("""COMPUTED_VALUE"""),"شركة سيام للأغذية العالمية المحدودة")</f>
        <v>شركة سيام للأغذية العالمية المحدودة</v>
      </c>
      <c r="L1156" s="133"/>
      <c r="M1156" s="133"/>
      <c r="N1156" s="133"/>
      <c r="O1156" s="133"/>
      <c r="P1156" s="133"/>
      <c r="Q1156" s="133"/>
      <c r="R1156" s="133"/>
      <c r="S1156" s="133"/>
      <c r="T1156" s="133"/>
      <c r="U1156" s="133"/>
      <c r="V1156" s="133"/>
      <c r="W1156" s="133"/>
      <c r="X1156" s="133"/>
      <c r="Y1156" s="133"/>
      <c r="Z1156" s="133"/>
    </row>
    <row r="1157">
      <c r="A1157" s="133">
        <f>IFERROR(__xludf.DUMMYFUNCTION("""COMPUTED_VALUE"""),1156.0)</f>
        <v>1156</v>
      </c>
      <c r="B1157" s="133"/>
      <c r="C1157" s="133" t="str">
        <f>IFERROR(__xludf.DUMMYFUNCTION("""COMPUTED_VALUE"""),"P-1-N-141222-7270")</f>
        <v>P-1-N-141222-7270</v>
      </c>
      <c r="D1157" s="133"/>
      <c r="E1157" s="133" t="str">
        <f>IFERROR(__xludf.DUMMYFUNCTION("""COMPUTED_VALUE"""),"تمت طباعة الشهادة")</f>
        <v>تمت طباعة الشهادة</v>
      </c>
      <c r="F1157" s="133" t="str">
        <f>IFERROR(__xludf.DUMMYFUNCTION("""COMPUTED_VALUE"""),"Kit Cat Petite Pouch 70g – Classic Chicken")</f>
        <v>Kit Cat Petite Pouch 70g – Classic Chicken</v>
      </c>
      <c r="G1157" s="133" t="str">
        <f>IFERROR(__xludf.DUMMYFUNCTION("""COMPUTED_VALUE"""),"كت كات بيتيت باوتش 70 جرام - دجاج كلاسيك")</f>
        <v>كت كات بيتيت باوتش 70 جرام - دجاج كلاسيك</v>
      </c>
      <c r="H1157" s="133" t="str">
        <f>IFERROR(__xludf.DUMMYFUNCTION("""COMPUTED_VALUE"""),"MAFE20224074")</f>
        <v>MAFE20224074</v>
      </c>
      <c r="I1157" s="133"/>
      <c r="J1157" s="133"/>
      <c r="K1157" s="133" t="str">
        <f>IFERROR(__xludf.DUMMYFUNCTION("""COMPUTED_VALUE"""),"شركة سيام للأغذية العالمية المحدودة")</f>
        <v>شركة سيام للأغذية العالمية المحدودة</v>
      </c>
      <c r="L1157" s="133"/>
      <c r="M1157" s="133"/>
      <c r="N1157" s="133"/>
      <c r="O1157" s="133"/>
      <c r="P1157" s="133"/>
      <c r="Q1157" s="133"/>
      <c r="R1157" s="133"/>
      <c r="S1157" s="133"/>
      <c r="T1157" s="133"/>
      <c r="U1157" s="133"/>
      <c r="V1157" s="133"/>
      <c r="W1157" s="133"/>
      <c r="X1157" s="133"/>
      <c r="Y1157" s="133"/>
      <c r="Z1157" s="133"/>
    </row>
    <row r="1158">
      <c r="A1158" s="133">
        <f>IFERROR(__xludf.DUMMYFUNCTION("""COMPUTED_VALUE"""),1157.0)</f>
        <v>1157</v>
      </c>
      <c r="B1158" s="133"/>
      <c r="C1158" s="133" t="str">
        <f>IFERROR(__xludf.DUMMYFUNCTION("""COMPUTED_VALUE"""),"P-1-N-141222-7271")</f>
        <v>P-1-N-141222-7271</v>
      </c>
      <c r="D1158" s="133"/>
      <c r="E1158" s="133" t="str">
        <f>IFERROR(__xludf.DUMMYFUNCTION("""COMPUTED_VALUE"""),"تمت طباعة الشهادة")</f>
        <v>تمت طباعة الشهادة</v>
      </c>
      <c r="F1158" s="133" t="str">
        <f>IFERROR(__xludf.DUMMYFUNCTION("""COMPUTED_VALUE"""),"Kit Cat Petite Pouch 70g – Kitten Chicken")</f>
        <v>Kit Cat Petite Pouch 70g – Kitten Chicken</v>
      </c>
      <c r="G1158" s="133" t="str">
        <f>IFERROR(__xludf.DUMMYFUNCTION("""COMPUTED_VALUE"""),"كت كات بيتيت باوتش 70 جرام - دجاج للقطط الصغيرة")</f>
        <v>كت كات بيتيت باوتش 70 جرام - دجاج للقطط الصغيرة</v>
      </c>
      <c r="H1158" s="133" t="str">
        <f>IFERROR(__xludf.DUMMYFUNCTION("""COMPUTED_VALUE"""),"MAFE20224073")</f>
        <v>MAFE20224073</v>
      </c>
      <c r="I1158" s="133"/>
      <c r="J1158" s="133"/>
      <c r="K1158" s="133" t="str">
        <f>IFERROR(__xludf.DUMMYFUNCTION("""COMPUTED_VALUE"""),"شركة سيام للأغذية العالمية المحدودة")</f>
        <v>شركة سيام للأغذية العالمية المحدودة</v>
      </c>
      <c r="L1158" s="133"/>
      <c r="M1158" s="133"/>
      <c r="N1158" s="133"/>
      <c r="O1158" s="133"/>
      <c r="P1158" s="133"/>
      <c r="Q1158" s="133"/>
      <c r="R1158" s="133"/>
      <c r="S1158" s="133"/>
      <c r="T1158" s="133"/>
      <c r="U1158" s="133"/>
      <c r="V1158" s="133"/>
      <c r="W1158" s="133"/>
      <c r="X1158" s="133"/>
      <c r="Y1158" s="133"/>
      <c r="Z1158" s="133"/>
    </row>
    <row r="1159">
      <c r="A1159" s="133">
        <f>IFERROR(__xludf.DUMMYFUNCTION("""COMPUTED_VALUE"""),1158.0)</f>
        <v>1158</v>
      </c>
      <c r="B1159" s="133" t="str">
        <f>IFERROR(__xludf.DUMMYFUNCTION("""COMPUTED_VALUE"""),"USA854")</f>
        <v>USA854</v>
      </c>
      <c r="C1159" s="133" t="str">
        <f>IFERROR(__xludf.DUMMYFUNCTION("""COMPUTED_VALUE"""),"P-1-N-080123-142")</f>
        <v>P-1-N-080123-142</v>
      </c>
      <c r="D1159" s="133"/>
      <c r="E1159" s="133" t="str">
        <f>IFERROR(__xludf.DUMMYFUNCTION("""COMPUTED_VALUE"""),"تمت طباعة الشهادة")</f>
        <v>تمت طباعة الشهادة</v>
      </c>
      <c r="F1159" s="133" t="str">
        <f>IFERROR(__xludf.DUMMYFUNCTION("""COMPUTED_VALUE"""),"Churu Bisque Chicken with Beef Recipe 40g")</f>
        <v>Churu Bisque Chicken with Beef Recipe 40g</v>
      </c>
      <c r="G1159" s="133" t="str">
        <f>IFERROR(__xludf.DUMMYFUNCTION("""COMPUTED_VALUE"""),"شورو بيسك وصفة الدجاج باللحم البقري 40 جرام")</f>
        <v>شورو بيسك وصفة الدجاج باللحم البقري 40 جرام</v>
      </c>
      <c r="H1159" s="133" t="str">
        <f>IFERROR(__xludf.DUMMYFUNCTION("""COMPUTED_VALUE"""),"MAFE202350")</f>
        <v>MAFE202350</v>
      </c>
      <c r="I1159" s="133"/>
      <c r="J1159" s="133"/>
      <c r="K1159" s="133" t="str">
        <f>IFERROR(__xludf.DUMMYFUNCTION("""COMPUTED_VALUE"""),"شركة تاي اينابا للأغذية المحدودة")</f>
        <v>شركة تاي اينابا للأغذية المحدودة</v>
      </c>
      <c r="L1159" s="142" t="str">
        <f>IFERROR(__xludf.DUMMYFUNCTION("""COMPUTED_VALUE"""),"USA854")</f>
        <v>USA854</v>
      </c>
      <c r="M1159" s="133"/>
      <c r="N1159" s="133"/>
      <c r="O1159" s="133"/>
      <c r="P1159" s="133"/>
      <c r="Q1159" s="133"/>
      <c r="R1159" s="133"/>
      <c r="S1159" s="133"/>
      <c r="T1159" s="133"/>
      <c r="U1159" s="133"/>
      <c r="V1159" s="133"/>
      <c r="W1159" s="133"/>
      <c r="X1159" s="133"/>
      <c r="Y1159" s="133"/>
      <c r="Z1159" s="133"/>
    </row>
    <row r="1160">
      <c r="A1160" s="133">
        <f>IFERROR(__xludf.DUMMYFUNCTION("""COMPUTED_VALUE"""),1159.0)</f>
        <v>1159</v>
      </c>
      <c r="B1160" s="133" t="str">
        <f>IFERROR(__xludf.DUMMYFUNCTION("""COMPUTED_VALUE"""),"USA853")</f>
        <v>USA853</v>
      </c>
      <c r="C1160" s="133" t="str">
        <f>IFERROR(__xludf.DUMMYFUNCTION("""COMPUTED_VALUE"""),"P-1-N-080123-143")</f>
        <v>P-1-N-080123-143</v>
      </c>
      <c r="D1160" s="133"/>
      <c r="E1160" s="133" t="str">
        <f>IFERROR(__xludf.DUMMYFUNCTION("""COMPUTED_VALUE"""),"تمت طباعة الشهادة")</f>
        <v>تمت طباعة الشهادة</v>
      </c>
      <c r="F1160" s="133" t="str">
        <f>IFERROR(__xludf.DUMMYFUNCTION("""COMPUTED_VALUE"""),"Churu Bisque Chicken Recipe 40g")</f>
        <v>Churu Bisque Chicken Recipe 40g</v>
      </c>
      <c r="G1160" s="133" t="str">
        <f>IFERROR(__xludf.DUMMYFUNCTION("""COMPUTED_VALUE"""),"شورو بيسك وصفة الدجاج 40 جرام")</f>
        <v>شورو بيسك وصفة الدجاج 40 جرام</v>
      </c>
      <c r="H1160" s="133" t="str">
        <f>IFERROR(__xludf.DUMMYFUNCTION("""COMPUTED_VALUE"""),"MAFE202328")</f>
        <v>MAFE202328</v>
      </c>
      <c r="I1160" s="133"/>
      <c r="J1160" s="133"/>
      <c r="K1160" s="133" t="str">
        <f>IFERROR(__xludf.DUMMYFUNCTION("""COMPUTED_VALUE"""),"شركة تاي اينابا للأغذية المحدودة")</f>
        <v>شركة تاي اينابا للأغذية المحدودة</v>
      </c>
      <c r="L1160" s="142" t="str">
        <f>IFERROR(__xludf.DUMMYFUNCTION("""COMPUTED_VALUE"""),"USA853")</f>
        <v>USA853</v>
      </c>
      <c r="M1160" s="133"/>
      <c r="N1160" s="133"/>
      <c r="O1160" s="133"/>
      <c r="P1160" s="133"/>
      <c r="Q1160" s="133"/>
      <c r="R1160" s="133"/>
      <c r="S1160" s="133"/>
      <c r="T1160" s="133"/>
      <c r="U1160" s="133"/>
      <c r="V1160" s="133"/>
      <c r="W1160" s="133"/>
      <c r="X1160" s="133"/>
      <c r="Y1160" s="133"/>
      <c r="Z1160" s="133"/>
    </row>
    <row r="1161">
      <c r="A1161" s="133">
        <f>IFERROR(__xludf.DUMMYFUNCTION("""COMPUTED_VALUE"""),1160.0)</f>
        <v>1160</v>
      </c>
      <c r="B1161" s="133" t="str">
        <f>IFERROR(__xludf.DUMMYFUNCTION("""COMPUTED_VALUE"""),"USA852")</f>
        <v>USA852</v>
      </c>
      <c r="C1161" s="133" t="str">
        <f>IFERROR(__xludf.DUMMYFUNCTION("""COMPUTED_VALUE"""),"P-1-N-080123-145")</f>
        <v>P-1-N-080123-145</v>
      </c>
      <c r="D1161" s="133"/>
      <c r="E1161" s="133" t="str">
        <f>IFERROR(__xludf.DUMMYFUNCTION("""COMPUTED_VALUE"""),"تمت طباعة الشهادة")</f>
        <v>تمت طباعة الشهادة</v>
      </c>
      <c r="F1161" s="133" t="str">
        <f>IFERROR(__xludf.DUMMYFUNCTION("""COMPUTED_VALUE"""),"Churu Bisque Tuna with Salmon Recipe 40g")</f>
        <v>Churu Bisque Tuna with Salmon Recipe 40g</v>
      </c>
      <c r="G1161" s="133" t="str">
        <f>IFERROR(__xludf.DUMMYFUNCTION("""COMPUTED_VALUE"""),"شورو بيسك وصفة التونة مع السلمون 40 جرام")</f>
        <v>شورو بيسك وصفة التونة مع السلمون 40 جرام</v>
      </c>
      <c r="H1161" s="133" t="str">
        <f>IFERROR(__xludf.DUMMYFUNCTION("""COMPUTED_VALUE"""),"MAFE202327")</f>
        <v>MAFE202327</v>
      </c>
      <c r="I1161" s="133"/>
      <c r="J1161" s="133"/>
      <c r="K1161" s="133" t="str">
        <f>IFERROR(__xludf.DUMMYFUNCTION("""COMPUTED_VALUE"""),"شركة تاي اينابا للأغذية المحدودة")</f>
        <v>شركة تاي اينابا للأغذية المحدودة</v>
      </c>
      <c r="L1161" s="142" t="str">
        <f>IFERROR(__xludf.DUMMYFUNCTION("""COMPUTED_VALUE"""),"USA852")</f>
        <v>USA852</v>
      </c>
      <c r="M1161" s="133"/>
      <c r="N1161" s="133"/>
      <c r="O1161" s="133"/>
      <c r="P1161" s="133"/>
      <c r="Q1161" s="133"/>
      <c r="R1161" s="133"/>
      <c r="S1161" s="133"/>
      <c r="T1161" s="133"/>
      <c r="U1161" s="133"/>
      <c r="V1161" s="133"/>
      <c r="W1161" s="133"/>
      <c r="X1161" s="133"/>
      <c r="Y1161" s="133"/>
      <c r="Z1161" s="133"/>
    </row>
    <row r="1162">
      <c r="A1162" s="133">
        <f>IFERROR(__xludf.DUMMYFUNCTION("""COMPUTED_VALUE"""),1161.0)</f>
        <v>1161</v>
      </c>
      <c r="B1162" s="133" t="str">
        <f>IFERROR(__xludf.DUMMYFUNCTION("""COMPUTED_VALUE"""),"USA851")</f>
        <v>USA851</v>
      </c>
      <c r="C1162" s="133" t="str">
        <f>IFERROR(__xludf.DUMMYFUNCTION("""COMPUTED_VALUE"""),"P-1-N-080123-146")</f>
        <v>P-1-N-080123-146</v>
      </c>
      <c r="D1162" s="133"/>
      <c r="E1162" s="133" t="str">
        <f>IFERROR(__xludf.DUMMYFUNCTION("""COMPUTED_VALUE"""),"تمت طباعة الشهادة")</f>
        <v>تمت طباعة الشهادة</v>
      </c>
      <c r="F1162" s="133" t="str">
        <f>IFERROR(__xludf.DUMMYFUNCTION("""COMPUTED_VALUE"""),"Churu Bisque Tuna Recipe 40g")</f>
        <v>Churu Bisque Tuna Recipe 40g</v>
      </c>
      <c r="G1162" s="133" t="str">
        <f>IFERROR(__xludf.DUMMYFUNCTION("""COMPUTED_VALUE"""),"شورو بيسك وصفة التونة 40 جرام")</f>
        <v>شورو بيسك وصفة التونة 40 جرام</v>
      </c>
      <c r="H1162" s="133" t="str">
        <f>IFERROR(__xludf.DUMMYFUNCTION("""COMPUTED_VALUE"""),"MAFE202326")</f>
        <v>MAFE202326</v>
      </c>
      <c r="I1162" s="133"/>
      <c r="J1162" s="133"/>
      <c r="K1162" s="133" t="str">
        <f>IFERROR(__xludf.DUMMYFUNCTION("""COMPUTED_VALUE"""),"شركة تاي اينابا للأغذية المحدودة")</f>
        <v>شركة تاي اينابا للأغذية المحدودة</v>
      </c>
      <c r="L1162" s="142" t="str">
        <f>IFERROR(__xludf.DUMMYFUNCTION("""COMPUTED_VALUE"""),"USA851")</f>
        <v>USA851</v>
      </c>
      <c r="M1162" s="133"/>
      <c r="N1162" s="133"/>
      <c r="O1162" s="133"/>
      <c r="P1162" s="133"/>
      <c r="Q1162" s="133"/>
      <c r="R1162" s="133"/>
      <c r="S1162" s="133"/>
      <c r="T1162" s="133"/>
      <c r="U1162" s="133"/>
      <c r="V1162" s="133"/>
      <c r="W1162" s="133"/>
      <c r="X1162" s="133"/>
      <c r="Y1162" s="133"/>
      <c r="Z1162" s="133"/>
    </row>
    <row r="1163">
      <c r="A1163" s="133">
        <f>IFERROR(__xludf.DUMMYFUNCTION("""COMPUTED_VALUE"""),1162.0)</f>
        <v>1162</v>
      </c>
      <c r="B1163" s="133" t="str">
        <f>IFERROR(__xludf.DUMMYFUNCTION("""COMPUTED_VALUE"""),"USA691")</f>
        <v>USA691</v>
      </c>
      <c r="C1163" s="133" t="str">
        <f>IFERROR(__xludf.DUMMYFUNCTION("""COMPUTED_VALUE"""),"P-1-N-120123-262")</f>
        <v>P-1-N-120123-262</v>
      </c>
      <c r="D1163" s="133"/>
      <c r="E1163" s="133" t="str">
        <f>IFERROR(__xludf.DUMMYFUNCTION("""COMPUTED_VALUE"""),"تمت طباعة الشهادة")</f>
        <v>تمت طباعة الشهادة</v>
      </c>
      <c r="F1163" s="133" t="str">
        <f>IFERROR(__xludf.DUMMYFUNCTION("""COMPUTED_VALUE"""),"Churu for Kitten Tuna Recipe 56g")</f>
        <v>Churu for Kitten Tuna Recipe 56g</v>
      </c>
      <c r="G1163" s="133" t="str">
        <f>IFERROR(__xludf.DUMMYFUNCTION("""COMPUTED_VALUE"""),"شورو للقطط الصغيرة بوصفة التونة 56 جرام")</f>
        <v>شورو للقطط الصغيرة بوصفة التونة 56 جرام</v>
      </c>
      <c r="H1163" s="133" t="str">
        <f>IFERROR(__xludf.DUMMYFUNCTION("""COMPUTED_VALUE"""),"MAFE2023240")</f>
        <v>MAFE2023240</v>
      </c>
      <c r="I1163" s="133"/>
      <c r="J1163" s="133"/>
      <c r="K1163" s="133" t="str">
        <f>IFERROR(__xludf.DUMMYFUNCTION("""COMPUTED_VALUE"""),"شركة تاي اينابا للأغذية المحدودة")</f>
        <v>شركة تاي اينابا للأغذية المحدودة</v>
      </c>
      <c r="L1163" s="142" t="str">
        <f>IFERROR(__xludf.DUMMYFUNCTION("""COMPUTED_VALUE"""),"USA691")</f>
        <v>USA691</v>
      </c>
      <c r="M1163" s="133"/>
      <c r="N1163" s="133"/>
      <c r="O1163" s="133"/>
      <c r="P1163" s="133"/>
      <c r="Q1163" s="133"/>
      <c r="R1163" s="133"/>
      <c r="S1163" s="133"/>
      <c r="T1163" s="133"/>
      <c r="U1163" s="133"/>
      <c r="V1163" s="133"/>
      <c r="W1163" s="133"/>
      <c r="X1163" s="133"/>
      <c r="Y1163" s="133"/>
      <c r="Z1163" s="133"/>
    </row>
    <row r="1164">
      <c r="A1164" s="133">
        <f>IFERROR(__xludf.DUMMYFUNCTION("""COMPUTED_VALUE"""),1163.0)</f>
        <v>1163</v>
      </c>
      <c r="B1164" s="133" t="str">
        <f>IFERROR(__xludf.DUMMYFUNCTION("""COMPUTED_VALUE"""),"USA692")</f>
        <v>USA692</v>
      </c>
      <c r="C1164" s="133" t="str">
        <f>IFERROR(__xludf.DUMMYFUNCTION("""COMPUTED_VALUE"""),"P-1-N-120123-263")</f>
        <v>P-1-N-120123-263</v>
      </c>
      <c r="D1164" s="133"/>
      <c r="E1164" s="133" t="str">
        <f>IFERROR(__xludf.DUMMYFUNCTION("""COMPUTED_VALUE"""),"تمت طباعة الشهادة")</f>
        <v>تمت طباعة الشهادة</v>
      </c>
      <c r="F1164" s="133" t="str">
        <f>IFERROR(__xludf.DUMMYFUNCTION("""COMPUTED_VALUE"""),"Churu for Kitten Chicken Recipe 56g")</f>
        <v>Churu for Kitten Chicken Recipe 56g</v>
      </c>
      <c r="G1164" s="133" t="str">
        <f>IFERROR(__xludf.DUMMYFUNCTION("""COMPUTED_VALUE"""),"شورو للقطط الصغيرة بوصفة الدجاج 56 جرام")</f>
        <v>شورو للقطط الصغيرة بوصفة الدجاج 56 جرام</v>
      </c>
      <c r="H1164" s="133" t="str">
        <f>IFERROR(__xludf.DUMMYFUNCTION("""COMPUTED_VALUE"""),"MAFE2023239")</f>
        <v>MAFE2023239</v>
      </c>
      <c r="I1164" s="133"/>
      <c r="J1164" s="133"/>
      <c r="K1164" s="133" t="str">
        <f>IFERROR(__xludf.DUMMYFUNCTION("""COMPUTED_VALUE"""),"شركة تاي اينابا للأغذية المحدودة")</f>
        <v>شركة تاي اينابا للأغذية المحدودة</v>
      </c>
      <c r="L1164" s="142" t="str">
        <f>IFERROR(__xludf.DUMMYFUNCTION("""COMPUTED_VALUE"""),"USA692")</f>
        <v>USA692</v>
      </c>
      <c r="M1164" s="133"/>
      <c r="N1164" s="133"/>
      <c r="O1164" s="133"/>
      <c r="P1164" s="133"/>
      <c r="Q1164" s="133"/>
      <c r="R1164" s="133"/>
      <c r="S1164" s="133"/>
      <c r="T1164" s="133"/>
      <c r="U1164" s="133"/>
      <c r="V1164" s="133"/>
      <c r="W1164" s="133"/>
      <c r="X1164" s="133"/>
      <c r="Y1164" s="133"/>
      <c r="Z1164" s="133"/>
    </row>
    <row r="1165">
      <c r="A1165" s="133">
        <f>IFERROR(__xludf.DUMMYFUNCTION("""COMPUTED_VALUE"""),1164.0)</f>
        <v>1164</v>
      </c>
      <c r="B1165" s="133"/>
      <c r="C1165" s="133" t="str">
        <f>IFERROR(__xludf.DUMMYFUNCTION("""COMPUTED_VALUE"""),"P-1-N-160123-323")</f>
        <v>P-1-N-160123-323</v>
      </c>
      <c r="D1165" s="133"/>
      <c r="E1165" s="133" t="str">
        <f>IFERROR(__xludf.DUMMYFUNCTION("""COMPUTED_VALUE"""),"تمت طباعة الشهادة")</f>
        <v>تمت طباعة الشهادة</v>
      </c>
      <c r="F1165" s="133" t="str">
        <f>IFERROR(__xludf.DUMMYFUNCTION("""COMPUTED_VALUE"""),"EXPERT CANARY MIDDLE EAST 20KG")</f>
        <v>EXPERT CANARY MIDDLE EAST 20KG</v>
      </c>
      <c r="G1165" s="133" t="str">
        <f>IFERROR(__xludf.DUMMYFUNCTION("""COMPUTED_VALUE"""),"اكسبرت كناري ميدل ايست 20 كجم")</f>
        <v>اكسبرت كناري ميدل ايست 20 كجم</v>
      </c>
      <c r="H1165" s="133" t="str">
        <f>IFERROR(__xludf.DUMMYFUNCTION("""COMPUTED_VALUE"""),"MAFE2023301")</f>
        <v>MAFE2023301</v>
      </c>
      <c r="I1165" s="133"/>
      <c r="J1165" s="133"/>
      <c r="K1165" s="133" t="str">
        <f>IFERROR(__xludf.DUMMYFUNCTION("""COMPUTED_VALUE"""),"لاروي جروب إن في")</f>
        <v>لاروي جروب إن في</v>
      </c>
      <c r="L1165" s="133"/>
      <c r="M1165" s="133"/>
      <c r="N1165" s="133"/>
      <c r="O1165" s="133"/>
      <c r="P1165" s="133"/>
      <c r="Q1165" s="133"/>
      <c r="R1165" s="133"/>
      <c r="S1165" s="133"/>
      <c r="T1165" s="133"/>
      <c r="U1165" s="133"/>
      <c r="V1165" s="133"/>
      <c r="W1165" s="133"/>
      <c r="X1165" s="133"/>
      <c r="Y1165" s="133"/>
      <c r="Z1165" s="133"/>
    </row>
    <row r="1166">
      <c r="A1166" s="133">
        <f>IFERROR(__xludf.DUMMYFUNCTION("""COMPUTED_VALUE"""),1165.0)</f>
        <v>1165</v>
      </c>
      <c r="B1166" s="133"/>
      <c r="C1166" s="133" t="str">
        <f>IFERROR(__xludf.DUMMYFUNCTION("""COMPUTED_VALUE"""),"P-1-N-160123-324")</f>
        <v>P-1-N-160123-324</v>
      </c>
      <c r="D1166" s="133"/>
      <c r="E1166" s="133" t="str">
        <f>IFERROR(__xludf.DUMMYFUNCTION("""COMPUTED_VALUE"""),"تمت طباعة الشهادة")</f>
        <v>تمت طباعة الشهادة</v>
      </c>
      <c r="F1166" s="133" t="str">
        <f>IFERROR(__xludf.DUMMYFUNCTION("""COMPUTED_VALUE"""),"EXPERT LARGE PARAKEET MIDDLE EAST 20KG")</f>
        <v>EXPERT LARGE PARAKEET MIDDLE EAST 20KG</v>
      </c>
      <c r="G1166" s="133" t="str">
        <f>IFERROR(__xludf.DUMMYFUNCTION("""COMPUTED_VALUE"""),"اكسبرت براكيت كبيرة ميدل ايست 20 كجم")</f>
        <v>اكسبرت براكيت كبيرة ميدل ايست 20 كجم</v>
      </c>
      <c r="H1166" s="133" t="str">
        <f>IFERROR(__xludf.DUMMYFUNCTION("""COMPUTED_VALUE"""),"MAFE2023300")</f>
        <v>MAFE2023300</v>
      </c>
      <c r="I1166" s="133"/>
      <c r="J1166" s="133"/>
      <c r="K1166" s="133" t="str">
        <f>IFERROR(__xludf.DUMMYFUNCTION("""COMPUTED_VALUE"""),"لاروي جروب إن في")</f>
        <v>لاروي جروب إن في</v>
      </c>
      <c r="L1166" s="133"/>
      <c r="M1166" s="133"/>
      <c r="N1166" s="133"/>
      <c r="O1166" s="133"/>
      <c r="P1166" s="133"/>
      <c r="Q1166" s="133"/>
      <c r="R1166" s="133"/>
      <c r="S1166" s="133"/>
      <c r="T1166" s="133"/>
      <c r="U1166" s="133"/>
      <c r="V1166" s="133"/>
      <c r="W1166" s="133"/>
      <c r="X1166" s="133"/>
      <c r="Y1166" s="133"/>
      <c r="Z1166" s="133"/>
    </row>
    <row r="1167">
      <c r="A1167" s="133">
        <f>IFERROR(__xludf.DUMMYFUNCTION("""COMPUTED_VALUE"""),1166.0)</f>
        <v>1166</v>
      </c>
      <c r="B1167" s="133" t="str">
        <f>IFERROR(__xludf.DUMMYFUNCTION("""COMPUTED_VALUE"""),"cancel")</f>
        <v>cancel</v>
      </c>
      <c r="C1167" s="133" t="str">
        <f>IFERROR(__xludf.DUMMYFUNCTION("""COMPUTED_VALUE"""),"P-1-N-230123-483")</f>
        <v>P-1-N-230123-483</v>
      </c>
      <c r="D1167" s="133"/>
      <c r="E1167" s="133" t="str">
        <f>IFERROR(__xludf.DUMMYFUNCTION("""COMPUTED_VALUE"""),"تمت طباعة الشهادة")</f>
        <v>تمت طباعة الشهادة</v>
      </c>
      <c r="F1167" s="133" t="str">
        <f>IFERROR(__xludf.DUMMYFUNCTION("""COMPUTED_VALUE"""),"Kit Cat Cranberry Crisps - Chicken Flavor 20g x 50")</f>
        <v>Kit Cat Cranberry Crisps - Chicken Flavor 20g x 50</v>
      </c>
      <c r="G1167" s="133" t="str">
        <f>IFERROR(__xludf.DUMMYFUNCTION("""COMPUTED_VALUE"""),"كت كات كرانبيري كريسبس - نكهة الدجاج 20 جم × 50")</f>
        <v>كت كات كرانبيري كريسبس - نكهة الدجاج 20 جم × 50</v>
      </c>
      <c r="H1167" s="133" t="str">
        <f>IFERROR(__xludf.DUMMYFUNCTION("""COMPUTED_VALUE"""),"MAFE2023348")</f>
        <v>MAFE2023348</v>
      </c>
      <c r="I1167" s="133"/>
      <c r="J1167" s="133"/>
      <c r="K1167" s="133" t="str">
        <f>IFERROR(__xludf.DUMMYFUNCTION("""COMPUTED_VALUE"""),"شركة نوتريكس العامة المحدودة")</f>
        <v>شركة نوتريكس العامة المحدودة</v>
      </c>
      <c r="L1167" s="142" t="str">
        <f>IFERROR(__xludf.DUMMYFUNCTION("""COMPUTED_VALUE"""),"cancel")</f>
        <v>cancel</v>
      </c>
      <c r="M1167" s="133"/>
      <c r="N1167" s="133"/>
      <c r="O1167" s="133"/>
      <c r="P1167" s="133"/>
      <c r="Q1167" s="133"/>
      <c r="R1167" s="133"/>
      <c r="S1167" s="133"/>
      <c r="T1167" s="133"/>
      <c r="U1167" s="133"/>
      <c r="V1167" s="133"/>
      <c r="W1167" s="133"/>
      <c r="X1167" s="133"/>
      <c r="Y1167" s="133"/>
      <c r="Z1167" s="133"/>
    </row>
    <row r="1168">
      <c r="A1168" s="133">
        <f>IFERROR(__xludf.DUMMYFUNCTION("""COMPUTED_VALUE"""),1167.0)</f>
        <v>1167</v>
      </c>
      <c r="B1168" s="133" t="str">
        <f>IFERROR(__xludf.DUMMYFUNCTION("""COMPUTED_VALUE"""),"cancel")</f>
        <v>cancel</v>
      </c>
      <c r="C1168" s="133" t="str">
        <f>IFERROR(__xludf.DUMMYFUNCTION("""COMPUTED_VALUE"""),"P-1-N-230123-484")</f>
        <v>P-1-N-230123-484</v>
      </c>
      <c r="D1168" s="133"/>
      <c r="E1168" s="133" t="str">
        <f>IFERROR(__xludf.DUMMYFUNCTION("""COMPUTED_VALUE"""),"تمت طباعة الشهادة")</f>
        <v>تمت طباعة الشهادة</v>
      </c>
      <c r="F1168" s="133" t="str">
        <f>IFERROR(__xludf.DUMMYFUNCTION("""COMPUTED_VALUE"""),"Kit Cat Cranberry Crisps - Beef Flavor 20g x 50")</f>
        <v>Kit Cat Cranberry Crisps - Beef Flavor 20g x 50</v>
      </c>
      <c r="G1168" s="133" t="str">
        <f>IFERROR(__xludf.DUMMYFUNCTION("""COMPUTED_VALUE"""),"كت كات كرانبيري كريسبس - نكهة اللحم البقري 20 جم × 50")</f>
        <v>كت كات كرانبيري كريسبس - نكهة اللحم البقري 20 جم × 50</v>
      </c>
      <c r="H1168" s="133" t="str">
        <f>IFERROR(__xludf.DUMMYFUNCTION("""COMPUTED_VALUE"""),"MAFE2023350")</f>
        <v>MAFE2023350</v>
      </c>
      <c r="I1168" s="133"/>
      <c r="J1168" s="133"/>
      <c r="K1168" s="133" t="str">
        <f>IFERROR(__xludf.DUMMYFUNCTION("""COMPUTED_VALUE"""),"شركة نوتريكس العامة المحدودة")</f>
        <v>شركة نوتريكس العامة المحدودة</v>
      </c>
      <c r="L1168" s="142" t="str">
        <f>IFERROR(__xludf.DUMMYFUNCTION("""COMPUTED_VALUE"""),"cancel")</f>
        <v>cancel</v>
      </c>
      <c r="M1168" s="133"/>
      <c r="N1168" s="133"/>
      <c r="O1168" s="133"/>
      <c r="P1168" s="133"/>
      <c r="Q1168" s="133"/>
      <c r="R1168" s="133"/>
      <c r="S1168" s="133"/>
      <c r="T1168" s="133"/>
      <c r="U1168" s="133"/>
      <c r="V1168" s="133"/>
      <c r="W1168" s="133"/>
      <c r="X1168" s="133"/>
      <c r="Y1168" s="133"/>
      <c r="Z1168" s="133"/>
    </row>
    <row r="1169">
      <c r="A1169" s="133">
        <f>IFERROR(__xludf.DUMMYFUNCTION("""COMPUTED_VALUE"""),1168.0)</f>
        <v>1168</v>
      </c>
      <c r="B1169" s="133" t="str">
        <f>IFERROR(__xludf.DUMMYFUNCTION("""COMPUTED_VALUE"""),"cancel")</f>
        <v>cancel</v>
      </c>
      <c r="C1169" s="133" t="str">
        <f>IFERROR(__xludf.DUMMYFUNCTION("""COMPUTED_VALUE"""),"P-1-N-230123-485")</f>
        <v>P-1-N-230123-485</v>
      </c>
      <c r="D1169" s="133"/>
      <c r="E1169" s="133" t="str">
        <f>IFERROR(__xludf.DUMMYFUNCTION("""COMPUTED_VALUE"""),"تمت طباعة الشهادة")</f>
        <v>تمت طباعة الشهادة</v>
      </c>
      <c r="F1169" s="133" t="str">
        <f>IFERROR(__xludf.DUMMYFUNCTION("""COMPUTED_VALUE"""),"Kit Cat Cranberry Crisps - Lamb Flavor 20g x 50")</f>
        <v>Kit Cat Cranberry Crisps - Lamb Flavor 20g x 50</v>
      </c>
      <c r="G1169" s="133" t="str">
        <f>IFERROR(__xludf.DUMMYFUNCTION("""COMPUTED_VALUE"""),"كت كات كرانبيري كريسبس - نكهة لحم الضأن 20 جم × 50")</f>
        <v>كت كات كرانبيري كريسبس - نكهة لحم الضأن 20 جم × 50</v>
      </c>
      <c r="H1169" s="133" t="str">
        <f>IFERROR(__xludf.DUMMYFUNCTION("""COMPUTED_VALUE"""),"MAFE2023349")</f>
        <v>MAFE2023349</v>
      </c>
      <c r="I1169" s="133"/>
      <c r="J1169" s="133"/>
      <c r="K1169" s="133" t="str">
        <f>IFERROR(__xludf.DUMMYFUNCTION("""COMPUTED_VALUE"""),"شركة نوتريكس العامة المحدودة")</f>
        <v>شركة نوتريكس العامة المحدودة</v>
      </c>
      <c r="L1169" s="142" t="str">
        <f>IFERROR(__xludf.DUMMYFUNCTION("""COMPUTED_VALUE"""),"cancel")</f>
        <v>cancel</v>
      </c>
      <c r="M1169" s="133"/>
      <c r="N1169" s="133"/>
      <c r="O1169" s="133"/>
      <c r="P1169" s="133"/>
      <c r="Q1169" s="133"/>
      <c r="R1169" s="133"/>
      <c r="S1169" s="133"/>
      <c r="T1169" s="133"/>
      <c r="U1169" s="133"/>
      <c r="V1169" s="133"/>
      <c r="W1169" s="133"/>
      <c r="X1169" s="133"/>
      <c r="Y1169" s="133"/>
      <c r="Z1169" s="133"/>
    </row>
    <row r="1170">
      <c r="A1170" s="133">
        <f>IFERROR(__xludf.DUMMYFUNCTION("""COMPUTED_VALUE"""),1169.0)</f>
        <v>1169</v>
      </c>
      <c r="B1170" s="133" t="str">
        <f>IFERROR(__xludf.DUMMYFUNCTION("""COMPUTED_VALUE"""),"cancel")</f>
        <v>cancel</v>
      </c>
      <c r="C1170" s="133" t="str">
        <f>IFERROR(__xludf.DUMMYFUNCTION("""COMPUTED_VALUE"""),"P-1-N-230123-486")</f>
        <v>P-1-N-230123-486</v>
      </c>
      <c r="D1170" s="133"/>
      <c r="E1170" s="133" t="str">
        <f>IFERROR(__xludf.DUMMYFUNCTION("""COMPUTED_VALUE"""),"تمت طباعة الشهادة")</f>
        <v>تمت طباعة الشهادة</v>
      </c>
      <c r="F1170" s="133" t="str">
        <f>IFERROR(__xludf.DUMMYFUNCTION("""COMPUTED_VALUE"""),"Kit Cat Cranberry Crisps - Salmon Flavor 20g x 50")</f>
        <v>Kit Cat Cranberry Crisps - Salmon Flavor 20g x 50</v>
      </c>
      <c r="G1170" s="133" t="str">
        <f>IFERROR(__xludf.DUMMYFUNCTION("""COMPUTED_VALUE"""),"كت كات كرانبيري كريسبس - نكهة السلمون 20 جم × 50")</f>
        <v>كت كات كرانبيري كريسبس - نكهة السلمون 20 جم × 50</v>
      </c>
      <c r="H1170" s="133" t="str">
        <f>IFERROR(__xludf.DUMMYFUNCTION("""COMPUTED_VALUE"""),"MAFE2023347")</f>
        <v>MAFE2023347</v>
      </c>
      <c r="I1170" s="133"/>
      <c r="J1170" s="133"/>
      <c r="K1170" s="133" t="str">
        <f>IFERROR(__xludf.DUMMYFUNCTION("""COMPUTED_VALUE"""),"شركة نوتريكس العامة المحدودة")</f>
        <v>شركة نوتريكس العامة المحدودة</v>
      </c>
      <c r="L1170" s="142" t="str">
        <f>IFERROR(__xludf.DUMMYFUNCTION("""COMPUTED_VALUE"""),"cancel")</f>
        <v>cancel</v>
      </c>
      <c r="M1170" s="133"/>
      <c r="N1170" s="133"/>
      <c r="O1170" s="133"/>
      <c r="P1170" s="133"/>
      <c r="Q1170" s="133"/>
      <c r="R1170" s="133"/>
      <c r="S1170" s="133"/>
      <c r="T1170" s="133"/>
      <c r="U1170" s="133"/>
      <c r="V1170" s="133"/>
      <c r="W1170" s="133"/>
      <c r="X1170" s="133"/>
      <c r="Y1170" s="133"/>
      <c r="Z1170" s="133"/>
    </row>
    <row r="1171">
      <c r="A1171" s="133">
        <f>IFERROR(__xludf.DUMMYFUNCTION("""COMPUTED_VALUE"""),1170.0)</f>
        <v>1170</v>
      </c>
      <c r="B1171" s="133" t="str">
        <f>IFERROR(__xludf.DUMMYFUNCTION("""COMPUTED_VALUE"""),"cancel")</f>
        <v>cancel</v>
      </c>
      <c r="C1171" s="133" t="str">
        <f>IFERROR(__xludf.DUMMYFUNCTION("""COMPUTED_VALUE"""),"P-1-N-230123-487")</f>
        <v>P-1-N-230123-487</v>
      </c>
      <c r="D1171" s="133"/>
      <c r="E1171" s="133" t="str">
        <f>IFERROR(__xludf.DUMMYFUNCTION("""COMPUTED_VALUE"""),"تمت طباعة الشهادة")</f>
        <v>تمت طباعة الشهادة</v>
      </c>
      <c r="F1171" s="133" t="str">
        <f>IFERROR(__xludf.DUMMYFUNCTION("""COMPUTED_VALUE"""),"Kit Cat Cranberry Crisps - Seafood Flavor 20g x 50")</f>
        <v>Kit Cat Cranberry Crisps - Seafood Flavor 20g x 50</v>
      </c>
      <c r="G1171" s="133" t="str">
        <f>IFERROR(__xludf.DUMMYFUNCTION("""COMPUTED_VALUE"""),"كت كات كرانبيري كريسبس - نكهة المأكولات البحرية 20 جم × 50")</f>
        <v>كت كات كرانبيري كريسبس - نكهة المأكولات البحرية 20 جم × 50</v>
      </c>
      <c r="H1171" s="133" t="str">
        <f>IFERROR(__xludf.DUMMYFUNCTION("""COMPUTED_VALUE"""),"MAFE2023346")</f>
        <v>MAFE2023346</v>
      </c>
      <c r="I1171" s="133"/>
      <c r="J1171" s="133"/>
      <c r="K1171" s="133" t="str">
        <f>IFERROR(__xludf.DUMMYFUNCTION("""COMPUTED_VALUE"""),"شركة نوتريكس العامة المحدودة")</f>
        <v>شركة نوتريكس العامة المحدودة</v>
      </c>
      <c r="L1171" s="142" t="str">
        <f>IFERROR(__xludf.DUMMYFUNCTION("""COMPUTED_VALUE"""),"cancel")</f>
        <v>cancel</v>
      </c>
      <c r="M1171" s="133"/>
      <c r="N1171" s="133"/>
      <c r="O1171" s="133"/>
      <c r="P1171" s="133"/>
      <c r="Q1171" s="133"/>
      <c r="R1171" s="133"/>
      <c r="S1171" s="133"/>
      <c r="T1171" s="133"/>
      <c r="U1171" s="133"/>
      <c r="V1171" s="133"/>
      <c r="W1171" s="133"/>
      <c r="X1171" s="133"/>
      <c r="Y1171" s="133"/>
      <c r="Z1171" s="133"/>
    </row>
    <row r="1172">
      <c r="A1172" s="133">
        <f>IFERROR(__xludf.DUMMYFUNCTION("""COMPUTED_VALUE"""),1171.0)</f>
        <v>1171</v>
      </c>
      <c r="B1172" s="133" t="str">
        <f>IFERROR(__xludf.DUMMYFUNCTION("""COMPUTED_VALUE"""),"cancel")</f>
        <v>cancel</v>
      </c>
      <c r="C1172" s="133" t="str">
        <f>IFERROR(__xludf.DUMMYFUNCTION("""COMPUTED_VALUE"""),"P-1-N-230123-488")</f>
        <v>P-1-N-230123-488</v>
      </c>
      <c r="D1172" s="133"/>
      <c r="E1172" s="133" t="str">
        <f>IFERROR(__xludf.DUMMYFUNCTION("""COMPUTED_VALUE"""),"تمت طباعة الشهادة")</f>
        <v>تمت طباعة الشهادة</v>
      </c>
      <c r="F1172" s="133" t="str">
        <f>IFERROR(__xludf.DUMMYFUNCTION("""COMPUTED_VALUE"""),"Kit Cat Cranberry Crisps - Tuna Flavor 20g x 50")</f>
        <v>Kit Cat Cranberry Crisps - Tuna Flavor 20g x 50</v>
      </c>
      <c r="G1172" s="133" t="str">
        <f>IFERROR(__xludf.DUMMYFUNCTION("""COMPUTED_VALUE"""),"كت كات كرانبيري كريسبس - نكهة التونة 20 جم × 50")</f>
        <v>كت كات كرانبيري كريسبس - نكهة التونة 20 جم × 50</v>
      </c>
      <c r="H1172" s="133" t="str">
        <f>IFERROR(__xludf.DUMMYFUNCTION("""COMPUTED_VALUE"""),"MAFE2023345")</f>
        <v>MAFE2023345</v>
      </c>
      <c r="I1172" s="133"/>
      <c r="J1172" s="133"/>
      <c r="K1172" s="133" t="str">
        <f>IFERROR(__xludf.DUMMYFUNCTION("""COMPUTED_VALUE"""),"شركة نوتريكس العامة المحدودة")</f>
        <v>شركة نوتريكس العامة المحدودة</v>
      </c>
      <c r="L1172" s="142" t="str">
        <f>IFERROR(__xludf.DUMMYFUNCTION("""COMPUTED_VALUE"""),"cancel")</f>
        <v>cancel</v>
      </c>
      <c r="M1172" s="133"/>
      <c r="N1172" s="133"/>
      <c r="O1172" s="133"/>
      <c r="P1172" s="133"/>
      <c r="Q1172" s="133"/>
      <c r="R1172" s="133"/>
      <c r="S1172" s="133"/>
      <c r="T1172" s="133"/>
      <c r="U1172" s="133"/>
      <c r="V1172" s="133"/>
      <c r="W1172" s="133"/>
      <c r="X1172" s="133"/>
      <c r="Y1172" s="133"/>
      <c r="Z1172" s="133"/>
    </row>
    <row r="1173">
      <c r="A1173" s="133">
        <f>IFERROR(__xludf.DUMMYFUNCTION("""COMPUTED_VALUE"""),1172.0)</f>
        <v>1172</v>
      </c>
      <c r="B1173" s="133" t="str">
        <f>IFERROR(__xludf.DUMMYFUNCTION("""COMPUTED_VALUE"""),"B1149")</f>
        <v>B1149</v>
      </c>
      <c r="C1173" s="133" t="str">
        <f>IFERROR(__xludf.DUMMYFUNCTION("""COMPUTED_VALUE"""),"P-1-N-070223-739")</f>
        <v>P-1-N-070223-739</v>
      </c>
      <c r="D1173" s="133"/>
      <c r="E1173" s="133" t="str">
        <f>IFERROR(__xludf.DUMMYFUNCTION("""COMPUTED_VALUE"""),"تمت طباعة الشهادة")</f>
        <v>تمت طباعة الشهادة</v>
      </c>
      <c r="F1173" s="133" t="str">
        <f>IFERROR(__xludf.DUMMYFUNCTION("""COMPUTED_VALUE"""),"Butcher's Delicious Dinners Cat with game chunks in Jelly ")</f>
        <v>Butcher's Delicious Dinners Cat with game chunks in Jelly </v>
      </c>
      <c r="G1173" s="133" t="str">
        <f>IFERROR(__xludf.DUMMYFUNCTION("""COMPUTED_VALUE"""),"بوتشرز عشاء لذيذ للقطط مع قطع لحم الطرائد في الجيلي 400 جرام")</f>
        <v>بوتشرز عشاء لذيذ للقطط مع قطع لحم الطرائد في الجيلي 400 جرام</v>
      </c>
      <c r="H1173" s="133" t="str">
        <f>IFERROR(__xludf.DUMMYFUNCTION("""COMPUTED_VALUE"""),"FOM-2024-6775-FEB-2024-41222 -C-0041-62019
")</f>
        <v>FOM-2024-6775-FEB-2024-41222 -C-0041-62019
</v>
      </c>
      <c r="I1173" s="133"/>
      <c r="J1173" s="133"/>
      <c r="K1173" s="133" t="str">
        <f>IFERROR(__xludf.DUMMYFUNCTION("""COMPUTED_VALUE"""),"بوتشرز بت كير ال تي دي")</f>
        <v>بوتشرز بت كير ال تي دي</v>
      </c>
      <c r="L1173" s="142" t="str">
        <f>IFERROR(__xludf.DUMMYFUNCTION("""COMPUTED_VALUE"""),"B1149")</f>
        <v>B1149</v>
      </c>
      <c r="M1173" s="133"/>
      <c r="N1173" s="133"/>
      <c r="O1173" s="133"/>
      <c r="P1173" s="133"/>
      <c r="Q1173" s="133"/>
      <c r="R1173" s="133"/>
      <c r="S1173" s="133"/>
      <c r="T1173" s="133"/>
      <c r="U1173" s="133"/>
      <c r="V1173" s="133"/>
      <c r="W1173" s="133"/>
      <c r="X1173" s="133"/>
      <c r="Y1173" s="133"/>
      <c r="Z1173" s="133"/>
    </row>
    <row r="1174">
      <c r="A1174" s="133">
        <f>IFERROR(__xludf.DUMMYFUNCTION("""COMPUTED_VALUE"""),1173.0)</f>
        <v>1173</v>
      </c>
      <c r="B1174" s="133"/>
      <c r="C1174" s="133" t="str">
        <f>IFERROR(__xludf.DUMMYFUNCTION("""COMPUTED_VALUE"""),"P-1-N-070223-740")</f>
        <v>P-1-N-070223-740</v>
      </c>
      <c r="D1174" s="133"/>
      <c r="E1174" s="133" t="str">
        <f>IFERROR(__xludf.DUMMYFUNCTION("""COMPUTED_VALUE"""),"تمت طباعة الشهادة")</f>
        <v>تمت طباعة الشهادة</v>
      </c>
      <c r="F1174" s="133" t="str">
        <f>IFERROR(__xludf.DUMMYFUNCTION("""COMPUTED_VALUE"""),"Butcher's Delicious Dinners Cat with chicken chunks in Jelly ")</f>
        <v>Butcher's Delicious Dinners Cat with chicken chunks in Jelly </v>
      </c>
      <c r="G1174" s="133" t="str">
        <f>IFERROR(__xludf.DUMMYFUNCTION("""COMPUTED_VALUE"""),"بوتشرز عشاء لذيذ للقطط مع قطع الدجاج في الجيلي 400 جرام")</f>
        <v>بوتشرز عشاء لذيذ للقطط مع قطع الدجاج في الجيلي 400 جرام</v>
      </c>
      <c r="H1174" s="133" t="str">
        <f>IFERROR(__xludf.DUMMYFUNCTION("""COMPUTED_VALUE"""),"FOM-2024-6775-FEB-2024-41223 -C-0041-62020
")</f>
        <v>FOM-2024-6775-FEB-2024-41223 -C-0041-62020
</v>
      </c>
      <c r="I1174" s="133"/>
      <c r="J1174" s="133"/>
      <c r="K1174" s="133" t="str">
        <f>IFERROR(__xludf.DUMMYFUNCTION("""COMPUTED_VALUE"""),"بوتشرز بت كير ال تي دي")</f>
        <v>بوتشرز بت كير ال تي دي</v>
      </c>
      <c r="L1174" s="133"/>
      <c r="M1174" s="133"/>
      <c r="N1174" s="133"/>
      <c r="O1174" s="133"/>
      <c r="P1174" s="133"/>
      <c r="Q1174" s="133"/>
      <c r="R1174" s="133"/>
      <c r="S1174" s="133"/>
      <c r="T1174" s="133"/>
      <c r="U1174" s="133"/>
      <c r="V1174" s="133"/>
      <c r="W1174" s="133"/>
      <c r="X1174" s="133"/>
      <c r="Y1174" s="133"/>
      <c r="Z1174" s="133"/>
    </row>
    <row r="1175">
      <c r="A1175" s="133">
        <f>IFERROR(__xludf.DUMMYFUNCTION("""COMPUTED_VALUE"""),1174.0)</f>
        <v>1174</v>
      </c>
      <c r="B1175" s="133"/>
      <c r="C1175" s="133" t="str">
        <f>IFERROR(__xludf.DUMMYFUNCTION("""COMPUTED_VALUE"""),"P-1-N-070223-741")</f>
        <v>P-1-N-070223-741</v>
      </c>
      <c r="D1175" s="133"/>
      <c r="E1175" s="133" t="str">
        <f>IFERROR(__xludf.DUMMYFUNCTION("""COMPUTED_VALUE"""),"تمت طباعة الشهادة")</f>
        <v>تمت طباعة الشهادة</v>
      </c>
      <c r="F1175" s="133" t="str">
        <f>IFERROR(__xludf.DUMMYFUNCTION("""COMPUTED_VALUE"""),"Butcher's Delicious Dinners Cat with trout chunks in Jelly ")</f>
        <v>Butcher's Delicious Dinners Cat with trout chunks in Jelly </v>
      </c>
      <c r="G1175" s="133" t="str">
        <f>IFERROR(__xludf.DUMMYFUNCTION("""COMPUTED_VALUE"""),"بوتشرز عشاء لذيذ للقطط مع قطع سمك السلمون المرقط في الجيلي 400 جرام")</f>
        <v>بوتشرز عشاء لذيذ للقطط مع قطع سمك السلمون المرقط في الجيلي 400 جرام</v>
      </c>
      <c r="H1175" s="133" t="str">
        <f>IFERROR(__xludf.DUMMYFUNCTION("""COMPUTED_VALUE"""),"FOM-2024-6775-FEB-2024-41236 -C-0041-62033
")</f>
        <v>FOM-2024-6775-FEB-2024-41236 -C-0041-62033
</v>
      </c>
      <c r="I1175" s="133"/>
      <c r="J1175" s="133"/>
      <c r="K1175" s="133" t="str">
        <f>IFERROR(__xludf.DUMMYFUNCTION("""COMPUTED_VALUE"""),"بوتشرز بت كير ال تي دي")</f>
        <v>بوتشرز بت كير ال تي دي</v>
      </c>
      <c r="L1175" s="133"/>
      <c r="M1175" s="133"/>
      <c r="N1175" s="133"/>
      <c r="O1175" s="133"/>
      <c r="P1175" s="133"/>
      <c r="Q1175" s="133"/>
      <c r="R1175" s="133"/>
      <c r="S1175" s="133"/>
      <c r="T1175" s="133"/>
      <c r="U1175" s="133"/>
      <c r="V1175" s="133"/>
      <c r="W1175" s="133"/>
      <c r="X1175" s="133"/>
      <c r="Y1175" s="133"/>
      <c r="Z1175" s="133"/>
    </row>
    <row r="1176">
      <c r="A1176" s="133">
        <f>IFERROR(__xludf.DUMMYFUNCTION("""COMPUTED_VALUE"""),1175.0)</f>
        <v>1175</v>
      </c>
      <c r="B1176" s="133"/>
      <c r="C1176" s="133" t="str">
        <f>IFERROR(__xludf.DUMMYFUNCTION("""COMPUTED_VALUE"""),"P-1-N-070223-742")</f>
        <v>P-1-N-070223-742</v>
      </c>
      <c r="D1176" s="133"/>
      <c r="E1176" s="133" t="str">
        <f>IFERROR(__xludf.DUMMYFUNCTION("""COMPUTED_VALUE"""),"تمت طباعة الشهادة")</f>
        <v>تمت طباعة الشهادة</v>
      </c>
      <c r="F1176" s="133" t="str">
        <f>IFERROR(__xludf.DUMMYFUNCTION("""COMPUTED_VALUE"""),"Butcher's Delicious Dinners Cat with beef chunks in Jelly ")</f>
        <v>Butcher's Delicious Dinners Cat with beef chunks in Jelly </v>
      </c>
      <c r="G1176" s="133" t="str">
        <f>IFERROR(__xludf.DUMMYFUNCTION("""COMPUTED_VALUE"""),"بوتشرز عشاء لذيذ للقطط مع قطع لحم بقري في الجيلي 400 جرام")</f>
        <v>بوتشرز عشاء لذيذ للقطط مع قطع لحم بقري في الجيلي 400 جرام</v>
      </c>
      <c r="H1176" s="133" t="str">
        <f>IFERROR(__xludf.DUMMYFUNCTION("""COMPUTED_VALUE"""),"FOM-2024-6775-FEB-2024-41240 -C-0041-62037
")</f>
        <v>FOM-2024-6775-FEB-2024-41240 -C-0041-62037
</v>
      </c>
      <c r="I1176" s="133"/>
      <c r="J1176" s="133"/>
      <c r="K1176" s="133" t="str">
        <f>IFERROR(__xludf.DUMMYFUNCTION("""COMPUTED_VALUE"""),"بوتشرز بت كير ال تي دي")</f>
        <v>بوتشرز بت كير ال تي دي</v>
      </c>
      <c r="L1176" s="133"/>
      <c r="M1176" s="133"/>
      <c r="N1176" s="133"/>
      <c r="O1176" s="133"/>
      <c r="P1176" s="133"/>
      <c r="Q1176" s="133"/>
      <c r="R1176" s="133"/>
      <c r="S1176" s="133"/>
      <c r="T1176" s="133"/>
      <c r="U1176" s="133"/>
      <c r="V1176" s="133"/>
      <c r="W1176" s="133"/>
      <c r="X1176" s="133"/>
      <c r="Y1176" s="133"/>
      <c r="Z1176" s="133"/>
    </row>
    <row r="1177">
      <c r="A1177" s="133">
        <f>IFERROR(__xludf.DUMMYFUNCTION("""COMPUTED_VALUE"""),1176.0)</f>
        <v>1176</v>
      </c>
      <c r="B1177" s="133"/>
      <c r="C1177" s="133" t="str">
        <f>IFERROR(__xludf.DUMMYFUNCTION("""COMPUTED_VALUE"""),"P-1-N-070223-743")</f>
        <v>P-1-N-070223-743</v>
      </c>
      <c r="D1177" s="133"/>
      <c r="E1177" s="133" t="str">
        <f>IFERROR(__xludf.DUMMYFUNCTION("""COMPUTED_VALUE"""),"تمت طباعة الشهادة")</f>
        <v>تمت طباعة الشهادة</v>
      </c>
      <c r="F1177" s="133" t="str">
        <f>IFERROR(__xludf.DUMMYFUNCTION("""COMPUTED_VALUE"""),"Butcher's Delicious Dinners Cat with sea fish chunks in Jelly ")</f>
        <v>Butcher's Delicious Dinners Cat with sea fish chunks in Jelly </v>
      </c>
      <c r="G1177" s="133" t="str">
        <f>IFERROR(__xludf.DUMMYFUNCTION("""COMPUTED_VALUE"""),"بوتشرز عشاء لذيذ للقطط مع قطع سمك البحر في الجيلي 400 جرام")</f>
        <v>بوتشرز عشاء لذيذ للقطط مع قطع سمك البحر في الجيلي 400 جرام</v>
      </c>
      <c r="H1177" s="133" t="str">
        <f>IFERROR(__xludf.DUMMYFUNCTION("""COMPUTED_VALUE"""),"FOM-2024-6775-FEB-2024-41241 -C-0041-62038
")</f>
        <v>FOM-2024-6775-FEB-2024-41241 -C-0041-62038
</v>
      </c>
      <c r="I1177" s="133"/>
      <c r="J1177" s="133"/>
      <c r="K1177" s="133" t="str">
        <f>IFERROR(__xludf.DUMMYFUNCTION("""COMPUTED_VALUE"""),"بوتشرز بت كير ال تي دي")</f>
        <v>بوتشرز بت كير ال تي دي</v>
      </c>
      <c r="L1177" s="133"/>
      <c r="M1177" s="133"/>
      <c r="N1177" s="133"/>
      <c r="O1177" s="133"/>
      <c r="P1177" s="133"/>
      <c r="Q1177" s="133"/>
      <c r="R1177" s="133"/>
      <c r="S1177" s="133"/>
      <c r="T1177" s="133"/>
      <c r="U1177" s="133"/>
      <c r="V1177" s="133"/>
      <c r="W1177" s="133"/>
      <c r="X1177" s="133"/>
      <c r="Y1177" s="133"/>
      <c r="Z1177" s="133"/>
    </row>
    <row r="1178">
      <c r="A1178" s="133">
        <f>IFERROR(__xludf.DUMMYFUNCTION("""COMPUTED_VALUE"""),1177.0)</f>
        <v>1177</v>
      </c>
      <c r="B1178" s="133"/>
      <c r="C1178" s="133" t="str">
        <f>IFERROR(__xludf.DUMMYFUNCTION("""COMPUTED_VALUE"""),"P-1-N-070223-744")</f>
        <v>P-1-N-070223-744</v>
      </c>
      <c r="D1178" s="133"/>
      <c r="E1178" s="133" t="str">
        <f>IFERROR(__xludf.DUMMYFUNCTION("""COMPUTED_VALUE"""),"تمت طباعة الشهادة")</f>
        <v>تمت طباعة الشهادة</v>
      </c>
      <c r="F1178" s="133" t="str">
        <f>IFERROR(__xludf.DUMMYFUNCTION("""COMPUTED_VALUE"""),"Butcher's Original Dog Recipe with beef in Gravy ")</f>
        <v>Butcher's Original Dog Recipe with beef in Gravy </v>
      </c>
      <c r="G1178" s="133" t="str">
        <f>IFERROR(__xludf.DUMMYFUNCTION("""COMPUTED_VALUE"""),"بوتشرز الوصفة الأصلية للكلب مع لحم بقري في المرق 400 جرام")</f>
        <v>بوتشرز الوصفة الأصلية للكلب مع لحم بقري في المرق 400 جرام</v>
      </c>
      <c r="H1178" s="133" t="str">
        <f>IFERROR(__xludf.DUMMYFUNCTION("""COMPUTED_VALUE"""),"FOM-2024-6775-FEB-2024-41242 -C-0041-62039
")</f>
        <v>FOM-2024-6775-FEB-2024-41242 -C-0041-62039
</v>
      </c>
      <c r="I1178" s="133"/>
      <c r="J1178" s="133"/>
      <c r="K1178" s="133" t="str">
        <f>IFERROR(__xludf.DUMMYFUNCTION("""COMPUTED_VALUE"""),"بوتشرز بت كير ال تي دي")</f>
        <v>بوتشرز بت كير ال تي دي</v>
      </c>
      <c r="L1178" s="133"/>
      <c r="M1178" s="133"/>
      <c r="N1178" s="133"/>
      <c r="O1178" s="133"/>
      <c r="P1178" s="133"/>
      <c r="Q1178" s="133"/>
      <c r="R1178" s="133"/>
      <c r="S1178" s="133"/>
      <c r="T1178" s="133"/>
      <c r="U1178" s="133"/>
      <c r="V1178" s="133"/>
      <c r="W1178" s="133"/>
      <c r="X1178" s="133"/>
      <c r="Y1178" s="133"/>
      <c r="Z1178" s="133"/>
    </row>
    <row r="1179">
      <c r="A1179" s="133">
        <f>IFERROR(__xludf.DUMMYFUNCTION("""COMPUTED_VALUE"""),1178.0)</f>
        <v>1178</v>
      </c>
      <c r="B1179" s="133"/>
      <c r="C1179" s="133" t="str">
        <f>IFERROR(__xludf.DUMMYFUNCTION("""COMPUTED_VALUE"""),"P-1-N-070223-745")</f>
        <v>P-1-N-070223-745</v>
      </c>
      <c r="D1179" s="133"/>
      <c r="E1179" s="133" t="str">
        <f>IFERROR(__xludf.DUMMYFUNCTION("""COMPUTED_VALUE"""),"تمت طباعة الشهادة")</f>
        <v>تمت طباعة الشهادة</v>
      </c>
      <c r="F1179" s="133" t="str">
        <f>IFERROR(__xludf.DUMMYFUNCTION("""COMPUTED_VALUE"""),"Butcher's Original Dog Recipe with turkey in Gravy ")</f>
        <v>Butcher's Original Dog Recipe with turkey in Gravy </v>
      </c>
      <c r="G1179" s="133" t="str">
        <f>IFERROR(__xludf.DUMMYFUNCTION("""COMPUTED_VALUE"""),"بوتشرز الوصفة الأصلية للكلب مع الديك الرومي في المرق 400 جرام")</f>
        <v>بوتشرز الوصفة الأصلية للكلب مع الديك الرومي في المرق 400 جرام</v>
      </c>
      <c r="H1179" s="133" t="str">
        <f>IFERROR(__xludf.DUMMYFUNCTION("""COMPUTED_VALUE"""),"FOM-2024-6775-FEB-2024-41243 -C-0041-62040
")</f>
        <v>FOM-2024-6775-FEB-2024-41243 -C-0041-62040
</v>
      </c>
      <c r="I1179" s="133"/>
      <c r="J1179" s="133"/>
      <c r="K1179" s="133" t="str">
        <f>IFERROR(__xludf.DUMMYFUNCTION("""COMPUTED_VALUE"""),"بوتشرز بت كير ال تي دي")</f>
        <v>بوتشرز بت كير ال تي دي</v>
      </c>
      <c r="L1179" s="133"/>
      <c r="M1179" s="133"/>
      <c r="N1179" s="133"/>
      <c r="O1179" s="133"/>
      <c r="P1179" s="133"/>
      <c r="Q1179" s="133"/>
      <c r="R1179" s="133"/>
      <c r="S1179" s="133"/>
      <c r="T1179" s="133"/>
      <c r="U1179" s="133"/>
      <c r="V1179" s="133"/>
      <c r="W1179" s="133"/>
      <c r="X1179" s="133"/>
      <c r="Y1179" s="133"/>
      <c r="Z1179" s="133"/>
    </row>
    <row r="1180">
      <c r="A1180" s="133">
        <f>IFERROR(__xludf.DUMMYFUNCTION("""COMPUTED_VALUE"""),1179.0)</f>
        <v>1179</v>
      </c>
      <c r="B1180" s="133"/>
      <c r="C1180" s="133" t="str">
        <f>IFERROR(__xludf.DUMMYFUNCTION("""COMPUTED_VALUE"""),"P-1-N-070223-746")</f>
        <v>P-1-N-070223-746</v>
      </c>
      <c r="D1180" s="133"/>
      <c r="E1180" s="133" t="str">
        <f>IFERROR(__xludf.DUMMYFUNCTION("""COMPUTED_VALUE"""),"تمت طباعة الشهادة")</f>
        <v>تمت طباعة الشهادة</v>
      </c>
      <c r="F1180" s="133" t="str">
        <f>IFERROR(__xludf.DUMMYFUNCTION("""COMPUTED_VALUE"""),"Butcher's Original Dog Recipe with Lamb in Jelly ")</f>
        <v>Butcher's Original Dog Recipe with Lamb in Jelly </v>
      </c>
      <c r="G1180" s="133" t="str">
        <f>IFERROR(__xludf.DUMMYFUNCTION("""COMPUTED_VALUE"""),"بوتشرز الوصفة الأصلية للكلب مع لحم الضأن في الجيلي 400 جرام")</f>
        <v>بوتشرز الوصفة الأصلية للكلب مع لحم الضأن في الجيلي 400 جرام</v>
      </c>
      <c r="H1180" s="133" t="str">
        <f>IFERROR(__xludf.DUMMYFUNCTION("""COMPUTED_VALUE"""),"FOM-2024-6775-FEB-2024-41244 -C-0041-62041
")</f>
        <v>FOM-2024-6775-FEB-2024-41244 -C-0041-62041
</v>
      </c>
      <c r="I1180" s="133"/>
      <c r="J1180" s="133"/>
      <c r="K1180" s="133" t="str">
        <f>IFERROR(__xludf.DUMMYFUNCTION("""COMPUTED_VALUE"""),"بوتشرز بت كير ال تي دي")</f>
        <v>بوتشرز بت كير ال تي دي</v>
      </c>
      <c r="L1180" s="133"/>
      <c r="M1180" s="133"/>
      <c r="N1180" s="133"/>
      <c r="O1180" s="133"/>
      <c r="P1180" s="133"/>
      <c r="Q1180" s="133"/>
      <c r="R1180" s="133"/>
      <c r="S1180" s="133"/>
      <c r="T1180" s="133"/>
      <c r="U1180" s="133"/>
      <c r="V1180" s="133"/>
      <c r="W1180" s="133"/>
      <c r="X1180" s="133"/>
      <c r="Y1180" s="133"/>
      <c r="Z1180" s="133"/>
    </row>
    <row r="1181">
      <c r="A1181" s="133">
        <f>IFERROR(__xludf.DUMMYFUNCTION("""COMPUTED_VALUE"""),1180.0)</f>
        <v>1180</v>
      </c>
      <c r="B1181" s="133"/>
      <c r="C1181" s="133" t="str">
        <f>IFERROR(__xludf.DUMMYFUNCTION("""COMPUTED_VALUE"""),"P-1-N-070223-747")</f>
        <v>P-1-N-070223-747</v>
      </c>
      <c r="D1181" s="133"/>
      <c r="E1181" s="133" t="str">
        <f>IFERROR(__xludf.DUMMYFUNCTION("""COMPUTED_VALUE"""),"تمت طباعة الشهادة")</f>
        <v>تمت طباعة الشهادة</v>
      </c>
      <c r="F1181" s="133" t="str">
        <f>IFERROR(__xludf.DUMMYFUNCTION("""COMPUTED_VALUE"""),"Butcher's Original Dog Recipe with chicken in Jelly ")</f>
        <v>Butcher's Original Dog Recipe with chicken in Jelly </v>
      </c>
      <c r="G1181" s="133" t="str">
        <f>IFERROR(__xludf.DUMMYFUNCTION("""COMPUTED_VALUE"""),"بوتشرز الوصفة الأصلية للكلب مع الدجاج في الجيلي 400 جرام")</f>
        <v>بوتشرز الوصفة الأصلية للكلب مع الدجاج في الجيلي 400 جرام</v>
      </c>
      <c r="H1181" s="133" t="str">
        <f>IFERROR(__xludf.DUMMYFUNCTION("""COMPUTED_VALUE"""),"FOM-2024-6775-FEB-2024-41245 -C-0041-62042
")</f>
        <v>FOM-2024-6775-FEB-2024-41245 -C-0041-62042
</v>
      </c>
      <c r="I1181" s="133"/>
      <c r="J1181" s="133"/>
      <c r="K1181" s="133" t="str">
        <f>IFERROR(__xludf.DUMMYFUNCTION("""COMPUTED_VALUE"""),"بوتشرز بت كير ال تي دي")</f>
        <v>بوتشرز بت كير ال تي دي</v>
      </c>
      <c r="L1181" s="133"/>
      <c r="M1181" s="133"/>
      <c r="N1181" s="133"/>
      <c r="O1181" s="133"/>
      <c r="P1181" s="133"/>
      <c r="Q1181" s="133"/>
      <c r="R1181" s="133"/>
      <c r="S1181" s="133"/>
      <c r="T1181" s="133"/>
      <c r="U1181" s="133"/>
      <c r="V1181" s="133"/>
      <c r="W1181" s="133"/>
      <c r="X1181" s="133"/>
      <c r="Y1181" s="133"/>
      <c r="Z1181" s="133"/>
    </row>
    <row r="1182">
      <c r="A1182" s="133">
        <f>IFERROR(__xludf.DUMMYFUNCTION("""COMPUTED_VALUE"""),1181.0)</f>
        <v>1181</v>
      </c>
      <c r="B1182" s="133"/>
      <c r="C1182" s="133" t="str">
        <f>IFERROR(__xludf.DUMMYFUNCTION("""COMPUTED_VALUE"""),"P-1-N-070223-748")</f>
        <v>P-1-N-070223-748</v>
      </c>
      <c r="D1182" s="133"/>
      <c r="E1182" s="133" t="str">
        <f>IFERROR(__xludf.DUMMYFUNCTION("""COMPUTED_VALUE"""),"تمت طباعة الشهادة")</f>
        <v>تمت طباعة الشهادة</v>
      </c>
      <c r="F1182" s="133" t="str">
        <f>IFERROR(__xludf.DUMMYFUNCTION("""COMPUTED_VALUE"""),"Butcher's Original Dog Junior with beef chunks in Jelly ")</f>
        <v>Butcher's Original Dog Junior with beef chunks in Jelly </v>
      </c>
      <c r="G1182" s="133" t="str">
        <f>IFERROR(__xludf.DUMMYFUNCTION("""COMPUTED_VALUE"""),"بوتشرز الوصفة الأصلية للكلب الصغيرة مع قطع اللحم البقري في الجيلي 400 جرام")</f>
        <v>بوتشرز الوصفة الأصلية للكلب الصغيرة مع قطع اللحم البقري في الجيلي 400 جرام</v>
      </c>
      <c r="H1182" s="133" t="str">
        <f>IFERROR(__xludf.DUMMYFUNCTION("""COMPUTED_VALUE"""),"MAFE2023427")</f>
        <v>MAFE2023427</v>
      </c>
      <c r="I1182" s="133"/>
      <c r="J1182" s="133"/>
      <c r="K1182" s="133" t="str">
        <f>IFERROR(__xludf.DUMMYFUNCTION("""COMPUTED_VALUE"""),"بوتشرز بت كير ال تي دي")</f>
        <v>بوتشرز بت كير ال تي دي</v>
      </c>
      <c r="L1182" s="133"/>
      <c r="M1182" s="133"/>
      <c r="N1182" s="133"/>
      <c r="O1182" s="133"/>
      <c r="P1182" s="133"/>
      <c r="Q1182" s="133"/>
      <c r="R1182" s="133"/>
      <c r="S1182" s="133"/>
      <c r="T1182" s="133"/>
      <c r="U1182" s="133"/>
      <c r="V1182" s="133"/>
      <c r="W1182" s="133"/>
      <c r="X1182" s="133"/>
      <c r="Y1182" s="133"/>
      <c r="Z1182" s="133"/>
    </row>
    <row r="1183">
      <c r="A1183" s="133">
        <f>IFERROR(__xludf.DUMMYFUNCTION("""COMPUTED_VALUE"""),1182.0)</f>
        <v>1182</v>
      </c>
      <c r="B1183" s="133"/>
      <c r="C1183" s="133" t="str">
        <f>IFERROR(__xludf.DUMMYFUNCTION("""COMPUTED_VALUE"""),"P-1-N-070223-749")</f>
        <v>P-1-N-070223-749</v>
      </c>
      <c r="D1183" s="133"/>
      <c r="E1183" s="133" t="str">
        <f>IFERROR(__xludf.DUMMYFUNCTION("""COMPUTED_VALUE"""),"تمت طباعة الشهادة")</f>
        <v>تمت طباعة الشهادة</v>
      </c>
      <c r="F1183" s="133" t="str">
        <f>IFERROR(__xludf.DUMMYFUNCTION("""COMPUTED_VALUE"""),"Butcher's Original Dog Junior with chicken chunks in Jelly ")</f>
        <v>Butcher's Original Dog Junior with chicken chunks in Jelly </v>
      </c>
      <c r="G1183" s="133" t="str">
        <f>IFERROR(__xludf.DUMMYFUNCTION("""COMPUTED_VALUE"""),"بوتشرز الوصفة الأصلية للكلب الصغيرة مع قطع الدجاج في الجيلي 400 جرام")</f>
        <v>بوتشرز الوصفة الأصلية للكلب الصغيرة مع قطع الدجاج في الجيلي 400 جرام</v>
      </c>
      <c r="H1183" s="133"/>
      <c r="I1183" s="133"/>
      <c r="J1183" s="133"/>
      <c r="K1183" s="133" t="str">
        <f>IFERROR(__xludf.DUMMYFUNCTION("""COMPUTED_VALUE"""),"بوتشرز بت كير ال تي دي")</f>
        <v>بوتشرز بت كير ال تي دي</v>
      </c>
      <c r="L1183" s="133"/>
      <c r="M1183" s="133"/>
      <c r="N1183" s="133"/>
      <c r="O1183" s="133"/>
      <c r="P1183" s="133"/>
      <c r="Q1183" s="133"/>
      <c r="R1183" s="133"/>
      <c r="S1183" s="133"/>
      <c r="T1183" s="133"/>
      <c r="U1183" s="133"/>
      <c r="V1183" s="133"/>
      <c r="W1183" s="133"/>
      <c r="X1183" s="133"/>
      <c r="Y1183" s="133"/>
      <c r="Z1183" s="133"/>
    </row>
    <row r="1184">
      <c r="A1184" s="133">
        <f>IFERROR(__xludf.DUMMYFUNCTION("""COMPUTED_VALUE"""),1183.0)</f>
        <v>1183</v>
      </c>
      <c r="B1184" s="133"/>
      <c r="C1184" s="133" t="str">
        <f>IFERROR(__xludf.DUMMYFUNCTION("""COMPUTED_VALUE"""),"P-1-N-140223-880")</f>
        <v>P-1-N-140223-880</v>
      </c>
      <c r="D1184" s="133"/>
      <c r="E1184" s="133" t="str">
        <f>IFERROR(__xludf.DUMMYFUNCTION("""COMPUTED_VALUE"""),"تمت طباعة الشهادة")</f>
        <v>تمت طباعة الشهادة</v>
      </c>
      <c r="F1184" s="133" t="str">
        <f>IFERROR(__xludf.DUMMYFUNCTION("""COMPUTED_VALUE"""),"ALPINE PREMIUM HAY 500G")</f>
        <v>ALPINE PREMIUM HAY 500G</v>
      </c>
      <c r="G1184" s="133" t="str">
        <f>IFERROR(__xludf.DUMMYFUNCTION("""COMPUTED_VALUE"""),"تبن ألبين بريميوم 500 جم")</f>
        <v>تبن ألبين بريميوم 500 جم</v>
      </c>
      <c r="H1184" s="133" t="str">
        <f>IFERROR(__xludf.DUMMYFUNCTION("""COMPUTED_VALUE"""),"MAFE2023633")</f>
        <v>MAFE2023633</v>
      </c>
      <c r="I1184" s="133"/>
      <c r="J1184" s="133"/>
      <c r="K1184" s="133" t="str">
        <f>IFERROR(__xludf.DUMMYFUNCTION("""COMPUTED_VALUE"""),"اس. اي. ار. ال بيوليديس")</f>
        <v>اس. اي. ار. ال بيوليديس</v>
      </c>
      <c r="L1184" s="133"/>
      <c r="M1184" s="133"/>
      <c r="N1184" s="133"/>
      <c r="O1184" s="133"/>
      <c r="P1184" s="133"/>
      <c r="Q1184" s="133"/>
      <c r="R1184" s="133"/>
      <c r="S1184" s="133"/>
      <c r="T1184" s="133"/>
      <c r="U1184" s="133"/>
      <c r="V1184" s="133"/>
      <c r="W1184" s="133"/>
      <c r="X1184" s="133"/>
      <c r="Y1184" s="133"/>
      <c r="Z1184" s="133"/>
    </row>
    <row r="1185">
      <c r="A1185" s="133">
        <f>IFERROR(__xludf.DUMMYFUNCTION("""COMPUTED_VALUE"""),1184.0)</f>
        <v>1184</v>
      </c>
      <c r="B1185" s="133"/>
      <c r="C1185" s="133" t="str">
        <f>IFERROR(__xludf.DUMMYFUNCTION("""COMPUTED_VALUE"""),"P-1-N-140223-881")</f>
        <v>P-1-N-140223-881</v>
      </c>
      <c r="D1185" s="133"/>
      <c r="E1185" s="133" t="str">
        <f>IFERROR(__xludf.DUMMYFUNCTION("""COMPUTED_VALUE"""),"تمت طباعة الشهادة")</f>
        <v>تمت طباعة الشهادة</v>
      </c>
      <c r="F1185" s="133" t="str">
        <f>IFERROR(__xludf.DUMMYFUNCTION("""COMPUTED_VALUE"""),"ALPINE PREMIUM HAY 1.5KG")</f>
        <v>ALPINE PREMIUM HAY 1.5KG</v>
      </c>
      <c r="G1185" s="133" t="str">
        <f>IFERROR(__xludf.DUMMYFUNCTION("""COMPUTED_VALUE"""),"تبن ألبين بريميوم 1.5 كجم")</f>
        <v>تبن ألبين بريميوم 1.5 كجم</v>
      </c>
      <c r="H1185" s="133" t="str">
        <f>IFERROR(__xludf.DUMMYFUNCTION("""COMPUTED_VALUE"""),"MAFE2023626")</f>
        <v>MAFE2023626</v>
      </c>
      <c r="I1185" s="133"/>
      <c r="J1185" s="133"/>
      <c r="K1185" s="133" t="str">
        <f>IFERROR(__xludf.DUMMYFUNCTION("""COMPUTED_VALUE"""),"اس. اي. ار. ال بيوليديس")</f>
        <v>اس. اي. ار. ال بيوليديس</v>
      </c>
      <c r="L1185" s="133"/>
      <c r="M1185" s="133"/>
      <c r="N1185" s="133"/>
      <c r="O1185" s="133"/>
      <c r="P1185" s="133"/>
      <c r="Q1185" s="133"/>
      <c r="R1185" s="133"/>
      <c r="S1185" s="133"/>
      <c r="T1185" s="133"/>
      <c r="U1185" s="133"/>
      <c r="V1185" s="133"/>
      <c r="W1185" s="133"/>
      <c r="X1185" s="133"/>
      <c r="Y1185" s="133"/>
      <c r="Z1185" s="133"/>
    </row>
    <row r="1186">
      <c r="A1186" s="133">
        <f>IFERROR(__xludf.DUMMYFUNCTION("""COMPUTED_VALUE"""),1185.0)</f>
        <v>1185</v>
      </c>
      <c r="B1186" s="133"/>
      <c r="C1186" s="133" t="str">
        <f>IFERROR(__xludf.DUMMYFUNCTION("""COMPUTED_VALUE"""),"P-1-N-140223-882")</f>
        <v>P-1-N-140223-882</v>
      </c>
      <c r="D1186" s="133"/>
      <c r="E1186" s="133" t="str">
        <f>IFERROR(__xludf.DUMMYFUNCTION("""COMPUTED_VALUE"""),"تمت طباعة الشهادة")</f>
        <v>تمت طباعة الشهادة</v>
      </c>
      <c r="F1186" s="133" t="str">
        <f>IFERROR(__xludf.DUMMYFUNCTION("""COMPUTED_VALUE"""),"ALPINE PREMIUM HAY 2.5KG")</f>
        <v>ALPINE PREMIUM HAY 2.5KG</v>
      </c>
      <c r="G1186" s="133" t="str">
        <f>IFERROR(__xludf.DUMMYFUNCTION("""COMPUTED_VALUE"""),"تبن ألبين بريميوم 2.5 كجم")</f>
        <v>تبن ألبين بريميوم 2.5 كجم</v>
      </c>
      <c r="H1186" s="133" t="str">
        <f>IFERROR(__xludf.DUMMYFUNCTION("""COMPUTED_VALUE"""),"MAFE2023624")</f>
        <v>MAFE2023624</v>
      </c>
      <c r="I1186" s="133"/>
      <c r="J1186" s="133"/>
      <c r="K1186" s="133" t="str">
        <f>IFERROR(__xludf.DUMMYFUNCTION("""COMPUTED_VALUE"""),"اس. اي. ار. ال بيوليديس")</f>
        <v>اس. اي. ار. ال بيوليديس</v>
      </c>
      <c r="L1186" s="133"/>
      <c r="M1186" s="133"/>
      <c r="N1186" s="133"/>
      <c r="O1186" s="133"/>
      <c r="P1186" s="133"/>
      <c r="Q1186" s="133"/>
      <c r="R1186" s="133"/>
      <c r="S1186" s="133"/>
      <c r="T1186" s="133"/>
      <c r="U1186" s="133"/>
      <c r="V1186" s="133"/>
      <c r="W1186" s="133"/>
      <c r="X1186" s="133"/>
      <c r="Y1186" s="133"/>
      <c r="Z1186" s="133"/>
    </row>
    <row r="1187">
      <c r="A1187" s="133">
        <f>IFERROR(__xludf.DUMMYFUNCTION("""COMPUTED_VALUE"""),1186.0)</f>
        <v>1186</v>
      </c>
      <c r="B1187" s="133"/>
      <c r="C1187" s="133" t="str">
        <f>IFERROR(__xludf.DUMMYFUNCTION("""COMPUTED_VALUE"""),"P-1-N-140223-883")</f>
        <v>P-1-N-140223-883</v>
      </c>
      <c r="D1187" s="133"/>
      <c r="E1187" s="133" t="str">
        <f>IFERROR(__xludf.DUMMYFUNCTION("""COMPUTED_VALUE"""),"تمت طباعة الشهادة")</f>
        <v>تمت طباعة الشهادة</v>
      </c>
      <c r="F1187" s="133" t="str">
        <f>IFERROR(__xludf.DUMMYFUNCTION("""COMPUTED_VALUE"""),"NMEAL3 ALPINE HAY APP/BEET 1KG")</f>
        <v>NMEAL3 ALPINE HAY APP/BEET 1KG</v>
      </c>
      <c r="G1187" s="133" t="str">
        <f>IFERROR(__xludf.DUMMYFUNCTION("""COMPUTED_VALUE"""),"ان ميل 3 تبن ألبين التفاح والشمندر 1 كجم")</f>
        <v>ان ميل 3 تبن ألبين التفاح والشمندر 1 كجم</v>
      </c>
      <c r="H1187" s="133" t="str">
        <f>IFERROR(__xludf.DUMMYFUNCTION("""COMPUTED_VALUE"""),"MAFE2023622")</f>
        <v>MAFE2023622</v>
      </c>
      <c r="I1187" s="133"/>
      <c r="J1187" s="133"/>
      <c r="K1187" s="133" t="str">
        <f>IFERROR(__xludf.DUMMYFUNCTION("""COMPUTED_VALUE"""),"اس. اي. ار. ال بيوليديس")</f>
        <v>اس. اي. ار. ال بيوليديس</v>
      </c>
      <c r="L1187" s="133"/>
      <c r="M1187" s="133"/>
      <c r="N1187" s="133"/>
      <c r="O1187" s="133"/>
      <c r="P1187" s="133"/>
      <c r="Q1187" s="133"/>
      <c r="R1187" s="133"/>
      <c r="S1187" s="133"/>
      <c r="T1187" s="133"/>
      <c r="U1187" s="133"/>
      <c r="V1187" s="133"/>
      <c r="W1187" s="133"/>
      <c r="X1187" s="133"/>
      <c r="Y1187" s="133"/>
      <c r="Z1187" s="133"/>
    </row>
    <row r="1188">
      <c r="A1188" s="133">
        <f>IFERROR(__xludf.DUMMYFUNCTION("""COMPUTED_VALUE"""),1187.0)</f>
        <v>1187</v>
      </c>
      <c r="B1188" s="133"/>
      <c r="C1188" s="133" t="str">
        <f>IFERROR(__xludf.DUMMYFUNCTION("""COMPUTED_VALUE"""),"P-1-N-140223-884")</f>
        <v>P-1-N-140223-884</v>
      </c>
      <c r="D1188" s="133"/>
      <c r="E1188" s="133" t="str">
        <f>IFERROR(__xludf.DUMMYFUNCTION("""COMPUTED_VALUE"""),"تمت طباعة الشهادة")</f>
        <v>تمت طباعة الشهادة</v>
      </c>
      <c r="F1188" s="133" t="str">
        <f>IFERROR(__xludf.DUMMYFUNCTION("""COMPUTED_VALUE"""),"ALPINE PREM HAY CARR/DAND 1KG")</f>
        <v>ALPINE PREM HAY CARR/DAND 1KG</v>
      </c>
      <c r="G1188" s="133" t="str">
        <f>IFERROR(__xludf.DUMMYFUNCTION("""COMPUTED_VALUE"""),"تبن ألبين بريميوم الجزر والهندباء 1 كجم")</f>
        <v>تبن ألبين بريميوم الجزر والهندباء 1 كجم</v>
      </c>
      <c r="H1188" s="133" t="str">
        <f>IFERROR(__xludf.DUMMYFUNCTION("""COMPUTED_VALUE"""),"MAFE2023621")</f>
        <v>MAFE2023621</v>
      </c>
      <c r="I1188" s="133"/>
      <c r="J1188" s="133"/>
      <c r="K1188" s="133" t="str">
        <f>IFERROR(__xludf.DUMMYFUNCTION("""COMPUTED_VALUE"""),"اس. اي. ار. ال بيوليديس")</f>
        <v>اس. اي. ار. ال بيوليديس</v>
      </c>
      <c r="L1188" s="133"/>
      <c r="M1188" s="133"/>
      <c r="N1188" s="133"/>
      <c r="O1188" s="133"/>
      <c r="P1188" s="133"/>
      <c r="Q1188" s="133"/>
      <c r="R1188" s="133"/>
      <c r="S1188" s="133"/>
      <c r="T1188" s="133"/>
      <c r="U1188" s="133"/>
      <c r="V1188" s="133"/>
      <c r="W1188" s="133"/>
      <c r="X1188" s="133"/>
      <c r="Y1188" s="133"/>
      <c r="Z1188" s="133"/>
    </row>
    <row r="1189">
      <c r="A1189" s="133">
        <f>IFERROR(__xludf.DUMMYFUNCTION("""COMPUTED_VALUE"""),1188.0)</f>
        <v>1188</v>
      </c>
      <c r="B1189" s="133"/>
      <c r="C1189" s="133" t="str">
        <f>IFERROR(__xludf.DUMMYFUNCTION("""COMPUTED_VALUE"""),"P-1-N-140223-885")</f>
        <v>P-1-N-140223-885</v>
      </c>
      <c r="D1189" s="133"/>
      <c r="E1189" s="133" t="str">
        <f>IFERROR(__xludf.DUMMYFUNCTION("""COMPUTED_VALUE"""),"تمت طباعة الشهادة")</f>
        <v>تمت طباعة الشهادة</v>
      </c>
      <c r="F1189" s="133" t="str">
        <f>IFERROR(__xludf.DUMMYFUNCTION("""COMPUTED_VALUE"""),"ALPINE PREM HAY MINT/CHAM 1KG")</f>
        <v>ALPINE PREM HAY MINT/CHAM 1KG</v>
      </c>
      <c r="G1189" s="133" t="str">
        <f>IFERROR(__xludf.DUMMYFUNCTION("""COMPUTED_VALUE"""),"تبن ألبين بريميوم النعناع والبابونج 1 كجم")</f>
        <v>تبن ألبين بريميوم النعناع والبابونج 1 كجم</v>
      </c>
      <c r="H1189" s="133" t="str">
        <f>IFERROR(__xludf.DUMMYFUNCTION("""COMPUTED_VALUE"""),"MAFE2023619")</f>
        <v>MAFE2023619</v>
      </c>
      <c r="I1189" s="133"/>
      <c r="J1189" s="133"/>
      <c r="K1189" s="133" t="str">
        <f>IFERROR(__xludf.DUMMYFUNCTION("""COMPUTED_VALUE"""),"اس. اي. ار. ال بيوليديس")</f>
        <v>اس. اي. ار. ال بيوليديس</v>
      </c>
      <c r="L1189" s="133"/>
      <c r="M1189" s="133"/>
      <c r="N1189" s="133"/>
      <c r="O1189" s="133"/>
      <c r="P1189" s="133"/>
      <c r="Q1189" s="133"/>
      <c r="R1189" s="133"/>
      <c r="S1189" s="133"/>
      <c r="T1189" s="133"/>
      <c r="U1189" s="133"/>
      <c r="V1189" s="133"/>
      <c r="W1189" s="133"/>
      <c r="X1189" s="133"/>
      <c r="Y1189" s="133"/>
      <c r="Z1189" s="133"/>
    </row>
    <row r="1190">
      <c r="A1190" s="133">
        <f>IFERROR(__xludf.DUMMYFUNCTION("""COMPUTED_VALUE"""),1189.0)</f>
        <v>1189</v>
      </c>
      <c r="B1190" s="133"/>
      <c r="C1190" s="133" t="str">
        <f>IFERROR(__xludf.DUMMYFUNCTION("""COMPUTED_VALUE"""),"P-1-N-140223-886")</f>
        <v>P-1-N-140223-886</v>
      </c>
      <c r="D1190" s="133"/>
      <c r="E1190" s="133" t="str">
        <f>IFERROR(__xludf.DUMMYFUNCTION("""COMPUTED_VALUE"""),"تمت طباعة الشهادة")</f>
        <v>تمت طباعة الشهادة</v>
      </c>
      <c r="F1190" s="133" t="str">
        <f>IFERROR(__xludf.DUMMYFUNCTION("""COMPUTED_VALUE"""),"MEADOW")</f>
        <v>MEADOW</v>
      </c>
      <c r="G1190" s="133" t="str">
        <f>IFERROR(__xludf.DUMMYFUNCTION("""COMPUTED_VALUE"""),"تبن المرج 1 كجم")</f>
        <v>تبن المرج 1 كجم</v>
      </c>
      <c r="H1190" s="133" t="str">
        <f>IFERROR(__xludf.DUMMYFUNCTION("""COMPUTED_VALUE"""),"MAFE2023620")</f>
        <v>MAFE2023620</v>
      </c>
      <c r="I1190" s="133"/>
      <c r="J1190" s="133"/>
      <c r="K1190" s="133" t="str">
        <f>IFERROR(__xludf.DUMMYFUNCTION("""COMPUTED_VALUE"""),"اس. اي. ار. ال بيوليديس")</f>
        <v>اس. اي. ار. ال بيوليديس</v>
      </c>
      <c r="L1190" s="133"/>
      <c r="M1190" s="133"/>
      <c r="N1190" s="133"/>
      <c r="O1190" s="133"/>
      <c r="P1190" s="133"/>
      <c r="Q1190" s="133"/>
      <c r="R1190" s="133"/>
      <c r="S1190" s="133"/>
      <c r="T1190" s="133"/>
      <c r="U1190" s="133"/>
      <c r="V1190" s="133"/>
      <c r="W1190" s="133"/>
      <c r="X1190" s="133"/>
      <c r="Y1190" s="133"/>
      <c r="Z1190" s="133"/>
    </row>
    <row r="1191">
      <c r="A1191" s="133">
        <f>IFERROR(__xludf.DUMMYFUNCTION("""COMPUTED_VALUE"""),1190.0)</f>
        <v>1190</v>
      </c>
      <c r="B1191" s="133"/>
      <c r="C1191" s="133" t="str">
        <f>IFERROR(__xludf.DUMMYFUNCTION("""COMPUTED_VALUE"""),"P-1-N-140223-887")</f>
        <v>P-1-N-140223-887</v>
      </c>
      <c r="D1191" s="133"/>
      <c r="E1191" s="133" t="str">
        <f>IFERROR(__xludf.DUMMYFUNCTION("""COMPUTED_VALUE"""),"تمت طباعة الشهادة")</f>
        <v>تمت طباعة الشهادة</v>
      </c>
      <c r="F1191" s="133" t="str">
        <f>IFERROR(__xludf.DUMMYFUNCTION("""COMPUTED_VALUE"""),"MEADOW HAY 2.5KG")</f>
        <v>MEADOW HAY 2.5KG</v>
      </c>
      <c r="G1191" s="133" t="str">
        <f>IFERROR(__xludf.DUMMYFUNCTION("""COMPUTED_VALUE"""),"تبن المرج 2.5 كجم")</f>
        <v>تبن المرج 2.5 كجم</v>
      </c>
      <c r="H1191" s="133" t="str">
        <f>IFERROR(__xludf.DUMMYFUNCTION("""COMPUTED_VALUE"""),"MAFE2023620")</f>
        <v>MAFE2023620</v>
      </c>
      <c r="I1191" s="133"/>
      <c r="J1191" s="133"/>
      <c r="K1191" s="133" t="str">
        <f>IFERROR(__xludf.DUMMYFUNCTION("""COMPUTED_VALUE"""),"اس. اي. ار. ال بيوليديس")</f>
        <v>اس. اي. ار. ال بيوليديس</v>
      </c>
      <c r="L1191" s="133"/>
      <c r="M1191" s="133"/>
      <c r="N1191" s="133"/>
      <c r="O1191" s="133"/>
      <c r="P1191" s="133"/>
      <c r="Q1191" s="133"/>
      <c r="R1191" s="133"/>
      <c r="S1191" s="133"/>
      <c r="T1191" s="133"/>
      <c r="U1191" s="133"/>
      <c r="V1191" s="133"/>
      <c r="W1191" s="133"/>
      <c r="X1191" s="133"/>
      <c r="Y1191" s="133"/>
      <c r="Z1191" s="133"/>
    </row>
    <row r="1192">
      <c r="A1192" s="133">
        <f>IFERROR(__xludf.DUMMYFUNCTION("""COMPUTED_VALUE"""),1191.0)</f>
        <v>1191</v>
      </c>
      <c r="B1192" s="133"/>
      <c r="C1192" s="133" t="str">
        <f>IFERROR(__xludf.DUMMYFUNCTION("""COMPUTED_VALUE"""),"P-1-N-140223-889")</f>
        <v>P-1-N-140223-889</v>
      </c>
      <c r="D1192" s="133"/>
      <c r="E1192" s="133" t="str">
        <f>IFERROR(__xludf.DUMMYFUNCTION("""COMPUTED_VALUE"""),"تمت طباعة الشهادة")</f>
        <v>تمت طباعة الشهادة</v>
      </c>
      <c r="F1192" s="133" t="str">
        <f>IFERROR(__xludf.DUMMYFUNCTION("""COMPUTED_VALUE"""),"MEADOW HAY 240L")</f>
        <v>MEADOW HAY 240L</v>
      </c>
      <c r="G1192" s="133" t="str">
        <f>IFERROR(__xludf.DUMMYFUNCTION("""COMPUTED_VALUE"""),"تبن المرج 240 لتر")</f>
        <v>تبن المرج 240 لتر</v>
      </c>
      <c r="H1192" s="133"/>
      <c r="I1192" s="133"/>
      <c r="J1192" s="133"/>
      <c r="K1192" s="133" t="str">
        <f>IFERROR(__xludf.DUMMYFUNCTION("""COMPUTED_VALUE"""),"اس. اي. ار. ال بيوليديس")</f>
        <v>اس. اي. ار. ال بيوليديس</v>
      </c>
      <c r="L1192" s="133"/>
      <c r="M1192" s="133"/>
      <c r="N1192" s="133"/>
      <c r="O1192" s="133"/>
      <c r="P1192" s="133"/>
      <c r="Q1192" s="133"/>
      <c r="R1192" s="133"/>
      <c r="S1192" s="133"/>
      <c r="T1192" s="133"/>
      <c r="U1192" s="133"/>
      <c r="V1192" s="133"/>
      <c r="W1192" s="133"/>
      <c r="X1192" s="133"/>
      <c r="Y1192" s="133"/>
      <c r="Z1192" s="133"/>
    </row>
    <row r="1193">
      <c r="A1193" s="133">
        <f>IFERROR(__xludf.DUMMYFUNCTION("""COMPUTED_VALUE"""),1192.0)</f>
        <v>1192</v>
      </c>
      <c r="B1193" s="133"/>
      <c r="C1193" s="133" t="str">
        <f>IFERROR(__xludf.DUMMYFUNCTION("""COMPUTED_VALUE"""),"P-1-N-150223-937")</f>
        <v>P-1-N-150223-937</v>
      </c>
      <c r="D1193" s="133"/>
      <c r="E1193" s="133" t="str">
        <f>IFERROR(__xludf.DUMMYFUNCTION("""COMPUTED_VALUE"""),"تمت طباعة الشهادة")</f>
        <v>تمت طباعة الشهادة</v>
      </c>
      <c r="F1193" s="133" t="str">
        <f>IFERROR(__xludf.DUMMYFUNCTION("""COMPUTED_VALUE"""),"ZUPREEM FRUITBLEND EXTRA SMALL 200g")</f>
        <v>ZUPREEM FRUITBLEND EXTRA SMALL 200g</v>
      </c>
      <c r="G1193" s="133" t="str">
        <f>IFERROR(__xludf.DUMMYFUNCTION("""COMPUTED_VALUE"""),"زوبريم فروتبلند صغير جدا 200جم")</f>
        <v>زوبريم فروتبلند صغير جدا 200جم</v>
      </c>
      <c r="H1193" s="133"/>
      <c r="I1193" s="133"/>
      <c r="J1193" s="133"/>
      <c r="K1193" s="133" t="str">
        <f>IFERROR(__xludf.DUMMYFUNCTION("""COMPUTED_VALUE"""),"شركة المنتجات الغذائية المتميزة")</f>
        <v>شركة المنتجات الغذائية المتميزة</v>
      </c>
      <c r="L1193" s="133"/>
      <c r="M1193" s="133"/>
      <c r="N1193" s="133"/>
      <c r="O1193" s="133"/>
      <c r="P1193" s="133"/>
      <c r="Q1193" s="133"/>
      <c r="R1193" s="133"/>
      <c r="S1193" s="133"/>
      <c r="T1193" s="133"/>
      <c r="U1193" s="133"/>
      <c r="V1193" s="133"/>
      <c r="W1193" s="133"/>
      <c r="X1193" s="133"/>
      <c r="Y1193" s="133"/>
      <c r="Z1193" s="133"/>
    </row>
    <row r="1194">
      <c r="A1194" s="133">
        <f>IFERROR(__xludf.DUMMYFUNCTION("""COMPUTED_VALUE"""),1193.0)</f>
        <v>1193</v>
      </c>
      <c r="B1194" s="133" t="str">
        <f>IFERROR(__xludf.DUMMYFUNCTION("""COMPUTED_VALUE"""),"1008037")</f>
        <v>1008037</v>
      </c>
      <c r="C1194" s="133" t="str">
        <f>IFERROR(__xludf.DUMMYFUNCTION("""COMPUTED_VALUE"""),"P-1-N-150223-938")</f>
        <v>P-1-N-150223-938</v>
      </c>
      <c r="D1194" s="133"/>
      <c r="E1194" s="133" t="str">
        <f>IFERROR(__xludf.DUMMYFUNCTION("""COMPUTED_VALUE"""),"تمت طباعة الشهادة")</f>
        <v>تمت طباعة الشهادة</v>
      </c>
      <c r="F1194" s="133" t="str">
        <f>IFERROR(__xludf.DUMMYFUNCTION("""COMPUTED_VALUE"""),"ZUPREEM FRUITBLEND EXTRA SMALL 379g")</f>
        <v>ZUPREEM FRUITBLEND EXTRA SMALL 379g</v>
      </c>
      <c r="G1194" s="133" t="str">
        <f>IFERROR(__xludf.DUMMYFUNCTION("""COMPUTED_VALUE"""),"زوبريم فروتبلند صغير جدا 379 جم")</f>
        <v>زوبريم فروتبلند صغير جدا 379 جم</v>
      </c>
      <c r="H1194" s="133"/>
      <c r="I1194" s="133"/>
      <c r="J1194" s="133"/>
      <c r="K1194" s="133" t="str">
        <f>IFERROR(__xludf.DUMMYFUNCTION("""COMPUTED_VALUE"""),"شركة المنتجات الغذائية المتميزة")</f>
        <v>شركة المنتجات الغذائية المتميزة</v>
      </c>
      <c r="L1194" s="142" t="str">
        <f>IFERROR(__xludf.DUMMYFUNCTION("""COMPUTED_VALUE"""),"1008037")</f>
        <v>1008037</v>
      </c>
      <c r="M1194" s="133"/>
      <c r="N1194" s="133"/>
      <c r="O1194" s="133"/>
      <c r="P1194" s="133"/>
      <c r="Q1194" s="133"/>
      <c r="R1194" s="133"/>
      <c r="S1194" s="133"/>
      <c r="T1194" s="133"/>
      <c r="U1194" s="133"/>
      <c r="V1194" s="133"/>
      <c r="W1194" s="133"/>
      <c r="X1194" s="133"/>
      <c r="Y1194" s="133"/>
      <c r="Z1194" s="133"/>
    </row>
    <row r="1195">
      <c r="A1195" s="133">
        <f>IFERROR(__xludf.DUMMYFUNCTION("""COMPUTED_VALUE"""),1194.0)</f>
        <v>1194</v>
      </c>
      <c r="B1195" s="133"/>
      <c r="C1195" s="133" t="str">
        <f>IFERROR(__xludf.DUMMYFUNCTION("""COMPUTED_VALUE"""),"P-1-N-150223-939")</f>
        <v>P-1-N-150223-939</v>
      </c>
      <c r="D1195" s="133"/>
      <c r="E1195" s="133" t="str">
        <f>IFERROR(__xludf.DUMMYFUNCTION("""COMPUTED_VALUE"""),"تمت طباعة الشهادة")</f>
        <v>تمت طباعة الشهادة</v>
      </c>
      <c r="F1195" s="133" t="str">
        <f>IFERROR(__xludf.DUMMYFUNCTION("""COMPUTED_VALUE"""),"ZUPREEM FRUITBLEND SMALL 200g")</f>
        <v>ZUPREEM FRUITBLEND SMALL 200g</v>
      </c>
      <c r="G1195" s="133" t="str">
        <f>IFERROR(__xludf.DUMMYFUNCTION("""COMPUTED_VALUE"""),"زوبريم فروتبلند صغير 200جم")</f>
        <v>زوبريم فروتبلند صغير 200جم</v>
      </c>
      <c r="H1195" s="133"/>
      <c r="I1195" s="133"/>
      <c r="J1195" s="133"/>
      <c r="K1195" s="133" t="str">
        <f>IFERROR(__xludf.DUMMYFUNCTION("""COMPUTED_VALUE"""),"شركة المنتجات الغذائية المتميزة")</f>
        <v>شركة المنتجات الغذائية المتميزة</v>
      </c>
      <c r="L1195" s="133"/>
      <c r="M1195" s="133"/>
      <c r="N1195" s="133"/>
      <c r="O1195" s="133"/>
      <c r="P1195" s="133"/>
      <c r="Q1195" s="133"/>
      <c r="R1195" s="133"/>
      <c r="S1195" s="133"/>
      <c r="T1195" s="133"/>
      <c r="U1195" s="133"/>
      <c r="V1195" s="133"/>
      <c r="W1195" s="133"/>
      <c r="X1195" s="133"/>
      <c r="Y1195" s="133"/>
      <c r="Z1195" s="133"/>
    </row>
    <row r="1196">
      <c r="A1196" s="133">
        <f>IFERROR(__xludf.DUMMYFUNCTION("""COMPUTED_VALUE"""),1195.0)</f>
        <v>1195</v>
      </c>
      <c r="B1196" s="133" t="str">
        <f>IFERROR(__xludf.DUMMYFUNCTION("""COMPUTED_VALUE"""),"1008042")</f>
        <v>1008042</v>
      </c>
      <c r="C1196" s="133" t="str">
        <f>IFERROR(__xludf.DUMMYFUNCTION("""COMPUTED_VALUE"""),"P-1-N-150223-940")</f>
        <v>P-1-N-150223-940</v>
      </c>
      <c r="D1196" s="133"/>
      <c r="E1196" s="133" t="str">
        <f>IFERROR(__xludf.DUMMYFUNCTION("""COMPUTED_VALUE"""),"تمت طباعة الشهادة")</f>
        <v>تمت طباعة الشهادة</v>
      </c>
      <c r="F1196" s="133" t="str">
        <f>IFERROR(__xludf.DUMMYFUNCTION("""COMPUTED_VALUE"""),"ZUPREEM FRUITBLEND SMALL 397g")</f>
        <v>ZUPREEM FRUITBLEND SMALL 397g</v>
      </c>
      <c r="G1196" s="133" t="str">
        <f>IFERROR(__xludf.DUMMYFUNCTION("""COMPUTED_VALUE"""),"زوبريم فروتبلند صغير 397 جم")</f>
        <v>زوبريم فروتبلند صغير 397 جم</v>
      </c>
      <c r="H1196" s="133"/>
      <c r="I1196" s="133"/>
      <c r="J1196" s="133"/>
      <c r="K1196" s="133" t="str">
        <f>IFERROR(__xludf.DUMMYFUNCTION("""COMPUTED_VALUE"""),"شركة المنتجات الغذائية المتميزة")</f>
        <v>شركة المنتجات الغذائية المتميزة</v>
      </c>
      <c r="L1196" s="142" t="str">
        <f>IFERROR(__xludf.DUMMYFUNCTION("""COMPUTED_VALUE"""),"1008042")</f>
        <v>1008042</v>
      </c>
      <c r="M1196" s="133"/>
      <c r="N1196" s="133"/>
      <c r="O1196" s="133"/>
      <c r="P1196" s="133"/>
      <c r="Q1196" s="133"/>
      <c r="R1196" s="133"/>
      <c r="S1196" s="133"/>
      <c r="T1196" s="133"/>
      <c r="U1196" s="133"/>
      <c r="V1196" s="133"/>
      <c r="W1196" s="133"/>
      <c r="X1196" s="133"/>
      <c r="Y1196" s="133"/>
      <c r="Z1196" s="133"/>
    </row>
    <row r="1197">
      <c r="A1197" s="133">
        <f>IFERROR(__xludf.DUMMYFUNCTION("""COMPUTED_VALUE"""),1196.0)</f>
        <v>1196</v>
      </c>
      <c r="B1197" s="133"/>
      <c r="C1197" s="133" t="str">
        <f>IFERROR(__xludf.DUMMYFUNCTION("""COMPUTED_VALUE"""),"P-1-N-150223-941")</f>
        <v>P-1-N-150223-941</v>
      </c>
      <c r="D1197" s="133"/>
      <c r="E1197" s="133" t="str">
        <f>IFERROR(__xludf.DUMMYFUNCTION("""COMPUTED_VALUE"""),"تمت طباعة الشهادة")</f>
        <v>تمت طباعة الشهادة</v>
      </c>
      <c r="F1197" s="133" t="str">
        <f>IFERROR(__xludf.DUMMYFUNCTION("""COMPUTED_VALUE"""),"ZUPREEM FRUITBLEND MEDIUM 200g")</f>
        <v>ZUPREEM FRUITBLEND MEDIUM 200g</v>
      </c>
      <c r="G1197" s="133" t="str">
        <f>IFERROR(__xludf.DUMMYFUNCTION("""COMPUTED_VALUE"""),"زوبريم فروتبلند متوسط 200جم")</f>
        <v>زوبريم فروتبلند متوسط 200جم</v>
      </c>
      <c r="H1197" s="133"/>
      <c r="I1197" s="133"/>
      <c r="J1197" s="133"/>
      <c r="K1197" s="133" t="str">
        <f>IFERROR(__xludf.DUMMYFUNCTION("""COMPUTED_VALUE"""),"شركة المنتجات الغذائية المتميزة")</f>
        <v>شركة المنتجات الغذائية المتميزة</v>
      </c>
      <c r="L1197" s="133"/>
      <c r="M1197" s="133"/>
      <c r="N1197" s="133"/>
      <c r="O1197" s="133"/>
      <c r="P1197" s="133"/>
      <c r="Q1197" s="133"/>
      <c r="R1197" s="133"/>
      <c r="S1197" s="133"/>
      <c r="T1197" s="133"/>
      <c r="U1197" s="133"/>
      <c r="V1197" s="133"/>
      <c r="W1197" s="133"/>
      <c r="X1197" s="133"/>
      <c r="Y1197" s="133"/>
      <c r="Z1197" s="133"/>
    </row>
    <row r="1198">
      <c r="A1198" s="133">
        <f>IFERROR(__xludf.DUMMYFUNCTION("""COMPUTED_VALUE"""),1197.0)</f>
        <v>1197</v>
      </c>
      <c r="B1198" s="133" t="str">
        <f>IFERROR(__xludf.DUMMYFUNCTION("""COMPUTED_VALUE"""),"1008048")</f>
        <v>1008048</v>
      </c>
      <c r="C1198" s="133" t="str">
        <f>IFERROR(__xludf.DUMMYFUNCTION("""COMPUTED_VALUE"""),"P-1-N-150223-942")</f>
        <v>P-1-N-150223-942</v>
      </c>
      <c r="D1198" s="133"/>
      <c r="E1198" s="133" t="str">
        <f>IFERROR(__xludf.DUMMYFUNCTION("""COMPUTED_VALUE"""),"تمت طباعة الشهادة")</f>
        <v>تمت طباعة الشهادة</v>
      </c>
      <c r="F1198" s="133" t="str">
        <f>IFERROR(__xludf.DUMMYFUNCTION("""COMPUTED_VALUE"""),"ZUPREEM FRUITBLEND MEDIUM 397g")</f>
        <v>ZUPREEM FRUITBLEND MEDIUM 397g</v>
      </c>
      <c r="G1198" s="133" t="str">
        <f>IFERROR(__xludf.DUMMYFUNCTION("""COMPUTED_VALUE"""),"زوبريم فروتبلند متوسط 397 جم")</f>
        <v>زوبريم فروتبلند متوسط 397 جم</v>
      </c>
      <c r="H1198" s="133"/>
      <c r="I1198" s="133"/>
      <c r="J1198" s="133"/>
      <c r="K1198" s="133" t="str">
        <f>IFERROR(__xludf.DUMMYFUNCTION("""COMPUTED_VALUE"""),"شركة المنتجات الغذائية المتميزة")</f>
        <v>شركة المنتجات الغذائية المتميزة</v>
      </c>
      <c r="L1198" s="142" t="str">
        <f>IFERROR(__xludf.DUMMYFUNCTION("""COMPUTED_VALUE"""),"1008048")</f>
        <v>1008048</v>
      </c>
      <c r="M1198" s="133"/>
      <c r="N1198" s="133"/>
      <c r="O1198" s="133"/>
      <c r="P1198" s="133"/>
      <c r="Q1198" s="133"/>
      <c r="R1198" s="133"/>
      <c r="S1198" s="133"/>
      <c r="T1198" s="133"/>
      <c r="U1198" s="133"/>
      <c r="V1198" s="133"/>
      <c r="W1198" s="133"/>
      <c r="X1198" s="133"/>
      <c r="Y1198" s="133"/>
      <c r="Z1198" s="133"/>
    </row>
    <row r="1199">
      <c r="A1199" s="133">
        <f>IFERROR(__xludf.DUMMYFUNCTION("""COMPUTED_VALUE"""),1198.0)</f>
        <v>1198</v>
      </c>
      <c r="B1199" s="133"/>
      <c r="C1199" s="133" t="str">
        <f>IFERROR(__xludf.DUMMYFUNCTION("""COMPUTED_VALUE"""),"P-1-N-150223-944")</f>
        <v>P-1-N-150223-944</v>
      </c>
      <c r="D1199" s="133"/>
      <c r="E1199" s="133" t="str">
        <f>IFERROR(__xludf.DUMMYFUNCTION("""COMPUTED_VALUE"""),"تمت طباعة الشهادة")</f>
        <v>تمت طباعة الشهادة</v>
      </c>
      <c r="F1199" s="133" t="str">
        <f>IFERROR(__xludf.DUMMYFUNCTION("""COMPUTED_VALUE"""),"ZUPREEM FRUITBLEND PARROTS &amp; CONURES 1.6 kg")</f>
        <v>ZUPREEM FRUITBLEND PARROTS &amp; CONURES 1.6 kg</v>
      </c>
      <c r="G1199" s="133" t="str">
        <f>IFERROR(__xludf.DUMMYFUNCTION("""COMPUTED_VALUE"""),"زوبريم فروتبلند الببغاوات و الكنيور 1.6 كجم")</f>
        <v>زوبريم فروتبلند الببغاوات و الكنيور 1.6 كجم</v>
      </c>
      <c r="H1199" s="133"/>
      <c r="I1199" s="133"/>
      <c r="J1199" s="133"/>
      <c r="K1199" s="133" t="str">
        <f>IFERROR(__xludf.DUMMYFUNCTION("""COMPUTED_VALUE"""),"شركة المنتجات الغذائية المتميزة")</f>
        <v>شركة المنتجات الغذائية المتميزة</v>
      </c>
      <c r="L1199" s="133"/>
      <c r="M1199" s="133"/>
      <c r="N1199" s="133"/>
      <c r="O1199" s="133"/>
      <c r="P1199" s="133"/>
      <c r="Q1199" s="133"/>
      <c r="R1199" s="133"/>
      <c r="S1199" s="133"/>
      <c r="T1199" s="133"/>
      <c r="U1199" s="133"/>
      <c r="V1199" s="133"/>
      <c r="W1199" s="133"/>
      <c r="X1199" s="133"/>
      <c r="Y1199" s="133"/>
      <c r="Z1199" s="133"/>
    </row>
    <row r="1200">
      <c r="A1200" s="133">
        <f>IFERROR(__xludf.DUMMYFUNCTION("""COMPUTED_VALUE"""),1199.0)</f>
        <v>1199</v>
      </c>
      <c r="B1200" s="133"/>
      <c r="C1200" s="133" t="str">
        <f>IFERROR(__xludf.DUMMYFUNCTION("""COMPUTED_VALUE"""),"P-1-N-150223-945")</f>
        <v>P-1-N-150223-945</v>
      </c>
      <c r="D1200" s="133"/>
      <c r="E1200" s="133" t="str">
        <f>IFERROR(__xludf.DUMMYFUNCTION("""COMPUTED_VALUE"""),"تمت طباعة الشهادة")</f>
        <v>تمت طباعة الشهادة</v>
      </c>
      <c r="F1200" s="133" t="str">
        <f>IFERROR(__xludf.DUMMYFUNCTION("""COMPUTED_VALUE"""),"ZUPREEM")</f>
        <v>ZUPREEM</v>
      </c>
      <c r="G1200" s="133" t="str">
        <f>IFERROR(__xludf.DUMMYFUNCTION("""COMPUTED_VALUE"""),"زوبريم فروتبلند الببغاوات و الكنيور 5.4 كجم")</f>
        <v>زوبريم فروتبلند الببغاوات و الكنيور 5.4 كجم</v>
      </c>
      <c r="H1200" s="133"/>
      <c r="I1200" s="133"/>
      <c r="J1200" s="133"/>
      <c r="K1200" s="133" t="str">
        <f>IFERROR(__xludf.DUMMYFUNCTION("""COMPUTED_VALUE"""),"شركة المنتجات الغذائية المتميزة")</f>
        <v>شركة المنتجات الغذائية المتميزة</v>
      </c>
      <c r="L1200" s="133"/>
      <c r="M1200" s="133"/>
      <c r="N1200" s="133"/>
      <c r="O1200" s="133"/>
      <c r="P1200" s="133"/>
      <c r="Q1200" s="133"/>
      <c r="R1200" s="133"/>
      <c r="S1200" s="133"/>
      <c r="T1200" s="133"/>
      <c r="U1200" s="133"/>
      <c r="V1200" s="133"/>
      <c r="W1200" s="133"/>
      <c r="X1200" s="133"/>
      <c r="Y1200" s="133"/>
      <c r="Z1200" s="133"/>
    </row>
    <row r="1201">
      <c r="A1201" s="133">
        <f>IFERROR(__xludf.DUMMYFUNCTION("""COMPUTED_VALUE"""),1200.0)</f>
        <v>1200</v>
      </c>
      <c r="B1201" s="133" t="str">
        <f>IFERROR(__xludf.DUMMYFUNCTION("""COMPUTED_VALUE"""),"1008063")</f>
        <v>1008063</v>
      </c>
      <c r="C1201" s="133" t="str">
        <f>IFERROR(__xludf.DUMMYFUNCTION("""COMPUTED_VALUE"""),"P-1-N-150223-946")</f>
        <v>P-1-N-150223-946</v>
      </c>
      <c r="D1201" s="133"/>
      <c r="E1201" s="133" t="str">
        <f>IFERROR(__xludf.DUMMYFUNCTION("""COMPUTED_VALUE"""),"تمت طباعة الشهادة")</f>
        <v>تمت طباعة الشهادة</v>
      </c>
      <c r="F1201" s="133" t="str">
        <f>IFERROR(__xludf.DUMMYFUNCTION("""COMPUTED_VALUE"""),"ZUPREEM FRUITBLEND LARGE 1.6 kg")</f>
        <v>ZUPREEM FRUITBLEND LARGE 1.6 kg</v>
      </c>
      <c r="G1201" s="133" t="str">
        <f>IFERROR(__xludf.DUMMYFUNCTION("""COMPUTED_VALUE"""),"زوبريم فروتبلند كبير 1.6 كجم")</f>
        <v>زوبريم فروتبلند كبير 1.6 كجم</v>
      </c>
      <c r="H1201" s="133"/>
      <c r="I1201" s="133"/>
      <c r="J1201" s="133"/>
      <c r="K1201" s="133" t="str">
        <f>IFERROR(__xludf.DUMMYFUNCTION("""COMPUTED_VALUE"""),"شركة المنتجات الغذائية المتميزة")</f>
        <v>شركة المنتجات الغذائية المتميزة</v>
      </c>
      <c r="L1201" s="142" t="str">
        <f>IFERROR(__xludf.DUMMYFUNCTION("""COMPUTED_VALUE"""),"1008063")</f>
        <v>1008063</v>
      </c>
      <c r="M1201" s="133"/>
      <c r="N1201" s="133"/>
      <c r="O1201" s="133"/>
      <c r="P1201" s="133"/>
      <c r="Q1201" s="133"/>
      <c r="R1201" s="133"/>
      <c r="S1201" s="133"/>
      <c r="T1201" s="133"/>
      <c r="U1201" s="133"/>
      <c r="V1201" s="133"/>
      <c r="W1201" s="133"/>
      <c r="X1201" s="133"/>
      <c r="Y1201" s="133"/>
      <c r="Z1201" s="133"/>
    </row>
    <row r="1202">
      <c r="A1202" s="133">
        <f>IFERROR(__xludf.DUMMYFUNCTION("""COMPUTED_VALUE"""),1201.0)</f>
        <v>1201</v>
      </c>
      <c r="B1202" s="133" t="str">
        <f>IFERROR(__xludf.DUMMYFUNCTION("""COMPUTED_VALUE"""),"1008064")</f>
        <v>1008064</v>
      </c>
      <c r="C1202" s="133" t="str">
        <f>IFERROR(__xludf.DUMMYFUNCTION("""COMPUTED_VALUE"""),"P-1-N-150223-948")</f>
        <v>P-1-N-150223-948</v>
      </c>
      <c r="D1202" s="133"/>
      <c r="E1202" s="133" t="str">
        <f>IFERROR(__xludf.DUMMYFUNCTION("""COMPUTED_VALUE"""),"تمت طباعة الشهادة")</f>
        <v>تمت طباعة الشهادة</v>
      </c>
      <c r="F1202" s="133" t="str">
        <f>IFERROR(__xludf.DUMMYFUNCTION("""COMPUTED_VALUE"""),"ZUPREEM FRUITBLEND LARGE 5.4 kg")</f>
        <v>ZUPREEM FRUITBLEND LARGE 5.4 kg</v>
      </c>
      <c r="G1202" s="133" t="str">
        <f>IFERROR(__xludf.DUMMYFUNCTION("""COMPUTED_VALUE"""),"زوبريم فروتبلند كبير 5.4 كجم")</f>
        <v>زوبريم فروتبلند كبير 5.4 كجم</v>
      </c>
      <c r="H1202" s="133"/>
      <c r="I1202" s="133"/>
      <c r="J1202" s="133"/>
      <c r="K1202" s="133" t="str">
        <f>IFERROR(__xludf.DUMMYFUNCTION("""COMPUTED_VALUE"""),"شركة المنتجات الغذائية المتميزة")</f>
        <v>شركة المنتجات الغذائية المتميزة</v>
      </c>
      <c r="L1202" s="142" t="str">
        <f>IFERROR(__xludf.DUMMYFUNCTION("""COMPUTED_VALUE"""),"1008064")</f>
        <v>1008064</v>
      </c>
      <c r="M1202" s="133"/>
      <c r="N1202" s="133"/>
      <c r="O1202" s="133"/>
      <c r="P1202" s="133"/>
      <c r="Q1202" s="133"/>
      <c r="R1202" s="133"/>
      <c r="S1202" s="133"/>
      <c r="T1202" s="133"/>
      <c r="U1202" s="133"/>
      <c r="V1202" s="133"/>
      <c r="W1202" s="133"/>
      <c r="X1202" s="133"/>
      <c r="Y1202" s="133"/>
      <c r="Z1202" s="133"/>
    </row>
    <row r="1203">
      <c r="A1203" s="133">
        <f>IFERROR(__xludf.DUMMYFUNCTION("""COMPUTED_VALUE"""),1202.0)</f>
        <v>1202</v>
      </c>
      <c r="B1203" s="133" t="str">
        <f>IFERROR(__xludf.DUMMYFUNCTION("""COMPUTED_VALUE"""),"1008069")</f>
        <v>1008069</v>
      </c>
      <c r="C1203" s="133" t="str">
        <f>IFERROR(__xludf.DUMMYFUNCTION("""COMPUTED_VALUE"""),"P-1-N-150223-949")</f>
        <v>P-1-N-150223-949</v>
      </c>
      <c r="D1203" s="133"/>
      <c r="E1203" s="133" t="str">
        <f>IFERROR(__xludf.DUMMYFUNCTION("""COMPUTED_VALUE"""),"تمت طباعة الشهادة")</f>
        <v>تمت طباعة الشهادة</v>
      </c>
      <c r="F1203" s="133" t="str">
        <f>IFERROR(__xludf.DUMMYFUNCTION("""COMPUTED_VALUE"""),"ZUPREEM NUTBLEND PARROTS &amp; CONURES 7.94 kg")</f>
        <v>ZUPREEM NUTBLEND PARROTS &amp; CONURES 7.94 kg</v>
      </c>
      <c r="G1203" s="133" t="str">
        <f>IFERROR(__xludf.DUMMYFUNCTION("""COMPUTED_VALUE"""),"زوبريم نوتبلند الببغاوات و الكنيور 7.94 كجم")</f>
        <v>زوبريم نوتبلند الببغاوات و الكنيور 7.94 كجم</v>
      </c>
      <c r="H1203" s="133"/>
      <c r="I1203" s="133"/>
      <c r="J1203" s="133"/>
      <c r="K1203" s="133" t="str">
        <f>IFERROR(__xludf.DUMMYFUNCTION("""COMPUTED_VALUE"""),"شركة المنتجات الغذائية المتميزة")</f>
        <v>شركة المنتجات الغذائية المتميزة</v>
      </c>
      <c r="L1203" s="142" t="str">
        <f>IFERROR(__xludf.DUMMYFUNCTION("""COMPUTED_VALUE"""),"1008069")</f>
        <v>1008069</v>
      </c>
      <c r="M1203" s="133"/>
      <c r="N1203" s="133"/>
      <c r="O1203" s="133"/>
      <c r="P1203" s="133"/>
      <c r="Q1203" s="133"/>
      <c r="R1203" s="133"/>
      <c r="S1203" s="133"/>
      <c r="T1203" s="133"/>
      <c r="U1203" s="133"/>
      <c r="V1203" s="133"/>
      <c r="W1203" s="133"/>
      <c r="X1203" s="133"/>
      <c r="Y1203" s="133"/>
      <c r="Z1203" s="133"/>
    </row>
    <row r="1204">
      <c r="A1204" s="133">
        <f>IFERROR(__xludf.DUMMYFUNCTION("""COMPUTED_VALUE"""),1203.0)</f>
        <v>1203</v>
      </c>
      <c r="B1204" s="133" t="str">
        <f>IFERROR(__xludf.DUMMYFUNCTION("""COMPUTED_VALUE"""),"1008070")</f>
        <v>1008070</v>
      </c>
      <c r="C1204" s="133" t="str">
        <f>IFERROR(__xludf.DUMMYFUNCTION("""COMPUTED_VALUE"""),"P-1-N-150223-950")</f>
        <v>P-1-N-150223-950</v>
      </c>
      <c r="D1204" s="133"/>
      <c r="E1204" s="133" t="str">
        <f>IFERROR(__xludf.DUMMYFUNCTION("""COMPUTED_VALUE"""),"تمت طباعة الشهادة")</f>
        <v>تمت طباعة الشهادة</v>
      </c>
      <c r="F1204" s="133" t="str">
        <f>IFERROR(__xludf.DUMMYFUNCTION("""COMPUTED_VALUE"""),"ZUPREEM VEGGIEBLEND MEDIUM 907 kg")</f>
        <v>ZUPREEM VEGGIEBLEND MEDIUM 907 kg</v>
      </c>
      <c r="G1204" s="133" t="str">
        <f>IFERROR(__xludf.DUMMYFUNCTION("""COMPUTED_VALUE"""),"زوبريم فيجيبلند متوسط 907 كجم")</f>
        <v>زوبريم فيجيبلند متوسط 907 كجم</v>
      </c>
      <c r="H1204" s="133"/>
      <c r="I1204" s="133"/>
      <c r="J1204" s="133"/>
      <c r="K1204" s="133" t="str">
        <f>IFERROR(__xludf.DUMMYFUNCTION("""COMPUTED_VALUE"""),"شركة المنتجات الغذائية المتميزة")</f>
        <v>شركة المنتجات الغذائية المتميزة</v>
      </c>
      <c r="L1204" s="142" t="str">
        <f>IFERROR(__xludf.DUMMYFUNCTION("""COMPUTED_VALUE"""),"1008070")</f>
        <v>1008070</v>
      </c>
      <c r="M1204" s="133"/>
      <c r="N1204" s="133"/>
      <c r="O1204" s="133"/>
      <c r="P1204" s="133"/>
      <c r="Q1204" s="133"/>
      <c r="R1204" s="133"/>
      <c r="S1204" s="133"/>
      <c r="T1204" s="133"/>
      <c r="U1204" s="133"/>
      <c r="V1204" s="133"/>
      <c r="W1204" s="133"/>
      <c r="X1204" s="133"/>
      <c r="Y1204" s="133"/>
      <c r="Z1204" s="133"/>
    </row>
    <row r="1205">
      <c r="A1205" s="133">
        <f>IFERROR(__xludf.DUMMYFUNCTION("""COMPUTED_VALUE"""),1204.0)</f>
        <v>1204</v>
      </c>
      <c r="B1205" s="133" t="str">
        <f>IFERROR(__xludf.DUMMYFUNCTION("""COMPUTED_VALUE"""),"1008072")</f>
        <v>1008072</v>
      </c>
      <c r="C1205" s="133" t="str">
        <f>IFERROR(__xludf.DUMMYFUNCTION("""COMPUTED_VALUE"""),"P-1-N-150223-951")</f>
        <v>P-1-N-150223-951</v>
      </c>
      <c r="D1205" s="133"/>
      <c r="E1205" s="133" t="str">
        <f>IFERROR(__xludf.DUMMYFUNCTION("""COMPUTED_VALUE"""),"تمت طباعة الشهادة")</f>
        <v>تمت طباعة الشهادة</v>
      </c>
      <c r="F1205" s="133" t="str">
        <f>IFERROR(__xludf.DUMMYFUNCTION("""COMPUTED_VALUE"""),"ZUPREEM VEGGIEBLEND PARROTS &amp; CONURES 7.94 kg")</f>
        <v>ZUPREEM VEGGIEBLEND PARROTS &amp; CONURES 7.94 kg</v>
      </c>
      <c r="G1205" s="133" t="str">
        <f>IFERROR(__xludf.DUMMYFUNCTION("""COMPUTED_VALUE"""),"زوبريم فيجيبلند الببغاوات و الكنيور 7.94 كجم")</f>
        <v>زوبريم فيجيبلند الببغاوات و الكنيور 7.94 كجم</v>
      </c>
      <c r="H1205" s="133"/>
      <c r="I1205" s="133"/>
      <c r="J1205" s="133"/>
      <c r="K1205" s="133" t="str">
        <f>IFERROR(__xludf.DUMMYFUNCTION("""COMPUTED_VALUE"""),"شركة المنتجات الغذائية المتميزة")</f>
        <v>شركة المنتجات الغذائية المتميزة</v>
      </c>
      <c r="L1205" s="142" t="str">
        <f>IFERROR(__xludf.DUMMYFUNCTION("""COMPUTED_VALUE"""),"1008072")</f>
        <v>1008072</v>
      </c>
      <c r="M1205" s="133"/>
      <c r="N1205" s="133"/>
      <c r="O1205" s="133"/>
      <c r="P1205" s="133"/>
      <c r="Q1205" s="133"/>
      <c r="R1205" s="133"/>
      <c r="S1205" s="133"/>
      <c r="T1205" s="133"/>
      <c r="U1205" s="133"/>
      <c r="V1205" s="133"/>
      <c r="W1205" s="133"/>
      <c r="X1205" s="133"/>
      <c r="Y1205" s="133"/>
      <c r="Z1205" s="133"/>
    </row>
    <row r="1206">
      <c r="A1206" s="133">
        <f>IFERROR(__xludf.DUMMYFUNCTION("""COMPUTED_VALUE"""),1205.0)</f>
        <v>1205</v>
      </c>
      <c r="B1206" s="133"/>
      <c r="C1206" s="133" t="str">
        <f>IFERROR(__xludf.DUMMYFUNCTION("""COMPUTED_VALUE"""),"P-1-N-150223-952")</f>
        <v>P-1-N-150223-952</v>
      </c>
      <c r="D1206" s="133"/>
      <c r="E1206" s="133" t="str">
        <f>IFERROR(__xludf.DUMMYFUNCTION("""COMPUTED_VALUE"""),"تمت طباعة الشهادة")</f>
        <v>تمت طباعة الشهادة</v>
      </c>
      <c r="F1206" s="133" t="str">
        <f>IFERROR(__xludf.DUMMYFUNCTION("""COMPUTED_VALUE"""),"ZUPREEM TIMOTHY NATURALS HAY 1.6kg")</f>
        <v>ZUPREEM TIMOTHY NATURALS HAY 1.6kg</v>
      </c>
      <c r="G1206" s="133" t="str">
        <f>IFERROR(__xludf.DUMMYFUNCTION("""COMPUTED_VALUE"""),"زوبريم تيموثي ناتشورالز هاي 1.6 كجم")</f>
        <v>زوبريم تيموثي ناتشورالز هاي 1.6 كجم</v>
      </c>
      <c r="H1206" s="133"/>
      <c r="I1206" s="133"/>
      <c r="J1206" s="133"/>
      <c r="K1206" s="133" t="str">
        <f>IFERROR(__xludf.DUMMYFUNCTION("""COMPUTED_VALUE"""),"شركة المنتجات الغذائية المتميزة")</f>
        <v>شركة المنتجات الغذائية المتميزة</v>
      </c>
      <c r="L1206" s="133"/>
      <c r="M1206" s="133"/>
      <c r="N1206" s="133"/>
      <c r="O1206" s="133"/>
      <c r="P1206" s="133"/>
      <c r="Q1206" s="133"/>
      <c r="R1206" s="133"/>
      <c r="S1206" s="133"/>
      <c r="T1206" s="133"/>
      <c r="U1206" s="133"/>
      <c r="V1206" s="133"/>
      <c r="W1206" s="133"/>
      <c r="X1206" s="133"/>
      <c r="Y1206" s="133"/>
      <c r="Z1206" s="133"/>
    </row>
    <row r="1207">
      <c r="A1207" s="133">
        <f>IFERROR(__xludf.DUMMYFUNCTION("""COMPUTED_VALUE"""),1206.0)</f>
        <v>1206</v>
      </c>
      <c r="B1207" s="133"/>
      <c r="C1207" s="133" t="str">
        <f>IFERROR(__xludf.DUMMYFUNCTION("""COMPUTED_VALUE"""),"P-1-N-150223-953")</f>
        <v>P-1-N-150223-953</v>
      </c>
      <c r="D1207" s="133"/>
      <c r="E1207" s="133" t="str">
        <f>IFERROR(__xludf.DUMMYFUNCTION("""COMPUTED_VALUE"""),"مكتمل")</f>
        <v>مكتمل</v>
      </c>
      <c r="F1207" s="133" t="str">
        <f>IFERROR(__xludf.DUMMYFUNCTION("""COMPUTED_VALUE"""),"ZUPREEM TIMOTHY NATURALS GUINEA PIG 1.6kg")</f>
        <v>ZUPREEM TIMOTHY NATURALS GUINEA PIG 1.6kg</v>
      </c>
      <c r="G1207" s="133" t="str">
        <f>IFERROR(__xludf.DUMMYFUNCTION("""COMPUTED_VALUE"""),"زوبريم تيموثي ناتشورالز الخنازير الغينيا 1.6 كجم")</f>
        <v>زوبريم تيموثي ناتشورالز الخنازير الغينيا 1.6 كجم</v>
      </c>
      <c r="H1207" s="133" t="str">
        <f>IFERROR(__xludf.DUMMYFUNCTION("""COMPUTED_VALUE"""),"FOM-2024-7157-FEB-2024-55343 -C-0041-76150
")</f>
        <v>FOM-2024-7157-FEB-2024-55343 -C-0041-76150
</v>
      </c>
      <c r="I1207" s="133"/>
      <c r="J1207" s="133"/>
      <c r="K1207" s="133" t="str">
        <f>IFERROR(__xludf.DUMMYFUNCTION("""COMPUTED_VALUE"""),"شركة المنتجات الغذائية المتميزة")</f>
        <v>شركة المنتجات الغذائية المتميزة</v>
      </c>
      <c r="L1207" s="133"/>
      <c r="M1207" s="133"/>
      <c r="N1207" s="133"/>
      <c r="O1207" s="133"/>
      <c r="P1207" s="133"/>
      <c r="Q1207" s="133"/>
      <c r="R1207" s="133"/>
      <c r="S1207" s="133"/>
      <c r="T1207" s="133"/>
      <c r="U1207" s="133"/>
      <c r="V1207" s="133"/>
      <c r="W1207" s="133"/>
      <c r="X1207" s="133"/>
      <c r="Y1207" s="133"/>
      <c r="Z1207" s="133"/>
    </row>
    <row r="1208">
      <c r="A1208" s="133">
        <f>IFERROR(__xludf.DUMMYFUNCTION("""COMPUTED_VALUE"""),1207.0)</f>
        <v>1207</v>
      </c>
      <c r="B1208" s="133"/>
      <c r="C1208" s="133" t="str">
        <f>IFERROR(__xludf.DUMMYFUNCTION("""COMPUTED_VALUE"""),"P-1-N-160223-984")</f>
        <v>P-1-N-160223-984</v>
      </c>
      <c r="D1208" s="133"/>
      <c r="E1208" s="133" t="str">
        <f>IFERROR(__xludf.DUMMYFUNCTION("""COMPUTED_VALUE"""),"تمت طباعة الشهادة")</f>
        <v>تمت طباعة الشهادة</v>
      </c>
      <c r="F1208" s="133" t="str">
        <f>IFERROR(__xludf.DUMMYFUNCTION("""COMPUTED_VALUE"""),"EXPERT BUDGIE MIX MIDDLE EAST 20KG")</f>
        <v>EXPERT BUDGIE MIX MIDDLE EAST 20KG</v>
      </c>
      <c r="G1208" s="133" t="str">
        <f>IFERROR(__xludf.DUMMYFUNCTION("""COMPUTED_VALUE"""),"اكسبرت بادجي ميكس ميدل ايست 20 كجم")</f>
        <v>اكسبرت بادجي ميكس ميدل ايست 20 كجم</v>
      </c>
      <c r="H1208" s="133" t="str">
        <f>IFERROR(__xludf.DUMMYFUNCTION("""COMPUTED_VALUE"""),"MAFE2023598
")</f>
        <v>MAFE2023598
</v>
      </c>
      <c r="I1208" s="133"/>
      <c r="J1208" s="133"/>
      <c r="K1208" s="133" t="str">
        <f>IFERROR(__xludf.DUMMYFUNCTION("""COMPUTED_VALUE"""),"ويت مولين بي في")</f>
        <v>ويت مولين بي في</v>
      </c>
      <c r="L1208" s="133"/>
      <c r="M1208" s="133"/>
      <c r="N1208" s="133"/>
      <c r="O1208" s="133"/>
      <c r="P1208" s="133"/>
      <c r="Q1208" s="133"/>
      <c r="R1208" s="133"/>
      <c r="S1208" s="133"/>
      <c r="T1208" s="133"/>
      <c r="U1208" s="133"/>
      <c r="V1208" s="133"/>
      <c r="W1208" s="133"/>
      <c r="X1208" s="133"/>
      <c r="Y1208" s="133"/>
      <c r="Z1208" s="133"/>
    </row>
    <row r="1209">
      <c r="A1209" s="133">
        <f>IFERROR(__xludf.DUMMYFUNCTION("""COMPUTED_VALUE"""),1208.0)</f>
        <v>1208</v>
      </c>
      <c r="B1209" s="133"/>
      <c r="C1209" s="133" t="str">
        <f>IFERROR(__xludf.DUMMYFUNCTION("""COMPUTED_VALUE"""),"P-1-N-160223-985")</f>
        <v>P-1-N-160223-985</v>
      </c>
      <c r="D1209" s="133"/>
      <c r="E1209" s="133" t="str">
        <f>IFERROR(__xludf.DUMMYFUNCTION("""COMPUTED_VALUE"""),"تمت طباعة الشهادة")</f>
        <v>تمت طباعة الشهادة</v>
      </c>
      <c r="F1209" s="133" t="str">
        <f>IFERROR(__xludf.DUMMYFUNCTION("""COMPUTED_VALUE"""),"EXPERT PARROTS MIDDLE EAST 12.5 KG")</f>
        <v>EXPERT PARROTS MIDDLE EAST 12.5 KG</v>
      </c>
      <c r="G1209" s="133" t="str">
        <f>IFERROR(__xludf.DUMMYFUNCTION("""COMPUTED_VALUE"""),"اكسبرت الببغاوات ميدل ايست 12.5 كجم")</f>
        <v>اكسبرت الببغاوات ميدل ايست 12.5 كجم</v>
      </c>
      <c r="H1209" s="133"/>
      <c r="I1209" s="133"/>
      <c r="J1209" s="133"/>
      <c r="K1209" s="133" t="str">
        <f>IFERROR(__xludf.DUMMYFUNCTION("""COMPUTED_VALUE"""),"ويت مولين بي في")</f>
        <v>ويت مولين بي في</v>
      </c>
      <c r="L1209" s="133"/>
      <c r="M1209" s="133"/>
      <c r="N1209" s="133"/>
      <c r="O1209" s="133"/>
      <c r="P1209" s="133"/>
      <c r="Q1209" s="133"/>
      <c r="R1209" s="133"/>
      <c r="S1209" s="133"/>
      <c r="T1209" s="133"/>
      <c r="U1209" s="133"/>
      <c r="V1209" s="133"/>
      <c r="W1209" s="133"/>
      <c r="X1209" s="133"/>
      <c r="Y1209" s="133"/>
      <c r="Z1209" s="133"/>
    </row>
    <row r="1210">
      <c r="A1210" s="133">
        <f>IFERROR(__xludf.DUMMYFUNCTION("""COMPUTED_VALUE"""),1209.0)</f>
        <v>1209</v>
      </c>
      <c r="B1210" s="133"/>
      <c r="C1210" s="133" t="str">
        <f>IFERROR(__xludf.DUMMYFUNCTION("""COMPUTED_VALUE"""),"P-1-N-210223-1095")</f>
        <v>P-1-N-210223-1095</v>
      </c>
      <c r="D1210" s="133"/>
      <c r="E1210" s="133" t="str">
        <f>IFERROR(__xludf.DUMMYFUNCTION("""COMPUTED_VALUE"""),"تمت طباعة الشهادة")</f>
        <v>تمت طباعة الشهادة</v>
      </c>
      <c r="F1210" s="133" t="str">
        <f>IFERROR(__xludf.DUMMYFUNCTION("""COMPUTED_VALUE"""),"Crispy")</f>
        <v>Crispy</v>
      </c>
      <c r="G1210" s="133" t="str">
        <f>IFERROR(__xludf.DUMMYFUNCTION("""COMPUTED_VALUE"""),"كريسبي توستيز جبن ١٥٠ جم")</f>
        <v>كريسبي توستيز جبن ١٥٠ جم</v>
      </c>
      <c r="H1210" s="133" t="str">
        <f>IFERROR(__xludf.DUMMYFUNCTION("""COMPUTED_VALUE"""),"MAFE2023825")</f>
        <v>MAFE2023825</v>
      </c>
      <c r="I1210" s="133"/>
      <c r="J1210" s="133"/>
      <c r="K1210" s="133" t="str">
        <f>IFERROR(__xludf.DUMMYFUNCTION("""COMPUTED_VALUE"""),"فيرسل لاقا ان في")</f>
        <v>فيرسل لاقا ان في</v>
      </c>
      <c r="L1210" s="133"/>
      <c r="M1210" s="133"/>
      <c r="N1210" s="133"/>
      <c r="O1210" s="133"/>
      <c r="P1210" s="133"/>
      <c r="Q1210" s="133"/>
      <c r="R1210" s="133"/>
      <c r="S1210" s="133"/>
      <c r="T1210" s="133"/>
      <c r="U1210" s="133"/>
      <c r="V1210" s="133"/>
      <c r="W1210" s="133"/>
      <c r="X1210" s="133"/>
      <c r="Y1210" s="133"/>
      <c r="Z1210" s="133"/>
    </row>
    <row r="1211">
      <c r="A1211" s="133">
        <f>IFERROR(__xludf.DUMMYFUNCTION("""COMPUTED_VALUE"""),1210.0)</f>
        <v>1210</v>
      </c>
      <c r="B1211" s="133" t="str">
        <f>IFERROR(__xludf.DUMMYFUNCTION("""COMPUTED_VALUE"""),"461484")</f>
        <v>461484</v>
      </c>
      <c r="C1211" s="133" t="str">
        <f>IFERROR(__xludf.DUMMYFUNCTION("""COMPUTED_VALUE"""),"P-1-N-210223-1096")</f>
        <v>P-1-N-210223-1096</v>
      </c>
      <c r="D1211" s="133"/>
      <c r="E1211" s="133" t="str">
        <f>IFERROR(__xludf.DUMMYFUNCTION("""COMPUTED_VALUE"""),"تمت طباعة الشهادة")</f>
        <v>تمت طباعة الشهادة</v>
      </c>
      <c r="F1211" s="133" t="str">
        <f>IFERROR(__xludf.DUMMYFUNCTION("""COMPUTED_VALUE"""),"Complete Crock Apple 50g")</f>
        <v>Complete Crock Apple 50g</v>
      </c>
      <c r="G1211" s="133" t="str">
        <f>IFERROR(__xludf.DUMMYFUNCTION("""COMPUTED_VALUE"""),"كومبليت كروك التفاح 50 جم")</f>
        <v>كومبليت كروك التفاح 50 جم</v>
      </c>
      <c r="H1211" s="133" t="str">
        <f>IFERROR(__xludf.DUMMYFUNCTION("""COMPUTED_VALUE"""),"MAFE2023806")</f>
        <v>MAFE2023806</v>
      </c>
      <c r="I1211" s="133"/>
      <c r="J1211" s="133"/>
      <c r="K1211" s="133" t="str">
        <f>IFERROR(__xludf.DUMMYFUNCTION("""COMPUTED_VALUE"""),"فيرسل لاقا ان في")</f>
        <v>فيرسل لاقا ان في</v>
      </c>
      <c r="L1211" s="142" t="str">
        <f>IFERROR(__xludf.DUMMYFUNCTION("""COMPUTED_VALUE"""),"461484")</f>
        <v>461484</v>
      </c>
      <c r="M1211" s="133"/>
      <c r="N1211" s="133"/>
      <c r="O1211" s="133"/>
      <c r="P1211" s="133"/>
      <c r="Q1211" s="133"/>
      <c r="R1211" s="133"/>
      <c r="S1211" s="133"/>
      <c r="T1211" s="133"/>
      <c r="U1211" s="133"/>
      <c r="V1211" s="133"/>
      <c r="W1211" s="133"/>
      <c r="X1211" s="133"/>
      <c r="Y1211" s="133"/>
      <c r="Z1211" s="133"/>
    </row>
    <row r="1212">
      <c r="A1212" s="133">
        <f>IFERROR(__xludf.DUMMYFUNCTION("""COMPUTED_VALUE"""),1211.0)</f>
        <v>1211</v>
      </c>
      <c r="B1212" s="133" t="str">
        <f>IFERROR(__xludf.DUMMYFUNCTION("""COMPUTED_VALUE"""),"461485")</f>
        <v>461485</v>
      </c>
      <c r="C1212" s="133" t="str">
        <f>IFERROR(__xludf.DUMMYFUNCTION("""COMPUTED_VALUE"""),"P-1-N-210223-1097")</f>
        <v>P-1-N-210223-1097</v>
      </c>
      <c r="D1212" s="133"/>
      <c r="E1212" s="133" t="str">
        <f>IFERROR(__xludf.DUMMYFUNCTION("""COMPUTED_VALUE"""),"تمت طباعة الشهادة")</f>
        <v>تمت طباعة الشهادة</v>
      </c>
      <c r="F1212" s="133" t="str">
        <f>IFERROR(__xludf.DUMMYFUNCTION("""COMPUTED_VALUE"""),"Complete Crock Carrot 50g")</f>
        <v>Complete Crock Carrot 50g</v>
      </c>
      <c r="G1212" s="133" t="str">
        <f>IFERROR(__xludf.DUMMYFUNCTION("""COMPUTED_VALUE"""),"كومبليت كروك الجزر 50 جم")</f>
        <v>كومبليت كروك الجزر 50 جم</v>
      </c>
      <c r="H1212" s="133" t="str">
        <f>IFERROR(__xludf.DUMMYFUNCTION("""COMPUTED_VALUE"""),"MAFE2023805")</f>
        <v>MAFE2023805</v>
      </c>
      <c r="I1212" s="133"/>
      <c r="J1212" s="133"/>
      <c r="K1212" s="133" t="str">
        <f>IFERROR(__xludf.DUMMYFUNCTION("""COMPUTED_VALUE"""),"فيرسل لاقا ان في")</f>
        <v>فيرسل لاقا ان في</v>
      </c>
      <c r="L1212" s="142" t="str">
        <f>IFERROR(__xludf.DUMMYFUNCTION("""COMPUTED_VALUE"""),"461485")</f>
        <v>461485</v>
      </c>
      <c r="M1212" s="133"/>
      <c r="N1212" s="133"/>
      <c r="O1212" s="133"/>
      <c r="P1212" s="133"/>
      <c r="Q1212" s="133"/>
      <c r="R1212" s="133"/>
      <c r="S1212" s="133"/>
      <c r="T1212" s="133"/>
      <c r="U1212" s="133"/>
      <c r="V1212" s="133"/>
      <c r="W1212" s="133"/>
      <c r="X1212" s="133"/>
      <c r="Y1212" s="133"/>
      <c r="Z1212" s="133"/>
    </row>
    <row r="1213">
      <c r="A1213" s="133">
        <f>IFERROR(__xludf.DUMMYFUNCTION("""COMPUTED_VALUE"""),1212.0)</f>
        <v>1212</v>
      </c>
      <c r="B1213" s="133"/>
      <c r="C1213" s="133" t="str">
        <f>IFERROR(__xludf.DUMMYFUNCTION("""COMPUTED_VALUE"""),"P-1-N-210223-1098")</f>
        <v>P-1-N-210223-1098</v>
      </c>
      <c r="D1213" s="133"/>
      <c r="E1213" s="133" t="str">
        <f>IFERROR(__xludf.DUMMYFUNCTION("""COMPUTED_VALUE"""),"تمت طباعة الشهادة")</f>
        <v>تمت طباعة الشهادة</v>
      </c>
      <c r="F1213" s="133" t="str">
        <f>IFERROR(__xludf.DUMMYFUNCTION("""COMPUTED_VALUE"""),"Complete Crock Berry 50g")</f>
        <v>Complete Crock Berry 50g</v>
      </c>
      <c r="G1213" s="133" t="str">
        <f>IFERROR(__xludf.DUMMYFUNCTION("""COMPUTED_VALUE"""),"كومبليت كروك التوت 50 جم")</f>
        <v>كومبليت كروك التوت 50 جم</v>
      </c>
      <c r="H1213" s="133" t="str">
        <f>IFERROR(__xludf.DUMMYFUNCTION("""COMPUTED_VALUE"""),"MAFE20231553")</f>
        <v>MAFE20231553</v>
      </c>
      <c r="I1213" s="133"/>
      <c r="J1213" s="133"/>
      <c r="K1213" s="133" t="str">
        <f>IFERROR(__xludf.DUMMYFUNCTION("""COMPUTED_VALUE"""),"فيرسل لاقا ان في")</f>
        <v>فيرسل لاقا ان في</v>
      </c>
      <c r="L1213" s="133"/>
      <c r="M1213" s="133"/>
      <c r="N1213" s="133"/>
      <c r="O1213" s="133"/>
      <c r="P1213" s="133"/>
      <c r="Q1213" s="133"/>
      <c r="R1213" s="133"/>
      <c r="S1213" s="133"/>
      <c r="T1213" s="133"/>
      <c r="U1213" s="133"/>
      <c r="V1213" s="133"/>
      <c r="W1213" s="133"/>
      <c r="X1213" s="133"/>
      <c r="Y1213" s="133"/>
      <c r="Z1213" s="133"/>
    </row>
    <row r="1214">
      <c r="A1214" s="133">
        <f>IFERROR(__xludf.DUMMYFUNCTION("""COMPUTED_VALUE"""),1213.0)</f>
        <v>1213</v>
      </c>
      <c r="B1214" s="133" t="str">
        <f>IFERROR(__xludf.DUMMYFUNCTION("""COMPUTED_VALUE"""),"460221")</f>
        <v>460221</v>
      </c>
      <c r="C1214" s="133" t="str">
        <f>IFERROR(__xludf.DUMMYFUNCTION("""COMPUTED_VALUE"""),"P-1-N-210223-1099")</f>
        <v>P-1-N-210223-1099</v>
      </c>
      <c r="D1214" s="133"/>
      <c r="E1214" s="133" t="str">
        <f>IFERROR(__xludf.DUMMYFUNCTION("""COMPUTED_VALUE"""),"تمت طباعة الشهادة")</f>
        <v>تمت طباعة الشهادة</v>
      </c>
      <c r="F1214" s="133" t="str">
        <f>IFERROR(__xludf.DUMMYFUNCTION("""COMPUTED_VALUE"""),"Oropharma Opti-Breed 500g")</f>
        <v>Oropharma Opti-Breed 500g</v>
      </c>
      <c r="G1214" s="133" t="str">
        <f>IFERROR(__xludf.DUMMYFUNCTION("""COMPUTED_VALUE"""),"أوروفارما اوبتي-بريد 500 جم")</f>
        <v>أوروفارما اوبتي-بريد 500 جم</v>
      </c>
      <c r="H1214" s="133" t="str">
        <f>IFERROR(__xludf.DUMMYFUNCTION("""COMPUTED_VALUE"""),"PRFE2023822")</f>
        <v>PRFE2023822</v>
      </c>
      <c r="I1214" s="133"/>
      <c r="J1214" s="133"/>
      <c r="K1214" s="133" t="str">
        <f>IFERROR(__xludf.DUMMYFUNCTION("""COMPUTED_VALUE"""),"فيرسل لاقا ان في")</f>
        <v>فيرسل لاقا ان في</v>
      </c>
      <c r="L1214" s="142" t="str">
        <f>IFERROR(__xludf.DUMMYFUNCTION("""COMPUTED_VALUE"""),"460221")</f>
        <v>460221</v>
      </c>
      <c r="M1214" s="133"/>
      <c r="N1214" s="133"/>
      <c r="O1214" s="133"/>
      <c r="P1214" s="133"/>
      <c r="Q1214" s="133"/>
      <c r="R1214" s="133"/>
      <c r="S1214" s="133"/>
      <c r="T1214" s="133"/>
      <c r="U1214" s="133"/>
      <c r="V1214" s="133"/>
      <c r="W1214" s="133"/>
      <c r="X1214" s="133"/>
      <c r="Y1214" s="133"/>
      <c r="Z1214" s="133"/>
    </row>
    <row r="1215">
      <c r="A1215" s="133">
        <f>IFERROR(__xludf.DUMMYFUNCTION("""COMPUTED_VALUE"""),1214.0)</f>
        <v>1214</v>
      </c>
      <c r="B1215" s="133"/>
      <c r="C1215" s="133" t="str">
        <f>IFERROR(__xludf.DUMMYFUNCTION("""COMPUTED_VALUE"""),"P-1-N-260223-1182")</f>
        <v>P-1-N-260223-1182</v>
      </c>
      <c r="D1215" s="133"/>
      <c r="E1215" s="133" t="str">
        <f>IFERROR(__xludf.DUMMYFUNCTION("""COMPUTED_VALUE"""),"تمت طباعة الشهادة")</f>
        <v>تمت طباعة الشهادة</v>
      </c>
      <c r="F1215" s="133" t="str">
        <f>IFERROR(__xludf.DUMMYFUNCTION("""COMPUTED_VALUE"""),"Filet Chicken with Duck 70g")</f>
        <v>Filet Chicken with Duck 70g</v>
      </c>
      <c r="G1215" s="133" t="str">
        <f>IFERROR(__xludf.DUMMYFUNCTION("""COMPUTED_VALUE"""),"فيليه دجاج مع البط 70 جم")</f>
        <v>فيليه دجاج مع البط 70 جم</v>
      </c>
      <c r="H1215" s="133" t="str">
        <f>IFERROR(__xludf.DUMMYFUNCTION("""COMPUTED_VALUE"""),"MAFE2023908")</f>
        <v>MAFE2023908</v>
      </c>
      <c r="I1215" s="133"/>
      <c r="J1215" s="133"/>
      <c r="K1215" s="133" t="str">
        <f>IFERROR(__xludf.DUMMYFUNCTION("""COMPUTED_VALUE"""),"شركة جوسيرا بت فود جي ام بي اتش كاي جي")</f>
        <v>شركة جوسيرا بت فود جي ام بي اتش كاي جي</v>
      </c>
      <c r="L1215" s="133"/>
      <c r="M1215" s="133"/>
      <c r="N1215" s="133"/>
      <c r="O1215" s="133"/>
      <c r="P1215" s="133"/>
      <c r="Q1215" s="133"/>
      <c r="R1215" s="133"/>
      <c r="S1215" s="133"/>
      <c r="T1215" s="133"/>
      <c r="U1215" s="133"/>
      <c r="V1215" s="133"/>
      <c r="W1215" s="133"/>
      <c r="X1215" s="133"/>
      <c r="Y1215" s="133"/>
      <c r="Z1215" s="133"/>
    </row>
    <row r="1216">
      <c r="A1216" s="133">
        <f>IFERROR(__xludf.DUMMYFUNCTION("""COMPUTED_VALUE"""),1215.0)</f>
        <v>1215</v>
      </c>
      <c r="B1216" s="133"/>
      <c r="C1216" s="133" t="str">
        <f>IFERROR(__xludf.DUMMYFUNCTION("""COMPUTED_VALUE"""),"P-1-N-260223-1183")</f>
        <v>P-1-N-260223-1183</v>
      </c>
      <c r="D1216" s="133"/>
      <c r="E1216" s="133" t="str">
        <f>IFERROR(__xludf.DUMMYFUNCTION("""COMPUTED_VALUE"""),"مرجع للتعديل")</f>
        <v>مرجع للتعديل</v>
      </c>
      <c r="F1216" s="133" t="str">
        <f>IFERROR(__xludf.DUMMYFUNCTION("""COMPUTED_VALUE"""),"Filet Chicken with Veal 70g")</f>
        <v>Filet Chicken with Veal 70g</v>
      </c>
      <c r="G1216" s="133" t="str">
        <f>IFERROR(__xludf.DUMMYFUNCTION("""COMPUTED_VALUE"""),"فيليه دجاج مع لحم العجل 70 جم")</f>
        <v>فيليه دجاج مع لحم العجل 70 جم</v>
      </c>
      <c r="H1216" s="133"/>
      <c r="I1216" s="133"/>
      <c r="J1216" s="133"/>
      <c r="K1216" s="133"/>
      <c r="L1216" s="133"/>
      <c r="M1216" s="133"/>
      <c r="N1216" s="133"/>
      <c r="O1216" s="133"/>
      <c r="P1216" s="133"/>
      <c r="Q1216" s="133"/>
      <c r="R1216" s="133"/>
      <c r="S1216" s="133"/>
      <c r="T1216" s="133"/>
      <c r="U1216" s="133"/>
      <c r="V1216" s="133"/>
      <c r="W1216" s="133"/>
      <c r="X1216" s="133"/>
      <c r="Y1216" s="133"/>
      <c r="Z1216" s="133"/>
    </row>
    <row r="1217">
      <c r="A1217" s="133">
        <f>IFERROR(__xludf.DUMMYFUNCTION("""COMPUTED_VALUE"""),1216.0)</f>
        <v>1216</v>
      </c>
      <c r="B1217" s="133"/>
      <c r="C1217" s="133" t="str">
        <f>IFERROR(__xludf.DUMMYFUNCTION("""COMPUTED_VALUE"""),"P-1-N-260223-1184")</f>
        <v>P-1-N-260223-1184</v>
      </c>
      <c r="D1217" s="133"/>
      <c r="E1217" s="133" t="str">
        <f>IFERROR(__xludf.DUMMYFUNCTION("""COMPUTED_VALUE"""),"مرجع للتعديل")</f>
        <v>مرجع للتعديل</v>
      </c>
      <c r="F1217" s="133" t="str">
        <f>IFERROR(__xludf.DUMMYFUNCTION("""COMPUTED_VALUE"""),"Filet Chicken with Salmon 70g")</f>
        <v>Filet Chicken with Salmon 70g</v>
      </c>
      <c r="G1217" s="133" t="str">
        <f>IFERROR(__xludf.DUMMYFUNCTION("""COMPUTED_VALUE"""),"فيليه دجاج مع سمك السالمون 70 جم")</f>
        <v>فيليه دجاج مع سمك السالمون 70 جم</v>
      </c>
      <c r="H1217" s="133"/>
      <c r="I1217" s="133"/>
      <c r="J1217" s="133"/>
      <c r="K1217" s="133"/>
      <c r="L1217" s="133"/>
      <c r="M1217" s="133"/>
      <c r="N1217" s="133"/>
      <c r="O1217" s="133"/>
      <c r="P1217" s="133"/>
      <c r="Q1217" s="133"/>
      <c r="R1217" s="133"/>
      <c r="S1217" s="133"/>
      <c r="T1217" s="133"/>
      <c r="U1217" s="133"/>
      <c r="V1217" s="133"/>
      <c r="W1217" s="133"/>
      <c r="X1217" s="133"/>
      <c r="Y1217" s="133"/>
      <c r="Z1217" s="133"/>
    </row>
    <row r="1218">
      <c r="A1218" s="133">
        <f>IFERROR(__xludf.DUMMYFUNCTION("""COMPUTED_VALUE"""),1217.0)</f>
        <v>1217</v>
      </c>
      <c r="B1218" s="133"/>
      <c r="C1218" s="133" t="str">
        <f>IFERROR(__xludf.DUMMYFUNCTION("""COMPUTED_VALUE"""),"P-1-N-260223-1185")</f>
        <v>P-1-N-260223-1185</v>
      </c>
      <c r="D1218" s="133"/>
      <c r="E1218" s="133" t="str">
        <f>IFERROR(__xludf.DUMMYFUNCTION("""COMPUTED_VALUE"""),"مرجع للتعديل")</f>
        <v>مرجع للتعديل</v>
      </c>
      <c r="F1218" s="133" t="str">
        <f>IFERROR(__xludf.DUMMYFUNCTION("""COMPUTED_VALUE"""),"Filet Chicken with Beef 70g")</f>
        <v>Filet Chicken with Beef 70g</v>
      </c>
      <c r="G1218" s="133" t="str">
        <f>IFERROR(__xludf.DUMMYFUNCTION("""COMPUTED_VALUE"""),"فيليه دجاج مع لحم البقر 70 جم")</f>
        <v>فيليه دجاج مع لحم البقر 70 جم</v>
      </c>
      <c r="H1218" s="133"/>
      <c r="I1218" s="133"/>
      <c r="J1218" s="133"/>
      <c r="K1218" s="133"/>
      <c r="L1218" s="133"/>
      <c r="M1218" s="133"/>
      <c r="N1218" s="133"/>
      <c r="O1218" s="133"/>
      <c r="P1218" s="133"/>
      <c r="Q1218" s="133"/>
      <c r="R1218" s="133"/>
      <c r="S1218" s="133"/>
      <c r="T1218" s="133"/>
      <c r="U1218" s="133"/>
      <c r="V1218" s="133"/>
      <c r="W1218" s="133"/>
      <c r="X1218" s="133"/>
      <c r="Y1218" s="133"/>
      <c r="Z1218" s="133"/>
    </row>
    <row r="1219">
      <c r="A1219" s="133">
        <f>IFERROR(__xludf.DUMMYFUNCTION("""COMPUTED_VALUE"""),1218.0)</f>
        <v>1218</v>
      </c>
      <c r="B1219" s="133"/>
      <c r="C1219" s="133" t="str">
        <f>IFERROR(__xludf.DUMMYFUNCTION("""COMPUTED_VALUE"""),"P-1-N-260223-1186")</f>
        <v>P-1-N-260223-1186</v>
      </c>
      <c r="D1219" s="133"/>
      <c r="E1219" s="133" t="str">
        <f>IFERROR(__xludf.DUMMYFUNCTION("""COMPUTED_VALUE"""),"مرجع للتعديل")</f>
        <v>مرجع للتعديل</v>
      </c>
      <c r="F1219" s="133" t="str">
        <f>IFERROR(__xludf.DUMMYFUNCTION("""COMPUTED_VALUE"""),"Filet Pure Chicken 70g")</f>
        <v>Filet Pure Chicken 70g</v>
      </c>
      <c r="G1219" s="133" t="str">
        <f>IFERROR(__xludf.DUMMYFUNCTION("""COMPUTED_VALUE"""),"فيليه بيور دجاج 70 جم")</f>
        <v>فيليه بيور دجاج 70 جم</v>
      </c>
      <c r="H1219" s="133"/>
      <c r="I1219" s="133"/>
      <c r="J1219" s="133"/>
      <c r="K1219" s="133"/>
      <c r="L1219" s="133"/>
      <c r="M1219" s="133"/>
      <c r="N1219" s="133"/>
      <c r="O1219" s="133"/>
      <c r="P1219" s="133"/>
      <c r="Q1219" s="133"/>
      <c r="R1219" s="133"/>
      <c r="S1219" s="133"/>
      <c r="T1219" s="133"/>
      <c r="U1219" s="133"/>
      <c r="V1219" s="133"/>
      <c r="W1219" s="133"/>
      <c r="X1219" s="133"/>
      <c r="Y1219" s="133"/>
      <c r="Z1219" s="133"/>
    </row>
    <row r="1220">
      <c r="A1220" s="133">
        <f>IFERROR(__xludf.DUMMYFUNCTION("""COMPUTED_VALUE"""),1219.0)</f>
        <v>1219</v>
      </c>
      <c r="B1220" s="133"/>
      <c r="C1220" s="133" t="str">
        <f>IFERROR(__xludf.DUMMYFUNCTION("""COMPUTED_VALUE"""),"P-1-N-260223-1187")</f>
        <v>P-1-N-260223-1187</v>
      </c>
      <c r="D1220" s="133"/>
      <c r="E1220" s="133" t="str">
        <f>IFERROR(__xludf.DUMMYFUNCTION("""COMPUTED_VALUE"""),"تمت طباعة الشهادة")</f>
        <v>تمت طباعة الشهادة</v>
      </c>
      <c r="F1220" s="133" t="str">
        <f>IFERROR(__xludf.DUMMYFUNCTION("""COMPUTED_VALUE"""),"Pate Duck &amp; Chicken with Parsley 85g")</f>
        <v>Pate Duck &amp; Chicken with Parsley 85g</v>
      </c>
      <c r="G1220" s="133" t="str">
        <f>IFERROR(__xludf.DUMMYFUNCTION("""COMPUTED_VALUE"""),"باتيه البط والدجاج مع البقدونس 85 جم")</f>
        <v>باتيه البط والدجاج مع البقدونس 85 جم</v>
      </c>
      <c r="H1220" s="133" t="str">
        <f>IFERROR(__xludf.DUMMYFUNCTION("""COMPUTED_VALUE"""),"MAFE2023905")</f>
        <v>MAFE2023905</v>
      </c>
      <c r="I1220" s="133"/>
      <c r="J1220" s="133"/>
      <c r="K1220" s="133" t="str">
        <f>IFERROR(__xludf.DUMMYFUNCTION("""COMPUTED_VALUE"""),"شركة جوسيرا بت فود جي ام بي اتش كاي جي")</f>
        <v>شركة جوسيرا بت فود جي ام بي اتش كاي جي</v>
      </c>
      <c r="L1220" s="133"/>
      <c r="M1220" s="133"/>
      <c r="N1220" s="133"/>
      <c r="O1220" s="133"/>
      <c r="P1220" s="133"/>
      <c r="Q1220" s="133"/>
      <c r="R1220" s="133"/>
      <c r="S1220" s="133"/>
      <c r="T1220" s="133"/>
      <c r="U1220" s="133"/>
      <c r="V1220" s="133"/>
      <c r="W1220" s="133"/>
      <c r="X1220" s="133"/>
      <c r="Y1220" s="133"/>
      <c r="Z1220" s="133"/>
    </row>
    <row r="1221">
      <c r="A1221" s="133">
        <f>IFERROR(__xludf.DUMMYFUNCTION("""COMPUTED_VALUE"""),1220.0)</f>
        <v>1220</v>
      </c>
      <c r="B1221" s="133"/>
      <c r="C1221" s="133" t="str">
        <f>IFERROR(__xludf.DUMMYFUNCTION("""COMPUTED_VALUE"""),"P-1-N-260223-1196")</f>
        <v>P-1-N-260223-1196</v>
      </c>
      <c r="D1221" s="133"/>
      <c r="E1221" s="133" t="str">
        <f>IFERROR(__xludf.DUMMYFUNCTION("""COMPUTED_VALUE"""),"تمت طباعة الشهادة")</f>
        <v>تمت طباعة الشهادة</v>
      </c>
      <c r="F1221" s="133" t="str">
        <f>IFERROR(__xludf.DUMMYFUNCTION("""COMPUTED_VALUE"""),"EXPERT CANARY MIDDLE EAST 20KG")</f>
        <v>EXPERT CANARY MIDDLE EAST 20KG</v>
      </c>
      <c r="G1221" s="133" t="str">
        <f>IFERROR(__xludf.DUMMYFUNCTION("""COMPUTED_VALUE"""),"اكسبرت كناري ميدل ايست 20 كجم")</f>
        <v>اكسبرت كناري ميدل ايست 20 كجم</v>
      </c>
      <c r="H1221" s="133" t="str">
        <f>IFERROR(__xludf.DUMMYFUNCTION("""COMPUTED_VALUE"""),"MAFE2023839")</f>
        <v>MAFE2023839</v>
      </c>
      <c r="I1221" s="133"/>
      <c r="J1221" s="133"/>
      <c r="K1221" s="133" t="str">
        <f>IFERROR(__xludf.DUMMYFUNCTION("""COMPUTED_VALUE"""),"لاروي جروب إن في")</f>
        <v>لاروي جروب إن في</v>
      </c>
      <c r="L1221" s="133"/>
      <c r="M1221" s="133"/>
      <c r="N1221" s="133"/>
      <c r="O1221" s="133"/>
      <c r="P1221" s="133"/>
      <c r="Q1221" s="133"/>
      <c r="R1221" s="133"/>
      <c r="S1221" s="133"/>
      <c r="T1221" s="133"/>
      <c r="U1221" s="133"/>
      <c r="V1221" s="133"/>
      <c r="W1221" s="133"/>
      <c r="X1221" s="133"/>
      <c r="Y1221" s="133"/>
      <c r="Z1221" s="133"/>
    </row>
    <row r="1222">
      <c r="A1222" s="133">
        <f>IFERROR(__xludf.DUMMYFUNCTION("""COMPUTED_VALUE"""),1221.0)</f>
        <v>1221</v>
      </c>
      <c r="B1222" s="133"/>
      <c r="C1222" s="133" t="str">
        <f>IFERROR(__xludf.DUMMYFUNCTION("""COMPUTED_VALUE"""),"P-1-N-260223-1199")</f>
        <v>P-1-N-260223-1199</v>
      </c>
      <c r="D1222" s="133"/>
      <c r="E1222" s="133" t="str">
        <f>IFERROR(__xludf.DUMMYFUNCTION("""COMPUTED_VALUE"""),"تمت طباعة الشهادة")</f>
        <v>تمت طباعة الشهادة</v>
      </c>
      <c r="F1222" s="133" t="str">
        <f>IFERROR(__xludf.DUMMYFUNCTION("""COMPUTED_VALUE"""),"EXPERT LARGE PARAKEET MIDDLE EAST 20KG")</f>
        <v>EXPERT LARGE PARAKEET MIDDLE EAST 20KG</v>
      </c>
      <c r="G1222" s="133" t="str">
        <f>IFERROR(__xludf.DUMMYFUNCTION("""COMPUTED_VALUE"""),"اكسبرت براكيت كبيرة ميدل ايست 20 كجم")</f>
        <v>اكسبرت براكيت كبيرة ميدل ايست 20 كجم</v>
      </c>
      <c r="H1222" s="133" t="str">
        <f>IFERROR(__xludf.DUMMYFUNCTION("""COMPUTED_VALUE"""),"MAFE2023838")</f>
        <v>MAFE2023838</v>
      </c>
      <c r="I1222" s="133"/>
      <c r="J1222" s="133"/>
      <c r="K1222" s="133" t="str">
        <f>IFERROR(__xludf.DUMMYFUNCTION("""COMPUTED_VALUE"""),"لاروي جروب إن في")</f>
        <v>لاروي جروب إن في</v>
      </c>
      <c r="L1222" s="133"/>
      <c r="M1222" s="133"/>
      <c r="N1222" s="133"/>
      <c r="O1222" s="133"/>
      <c r="P1222" s="133"/>
      <c r="Q1222" s="133"/>
      <c r="R1222" s="133"/>
      <c r="S1222" s="133"/>
      <c r="T1222" s="133"/>
      <c r="U1222" s="133"/>
      <c r="V1222" s="133"/>
      <c r="W1222" s="133"/>
      <c r="X1222" s="133"/>
      <c r="Y1222" s="133"/>
      <c r="Z1222" s="133"/>
    </row>
    <row r="1223">
      <c r="A1223" s="133">
        <f>IFERROR(__xludf.DUMMYFUNCTION("""COMPUTED_VALUE"""),1222.0)</f>
        <v>1222</v>
      </c>
      <c r="B1223" s="133"/>
      <c r="C1223" s="133" t="str">
        <f>IFERROR(__xludf.DUMMYFUNCTION("""COMPUTED_VALUE"""),"P-1-N-260223-1200")</f>
        <v>P-1-N-260223-1200</v>
      </c>
      <c r="D1223" s="133"/>
      <c r="E1223" s="133" t="str">
        <f>IFERROR(__xludf.DUMMYFUNCTION("""COMPUTED_VALUE"""),"تمت طباعة الشهادة")</f>
        <v>تمت طباعة الشهادة</v>
      </c>
      <c r="F1223" s="133" t="str">
        <f>IFERROR(__xludf.DUMMYFUNCTION("""COMPUTED_VALUE"""),"EXPERT PARROTS MIX FRUIT MIDDLE EAST 12.5KG")</f>
        <v>EXPERT PARROTS MIX FRUIT MIDDLE EAST 12.5KG</v>
      </c>
      <c r="G1223" s="133" t="str">
        <f>IFERROR(__xludf.DUMMYFUNCTION("""COMPUTED_VALUE"""),"اكسبرت الببغاوات مزيج الفاكهة ميدل ايست 12.5 كجم")</f>
        <v>اكسبرت الببغاوات مزيج الفاكهة ميدل ايست 12.5 كجم</v>
      </c>
      <c r="H1223" s="133" t="str">
        <f>IFERROR(__xludf.DUMMYFUNCTION("""COMPUTED_VALUE"""),"MAFE2023837")</f>
        <v>MAFE2023837</v>
      </c>
      <c r="I1223" s="133"/>
      <c r="J1223" s="133"/>
      <c r="K1223" s="133" t="str">
        <f>IFERROR(__xludf.DUMMYFUNCTION("""COMPUTED_VALUE"""),"ويت مولين بي في")</f>
        <v>ويت مولين بي في</v>
      </c>
      <c r="L1223" s="133"/>
      <c r="M1223" s="133"/>
      <c r="N1223" s="133"/>
      <c r="O1223" s="133"/>
      <c r="P1223" s="133"/>
      <c r="Q1223" s="133"/>
      <c r="R1223" s="133"/>
      <c r="S1223" s="133"/>
      <c r="T1223" s="133"/>
      <c r="U1223" s="133"/>
      <c r="V1223" s="133"/>
      <c r="W1223" s="133"/>
      <c r="X1223" s="133"/>
      <c r="Y1223" s="133"/>
      <c r="Z1223" s="133"/>
    </row>
    <row r="1224">
      <c r="A1224" s="133">
        <f>IFERROR(__xludf.DUMMYFUNCTION("""COMPUTED_VALUE"""),1223.0)</f>
        <v>1223</v>
      </c>
      <c r="B1224" s="133"/>
      <c r="C1224" s="133" t="str">
        <f>IFERROR(__xludf.DUMMYFUNCTION("""COMPUTED_VALUE"""),"P-1-N-260223-1202")</f>
        <v>P-1-N-260223-1202</v>
      </c>
      <c r="D1224" s="133"/>
      <c r="E1224" s="133" t="str">
        <f>IFERROR(__xludf.DUMMYFUNCTION("""COMPUTED_VALUE"""),"تمت طباعة الشهادة")</f>
        <v>تمت طباعة الشهادة</v>
      </c>
      <c r="F1224" s="133" t="str">
        <f>IFERROR(__xludf.DUMMYFUNCTION("""COMPUTED_VALUE"""),"EXPERT BUDGIE MIX MIDDLE EAST 20KG")</f>
        <v>EXPERT BUDGIE MIX MIDDLE EAST 20KG</v>
      </c>
      <c r="G1224" s="133" t="str">
        <f>IFERROR(__xludf.DUMMYFUNCTION("""COMPUTED_VALUE"""),"اكسبرت بادجي ميكس ميدل ايست 20 كجم")</f>
        <v>اكسبرت بادجي ميكس ميدل ايست 20 كجم</v>
      </c>
      <c r="H1224" s="133" t="str">
        <f>IFERROR(__xludf.DUMMYFUNCTION("""COMPUTED_VALUE"""),"MAFE2023836")</f>
        <v>MAFE2023836</v>
      </c>
      <c r="I1224" s="133"/>
      <c r="J1224" s="133"/>
      <c r="K1224" s="133" t="str">
        <f>IFERROR(__xludf.DUMMYFUNCTION("""COMPUTED_VALUE"""),"ويت مولين بي في")</f>
        <v>ويت مولين بي في</v>
      </c>
      <c r="L1224" s="133"/>
      <c r="M1224" s="133"/>
      <c r="N1224" s="133"/>
      <c r="O1224" s="133"/>
      <c r="P1224" s="133"/>
      <c r="Q1224" s="133"/>
      <c r="R1224" s="133"/>
      <c r="S1224" s="133"/>
      <c r="T1224" s="133"/>
      <c r="U1224" s="133"/>
      <c r="V1224" s="133"/>
      <c r="W1224" s="133"/>
      <c r="X1224" s="133"/>
      <c r="Y1224" s="133"/>
      <c r="Z1224" s="133"/>
    </row>
    <row r="1225">
      <c r="A1225" s="133">
        <f>IFERROR(__xludf.DUMMYFUNCTION("""COMPUTED_VALUE"""),1224.0)</f>
        <v>1224</v>
      </c>
      <c r="B1225" s="133"/>
      <c r="C1225" s="133" t="str">
        <f>IFERROR(__xludf.DUMMYFUNCTION("""COMPUTED_VALUE"""),"P-1-N-260223-1203")</f>
        <v>P-1-N-260223-1203</v>
      </c>
      <c r="D1225" s="133"/>
      <c r="E1225" s="133" t="str">
        <f>IFERROR(__xludf.DUMMYFUNCTION("""COMPUTED_VALUE"""),"تمت طباعة الشهادة")</f>
        <v>تمت طباعة الشهادة</v>
      </c>
      <c r="F1225" s="133" t="str">
        <f>IFERROR(__xludf.DUMMYFUNCTION("""COMPUTED_VALUE"""),"EXPERT PARROTS MIDDLE EAST 12.5 KG")</f>
        <v>EXPERT PARROTS MIDDLE EAST 12.5 KG</v>
      </c>
      <c r="G1225" s="133" t="str">
        <f>IFERROR(__xludf.DUMMYFUNCTION("""COMPUTED_VALUE"""),"اكسبرت الببغاوات ميدل ايست 12.5 كجم")</f>
        <v>اكسبرت الببغاوات ميدل ايست 12.5 كجم</v>
      </c>
      <c r="H1225" s="133" t="str">
        <f>IFERROR(__xludf.DUMMYFUNCTION("""COMPUTED_VALUE"""),"MAFE2023835")</f>
        <v>MAFE2023835</v>
      </c>
      <c r="I1225" s="133"/>
      <c r="J1225" s="133"/>
      <c r="K1225" s="133" t="str">
        <f>IFERROR(__xludf.DUMMYFUNCTION("""COMPUTED_VALUE"""),"ويت مولين بي في")</f>
        <v>ويت مولين بي في</v>
      </c>
      <c r="L1225" s="133"/>
      <c r="M1225" s="133"/>
      <c r="N1225" s="133"/>
      <c r="O1225" s="133"/>
      <c r="P1225" s="133"/>
      <c r="Q1225" s="133"/>
      <c r="R1225" s="133"/>
      <c r="S1225" s="133"/>
      <c r="T1225" s="133"/>
      <c r="U1225" s="133"/>
      <c r="V1225" s="133"/>
      <c r="W1225" s="133"/>
      <c r="X1225" s="133"/>
      <c r="Y1225" s="133"/>
      <c r="Z1225" s="133"/>
    </row>
    <row r="1226">
      <c r="A1226" s="133">
        <f>IFERROR(__xludf.DUMMYFUNCTION("""COMPUTED_VALUE"""),1225.0)</f>
        <v>1225</v>
      </c>
      <c r="B1226" s="133"/>
      <c r="C1226" s="133" t="str">
        <f>IFERROR(__xludf.DUMMYFUNCTION("""COMPUTED_VALUE"""),"P-1-N-270223-1219")</f>
        <v>P-1-N-270223-1219</v>
      </c>
      <c r="D1226" s="133"/>
      <c r="E1226" s="133" t="str">
        <f>IFERROR(__xludf.DUMMYFUNCTION("""COMPUTED_VALUE"""),"تمت طباعة الشهادة")</f>
        <v>تمت طباعة الشهادة</v>
      </c>
      <c r="F1226" s="133" t="str">
        <f>IFERROR(__xludf.DUMMYFUNCTION("""COMPUTED_VALUE"""),"ZUPREEM NATURAL SMALL 9.07kg")</f>
        <v>ZUPREEM NATURAL SMALL 9.07kg</v>
      </c>
      <c r="G1226" s="133" t="str">
        <f>IFERROR(__xludf.DUMMYFUNCTION("""COMPUTED_VALUE"""),"زوبريم ناتشورال صغير 9.07 كجم")</f>
        <v>زوبريم ناتشورال صغير 9.07 كجم</v>
      </c>
      <c r="H1226" s="133" t="str">
        <f>IFERROR(__xludf.DUMMYFUNCTION("""COMPUTED_VALUE"""),"MAFE2023930")</f>
        <v>MAFE2023930</v>
      </c>
      <c r="I1226" s="133"/>
      <c r="J1226" s="133"/>
      <c r="K1226" s="133" t="str">
        <f>IFERROR(__xludf.DUMMYFUNCTION("""COMPUTED_VALUE"""),"شركة المنتجات الغذائية المتميزة")</f>
        <v>شركة المنتجات الغذائية المتميزة</v>
      </c>
      <c r="L1226" s="133"/>
      <c r="M1226" s="133"/>
      <c r="N1226" s="133"/>
      <c r="O1226" s="133"/>
      <c r="P1226" s="133"/>
      <c r="Q1226" s="133"/>
      <c r="R1226" s="133"/>
      <c r="S1226" s="133"/>
      <c r="T1226" s="133"/>
      <c r="U1226" s="133"/>
      <c r="V1226" s="133"/>
      <c r="W1226" s="133"/>
      <c r="X1226" s="133"/>
      <c r="Y1226" s="133"/>
      <c r="Z1226" s="133"/>
    </row>
    <row r="1227">
      <c r="A1227" s="133">
        <f>IFERROR(__xludf.DUMMYFUNCTION("""COMPUTED_VALUE"""),1226.0)</f>
        <v>1226</v>
      </c>
      <c r="B1227" s="133" t="str">
        <f>IFERROR(__xludf.DUMMYFUNCTION("""COMPUTED_VALUE"""),"1008081")</f>
        <v>1008081</v>
      </c>
      <c r="C1227" s="133" t="str">
        <f>IFERROR(__xludf.DUMMYFUNCTION("""COMPUTED_VALUE"""),"P-1-N-270223-1220")</f>
        <v>P-1-N-270223-1220</v>
      </c>
      <c r="D1227" s="133"/>
      <c r="E1227" s="133" t="str">
        <f>IFERROR(__xludf.DUMMYFUNCTION("""COMPUTED_VALUE"""),"تمت طباعة الشهادة")</f>
        <v>تمت طباعة الشهادة</v>
      </c>
      <c r="F1227" s="133" t="str">
        <f>IFERROR(__xludf.DUMMYFUNCTION("""COMPUTED_VALUE"""),"ZUPREEM NATURAL MEDIUM 9.07kg")</f>
        <v>ZUPREEM NATURAL MEDIUM 9.07kg</v>
      </c>
      <c r="G1227" s="133" t="str">
        <f>IFERROR(__xludf.DUMMYFUNCTION("""COMPUTED_VALUE"""),"زوبريم ناتشورال متوسط 9.07 كجم")</f>
        <v>زوبريم ناتشورال متوسط 9.07 كجم</v>
      </c>
      <c r="H1227" s="133" t="str">
        <f>IFERROR(__xludf.DUMMYFUNCTION("""COMPUTED_VALUE"""),"MAFE2023929")</f>
        <v>MAFE2023929</v>
      </c>
      <c r="I1227" s="133"/>
      <c r="J1227" s="133"/>
      <c r="K1227" s="133" t="str">
        <f>IFERROR(__xludf.DUMMYFUNCTION("""COMPUTED_VALUE"""),"شركة المنتجات الغذائية المتميزة")</f>
        <v>شركة المنتجات الغذائية المتميزة</v>
      </c>
      <c r="L1227" s="142" t="str">
        <f>IFERROR(__xludf.DUMMYFUNCTION("""COMPUTED_VALUE"""),"1008081")</f>
        <v>1008081</v>
      </c>
      <c r="M1227" s="133"/>
      <c r="N1227" s="133"/>
      <c r="O1227" s="133"/>
      <c r="P1227" s="133"/>
      <c r="Q1227" s="133"/>
      <c r="R1227" s="133"/>
      <c r="S1227" s="133"/>
      <c r="T1227" s="133"/>
      <c r="U1227" s="133"/>
      <c r="V1227" s="133"/>
      <c r="W1227" s="133"/>
      <c r="X1227" s="133"/>
      <c r="Y1227" s="133"/>
      <c r="Z1227" s="133"/>
    </row>
    <row r="1228">
      <c r="A1228" s="133">
        <f>IFERROR(__xludf.DUMMYFUNCTION("""COMPUTED_VALUE"""),1227.0)</f>
        <v>1227</v>
      </c>
      <c r="B1228" s="133" t="str">
        <f>IFERROR(__xludf.DUMMYFUNCTION("""COMPUTED_VALUE"""),"1008084")</f>
        <v>1008084</v>
      </c>
      <c r="C1228" s="133" t="str">
        <f>IFERROR(__xludf.DUMMYFUNCTION("""COMPUTED_VALUE"""),"P-1-N-270223-1221")</f>
        <v>P-1-N-270223-1221</v>
      </c>
      <c r="D1228" s="133"/>
      <c r="E1228" s="133" t="str">
        <f>IFERROR(__xludf.DUMMYFUNCTION("""COMPUTED_VALUE"""),"تمت طباعة الشهادة")</f>
        <v>تمت طباعة الشهادة</v>
      </c>
      <c r="F1228" s="133" t="str">
        <f>IFERROR(__xludf.DUMMYFUNCTION("""COMPUTED_VALUE"""),"ZUPREEM NATURAL PARROTS &amp; CONURES 9.07kg")</f>
        <v>ZUPREEM NATURAL PARROTS &amp; CONURES 9.07kg</v>
      </c>
      <c r="G1228" s="133" t="str">
        <f>IFERROR(__xludf.DUMMYFUNCTION("""COMPUTED_VALUE"""),"زوبريم ناتشورال الببغاوات و الكنيور 9.07 كجم")</f>
        <v>زوبريم ناتشورال الببغاوات و الكنيور 9.07 كجم</v>
      </c>
      <c r="H1228" s="133" t="str">
        <f>IFERROR(__xludf.DUMMYFUNCTION("""COMPUTED_VALUE"""),"MAFE2023928")</f>
        <v>MAFE2023928</v>
      </c>
      <c r="I1228" s="133"/>
      <c r="J1228" s="133"/>
      <c r="K1228" s="133" t="str">
        <f>IFERROR(__xludf.DUMMYFUNCTION("""COMPUTED_VALUE"""),"شركة المنتجات الغذائية المتميزة")</f>
        <v>شركة المنتجات الغذائية المتميزة</v>
      </c>
      <c r="L1228" s="142" t="str">
        <f>IFERROR(__xludf.DUMMYFUNCTION("""COMPUTED_VALUE"""),"1008084")</f>
        <v>1008084</v>
      </c>
      <c r="M1228" s="133"/>
      <c r="N1228" s="133"/>
      <c r="O1228" s="133"/>
      <c r="P1228" s="133"/>
      <c r="Q1228" s="133"/>
      <c r="R1228" s="133"/>
      <c r="S1228" s="133"/>
      <c r="T1228" s="133"/>
      <c r="U1228" s="133"/>
      <c r="V1228" s="133"/>
      <c r="W1228" s="133"/>
      <c r="X1228" s="133"/>
      <c r="Y1228" s="133"/>
      <c r="Z1228" s="133"/>
    </row>
    <row r="1229">
      <c r="A1229" s="133">
        <f>IFERROR(__xludf.DUMMYFUNCTION("""COMPUTED_VALUE"""),1228.0)</f>
        <v>1228</v>
      </c>
      <c r="B1229" s="133" t="str">
        <f>IFERROR(__xludf.DUMMYFUNCTION("""COMPUTED_VALUE"""),"1008086")</f>
        <v>1008086</v>
      </c>
      <c r="C1229" s="133" t="str">
        <f>IFERROR(__xludf.DUMMYFUNCTION("""COMPUTED_VALUE"""),"P-1-N-270223-1223")</f>
        <v>P-1-N-270223-1223</v>
      </c>
      <c r="D1229" s="133"/>
      <c r="E1229" s="133" t="str">
        <f>IFERROR(__xludf.DUMMYFUNCTION("""COMPUTED_VALUE"""),"تمت طباعة الشهادة")</f>
        <v>تمت طباعة الشهادة</v>
      </c>
      <c r="F1229" s="133" t="str">
        <f>IFERROR(__xludf.DUMMYFUNCTION("""COMPUTED_VALUE"""),"ZUPREEM NATURAL LARGE 9.07kg")</f>
        <v>ZUPREEM NATURAL LARGE 9.07kg</v>
      </c>
      <c r="G1229" s="133" t="str">
        <f>IFERROR(__xludf.DUMMYFUNCTION("""COMPUTED_VALUE"""),"زوبريم ناتشورال كبير 9.07 كجم")</f>
        <v>زوبريم ناتشورال كبير 9.07 كجم</v>
      </c>
      <c r="H1229" s="133" t="str">
        <f>IFERROR(__xludf.DUMMYFUNCTION("""COMPUTED_VALUE"""),"MAFE2023927")</f>
        <v>MAFE2023927</v>
      </c>
      <c r="I1229" s="133"/>
      <c r="J1229" s="133"/>
      <c r="K1229" s="133" t="str">
        <f>IFERROR(__xludf.DUMMYFUNCTION("""COMPUTED_VALUE"""),"شركة المنتجات الغذائية المتميزة")</f>
        <v>شركة المنتجات الغذائية المتميزة</v>
      </c>
      <c r="L1229" s="142" t="str">
        <f>IFERROR(__xludf.DUMMYFUNCTION("""COMPUTED_VALUE"""),"1008086")</f>
        <v>1008086</v>
      </c>
      <c r="M1229" s="133"/>
      <c r="N1229" s="133"/>
      <c r="O1229" s="133"/>
      <c r="P1229" s="133"/>
      <c r="Q1229" s="133"/>
      <c r="R1229" s="133"/>
      <c r="S1229" s="133"/>
      <c r="T1229" s="133"/>
      <c r="U1229" s="133"/>
      <c r="V1229" s="133"/>
      <c r="W1229" s="133"/>
      <c r="X1229" s="133"/>
      <c r="Y1229" s="133"/>
      <c r="Z1229" s="133"/>
    </row>
    <row r="1230">
      <c r="A1230" s="133">
        <f>IFERROR(__xludf.DUMMYFUNCTION("""COMPUTED_VALUE"""),1229.0)</f>
        <v>1229</v>
      </c>
      <c r="B1230" s="133" t="str">
        <f>IFERROR(__xludf.DUMMYFUNCTION("""COMPUTED_VALUE"""),"1008036")</f>
        <v>1008036</v>
      </c>
      <c r="C1230" s="133" t="str">
        <f>IFERROR(__xludf.DUMMYFUNCTION("""COMPUTED_VALUE"""),"P-1-N-270223-1236")</f>
        <v>P-1-N-270223-1236</v>
      </c>
      <c r="D1230" s="133"/>
      <c r="E1230" s="133" t="str">
        <f>IFERROR(__xludf.DUMMYFUNCTION("""COMPUTED_VALUE"""),"تمت طباعة الشهادة")</f>
        <v>تمت طباعة الشهادة</v>
      </c>
      <c r="F1230" s="133" t="str">
        <f>IFERROR(__xludf.DUMMYFUNCTION("""COMPUTED_VALUE"""),"ZUPREM FRUITBLEND AVIANBREEDER LARGE 18.1kg")</f>
        <v>ZUPREM FRUITBLEND AVIANBREEDER LARGE 18.1kg</v>
      </c>
      <c r="G1230" s="133" t="str">
        <f>IFERROR(__xludf.DUMMYFUNCTION("""COMPUTED_VALUE"""),"زوبريم فروتبلند أفيان بريدر كبير 18.1 كجم")</f>
        <v>زوبريم فروتبلند أفيان بريدر كبير 18.1 كجم</v>
      </c>
      <c r="H1230" s="133" t="str">
        <f>IFERROR(__xludf.DUMMYFUNCTION("""COMPUTED_VALUE"""),"MAFE2023900")</f>
        <v>MAFE2023900</v>
      </c>
      <c r="I1230" s="133"/>
      <c r="J1230" s="133"/>
      <c r="K1230" s="133" t="str">
        <f>IFERROR(__xludf.DUMMYFUNCTION("""COMPUTED_VALUE"""),"شركة المنتجات الغذائية المتميزة")</f>
        <v>شركة المنتجات الغذائية المتميزة</v>
      </c>
      <c r="L1230" s="142" t="str">
        <f>IFERROR(__xludf.DUMMYFUNCTION("""COMPUTED_VALUE"""),"1008036")</f>
        <v>1008036</v>
      </c>
      <c r="M1230" s="133"/>
      <c r="N1230" s="133"/>
      <c r="O1230" s="133"/>
      <c r="P1230" s="133"/>
      <c r="Q1230" s="133"/>
      <c r="R1230" s="133"/>
      <c r="S1230" s="133"/>
      <c r="T1230" s="133"/>
      <c r="U1230" s="133"/>
      <c r="V1230" s="133"/>
      <c r="W1230" s="133"/>
      <c r="X1230" s="133"/>
      <c r="Y1230" s="133"/>
      <c r="Z1230" s="133"/>
    </row>
    <row r="1231">
      <c r="A1231" s="133">
        <f>IFERROR(__xludf.DUMMYFUNCTION("""COMPUTED_VALUE"""),1230.0)</f>
        <v>1230</v>
      </c>
      <c r="B1231" s="133" t="str">
        <f>IFERROR(__xludf.DUMMYFUNCTION("""COMPUTED_VALUE"""),"1008034")</f>
        <v>1008034</v>
      </c>
      <c r="C1231" s="133" t="str">
        <f>IFERROR(__xludf.DUMMYFUNCTION("""COMPUTED_VALUE"""),"P-1-N-270223-1237")</f>
        <v>P-1-N-270223-1237</v>
      </c>
      <c r="D1231" s="133"/>
      <c r="E1231" s="133" t="str">
        <f>IFERROR(__xludf.DUMMYFUNCTION("""COMPUTED_VALUE"""),"تمت طباعة الشهادة")</f>
        <v>تمت طباعة الشهادة</v>
      </c>
      <c r="F1231" s="133" t="str">
        <f>IFERROR(__xludf.DUMMYFUNCTION("""COMPUTED_VALUE"""),"ZUPREM FRUITBLEND AVIANBREEDER PARROTS &amp; CONURES 18.1kg")</f>
        <v>ZUPREM FRUITBLEND AVIANBREEDER PARROTS &amp; CONURES 18.1kg</v>
      </c>
      <c r="G1231" s="133" t="str">
        <f>IFERROR(__xludf.DUMMYFUNCTION("""COMPUTED_VALUE"""),"زوبريم فروتبلند أفيان بريدر الببغاوات و الكنيور 18.1 كجم")</f>
        <v>زوبريم فروتبلند أفيان بريدر الببغاوات و الكنيور 18.1 كجم</v>
      </c>
      <c r="H1231" s="133" t="str">
        <f>IFERROR(__xludf.DUMMYFUNCTION("""COMPUTED_VALUE"""),"MAFE2023899")</f>
        <v>MAFE2023899</v>
      </c>
      <c r="I1231" s="133"/>
      <c r="J1231" s="133"/>
      <c r="K1231" s="133" t="str">
        <f>IFERROR(__xludf.DUMMYFUNCTION("""COMPUTED_VALUE"""),"شركة المنتجات الغذائية المتميزة")</f>
        <v>شركة المنتجات الغذائية المتميزة</v>
      </c>
      <c r="L1231" s="142" t="str">
        <f>IFERROR(__xludf.DUMMYFUNCTION("""COMPUTED_VALUE"""),"1008034")</f>
        <v>1008034</v>
      </c>
      <c r="M1231" s="133"/>
      <c r="N1231" s="133"/>
      <c r="O1231" s="133"/>
      <c r="P1231" s="133"/>
      <c r="Q1231" s="133"/>
      <c r="R1231" s="133"/>
      <c r="S1231" s="133"/>
      <c r="T1231" s="133"/>
      <c r="U1231" s="133"/>
      <c r="V1231" s="133"/>
      <c r="W1231" s="133"/>
      <c r="X1231" s="133"/>
      <c r="Y1231" s="133"/>
      <c r="Z1231" s="133"/>
    </row>
    <row r="1232">
      <c r="A1232" s="133">
        <f>IFERROR(__xludf.DUMMYFUNCTION("""COMPUTED_VALUE"""),1231.0)</f>
        <v>1231</v>
      </c>
      <c r="B1232" s="133" t="str">
        <f>IFERROR(__xludf.DUMMYFUNCTION("""COMPUTED_VALUE"""),"1008032")</f>
        <v>1008032</v>
      </c>
      <c r="C1232" s="133" t="str">
        <f>IFERROR(__xludf.DUMMYFUNCTION("""COMPUTED_VALUE"""),"P-1-N-270223-1238")</f>
        <v>P-1-N-270223-1238</v>
      </c>
      <c r="D1232" s="133"/>
      <c r="E1232" s="133" t="str">
        <f>IFERROR(__xludf.DUMMYFUNCTION("""COMPUTED_VALUE"""),"تمت طباعة الشهادة")</f>
        <v>تمت طباعة الشهادة</v>
      </c>
      <c r="F1232" s="133" t="str">
        <f>IFERROR(__xludf.DUMMYFUNCTION("""COMPUTED_VALUE"""),"ZUPREM FRUITBLEND AVIANBREEDER MEDIUM 18.1kg")</f>
        <v>ZUPREM FRUITBLEND AVIANBREEDER MEDIUM 18.1kg</v>
      </c>
      <c r="G1232" s="133" t="str">
        <f>IFERROR(__xludf.DUMMYFUNCTION("""COMPUTED_VALUE"""),"زوبريم فروتبلند أفيان بريدر متوسط 18.1 كجم")</f>
        <v>زوبريم فروتبلند أفيان بريدر متوسط 18.1 كجم</v>
      </c>
      <c r="H1232" s="133" t="str">
        <f>IFERROR(__xludf.DUMMYFUNCTION("""COMPUTED_VALUE"""),"MAFE2023901")</f>
        <v>MAFE2023901</v>
      </c>
      <c r="I1232" s="133"/>
      <c r="J1232" s="133"/>
      <c r="K1232" s="133" t="str">
        <f>IFERROR(__xludf.DUMMYFUNCTION("""COMPUTED_VALUE"""),"شركة المنتجات الغذائية المتميزة")</f>
        <v>شركة المنتجات الغذائية المتميزة</v>
      </c>
      <c r="L1232" s="142" t="str">
        <f>IFERROR(__xludf.DUMMYFUNCTION("""COMPUTED_VALUE"""),"1008032")</f>
        <v>1008032</v>
      </c>
      <c r="M1232" s="133"/>
      <c r="N1232" s="133"/>
      <c r="O1232" s="133"/>
      <c r="P1232" s="133"/>
      <c r="Q1232" s="133"/>
      <c r="R1232" s="133"/>
      <c r="S1232" s="133"/>
      <c r="T1232" s="133"/>
      <c r="U1232" s="133"/>
      <c r="V1232" s="133"/>
      <c r="W1232" s="133"/>
      <c r="X1232" s="133"/>
      <c r="Y1232" s="133"/>
      <c r="Z1232" s="133"/>
    </row>
    <row r="1233">
      <c r="A1233" s="133">
        <f>IFERROR(__xludf.DUMMYFUNCTION("""COMPUTED_VALUE"""),1232.0)</f>
        <v>1232</v>
      </c>
      <c r="B1233" s="133" t="str">
        <f>IFERROR(__xludf.DUMMYFUNCTION("""COMPUTED_VALUE"""),"1008030")</f>
        <v>1008030</v>
      </c>
      <c r="C1233" s="133" t="str">
        <f>IFERROR(__xludf.DUMMYFUNCTION("""COMPUTED_VALUE"""),"P-1-N-270223-1239")</f>
        <v>P-1-N-270223-1239</v>
      </c>
      <c r="D1233" s="133"/>
      <c r="E1233" s="133" t="str">
        <f>IFERROR(__xludf.DUMMYFUNCTION("""COMPUTED_VALUE"""),"تمت طباعة الشهادة")</f>
        <v>تمت طباعة الشهادة</v>
      </c>
      <c r="F1233" s="133" t="str">
        <f>IFERROR(__xludf.DUMMYFUNCTION("""COMPUTED_VALUE"""),"ZUPREM NATURAL AVIANBREEDER PARROTS &amp; CONURES 18.1kg")</f>
        <v>ZUPREM NATURAL AVIANBREEDER PARROTS &amp; CONURES 18.1kg</v>
      </c>
      <c r="G1233" s="133" t="str">
        <f>IFERROR(__xludf.DUMMYFUNCTION("""COMPUTED_VALUE"""),"زوبريم ناتشورال أفيان بريدر الببغاوات و الكنيور 18.1 كجم")</f>
        <v>زوبريم ناتشورال أفيان بريدر الببغاوات و الكنيور 18.1 كجم</v>
      </c>
      <c r="H1233" s="133" t="str">
        <f>IFERROR(__xludf.DUMMYFUNCTION("""COMPUTED_VALUE"""),"MAFE2023902")</f>
        <v>MAFE2023902</v>
      </c>
      <c r="I1233" s="133"/>
      <c r="J1233" s="133"/>
      <c r="K1233" s="133" t="str">
        <f>IFERROR(__xludf.DUMMYFUNCTION("""COMPUTED_VALUE"""),"شركة المنتجات الغذائية المتميزة")</f>
        <v>شركة المنتجات الغذائية المتميزة</v>
      </c>
      <c r="L1233" s="142" t="str">
        <f>IFERROR(__xludf.DUMMYFUNCTION("""COMPUTED_VALUE"""),"1008030")</f>
        <v>1008030</v>
      </c>
      <c r="M1233" s="133"/>
      <c r="N1233" s="133"/>
      <c r="O1233" s="133"/>
      <c r="P1233" s="133"/>
      <c r="Q1233" s="133"/>
      <c r="R1233" s="133"/>
      <c r="S1233" s="133"/>
      <c r="T1233" s="133"/>
      <c r="U1233" s="133"/>
      <c r="V1233" s="133"/>
      <c r="W1233" s="133"/>
      <c r="X1233" s="133"/>
      <c r="Y1233" s="133"/>
      <c r="Z1233" s="133"/>
    </row>
    <row r="1234">
      <c r="A1234" s="133">
        <f>IFERROR(__xludf.DUMMYFUNCTION("""COMPUTED_VALUE"""),1233.0)</f>
        <v>1233</v>
      </c>
      <c r="B1234" s="133" t="str">
        <f>IFERROR(__xludf.DUMMYFUNCTION("""COMPUTED_VALUE"""),"1008031")</f>
        <v>1008031</v>
      </c>
      <c r="C1234" s="133" t="str">
        <f>IFERROR(__xludf.DUMMYFUNCTION("""COMPUTED_VALUE"""),"P-1-N-270223-1241")</f>
        <v>P-1-N-270223-1241</v>
      </c>
      <c r="D1234" s="133"/>
      <c r="E1234" s="133" t="str">
        <f>IFERROR(__xludf.DUMMYFUNCTION("""COMPUTED_VALUE"""),"تمت طباعة الشهادة")</f>
        <v>تمت طباعة الشهادة</v>
      </c>
      <c r="F1234" s="133" t="str">
        <f>IFERROR(__xludf.DUMMYFUNCTION("""COMPUTED_VALUE"""),"ZUPREM NATURAL AVIANBREEDER MEDIUM 18.1kg")</f>
        <v>ZUPREM NATURAL AVIANBREEDER MEDIUM 18.1kg</v>
      </c>
      <c r="G1234" s="133" t="str">
        <f>IFERROR(__xludf.DUMMYFUNCTION("""COMPUTED_VALUE"""),"زوبريم ناتشورال أفيان بريدر متوسط 18.1 كجم")</f>
        <v>زوبريم ناتشورال أفيان بريدر متوسط 18.1 كجم</v>
      </c>
      <c r="H1234" s="133" t="str">
        <f>IFERROR(__xludf.DUMMYFUNCTION("""COMPUTED_VALUE"""),"MAFE2023885")</f>
        <v>MAFE2023885</v>
      </c>
      <c r="I1234" s="133"/>
      <c r="J1234" s="133"/>
      <c r="K1234" s="133" t="str">
        <f>IFERROR(__xludf.DUMMYFUNCTION("""COMPUTED_VALUE"""),"شركة المنتجات الغذائية المتميزة")</f>
        <v>شركة المنتجات الغذائية المتميزة</v>
      </c>
      <c r="L1234" s="142" t="str">
        <f>IFERROR(__xludf.DUMMYFUNCTION("""COMPUTED_VALUE"""),"1008031")</f>
        <v>1008031</v>
      </c>
      <c r="M1234" s="133"/>
      <c r="N1234" s="133"/>
      <c r="O1234" s="133"/>
      <c r="P1234" s="133"/>
      <c r="Q1234" s="133"/>
      <c r="R1234" s="133"/>
      <c r="S1234" s="133"/>
      <c r="T1234" s="133"/>
      <c r="U1234" s="133"/>
      <c r="V1234" s="133"/>
      <c r="W1234" s="133"/>
      <c r="X1234" s="133"/>
      <c r="Y1234" s="133"/>
      <c r="Z1234" s="133"/>
    </row>
    <row r="1235">
      <c r="A1235" s="133">
        <f>IFERROR(__xludf.DUMMYFUNCTION("""COMPUTED_VALUE"""),1234.0)</f>
        <v>1234</v>
      </c>
      <c r="B1235" s="133" t="str">
        <f>IFERROR(__xludf.DUMMYFUNCTION("""COMPUTED_VALUE"""),"1008065")</f>
        <v>1008065</v>
      </c>
      <c r="C1235" s="133" t="str">
        <f>IFERROR(__xludf.DUMMYFUNCTION("""COMPUTED_VALUE"""),"P-1-N-270223-1244")</f>
        <v>P-1-N-270223-1244</v>
      </c>
      <c r="D1235" s="133"/>
      <c r="E1235" s="133" t="str">
        <f>IFERROR(__xludf.DUMMYFUNCTION("""COMPUTED_VALUE"""),"تمت طباعة الشهادة")</f>
        <v>تمت طباعة الشهادة</v>
      </c>
      <c r="F1235" s="133" t="str">
        <f>IFERROR(__xludf.DUMMYFUNCTION("""COMPUTED_VALUE"""),"ZUPREEM FRUITBLEND LARGE 7.94kg")</f>
        <v>ZUPREEM FRUITBLEND LARGE 7.94kg</v>
      </c>
      <c r="G1235" s="133" t="str">
        <f>IFERROR(__xludf.DUMMYFUNCTION("""COMPUTED_VALUE"""),"زوبريم فروتبلند كبير 7.94 كجم")</f>
        <v>زوبريم فروتبلند كبير 7.94 كجم</v>
      </c>
      <c r="H1235" s="133" t="str">
        <f>IFERROR(__xludf.DUMMYFUNCTION("""COMPUTED_VALUE"""),"MAFE2023860")</f>
        <v>MAFE2023860</v>
      </c>
      <c r="I1235" s="133"/>
      <c r="J1235" s="133"/>
      <c r="K1235" s="133" t="str">
        <f>IFERROR(__xludf.DUMMYFUNCTION("""COMPUTED_VALUE"""),"شركة المنتجات الغذائية المتميزة")</f>
        <v>شركة المنتجات الغذائية المتميزة</v>
      </c>
      <c r="L1235" s="142" t="str">
        <f>IFERROR(__xludf.DUMMYFUNCTION("""COMPUTED_VALUE"""),"1008065")</f>
        <v>1008065</v>
      </c>
      <c r="M1235" s="133"/>
      <c r="N1235" s="133"/>
      <c r="O1235" s="133"/>
      <c r="P1235" s="133"/>
      <c r="Q1235" s="133"/>
      <c r="R1235" s="133"/>
      <c r="S1235" s="133"/>
      <c r="T1235" s="133"/>
      <c r="U1235" s="133"/>
      <c r="V1235" s="133"/>
      <c r="W1235" s="133"/>
      <c r="X1235" s="133"/>
      <c r="Y1235" s="133"/>
      <c r="Z1235" s="133"/>
    </row>
    <row r="1236">
      <c r="A1236" s="133">
        <f>IFERROR(__xludf.DUMMYFUNCTION("""COMPUTED_VALUE"""),1235.0)</f>
        <v>1235</v>
      </c>
      <c r="B1236" s="133"/>
      <c r="C1236" s="133" t="str">
        <f>IFERROR(__xludf.DUMMYFUNCTION("""COMPUTED_VALUE"""),"P-1-N-270223-1245")</f>
        <v>P-1-N-270223-1245</v>
      </c>
      <c r="D1236" s="133"/>
      <c r="E1236" s="133" t="str">
        <f>IFERROR(__xludf.DUMMYFUNCTION("""COMPUTED_VALUE"""),"تمت طباعة الشهادة")</f>
        <v>تمت طباعة الشهادة</v>
      </c>
      <c r="F1236" s="133" t="str">
        <f>IFERROR(__xludf.DUMMYFUNCTION("""COMPUTED_VALUE"""),"ZUPREEM FRUITBLEND PARROTS &amp; CONURES 7.94kg")</f>
        <v>ZUPREEM FRUITBLEND PARROTS &amp; CONURES 7.94kg</v>
      </c>
      <c r="G1236" s="133" t="str">
        <f>IFERROR(__xludf.DUMMYFUNCTION("""COMPUTED_VALUE"""),"زوبريم فروتبلند الببغاوات و الكنيور 7.94 كجم")</f>
        <v>زوبريم فروتبلند الببغاوات و الكنيور 7.94 كجم</v>
      </c>
      <c r="H1236" s="133" t="str">
        <f>IFERROR(__xludf.DUMMYFUNCTION("""COMPUTED_VALUE"""),"MAFE2023859")</f>
        <v>MAFE2023859</v>
      </c>
      <c r="I1236" s="133"/>
      <c r="J1236" s="133"/>
      <c r="K1236" s="133" t="str">
        <f>IFERROR(__xludf.DUMMYFUNCTION("""COMPUTED_VALUE"""),"شركة المنتجات الغذائية المتميزة")</f>
        <v>شركة المنتجات الغذائية المتميزة</v>
      </c>
      <c r="L1236" s="133"/>
      <c r="M1236" s="133"/>
      <c r="N1236" s="133"/>
      <c r="O1236" s="133"/>
      <c r="P1236" s="133"/>
      <c r="Q1236" s="133"/>
      <c r="R1236" s="133"/>
      <c r="S1236" s="133"/>
      <c r="T1236" s="133"/>
      <c r="U1236" s="133"/>
      <c r="V1236" s="133"/>
      <c r="W1236" s="133"/>
      <c r="X1236" s="133"/>
      <c r="Y1236" s="133"/>
      <c r="Z1236" s="133"/>
    </row>
    <row r="1237">
      <c r="A1237" s="133">
        <f>IFERROR(__xludf.DUMMYFUNCTION("""COMPUTED_VALUE"""),1236.0)</f>
        <v>1236</v>
      </c>
      <c r="B1237" s="133" t="str">
        <f>IFERROR(__xludf.DUMMYFUNCTION("""COMPUTED_VALUE"""),"1008059")</f>
        <v>1008059</v>
      </c>
      <c r="C1237" s="133" t="str">
        <f>IFERROR(__xludf.DUMMYFUNCTION("""COMPUTED_VALUE"""),"P-1-N-270223-1246")</f>
        <v>P-1-N-270223-1246</v>
      </c>
      <c r="D1237" s="133"/>
      <c r="E1237" s="133" t="str">
        <f>IFERROR(__xludf.DUMMYFUNCTION("""COMPUTED_VALUE"""),"تمت طباعة الشهادة")</f>
        <v>تمت طباعة الشهادة</v>
      </c>
      <c r="F1237" s="133" t="str">
        <f>IFERROR(__xludf.DUMMYFUNCTION("""COMPUTED_VALUE"""),"ZUPREEM FRUITBLEND MEDIUM 7.94kg")</f>
        <v>ZUPREEM FRUITBLEND MEDIUM 7.94kg</v>
      </c>
      <c r="G1237" s="133" t="str">
        <f>IFERROR(__xludf.DUMMYFUNCTION("""COMPUTED_VALUE"""),"زوبريم فروتبلند متوسط 7.94 كجم")</f>
        <v>زوبريم فروتبلند متوسط 7.94 كجم</v>
      </c>
      <c r="H1237" s="133" t="str">
        <f>IFERROR(__xludf.DUMMYFUNCTION("""COMPUTED_VALUE"""),"MAFE2023858")</f>
        <v>MAFE2023858</v>
      </c>
      <c r="I1237" s="133"/>
      <c r="J1237" s="133"/>
      <c r="K1237" s="133" t="str">
        <f>IFERROR(__xludf.DUMMYFUNCTION("""COMPUTED_VALUE"""),"شركة المنتجات الغذائية المتميزة")</f>
        <v>شركة المنتجات الغذائية المتميزة</v>
      </c>
      <c r="L1237" s="142" t="str">
        <f>IFERROR(__xludf.DUMMYFUNCTION("""COMPUTED_VALUE"""),"1008059")</f>
        <v>1008059</v>
      </c>
      <c r="M1237" s="133"/>
      <c r="N1237" s="133"/>
      <c r="O1237" s="133"/>
      <c r="P1237" s="133"/>
      <c r="Q1237" s="133"/>
      <c r="R1237" s="133"/>
      <c r="S1237" s="133"/>
      <c r="T1237" s="133"/>
      <c r="U1237" s="133"/>
      <c r="V1237" s="133"/>
      <c r="W1237" s="133"/>
      <c r="X1237" s="133"/>
      <c r="Y1237" s="133"/>
      <c r="Z1237" s="133"/>
    </row>
    <row r="1238">
      <c r="A1238" s="133">
        <f>IFERROR(__xludf.DUMMYFUNCTION("""COMPUTED_VALUE"""),1237.0)</f>
        <v>1237</v>
      </c>
      <c r="B1238" s="133" t="str">
        <f>IFERROR(__xludf.DUMMYFUNCTION("""COMPUTED_VALUE"""),"1008066")</f>
        <v>1008066</v>
      </c>
      <c r="C1238" s="133" t="str">
        <f>IFERROR(__xludf.DUMMYFUNCTION("""COMPUTED_VALUE"""),"P-1-N-270223-1247")</f>
        <v>P-1-N-270223-1247</v>
      </c>
      <c r="D1238" s="133"/>
      <c r="E1238" s="133" t="str">
        <f>IFERROR(__xludf.DUMMYFUNCTION("""COMPUTED_VALUE"""),"تمت طباعة الشهادة")</f>
        <v>تمت طباعة الشهادة</v>
      </c>
      <c r="F1238" s="133" t="str">
        <f>IFERROR(__xludf.DUMMYFUNCTION("""COMPUTED_VALUE"""),"ZUPREEM FRUITBLEND LARGE 15.88kg")</f>
        <v>ZUPREEM FRUITBLEND LARGE 15.88kg</v>
      </c>
      <c r="G1238" s="133" t="str">
        <f>IFERROR(__xludf.DUMMYFUNCTION("""COMPUTED_VALUE"""),"زوبريم فروتبلند كبير 15.88 كجم")</f>
        <v>زوبريم فروتبلند كبير 15.88 كجم</v>
      </c>
      <c r="H1238" s="133" t="str">
        <f>IFERROR(__xludf.DUMMYFUNCTION("""COMPUTED_VALUE"""),"MAFE2023857")</f>
        <v>MAFE2023857</v>
      </c>
      <c r="I1238" s="133"/>
      <c r="J1238" s="133"/>
      <c r="K1238" s="133" t="str">
        <f>IFERROR(__xludf.DUMMYFUNCTION("""COMPUTED_VALUE"""),"شركة المنتجات الغذائية المتميزة")</f>
        <v>شركة المنتجات الغذائية المتميزة</v>
      </c>
      <c r="L1238" s="142" t="str">
        <f>IFERROR(__xludf.DUMMYFUNCTION("""COMPUTED_VALUE"""),"1008066")</f>
        <v>1008066</v>
      </c>
      <c r="M1238" s="133"/>
      <c r="N1238" s="133"/>
      <c r="O1238" s="133"/>
      <c r="P1238" s="133"/>
      <c r="Q1238" s="133"/>
      <c r="R1238" s="133"/>
      <c r="S1238" s="133"/>
      <c r="T1238" s="133"/>
      <c r="U1238" s="133"/>
      <c r="V1238" s="133"/>
      <c r="W1238" s="133"/>
      <c r="X1238" s="133"/>
      <c r="Y1238" s="133"/>
      <c r="Z1238" s="133"/>
    </row>
    <row r="1239">
      <c r="A1239" s="133">
        <f>IFERROR(__xludf.DUMMYFUNCTION("""COMPUTED_VALUE"""),1238.0)</f>
        <v>1238</v>
      </c>
      <c r="B1239" s="133"/>
      <c r="C1239" s="133" t="str">
        <f>IFERROR(__xludf.DUMMYFUNCTION("""COMPUTED_VALUE"""),"P-1-N-270223-1249")</f>
        <v>P-1-N-270223-1249</v>
      </c>
      <c r="D1239" s="133"/>
      <c r="E1239" s="133" t="str">
        <f>IFERROR(__xludf.DUMMYFUNCTION("""COMPUTED_VALUE"""),"تمت طباعة الشهادة")</f>
        <v>تمت طباعة الشهادة</v>
      </c>
      <c r="F1239" s="133" t="str">
        <f>IFERROR(__xludf.DUMMYFUNCTION("""COMPUTED_VALUE"""),"ZUPREEM FRUITBLEND PARROTS &amp; CONURES 15.88kg")</f>
        <v>ZUPREEM FRUITBLEND PARROTS &amp; CONURES 15.88kg</v>
      </c>
      <c r="G1239" s="133" t="str">
        <f>IFERROR(__xludf.DUMMYFUNCTION("""COMPUTED_VALUE"""),"زوبريم فروتبلند الببغاوات و الكنيور 15.88 كجم")</f>
        <v>زوبريم فروتبلند الببغاوات و الكنيور 15.88 كجم</v>
      </c>
      <c r="H1239" s="133" t="str">
        <f>IFERROR(__xludf.DUMMYFUNCTION("""COMPUTED_VALUE"""),"MAFE2023856")</f>
        <v>MAFE2023856</v>
      </c>
      <c r="I1239" s="133"/>
      <c r="J1239" s="133"/>
      <c r="K1239" s="133" t="str">
        <f>IFERROR(__xludf.DUMMYFUNCTION("""COMPUTED_VALUE"""),"شركة المنتجات الغذائية المتميزة")</f>
        <v>شركة المنتجات الغذائية المتميزة</v>
      </c>
      <c r="L1239" s="133"/>
      <c r="M1239" s="133"/>
      <c r="N1239" s="133"/>
      <c r="O1239" s="133"/>
      <c r="P1239" s="133"/>
      <c r="Q1239" s="133"/>
      <c r="R1239" s="133"/>
      <c r="S1239" s="133"/>
      <c r="T1239" s="133"/>
      <c r="U1239" s="133"/>
      <c r="V1239" s="133"/>
      <c r="W1239" s="133"/>
      <c r="X1239" s="133"/>
      <c r="Y1239" s="133"/>
      <c r="Z1239" s="133"/>
    </row>
    <row r="1240">
      <c r="A1240" s="133">
        <f>IFERROR(__xludf.DUMMYFUNCTION("""COMPUTED_VALUE"""),1239.0)</f>
        <v>1239</v>
      </c>
      <c r="B1240" s="133"/>
      <c r="C1240" s="133" t="str">
        <f>IFERROR(__xludf.DUMMYFUNCTION("""COMPUTED_VALUE"""),"P-1-N-270223-1250")</f>
        <v>P-1-N-270223-1250</v>
      </c>
      <c r="D1240" s="133"/>
      <c r="E1240" s="133" t="str">
        <f>IFERROR(__xludf.DUMMYFUNCTION("""COMPUTED_VALUE"""),"تمت طباعة الشهادة")</f>
        <v>تمت طباعة الشهادة</v>
      </c>
      <c r="F1240" s="133" t="str">
        <f>IFERROR(__xludf.DUMMYFUNCTION("""COMPUTED_VALUE"""),"ZUPREEM FRUITBLEND MEDIUM 15.88kg")</f>
        <v>ZUPREEM FRUITBLEND MEDIUM 15.88kg</v>
      </c>
      <c r="G1240" s="133" t="str">
        <f>IFERROR(__xludf.DUMMYFUNCTION("""COMPUTED_VALUE"""),"زوبريم فروتبلند متوسط 15.88 كجم")</f>
        <v>زوبريم فروتبلند متوسط 15.88 كجم</v>
      </c>
      <c r="H1240" s="133" t="str">
        <f>IFERROR(__xludf.DUMMYFUNCTION("""COMPUTED_VALUE"""),"MAFE2023855")</f>
        <v>MAFE2023855</v>
      </c>
      <c r="I1240" s="133"/>
      <c r="J1240" s="133"/>
      <c r="K1240" s="133" t="str">
        <f>IFERROR(__xludf.DUMMYFUNCTION("""COMPUTED_VALUE"""),"شركة المنتجات الغذائية المتميزة")</f>
        <v>شركة المنتجات الغذائية المتميزة</v>
      </c>
      <c r="L1240" s="133"/>
      <c r="M1240" s="133"/>
      <c r="N1240" s="133"/>
      <c r="O1240" s="133"/>
      <c r="P1240" s="133"/>
      <c r="Q1240" s="133"/>
      <c r="R1240" s="133"/>
      <c r="S1240" s="133"/>
      <c r="T1240" s="133"/>
      <c r="U1240" s="133"/>
      <c r="V1240" s="133"/>
      <c r="W1240" s="133"/>
      <c r="X1240" s="133"/>
      <c r="Y1240" s="133"/>
      <c r="Z1240" s="133"/>
    </row>
    <row r="1241">
      <c r="A1241" s="133">
        <f>IFERROR(__xludf.DUMMYFUNCTION("""COMPUTED_VALUE"""),1240.0)</f>
        <v>1240</v>
      </c>
      <c r="B1241" s="133"/>
      <c r="C1241" s="133" t="str">
        <f>IFERROR(__xludf.DUMMYFUNCTION("""COMPUTED_VALUE"""),"P-1-N-280223-1259")</f>
        <v>P-1-N-280223-1259</v>
      </c>
      <c r="D1241" s="133"/>
      <c r="E1241" s="133" t="str">
        <f>IFERROR(__xludf.DUMMYFUNCTION("""COMPUTED_VALUE"""),"تمت طباعة الشهادة")</f>
        <v>تمت طباعة الشهادة</v>
      </c>
      <c r="F1241" s="133" t="str">
        <f>IFERROR(__xludf.DUMMYFUNCTION("""COMPUTED_VALUE"""),"Pate Beef &amp; Chicken Goulash 85g")</f>
        <v>Pate Beef &amp; Chicken Goulash 85g</v>
      </c>
      <c r="G1241" s="133" t="str">
        <f>IFERROR(__xludf.DUMMYFUNCTION("""COMPUTED_VALUE"""),"باتيه جولاش لحم و دجاج 85 جم")</f>
        <v>باتيه جولاش لحم و دجاج 85 جم</v>
      </c>
      <c r="H1241" s="133" t="str">
        <f>IFERROR(__xludf.DUMMYFUNCTION("""COMPUTED_VALUE"""),"MAFE2023884")</f>
        <v>MAFE2023884</v>
      </c>
      <c r="I1241" s="133"/>
      <c r="J1241" s="133"/>
      <c r="K1241" s="133" t="str">
        <f>IFERROR(__xludf.DUMMYFUNCTION("""COMPUTED_VALUE"""),"شركة جوسيرا بت فود جي ام بي اتش كاي جي")</f>
        <v>شركة جوسيرا بت فود جي ام بي اتش كاي جي</v>
      </c>
      <c r="L1241" s="133"/>
      <c r="M1241" s="133"/>
      <c r="N1241" s="133"/>
      <c r="O1241" s="133"/>
      <c r="P1241" s="133"/>
      <c r="Q1241" s="133"/>
      <c r="R1241" s="133"/>
      <c r="S1241" s="133"/>
      <c r="T1241" s="133"/>
      <c r="U1241" s="133"/>
      <c r="V1241" s="133"/>
      <c r="W1241" s="133"/>
      <c r="X1241" s="133"/>
      <c r="Y1241" s="133"/>
      <c r="Z1241" s="133"/>
    </row>
    <row r="1242">
      <c r="A1242" s="133">
        <f>IFERROR(__xludf.DUMMYFUNCTION("""COMPUTED_VALUE"""),1241.0)</f>
        <v>1241</v>
      </c>
      <c r="B1242" s="133"/>
      <c r="C1242" s="133" t="str">
        <f>IFERROR(__xludf.DUMMYFUNCTION("""COMPUTED_VALUE"""),"P-1-N-280223-1260")</f>
        <v>P-1-N-280223-1260</v>
      </c>
      <c r="D1242" s="133"/>
      <c r="E1242" s="133" t="str">
        <f>IFERROR(__xludf.DUMMYFUNCTION("""COMPUTED_VALUE"""),"تمت طباعة الشهادة")</f>
        <v>تمت طباعة الشهادة</v>
      </c>
      <c r="F1242" s="133" t="str">
        <f>IFERROR(__xludf.DUMMYFUNCTION("""COMPUTED_VALUE"""),"Pate Chicken with Spinach 85g")</f>
        <v>Pate Chicken with Spinach 85g</v>
      </c>
      <c r="G1242" s="133" t="str">
        <f>IFERROR(__xludf.DUMMYFUNCTION("""COMPUTED_VALUE"""),"باتيه دجاج بالسبانخ 85 جم")</f>
        <v>باتيه دجاج بالسبانخ 85 جم</v>
      </c>
      <c r="H1242" s="133" t="str">
        <f>IFERROR(__xludf.DUMMYFUNCTION("""COMPUTED_VALUE"""),"MAFE2023883")</f>
        <v>MAFE2023883</v>
      </c>
      <c r="I1242" s="133"/>
      <c r="J1242" s="133"/>
      <c r="K1242" s="133" t="str">
        <f>IFERROR(__xludf.DUMMYFUNCTION("""COMPUTED_VALUE"""),"شركة جوسيرا بت فود جي ام بي اتش كاي جي")</f>
        <v>شركة جوسيرا بت فود جي ام بي اتش كاي جي</v>
      </c>
      <c r="L1242" s="133"/>
      <c r="M1242" s="133"/>
      <c r="N1242" s="133"/>
      <c r="O1242" s="133"/>
      <c r="P1242" s="133"/>
      <c r="Q1242" s="133"/>
      <c r="R1242" s="133"/>
      <c r="S1242" s="133"/>
      <c r="T1242" s="133"/>
      <c r="U1242" s="133"/>
      <c r="V1242" s="133"/>
      <c r="W1242" s="133"/>
      <c r="X1242" s="133"/>
      <c r="Y1242" s="133"/>
      <c r="Z1242" s="133"/>
    </row>
    <row r="1243">
      <c r="A1243" s="133">
        <f>IFERROR(__xludf.DUMMYFUNCTION("""COMPUTED_VALUE"""),1242.0)</f>
        <v>1242</v>
      </c>
      <c r="B1243" s="133"/>
      <c r="C1243" s="133" t="str">
        <f>IFERROR(__xludf.DUMMYFUNCTION("""COMPUTED_VALUE"""),"P-1-N-280223-1261")</f>
        <v>P-1-N-280223-1261</v>
      </c>
      <c r="D1243" s="133"/>
      <c r="E1243" s="133" t="str">
        <f>IFERROR(__xludf.DUMMYFUNCTION("""COMPUTED_VALUE"""),"تمت طباعة الشهادة")</f>
        <v>تمت طباعة الشهادة</v>
      </c>
      <c r="F1243" s="133" t="str">
        <f>IFERROR(__xludf.DUMMYFUNCTION("""COMPUTED_VALUE"""),"Pate Kitten 85g")</f>
        <v>Pate Kitten 85g</v>
      </c>
      <c r="G1243" s="133" t="str">
        <f>IFERROR(__xludf.DUMMYFUNCTION("""COMPUTED_VALUE"""),"باتيه القطط الصغيرة 85 جم")</f>
        <v>باتيه القطط الصغيرة 85 جم</v>
      </c>
      <c r="H1243" s="133" t="str">
        <f>IFERROR(__xludf.DUMMYFUNCTION("""COMPUTED_VALUE"""),"MAFE2023882")</f>
        <v>MAFE2023882</v>
      </c>
      <c r="I1243" s="133"/>
      <c r="J1243" s="133"/>
      <c r="K1243" s="133" t="str">
        <f>IFERROR(__xludf.DUMMYFUNCTION("""COMPUTED_VALUE"""),"شركة جوسيرا بت فود جي ام بي اتش كاي جي")</f>
        <v>شركة جوسيرا بت فود جي ام بي اتش كاي جي</v>
      </c>
      <c r="L1243" s="133"/>
      <c r="M1243" s="133"/>
      <c r="N1243" s="133"/>
      <c r="O1243" s="133"/>
      <c r="P1243" s="133"/>
      <c r="Q1243" s="133"/>
      <c r="R1243" s="133"/>
      <c r="S1243" s="133"/>
      <c r="T1243" s="133"/>
      <c r="U1243" s="133"/>
      <c r="V1243" s="133"/>
      <c r="W1243" s="133"/>
      <c r="X1243" s="133"/>
      <c r="Y1243" s="133"/>
      <c r="Z1243" s="133"/>
    </row>
    <row r="1244">
      <c r="A1244" s="133">
        <f>IFERROR(__xludf.DUMMYFUNCTION("""COMPUTED_VALUE"""),1243.0)</f>
        <v>1243</v>
      </c>
      <c r="B1244" s="133"/>
      <c r="C1244" s="133" t="str">
        <f>IFERROR(__xludf.DUMMYFUNCTION("""COMPUTED_VALUE"""),"P-1-N-280223-1262")</f>
        <v>P-1-N-280223-1262</v>
      </c>
      <c r="D1244" s="133"/>
      <c r="E1244" s="133" t="str">
        <f>IFERROR(__xludf.DUMMYFUNCTION("""COMPUTED_VALUE"""),"تمت طباعة الشهادة")</f>
        <v>تمت طباعة الشهادة</v>
      </c>
      <c r="F1244" s="133" t="str">
        <f>IFERROR(__xludf.DUMMYFUNCTION("""COMPUTED_VALUE"""),"Pate Salmon with Seaweed 80g")</f>
        <v>Pate Salmon with Seaweed 80g</v>
      </c>
      <c r="G1244" s="133" t="str">
        <f>IFERROR(__xludf.DUMMYFUNCTION("""COMPUTED_VALUE"""),"باتيه سمك السلمون مع الأعشاب البحرية 80 جم")</f>
        <v>باتيه سمك السلمون مع الأعشاب البحرية 80 جم</v>
      </c>
      <c r="H1244" s="133" t="str">
        <f>IFERROR(__xludf.DUMMYFUNCTION("""COMPUTED_VALUE"""),"MAFE2023881")</f>
        <v>MAFE2023881</v>
      </c>
      <c r="I1244" s="133"/>
      <c r="J1244" s="133"/>
      <c r="K1244" s="133" t="str">
        <f>IFERROR(__xludf.DUMMYFUNCTION("""COMPUTED_VALUE"""),"شركة جوسيرا بت فود جي ام بي اتش كاي جي")</f>
        <v>شركة جوسيرا بت فود جي ام بي اتش كاي جي</v>
      </c>
      <c r="L1244" s="133"/>
      <c r="M1244" s="133"/>
      <c r="N1244" s="133"/>
      <c r="O1244" s="133"/>
      <c r="P1244" s="133"/>
      <c r="Q1244" s="133"/>
      <c r="R1244" s="133"/>
      <c r="S1244" s="133"/>
      <c r="T1244" s="133"/>
      <c r="U1244" s="133"/>
      <c r="V1244" s="133"/>
      <c r="W1244" s="133"/>
      <c r="X1244" s="133"/>
      <c r="Y1244" s="133"/>
      <c r="Z1244" s="133"/>
    </row>
    <row r="1245">
      <c r="A1245" s="133">
        <f>IFERROR(__xludf.DUMMYFUNCTION("""COMPUTED_VALUE"""),1244.0)</f>
        <v>1244</v>
      </c>
      <c r="B1245" s="133"/>
      <c r="C1245" s="133" t="str">
        <f>IFERROR(__xludf.DUMMYFUNCTION("""COMPUTED_VALUE"""),"P-1-N-280223-1263")</f>
        <v>P-1-N-280223-1263</v>
      </c>
      <c r="D1245" s="133"/>
      <c r="E1245" s="133" t="str">
        <f>IFERROR(__xludf.DUMMYFUNCTION("""COMPUTED_VALUE"""),"تمت طباعة الشهادة")</f>
        <v>تمت طباعة الشهادة</v>
      </c>
      <c r="F1245" s="133" t="str">
        <f>IFERROR(__xludf.DUMMYFUNCTION("""COMPUTED_VALUE"""),"Pate Turkey with Zucchini 85g")</f>
        <v>Pate Turkey with Zucchini 85g</v>
      </c>
      <c r="G1245" s="133" t="str">
        <f>IFERROR(__xludf.DUMMYFUNCTION("""COMPUTED_VALUE"""),"باتيه ديك رومي مع الكوسا 85 جم")</f>
        <v>باتيه ديك رومي مع الكوسا 85 جم</v>
      </c>
      <c r="H1245" s="133" t="str">
        <f>IFERROR(__xludf.DUMMYFUNCTION("""COMPUTED_VALUE"""),"MAFE2023880")</f>
        <v>MAFE2023880</v>
      </c>
      <c r="I1245" s="133"/>
      <c r="J1245" s="133"/>
      <c r="K1245" s="133" t="str">
        <f>IFERROR(__xludf.DUMMYFUNCTION("""COMPUTED_VALUE"""),"شركة جوسيرا بت فود جي ام بي اتش كاي جي")</f>
        <v>شركة جوسيرا بت فود جي ام بي اتش كاي جي</v>
      </c>
      <c r="L1245" s="133"/>
      <c r="M1245" s="133"/>
      <c r="N1245" s="133"/>
      <c r="O1245" s="133"/>
      <c r="P1245" s="133"/>
      <c r="Q1245" s="133"/>
      <c r="R1245" s="133"/>
      <c r="S1245" s="133"/>
      <c r="T1245" s="133"/>
      <c r="U1245" s="133"/>
      <c r="V1245" s="133"/>
      <c r="W1245" s="133"/>
      <c r="X1245" s="133"/>
      <c r="Y1245" s="133"/>
      <c r="Z1245" s="133"/>
    </row>
    <row r="1246">
      <c r="A1246" s="133">
        <f>IFERROR(__xludf.DUMMYFUNCTION("""COMPUTED_VALUE"""),1245.0)</f>
        <v>1245</v>
      </c>
      <c r="B1246" s="133"/>
      <c r="C1246" s="133" t="str">
        <f>IFERROR(__xludf.DUMMYFUNCTION("""COMPUTED_VALUE"""),"P-1-N-280223-1264")</f>
        <v>P-1-N-280223-1264</v>
      </c>
      <c r="D1246" s="133"/>
      <c r="E1246" s="133" t="str">
        <f>IFERROR(__xludf.DUMMYFUNCTION("""COMPUTED_VALUE"""),"تمت طباعة الشهادة")</f>
        <v>تمت طباعة الشهادة</v>
      </c>
      <c r="F1246" s="133" t="str">
        <f>IFERROR(__xludf.DUMMYFUNCTION("""COMPUTED_VALUE"""),"Multipack Filet a 6x70g")</f>
        <v>Multipack Filet a 6x70g</v>
      </c>
      <c r="G1246" s="133" t="str">
        <f>IFERROR(__xludf.DUMMYFUNCTION("""COMPUTED_VALUE"""),"مالتي باك فيليه أ 6 × 70 جرام")</f>
        <v>مالتي باك فيليه أ 6 × 70 جرام</v>
      </c>
      <c r="H1246" s="133" t="str">
        <f>IFERROR(__xludf.DUMMYFUNCTION("""COMPUTED_VALUE"""),"MAFE2023879")</f>
        <v>MAFE2023879</v>
      </c>
      <c r="I1246" s="133"/>
      <c r="J1246" s="133"/>
      <c r="K1246" s="133" t="str">
        <f>IFERROR(__xludf.DUMMYFUNCTION("""COMPUTED_VALUE"""),"شركة جوسيرا بت فود جي ام بي اتش كاي جي")</f>
        <v>شركة جوسيرا بت فود جي ام بي اتش كاي جي</v>
      </c>
      <c r="L1246" s="133"/>
      <c r="M1246" s="133"/>
      <c r="N1246" s="133"/>
      <c r="O1246" s="133"/>
      <c r="P1246" s="133"/>
      <c r="Q1246" s="133"/>
      <c r="R1246" s="133"/>
      <c r="S1246" s="133"/>
      <c r="T1246" s="133"/>
      <c r="U1246" s="133"/>
      <c r="V1246" s="133"/>
      <c r="W1246" s="133"/>
      <c r="X1246" s="133"/>
      <c r="Y1246" s="133"/>
      <c r="Z1246" s="133"/>
    </row>
    <row r="1247">
      <c r="A1247" s="133">
        <f>IFERROR(__xludf.DUMMYFUNCTION("""COMPUTED_VALUE"""),1246.0)</f>
        <v>1246</v>
      </c>
      <c r="B1247" s="133"/>
      <c r="C1247" s="133" t="str">
        <f>IFERROR(__xludf.DUMMYFUNCTION("""COMPUTED_VALUE"""),"P-1-N-280223-1265")</f>
        <v>P-1-N-280223-1265</v>
      </c>
      <c r="D1247" s="133"/>
      <c r="E1247" s="133" t="str">
        <f>IFERROR(__xludf.DUMMYFUNCTION("""COMPUTED_VALUE"""),"تمت طباعة الشهادة")</f>
        <v>تمت طباعة الشهادة</v>
      </c>
      <c r="F1247" s="133" t="str">
        <f>IFERROR(__xludf.DUMMYFUNCTION("""COMPUTED_VALUE"""),"Multipack Pate a 6x85g")</f>
        <v>Multipack Pate a 6x85g</v>
      </c>
      <c r="G1247" s="133" t="str">
        <f>IFERROR(__xludf.DUMMYFUNCTION("""COMPUTED_VALUE"""),"مالتي باك باتيه أ 6 × 85 جرام")</f>
        <v>مالتي باك باتيه أ 6 × 85 جرام</v>
      </c>
      <c r="H1247" s="133" t="str">
        <f>IFERROR(__xludf.DUMMYFUNCTION("""COMPUTED_VALUE"""),"MAFE2023878")</f>
        <v>MAFE2023878</v>
      </c>
      <c r="I1247" s="133"/>
      <c r="J1247" s="133"/>
      <c r="K1247" s="133" t="str">
        <f>IFERROR(__xludf.DUMMYFUNCTION("""COMPUTED_VALUE"""),"شركة جوسيرا بت فود جي ام بي اتش كاي جي")</f>
        <v>شركة جوسيرا بت فود جي ام بي اتش كاي جي</v>
      </c>
      <c r="L1247" s="133"/>
      <c r="M1247" s="133"/>
      <c r="N1247" s="133"/>
      <c r="O1247" s="133"/>
      <c r="P1247" s="133"/>
      <c r="Q1247" s="133"/>
      <c r="R1247" s="133"/>
      <c r="S1247" s="133"/>
      <c r="T1247" s="133"/>
      <c r="U1247" s="133"/>
      <c r="V1247" s="133"/>
      <c r="W1247" s="133"/>
      <c r="X1247" s="133"/>
      <c r="Y1247" s="133"/>
      <c r="Z1247" s="133"/>
    </row>
    <row r="1248">
      <c r="A1248" s="133">
        <f>IFERROR(__xludf.DUMMYFUNCTION("""COMPUTED_VALUE"""),1247.0)</f>
        <v>1247</v>
      </c>
      <c r="B1248" s="133"/>
      <c r="C1248" s="133" t="str">
        <f>IFERROR(__xludf.DUMMYFUNCTION("""COMPUTED_VALUE"""),"P-1-N-280223-1270")</f>
        <v>P-1-N-280223-1270</v>
      </c>
      <c r="D1248" s="133"/>
      <c r="E1248" s="133" t="str">
        <f>IFERROR(__xludf.DUMMYFUNCTION("""COMPUTED_VALUE"""),"مرجع للتعديل")</f>
        <v>مرجع للتعديل</v>
      </c>
      <c r="F1248" s="133" t="str">
        <f>IFERROR(__xludf.DUMMYFUNCTION("""COMPUTED_VALUE"""),"Soup Chicken with Carrots &amp; Spinach 70g")</f>
        <v>Soup Chicken with Carrots &amp; Spinach 70g</v>
      </c>
      <c r="G1248" s="133" t="str">
        <f>IFERROR(__xludf.DUMMYFUNCTION("""COMPUTED_VALUE"""),"شوربة دجاج بالجزر والسبانخ 70 جم")</f>
        <v>شوربة دجاج بالجزر والسبانخ 70 جم</v>
      </c>
      <c r="H1248" s="133"/>
      <c r="I1248" s="133"/>
      <c r="J1248" s="133"/>
      <c r="K1248" s="133"/>
      <c r="L1248" s="133"/>
      <c r="M1248" s="133"/>
      <c r="N1248" s="133"/>
      <c r="O1248" s="133"/>
      <c r="P1248" s="133"/>
      <c r="Q1248" s="133"/>
      <c r="R1248" s="133"/>
      <c r="S1248" s="133"/>
      <c r="T1248" s="133"/>
      <c r="U1248" s="133"/>
      <c r="V1248" s="133"/>
      <c r="W1248" s="133"/>
      <c r="X1248" s="133"/>
      <c r="Y1248" s="133"/>
      <c r="Z1248" s="133"/>
    </row>
    <row r="1249">
      <c r="A1249" s="133">
        <f>IFERROR(__xludf.DUMMYFUNCTION("""COMPUTED_VALUE"""),1248.0)</f>
        <v>1248</v>
      </c>
      <c r="B1249" s="133"/>
      <c r="C1249" s="133" t="str">
        <f>IFERROR(__xludf.DUMMYFUNCTION("""COMPUTED_VALUE"""),"P-1-N-050323-1347")</f>
        <v>P-1-N-050323-1347</v>
      </c>
      <c r="D1249" s="133"/>
      <c r="E1249" s="133" t="str">
        <f>IFERROR(__xludf.DUMMYFUNCTION("""COMPUTED_VALUE"""),"تمت طباعة الشهادة")</f>
        <v>تمت طباعة الشهادة</v>
      </c>
      <c r="F1249" s="133" t="str">
        <f>IFERROR(__xludf.DUMMYFUNCTION("""COMPUTED_VALUE"""),"Prestige Premium Parrots Exotic Nuts Mix 750g")</f>
        <v>Prestige Premium Parrots Exotic Nuts Mix 750g</v>
      </c>
      <c r="G1249" s="133" t="str">
        <f>IFERROR(__xludf.DUMMYFUNCTION("""COMPUTED_VALUE"""),"برستيج بريميوم إكزوتك مكسرات مشكلة للببغاء 750 جم")</f>
        <v>برستيج بريميوم إكزوتك مكسرات مشكلة للببغاء 750 جم</v>
      </c>
      <c r="H1249" s="133" t="str">
        <f>IFERROR(__xludf.DUMMYFUNCTION("""COMPUTED_VALUE"""),"MAFE2023939")</f>
        <v>MAFE2023939</v>
      </c>
      <c r="I1249" s="133"/>
      <c r="J1249" s="133"/>
      <c r="K1249" s="133"/>
      <c r="L1249" s="133"/>
      <c r="M1249" s="133"/>
      <c r="N1249" s="133"/>
      <c r="O1249" s="133"/>
      <c r="P1249" s="133"/>
      <c r="Q1249" s="133"/>
      <c r="R1249" s="133"/>
      <c r="S1249" s="133"/>
      <c r="T1249" s="133"/>
      <c r="U1249" s="133"/>
      <c r="V1249" s="133"/>
      <c r="W1249" s="133"/>
      <c r="X1249" s="133"/>
      <c r="Y1249" s="133"/>
      <c r="Z1249" s="133"/>
    </row>
    <row r="1250">
      <c r="A1250" s="133">
        <f>IFERROR(__xludf.DUMMYFUNCTION("""COMPUTED_VALUE"""),1249.0)</f>
        <v>1249</v>
      </c>
      <c r="B1250" s="133"/>
      <c r="C1250" s="133" t="str">
        <f>IFERROR(__xludf.DUMMYFUNCTION("""COMPUTED_VALUE"""),"P-1-N-050323-1348")</f>
        <v>P-1-N-050323-1348</v>
      </c>
      <c r="D1250" s="133"/>
      <c r="E1250" s="133" t="str">
        <f>IFERROR(__xludf.DUMMYFUNCTION("""COMPUTED_VALUE"""),"تمت طباعة الشهادة")</f>
        <v>تمت طباعة الشهادة</v>
      </c>
      <c r="F1250" s="133" t="str">
        <f>IFERROR(__xludf.DUMMYFUNCTION("""COMPUTED_VALUE"""),"PRESTIGE PREMIUM CANARIES EXPERT 20KG")</f>
        <v>PRESTIGE PREMIUM CANARIES EXPERT 20KG</v>
      </c>
      <c r="G1250" s="133" t="str">
        <f>IFERROR(__xludf.DUMMYFUNCTION("""COMPUTED_VALUE"""),"برستيج بريميوم كناري إكسبرت 20 كجم")</f>
        <v>برستيج بريميوم كناري إكسبرت 20 كجم</v>
      </c>
      <c r="H1250" s="133" t="str">
        <f>IFERROR(__xludf.DUMMYFUNCTION("""COMPUTED_VALUE"""),"MAFE2023938")</f>
        <v>MAFE2023938</v>
      </c>
      <c r="I1250" s="133"/>
      <c r="J1250" s="133"/>
      <c r="K1250" s="133"/>
      <c r="L1250" s="133"/>
      <c r="M1250" s="133"/>
      <c r="N1250" s="133"/>
      <c r="O1250" s="133"/>
      <c r="P1250" s="133"/>
      <c r="Q1250" s="133"/>
      <c r="R1250" s="133"/>
      <c r="S1250" s="133"/>
      <c r="T1250" s="133"/>
      <c r="U1250" s="133"/>
      <c r="V1250" s="133"/>
      <c r="W1250" s="133"/>
      <c r="X1250" s="133"/>
      <c r="Y1250" s="133"/>
      <c r="Z1250" s="133"/>
    </row>
    <row r="1251">
      <c r="A1251" s="133">
        <f>IFERROR(__xludf.DUMMYFUNCTION("""COMPUTED_VALUE"""),1250.0)</f>
        <v>1250</v>
      </c>
      <c r="B1251" s="133" t="str">
        <f>IFERROR(__xludf.DUMMYFUNCTION("""COMPUTED_VALUE"""),"421701")</f>
        <v>421701</v>
      </c>
      <c r="C1251" s="133" t="str">
        <f>IFERROR(__xludf.DUMMYFUNCTION("""COMPUTED_VALUE"""),"P-1-N-060323-1362")</f>
        <v>P-1-N-060323-1362</v>
      </c>
      <c r="D1251" s="133"/>
      <c r="E1251" s="133" t="str">
        <f>IFERROR(__xludf.DUMMYFUNCTION("""COMPUTED_VALUE"""),"تمت طباعة الشهادة")</f>
        <v>تمت طباعة الشهادة</v>
      </c>
      <c r="F1251" s="133" t="str">
        <f>IFERROR(__xludf.DUMMYFUNCTION("""COMPUTED_VALUE"""),"PRESTIGE PREMIUM BUDGIES 20KG")</f>
        <v>PRESTIGE PREMIUM BUDGIES 20KG</v>
      </c>
      <c r="G1251" s="133" t="str">
        <f>IFERROR(__xludf.DUMMYFUNCTION("""COMPUTED_VALUE"""),"برستيج بريميوم بادجي 20 كجم")</f>
        <v>برستيج بريميوم بادجي 20 كجم</v>
      </c>
      <c r="H1251" s="133" t="str">
        <f>IFERROR(__xludf.DUMMYFUNCTION("""COMPUTED_VALUE"""),"MAFE2023937")</f>
        <v>MAFE2023937</v>
      </c>
      <c r="I1251" s="133"/>
      <c r="J1251" s="133"/>
      <c r="K1251" s="133" t="str">
        <f>IFERROR(__xludf.DUMMYFUNCTION("""COMPUTED_VALUE"""),"فيرسل لاقا ان في")</f>
        <v>فيرسل لاقا ان في</v>
      </c>
      <c r="L1251" s="142" t="str">
        <f>IFERROR(__xludf.DUMMYFUNCTION("""COMPUTED_VALUE"""),"421701")</f>
        <v>421701</v>
      </c>
      <c r="M1251" s="133"/>
      <c r="N1251" s="133"/>
      <c r="O1251" s="133"/>
      <c r="P1251" s="133"/>
      <c r="Q1251" s="133"/>
      <c r="R1251" s="133"/>
      <c r="S1251" s="133"/>
      <c r="T1251" s="133"/>
      <c r="U1251" s="133"/>
      <c r="V1251" s="133"/>
      <c r="W1251" s="133"/>
      <c r="X1251" s="133"/>
      <c r="Y1251" s="133"/>
      <c r="Z1251" s="133"/>
    </row>
    <row r="1252">
      <c r="A1252" s="133">
        <f>IFERROR(__xludf.DUMMYFUNCTION("""COMPUTED_VALUE"""),1251.0)</f>
        <v>1251</v>
      </c>
      <c r="B1252" s="133"/>
      <c r="C1252" s="133" t="str">
        <f>IFERROR(__xludf.DUMMYFUNCTION("""COMPUTED_VALUE"""),"P-1-N-060323-1365")</f>
        <v>P-1-N-060323-1365</v>
      </c>
      <c r="D1252" s="133"/>
      <c r="E1252" s="133" t="str">
        <f>IFERROR(__xludf.DUMMYFUNCTION("""COMPUTED_VALUE"""),"تمت طباعة الشهادة")</f>
        <v>تمت طباعة الشهادة</v>
      </c>
      <c r="F1252" s="133" t="str">
        <f>IFERROR(__xludf.DUMMYFUNCTION("""COMPUTED_VALUE"""),"Prestige Parrots Fruit Mega 15kg")</f>
        <v>Prestige Parrots Fruit Mega 15kg</v>
      </c>
      <c r="G1252" s="133" t="str">
        <f>IFERROR(__xludf.DUMMYFUNCTION("""COMPUTED_VALUE"""),"برستيج ببغاء فواكه ميجا 15 كجم")</f>
        <v>برستيج ببغاء فواكه ميجا 15 كجم</v>
      </c>
      <c r="H1252" s="133" t="str">
        <f>IFERROR(__xludf.DUMMYFUNCTION("""COMPUTED_VALUE"""),"MAFE2023936")</f>
        <v>MAFE2023936</v>
      </c>
      <c r="I1252" s="133"/>
      <c r="J1252" s="133"/>
      <c r="K1252" s="133" t="str">
        <f>IFERROR(__xludf.DUMMYFUNCTION("""COMPUTED_VALUE"""),"فيرسل لاقا ان في")</f>
        <v>فيرسل لاقا ان في</v>
      </c>
      <c r="L1252" s="133"/>
      <c r="M1252" s="133"/>
      <c r="N1252" s="133"/>
      <c r="O1252" s="133"/>
      <c r="P1252" s="133"/>
      <c r="Q1252" s="133"/>
      <c r="R1252" s="133"/>
      <c r="S1252" s="133"/>
      <c r="T1252" s="133"/>
      <c r="U1252" s="133"/>
      <c r="V1252" s="133"/>
      <c r="W1252" s="133"/>
      <c r="X1252" s="133"/>
      <c r="Y1252" s="133"/>
      <c r="Z1252" s="133"/>
    </row>
    <row r="1253">
      <c r="A1253" s="133">
        <f>IFERROR(__xludf.DUMMYFUNCTION("""COMPUTED_VALUE"""),1252.0)</f>
        <v>1252</v>
      </c>
      <c r="B1253" s="133"/>
      <c r="C1253" s="133" t="str">
        <f>IFERROR(__xludf.DUMMYFUNCTION("""COMPUTED_VALUE"""),"P-1-N-060323-1367")</f>
        <v>P-1-N-060323-1367</v>
      </c>
      <c r="D1253" s="133"/>
      <c r="E1253" s="133" t="str">
        <f>IFERROR(__xludf.DUMMYFUNCTION("""COMPUTED_VALUE"""),"تمت طباعة الشهادة")</f>
        <v>تمت طباعة الشهادة</v>
      </c>
      <c r="F1253" s="133" t="str">
        <f>IFERROR(__xludf.DUMMYFUNCTION("""COMPUTED_VALUE"""),"PRESTIGE BUDGIES 20KG")</f>
        <v>PRESTIGE BUDGIES 20KG</v>
      </c>
      <c r="G1253" s="133" t="str">
        <f>IFERROR(__xludf.DUMMYFUNCTION("""COMPUTED_VALUE"""),"برستيج بادجي 20 كجم")</f>
        <v>برستيج بادجي 20 كجم</v>
      </c>
      <c r="H1253" s="133" t="str">
        <f>IFERROR(__xludf.DUMMYFUNCTION("""COMPUTED_VALUE"""),"MAFE2023935")</f>
        <v>MAFE2023935</v>
      </c>
      <c r="I1253" s="133"/>
      <c r="J1253" s="133"/>
      <c r="K1253" s="133" t="str">
        <f>IFERROR(__xludf.DUMMYFUNCTION("""COMPUTED_VALUE"""),"فيرسل لاقا ان في")</f>
        <v>فيرسل لاقا ان في</v>
      </c>
      <c r="L1253" s="133"/>
      <c r="M1253" s="133"/>
      <c r="N1253" s="133"/>
      <c r="O1253" s="133"/>
      <c r="P1253" s="133"/>
      <c r="Q1253" s="133"/>
      <c r="R1253" s="133"/>
      <c r="S1253" s="133"/>
      <c r="T1253" s="133"/>
      <c r="U1253" s="133"/>
      <c r="V1253" s="133"/>
      <c r="W1253" s="133"/>
      <c r="X1253" s="133"/>
      <c r="Y1253" s="133"/>
      <c r="Z1253" s="133"/>
    </row>
    <row r="1254">
      <c r="A1254" s="133">
        <f>IFERROR(__xludf.DUMMYFUNCTION("""COMPUTED_VALUE"""),1253.0)</f>
        <v>1253</v>
      </c>
      <c r="B1254" s="133" t="str">
        <f>IFERROR(__xludf.DUMMYFUNCTION("""COMPUTED_VALUE"""),"421641")</f>
        <v>421641</v>
      </c>
      <c r="C1254" s="133" t="str">
        <f>IFERROR(__xludf.DUMMYFUNCTION("""COMPUTED_VALUE"""),"P-1-N-060323-1368")</f>
        <v>P-1-N-060323-1368</v>
      </c>
      <c r="D1254" s="133"/>
      <c r="E1254" s="133" t="str">
        <f>IFERROR(__xludf.DUMMYFUNCTION("""COMPUTED_VALUE"""),"تمت طباعة الشهادة")</f>
        <v>تمت طباعة الشهادة</v>
      </c>
      <c r="F1254" s="133" t="str">
        <f>IFERROR(__xludf.DUMMYFUNCTION("""COMPUTED_VALUE"""),"PRESTIGE BUDGIES GOURMET 20KG")</f>
        <v>PRESTIGE BUDGIES GOURMET 20KG</v>
      </c>
      <c r="G1254" s="133" t="str">
        <f>IFERROR(__xludf.DUMMYFUNCTION("""COMPUTED_VALUE"""),"برستيج بادجي جورميه 20 كجم")</f>
        <v>برستيج بادجي جورميه 20 كجم</v>
      </c>
      <c r="H1254" s="133" t="str">
        <f>IFERROR(__xludf.DUMMYFUNCTION("""COMPUTED_VALUE"""),"MAFE2023934")</f>
        <v>MAFE2023934</v>
      </c>
      <c r="I1254" s="133"/>
      <c r="J1254" s="133"/>
      <c r="K1254" s="133" t="str">
        <f>IFERROR(__xludf.DUMMYFUNCTION("""COMPUTED_VALUE"""),"فيرسل لاقا ان في")</f>
        <v>فيرسل لاقا ان في</v>
      </c>
      <c r="L1254" s="142" t="str">
        <f>IFERROR(__xludf.DUMMYFUNCTION("""COMPUTED_VALUE"""),"421641")</f>
        <v>421641</v>
      </c>
      <c r="M1254" s="133"/>
      <c r="N1254" s="133"/>
      <c r="O1254" s="133"/>
      <c r="P1254" s="133"/>
      <c r="Q1254" s="133"/>
      <c r="R1254" s="133"/>
      <c r="S1254" s="133"/>
      <c r="T1254" s="133"/>
      <c r="U1254" s="133"/>
      <c r="V1254" s="133"/>
      <c r="W1254" s="133"/>
      <c r="X1254" s="133"/>
      <c r="Y1254" s="133"/>
      <c r="Z1254" s="133"/>
    </row>
    <row r="1255">
      <c r="A1255" s="133">
        <f>IFERROR(__xludf.DUMMYFUNCTION("""COMPUTED_VALUE"""),1254.0)</f>
        <v>1254</v>
      </c>
      <c r="B1255" s="133"/>
      <c r="C1255" s="133" t="str">
        <f>IFERROR(__xludf.DUMMYFUNCTION("""COMPUTED_VALUE"""),"P-1-N-140323-1534")</f>
        <v>P-1-N-140323-1534</v>
      </c>
      <c r="D1255" s="133"/>
      <c r="E1255" s="133" t="str">
        <f>IFERROR(__xludf.DUMMYFUNCTION("""COMPUTED_VALUE"""),"تمت طباعة الشهادة")</f>
        <v>تمت طباعة الشهادة</v>
      </c>
      <c r="F1255" s="133" t="str">
        <f>IFERROR(__xludf.DUMMYFUNCTION("""COMPUTED_VALUE"""),"Applaws Adult Cat Ocean Fish with Salmon 350g")</f>
        <v>Applaws Adult Cat Ocean Fish with Salmon 350g</v>
      </c>
      <c r="G1255" s="133" t="str">
        <f>IFERROR(__xludf.DUMMYFUNCTION("""COMPUTED_VALUE"""),"أبلاوز سمك المحيط مع السلمون للقطط البالغة 350 جم")</f>
        <v>أبلاوز سمك المحيط مع السلمون للقطط البالغة 350 جم</v>
      </c>
      <c r="H1255" s="133" t="str">
        <f>IFERROR(__xludf.DUMMYFUNCTION("""COMPUTED_VALUE"""),"MAFE20231176")</f>
        <v>MAFE20231176</v>
      </c>
      <c r="I1255" s="133"/>
      <c r="J1255" s="133"/>
      <c r="K1255" s="133" t="str">
        <f>IFERROR(__xludf.DUMMYFUNCTION("""COMPUTED_VALUE"""),"أم بي أم برودكتس ليمتد")</f>
        <v>أم بي أم برودكتس ليمتد</v>
      </c>
      <c r="L1255" s="133"/>
      <c r="M1255" s="133"/>
      <c r="N1255" s="133"/>
      <c r="O1255" s="133"/>
      <c r="P1255" s="133"/>
      <c r="Q1255" s="133"/>
      <c r="R1255" s="133"/>
      <c r="S1255" s="133"/>
      <c r="T1255" s="133"/>
      <c r="U1255" s="133"/>
      <c r="V1255" s="133"/>
      <c r="W1255" s="133"/>
      <c r="X1255" s="133"/>
      <c r="Y1255" s="133"/>
      <c r="Z1255" s="133"/>
    </row>
    <row r="1256">
      <c r="A1256" s="133">
        <f>IFERROR(__xludf.DUMMYFUNCTION("""COMPUTED_VALUE"""),1255.0)</f>
        <v>1255</v>
      </c>
      <c r="B1256" s="133" t="str">
        <f>IFERROR(__xludf.DUMMYFUNCTION("""COMPUTED_VALUE"""),"4077")</f>
        <v>4077</v>
      </c>
      <c r="C1256" s="133" t="str">
        <f>IFERROR(__xludf.DUMMYFUNCTION("""COMPUTED_VALUE"""),"P-1-N-140323-1535")</f>
        <v>P-1-N-140323-1535</v>
      </c>
      <c r="D1256" s="133"/>
      <c r="E1256" s="133" t="str">
        <f>IFERROR(__xludf.DUMMYFUNCTION("""COMPUTED_VALUE"""),"تمت طباعة الشهادة")</f>
        <v>تمت طباعة الشهادة</v>
      </c>
      <c r="F1256" s="133" t="str">
        <f>IFERROR(__xludf.DUMMYFUNCTION("""COMPUTED_VALUE"""),"Applaws Cat Dry Food Fish with Salmon 6kg")</f>
        <v>Applaws Cat Dry Food Fish with Salmon 6kg</v>
      </c>
      <c r="G1256" s="133" t="str">
        <f>IFERROR(__xludf.DUMMYFUNCTION("""COMPUTED_VALUE"""),"أبلاوز سمك المحيط مع السلمون للقطط البالغة 6 كجم")</f>
        <v>أبلاوز سمك المحيط مع السلمون للقطط البالغة 6 كجم</v>
      </c>
      <c r="H1256" s="133" t="str">
        <f>IFERROR(__xludf.DUMMYFUNCTION("""COMPUTED_VALUE"""),"MAFE20231177")</f>
        <v>MAFE20231177</v>
      </c>
      <c r="I1256" s="133"/>
      <c r="J1256" s="133"/>
      <c r="K1256" s="133" t="str">
        <f>IFERROR(__xludf.DUMMYFUNCTION("""COMPUTED_VALUE"""),"أم بي أم برودكتس ليمتد")</f>
        <v>أم بي أم برودكتس ليمتد</v>
      </c>
      <c r="L1256" s="142" t="str">
        <f>IFERROR(__xludf.DUMMYFUNCTION("""COMPUTED_VALUE"""),"4077")</f>
        <v>4077</v>
      </c>
      <c r="M1256" s="133"/>
      <c r="N1256" s="133"/>
      <c r="O1256" s="133"/>
      <c r="P1256" s="133"/>
      <c r="Q1256" s="133"/>
      <c r="R1256" s="133"/>
      <c r="S1256" s="133"/>
      <c r="T1256" s="133"/>
      <c r="U1256" s="133"/>
      <c r="V1256" s="133"/>
      <c r="W1256" s="133"/>
      <c r="X1256" s="133"/>
      <c r="Y1256" s="133"/>
      <c r="Z1256" s="133"/>
    </row>
    <row r="1257">
      <c r="A1257" s="133">
        <f>IFERROR(__xludf.DUMMYFUNCTION("""COMPUTED_VALUE"""),1256.0)</f>
        <v>1256</v>
      </c>
      <c r="B1257" s="133"/>
      <c r="C1257" s="133" t="str">
        <f>IFERROR(__xludf.DUMMYFUNCTION("""COMPUTED_VALUE"""),"P-1-N-220323-1705")</f>
        <v>P-1-N-220323-1705</v>
      </c>
      <c r="D1257" s="133"/>
      <c r="E1257" s="133" t="str">
        <f>IFERROR(__xludf.DUMMYFUNCTION("""COMPUTED_VALUE"""),"تمت طباعة الشهادة")</f>
        <v>تمت طباعة الشهادة</v>
      </c>
      <c r="F1257" s="133" t="str">
        <f>IFERROR(__xludf.DUMMYFUNCTION("""COMPUTED_VALUE"""),"Soup Chicken with Carrots &amp; Spinach 70g")</f>
        <v>Soup Chicken with Carrots &amp; Spinach 70g</v>
      </c>
      <c r="G1257" s="133" t="str">
        <f>IFERROR(__xludf.DUMMYFUNCTION("""COMPUTED_VALUE"""),"شوربة دجاج بالجزر والسبانخ 70 جم")</f>
        <v>شوربة دجاج بالجزر والسبانخ 70 جم</v>
      </c>
      <c r="H1257" s="133" t="str">
        <f>IFERROR(__xludf.DUMMYFUNCTION("""COMPUTED_VALUE"""),"MAFE20231194")</f>
        <v>MAFE20231194</v>
      </c>
      <c r="I1257" s="133"/>
      <c r="J1257" s="133"/>
      <c r="K1257" s="133" t="str">
        <f>IFERROR(__xludf.DUMMYFUNCTION("""COMPUTED_VALUE"""),"شركة جوسيرا بت فود جي ام بي اتش كاي جي")</f>
        <v>شركة جوسيرا بت فود جي ام بي اتش كاي جي</v>
      </c>
      <c r="L1257" s="133"/>
      <c r="M1257" s="133"/>
      <c r="N1257" s="133"/>
      <c r="O1257" s="133"/>
      <c r="P1257" s="133"/>
      <c r="Q1257" s="133"/>
      <c r="R1257" s="133"/>
      <c r="S1257" s="133"/>
      <c r="T1257" s="133"/>
      <c r="U1257" s="133"/>
      <c r="V1257" s="133"/>
      <c r="W1257" s="133"/>
      <c r="X1257" s="133"/>
      <c r="Y1257" s="133"/>
      <c r="Z1257" s="133"/>
    </row>
    <row r="1258">
      <c r="A1258" s="133">
        <f>IFERROR(__xludf.DUMMYFUNCTION("""COMPUTED_VALUE"""),1257.0)</f>
        <v>1257</v>
      </c>
      <c r="B1258" s="133" t="str">
        <f>IFERROR(__xludf.DUMMYFUNCTION("""COMPUTED_VALUE"""),"C01070100")</f>
        <v>C01070100</v>
      </c>
      <c r="C1258" s="133" t="str">
        <f>IFERROR(__xludf.DUMMYFUNCTION("""COMPUTED_VALUE"""),"P-1-N-260323-1834")</f>
        <v>P-1-N-260323-1834</v>
      </c>
      <c r="D1258" s="133"/>
      <c r="E1258" s="133" t="str">
        <f>IFERROR(__xludf.DUMMYFUNCTION("""COMPUTED_VALUE"""),"تمت طباعة الشهادة")</f>
        <v>تمت طباعة الشهادة</v>
      </c>
      <c r="F1258" s="133" t="str">
        <f>IFERROR(__xludf.DUMMYFUNCTION("""COMPUTED_VALUE"""),"Schesir Pouch Tuna in jelly 85g")</f>
        <v>Schesir Pouch Tuna in jelly 85g</v>
      </c>
      <c r="G1258" s="133" t="str">
        <f>IFERROR(__xludf.DUMMYFUNCTION("""COMPUTED_VALUE"""),"شيزير كيس تونة في الجيلي 85 جم")</f>
        <v>شيزير كيس تونة في الجيلي 85 جم</v>
      </c>
      <c r="H1258" s="133" t="str">
        <f>IFERROR(__xludf.DUMMYFUNCTION("""COMPUTED_VALUE"""),"MAFE20231251")</f>
        <v>MAFE20231251</v>
      </c>
      <c r="I1258" s="133"/>
      <c r="J1258" s="133"/>
      <c r="K1258" s="133" t="str">
        <f>IFERROR(__xludf.DUMMYFUNCTION("""COMPUTED_VALUE"""),"ساوث ايست الاسيوية للتغليف والتعليب المحدودة")</f>
        <v>ساوث ايست الاسيوية للتغليف والتعليب المحدودة</v>
      </c>
      <c r="L1258" s="142" t="str">
        <f>IFERROR(__xludf.DUMMYFUNCTION("""COMPUTED_VALUE"""),"C01070100")</f>
        <v>C01070100</v>
      </c>
      <c r="M1258" s="133"/>
      <c r="N1258" s="133"/>
      <c r="O1258" s="133"/>
      <c r="P1258" s="133"/>
      <c r="Q1258" s="133"/>
      <c r="R1258" s="133"/>
      <c r="S1258" s="133"/>
      <c r="T1258" s="133"/>
      <c r="U1258" s="133"/>
      <c r="V1258" s="133"/>
      <c r="W1258" s="133"/>
      <c r="X1258" s="133"/>
      <c r="Y1258" s="133"/>
      <c r="Z1258" s="133"/>
    </row>
    <row r="1259">
      <c r="A1259" s="133">
        <f>IFERROR(__xludf.DUMMYFUNCTION("""COMPUTED_VALUE"""),1258.0)</f>
        <v>1258</v>
      </c>
      <c r="B1259" s="133" t="str">
        <f>IFERROR(__xludf.DUMMYFUNCTION("""COMPUTED_VALUE"""),"C01070105")</f>
        <v>C01070105</v>
      </c>
      <c r="C1259" s="133" t="str">
        <f>IFERROR(__xludf.DUMMYFUNCTION("""COMPUTED_VALUE"""),"P-1-N-260323-1835")</f>
        <v>P-1-N-260323-1835</v>
      </c>
      <c r="D1259" s="133"/>
      <c r="E1259" s="133" t="str">
        <f>IFERROR(__xludf.DUMMYFUNCTION("""COMPUTED_VALUE"""),"تمت طباعة الشهادة")</f>
        <v>تمت طباعة الشهادة</v>
      </c>
      <c r="F1259" s="133" t="str">
        <f>IFERROR(__xludf.DUMMYFUNCTION("""COMPUTED_VALUE"""),"Schesir Pouch Tuna and Seabass in Jelly 85g")</f>
        <v>Schesir Pouch Tuna and Seabass in Jelly 85g</v>
      </c>
      <c r="G1259" s="133" t="str">
        <f>IFERROR(__xludf.DUMMYFUNCTION("""COMPUTED_VALUE"""),"شيزير كيس تونة وسمك القاروص في الجيلي 85 جم")</f>
        <v>شيزير كيس تونة وسمك القاروص في الجيلي 85 جم</v>
      </c>
      <c r="H1259" s="133" t="str">
        <f>IFERROR(__xludf.DUMMYFUNCTION("""COMPUTED_VALUE"""),"MAFE20231249")</f>
        <v>MAFE20231249</v>
      </c>
      <c r="I1259" s="133"/>
      <c r="J1259" s="133"/>
      <c r="K1259" s="133" t="str">
        <f>IFERROR(__xludf.DUMMYFUNCTION("""COMPUTED_VALUE"""),"ساوث ايست الاسيوية للتغليف والتعليب المحدودة")</f>
        <v>ساوث ايست الاسيوية للتغليف والتعليب المحدودة</v>
      </c>
      <c r="L1259" s="142" t="str">
        <f>IFERROR(__xludf.DUMMYFUNCTION("""COMPUTED_VALUE"""),"C01070105")</f>
        <v>C01070105</v>
      </c>
      <c r="M1259" s="133"/>
      <c r="N1259" s="133"/>
      <c r="O1259" s="133"/>
      <c r="P1259" s="133"/>
      <c r="Q1259" s="133"/>
      <c r="R1259" s="133"/>
      <c r="S1259" s="133"/>
      <c r="T1259" s="133"/>
      <c r="U1259" s="133"/>
      <c r="V1259" s="133"/>
      <c r="W1259" s="133"/>
      <c r="X1259" s="133"/>
      <c r="Y1259" s="133"/>
      <c r="Z1259" s="133"/>
    </row>
    <row r="1260">
      <c r="A1260" s="133">
        <f>IFERROR(__xludf.DUMMYFUNCTION("""COMPUTED_VALUE"""),1259.0)</f>
        <v>1259</v>
      </c>
      <c r="B1260" s="133"/>
      <c r="C1260" s="133" t="str">
        <f>IFERROR(__xludf.DUMMYFUNCTION("""COMPUTED_VALUE"""),"P-1-N-260323-1836")</f>
        <v>P-1-N-260323-1836</v>
      </c>
      <c r="D1260" s="133"/>
      <c r="E1260" s="133" t="str">
        <f>IFERROR(__xludf.DUMMYFUNCTION("""COMPUTED_VALUE"""),"تمت طباعة الشهادة")</f>
        <v>تمت طباعة الشهادة</v>
      </c>
      <c r="F1260" s="133" t="str">
        <f>IFERROR(__xludf.DUMMYFUNCTION("""COMPUTED_VALUE"""),"Schesir")</f>
        <v>Schesir</v>
      </c>
      <c r="G1260" s="133" t="str">
        <f>IFERROR(__xludf.DUMMYFUNCTION("""COMPUTED_VALUE"""),"شيزير كيس تونة ودجاج في الجيلي 85 جم")</f>
        <v>شيزير كيس تونة ودجاج في الجيلي 85 جم</v>
      </c>
      <c r="H1260" s="133" t="str">
        <f>IFERROR(__xludf.DUMMYFUNCTION("""COMPUTED_VALUE"""),"MAFE20231250")</f>
        <v>MAFE20231250</v>
      </c>
      <c r="I1260" s="133"/>
      <c r="J1260" s="133"/>
      <c r="K1260" s="133" t="str">
        <f>IFERROR(__xludf.DUMMYFUNCTION("""COMPUTED_VALUE"""),"ساوث ايست الاسيوية للتغليف والتعليب المحدودة")</f>
        <v>ساوث ايست الاسيوية للتغليف والتعليب المحدودة</v>
      </c>
      <c r="L1260" s="133"/>
      <c r="M1260" s="133"/>
      <c r="N1260" s="133"/>
      <c r="O1260" s="133"/>
      <c r="P1260" s="133"/>
      <c r="Q1260" s="133"/>
      <c r="R1260" s="133"/>
      <c r="S1260" s="133"/>
      <c r="T1260" s="133"/>
      <c r="U1260" s="133"/>
      <c r="V1260" s="133"/>
      <c r="W1260" s="133"/>
      <c r="X1260" s="133"/>
      <c r="Y1260" s="133"/>
      <c r="Z1260" s="133"/>
    </row>
    <row r="1261">
      <c r="A1261" s="133">
        <f>IFERROR(__xludf.DUMMYFUNCTION("""COMPUTED_VALUE"""),1260.0)</f>
        <v>1260</v>
      </c>
      <c r="B1261" s="133" t="str">
        <f>IFERROR(__xludf.DUMMYFUNCTION("""COMPUTED_VALUE"""),"C01070102")</f>
        <v>C01070102</v>
      </c>
      <c r="C1261" s="133" t="str">
        <f>IFERROR(__xludf.DUMMYFUNCTION("""COMPUTED_VALUE"""),"P-1-N-260323-1837")</f>
        <v>P-1-N-260323-1837</v>
      </c>
      <c r="D1261" s="133"/>
      <c r="E1261" s="133" t="str">
        <f>IFERROR(__xludf.DUMMYFUNCTION("""COMPUTED_VALUE"""),"تمت طباعة الشهادة")</f>
        <v>تمت طباعة الشهادة</v>
      </c>
      <c r="F1261" s="133" t="str">
        <f>IFERROR(__xludf.DUMMYFUNCTION("""COMPUTED_VALUE"""),"Schesir Pouch Chicken in Jelly 85g")</f>
        <v>Schesir Pouch Chicken in Jelly 85g</v>
      </c>
      <c r="G1261" s="133" t="str">
        <f>IFERROR(__xludf.DUMMYFUNCTION("""COMPUTED_VALUE"""),"شيزير كيس دجاج في الجيلي 85 جم")</f>
        <v>شيزير كيس دجاج في الجيلي 85 جم</v>
      </c>
      <c r="H1261" s="133" t="str">
        <f>IFERROR(__xludf.DUMMYFUNCTION("""COMPUTED_VALUE"""),"MAFE20231248")</f>
        <v>MAFE20231248</v>
      </c>
      <c r="I1261" s="133"/>
      <c r="J1261" s="133"/>
      <c r="K1261" s="133" t="str">
        <f>IFERROR(__xludf.DUMMYFUNCTION("""COMPUTED_VALUE"""),"ساوث ايست الاسيوية للتغليف والتعليب المحدودة")</f>
        <v>ساوث ايست الاسيوية للتغليف والتعليب المحدودة</v>
      </c>
      <c r="L1261" s="142" t="str">
        <f>IFERROR(__xludf.DUMMYFUNCTION("""COMPUTED_VALUE"""),"C01070102")</f>
        <v>C01070102</v>
      </c>
      <c r="M1261" s="133"/>
      <c r="N1261" s="133"/>
      <c r="O1261" s="133"/>
      <c r="P1261" s="133"/>
      <c r="Q1261" s="133"/>
      <c r="R1261" s="133"/>
      <c r="S1261" s="133"/>
      <c r="T1261" s="133"/>
      <c r="U1261" s="133"/>
      <c r="V1261" s="133"/>
      <c r="W1261" s="133"/>
      <c r="X1261" s="133"/>
      <c r="Y1261" s="133"/>
      <c r="Z1261" s="133"/>
    </row>
    <row r="1262">
      <c r="A1262" s="133">
        <f>IFERROR(__xludf.DUMMYFUNCTION("""COMPUTED_VALUE"""),1261.0)</f>
        <v>1261</v>
      </c>
      <c r="B1262" s="133" t="str">
        <f>IFERROR(__xludf.DUMMYFUNCTION("""COMPUTED_VALUE"""),"C01070106")</f>
        <v>C01070106</v>
      </c>
      <c r="C1262" s="133" t="str">
        <f>IFERROR(__xludf.DUMMYFUNCTION("""COMPUTED_VALUE"""),"P-1-N-260323-1838")</f>
        <v>P-1-N-260323-1838</v>
      </c>
      <c r="D1262" s="133"/>
      <c r="E1262" s="133" t="str">
        <f>IFERROR(__xludf.DUMMYFUNCTION("""COMPUTED_VALUE"""),"تمت طباعة الشهادة")</f>
        <v>تمت طباعة الشهادة</v>
      </c>
      <c r="F1262" s="133" t="str">
        <f>IFERROR(__xludf.DUMMYFUNCTION("""COMPUTED_VALUE"""),"Schesir Pouch Chicken and Seabass in Jelly 85g")</f>
        <v>Schesir Pouch Chicken and Seabass in Jelly 85g</v>
      </c>
      <c r="G1262" s="133" t="str">
        <f>IFERROR(__xludf.DUMMYFUNCTION("""COMPUTED_VALUE"""),"شيزير كيس دجاج وسمك القاروص في الجيلي 85 جم")</f>
        <v>شيزير كيس دجاج وسمك القاروص في الجيلي 85 جم</v>
      </c>
      <c r="H1262" s="133"/>
      <c r="I1262" s="133"/>
      <c r="J1262" s="133"/>
      <c r="K1262" s="133" t="str">
        <f>IFERROR(__xludf.DUMMYFUNCTION("""COMPUTED_VALUE"""),"ساوث ايست الاسيوية للتغليف والتعليب المحدودة")</f>
        <v>ساوث ايست الاسيوية للتغليف والتعليب المحدودة</v>
      </c>
      <c r="L1262" s="142" t="str">
        <f>IFERROR(__xludf.DUMMYFUNCTION("""COMPUTED_VALUE"""),"C01070106")</f>
        <v>C01070106</v>
      </c>
      <c r="M1262" s="133"/>
      <c r="N1262" s="133"/>
      <c r="O1262" s="133"/>
      <c r="P1262" s="133"/>
      <c r="Q1262" s="133"/>
      <c r="R1262" s="133"/>
      <c r="S1262" s="133"/>
      <c r="T1262" s="133"/>
      <c r="U1262" s="133"/>
      <c r="V1262" s="133"/>
      <c r="W1262" s="133"/>
      <c r="X1262" s="133"/>
      <c r="Y1262" s="133"/>
      <c r="Z1262" s="133"/>
    </row>
    <row r="1263">
      <c r="A1263" s="133">
        <f>IFERROR(__xludf.DUMMYFUNCTION("""COMPUTED_VALUE"""),1262.0)</f>
        <v>1262</v>
      </c>
      <c r="B1263" s="133" t="str">
        <f>IFERROR(__xludf.DUMMYFUNCTION("""COMPUTED_VALUE"""),"C01070111")</f>
        <v>C01070111</v>
      </c>
      <c r="C1263" s="133" t="str">
        <f>IFERROR(__xludf.DUMMYFUNCTION("""COMPUTED_VALUE"""),"P-1-N-260323-1839")</f>
        <v>P-1-N-260323-1839</v>
      </c>
      <c r="D1263" s="133"/>
      <c r="E1263" s="133" t="str">
        <f>IFERROR(__xludf.DUMMYFUNCTION("""COMPUTED_VALUE"""),"تمت طباعة الشهادة")</f>
        <v>تمت طباعة الشهادة</v>
      </c>
      <c r="F1263" s="133" t="str">
        <f>IFERROR(__xludf.DUMMYFUNCTION("""COMPUTED_VALUE"""),"Schesir Pouch Chicken Slices in Sauce 85g")</f>
        <v>Schesir Pouch Chicken Slices in Sauce 85g</v>
      </c>
      <c r="G1263" s="133" t="str">
        <f>IFERROR(__xludf.DUMMYFUNCTION("""COMPUTED_VALUE"""),"شيزير كيس شرائح دجاج بالصلصة 85 جم")</f>
        <v>شيزير كيس شرائح دجاج بالصلصة 85 جم</v>
      </c>
      <c r="H1263" s="133" t="str">
        <f>IFERROR(__xludf.DUMMYFUNCTION("""COMPUTED_VALUE"""),"MAFE20231246")</f>
        <v>MAFE20231246</v>
      </c>
      <c r="I1263" s="133"/>
      <c r="J1263" s="133"/>
      <c r="K1263" s="133" t="str">
        <f>IFERROR(__xludf.DUMMYFUNCTION("""COMPUTED_VALUE"""),"ساوث ايست الاسيوية للتغليف والتعليب المحدودة")</f>
        <v>ساوث ايست الاسيوية للتغليف والتعليب المحدودة</v>
      </c>
      <c r="L1263" s="142" t="str">
        <f>IFERROR(__xludf.DUMMYFUNCTION("""COMPUTED_VALUE"""),"C01070111")</f>
        <v>C01070111</v>
      </c>
      <c r="M1263" s="133"/>
      <c r="N1263" s="133"/>
      <c r="O1263" s="133"/>
      <c r="P1263" s="133"/>
      <c r="Q1263" s="133"/>
      <c r="R1263" s="133"/>
      <c r="S1263" s="133"/>
      <c r="T1263" s="133"/>
      <c r="U1263" s="133"/>
      <c r="V1263" s="133"/>
      <c r="W1263" s="133"/>
      <c r="X1263" s="133"/>
      <c r="Y1263" s="133"/>
      <c r="Z1263" s="133"/>
    </row>
    <row r="1264">
      <c r="A1264" s="133">
        <f>IFERROR(__xludf.DUMMYFUNCTION("""COMPUTED_VALUE"""),1263.0)</f>
        <v>1263</v>
      </c>
      <c r="B1264" s="133" t="str">
        <f>IFERROR(__xludf.DUMMYFUNCTION("""COMPUTED_VALUE"""),"C01070112")</f>
        <v>C01070112</v>
      </c>
      <c r="C1264" s="133" t="str">
        <f>IFERROR(__xludf.DUMMYFUNCTION("""COMPUTED_VALUE"""),"P-1-N-260323-1840")</f>
        <v>P-1-N-260323-1840</v>
      </c>
      <c r="D1264" s="133"/>
      <c r="E1264" s="133" t="str">
        <f>IFERROR(__xludf.DUMMYFUNCTION("""COMPUTED_VALUE"""),"تمت طباعة الشهادة")</f>
        <v>تمت طباعة الشهادة</v>
      </c>
      <c r="F1264" s="133" t="str">
        <f>IFERROR(__xludf.DUMMYFUNCTION("""COMPUTED_VALUE"""),"Schesir Pouch Tuna with Seabream in Jelly 85g")</f>
        <v>Schesir Pouch Tuna with Seabream in Jelly 85g</v>
      </c>
      <c r="G1264" s="133" t="str">
        <f>IFERROR(__xludf.DUMMYFUNCTION("""COMPUTED_VALUE"""),"شيزير كيس تونة مع سمك الدنيس في الجيلي 85 جم")</f>
        <v>شيزير كيس تونة مع سمك الدنيس في الجيلي 85 جم</v>
      </c>
      <c r="H1264" s="133"/>
      <c r="I1264" s="133"/>
      <c r="J1264" s="133"/>
      <c r="K1264" s="133" t="str">
        <f>IFERROR(__xludf.DUMMYFUNCTION("""COMPUTED_VALUE"""),"ساوث ايست الاسيوية للتغليف والتعليب المحدودة")</f>
        <v>ساوث ايست الاسيوية للتغليف والتعليب المحدودة</v>
      </c>
      <c r="L1264" s="142" t="str">
        <f>IFERROR(__xludf.DUMMYFUNCTION("""COMPUTED_VALUE"""),"C01070112")</f>
        <v>C01070112</v>
      </c>
      <c r="M1264" s="133"/>
      <c r="N1264" s="133"/>
      <c r="O1264" s="133"/>
      <c r="P1264" s="133"/>
      <c r="Q1264" s="133"/>
      <c r="R1264" s="133"/>
      <c r="S1264" s="133"/>
      <c r="T1264" s="133"/>
      <c r="U1264" s="133"/>
      <c r="V1264" s="133"/>
      <c r="W1264" s="133"/>
      <c r="X1264" s="133"/>
      <c r="Y1264" s="133"/>
      <c r="Z1264" s="133"/>
    </row>
    <row r="1265">
      <c r="A1265" s="133">
        <f>IFERROR(__xludf.DUMMYFUNCTION("""COMPUTED_VALUE"""),1264.0)</f>
        <v>1264</v>
      </c>
      <c r="B1265" s="133" t="str">
        <f>IFERROR(__xludf.DUMMYFUNCTION("""COMPUTED_VALUE"""),"C01070113")</f>
        <v>C01070113</v>
      </c>
      <c r="C1265" s="133" t="str">
        <f>IFERROR(__xludf.DUMMYFUNCTION("""COMPUTED_VALUE"""),"P-1-N-260323-1841")</f>
        <v>P-1-N-260323-1841</v>
      </c>
      <c r="D1265" s="133"/>
      <c r="E1265" s="133" t="str">
        <f>IFERROR(__xludf.DUMMYFUNCTION("""COMPUTED_VALUE"""),"تمت طباعة الشهادة")</f>
        <v>تمت طباعة الشهادة</v>
      </c>
      <c r="F1265" s="133" t="str">
        <f>IFERROR(__xludf.DUMMYFUNCTION("""COMPUTED_VALUE"""),"Schesir Pouch Tuna with Salmon in Jelly 85g")</f>
        <v>Schesir Pouch Tuna with Salmon in Jelly 85g</v>
      </c>
      <c r="G1265" s="133" t="str">
        <f>IFERROR(__xludf.DUMMYFUNCTION("""COMPUTED_VALUE"""),"شيزير كيس تونة مع السلمون في الجيلي 85 جم")</f>
        <v>شيزير كيس تونة مع السلمون في الجيلي 85 جم</v>
      </c>
      <c r="H1265" s="133"/>
      <c r="I1265" s="133"/>
      <c r="J1265" s="133"/>
      <c r="K1265" s="133" t="str">
        <f>IFERROR(__xludf.DUMMYFUNCTION("""COMPUTED_VALUE"""),"ساوث ايست الاسيوية للتغليف والتعليب المحدودة")</f>
        <v>ساوث ايست الاسيوية للتغليف والتعليب المحدودة</v>
      </c>
      <c r="L1265" s="142" t="str">
        <f>IFERROR(__xludf.DUMMYFUNCTION("""COMPUTED_VALUE"""),"C01070113")</f>
        <v>C01070113</v>
      </c>
      <c r="M1265" s="133"/>
      <c r="N1265" s="133"/>
      <c r="O1265" s="133"/>
      <c r="P1265" s="133"/>
      <c r="Q1265" s="133"/>
      <c r="R1265" s="133"/>
      <c r="S1265" s="133"/>
      <c r="T1265" s="133"/>
      <c r="U1265" s="133"/>
      <c r="V1265" s="133"/>
      <c r="W1265" s="133"/>
      <c r="X1265" s="133"/>
      <c r="Y1265" s="133"/>
      <c r="Z1265" s="133"/>
    </row>
    <row r="1266">
      <c r="A1266" s="133">
        <f>IFERROR(__xludf.DUMMYFUNCTION("""COMPUTED_VALUE"""),1265.0)</f>
        <v>1265</v>
      </c>
      <c r="B1266" s="133" t="str">
        <f>IFERROR(__xludf.DUMMYFUNCTION("""COMPUTED_VALUE"""),"C01070110")</f>
        <v>C01070110</v>
      </c>
      <c r="C1266" s="133" t="str">
        <f>IFERROR(__xludf.DUMMYFUNCTION("""COMPUTED_VALUE"""),"P-1-N-260323-1842")</f>
        <v>P-1-N-260323-1842</v>
      </c>
      <c r="D1266" s="133"/>
      <c r="E1266" s="133" t="str">
        <f>IFERROR(__xludf.DUMMYFUNCTION("""COMPUTED_VALUE"""),"تمت طباعة الشهادة")</f>
        <v>تمت طباعة الشهادة</v>
      </c>
      <c r="F1266" s="133" t="str">
        <f>IFERROR(__xludf.DUMMYFUNCTION("""COMPUTED_VALUE"""),"Schesir Tuna and Chicken with Shrimps in Jelly 85g")</f>
        <v>Schesir Tuna and Chicken with Shrimps in Jelly 85g</v>
      </c>
      <c r="G1266" s="133" t="str">
        <f>IFERROR(__xludf.DUMMYFUNCTION("""COMPUTED_VALUE"""),"شيزير كيس تونة ودجاج مع روبيان في الجيلي 85 جم")</f>
        <v>شيزير كيس تونة ودجاج مع روبيان في الجيلي 85 جم</v>
      </c>
      <c r="H1266" s="133" t="str">
        <f>IFERROR(__xludf.DUMMYFUNCTION("""COMPUTED_VALUE"""),"MAFE20231243")</f>
        <v>MAFE20231243</v>
      </c>
      <c r="I1266" s="133"/>
      <c r="J1266" s="133"/>
      <c r="K1266" s="133" t="str">
        <f>IFERROR(__xludf.DUMMYFUNCTION("""COMPUTED_VALUE"""),"ساوث ايست الاسيوية للتغليف والتعليب المحدودة")</f>
        <v>ساوث ايست الاسيوية للتغليف والتعليب المحدودة</v>
      </c>
      <c r="L1266" s="142" t="str">
        <f>IFERROR(__xludf.DUMMYFUNCTION("""COMPUTED_VALUE"""),"C01070110")</f>
        <v>C01070110</v>
      </c>
      <c r="M1266" s="133"/>
      <c r="N1266" s="133"/>
      <c r="O1266" s="133"/>
      <c r="P1266" s="133"/>
      <c r="Q1266" s="133"/>
      <c r="R1266" s="133"/>
      <c r="S1266" s="133"/>
      <c r="T1266" s="133"/>
      <c r="U1266" s="133"/>
      <c r="V1266" s="133"/>
      <c r="W1266" s="133"/>
      <c r="X1266" s="133"/>
      <c r="Y1266" s="133"/>
      <c r="Z1266" s="133"/>
    </row>
    <row r="1267">
      <c r="A1267" s="133">
        <f>IFERROR(__xludf.DUMMYFUNCTION("""COMPUTED_VALUE"""),1266.0)</f>
        <v>1266</v>
      </c>
      <c r="B1267" s="133" t="str">
        <f>IFERROR(__xludf.DUMMYFUNCTION("""COMPUTED_VALUE"""),"421905")</f>
        <v>421905</v>
      </c>
      <c r="C1267" s="133" t="str">
        <f>IFERROR(__xludf.DUMMYFUNCTION("""COMPUTED_VALUE"""),"P-1-N-280323-1892")</f>
        <v>P-1-N-280323-1892</v>
      </c>
      <c r="D1267" s="133"/>
      <c r="E1267" s="133" t="str">
        <f>IFERROR(__xludf.DUMMYFUNCTION("""COMPUTED_VALUE"""),"تمت طباعة الشهادة")</f>
        <v>تمت طباعة الشهادة</v>
      </c>
      <c r="F1267" s="133" t="str">
        <f>IFERROR(__xludf.DUMMYFUNCTION("""COMPUTED_VALUE"""),"Prestige Big Parakeets Gourmet Jana 20kg")</f>
        <v>Prestige Big Parakeets Gourmet Jana 20kg</v>
      </c>
      <c r="G1267" s="133" t="str">
        <f>IFERROR(__xludf.DUMMYFUNCTION("""COMPUTED_VALUE"""),"برستيج البراكيت الكبيرة جورميه جانا 20 كجم")</f>
        <v>برستيج البراكيت الكبيرة جورميه جانا 20 كجم</v>
      </c>
      <c r="H1267" s="133" t="str">
        <f>IFERROR(__xludf.DUMMYFUNCTION("""COMPUTED_VALUE"""),"MAFE20231296")</f>
        <v>MAFE20231296</v>
      </c>
      <c r="I1267" s="133"/>
      <c r="J1267" s="133"/>
      <c r="K1267" s="133" t="str">
        <f>IFERROR(__xludf.DUMMYFUNCTION("""COMPUTED_VALUE"""),"فيرسل لاقا ان في")</f>
        <v>فيرسل لاقا ان في</v>
      </c>
      <c r="L1267" s="142" t="str">
        <f>IFERROR(__xludf.DUMMYFUNCTION("""COMPUTED_VALUE"""),"421905")</f>
        <v>421905</v>
      </c>
      <c r="M1267" s="133"/>
      <c r="N1267" s="133"/>
      <c r="O1267" s="133"/>
      <c r="P1267" s="133"/>
      <c r="Q1267" s="133"/>
      <c r="R1267" s="133"/>
      <c r="S1267" s="133"/>
      <c r="T1267" s="133"/>
      <c r="U1267" s="133"/>
      <c r="V1267" s="133"/>
      <c r="W1267" s="133"/>
      <c r="X1267" s="133"/>
      <c r="Y1267" s="133"/>
      <c r="Z1267" s="133"/>
    </row>
    <row r="1268">
      <c r="A1268" s="133">
        <f>IFERROR(__xludf.DUMMYFUNCTION("""COMPUTED_VALUE"""),1267.0)</f>
        <v>1267</v>
      </c>
      <c r="B1268" s="133"/>
      <c r="C1268" s="133" t="str">
        <f>IFERROR(__xludf.DUMMYFUNCTION("""COMPUTED_VALUE"""),"P-1-N-280323-1893")</f>
        <v>P-1-N-280323-1893</v>
      </c>
      <c r="D1268" s="133"/>
      <c r="E1268" s="133" t="str">
        <f>IFERROR(__xludf.DUMMYFUNCTION("""COMPUTED_VALUE"""),"تمت طباعة الشهادة")</f>
        <v>تمت طباعة الشهادة</v>
      </c>
      <c r="F1268" s="133" t="str">
        <f>IFERROR(__xludf.DUMMYFUNCTION("""COMPUTED_VALUE"""),"Prestige Canaries Gourmet Expert 20kg")</f>
        <v>Prestige Canaries Gourmet Expert 20kg</v>
      </c>
      <c r="G1268" s="133" t="str">
        <f>IFERROR(__xludf.DUMMYFUNCTION("""COMPUTED_VALUE"""),"برستيج كناري جورميه إكسبرت 20 كجم")</f>
        <v>برستيج كناري جورميه إكسبرت 20 كجم</v>
      </c>
      <c r="H1268" s="133" t="str">
        <f>IFERROR(__xludf.DUMMYFUNCTION("""COMPUTED_VALUE"""),"MAFE20231287")</f>
        <v>MAFE20231287</v>
      </c>
      <c r="I1268" s="133"/>
      <c r="J1268" s="133"/>
      <c r="K1268" s="133" t="str">
        <f>IFERROR(__xludf.DUMMYFUNCTION("""COMPUTED_VALUE"""),"فيرسل لاقا ان في")</f>
        <v>فيرسل لاقا ان في</v>
      </c>
      <c r="L1268" s="133"/>
      <c r="M1268" s="133"/>
      <c r="N1268" s="133"/>
      <c r="O1268" s="133"/>
      <c r="P1268" s="133"/>
      <c r="Q1268" s="133"/>
      <c r="R1268" s="133"/>
      <c r="S1268" s="133"/>
      <c r="T1268" s="133"/>
      <c r="U1268" s="133"/>
      <c r="V1268" s="133"/>
      <c r="W1268" s="133"/>
      <c r="X1268" s="133"/>
      <c r="Y1268" s="133"/>
      <c r="Z1268" s="133"/>
    </row>
    <row r="1269">
      <c r="A1269" s="133">
        <f>IFERROR(__xludf.DUMMYFUNCTION("""COMPUTED_VALUE"""),1268.0)</f>
        <v>1268</v>
      </c>
      <c r="B1269" s="133"/>
      <c r="C1269" s="133" t="str">
        <f>IFERROR(__xludf.DUMMYFUNCTION("""COMPUTED_VALUE"""),"P-1-N-280323-1894")</f>
        <v>P-1-N-280323-1894</v>
      </c>
      <c r="D1269" s="133"/>
      <c r="E1269" s="133" t="str">
        <f>IFERROR(__xludf.DUMMYFUNCTION("""COMPUTED_VALUE"""),"تمت طباعة الشهادة")</f>
        <v>تمت طباعة الشهادة</v>
      </c>
      <c r="F1269" s="133" t="str">
        <f>IFERROR(__xludf.DUMMYFUNCTION("""COMPUTED_VALUE"""),"Prestige Big Parakeets | Cockatiels Expert 20kg")</f>
        <v>Prestige Big Parakeets | Cockatiels Expert 20kg</v>
      </c>
      <c r="G1269" s="133" t="str">
        <f>IFERROR(__xludf.DUMMYFUNCTION("""COMPUTED_VALUE"""),"برستيج البراكيت الكبيرة | كوكاتيل إكسبرت 20 كجم")</f>
        <v>برستيج البراكيت الكبيرة | كوكاتيل إكسبرت 20 كجم</v>
      </c>
      <c r="H1269" s="133" t="str">
        <f>IFERROR(__xludf.DUMMYFUNCTION("""COMPUTED_VALUE"""),"MAFE20231422")</f>
        <v>MAFE20231422</v>
      </c>
      <c r="I1269" s="133"/>
      <c r="J1269" s="133"/>
      <c r="K1269" s="133" t="str">
        <f>IFERROR(__xludf.DUMMYFUNCTION("""COMPUTED_VALUE"""),"فيرسل لاقا ان في")</f>
        <v>فيرسل لاقا ان في</v>
      </c>
      <c r="L1269" s="133"/>
      <c r="M1269" s="133"/>
      <c r="N1269" s="133"/>
      <c r="O1269" s="133"/>
      <c r="P1269" s="133"/>
      <c r="Q1269" s="133"/>
      <c r="R1269" s="133"/>
      <c r="S1269" s="133"/>
      <c r="T1269" s="133"/>
      <c r="U1269" s="133"/>
      <c r="V1269" s="133"/>
      <c r="W1269" s="133"/>
      <c r="X1269" s="133"/>
      <c r="Y1269" s="133"/>
      <c r="Z1269" s="133"/>
    </row>
    <row r="1270">
      <c r="A1270" s="133">
        <f>IFERROR(__xludf.DUMMYFUNCTION("""COMPUTED_VALUE"""),1269.0)</f>
        <v>1269</v>
      </c>
      <c r="B1270" s="133"/>
      <c r="C1270" s="133" t="str">
        <f>IFERROR(__xludf.DUMMYFUNCTION("""COMPUTED_VALUE"""),"P-1-N-280323-1895")</f>
        <v>P-1-N-280323-1895</v>
      </c>
      <c r="D1270" s="133"/>
      <c r="E1270" s="133" t="str">
        <f>IFERROR(__xludf.DUMMYFUNCTION("""COMPUTED_VALUE"""),"تمت طباعة الشهادة")</f>
        <v>تمت طباعة الشهادة</v>
      </c>
      <c r="F1270" s="133" t="str">
        <f>IFERROR(__xludf.DUMMYFUNCTION("""COMPUTED_VALUE"""),"Prestige Canaries Expert 20kg")</f>
        <v>Prestige Canaries Expert 20kg</v>
      </c>
      <c r="G1270" s="133" t="str">
        <f>IFERROR(__xludf.DUMMYFUNCTION("""COMPUTED_VALUE"""),"برستيج كناري إكسبرت 20 كجم")</f>
        <v>برستيج كناري إكسبرت 20 كجم</v>
      </c>
      <c r="H1270" s="133" t="str">
        <f>IFERROR(__xludf.DUMMYFUNCTION("""COMPUTED_VALUE"""),"MAFE20231359")</f>
        <v>MAFE20231359</v>
      </c>
      <c r="I1270" s="133"/>
      <c r="J1270" s="133"/>
      <c r="K1270" s="133" t="str">
        <f>IFERROR(__xludf.DUMMYFUNCTION("""COMPUTED_VALUE"""),"فيرسل لاقا ان في")</f>
        <v>فيرسل لاقا ان في</v>
      </c>
      <c r="L1270" s="133"/>
      <c r="M1270" s="133"/>
      <c r="N1270" s="133"/>
      <c r="O1270" s="133"/>
      <c r="P1270" s="133"/>
      <c r="Q1270" s="133"/>
      <c r="R1270" s="133"/>
      <c r="S1270" s="133"/>
      <c r="T1270" s="133"/>
      <c r="U1270" s="133"/>
      <c r="V1270" s="133"/>
      <c r="W1270" s="133"/>
      <c r="X1270" s="133"/>
      <c r="Y1270" s="133"/>
      <c r="Z1270" s="133"/>
    </row>
    <row r="1271">
      <c r="A1271" s="133">
        <f>IFERROR(__xludf.DUMMYFUNCTION("""COMPUTED_VALUE"""),1270.0)</f>
        <v>1270</v>
      </c>
      <c r="B1271" s="133"/>
      <c r="C1271" s="133" t="str">
        <f>IFERROR(__xludf.DUMMYFUNCTION("""COMPUTED_VALUE"""),"P-1-N-290323-1917")</f>
        <v>P-1-N-290323-1917</v>
      </c>
      <c r="D1271" s="133"/>
      <c r="E1271" s="133" t="str">
        <f>IFERROR(__xludf.DUMMYFUNCTION("""COMPUTED_VALUE"""),"تمت طباعة الشهادة")</f>
        <v>تمت طباعة الشهادة</v>
      </c>
      <c r="F1271" s="133" t="str">
        <f>IFERROR(__xludf.DUMMYFUNCTION("""COMPUTED_VALUE"""),"PRINCESS CLASSIC CHICKEN &amp; TUNA TOPPING CRABSTICK 170g")</f>
        <v>PRINCESS CLASSIC CHICKEN &amp; TUNA TOPPING CRABSTICK 170g</v>
      </c>
      <c r="G1271" s="133" t="str">
        <f>IFERROR(__xludf.DUMMYFUNCTION("""COMPUTED_VALUE"""),"برنسيس كلاسيك دجاج وتونة مع عصا السلطعون 170 جم")</f>
        <v>برنسيس كلاسيك دجاج وتونة مع عصا السلطعون 170 جم</v>
      </c>
      <c r="H1271" s="133" t="str">
        <f>IFERROR(__xludf.DUMMYFUNCTION("""COMPUTED_VALUE"""),"MAFE20231528")</f>
        <v>MAFE20231528</v>
      </c>
      <c r="I1271" s="133"/>
      <c r="J1271" s="133"/>
      <c r="K1271" s="133" t="str">
        <f>IFERROR(__xludf.DUMMYFUNCTION("""COMPUTED_VALUE"""),"شركة يونيكورد العامة المحدودة")</f>
        <v>شركة يونيكورد العامة المحدودة</v>
      </c>
      <c r="L1271" s="133"/>
      <c r="M1271" s="133"/>
      <c r="N1271" s="133"/>
      <c r="O1271" s="133"/>
      <c r="P1271" s="133"/>
      <c r="Q1271" s="133"/>
      <c r="R1271" s="133"/>
      <c r="S1271" s="133"/>
      <c r="T1271" s="133"/>
      <c r="U1271" s="133"/>
      <c r="V1271" s="133"/>
      <c r="W1271" s="133"/>
      <c r="X1271" s="133"/>
      <c r="Y1271" s="133"/>
      <c r="Z1271" s="133"/>
    </row>
    <row r="1272">
      <c r="A1272" s="133">
        <f>IFERROR(__xludf.DUMMYFUNCTION("""COMPUTED_VALUE"""),1271.0)</f>
        <v>1271</v>
      </c>
      <c r="B1272" s="133"/>
      <c r="C1272" s="133" t="str">
        <f>IFERROR(__xludf.DUMMYFUNCTION("""COMPUTED_VALUE"""),"P-1-N-290323-1918")</f>
        <v>P-1-N-290323-1918</v>
      </c>
      <c r="D1272" s="133"/>
      <c r="E1272" s="133" t="str">
        <f>IFERROR(__xludf.DUMMYFUNCTION("""COMPUTED_VALUE"""),"تمت طباعة الشهادة")</f>
        <v>تمت طباعة الشهادة</v>
      </c>
      <c r="F1272" s="133" t="str">
        <f>IFERROR(__xludf.DUMMYFUNCTION("""COMPUTED_VALUE"""),"PRINCESS CLASSIC CHICKEN &amp; TUNA TOPPING BABY CLAM 170g")</f>
        <v>PRINCESS CLASSIC CHICKEN &amp; TUNA TOPPING BABY CLAM 170g</v>
      </c>
      <c r="G1272" s="133" t="str">
        <f>IFERROR(__xludf.DUMMYFUNCTION("""COMPUTED_VALUE"""),"برنسيس كلاسيك دجاج وتونة مع المحار الصغير 170 جم")</f>
        <v>برنسيس كلاسيك دجاج وتونة مع المحار الصغير 170 جم</v>
      </c>
      <c r="H1272" s="133" t="str">
        <f>IFERROR(__xludf.DUMMYFUNCTION("""COMPUTED_VALUE"""),"MAFE20231285")</f>
        <v>MAFE20231285</v>
      </c>
      <c r="I1272" s="133"/>
      <c r="J1272" s="133"/>
      <c r="K1272" s="133" t="str">
        <f>IFERROR(__xludf.DUMMYFUNCTION("""COMPUTED_VALUE"""),"شركة يونيكورد العامة المحدودة")</f>
        <v>شركة يونيكورد العامة المحدودة</v>
      </c>
      <c r="L1272" s="133"/>
      <c r="M1272" s="133"/>
      <c r="N1272" s="133"/>
      <c r="O1272" s="133"/>
      <c r="P1272" s="133"/>
      <c r="Q1272" s="133"/>
      <c r="R1272" s="133"/>
      <c r="S1272" s="133"/>
      <c r="T1272" s="133"/>
      <c r="U1272" s="133"/>
      <c r="V1272" s="133"/>
      <c r="W1272" s="133"/>
      <c r="X1272" s="133"/>
      <c r="Y1272" s="133"/>
      <c r="Z1272" s="133"/>
    </row>
    <row r="1273">
      <c r="A1273" s="133">
        <f>IFERROR(__xludf.DUMMYFUNCTION("""COMPUTED_VALUE"""),1272.0)</f>
        <v>1272</v>
      </c>
      <c r="B1273" s="133"/>
      <c r="C1273" s="133" t="str">
        <f>IFERROR(__xludf.DUMMYFUNCTION("""COMPUTED_VALUE"""),"P-1-N-290323-1919")</f>
        <v>P-1-N-290323-1919</v>
      </c>
      <c r="D1273" s="133"/>
      <c r="E1273" s="133" t="str">
        <f>IFERROR(__xludf.DUMMYFUNCTION("""COMPUTED_VALUE"""),"مكتمل")</f>
        <v>مكتمل</v>
      </c>
      <c r="F1273" s="133" t="str">
        <f>IFERROR(__xludf.DUMMYFUNCTION("""COMPUTED_VALUE"""),"PRINCESS CLASSIC CHICKEN &amp; TUNA SHRIMP CAVIAR FLAVOR 170g")</f>
        <v>PRINCESS CLASSIC CHICKEN &amp; TUNA SHRIMP CAVIAR FLAVOR 170g</v>
      </c>
      <c r="G1273" s="133" t="str">
        <f>IFERROR(__xludf.DUMMYFUNCTION("""COMPUTED_VALUE"""),"برنسيس كلاسيك دجاج وتونة بنكهة الجمبري والكافيار 170 جم")</f>
        <v>برنسيس كلاسيك دجاج وتونة بنكهة الجمبري والكافيار 170 جم</v>
      </c>
      <c r="H1273" s="133" t="str">
        <f>IFERROR(__xludf.DUMMYFUNCTION("""COMPUTED_VALUE"""),"FOM-2024-6911-FEB-2024-51509 -C-0041-72306
")</f>
        <v>FOM-2024-6911-FEB-2024-51509 -C-0041-72306
</v>
      </c>
      <c r="I1273" s="133"/>
      <c r="J1273" s="133"/>
      <c r="K1273" s="133" t="str">
        <f>IFERROR(__xludf.DUMMYFUNCTION("""COMPUTED_VALUE"""),"يونيكورد بابليك كمبني ليميتيد")</f>
        <v>يونيكورد بابليك كمبني ليميتيد</v>
      </c>
      <c r="L1273" s="133"/>
      <c r="M1273" s="133" t="str">
        <f>IFERROR(__xludf.DUMMYFUNCTION("""COMPUTED_VALUE"""),"٠٥/٠٤/٢٠٢٨
")</f>
        <v>٠٥/٠٤/٢٠٢٨
</v>
      </c>
      <c r="N1273" s="133"/>
      <c r="O1273" s="133"/>
      <c r="P1273" s="133"/>
      <c r="Q1273" s="133"/>
      <c r="R1273" s="133"/>
      <c r="S1273" s="133"/>
      <c r="T1273" s="133"/>
      <c r="U1273" s="133"/>
      <c r="V1273" s="133"/>
      <c r="W1273" s="133"/>
      <c r="X1273" s="133"/>
      <c r="Y1273" s="133"/>
      <c r="Z1273" s="133"/>
    </row>
    <row r="1274">
      <c r="A1274" s="133">
        <f>IFERROR(__xludf.DUMMYFUNCTION("""COMPUTED_VALUE"""),1273.0)</f>
        <v>1273</v>
      </c>
      <c r="B1274" s="133"/>
      <c r="C1274" s="133" t="str">
        <f>IFERROR(__xludf.DUMMYFUNCTION("""COMPUTED_VALUE"""),"P-1-N-290323-1920")</f>
        <v>P-1-N-290323-1920</v>
      </c>
      <c r="D1274" s="133"/>
      <c r="E1274" s="133" t="str">
        <f>IFERROR(__xludf.DUMMYFUNCTION("""COMPUTED_VALUE"""),"تمت طباعة الشهادة")</f>
        <v>تمت طباعة الشهادة</v>
      </c>
      <c r="F1274" s="133" t="str">
        <f>IFERROR(__xludf.DUMMYFUNCTION("""COMPUTED_VALUE"""),"PRINCESS CLASSIC CHICKEN &amp; TUNA TOPPING VEGETABLES 170g")</f>
        <v>PRINCESS CLASSIC CHICKEN &amp; TUNA TOPPING VEGETABLES 170g</v>
      </c>
      <c r="G1274" s="133" t="str">
        <f>IFERROR(__xludf.DUMMYFUNCTION("""COMPUTED_VALUE"""),"برنسيس كلاسيك دجاج وتونة مع الخضار 170 جم")</f>
        <v>برنسيس كلاسيك دجاج وتونة مع الخضار 170 جم</v>
      </c>
      <c r="H1274" s="133" t="str">
        <f>IFERROR(__xludf.DUMMYFUNCTION("""COMPUTED_VALUE"""),"MAFE20231284")</f>
        <v>MAFE20231284</v>
      </c>
      <c r="I1274" s="133"/>
      <c r="J1274" s="133"/>
      <c r="K1274" s="133" t="str">
        <f>IFERROR(__xludf.DUMMYFUNCTION("""COMPUTED_VALUE"""),"يونيكورد بابليك كمبني ليميتيد")</f>
        <v>يونيكورد بابليك كمبني ليميتيد</v>
      </c>
      <c r="L1274" s="133"/>
      <c r="M1274" s="133"/>
      <c r="N1274" s="133"/>
      <c r="O1274" s="133"/>
      <c r="P1274" s="133"/>
      <c r="Q1274" s="133"/>
      <c r="R1274" s="133"/>
      <c r="S1274" s="133"/>
      <c r="T1274" s="133"/>
      <c r="U1274" s="133"/>
      <c r="V1274" s="133"/>
      <c r="W1274" s="133"/>
      <c r="X1274" s="133"/>
      <c r="Y1274" s="133"/>
      <c r="Z1274" s="133"/>
    </row>
    <row r="1275">
      <c r="A1275" s="133">
        <f>IFERROR(__xludf.DUMMYFUNCTION("""COMPUTED_VALUE"""),1274.0)</f>
        <v>1274</v>
      </c>
      <c r="B1275" s="133"/>
      <c r="C1275" s="133" t="str">
        <f>IFERROR(__xludf.DUMMYFUNCTION("""COMPUTED_VALUE"""),"P-1-N-290323-1921")</f>
        <v>P-1-N-290323-1921</v>
      </c>
      <c r="D1275" s="133"/>
      <c r="E1275" s="133" t="str">
        <f>IFERROR(__xludf.DUMMYFUNCTION("""COMPUTED_VALUE"""),"تمت طباعة الشهادة")</f>
        <v>تمت طباعة الشهادة</v>
      </c>
      <c r="F1275" s="133" t="str">
        <f>IFERROR(__xludf.DUMMYFUNCTION("""COMPUTED_VALUE"""),"PRINCESS CLASSIC CHICKEN &amp; TUNA 170g")</f>
        <v>PRINCESS CLASSIC CHICKEN &amp; TUNA 170g</v>
      </c>
      <c r="G1275" s="133" t="str">
        <f>IFERROR(__xludf.DUMMYFUNCTION("""COMPUTED_VALUE"""),"برنسيس كلاسيك دجاج وتونة 170 جم")</f>
        <v>برنسيس كلاسيك دجاج وتونة 170 جم</v>
      </c>
      <c r="H1275" s="133" t="str">
        <f>IFERROR(__xludf.DUMMYFUNCTION("""COMPUTED_VALUE"""),"MAFE20231529")</f>
        <v>MAFE20231529</v>
      </c>
      <c r="I1275" s="133"/>
      <c r="J1275" s="133"/>
      <c r="K1275" s="133" t="str">
        <f>IFERROR(__xludf.DUMMYFUNCTION("""COMPUTED_VALUE"""),"يونيكورد بابليك كمبني ليميتيد")</f>
        <v>يونيكورد بابليك كمبني ليميتيد</v>
      </c>
      <c r="L1275" s="133"/>
      <c r="M1275" s="133"/>
      <c r="N1275" s="133"/>
      <c r="O1275" s="133"/>
      <c r="P1275" s="133"/>
      <c r="Q1275" s="133"/>
      <c r="R1275" s="133"/>
      <c r="S1275" s="133"/>
      <c r="T1275" s="133"/>
      <c r="U1275" s="133"/>
      <c r="V1275" s="133"/>
      <c r="W1275" s="133"/>
      <c r="X1275" s="133"/>
      <c r="Y1275" s="133"/>
      <c r="Z1275" s="133"/>
    </row>
    <row r="1276">
      <c r="A1276" s="133">
        <f>IFERROR(__xludf.DUMMYFUNCTION("""COMPUTED_VALUE"""),1275.0)</f>
        <v>1275</v>
      </c>
      <c r="B1276" s="133"/>
      <c r="C1276" s="133" t="str">
        <f>IFERROR(__xludf.DUMMYFUNCTION("""COMPUTED_VALUE"""),"P-1-N-290323-1922")</f>
        <v>P-1-N-290323-1922</v>
      </c>
      <c r="D1276" s="133"/>
      <c r="E1276" s="133" t="str">
        <f>IFERROR(__xludf.DUMMYFUNCTION("""COMPUTED_VALUE"""),"تمت طباعة الشهادة")</f>
        <v>تمت طباعة الشهادة</v>
      </c>
      <c r="F1276" s="133" t="str">
        <f>IFERROR(__xludf.DUMMYFUNCTION("""COMPUTED_VALUE"""),"PRINCESS CLASSIC CHICKEN &amp; TUNA TOPPING SHRIMP 170g")</f>
        <v>PRINCESS CLASSIC CHICKEN &amp; TUNA TOPPING SHRIMP 170g</v>
      </c>
      <c r="G1276" s="133" t="str">
        <f>IFERROR(__xludf.DUMMYFUNCTION("""COMPUTED_VALUE"""),"برنسيس كلاسيك دجاج وتونة مع الجمبري 170 جم")</f>
        <v>برنسيس كلاسيك دجاج وتونة مع الجمبري 170 جم</v>
      </c>
      <c r="H1276" s="133" t="str">
        <f>IFERROR(__xludf.DUMMYFUNCTION("""COMPUTED_VALUE"""),"MAFE20231281")</f>
        <v>MAFE20231281</v>
      </c>
      <c r="I1276" s="133"/>
      <c r="J1276" s="133"/>
      <c r="K1276" s="133" t="str">
        <f>IFERROR(__xludf.DUMMYFUNCTION("""COMPUTED_VALUE"""),"يونيكورد بابليك كمبني ليميتيد")</f>
        <v>يونيكورد بابليك كمبني ليميتيد</v>
      </c>
      <c r="L1276" s="133"/>
      <c r="M1276" s="133"/>
      <c r="N1276" s="133"/>
      <c r="O1276" s="133"/>
      <c r="P1276" s="133"/>
      <c r="Q1276" s="133"/>
      <c r="R1276" s="133"/>
      <c r="S1276" s="133"/>
      <c r="T1276" s="133"/>
      <c r="U1276" s="133"/>
      <c r="V1276" s="133"/>
      <c r="W1276" s="133"/>
      <c r="X1276" s="133"/>
      <c r="Y1276" s="133"/>
      <c r="Z1276" s="133"/>
    </row>
    <row r="1277">
      <c r="A1277" s="133">
        <f>IFERROR(__xludf.DUMMYFUNCTION("""COMPUTED_VALUE"""),1276.0)</f>
        <v>1276</v>
      </c>
      <c r="B1277" s="133"/>
      <c r="C1277" s="133" t="str">
        <f>IFERROR(__xludf.DUMMYFUNCTION("""COMPUTED_VALUE"""),"P-1-N-290323-1923")</f>
        <v>P-1-N-290323-1923</v>
      </c>
      <c r="D1277" s="133"/>
      <c r="E1277" s="133" t="str">
        <f>IFERROR(__xludf.DUMMYFUNCTION("""COMPUTED_VALUE"""),"تمت طباعة الشهادة")</f>
        <v>تمت طباعة الشهادة</v>
      </c>
      <c r="F1277" s="133" t="str">
        <f>IFERROR(__xludf.DUMMYFUNCTION("""COMPUTED_VALUE"""),"PRINCESS CLASSIC CHICKEN &amp; TUNA TOPPING WHITE BAIT 170g")</f>
        <v>PRINCESS CLASSIC CHICKEN &amp; TUNA TOPPING WHITE BAIT 170g</v>
      </c>
      <c r="G1277" s="133" t="str">
        <f>IFERROR(__xludf.DUMMYFUNCTION("""COMPUTED_VALUE"""),"برنسيس كلاسيك دجاج وتونة مع الوايتبيت 170 جم")</f>
        <v>برنسيس كلاسيك دجاج وتونة مع الوايتبيت 170 جم</v>
      </c>
      <c r="H1277" s="133" t="str">
        <f>IFERROR(__xludf.DUMMYFUNCTION("""COMPUTED_VALUE"""),"MAFE20231280")</f>
        <v>MAFE20231280</v>
      </c>
      <c r="I1277" s="133"/>
      <c r="J1277" s="133"/>
      <c r="K1277" s="133" t="str">
        <f>IFERROR(__xludf.DUMMYFUNCTION("""COMPUTED_VALUE"""),"يونيكورد بابليك كمبني ليميتيد")</f>
        <v>يونيكورد بابليك كمبني ليميتيد</v>
      </c>
      <c r="L1277" s="133"/>
      <c r="M1277" s="133"/>
      <c r="N1277" s="133"/>
      <c r="O1277" s="133"/>
      <c r="P1277" s="133"/>
      <c r="Q1277" s="133"/>
      <c r="R1277" s="133"/>
      <c r="S1277" s="133"/>
      <c r="T1277" s="133"/>
      <c r="U1277" s="133"/>
      <c r="V1277" s="133"/>
      <c r="W1277" s="133"/>
      <c r="X1277" s="133"/>
      <c r="Y1277" s="133"/>
      <c r="Z1277" s="133"/>
    </row>
    <row r="1278">
      <c r="A1278" s="133">
        <f>IFERROR(__xludf.DUMMYFUNCTION("""COMPUTED_VALUE"""),1277.0)</f>
        <v>1277</v>
      </c>
      <c r="B1278" s="133"/>
      <c r="C1278" s="133" t="str">
        <f>IFERROR(__xludf.DUMMYFUNCTION("""COMPUTED_VALUE"""),"P-1-N-290323-1924")</f>
        <v>P-1-N-290323-1924</v>
      </c>
      <c r="D1278" s="133"/>
      <c r="E1278" s="133" t="str">
        <f>IFERROR(__xludf.DUMMYFUNCTION("""COMPUTED_VALUE"""),"تمت طباعة الشهادة")</f>
        <v>تمت طباعة الشهادة</v>
      </c>
      <c r="F1278" s="133" t="str">
        <f>IFERROR(__xludf.DUMMYFUNCTION("""COMPUTED_VALUE"""),"PRINCESS CLASSIC CHICKEN &amp; TUNA GINSENG EXTRACT &amp; HONEY FLAVORS 170g")</f>
        <v>PRINCESS CLASSIC CHICKEN &amp; TUNA GINSENG EXTRACT &amp; HONEY FLAVORS 170g</v>
      </c>
      <c r="G1278" s="133" t="str">
        <f>IFERROR(__xludf.DUMMYFUNCTION("""COMPUTED_VALUE"""),"برنسيس كلاسيك دجاج وتونة بخلاصة الجينسنغ ونكهات العسل 170 جم")</f>
        <v>برنسيس كلاسيك دجاج وتونة بخلاصة الجينسنغ ونكهات العسل 170 جم</v>
      </c>
      <c r="H1278" s="133" t="str">
        <f>IFERROR(__xludf.DUMMYFUNCTION("""COMPUTED_VALUE"""),"MAFE20231279")</f>
        <v>MAFE20231279</v>
      </c>
      <c r="I1278" s="133"/>
      <c r="J1278" s="133"/>
      <c r="K1278" s="133" t="str">
        <f>IFERROR(__xludf.DUMMYFUNCTION("""COMPUTED_VALUE"""),"يونيكورد بابليك كمبني ليميتيد")</f>
        <v>يونيكورد بابليك كمبني ليميتيد</v>
      </c>
      <c r="L1278" s="133"/>
      <c r="M1278" s="133"/>
      <c r="N1278" s="133"/>
      <c r="O1278" s="133"/>
      <c r="P1278" s="133"/>
      <c r="Q1278" s="133"/>
      <c r="R1278" s="133"/>
      <c r="S1278" s="133"/>
      <c r="T1278" s="133"/>
      <c r="U1278" s="133"/>
      <c r="V1278" s="133"/>
      <c r="W1278" s="133"/>
      <c r="X1278" s="133"/>
      <c r="Y1278" s="133"/>
      <c r="Z1278" s="133"/>
    </row>
    <row r="1279">
      <c r="A1279" s="133">
        <f>IFERROR(__xludf.DUMMYFUNCTION("""COMPUTED_VALUE"""),1278.0)</f>
        <v>1278</v>
      </c>
      <c r="B1279" s="133"/>
      <c r="C1279" s="133" t="str">
        <f>IFERROR(__xludf.DUMMYFUNCTION("""COMPUTED_VALUE"""),"P-1-N-290323-1925")</f>
        <v>P-1-N-290323-1925</v>
      </c>
      <c r="D1279" s="133"/>
      <c r="E1279" s="133" t="str">
        <f>IFERROR(__xludf.DUMMYFUNCTION("""COMPUTED_VALUE"""),"مكتمل")</f>
        <v>مكتمل</v>
      </c>
      <c r="F1279" s="133" t="str">
        <f>IFERROR(__xludf.DUMMYFUNCTION("""COMPUTED_VALUE"""),"PRINCESS CLASSIC CHICKEN &amp; TUNA TOPPING OYSTER 170g")</f>
        <v>PRINCESS CLASSIC CHICKEN &amp; TUNA TOPPING OYSTER 170g</v>
      </c>
      <c r="G1279" s="133" t="str">
        <f>IFERROR(__xludf.DUMMYFUNCTION("""COMPUTED_VALUE"""),"برنسيس كلاسيك دجاج وتونة مع المحار 170 جم")</f>
        <v>برنسيس كلاسيك دجاج وتونة مع المحار 170 جم</v>
      </c>
      <c r="H1279" s="133" t="str">
        <f>IFERROR(__xludf.DUMMYFUNCTION("""COMPUTED_VALUE"""),"FOM-2024-6911-FEB-2024-51515 -C-0041-72312")</f>
        <v>FOM-2024-6911-FEB-2024-51515 -C-0041-72312</v>
      </c>
      <c r="I1279" s="133"/>
      <c r="J1279" s="133"/>
      <c r="K1279" s="133" t="str">
        <f>IFERROR(__xludf.DUMMYFUNCTION("""COMPUTED_VALUE"""),"يونيكورد بابليك كمبني ليميتيد")</f>
        <v>يونيكورد بابليك كمبني ليميتيد</v>
      </c>
      <c r="L1279" s="133"/>
      <c r="M1279" s="133"/>
      <c r="N1279" s="133"/>
      <c r="O1279" s="133"/>
      <c r="P1279" s="133"/>
      <c r="Q1279" s="133"/>
      <c r="R1279" s="133"/>
      <c r="S1279" s="133"/>
      <c r="T1279" s="133"/>
      <c r="U1279" s="133"/>
      <c r="V1279" s="133"/>
      <c r="W1279" s="133"/>
      <c r="X1279" s="133"/>
      <c r="Y1279" s="133"/>
      <c r="Z1279" s="133"/>
    </row>
    <row r="1280">
      <c r="A1280" s="133">
        <f>IFERROR(__xludf.DUMMYFUNCTION("""COMPUTED_VALUE"""),1279.0)</f>
        <v>1279</v>
      </c>
      <c r="B1280" s="133"/>
      <c r="C1280" s="133" t="str">
        <f>IFERROR(__xludf.DUMMYFUNCTION("""COMPUTED_VALUE"""),"P-1-N-290323-1926")</f>
        <v>P-1-N-290323-1926</v>
      </c>
      <c r="D1280" s="133"/>
      <c r="E1280" s="133" t="str">
        <f>IFERROR(__xludf.DUMMYFUNCTION("""COMPUTED_VALUE"""),"تمت طباعة الشهادة")</f>
        <v>تمت طباعة الشهادة</v>
      </c>
      <c r="F1280" s="133" t="str">
        <f>IFERROR(__xludf.DUMMYFUNCTION("""COMPUTED_VALUE"""),"PRINCESS CLASSIC CHICKEN &amp; TUNA OMELETTE &amp; LOBSTER FLAVORS 170g")</f>
        <v>PRINCESS CLASSIC CHICKEN &amp; TUNA OMELETTE &amp; LOBSTER FLAVORS 170g</v>
      </c>
      <c r="G1280" s="133" t="str">
        <f>IFERROR(__xludf.DUMMYFUNCTION("""COMPUTED_VALUE"""),"برنسيس كلاسيك دجاج وتونة بخلاصة الجينسنغ ونكهات العسل 170 جم")</f>
        <v>برنسيس كلاسيك دجاج وتونة بخلاصة الجينسنغ ونكهات العسل 170 جم</v>
      </c>
      <c r="H1280" s="133" t="str">
        <f>IFERROR(__xludf.DUMMYFUNCTION("""COMPUTED_VALUE"""),"MAFE20231277")</f>
        <v>MAFE20231277</v>
      </c>
      <c r="I1280" s="133"/>
      <c r="J1280" s="133"/>
      <c r="K1280" s="133" t="str">
        <f>IFERROR(__xludf.DUMMYFUNCTION("""COMPUTED_VALUE"""),"يونيكورد بابليك كمبني ليميتيد")</f>
        <v>يونيكورد بابليك كمبني ليميتيد</v>
      </c>
      <c r="L1280" s="133"/>
      <c r="M1280" s="133"/>
      <c r="N1280" s="133"/>
      <c r="O1280" s="133"/>
      <c r="P1280" s="133"/>
      <c r="Q1280" s="133"/>
      <c r="R1280" s="133"/>
      <c r="S1280" s="133"/>
      <c r="T1280" s="133"/>
      <c r="U1280" s="133"/>
      <c r="V1280" s="133"/>
      <c r="W1280" s="133"/>
      <c r="X1280" s="133"/>
      <c r="Y1280" s="133"/>
      <c r="Z1280" s="133"/>
    </row>
    <row r="1281">
      <c r="A1281" s="133">
        <f>IFERROR(__xludf.DUMMYFUNCTION("""COMPUTED_VALUE"""),1280.0)</f>
        <v>1280</v>
      </c>
      <c r="B1281" s="133"/>
      <c r="C1281" s="133" t="str">
        <f>IFERROR(__xludf.DUMMYFUNCTION("""COMPUTED_VALUE"""),"P-1-N-290323-1927")</f>
        <v>P-1-N-290323-1927</v>
      </c>
      <c r="D1281" s="133"/>
      <c r="E1281" s="133" t="str">
        <f>IFERROR(__xludf.DUMMYFUNCTION("""COMPUTED_VALUE"""),"تمت طباعة الشهادة")</f>
        <v>تمت طباعة الشهادة</v>
      </c>
      <c r="F1281" s="133" t="str">
        <f>IFERROR(__xludf.DUMMYFUNCTION("""COMPUTED_VALUE"""),"PRINCESS CLASSIC CHICKEN &amp; TUNA TOPPING BELL PEPPER 170g")</f>
        <v>PRINCESS CLASSIC CHICKEN &amp; TUNA TOPPING BELL PEPPER 170g</v>
      </c>
      <c r="G1281" s="133" t="str">
        <f>IFERROR(__xludf.DUMMYFUNCTION("""COMPUTED_VALUE"""),"برنسيس كلاسيك دجاج وتونة مع فلفل رومي 170 جم")</f>
        <v>برنسيس كلاسيك دجاج وتونة مع فلفل رومي 170 جم</v>
      </c>
      <c r="H1281" s="133" t="str">
        <f>IFERROR(__xludf.DUMMYFUNCTION("""COMPUTED_VALUE"""),"MAFE20231276")</f>
        <v>MAFE20231276</v>
      </c>
      <c r="I1281" s="133"/>
      <c r="J1281" s="133"/>
      <c r="K1281" s="133" t="str">
        <f>IFERROR(__xludf.DUMMYFUNCTION("""COMPUTED_VALUE"""),"يونيكورد بابليك كمبني ليميتيد")</f>
        <v>يونيكورد بابليك كمبني ليميتيد</v>
      </c>
      <c r="L1281" s="133"/>
      <c r="M1281" s="133"/>
      <c r="N1281" s="133"/>
      <c r="O1281" s="133"/>
      <c r="P1281" s="133"/>
      <c r="Q1281" s="133"/>
      <c r="R1281" s="133"/>
      <c r="S1281" s="133"/>
      <c r="T1281" s="133"/>
      <c r="U1281" s="133"/>
      <c r="V1281" s="133"/>
      <c r="W1281" s="133"/>
      <c r="X1281" s="133"/>
      <c r="Y1281" s="133"/>
      <c r="Z1281" s="133"/>
    </row>
    <row r="1282">
      <c r="A1282" s="133">
        <f>IFERROR(__xludf.DUMMYFUNCTION("""COMPUTED_VALUE"""),1281.0)</f>
        <v>1281</v>
      </c>
      <c r="B1282" s="133"/>
      <c r="C1282" s="133" t="str">
        <f>IFERROR(__xludf.DUMMYFUNCTION("""COMPUTED_VALUE"""),"P-1-N-290323-1928")</f>
        <v>P-1-N-290323-1928</v>
      </c>
      <c r="D1282" s="133"/>
      <c r="E1282" s="133" t="str">
        <f>IFERROR(__xludf.DUMMYFUNCTION("""COMPUTED_VALUE"""),"تمت طباعة الشهادة")</f>
        <v>تمت طباعة الشهادة</v>
      </c>
      <c r="F1282" s="133" t="str">
        <f>IFERROR(__xludf.DUMMYFUNCTION("""COMPUTED_VALUE"""),"PRINCESS CLASSIC PACIFIC TUNA 170g")</f>
        <v>PRINCESS CLASSIC PACIFIC TUNA 170g</v>
      </c>
      <c r="G1282" s="133" t="str">
        <f>IFERROR(__xludf.DUMMYFUNCTION("""COMPUTED_VALUE"""),"برنسيس كلاسيك تونة المحيط الهادئ 170 جم")</f>
        <v>برنسيس كلاسيك تونة المحيط الهادئ 170 جم</v>
      </c>
      <c r="H1282" s="133" t="str">
        <f>IFERROR(__xludf.DUMMYFUNCTION("""COMPUTED_VALUE"""),"MAFE20231530")</f>
        <v>MAFE20231530</v>
      </c>
      <c r="I1282" s="133"/>
      <c r="J1282" s="133"/>
      <c r="K1282" s="133" t="str">
        <f>IFERROR(__xludf.DUMMYFUNCTION("""COMPUTED_VALUE"""),"شركة يونيكورد العامة المحدودة")</f>
        <v>شركة يونيكورد العامة المحدودة</v>
      </c>
      <c r="L1282" s="133"/>
      <c r="M1282" s="133"/>
      <c r="N1282" s="133"/>
      <c r="O1282" s="133"/>
      <c r="P1282" s="133"/>
      <c r="Q1282" s="133"/>
      <c r="R1282" s="133"/>
      <c r="S1282" s="133"/>
      <c r="T1282" s="133"/>
      <c r="U1282" s="133"/>
      <c r="V1282" s="133"/>
      <c r="W1282" s="133"/>
      <c r="X1282" s="133"/>
      <c r="Y1282" s="133"/>
      <c r="Z1282" s="133"/>
    </row>
    <row r="1283">
      <c r="A1283" s="133">
        <f>IFERROR(__xludf.DUMMYFUNCTION("""COMPUTED_VALUE"""),1282.0)</f>
        <v>1282</v>
      </c>
      <c r="B1283" s="133"/>
      <c r="C1283" s="133" t="str">
        <f>IFERROR(__xludf.DUMMYFUNCTION("""COMPUTED_VALUE"""),"P-1-N-290323-1929")</f>
        <v>P-1-N-290323-1929</v>
      </c>
      <c r="D1283" s="133"/>
      <c r="E1283" s="133" t="str">
        <f>IFERROR(__xludf.DUMMYFUNCTION("""COMPUTED_VALUE"""),"تمت طباعة الشهادة")</f>
        <v>تمت طباعة الشهادة</v>
      </c>
      <c r="F1283" s="133" t="str">
        <f>IFERROR(__xludf.DUMMYFUNCTION("""COMPUTED_VALUE"""),"PRINCESS CLASSIC PACIFIC TUNA TOPPING CHEESE 170g")</f>
        <v>PRINCESS CLASSIC PACIFIC TUNA TOPPING CHEESE 170g</v>
      </c>
      <c r="G1283" s="133" t="str">
        <f>IFERROR(__xludf.DUMMYFUNCTION("""COMPUTED_VALUE"""),"برنسيس كلاسيك تونة المحيط الهادئ مع الجبن 170 جم")</f>
        <v>برنسيس كلاسيك تونة المحيط الهادئ مع الجبن 170 جم</v>
      </c>
      <c r="H1283" s="133" t="str">
        <f>IFERROR(__xludf.DUMMYFUNCTION("""COMPUTED_VALUE"""),"MAFE20231298")</f>
        <v>MAFE20231298</v>
      </c>
      <c r="I1283" s="133"/>
      <c r="J1283" s="133"/>
      <c r="K1283" s="133" t="str">
        <f>IFERROR(__xludf.DUMMYFUNCTION("""COMPUTED_VALUE"""),"يونيكورد بابليك كمبني ليميتيد")</f>
        <v>يونيكورد بابليك كمبني ليميتيد</v>
      </c>
      <c r="L1283" s="133"/>
      <c r="M1283" s="133"/>
      <c r="N1283" s="133"/>
      <c r="O1283" s="133"/>
      <c r="P1283" s="133"/>
      <c r="Q1283" s="133"/>
      <c r="R1283" s="133"/>
      <c r="S1283" s="133"/>
      <c r="T1283" s="133"/>
      <c r="U1283" s="133"/>
      <c r="V1283" s="133"/>
      <c r="W1283" s="133"/>
      <c r="X1283" s="133"/>
      <c r="Y1283" s="133"/>
      <c r="Z1283" s="133"/>
    </row>
    <row r="1284">
      <c r="A1284" s="133">
        <f>IFERROR(__xludf.DUMMYFUNCTION("""COMPUTED_VALUE"""),1283.0)</f>
        <v>1283</v>
      </c>
      <c r="B1284" s="133"/>
      <c r="C1284" s="133" t="str">
        <f>IFERROR(__xludf.DUMMYFUNCTION("""COMPUTED_VALUE"""),"P-1-N-290323-1930")</f>
        <v>P-1-N-290323-1930</v>
      </c>
      <c r="D1284" s="133"/>
      <c r="E1284" s="133" t="str">
        <f>IFERROR(__xludf.DUMMYFUNCTION("""COMPUTED_VALUE"""),"مكتمل")</f>
        <v>مكتمل</v>
      </c>
      <c r="F1284" s="133" t="str">
        <f>IFERROR(__xludf.DUMMYFUNCTION("""COMPUTED_VALUE"""),"PRINCESS CLASSIC PACIFIC TUNA TOPPING PANGASIUS 170g")</f>
        <v>PRINCESS CLASSIC PACIFIC TUNA TOPPING PANGASIUS 170g</v>
      </c>
      <c r="G1284" s="133" t="str">
        <f>IFERROR(__xludf.DUMMYFUNCTION("""COMPUTED_VALUE"""),"برنسيس كلاسيك تونة المحيط الهادئ مع البنغاسيوس 170 جم")</f>
        <v>برنسيس كلاسيك تونة المحيط الهادئ مع البنغاسيوس 170 جم</v>
      </c>
      <c r="H1284" s="133" t="str">
        <f>IFERROR(__xludf.DUMMYFUNCTION("""COMPUTED_VALUE"""),"FOM-2024-6911-FEB-2024-39582 -C-0041-60379
")</f>
        <v>FOM-2024-6911-FEB-2024-39582 -C-0041-60379
</v>
      </c>
      <c r="I1284" s="133"/>
      <c r="J1284" s="133"/>
      <c r="K1284" s="133" t="str">
        <f>IFERROR(__xludf.DUMMYFUNCTION("""COMPUTED_VALUE"""),"شركة يونيكورد العامة المحدودة")</f>
        <v>شركة يونيكورد العامة المحدودة</v>
      </c>
      <c r="L1284" s="133"/>
      <c r="M1284" s="133"/>
      <c r="N1284" s="133"/>
      <c r="O1284" s="133"/>
      <c r="P1284" s="133"/>
      <c r="Q1284" s="133"/>
      <c r="R1284" s="133"/>
      <c r="S1284" s="133"/>
      <c r="T1284" s="133"/>
      <c r="U1284" s="133"/>
      <c r="V1284" s="133"/>
      <c r="W1284" s="133"/>
      <c r="X1284" s="133"/>
      <c r="Y1284" s="133"/>
      <c r="Z1284" s="133"/>
    </row>
    <row r="1285">
      <c r="A1285" s="133">
        <f>IFERROR(__xludf.DUMMYFUNCTION("""COMPUTED_VALUE"""),1284.0)</f>
        <v>1284</v>
      </c>
      <c r="B1285" s="133"/>
      <c r="C1285" s="133" t="str">
        <f>IFERROR(__xludf.DUMMYFUNCTION("""COMPUTED_VALUE"""),"P-1-N-290323-1931")</f>
        <v>P-1-N-290323-1931</v>
      </c>
      <c r="D1285" s="133"/>
      <c r="E1285" s="133" t="str">
        <f>IFERROR(__xludf.DUMMYFUNCTION("""COMPUTED_VALUE"""),"تمت طباعة الشهادة")</f>
        <v>تمت طباعة الشهادة</v>
      </c>
      <c r="F1285" s="133" t="str">
        <f>IFERROR(__xludf.DUMMYFUNCTION("""COMPUTED_VALUE"""),"PRINCESS CLASSIC PACIFIC TUNA TOPPING COD 170g")</f>
        <v>PRINCESS CLASSIC PACIFIC TUNA TOPPING COD 170g</v>
      </c>
      <c r="G1285" s="133" t="str">
        <f>IFERROR(__xludf.DUMMYFUNCTION("""COMPUTED_VALUE"""),"برنسيس كلاسيك تونة المحيط الهادئ مع سمك القد 170 جم")</f>
        <v>برنسيس كلاسيك تونة المحيط الهادئ مع سمك القد 170 جم</v>
      </c>
      <c r="H1285" s="133" t="str">
        <f>IFERROR(__xludf.DUMMYFUNCTION("""COMPUTED_VALUE"""),"MAFE20231300")</f>
        <v>MAFE20231300</v>
      </c>
      <c r="I1285" s="133"/>
      <c r="J1285" s="133"/>
      <c r="K1285" s="133" t="str">
        <f>IFERROR(__xludf.DUMMYFUNCTION("""COMPUTED_VALUE"""),"يونيكورد بابليك كمبني ليميتيد")</f>
        <v>يونيكورد بابليك كمبني ليميتيد</v>
      </c>
      <c r="L1285" s="133"/>
      <c r="M1285" s="133"/>
      <c r="N1285" s="133"/>
      <c r="O1285" s="133"/>
      <c r="P1285" s="133"/>
      <c r="Q1285" s="133"/>
      <c r="R1285" s="133"/>
      <c r="S1285" s="133"/>
      <c r="T1285" s="133"/>
      <c r="U1285" s="133"/>
      <c r="V1285" s="133"/>
      <c r="W1285" s="133"/>
      <c r="X1285" s="133"/>
      <c r="Y1285" s="133"/>
      <c r="Z1285" s="133"/>
    </row>
    <row r="1286">
      <c r="A1286" s="133">
        <f>IFERROR(__xludf.DUMMYFUNCTION("""COMPUTED_VALUE"""),1285.0)</f>
        <v>1285</v>
      </c>
      <c r="B1286" s="133"/>
      <c r="C1286" s="133" t="str">
        <f>IFERROR(__xludf.DUMMYFUNCTION("""COMPUTED_VALUE"""),"P-1-N-290323-1932")</f>
        <v>P-1-N-290323-1932</v>
      </c>
      <c r="D1286" s="133"/>
      <c r="E1286" s="133" t="str">
        <f>IFERROR(__xludf.DUMMYFUNCTION("""COMPUTED_VALUE"""),"تمت طباعة الشهادة")</f>
        <v>تمت طباعة الشهادة</v>
      </c>
      <c r="F1286" s="133" t="str">
        <f>IFERROR(__xludf.DUMMYFUNCTION("""COMPUTED_VALUE"""),"PRINCESS CLASSIC CHICKEN &amp; TUNA CARROT &amp; ZUCCHINI &amp; TOMATO FLAVORS 170g")</f>
        <v>PRINCESS CLASSIC CHICKEN &amp; TUNA CARROT &amp; ZUCCHINI &amp; TOMATO FLAVORS 170g</v>
      </c>
      <c r="G1286" s="133" t="str">
        <f>IFERROR(__xludf.DUMMYFUNCTION("""COMPUTED_VALUE"""),"برنسيس كلاسيك دجاج وتونة بنكهات الجزر والكوسا والطماطم 170 جم")</f>
        <v>برنسيس كلاسيك دجاج وتونة بنكهات الجزر والكوسا والطماطم 170 جم</v>
      </c>
      <c r="H1286" s="133" t="str">
        <f>IFERROR(__xludf.DUMMYFUNCTION("""COMPUTED_VALUE"""),"MAFE20231301")</f>
        <v>MAFE20231301</v>
      </c>
      <c r="I1286" s="133"/>
      <c r="J1286" s="133"/>
      <c r="K1286" s="133" t="str">
        <f>IFERROR(__xludf.DUMMYFUNCTION("""COMPUTED_VALUE"""),"يونيكورد بابليك كمبني ليميتيد")</f>
        <v>يونيكورد بابليك كمبني ليميتيد</v>
      </c>
      <c r="L1286" s="133"/>
      <c r="M1286" s="133"/>
      <c r="N1286" s="133"/>
      <c r="O1286" s="133"/>
      <c r="P1286" s="133"/>
      <c r="Q1286" s="133"/>
      <c r="R1286" s="133"/>
      <c r="S1286" s="133"/>
      <c r="T1286" s="133"/>
      <c r="U1286" s="133"/>
      <c r="V1286" s="133"/>
      <c r="W1286" s="133"/>
      <c r="X1286" s="133"/>
      <c r="Y1286" s="133"/>
      <c r="Z1286" s="133"/>
    </row>
    <row r="1287">
      <c r="A1287" s="133">
        <f>IFERROR(__xludf.DUMMYFUNCTION("""COMPUTED_VALUE"""),1286.0)</f>
        <v>1286</v>
      </c>
      <c r="B1287" s="133"/>
      <c r="C1287" s="133" t="str">
        <f>IFERROR(__xludf.DUMMYFUNCTION("""COMPUTED_VALUE"""),"P-1-N-290323-1933")</f>
        <v>P-1-N-290323-1933</v>
      </c>
      <c r="D1287" s="133"/>
      <c r="E1287" s="133" t="str">
        <f>IFERROR(__xludf.DUMMYFUNCTION("""COMPUTED_VALUE"""),"تمت طباعة الشهادة")</f>
        <v>تمت طباعة الشهادة</v>
      </c>
      <c r="F1287" s="133" t="str">
        <f>IFERROR(__xludf.DUMMYFUNCTION("""COMPUTED_VALUE"""),"PRINCESS CLASSIC CHICKEN &amp; TUNA GINKGO &amp; GOJI BERRY FLAVORS 170g")</f>
        <v>PRINCESS CLASSIC CHICKEN &amp; TUNA GINKGO &amp; GOJI BERRY FLAVORS 170g</v>
      </c>
      <c r="G1287" s="133" t="str">
        <f>IFERROR(__xludf.DUMMYFUNCTION("""COMPUTED_VALUE"""),"برنسيس كلاسيك دجاج وتونة بنكهات توت الغوجي والجينكو 170 جم")</f>
        <v>برنسيس كلاسيك دجاج وتونة بنكهات توت الغوجي والجينكو 170 جم</v>
      </c>
      <c r="H1287" s="133" t="str">
        <f>IFERROR(__xludf.DUMMYFUNCTION("""COMPUTED_VALUE"""),"MAFE20231302")</f>
        <v>MAFE20231302</v>
      </c>
      <c r="I1287" s="133"/>
      <c r="J1287" s="133"/>
      <c r="K1287" s="133" t="str">
        <f>IFERROR(__xludf.DUMMYFUNCTION("""COMPUTED_VALUE"""),"يونيكورد بابليك كمبني ليميتيد")</f>
        <v>يونيكورد بابليك كمبني ليميتيد</v>
      </c>
      <c r="L1287" s="133"/>
      <c r="M1287" s="133"/>
      <c r="N1287" s="133"/>
      <c r="O1287" s="133"/>
      <c r="P1287" s="133"/>
      <c r="Q1287" s="133"/>
      <c r="R1287" s="133"/>
      <c r="S1287" s="133"/>
      <c r="T1287" s="133"/>
      <c r="U1287" s="133"/>
      <c r="V1287" s="133"/>
      <c r="W1287" s="133"/>
      <c r="X1287" s="133"/>
      <c r="Y1287" s="133"/>
      <c r="Z1287" s="133"/>
    </row>
    <row r="1288">
      <c r="A1288" s="133">
        <f>IFERROR(__xludf.DUMMYFUNCTION("""COMPUTED_VALUE"""),1287.0)</f>
        <v>1287</v>
      </c>
      <c r="B1288" s="133"/>
      <c r="C1288" s="133" t="str">
        <f>IFERROR(__xludf.DUMMYFUNCTION("""COMPUTED_VALUE"""),"P-1-N-300323-1956")</f>
        <v>P-1-N-300323-1956</v>
      </c>
      <c r="D1288" s="133"/>
      <c r="E1288" s="133" t="str">
        <f>IFERROR(__xludf.DUMMYFUNCTION("""COMPUTED_VALUE"""),"تمت طباعة الشهادة")</f>
        <v>تمت طباعة الشهادة</v>
      </c>
      <c r="F1288" s="133" t="str">
        <f>IFERROR(__xludf.DUMMYFUNCTION("""COMPUTED_VALUE"""),"PRINCESS EXCELLENCE CHICKEN &amp; TUNA TOPPING SALMON 70g")</f>
        <v>PRINCESS EXCELLENCE CHICKEN &amp; TUNA TOPPING SALMON 70g</v>
      </c>
      <c r="G1288" s="133" t="str">
        <f>IFERROR(__xludf.DUMMYFUNCTION("""COMPUTED_VALUE"""),"برنسيس إكسلنس دجاج وتونة مع السلمون 70 جم")</f>
        <v>برنسيس إكسلنس دجاج وتونة مع السلمون 70 جم</v>
      </c>
      <c r="H1288" s="133" t="str">
        <f>IFERROR(__xludf.DUMMYFUNCTION("""COMPUTED_VALUE"""),"MAFE20231312")</f>
        <v>MAFE20231312</v>
      </c>
      <c r="I1288" s="133"/>
      <c r="J1288" s="133"/>
      <c r="K1288" s="133" t="str">
        <f>IFERROR(__xludf.DUMMYFUNCTION("""COMPUTED_VALUE"""),"يونيكورد بابليك كمبني ليميتيد")</f>
        <v>يونيكورد بابليك كمبني ليميتيد</v>
      </c>
      <c r="L1288" s="133"/>
      <c r="M1288" s="133"/>
      <c r="N1288" s="133"/>
      <c r="O1288" s="133"/>
      <c r="P1288" s="133"/>
      <c r="Q1288" s="133"/>
      <c r="R1288" s="133"/>
      <c r="S1288" s="133"/>
      <c r="T1288" s="133"/>
      <c r="U1288" s="133"/>
      <c r="V1288" s="133"/>
      <c r="W1288" s="133"/>
      <c r="X1288" s="133"/>
      <c r="Y1288" s="133"/>
      <c r="Z1288" s="133"/>
    </row>
    <row r="1289">
      <c r="A1289" s="133">
        <f>IFERROR(__xludf.DUMMYFUNCTION("""COMPUTED_VALUE"""),1288.0)</f>
        <v>1288</v>
      </c>
      <c r="B1289" s="133" t="str">
        <f>IFERROR(__xludf.DUMMYFUNCTION("""COMPUTED_VALUE"""),"PNPP10")</f>
        <v>PNPP10</v>
      </c>
      <c r="C1289" s="133" t="str">
        <f>IFERROR(__xludf.DUMMYFUNCTION("""COMPUTED_VALUE"""),"P-1-N-300323-1957")</f>
        <v>P-1-N-300323-1957</v>
      </c>
      <c r="D1289" s="133"/>
      <c r="E1289" s="133" t="str">
        <f>IFERROR(__xludf.DUMMYFUNCTION("""COMPUTED_VALUE"""),"تمت طباعة الشهادة")</f>
        <v>تمت طباعة الشهادة</v>
      </c>
      <c r="F1289" s="133" t="str">
        <f>IFERROR(__xludf.DUMMYFUNCTION("""COMPUTED_VALUE"""),"PRINCESS EXCELLENCE CHICKEN &amp; TUNA 70g")</f>
        <v>PRINCESS EXCELLENCE CHICKEN &amp; TUNA 70g</v>
      </c>
      <c r="G1289" s="133" t="str">
        <f>IFERROR(__xludf.DUMMYFUNCTION("""COMPUTED_VALUE"""),"برنسيس إكسلنس دجاج وتونة 70 جم")</f>
        <v>برنسيس إكسلنس دجاج وتونة 70 جم</v>
      </c>
      <c r="H1289" s="133" t="str">
        <f>IFERROR(__xludf.DUMMYFUNCTION("""COMPUTED_VALUE"""),"MAFE20231350")</f>
        <v>MAFE20231350</v>
      </c>
      <c r="I1289" s="133"/>
      <c r="J1289" s="133"/>
      <c r="K1289" s="133" t="str">
        <f>IFERROR(__xludf.DUMMYFUNCTION("""COMPUTED_VALUE"""),"شركة يونيكورد العامة المحدودة")</f>
        <v>شركة يونيكورد العامة المحدودة</v>
      </c>
      <c r="L1289" s="142" t="str">
        <f>IFERROR(__xludf.DUMMYFUNCTION("""COMPUTED_VALUE"""),"PNPP10")</f>
        <v>PNPP10</v>
      </c>
      <c r="M1289" s="133"/>
      <c r="N1289" s="133"/>
      <c r="O1289" s="133"/>
      <c r="P1289" s="133"/>
      <c r="Q1289" s="133"/>
      <c r="R1289" s="133"/>
      <c r="S1289" s="133"/>
      <c r="T1289" s="133"/>
      <c r="U1289" s="133"/>
      <c r="V1289" s="133"/>
      <c r="W1289" s="133"/>
      <c r="X1289" s="133"/>
      <c r="Y1289" s="133"/>
      <c r="Z1289" s="133"/>
    </row>
    <row r="1290">
      <c r="A1290" s="133">
        <f>IFERROR(__xludf.DUMMYFUNCTION("""COMPUTED_VALUE"""),1289.0)</f>
        <v>1289</v>
      </c>
      <c r="B1290" s="133" t="str">
        <f>IFERROR(__xludf.DUMMYFUNCTION("""COMPUTED_VALUE"""),"PNPP11")</f>
        <v>PNPP11</v>
      </c>
      <c r="C1290" s="133" t="str">
        <f>IFERROR(__xludf.DUMMYFUNCTION("""COMPUTED_VALUE"""),"P-1-N-300323-1958")</f>
        <v>P-1-N-300323-1958</v>
      </c>
      <c r="D1290" s="133"/>
      <c r="E1290" s="133" t="str">
        <f>IFERROR(__xludf.DUMMYFUNCTION("""COMPUTED_VALUE"""),"تمت طباعة الشهادة")</f>
        <v>تمت طباعة الشهادة</v>
      </c>
      <c r="F1290" s="133" t="str">
        <f>IFERROR(__xludf.DUMMYFUNCTION("""COMPUTED_VALUE"""),"PRINCESS EXCELLENCE CHICKEN &amp; TUNA TOPPING SQUID RING 70g
")</f>
        <v>PRINCESS EXCELLENCE CHICKEN &amp; TUNA TOPPING SQUID RING 70g
</v>
      </c>
      <c r="G1290" s="133" t="str">
        <f>IFERROR(__xludf.DUMMYFUNCTION("""COMPUTED_VALUE"""),"برنسيس إكسلنس دجاج وتونة مع حلقات الحبار 70 جم")</f>
        <v>برنسيس إكسلنس دجاج وتونة مع حلقات الحبار 70 جم</v>
      </c>
      <c r="H1290" s="133" t="str">
        <f>IFERROR(__xludf.DUMMYFUNCTION("""COMPUTED_VALUE"""),"MAFE20231313")</f>
        <v>MAFE20231313</v>
      </c>
      <c r="I1290" s="133"/>
      <c r="J1290" s="133"/>
      <c r="K1290" s="133" t="str">
        <f>IFERROR(__xludf.DUMMYFUNCTION("""COMPUTED_VALUE"""),"يونيكورد بابليك كمبني ليميتيد")</f>
        <v>يونيكورد بابليك كمبني ليميتيد</v>
      </c>
      <c r="L1290" s="142" t="str">
        <f>IFERROR(__xludf.DUMMYFUNCTION("""COMPUTED_VALUE"""),"PNPP11")</f>
        <v>PNPP11</v>
      </c>
      <c r="M1290" s="133"/>
      <c r="N1290" s="133"/>
      <c r="O1290" s="133"/>
      <c r="P1290" s="133"/>
      <c r="Q1290" s="133"/>
      <c r="R1290" s="133"/>
      <c r="S1290" s="133"/>
      <c r="T1290" s="133"/>
      <c r="U1290" s="133"/>
      <c r="V1290" s="133"/>
      <c r="W1290" s="133"/>
      <c r="X1290" s="133"/>
      <c r="Y1290" s="133"/>
      <c r="Z1290" s="133"/>
    </row>
    <row r="1291">
      <c r="A1291" s="133">
        <f>IFERROR(__xludf.DUMMYFUNCTION("""COMPUTED_VALUE"""),1290.0)</f>
        <v>1290</v>
      </c>
      <c r="B1291" s="133" t="str">
        <f>IFERROR(__xludf.DUMMYFUNCTION("""COMPUTED_VALUE"""),"PNPP12")</f>
        <v>PNPP12</v>
      </c>
      <c r="C1291" s="133" t="str">
        <f>IFERROR(__xludf.DUMMYFUNCTION("""COMPUTED_VALUE"""),"P-1-N-300323-1959")</f>
        <v>P-1-N-300323-1959</v>
      </c>
      <c r="D1291" s="133"/>
      <c r="E1291" s="133" t="str">
        <f>IFERROR(__xludf.DUMMYFUNCTION("""COMPUTED_VALUE"""),"تمت طباعة الشهادة")</f>
        <v>تمت طباعة الشهادة</v>
      </c>
      <c r="F1291" s="133" t="str">
        <f>IFERROR(__xludf.DUMMYFUNCTION("""COMPUTED_VALUE"""),"PRINCESS EXCELLENCE CHICKEN &amp; TUNA TOPPING PUMPKIN 70g")</f>
        <v>PRINCESS EXCELLENCE CHICKEN &amp; TUNA TOPPING PUMPKIN 70g</v>
      </c>
      <c r="G1291" s="133" t="str">
        <f>IFERROR(__xludf.DUMMYFUNCTION("""COMPUTED_VALUE"""),"برنسيس إكسلنس دجاج وتونة مع اليقطين 70 جم")</f>
        <v>برنسيس إكسلنس دجاج وتونة مع اليقطين 70 جم</v>
      </c>
      <c r="H1291" s="133" t="str">
        <f>IFERROR(__xludf.DUMMYFUNCTION("""COMPUTED_VALUE"""),"MAFE20231400")</f>
        <v>MAFE20231400</v>
      </c>
      <c r="I1291" s="133"/>
      <c r="J1291" s="133"/>
      <c r="K1291" s="133" t="str">
        <f>IFERROR(__xludf.DUMMYFUNCTION("""COMPUTED_VALUE"""),"يونيكورد بابليك كمبني ليميتيد")</f>
        <v>يونيكورد بابليك كمبني ليميتيد</v>
      </c>
      <c r="L1291" s="142" t="str">
        <f>IFERROR(__xludf.DUMMYFUNCTION("""COMPUTED_VALUE"""),"PNPP12")</f>
        <v>PNPP12</v>
      </c>
      <c r="M1291" s="133"/>
      <c r="N1291" s="133"/>
      <c r="O1291" s="133"/>
      <c r="P1291" s="133"/>
      <c r="Q1291" s="133"/>
      <c r="R1291" s="133"/>
      <c r="S1291" s="133"/>
      <c r="T1291" s="133"/>
      <c r="U1291" s="133"/>
      <c r="V1291" s="133"/>
      <c r="W1291" s="133"/>
      <c r="X1291" s="133"/>
      <c r="Y1291" s="133"/>
      <c r="Z1291" s="133"/>
    </row>
    <row r="1292">
      <c r="A1292" s="133">
        <f>IFERROR(__xludf.DUMMYFUNCTION("""COMPUTED_VALUE"""),1291.0)</f>
        <v>1291</v>
      </c>
      <c r="B1292" s="133" t="str">
        <f>IFERROR(__xludf.DUMMYFUNCTION("""COMPUTED_VALUE"""),"PNPP13")</f>
        <v>PNPP13</v>
      </c>
      <c r="C1292" s="133" t="str">
        <f>IFERROR(__xludf.DUMMYFUNCTION("""COMPUTED_VALUE"""),"P-1-N-300323-1960")</f>
        <v>P-1-N-300323-1960</v>
      </c>
      <c r="D1292" s="133"/>
      <c r="E1292" s="133" t="str">
        <f>IFERROR(__xludf.DUMMYFUNCTION("""COMPUTED_VALUE"""),"تمت طباعة الشهادة")</f>
        <v>تمت طباعة الشهادة</v>
      </c>
      <c r="F1292" s="133" t="str">
        <f>IFERROR(__xludf.DUMMYFUNCTION("""COMPUTED_VALUE"""),"PRINCESS EXCELLENCE CHICKEN &amp; TUNA TOPPING SHRIMP 70g")</f>
        <v>PRINCESS EXCELLENCE CHICKEN &amp; TUNA TOPPING SHRIMP 70g</v>
      </c>
      <c r="G1292" s="133" t="str">
        <f>IFERROR(__xludf.DUMMYFUNCTION("""COMPUTED_VALUE"""),"برنسيس إكسلنس دجاج وتونة مع الجمبري 70 جم")</f>
        <v>برنسيس إكسلنس دجاج وتونة مع الجمبري 70 جم</v>
      </c>
      <c r="H1292" s="133" t="str">
        <f>IFERROR(__xludf.DUMMYFUNCTION("""COMPUTED_VALUE"""),"MAFE20231384")</f>
        <v>MAFE20231384</v>
      </c>
      <c r="I1292" s="133"/>
      <c r="J1292" s="133"/>
      <c r="K1292" s="133" t="str">
        <f>IFERROR(__xludf.DUMMYFUNCTION("""COMPUTED_VALUE"""),"يونيكورد بابليك كمبني ليميتيد")</f>
        <v>يونيكورد بابليك كمبني ليميتيد</v>
      </c>
      <c r="L1292" s="142" t="str">
        <f>IFERROR(__xludf.DUMMYFUNCTION("""COMPUTED_VALUE"""),"PNPP13")</f>
        <v>PNPP13</v>
      </c>
      <c r="M1292" s="133"/>
      <c r="N1292" s="133"/>
      <c r="O1292" s="133"/>
      <c r="P1292" s="133"/>
      <c r="Q1292" s="133"/>
      <c r="R1292" s="133"/>
      <c r="S1292" s="133"/>
      <c r="T1292" s="133"/>
      <c r="U1292" s="133"/>
      <c r="V1292" s="133"/>
      <c r="W1292" s="133"/>
      <c r="X1292" s="133"/>
      <c r="Y1292" s="133"/>
      <c r="Z1292" s="133"/>
    </row>
    <row r="1293">
      <c r="A1293" s="133">
        <f>IFERROR(__xludf.DUMMYFUNCTION("""COMPUTED_VALUE"""),1292.0)</f>
        <v>1292</v>
      </c>
      <c r="B1293" s="133" t="str">
        <f>IFERROR(__xludf.DUMMYFUNCTION("""COMPUTED_VALUE"""),"PNPP14")</f>
        <v>PNPP14</v>
      </c>
      <c r="C1293" s="133" t="str">
        <f>IFERROR(__xludf.DUMMYFUNCTION("""COMPUTED_VALUE"""),"P-1-N-300323-1961")</f>
        <v>P-1-N-300323-1961</v>
      </c>
      <c r="D1293" s="133"/>
      <c r="E1293" s="133" t="str">
        <f>IFERROR(__xludf.DUMMYFUNCTION("""COMPUTED_VALUE"""),"تمت طباعة الشهادة")</f>
        <v>تمت طباعة الشهادة</v>
      </c>
      <c r="F1293" s="133" t="str">
        <f>IFERROR(__xludf.DUMMYFUNCTION("""COMPUTED_VALUE"""),"PRINCESS EXCELLENCE CHICKEN &amp; TUNA TOPPING ALOE VERA 70g")</f>
        <v>PRINCESS EXCELLENCE CHICKEN &amp; TUNA TOPPING ALOE VERA 70g</v>
      </c>
      <c r="G1293" s="133" t="str">
        <f>IFERROR(__xludf.DUMMYFUNCTION("""COMPUTED_VALUE"""),"برنسيس إكسلنس دجاج وتونة مع الألو فيرا 70 جم")</f>
        <v>برنسيس إكسلنس دجاج وتونة مع الألو فيرا 70 جم</v>
      </c>
      <c r="H1293" s="133" t="str">
        <f>IFERROR(__xludf.DUMMYFUNCTION("""COMPUTED_VALUE"""),"MAFE20231382")</f>
        <v>MAFE20231382</v>
      </c>
      <c r="I1293" s="133"/>
      <c r="J1293" s="133"/>
      <c r="K1293" s="133" t="str">
        <f>IFERROR(__xludf.DUMMYFUNCTION("""COMPUTED_VALUE"""),"شركة يونيكورد العامة المحدودة")</f>
        <v>شركة يونيكورد العامة المحدودة</v>
      </c>
      <c r="L1293" s="142" t="str">
        <f>IFERROR(__xludf.DUMMYFUNCTION("""COMPUTED_VALUE"""),"PNPP14")</f>
        <v>PNPP14</v>
      </c>
      <c r="M1293" s="133"/>
      <c r="N1293" s="133"/>
      <c r="O1293" s="133"/>
      <c r="P1293" s="133"/>
      <c r="Q1293" s="133"/>
      <c r="R1293" s="133"/>
      <c r="S1293" s="133"/>
      <c r="T1293" s="133"/>
      <c r="U1293" s="133"/>
      <c r="V1293" s="133"/>
      <c r="W1293" s="133"/>
      <c r="X1293" s="133"/>
      <c r="Y1293" s="133"/>
      <c r="Z1293" s="133"/>
    </row>
    <row r="1294">
      <c r="A1294" s="133">
        <f>IFERROR(__xludf.DUMMYFUNCTION("""COMPUTED_VALUE"""),1293.0)</f>
        <v>1293</v>
      </c>
      <c r="B1294" s="133"/>
      <c r="C1294" s="133" t="str">
        <f>IFERROR(__xludf.DUMMYFUNCTION("""COMPUTED_VALUE"""),"P-1-N-300323-1962")</f>
        <v>P-1-N-300323-1962</v>
      </c>
      <c r="D1294" s="133"/>
      <c r="E1294" s="133" t="str">
        <f>IFERROR(__xludf.DUMMYFUNCTION("""COMPUTED_VALUE"""),"تمت طباعة الشهادة")</f>
        <v>تمت طباعة الشهادة</v>
      </c>
      <c r="F1294" s="133" t="str">
        <f>IFERROR(__xludf.DUMMYFUNCTION("""COMPUTED_VALUE"""),"PRINCESS EXCELLENCE CHICKEN &amp; TUNA TOPPING WHITE BAIT 70g")</f>
        <v>PRINCESS EXCELLENCE CHICKEN &amp; TUNA TOPPING WHITE BAIT 70g</v>
      </c>
      <c r="G1294" s="133" t="str">
        <f>IFERROR(__xludf.DUMMYFUNCTION("""COMPUTED_VALUE"""),"برنسيس إكسلنس دجاج وتونة مع الوايتبيت 70 جم")</f>
        <v>برنسيس إكسلنس دجاج وتونة مع الوايتبيت 70 جم</v>
      </c>
      <c r="H1294" s="133" t="str">
        <f>IFERROR(__xludf.DUMMYFUNCTION("""COMPUTED_VALUE"""),"MAFE20231385")</f>
        <v>MAFE20231385</v>
      </c>
      <c r="I1294" s="133"/>
      <c r="J1294" s="133"/>
      <c r="K1294" s="133" t="str">
        <f>IFERROR(__xludf.DUMMYFUNCTION("""COMPUTED_VALUE"""),"شركة يونيكورد العامة المحدودة")</f>
        <v>شركة يونيكورد العامة المحدودة</v>
      </c>
      <c r="L1294" s="133"/>
      <c r="M1294" s="133"/>
      <c r="N1294" s="133"/>
      <c r="O1294" s="133"/>
      <c r="P1294" s="133"/>
      <c r="Q1294" s="133"/>
      <c r="R1294" s="133"/>
      <c r="S1294" s="133"/>
      <c r="T1294" s="133"/>
      <c r="U1294" s="133"/>
      <c r="V1294" s="133"/>
      <c r="W1294" s="133"/>
      <c r="X1294" s="133"/>
      <c r="Y1294" s="133"/>
      <c r="Z1294" s="133"/>
    </row>
    <row r="1295">
      <c r="A1295" s="133">
        <f>IFERROR(__xludf.DUMMYFUNCTION("""COMPUTED_VALUE"""),1294.0)</f>
        <v>1294</v>
      </c>
      <c r="B1295" s="133" t="str">
        <f>IFERROR(__xludf.DUMMYFUNCTION("""COMPUTED_VALUE"""),"PNPP17")</f>
        <v>PNPP17</v>
      </c>
      <c r="C1295" s="133" t="str">
        <f>IFERROR(__xludf.DUMMYFUNCTION("""COMPUTED_VALUE"""),"P-1-N-300323-1963")</f>
        <v>P-1-N-300323-1963</v>
      </c>
      <c r="D1295" s="133"/>
      <c r="E1295" s="133" t="str">
        <f>IFERROR(__xludf.DUMMYFUNCTION("""COMPUTED_VALUE"""),"تمت طباعة الشهادة")</f>
        <v>تمت طباعة الشهادة</v>
      </c>
      <c r="F1295" s="133" t="str">
        <f>IFERROR(__xludf.DUMMYFUNCTION("""COMPUTED_VALUE"""),"PRINCESS EXCELLENCE PACIFIC TUNA 70g")</f>
        <v>PRINCESS EXCELLENCE PACIFIC TUNA 70g</v>
      </c>
      <c r="G1295" s="133" t="str">
        <f>IFERROR(__xludf.DUMMYFUNCTION("""COMPUTED_VALUE"""),"برنسيس إكسلنس تونة المحيط الهادئ 70 جم")</f>
        <v>برنسيس إكسلنس تونة المحيط الهادئ 70 جم</v>
      </c>
      <c r="H1295" s="133" t="str">
        <f>IFERROR(__xludf.DUMMYFUNCTION("""COMPUTED_VALUE"""),"MAFE20231383")</f>
        <v>MAFE20231383</v>
      </c>
      <c r="I1295" s="133"/>
      <c r="J1295" s="133"/>
      <c r="K1295" s="133" t="str">
        <f>IFERROR(__xludf.DUMMYFUNCTION("""COMPUTED_VALUE"""),"شركة يونيكورد العامة المحدودة")</f>
        <v>شركة يونيكورد العامة المحدودة</v>
      </c>
      <c r="L1295" s="142" t="str">
        <f>IFERROR(__xludf.DUMMYFUNCTION("""COMPUTED_VALUE"""),"PNPP17")</f>
        <v>PNPP17</v>
      </c>
      <c r="M1295" s="133"/>
      <c r="N1295" s="133"/>
      <c r="O1295" s="133"/>
      <c r="P1295" s="133"/>
      <c r="Q1295" s="133"/>
      <c r="R1295" s="133"/>
      <c r="S1295" s="133"/>
      <c r="T1295" s="133"/>
      <c r="U1295" s="133"/>
      <c r="V1295" s="133"/>
      <c r="W1295" s="133"/>
      <c r="X1295" s="133"/>
      <c r="Y1295" s="133"/>
      <c r="Z1295" s="133"/>
    </row>
    <row r="1296">
      <c r="A1296" s="133">
        <f>IFERROR(__xludf.DUMMYFUNCTION("""COMPUTED_VALUE"""),1295.0)</f>
        <v>1295</v>
      </c>
      <c r="B1296" s="133" t="str">
        <f>IFERROR(__xludf.DUMMYFUNCTION("""COMPUTED_VALUE"""),"PNPP19")</f>
        <v>PNPP19</v>
      </c>
      <c r="C1296" s="133" t="str">
        <f>IFERROR(__xludf.DUMMYFUNCTION("""COMPUTED_VALUE"""),"P-1-N-300323-1964")</f>
        <v>P-1-N-300323-1964</v>
      </c>
      <c r="D1296" s="133"/>
      <c r="E1296" s="133" t="str">
        <f>IFERROR(__xludf.DUMMYFUNCTION("""COMPUTED_VALUE"""),"تمت طباعة الشهادة")</f>
        <v>تمت طباعة الشهادة</v>
      </c>
      <c r="F1296" s="133" t="str">
        <f>IFERROR(__xludf.DUMMYFUNCTION("""COMPUTED_VALUE"""),"PRINCESS EXCELLENCE CHICKEN BREAST 70g")</f>
        <v>PRINCESS EXCELLENCE CHICKEN BREAST 70g</v>
      </c>
      <c r="G1296" s="133" t="str">
        <f>IFERROR(__xludf.DUMMYFUNCTION("""COMPUTED_VALUE"""),"برنسيس إكسلنس صدور الدجاج 70 جم")</f>
        <v>برنسيس إكسلنس صدور الدجاج 70 جم</v>
      </c>
      <c r="H1296" s="133" t="str">
        <f>IFERROR(__xludf.DUMMYFUNCTION("""COMPUTED_VALUE"""),"MAFE20231401")</f>
        <v>MAFE20231401</v>
      </c>
      <c r="I1296" s="133"/>
      <c r="J1296" s="133"/>
      <c r="K1296" s="133" t="str">
        <f>IFERROR(__xludf.DUMMYFUNCTION("""COMPUTED_VALUE"""),"شركة يونيكورد العامة المحدودة")</f>
        <v>شركة يونيكورد العامة المحدودة</v>
      </c>
      <c r="L1296" s="142" t="str">
        <f>IFERROR(__xludf.DUMMYFUNCTION("""COMPUTED_VALUE"""),"PNPP19")</f>
        <v>PNPP19</v>
      </c>
      <c r="M1296" s="133"/>
      <c r="N1296" s="133"/>
      <c r="O1296" s="133"/>
      <c r="P1296" s="133"/>
      <c r="Q1296" s="133"/>
      <c r="R1296" s="133"/>
      <c r="S1296" s="133"/>
      <c r="T1296" s="133"/>
      <c r="U1296" s="133"/>
      <c r="V1296" s="133"/>
      <c r="W1296" s="133"/>
      <c r="X1296" s="133"/>
      <c r="Y1296" s="133"/>
      <c r="Z1296" s="133"/>
    </row>
    <row r="1297">
      <c r="A1297" s="133">
        <f>IFERROR(__xludf.DUMMYFUNCTION("""COMPUTED_VALUE"""),1296.0)</f>
        <v>1296</v>
      </c>
      <c r="B1297" s="133" t="str">
        <f>IFERROR(__xludf.DUMMYFUNCTION("""COMPUTED_VALUE"""),"PNPP20")</f>
        <v>PNPP20</v>
      </c>
      <c r="C1297" s="133" t="str">
        <f>IFERROR(__xludf.DUMMYFUNCTION("""COMPUTED_VALUE"""),"P-1-N-300323-1965")</f>
        <v>P-1-N-300323-1965</v>
      </c>
      <c r="D1297" s="133"/>
      <c r="E1297" s="133" t="str">
        <f>IFERROR(__xludf.DUMMYFUNCTION("""COMPUTED_VALUE"""),"تمت طباعة الشهادة")</f>
        <v>تمت طباعة الشهادة</v>
      </c>
      <c r="F1297" s="133" t="str">
        <f>IFERROR(__xludf.DUMMYFUNCTION("""COMPUTED_VALUE"""),"PRINCESS EXCELLENCE GOLD CHICKEN BREAST 70g")</f>
        <v>PRINCESS EXCELLENCE GOLD CHICKEN BREAST 70g</v>
      </c>
      <c r="G1297" s="133" t="str">
        <f>IFERROR(__xludf.DUMMYFUNCTION("""COMPUTED_VALUE"""),"برنسيس إكسلنس جولد صدور الدجاج 70 جم")</f>
        <v>برنسيس إكسلنس جولد صدور الدجاج 70 جم</v>
      </c>
      <c r="H1297" s="133" t="str">
        <f>IFERROR(__xludf.DUMMYFUNCTION("""COMPUTED_VALUE"""),"MAFE20231402")</f>
        <v>MAFE20231402</v>
      </c>
      <c r="I1297" s="133"/>
      <c r="J1297" s="133"/>
      <c r="K1297" s="133" t="str">
        <f>IFERROR(__xludf.DUMMYFUNCTION("""COMPUTED_VALUE"""),"شركة يونيكورد العامة المحدودة")</f>
        <v>شركة يونيكورد العامة المحدودة</v>
      </c>
      <c r="L1297" s="142" t="str">
        <f>IFERROR(__xludf.DUMMYFUNCTION("""COMPUTED_VALUE"""),"PNPP20")</f>
        <v>PNPP20</v>
      </c>
      <c r="M1297" s="133"/>
      <c r="N1297" s="133"/>
      <c r="O1297" s="133"/>
      <c r="P1297" s="133"/>
      <c r="Q1297" s="133"/>
      <c r="R1297" s="133"/>
      <c r="S1297" s="133"/>
      <c r="T1297" s="133"/>
      <c r="U1297" s="133"/>
      <c r="V1297" s="133"/>
      <c r="W1297" s="133"/>
      <c r="X1297" s="133"/>
      <c r="Y1297" s="133"/>
      <c r="Z1297" s="133"/>
    </row>
    <row r="1298">
      <c r="A1298" s="133">
        <f>IFERROR(__xludf.DUMMYFUNCTION("""COMPUTED_VALUE"""),1297.0)</f>
        <v>1297</v>
      </c>
      <c r="B1298" s="133" t="str">
        <f>IFERROR(__xludf.DUMMYFUNCTION("""COMPUTED_VALUE"""),"PNPP21")</f>
        <v>PNPP21</v>
      </c>
      <c r="C1298" s="133" t="str">
        <f>IFERROR(__xludf.DUMMYFUNCTION("""COMPUTED_VALUE"""),"P-1-N-300323-1966")</f>
        <v>P-1-N-300323-1966</v>
      </c>
      <c r="D1298" s="133"/>
      <c r="E1298" s="133" t="str">
        <f>IFERROR(__xludf.DUMMYFUNCTION("""COMPUTED_VALUE"""),"تمت طباعة الشهادة")</f>
        <v>تمت طباعة الشهادة</v>
      </c>
      <c r="F1298" s="133" t="str">
        <f>IFERROR(__xludf.DUMMYFUNCTION("""COMPUTED_VALUE"""),"PRINCESS EXCELLENCE CHICKEN BREAST TOPPING TURKEY 70g")</f>
        <v>PRINCESS EXCELLENCE CHICKEN BREAST TOPPING TURKEY 70g</v>
      </c>
      <c r="G1298" s="133" t="str">
        <f>IFERROR(__xludf.DUMMYFUNCTION("""COMPUTED_VALUE"""),"برنسيس إكسلنس صدور الدجاج مع الديك الرومى 70 جم")</f>
        <v>برنسيس إكسلنس صدور الدجاج مع الديك الرومى 70 جم</v>
      </c>
      <c r="H1298" s="133" t="str">
        <f>IFERROR(__xludf.DUMMYFUNCTION("""COMPUTED_VALUE"""),"MAFE20231403")</f>
        <v>MAFE20231403</v>
      </c>
      <c r="I1298" s="133"/>
      <c r="J1298" s="133"/>
      <c r="K1298" s="133" t="str">
        <f>IFERROR(__xludf.DUMMYFUNCTION("""COMPUTED_VALUE"""),"شركة يونيكورد العامة المحدودة")</f>
        <v>شركة يونيكورد العامة المحدودة</v>
      </c>
      <c r="L1298" s="142" t="str">
        <f>IFERROR(__xludf.DUMMYFUNCTION("""COMPUTED_VALUE"""),"PNPP21")</f>
        <v>PNPP21</v>
      </c>
      <c r="M1298" s="133"/>
      <c r="N1298" s="133"/>
      <c r="O1298" s="133"/>
      <c r="P1298" s="133"/>
      <c r="Q1298" s="133"/>
      <c r="R1298" s="133"/>
      <c r="S1298" s="133"/>
      <c r="T1298" s="133"/>
      <c r="U1298" s="133"/>
      <c r="V1298" s="133"/>
      <c r="W1298" s="133"/>
      <c r="X1298" s="133"/>
      <c r="Y1298" s="133"/>
      <c r="Z1298" s="133"/>
    </row>
    <row r="1299">
      <c r="A1299" s="133">
        <f>IFERROR(__xludf.DUMMYFUNCTION("""COMPUTED_VALUE"""),1298.0)</f>
        <v>1298</v>
      </c>
      <c r="B1299" s="133"/>
      <c r="C1299" s="133" t="str">
        <f>IFERROR(__xludf.DUMMYFUNCTION("""COMPUTED_VALUE"""),"P-1-N-020423-2000")</f>
        <v>P-1-N-020423-2000</v>
      </c>
      <c r="D1299" s="133"/>
      <c r="E1299" s="133" t="str">
        <f>IFERROR(__xludf.DUMMYFUNCTION("""COMPUTED_VALUE"""),"تمت طباعة الشهادة")</f>
        <v>تمت طباعة الشهادة</v>
      </c>
      <c r="F1299" s="133" t="str">
        <f>IFERROR(__xludf.DUMMYFUNCTION("""COMPUTED_VALUE"""),"PRINCESS ZEST CHICKEN &amp; TUNA TOPPING SURIMI 170g")</f>
        <v>PRINCESS ZEST CHICKEN &amp; TUNA TOPPING SURIMI 170g</v>
      </c>
      <c r="G1299" s="133" t="str">
        <f>IFERROR(__xludf.DUMMYFUNCTION("""COMPUTED_VALUE"""),"برنسيس زيست دجاج وتونة مع السوريمي 170 جم")</f>
        <v>برنسيس زيست دجاج وتونة مع السوريمي 170 جم</v>
      </c>
      <c r="H1299" s="133" t="str">
        <f>IFERROR(__xludf.DUMMYFUNCTION("""COMPUTED_VALUE"""),"MAFE20231362")</f>
        <v>MAFE20231362</v>
      </c>
      <c r="I1299" s="133"/>
      <c r="J1299" s="133"/>
      <c r="K1299" s="133" t="str">
        <f>IFERROR(__xludf.DUMMYFUNCTION("""COMPUTED_VALUE"""),"شركة يونيكورد العامة المحدودة")</f>
        <v>شركة يونيكورد العامة المحدودة</v>
      </c>
      <c r="L1299" s="133"/>
      <c r="M1299" s="133"/>
      <c r="N1299" s="133"/>
      <c r="O1299" s="133"/>
      <c r="P1299" s="133"/>
      <c r="Q1299" s="133"/>
      <c r="R1299" s="133"/>
      <c r="S1299" s="133"/>
      <c r="T1299" s="133"/>
      <c r="U1299" s="133"/>
      <c r="V1299" s="133"/>
      <c r="W1299" s="133"/>
      <c r="X1299" s="133"/>
      <c r="Y1299" s="133"/>
      <c r="Z1299" s="133"/>
    </row>
    <row r="1300">
      <c r="A1300" s="133">
        <f>IFERROR(__xludf.DUMMYFUNCTION("""COMPUTED_VALUE"""),1299.0)</f>
        <v>1299</v>
      </c>
      <c r="B1300" s="133"/>
      <c r="C1300" s="133" t="str">
        <f>IFERROR(__xludf.DUMMYFUNCTION("""COMPUTED_VALUE"""),"P-1-N-020423-2001")</f>
        <v>P-1-N-020423-2001</v>
      </c>
      <c r="D1300" s="133"/>
      <c r="E1300" s="133" t="str">
        <f>IFERROR(__xludf.DUMMYFUNCTION("""COMPUTED_VALUE"""),"تمت طباعة الشهادة")</f>
        <v>تمت طباعة الشهادة</v>
      </c>
      <c r="F1300" s="133" t="str">
        <f>IFERROR(__xludf.DUMMYFUNCTION("""COMPUTED_VALUE"""),"PRINCESS ZEST CHICKEN &amp; TUNA TOPPING PAPAYA 170g")</f>
        <v>PRINCESS ZEST CHICKEN &amp; TUNA TOPPING PAPAYA 170g</v>
      </c>
      <c r="G1300" s="133" t="str">
        <f>IFERROR(__xludf.DUMMYFUNCTION("""COMPUTED_VALUE"""),"برنسيس زيست دجاج وتونة مع البابايا 170 جم")</f>
        <v>برنسيس زيست دجاج وتونة مع البابايا 170 جم</v>
      </c>
      <c r="H1300" s="133" t="str">
        <f>IFERROR(__xludf.DUMMYFUNCTION("""COMPUTED_VALUE"""),"MAFE20231363")</f>
        <v>MAFE20231363</v>
      </c>
      <c r="I1300" s="133"/>
      <c r="J1300" s="133"/>
      <c r="K1300" s="133" t="str">
        <f>IFERROR(__xludf.DUMMYFUNCTION("""COMPUTED_VALUE"""),"شركة يونيكورد العامة المحدودة")</f>
        <v>شركة يونيكورد العامة المحدودة</v>
      </c>
      <c r="L1300" s="133"/>
      <c r="M1300" s="133"/>
      <c r="N1300" s="133"/>
      <c r="O1300" s="133"/>
      <c r="P1300" s="133"/>
      <c r="Q1300" s="133"/>
      <c r="R1300" s="133"/>
      <c r="S1300" s="133"/>
      <c r="T1300" s="133"/>
      <c r="U1300" s="133"/>
      <c r="V1300" s="133"/>
      <c r="W1300" s="133"/>
      <c r="X1300" s="133"/>
      <c r="Y1300" s="133"/>
      <c r="Z1300" s="133"/>
    </row>
    <row r="1301">
      <c r="A1301" s="133">
        <f>IFERROR(__xludf.DUMMYFUNCTION("""COMPUTED_VALUE"""),1300.0)</f>
        <v>1300</v>
      </c>
      <c r="B1301" s="133"/>
      <c r="C1301" s="133" t="str">
        <f>IFERROR(__xludf.DUMMYFUNCTION("""COMPUTED_VALUE"""),"P-1-N-020423-2002")</f>
        <v>P-1-N-020423-2002</v>
      </c>
      <c r="D1301" s="133"/>
      <c r="E1301" s="133" t="str">
        <f>IFERROR(__xludf.DUMMYFUNCTION("""COMPUTED_VALUE"""),"تمت طباعة الشهادة")</f>
        <v>تمت طباعة الشهادة</v>
      </c>
      <c r="F1301" s="133" t="str">
        <f>IFERROR(__xludf.DUMMYFUNCTION("""COMPUTED_VALUE"""),"PRINCESS ZEST CHICKEN &amp; TUNA TOPPING MUSSELS 170g")</f>
        <v>PRINCESS ZEST CHICKEN &amp; TUNA TOPPING MUSSELS 170g</v>
      </c>
      <c r="G1301" s="133" t="str">
        <f>IFERROR(__xludf.DUMMYFUNCTION("""COMPUTED_VALUE"""),"برنسيس زيست دجاج وتونة مع بلح البحر 170 جم")</f>
        <v>برنسيس زيست دجاج وتونة مع بلح البحر 170 جم</v>
      </c>
      <c r="H1301" s="133" t="str">
        <f>IFERROR(__xludf.DUMMYFUNCTION("""COMPUTED_VALUE"""),"MAFE20231364")</f>
        <v>MAFE20231364</v>
      </c>
      <c r="I1301" s="133"/>
      <c r="J1301" s="133"/>
      <c r="K1301" s="133" t="str">
        <f>IFERROR(__xludf.DUMMYFUNCTION("""COMPUTED_VALUE"""),"شركة يونيكورد العامة المحدودة")</f>
        <v>شركة يونيكورد العامة المحدودة</v>
      </c>
      <c r="L1301" s="133"/>
      <c r="M1301" s="133"/>
      <c r="N1301" s="133"/>
      <c r="O1301" s="133"/>
      <c r="P1301" s="133"/>
      <c r="Q1301" s="133"/>
      <c r="R1301" s="133"/>
      <c r="S1301" s="133"/>
      <c r="T1301" s="133"/>
      <c r="U1301" s="133"/>
      <c r="V1301" s="133"/>
      <c r="W1301" s="133"/>
      <c r="X1301" s="133"/>
      <c r="Y1301" s="133"/>
      <c r="Z1301" s="133"/>
    </row>
    <row r="1302">
      <c r="A1302" s="133">
        <f>IFERROR(__xludf.DUMMYFUNCTION("""COMPUTED_VALUE"""),1301.0)</f>
        <v>1301</v>
      </c>
      <c r="B1302" s="133"/>
      <c r="C1302" s="133" t="str">
        <f>IFERROR(__xludf.DUMMYFUNCTION("""COMPUTED_VALUE"""),"P-1-N-020423-2003")</f>
        <v>P-1-N-020423-2003</v>
      </c>
      <c r="D1302" s="133"/>
      <c r="E1302" s="133" t="str">
        <f>IFERROR(__xludf.DUMMYFUNCTION("""COMPUTED_VALUE"""),"تمت طباعة الشهادة")</f>
        <v>تمت طباعة الشهادة</v>
      </c>
      <c r="F1302" s="133" t="str">
        <f>IFERROR(__xludf.DUMMYFUNCTION("""COMPUTED_VALUE"""),"PRINCESS ZEST CHICKEN &amp; TUNA TOPPING SALMON FLAKES 170g")</f>
        <v>PRINCESS ZEST CHICKEN &amp; TUNA TOPPING SALMON FLAKES 170g</v>
      </c>
      <c r="G1302" s="133" t="str">
        <f>IFERROR(__xludf.DUMMYFUNCTION("""COMPUTED_VALUE"""),"برنسيس زيست دجاج وتونة مع رقائق السلمون 170 جم")</f>
        <v>برنسيس زيست دجاج وتونة مع رقائق السلمون 170 جم</v>
      </c>
      <c r="H1302" s="133" t="str">
        <f>IFERROR(__xludf.DUMMYFUNCTION("""COMPUTED_VALUE"""),"MAFE20231365")</f>
        <v>MAFE20231365</v>
      </c>
      <c r="I1302" s="133"/>
      <c r="J1302" s="133"/>
      <c r="K1302" s="133" t="str">
        <f>IFERROR(__xludf.DUMMYFUNCTION("""COMPUTED_VALUE"""),"شركة يونيكورد العامة المحدودة")</f>
        <v>شركة يونيكورد العامة المحدودة</v>
      </c>
      <c r="L1302" s="133"/>
      <c r="M1302" s="133"/>
      <c r="N1302" s="133"/>
      <c r="O1302" s="133"/>
      <c r="P1302" s="133"/>
      <c r="Q1302" s="133"/>
      <c r="R1302" s="133"/>
      <c r="S1302" s="133"/>
      <c r="T1302" s="133"/>
      <c r="U1302" s="133"/>
      <c r="V1302" s="133"/>
      <c r="W1302" s="133"/>
      <c r="X1302" s="133"/>
      <c r="Y1302" s="133"/>
      <c r="Z1302" s="133"/>
    </row>
    <row r="1303">
      <c r="A1303" s="133">
        <f>IFERROR(__xludf.DUMMYFUNCTION("""COMPUTED_VALUE"""),1302.0)</f>
        <v>1302</v>
      </c>
      <c r="B1303" s="133"/>
      <c r="C1303" s="133" t="str">
        <f>IFERROR(__xludf.DUMMYFUNCTION("""COMPUTED_VALUE"""),"P-1-N-020423-2004")</f>
        <v>P-1-N-020423-2004</v>
      </c>
      <c r="D1303" s="133"/>
      <c r="E1303" s="133" t="str">
        <f>IFERROR(__xludf.DUMMYFUNCTION("""COMPUTED_VALUE"""),"تمت طباعة الشهادة")</f>
        <v>تمت طباعة الشهادة</v>
      </c>
      <c r="F1303" s="133" t="str">
        <f>IFERROR(__xludf.DUMMYFUNCTION("""COMPUTED_VALUE"""),"PRINCESS ZEST CHICKEN &amp; TUNA TOPPING VANNAMEI SHRIMP 170g")</f>
        <v>PRINCESS ZEST CHICKEN &amp; TUNA TOPPING VANNAMEI SHRIMP 170g</v>
      </c>
      <c r="G1303" s="133" t="str">
        <f>IFERROR(__xludf.DUMMYFUNCTION("""COMPUTED_VALUE"""),"برنسيس زيست دجاج وتونة مع الجمبري الفانامي 170 جم")</f>
        <v>برنسيس زيست دجاج وتونة مع الجمبري الفانامي 170 جم</v>
      </c>
      <c r="H1303" s="133" t="str">
        <f>IFERROR(__xludf.DUMMYFUNCTION("""COMPUTED_VALUE"""),"MAFE20231366")</f>
        <v>MAFE20231366</v>
      </c>
      <c r="I1303" s="133"/>
      <c r="J1303" s="133"/>
      <c r="K1303" s="133" t="str">
        <f>IFERROR(__xludf.DUMMYFUNCTION("""COMPUTED_VALUE"""),"شركة يونيكورد العامة المحدودة")</f>
        <v>شركة يونيكورد العامة المحدودة</v>
      </c>
      <c r="L1303" s="133"/>
      <c r="M1303" s="133"/>
      <c r="N1303" s="133"/>
      <c r="O1303" s="133"/>
      <c r="P1303" s="133"/>
      <c r="Q1303" s="133"/>
      <c r="R1303" s="133"/>
      <c r="S1303" s="133"/>
      <c r="T1303" s="133"/>
      <c r="U1303" s="133"/>
      <c r="V1303" s="133"/>
      <c r="W1303" s="133"/>
      <c r="X1303" s="133"/>
      <c r="Y1303" s="133"/>
      <c r="Z1303" s="133"/>
    </row>
    <row r="1304">
      <c r="A1304" s="133">
        <f>IFERROR(__xludf.DUMMYFUNCTION("""COMPUTED_VALUE"""),1303.0)</f>
        <v>1303</v>
      </c>
      <c r="B1304" s="133"/>
      <c r="C1304" s="133" t="str">
        <f>IFERROR(__xludf.DUMMYFUNCTION("""COMPUTED_VALUE"""),"P-1-N-030423-2020")</f>
        <v>P-1-N-030423-2020</v>
      </c>
      <c r="D1304" s="133"/>
      <c r="E1304" s="133" t="str">
        <f>IFERROR(__xludf.DUMMYFUNCTION("""COMPUTED_VALUE"""),"تمت طباعة الشهادة")</f>
        <v>تمت طباعة الشهادة</v>
      </c>
      <c r="F1304" s="133" t="str">
        <f>IFERROR(__xludf.DUMMYFUNCTION("""COMPUTED_VALUE"""),"PRINCESS CLASSIC GOLD CHICKEN &amp; TUNA TOPPING SCALLOP CRANBERRY FLAVOR 170g")</f>
        <v>PRINCESS CLASSIC GOLD CHICKEN &amp; TUNA TOPPING SCALLOP CRANBERRY FLAVOR 170g</v>
      </c>
      <c r="G1304" s="133" t="str">
        <f>IFERROR(__xludf.DUMMYFUNCTION("""COMPUTED_VALUE"""),"برنسيس كلاسيك جولد دجاج وتونة مع الأسقلوب بنكهة التوت البري 170 جم")</f>
        <v>برنسيس كلاسيك جولد دجاج وتونة مع الأسقلوب بنكهة التوت البري 170 جم</v>
      </c>
      <c r="H1304" s="133" t="str">
        <f>IFERROR(__xludf.DUMMYFUNCTION("""COMPUTED_VALUE"""),"MAFE20231342")</f>
        <v>MAFE20231342</v>
      </c>
      <c r="I1304" s="133"/>
      <c r="J1304" s="133"/>
      <c r="K1304" s="133" t="str">
        <f>IFERROR(__xludf.DUMMYFUNCTION("""COMPUTED_VALUE"""),"شركة يونيكورد العامة المحدودة")</f>
        <v>شركة يونيكورد العامة المحدودة</v>
      </c>
      <c r="L1304" s="133"/>
      <c r="M1304" s="133"/>
      <c r="N1304" s="133"/>
      <c r="O1304" s="133"/>
      <c r="P1304" s="133"/>
      <c r="Q1304" s="133"/>
      <c r="R1304" s="133"/>
      <c r="S1304" s="133"/>
      <c r="T1304" s="133"/>
      <c r="U1304" s="133"/>
      <c r="V1304" s="133"/>
      <c r="W1304" s="133"/>
      <c r="X1304" s="133"/>
      <c r="Y1304" s="133"/>
      <c r="Z1304" s="133"/>
    </row>
    <row r="1305">
      <c r="A1305" s="133">
        <f>IFERROR(__xludf.DUMMYFUNCTION("""COMPUTED_VALUE"""),1304.0)</f>
        <v>1304</v>
      </c>
      <c r="B1305" s="133"/>
      <c r="C1305" s="133" t="str">
        <f>IFERROR(__xludf.DUMMYFUNCTION("""COMPUTED_VALUE"""),"P-1-N-030423-2021")</f>
        <v>P-1-N-030423-2021</v>
      </c>
      <c r="D1305" s="133"/>
      <c r="E1305" s="133" t="str">
        <f>IFERROR(__xludf.DUMMYFUNCTION("""COMPUTED_VALUE"""),"تمت طباعة الشهادة")</f>
        <v>تمت طباعة الشهادة</v>
      </c>
      <c r="F1305" s="133" t="str">
        <f>IFERROR(__xludf.DUMMYFUNCTION("""COMPUTED_VALUE"""),"PRINCESS CLASSIC GOLD CHICKEN &amp; TUNA TOPPING SCALLOP 170g")</f>
        <v>PRINCESS CLASSIC GOLD CHICKEN &amp; TUNA TOPPING SCALLOP 170g</v>
      </c>
      <c r="G1305" s="133" t="str">
        <f>IFERROR(__xludf.DUMMYFUNCTION("""COMPUTED_VALUE"""),"برنسيس كلاسيك جولد دجاج وتونة مع الأسقلوب 170 جم")</f>
        <v>برنسيس كلاسيك جولد دجاج وتونة مع الأسقلوب 170 جم</v>
      </c>
      <c r="H1305" s="133" t="str">
        <f>IFERROR(__xludf.DUMMYFUNCTION("""COMPUTED_VALUE"""),"MAFE20231341")</f>
        <v>MAFE20231341</v>
      </c>
      <c r="I1305" s="133"/>
      <c r="J1305" s="133"/>
      <c r="K1305" s="133" t="str">
        <f>IFERROR(__xludf.DUMMYFUNCTION("""COMPUTED_VALUE"""),"شركة يونيكورد العامة المحدودة")</f>
        <v>شركة يونيكورد العامة المحدودة</v>
      </c>
      <c r="L1305" s="133"/>
      <c r="M1305" s="133"/>
      <c r="N1305" s="133"/>
      <c r="O1305" s="133"/>
      <c r="P1305" s="133"/>
      <c r="Q1305" s="133"/>
      <c r="R1305" s="133"/>
      <c r="S1305" s="133"/>
      <c r="T1305" s="133"/>
      <c r="U1305" s="133"/>
      <c r="V1305" s="133"/>
      <c r="W1305" s="133"/>
      <c r="X1305" s="133"/>
      <c r="Y1305" s="133"/>
      <c r="Z1305" s="133"/>
    </row>
    <row r="1306">
      <c r="A1306" s="133">
        <f>IFERROR(__xludf.DUMMYFUNCTION("""COMPUTED_VALUE"""),1305.0)</f>
        <v>1305</v>
      </c>
      <c r="B1306" s="133"/>
      <c r="C1306" s="133" t="str">
        <f>IFERROR(__xludf.DUMMYFUNCTION("""COMPUTED_VALUE"""),"P-1-N-030423-2022")</f>
        <v>P-1-N-030423-2022</v>
      </c>
      <c r="D1306" s="133"/>
      <c r="E1306" s="133" t="str">
        <f>IFERROR(__xludf.DUMMYFUNCTION("""COMPUTED_VALUE"""),"تمت طباعة الشهادة")</f>
        <v>تمت طباعة الشهادة</v>
      </c>
      <c r="F1306" s="133" t="str">
        <f>IFERROR(__xludf.DUMMYFUNCTION("""COMPUTED_VALUE"""),"PRINCESS CLASSIC GOLD CHICKEN &amp; TUNA TOPPING SALMON FLAKES 170g")</f>
        <v>PRINCESS CLASSIC GOLD CHICKEN &amp; TUNA TOPPING SALMON FLAKES 170g</v>
      </c>
      <c r="G1306" s="133" t="str">
        <f>IFERROR(__xludf.DUMMYFUNCTION("""COMPUTED_VALUE"""),"برنسيس كلاسيك جولد دجاج وتونة مع رقائق السلمون 170 جم")</f>
        <v>برنسيس كلاسيك جولد دجاج وتونة مع رقائق السلمون 170 جم</v>
      </c>
      <c r="H1306" s="133" t="str">
        <f>IFERROR(__xludf.DUMMYFUNCTION("""COMPUTED_VALUE"""),"MAFE20231340")</f>
        <v>MAFE20231340</v>
      </c>
      <c r="I1306" s="133"/>
      <c r="J1306" s="133"/>
      <c r="K1306" s="133" t="str">
        <f>IFERROR(__xludf.DUMMYFUNCTION("""COMPUTED_VALUE"""),"شركة يونيكورد العامة المحدودة")</f>
        <v>شركة يونيكورد العامة المحدودة</v>
      </c>
      <c r="L1306" s="133"/>
      <c r="M1306" s="133"/>
      <c r="N1306" s="133"/>
      <c r="O1306" s="133"/>
      <c r="P1306" s="133"/>
      <c r="Q1306" s="133"/>
      <c r="R1306" s="133"/>
      <c r="S1306" s="133"/>
      <c r="T1306" s="133"/>
      <c r="U1306" s="133"/>
      <c r="V1306" s="133"/>
      <c r="W1306" s="133"/>
      <c r="X1306" s="133"/>
      <c r="Y1306" s="133"/>
      <c r="Z1306" s="133"/>
    </row>
    <row r="1307">
      <c r="A1307" s="133">
        <f>IFERROR(__xludf.DUMMYFUNCTION("""COMPUTED_VALUE"""),1306.0)</f>
        <v>1306</v>
      </c>
      <c r="B1307" s="133"/>
      <c r="C1307" s="133" t="str">
        <f>IFERROR(__xludf.DUMMYFUNCTION("""COMPUTED_VALUE"""),"P-1-N-030423-2023")</f>
        <v>P-1-N-030423-2023</v>
      </c>
      <c r="D1307" s="133"/>
      <c r="E1307" s="133" t="str">
        <f>IFERROR(__xludf.DUMMYFUNCTION("""COMPUTED_VALUE"""),"تمت طباعة الشهادة")</f>
        <v>تمت طباعة الشهادة</v>
      </c>
      <c r="F1307" s="133" t="str">
        <f>IFERROR(__xludf.DUMMYFUNCTION("""COMPUTED_VALUE"""),"PRINCESS CLASSIC GOLD CHICKEN &amp; TUNA TOPPING VANNAMEI SHRIMP 170g")</f>
        <v>PRINCESS CLASSIC GOLD CHICKEN &amp; TUNA TOPPING VANNAMEI SHRIMP 170g</v>
      </c>
      <c r="G1307" s="133" t="str">
        <f>IFERROR(__xludf.DUMMYFUNCTION("""COMPUTED_VALUE"""),"برنسيس كلاسيك جولد دجاج وتونة مع الجمبري الفانامي 170 جم")</f>
        <v>برنسيس كلاسيك جولد دجاج وتونة مع الجمبري الفانامي 170 جم</v>
      </c>
      <c r="H1307" s="133" t="str">
        <f>IFERROR(__xludf.DUMMYFUNCTION("""COMPUTED_VALUE"""),"MAFE20231367")</f>
        <v>MAFE20231367</v>
      </c>
      <c r="I1307" s="133"/>
      <c r="J1307" s="133"/>
      <c r="K1307" s="133" t="str">
        <f>IFERROR(__xludf.DUMMYFUNCTION("""COMPUTED_VALUE"""),"شركة يونيكورد العامة المحدودة")</f>
        <v>شركة يونيكورد العامة المحدودة</v>
      </c>
      <c r="L1307" s="133"/>
      <c r="M1307" s="133"/>
      <c r="N1307" s="133"/>
      <c r="O1307" s="133"/>
      <c r="P1307" s="133"/>
      <c r="Q1307" s="133"/>
      <c r="R1307" s="133"/>
      <c r="S1307" s="133"/>
      <c r="T1307" s="133"/>
      <c r="U1307" s="133"/>
      <c r="V1307" s="133"/>
      <c r="W1307" s="133"/>
      <c r="X1307" s="133"/>
      <c r="Y1307" s="133"/>
      <c r="Z1307" s="133"/>
    </row>
    <row r="1308">
      <c r="A1308" s="133">
        <f>IFERROR(__xludf.DUMMYFUNCTION("""COMPUTED_VALUE"""),1307.0)</f>
        <v>1307</v>
      </c>
      <c r="B1308" s="133"/>
      <c r="C1308" s="133" t="str">
        <f>IFERROR(__xludf.DUMMYFUNCTION("""COMPUTED_VALUE"""),"P-1-N-030423-2024")</f>
        <v>P-1-N-030423-2024</v>
      </c>
      <c r="D1308" s="133"/>
      <c r="E1308" s="133" t="str">
        <f>IFERROR(__xludf.DUMMYFUNCTION("""COMPUTED_VALUE"""),"تمت طباعة الشهادة")</f>
        <v>تمت طباعة الشهادة</v>
      </c>
      <c r="F1308" s="133" t="str">
        <f>IFERROR(__xludf.DUMMYFUNCTION("""COMPUTED_VALUE"""),"PRINCESS CLASSIC GOLD CHICKEN &amp; TUNA TOPPING PAPAYA 170g")</f>
        <v>PRINCESS CLASSIC GOLD CHICKEN &amp; TUNA TOPPING PAPAYA 170g</v>
      </c>
      <c r="G1308" s="133" t="str">
        <f>IFERROR(__xludf.DUMMYFUNCTION("""COMPUTED_VALUE"""),"برنسيس كلاسيك جولد دجاج وتونة مع البابايا 170 جم")</f>
        <v>برنسيس كلاسيك جولد دجاج وتونة مع البابايا 170 جم</v>
      </c>
      <c r="H1308" s="133" t="str">
        <f>IFERROR(__xludf.DUMMYFUNCTION("""COMPUTED_VALUE"""),"MAFE20231368")</f>
        <v>MAFE20231368</v>
      </c>
      <c r="I1308" s="133"/>
      <c r="J1308" s="133"/>
      <c r="K1308" s="133" t="str">
        <f>IFERROR(__xludf.DUMMYFUNCTION("""COMPUTED_VALUE"""),"شركة يونيكورد العامة المحدودة")</f>
        <v>شركة يونيكورد العامة المحدودة</v>
      </c>
      <c r="L1308" s="133"/>
      <c r="M1308" s="133"/>
      <c r="N1308" s="133"/>
      <c r="O1308" s="133"/>
      <c r="P1308" s="133"/>
      <c r="Q1308" s="133"/>
      <c r="R1308" s="133"/>
      <c r="S1308" s="133"/>
      <c r="T1308" s="133"/>
      <c r="U1308" s="133"/>
      <c r="V1308" s="133"/>
      <c r="W1308" s="133"/>
      <c r="X1308" s="133"/>
      <c r="Y1308" s="133"/>
      <c r="Z1308" s="133"/>
    </row>
    <row r="1309">
      <c r="A1309" s="133">
        <f>IFERROR(__xludf.DUMMYFUNCTION("""COMPUTED_VALUE"""),1308.0)</f>
        <v>1308</v>
      </c>
      <c r="B1309" s="133" t="str">
        <f>IFERROR(__xludf.DUMMYFUNCTION("""COMPUTED_VALUE"""),"PNPPP1")</f>
        <v>PNPPP1</v>
      </c>
      <c r="C1309" s="133" t="str">
        <f>IFERROR(__xludf.DUMMYFUNCTION("""COMPUTED_VALUE"""),"P-1-N-030423-2028")</f>
        <v>P-1-N-030423-2028</v>
      </c>
      <c r="D1309" s="133"/>
      <c r="E1309" s="133" t="str">
        <f>IFERROR(__xludf.DUMMYFUNCTION("""COMPUTED_VALUE"""),"تمت طباعة الشهادة")</f>
        <v>تمت طباعة الشهادة</v>
      </c>
      <c r="F1309" s="133" t="str">
        <f>IFERROR(__xludf.DUMMYFUNCTION("""COMPUTED_VALUE"""),"PRINCESS CLASSIC POUCH CHICKEN &amp; TUNA 70g")</f>
        <v>PRINCESS CLASSIC POUCH CHICKEN &amp; TUNA 70g</v>
      </c>
      <c r="G1309" s="133" t="str">
        <f>IFERROR(__xludf.DUMMYFUNCTION("""COMPUTED_VALUE"""),"برنسيس كلاسيك كيس دجاج وتونة 70 جم")</f>
        <v>برنسيس كلاسيك كيس دجاج وتونة 70 جم</v>
      </c>
      <c r="H1309" s="133" t="str">
        <f>IFERROR(__xludf.DUMMYFUNCTION("""COMPUTED_VALUE"""),"MAFE20231369")</f>
        <v>MAFE20231369</v>
      </c>
      <c r="I1309" s="133"/>
      <c r="J1309" s="133"/>
      <c r="K1309" s="133" t="str">
        <f>IFERROR(__xludf.DUMMYFUNCTION("""COMPUTED_VALUE"""),"شركة يونيكورد العامة المحدودة")</f>
        <v>شركة يونيكورد العامة المحدودة</v>
      </c>
      <c r="L1309" s="142" t="str">
        <f>IFERROR(__xludf.DUMMYFUNCTION("""COMPUTED_VALUE"""),"PNPPP1")</f>
        <v>PNPPP1</v>
      </c>
      <c r="M1309" s="133"/>
      <c r="N1309" s="133"/>
      <c r="O1309" s="133"/>
      <c r="P1309" s="133"/>
      <c r="Q1309" s="133"/>
      <c r="R1309" s="133"/>
      <c r="S1309" s="133"/>
      <c r="T1309" s="133"/>
      <c r="U1309" s="133"/>
      <c r="V1309" s="133"/>
      <c r="W1309" s="133"/>
      <c r="X1309" s="133"/>
      <c r="Y1309" s="133"/>
      <c r="Z1309" s="133"/>
    </row>
    <row r="1310">
      <c r="A1310" s="133">
        <f>IFERROR(__xludf.DUMMYFUNCTION("""COMPUTED_VALUE"""),1309.0)</f>
        <v>1309</v>
      </c>
      <c r="B1310" s="133" t="str">
        <f>IFERROR(__xludf.DUMMYFUNCTION("""COMPUTED_VALUE"""),"PNPPP2")</f>
        <v>PNPPP2</v>
      </c>
      <c r="C1310" s="133" t="str">
        <f>IFERROR(__xludf.DUMMYFUNCTION("""COMPUTED_VALUE"""),"P-1-N-030423-2029")</f>
        <v>P-1-N-030423-2029</v>
      </c>
      <c r="D1310" s="133"/>
      <c r="E1310" s="133" t="str">
        <f>IFERROR(__xludf.DUMMYFUNCTION("""COMPUTED_VALUE"""),"تمت طباعة الشهادة")</f>
        <v>تمت طباعة الشهادة</v>
      </c>
      <c r="F1310" s="133" t="str">
        <f>IFERROR(__xludf.DUMMYFUNCTION("""COMPUTED_VALUE"""),"PRINCESS CLASSIC POUCH CHICKEN &amp; TUNA TOPPING SHRIMP 70g")</f>
        <v>PRINCESS CLASSIC POUCH CHICKEN &amp; TUNA TOPPING SHRIMP 70g</v>
      </c>
      <c r="G1310" s="133" t="str">
        <f>IFERROR(__xludf.DUMMYFUNCTION("""COMPUTED_VALUE"""),"برنسيس كلاسيك كيس دجاج وتونة مع الجمبري 70 جم")</f>
        <v>برنسيس كلاسيك كيس دجاج وتونة مع الجمبري 70 جم</v>
      </c>
      <c r="H1310" s="133" t="str">
        <f>IFERROR(__xludf.DUMMYFUNCTION("""COMPUTED_VALUE"""),"MAFE20231370")</f>
        <v>MAFE20231370</v>
      </c>
      <c r="I1310" s="133"/>
      <c r="J1310" s="133"/>
      <c r="K1310" s="133" t="str">
        <f>IFERROR(__xludf.DUMMYFUNCTION("""COMPUTED_VALUE"""),"شركة يونيكورد العامة المحدودة")</f>
        <v>شركة يونيكورد العامة المحدودة</v>
      </c>
      <c r="L1310" s="142" t="str">
        <f>IFERROR(__xludf.DUMMYFUNCTION("""COMPUTED_VALUE"""),"PNPPP2")</f>
        <v>PNPPP2</v>
      </c>
      <c r="M1310" s="133"/>
      <c r="N1310" s="133"/>
      <c r="O1310" s="133"/>
      <c r="P1310" s="133"/>
      <c r="Q1310" s="133"/>
      <c r="R1310" s="133"/>
      <c r="S1310" s="133"/>
      <c r="T1310" s="133"/>
      <c r="U1310" s="133"/>
      <c r="V1310" s="133"/>
      <c r="W1310" s="133"/>
      <c r="X1310" s="133"/>
      <c r="Y1310" s="133"/>
      <c r="Z1310" s="133"/>
    </row>
    <row r="1311">
      <c r="A1311" s="133">
        <f>IFERROR(__xludf.DUMMYFUNCTION("""COMPUTED_VALUE"""),1310.0)</f>
        <v>1310</v>
      </c>
      <c r="B1311" s="133" t="str">
        <f>IFERROR(__xludf.DUMMYFUNCTION("""COMPUTED_VALUE"""),"PNPPP3")</f>
        <v>PNPPP3</v>
      </c>
      <c r="C1311" s="133" t="str">
        <f>IFERROR(__xludf.DUMMYFUNCTION("""COMPUTED_VALUE"""),"P-1-N-030423-2031")</f>
        <v>P-1-N-030423-2031</v>
      </c>
      <c r="D1311" s="133"/>
      <c r="E1311" s="133" t="str">
        <f>IFERROR(__xludf.DUMMYFUNCTION("""COMPUTED_VALUE"""),"تمت طباعة الشهادة")</f>
        <v>تمت طباعة الشهادة</v>
      </c>
      <c r="F1311" s="133" t="str">
        <f>IFERROR(__xludf.DUMMYFUNCTION("""COMPUTED_VALUE"""),"PRINCESS CLASSIC POUCH CHICKEN &amp; TUNA TOPPING VEGETABLES 70g")</f>
        <v>PRINCESS CLASSIC POUCH CHICKEN &amp; TUNA TOPPING VEGETABLES 70g</v>
      </c>
      <c r="G1311" s="133" t="str">
        <f>IFERROR(__xludf.DUMMYFUNCTION("""COMPUTED_VALUE"""),"برنسيس كلاسيك كيس دجاج وتونة مع الخضروات 70 جم")</f>
        <v>برنسيس كلاسيك كيس دجاج وتونة مع الخضروات 70 جم</v>
      </c>
      <c r="H1311" s="133" t="str">
        <f>IFERROR(__xludf.DUMMYFUNCTION("""COMPUTED_VALUE"""),"MAFE20231371")</f>
        <v>MAFE20231371</v>
      </c>
      <c r="I1311" s="133"/>
      <c r="J1311" s="133"/>
      <c r="K1311" s="133" t="str">
        <f>IFERROR(__xludf.DUMMYFUNCTION("""COMPUTED_VALUE"""),"شركة يونيكورد العامة المحدودة")</f>
        <v>شركة يونيكورد العامة المحدودة</v>
      </c>
      <c r="L1311" s="142" t="str">
        <f>IFERROR(__xludf.DUMMYFUNCTION("""COMPUTED_VALUE"""),"PNPPP3")</f>
        <v>PNPPP3</v>
      </c>
      <c r="M1311" s="133"/>
      <c r="N1311" s="133"/>
      <c r="O1311" s="133"/>
      <c r="P1311" s="133"/>
      <c r="Q1311" s="133"/>
      <c r="R1311" s="133"/>
      <c r="S1311" s="133"/>
      <c r="T1311" s="133"/>
      <c r="U1311" s="133"/>
      <c r="V1311" s="133"/>
      <c r="W1311" s="133"/>
      <c r="X1311" s="133"/>
      <c r="Y1311" s="133"/>
      <c r="Z1311" s="133"/>
    </row>
    <row r="1312">
      <c r="A1312" s="133">
        <f>IFERROR(__xludf.DUMMYFUNCTION("""COMPUTED_VALUE"""),1311.0)</f>
        <v>1311</v>
      </c>
      <c r="B1312" s="133" t="str">
        <f>IFERROR(__xludf.DUMMYFUNCTION("""COMPUTED_VALUE"""),"PNPPP4")</f>
        <v>PNPPP4</v>
      </c>
      <c r="C1312" s="133" t="str">
        <f>IFERROR(__xludf.DUMMYFUNCTION("""COMPUTED_VALUE"""),"P-1-N-030423-2032")</f>
        <v>P-1-N-030423-2032</v>
      </c>
      <c r="D1312" s="133"/>
      <c r="E1312" s="133" t="str">
        <f>IFERROR(__xludf.DUMMYFUNCTION("""COMPUTED_VALUE"""),"تمت طباعة الشهادة")</f>
        <v>تمت طباعة الشهادة</v>
      </c>
      <c r="F1312" s="133" t="str">
        <f>IFERROR(__xludf.DUMMYFUNCTION("""COMPUTED_VALUE"""),"PRINCESS CLASSIC POUCH CHICKEN &amp; TUNA TOPPING CRABSTICK 70g")</f>
        <v>PRINCESS CLASSIC POUCH CHICKEN &amp; TUNA TOPPING CRABSTICK 70g</v>
      </c>
      <c r="G1312" s="133" t="str">
        <f>IFERROR(__xludf.DUMMYFUNCTION("""COMPUTED_VALUE"""),"برنسيس كلاسيك كيس دجاج وتونة مع عصا السلطعون 70 جم")</f>
        <v>برنسيس كلاسيك كيس دجاج وتونة مع عصا السلطعون 70 جم</v>
      </c>
      <c r="H1312" s="133" t="str">
        <f>IFERROR(__xludf.DUMMYFUNCTION("""COMPUTED_VALUE"""),"MAFE20231339")</f>
        <v>MAFE20231339</v>
      </c>
      <c r="I1312" s="133"/>
      <c r="J1312" s="133"/>
      <c r="K1312" s="133" t="str">
        <f>IFERROR(__xludf.DUMMYFUNCTION("""COMPUTED_VALUE"""),"شركة يونيكورد العامة المحدودة")</f>
        <v>شركة يونيكورد العامة المحدودة</v>
      </c>
      <c r="L1312" s="142" t="str">
        <f>IFERROR(__xludf.DUMMYFUNCTION("""COMPUTED_VALUE"""),"PNPPP4")</f>
        <v>PNPPP4</v>
      </c>
      <c r="M1312" s="133"/>
      <c r="N1312" s="133"/>
      <c r="O1312" s="133"/>
      <c r="P1312" s="133"/>
      <c r="Q1312" s="133"/>
      <c r="R1312" s="133"/>
      <c r="S1312" s="133"/>
      <c r="T1312" s="133"/>
      <c r="U1312" s="133"/>
      <c r="V1312" s="133"/>
      <c r="W1312" s="133"/>
      <c r="X1312" s="133"/>
      <c r="Y1312" s="133"/>
      <c r="Z1312" s="133"/>
    </row>
    <row r="1313">
      <c r="A1313" s="133">
        <f>IFERROR(__xludf.DUMMYFUNCTION("""COMPUTED_VALUE"""),1312.0)</f>
        <v>1312</v>
      </c>
      <c r="B1313" s="133"/>
      <c r="C1313" s="133" t="str">
        <f>IFERROR(__xludf.DUMMYFUNCTION("""COMPUTED_VALUE"""),"P-1-N-030423-2033")</f>
        <v>P-1-N-030423-2033</v>
      </c>
      <c r="D1313" s="133"/>
      <c r="E1313" s="133" t="str">
        <f>IFERROR(__xludf.DUMMYFUNCTION("""COMPUTED_VALUE"""),"تمت طباعة الشهادة")</f>
        <v>تمت طباعة الشهادة</v>
      </c>
      <c r="F1313" s="133" t="str">
        <f>IFERROR(__xludf.DUMMYFUNCTION("""COMPUTED_VALUE"""),"PRINCESS CLASSIC POUCH CHICKEN &amp; TUNA TOPPING WHITE BAIT 70g")</f>
        <v>PRINCESS CLASSIC POUCH CHICKEN &amp; TUNA TOPPING WHITE BAIT 70g</v>
      </c>
      <c r="G1313" s="133" t="str">
        <f>IFERROR(__xludf.DUMMYFUNCTION("""COMPUTED_VALUE"""),"برنسيس كلاسيك كيس دجاج وتونة مع وايتبيت 70 جم")</f>
        <v>برنسيس كلاسيك كيس دجاج وتونة مع وايتبيت 70 جم</v>
      </c>
      <c r="H1313" s="133" t="str">
        <f>IFERROR(__xludf.DUMMYFUNCTION("""COMPUTED_VALUE"""),"MAFE20231338")</f>
        <v>MAFE20231338</v>
      </c>
      <c r="I1313" s="133"/>
      <c r="J1313" s="133"/>
      <c r="K1313" s="133" t="str">
        <f>IFERROR(__xludf.DUMMYFUNCTION("""COMPUTED_VALUE"""),"شركة المتحدة للحيوانات الأليفة فرنسا")</f>
        <v>شركة المتحدة للحيوانات الأليفة فرنسا</v>
      </c>
      <c r="L1313" s="133"/>
      <c r="M1313" s="133"/>
      <c r="N1313" s="133"/>
      <c r="O1313" s="133"/>
      <c r="P1313" s="133"/>
      <c r="Q1313" s="133"/>
      <c r="R1313" s="133"/>
      <c r="S1313" s="133"/>
      <c r="T1313" s="133"/>
      <c r="U1313" s="133"/>
      <c r="V1313" s="133"/>
      <c r="W1313" s="133"/>
      <c r="X1313" s="133"/>
      <c r="Y1313" s="133"/>
      <c r="Z1313" s="133"/>
    </row>
    <row r="1314">
      <c r="A1314" s="133">
        <f>IFERROR(__xludf.DUMMYFUNCTION("""COMPUTED_VALUE"""),1313.0)</f>
        <v>1313</v>
      </c>
      <c r="B1314" s="133" t="str">
        <f>IFERROR(__xludf.DUMMYFUNCTION("""COMPUTED_VALUE"""),"PNPPP6")</f>
        <v>PNPPP6</v>
      </c>
      <c r="C1314" s="133" t="str">
        <f>IFERROR(__xludf.DUMMYFUNCTION("""COMPUTED_VALUE"""),"P-1-N-030423-2034")</f>
        <v>P-1-N-030423-2034</v>
      </c>
      <c r="D1314" s="133"/>
      <c r="E1314" s="133" t="str">
        <f>IFERROR(__xludf.DUMMYFUNCTION("""COMPUTED_VALUE"""),"تمت طباعة الشهادة")</f>
        <v>تمت طباعة الشهادة</v>
      </c>
      <c r="F1314" s="133" t="str">
        <f>IFERROR(__xludf.DUMMYFUNCTION("""COMPUTED_VALUE"""),"PRINCESS CLASSIC POUCH CHICKEN &amp; TUNA TOPPING BABY CLAM 70g")</f>
        <v>PRINCESS CLASSIC POUCH CHICKEN &amp; TUNA TOPPING BABY CLAM 70g</v>
      </c>
      <c r="G1314" s="133" t="str">
        <f>IFERROR(__xludf.DUMMYFUNCTION("""COMPUTED_VALUE"""),"برنسيس كلاسيك كيس دجاج وتونة مع المحار الصغير 70 جم")</f>
        <v>برنسيس كلاسيك كيس دجاج وتونة مع المحار الصغير 70 جم</v>
      </c>
      <c r="H1314" s="133" t="str">
        <f>IFERROR(__xludf.DUMMYFUNCTION("""COMPUTED_VALUE"""),"MAFE20231337")</f>
        <v>MAFE20231337</v>
      </c>
      <c r="I1314" s="133"/>
      <c r="J1314" s="133"/>
      <c r="K1314" s="133" t="str">
        <f>IFERROR(__xludf.DUMMYFUNCTION("""COMPUTED_VALUE"""),"شركة يونيكورد العامة المحدودة")</f>
        <v>شركة يونيكورد العامة المحدودة</v>
      </c>
      <c r="L1314" s="142" t="str">
        <f>IFERROR(__xludf.DUMMYFUNCTION("""COMPUTED_VALUE"""),"PNPPP6")</f>
        <v>PNPPP6</v>
      </c>
      <c r="M1314" s="133"/>
      <c r="N1314" s="133"/>
      <c r="O1314" s="133"/>
      <c r="P1314" s="133"/>
      <c r="Q1314" s="133"/>
      <c r="R1314" s="133"/>
      <c r="S1314" s="133"/>
      <c r="T1314" s="133"/>
      <c r="U1314" s="133"/>
      <c r="V1314" s="133"/>
      <c r="W1314" s="133"/>
      <c r="X1314" s="133"/>
      <c r="Y1314" s="133"/>
      <c r="Z1314" s="133"/>
    </row>
    <row r="1315">
      <c r="A1315" s="133">
        <f>IFERROR(__xludf.DUMMYFUNCTION("""COMPUTED_VALUE"""),1314.0)</f>
        <v>1314</v>
      </c>
      <c r="B1315" s="133" t="str">
        <f>IFERROR(__xludf.DUMMYFUNCTION("""COMPUTED_VALUE"""),"PNPPP1")</f>
        <v>PNPPP1</v>
      </c>
      <c r="C1315" s="133" t="str">
        <f>IFERROR(__xludf.DUMMYFUNCTION("""COMPUTED_VALUE"""),"P-1-N-030423-2035")</f>
        <v>P-1-N-030423-2035</v>
      </c>
      <c r="D1315" s="133"/>
      <c r="E1315" s="133" t="str">
        <f>IFERROR(__xludf.DUMMYFUNCTION("""COMPUTED_VALUE"""),"تمت طباعة الشهادة")</f>
        <v>تمت طباعة الشهادة</v>
      </c>
      <c r="F1315" s="133" t="str">
        <f>IFERROR(__xludf.DUMMYFUNCTION("""COMPUTED_VALUE"""),"PRINCESS CLASSIC POUCH CHICKEN &amp; TUNA 70g")</f>
        <v>PRINCESS CLASSIC POUCH CHICKEN &amp; TUNA 70g</v>
      </c>
      <c r="G1315" s="133" t="str">
        <f>IFERROR(__xludf.DUMMYFUNCTION("""COMPUTED_VALUE"""),"برنسيس كلاسيك كيس دجاج وتونة 70 جم")</f>
        <v>برنسيس كلاسيك كيس دجاج وتونة 70 جم</v>
      </c>
      <c r="H1315" s="133" t="str">
        <f>IFERROR(__xludf.DUMMYFUNCTION("""COMPUTED_VALUE"""),"MAFE20231336")</f>
        <v>MAFE20231336</v>
      </c>
      <c r="I1315" s="133"/>
      <c r="J1315" s="133"/>
      <c r="K1315" s="133" t="str">
        <f>IFERROR(__xludf.DUMMYFUNCTION("""COMPUTED_VALUE"""),"شركة يونيكورد العامة المحدودة")</f>
        <v>شركة يونيكورد العامة المحدودة</v>
      </c>
      <c r="L1315" s="142" t="str">
        <f>IFERROR(__xludf.DUMMYFUNCTION("""COMPUTED_VALUE"""),"PNPPP1")</f>
        <v>PNPPP1</v>
      </c>
      <c r="M1315" s="133"/>
      <c r="N1315" s="133"/>
      <c r="O1315" s="133"/>
      <c r="P1315" s="133"/>
      <c r="Q1315" s="133"/>
      <c r="R1315" s="133"/>
      <c r="S1315" s="133"/>
      <c r="T1315" s="133"/>
      <c r="U1315" s="133"/>
      <c r="V1315" s="133"/>
      <c r="W1315" s="133"/>
      <c r="X1315" s="133"/>
      <c r="Y1315" s="133"/>
      <c r="Z1315" s="133"/>
    </row>
    <row r="1316">
      <c r="A1316" s="133">
        <f>IFERROR(__xludf.DUMMYFUNCTION("""COMPUTED_VALUE"""),1315.0)</f>
        <v>1315</v>
      </c>
      <c r="B1316" s="133" t="str">
        <f>IFERROR(__xludf.DUMMYFUNCTION("""COMPUTED_VALUE"""),"PNPPP2")</f>
        <v>PNPPP2</v>
      </c>
      <c r="C1316" s="133" t="str">
        <f>IFERROR(__xludf.DUMMYFUNCTION("""COMPUTED_VALUE"""),"P-1-N-030423-2036")</f>
        <v>P-1-N-030423-2036</v>
      </c>
      <c r="D1316" s="133"/>
      <c r="E1316" s="133" t="str">
        <f>IFERROR(__xludf.DUMMYFUNCTION("""COMPUTED_VALUE"""),"تمت طباعة الشهادة")</f>
        <v>تمت طباعة الشهادة</v>
      </c>
      <c r="F1316" s="133" t="str">
        <f>IFERROR(__xludf.DUMMYFUNCTION("""COMPUTED_VALUE"""),"PRINCESS CLASSIC POUCH CHICKEN &amp; TUNA TOPPING SHRIMP 70g")</f>
        <v>PRINCESS CLASSIC POUCH CHICKEN &amp; TUNA TOPPING SHRIMP 70g</v>
      </c>
      <c r="G1316" s="133" t="str">
        <f>IFERROR(__xludf.DUMMYFUNCTION("""COMPUTED_VALUE"""),"برنسيس كلاسيك كيس دجاج وتونة مع الجمبري 70 جم")</f>
        <v>برنسيس كلاسيك كيس دجاج وتونة مع الجمبري 70 جم</v>
      </c>
      <c r="H1316" s="133" t="str">
        <f>IFERROR(__xludf.DUMMYFUNCTION("""COMPUTED_VALUE"""),"MAFE20231335")</f>
        <v>MAFE20231335</v>
      </c>
      <c r="I1316" s="133"/>
      <c r="J1316" s="133"/>
      <c r="K1316" s="133" t="str">
        <f>IFERROR(__xludf.DUMMYFUNCTION("""COMPUTED_VALUE"""),"شركة يونيكورد العامة المحدودة")</f>
        <v>شركة يونيكورد العامة المحدودة</v>
      </c>
      <c r="L1316" s="142" t="str">
        <f>IFERROR(__xludf.DUMMYFUNCTION("""COMPUTED_VALUE"""),"PNPPP2")</f>
        <v>PNPPP2</v>
      </c>
      <c r="M1316" s="133"/>
      <c r="N1316" s="133"/>
      <c r="O1316" s="133"/>
      <c r="P1316" s="133"/>
      <c r="Q1316" s="133"/>
      <c r="R1316" s="133"/>
      <c r="S1316" s="133"/>
      <c r="T1316" s="133"/>
      <c r="U1316" s="133"/>
      <c r="V1316" s="133"/>
      <c r="W1316" s="133"/>
      <c r="X1316" s="133"/>
      <c r="Y1316" s="133"/>
      <c r="Z1316" s="133"/>
    </row>
    <row r="1317">
      <c r="A1317" s="133">
        <f>IFERROR(__xludf.DUMMYFUNCTION("""COMPUTED_VALUE"""),1316.0)</f>
        <v>1316</v>
      </c>
      <c r="B1317" s="133"/>
      <c r="C1317" s="133" t="str">
        <f>IFERROR(__xludf.DUMMYFUNCTION("""COMPUTED_VALUE"""),"P-1-N-040423-2062")</f>
        <v>P-1-N-040423-2062</v>
      </c>
      <c r="D1317" s="133"/>
      <c r="E1317" s="133" t="str">
        <f>IFERROR(__xludf.DUMMYFUNCTION("""COMPUTED_VALUE"""),"تمت طباعة الشهادة")</f>
        <v>تمت طباعة الشهادة</v>
      </c>
      <c r="F1317" s="133" t="str">
        <f>IFERROR(__xludf.DUMMYFUNCTION("""COMPUTED_VALUE"""),"CéDé Eggfood canary 1KG")</f>
        <v>CéDé Eggfood canary 1KG</v>
      </c>
      <c r="G1317" s="133" t="str">
        <f>IFERROR(__xludf.DUMMYFUNCTION("""COMPUTED_VALUE"""),"سي دي إيغفود كناري 1 كجم")</f>
        <v>سي دي إيغفود كناري 1 كجم</v>
      </c>
      <c r="H1317" s="133" t="str">
        <f>IFERROR(__xludf.DUMMYFUNCTION("""COMPUTED_VALUE"""),"MAFE20231541")</f>
        <v>MAFE20231541</v>
      </c>
      <c r="I1317" s="133"/>
      <c r="J1317" s="133"/>
      <c r="K1317" s="133" t="str">
        <f>IFERROR(__xludf.DUMMYFUNCTION("""COMPUTED_VALUE"""),"لاروي جروب إن في")</f>
        <v>لاروي جروب إن في</v>
      </c>
      <c r="L1317" s="133"/>
      <c r="M1317" s="133"/>
      <c r="N1317" s="133"/>
      <c r="O1317" s="133"/>
      <c r="P1317" s="133"/>
      <c r="Q1317" s="133"/>
      <c r="R1317" s="133"/>
      <c r="S1317" s="133"/>
      <c r="T1317" s="133"/>
      <c r="U1317" s="133"/>
      <c r="V1317" s="133"/>
      <c r="W1317" s="133"/>
      <c r="X1317" s="133"/>
      <c r="Y1317" s="133"/>
      <c r="Z1317" s="133"/>
    </row>
    <row r="1318">
      <c r="A1318" s="133">
        <f>IFERROR(__xludf.DUMMYFUNCTION("""COMPUTED_VALUE"""),1317.0)</f>
        <v>1317</v>
      </c>
      <c r="B1318" s="133"/>
      <c r="C1318" s="133" t="str">
        <f>IFERROR(__xludf.DUMMYFUNCTION("""COMPUTED_VALUE"""),"P-1-N-040423-2063")</f>
        <v>P-1-N-040423-2063</v>
      </c>
      <c r="D1318" s="133"/>
      <c r="E1318" s="133" t="str">
        <f>IFERROR(__xludf.DUMMYFUNCTION("""COMPUTED_VALUE"""),"تمت طباعة الشهادة")</f>
        <v>تمت طباعة الشهادة</v>
      </c>
      <c r="F1318" s="133" t="str">
        <f>IFERROR(__xludf.DUMMYFUNCTION("""COMPUTED_VALUE"""),"CéDé Eggfood canary 5kg")</f>
        <v>CéDé Eggfood canary 5kg</v>
      </c>
      <c r="G1318" s="133" t="str">
        <f>IFERROR(__xludf.DUMMYFUNCTION("""COMPUTED_VALUE"""),"سي دي إيغفود كناري 5 كجم")</f>
        <v>سي دي إيغفود كناري 5 كجم</v>
      </c>
      <c r="H1318" s="133" t="str">
        <f>IFERROR(__xludf.DUMMYFUNCTION("""COMPUTED_VALUE"""),"MAFE20231522")</f>
        <v>MAFE20231522</v>
      </c>
      <c r="I1318" s="133"/>
      <c r="J1318" s="133"/>
      <c r="K1318" s="133" t="str">
        <f>IFERROR(__xludf.DUMMYFUNCTION("""COMPUTED_VALUE"""),"لاروي جروب إن في")</f>
        <v>لاروي جروب إن في</v>
      </c>
      <c r="L1318" s="133"/>
      <c r="M1318" s="133"/>
      <c r="N1318" s="133"/>
      <c r="O1318" s="133"/>
      <c r="P1318" s="133"/>
      <c r="Q1318" s="133"/>
      <c r="R1318" s="133"/>
      <c r="S1318" s="133"/>
      <c r="T1318" s="133"/>
      <c r="U1318" s="133"/>
      <c r="V1318" s="133"/>
      <c r="W1318" s="133"/>
      <c r="X1318" s="133"/>
      <c r="Y1318" s="133"/>
      <c r="Z1318" s="133"/>
    </row>
    <row r="1319">
      <c r="A1319" s="133">
        <f>IFERROR(__xludf.DUMMYFUNCTION("""COMPUTED_VALUE"""),1318.0)</f>
        <v>1318</v>
      </c>
      <c r="B1319" s="133"/>
      <c r="C1319" s="133" t="str">
        <f>IFERROR(__xludf.DUMMYFUNCTION("""COMPUTED_VALUE"""),"P-1-N-040423-2064")</f>
        <v>P-1-N-040423-2064</v>
      </c>
      <c r="D1319" s="133"/>
      <c r="E1319" s="133" t="str">
        <f>IFERROR(__xludf.DUMMYFUNCTION("""COMPUTED_VALUE"""),"تمت طباعة الشهادة")</f>
        <v>تمت طباعة الشهادة</v>
      </c>
      <c r="F1319" s="133" t="str">
        <f>IFERROR(__xludf.DUMMYFUNCTION("""COMPUTED_VALUE"""),"CéDé Eggfood Budgie 1kg")</f>
        <v>CéDé Eggfood Budgie 1kg</v>
      </c>
      <c r="G1319" s="133" t="str">
        <f>IFERROR(__xludf.DUMMYFUNCTION("""COMPUTED_VALUE"""),"سي دي إيغفود بادجي 1 كجم")</f>
        <v>سي دي إيغفود بادجي 1 كجم</v>
      </c>
      <c r="H1319" s="133" t="str">
        <f>IFERROR(__xludf.DUMMYFUNCTION("""COMPUTED_VALUE"""),"MAFE20231538")</f>
        <v>MAFE20231538</v>
      </c>
      <c r="I1319" s="133"/>
      <c r="J1319" s="133"/>
      <c r="K1319" s="133" t="str">
        <f>IFERROR(__xludf.DUMMYFUNCTION("""COMPUTED_VALUE"""),"لاروي جروب إن في")</f>
        <v>لاروي جروب إن في</v>
      </c>
      <c r="L1319" s="133"/>
      <c r="M1319" s="133"/>
      <c r="N1319" s="133"/>
      <c r="O1319" s="133"/>
      <c r="P1319" s="133"/>
      <c r="Q1319" s="133"/>
      <c r="R1319" s="133"/>
      <c r="S1319" s="133"/>
      <c r="T1319" s="133"/>
      <c r="U1319" s="133"/>
      <c r="V1319" s="133"/>
      <c r="W1319" s="133"/>
      <c r="X1319" s="133"/>
      <c r="Y1319" s="133"/>
      <c r="Z1319" s="133"/>
    </row>
    <row r="1320">
      <c r="A1320" s="133">
        <f>IFERROR(__xludf.DUMMYFUNCTION("""COMPUTED_VALUE"""),1319.0)</f>
        <v>1319</v>
      </c>
      <c r="B1320" s="133"/>
      <c r="C1320" s="133" t="str">
        <f>IFERROR(__xludf.DUMMYFUNCTION("""COMPUTED_VALUE"""),"P-1-N-040423-2065")</f>
        <v>P-1-N-040423-2065</v>
      </c>
      <c r="D1320" s="133"/>
      <c r="E1320" s="133" t="str">
        <f>IFERROR(__xludf.DUMMYFUNCTION("""COMPUTED_VALUE"""),"تمت طباعة الشهادة")</f>
        <v>تمت طباعة الشهادة</v>
      </c>
      <c r="F1320" s="133" t="str">
        <f>IFERROR(__xludf.DUMMYFUNCTION("""COMPUTED_VALUE"""),"CéDé Bird Minerals 1200g")</f>
        <v>CéDé Bird Minerals 1200g</v>
      </c>
      <c r="G1320" s="133" t="str">
        <f>IFERROR(__xludf.DUMMYFUNCTION("""COMPUTED_VALUE"""),"سي دي برد مينيرال 1200 جم")</f>
        <v>سي دي برد مينيرال 1200 جم</v>
      </c>
      <c r="H1320" s="133" t="str">
        <f>IFERROR(__xludf.DUMMYFUNCTION("""COMPUTED_VALUE"""),"MAFE20233434")</f>
        <v>MAFE20233434</v>
      </c>
      <c r="I1320" s="133"/>
      <c r="J1320" s="133"/>
      <c r="K1320" s="133" t="str">
        <f>IFERROR(__xludf.DUMMYFUNCTION("""COMPUTED_VALUE"""),"لاروي جروب إن في")</f>
        <v>لاروي جروب إن في</v>
      </c>
      <c r="L1320" s="133"/>
      <c r="M1320" s="133"/>
      <c r="N1320" s="133"/>
      <c r="O1320" s="133"/>
      <c r="P1320" s="133"/>
      <c r="Q1320" s="133"/>
      <c r="R1320" s="133"/>
      <c r="S1320" s="133"/>
      <c r="T1320" s="133"/>
      <c r="U1320" s="133"/>
      <c r="V1320" s="133"/>
      <c r="W1320" s="133"/>
      <c r="X1320" s="133"/>
      <c r="Y1320" s="133"/>
      <c r="Z1320" s="133"/>
    </row>
    <row r="1321">
      <c r="A1321" s="133">
        <f>IFERROR(__xludf.DUMMYFUNCTION("""COMPUTED_VALUE"""),1320.0)</f>
        <v>1320</v>
      </c>
      <c r="B1321" s="133"/>
      <c r="C1321" s="133" t="str">
        <f>IFERROR(__xludf.DUMMYFUNCTION("""COMPUTED_VALUE"""),"P-1-N-040423-2066")</f>
        <v>P-1-N-040423-2066</v>
      </c>
      <c r="D1321" s="133"/>
      <c r="E1321" s="133" t="str">
        <f>IFERROR(__xludf.DUMMYFUNCTION("""COMPUTED_VALUE"""),"تمت طباعة الشهادة")</f>
        <v>تمت طباعة الشهادة</v>
      </c>
      <c r="F1321" s="133" t="str">
        <f>IFERROR(__xludf.DUMMYFUNCTION("""COMPUTED_VALUE"""),"CéDé Premium Eggfood allround 240g")</f>
        <v>CéDé Premium Eggfood allround 240g</v>
      </c>
      <c r="G1321" s="133" t="str">
        <f>IFERROR(__xludf.DUMMYFUNCTION("""COMPUTED_VALUE"""),"سي دي بريميوم إيغفود اولاراوند 240 جم")</f>
        <v>سي دي بريميوم إيغفود اولاراوند 240 جم</v>
      </c>
      <c r="H1321" s="133" t="str">
        <f>IFERROR(__xludf.DUMMYFUNCTION("""COMPUTED_VALUE"""),"MAFE20231537")</f>
        <v>MAFE20231537</v>
      </c>
      <c r="I1321" s="133"/>
      <c r="J1321" s="133"/>
      <c r="K1321" s="133" t="str">
        <f>IFERROR(__xludf.DUMMYFUNCTION("""COMPUTED_VALUE"""),"لاروي جروب إن في")</f>
        <v>لاروي جروب إن في</v>
      </c>
      <c r="L1321" s="133"/>
      <c r="M1321" s="133"/>
      <c r="N1321" s="133"/>
      <c r="O1321" s="133"/>
      <c r="P1321" s="133"/>
      <c r="Q1321" s="133"/>
      <c r="R1321" s="133"/>
      <c r="S1321" s="133"/>
      <c r="T1321" s="133"/>
      <c r="U1321" s="133"/>
      <c r="V1321" s="133"/>
      <c r="W1321" s="133"/>
      <c r="X1321" s="133"/>
      <c r="Y1321" s="133"/>
      <c r="Z1321" s="133"/>
    </row>
    <row r="1322">
      <c r="A1322" s="133">
        <f>IFERROR(__xludf.DUMMYFUNCTION("""COMPUTED_VALUE"""),1321.0)</f>
        <v>1321</v>
      </c>
      <c r="B1322" s="133"/>
      <c r="C1322" s="133" t="str">
        <f>IFERROR(__xludf.DUMMYFUNCTION("""COMPUTED_VALUE"""),"P-1-N-040423-2067")</f>
        <v>P-1-N-040423-2067</v>
      </c>
      <c r="D1322" s="133"/>
      <c r="E1322" s="133" t="str">
        <f>IFERROR(__xludf.DUMMYFUNCTION("""COMPUTED_VALUE"""),"تمت طباعة الشهادة")</f>
        <v>تمت طباعة الشهادة</v>
      </c>
      <c r="F1322" s="133" t="str">
        <f>IFERROR(__xludf.DUMMYFUNCTION("""COMPUTED_VALUE"""),"CéDé Protein Mix 1kg")</f>
        <v>CéDé Protein Mix 1kg</v>
      </c>
      <c r="G1322" s="133" t="str">
        <f>IFERROR(__xludf.DUMMYFUNCTION("""COMPUTED_VALUE"""),"سي دي مزيج بروتين 1 كجم")</f>
        <v>سي دي مزيج بروتين 1 كجم</v>
      </c>
      <c r="H1322" s="133" t="str">
        <f>IFERROR(__xludf.DUMMYFUNCTION("""COMPUTED_VALUE"""),"MAFE20231536")</f>
        <v>MAFE20231536</v>
      </c>
      <c r="I1322" s="133"/>
      <c r="J1322" s="133"/>
      <c r="K1322" s="133" t="str">
        <f>IFERROR(__xludf.DUMMYFUNCTION("""COMPUTED_VALUE"""),"لاروي جروب إن في")</f>
        <v>لاروي جروب إن في</v>
      </c>
      <c r="L1322" s="133"/>
      <c r="M1322" s="133"/>
      <c r="N1322" s="133"/>
      <c r="O1322" s="133"/>
      <c r="P1322" s="133"/>
      <c r="Q1322" s="133"/>
      <c r="R1322" s="133"/>
      <c r="S1322" s="133"/>
      <c r="T1322" s="133"/>
      <c r="U1322" s="133"/>
      <c r="V1322" s="133"/>
      <c r="W1322" s="133"/>
      <c r="X1322" s="133"/>
      <c r="Y1322" s="133"/>
      <c r="Z1322" s="133"/>
    </row>
    <row r="1323">
      <c r="A1323" s="133">
        <f>IFERROR(__xludf.DUMMYFUNCTION("""COMPUTED_VALUE"""),1322.0)</f>
        <v>1322</v>
      </c>
      <c r="B1323" s="133"/>
      <c r="C1323" s="133" t="str">
        <f>IFERROR(__xludf.DUMMYFUNCTION("""COMPUTED_VALUE"""),"P-1-N-040423-2069")</f>
        <v>P-1-N-040423-2069</v>
      </c>
      <c r="D1323" s="133"/>
      <c r="E1323" s="133" t="str">
        <f>IFERROR(__xludf.DUMMYFUNCTION("""COMPUTED_VALUE"""),"تمت طباعة الشهادة")</f>
        <v>تمت طباعة الشهادة</v>
      </c>
      <c r="F1323" s="133" t="str">
        <f>IFERROR(__xludf.DUMMYFUNCTION("""COMPUTED_VALUE"""),"CéDé Insectfood 600g")</f>
        <v>CéDé Insectfood 600g</v>
      </c>
      <c r="G1323" s="133" t="str">
        <f>IFERROR(__xludf.DUMMYFUNCTION("""COMPUTED_VALUE"""),"سي دي إنسكتفود 600 جم")</f>
        <v>سي دي إنسكتفود 600 جم</v>
      </c>
      <c r="H1323" s="133" t="str">
        <f>IFERROR(__xludf.DUMMYFUNCTION("""COMPUTED_VALUE"""),"MAFE20231542")</f>
        <v>MAFE20231542</v>
      </c>
      <c r="I1323" s="133"/>
      <c r="J1323" s="133"/>
      <c r="K1323" s="133" t="str">
        <f>IFERROR(__xludf.DUMMYFUNCTION("""COMPUTED_VALUE"""),"لاروي جروب إن في")</f>
        <v>لاروي جروب إن في</v>
      </c>
      <c r="L1323" s="133"/>
      <c r="M1323" s="133"/>
      <c r="N1323" s="133"/>
      <c r="O1323" s="133"/>
      <c r="P1323" s="133"/>
      <c r="Q1323" s="133"/>
      <c r="R1323" s="133"/>
      <c r="S1323" s="133"/>
      <c r="T1323" s="133"/>
      <c r="U1323" s="133"/>
      <c r="V1323" s="133"/>
      <c r="W1323" s="133"/>
      <c r="X1323" s="133"/>
      <c r="Y1323" s="133"/>
      <c r="Z1323" s="133"/>
    </row>
    <row r="1324">
      <c r="A1324" s="133">
        <f>IFERROR(__xludf.DUMMYFUNCTION("""COMPUTED_VALUE"""),1323.0)</f>
        <v>1323</v>
      </c>
      <c r="B1324" s="133"/>
      <c r="C1324" s="133" t="str">
        <f>IFERROR(__xludf.DUMMYFUNCTION("""COMPUTED_VALUE"""),"P-1-N-040423-2070")</f>
        <v>P-1-N-040423-2070</v>
      </c>
      <c r="D1324" s="133"/>
      <c r="E1324" s="133" t="str">
        <f>IFERROR(__xludf.DUMMYFUNCTION("""COMPUTED_VALUE"""),"تمت طباعة الشهادة")</f>
        <v>تمت طباعة الشهادة</v>
      </c>
      <c r="F1324" s="133" t="str">
        <f>IFERROR(__xludf.DUMMYFUNCTION("""COMPUTED_VALUE"""),"CéDé Multivitamin 200ml")</f>
        <v>CéDé Multivitamin 200ml</v>
      </c>
      <c r="G1324" s="133" t="str">
        <f>IFERROR(__xludf.DUMMYFUNCTION("""COMPUTED_VALUE"""),"سي دي ملتي فيتامين 200 مل")</f>
        <v>سي دي ملتي فيتامين 200 مل</v>
      </c>
      <c r="H1324" s="133" t="str">
        <f>IFERROR(__xludf.DUMMYFUNCTION("""COMPUTED_VALUE"""),"MAFE20231408")</f>
        <v>MAFE20231408</v>
      </c>
      <c r="I1324" s="133"/>
      <c r="J1324" s="133"/>
      <c r="K1324" s="133" t="str">
        <f>IFERROR(__xludf.DUMMYFUNCTION("""COMPUTED_VALUE"""),"لاروي جروب إن في")</f>
        <v>لاروي جروب إن في</v>
      </c>
      <c r="L1324" s="133"/>
      <c r="M1324" s="133"/>
      <c r="N1324" s="133"/>
      <c r="O1324" s="133"/>
      <c r="P1324" s="133"/>
      <c r="Q1324" s="133"/>
      <c r="R1324" s="133"/>
      <c r="S1324" s="133"/>
      <c r="T1324" s="133"/>
      <c r="U1324" s="133"/>
      <c r="V1324" s="133"/>
      <c r="W1324" s="133"/>
      <c r="X1324" s="133"/>
      <c r="Y1324" s="133"/>
      <c r="Z1324" s="133"/>
    </row>
    <row r="1325">
      <c r="A1325" s="133">
        <f>IFERROR(__xludf.DUMMYFUNCTION("""COMPUTED_VALUE"""),1324.0)</f>
        <v>1324</v>
      </c>
      <c r="B1325" s="133"/>
      <c r="C1325" s="133" t="str">
        <f>IFERROR(__xludf.DUMMYFUNCTION("""COMPUTED_VALUE"""),"P-1-N-100423-2199")</f>
        <v>P-1-N-100423-2199</v>
      </c>
      <c r="D1325" s="133"/>
      <c r="E1325" s="133" t="str">
        <f>IFERROR(__xludf.DUMMYFUNCTION("""COMPUTED_VALUE"""),"تمت طباعة الشهادة")</f>
        <v>تمت طباعة الشهادة</v>
      </c>
      <c r="F1325" s="133" t="str">
        <f>IFERROR(__xludf.DUMMYFUNCTION("""COMPUTED_VALUE"""),"COUNTRY Canary 0.6kg")</f>
        <v>COUNTRY Canary 0.6kg</v>
      </c>
      <c r="G1325" s="133" t="str">
        <f>IFERROR(__xludf.DUMMYFUNCTION("""COMPUTED_VALUE"""),"كونتري كناري 0،6 كجم")</f>
        <v>كونتري كناري 0،6 كجم</v>
      </c>
      <c r="H1325" s="133" t="str">
        <f>IFERROR(__xludf.DUMMYFUNCTION("""COMPUTED_VALUE"""),"MAFE20231460")</f>
        <v>MAFE20231460</v>
      </c>
      <c r="I1325" s="133"/>
      <c r="J1325" s="133"/>
      <c r="K1325" s="133" t="str">
        <f>IFERROR(__xludf.DUMMYFUNCTION("""COMPUTED_VALUE"""),"ويت مولين بي في")</f>
        <v>ويت مولين بي في</v>
      </c>
      <c r="L1325" s="133"/>
      <c r="M1325" s="133"/>
      <c r="N1325" s="133"/>
      <c r="O1325" s="133"/>
      <c r="P1325" s="133"/>
      <c r="Q1325" s="133"/>
      <c r="R1325" s="133"/>
      <c r="S1325" s="133"/>
      <c r="T1325" s="133"/>
      <c r="U1325" s="133"/>
      <c r="V1325" s="133"/>
      <c r="W1325" s="133"/>
      <c r="X1325" s="133"/>
      <c r="Y1325" s="133"/>
      <c r="Z1325" s="133"/>
    </row>
    <row r="1326">
      <c r="A1326" s="133">
        <f>IFERROR(__xludf.DUMMYFUNCTION("""COMPUTED_VALUE"""),1325.0)</f>
        <v>1325</v>
      </c>
      <c r="B1326" s="133"/>
      <c r="C1326" s="133" t="str">
        <f>IFERROR(__xludf.DUMMYFUNCTION("""COMPUTED_VALUE"""),"P-1-N-100423-2200")</f>
        <v>P-1-N-100423-2200</v>
      </c>
      <c r="D1326" s="133"/>
      <c r="E1326" s="133" t="str">
        <f>IFERROR(__xludf.DUMMYFUNCTION("""COMPUTED_VALUE"""),"تمت طباعة الشهادة")</f>
        <v>تمت طباعة الشهادة</v>
      </c>
      <c r="F1326" s="133" t="str">
        <f>IFERROR(__xludf.DUMMYFUNCTION("""COMPUTED_VALUE"""),"COUNTRY Canary 2.5kg")</f>
        <v>COUNTRY Canary 2.5kg</v>
      </c>
      <c r="G1326" s="133" t="str">
        <f>IFERROR(__xludf.DUMMYFUNCTION("""COMPUTED_VALUE"""),"كونتري كناري 2.5 كجم")</f>
        <v>كونتري كناري 2.5 كجم</v>
      </c>
      <c r="H1326" s="133" t="str">
        <f>IFERROR(__xludf.DUMMYFUNCTION("""COMPUTED_VALUE"""),"MAFE20231461")</f>
        <v>MAFE20231461</v>
      </c>
      <c r="I1326" s="133"/>
      <c r="J1326" s="133"/>
      <c r="K1326" s="133" t="str">
        <f>IFERROR(__xludf.DUMMYFUNCTION("""COMPUTED_VALUE"""),"ويت مولين بي في")</f>
        <v>ويت مولين بي في</v>
      </c>
      <c r="L1326" s="133"/>
      <c r="M1326" s="133"/>
      <c r="N1326" s="133"/>
      <c r="O1326" s="133"/>
      <c r="P1326" s="133"/>
      <c r="Q1326" s="133"/>
      <c r="R1326" s="133"/>
      <c r="S1326" s="133"/>
      <c r="T1326" s="133"/>
      <c r="U1326" s="133"/>
      <c r="V1326" s="133"/>
      <c r="W1326" s="133"/>
      <c r="X1326" s="133"/>
      <c r="Y1326" s="133"/>
      <c r="Z1326" s="133"/>
    </row>
    <row r="1327">
      <c r="A1327" s="133">
        <f>IFERROR(__xludf.DUMMYFUNCTION("""COMPUTED_VALUE"""),1326.0)</f>
        <v>1326</v>
      </c>
      <c r="B1327" s="133"/>
      <c r="C1327" s="133" t="str">
        <f>IFERROR(__xludf.DUMMYFUNCTION("""COMPUTED_VALUE"""),"P-1-N-100423-2201")</f>
        <v>P-1-N-100423-2201</v>
      </c>
      <c r="D1327" s="133"/>
      <c r="E1327" s="133" t="str">
        <f>IFERROR(__xludf.DUMMYFUNCTION("""COMPUTED_VALUE"""),"تمت طباعة الشهادة")</f>
        <v>تمت طباعة الشهادة</v>
      </c>
      <c r="F1327" s="133" t="str">
        <f>IFERROR(__xludf.DUMMYFUNCTION("""COMPUTED_VALUE"""),"COUNTRY Snack muesli 0.8kg")</f>
        <v>COUNTRY Snack muesli 0.8kg</v>
      </c>
      <c r="G1327" s="133" t="str">
        <f>IFERROR(__xludf.DUMMYFUNCTION("""COMPUTED_VALUE"""),"كونتري وجبة خفيفة موزلي 0،8 كجم")</f>
        <v>كونتري وجبة خفيفة موزلي 0،8 كجم</v>
      </c>
      <c r="H1327" s="133" t="str">
        <f>IFERROR(__xludf.DUMMYFUNCTION("""COMPUTED_VALUE"""),"MAFE20231462")</f>
        <v>MAFE20231462</v>
      </c>
      <c r="I1327" s="133"/>
      <c r="J1327" s="133"/>
      <c r="K1327" s="133" t="str">
        <f>IFERROR(__xludf.DUMMYFUNCTION("""COMPUTED_VALUE"""),"ويت مولين بي في")</f>
        <v>ويت مولين بي في</v>
      </c>
      <c r="L1327" s="133"/>
      <c r="M1327" s="133"/>
      <c r="N1327" s="133"/>
      <c r="O1327" s="133"/>
      <c r="P1327" s="133"/>
      <c r="Q1327" s="133"/>
      <c r="R1327" s="133"/>
      <c r="S1327" s="133"/>
      <c r="T1327" s="133"/>
      <c r="U1327" s="133"/>
      <c r="V1327" s="133"/>
      <c r="W1327" s="133"/>
      <c r="X1327" s="133"/>
      <c r="Y1327" s="133"/>
      <c r="Z1327" s="133"/>
    </row>
    <row r="1328">
      <c r="A1328" s="133">
        <f>IFERROR(__xludf.DUMMYFUNCTION("""COMPUTED_VALUE"""),1327.0)</f>
        <v>1327</v>
      </c>
      <c r="B1328" s="133"/>
      <c r="C1328" s="133" t="str">
        <f>IFERROR(__xludf.DUMMYFUNCTION("""COMPUTED_VALUE"""),"P-1-N-100423-2202")</f>
        <v>P-1-N-100423-2202</v>
      </c>
      <c r="D1328" s="133"/>
      <c r="E1328" s="133" t="str">
        <f>IFERROR(__xludf.DUMMYFUNCTION("""COMPUTED_VALUE"""),"تمت طباعة الشهادة")</f>
        <v>تمت طباعة الشهادة</v>
      </c>
      <c r="F1328" s="133" t="str">
        <f>IFERROR(__xludf.DUMMYFUNCTION("""COMPUTED_VALUE"""),"COUNTRY Lovebird 0.6kg")</f>
        <v>COUNTRY Lovebird 0.6kg</v>
      </c>
      <c r="G1328" s="133" t="str">
        <f>IFERROR(__xludf.DUMMYFUNCTION("""COMPUTED_VALUE"""),"كونتري طيور الحب 0،6 كجم")</f>
        <v>كونتري طيور الحب 0،6 كجم</v>
      </c>
      <c r="H1328" s="133" t="str">
        <f>IFERROR(__xludf.DUMMYFUNCTION("""COMPUTED_VALUE"""),"MAFE20231463")</f>
        <v>MAFE20231463</v>
      </c>
      <c r="I1328" s="133"/>
      <c r="J1328" s="133"/>
      <c r="K1328" s="133" t="str">
        <f>IFERROR(__xludf.DUMMYFUNCTION("""COMPUTED_VALUE"""),"ويت مولين بي في")</f>
        <v>ويت مولين بي في</v>
      </c>
      <c r="L1328" s="133"/>
      <c r="M1328" s="133"/>
      <c r="N1328" s="133"/>
      <c r="O1328" s="133"/>
      <c r="P1328" s="133"/>
      <c r="Q1328" s="133"/>
      <c r="R1328" s="133"/>
      <c r="S1328" s="133"/>
      <c r="T1328" s="133"/>
      <c r="U1328" s="133"/>
      <c r="V1328" s="133"/>
      <c r="W1328" s="133"/>
      <c r="X1328" s="133"/>
      <c r="Y1328" s="133"/>
      <c r="Z1328" s="133"/>
    </row>
    <row r="1329">
      <c r="A1329" s="133">
        <f>IFERROR(__xludf.DUMMYFUNCTION("""COMPUTED_VALUE"""),1328.0)</f>
        <v>1328</v>
      </c>
      <c r="B1329" s="133"/>
      <c r="C1329" s="133" t="str">
        <f>IFERROR(__xludf.DUMMYFUNCTION("""COMPUTED_VALUE"""),"P-1-N-100423-2203")</f>
        <v>P-1-N-100423-2203</v>
      </c>
      <c r="D1329" s="133"/>
      <c r="E1329" s="133" t="str">
        <f>IFERROR(__xludf.DUMMYFUNCTION("""COMPUTED_VALUE"""),"تمت طباعة الشهادة")</f>
        <v>تمت طباعة الشهادة</v>
      </c>
      <c r="F1329" s="133" t="str">
        <f>IFERROR(__xludf.DUMMYFUNCTION("""COMPUTED_VALUE"""),"COUNTRY Lovebird 2.5kg")</f>
        <v>COUNTRY Lovebird 2.5kg</v>
      </c>
      <c r="G1329" s="133" t="str">
        <f>IFERROR(__xludf.DUMMYFUNCTION("""COMPUTED_VALUE"""),"كونتري طيور الحب 2.5 كجم")</f>
        <v>كونتري طيور الحب 2.5 كجم</v>
      </c>
      <c r="H1329" s="133" t="str">
        <f>IFERROR(__xludf.DUMMYFUNCTION("""COMPUTED_VALUE"""),"MAFE20231465")</f>
        <v>MAFE20231465</v>
      </c>
      <c r="I1329" s="133"/>
      <c r="J1329" s="133"/>
      <c r="K1329" s="133" t="str">
        <f>IFERROR(__xludf.DUMMYFUNCTION("""COMPUTED_VALUE"""),"ويت مولين بي في")</f>
        <v>ويت مولين بي في</v>
      </c>
      <c r="L1329" s="133"/>
      <c r="M1329" s="133"/>
      <c r="N1329" s="133"/>
      <c r="O1329" s="133"/>
      <c r="P1329" s="133"/>
      <c r="Q1329" s="133"/>
      <c r="R1329" s="133"/>
      <c r="S1329" s="133"/>
      <c r="T1329" s="133"/>
      <c r="U1329" s="133"/>
      <c r="V1329" s="133"/>
      <c r="W1329" s="133"/>
      <c r="X1329" s="133"/>
      <c r="Y1329" s="133"/>
      <c r="Z1329" s="133"/>
    </row>
    <row r="1330">
      <c r="A1330" s="133">
        <f>IFERROR(__xludf.DUMMYFUNCTION("""COMPUTED_VALUE"""),1329.0)</f>
        <v>1329</v>
      </c>
      <c r="B1330" s="133"/>
      <c r="C1330" s="133" t="str">
        <f>IFERROR(__xludf.DUMMYFUNCTION("""COMPUTED_VALUE"""),"P-1-N-100423-2204")</f>
        <v>P-1-N-100423-2204</v>
      </c>
      <c r="D1330" s="133"/>
      <c r="E1330" s="133" t="str">
        <f>IFERROR(__xludf.DUMMYFUNCTION("""COMPUTED_VALUE"""),"تمت طباعة الشهادة")</f>
        <v>تمت طباعة الشهادة</v>
      </c>
      <c r="F1330" s="133" t="str">
        <f>IFERROR(__xludf.DUMMYFUNCTION("""COMPUTED_VALUE"""),"COUNTRY Rabbit 0.8kg")</f>
        <v>COUNTRY Rabbit 0.8kg</v>
      </c>
      <c r="G1330" s="133" t="str">
        <f>IFERROR(__xludf.DUMMYFUNCTION("""COMPUTED_VALUE"""),"كونتري أرنب 0،8 كجم")</f>
        <v>كونتري أرنب 0،8 كجم</v>
      </c>
      <c r="H1330" s="133" t="str">
        <f>IFERROR(__xludf.DUMMYFUNCTION("""COMPUTED_VALUE"""),"MAFE20231603")</f>
        <v>MAFE20231603</v>
      </c>
      <c r="I1330" s="133"/>
      <c r="J1330" s="133"/>
      <c r="K1330" s="133" t="str">
        <f>IFERROR(__xludf.DUMMYFUNCTION("""COMPUTED_VALUE"""),"ويت مولين بي في")</f>
        <v>ويت مولين بي في</v>
      </c>
      <c r="L1330" s="133"/>
      <c r="M1330" s="133"/>
      <c r="N1330" s="133"/>
      <c r="O1330" s="133"/>
      <c r="P1330" s="133"/>
      <c r="Q1330" s="133"/>
      <c r="R1330" s="133"/>
      <c r="S1330" s="133"/>
      <c r="T1330" s="133"/>
      <c r="U1330" s="133"/>
      <c r="V1330" s="133"/>
      <c r="W1330" s="133"/>
      <c r="X1330" s="133"/>
      <c r="Y1330" s="133"/>
      <c r="Z1330" s="133"/>
    </row>
    <row r="1331">
      <c r="A1331" s="133">
        <f>IFERROR(__xludf.DUMMYFUNCTION("""COMPUTED_VALUE"""),1330.0)</f>
        <v>1330</v>
      </c>
      <c r="B1331" s="133"/>
      <c r="C1331" s="133" t="str">
        <f>IFERROR(__xludf.DUMMYFUNCTION("""COMPUTED_VALUE"""),"P-1-N-100423-2205")</f>
        <v>P-1-N-100423-2205</v>
      </c>
      <c r="D1331" s="133"/>
      <c r="E1331" s="133" t="str">
        <f>IFERROR(__xludf.DUMMYFUNCTION("""COMPUTED_VALUE"""),"تمت طباعة الشهادة")</f>
        <v>تمت طباعة الشهادة</v>
      </c>
      <c r="F1331" s="133" t="str">
        <f>IFERROR(__xludf.DUMMYFUNCTION("""COMPUTED_VALUE"""),"COUNTRY Rabbit 2.5kg")</f>
        <v>COUNTRY Rabbit 2.5kg</v>
      </c>
      <c r="G1331" s="133" t="str">
        <f>IFERROR(__xludf.DUMMYFUNCTION("""COMPUTED_VALUE"""),"كونتري أرنب 2.5 كجم")</f>
        <v>كونتري أرنب 2.5 كجم</v>
      </c>
      <c r="H1331" s="133"/>
      <c r="I1331" s="133"/>
      <c r="J1331" s="133"/>
      <c r="K1331" s="133" t="str">
        <f>IFERROR(__xludf.DUMMYFUNCTION("""COMPUTED_VALUE"""),"ويت مولين بي في")</f>
        <v>ويت مولين بي في</v>
      </c>
      <c r="L1331" s="133"/>
      <c r="M1331" s="133"/>
      <c r="N1331" s="133"/>
      <c r="O1331" s="133"/>
      <c r="P1331" s="133"/>
      <c r="Q1331" s="133"/>
      <c r="R1331" s="133"/>
      <c r="S1331" s="133"/>
      <c r="T1331" s="133"/>
      <c r="U1331" s="133"/>
      <c r="V1331" s="133"/>
      <c r="W1331" s="133"/>
      <c r="X1331" s="133"/>
      <c r="Y1331" s="133"/>
      <c r="Z1331" s="133"/>
    </row>
    <row r="1332">
      <c r="A1332" s="133">
        <f>IFERROR(__xludf.DUMMYFUNCTION("""COMPUTED_VALUE"""),1331.0)</f>
        <v>1331</v>
      </c>
      <c r="B1332" s="133"/>
      <c r="C1332" s="133" t="str">
        <f>IFERROR(__xludf.DUMMYFUNCTION("""COMPUTED_VALUE"""),"P-1-N-100423-2206")</f>
        <v>P-1-N-100423-2206</v>
      </c>
      <c r="D1332" s="133"/>
      <c r="E1332" s="133" t="str">
        <f>IFERROR(__xludf.DUMMYFUNCTION("""COMPUTED_VALUE"""),"تمت طباعة الشهادة")</f>
        <v>تمت طباعة الشهادة</v>
      </c>
      <c r="F1332" s="133" t="str">
        <f>IFERROR(__xludf.DUMMYFUNCTION("""COMPUTED_VALUE"""),"COUNTRY Large Parakeet 0,55KG")</f>
        <v>COUNTRY Large Parakeet 0,55KG</v>
      </c>
      <c r="G1332" s="133" t="str">
        <f>IFERROR(__xludf.DUMMYFUNCTION("""COMPUTED_VALUE"""),"كونتري براكيت كبيرة 0،55 كجم")</f>
        <v>كونتري براكيت كبيرة 0،55 كجم</v>
      </c>
      <c r="H1332" s="133" t="str">
        <f>IFERROR(__xludf.DUMMYFUNCTION("""COMPUTED_VALUE"""),"MAFE20231467")</f>
        <v>MAFE20231467</v>
      </c>
      <c r="I1332" s="133"/>
      <c r="J1332" s="133"/>
      <c r="K1332" s="133" t="str">
        <f>IFERROR(__xludf.DUMMYFUNCTION("""COMPUTED_VALUE"""),"ويت مولين بي في")</f>
        <v>ويت مولين بي في</v>
      </c>
      <c r="L1332" s="133"/>
      <c r="M1332" s="133"/>
      <c r="N1332" s="133"/>
      <c r="O1332" s="133"/>
      <c r="P1332" s="133"/>
      <c r="Q1332" s="133"/>
      <c r="R1332" s="133"/>
      <c r="S1332" s="133"/>
      <c r="T1332" s="133"/>
      <c r="U1332" s="133"/>
      <c r="V1332" s="133"/>
      <c r="W1332" s="133"/>
      <c r="X1332" s="133"/>
      <c r="Y1332" s="133"/>
      <c r="Z1332" s="133"/>
    </row>
    <row r="1333">
      <c r="A1333" s="133">
        <f>IFERROR(__xludf.DUMMYFUNCTION("""COMPUTED_VALUE"""),1332.0)</f>
        <v>1332</v>
      </c>
      <c r="B1333" s="133"/>
      <c r="C1333" s="133" t="str">
        <f>IFERROR(__xludf.DUMMYFUNCTION("""COMPUTED_VALUE"""),"P-1-N-100423-2207")</f>
        <v>P-1-N-100423-2207</v>
      </c>
      <c r="D1333" s="133"/>
      <c r="E1333" s="133" t="str">
        <f>IFERROR(__xludf.DUMMYFUNCTION("""COMPUTED_VALUE"""),"تمت طباعة الشهادة")</f>
        <v>تمت طباعة الشهادة</v>
      </c>
      <c r="F1333" s="133" t="str">
        <f>IFERROR(__xludf.DUMMYFUNCTION("""COMPUTED_VALUE"""),"COUNTRY Large Parakeet 2.5kg")</f>
        <v>COUNTRY Large Parakeet 2.5kg</v>
      </c>
      <c r="G1333" s="133" t="str">
        <f>IFERROR(__xludf.DUMMYFUNCTION("""COMPUTED_VALUE"""),"كونتري براكيت كبيرة 2.5 كجم")</f>
        <v>كونتري براكيت كبيرة 2.5 كجم</v>
      </c>
      <c r="H1333" s="133" t="str">
        <f>IFERROR(__xludf.DUMMYFUNCTION("""COMPUTED_VALUE"""),"MAFE20231464")</f>
        <v>MAFE20231464</v>
      </c>
      <c r="I1333" s="133"/>
      <c r="J1333" s="133"/>
      <c r="K1333" s="133" t="str">
        <f>IFERROR(__xludf.DUMMYFUNCTION("""COMPUTED_VALUE"""),"ويت مولين بي في")</f>
        <v>ويت مولين بي في</v>
      </c>
      <c r="L1333" s="133"/>
      <c r="M1333" s="133"/>
      <c r="N1333" s="133"/>
      <c r="O1333" s="133"/>
      <c r="P1333" s="133"/>
      <c r="Q1333" s="133"/>
      <c r="R1333" s="133"/>
      <c r="S1333" s="133"/>
      <c r="T1333" s="133"/>
      <c r="U1333" s="133"/>
      <c r="V1333" s="133"/>
      <c r="W1333" s="133"/>
      <c r="X1333" s="133"/>
      <c r="Y1333" s="133"/>
      <c r="Z1333" s="133"/>
    </row>
    <row r="1334">
      <c r="A1334" s="133">
        <f>IFERROR(__xludf.DUMMYFUNCTION("""COMPUTED_VALUE"""),1333.0)</f>
        <v>1333</v>
      </c>
      <c r="B1334" s="133"/>
      <c r="C1334" s="133" t="str">
        <f>IFERROR(__xludf.DUMMYFUNCTION("""COMPUTED_VALUE"""),"P-1-N-100423-2208")</f>
        <v>P-1-N-100423-2208</v>
      </c>
      <c r="D1334" s="133"/>
      <c r="E1334" s="133" t="str">
        <f>IFERROR(__xludf.DUMMYFUNCTION("""COMPUTED_VALUE"""),"تمت طباعة الشهادة")</f>
        <v>تمت طباعة الشهادة</v>
      </c>
      <c r="F1334" s="133" t="str">
        <f>IFERROR(__xludf.DUMMYFUNCTION("""COMPUTED_VALUE"""),"COUNTRY Hamster 850g")</f>
        <v>COUNTRY Hamster 850g</v>
      </c>
      <c r="G1334" s="133" t="str">
        <f>IFERROR(__xludf.DUMMYFUNCTION("""COMPUTED_VALUE"""),"كونتري الهامستر 850 جم")</f>
        <v>كونتري الهامستر 850 جم</v>
      </c>
      <c r="H1334" s="133" t="str">
        <f>IFERROR(__xludf.DUMMYFUNCTION("""COMPUTED_VALUE"""),"MAFE20231641")</f>
        <v>MAFE20231641</v>
      </c>
      <c r="I1334" s="133"/>
      <c r="J1334" s="133"/>
      <c r="K1334" s="133" t="str">
        <f>IFERROR(__xludf.DUMMYFUNCTION("""COMPUTED_VALUE"""),"ويت مولين بي في")</f>
        <v>ويت مولين بي في</v>
      </c>
      <c r="L1334" s="133"/>
      <c r="M1334" s="133"/>
      <c r="N1334" s="133"/>
      <c r="O1334" s="133"/>
      <c r="P1334" s="133"/>
      <c r="Q1334" s="133"/>
      <c r="R1334" s="133"/>
      <c r="S1334" s="133"/>
      <c r="T1334" s="133"/>
      <c r="U1334" s="133"/>
      <c r="V1334" s="133"/>
      <c r="W1334" s="133"/>
      <c r="X1334" s="133"/>
      <c r="Y1334" s="133"/>
      <c r="Z1334" s="133"/>
    </row>
    <row r="1335">
      <c r="A1335" s="133">
        <f>IFERROR(__xludf.DUMMYFUNCTION("""COMPUTED_VALUE"""),1334.0)</f>
        <v>1334</v>
      </c>
      <c r="B1335" s="133"/>
      <c r="C1335" s="133" t="str">
        <f>IFERROR(__xludf.DUMMYFUNCTION("""COMPUTED_VALUE"""),"P-1-N-100423-2209")</f>
        <v>P-1-N-100423-2209</v>
      </c>
      <c r="D1335" s="133"/>
      <c r="E1335" s="133" t="str">
        <f>IFERROR(__xludf.DUMMYFUNCTION("""COMPUTED_VALUE"""),"تمت طباعة الشهادة")</f>
        <v>تمت طباعة الشهادة</v>
      </c>
      <c r="F1335" s="133" t="str">
        <f>IFERROR(__xludf.DUMMYFUNCTION("""COMPUTED_VALUE"""),"COUNTRY hamster 3.0kg")</f>
        <v>COUNTRY hamster 3.0kg</v>
      </c>
      <c r="G1335" s="133" t="str">
        <f>IFERROR(__xludf.DUMMYFUNCTION("""COMPUTED_VALUE"""),"كونتري الهامستر3،0 كجم")</f>
        <v>كونتري الهامستر3،0 كجم</v>
      </c>
      <c r="H1335" s="133" t="str">
        <f>IFERROR(__xludf.DUMMYFUNCTION("""COMPUTED_VALUE"""),"MAFE20231625")</f>
        <v>MAFE20231625</v>
      </c>
      <c r="I1335" s="133"/>
      <c r="J1335" s="133"/>
      <c r="K1335" s="133" t="str">
        <f>IFERROR(__xludf.DUMMYFUNCTION("""COMPUTED_VALUE"""),"ويت مولين بي في")</f>
        <v>ويت مولين بي في</v>
      </c>
      <c r="L1335" s="133"/>
      <c r="M1335" s="133"/>
      <c r="N1335" s="133"/>
      <c r="O1335" s="133"/>
      <c r="P1335" s="133"/>
      <c r="Q1335" s="133"/>
      <c r="R1335" s="133"/>
      <c r="S1335" s="133"/>
      <c r="T1335" s="133"/>
      <c r="U1335" s="133"/>
      <c r="V1335" s="133"/>
      <c r="W1335" s="133"/>
      <c r="X1335" s="133"/>
      <c r="Y1335" s="133"/>
      <c r="Z1335" s="133"/>
    </row>
    <row r="1336">
      <c r="A1336" s="133">
        <f>IFERROR(__xludf.DUMMYFUNCTION("""COMPUTED_VALUE"""),1335.0)</f>
        <v>1335</v>
      </c>
      <c r="B1336" s="133"/>
      <c r="C1336" s="133" t="str">
        <f>IFERROR(__xludf.DUMMYFUNCTION("""COMPUTED_VALUE"""),"P-1-N-180423-2329")</f>
        <v>P-1-N-180423-2329</v>
      </c>
      <c r="D1336" s="133"/>
      <c r="E1336" s="133" t="str">
        <f>IFERROR(__xludf.DUMMYFUNCTION("""COMPUTED_VALUE"""),"تمت طباعة الشهادة")</f>
        <v>تمت طباعة الشهادة</v>
      </c>
      <c r="F1336" s="133" t="str">
        <f>IFERROR(__xludf.DUMMYFUNCTION("""COMPUTED_VALUE"""),"PRINCE CLASSIC PACIFIC TUNA TOPPING VANNAMEI SHRIMP 170g")</f>
        <v>PRINCE CLASSIC PACIFIC TUNA TOPPING VANNAMEI SHRIMP 170g</v>
      </c>
      <c r="G1336" s="133" t="str">
        <f>IFERROR(__xludf.DUMMYFUNCTION("""COMPUTED_VALUE"""),"برينس كلاسيك تونة المحيط الهادئ مع الجمبري الفانامي 170 جم")</f>
        <v>برينس كلاسيك تونة المحيط الهادئ مع الجمبري الفانامي 170 جم</v>
      </c>
      <c r="H1336" s="133" t="str">
        <f>IFERROR(__xludf.DUMMYFUNCTION("""COMPUTED_VALUE"""),"MAFE20231535")</f>
        <v>MAFE20231535</v>
      </c>
      <c r="I1336" s="133"/>
      <c r="J1336" s="133"/>
      <c r="K1336" s="133" t="str">
        <f>IFERROR(__xludf.DUMMYFUNCTION("""COMPUTED_VALUE"""),"شركة يونيكورد العامة المحدودة")</f>
        <v>شركة يونيكورد العامة المحدودة</v>
      </c>
      <c r="L1336" s="133"/>
      <c r="M1336" s="133"/>
      <c r="N1336" s="133"/>
      <c r="O1336" s="133"/>
      <c r="P1336" s="133"/>
      <c r="Q1336" s="133"/>
      <c r="R1336" s="133"/>
      <c r="S1336" s="133"/>
      <c r="T1336" s="133"/>
      <c r="U1336" s="133"/>
      <c r="V1336" s="133"/>
      <c r="W1336" s="133"/>
      <c r="X1336" s="133"/>
      <c r="Y1336" s="133"/>
      <c r="Z1336" s="133"/>
    </row>
    <row r="1337">
      <c r="A1337" s="133">
        <f>IFERROR(__xludf.DUMMYFUNCTION("""COMPUTED_VALUE"""),1336.0)</f>
        <v>1336</v>
      </c>
      <c r="B1337" s="133"/>
      <c r="C1337" s="133" t="str">
        <f>IFERROR(__xludf.DUMMYFUNCTION("""COMPUTED_VALUE"""),"P-1-N-180423-2330")</f>
        <v>P-1-N-180423-2330</v>
      </c>
      <c r="D1337" s="133"/>
      <c r="E1337" s="133" t="str">
        <f>IFERROR(__xludf.DUMMYFUNCTION("""COMPUTED_VALUE"""),"تمت طباعة الشهادة")</f>
        <v>تمت طباعة الشهادة</v>
      </c>
      <c r="F1337" s="133" t="str">
        <f>IFERROR(__xludf.DUMMYFUNCTION("""COMPUTED_VALUE"""),"PRINCE CLASSIC PACIFIC TUNA 170g")</f>
        <v>PRINCE CLASSIC PACIFIC TUNA 170g</v>
      </c>
      <c r="G1337" s="133" t="str">
        <f>IFERROR(__xludf.DUMMYFUNCTION("""COMPUTED_VALUE"""),"برينس كلاسيك تونة المحيط الهادئ 170 جم")</f>
        <v>برينس كلاسيك تونة المحيط الهادئ 170 جم</v>
      </c>
      <c r="H1337" s="133" t="str">
        <f>IFERROR(__xludf.DUMMYFUNCTION("""COMPUTED_VALUE"""),"MAFE20231535")</f>
        <v>MAFE20231535</v>
      </c>
      <c r="I1337" s="133"/>
      <c r="J1337" s="133"/>
      <c r="K1337" s="133" t="str">
        <f>IFERROR(__xludf.DUMMYFUNCTION("""COMPUTED_VALUE"""),"شركة يونيكورد العامة المحدودة")</f>
        <v>شركة يونيكورد العامة المحدودة</v>
      </c>
      <c r="L1337" s="133"/>
      <c r="M1337" s="133"/>
      <c r="N1337" s="133"/>
      <c r="O1337" s="133"/>
      <c r="P1337" s="133"/>
      <c r="Q1337" s="133"/>
      <c r="R1337" s="133"/>
      <c r="S1337" s="133"/>
      <c r="T1337" s="133"/>
      <c r="U1337" s="133"/>
      <c r="V1337" s="133"/>
      <c r="W1337" s="133"/>
      <c r="X1337" s="133"/>
      <c r="Y1337" s="133"/>
      <c r="Z1337" s="133"/>
    </row>
    <row r="1338">
      <c r="A1338" s="133">
        <f>IFERROR(__xludf.DUMMYFUNCTION("""COMPUTED_VALUE"""),1337.0)</f>
        <v>1337</v>
      </c>
      <c r="B1338" s="133"/>
      <c r="C1338" s="133" t="str">
        <f>IFERROR(__xludf.DUMMYFUNCTION("""COMPUTED_VALUE"""),"P-1-N-180423-2332")</f>
        <v>P-1-N-180423-2332</v>
      </c>
      <c r="D1338" s="133"/>
      <c r="E1338" s="133" t="str">
        <f>IFERROR(__xludf.DUMMYFUNCTION("""COMPUTED_VALUE"""),"تمت طباعة الشهادة")</f>
        <v>تمت طباعة الشهادة</v>
      </c>
      <c r="F1338" s="133" t="str">
        <f>IFERROR(__xludf.DUMMYFUNCTION("""COMPUTED_VALUE"""),"PRINCE CLASSIC CHICKEN &amp; TUNA 170g")</f>
        <v>PRINCE CLASSIC CHICKEN &amp; TUNA 170g</v>
      </c>
      <c r="G1338" s="133" t="str">
        <f>IFERROR(__xludf.DUMMYFUNCTION("""COMPUTED_VALUE"""),"برينس كلاسيك دجاج وتونة 170 جم")</f>
        <v>برينس كلاسيك دجاج وتونة 170 جم</v>
      </c>
      <c r="H1338" s="133" t="str">
        <f>IFERROR(__xludf.DUMMYFUNCTION("""COMPUTED_VALUE"""),"MAFE20231282")</f>
        <v>MAFE20231282</v>
      </c>
      <c r="I1338" s="133"/>
      <c r="J1338" s="133"/>
      <c r="K1338" s="133" t="str">
        <f>IFERROR(__xludf.DUMMYFUNCTION("""COMPUTED_VALUE"""),"شركة يونيكورد العامة المحدودة")</f>
        <v>شركة يونيكورد العامة المحدودة</v>
      </c>
      <c r="L1338" s="133"/>
      <c r="M1338" s="133"/>
      <c r="N1338" s="133"/>
      <c r="O1338" s="133"/>
      <c r="P1338" s="133"/>
      <c r="Q1338" s="133"/>
      <c r="R1338" s="133"/>
      <c r="S1338" s="133"/>
      <c r="T1338" s="133"/>
      <c r="U1338" s="133"/>
      <c r="V1338" s="133"/>
      <c r="W1338" s="133"/>
      <c r="X1338" s="133"/>
      <c r="Y1338" s="133"/>
      <c r="Z1338" s="133"/>
    </row>
    <row r="1339">
      <c r="A1339" s="133">
        <f>IFERROR(__xludf.DUMMYFUNCTION("""COMPUTED_VALUE"""),1338.0)</f>
        <v>1338</v>
      </c>
      <c r="B1339" s="133"/>
      <c r="C1339" s="133" t="str">
        <f>IFERROR(__xludf.DUMMYFUNCTION("""COMPUTED_VALUE"""),"P-1-N-180423-2333")</f>
        <v>P-1-N-180423-2333</v>
      </c>
      <c r="D1339" s="133"/>
      <c r="E1339" s="133" t="str">
        <f>IFERROR(__xludf.DUMMYFUNCTION("""COMPUTED_VALUE"""),"تمت طباعة الشهادة")</f>
        <v>تمت طباعة الشهادة</v>
      </c>
      <c r="F1339" s="133" t="str">
        <f>IFERROR(__xludf.DUMMYFUNCTION("""COMPUTED_VALUE"""),"PRINCE CLASSIC CHICKEN &amp; TUNA TOPPING CRABSTICK 170g")</f>
        <v>PRINCE CLASSIC CHICKEN &amp; TUNA TOPPING CRABSTICK 170g</v>
      </c>
      <c r="G1339" s="133" t="str">
        <f>IFERROR(__xludf.DUMMYFUNCTION("""COMPUTED_VALUE"""),"برينس كلاسيك دجاج وتونة مع عصا السلطعون 170 جم")</f>
        <v>برينس كلاسيك دجاج وتونة مع عصا السلطعون 170 جم</v>
      </c>
      <c r="H1339" s="133" t="str">
        <f>IFERROR(__xludf.DUMMYFUNCTION("""COMPUTED_VALUE"""),"MAFE20231528")</f>
        <v>MAFE20231528</v>
      </c>
      <c r="I1339" s="133"/>
      <c r="J1339" s="133"/>
      <c r="K1339" s="133" t="str">
        <f>IFERROR(__xludf.DUMMYFUNCTION("""COMPUTED_VALUE"""),"شركة يونيكورد العامة المحدودة")</f>
        <v>شركة يونيكورد العامة المحدودة</v>
      </c>
      <c r="L1339" s="133"/>
      <c r="M1339" s="133"/>
      <c r="N1339" s="133"/>
      <c r="O1339" s="133"/>
      <c r="P1339" s="133"/>
      <c r="Q1339" s="133"/>
      <c r="R1339" s="133"/>
      <c r="S1339" s="133"/>
      <c r="T1339" s="133"/>
      <c r="U1339" s="133"/>
      <c r="V1339" s="133"/>
      <c r="W1339" s="133"/>
      <c r="X1339" s="133"/>
      <c r="Y1339" s="133"/>
      <c r="Z1339" s="133"/>
    </row>
    <row r="1340">
      <c r="A1340" s="133">
        <f>IFERROR(__xludf.DUMMYFUNCTION("""COMPUTED_VALUE"""),1339.0)</f>
        <v>1339</v>
      </c>
      <c r="B1340" s="133"/>
      <c r="C1340" s="133" t="str">
        <f>IFERROR(__xludf.DUMMYFUNCTION("""COMPUTED_VALUE"""),"P-1-N-180423-2334")</f>
        <v>P-1-N-180423-2334</v>
      </c>
      <c r="D1340" s="133"/>
      <c r="E1340" s="133" t="str">
        <f>IFERROR(__xludf.DUMMYFUNCTION("""COMPUTED_VALUE"""),"تمت طباعة الشهادة")</f>
        <v>تمت طباعة الشهادة</v>
      </c>
      <c r="F1340" s="133" t="str">
        <f>IFERROR(__xludf.DUMMYFUNCTION("""COMPUTED_VALUE"""),"PRINCE CLASSIC CHICKEN &amp; TUNA GINSENG EXTRACT &amp; HONEY FLAVORS 170g")</f>
        <v>PRINCE CLASSIC CHICKEN &amp; TUNA GINSENG EXTRACT &amp; HONEY FLAVORS 170g</v>
      </c>
      <c r="G1340" s="133" t="str">
        <f>IFERROR(__xludf.DUMMYFUNCTION("""COMPUTED_VALUE"""),"برينس كالسيك دجاج وتونة بخلاصة الجينسنغ ونكهات العسل 170 جم")</f>
        <v>برينس كالسيك دجاج وتونة بخلاصة الجينسنغ ونكهات العسل 170 جم</v>
      </c>
      <c r="H1340" s="133" t="str">
        <f>IFERROR(__xludf.DUMMYFUNCTION("""COMPUTED_VALUE"""),"MAFE20231527")</f>
        <v>MAFE20231527</v>
      </c>
      <c r="I1340" s="133"/>
      <c r="J1340" s="133"/>
      <c r="K1340" s="133" t="str">
        <f>IFERROR(__xludf.DUMMYFUNCTION("""COMPUTED_VALUE"""),"شركة يونيكورد العامة المحدودة")</f>
        <v>شركة يونيكورد العامة المحدودة</v>
      </c>
      <c r="L1340" s="133"/>
      <c r="M1340" s="133"/>
      <c r="N1340" s="133"/>
      <c r="O1340" s="133"/>
      <c r="P1340" s="133"/>
      <c r="Q1340" s="133"/>
      <c r="R1340" s="133"/>
      <c r="S1340" s="133"/>
      <c r="T1340" s="133"/>
      <c r="U1340" s="133"/>
      <c r="V1340" s="133"/>
      <c r="W1340" s="133"/>
      <c r="X1340" s="133"/>
      <c r="Y1340" s="133"/>
      <c r="Z1340" s="133"/>
    </row>
    <row r="1341">
      <c r="A1341" s="133">
        <f>IFERROR(__xludf.DUMMYFUNCTION("""COMPUTED_VALUE"""),1340.0)</f>
        <v>1340</v>
      </c>
      <c r="B1341" s="133"/>
      <c r="C1341" s="133" t="str">
        <f>IFERROR(__xludf.DUMMYFUNCTION("""COMPUTED_VALUE"""),"P-1-N-180423-2335")</f>
        <v>P-1-N-180423-2335</v>
      </c>
      <c r="D1341" s="133"/>
      <c r="E1341" s="133" t="str">
        <f>IFERROR(__xludf.DUMMYFUNCTION("""COMPUTED_VALUE"""),"تمت طباعة الشهادة")</f>
        <v>تمت طباعة الشهادة</v>
      </c>
      <c r="F1341" s="133" t="str">
        <f>IFERROR(__xludf.DUMMYFUNCTION("""COMPUTED_VALUE"""),"PRINCE CLASSIC CHICKEN &amp; TUNA TOPPING SHRIMP 170g")</f>
        <v>PRINCE CLASSIC CHICKEN &amp; TUNA TOPPING SHRIMP 170g</v>
      </c>
      <c r="G1341" s="133" t="str">
        <f>IFERROR(__xludf.DUMMYFUNCTION("""COMPUTED_VALUE"""),"برينس كلاسيك دجاج وتونة مع الجمبري 170 جم")</f>
        <v>برينس كلاسيك دجاج وتونة مع الجمبري 170 جم</v>
      </c>
      <c r="H1341" s="133" t="str">
        <f>IFERROR(__xludf.DUMMYFUNCTION("""COMPUTED_VALUE"""),"MAFE20231526")</f>
        <v>MAFE20231526</v>
      </c>
      <c r="I1341" s="133"/>
      <c r="J1341" s="133"/>
      <c r="K1341" s="133" t="str">
        <f>IFERROR(__xludf.DUMMYFUNCTION("""COMPUTED_VALUE"""),"شركة يونيكورد العامة المحدودة")</f>
        <v>شركة يونيكورد العامة المحدودة</v>
      </c>
      <c r="L1341" s="133"/>
      <c r="M1341" s="133"/>
      <c r="N1341" s="133"/>
      <c r="O1341" s="133"/>
      <c r="P1341" s="133"/>
      <c r="Q1341" s="133"/>
      <c r="R1341" s="133"/>
      <c r="S1341" s="133"/>
      <c r="T1341" s="133"/>
      <c r="U1341" s="133"/>
      <c r="V1341" s="133"/>
      <c r="W1341" s="133"/>
      <c r="X1341" s="133"/>
      <c r="Y1341" s="133"/>
      <c r="Z1341" s="133"/>
    </row>
    <row r="1342">
      <c r="A1342" s="133">
        <f>IFERROR(__xludf.DUMMYFUNCTION("""COMPUTED_VALUE"""),1341.0)</f>
        <v>1341</v>
      </c>
      <c r="B1342" s="133"/>
      <c r="C1342" s="133" t="str">
        <f>IFERROR(__xludf.DUMMYFUNCTION("""COMPUTED_VALUE"""),"P-1-N-040523-2527")</f>
        <v>P-1-N-040523-2527</v>
      </c>
      <c r="D1342" s="133"/>
      <c r="E1342" s="133" t="str">
        <f>IFERROR(__xludf.DUMMYFUNCTION("""COMPUTED_VALUE"""),"تمت طباعة الشهادة")</f>
        <v>تمت طباعة الشهادة</v>
      </c>
      <c r="F1342" s="133" t="str">
        <f>IFERROR(__xludf.DUMMYFUNCTION("""COMPUTED_VALUE"""),"CéDé Eggfood Budgie 5kg")</f>
        <v>CéDé Eggfood Budgie 5kg</v>
      </c>
      <c r="G1342" s="133" t="str">
        <f>IFERROR(__xludf.DUMMYFUNCTION("""COMPUTED_VALUE"""),"سي دي إيغفود بادجي 5 كجم")</f>
        <v>سي دي إيغفود بادجي 5 كجم</v>
      </c>
      <c r="H1342" s="133"/>
      <c r="I1342" s="133"/>
      <c r="J1342" s="133"/>
      <c r="K1342" s="133" t="str">
        <f>IFERROR(__xludf.DUMMYFUNCTION("""COMPUTED_VALUE"""),"لاروي جروب إن في")</f>
        <v>لاروي جروب إن في</v>
      </c>
      <c r="L1342" s="133"/>
      <c r="M1342" s="133"/>
      <c r="N1342" s="133"/>
      <c r="O1342" s="133"/>
      <c r="P1342" s="133"/>
      <c r="Q1342" s="133"/>
      <c r="R1342" s="133"/>
      <c r="S1342" s="133"/>
      <c r="T1342" s="133"/>
      <c r="U1342" s="133"/>
      <c r="V1342" s="133"/>
      <c r="W1342" s="133"/>
      <c r="X1342" s="133"/>
      <c r="Y1342" s="133"/>
      <c r="Z1342" s="133"/>
    </row>
    <row r="1343">
      <c r="A1343" s="133">
        <f>IFERROR(__xludf.DUMMYFUNCTION("""COMPUTED_VALUE"""),1342.0)</f>
        <v>1342</v>
      </c>
      <c r="B1343" s="133"/>
      <c r="C1343" s="133" t="str">
        <f>IFERROR(__xludf.DUMMYFUNCTION("""COMPUTED_VALUE"""),"P-1-N-040523-2528")</f>
        <v>P-1-N-040523-2528</v>
      </c>
      <c r="D1343" s="133"/>
      <c r="E1343" s="133" t="str">
        <f>IFERROR(__xludf.DUMMYFUNCTION("""COMPUTED_VALUE"""),"تمت طباعة الشهادة")</f>
        <v>تمت طباعة الشهادة</v>
      </c>
      <c r="F1343" s="133" t="str">
        <f>IFERROR(__xludf.DUMMYFUNCTION("""COMPUTED_VALUE"""),"CéDé Premium Eggfood allround 10Kg")</f>
        <v>CéDé Premium Eggfood allround 10Kg</v>
      </c>
      <c r="G1343" s="133" t="str">
        <f>IFERROR(__xludf.DUMMYFUNCTION("""COMPUTED_VALUE"""),"سي دي بريميوم إيغفود اولاراوند 10 كجم")</f>
        <v>سي دي بريميوم إيغفود اولاراوند 10 كجم</v>
      </c>
      <c r="H1343" s="133" t="str">
        <f>IFERROR(__xludf.DUMMYFUNCTION("""COMPUTED_VALUE"""),"MAFE20231670")</f>
        <v>MAFE20231670</v>
      </c>
      <c r="I1343" s="133"/>
      <c r="J1343" s="133"/>
      <c r="K1343" s="133" t="str">
        <f>IFERROR(__xludf.DUMMYFUNCTION("""COMPUTED_VALUE"""),"لاروي جروب إن في")</f>
        <v>لاروي جروب إن في</v>
      </c>
      <c r="L1343" s="133"/>
      <c r="M1343" s="133"/>
      <c r="N1343" s="133"/>
      <c r="O1343" s="133"/>
      <c r="P1343" s="133"/>
      <c r="Q1343" s="133"/>
      <c r="R1343" s="133"/>
      <c r="S1343" s="133"/>
      <c r="T1343" s="133"/>
      <c r="U1343" s="133"/>
      <c r="V1343" s="133"/>
      <c r="W1343" s="133"/>
      <c r="X1343" s="133"/>
      <c r="Y1343" s="133"/>
      <c r="Z1343" s="133"/>
    </row>
    <row r="1344">
      <c r="A1344" s="133">
        <f>IFERROR(__xludf.DUMMYFUNCTION("""COMPUTED_VALUE"""),1343.0)</f>
        <v>1343</v>
      </c>
      <c r="B1344" s="133"/>
      <c r="C1344" s="133" t="str">
        <f>IFERROR(__xludf.DUMMYFUNCTION("""COMPUTED_VALUE"""),"P-1-N-070523-2572")</f>
        <v>P-1-N-070523-2572</v>
      </c>
      <c r="D1344" s="133"/>
      <c r="E1344" s="133" t="str">
        <f>IFERROR(__xludf.DUMMYFUNCTION("""COMPUTED_VALUE"""),"تمت طباعة الشهادة")</f>
        <v>تمت طباعة الشهادة</v>
      </c>
      <c r="F1344" s="133" t="str">
        <f>IFERROR(__xludf.DUMMYFUNCTION("""COMPUTED_VALUE"""),"COUNTRY Guinea-Pig 0.85kg")</f>
        <v>COUNTRY Guinea-Pig 0.85kg</v>
      </c>
      <c r="G1344" s="133" t="str">
        <f>IFERROR(__xludf.DUMMYFUNCTION("""COMPUTED_VALUE"""),"كونتري خنازيرغينيا 0.85 كجم")</f>
        <v>كونتري خنازيرغينيا 0.85 كجم</v>
      </c>
      <c r="H1344" s="133" t="str">
        <f>IFERROR(__xludf.DUMMYFUNCTION("""COMPUTED_VALUE"""),"MAFE20231666")</f>
        <v>MAFE20231666</v>
      </c>
      <c r="I1344" s="133"/>
      <c r="J1344" s="133"/>
      <c r="K1344" s="133" t="str">
        <f>IFERROR(__xludf.DUMMYFUNCTION("""COMPUTED_VALUE"""),"ويت مولين بي في")</f>
        <v>ويت مولين بي في</v>
      </c>
      <c r="L1344" s="133"/>
      <c r="M1344" s="133"/>
      <c r="N1344" s="133"/>
      <c r="O1344" s="133"/>
      <c r="P1344" s="133"/>
      <c r="Q1344" s="133"/>
      <c r="R1344" s="133"/>
      <c r="S1344" s="133"/>
      <c r="T1344" s="133"/>
      <c r="U1344" s="133"/>
      <c r="V1344" s="133"/>
      <c r="W1344" s="133"/>
      <c r="X1344" s="133"/>
      <c r="Y1344" s="133"/>
      <c r="Z1344" s="133"/>
    </row>
    <row r="1345">
      <c r="A1345" s="133">
        <f>IFERROR(__xludf.DUMMYFUNCTION("""COMPUTED_VALUE"""),1344.0)</f>
        <v>1344</v>
      </c>
      <c r="B1345" s="133"/>
      <c r="C1345" s="133" t="str">
        <f>IFERROR(__xludf.DUMMYFUNCTION("""COMPUTED_VALUE"""),"P-1-N-070523-2573")</f>
        <v>P-1-N-070523-2573</v>
      </c>
      <c r="D1345" s="133"/>
      <c r="E1345" s="133" t="str">
        <f>IFERROR(__xludf.DUMMYFUNCTION("""COMPUTED_VALUE"""),"تمت طباعة الشهادة")</f>
        <v>تمت طباعة الشهادة</v>
      </c>
      <c r="F1345" s="133" t="str">
        <f>IFERROR(__xludf.DUMMYFUNCTION("""COMPUTED_VALUE"""),"COUNTRY Guinea-Pig 3,0KG")</f>
        <v>COUNTRY Guinea-Pig 3,0KG</v>
      </c>
      <c r="G1345" s="133" t="str">
        <f>IFERROR(__xludf.DUMMYFUNCTION("""COMPUTED_VALUE"""),"كونتري خنازيرغينيا 3.0 كجم")</f>
        <v>كونتري خنازيرغينيا 3.0 كجم</v>
      </c>
      <c r="H1345" s="133" t="str">
        <f>IFERROR(__xludf.DUMMYFUNCTION("""COMPUTED_VALUE"""),"MAFE20231625")</f>
        <v>MAFE20231625</v>
      </c>
      <c r="I1345" s="133"/>
      <c r="J1345" s="133"/>
      <c r="K1345" s="133" t="str">
        <f>IFERROR(__xludf.DUMMYFUNCTION("""COMPUTED_VALUE"""),"ويت مولين بي في")</f>
        <v>ويت مولين بي في</v>
      </c>
      <c r="L1345" s="133"/>
      <c r="M1345" s="133"/>
      <c r="N1345" s="133"/>
      <c r="O1345" s="133"/>
      <c r="P1345" s="133"/>
      <c r="Q1345" s="133"/>
      <c r="R1345" s="133"/>
      <c r="S1345" s="133"/>
      <c r="T1345" s="133"/>
      <c r="U1345" s="133"/>
      <c r="V1345" s="133"/>
      <c r="W1345" s="133"/>
      <c r="X1345" s="133"/>
      <c r="Y1345" s="133"/>
      <c r="Z1345" s="133"/>
    </row>
    <row r="1346">
      <c r="A1346" s="133">
        <f>IFERROR(__xludf.DUMMYFUNCTION("""COMPUTED_VALUE"""),1345.0)</f>
        <v>1345</v>
      </c>
      <c r="B1346" s="133"/>
      <c r="C1346" s="133" t="str">
        <f>IFERROR(__xludf.DUMMYFUNCTION("""COMPUTED_VALUE"""),"P-1-N-070523-2574")</f>
        <v>P-1-N-070523-2574</v>
      </c>
      <c r="D1346" s="133"/>
      <c r="E1346" s="133" t="str">
        <f>IFERROR(__xludf.DUMMYFUNCTION("""COMPUTED_VALUE"""),"تمت طباعة الشهادة")</f>
        <v>تمت طباعة الشهادة</v>
      </c>
      <c r="F1346" s="133" t="str">
        <f>IFERROR(__xludf.DUMMYFUNCTION("""COMPUTED_VALUE"""),"COUNTRY Finches 0.6kg")</f>
        <v>COUNTRY Finches 0.6kg</v>
      </c>
      <c r="G1346" s="133" t="str">
        <f>IFERROR(__xludf.DUMMYFUNCTION("""COMPUTED_VALUE"""),"كونتري فينشز 0.6 كجم")</f>
        <v>كونتري فينشز 0.6 كجم</v>
      </c>
      <c r="H1346" s="133" t="str">
        <f>IFERROR(__xludf.DUMMYFUNCTION("""COMPUTED_VALUE"""),"MAFE20231664")</f>
        <v>MAFE20231664</v>
      </c>
      <c r="I1346" s="133"/>
      <c r="J1346" s="133"/>
      <c r="K1346" s="133" t="str">
        <f>IFERROR(__xludf.DUMMYFUNCTION("""COMPUTED_VALUE"""),"ويت مولين بي في")</f>
        <v>ويت مولين بي في</v>
      </c>
      <c r="L1346" s="133"/>
      <c r="M1346" s="133"/>
      <c r="N1346" s="133"/>
      <c r="O1346" s="133"/>
      <c r="P1346" s="133"/>
      <c r="Q1346" s="133"/>
      <c r="R1346" s="133"/>
      <c r="S1346" s="133"/>
      <c r="T1346" s="133"/>
      <c r="U1346" s="133"/>
      <c r="V1346" s="133"/>
      <c r="W1346" s="133"/>
      <c r="X1346" s="133"/>
      <c r="Y1346" s="133"/>
      <c r="Z1346" s="133"/>
    </row>
    <row r="1347">
      <c r="A1347" s="133">
        <f>IFERROR(__xludf.DUMMYFUNCTION("""COMPUTED_VALUE"""),1346.0)</f>
        <v>1346</v>
      </c>
      <c r="B1347" s="133"/>
      <c r="C1347" s="133" t="str">
        <f>IFERROR(__xludf.DUMMYFUNCTION("""COMPUTED_VALUE"""),"P-1-N-070523-2575")</f>
        <v>P-1-N-070523-2575</v>
      </c>
      <c r="D1347" s="133"/>
      <c r="E1347" s="133" t="str">
        <f>IFERROR(__xludf.DUMMYFUNCTION("""COMPUTED_VALUE"""),"تمت طباعة الشهادة")</f>
        <v>تمت طباعة الشهادة</v>
      </c>
      <c r="F1347" s="133" t="str">
        <f>IFERROR(__xludf.DUMMYFUNCTION("""COMPUTED_VALUE"""),"COUNTRY Budgie 0.6kg")</f>
        <v>COUNTRY Budgie 0.6kg</v>
      </c>
      <c r="G1347" s="133" t="str">
        <f>IFERROR(__xludf.DUMMYFUNCTION("""COMPUTED_VALUE"""),"كونتري بادجي 0.6 كجم")</f>
        <v>كونتري بادجي 0.6 كجم</v>
      </c>
      <c r="H1347" s="133" t="str">
        <f>IFERROR(__xludf.DUMMYFUNCTION("""COMPUTED_VALUE"""),"MAFE20231663")</f>
        <v>MAFE20231663</v>
      </c>
      <c r="I1347" s="133"/>
      <c r="J1347" s="133"/>
      <c r="K1347" s="133" t="str">
        <f>IFERROR(__xludf.DUMMYFUNCTION("""COMPUTED_VALUE"""),"ويت مولين بي في")</f>
        <v>ويت مولين بي في</v>
      </c>
      <c r="L1347" s="133"/>
      <c r="M1347" s="133"/>
      <c r="N1347" s="133"/>
      <c r="O1347" s="133"/>
      <c r="P1347" s="133"/>
      <c r="Q1347" s="133"/>
      <c r="R1347" s="133"/>
      <c r="S1347" s="133"/>
      <c r="T1347" s="133"/>
      <c r="U1347" s="133"/>
      <c r="V1347" s="133"/>
      <c r="W1347" s="133"/>
      <c r="X1347" s="133"/>
      <c r="Y1347" s="133"/>
      <c r="Z1347" s="133"/>
    </row>
    <row r="1348">
      <c r="A1348" s="133">
        <f>IFERROR(__xludf.DUMMYFUNCTION("""COMPUTED_VALUE"""),1347.0)</f>
        <v>1347</v>
      </c>
      <c r="B1348" s="133"/>
      <c r="C1348" s="133" t="str">
        <f>IFERROR(__xludf.DUMMYFUNCTION("""COMPUTED_VALUE"""),"P-1-N-070523-2576")</f>
        <v>P-1-N-070523-2576</v>
      </c>
      <c r="D1348" s="133"/>
      <c r="E1348" s="133" t="str">
        <f>IFERROR(__xludf.DUMMYFUNCTION("""COMPUTED_VALUE"""),"تمت طباعة الشهادة")</f>
        <v>تمت طباعة الشهادة</v>
      </c>
      <c r="F1348" s="133" t="str">
        <f>IFERROR(__xludf.DUMMYFUNCTION("""COMPUTED_VALUE"""),"COUNTRY Budgie 2.5kg")</f>
        <v>COUNTRY Budgie 2.5kg</v>
      </c>
      <c r="G1348" s="133" t="str">
        <f>IFERROR(__xludf.DUMMYFUNCTION("""COMPUTED_VALUE"""),"كونتري بادجي 2.5 كجم")</f>
        <v>كونتري بادجي 2.5 كجم</v>
      </c>
      <c r="H1348" s="133"/>
      <c r="I1348" s="133"/>
      <c r="J1348" s="133"/>
      <c r="K1348" s="133" t="str">
        <f>IFERROR(__xludf.DUMMYFUNCTION("""COMPUTED_VALUE"""),"ويت مولين بي في")</f>
        <v>ويت مولين بي في</v>
      </c>
      <c r="L1348" s="133"/>
      <c r="M1348" s="133"/>
      <c r="N1348" s="133"/>
      <c r="O1348" s="133"/>
      <c r="P1348" s="133"/>
      <c r="Q1348" s="133"/>
      <c r="R1348" s="133"/>
      <c r="S1348" s="133"/>
      <c r="T1348" s="133"/>
      <c r="U1348" s="133"/>
      <c r="V1348" s="133"/>
      <c r="W1348" s="133"/>
      <c r="X1348" s="133"/>
      <c r="Y1348" s="133"/>
      <c r="Z1348" s="133"/>
    </row>
    <row r="1349">
      <c r="A1349" s="133">
        <f>IFERROR(__xludf.DUMMYFUNCTION("""COMPUTED_VALUE"""),1348.0)</f>
        <v>1348</v>
      </c>
      <c r="B1349" s="133"/>
      <c r="C1349" s="133" t="str">
        <f>IFERROR(__xludf.DUMMYFUNCTION("""COMPUTED_VALUE"""),"P-1-N-070523-2577")</f>
        <v>P-1-N-070523-2577</v>
      </c>
      <c r="D1349" s="133"/>
      <c r="E1349" s="133" t="str">
        <f>IFERROR(__xludf.DUMMYFUNCTION("""COMPUTED_VALUE"""),"تمت طباعة الشهادة")</f>
        <v>تمت طباعة الشهادة</v>
      </c>
      <c r="F1349" s="133" t="str">
        <f>IFERROR(__xludf.DUMMYFUNCTION("""COMPUTED_VALUE"""),"COUNTRY Parrot 2kg")</f>
        <v>COUNTRY Parrot 2kg</v>
      </c>
      <c r="G1349" s="133" t="str">
        <f>IFERROR(__xludf.DUMMYFUNCTION("""COMPUTED_VALUE"""),"كونتري ببغاء 2 كجم")</f>
        <v>كونتري ببغاء 2 كجم</v>
      </c>
      <c r="H1349" s="133"/>
      <c r="I1349" s="133"/>
      <c r="J1349" s="133"/>
      <c r="K1349" s="133" t="str">
        <f>IFERROR(__xludf.DUMMYFUNCTION("""COMPUTED_VALUE"""),"ويت مولين بي في")</f>
        <v>ويت مولين بي في</v>
      </c>
      <c r="L1349" s="133"/>
      <c r="M1349" s="133"/>
      <c r="N1349" s="133"/>
      <c r="O1349" s="133"/>
      <c r="P1349" s="133"/>
      <c r="Q1349" s="133"/>
      <c r="R1349" s="133"/>
      <c r="S1349" s="133"/>
      <c r="T1349" s="133"/>
      <c r="U1349" s="133"/>
      <c r="V1349" s="133"/>
      <c r="W1349" s="133"/>
      <c r="X1349" s="133"/>
      <c r="Y1349" s="133"/>
      <c r="Z1349" s="133"/>
    </row>
    <row r="1350">
      <c r="A1350" s="133">
        <f>IFERROR(__xludf.DUMMYFUNCTION("""COMPUTED_VALUE"""),1349.0)</f>
        <v>1349</v>
      </c>
      <c r="B1350" s="133" t="str">
        <f>IFERROR(__xludf.DUMMYFUNCTION("""COMPUTED_VALUE"""),"A4001")</f>
        <v>A4001</v>
      </c>
      <c r="C1350" s="133" t="str">
        <f>IFERROR(__xludf.DUMMYFUNCTION("""COMPUTED_VALUE"""),"P-1-N-110523-2687")</f>
        <v>P-1-N-110523-2687</v>
      </c>
      <c r="D1350" s="133"/>
      <c r="E1350" s="133" t="str">
        <f>IFERROR(__xludf.DUMMYFUNCTION("""COMPUTED_VALUE"""),"مكتمل")</f>
        <v>مكتمل</v>
      </c>
      <c r="F1350" s="133" t="str">
        <f>IFERROR(__xludf.DUMMYFUNCTION("""COMPUTED_VALUE"""),"APPLAWS KITTEN CHICKEN ")</f>
        <v>APPLAWS KITTEN CHICKEN </v>
      </c>
      <c r="G1350" s="133" t="str">
        <f>IFERROR(__xludf.DUMMYFUNCTION("""COMPUTED_VALUE"""),"أبلاوز دجاج للقطط الصغيرة 400 جم")</f>
        <v>أبلاوز دجاج للقطط الصغيرة 400 جم</v>
      </c>
      <c r="H1350" s="133" t="str">
        <f>IFERROR(__xludf.DUMMYFUNCTION("""COMPUTED_VALUE"""),"FOM-2024-6779-FEB-2024-57216 -C-0041-78023
")</f>
        <v>FOM-2024-6779-FEB-2024-57216 -C-0041-78023
</v>
      </c>
      <c r="I1350" s="133"/>
      <c r="J1350" s="133"/>
      <c r="K1350" s="133" t="str">
        <f>IFERROR(__xludf.DUMMYFUNCTION("""COMPUTED_VALUE"""),"سي اند دي فوودز سباين")</f>
        <v>سي اند دي فوودز سباين</v>
      </c>
      <c r="L1350" s="142" t="str">
        <f>IFERROR(__xludf.DUMMYFUNCTION("""COMPUTED_VALUE"""),"A4001")</f>
        <v>A4001</v>
      </c>
      <c r="M1350" s="133" t="str">
        <f>IFERROR(__xludf.DUMMYFUNCTION("""COMPUTED_VALUE"""),"16-5-2028")</f>
        <v>16-5-2028</v>
      </c>
      <c r="N1350" s="133"/>
      <c r="O1350" s="133"/>
      <c r="P1350" s="133"/>
      <c r="Q1350" s="133"/>
      <c r="R1350" s="133"/>
      <c r="S1350" s="133"/>
      <c r="T1350" s="133"/>
      <c r="U1350" s="133"/>
      <c r="V1350" s="133"/>
      <c r="W1350" s="133"/>
      <c r="X1350" s="133"/>
      <c r="Y1350" s="133"/>
      <c r="Z1350" s="133"/>
    </row>
    <row r="1351">
      <c r="A1351" s="133">
        <f>IFERROR(__xludf.DUMMYFUNCTION("""COMPUTED_VALUE"""),1350.0)</f>
        <v>1350</v>
      </c>
      <c r="B1351" s="133"/>
      <c r="C1351" s="133" t="str">
        <f>IFERROR(__xludf.DUMMYFUNCTION("""COMPUTED_VALUE"""),"P-1-N-110523-2688")</f>
        <v>P-1-N-110523-2688</v>
      </c>
      <c r="D1351" s="133"/>
      <c r="E1351" s="133" t="str">
        <f>IFERROR(__xludf.DUMMYFUNCTION("""COMPUTED_VALUE"""),"مكتمل")</f>
        <v>مكتمل</v>
      </c>
      <c r="F1351" s="133" t="str">
        <f>IFERROR(__xludf.DUMMYFUNCTION("""COMPUTED_VALUE"""),"APPLAWS KITTEN CHICKEN 2KG")</f>
        <v>APPLAWS KITTEN CHICKEN 2KG</v>
      </c>
      <c r="G1351" s="133" t="str">
        <f>IFERROR(__xludf.DUMMYFUNCTION("""COMPUTED_VALUE"""),"أبلاوز دجاج للقطط الصغيرة 2 كجم")</f>
        <v>أبلاوز دجاج للقطط الصغيرة 2 كجم</v>
      </c>
      <c r="H1351" s="133" t="str">
        <f>IFERROR(__xludf.DUMMYFUNCTION("""COMPUTED_VALUE"""),"FOM-2024-6779-FEB-2024-57217 -C-0041-78024
")</f>
        <v>FOM-2024-6779-FEB-2024-57217 -C-0041-78024
</v>
      </c>
      <c r="I1351" s="133"/>
      <c r="J1351" s="133"/>
      <c r="K1351" s="133" t="str">
        <f>IFERROR(__xludf.DUMMYFUNCTION("""COMPUTED_VALUE"""),"سي اند دي فوودز سباين")</f>
        <v>سي اند دي فوودز سباين</v>
      </c>
      <c r="L1351" s="133"/>
      <c r="M1351" s="133" t="str">
        <f>IFERROR(__xludf.DUMMYFUNCTION("""COMPUTED_VALUE"""),"16-5-2028")</f>
        <v>16-5-2028</v>
      </c>
      <c r="N1351" s="133"/>
      <c r="O1351" s="133"/>
      <c r="P1351" s="133"/>
      <c r="Q1351" s="133"/>
      <c r="R1351" s="133"/>
      <c r="S1351" s="133"/>
      <c r="T1351" s="133"/>
      <c r="U1351" s="133"/>
      <c r="V1351" s="133"/>
      <c r="W1351" s="133"/>
      <c r="X1351" s="133"/>
      <c r="Y1351" s="133"/>
      <c r="Z1351" s="133"/>
    </row>
    <row r="1352">
      <c r="A1352" s="133">
        <f>IFERROR(__xludf.DUMMYFUNCTION("""COMPUTED_VALUE"""),1351.0)</f>
        <v>1351</v>
      </c>
      <c r="B1352" s="133"/>
      <c r="C1352" s="133" t="str">
        <f>IFERROR(__xludf.DUMMYFUNCTION("""COMPUTED_VALUE"""),"P-1-N-110523-2689")</f>
        <v>P-1-N-110523-2689</v>
      </c>
      <c r="D1352" s="133"/>
      <c r="E1352" s="133" t="str">
        <f>IFERROR(__xludf.DUMMYFUNCTION("""COMPUTED_VALUE"""),"مكتمل")</f>
        <v>مكتمل</v>
      </c>
      <c r="F1352" s="133" t="str">
        <f>IFERROR(__xludf.DUMMYFUNCTION("""COMPUTED_VALUE"""),"APPLAWS KITTEN CHICKEN 7.5KG")</f>
        <v>APPLAWS KITTEN CHICKEN 7.5KG</v>
      </c>
      <c r="G1352" s="133" t="str">
        <f>IFERROR(__xludf.DUMMYFUNCTION("""COMPUTED_VALUE"""),"أبلاوز دجاج للقطط الصغيرة 7.5 كجم")</f>
        <v>أبلاوز دجاج للقطط الصغيرة 7.5 كجم</v>
      </c>
      <c r="H1352" s="133" t="str">
        <f>IFERROR(__xludf.DUMMYFUNCTION("""COMPUTED_VALUE"""),"FOM-2024-6779-FEB-2024-57218 -C-0041-78025
")</f>
        <v>FOM-2024-6779-FEB-2024-57218 -C-0041-78025
</v>
      </c>
      <c r="I1352" s="133"/>
      <c r="J1352" s="133"/>
      <c r="K1352" s="133" t="str">
        <f>IFERROR(__xludf.DUMMYFUNCTION("""COMPUTED_VALUE"""),"سي اند دي فوودز سباين")</f>
        <v>سي اند دي فوودز سباين</v>
      </c>
      <c r="L1352" s="133"/>
      <c r="M1352" s="133" t="str">
        <f>IFERROR(__xludf.DUMMYFUNCTION("""COMPUTED_VALUE"""),"16-5-2028")</f>
        <v>16-5-2028</v>
      </c>
      <c r="N1352" s="133"/>
      <c r="O1352" s="133"/>
      <c r="P1352" s="133"/>
      <c r="Q1352" s="133"/>
      <c r="R1352" s="133"/>
      <c r="S1352" s="133"/>
      <c r="T1352" s="133"/>
      <c r="U1352" s="133"/>
      <c r="V1352" s="133"/>
      <c r="W1352" s="133"/>
      <c r="X1352" s="133"/>
      <c r="Y1352" s="133"/>
      <c r="Z1352" s="133"/>
    </row>
    <row r="1353">
      <c r="A1353" s="133">
        <f>IFERROR(__xludf.DUMMYFUNCTION("""COMPUTED_VALUE"""),1352.0)</f>
        <v>1352</v>
      </c>
      <c r="B1353" s="133" t="str">
        <f>IFERROR(__xludf.DUMMYFUNCTION("""COMPUTED_VALUE"""),"A4002")</f>
        <v>A4002</v>
      </c>
      <c r="C1353" s="133" t="str">
        <f>IFERROR(__xludf.DUMMYFUNCTION("""COMPUTED_VALUE"""),"P-1-N-110523-2691")</f>
        <v>P-1-N-110523-2691</v>
      </c>
      <c r="D1353" s="133"/>
      <c r="E1353" s="133" t="str">
        <f>IFERROR(__xludf.DUMMYFUNCTION("""COMPUTED_VALUE"""),"مكتمل")</f>
        <v>مكتمل</v>
      </c>
      <c r="F1353" s="133" t="str">
        <f>IFERROR(__xludf.DUMMYFUNCTION("""COMPUTED_VALUE"""),"APPLAWS ADULT CAT CHICKEN ")</f>
        <v>APPLAWS ADULT CAT CHICKEN </v>
      </c>
      <c r="G1353" s="133" t="str">
        <f>IFERROR(__xludf.DUMMYFUNCTION("""COMPUTED_VALUE"""),"أبلاوز دجاج للقطط البالغة 400 جم")</f>
        <v>أبلاوز دجاج للقطط البالغة 400 جم</v>
      </c>
      <c r="H1353" s="133" t="str">
        <f>IFERROR(__xludf.DUMMYFUNCTION("""COMPUTED_VALUE"""),"FOM-2024-6779-FEB-2024-57219 -C-0041-78026
")</f>
        <v>FOM-2024-6779-FEB-2024-57219 -C-0041-78026
</v>
      </c>
      <c r="I1353" s="133"/>
      <c r="J1353" s="133"/>
      <c r="K1353" s="133" t="str">
        <f>IFERROR(__xludf.DUMMYFUNCTION("""COMPUTED_VALUE"""),"سي اند دي فوودز سباين")</f>
        <v>سي اند دي فوودز سباين</v>
      </c>
      <c r="L1353" s="142" t="str">
        <f>IFERROR(__xludf.DUMMYFUNCTION("""COMPUTED_VALUE"""),"A4002")</f>
        <v>A4002</v>
      </c>
      <c r="M1353" s="133" t="str">
        <f>IFERROR(__xludf.DUMMYFUNCTION("""COMPUTED_VALUE"""),"16-5-2028")</f>
        <v>16-5-2028</v>
      </c>
      <c r="N1353" s="133"/>
      <c r="O1353" s="133"/>
      <c r="P1353" s="133"/>
      <c r="Q1353" s="133"/>
      <c r="R1353" s="133"/>
      <c r="S1353" s="133"/>
      <c r="T1353" s="133"/>
      <c r="U1353" s="133"/>
      <c r="V1353" s="133"/>
      <c r="W1353" s="133"/>
      <c r="X1353" s="133"/>
      <c r="Y1353" s="133"/>
      <c r="Z1353" s="133"/>
    </row>
    <row r="1354">
      <c r="A1354" s="133">
        <f>IFERROR(__xludf.DUMMYFUNCTION("""COMPUTED_VALUE"""),1353.0)</f>
        <v>1353</v>
      </c>
      <c r="B1354" s="133"/>
      <c r="C1354" s="133" t="str">
        <f>IFERROR(__xludf.DUMMYFUNCTION("""COMPUTED_VALUE"""),"P-1-N-110523-2692")</f>
        <v>P-1-N-110523-2692</v>
      </c>
      <c r="D1354" s="133"/>
      <c r="E1354" s="133" t="str">
        <f>IFERROR(__xludf.DUMMYFUNCTION("""COMPUTED_VALUE"""),"مكتمل")</f>
        <v>مكتمل</v>
      </c>
      <c r="F1354" s="133" t="str">
        <f>IFERROR(__xludf.DUMMYFUNCTION("""COMPUTED_VALUE"""),"APPLAWS ADULT CAT CHICKEN 2KG")</f>
        <v>APPLAWS ADULT CAT CHICKEN 2KG</v>
      </c>
      <c r="G1354" s="133" t="str">
        <f>IFERROR(__xludf.DUMMYFUNCTION("""COMPUTED_VALUE"""),"أبلاوز دجاج للقطط البالغة 2 كجم")</f>
        <v>أبلاوز دجاج للقطط البالغة 2 كجم</v>
      </c>
      <c r="H1354" s="133" t="str">
        <f>IFERROR(__xludf.DUMMYFUNCTION("""COMPUTED_VALUE"""),"FOM-2024-6779-FEB-2024-57220 -C-0041-78027
")</f>
        <v>FOM-2024-6779-FEB-2024-57220 -C-0041-78027
</v>
      </c>
      <c r="I1354" s="133"/>
      <c r="J1354" s="133"/>
      <c r="K1354" s="133" t="str">
        <f>IFERROR(__xludf.DUMMYFUNCTION("""COMPUTED_VALUE"""),"سي اند دي فوودز سباين")</f>
        <v>سي اند دي فوودز سباين</v>
      </c>
      <c r="L1354" s="133"/>
      <c r="M1354" s="133" t="str">
        <f>IFERROR(__xludf.DUMMYFUNCTION("""COMPUTED_VALUE"""),"16-5-2028")</f>
        <v>16-5-2028</v>
      </c>
      <c r="N1354" s="133"/>
      <c r="O1354" s="133"/>
      <c r="P1354" s="133"/>
      <c r="Q1354" s="133"/>
      <c r="R1354" s="133"/>
      <c r="S1354" s="133"/>
      <c r="T1354" s="133"/>
      <c r="U1354" s="133"/>
      <c r="V1354" s="133"/>
      <c r="W1354" s="133"/>
      <c r="X1354" s="133"/>
      <c r="Y1354" s="133"/>
      <c r="Z1354" s="133"/>
    </row>
    <row r="1355">
      <c r="A1355" s="133">
        <f>IFERROR(__xludf.DUMMYFUNCTION("""COMPUTED_VALUE"""),1354.0)</f>
        <v>1354</v>
      </c>
      <c r="B1355" s="133"/>
      <c r="C1355" s="133" t="str">
        <f>IFERROR(__xludf.DUMMYFUNCTION("""COMPUTED_VALUE"""),"P-1-N-110523-2693")</f>
        <v>P-1-N-110523-2693</v>
      </c>
      <c r="D1355" s="133"/>
      <c r="E1355" s="133" t="str">
        <f>IFERROR(__xludf.DUMMYFUNCTION("""COMPUTED_VALUE"""),"تمت طباعة الشهادة")</f>
        <v>تمت طباعة الشهادة</v>
      </c>
      <c r="F1355" s="133" t="str">
        <f>IFERROR(__xludf.DUMMYFUNCTION("""COMPUTED_VALUE"""),"APPLAWS ADULT CAT CHICKEN 7.5KG")</f>
        <v>APPLAWS ADULT CAT CHICKEN 7.5KG</v>
      </c>
      <c r="G1355" s="133" t="str">
        <f>IFERROR(__xludf.DUMMYFUNCTION("""COMPUTED_VALUE"""),"أبلاوز دجاج للقطط البالغة 7.5 كجم")</f>
        <v>أبلاوز دجاج للقطط البالغة 7.5 كجم</v>
      </c>
      <c r="H1355" s="133"/>
      <c r="I1355" s="133"/>
      <c r="J1355" s="133"/>
      <c r="K1355" s="133" t="str">
        <f>IFERROR(__xludf.DUMMYFUNCTION("""COMPUTED_VALUE"""),"سي اند دي فوودز سباين")</f>
        <v>سي اند دي فوودز سباين</v>
      </c>
      <c r="L1355" s="133"/>
      <c r="M1355" s="133" t="str">
        <f>IFERROR(__xludf.DUMMYFUNCTION("""COMPUTED_VALUE"""),"16-5-2028")</f>
        <v>16-5-2028</v>
      </c>
      <c r="N1355" s="133"/>
      <c r="O1355" s="133"/>
      <c r="P1355" s="133"/>
      <c r="Q1355" s="133"/>
      <c r="R1355" s="133"/>
      <c r="S1355" s="133"/>
      <c r="T1355" s="133"/>
      <c r="U1355" s="133"/>
      <c r="V1355" s="133"/>
      <c r="W1355" s="133"/>
      <c r="X1355" s="133"/>
      <c r="Y1355" s="133"/>
      <c r="Z1355" s="133"/>
    </row>
    <row r="1356">
      <c r="A1356" s="133">
        <f>IFERROR(__xludf.DUMMYFUNCTION("""COMPUTED_VALUE"""),1355.0)</f>
        <v>1355</v>
      </c>
      <c r="B1356" s="133" t="str">
        <f>IFERROR(__xludf.DUMMYFUNCTION("""COMPUTED_VALUE"""),"A4003")</f>
        <v>A4003</v>
      </c>
      <c r="C1356" s="133" t="str">
        <f>IFERROR(__xludf.DUMMYFUNCTION("""COMPUTED_VALUE"""),"P-1-N-110523-2694")</f>
        <v>P-1-N-110523-2694</v>
      </c>
      <c r="D1356" s="133"/>
      <c r="E1356" s="133" t="str">
        <f>IFERROR(__xludf.DUMMYFUNCTION("""COMPUTED_VALUE"""),"مكتمل")</f>
        <v>مكتمل</v>
      </c>
      <c r="F1356" s="133" t="str">
        <f>IFERROR(__xludf.DUMMYFUNCTION("""COMPUTED_VALUE"""),"APPLAWS ADULT CAT CHICKEN WITH EXTRA SALMON ")</f>
        <v>APPLAWS ADULT CAT CHICKEN WITH EXTRA SALMON </v>
      </c>
      <c r="G1356" s="133" t="str">
        <f>IFERROR(__xludf.DUMMYFUNCTION("""COMPUTED_VALUE"""),"أبلاوز دجاج مع سمك السلمون الإضافي للقطط البالغة 400 جم")</f>
        <v>أبلاوز دجاج مع سمك السلمون الإضافي للقطط البالغة 400 جم</v>
      </c>
      <c r="H1356" s="133" t="str">
        <f>IFERROR(__xludf.DUMMYFUNCTION("""COMPUTED_VALUE"""),"FOM-2024-6779-FEB-2024-57222 -C-0041-78029
")</f>
        <v>FOM-2024-6779-FEB-2024-57222 -C-0041-78029
</v>
      </c>
      <c r="I1356" s="133"/>
      <c r="J1356" s="133"/>
      <c r="K1356" s="133" t="str">
        <f>IFERROR(__xludf.DUMMYFUNCTION("""COMPUTED_VALUE"""),"سي اند دي فوودز سباين")</f>
        <v>سي اند دي فوودز سباين</v>
      </c>
      <c r="L1356" s="142" t="str">
        <f>IFERROR(__xludf.DUMMYFUNCTION("""COMPUTED_VALUE"""),"A4003")</f>
        <v>A4003</v>
      </c>
      <c r="M1356" s="133" t="str">
        <f>IFERROR(__xludf.DUMMYFUNCTION("""COMPUTED_VALUE"""),"16-5-2028")</f>
        <v>16-5-2028</v>
      </c>
      <c r="N1356" s="133"/>
      <c r="O1356" s="133"/>
      <c r="P1356" s="133"/>
      <c r="Q1356" s="133"/>
      <c r="R1356" s="133"/>
      <c r="S1356" s="133"/>
      <c r="T1356" s="133"/>
      <c r="U1356" s="133"/>
      <c r="V1356" s="133"/>
      <c r="W1356" s="133"/>
      <c r="X1356" s="133"/>
      <c r="Y1356" s="133"/>
      <c r="Z1356" s="133"/>
    </row>
    <row r="1357">
      <c r="A1357" s="133">
        <f>IFERROR(__xludf.DUMMYFUNCTION("""COMPUTED_VALUE"""),1356.0)</f>
        <v>1356</v>
      </c>
      <c r="B1357" s="133"/>
      <c r="C1357" s="133" t="str">
        <f>IFERROR(__xludf.DUMMYFUNCTION("""COMPUTED_VALUE"""),"P-1-N-110523-2695")</f>
        <v>P-1-N-110523-2695</v>
      </c>
      <c r="D1357" s="133"/>
      <c r="E1357" s="133" t="str">
        <f>IFERROR(__xludf.DUMMYFUNCTION("""COMPUTED_VALUE"""),"مكتمل")</f>
        <v>مكتمل</v>
      </c>
      <c r="F1357" s="133" t="str">
        <f>IFERROR(__xludf.DUMMYFUNCTION("""COMPUTED_VALUE"""),"APPLAWS ADULT CAT CHICKEN WITH EXTRA SALMON 2KG")</f>
        <v>APPLAWS ADULT CAT CHICKEN WITH EXTRA SALMON 2KG</v>
      </c>
      <c r="G1357" s="133" t="str">
        <f>IFERROR(__xludf.DUMMYFUNCTION("""COMPUTED_VALUE"""),"أبلاوز دجاج مع سمك السلمون الإضافي للقطط البالغة 2 كجم")</f>
        <v>أبلاوز دجاج مع سمك السلمون الإضافي للقطط البالغة 2 كجم</v>
      </c>
      <c r="H1357" s="133" t="str">
        <f>IFERROR(__xludf.DUMMYFUNCTION("""COMPUTED_VALUE"""),"FOM-2024-6779-FEB-2024-57223 -C-0041-78030
")</f>
        <v>FOM-2024-6779-FEB-2024-57223 -C-0041-78030
</v>
      </c>
      <c r="I1357" s="133"/>
      <c r="J1357" s="133"/>
      <c r="K1357" s="133" t="str">
        <f>IFERROR(__xludf.DUMMYFUNCTION("""COMPUTED_VALUE"""),"سي اند دي فوودز سباين")</f>
        <v>سي اند دي فوودز سباين</v>
      </c>
      <c r="L1357" s="133"/>
      <c r="M1357" s="133" t="str">
        <f>IFERROR(__xludf.DUMMYFUNCTION("""COMPUTED_VALUE"""),"16-5-2028")</f>
        <v>16-5-2028</v>
      </c>
      <c r="N1357" s="133"/>
      <c r="O1357" s="133"/>
      <c r="P1357" s="133"/>
      <c r="Q1357" s="133"/>
      <c r="R1357" s="133"/>
      <c r="S1357" s="133"/>
      <c r="T1357" s="133"/>
      <c r="U1357" s="133"/>
      <c r="V1357" s="133"/>
      <c r="W1357" s="133"/>
      <c r="X1357" s="133"/>
      <c r="Y1357" s="133"/>
      <c r="Z1357" s="133"/>
    </row>
    <row r="1358">
      <c r="A1358" s="133">
        <f>IFERROR(__xludf.DUMMYFUNCTION("""COMPUTED_VALUE"""),1357.0)</f>
        <v>1357</v>
      </c>
      <c r="B1358" s="133"/>
      <c r="C1358" s="133" t="str">
        <f>IFERROR(__xludf.DUMMYFUNCTION("""COMPUTED_VALUE"""),"P-1-N-110523-2696")</f>
        <v>P-1-N-110523-2696</v>
      </c>
      <c r="D1358" s="133"/>
      <c r="E1358" s="133" t="str">
        <f>IFERROR(__xludf.DUMMYFUNCTION("""COMPUTED_VALUE"""),"مكتمل")</f>
        <v>مكتمل</v>
      </c>
      <c r="F1358" s="133" t="str">
        <f>IFERROR(__xludf.DUMMYFUNCTION("""COMPUTED_VALUE"""),"APPLAWS ADULT CAT CHICKEN WITH EXTRA SALMON 7.5KG")</f>
        <v>APPLAWS ADULT CAT CHICKEN WITH EXTRA SALMON 7.5KG</v>
      </c>
      <c r="G1358" s="133" t="str">
        <f>IFERROR(__xludf.DUMMYFUNCTION("""COMPUTED_VALUE"""),"أبلاوز دجاج مع سمك السلمون الإضافي للقطط البالغة 7.5 كجم")</f>
        <v>أبلاوز دجاج مع سمك السلمون الإضافي للقطط البالغة 7.5 كجم</v>
      </c>
      <c r="H1358" s="133" t="str">
        <f>IFERROR(__xludf.DUMMYFUNCTION("""COMPUTED_VALUE"""),"FOM-2024-6779-FEB-2024-57224 -C-0041-78031
")</f>
        <v>FOM-2024-6779-FEB-2024-57224 -C-0041-78031
</v>
      </c>
      <c r="I1358" s="133"/>
      <c r="J1358" s="133"/>
      <c r="K1358" s="133" t="str">
        <f>IFERROR(__xludf.DUMMYFUNCTION("""COMPUTED_VALUE"""),"سي اند دي فوودز سباين")</f>
        <v>سي اند دي فوودز سباين</v>
      </c>
      <c r="L1358" s="133"/>
      <c r="M1358" s="133" t="str">
        <f>IFERROR(__xludf.DUMMYFUNCTION("""COMPUTED_VALUE"""),"16-5-2028")</f>
        <v>16-5-2028</v>
      </c>
      <c r="N1358" s="133"/>
      <c r="O1358" s="133"/>
      <c r="P1358" s="133"/>
      <c r="Q1358" s="133"/>
      <c r="R1358" s="133"/>
      <c r="S1358" s="133"/>
      <c r="T1358" s="133"/>
      <c r="U1358" s="133"/>
      <c r="V1358" s="133"/>
      <c r="W1358" s="133"/>
      <c r="X1358" s="133"/>
      <c r="Y1358" s="133"/>
      <c r="Z1358" s="133"/>
    </row>
    <row r="1359">
      <c r="A1359" s="133">
        <f>IFERROR(__xludf.DUMMYFUNCTION("""COMPUTED_VALUE"""),1358.0)</f>
        <v>1358</v>
      </c>
      <c r="B1359" s="133" t="str">
        <f>IFERROR(__xludf.DUMMYFUNCTION("""COMPUTED_VALUE"""),"A4105")</f>
        <v>A4105</v>
      </c>
      <c r="C1359" s="133" t="str">
        <f>IFERROR(__xludf.DUMMYFUNCTION("""COMPUTED_VALUE"""),"P-1-N-110523-2700")</f>
        <v>P-1-N-110523-2700</v>
      </c>
      <c r="D1359" s="133"/>
      <c r="E1359" s="133" t="str">
        <f>IFERROR(__xludf.DUMMYFUNCTION("""COMPUTED_VALUE"""),"مكتمل")</f>
        <v>مكتمل</v>
      </c>
      <c r="F1359" s="133" t="str">
        <f>IFERROR(__xludf.DUMMYFUNCTION("""COMPUTED_VALUE"""),"APPLAWS SENIOR CAT CHICKEN ")</f>
        <v>APPLAWS SENIOR CAT CHICKEN </v>
      </c>
      <c r="G1359" s="133" t="str">
        <f>IFERROR(__xludf.DUMMYFUNCTION("""COMPUTED_VALUE"""),"أبلاوز دجاج للقطط كبيرة السن 400 جم")</f>
        <v>أبلاوز دجاج للقطط كبيرة السن 400 جم</v>
      </c>
      <c r="H1359" s="133" t="str">
        <f>IFERROR(__xludf.DUMMYFUNCTION("""COMPUTED_VALUE"""),"FOM-2024-6779-FEB-2024-57207 -C-0041-78014
")</f>
        <v>FOM-2024-6779-FEB-2024-57207 -C-0041-78014
</v>
      </c>
      <c r="I1359" s="133"/>
      <c r="J1359" s="133"/>
      <c r="K1359" s="133" t="str">
        <f>IFERROR(__xludf.DUMMYFUNCTION("""COMPUTED_VALUE"""),"سي اند دي فوودز سباين")</f>
        <v>سي اند دي فوودز سباين</v>
      </c>
      <c r="L1359" s="142" t="str">
        <f>IFERROR(__xludf.DUMMYFUNCTION("""COMPUTED_VALUE"""),"A4105")</f>
        <v>A4105</v>
      </c>
      <c r="M1359" s="133" t="str">
        <f>IFERROR(__xludf.DUMMYFUNCTION("""COMPUTED_VALUE"""),"17-5-2028")</f>
        <v>17-5-2028</v>
      </c>
      <c r="N1359" s="133"/>
      <c r="O1359" s="133"/>
      <c r="P1359" s="133"/>
      <c r="Q1359" s="133"/>
      <c r="R1359" s="133"/>
      <c r="S1359" s="133"/>
      <c r="T1359" s="133"/>
      <c r="U1359" s="133"/>
      <c r="V1359" s="133"/>
      <c r="W1359" s="133"/>
      <c r="X1359" s="133"/>
      <c r="Y1359" s="133"/>
      <c r="Z1359" s="133"/>
    </row>
    <row r="1360">
      <c r="A1360" s="133">
        <f>IFERROR(__xludf.DUMMYFUNCTION("""COMPUTED_VALUE"""),1359.0)</f>
        <v>1359</v>
      </c>
      <c r="B1360" s="133"/>
      <c r="C1360" s="133" t="str">
        <f>IFERROR(__xludf.DUMMYFUNCTION("""COMPUTED_VALUE"""),"P-1-N-110523-2701")</f>
        <v>P-1-N-110523-2701</v>
      </c>
      <c r="D1360" s="133"/>
      <c r="E1360" s="133" t="str">
        <f>IFERROR(__xludf.DUMMYFUNCTION("""COMPUTED_VALUE"""),"مكتمل")</f>
        <v>مكتمل</v>
      </c>
      <c r="F1360" s="133" t="str">
        <f>IFERROR(__xludf.DUMMYFUNCTION("""COMPUTED_VALUE"""),"APPLAWS SENIOR CAT CHICKEN 2KG")</f>
        <v>APPLAWS SENIOR CAT CHICKEN 2KG</v>
      </c>
      <c r="G1360" s="133" t="str">
        <f>IFERROR(__xludf.DUMMYFUNCTION("""COMPUTED_VALUE"""),"أبلاوز دجاج للقطط كبيرة السن 2 كجم")</f>
        <v>أبلاوز دجاج للقطط كبيرة السن 2 كجم</v>
      </c>
      <c r="H1360" s="133" t="str">
        <f>IFERROR(__xludf.DUMMYFUNCTION("""COMPUTED_VALUE"""),"FOM-2024-6779-FEB-2024-57208 -C-0041-78015
")</f>
        <v>FOM-2024-6779-FEB-2024-57208 -C-0041-78015
</v>
      </c>
      <c r="I1360" s="133"/>
      <c r="J1360" s="133"/>
      <c r="K1360" s="133" t="str">
        <f>IFERROR(__xludf.DUMMYFUNCTION("""COMPUTED_VALUE"""),"سي اند دي فوودز سباين")</f>
        <v>سي اند دي فوودز سباين</v>
      </c>
      <c r="L1360" s="133"/>
      <c r="M1360" s="133" t="str">
        <f>IFERROR(__xludf.DUMMYFUNCTION("""COMPUTED_VALUE"""),"17-5-2028")</f>
        <v>17-5-2028</v>
      </c>
      <c r="N1360" s="133"/>
      <c r="O1360" s="133"/>
      <c r="P1360" s="133"/>
      <c r="Q1360" s="133"/>
      <c r="R1360" s="133"/>
      <c r="S1360" s="133"/>
      <c r="T1360" s="133"/>
      <c r="U1360" s="133"/>
      <c r="V1360" s="133"/>
      <c r="W1360" s="133"/>
      <c r="X1360" s="133"/>
      <c r="Y1360" s="133"/>
      <c r="Z1360" s="133"/>
    </row>
    <row r="1361">
      <c r="A1361" s="133">
        <f>IFERROR(__xludf.DUMMYFUNCTION("""COMPUTED_VALUE"""),1360.0)</f>
        <v>1360</v>
      </c>
      <c r="B1361" s="133"/>
      <c r="C1361" s="133" t="str">
        <f>IFERROR(__xludf.DUMMYFUNCTION("""COMPUTED_VALUE"""),"P-1-N-110523-2702")</f>
        <v>P-1-N-110523-2702</v>
      </c>
      <c r="D1361" s="133"/>
      <c r="E1361" s="133" t="str">
        <f>IFERROR(__xludf.DUMMYFUNCTION("""COMPUTED_VALUE"""),"مكتمل")</f>
        <v>مكتمل</v>
      </c>
      <c r="F1361" s="133" t="str">
        <f>IFERROR(__xludf.DUMMYFUNCTION("""COMPUTED_VALUE"""),"APPLAWS SENIOR CAT CHICKEN 7.5KG")</f>
        <v>APPLAWS SENIOR CAT CHICKEN 7.5KG</v>
      </c>
      <c r="G1361" s="133" t="str">
        <f>IFERROR(__xludf.DUMMYFUNCTION("""COMPUTED_VALUE"""),"أبلاوز دجاج للقطط كبيرة السن 7.5 كجم")</f>
        <v>أبلاوز دجاج للقطط كبيرة السن 7.5 كجم</v>
      </c>
      <c r="H1361" s="133" t="str">
        <f>IFERROR(__xludf.DUMMYFUNCTION("""COMPUTED_VALUE"""),"FOM-2024-6779-FEB-2024-57209 -C-0041-78016
")</f>
        <v>FOM-2024-6779-FEB-2024-57209 -C-0041-78016
</v>
      </c>
      <c r="I1361" s="133"/>
      <c r="J1361" s="133"/>
      <c r="K1361" s="133" t="str">
        <f>IFERROR(__xludf.DUMMYFUNCTION("""COMPUTED_VALUE"""),"سي اند دي فوودز سباين")</f>
        <v>سي اند دي فوودز سباين</v>
      </c>
      <c r="L1361" s="133"/>
      <c r="M1361" s="133" t="str">
        <f>IFERROR(__xludf.DUMMYFUNCTION("""COMPUTED_VALUE"""),"17-5-2028")</f>
        <v>17-5-2028</v>
      </c>
      <c r="N1361" s="133"/>
      <c r="O1361" s="133"/>
      <c r="P1361" s="133"/>
      <c r="Q1361" s="133"/>
      <c r="R1361" s="133"/>
      <c r="S1361" s="133"/>
      <c r="T1361" s="133"/>
      <c r="U1361" s="133"/>
      <c r="V1361" s="133"/>
      <c r="W1361" s="133"/>
      <c r="X1361" s="133"/>
      <c r="Y1361" s="133"/>
      <c r="Z1361" s="133"/>
    </row>
    <row r="1362">
      <c r="A1362" s="133">
        <f>IFERROR(__xludf.DUMMYFUNCTION("""COMPUTED_VALUE"""),1361.0)</f>
        <v>1361</v>
      </c>
      <c r="B1362" s="133" t="str">
        <f>IFERROR(__xludf.DUMMYFUNCTION("""COMPUTED_VALUE"""),"A4104")</f>
        <v>A4104</v>
      </c>
      <c r="C1362" s="133" t="str">
        <f>IFERROR(__xludf.DUMMYFUNCTION("""COMPUTED_VALUE"""),"P-1-N-110523-2703")</f>
        <v>P-1-N-110523-2703</v>
      </c>
      <c r="D1362" s="133"/>
      <c r="E1362" s="133" t="str">
        <f>IFERROR(__xludf.DUMMYFUNCTION("""COMPUTED_VALUE"""),"مكتمل")</f>
        <v>مكتمل</v>
      </c>
      <c r="F1362" s="133" t="str">
        <f>IFERROR(__xludf.DUMMYFUNCTION("""COMPUTED_VALUE"""),"APPLAWS ADULT CAT CHICKEN WITH EXTRA DUCK ")</f>
        <v>APPLAWS ADULT CAT CHICKEN WITH EXTRA DUCK </v>
      </c>
      <c r="G1362" s="133" t="str">
        <f>IFERROR(__xludf.DUMMYFUNCTION("""COMPUTED_VALUE"""),"أبلاوز دجاج مع البط الإضافي للقطط البالغة 400 جم")</f>
        <v>أبلاوز دجاج مع البط الإضافي للقطط البالغة 400 جم</v>
      </c>
      <c r="H1362" s="133" t="str">
        <f>IFERROR(__xludf.DUMMYFUNCTION("""COMPUTED_VALUE"""),"FOM-2024-6779-FEB-2024-57210 -C-0041-78017
")</f>
        <v>FOM-2024-6779-FEB-2024-57210 -C-0041-78017
</v>
      </c>
      <c r="I1362" s="133"/>
      <c r="J1362" s="133"/>
      <c r="K1362" s="133" t="str">
        <f>IFERROR(__xludf.DUMMYFUNCTION("""COMPUTED_VALUE"""),"سي اند دي فوودز سباين")</f>
        <v>سي اند دي فوودز سباين</v>
      </c>
      <c r="L1362" s="142" t="str">
        <f>IFERROR(__xludf.DUMMYFUNCTION("""COMPUTED_VALUE"""),"A4104")</f>
        <v>A4104</v>
      </c>
      <c r="M1362" s="133" t="str">
        <f>IFERROR(__xludf.DUMMYFUNCTION("""COMPUTED_VALUE"""),"17-5-2028")</f>
        <v>17-5-2028</v>
      </c>
      <c r="N1362" s="133"/>
      <c r="O1362" s="133"/>
      <c r="P1362" s="133"/>
      <c r="Q1362" s="133"/>
      <c r="R1362" s="133"/>
      <c r="S1362" s="133"/>
      <c r="T1362" s="133"/>
      <c r="U1362" s="133"/>
      <c r="V1362" s="133"/>
      <c r="W1362" s="133"/>
      <c r="X1362" s="133"/>
      <c r="Y1362" s="133"/>
      <c r="Z1362" s="133"/>
    </row>
    <row r="1363">
      <c r="A1363" s="133">
        <f>IFERROR(__xludf.DUMMYFUNCTION("""COMPUTED_VALUE"""),1362.0)</f>
        <v>1362</v>
      </c>
      <c r="B1363" s="133"/>
      <c r="C1363" s="133" t="str">
        <f>IFERROR(__xludf.DUMMYFUNCTION("""COMPUTED_VALUE"""),"P-1-N-110523-2704")</f>
        <v>P-1-N-110523-2704</v>
      </c>
      <c r="D1363" s="133"/>
      <c r="E1363" s="133" t="str">
        <f>IFERROR(__xludf.DUMMYFUNCTION("""COMPUTED_VALUE"""),"مكتمل")</f>
        <v>مكتمل</v>
      </c>
      <c r="F1363" s="133" t="str">
        <f>IFERROR(__xludf.DUMMYFUNCTION("""COMPUTED_VALUE"""),"APPLAWS ADULT CAT CHICKEN WITH EXTRA DUCK 2KG")</f>
        <v>APPLAWS ADULT CAT CHICKEN WITH EXTRA DUCK 2KG</v>
      </c>
      <c r="G1363" s="133" t="str">
        <f>IFERROR(__xludf.DUMMYFUNCTION("""COMPUTED_VALUE"""),"أبلاوز دجاج مع البط الإضافي للقطط البالغة 2 كجم")</f>
        <v>أبلاوز دجاج مع البط الإضافي للقطط البالغة 2 كجم</v>
      </c>
      <c r="H1363" s="133" t="str">
        <f>IFERROR(__xludf.DUMMYFUNCTION("""COMPUTED_VALUE"""),"FOM-2024-6779-FEB-2024-57211 -C-0041-78018
")</f>
        <v>FOM-2024-6779-FEB-2024-57211 -C-0041-78018
</v>
      </c>
      <c r="I1363" s="133"/>
      <c r="J1363" s="133"/>
      <c r="K1363" s="133" t="str">
        <f>IFERROR(__xludf.DUMMYFUNCTION("""COMPUTED_VALUE"""),"سي اند دي فوودز سباين")</f>
        <v>سي اند دي فوودز سباين</v>
      </c>
      <c r="L1363" s="133"/>
      <c r="M1363" s="133" t="str">
        <f>IFERROR(__xludf.DUMMYFUNCTION("""COMPUTED_VALUE"""),"17-5-2028")</f>
        <v>17-5-2028</v>
      </c>
      <c r="N1363" s="133"/>
      <c r="O1363" s="133"/>
      <c r="P1363" s="133"/>
      <c r="Q1363" s="133"/>
      <c r="R1363" s="133"/>
      <c r="S1363" s="133"/>
      <c r="T1363" s="133"/>
      <c r="U1363" s="133"/>
      <c r="V1363" s="133"/>
      <c r="W1363" s="133"/>
      <c r="X1363" s="133"/>
      <c r="Y1363" s="133"/>
      <c r="Z1363" s="133"/>
    </row>
    <row r="1364">
      <c r="A1364" s="133">
        <f>IFERROR(__xludf.DUMMYFUNCTION("""COMPUTED_VALUE"""),1363.0)</f>
        <v>1363</v>
      </c>
      <c r="B1364" s="133"/>
      <c r="C1364" s="133" t="str">
        <f>IFERROR(__xludf.DUMMYFUNCTION("""COMPUTED_VALUE"""),"P-1-N-110523-2705")</f>
        <v>P-1-N-110523-2705</v>
      </c>
      <c r="D1364" s="133"/>
      <c r="E1364" s="133" t="str">
        <f>IFERROR(__xludf.DUMMYFUNCTION("""COMPUTED_VALUE"""),"مكتمل")</f>
        <v>مكتمل</v>
      </c>
      <c r="F1364" s="133" t="str">
        <f>IFERROR(__xludf.DUMMYFUNCTION("""COMPUTED_VALUE"""),"APPLAWS ADULT CAT CHICKEN WITH EXTRA DUCK 7.5KG")</f>
        <v>APPLAWS ADULT CAT CHICKEN WITH EXTRA DUCK 7.5KG</v>
      </c>
      <c r="G1364" s="133" t="str">
        <f>IFERROR(__xludf.DUMMYFUNCTION("""COMPUTED_VALUE"""),"أبلاوز دجاج مع البط الإضافي للقطط البالغة 7.5 كجم")</f>
        <v>أبلاوز دجاج مع البط الإضافي للقطط البالغة 7.5 كجم</v>
      </c>
      <c r="H1364" s="133" t="str">
        <f>IFERROR(__xludf.DUMMYFUNCTION("""COMPUTED_VALUE"""),"FOM-2024-6779-FEB-2024-57212 -C-0041-78019
")</f>
        <v>FOM-2024-6779-FEB-2024-57212 -C-0041-78019
</v>
      </c>
      <c r="I1364" s="133"/>
      <c r="J1364" s="133"/>
      <c r="K1364" s="133" t="str">
        <f>IFERROR(__xludf.DUMMYFUNCTION("""COMPUTED_VALUE"""),"سي اند دي فوودز سباين")</f>
        <v>سي اند دي فوودز سباين</v>
      </c>
      <c r="L1364" s="133"/>
      <c r="M1364" s="133" t="str">
        <f>IFERROR(__xludf.DUMMYFUNCTION("""COMPUTED_VALUE"""),"17-5-2028")</f>
        <v>17-5-2028</v>
      </c>
      <c r="N1364" s="133"/>
      <c r="O1364" s="133"/>
      <c r="P1364" s="133"/>
      <c r="Q1364" s="133"/>
      <c r="R1364" s="133"/>
      <c r="S1364" s="133"/>
      <c r="T1364" s="133"/>
      <c r="U1364" s="133"/>
      <c r="V1364" s="133"/>
      <c r="W1364" s="133"/>
      <c r="X1364" s="133"/>
      <c r="Y1364" s="133"/>
      <c r="Z1364" s="133"/>
    </row>
    <row r="1365">
      <c r="A1365" s="133">
        <f>IFERROR(__xludf.DUMMYFUNCTION("""COMPUTED_VALUE"""),1364.0)</f>
        <v>1364</v>
      </c>
      <c r="B1365" s="133"/>
      <c r="C1365" s="133" t="str">
        <f>IFERROR(__xludf.DUMMYFUNCTION("""COMPUTED_VALUE"""),"P-1-N-110523-2708")</f>
        <v>P-1-N-110523-2708</v>
      </c>
      <c r="D1365" s="133"/>
      <c r="E1365" s="133" t="str">
        <f>IFERROR(__xludf.DUMMYFUNCTION("""COMPUTED_VALUE"""),"مكتمل")</f>
        <v>مكتمل</v>
      </c>
      <c r="F1365" s="133" t="str">
        <f>IFERROR(__xludf.DUMMYFUNCTION("""COMPUTED_VALUE"""),"APPLAWS ADULT CAT OCEAN FISH WITH SALMON 350G")</f>
        <v>APPLAWS ADULT CAT OCEAN FISH WITH SALMON 350G</v>
      </c>
      <c r="G1365" s="133" t="str">
        <f>IFERROR(__xludf.DUMMYFUNCTION("""COMPUTED_VALUE"""),"أبلاوز سمك المحيط مع السلمون للقطط البالغة 350 جم")</f>
        <v>أبلاوز سمك المحيط مع السلمون للقطط البالغة 350 جم</v>
      </c>
      <c r="H1365" s="133" t="str">
        <f>IFERROR(__xludf.DUMMYFUNCTION("""COMPUTED_VALUE"""),"FOM-2024-6779-FEB-2024-57213 -C-0041-78020
")</f>
        <v>FOM-2024-6779-FEB-2024-57213 -C-0041-78020
</v>
      </c>
      <c r="I1365" s="133"/>
      <c r="J1365" s="133"/>
      <c r="K1365" s="133" t="str">
        <f>IFERROR(__xludf.DUMMYFUNCTION("""COMPUTED_VALUE"""),"سي اند دي فوودز سباين")</f>
        <v>سي اند دي فوودز سباين</v>
      </c>
      <c r="L1365" s="133"/>
      <c r="M1365" s="133" t="str">
        <f>IFERROR(__xludf.DUMMYFUNCTION("""COMPUTED_VALUE"""),"17-5-2028")</f>
        <v>17-5-2028</v>
      </c>
      <c r="N1365" s="133"/>
      <c r="O1365" s="133"/>
      <c r="P1365" s="133"/>
      <c r="Q1365" s="133"/>
      <c r="R1365" s="133"/>
      <c r="S1365" s="133"/>
      <c r="T1365" s="133"/>
      <c r="U1365" s="133"/>
      <c r="V1365" s="133"/>
      <c r="W1365" s="133"/>
      <c r="X1365" s="133"/>
      <c r="Y1365" s="133"/>
      <c r="Z1365" s="133"/>
    </row>
    <row r="1366">
      <c r="A1366" s="133">
        <f>IFERROR(__xludf.DUMMYFUNCTION("""COMPUTED_VALUE"""),1365.0)</f>
        <v>1365</v>
      </c>
      <c r="B1366" s="133" t="str">
        <f>IFERROR(__xludf.DUMMYFUNCTION("""COMPUTED_VALUE"""),"A4027")</f>
        <v>A4027</v>
      </c>
      <c r="C1366" s="133" t="str">
        <f>IFERROR(__xludf.DUMMYFUNCTION("""COMPUTED_VALUE"""),"P-1-N-110523-2709")</f>
        <v>P-1-N-110523-2709</v>
      </c>
      <c r="D1366" s="133"/>
      <c r="E1366" s="133" t="str">
        <f>IFERROR(__xludf.DUMMYFUNCTION("""COMPUTED_VALUE"""),"مكتمل")</f>
        <v>مكتمل</v>
      </c>
      <c r="F1366" s="133" t="str">
        <f>IFERROR(__xludf.DUMMYFUNCTION("""COMPUTED_VALUE"""),"APPLAWS ADULT CAT OCEAN FISH WITH SALMON 1.8KG")</f>
        <v>APPLAWS ADULT CAT OCEAN FISH WITH SALMON 1.8KG</v>
      </c>
      <c r="G1366" s="133" t="str">
        <f>IFERROR(__xludf.DUMMYFUNCTION("""COMPUTED_VALUE"""),"أبلاوز سمك المحيط مع السلمون للقطط البالغة 1.8 كجم")</f>
        <v>أبلاوز سمك المحيط مع السلمون للقطط البالغة 1.8 كجم</v>
      </c>
      <c r="H1366" s="133" t="str">
        <f>IFERROR(__xludf.DUMMYFUNCTION("""COMPUTED_VALUE"""),"FOM-2024-6779-FEB-2024-57214 -C-0041-78021
")</f>
        <v>FOM-2024-6779-FEB-2024-57214 -C-0041-78021
</v>
      </c>
      <c r="I1366" s="133"/>
      <c r="J1366" s="133"/>
      <c r="K1366" s="133" t="str">
        <f>IFERROR(__xludf.DUMMYFUNCTION("""COMPUTED_VALUE"""),"سي اند دي فوودز سباين")</f>
        <v>سي اند دي فوودز سباين</v>
      </c>
      <c r="L1366" s="142" t="str">
        <f>IFERROR(__xludf.DUMMYFUNCTION("""COMPUTED_VALUE"""),"A4027")</f>
        <v>A4027</v>
      </c>
      <c r="M1366" s="133" t="str">
        <f>IFERROR(__xludf.DUMMYFUNCTION("""COMPUTED_VALUE"""),"17-5-2028")</f>
        <v>17-5-2028</v>
      </c>
      <c r="N1366" s="133"/>
      <c r="O1366" s="133"/>
      <c r="P1366" s="133"/>
      <c r="Q1366" s="133"/>
      <c r="R1366" s="133"/>
      <c r="S1366" s="133"/>
      <c r="T1366" s="133"/>
      <c r="U1366" s="133"/>
      <c r="V1366" s="133"/>
      <c r="W1366" s="133"/>
      <c r="X1366" s="133"/>
      <c r="Y1366" s="133"/>
      <c r="Z1366" s="133"/>
    </row>
    <row r="1367">
      <c r="A1367" s="133">
        <f>IFERROR(__xludf.DUMMYFUNCTION("""COMPUTED_VALUE"""),1366.0)</f>
        <v>1366</v>
      </c>
      <c r="B1367" s="133" t="str">
        <f>IFERROR(__xludf.DUMMYFUNCTION("""COMPUTED_VALUE"""),"4077")</f>
        <v>4077</v>
      </c>
      <c r="C1367" s="133" t="str">
        <f>IFERROR(__xludf.DUMMYFUNCTION("""COMPUTED_VALUE"""),"P-1-N-110523-2710")</f>
        <v>P-1-N-110523-2710</v>
      </c>
      <c r="D1367" s="133"/>
      <c r="E1367" s="133" t="str">
        <f>IFERROR(__xludf.DUMMYFUNCTION("""COMPUTED_VALUE"""),"مكتمل")</f>
        <v>مكتمل</v>
      </c>
      <c r="F1367" s="133" t="str">
        <f>IFERROR(__xludf.DUMMYFUNCTION("""COMPUTED_VALUE"""),"APPLAWS ADULT CAT OCEAN FISH WITH SALMON 6KG")</f>
        <v>APPLAWS ADULT CAT OCEAN FISH WITH SALMON 6KG</v>
      </c>
      <c r="G1367" s="133" t="str">
        <f>IFERROR(__xludf.DUMMYFUNCTION("""COMPUTED_VALUE"""),"أبلاوز سمك المحيط مع السلمون للقطط البالغة 6 كجم")</f>
        <v>أبلاوز سمك المحيط مع السلمون للقطط البالغة 6 كجم</v>
      </c>
      <c r="H1367" s="133" t="str">
        <f>IFERROR(__xludf.DUMMYFUNCTION("""COMPUTED_VALUE"""),"FOM-2024-6779-FEB-2024-57215 -C-0041-78022
")</f>
        <v>FOM-2024-6779-FEB-2024-57215 -C-0041-78022
</v>
      </c>
      <c r="I1367" s="133"/>
      <c r="J1367" s="133"/>
      <c r="K1367" s="133" t="str">
        <f>IFERROR(__xludf.DUMMYFUNCTION("""COMPUTED_VALUE"""),"سي اند دي فوودز سباين")</f>
        <v>سي اند دي فوودز سباين</v>
      </c>
      <c r="L1367" s="142" t="str">
        <f>IFERROR(__xludf.DUMMYFUNCTION("""COMPUTED_VALUE"""),"4077")</f>
        <v>4077</v>
      </c>
      <c r="M1367" s="133" t="str">
        <f>IFERROR(__xludf.DUMMYFUNCTION("""COMPUTED_VALUE"""),"17-5-2028")</f>
        <v>17-5-2028</v>
      </c>
      <c r="N1367" s="133"/>
      <c r="O1367" s="133"/>
      <c r="P1367" s="133"/>
      <c r="Q1367" s="133"/>
      <c r="R1367" s="133"/>
      <c r="S1367" s="133"/>
      <c r="T1367" s="133"/>
      <c r="U1367" s="133"/>
      <c r="V1367" s="133"/>
      <c r="W1367" s="133"/>
      <c r="X1367" s="133"/>
      <c r="Y1367" s="133"/>
      <c r="Z1367" s="133"/>
    </row>
    <row r="1368">
      <c r="A1368" s="133">
        <f>IFERROR(__xludf.DUMMYFUNCTION("""COMPUTED_VALUE"""),1367.0)</f>
        <v>1367</v>
      </c>
      <c r="B1368" s="133" t="str">
        <f>IFERROR(__xludf.DUMMYFUNCTION("""COMPUTED_VALUE"""),"50013105")</f>
        <v>50013105</v>
      </c>
      <c r="C1368" s="133" t="str">
        <f>IFERROR(__xludf.DUMMYFUNCTION("""COMPUTED_VALUE"""),"P-1-N-150623-3602")</f>
        <v>P-1-N-150623-3602</v>
      </c>
      <c r="D1368" s="133"/>
      <c r="E1368" s="133" t="str">
        <f>IFERROR(__xludf.DUMMYFUNCTION("""COMPUTED_VALUE"""),"تمت طباعة الشهادة")</f>
        <v>تمت طباعة الشهادة</v>
      </c>
      <c r="F1368" s="133" t="str">
        <f>IFERROR(__xludf.DUMMYFUNCTION("""COMPUTED_VALUE"""),"JosiCat Kitten 650g")</f>
        <v>JosiCat Kitten 650g</v>
      </c>
      <c r="G1368" s="133" t="str">
        <f>IFERROR(__xludf.DUMMYFUNCTION("""COMPUTED_VALUE"""),"جوسيكات كيتن 650 جم")</f>
        <v>جوسيكات كيتن 650 جم</v>
      </c>
      <c r="H1368" s="133" t="str">
        <f>IFERROR(__xludf.DUMMYFUNCTION("""COMPUTED_VALUE"""),"MAFE20232465")</f>
        <v>MAFE20232465</v>
      </c>
      <c r="I1368" s="133"/>
      <c r="J1368" s="133"/>
      <c r="K1368" s="133" t="str">
        <f>IFERROR(__xludf.DUMMYFUNCTION("""COMPUTED_VALUE"""),"شركة جوسيرا بت فود جي ام بي اتش كاي جي")</f>
        <v>شركة جوسيرا بت فود جي ام بي اتش كاي جي</v>
      </c>
      <c r="L1368" s="142" t="str">
        <f>IFERROR(__xludf.DUMMYFUNCTION("""COMPUTED_VALUE"""),"50013105")</f>
        <v>50013105</v>
      </c>
      <c r="M1368" s="133"/>
      <c r="N1368" s="133"/>
      <c r="O1368" s="133"/>
      <c r="P1368" s="133"/>
      <c r="Q1368" s="133"/>
      <c r="R1368" s="133"/>
      <c r="S1368" s="133"/>
      <c r="T1368" s="133"/>
      <c r="U1368" s="133"/>
      <c r="V1368" s="133"/>
      <c r="W1368" s="133"/>
      <c r="X1368" s="133"/>
      <c r="Y1368" s="133"/>
      <c r="Z1368" s="133"/>
    </row>
    <row r="1369">
      <c r="A1369" s="133">
        <f>IFERROR(__xludf.DUMMYFUNCTION("""COMPUTED_VALUE"""),1368.0)</f>
        <v>1368</v>
      </c>
      <c r="B1369" s="133" t="str">
        <f>IFERROR(__xludf.DUMMYFUNCTION("""COMPUTED_VALUE"""),"50013106")</f>
        <v>50013106</v>
      </c>
      <c r="C1369" s="133" t="str">
        <f>IFERROR(__xludf.DUMMYFUNCTION("""COMPUTED_VALUE"""),"P-1-N-150623-3603")</f>
        <v>P-1-N-150623-3603</v>
      </c>
      <c r="D1369" s="133"/>
      <c r="E1369" s="133" t="str">
        <f>IFERROR(__xludf.DUMMYFUNCTION("""COMPUTED_VALUE"""),"تمت طباعة الشهادة")</f>
        <v>تمت طباعة الشهادة</v>
      </c>
      <c r="F1369" s="133" t="str">
        <f>IFERROR(__xludf.DUMMYFUNCTION("""COMPUTED_VALUE"""),"JosiCat Kitten 1.9kg")</f>
        <v>JosiCat Kitten 1.9kg</v>
      </c>
      <c r="G1369" s="133" t="str">
        <f>IFERROR(__xludf.DUMMYFUNCTION("""COMPUTED_VALUE"""),"جوسيكات كيتن 1.9 كجم")</f>
        <v>جوسيكات كيتن 1.9 كجم</v>
      </c>
      <c r="H1369" s="133" t="str">
        <f>IFERROR(__xludf.DUMMYFUNCTION("""COMPUTED_VALUE"""),"MAFE20232464")</f>
        <v>MAFE20232464</v>
      </c>
      <c r="I1369" s="133"/>
      <c r="J1369" s="133"/>
      <c r="K1369" s="133" t="str">
        <f>IFERROR(__xludf.DUMMYFUNCTION("""COMPUTED_VALUE"""),"شركة جوسيرا بت فود جي ام بي اتش كاي جي")</f>
        <v>شركة جوسيرا بت فود جي ام بي اتش كاي جي</v>
      </c>
      <c r="L1369" s="142" t="str">
        <f>IFERROR(__xludf.DUMMYFUNCTION("""COMPUTED_VALUE"""),"50013106")</f>
        <v>50013106</v>
      </c>
      <c r="M1369" s="133"/>
      <c r="N1369" s="133"/>
      <c r="O1369" s="133"/>
      <c r="P1369" s="133"/>
      <c r="Q1369" s="133"/>
      <c r="R1369" s="133"/>
      <c r="S1369" s="133"/>
      <c r="T1369" s="133"/>
      <c r="U1369" s="133"/>
      <c r="V1369" s="133"/>
      <c r="W1369" s="133"/>
      <c r="X1369" s="133"/>
      <c r="Y1369" s="133"/>
      <c r="Z1369" s="133"/>
    </row>
    <row r="1370">
      <c r="A1370" s="133">
        <f>IFERROR(__xludf.DUMMYFUNCTION("""COMPUTED_VALUE"""),1369.0)</f>
        <v>1369</v>
      </c>
      <c r="B1370" s="133" t="str">
        <f>IFERROR(__xludf.DUMMYFUNCTION("""COMPUTED_VALUE"""),"50013108")</f>
        <v>50013108</v>
      </c>
      <c r="C1370" s="133" t="str">
        <f>IFERROR(__xludf.DUMMYFUNCTION("""COMPUTED_VALUE"""),"P-1-N-150623-3605")</f>
        <v>P-1-N-150623-3605</v>
      </c>
      <c r="D1370" s="133"/>
      <c r="E1370" s="133" t="str">
        <f>IFERROR(__xludf.DUMMYFUNCTION("""COMPUTED_VALUE"""),"تمت طباعة الشهادة")</f>
        <v>تمت طباعة الشهادة</v>
      </c>
      <c r="F1370" s="133" t="str">
        <f>IFERROR(__xludf.DUMMYFUNCTION("""COMPUTED_VALUE"""),"JosiCat Kitten 10kg")</f>
        <v>JosiCat Kitten 10kg</v>
      </c>
      <c r="G1370" s="133" t="str">
        <f>IFERROR(__xludf.DUMMYFUNCTION("""COMPUTED_VALUE"""),"جوسيكات كيتن 10 كجم")</f>
        <v>جوسيكات كيتن 10 كجم</v>
      </c>
      <c r="H1370" s="133" t="str">
        <f>IFERROR(__xludf.DUMMYFUNCTION("""COMPUTED_VALUE"""),"MAFE20232463")</f>
        <v>MAFE20232463</v>
      </c>
      <c r="I1370" s="133"/>
      <c r="J1370" s="133"/>
      <c r="K1370" s="133" t="str">
        <f>IFERROR(__xludf.DUMMYFUNCTION("""COMPUTED_VALUE"""),"شركة جوسيرا بت فود جي ام بي اتش كاي جي")</f>
        <v>شركة جوسيرا بت فود جي ام بي اتش كاي جي</v>
      </c>
      <c r="L1370" s="142" t="str">
        <f>IFERROR(__xludf.DUMMYFUNCTION("""COMPUTED_VALUE"""),"50013108")</f>
        <v>50013108</v>
      </c>
      <c r="M1370" s="133"/>
      <c r="N1370" s="133"/>
      <c r="O1370" s="133"/>
      <c r="P1370" s="133"/>
      <c r="Q1370" s="133"/>
      <c r="R1370" s="133"/>
      <c r="S1370" s="133"/>
      <c r="T1370" s="133"/>
      <c r="U1370" s="133"/>
      <c r="V1370" s="133"/>
      <c r="W1370" s="133"/>
      <c r="X1370" s="133"/>
      <c r="Y1370" s="133"/>
      <c r="Z1370" s="133"/>
    </row>
    <row r="1371">
      <c r="A1371" s="133">
        <f>IFERROR(__xludf.DUMMYFUNCTION("""COMPUTED_VALUE"""),1370.0)</f>
        <v>1370</v>
      </c>
      <c r="B1371" s="133"/>
      <c r="C1371" s="133" t="str">
        <f>IFERROR(__xludf.DUMMYFUNCTION("""COMPUTED_VALUE"""),"P-1-N-080823-4674")</f>
        <v>P-1-N-080823-4674</v>
      </c>
      <c r="D1371" s="133"/>
      <c r="E1371" s="133" t="str">
        <f>IFERROR(__xludf.DUMMYFUNCTION("""COMPUTED_VALUE"""),"تمت طباعة الشهادة")</f>
        <v>تمت طباعة الشهادة</v>
      </c>
      <c r="F1371" s="133" t="str">
        <f>IFERROR(__xludf.DUMMYFUNCTION("""COMPUTED_VALUE"""),"PUUR Budgie wh 750GR")</f>
        <v>PUUR Budgie wh 750GR</v>
      </c>
      <c r="G1371" s="133" t="str">
        <f>IFERROR(__xludf.DUMMYFUNCTION("""COMPUTED_VALUE"""),"بيور البادجي دبليو اتش 750 جم")</f>
        <v>بيور البادجي دبليو اتش 750 جم</v>
      </c>
      <c r="H1371" s="133"/>
      <c r="I1371" s="133"/>
      <c r="J1371" s="133"/>
      <c r="K1371" s="133" t="str">
        <f>IFERROR(__xludf.DUMMYFUNCTION("""COMPUTED_VALUE"""),"لاروي جروب إن في")</f>
        <v>لاروي جروب إن في</v>
      </c>
      <c r="L1371" s="133"/>
      <c r="M1371" s="133"/>
      <c r="N1371" s="133"/>
      <c r="O1371" s="133"/>
      <c r="P1371" s="133"/>
      <c r="Q1371" s="133"/>
      <c r="R1371" s="133"/>
      <c r="S1371" s="133"/>
      <c r="T1371" s="133"/>
      <c r="U1371" s="133"/>
      <c r="V1371" s="133"/>
      <c r="W1371" s="133"/>
      <c r="X1371" s="133"/>
      <c r="Y1371" s="133"/>
      <c r="Z1371" s="133"/>
    </row>
    <row r="1372">
      <c r="A1372" s="133">
        <f>IFERROR(__xludf.DUMMYFUNCTION("""COMPUTED_VALUE"""),1371.0)</f>
        <v>1371</v>
      </c>
      <c r="B1372" s="133"/>
      <c r="C1372" s="133" t="str">
        <f>IFERROR(__xludf.DUMMYFUNCTION("""COMPUTED_VALUE"""),"P-1-N-080823-4675")</f>
        <v>P-1-N-080823-4675</v>
      </c>
      <c r="D1372" s="133"/>
      <c r="E1372" s="133" t="str">
        <f>IFERROR(__xludf.DUMMYFUNCTION("""COMPUTED_VALUE"""),"تمت طباعة الشهادة")</f>
        <v>تمت طباعة الشهادة</v>
      </c>
      <c r="F1372" s="133" t="str">
        <f>IFERROR(__xludf.DUMMYFUNCTION("""COMPUTED_VALUE"""),"PUUR Budgie wh 2KG")</f>
        <v>PUUR Budgie wh 2KG</v>
      </c>
      <c r="G1372" s="133" t="str">
        <f>IFERROR(__xludf.DUMMYFUNCTION("""COMPUTED_VALUE"""),"بيور البادجي دبليو اتش 2 كجم")</f>
        <v>بيور البادجي دبليو اتش 2 كجم</v>
      </c>
      <c r="H1372" s="133"/>
      <c r="I1372" s="133"/>
      <c r="J1372" s="133"/>
      <c r="K1372" s="133" t="str">
        <f>IFERROR(__xludf.DUMMYFUNCTION("""COMPUTED_VALUE"""),"لاروي جروب إن في")</f>
        <v>لاروي جروب إن في</v>
      </c>
      <c r="L1372" s="133"/>
      <c r="M1372" s="133"/>
      <c r="N1372" s="133"/>
      <c r="O1372" s="133"/>
      <c r="P1372" s="133"/>
      <c r="Q1372" s="133"/>
      <c r="R1372" s="133"/>
      <c r="S1372" s="133"/>
      <c r="T1372" s="133"/>
      <c r="U1372" s="133"/>
      <c r="V1372" s="133"/>
      <c r="W1372" s="133"/>
      <c r="X1372" s="133"/>
      <c r="Y1372" s="133"/>
      <c r="Z1372" s="133"/>
    </row>
    <row r="1373">
      <c r="A1373" s="133">
        <f>IFERROR(__xludf.DUMMYFUNCTION("""COMPUTED_VALUE"""),1372.0)</f>
        <v>1372</v>
      </c>
      <c r="B1373" s="133"/>
      <c r="C1373" s="133" t="str">
        <f>IFERROR(__xludf.DUMMYFUNCTION("""COMPUTED_VALUE"""),"P-1-N-080823-4676")</f>
        <v>P-1-N-080823-4676</v>
      </c>
      <c r="D1373" s="133"/>
      <c r="E1373" s="133" t="str">
        <f>IFERROR(__xludf.DUMMYFUNCTION("""COMPUTED_VALUE"""),"تمت طباعة الشهادة")</f>
        <v>تمت طباعة الشهادة</v>
      </c>
      <c r="F1373" s="133" t="str">
        <f>IFERROR(__xludf.DUMMYFUNCTION("""COMPUTED_VALUE"""),"PUUR Canary wh 750GR")</f>
        <v>PUUR Canary wh 750GR</v>
      </c>
      <c r="G1373" s="133" t="str">
        <f>IFERROR(__xludf.DUMMYFUNCTION("""COMPUTED_VALUE"""),"بيور الكناري دبليو اتش 750 جم")</f>
        <v>بيور الكناري دبليو اتش 750 جم</v>
      </c>
      <c r="H1373" s="133"/>
      <c r="I1373" s="133"/>
      <c r="J1373" s="133"/>
      <c r="K1373" s="133" t="str">
        <f>IFERROR(__xludf.DUMMYFUNCTION("""COMPUTED_VALUE"""),"لاروي جروب إن في")</f>
        <v>لاروي جروب إن في</v>
      </c>
      <c r="L1373" s="133"/>
      <c r="M1373" s="133"/>
      <c r="N1373" s="133"/>
      <c r="O1373" s="133"/>
      <c r="P1373" s="133"/>
      <c r="Q1373" s="133"/>
      <c r="R1373" s="133"/>
      <c r="S1373" s="133"/>
      <c r="T1373" s="133"/>
      <c r="U1373" s="133"/>
      <c r="V1373" s="133"/>
      <c r="W1373" s="133"/>
      <c r="X1373" s="133"/>
      <c r="Y1373" s="133"/>
      <c r="Z1373" s="133"/>
    </row>
    <row r="1374">
      <c r="A1374" s="133">
        <f>IFERROR(__xludf.DUMMYFUNCTION("""COMPUTED_VALUE"""),1373.0)</f>
        <v>1373</v>
      </c>
      <c r="B1374" s="133"/>
      <c r="C1374" s="133" t="str">
        <f>IFERROR(__xludf.DUMMYFUNCTION("""COMPUTED_VALUE"""),"P-1-N-080823-4677")</f>
        <v>P-1-N-080823-4677</v>
      </c>
      <c r="D1374" s="133"/>
      <c r="E1374" s="133" t="str">
        <f>IFERROR(__xludf.DUMMYFUNCTION("""COMPUTED_VALUE"""),"تمت طباعة الشهادة")</f>
        <v>تمت طباعة الشهادة</v>
      </c>
      <c r="F1374" s="133" t="str">
        <f>IFERROR(__xludf.DUMMYFUNCTION("""COMPUTED_VALUE"""),"PUUR Canary wh 2KG")</f>
        <v>PUUR Canary wh 2KG</v>
      </c>
      <c r="G1374" s="133" t="str">
        <f>IFERROR(__xludf.DUMMYFUNCTION("""COMPUTED_VALUE"""),"بيور الكناري دبليو اتش 2 كجم")</f>
        <v>بيور الكناري دبليو اتش 2 كجم</v>
      </c>
      <c r="H1374" s="133"/>
      <c r="I1374" s="133"/>
      <c r="J1374" s="133"/>
      <c r="K1374" s="133" t="str">
        <f>IFERROR(__xludf.DUMMYFUNCTION("""COMPUTED_VALUE"""),"لاروي جروب إن في")</f>
        <v>لاروي جروب إن في</v>
      </c>
      <c r="L1374" s="133"/>
      <c r="M1374" s="133"/>
      <c r="N1374" s="133"/>
      <c r="O1374" s="133"/>
      <c r="P1374" s="133"/>
      <c r="Q1374" s="133"/>
      <c r="R1374" s="133"/>
      <c r="S1374" s="133"/>
      <c r="T1374" s="133"/>
      <c r="U1374" s="133"/>
      <c r="V1374" s="133"/>
      <c r="W1374" s="133"/>
      <c r="X1374" s="133"/>
      <c r="Y1374" s="133"/>
      <c r="Z1374" s="133"/>
    </row>
    <row r="1375">
      <c r="A1375" s="133">
        <f>IFERROR(__xludf.DUMMYFUNCTION("""COMPUTED_VALUE"""),1374.0)</f>
        <v>1374</v>
      </c>
      <c r="B1375" s="133"/>
      <c r="C1375" s="133" t="str">
        <f>IFERROR(__xludf.DUMMYFUNCTION("""COMPUTED_VALUE"""),"P-1-N-080823-4678")</f>
        <v>P-1-N-080823-4678</v>
      </c>
      <c r="D1375" s="133"/>
      <c r="E1375" s="133" t="str">
        <f>IFERROR(__xludf.DUMMYFUNCTION("""COMPUTED_VALUE"""),"تمت طباعة الشهادة")</f>
        <v>تمت طباعة الشهادة</v>
      </c>
      <c r="F1375" s="133" t="str">
        <f>IFERROR(__xludf.DUMMYFUNCTION("""COMPUTED_VALUE"""),"PUUR Dwarf hamster &amp; friends R")</f>
        <v>PUUR Dwarf hamster &amp; friends R</v>
      </c>
      <c r="G1375" s="133" t="str">
        <f>IFERROR(__xludf.DUMMYFUNCTION("""COMPUTED_VALUE"""),"بيور الهامستر الصغير والأصدقاء 400 جم")</f>
        <v>بيور الهامستر الصغير والأصدقاء 400 جم</v>
      </c>
      <c r="H1375" s="133"/>
      <c r="I1375" s="133"/>
      <c r="J1375" s="133"/>
      <c r="K1375" s="133" t="str">
        <f>IFERROR(__xludf.DUMMYFUNCTION("""COMPUTED_VALUE"""),"لاروي جروب إن في")</f>
        <v>لاروي جروب إن في</v>
      </c>
      <c r="L1375" s="133"/>
      <c r="M1375" s="133"/>
      <c r="N1375" s="133"/>
      <c r="O1375" s="133"/>
      <c r="P1375" s="133"/>
      <c r="Q1375" s="133"/>
      <c r="R1375" s="133"/>
      <c r="S1375" s="133"/>
      <c r="T1375" s="133"/>
      <c r="U1375" s="133"/>
      <c r="V1375" s="133"/>
      <c r="W1375" s="133"/>
      <c r="X1375" s="133"/>
      <c r="Y1375" s="133"/>
      <c r="Z1375" s="133"/>
    </row>
    <row r="1376">
      <c r="A1376" s="133">
        <f>IFERROR(__xludf.DUMMYFUNCTION("""COMPUTED_VALUE"""),1375.0)</f>
        <v>1375</v>
      </c>
      <c r="B1376" s="133"/>
      <c r="C1376" s="133" t="str">
        <f>IFERROR(__xludf.DUMMYFUNCTION("""COMPUTED_VALUE"""),"P-1-N-080823-4679")</f>
        <v>P-1-N-080823-4679</v>
      </c>
      <c r="D1376" s="133"/>
      <c r="E1376" s="133" t="str">
        <f>IFERROR(__xludf.DUMMYFUNCTION("""COMPUTED_VALUE"""),"تمت طباعة الشهادة")</f>
        <v>تمت طباعة الشهادة</v>
      </c>
      <c r="F1376" s="133" t="str">
        <f>IFERROR(__xludf.DUMMYFUNCTION("""COMPUTED_VALUE"""),"PUUR Guinea Pig 700GR")</f>
        <v>PUUR Guinea Pig 700GR</v>
      </c>
      <c r="G1376" s="133" t="str">
        <f>IFERROR(__xludf.DUMMYFUNCTION("""COMPUTED_VALUE"""),"بيورالخنزيرالغيني 700 جم")</f>
        <v>بيورالخنزيرالغيني 700 جم</v>
      </c>
      <c r="H1376" s="133"/>
      <c r="I1376" s="133"/>
      <c r="J1376" s="133"/>
      <c r="K1376" s="133" t="str">
        <f>IFERROR(__xludf.DUMMYFUNCTION("""COMPUTED_VALUE"""),"لاروي جروب إن في")</f>
        <v>لاروي جروب إن في</v>
      </c>
      <c r="L1376" s="133"/>
      <c r="M1376" s="133"/>
      <c r="N1376" s="133"/>
      <c r="O1376" s="133"/>
      <c r="P1376" s="133"/>
      <c r="Q1376" s="133"/>
      <c r="R1376" s="133"/>
      <c r="S1376" s="133"/>
      <c r="T1376" s="133"/>
      <c r="U1376" s="133"/>
      <c r="V1376" s="133"/>
      <c r="W1376" s="133"/>
      <c r="X1376" s="133"/>
      <c r="Y1376" s="133"/>
      <c r="Z1376" s="133"/>
    </row>
    <row r="1377">
      <c r="A1377" s="133">
        <f>IFERROR(__xludf.DUMMYFUNCTION("""COMPUTED_VALUE"""),1376.0)</f>
        <v>1376</v>
      </c>
      <c r="B1377" s="133"/>
      <c r="C1377" s="133" t="str">
        <f>IFERROR(__xludf.DUMMYFUNCTION("""COMPUTED_VALUE"""),"P-1-N-080823-4680")</f>
        <v>P-1-N-080823-4680</v>
      </c>
      <c r="D1377" s="133"/>
      <c r="E1377" s="133" t="str">
        <f>IFERROR(__xludf.DUMMYFUNCTION("""COMPUTED_VALUE"""),"تمت طباعة الشهادة")</f>
        <v>تمت طباعة الشهادة</v>
      </c>
      <c r="F1377" s="133" t="str">
        <f>IFERROR(__xludf.DUMMYFUNCTION("""COMPUTED_VALUE"""),"PUUR Guinea Pig 2.5KG")</f>
        <v>PUUR Guinea Pig 2.5KG</v>
      </c>
      <c r="G1377" s="133" t="str">
        <f>IFERROR(__xludf.DUMMYFUNCTION("""COMPUTED_VALUE"""),"بيورالخنزيرالغيني 2.5 كجم")</f>
        <v>بيورالخنزيرالغيني 2.5 كجم</v>
      </c>
      <c r="H1377" s="133"/>
      <c r="I1377" s="133"/>
      <c r="J1377" s="133"/>
      <c r="K1377" s="133" t="str">
        <f>IFERROR(__xludf.DUMMYFUNCTION("""COMPUTED_VALUE"""),"لاروي جروب إن في")</f>
        <v>لاروي جروب إن في</v>
      </c>
      <c r="L1377" s="133"/>
      <c r="M1377" s="133"/>
      <c r="N1377" s="133"/>
      <c r="O1377" s="133"/>
      <c r="P1377" s="133"/>
      <c r="Q1377" s="133"/>
      <c r="R1377" s="133"/>
      <c r="S1377" s="133"/>
      <c r="T1377" s="133"/>
      <c r="U1377" s="133"/>
      <c r="V1377" s="133"/>
      <c r="W1377" s="133"/>
      <c r="X1377" s="133"/>
      <c r="Y1377" s="133"/>
      <c r="Z1377" s="133"/>
    </row>
    <row r="1378">
      <c r="A1378" s="133">
        <f>IFERROR(__xludf.DUMMYFUNCTION("""COMPUTED_VALUE"""),1377.0)</f>
        <v>1377</v>
      </c>
      <c r="B1378" s="133"/>
      <c r="C1378" s="133" t="str">
        <f>IFERROR(__xludf.DUMMYFUNCTION("""COMPUTED_VALUE"""),"P-1-N-080823-4681")</f>
        <v>P-1-N-080823-4681</v>
      </c>
      <c r="D1378" s="133"/>
      <c r="E1378" s="133" t="str">
        <f>IFERROR(__xludf.DUMMYFUNCTION("""COMPUTED_VALUE"""),"تمت طباعة الشهادة")</f>
        <v>تمت طباعة الشهادة</v>
      </c>
      <c r="F1378" s="133" t="str">
        <f>IFERROR(__xludf.DUMMYFUNCTION("""COMPUTED_VALUE"""),"PUUR Hamster r")</f>
        <v>PUUR Hamster r</v>
      </c>
      <c r="G1378" s="133" t="str">
        <f>IFERROR(__xludf.DUMMYFUNCTION("""COMPUTED_VALUE"""),"بيور الهامستر 400 جم")</f>
        <v>بيور الهامستر 400 جم</v>
      </c>
      <c r="H1378" s="133" t="str">
        <f>IFERROR(__xludf.DUMMYFUNCTION("""COMPUTED_VALUE"""),"MAFE20233205")</f>
        <v>MAFE20233205</v>
      </c>
      <c r="I1378" s="133"/>
      <c r="J1378" s="133"/>
      <c r="K1378" s="133" t="str">
        <f>IFERROR(__xludf.DUMMYFUNCTION("""COMPUTED_VALUE"""),"لاروي جروب إن في")</f>
        <v>لاروي جروب إن في</v>
      </c>
      <c r="L1378" s="133"/>
      <c r="M1378" s="133"/>
      <c r="N1378" s="133"/>
      <c r="O1378" s="133"/>
      <c r="P1378" s="133"/>
      <c r="Q1378" s="133"/>
      <c r="R1378" s="133"/>
      <c r="S1378" s="133"/>
      <c r="T1378" s="133"/>
      <c r="U1378" s="133"/>
      <c r="V1378" s="133"/>
      <c r="W1378" s="133"/>
      <c r="X1378" s="133"/>
      <c r="Y1378" s="133"/>
      <c r="Z1378" s="133"/>
    </row>
    <row r="1379">
      <c r="A1379" s="133">
        <f>IFERROR(__xludf.DUMMYFUNCTION("""COMPUTED_VALUE"""),1378.0)</f>
        <v>1378</v>
      </c>
      <c r="B1379" s="133"/>
      <c r="C1379" s="133" t="str">
        <f>IFERROR(__xludf.DUMMYFUNCTION("""COMPUTED_VALUE"""),"P-1-N-080823-4682")</f>
        <v>P-1-N-080823-4682</v>
      </c>
      <c r="D1379" s="133"/>
      <c r="E1379" s="133" t="str">
        <f>IFERROR(__xludf.DUMMYFUNCTION("""COMPUTED_VALUE"""),"تمت طباعة الشهادة")</f>
        <v>تمت طباعة الشهادة</v>
      </c>
      <c r="F1379" s="133" t="str">
        <f>IFERROR(__xludf.DUMMYFUNCTION("""COMPUTED_VALUE"""),"PUUR Hamster 1.5KG")</f>
        <v>PUUR Hamster 1.5KG</v>
      </c>
      <c r="G1379" s="133" t="str">
        <f>IFERROR(__xludf.DUMMYFUNCTION("""COMPUTED_VALUE"""),"بيور الهامستر 1.5 كجم")</f>
        <v>بيور الهامستر 1.5 كجم</v>
      </c>
      <c r="H1379" s="133" t="str">
        <f>IFERROR(__xludf.DUMMYFUNCTION("""COMPUTED_VALUE"""),"MAFE20233203")</f>
        <v>MAFE20233203</v>
      </c>
      <c r="I1379" s="133"/>
      <c r="J1379" s="133"/>
      <c r="K1379" s="133" t="str">
        <f>IFERROR(__xludf.DUMMYFUNCTION("""COMPUTED_VALUE"""),"لاروي جروب إن في")</f>
        <v>لاروي جروب إن في</v>
      </c>
      <c r="L1379" s="133"/>
      <c r="M1379" s="133"/>
      <c r="N1379" s="133"/>
      <c r="O1379" s="133"/>
      <c r="P1379" s="133"/>
      <c r="Q1379" s="133"/>
      <c r="R1379" s="133"/>
      <c r="S1379" s="133"/>
      <c r="T1379" s="133"/>
      <c r="U1379" s="133"/>
      <c r="V1379" s="133"/>
      <c r="W1379" s="133"/>
      <c r="X1379" s="133"/>
      <c r="Y1379" s="133"/>
      <c r="Z1379" s="133"/>
    </row>
    <row r="1380">
      <c r="A1380" s="133">
        <f>IFERROR(__xludf.DUMMYFUNCTION("""COMPUTED_VALUE"""),1379.0)</f>
        <v>1379</v>
      </c>
      <c r="B1380" s="133"/>
      <c r="C1380" s="133" t="str">
        <f>IFERROR(__xludf.DUMMYFUNCTION("""COMPUTED_VALUE"""),"P-1-N-080823-4683")</f>
        <v>P-1-N-080823-4683</v>
      </c>
      <c r="D1380" s="133"/>
      <c r="E1380" s="133" t="str">
        <f>IFERROR(__xludf.DUMMYFUNCTION("""COMPUTED_VALUE"""),"تمت طباعة الشهادة")</f>
        <v>تمت طباعة الشهادة</v>
      </c>
      <c r="F1380" s="133" t="str">
        <f>IFERROR(__xludf.DUMMYFUNCTION("""COMPUTED_VALUE"""),"PUUR Large Parakeet and cockatoo wh 750GR")</f>
        <v>PUUR Large Parakeet and cockatoo wh 750GR</v>
      </c>
      <c r="G1380" s="133" t="str">
        <f>IFERROR(__xludf.DUMMYFUNCTION("""COMPUTED_VALUE"""),"بيور البراكيت والكوكاتو الكبيرة دبليو اتش 750 جم")</f>
        <v>بيور البراكيت والكوكاتو الكبيرة دبليو اتش 750 جم</v>
      </c>
      <c r="H1380" s="133" t="str">
        <f>IFERROR(__xludf.DUMMYFUNCTION("""COMPUTED_VALUE"""),"MAFE20233204")</f>
        <v>MAFE20233204</v>
      </c>
      <c r="I1380" s="133"/>
      <c r="J1380" s="133"/>
      <c r="K1380" s="133" t="str">
        <f>IFERROR(__xludf.DUMMYFUNCTION("""COMPUTED_VALUE"""),"لاروي جروب إن في")</f>
        <v>لاروي جروب إن في</v>
      </c>
      <c r="L1380" s="133"/>
      <c r="M1380" s="133"/>
      <c r="N1380" s="133"/>
      <c r="O1380" s="133"/>
      <c r="P1380" s="133"/>
      <c r="Q1380" s="133"/>
      <c r="R1380" s="133"/>
      <c r="S1380" s="133"/>
      <c r="T1380" s="133"/>
      <c r="U1380" s="133"/>
      <c r="V1380" s="133"/>
      <c r="W1380" s="133"/>
      <c r="X1380" s="133"/>
      <c r="Y1380" s="133"/>
      <c r="Z1380" s="133"/>
    </row>
    <row r="1381">
      <c r="A1381" s="133">
        <f>IFERROR(__xludf.DUMMYFUNCTION("""COMPUTED_VALUE"""),1380.0)</f>
        <v>1380</v>
      </c>
      <c r="B1381" s="133" t="str">
        <f>IFERROR(__xludf.DUMMYFUNCTION("""COMPUTED_VALUE"""),"654773")</f>
        <v>654773</v>
      </c>
      <c r="C1381" s="133" t="str">
        <f>IFERROR(__xludf.DUMMYFUNCTION("""COMPUTED_VALUE"""),"P-1-N-080823-4684")</f>
        <v>P-1-N-080823-4684</v>
      </c>
      <c r="D1381" s="133"/>
      <c r="E1381" s="133" t="str">
        <f>IFERROR(__xludf.DUMMYFUNCTION("""COMPUTED_VALUE"""),"تمت طباعة الشهادة")</f>
        <v>تمت طباعة الشهادة</v>
      </c>
      <c r="F1381" s="133" t="str">
        <f>IFERROR(__xludf.DUMMYFUNCTION("""COMPUTED_VALUE"""),"PUUR Large Parakeet and cockatoo wh 2kg")</f>
        <v>PUUR Large Parakeet and cockatoo wh 2kg</v>
      </c>
      <c r="G1381" s="133" t="str">
        <f>IFERROR(__xludf.DUMMYFUNCTION("""COMPUTED_VALUE"""),"بيور البراكيت والكوكاتو الكبيرة دبليو اتش 2 كجم")</f>
        <v>بيور البراكيت والكوكاتو الكبيرة دبليو اتش 2 كجم</v>
      </c>
      <c r="H1381" s="133" t="str">
        <f>IFERROR(__xludf.DUMMYFUNCTION("""COMPUTED_VALUE"""),"MAFE20233202")</f>
        <v>MAFE20233202</v>
      </c>
      <c r="I1381" s="133"/>
      <c r="J1381" s="133"/>
      <c r="K1381" s="133" t="str">
        <f>IFERROR(__xludf.DUMMYFUNCTION("""COMPUTED_VALUE"""),"لاروي جروب إن في")</f>
        <v>لاروي جروب إن في</v>
      </c>
      <c r="L1381" s="142" t="str">
        <f>IFERROR(__xludf.DUMMYFUNCTION("""COMPUTED_VALUE"""),"654773")</f>
        <v>654773</v>
      </c>
      <c r="M1381" s="133"/>
      <c r="N1381" s="133"/>
      <c r="O1381" s="133"/>
      <c r="P1381" s="133"/>
      <c r="Q1381" s="133"/>
      <c r="R1381" s="133"/>
      <c r="S1381" s="133"/>
      <c r="T1381" s="133"/>
      <c r="U1381" s="133"/>
      <c r="V1381" s="133"/>
      <c r="W1381" s="133"/>
      <c r="X1381" s="133"/>
      <c r="Y1381" s="133"/>
      <c r="Z1381" s="133"/>
    </row>
    <row r="1382">
      <c r="A1382" s="133">
        <f>IFERROR(__xludf.DUMMYFUNCTION("""COMPUTED_VALUE"""),1381.0)</f>
        <v>1381</v>
      </c>
      <c r="B1382" s="133" t="str">
        <f>IFERROR(__xludf.DUMMYFUNCTION("""COMPUTED_VALUE"""),"654769")</f>
        <v>654769</v>
      </c>
      <c r="C1382" s="133" t="str">
        <f>IFERROR(__xludf.DUMMYFUNCTION("""COMPUTED_VALUE"""),"P-1-N-080823-4685")</f>
        <v>P-1-N-080823-4685</v>
      </c>
      <c r="D1382" s="133"/>
      <c r="E1382" s="133" t="str">
        <f>IFERROR(__xludf.DUMMYFUNCTION("""COMPUTED_VALUE"""),"تمت طباعة الشهادة")</f>
        <v>تمت طباعة الشهادة</v>
      </c>
      <c r="F1382" s="133" t="str">
        <f>IFERROR(__xludf.DUMMYFUNCTION("""COMPUTED_VALUE"""),"PUUR Lovebird wh 750GR")</f>
        <v>PUUR Lovebird wh 750GR</v>
      </c>
      <c r="G1382" s="133" t="str">
        <f>IFERROR(__xludf.DUMMYFUNCTION("""COMPUTED_VALUE"""),"بيور طيور الحب دبليو اتش 750 جم")</f>
        <v>بيور طيور الحب دبليو اتش 750 جم</v>
      </c>
      <c r="H1382" s="133" t="str">
        <f>IFERROR(__xludf.DUMMYFUNCTION("""COMPUTED_VALUE"""),"MAFE20233201")</f>
        <v>MAFE20233201</v>
      </c>
      <c r="I1382" s="133"/>
      <c r="J1382" s="133"/>
      <c r="K1382" s="133" t="str">
        <f>IFERROR(__xludf.DUMMYFUNCTION("""COMPUTED_VALUE"""),"لاروي جروب إن في")</f>
        <v>لاروي جروب إن في</v>
      </c>
      <c r="L1382" s="142" t="str">
        <f>IFERROR(__xludf.DUMMYFUNCTION("""COMPUTED_VALUE"""),"654769")</f>
        <v>654769</v>
      </c>
      <c r="M1382" s="133"/>
      <c r="N1382" s="133"/>
      <c r="O1382" s="133"/>
      <c r="P1382" s="133"/>
      <c r="Q1382" s="133"/>
      <c r="R1382" s="133"/>
      <c r="S1382" s="133"/>
      <c r="T1382" s="133"/>
      <c r="U1382" s="133"/>
      <c r="V1382" s="133"/>
      <c r="W1382" s="133"/>
      <c r="X1382" s="133"/>
      <c r="Y1382" s="133"/>
      <c r="Z1382" s="133"/>
    </row>
    <row r="1383">
      <c r="A1383" s="133">
        <f>IFERROR(__xludf.DUMMYFUNCTION("""COMPUTED_VALUE"""),1382.0)</f>
        <v>1382</v>
      </c>
      <c r="B1383" s="133" t="str">
        <f>IFERROR(__xludf.DUMMYFUNCTION("""COMPUTED_VALUE"""),"654770")</f>
        <v>654770</v>
      </c>
      <c r="C1383" s="133" t="str">
        <f>IFERROR(__xludf.DUMMYFUNCTION("""COMPUTED_VALUE"""),"P-1-N-080823-4686")</f>
        <v>P-1-N-080823-4686</v>
      </c>
      <c r="D1383" s="133"/>
      <c r="E1383" s="133" t="str">
        <f>IFERROR(__xludf.DUMMYFUNCTION("""COMPUTED_VALUE"""),"تمت طباعة الشهادة")</f>
        <v>تمت طباعة الشهادة</v>
      </c>
      <c r="F1383" s="133" t="str">
        <f>IFERROR(__xludf.DUMMYFUNCTION("""COMPUTED_VALUE"""),"PUUR Lovebird wh 2KG")</f>
        <v>PUUR Lovebird wh 2KG</v>
      </c>
      <c r="G1383" s="133" t="str">
        <f>IFERROR(__xludf.DUMMYFUNCTION("""COMPUTED_VALUE"""),"بيور طيور الحب دبليو اتش 2 كجم")</f>
        <v>بيور طيور الحب دبليو اتش 2 كجم</v>
      </c>
      <c r="H1383" s="133" t="str">
        <f>IFERROR(__xludf.DUMMYFUNCTION("""COMPUTED_VALUE"""),"MAFE20233200")</f>
        <v>MAFE20233200</v>
      </c>
      <c r="I1383" s="133"/>
      <c r="J1383" s="133"/>
      <c r="K1383" s="133" t="str">
        <f>IFERROR(__xludf.DUMMYFUNCTION("""COMPUTED_VALUE"""),"لاروي جروب إن في")</f>
        <v>لاروي جروب إن في</v>
      </c>
      <c r="L1383" s="142" t="str">
        <f>IFERROR(__xludf.DUMMYFUNCTION("""COMPUTED_VALUE"""),"654770")</f>
        <v>654770</v>
      </c>
      <c r="M1383" s="133"/>
      <c r="N1383" s="133"/>
      <c r="O1383" s="133"/>
      <c r="P1383" s="133"/>
      <c r="Q1383" s="133"/>
      <c r="R1383" s="133"/>
      <c r="S1383" s="133"/>
      <c r="T1383" s="133"/>
      <c r="U1383" s="133"/>
      <c r="V1383" s="133"/>
      <c r="W1383" s="133"/>
      <c r="X1383" s="133"/>
      <c r="Y1383" s="133"/>
      <c r="Z1383" s="133"/>
    </row>
    <row r="1384">
      <c r="A1384" s="133">
        <f>IFERROR(__xludf.DUMMYFUNCTION("""COMPUTED_VALUE"""),1383.0)</f>
        <v>1383</v>
      </c>
      <c r="B1384" s="133" t="str">
        <f>IFERROR(__xludf.DUMMYFUNCTION("""COMPUTED_VALUE"""),"654749")</f>
        <v>654749</v>
      </c>
      <c r="C1384" s="133" t="str">
        <f>IFERROR(__xludf.DUMMYFUNCTION("""COMPUTED_VALUE"""),"P-1-N-080823-4687")</f>
        <v>P-1-N-080823-4687</v>
      </c>
      <c r="D1384" s="133"/>
      <c r="E1384" s="133" t="str">
        <f>IFERROR(__xludf.DUMMYFUNCTION("""COMPUTED_VALUE"""),"تمت طباعة الشهادة")</f>
        <v>تمت طباعة الشهادة</v>
      </c>
      <c r="F1384" s="133" t="str">
        <f>IFERROR(__xludf.DUMMYFUNCTION("""COMPUTED_VALUE"""),"PUUR Parrot wh/wp 2kg")</f>
        <v>PUUR Parrot wh/wp 2kg</v>
      </c>
      <c r="G1384" s="133" t="str">
        <f>IFERROR(__xludf.DUMMYFUNCTION("""COMPUTED_VALUE"""),"بيور الببغاوات دبليو اتش/دبليو بي 2 كجم")</f>
        <v>بيور الببغاوات دبليو اتش/دبليو بي 2 كجم</v>
      </c>
      <c r="H1384" s="133" t="str">
        <f>IFERROR(__xludf.DUMMYFUNCTION("""COMPUTED_VALUE"""),"MAFE20233198")</f>
        <v>MAFE20233198</v>
      </c>
      <c r="I1384" s="133"/>
      <c r="J1384" s="133"/>
      <c r="K1384" s="133" t="str">
        <f>IFERROR(__xludf.DUMMYFUNCTION("""COMPUTED_VALUE"""),"لاروي جروب إن في")</f>
        <v>لاروي جروب إن في</v>
      </c>
      <c r="L1384" s="142" t="str">
        <f>IFERROR(__xludf.DUMMYFUNCTION("""COMPUTED_VALUE"""),"654749")</f>
        <v>654749</v>
      </c>
      <c r="M1384" s="133"/>
      <c r="N1384" s="133"/>
      <c r="O1384" s="133"/>
      <c r="P1384" s="133"/>
      <c r="Q1384" s="133"/>
      <c r="R1384" s="133"/>
      <c r="S1384" s="133"/>
      <c r="T1384" s="133"/>
      <c r="U1384" s="133"/>
      <c r="V1384" s="133"/>
      <c r="W1384" s="133"/>
      <c r="X1384" s="133"/>
      <c r="Y1384" s="133"/>
      <c r="Z1384" s="133"/>
    </row>
    <row r="1385">
      <c r="A1385" s="133">
        <f>IFERROR(__xludf.DUMMYFUNCTION("""COMPUTED_VALUE"""),1384.0)</f>
        <v>1384</v>
      </c>
      <c r="B1385" s="133"/>
      <c r="C1385" s="133" t="str">
        <f>IFERROR(__xludf.DUMMYFUNCTION("""COMPUTED_VALUE"""),"P-1-N-080823-4688")</f>
        <v>P-1-N-080823-4688</v>
      </c>
      <c r="D1385" s="133"/>
      <c r="E1385" s="133" t="str">
        <f>IFERROR(__xludf.DUMMYFUNCTION("""COMPUTED_VALUE"""),"تمت طباعة الشهادة")</f>
        <v>تمت طباعة الشهادة</v>
      </c>
      <c r="F1385" s="133" t="str">
        <f>IFERROR(__xludf.DUMMYFUNCTION("""COMPUTED_VALUE"""),"PUUR Rabbit 600gr")</f>
        <v>PUUR Rabbit 600gr</v>
      </c>
      <c r="G1385" s="133" t="str">
        <f>IFERROR(__xludf.DUMMYFUNCTION("""COMPUTED_VALUE"""),"بيورالأرنب 600 جم")</f>
        <v>بيورالأرنب 600 جم</v>
      </c>
      <c r="H1385" s="133" t="str">
        <f>IFERROR(__xludf.DUMMYFUNCTION("""COMPUTED_VALUE"""),"MAFE20233199")</f>
        <v>MAFE20233199</v>
      </c>
      <c r="I1385" s="133"/>
      <c r="J1385" s="133"/>
      <c r="K1385" s="133" t="str">
        <f>IFERROR(__xludf.DUMMYFUNCTION("""COMPUTED_VALUE"""),"لاروي جروب إن في")</f>
        <v>لاروي جروب إن في</v>
      </c>
      <c r="L1385" s="133"/>
      <c r="M1385" s="133"/>
      <c r="N1385" s="133"/>
      <c r="O1385" s="133"/>
      <c r="P1385" s="133"/>
      <c r="Q1385" s="133"/>
      <c r="R1385" s="133"/>
      <c r="S1385" s="133"/>
      <c r="T1385" s="133"/>
      <c r="U1385" s="133"/>
      <c r="V1385" s="133"/>
      <c r="W1385" s="133"/>
      <c r="X1385" s="133"/>
      <c r="Y1385" s="133"/>
      <c r="Z1385" s="133"/>
    </row>
    <row r="1386">
      <c r="A1386" s="133">
        <f>IFERROR(__xludf.DUMMYFUNCTION("""COMPUTED_VALUE"""),1385.0)</f>
        <v>1385</v>
      </c>
      <c r="B1386" s="133"/>
      <c r="C1386" s="133" t="str">
        <f>IFERROR(__xludf.DUMMYFUNCTION("""COMPUTED_VALUE"""),"P-1-N-080823-4689")</f>
        <v>P-1-N-080823-4689</v>
      </c>
      <c r="D1386" s="133"/>
      <c r="E1386" s="133" t="str">
        <f>IFERROR(__xludf.DUMMYFUNCTION("""COMPUTED_VALUE"""),"تمت طباعة الشهادة")</f>
        <v>تمت طباعة الشهادة</v>
      </c>
      <c r="F1386" s="133" t="str">
        <f>IFERROR(__xludf.DUMMYFUNCTION("""COMPUTED_VALUE"""),"PUUR Rabbit 2kg")</f>
        <v>PUUR Rabbit 2kg</v>
      </c>
      <c r="G1386" s="133" t="str">
        <f>IFERROR(__xludf.DUMMYFUNCTION("""COMPUTED_VALUE"""),"بيور الأرنب 2 كجم")</f>
        <v>بيور الأرنب 2 كجم</v>
      </c>
      <c r="H1386" s="133" t="str">
        <f>IFERROR(__xludf.DUMMYFUNCTION("""COMPUTED_VALUE"""),"MAFE20233060")</f>
        <v>MAFE20233060</v>
      </c>
      <c r="I1386" s="133"/>
      <c r="J1386" s="133"/>
      <c r="K1386" s="133" t="str">
        <f>IFERROR(__xludf.DUMMYFUNCTION("""COMPUTED_VALUE"""),"لاروي جروب إن في")</f>
        <v>لاروي جروب إن في</v>
      </c>
      <c r="L1386" s="133"/>
      <c r="M1386" s="133"/>
      <c r="N1386" s="133"/>
      <c r="O1386" s="133"/>
      <c r="P1386" s="133"/>
      <c r="Q1386" s="133"/>
      <c r="R1386" s="133"/>
      <c r="S1386" s="133"/>
      <c r="T1386" s="133"/>
      <c r="U1386" s="133"/>
      <c r="V1386" s="133"/>
      <c r="W1386" s="133"/>
      <c r="X1386" s="133"/>
      <c r="Y1386" s="133"/>
      <c r="Z1386" s="133"/>
    </row>
    <row r="1387">
      <c r="A1387" s="133">
        <f>IFERROR(__xludf.DUMMYFUNCTION("""COMPUTED_VALUE"""),1386.0)</f>
        <v>1386</v>
      </c>
      <c r="B1387" s="133"/>
      <c r="C1387" s="133" t="str">
        <f>IFERROR(__xludf.DUMMYFUNCTION("""COMPUTED_VALUE"""),"P-1-N-080823-4690")</f>
        <v>P-1-N-080823-4690</v>
      </c>
      <c r="D1387" s="133"/>
      <c r="E1387" s="133" t="str">
        <f>IFERROR(__xludf.DUMMYFUNCTION("""COMPUTED_VALUE"""),"تمت طباعة الشهادة")</f>
        <v>تمت طباعة الشهادة</v>
      </c>
      <c r="F1387" s="133" t="str">
        <f>IFERROR(__xludf.DUMMYFUNCTION("""COMPUTED_VALUE"""),"PUUR Rabbit Junior 600gr")</f>
        <v>PUUR Rabbit Junior 600gr</v>
      </c>
      <c r="G1387" s="133" t="str">
        <f>IFERROR(__xludf.DUMMYFUNCTION("""COMPUTED_VALUE"""),"بيور الأرنب الصغير 600 جم")</f>
        <v>بيور الأرنب الصغير 600 جم</v>
      </c>
      <c r="H1387" s="133" t="str">
        <f>IFERROR(__xludf.DUMMYFUNCTION("""COMPUTED_VALUE"""),"MAFE20233197")</f>
        <v>MAFE20233197</v>
      </c>
      <c r="I1387" s="133"/>
      <c r="J1387" s="133"/>
      <c r="K1387" s="133" t="str">
        <f>IFERROR(__xludf.DUMMYFUNCTION("""COMPUTED_VALUE"""),"لاروي جروب إن في")</f>
        <v>لاروي جروب إن في</v>
      </c>
      <c r="L1387" s="133"/>
      <c r="M1387" s="133"/>
      <c r="N1387" s="133"/>
      <c r="O1387" s="133"/>
      <c r="P1387" s="133"/>
      <c r="Q1387" s="133"/>
      <c r="R1387" s="133"/>
      <c r="S1387" s="133"/>
      <c r="T1387" s="133"/>
      <c r="U1387" s="133"/>
      <c r="V1387" s="133"/>
      <c r="W1387" s="133"/>
      <c r="X1387" s="133"/>
      <c r="Y1387" s="133"/>
      <c r="Z1387" s="133"/>
    </row>
    <row r="1388">
      <c r="A1388" s="133">
        <f>IFERROR(__xludf.DUMMYFUNCTION("""COMPUTED_VALUE"""),1387.0)</f>
        <v>1387</v>
      </c>
      <c r="B1388" s="133"/>
      <c r="C1388" s="133" t="str">
        <f>IFERROR(__xludf.DUMMYFUNCTION("""COMPUTED_VALUE"""),"P-1-N-080823-4691")</f>
        <v>P-1-N-080823-4691</v>
      </c>
      <c r="D1388" s="133"/>
      <c r="E1388" s="133" t="str">
        <f>IFERROR(__xludf.DUMMYFUNCTION("""COMPUTED_VALUE"""),"تمت طباعة الشهادة")</f>
        <v>تمت طباعة الشهادة</v>
      </c>
      <c r="F1388" s="133" t="str">
        <f>IFERROR(__xludf.DUMMYFUNCTION("""COMPUTED_VALUE"""),"PUUR Tropical Bird 750gr")</f>
        <v>PUUR Tropical Bird 750gr</v>
      </c>
      <c r="G1388" s="133" t="str">
        <f>IFERROR(__xludf.DUMMYFUNCTION("""COMPUTED_VALUE"""),"بيور الطيور الاستوائية 750 جم")</f>
        <v>بيور الطيور الاستوائية 750 جم</v>
      </c>
      <c r="H1388" s="133" t="str">
        <f>IFERROR(__xludf.DUMMYFUNCTION("""COMPUTED_VALUE"""),"MAFE20233196")</f>
        <v>MAFE20233196</v>
      </c>
      <c r="I1388" s="133"/>
      <c r="J1388" s="133"/>
      <c r="K1388" s="133" t="str">
        <f>IFERROR(__xludf.DUMMYFUNCTION("""COMPUTED_VALUE"""),"لاروي جروب إن في")</f>
        <v>لاروي جروب إن في</v>
      </c>
      <c r="L1388" s="133"/>
      <c r="M1388" s="133"/>
      <c r="N1388" s="133"/>
      <c r="O1388" s="133"/>
      <c r="P1388" s="133"/>
      <c r="Q1388" s="133"/>
      <c r="R1388" s="133"/>
      <c r="S1388" s="133"/>
      <c r="T1388" s="133"/>
      <c r="U1388" s="133"/>
      <c r="V1388" s="133"/>
      <c r="W1388" s="133"/>
      <c r="X1388" s="133"/>
      <c r="Y1388" s="133"/>
      <c r="Z1388" s="133"/>
    </row>
    <row r="1389">
      <c r="A1389" s="133">
        <f>IFERROR(__xludf.DUMMYFUNCTION("""COMPUTED_VALUE"""),1388.0)</f>
        <v>1388</v>
      </c>
      <c r="B1389" s="133"/>
      <c r="C1389" s="133" t="str">
        <f>IFERROR(__xludf.DUMMYFUNCTION("""COMPUTED_VALUE"""),"P-1-N-080823-4692")</f>
        <v>P-1-N-080823-4692</v>
      </c>
      <c r="D1389" s="133"/>
      <c r="E1389" s="133" t="str">
        <f>IFERROR(__xludf.DUMMYFUNCTION("""COMPUTED_VALUE"""),"تمت طباعة الشهادة")</f>
        <v>تمت طباعة الشهادة</v>
      </c>
      <c r="F1389" s="133" t="str">
        <f>IFERROR(__xludf.DUMMYFUNCTION("""COMPUTED_VALUE"""),"PUUR Tropical Bird 2kg")</f>
        <v>PUUR Tropical Bird 2kg</v>
      </c>
      <c r="G1389" s="133" t="str">
        <f>IFERROR(__xludf.DUMMYFUNCTION("""COMPUTED_VALUE"""),"بيور الطيور الاستوائية 2 كجم")</f>
        <v>بيور الطيور الاستوائية 2 كجم</v>
      </c>
      <c r="H1389" s="133" t="str">
        <f>IFERROR(__xludf.DUMMYFUNCTION("""COMPUTED_VALUE"""),"MAFE20233195")</f>
        <v>MAFE20233195</v>
      </c>
      <c r="I1389" s="133"/>
      <c r="J1389" s="133"/>
      <c r="K1389" s="133" t="str">
        <f>IFERROR(__xludf.DUMMYFUNCTION("""COMPUTED_VALUE"""),"لاروي جروب إن في")</f>
        <v>لاروي جروب إن في</v>
      </c>
      <c r="L1389" s="133"/>
      <c r="M1389" s="133"/>
      <c r="N1389" s="133"/>
      <c r="O1389" s="133"/>
      <c r="P1389" s="133"/>
      <c r="Q1389" s="133"/>
      <c r="R1389" s="133"/>
      <c r="S1389" s="133"/>
      <c r="T1389" s="133"/>
      <c r="U1389" s="133"/>
      <c r="V1389" s="133"/>
      <c r="W1389" s="133"/>
      <c r="X1389" s="133"/>
      <c r="Y1389" s="133"/>
      <c r="Z1389" s="133"/>
    </row>
    <row r="1390">
      <c r="A1390" s="133">
        <f>IFERROR(__xludf.DUMMYFUNCTION("""COMPUTED_VALUE"""),1389.0)</f>
        <v>1389</v>
      </c>
      <c r="B1390" s="133"/>
      <c r="C1390" s="133" t="str">
        <f>IFERROR(__xludf.DUMMYFUNCTION("""COMPUTED_VALUE"""),"P-1-N-140823-4825")</f>
        <v>P-1-N-140823-4825</v>
      </c>
      <c r="D1390" s="133"/>
      <c r="E1390" s="133" t="str">
        <f>IFERROR(__xludf.DUMMYFUNCTION("""COMPUTED_VALUE"""),"تمت طباعة الشهادة")</f>
        <v>تمت طباعة الشهادة</v>
      </c>
      <c r="F1390" s="133" t="str">
        <f>IFERROR(__xludf.DUMMYFUNCTION("""COMPUTED_VALUE"""),"Yow Up Para perros 115g")</f>
        <v>Yow Up Para perros 115g</v>
      </c>
      <c r="G1390" s="133" t="str">
        <f>IFERROR(__xludf.DUMMYFUNCTION("""COMPUTED_VALUE"""),"يو اب بارا باروس 115 جرام")</f>
        <v>يو اب بارا باروس 115 جرام</v>
      </c>
      <c r="H1390" s="133" t="str">
        <f>IFERROR(__xludf.DUMMYFUNCTION("""COMPUTED_VALUE"""),"MAFE20233145")</f>
        <v>MAFE20233145</v>
      </c>
      <c r="I1390" s="133"/>
      <c r="J1390" s="133"/>
      <c r="K1390" s="133" t="str">
        <f>IFERROR(__xludf.DUMMYFUNCTION("""COMPUTED_VALUE"""),"دايري بت اس ال")</f>
        <v>دايري بت اس ال</v>
      </c>
      <c r="L1390" s="133"/>
      <c r="M1390" s="133"/>
      <c r="N1390" s="133"/>
      <c r="O1390" s="133"/>
      <c r="P1390" s="133"/>
      <c r="Q1390" s="133"/>
      <c r="R1390" s="133"/>
      <c r="S1390" s="133"/>
      <c r="T1390" s="133"/>
      <c r="U1390" s="133"/>
      <c r="V1390" s="133"/>
      <c r="W1390" s="133"/>
      <c r="X1390" s="133"/>
      <c r="Y1390" s="133"/>
      <c r="Z1390" s="133"/>
    </row>
    <row r="1391">
      <c r="A1391" s="133">
        <f>IFERROR(__xludf.DUMMYFUNCTION("""COMPUTED_VALUE"""),1390.0)</f>
        <v>1390</v>
      </c>
      <c r="B1391" s="133" t="str">
        <f>IFERROR(__xludf.DUMMYFUNCTION("""COMPUTED_VALUE"""),"DP1014")</f>
        <v>DP1014</v>
      </c>
      <c r="C1391" s="133" t="str">
        <f>IFERROR(__xludf.DUMMYFUNCTION("""COMPUTED_VALUE"""),"P-1-N-140823-4827")</f>
        <v>P-1-N-140823-4827</v>
      </c>
      <c r="D1391" s="133"/>
      <c r="E1391" s="133" t="str">
        <f>IFERROR(__xludf.DUMMYFUNCTION("""COMPUTED_VALUE"""),"تمت طباعة الشهادة")</f>
        <v>تمت طباعة الشهادة</v>
      </c>
      <c r="F1391" s="133" t="str">
        <f>IFERROR(__xludf.DUMMYFUNCTION("""COMPUTED_VALUE"""),"YOW UP Para Gatos 85g")</f>
        <v>YOW UP Para Gatos 85g</v>
      </c>
      <c r="G1391" s="133" t="str">
        <f>IFERROR(__xludf.DUMMYFUNCTION("""COMPUTED_VALUE"""),"يو اب بارا قاتوس 85 جرام")</f>
        <v>يو اب بارا قاتوس 85 جرام</v>
      </c>
      <c r="H1391" s="133" t="str">
        <f>IFERROR(__xludf.DUMMYFUNCTION("""COMPUTED_VALUE"""),"MAFE20233148")</f>
        <v>MAFE20233148</v>
      </c>
      <c r="I1391" s="133"/>
      <c r="J1391" s="133"/>
      <c r="K1391" s="133" t="str">
        <f>IFERROR(__xludf.DUMMYFUNCTION("""COMPUTED_VALUE"""),"دايري بت اس ال")</f>
        <v>دايري بت اس ال</v>
      </c>
      <c r="L1391" s="142" t="str">
        <f>IFERROR(__xludf.DUMMYFUNCTION("""COMPUTED_VALUE"""),"DP1014")</f>
        <v>DP1014</v>
      </c>
      <c r="M1391" s="133"/>
      <c r="N1391" s="133"/>
      <c r="O1391" s="133"/>
      <c r="P1391" s="133"/>
      <c r="Q1391" s="133"/>
      <c r="R1391" s="133"/>
      <c r="S1391" s="133"/>
      <c r="T1391" s="133"/>
      <c r="U1391" s="133"/>
      <c r="V1391" s="133"/>
      <c r="W1391" s="133"/>
      <c r="X1391" s="133"/>
      <c r="Y1391" s="133"/>
      <c r="Z1391" s="133"/>
    </row>
    <row r="1392">
      <c r="A1392" s="133">
        <f>IFERROR(__xludf.DUMMYFUNCTION("""COMPUTED_VALUE"""),1391.0)</f>
        <v>1391</v>
      </c>
      <c r="B1392" s="133"/>
      <c r="C1392" s="133" t="str">
        <f>IFERROR(__xludf.DUMMYFUNCTION("""COMPUTED_VALUE"""),"P-1-N-160823-4867")</f>
        <v>P-1-N-160823-4867</v>
      </c>
      <c r="D1392" s="133"/>
      <c r="E1392" s="133" t="str">
        <f>IFERROR(__xludf.DUMMYFUNCTION("""COMPUTED_VALUE"""),"تمت طباعة الشهادة")</f>
        <v>تمت طباعة الشهادة</v>
      </c>
      <c r="F1392" s="133" t="str">
        <f>IFERROR(__xludf.DUMMYFUNCTION("""COMPUTED_VALUE"""),"Country Blossom hay carrot 500g")</f>
        <v>Country Blossom hay carrot 500g</v>
      </c>
      <c r="G1392" s="133" t="str">
        <f>IFERROR(__xludf.DUMMYFUNCTION("""COMPUTED_VALUE"""),"كونتري بلوسم التبن والجزر 500 جم")</f>
        <v>كونتري بلوسم التبن والجزر 500 جم</v>
      </c>
      <c r="H1392" s="133" t="str">
        <f>IFERROR(__xludf.DUMMYFUNCTION("""COMPUTED_VALUE"""),"MAFE20233192")</f>
        <v>MAFE20233192</v>
      </c>
      <c r="I1392" s="133"/>
      <c r="J1392" s="133"/>
      <c r="K1392" s="133" t="str">
        <f>IFERROR(__xludf.DUMMYFUNCTION("""COMPUTED_VALUE"""),"ويت مولين بي في")</f>
        <v>ويت مولين بي في</v>
      </c>
      <c r="L1392" s="133"/>
      <c r="M1392" s="133"/>
      <c r="N1392" s="133"/>
      <c r="O1392" s="133"/>
      <c r="P1392" s="133"/>
      <c r="Q1392" s="133"/>
      <c r="R1392" s="133"/>
      <c r="S1392" s="133"/>
      <c r="T1392" s="133"/>
      <c r="U1392" s="133"/>
      <c r="V1392" s="133"/>
      <c r="W1392" s="133"/>
      <c r="X1392" s="133"/>
      <c r="Y1392" s="133"/>
      <c r="Z1392" s="133"/>
    </row>
    <row r="1393">
      <c r="A1393" s="133">
        <f>IFERROR(__xludf.DUMMYFUNCTION("""COMPUTED_VALUE"""),1392.0)</f>
        <v>1392</v>
      </c>
      <c r="B1393" s="133"/>
      <c r="C1393" s="133" t="str">
        <f>IFERROR(__xludf.DUMMYFUNCTION("""COMPUTED_VALUE"""),"P-1-N-160823-4868")</f>
        <v>P-1-N-160823-4868</v>
      </c>
      <c r="D1393" s="133"/>
      <c r="E1393" s="133" t="str">
        <f>IFERROR(__xludf.DUMMYFUNCTION("""COMPUTED_VALUE"""),"تمت طباعة الشهادة")</f>
        <v>تمت طباعة الشهادة</v>
      </c>
      <c r="F1393" s="133" t="str">
        <f>IFERROR(__xludf.DUMMYFUNCTION("""COMPUTED_VALUE"""),"Country Blossom hay rose blossom 500g")</f>
        <v>Country Blossom hay rose blossom 500g</v>
      </c>
      <c r="G1393" s="133" t="str">
        <f>IFERROR(__xludf.DUMMYFUNCTION("""COMPUTED_VALUE"""),"كونتري بلوسم التبن والورد 500 جم")</f>
        <v>كونتري بلوسم التبن والورد 500 جم</v>
      </c>
      <c r="H1393" s="133" t="str">
        <f>IFERROR(__xludf.DUMMYFUNCTION("""COMPUTED_VALUE"""),"MAFE20233191")</f>
        <v>MAFE20233191</v>
      </c>
      <c r="I1393" s="133"/>
      <c r="J1393" s="133"/>
      <c r="K1393" s="133" t="str">
        <f>IFERROR(__xludf.DUMMYFUNCTION("""COMPUTED_VALUE"""),"ويت مولين بي في")</f>
        <v>ويت مولين بي في</v>
      </c>
      <c r="L1393" s="133"/>
      <c r="M1393" s="133"/>
      <c r="N1393" s="133"/>
      <c r="O1393" s="133"/>
      <c r="P1393" s="133"/>
      <c r="Q1393" s="133"/>
      <c r="R1393" s="133"/>
      <c r="S1393" s="133"/>
      <c r="T1393" s="133"/>
      <c r="U1393" s="133"/>
      <c r="V1393" s="133"/>
      <c r="W1393" s="133"/>
      <c r="X1393" s="133"/>
      <c r="Y1393" s="133"/>
      <c r="Z1393" s="133"/>
    </row>
    <row r="1394">
      <c r="A1394" s="133">
        <f>IFERROR(__xludf.DUMMYFUNCTION("""COMPUTED_VALUE"""),1393.0)</f>
        <v>1393</v>
      </c>
      <c r="B1394" s="133"/>
      <c r="C1394" s="133" t="str">
        <f>IFERROR(__xludf.DUMMYFUNCTION("""COMPUTED_VALUE"""),"P-1-N-160823-4885")</f>
        <v>P-1-N-160823-4885</v>
      </c>
      <c r="D1394" s="133"/>
      <c r="E1394" s="133" t="str">
        <f>IFERROR(__xludf.DUMMYFUNCTION("""COMPUTED_VALUE"""),"تمت طباعة الشهادة")</f>
        <v>تمت طباعة الشهادة</v>
      </c>
      <c r="F1394" s="133" t="str">
        <f>IFERROR(__xludf.DUMMYFUNCTION("""COMPUTED_VALUE"""),"Country Seed sticks finch apple &amp; sesame seed 60g")</f>
        <v>Country Seed sticks finch apple &amp; sesame seed 60g</v>
      </c>
      <c r="G1394" s="133" t="str">
        <f>IFERROR(__xludf.DUMMYFUNCTION("""COMPUTED_VALUE"""),"كونتري سيد ستيكس للشرشوريات بالتفاح و بذور السمسم 60 جرام")</f>
        <v>كونتري سيد ستيكس للشرشوريات بالتفاح و بذور السمسم 60 جرام</v>
      </c>
      <c r="H1394" s="133" t="str">
        <f>IFERROR(__xludf.DUMMYFUNCTION("""COMPUTED_VALUE"""),"MAFE20233187")</f>
        <v>MAFE20233187</v>
      </c>
      <c r="I1394" s="133"/>
      <c r="J1394" s="133"/>
      <c r="K1394" s="133" t="str">
        <f>IFERROR(__xludf.DUMMYFUNCTION("""COMPUTED_VALUE"""),"ويت مولين بي في")</f>
        <v>ويت مولين بي في</v>
      </c>
      <c r="L1394" s="133"/>
      <c r="M1394" s="133"/>
      <c r="N1394" s="133"/>
      <c r="O1394" s="133"/>
      <c r="P1394" s="133"/>
      <c r="Q1394" s="133"/>
      <c r="R1394" s="133"/>
      <c r="S1394" s="133"/>
      <c r="T1394" s="133"/>
      <c r="U1394" s="133"/>
      <c r="V1394" s="133"/>
      <c r="W1394" s="133"/>
      <c r="X1394" s="133"/>
      <c r="Y1394" s="133"/>
      <c r="Z1394" s="133"/>
    </row>
    <row r="1395">
      <c r="A1395" s="133">
        <f>IFERROR(__xludf.DUMMYFUNCTION("""COMPUTED_VALUE"""),1394.0)</f>
        <v>1394</v>
      </c>
      <c r="B1395" s="133"/>
      <c r="C1395" s="133" t="str">
        <f>IFERROR(__xludf.DUMMYFUNCTION("""COMPUTED_VALUE"""),"P-1-N-160823-4886")</f>
        <v>P-1-N-160823-4886</v>
      </c>
      <c r="D1395" s="133"/>
      <c r="E1395" s="133" t="str">
        <f>IFERROR(__xludf.DUMMYFUNCTION("""COMPUTED_VALUE"""),"تمت طباعة الشهادة")</f>
        <v>تمت طباعة الشهادة</v>
      </c>
      <c r="F1395" s="133" t="str">
        <f>IFERROR(__xludf.DUMMYFUNCTION("""COMPUTED_VALUE"""),"Country Seed sticks canary elder &amp; cranberry 60g")</f>
        <v>Country Seed sticks canary elder &amp; cranberry 60g</v>
      </c>
      <c r="G1395" s="133" t="str">
        <f>IFERROR(__xludf.DUMMYFUNCTION("""COMPUTED_VALUE"""),"كونتري سيد ستيكس للكناري بالبلسان والتوت البري 60 جرام")</f>
        <v>كونتري سيد ستيكس للكناري بالبلسان والتوت البري 60 جرام</v>
      </c>
      <c r="H1395" s="133" t="str">
        <f>IFERROR(__xludf.DUMMYFUNCTION("""COMPUTED_VALUE"""),"MAFE20233188")</f>
        <v>MAFE20233188</v>
      </c>
      <c r="I1395" s="133"/>
      <c r="J1395" s="133"/>
      <c r="K1395" s="133" t="str">
        <f>IFERROR(__xludf.DUMMYFUNCTION("""COMPUTED_VALUE"""),"ويت مولين بي في")</f>
        <v>ويت مولين بي في</v>
      </c>
      <c r="L1395" s="133"/>
      <c r="M1395" s="133"/>
      <c r="N1395" s="133"/>
      <c r="O1395" s="133"/>
      <c r="P1395" s="133"/>
      <c r="Q1395" s="133"/>
      <c r="R1395" s="133"/>
      <c r="S1395" s="133"/>
      <c r="T1395" s="133"/>
      <c r="U1395" s="133"/>
      <c r="V1395" s="133"/>
      <c r="W1395" s="133"/>
      <c r="X1395" s="133"/>
      <c r="Y1395" s="133"/>
      <c r="Z1395" s="133"/>
    </row>
    <row r="1396">
      <c r="A1396" s="133">
        <f>IFERROR(__xludf.DUMMYFUNCTION("""COMPUTED_VALUE"""),1395.0)</f>
        <v>1395</v>
      </c>
      <c r="B1396" s="133"/>
      <c r="C1396" s="133" t="str">
        <f>IFERROR(__xludf.DUMMYFUNCTION("""COMPUTED_VALUE"""),"P-1-N-160823-4887")</f>
        <v>P-1-N-160823-4887</v>
      </c>
      <c r="D1396" s="133"/>
      <c r="E1396" s="133" t="str">
        <f>IFERROR(__xludf.DUMMYFUNCTION("""COMPUTED_VALUE"""),"تمت طباعة الشهادة")</f>
        <v>تمت طباعة الشهادة</v>
      </c>
      <c r="F1396" s="133" t="str">
        <f>IFERROR(__xludf.DUMMYFUNCTION("""COMPUTED_VALUE"""),"Country Seed sticks parakeet kiwi &amp; pear 140g")</f>
        <v>Country Seed sticks parakeet kiwi &amp; pear 140g</v>
      </c>
      <c r="G1396" s="133" t="str">
        <f>IFERROR(__xludf.DUMMYFUNCTION("""COMPUTED_VALUE"""),"كونتري سيد ستيكس للبراكيت بالكيوي والكمثرى 140 جرام")</f>
        <v>كونتري سيد ستيكس للبراكيت بالكيوي والكمثرى 140 جرام</v>
      </c>
      <c r="H1396" s="133" t="str">
        <f>IFERROR(__xludf.DUMMYFUNCTION("""COMPUTED_VALUE"""),"MAFE20233186")</f>
        <v>MAFE20233186</v>
      </c>
      <c r="I1396" s="133"/>
      <c r="J1396" s="133"/>
      <c r="K1396" s="133" t="str">
        <f>IFERROR(__xludf.DUMMYFUNCTION("""COMPUTED_VALUE"""),"ويت مولين بي في")</f>
        <v>ويت مولين بي في</v>
      </c>
      <c r="L1396" s="133"/>
      <c r="M1396" s="133"/>
      <c r="N1396" s="133"/>
      <c r="O1396" s="133"/>
      <c r="P1396" s="133"/>
      <c r="Q1396" s="133"/>
      <c r="R1396" s="133"/>
      <c r="S1396" s="133"/>
      <c r="T1396" s="133"/>
      <c r="U1396" s="133"/>
      <c r="V1396" s="133"/>
      <c r="W1396" s="133"/>
      <c r="X1396" s="133"/>
      <c r="Y1396" s="133"/>
      <c r="Z1396" s="133"/>
    </row>
    <row r="1397">
      <c r="A1397" s="133">
        <f>IFERROR(__xludf.DUMMYFUNCTION("""COMPUTED_VALUE"""),1396.0)</f>
        <v>1396</v>
      </c>
      <c r="B1397" s="133"/>
      <c r="C1397" s="133" t="str">
        <f>IFERROR(__xludf.DUMMYFUNCTION("""COMPUTED_VALUE"""),"P-1-N-160823-4888")</f>
        <v>P-1-N-160823-4888</v>
      </c>
      <c r="D1397" s="133"/>
      <c r="E1397" s="133" t="str">
        <f>IFERROR(__xludf.DUMMYFUNCTION("""COMPUTED_VALUE"""),"تمت طباعة الشهادة")</f>
        <v>تمت طباعة الشهادة</v>
      </c>
      <c r="F1397" s="133" t="str">
        <f>IFERROR(__xludf.DUMMYFUNCTION("""COMPUTED_VALUE"""),"Country Seed sticks parrot rosehip &amp; elderberry 140g")</f>
        <v>Country Seed sticks parrot rosehip &amp; elderberry 140g</v>
      </c>
      <c r="G1397" s="133" t="str">
        <f>IFERROR(__xludf.DUMMYFUNCTION("""COMPUTED_VALUE"""),"كونتري سيد ستيكس للببغاوات بثمر الورد والبيلسان 140 جرام")</f>
        <v>كونتري سيد ستيكس للببغاوات بثمر الورد والبيلسان 140 جرام</v>
      </c>
      <c r="H1397" s="133" t="str">
        <f>IFERROR(__xludf.DUMMYFUNCTION("""COMPUTED_VALUE"""),"MAFE20233185")</f>
        <v>MAFE20233185</v>
      </c>
      <c r="I1397" s="133"/>
      <c r="J1397" s="133"/>
      <c r="K1397" s="133" t="str">
        <f>IFERROR(__xludf.DUMMYFUNCTION("""COMPUTED_VALUE"""),"ويت مولين بي في")</f>
        <v>ويت مولين بي في</v>
      </c>
      <c r="L1397" s="133"/>
      <c r="M1397" s="133"/>
      <c r="N1397" s="133"/>
      <c r="O1397" s="133"/>
      <c r="P1397" s="133"/>
      <c r="Q1397" s="133"/>
      <c r="R1397" s="133"/>
      <c r="S1397" s="133"/>
      <c r="T1397" s="133"/>
      <c r="U1397" s="133"/>
      <c r="V1397" s="133"/>
      <c r="W1397" s="133"/>
      <c r="X1397" s="133"/>
      <c r="Y1397" s="133"/>
      <c r="Z1397" s="133"/>
    </row>
    <row r="1398">
      <c r="A1398" s="133">
        <f>IFERROR(__xludf.DUMMYFUNCTION("""COMPUTED_VALUE"""),1397.0)</f>
        <v>1397</v>
      </c>
      <c r="B1398" s="133"/>
      <c r="C1398" s="133" t="str">
        <f>IFERROR(__xludf.DUMMYFUNCTION("""COMPUTED_VALUE"""),"P-1-N-160823-4889")</f>
        <v>P-1-N-160823-4889</v>
      </c>
      <c r="D1398" s="133"/>
      <c r="E1398" s="133" t="str">
        <f>IFERROR(__xludf.DUMMYFUNCTION("""COMPUTED_VALUE"""),"تمت طباعة الشهادة")</f>
        <v>تمت طباعة الشهادة</v>
      </c>
      <c r="F1398" s="133" t="str">
        <f>IFERROR(__xludf.DUMMYFUNCTION("""COMPUTED_VALUE"""),"Country Chew sticks carrot &amp; leek 110g")</f>
        <v>Country Chew sticks carrot &amp; leek 110g</v>
      </c>
      <c r="G1398" s="133" t="str">
        <f>IFERROR(__xludf.DUMMYFUNCTION("""COMPUTED_VALUE"""),"كونتري تشو ستيكس الجزر والكراث 110 جرام")</f>
        <v>كونتري تشو ستيكس الجزر والكراث 110 جرام</v>
      </c>
      <c r="H1398" s="133" t="str">
        <f>IFERROR(__xludf.DUMMYFUNCTION("""COMPUTED_VALUE"""),"MAFE20233184")</f>
        <v>MAFE20233184</v>
      </c>
      <c r="I1398" s="133"/>
      <c r="J1398" s="133"/>
      <c r="K1398" s="133" t="str">
        <f>IFERROR(__xludf.DUMMYFUNCTION("""COMPUTED_VALUE"""),"ويت مولين بي في")</f>
        <v>ويت مولين بي في</v>
      </c>
      <c r="L1398" s="133"/>
      <c r="M1398" s="133"/>
      <c r="N1398" s="133"/>
      <c r="O1398" s="133"/>
      <c r="P1398" s="133"/>
      <c r="Q1398" s="133"/>
      <c r="R1398" s="133"/>
      <c r="S1398" s="133"/>
      <c r="T1398" s="133"/>
      <c r="U1398" s="133"/>
      <c r="V1398" s="133"/>
      <c r="W1398" s="133"/>
      <c r="X1398" s="133"/>
      <c r="Y1398" s="133"/>
      <c r="Z1398" s="133"/>
    </row>
    <row r="1399">
      <c r="A1399" s="133">
        <f>IFERROR(__xludf.DUMMYFUNCTION("""COMPUTED_VALUE"""),1398.0)</f>
        <v>1398</v>
      </c>
      <c r="B1399" s="133"/>
      <c r="C1399" s="133" t="str">
        <f>IFERROR(__xludf.DUMMYFUNCTION("""COMPUTED_VALUE"""),"P-1-N-160823-4890")</f>
        <v>P-1-N-160823-4890</v>
      </c>
      <c r="D1399" s="133"/>
      <c r="E1399" s="133" t="str">
        <f>IFERROR(__xludf.DUMMYFUNCTION("""COMPUTED_VALUE"""),"تمت طباعة الشهادة")</f>
        <v>تمت طباعة الشهادة</v>
      </c>
      <c r="F1399" s="133" t="str">
        <f>IFERROR(__xludf.DUMMYFUNCTION("""COMPUTED_VALUE"""),"Country Millet spray 150g")</f>
        <v>Country Millet spray 150g</v>
      </c>
      <c r="G1399" s="133" t="str">
        <f>IFERROR(__xludf.DUMMYFUNCTION("""COMPUTED_VALUE"""),"كونتري عنقود الدخن 150 جرام")</f>
        <v>كونتري عنقود الدخن 150 جرام</v>
      </c>
      <c r="H1399" s="133" t="str">
        <f>IFERROR(__xludf.DUMMYFUNCTION("""COMPUTED_VALUE"""),"RFM20233183")</f>
        <v>RFM20233183</v>
      </c>
      <c r="I1399" s="133"/>
      <c r="J1399" s="133"/>
      <c r="K1399" s="133" t="str">
        <f>IFERROR(__xludf.DUMMYFUNCTION("""COMPUTED_VALUE"""),"ويت مولين بي في")</f>
        <v>ويت مولين بي في</v>
      </c>
      <c r="L1399" s="133"/>
      <c r="M1399" s="133"/>
      <c r="N1399" s="133"/>
      <c r="O1399" s="133"/>
      <c r="P1399" s="133"/>
      <c r="Q1399" s="133"/>
      <c r="R1399" s="133"/>
      <c r="S1399" s="133"/>
      <c r="T1399" s="133"/>
      <c r="U1399" s="133"/>
      <c r="V1399" s="133"/>
      <c r="W1399" s="133"/>
      <c r="X1399" s="133"/>
      <c r="Y1399" s="133"/>
      <c r="Z1399" s="133"/>
    </row>
    <row r="1400">
      <c r="A1400" s="133">
        <f>IFERROR(__xludf.DUMMYFUNCTION("""COMPUTED_VALUE"""),1399.0)</f>
        <v>1399</v>
      </c>
      <c r="B1400" s="133"/>
      <c r="C1400" s="133" t="str">
        <f>IFERROR(__xludf.DUMMYFUNCTION("""COMPUTED_VALUE"""),"P-1-N-160823-4891")</f>
        <v>P-1-N-160823-4891</v>
      </c>
      <c r="D1400" s="133"/>
      <c r="E1400" s="133" t="str">
        <f>IFERROR(__xludf.DUMMYFUNCTION("""COMPUTED_VALUE"""),"تمت طباعة الشهادة")</f>
        <v>تمت طباعة الشهادة</v>
      </c>
      <c r="F1400" s="133" t="str">
        <f>IFERROR(__xludf.DUMMYFUNCTION("""COMPUTED_VALUE"""),"Country Chew sticks papaya &amp; hibiscus 110g")</f>
        <v>Country Chew sticks papaya &amp; hibiscus 110g</v>
      </c>
      <c r="G1400" s="133" t="str">
        <f>IFERROR(__xludf.DUMMYFUNCTION("""COMPUTED_VALUE"""),"كونتري تشو ستيكس البابايا والكركديه 110 جرام")</f>
        <v>كونتري تشو ستيكس البابايا والكركديه 110 جرام</v>
      </c>
      <c r="H1400" s="133" t="str">
        <f>IFERROR(__xludf.DUMMYFUNCTION("""COMPUTED_VALUE"""),"MAFE20233182")</f>
        <v>MAFE20233182</v>
      </c>
      <c r="I1400" s="133"/>
      <c r="J1400" s="133"/>
      <c r="K1400" s="133" t="str">
        <f>IFERROR(__xludf.DUMMYFUNCTION("""COMPUTED_VALUE"""),"ويت مولين بي في")</f>
        <v>ويت مولين بي في</v>
      </c>
      <c r="L1400" s="133"/>
      <c r="M1400" s="133"/>
      <c r="N1400" s="133"/>
      <c r="O1400" s="133"/>
      <c r="P1400" s="133"/>
      <c r="Q1400" s="133"/>
      <c r="R1400" s="133"/>
      <c r="S1400" s="133"/>
      <c r="T1400" s="133"/>
      <c r="U1400" s="133"/>
      <c r="V1400" s="133"/>
      <c r="W1400" s="133"/>
      <c r="X1400" s="133"/>
      <c r="Y1400" s="133"/>
      <c r="Z1400" s="133"/>
    </row>
    <row r="1401">
      <c r="A1401" s="133">
        <f>IFERROR(__xludf.DUMMYFUNCTION("""COMPUTED_VALUE"""),1400.0)</f>
        <v>1400</v>
      </c>
      <c r="B1401" s="133"/>
      <c r="C1401" s="133" t="str">
        <f>IFERROR(__xludf.DUMMYFUNCTION("""COMPUTED_VALUE"""),"P-1-N-160823-4892")</f>
        <v>P-1-N-160823-4892</v>
      </c>
      <c r="D1401" s="133"/>
      <c r="E1401" s="133" t="str">
        <f>IFERROR(__xludf.DUMMYFUNCTION("""COMPUTED_VALUE"""),"تمت طباعة الشهادة")</f>
        <v>تمت طباعة الشهادة</v>
      </c>
      <c r="F1401" s="133" t="str">
        <f>IFERROR(__xludf.DUMMYFUNCTION("""COMPUTED_VALUE"""),"Country Chew sticks elderberry &amp; apple 110g")</f>
        <v>Country Chew sticks elderberry &amp; apple 110g</v>
      </c>
      <c r="G1401" s="133" t="str">
        <f>IFERROR(__xludf.DUMMYFUNCTION("""COMPUTED_VALUE"""),"كونتري تشو ستيكس البلسان والتفاح 110 جرام")</f>
        <v>كونتري تشو ستيكس البلسان والتفاح 110 جرام</v>
      </c>
      <c r="H1401" s="133" t="str">
        <f>IFERROR(__xludf.DUMMYFUNCTION("""COMPUTED_VALUE"""),"MAFE20233181")</f>
        <v>MAFE20233181</v>
      </c>
      <c r="I1401" s="133"/>
      <c r="J1401" s="133"/>
      <c r="K1401" s="133" t="str">
        <f>IFERROR(__xludf.DUMMYFUNCTION("""COMPUTED_VALUE"""),"ويت مولين بي في")</f>
        <v>ويت مولين بي في</v>
      </c>
      <c r="L1401" s="133"/>
      <c r="M1401" s="133"/>
      <c r="N1401" s="133"/>
      <c r="O1401" s="133"/>
      <c r="P1401" s="133"/>
      <c r="Q1401" s="133"/>
      <c r="R1401" s="133"/>
      <c r="S1401" s="133"/>
      <c r="T1401" s="133"/>
      <c r="U1401" s="133"/>
      <c r="V1401" s="133"/>
      <c r="W1401" s="133"/>
      <c r="X1401" s="133"/>
      <c r="Y1401" s="133"/>
      <c r="Z1401" s="133"/>
    </row>
    <row r="1402">
      <c r="A1402" s="133">
        <f>IFERROR(__xludf.DUMMYFUNCTION("""COMPUTED_VALUE"""),1401.0)</f>
        <v>1401</v>
      </c>
      <c r="B1402" s="133"/>
      <c r="C1402" s="133" t="str">
        <f>IFERROR(__xludf.DUMMYFUNCTION("""COMPUTED_VALUE"""),"P-1-N-160823-4893")</f>
        <v>P-1-N-160823-4893</v>
      </c>
      <c r="D1402" s="133"/>
      <c r="E1402" s="133" t="str">
        <f>IFERROR(__xludf.DUMMYFUNCTION("""COMPUTED_VALUE"""),"تمت طباعة الشهادة")</f>
        <v>تمت طباعة الشهادة</v>
      </c>
      <c r="F1402" s="133" t="str">
        <f>IFERROR(__xludf.DUMMYFUNCTION("""COMPUTED_VALUE"""),"Country Chew sticks tomato &amp; peas 180g")</f>
        <v>Country Chew sticks tomato &amp; peas 180g</v>
      </c>
      <c r="G1402" s="133" t="str">
        <f>IFERROR(__xludf.DUMMYFUNCTION("""COMPUTED_VALUE"""),"كونتري تشو ستيكس الطماطم والبازلاء 180 جرام")</f>
        <v>كونتري تشو ستيكس الطماطم والبازلاء 180 جرام</v>
      </c>
      <c r="H1402" s="133" t="str">
        <f>IFERROR(__xludf.DUMMYFUNCTION("""COMPUTED_VALUE"""),"MAFE20233180")</f>
        <v>MAFE20233180</v>
      </c>
      <c r="I1402" s="133"/>
      <c r="J1402" s="133"/>
      <c r="K1402" s="133" t="str">
        <f>IFERROR(__xludf.DUMMYFUNCTION("""COMPUTED_VALUE"""),"ويت مولين بي في")</f>
        <v>ويت مولين بي في</v>
      </c>
      <c r="L1402" s="133"/>
      <c r="M1402" s="133"/>
      <c r="N1402" s="133"/>
      <c r="O1402" s="133"/>
      <c r="P1402" s="133"/>
      <c r="Q1402" s="133"/>
      <c r="R1402" s="133"/>
      <c r="S1402" s="133"/>
      <c r="T1402" s="133"/>
      <c r="U1402" s="133"/>
      <c r="V1402" s="133"/>
      <c r="W1402" s="133"/>
      <c r="X1402" s="133"/>
      <c r="Y1402" s="133"/>
      <c r="Z1402" s="133"/>
    </row>
    <row r="1403">
      <c r="A1403" s="133">
        <f>IFERROR(__xludf.DUMMYFUNCTION("""COMPUTED_VALUE"""),1402.0)</f>
        <v>1402</v>
      </c>
      <c r="B1403" s="133"/>
      <c r="C1403" s="133" t="str">
        <f>IFERROR(__xludf.DUMMYFUNCTION("""COMPUTED_VALUE"""),"P-1-N-160823-4894")</f>
        <v>P-1-N-160823-4894</v>
      </c>
      <c r="D1403" s="133"/>
      <c r="E1403" s="133" t="str">
        <f>IFERROR(__xludf.DUMMYFUNCTION("""COMPUTED_VALUE"""),"تمت طباعة الشهادة")</f>
        <v>تمت طباعة الشهادة</v>
      </c>
      <c r="F1403" s="133" t="str">
        <f>IFERROR(__xludf.DUMMYFUNCTION("""COMPUTED_VALUE"""),"Country Chew sticks coconut &amp; orange 180g")</f>
        <v>Country Chew sticks coconut &amp; orange 180g</v>
      </c>
      <c r="G1403" s="133" t="str">
        <f>IFERROR(__xludf.DUMMYFUNCTION("""COMPUTED_VALUE"""),"كونتري تشو ستيكس جوز الهند والبرتقال 180 جرام")</f>
        <v>كونتري تشو ستيكس جوز الهند والبرتقال 180 جرام</v>
      </c>
      <c r="H1403" s="133" t="str">
        <f>IFERROR(__xludf.DUMMYFUNCTION("""COMPUTED_VALUE"""),"MAFE20233179")</f>
        <v>MAFE20233179</v>
      </c>
      <c r="I1403" s="133"/>
      <c r="J1403" s="133"/>
      <c r="K1403" s="133" t="str">
        <f>IFERROR(__xludf.DUMMYFUNCTION("""COMPUTED_VALUE"""),"ويت مولين بي في")</f>
        <v>ويت مولين بي في</v>
      </c>
      <c r="L1403" s="133"/>
      <c r="M1403" s="133"/>
      <c r="N1403" s="133"/>
      <c r="O1403" s="133"/>
      <c r="P1403" s="133"/>
      <c r="Q1403" s="133"/>
      <c r="R1403" s="133"/>
      <c r="S1403" s="133"/>
      <c r="T1403" s="133"/>
      <c r="U1403" s="133"/>
      <c r="V1403" s="133"/>
      <c r="W1403" s="133"/>
      <c r="X1403" s="133"/>
      <c r="Y1403" s="133"/>
      <c r="Z1403" s="133"/>
    </row>
    <row r="1404">
      <c r="A1404" s="133">
        <f>IFERROR(__xludf.DUMMYFUNCTION("""COMPUTED_VALUE"""),1403.0)</f>
        <v>1403</v>
      </c>
      <c r="B1404" s="133"/>
      <c r="C1404" s="133" t="str">
        <f>IFERROR(__xludf.DUMMYFUNCTION("""COMPUTED_VALUE"""),"P-1-N-240823-5043")</f>
        <v>P-1-N-240823-5043</v>
      </c>
      <c r="D1404" s="133"/>
      <c r="E1404" s="133" t="str">
        <f>IFERROR(__xludf.DUMMYFUNCTION("""COMPUTED_VALUE"""),"تمت طباعة الشهادة")</f>
        <v>تمت طباعة الشهادة</v>
      </c>
      <c r="F1404" s="133" t="str">
        <f>IFERROR(__xludf.DUMMYFUNCTION("""COMPUTED_VALUE"""),"PUUR Stick Cockatoo Kiwi/Eucalyptus 1 ST 140g")</f>
        <v>PUUR Stick Cockatoo Kiwi/Eucalyptus 1 ST 140g</v>
      </c>
      <c r="G1404" s="133" t="str">
        <f>IFERROR(__xludf.DUMMYFUNCTION("""COMPUTED_VALUE"""),"بيور ستيك كوكاتو الكيوي / الأوكالبتوس 1 اس تي 140 جم")</f>
        <v>بيور ستيك كوكاتو الكيوي / الأوكالبتوس 1 اس تي 140 جم</v>
      </c>
      <c r="H1404" s="133" t="str">
        <f>IFERROR(__xludf.DUMMYFUNCTION("""COMPUTED_VALUE"""),"MAFE20233278")</f>
        <v>MAFE20233278</v>
      </c>
      <c r="I1404" s="133"/>
      <c r="J1404" s="133"/>
      <c r="K1404" s="133" t="str">
        <f>IFERROR(__xludf.DUMMYFUNCTION("""COMPUTED_VALUE"""),"لاروي جروب إن في")</f>
        <v>لاروي جروب إن في</v>
      </c>
      <c r="L1404" s="133"/>
      <c r="M1404" s="133"/>
      <c r="N1404" s="133"/>
      <c r="O1404" s="133"/>
      <c r="P1404" s="133"/>
      <c r="Q1404" s="133"/>
      <c r="R1404" s="133"/>
      <c r="S1404" s="133"/>
      <c r="T1404" s="133"/>
      <c r="U1404" s="133"/>
      <c r="V1404" s="133"/>
      <c r="W1404" s="133"/>
      <c r="X1404" s="133"/>
      <c r="Y1404" s="133"/>
      <c r="Z1404" s="133"/>
    </row>
    <row r="1405">
      <c r="A1405" s="133">
        <f>IFERROR(__xludf.DUMMYFUNCTION("""COMPUTED_VALUE"""),1404.0)</f>
        <v>1404</v>
      </c>
      <c r="B1405" s="133"/>
      <c r="C1405" s="133" t="str">
        <f>IFERROR(__xludf.DUMMYFUNCTION("""COMPUTED_VALUE"""),"P-1-N-240823-5044")</f>
        <v>P-1-N-240823-5044</v>
      </c>
      <c r="D1405" s="133"/>
      <c r="E1405" s="133" t="str">
        <f>IFERROR(__xludf.DUMMYFUNCTION("""COMPUTED_VALUE"""),"تمت طباعة الشهادة")</f>
        <v>تمت طباعة الشهادة</v>
      </c>
      <c r="F1405" s="133" t="str">
        <f>IFERROR(__xludf.DUMMYFUNCTION("""COMPUTED_VALUE"""),"PUUR Stick Parrot Pineapple/Peanut 1 ST 140g")</f>
        <v>PUUR Stick Parrot Pineapple/Peanut 1 ST 140g</v>
      </c>
      <c r="G1405" s="133" t="str">
        <f>IFERROR(__xludf.DUMMYFUNCTION("""COMPUTED_VALUE"""),"بيور ستيك ببغاوات الأناناس / الفول السوداني 1 اس تي 140 جم")</f>
        <v>بيور ستيك ببغاوات الأناناس / الفول السوداني 1 اس تي 140 جم</v>
      </c>
      <c r="H1405" s="133" t="str">
        <f>IFERROR(__xludf.DUMMYFUNCTION("""COMPUTED_VALUE"""),"MAFE20233281")</f>
        <v>MAFE20233281</v>
      </c>
      <c r="I1405" s="133"/>
      <c r="J1405" s="133"/>
      <c r="K1405" s="133" t="str">
        <f>IFERROR(__xludf.DUMMYFUNCTION("""COMPUTED_VALUE"""),"لاروي جروب إن في")</f>
        <v>لاروي جروب إن في</v>
      </c>
      <c r="L1405" s="133"/>
      <c r="M1405" s="133"/>
      <c r="N1405" s="133"/>
      <c r="O1405" s="133"/>
      <c r="P1405" s="133"/>
      <c r="Q1405" s="133"/>
      <c r="R1405" s="133"/>
      <c r="S1405" s="133"/>
      <c r="T1405" s="133"/>
      <c r="U1405" s="133"/>
      <c r="V1405" s="133"/>
      <c r="W1405" s="133"/>
      <c r="X1405" s="133"/>
      <c r="Y1405" s="133"/>
      <c r="Z1405" s="133"/>
    </row>
    <row r="1406">
      <c r="A1406" s="133">
        <f>IFERROR(__xludf.DUMMYFUNCTION("""COMPUTED_VALUE"""),1405.0)</f>
        <v>1405</v>
      </c>
      <c r="B1406" s="133"/>
      <c r="C1406" s="133" t="str">
        <f>IFERROR(__xludf.DUMMYFUNCTION("""COMPUTED_VALUE"""),"P-1-N-240823-5045")</f>
        <v>P-1-N-240823-5045</v>
      </c>
      <c r="D1406" s="133"/>
      <c r="E1406" s="133" t="str">
        <f>IFERROR(__xludf.DUMMYFUNCTION("""COMPUTED_VALUE"""),"تمت طباعة الشهادة")</f>
        <v>تمت طباعة الشهادة</v>
      </c>
      <c r="F1406" s="133" t="str">
        <f>IFERROR(__xludf.DUMMYFUNCTION("""COMPUTED_VALUE"""),"PUUR PUUR Pauze Sticks parrot banana &amp; rosehip 1 ST 140g")</f>
        <v>PUUR PUUR Pauze Sticks parrot banana &amp; rosehip 1 ST 140g</v>
      </c>
      <c r="G1406" s="133" t="str">
        <f>IFERROR(__xludf.DUMMYFUNCTION("""COMPUTED_VALUE"""),"بيور بيور باوز ستيكس ببغاوات الموز وثمر الورد 1 اس تي 140 جم")</f>
        <v>بيور بيور باوز ستيكس ببغاوات الموز وثمر الورد 1 اس تي 140 جم</v>
      </c>
      <c r="H1406" s="133" t="str">
        <f>IFERROR(__xludf.DUMMYFUNCTION("""COMPUTED_VALUE"""),"MAFE20233282")</f>
        <v>MAFE20233282</v>
      </c>
      <c r="I1406" s="133"/>
      <c r="J1406" s="133"/>
      <c r="K1406" s="133" t="str">
        <f>IFERROR(__xludf.DUMMYFUNCTION("""COMPUTED_VALUE"""),"لاروي جروب إن في")</f>
        <v>لاروي جروب إن في</v>
      </c>
      <c r="L1406" s="133"/>
      <c r="M1406" s="133"/>
      <c r="N1406" s="133"/>
      <c r="O1406" s="133"/>
      <c r="P1406" s="133"/>
      <c r="Q1406" s="133"/>
      <c r="R1406" s="133"/>
      <c r="S1406" s="133"/>
      <c r="T1406" s="133"/>
      <c r="U1406" s="133"/>
      <c r="V1406" s="133"/>
      <c r="W1406" s="133"/>
      <c r="X1406" s="133"/>
      <c r="Y1406" s="133"/>
      <c r="Z1406" s="133"/>
    </row>
    <row r="1407">
      <c r="A1407" s="133">
        <f>IFERROR(__xludf.DUMMYFUNCTION("""COMPUTED_VALUE"""),1406.0)</f>
        <v>1406</v>
      </c>
      <c r="B1407" s="133"/>
      <c r="C1407" s="133" t="str">
        <f>IFERROR(__xludf.DUMMYFUNCTION("""COMPUTED_VALUE"""),"P-1-N-240823-5046")</f>
        <v>P-1-N-240823-5046</v>
      </c>
      <c r="D1407" s="133"/>
      <c r="E1407" s="133" t="str">
        <f>IFERROR(__xludf.DUMMYFUNCTION("""COMPUTED_VALUE"""),"تمت طباعة الشهادة")</f>
        <v>تمت طباعة الشهادة</v>
      </c>
      <c r="F1407" s="133" t="str">
        <f>IFERROR(__xludf.DUMMYFUNCTION("""COMPUTED_VALUE"""),"PUUR Stick Parrot Papaya 1 ST 140g")</f>
        <v>PUUR Stick Parrot Papaya 1 ST 140g</v>
      </c>
      <c r="G1407" s="133" t="str">
        <f>IFERROR(__xludf.DUMMYFUNCTION("""COMPUTED_VALUE"""),"بيور ستيك ببغاوات البابايا 1 اس تي 140 جم")</f>
        <v>بيور ستيك ببغاوات البابايا 1 اس تي 140 جم</v>
      </c>
      <c r="H1407" s="133" t="str">
        <f>IFERROR(__xludf.DUMMYFUNCTION("""COMPUTED_VALUE"""),"MAFE20233283")</f>
        <v>MAFE20233283</v>
      </c>
      <c r="I1407" s="133"/>
      <c r="J1407" s="133"/>
      <c r="K1407" s="133" t="str">
        <f>IFERROR(__xludf.DUMMYFUNCTION("""COMPUTED_VALUE"""),"لاروي جروب إن في")</f>
        <v>لاروي جروب إن في</v>
      </c>
      <c r="L1407" s="133"/>
      <c r="M1407" s="133"/>
      <c r="N1407" s="133"/>
      <c r="O1407" s="133"/>
      <c r="P1407" s="133"/>
      <c r="Q1407" s="133"/>
      <c r="R1407" s="133"/>
      <c r="S1407" s="133"/>
      <c r="T1407" s="133"/>
      <c r="U1407" s="133"/>
      <c r="V1407" s="133"/>
      <c r="W1407" s="133"/>
      <c r="X1407" s="133"/>
      <c r="Y1407" s="133"/>
      <c r="Z1407" s="133"/>
    </row>
    <row r="1408">
      <c r="A1408" s="133">
        <f>IFERROR(__xludf.DUMMYFUNCTION("""COMPUTED_VALUE"""),1407.0)</f>
        <v>1407</v>
      </c>
      <c r="B1408" s="133"/>
      <c r="C1408" s="133" t="str">
        <f>IFERROR(__xludf.DUMMYFUNCTION("""COMPUTED_VALUE"""),"P-1-N-240823-5047")</f>
        <v>P-1-N-240823-5047</v>
      </c>
      <c r="D1408" s="133"/>
      <c r="E1408" s="133" t="str">
        <f>IFERROR(__xludf.DUMMYFUNCTION("""COMPUTED_VALUE"""),"تمت طباعة الشهادة")</f>
        <v>تمت طباعة الشهادة</v>
      </c>
      <c r="F1408" s="133" t="str">
        <f>IFERROR(__xludf.DUMMYFUNCTION("""COMPUTED_VALUE"""),"PUUR Stick Lovebird Honey/Date 1 ST 60g")</f>
        <v>PUUR Stick Lovebird Honey/Date 1 ST 60g</v>
      </c>
      <c r="G1408" s="133" t="str">
        <f>IFERROR(__xludf.DUMMYFUNCTION("""COMPUTED_VALUE"""),"بيور ستيك طيور الحب العسل/التمر 1 اس تي 60 جم")</f>
        <v>بيور ستيك طيور الحب العسل/التمر 1 اس تي 60 جم</v>
      </c>
      <c r="H1408" s="133" t="str">
        <f>IFERROR(__xludf.DUMMYFUNCTION("""COMPUTED_VALUE"""),"MAFE20233284")</f>
        <v>MAFE20233284</v>
      </c>
      <c r="I1408" s="133"/>
      <c r="J1408" s="133"/>
      <c r="K1408" s="133" t="str">
        <f>IFERROR(__xludf.DUMMYFUNCTION("""COMPUTED_VALUE"""),"لاروي جروب إن في")</f>
        <v>لاروي جروب إن في</v>
      </c>
      <c r="L1408" s="133"/>
      <c r="M1408" s="133"/>
      <c r="N1408" s="133"/>
      <c r="O1408" s="133"/>
      <c r="P1408" s="133"/>
      <c r="Q1408" s="133"/>
      <c r="R1408" s="133"/>
      <c r="S1408" s="133"/>
      <c r="T1408" s="133"/>
      <c r="U1408" s="133"/>
      <c r="V1408" s="133"/>
      <c r="W1408" s="133"/>
      <c r="X1408" s="133"/>
      <c r="Y1408" s="133"/>
      <c r="Z1408" s="133"/>
    </row>
    <row r="1409">
      <c r="A1409" s="133">
        <f>IFERROR(__xludf.DUMMYFUNCTION("""COMPUTED_VALUE"""),1408.0)</f>
        <v>1408</v>
      </c>
      <c r="B1409" s="133"/>
      <c r="C1409" s="133" t="str">
        <f>IFERROR(__xludf.DUMMYFUNCTION("""COMPUTED_VALUE"""),"P-1-N-240823-5048")</f>
        <v>P-1-N-240823-5048</v>
      </c>
      <c r="D1409" s="133"/>
      <c r="E1409" s="133" t="str">
        <f>IFERROR(__xludf.DUMMYFUNCTION("""COMPUTED_VALUE"""),"تمت طباعة الشهادة")</f>
        <v>تمت طباعة الشهادة</v>
      </c>
      <c r="F1409" s="133" t="str">
        <f>IFERROR(__xludf.DUMMYFUNCTION("""COMPUTED_VALUE"""),"PUUR Stick Large Parakeet Apricot 1 ST 140g")</f>
        <v>PUUR Stick Large Parakeet Apricot 1 ST 140g</v>
      </c>
      <c r="G1409" s="133" t="str">
        <f>IFERROR(__xludf.DUMMYFUNCTION("""COMPUTED_VALUE"""),"بيور ستيك براكيت كبيرة المشمش 1 اس تي 140 جم")</f>
        <v>بيور ستيك براكيت كبيرة المشمش 1 اس تي 140 جم</v>
      </c>
      <c r="H1409" s="133" t="str">
        <f>IFERROR(__xludf.DUMMYFUNCTION("""COMPUTED_VALUE"""),"MAFE20233285")</f>
        <v>MAFE20233285</v>
      </c>
      <c r="I1409" s="133"/>
      <c r="J1409" s="133"/>
      <c r="K1409" s="133" t="str">
        <f>IFERROR(__xludf.DUMMYFUNCTION("""COMPUTED_VALUE"""),"لاروي جروب إن في")</f>
        <v>لاروي جروب إن في</v>
      </c>
      <c r="L1409" s="133"/>
      <c r="M1409" s="133"/>
      <c r="N1409" s="133"/>
      <c r="O1409" s="133"/>
      <c r="P1409" s="133"/>
      <c r="Q1409" s="133"/>
      <c r="R1409" s="133"/>
      <c r="S1409" s="133"/>
      <c r="T1409" s="133"/>
      <c r="U1409" s="133"/>
      <c r="V1409" s="133"/>
      <c r="W1409" s="133"/>
      <c r="X1409" s="133"/>
      <c r="Y1409" s="133"/>
      <c r="Z1409" s="133"/>
    </row>
    <row r="1410">
      <c r="A1410" s="133">
        <f>IFERROR(__xludf.DUMMYFUNCTION("""COMPUTED_VALUE"""),1409.0)</f>
        <v>1409</v>
      </c>
      <c r="B1410" s="133"/>
      <c r="C1410" s="133" t="str">
        <f>IFERROR(__xludf.DUMMYFUNCTION("""COMPUTED_VALUE"""),"P-1-N-240823-5049")</f>
        <v>P-1-N-240823-5049</v>
      </c>
      <c r="D1410" s="133"/>
      <c r="E1410" s="133" t="str">
        <f>IFERROR(__xludf.DUMMYFUNCTION("""COMPUTED_VALUE"""),"تمت طباعة الشهادة")</f>
        <v>تمت طباعة الشهادة</v>
      </c>
      <c r="F1410" s="133" t="str">
        <f>IFERROR(__xludf.DUMMYFUNCTION("""COMPUTED_VALUE"""),"PUUR Pauze Sticks I parakeet fennel &amp; pepper 1ST 140g")</f>
        <v>PUUR Pauze Sticks I parakeet fennel &amp; pepper 1ST 140g</v>
      </c>
      <c r="G1410" s="133" t="str">
        <f>IFERROR(__xludf.DUMMYFUNCTION("""COMPUTED_VALUE"""),"بيور باوز ستيكس |براكيت الشمر والفلفل 1 اس تي 140 جم")</f>
        <v>بيور باوز ستيكس |براكيت الشمر والفلفل 1 اس تي 140 جم</v>
      </c>
      <c r="H1410" s="133" t="str">
        <f>IFERROR(__xludf.DUMMYFUNCTION("""COMPUTED_VALUE"""),"MAFE20233286")</f>
        <v>MAFE20233286</v>
      </c>
      <c r="I1410" s="133"/>
      <c r="J1410" s="133"/>
      <c r="K1410" s="133" t="str">
        <f>IFERROR(__xludf.DUMMYFUNCTION("""COMPUTED_VALUE"""),"لاروي جروب إن في")</f>
        <v>لاروي جروب إن في</v>
      </c>
      <c r="L1410" s="133"/>
      <c r="M1410" s="133"/>
      <c r="N1410" s="133"/>
      <c r="O1410" s="133"/>
      <c r="P1410" s="133"/>
      <c r="Q1410" s="133"/>
      <c r="R1410" s="133"/>
      <c r="S1410" s="133"/>
      <c r="T1410" s="133"/>
      <c r="U1410" s="133"/>
      <c r="V1410" s="133"/>
      <c r="W1410" s="133"/>
      <c r="X1410" s="133"/>
      <c r="Y1410" s="133"/>
      <c r="Z1410" s="133"/>
    </row>
    <row r="1411">
      <c r="A1411" s="133">
        <f>IFERROR(__xludf.DUMMYFUNCTION("""COMPUTED_VALUE"""),1410.0)</f>
        <v>1410</v>
      </c>
      <c r="B1411" s="133"/>
      <c r="C1411" s="133" t="str">
        <f>IFERROR(__xludf.DUMMYFUNCTION("""COMPUTED_VALUE"""),"P-1-N-240823-5050")</f>
        <v>P-1-N-240823-5050</v>
      </c>
      <c r="D1411" s="133"/>
      <c r="E1411" s="133" t="str">
        <f>IFERROR(__xludf.DUMMYFUNCTION("""COMPUTED_VALUE"""),"تمت طباعة الشهادة")</f>
        <v>تمت طباعة الشهادة</v>
      </c>
      <c r="F1411" s="133" t="str">
        <f>IFERROR(__xludf.DUMMYFUNCTION("""COMPUTED_VALUE"""),"PUUR Stick Budgie Apple/Rosehip 1 ST 60g")</f>
        <v>PUUR Stick Budgie Apple/Rosehip 1 ST 60g</v>
      </c>
      <c r="G1411" s="133" t="str">
        <f>IFERROR(__xludf.DUMMYFUNCTION("""COMPUTED_VALUE"""),"بيور ستيك بادجي التفاح / ثمر الورد 1 اس تي 60 جم")</f>
        <v>بيور ستيك بادجي التفاح / ثمر الورد 1 اس تي 60 جم</v>
      </c>
      <c r="H1411" s="133" t="str">
        <f>IFERROR(__xludf.DUMMYFUNCTION("""COMPUTED_VALUE"""),"MAFE20233287")</f>
        <v>MAFE20233287</v>
      </c>
      <c r="I1411" s="133"/>
      <c r="J1411" s="133"/>
      <c r="K1411" s="133" t="str">
        <f>IFERROR(__xludf.DUMMYFUNCTION("""COMPUTED_VALUE"""),"لاروي جروب إن في")</f>
        <v>لاروي جروب إن في</v>
      </c>
      <c r="L1411" s="133"/>
      <c r="M1411" s="133"/>
      <c r="N1411" s="133"/>
      <c r="O1411" s="133"/>
      <c r="P1411" s="133"/>
      <c r="Q1411" s="133"/>
      <c r="R1411" s="133"/>
      <c r="S1411" s="133"/>
      <c r="T1411" s="133"/>
      <c r="U1411" s="133"/>
      <c r="V1411" s="133"/>
      <c r="W1411" s="133"/>
      <c r="X1411" s="133"/>
      <c r="Y1411" s="133"/>
      <c r="Z1411" s="133"/>
    </row>
    <row r="1412">
      <c r="A1412" s="133">
        <f>IFERROR(__xludf.DUMMYFUNCTION("""COMPUTED_VALUE"""),1411.0)</f>
        <v>1411</v>
      </c>
      <c r="B1412" s="133"/>
      <c r="C1412" s="133" t="str">
        <f>IFERROR(__xludf.DUMMYFUNCTION("""COMPUTED_VALUE"""),"P-1-N-240823-5051")</f>
        <v>P-1-N-240823-5051</v>
      </c>
      <c r="D1412" s="133"/>
      <c r="E1412" s="133" t="str">
        <f>IFERROR(__xludf.DUMMYFUNCTION("""COMPUTED_VALUE"""),"تمت طباعة الشهادة")</f>
        <v>تمت طباعة الشهادة</v>
      </c>
      <c r="F1412" s="133" t="str">
        <f>IFERROR(__xludf.DUMMYFUNCTION("""COMPUTED_VALUE"""),"PUUR Pauze Sticks budgie rasp &amp; elderberry 1 ST 60g")</f>
        <v>PUUR Pauze Sticks budgie rasp &amp; elderberry 1 ST 60g</v>
      </c>
      <c r="G1412" s="133" t="str">
        <f>IFERROR(__xludf.DUMMYFUNCTION("""COMPUTED_VALUE"""),"بيور باوز ستيكس بادجي التوت و البلسان 1 اس تي 60 جم")</f>
        <v>بيور باوز ستيكس بادجي التوت و البلسان 1 اس تي 60 جم</v>
      </c>
      <c r="H1412" s="133" t="str">
        <f>IFERROR(__xludf.DUMMYFUNCTION("""COMPUTED_VALUE"""),"MAFE20233288")</f>
        <v>MAFE20233288</v>
      </c>
      <c r="I1412" s="133"/>
      <c r="J1412" s="133"/>
      <c r="K1412" s="133" t="str">
        <f>IFERROR(__xludf.DUMMYFUNCTION("""COMPUTED_VALUE"""),"لاروي جروب إن في")</f>
        <v>لاروي جروب إن في</v>
      </c>
      <c r="L1412" s="133"/>
      <c r="M1412" s="133"/>
      <c r="N1412" s="133"/>
      <c r="O1412" s="133"/>
      <c r="P1412" s="133"/>
      <c r="Q1412" s="133"/>
      <c r="R1412" s="133"/>
      <c r="S1412" s="133"/>
      <c r="T1412" s="133"/>
      <c r="U1412" s="133"/>
      <c r="V1412" s="133"/>
      <c r="W1412" s="133"/>
      <c r="X1412" s="133"/>
      <c r="Y1412" s="133"/>
      <c r="Z1412" s="133"/>
    </row>
    <row r="1413">
      <c r="A1413" s="133">
        <f>IFERROR(__xludf.DUMMYFUNCTION("""COMPUTED_VALUE"""),1412.0)</f>
        <v>1412</v>
      </c>
      <c r="B1413" s="133"/>
      <c r="C1413" s="133" t="str">
        <f>IFERROR(__xludf.DUMMYFUNCTION("""COMPUTED_VALUE"""),"P-1-N-240823-5052")</f>
        <v>P-1-N-240823-5052</v>
      </c>
      <c r="D1413" s="133"/>
      <c r="E1413" s="133" t="str">
        <f>IFERROR(__xludf.DUMMYFUNCTION("""COMPUTED_VALUE"""),"تمت طباعة الشهادة")</f>
        <v>تمت طباعة الشهادة</v>
      </c>
      <c r="F1413" s="133" t="str">
        <f>IFERROR(__xludf.DUMMYFUNCTION("""COMPUTED_VALUE"""),"PUUR Stick Budgie Papaya/Orange 1 ST 60g")</f>
        <v>PUUR Stick Budgie Papaya/Orange 1 ST 60g</v>
      </c>
      <c r="G1413" s="133" t="str">
        <f>IFERROR(__xludf.DUMMYFUNCTION("""COMPUTED_VALUE"""),"بيور ستيك بادجي البابايا/البرتقال 1 اس تي 60 جم")</f>
        <v>بيور ستيك بادجي البابايا/البرتقال 1 اس تي 60 جم</v>
      </c>
      <c r="H1413" s="133" t="str">
        <f>IFERROR(__xludf.DUMMYFUNCTION("""COMPUTED_VALUE"""),"MAFE20233267")</f>
        <v>MAFE20233267</v>
      </c>
      <c r="I1413" s="133"/>
      <c r="J1413" s="133"/>
      <c r="K1413" s="133" t="str">
        <f>IFERROR(__xludf.DUMMYFUNCTION("""COMPUTED_VALUE"""),"لاروي جروب إن في")</f>
        <v>لاروي جروب إن في</v>
      </c>
      <c r="L1413" s="133"/>
      <c r="M1413" s="133"/>
      <c r="N1413" s="133"/>
      <c r="O1413" s="133"/>
      <c r="P1413" s="133"/>
      <c r="Q1413" s="133"/>
      <c r="R1413" s="133"/>
      <c r="S1413" s="133"/>
      <c r="T1413" s="133"/>
      <c r="U1413" s="133"/>
      <c r="V1413" s="133"/>
      <c r="W1413" s="133"/>
      <c r="X1413" s="133"/>
      <c r="Y1413" s="133"/>
      <c r="Z1413" s="133"/>
    </row>
    <row r="1414">
      <c r="A1414" s="133">
        <f>IFERROR(__xludf.DUMMYFUNCTION("""COMPUTED_VALUE"""),1413.0)</f>
        <v>1413</v>
      </c>
      <c r="B1414" s="133"/>
      <c r="C1414" s="133" t="str">
        <f>IFERROR(__xludf.DUMMYFUNCTION("""COMPUTED_VALUE"""),"P-1-N-240823-5053")</f>
        <v>P-1-N-240823-5053</v>
      </c>
      <c r="D1414" s="133"/>
      <c r="E1414" s="133" t="str">
        <f>IFERROR(__xludf.DUMMYFUNCTION("""COMPUTED_VALUE"""),"تمت طباعة الشهادة")</f>
        <v>تمت طباعة الشهادة</v>
      </c>
      <c r="F1414" s="133" t="str">
        <f>IFERROR(__xludf.DUMMYFUNCTION("""COMPUTED_VALUE"""),"PUUR Stick Canary Apple/Pear 1ST 60g")</f>
        <v>PUUR Stick Canary Apple/Pear 1ST 60g</v>
      </c>
      <c r="G1414" s="133" t="str">
        <f>IFERROR(__xludf.DUMMYFUNCTION("""COMPUTED_VALUE"""),"بيور ستيك كناري التفاح / الكمثرى 1 اس تي 60 جم")</f>
        <v>بيور ستيك كناري التفاح / الكمثرى 1 اس تي 60 جم</v>
      </c>
      <c r="H1414" s="133" t="str">
        <f>IFERROR(__xludf.DUMMYFUNCTION("""COMPUTED_VALUE"""),"MAFE20233266")</f>
        <v>MAFE20233266</v>
      </c>
      <c r="I1414" s="133"/>
      <c r="J1414" s="133"/>
      <c r="K1414" s="133" t="str">
        <f>IFERROR(__xludf.DUMMYFUNCTION("""COMPUTED_VALUE"""),"لاروي جروب إن في")</f>
        <v>لاروي جروب إن في</v>
      </c>
      <c r="L1414" s="133"/>
      <c r="M1414" s="133"/>
      <c r="N1414" s="133"/>
      <c r="O1414" s="133"/>
      <c r="P1414" s="133"/>
      <c r="Q1414" s="133"/>
      <c r="R1414" s="133"/>
      <c r="S1414" s="133"/>
      <c r="T1414" s="133"/>
      <c r="U1414" s="133"/>
      <c r="V1414" s="133"/>
      <c r="W1414" s="133"/>
      <c r="X1414" s="133"/>
      <c r="Y1414" s="133"/>
      <c r="Z1414" s="133"/>
    </row>
    <row r="1415">
      <c r="A1415" s="133">
        <f>IFERROR(__xludf.DUMMYFUNCTION("""COMPUTED_VALUE"""),1414.0)</f>
        <v>1414</v>
      </c>
      <c r="B1415" s="133"/>
      <c r="C1415" s="133" t="str">
        <f>IFERROR(__xludf.DUMMYFUNCTION("""COMPUTED_VALUE"""),"P-1-N-240823-5054")</f>
        <v>P-1-N-240823-5054</v>
      </c>
      <c r="D1415" s="133"/>
      <c r="E1415" s="133" t="str">
        <f>IFERROR(__xludf.DUMMYFUNCTION("""COMPUTED_VALUE"""),"تمت طباعة الشهادة")</f>
        <v>تمت طباعة الشهادة</v>
      </c>
      <c r="F1415" s="133" t="str">
        <f>IFERROR(__xludf.DUMMYFUNCTION("""COMPUTED_VALUE"""),"PUUR Pauze Sticks canary cranberrry &amp; kiwi 1 ST 60g")</f>
        <v>PUUR Pauze Sticks canary cranberrry &amp; kiwi 1 ST 60g</v>
      </c>
      <c r="G1415" s="133" t="str">
        <f>IFERROR(__xludf.DUMMYFUNCTION("""COMPUTED_VALUE"""),"بيور باوز ستيكس كناري التوت البري والكيوي 1 اس تي 60 جم")</f>
        <v>بيور باوز ستيكس كناري التوت البري والكيوي 1 اس تي 60 جم</v>
      </c>
      <c r="H1415" s="133" t="str">
        <f>IFERROR(__xludf.DUMMYFUNCTION("""COMPUTED_VALUE"""),"MAFE20233265")</f>
        <v>MAFE20233265</v>
      </c>
      <c r="I1415" s="133"/>
      <c r="J1415" s="133"/>
      <c r="K1415" s="133" t="str">
        <f>IFERROR(__xludf.DUMMYFUNCTION("""COMPUTED_VALUE"""),"لاروي جروب إن في")</f>
        <v>لاروي جروب إن في</v>
      </c>
      <c r="L1415" s="133"/>
      <c r="M1415" s="133"/>
      <c r="N1415" s="133"/>
      <c r="O1415" s="133"/>
      <c r="P1415" s="133"/>
      <c r="Q1415" s="133"/>
      <c r="R1415" s="133"/>
      <c r="S1415" s="133"/>
      <c r="T1415" s="133"/>
      <c r="U1415" s="133"/>
      <c r="V1415" s="133"/>
      <c r="W1415" s="133"/>
      <c r="X1415" s="133"/>
      <c r="Y1415" s="133"/>
      <c r="Z1415" s="133"/>
    </row>
    <row r="1416">
      <c r="A1416" s="133">
        <f>IFERROR(__xludf.DUMMYFUNCTION("""COMPUTED_VALUE"""),1415.0)</f>
        <v>1415</v>
      </c>
      <c r="B1416" s="133"/>
      <c r="C1416" s="133" t="str">
        <f>IFERROR(__xludf.DUMMYFUNCTION("""COMPUTED_VALUE"""),"P-1-N-240823-5055")</f>
        <v>P-1-N-240823-5055</v>
      </c>
      <c r="D1416" s="133"/>
      <c r="E1416" s="133" t="str">
        <f>IFERROR(__xludf.DUMMYFUNCTION("""COMPUTED_VALUE"""),"تمت طباعة الشهادة")</f>
        <v>تمت طباعة الشهادة</v>
      </c>
      <c r="F1416" s="133" t="str">
        <f>IFERROR(__xludf.DUMMYFUNCTION("""COMPUTED_VALUE"""),"PUUR Stick Canary Elderberry/Cranberry 1 ST 60g")</f>
        <v>PUUR Stick Canary Elderberry/Cranberry 1 ST 60g</v>
      </c>
      <c r="G1416" s="133" t="str">
        <f>IFERROR(__xludf.DUMMYFUNCTION("""COMPUTED_VALUE"""),"بيور ستيك كناري نبات البلسان/التوت البري 1 اس تي 60 جم")</f>
        <v>بيور ستيك كناري نبات البلسان/التوت البري 1 اس تي 60 جم</v>
      </c>
      <c r="H1416" s="133" t="str">
        <f>IFERROR(__xludf.DUMMYFUNCTION("""COMPUTED_VALUE"""),"MAFE20233264")</f>
        <v>MAFE20233264</v>
      </c>
      <c r="I1416" s="133"/>
      <c r="J1416" s="133"/>
      <c r="K1416" s="133" t="str">
        <f>IFERROR(__xludf.DUMMYFUNCTION("""COMPUTED_VALUE"""),"لاروي جروب إن في")</f>
        <v>لاروي جروب إن في</v>
      </c>
      <c r="L1416" s="133"/>
      <c r="M1416" s="133"/>
      <c r="N1416" s="133"/>
      <c r="O1416" s="133"/>
      <c r="P1416" s="133"/>
      <c r="Q1416" s="133"/>
      <c r="R1416" s="133"/>
      <c r="S1416" s="133"/>
      <c r="T1416" s="133"/>
      <c r="U1416" s="133"/>
      <c r="V1416" s="133"/>
      <c r="W1416" s="133"/>
      <c r="X1416" s="133"/>
      <c r="Y1416" s="133"/>
      <c r="Z1416" s="133"/>
    </row>
    <row r="1417">
      <c r="A1417" s="133">
        <f>IFERROR(__xludf.DUMMYFUNCTION("""COMPUTED_VALUE"""),1416.0)</f>
        <v>1416</v>
      </c>
      <c r="B1417" s="133"/>
      <c r="C1417" s="133" t="str">
        <f>IFERROR(__xludf.DUMMYFUNCTION("""COMPUTED_VALUE"""),"P-1-N-240823-5056")</f>
        <v>P-1-N-240823-5056</v>
      </c>
      <c r="D1417" s="133"/>
      <c r="E1417" s="133" t="str">
        <f>IFERROR(__xludf.DUMMYFUNCTION("""COMPUTED_VALUE"""),"تمت طباعة الشهادة")</f>
        <v>تمت طباعة الشهادة</v>
      </c>
      <c r="F1417" s="133" t="str">
        <f>IFERROR(__xludf.DUMMYFUNCTION("""COMPUTED_VALUE"""),"PUUR Stick Tropical birds Wild Seeds 1 ST 60g")</f>
        <v>PUUR Stick Tropical birds Wild Seeds 1 ST 60g</v>
      </c>
      <c r="G1417" s="133" t="str">
        <f>IFERROR(__xludf.DUMMYFUNCTION("""COMPUTED_VALUE"""),"بيور ستيك طيور استوائية البذور البرية 1 اس تي 60 جم")</f>
        <v>بيور ستيك طيور استوائية البذور البرية 1 اس تي 60 جم</v>
      </c>
      <c r="H1417" s="133" t="str">
        <f>IFERROR(__xludf.DUMMYFUNCTION("""COMPUTED_VALUE"""),"MAFE20233263")</f>
        <v>MAFE20233263</v>
      </c>
      <c r="I1417" s="133"/>
      <c r="J1417" s="133"/>
      <c r="K1417" s="133" t="str">
        <f>IFERROR(__xludf.DUMMYFUNCTION("""COMPUTED_VALUE"""),"لاروي جروب إن في")</f>
        <v>لاروي جروب إن في</v>
      </c>
      <c r="L1417" s="133"/>
      <c r="M1417" s="133"/>
      <c r="N1417" s="133"/>
      <c r="O1417" s="133"/>
      <c r="P1417" s="133"/>
      <c r="Q1417" s="133"/>
      <c r="R1417" s="133"/>
      <c r="S1417" s="133"/>
      <c r="T1417" s="133"/>
      <c r="U1417" s="133"/>
      <c r="V1417" s="133"/>
      <c r="W1417" s="133"/>
      <c r="X1417" s="133"/>
      <c r="Y1417" s="133"/>
      <c r="Z1417" s="133"/>
    </row>
    <row r="1418">
      <c r="A1418" s="133">
        <f>IFERROR(__xludf.DUMMYFUNCTION("""COMPUTED_VALUE"""),1417.0)</f>
        <v>1417</v>
      </c>
      <c r="B1418" s="133"/>
      <c r="C1418" s="133" t="str">
        <f>IFERROR(__xludf.DUMMYFUNCTION("""COMPUTED_VALUE"""),"P-1-N-280823-5125")</f>
        <v>P-1-N-280823-5125</v>
      </c>
      <c r="D1418" s="133"/>
      <c r="E1418" s="133" t="str">
        <f>IFERROR(__xludf.DUMMYFUNCTION("""COMPUTED_VALUE"""),"تمت طباعة الشهادة")</f>
        <v>تمت طباعة الشهادة</v>
      </c>
      <c r="F1418" s="133" t="str">
        <f>IFERROR(__xludf.DUMMYFUNCTION("""COMPUTED_VALUE"""),"PUUR Mix Nuts &amp; Fruit 200GR")</f>
        <v>PUUR Mix Nuts &amp; Fruit 200GR</v>
      </c>
      <c r="G1418" s="133" t="str">
        <f>IFERROR(__xludf.DUMMYFUNCTION("""COMPUTED_VALUE"""),"بيور مزيج المكسرات والفواكه 200 جم")</f>
        <v>بيور مزيج المكسرات والفواكه 200 جم</v>
      </c>
      <c r="H1418" s="133" t="str">
        <f>IFERROR(__xludf.DUMMYFUNCTION("""COMPUTED_VALUE"""),"MAFE20233320")</f>
        <v>MAFE20233320</v>
      </c>
      <c r="I1418" s="133"/>
      <c r="J1418" s="133"/>
      <c r="K1418" s="133" t="str">
        <f>IFERROR(__xludf.DUMMYFUNCTION("""COMPUTED_VALUE"""),"لاروي جروب إن في")</f>
        <v>لاروي جروب إن في</v>
      </c>
      <c r="L1418" s="133"/>
      <c r="M1418" s="133"/>
      <c r="N1418" s="133"/>
      <c r="O1418" s="133"/>
      <c r="P1418" s="133"/>
      <c r="Q1418" s="133"/>
      <c r="R1418" s="133"/>
      <c r="S1418" s="133"/>
      <c r="T1418" s="133"/>
      <c r="U1418" s="133"/>
      <c r="V1418" s="133"/>
      <c r="W1418" s="133"/>
      <c r="X1418" s="133"/>
      <c r="Y1418" s="133"/>
      <c r="Z1418" s="133"/>
    </row>
    <row r="1419">
      <c r="A1419" s="133">
        <f>IFERROR(__xludf.DUMMYFUNCTION("""COMPUTED_VALUE"""),1418.0)</f>
        <v>1418</v>
      </c>
      <c r="B1419" s="133"/>
      <c r="C1419" s="133" t="str">
        <f>IFERROR(__xludf.DUMMYFUNCTION("""COMPUTED_VALUE"""),"P-1-N-280823-5126")</f>
        <v>P-1-N-280823-5126</v>
      </c>
      <c r="D1419" s="133"/>
      <c r="E1419" s="133" t="str">
        <f>IFERROR(__xludf.DUMMYFUNCTION("""COMPUTED_VALUE"""),"تمت طباعة الشهادة")</f>
        <v>تمت طباعة الشهادة</v>
      </c>
      <c r="F1419" s="133" t="str">
        <f>IFERROR(__xludf.DUMMYFUNCTION("""COMPUTED_VALUE"""),"PUUR Snack Muesli 700GR")</f>
        <v>PUUR Snack Muesli 700GR</v>
      </c>
      <c r="G1419" s="133" t="str">
        <f>IFERROR(__xludf.DUMMYFUNCTION("""COMPUTED_VALUE"""),"بيور سناك ميوزلي 700 جم")</f>
        <v>بيور سناك ميوزلي 700 جم</v>
      </c>
      <c r="H1419" s="133" t="str">
        <f>IFERROR(__xludf.DUMMYFUNCTION("""COMPUTED_VALUE"""),"MAFE20233319")</f>
        <v>MAFE20233319</v>
      </c>
      <c r="I1419" s="133"/>
      <c r="J1419" s="133"/>
      <c r="K1419" s="133" t="str">
        <f>IFERROR(__xludf.DUMMYFUNCTION("""COMPUTED_VALUE"""),"لاروي جروب إن في")</f>
        <v>لاروي جروب إن في</v>
      </c>
      <c r="L1419" s="133"/>
      <c r="M1419" s="133"/>
      <c r="N1419" s="133"/>
      <c r="O1419" s="133"/>
      <c r="P1419" s="133"/>
      <c r="Q1419" s="133"/>
      <c r="R1419" s="133"/>
      <c r="S1419" s="133"/>
      <c r="T1419" s="133"/>
      <c r="U1419" s="133"/>
      <c r="V1419" s="133"/>
      <c r="W1419" s="133"/>
      <c r="X1419" s="133"/>
      <c r="Y1419" s="133"/>
      <c r="Z1419" s="133"/>
    </row>
    <row r="1420">
      <c r="A1420" s="133">
        <f>IFERROR(__xludf.DUMMYFUNCTION("""COMPUTED_VALUE"""),1419.0)</f>
        <v>1419</v>
      </c>
      <c r="B1420" s="133"/>
      <c r="C1420" s="133" t="str">
        <f>IFERROR(__xludf.DUMMYFUNCTION("""COMPUTED_VALUE"""),"P-1-N-280823-5127")</f>
        <v>P-1-N-280823-5127</v>
      </c>
      <c r="D1420" s="133"/>
      <c r="E1420" s="133" t="str">
        <f>IFERROR(__xludf.DUMMYFUNCTION("""COMPUTED_VALUE"""),"تمت طباعة الشهادة")</f>
        <v>تمت طباعة الشهادة</v>
      </c>
      <c r="F1420" s="133" t="str">
        <f>IFERROR(__xludf.DUMMYFUNCTION("""COMPUTED_VALUE"""),"PUUR Snack vegetables /herbs 100GR")</f>
        <v>PUUR Snack vegetables /herbs 100GR</v>
      </c>
      <c r="G1420" s="133" t="str">
        <f>IFERROR(__xludf.DUMMYFUNCTION("""COMPUTED_VALUE"""),"بيور سناك الخضار والأعشاب 100 جم")</f>
        <v>بيور سناك الخضار والأعشاب 100 جم</v>
      </c>
      <c r="H1420" s="133" t="str">
        <f>IFERROR(__xludf.DUMMYFUNCTION("""COMPUTED_VALUE"""),"MAFE20233356")</f>
        <v>MAFE20233356</v>
      </c>
      <c r="I1420" s="133"/>
      <c r="J1420" s="133"/>
      <c r="K1420" s="133" t="str">
        <f>IFERROR(__xludf.DUMMYFUNCTION("""COMPUTED_VALUE"""),"لاروي جروب إن في")</f>
        <v>لاروي جروب إن في</v>
      </c>
      <c r="L1420" s="133"/>
      <c r="M1420" s="133"/>
      <c r="N1420" s="133"/>
      <c r="O1420" s="133"/>
      <c r="P1420" s="133"/>
      <c r="Q1420" s="133"/>
      <c r="R1420" s="133"/>
      <c r="S1420" s="133"/>
      <c r="T1420" s="133"/>
      <c r="U1420" s="133"/>
      <c r="V1420" s="133"/>
      <c r="W1420" s="133"/>
      <c r="X1420" s="133"/>
      <c r="Y1420" s="133"/>
      <c r="Z1420" s="133"/>
    </row>
    <row r="1421">
      <c r="A1421" s="133">
        <f>IFERROR(__xludf.DUMMYFUNCTION("""COMPUTED_VALUE"""),1420.0)</f>
        <v>1420</v>
      </c>
      <c r="B1421" s="133"/>
      <c r="C1421" s="133" t="str">
        <f>IFERROR(__xludf.DUMMYFUNCTION("""COMPUTED_VALUE"""),"P-1-N-280823-5128")</f>
        <v>P-1-N-280823-5128</v>
      </c>
      <c r="D1421" s="133"/>
      <c r="E1421" s="133" t="str">
        <f>IFERROR(__xludf.DUMMYFUNCTION("""COMPUTED_VALUE"""),"تمت طباعة الشهادة")</f>
        <v>تمت طباعة الشهادة</v>
      </c>
      <c r="F1421" s="133" t="str">
        <f>IFERROR(__xludf.DUMMYFUNCTION("""COMPUTED_VALUE"""),"PUUR Orchard hay 500 GR")</f>
        <v>PUUR Orchard hay 500 GR</v>
      </c>
      <c r="G1421" s="133" t="str">
        <f>IFERROR(__xludf.DUMMYFUNCTION("""COMPUTED_VALUE"""),"بيور قش البستان 500 جم")</f>
        <v>بيور قش البستان 500 جم</v>
      </c>
      <c r="H1421" s="133" t="str">
        <f>IFERROR(__xludf.DUMMYFUNCTION("""COMPUTED_VALUE"""),"MAFE20233318")</f>
        <v>MAFE20233318</v>
      </c>
      <c r="I1421" s="133"/>
      <c r="J1421" s="133"/>
      <c r="K1421" s="133" t="str">
        <f>IFERROR(__xludf.DUMMYFUNCTION("""COMPUTED_VALUE"""),"لاروي جروب إن في")</f>
        <v>لاروي جروب إن في</v>
      </c>
      <c r="L1421" s="133"/>
      <c r="M1421" s="133"/>
      <c r="N1421" s="133"/>
      <c r="O1421" s="133"/>
      <c r="P1421" s="133"/>
      <c r="Q1421" s="133"/>
      <c r="R1421" s="133"/>
      <c r="S1421" s="133"/>
      <c r="T1421" s="133"/>
      <c r="U1421" s="133"/>
      <c r="V1421" s="133"/>
      <c r="W1421" s="133"/>
      <c r="X1421" s="133"/>
      <c r="Y1421" s="133"/>
      <c r="Z1421" s="133"/>
    </row>
    <row r="1422">
      <c r="A1422" s="133">
        <f>IFERROR(__xludf.DUMMYFUNCTION("""COMPUTED_VALUE"""),1421.0)</f>
        <v>1421</v>
      </c>
      <c r="B1422" s="133"/>
      <c r="C1422" s="133" t="str">
        <f>IFERROR(__xludf.DUMMYFUNCTION("""COMPUTED_VALUE"""),"P-1-N-280823-5129")</f>
        <v>P-1-N-280823-5129</v>
      </c>
      <c r="D1422" s="133"/>
      <c r="E1422" s="133" t="str">
        <f>IFERROR(__xludf.DUMMYFUNCTION("""COMPUTED_VALUE"""),"تمت طباعة الشهادة")</f>
        <v>تمت طباعة الشهادة</v>
      </c>
      <c r="F1422" s="133" t="str">
        <f>IFERROR(__xludf.DUMMYFUNCTION("""COMPUTED_VALUE"""),"PUUR Timothy hay 500 GR")</f>
        <v>PUUR Timothy hay 500 GR</v>
      </c>
      <c r="G1422" s="133" t="str">
        <f>IFERROR(__xludf.DUMMYFUNCTION("""COMPUTED_VALUE"""),"بيور قش تيموثي 500 جم")</f>
        <v>بيور قش تيموثي 500 جم</v>
      </c>
      <c r="H1422" s="133" t="str">
        <f>IFERROR(__xludf.DUMMYFUNCTION("""COMPUTED_VALUE"""),"MAFE20233317")</f>
        <v>MAFE20233317</v>
      </c>
      <c r="I1422" s="133"/>
      <c r="J1422" s="133"/>
      <c r="K1422" s="133" t="str">
        <f>IFERROR(__xludf.DUMMYFUNCTION("""COMPUTED_VALUE"""),"لاروي جروب إن في")</f>
        <v>لاروي جروب إن في</v>
      </c>
      <c r="L1422" s="133"/>
      <c r="M1422" s="133"/>
      <c r="N1422" s="133"/>
      <c r="O1422" s="133"/>
      <c r="P1422" s="133"/>
      <c r="Q1422" s="133"/>
      <c r="R1422" s="133"/>
      <c r="S1422" s="133"/>
      <c r="T1422" s="133"/>
      <c r="U1422" s="133"/>
      <c r="V1422" s="133"/>
      <c r="W1422" s="133"/>
      <c r="X1422" s="133"/>
      <c r="Y1422" s="133"/>
      <c r="Z1422" s="133"/>
    </row>
    <row r="1423">
      <c r="A1423" s="133">
        <f>IFERROR(__xludf.DUMMYFUNCTION("""COMPUTED_VALUE"""),1422.0)</f>
        <v>1422</v>
      </c>
      <c r="B1423" s="133" t="str">
        <f>IFERROR(__xludf.DUMMYFUNCTION("""COMPUTED_VALUE"""),"654859")</f>
        <v>654859</v>
      </c>
      <c r="C1423" s="133" t="str">
        <f>IFERROR(__xludf.DUMMYFUNCTION("""COMPUTED_VALUE"""),"P-1-N-280823-5130")</f>
        <v>P-1-N-280823-5130</v>
      </c>
      <c r="D1423" s="133"/>
      <c r="E1423" s="133" t="str">
        <f>IFERROR(__xludf.DUMMYFUNCTION("""COMPUTED_VALUE"""),"تمت طباعة الشهادة")</f>
        <v>تمت طباعة الشهادة</v>
      </c>
      <c r="F1423" s="133" t="str">
        <f>IFERROR(__xludf.DUMMYFUNCTION("""COMPUTED_VALUE"""),"PUUR Timothy hay vegetables 500 GR")</f>
        <v>PUUR Timothy hay vegetables 500 GR</v>
      </c>
      <c r="G1423" s="133" t="str">
        <f>IFERROR(__xludf.DUMMYFUNCTION("""COMPUTED_VALUE"""),"بيور قش تيموثي خضروات 500 جم")</f>
        <v>بيور قش تيموثي خضروات 500 جم</v>
      </c>
      <c r="H1423" s="133" t="str">
        <f>IFERROR(__xludf.DUMMYFUNCTION("""COMPUTED_VALUE"""),"MAFE20233326")</f>
        <v>MAFE20233326</v>
      </c>
      <c r="I1423" s="133"/>
      <c r="J1423" s="133"/>
      <c r="K1423" s="133" t="str">
        <f>IFERROR(__xludf.DUMMYFUNCTION("""COMPUTED_VALUE"""),"لاروي جروب إن في")</f>
        <v>لاروي جروب إن في</v>
      </c>
      <c r="L1423" s="142" t="str">
        <f>IFERROR(__xludf.DUMMYFUNCTION("""COMPUTED_VALUE"""),"654859")</f>
        <v>654859</v>
      </c>
      <c r="M1423" s="133"/>
      <c r="N1423" s="133"/>
      <c r="O1423" s="133"/>
      <c r="P1423" s="133"/>
      <c r="Q1423" s="133"/>
      <c r="R1423" s="133"/>
      <c r="S1423" s="133"/>
      <c r="T1423" s="133"/>
      <c r="U1423" s="133"/>
      <c r="V1423" s="133"/>
      <c r="W1423" s="133"/>
      <c r="X1423" s="133"/>
      <c r="Y1423" s="133"/>
      <c r="Z1423" s="133"/>
    </row>
    <row r="1424">
      <c r="A1424" s="133">
        <f>IFERROR(__xludf.DUMMYFUNCTION("""COMPUTED_VALUE"""),1423.0)</f>
        <v>1423</v>
      </c>
      <c r="B1424" s="133"/>
      <c r="C1424" s="133" t="str">
        <f>IFERROR(__xludf.DUMMYFUNCTION("""COMPUTED_VALUE"""),"P-1-N-280823-5131")</f>
        <v>P-1-N-280823-5131</v>
      </c>
      <c r="D1424" s="133"/>
      <c r="E1424" s="133" t="str">
        <f>IFERROR(__xludf.DUMMYFUNCTION("""COMPUTED_VALUE"""),"تمت طباعة الشهادة")</f>
        <v>تمت طباعة الشهادة</v>
      </c>
      <c r="F1424" s="133" t="str">
        <f>IFERROR(__xludf.DUMMYFUNCTION("""COMPUTED_VALUE"""),"PUUR Timothy hay herbs 500 GR")</f>
        <v>PUUR Timothy hay herbs 500 GR</v>
      </c>
      <c r="G1424" s="133" t="str">
        <f>IFERROR(__xludf.DUMMYFUNCTION("""COMPUTED_VALUE"""),"بيور قش تيموثي أعشاب 500 جم")</f>
        <v>بيور قش تيموثي أعشاب 500 جم</v>
      </c>
      <c r="H1424" s="133" t="str">
        <f>IFERROR(__xludf.DUMMYFUNCTION("""COMPUTED_VALUE"""),"MAFE20233325")</f>
        <v>MAFE20233325</v>
      </c>
      <c r="I1424" s="133"/>
      <c r="J1424" s="133"/>
      <c r="K1424" s="133" t="str">
        <f>IFERROR(__xludf.DUMMYFUNCTION("""COMPUTED_VALUE"""),"لاروي جروب إن في")</f>
        <v>لاروي جروب إن في</v>
      </c>
      <c r="L1424" s="133"/>
      <c r="M1424" s="133"/>
      <c r="N1424" s="133"/>
      <c r="O1424" s="133"/>
      <c r="P1424" s="133"/>
      <c r="Q1424" s="133"/>
      <c r="R1424" s="133"/>
      <c r="S1424" s="133"/>
      <c r="T1424" s="133"/>
      <c r="U1424" s="133"/>
      <c r="V1424" s="133"/>
      <c r="W1424" s="133"/>
      <c r="X1424" s="133"/>
      <c r="Y1424" s="133"/>
      <c r="Z1424" s="133"/>
    </row>
    <row r="1425">
      <c r="A1425" s="133">
        <f>IFERROR(__xludf.DUMMYFUNCTION("""COMPUTED_VALUE"""),1424.0)</f>
        <v>1424</v>
      </c>
      <c r="B1425" s="133"/>
      <c r="C1425" s="133" t="str">
        <f>IFERROR(__xludf.DUMMYFUNCTION("""COMPUTED_VALUE"""),"P-1-N-280823-5132")</f>
        <v>P-1-N-280823-5132</v>
      </c>
      <c r="D1425" s="133"/>
      <c r="E1425" s="133" t="str">
        <f>IFERROR(__xludf.DUMMYFUNCTION("""COMPUTED_VALUE"""),"تمت طباعة الشهادة")</f>
        <v>تمت طباعة الشهادة</v>
      </c>
      <c r="F1425" s="133" t="str">
        <f>IFERROR(__xludf.DUMMYFUNCTION("""COMPUTED_VALUE"""),"PUUR Meadow hay flowers 500 GR")</f>
        <v>PUUR Meadow hay flowers 500 GR</v>
      </c>
      <c r="G1425" s="133" t="str">
        <f>IFERROR(__xludf.DUMMYFUNCTION("""COMPUTED_VALUE"""),"بيور قش مراعي زهور 500 جم")</f>
        <v>بيور قش مراعي زهور 500 جم</v>
      </c>
      <c r="H1425" s="133" t="str">
        <f>IFERROR(__xludf.DUMMYFUNCTION("""COMPUTED_VALUE"""),"MAFE20233324")</f>
        <v>MAFE20233324</v>
      </c>
      <c r="I1425" s="133"/>
      <c r="J1425" s="133"/>
      <c r="K1425" s="133" t="str">
        <f>IFERROR(__xludf.DUMMYFUNCTION("""COMPUTED_VALUE"""),"لاروي جروب إن في")</f>
        <v>لاروي جروب إن في</v>
      </c>
      <c r="L1425" s="133"/>
      <c r="M1425" s="133"/>
      <c r="N1425" s="133"/>
      <c r="O1425" s="133"/>
      <c r="P1425" s="133"/>
      <c r="Q1425" s="133"/>
      <c r="R1425" s="133"/>
      <c r="S1425" s="133"/>
      <c r="T1425" s="133"/>
      <c r="U1425" s="133"/>
      <c r="V1425" s="133"/>
      <c r="W1425" s="133"/>
      <c r="X1425" s="133"/>
      <c r="Y1425" s="133"/>
      <c r="Z1425" s="133"/>
    </row>
    <row r="1426">
      <c r="A1426" s="133">
        <f>IFERROR(__xludf.DUMMYFUNCTION("""COMPUTED_VALUE"""),1425.0)</f>
        <v>1425</v>
      </c>
      <c r="B1426" s="133"/>
      <c r="C1426" s="133" t="str">
        <f>IFERROR(__xludf.DUMMYFUNCTION("""COMPUTED_VALUE"""),"P-1-N-280823-5133")</f>
        <v>P-1-N-280823-5133</v>
      </c>
      <c r="D1426" s="133"/>
      <c r="E1426" s="133" t="str">
        <f>IFERROR(__xludf.DUMMYFUNCTION("""COMPUTED_VALUE"""),"تمت طباعة الشهادة")</f>
        <v>تمت طباعة الشهادة</v>
      </c>
      <c r="F1426" s="133" t="str">
        <f>IFERROR(__xludf.DUMMYFUNCTION("""COMPUTED_VALUE"""),"PUUR Meadow hay vegetables 500 GR")</f>
        <v>PUUR Meadow hay vegetables 500 GR</v>
      </c>
      <c r="G1426" s="133" t="str">
        <f>IFERROR(__xludf.DUMMYFUNCTION("""COMPUTED_VALUE"""),"بيور قش مراعي خضروات 500 جم")</f>
        <v>بيور قش مراعي خضروات 500 جم</v>
      </c>
      <c r="H1426" s="133" t="str">
        <f>IFERROR(__xludf.DUMMYFUNCTION("""COMPUTED_VALUE"""),"MAFE20233323")</f>
        <v>MAFE20233323</v>
      </c>
      <c r="I1426" s="133"/>
      <c r="J1426" s="133"/>
      <c r="K1426" s="133" t="str">
        <f>IFERROR(__xludf.DUMMYFUNCTION("""COMPUTED_VALUE"""),"لاروي جروب إن في")</f>
        <v>لاروي جروب إن في</v>
      </c>
      <c r="L1426" s="133"/>
      <c r="M1426" s="133"/>
      <c r="N1426" s="133"/>
      <c r="O1426" s="133"/>
      <c r="P1426" s="133"/>
      <c r="Q1426" s="133"/>
      <c r="R1426" s="133"/>
      <c r="S1426" s="133"/>
      <c r="T1426" s="133"/>
      <c r="U1426" s="133"/>
      <c r="V1426" s="133"/>
      <c r="W1426" s="133"/>
      <c r="X1426" s="133"/>
      <c r="Y1426" s="133"/>
      <c r="Z1426" s="133"/>
    </row>
    <row r="1427">
      <c r="A1427" s="133">
        <f>IFERROR(__xludf.DUMMYFUNCTION("""COMPUTED_VALUE"""),1426.0)</f>
        <v>1426</v>
      </c>
      <c r="B1427" s="133"/>
      <c r="C1427" s="133" t="str">
        <f>IFERROR(__xludf.DUMMYFUNCTION("""COMPUTED_VALUE"""),"P-1-N-280823-5134")</f>
        <v>P-1-N-280823-5134</v>
      </c>
      <c r="D1427" s="133"/>
      <c r="E1427" s="133" t="str">
        <f>IFERROR(__xludf.DUMMYFUNCTION("""COMPUTED_VALUE"""),"تمت طباعة الشهادة")</f>
        <v>تمت طباعة الشهادة</v>
      </c>
      <c r="F1427" s="133" t="str">
        <f>IFERROR(__xludf.DUMMYFUNCTION("""COMPUTED_VALUE"""),"PUUR Hay roll Strawberry/Cranberry 200 GR")</f>
        <v>PUUR Hay roll Strawberry/Cranberry 200 GR</v>
      </c>
      <c r="G1427" s="133" t="str">
        <f>IFERROR(__xludf.DUMMYFUNCTION("""COMPUTED_VALUE"""),"بيور لفة القش فراولة/توت بري 200 جم")</f>
        <v>بيور لفة القش فراولة/توت بري 200 جم</v>
      </c>
      <c r="H1427" s="133" t="str">
        <f>IFERROR(__xludf.DUMMYFUNCTION("""COMPUTED_VALUE"""),"MAFE20233322")</f>
        <v>MAFE20233322</v>
      </c>
      <c r="I1427" s="133"/>
      <c r="J1427" s="133"/>
      <c r="K1427" s="133" t="str">
        <f>IFERROR(__xludf.DUMMYFUNCTION("""COMPUTED_VALUE"""),"لاروي جروب إن في")</f>
        <v>لاروي جروب إن في</v>
      </c>
      <c r="L1427" s="133"/>
      <c r="M1427" s="133"/>
      <c r="N1427" s="133"/>
      <c r="O1427" s="133"/>
      <c r="P1427" s="133"/>
      <c r="Q1427" s="133"/>
      <c r="R1427" s="133"/>
      <c r="S1427" s="133"/>
      <c r="T1427" s="133"/>
      <c r="U1427" s="133"/>
      <c r="V1427" s="133"/>
      <c r="W1427" s="133"/>
      <c r="X1427" s="133"/>
      <c r="Y1427" s="133"/>
      <c r="Z1427" s="133"/>
    </row>
    <row r="1428">
      <c r="A1428" s="133">
        <f>IFERROR(__xludf.DUMMYFUNCTION("""COMPUTED_VALUE"""),1427.0)</f>
        <v>1427</v>
      </c>
      <c r="B1428" s="133"/>
      <c r="C1428" s="133" t="str">
        <f>IFERROR(__xludf.DUMMYFUNCTION("""COMPUTED_VALUE"""),"P-1-N-280823-5135")</f>
        <v>P-1-N-280823-5135</v>
      </c>
      <c r="D1428" s="133"/>
      <c r="E1428" s="133" t="str">
        <f>IFERROR(__xludf.DUMMYFUNCTION("""COMPUTED_VALUE"""),"تمت طباعة الشهادة")</f>
        <v>تمت طباعة الشهادة</v>
      </c>
      <c r="F1428" s="133" t="str">
        <f>IFERROR(__xludf.DUMMYFUNCTION("""COMPUTED_VALUE"""),"PUUR Hay roll Hibiscus/Mint 200 GR")</f>
        <v>PUUR Hay roll Hibiscus/Mint 200 GR</v>
      </c>
      <c r="G1428" s="133" t="str">
        <f>IFERROR(__xludf.DUMMYFUNCTION("""COMPUTED_VALUE"""),"بيور لفة قش الكركديه / النعناع 200 جم")</f>
        <v>بيور لفة قش الكركديه / النعناع 200 جم</v>
      </c>
      <c r="H1428" s="133" t="str">
        <f>IFERROR(__xludf.DUMMYFUNCTION("""COMPUTED_VALUE"""),"MAFE20233293")</f>
        <v>MAFE20233293</v>
      </c>
      <c r="I1428" s="133"/>
      <c r="J1428" s="133"/>
      <c r="K1428" s="133" t="str">
        <f>IFERROR(__xludf.DUMMYFUNCTION("""COMPUTED_VALUE"""),"لاروي جروب إن في")</f>
        <v>لاروي جروب إن في</v>
      </c>
      <c r="L1428" s="133"/>
      <c r="M1428" s="133"/>
      <c r="N1428" s="133"/>
      <c r="O1428" s="133"/>
      <c r="P1428" s="133"/>
      <c r="Q1428" s="133"/>
      <c r="R1428" s="133"/>
      <c r="S1428" s="133"/>
      <c r="T1428" s="133"/>
      <c r="U1428" s="133"/>
      <c r="V1428" s="133"/>
      <c r="W1428" s="133"/>
      <c r="X1428" s="133"/>
      <c r="Y1428" s="133"/>
      <c r="Z1428" s="133"/>
    </row>
    <row r="1429">
      <c r="A1429" s="133">
        <f>IFERROR(__xludf.DUMMYFUNCTION("""COMPUTED_VALUE"""),1428.0)</f>
        <v>1428</v>
      </c>
      <c r="B1429" s="133"/>
      <c r="C1429" s="133" t="str">
        <f>IFERROR(__xludf.DUMMYFUNCTION("""COMPUTED_VALUE"""),"P-1-N-280823-5136")</f>
        <v>P-1-N-280823-5136</v>
      </c>
      <c r="D1429" s="133"/>
      <c r="E1429" s="133" t="str">
        <f>IFERROR(__xludf.DUMMYFUNCTION("""COMPUTED_VALUE"""),"تمت طباعة الشهادة")</f>
        <v>تمت طباعة الشهادة</v>
      </c>
      <c r="F1429" s="133" t="str">
        <f>IFERROR(__xludf.DUMMYFUNCTION("""COMPUTED_VALUE"""),"PUUR Hay roll Celery/Paprika 200 GR")</f>
        <v>PUUR Hay roll Celery/Paprika 200 GR</v>
      </c>
      <c r="G1429" s="133" t="str">
        <f>IFERROR(__xludf.DUMMYFUNCTION("""COMPUTED_VALUE"""),"بيور لفة قش كرفس/بابريكا 200 جم")</f>
        <v>بيور لفة قش كرفس/بابريكا 200 جم</v>
      </c>
      <c r="H1429" s="133" t="str">
        <f>IFERROR(__xludf.DUMMYFUNCTION("""COMPUTED_VALUE"""),"MAFE20233292")</f>
        <v>MAFE20233292</v>
      </c>
      <c r="I1429" s="133"/>
      <c r="J1429" s="133"/>
      <c r="K1429" s="133" t="str">
        <f>IFERROR(__xludf.DUMMYFUNCTION("""COMPUTED_VALUE"""),"لاروي جروب إن في")</f>
        <v>لاروي جروب إن في</v>
      </c>
      <c r="L1429" s="133"/>
      <c r="M1429" s="133"/>
      <c r="N1429" s="133"/>
      <c r="O1429" s="133"/>
      <c r="P1429" s="133"/>
      <c r="Q1429" s="133"/>
      <c r="R1429" s="133"/>
      <c r="S1429" s="133"/>
      <c r="T1429" s="133"/>
      <c r="U1429" s="133"/>
      <c r="V1429" s="133"/>
      <c r="W1429" s="133"/>
      <c r="X1429" s="133"/>
      <c r="Y1429" s="133"/>
      <c r="Z1429" s="133"/>
    </row>
    <row r="1430">
      <c r="A1430" s="133">
        <f>IFERROR(__xludf.DUMMYFUNCTION("""COMPUTED_VALUE"""),1429.0)</f>
        <v>1429</v>
      </c>
      <c r="B1430" s="133"/>
      <c r="C1430" s="133" t="str">
        <f>IFERROR(__xludf.DUMMYFUNCTION("""COMPUTED_VALUE"""),"P-1-N-280823-5137")</f>
        <v>P-1-N-280823-5137</v>
      </c>
      <c r="D1430" s="133"/>
      <c r="E1430" s="133" t="str">
        <f>IFERROR(__xludf.DUMMYFUNCTION("""COMPUTED_VALUE"""),"تمت طباعة الشهادة")</f>
        <v>تمت طباعة الشهادة</v>
      </c>
      <c r="F1430" s="133" t="str">
        <f>IFERROR(__xludf.DUMMYFUNCTION("""COMPUTED_VALUE"""),"PUUR Hay roll Carrot/Pumpkin 200 GR")</f>
        <v>PUUR Hay roll Carrot/Pumpkin 200 GR</v>
      </c>
      <c r="G1430" s="133" t="str">
        <f>IFERROR(__xludf.DUMMYFUNCTION("""COMPUTED_VALUE"""),"بيور لفة قش الجزر / اليقطين 200 جم")</f>
        <v>بيور لفة قش الجزر / اليقطين 200 جم</v>
      </c>
      <c r="H1430" s="133" t="str">
        <f>IFERROR(__xludf.DUMMYFUNCTION("""COMPUTED_VALUE"""),"MAFE20233291")</f>
        <v>MAFE20233291</v>
      </c>
      <c r="I1430" s="133"/>
      <c r="J1430" s="133"/>
      <c r="K1430" s="133" t="str">
        <f>IFERROR(__xludf.DUMMYFUNCTION("""COMPUTED_VALUE"""),"لاروي جروب إن في")</f>
        <v>لاروي جروب إن في</v>
      </c>
      <c r="L1430" s="133"/>
      <c r="M1430" s="133"/>
      <c r="N1430" s="133"/>
      <c r="O1430" s="133"/>
      <c r="P1430" s="133"/>
      <c r="Q1430" s="133"/>
      <c r="R1430" s="133"/>
      <c r="S1430" s="133"/>
      <c r="T1430" s="133"/>
      <c r="U1430" s="133"/>
      <c r="V1430" s="133"/>
      <c r="W1430" s="133"/>
      <c r="X1430" s="133"/>
      <c r="Y1430" s="133"/>
      <c r="Z1430" s="133"/>
    </row>
    <row r="1431">
      <c r="A1431" s="133">
        <f>IFERROR(__xludf.DUMMYFUNCTION("""COMPUTED_VALUE"""),1430.0)</f>
        <v>1430</v>
      </c>
      <c r="B1431" s="133"/>
      <c r="C1431" s="133" t="str">
        <f>IFERROR(__xludf.DUMMYFUNCTION("""COMPUTED_VALUE"""),"P-1-N-280823-5138")</f>
        <v>P-1-N-280823-5138</v>
      </c>
      <c r="D1431" s="133"/>
      <c r="E1431" s="133" t="str">
        <f>IFERROR(__xludf.DUMMYFUNCTION("""COMPUTED_VALUE"""),"تمت طباعة الشهادة")</f>
        <v>تمت طباعة الشهادة</v>
      </c>
      <c r="F1431" s="133" t="str">
        <f>IFERROR(__xludf.DUMMYFUNCTION("""COMPUTED_VALUE"""),"PUUR Pauze marigold tube flowers &amp; herbs 80gr Yellow")</f>
        <v>PUUR Pauze marigold tube flowers &amp; herbs 80gr Yellow</v>
      </c>
      <c r="G1431" s="133" t="str">
        <f>IFERROR(__xludf.DUMMYFUNCTION("""COMPUTED_VALUE"""),"بيور باوز أنبوب القطيفة الزهور والأعشاب 80 جم يالو")</f>
        <v>بيور باوز أنبوب القطيفة الزهور والأعشاب 80 جم يالو</v>
      </c>
      <c r="H1431" s="133" t="str">
        <f>IFERROR(__xludf.DUMMYFUNCTION("""COMPUTED_VALUE"""),"MAFE20233631")</f>
        <v>MAFE20233631</v>
      </c>
      <c r="I1431" s="133"/>
      <c r="J1431" s="133"/>
      <c r="K1431" s="133" t="str">
        <f>IFERROR(__xludf.DUMMYFUNCTION("""COMPUTED_VALUE"""),"لاروي جروب إن في")</f>
        <v>لاروي جروب إن في</v>
      </c>
      <c r="L1431" s="133"/>
      <c r="M1431" s="133"/>
      <c r="N1431" s="133"/>
      <c r="O1431" s="133"/>
      <c r="P1431" s="133"/>
      <c r="Q1431" s="133"/>
      <c r="R1431" s="133"/>
      <c r="S1431" s="133"/>
      <c r="T1431" s="133"/>
      <c r="U1431" s="133"/>
      <c r="V1431" s="133"/>
      <c r="W1431" s="133"/>
      <c r="X1431" s="133"/>
      <c r="Y1431" s="133"/>
      <c r="Z1431" s="133"/>
    </row>
    <row r="1432">
      <c r="A1432" s="133">
        <f>IFERROR(__xludf.DUMMYFUNCTION("""COMPUTED_VALUE"""),1431.0)</f>
        <v>1431</v>
      </c>
      <c r="B1432" s="133"/>
      <c r="C1432" s="133" t="str">
        <f>IFERROR(__xludf.DUMMYFUNCTION("""COMPUTED_VALUE"""),"P-1-N-280823-5140")</f>
        <v>P-1-N-280823-5140</v>
      </c>
      <c r="D1432" s="133"/>
      <c r="E1432" s="133" t="str">
        <f>IFERROR(__xludf.DUMMYFUNCTION("""COMPUTED_VALUE"""),"تمت طباعة الشهادة")</f>
        <v>تمت طباعة الشهادة</v>
      </c>
      <c r="F1432" s="133" t="str">
        <f>IFERROR(__xludf.DUMMYFUNCTION("""COMPUTED_VALUE"""),"PUUR Pauze parsley tube carrot &amp; plantain 200gr Green")</f>
        <v>PUUR Pauze parsley tube carrot &amp; plantain 200gr Green</v>
      </c>
      <c r="G1432" s="133" t="str">
        <f>IFERROR(__xludf.DUMMYFUNCTION("""COMPUTED_VALUE"""),"بيور باوز أنبوب البقدونس الجزر والموز 200 جم جرين")</f>
        <v>بيور باوز أنبوب البقدونس الجزر والموز 200 جم جرين</v>
      </c>
      <c r="H1432" s="133" t="str">
        <f>IFERROR(__xludf.DUMMYFUNCTION("""COMPUTED_VALUE"""),"MAFE20233290")</f>
        <v>MAFE20233290</v>
      </c>
      <c r="I1432" s="133"/>
      <c r="J1432" s="133"/>
      <c r="K1432" s="133" t="str">
        <f>IFERROR(__xludf.DUMMYFUNCTION("""COMPUTED_VALUE"""),"لاروي جروب إن في")</f>
        <v>لاروي جروب إن في</v>
      </c>
      <c r="L1432" s="133"/>
      <c r="M1432" s="133"/>
      <c r="N1432" s="133"/>
      <c r="O1432" s="133"/>
      <c r="P1432" s="133"/>
      <c r="Q1432" s="133"/>
      <c r="R1432" s="133"/>
      <c r="S1432" s="133"/>
      <c r="T1432" s="133"/>
      <c r="U1432" s="133"/>
      <c r="V1432" s="133"/>
      <c r="W1432" s="133"/>
      <c r="X1432" s="133"/>
      <c r="Y1432" s="133"/>
      <c r="Z1432" s="133"/>
    </row>
    <row r="1433">
      <c r="A1433" s="133">
        <f>IFERROR(__xludf.DUMMYFUNCTION("""COMPUTED_VALUE"""),1432.0)</f>
        <v>1432</v>
      </c>
      <c r="B1433" s="133"/>
      <c r="C1433" s="133" t="str">
        <f>IFERROR(__xludf.DUMMYFUNCTION("""COMPUTED_VALUE"""),"P-1-N-280823-5142")</f>
        <v>P-1-N-280823-5142</v>
      </c>
      <c r="D1433" s="133"/>
      <c r="E1433" s="133" t="str">
        <f>IFERROR(__xludf.DUMMYFUNCTION("""COMPUTED_VALUE"""),"تمت طباعة الشهادة")</f>
        <v>تمت طباعة الشهادة</v>
      </c>
      <c r="F1433" s="133" t="str">
        <f>IFERROR(__xludf.DUMMYFUNCTION("""COMPUTED_VALUE"""),"PUUR Pauze parsley tube carrot &amp; plantain 100gr Green")</f>
        <v>PUUR Pauze parsley tube carrot &amp; plantain 100gr Green</v>
      </c>
      <c r="G1433" s="133" t="str">
        <f>IFERROR(__xludf.DUMMYFUNCTION("""COMPUTED_VALUE"""),"بيور باوز أنبوب البقدونس الجزر والموز 100 جم جرين")</f>
        <v>بيور باوز أنبوب البقدونس الجزر والموز 100 جم جرين</v>
      </c>
      <c r="H1433" s="133" t="str">
        <f>IFERROR(__xludf.DUMMYFUNCTION("""COMPUTED_VALUE"""),"MAFE20233289")</f>
        <v>MAFE20233289</v>
      </c>
      <c r="I1433" s="133"/>
      <c r="J1433" s="133"/>
      <c r="K1433" s="133" t="str">
        <f>IFERROR(__xludf.DUMMYFUNCTION("""COMPUTED_VALUE"""),"لاروي جروب إن في")</f>
        <v>لاروي جروب إن في</v>
      </c>
      <c r="L1433" s="133"/>
      <c r="M1433" s="133"/>
      <c r="N1433" s="133"/>
      <c r="O1433" s="133"/>
      <c r="P1433" s="133"/>
      <c r="Q1433" s="133"/>
      <c r="R1433" s="133"/>
      <c r="S1433" s="133"/>
      <c r="T1433" s="133"/>
      <c r="U1433" s="133"/>
      <c r="V1433" s="133"/>
      <c r="W1433" s="133"/>
      <c r="X1433" s="133"/>
      <c r="Y1433" s="133"/>
      <c r="Z1433" s="133"/>
    </row>
    <row r="1434">
      <c r="A1434" s="133">
        <f>IFERROR(__xludf.DUMMYFUNCTION("""COMPUTED_VALUE"""),1433.0)</f>
        <v>1433</v>
      </c>
      <c r="B1434" s="133"/>
      <c r="C1434" s="133" t="str">
        <f>IFERROR(__xludf.DUMMYFUNCTION("""COMPUTED_VALUE"""),"P-1-N-280823-5143")</f>
        <v>P-1-N-280823-5143</v>
      </c>
      <c r="D1434" s="133"/>
      <c r="E1434" s="133" t="str">
        <f>IFERROR(__xludf.DUMMYFUNCTION("""COMPUTED_VALUE"""),"تمت طباعة الشهادة")</f>
        <v>تمت طباعة الشهادة</v>
      </c>
      <c r="F1434" s="133" t="str">
        <f>IFERROR(__xludf.DUMMYFUNCTION("""COMPUTED_VALUE"""),"PUUR Pauze beetroot tube parsnip &amp; carrot 100gr Red")</f>
        <v>PUUR Pauze beetroot tube parsnip &amp; carrot 100gr Red</v>
      </c>
      <c r="G1434" s="133" t="str">
        <f>IFERROR(__xludf.DUMMYFUNCTION("""COMPUTED_VALUE"""),"بيور باوز أنبوب الشمندر الجزر الأبيض والجزر 100 جم ريد")</f>
        <v>بيور باوز أنبوب الشمندر الجزر الأبيض والجزر 100 جم ريد</v>
      </c>
      <c r="H1434" s="133" t="str">
        <f>IFERROR(__xludf.DUMMYFUNCTION("""COMPUTED_VALUE"""),"MAFE20233331")</f>
        <v>MAFE20233331</v>
      </c>
      <c r="I1434" s="133"/>
      <c r="J1434" s="133"/>
      <c r="K1434" s="133" t="str">
        <f>IFERROR(__xludf.DUMMYFUNCTION("""COMPUTED_VALUE"""),"لاروي جروب إن في")</f>
        <v>لاروي جروب إن في</v>
      </c>
      <c r="L1434" s="133"/>
      <c r="M1434" s="133"/>
      <c r="N1434" s="133"/>
      <c r="O1434" s="133"/>
      <c r="P1434" s="133"/>
      <c r="Q1434" s="133"/>
      <c r="R1434" s="133"/>
      <c r="S1434" s="133"/>
      <c r="T1434" s="133"/>
      <c r="U1434" s="133"/>
      <c r="V1434" s="133"/>
      <c r="W1434" s="133"/>
      <c r="X1434" s="133"/>
      <c r="Y1434" s="133"/>
      <c r="Z1434" s="133"/>
    </row>
    <row r="1435">
      <c r="A1435" s="133">
        <f>IFERROR(__xludf.DUMMYFUNCTION("""COMPUTED_VALUE"""),1434.0)</f>
        <v>1434</v>
      </c>
      <c r="B1435" s="133"/>
      <c r="C1435" s="133" t="str">
        <f>IFERROR(__xludf.DUMMYFUNCTION("""COMPUTED_VALUE"""),"P-1-N-280823-5144")</f>
        <v>P-1-N-280823-5144</v>
      </c>
      <c r="D1435" s="133"/>
      <c r="E1435" s="133" t="str">
        <f>IFERROR(__xludf.DUMMYFUNCTION("""COMPUTED_VALUE"""),"تمت طباعة الشهادة")</f>
        <v>تمت طباعة الشهادة</v>
      </c>
      <c r="F1435" s="133" t="str">
        <f>IFERROR(__xludf.DUMMYFUNCTION("""COMPUTED_VALUE"""),"PUUR Pauze carrot tube grain &amp; nettle 100gr")</f>
        <v>PUUR Pauze carrot tube grain &amp; nettle 100gr</v>
      </c>
      <c r="G1435" s="133" t="str">
        <f>IFERROR(__xludf.DUMMYFUNCTION("""COMPUTED_VALUE"""),"بيور باوز أنبوب الجزر الحبوب والقراص 100 جم")</f>
        <v>بيور باوز أنبوب الجزر الحبوب والقراص 100 جم</v>
      </c>
      <c r="H1435" s="133" t="str">
        <f>IFERROR(__xludf.DUMMYFUNCTION("""COMPUTED_VALUE"""),"MAFE20233330")</f>
        <v>MAFE20233330</v>
      </c>
      <c r="I1435" s="133"/>
      <c r="J1435" s="133"/>
      <c r="K1435" s="133" t="str">
        <f>IFERROR(__xludf.DUMMYFUNCTION("""COMPUTED_VALUE"""),"لاروي جروب إن في")</f>
        <v>لاروي جروب إن في</v>
      </c>
      <c r="L1435" s="133"/>
      <c r="M1435" s="133"/>
      <c r="N1435" s="133"/>
      <c r="O1435" s="133"/>
      <c r="P1435" s="133"/>
      <c r="Q1435" s="133"/>
      <c r="R1435" s="133"/>
      <c r="S1435" s="133"/>
      <c r="T1435" s="133"/>
      <c r="U1435" s="133"/>
      <c r="V1435" s="133"/>
      <c r="W1435" s="133"/>
      <c r="X1435" s="133"/>
      <c r="Y1435" s="133"/>
      <c r="Z1435" s="133"/>
    </row>
    <row r="1436">
      <c r="A1436" s="133">
        <f>IFERROR(__xludf.DUMMYFUNCTION("""COMPUTED_VALUE"""),1435.0)</f>
        <v>1435</v>
      </c>
      <c r="B1436" s="133"/>
      <c r="C1436" s="133" t="str">
        <f>IFERROR(__xludf.DUMMYFUNCTION("""COMPUTED_VALUE"""),"P-1-N-280823-5145")</f>
        <v>P-1-N-280823-5145</v>
      </c>
      <c r="D1436" s="133"/>
      <c r="E1436" s="133" t="str">
        <f>IFERROR(__xludf.DUMMYFUNCTION("""COMPUTED_VALUE"""),"تمت طباعة الشهادة")</f>
        <v>تمت طباعة الشهادة</v>
      </c>
      <c r="F1436" s="133" t="str">
        <f>IFERROR(__xludf.DUMMYFUNCTION("""COMPUTED_VALUE"""),"PUUR Hay tunnel Vegetables 280 GR")</f>
        <v>PUUR Hay tunnel Vegetables 280 GR</v>
      </c>
      <c r="G1436" s="133" t="str">
        <f>IFERROR(__xludf.DUMMYFUNCTION("""COMPUTED_VALUE"""),"بيور لفة قش خضروات 280 جم")</f>
        <v>بيور لفة قش خضروات 280 جم</v>
      </c>
      <c r="H1436" s="133" t="str">
        <f>IFERROR(__xludf.DUMMYFUNCTION("""COMPUTED_VALUE"""),"MAFE20233329")</f>
        <v>MAFE20233329</v>
      </c>
      <c r="I1436" s="133"/>
      <c r="J1436" s="133"/>
      <c r="K1436" s="133" t="str">
        <f>IFERROR(__xludf.DUMMYFUNCTION("""COMPUTED_VALUE"""),"لاروي جروب إن في")</f>
        <v>لاروي جروب إن في</v>
      </c>
      <c r="L1436" s="133"/>
      <c r="M1436" s="133"/>
      <c r="N1436" s="133"/>
      <c r="O1436" s="133"/>
      <c r="P1436" s="133"/>
      <c r="Q1436" s="133"/>
      <c r="R1436" s="133"/>
      <c r="S1436" s="133"/>
      <c r="T1436" s="133"/>
      <c r="U1436" s="133"/>
      <c r="V1436" s="133"/>
      <c r="W1436" s="133"/>
      <c r="X1436" s="133"/>
      <c r="Y1436" s="133"/>
      <c r="Z1436" s="133"/>
    </row>
    <row r="1437">
      <c r="A1437" s="133">
        <f>IFERROR(__xludf.DUMMYFUNCTION("""COMPUTED_VALUE"""),1436.0)</f>
        <v>1436</v>
      </c>
      <c r="B1437" s="133"/>
      <c r="C1437" s="133" t="str">
        <f>IFERROR(__xludf.DUMMYFUNCTION("""COMPUTED_VALUE"""),"P-1-N-280823-5146")</f>
        <v>P-1-N-280823-5146</v>
      </c>
      <c r="D1437" s="133"/>
      <c r="E1437" s="133" t="str">
        <f>IFERROR(__xludf.DUMMYFUNCTION("""COMPUTED_VALUE"""),"تمت طباعة الشهادة")</f>
        <v>تمت طباعة الشهادة</v>
      </c>
      <c r="F1437" s="133" t="str">
        <f>IFERROR(__xludf.DUMMYFUNCTION("""COMPUTED_VALUE"""),"PUUR Hay tunnel Parsnip 425 GR")</f>
        <v>PUUR Hay tunnel Parsnip 425 GR</v>
      </c>
      <c r="G1437" s="133" t="str">
        <f>IFERROR(__xludf.DUMMYFUNCTION("""COMPUTED_VALUE"""),"بيور لفة قش الجزر الأبيض 425 جم")</f>
        <v>بيور لفة قش الجزر الأبيض 425 جم</v>
      </c>
      <c r="H1437" s="133" t="str">
        <f>IFERROR(__xludf.DUMMYFUNCTION("""COMPUTED_VALUE"""),"MAFE20233328")</f>
        <v>MAFE20233328</v>
      </c>
      <c r="I1437" s="133"/>
      <c r="J1437" s="133"/>
      <c r="K1437" s="133" t="str">
        <f>IFERROR(__xludf.DUMMYFUNCTION("""COMPUTED_VALUE"""),"لاروي جروب إن في")</f>
        <v>لاروي جروب إن في</v>
      </c>
      <c r="L1437" s="133"/>
      <c r="M1437" s="133"/>
      <c r="N1437" s="133"/>
      <c r="O1437" s="133"/>
      <c r="P1437" s="133"/>
      <c r="Q1437" s="133"/>
      <c r="R1437" s="133"/>
      <c r="S1437" s="133"/>
      <c r="T1437" s="133"/>
      <c r="U1437" s="133"/>
      <c r="V1437" s="133"/>
      <c r="W1437" s="133"/>
      <c r="X1437" s="133"/>
      <c r="Y1437" s="133"/>
      <c r="Z1437" s="133"/>
    </row>
    <row r="1438">
      <c r="A1438" s="133">
        <f>IFERROR(__xludf.DUMMYFUNCTION("""COMPUTED_VALUE"""),1437.0)</f>
        <v>1437</v>
      </c>
      <c r="B1438" s="133"/>
      <c r="C1438" s="133" t="str">
        <f>IFERROR(__xludf.DUMMYFUNCTION("""COMPUTED_VALUE"""),"P-1-N-280823-5147")</f>
        <v>P-1-N-280823-5147</v>
      </c>
      <c r="D1438" s="133"/>
      <c r="E1438" s="133" t="str">
        <f>IFERROR(__xludf.DUMMYFUNCTION("""COMPUTED_VALUE"""),"تمت طباعة الشهادة")</f>
        <v>تمت طباعة الشهادة</v>
      </c>
      <c r="F1438" s="133" t="str">
        <f>IFERROR(__xludf.DUMMYFUNCTION("""COMPUTED_VALUE"""),"PUUR Hay tunnel Parsley/Flowers 60 GR")</f>
        <v>PUUR Hay tunnel Parsley/Flowers 60 GR</v>
      </c>
      <c r="G1438" s="133" t="str">
        <f>IFERROR(__xludf.DUMMYFUNCTION("""COMPUTED_VALUE"""),"بيور لفة قش البقدونس / الزهور 60 جم")</f>
        <v>بيور لفة قش البقدونس / الزهور 60 جم</v>
      </c>
      <c r="H1438" s="133" t="str">
        <f>IFERROR(__xludf.DUMMYFUNCTION("""COMPUTED_VALUE"""),"MAFE20233327")</f>
        <v>MAFE20233327</v>
      </c>
      <c r="I1438" s="133"/>
      <c r="J1438" s="133"/>
      <c r="K1438" s="133" t="str">
        <f>IFERROR(__xludf.DUMMYFUNCTION("""COMPUTED_VALUE"""),"لاروي جروب إن في")</f>
        <v>لاروي جروب إن في</v>
      </c>
      <c r="L1438" s="133"/>
      <c r="M1438" s="133"/>
      <c r="N1438" s="133"/>
      <c r="O1438" s="133"/>
      <c r="P1438" s="133"/>
      <c r="Q1438" s="133"/>
      <c r="R1438" s="133"/>
      <c r="S1438" s="133"/>
      <c r="T1438" s="133"/>
      <c r="U1438" s="133"/>
      <c r="V1438" s="133"/>
      <c r="W1438" s="133"/>
      <c r="X1438" s="133"/>
      <c r="Y1438" s="133"/>
      <c r="Z1438" s="133"/>
    </row>
    <row r="1439">
      <c r="A1439" s="133">
        <f>IFERROR(__xludf.DUMMYFUNCTION("""COMPUTED_VALUE"""),1438.0)</f>
        <v>1438</v>
      </c>
      <c r="B1439" s="133"/>
      <c r="C1439" s="133" t="str">
        <f>IFERROR(__xludf.DUMMYFUNCTION("""COMPUTED_VALUE"""),"P-1-N-040923-5240")</f>
        <v>P-1-N-040923-5240</v>
      </c>
      <c r="D1439" s="133"/>
      <c r="E1439" s="133" t="str">
        <f>IFERROR(__xludf.DUMMYFUNCTION("""COMPUTED_VALUE"""),"تمت طباعة الشهادة")</f>
        <v>تمت طباعة الشهادة</v>
      </c>
      <c r="F1439" s="133" t="str">
        <f>IFERROR(__xludf.DUMMYFUNCTION("""COMPUTED_VALUE"""),"PUUR Rabbit Junior 2kg")</f>
        <v>PUUR Rabbit Junior 2kg</v>
      </c>
      <c r="G1439" s="133" t="str">
        <f>IFERROR(__xludf.DUMMYFUNCTION("""COMPUTED_VALUE"""),"بيور الأرنب الصغير 2 كجم")</f>
        <v>بيور الأرنب الصغير 2 كجم</v>
      </c>
      <c r="H1439" s="133" t="str">
        <f>IFERROR(__xludf.DUMMYFUNCTION("""COMPUTED_VALUE"""),"MAFE20233428")</f>
        <v>MAFE20233428</v>
      </c>
      <c r="I1439" s="133"/>
      <c r="J1439" s="133"/>
      <c r="K1439" s="133" t="str">
        <f>IFERROR(__xludf.DUMMYFUNCTION("""COMPUTED_VALUE"""),"لاروي جروب إن في")</f>
        <v>لاروي جروب إن في</v>
      </c>
      <c r="L1439" s="133"/>
      <c r="M1439" s="133"/>
      <c r="N1439" s="133"/>
      <c r="O1439" s="133"/>
      <c r="P1439" s="133"/>
      <c r="Q1439" s="133"/>
      <c r="R1439" s="133"/>
      <c r="S1439" s="133"/>
      <c r="T1439" s="133"/>
      <c r="U1439" s="133"/>
      <c r="V1439" s="133"/>
      <c r="W1439" s="133"/>
      <c r="X1439" s="133"/>
      <c r="Y1439" s="133"/>
      <c r="Z1439" s="133"/>
    </row>
    <row r="1440">
      <c r="A1440" s="133">
        <f>IFERROR(__xludf.DUMMYFUNCTION("""COMPUTED_VALUE"""),1439.0)</f>
        <v>1439</v>
      </c>
      <c r="B1440" s="133"/>
      <c r="C1440" s="133" t="str">
        <f>IFERROR(__xludf.DUMMYFUNCTION("""COMPUTED_VALUE"""),"P-1-N-040923-5242")</f>
        <v>P-1-N-040923-5242</v>
      </c>
      <c r="D1440" s="133"/>
      <c r="E1440" s="133" t="str">
        <f>IFERROR(__xludf.DUMMYFUNCTION("""COMPUTED_VALUE"""),"تمت طباعة الشهادة")</f>
        <v>تمت طباعة الشهادة</v>
      </c>
      <c r="F1440" s="133" t="str">
        <f>IFERROR(__xludf.DUMMYFUNCTION("""COMPUTED_VALUE"""),"Country Seed sticks budgie apricot &amp; fig 60g")</f>
        <v>Country Seed sticks budgie apricot &amp; fig 60g</v>
      </c>
      <c r="G1440" s="133" t="str">
        <f>IFERROR(__xludf.DUMMYFUNCTION("""COMPUTED_VALUE"""),"كونتري سيد ستيكس للبادجي بالمشمش والتين 60 جرام")</f>
        <v>كونتري سيد ستيكس للبادجي بالمشمش والتين 60 جرام</v>
      </c>
      <c r="H1440" s="133" t="str">
        <f>IFERROR(__xludf.DUMMYFUNCTION("""COMPUTED_VALUE"""),"MAFE20233427")</f>
        <v>MAFE20233427</v>
      </c>
      <c r="I1440" s="133"/>
      <c r="J1440" s="133"/>
      <c r="K1440" s="133" t="str">
        <f>IFERROR(__xludf.DUMMYFUNCTION("""COMPUTED_VALUE"""),"ويت مولين بي في")</f>
        <v>ويت مولين بي في</v>
      </c>
      <c r="L1440" s="133"/>
      <c r="M1440" s="133"/>
      <c r="N1440" s="133"/>
      <c r="O1440" s="133"/>
      <c r="P1440" s="133"/>
      <c r="Q1440" s="133"/>
      <c r="R1440" s="133"/>
      <c r="S1440" s="133"/>
      <c r="T1440" s="133"/>
      <c r="U1440" s="133"/>
      <c r="V1440" s="133"/>
      <c r="W1440" s="133"/>
      <c r="X1440" s="133"/>
      <c r="Y1440" s="133"/>
      <c r="Z1440" s="133"/>
    </row>
    <row r="1441">
      <c r="A1441" s="133">
        <f>IFERROR(__xludf.DUMMYFUNCTION("""COMPUTED_VALUE"""),1440.0)</f>
        <v>1440</v>
      </c>
      <c r="B1441" s="133" t="str">
        <f>IFERROR(__xludf.DUMMYFUNCTION("""COMPUTED_VALUE"""),"P-231")</f>
        <v>P-231</v>
      </c>
      <c r="C1441" s="133" t="str">
        <f>IFERROR(__xludf.DUMMYFUNCTION("""COMPUTED_VALUE"""),"P-1-N-040923-5245")</f>
        <v>P-1-N-040923-5245</v>
      </c>
      <c r="D1441" s="133"/>
      <c r="E1441" s="133" t="str">
        <f>IFERROR(__xludf.DUMMYFUNCTION("""COMPUTED_VALUE"""),"تمت طباعة الشهادة")</f>
        <v>تمت طباعة الشهادة</v>
      </c>
      <c r="F1441" s="133" t="str">
        <f>IFERROR(__xludf.DUMMYFUNCTION("""COMPUTED_VALUE"""),"CIAO SUGOI CRUNCHY TUNA FLAVOR PLUS PREBIOTICS 110G")</f>
        <v>CIAO SUGOI CRUNCHY TUNA FLAVOR PLUS PREBIOTICS 110G</v>
      </c>
      <c r="G1441" s="133" t="str">
        <f>IFERROR(__xludf.DUMMYFUNCTION("""COMPUTED_VALUE"""),"تشاو سوغوي نكهة التونة المقرمشة بالإضافة إلى البريبايوتكس 110 جم")</f>
        <v>تشاو سوغوي نكهة التونة المقرمشة بالإضافة إلى البريبايوتكس 110 جم</v>
      </c>
      <c r="H1441" s="133" t="str">
        <f>IFERROR(__xludf.DUMMYFUNCTION("""COMPUTED_VALUE"""),"MAFE20233440")</f>
        <v>MAFE20233440</v>
      </c>
      <c r="I1441" s="133"/>
      <c r="J1441" s="133"/>
      <c r="K1441" s="133" t="str">
        <f>IFERROR(__xludf.DUMMYFUNCTION("""COMPUTED_VALUE"""),"شركة تاي اينابا للأغذية المحدودة")</f>
        <v>شركة تاي اينابا للأغذية المحدودة</v>
      </c>
      <c r="L1441" s="142" t="str">
        <f>IFERROR(__xludf.DUMMYFUNCTION("""COMPUTED_VALUE"""),"P-231")</f>
        <v>P-231</v>
      </c>
      <c r="M1441" s="133"/>
      <c r="N1441" s="133"/>
      <c r="O1441" s="133"/>
      <c r="P1441" s="133"/>
      <c r="Q1441" s="133"/>
      <c r="R1441" s="133"/>
      <c r="S1441" s="133"/>
      <c r="T1441" s="133"/>
      <c r="U1441" s="133"/>
      <c r="V1441" s="133"/>
      <c r="W1441" s="133"/>
      <c r="X1441" s="133"/>
      <c r="Y1441" s="133"/>
      <c r="Z1441" s="133"/>
    </row>
    <row r="1442">
      <c r="A1442" s="133">
        <f>IFERROR(__xludf.DUMMYFUNCTION("""COMPUTED_VALUE"""),1441.0)</f>
        <v>1441</v>
      </c>
      <c r="B1442" s="133" t="str">
        <f>IFERROR(__xludf.DUMMYFUNCTION("""COMPUTED_VALUE"""),"CDT-251")</f>
        <v>CDT-251</v>
      </c>
      <c r="C1442" s="133" t="str">
        <f>IFERROR(__xludf.DUMMYFUNCTION("""COMPUTED_VALUE"""),"P-1-N-040923-5246")</f>
        <v>P-1-N-040923-5246</v>
      </c>
      <c r="D1442" s="133"/>
      <c r="E1442" s="133" t="str">
        <f>IFERROR(__xludf.DUMMYFUNCTION("""COMPUTED_VALUE"""),"تمت طباعة الشهادة")</f>
        <v>تمت طباعة الشهادة</v>
      </c>
      <c r="F1442" s="133" t="str">
        <f>IFERROR(__xludf.DUMMYFUNCTION("""COMPUTED_VALUE"""),"CIAO SUGOI CRUNCHY TUNA FLAVOR PLUS PREBIOTICS 1.14KG")</f>
        <v>CIAO SUGOI CRUNCHY TUNA FLAVOR PLUS PREBIOTICS 1.14KG</v>
      </c>
      <c r="G1442" s="133" t="str">
        <f>IFERROR(__xludf.DUMMYFUNCTION("""COMPUTED_VALUE"""),"تشاو سوغوي نكهة التونة المقرمشة بالإضافة إلى البريبايوتكس 1.14 كجم")</f>
        <v>تشاو سوغوي نكهة التونة المقرمشة بالإضافة إلى البريبايوتكس 1.14 كجم</v>
      </c>
      <c r="H1442" s="133" t="str">
        <f>IFERROR(__xludf.DUMMYFUNCTION("""COMPUTED_VALUE"""),"MAFE20233449")</f>
        <v>MAFE20233449</v>
      </c>
      <c r="I1442" s="133"/>
      <c r="J1442" s="133"/>
      <c r="K1442" s="133" t="str">
        <f>IFERROR(__xludf.DUMMYFUNCTION("""COMPUTED_VALUE"""),"شركة تاي اينابا للأغذية المحدودة")</f>
        <v>شركة تاي اينابا للأغذية المحدودة</v>
      </c>
      <c r="L1442" s="142" t="str">
        <f>IFERROR(__xludf.DUMMYFUNCTION("""COMPUTED_VALUE"""),"CDT-251")</f>
        <v>CDT-251</v>
      </c>
      <c r="M1442" s="133"/>
      <c r="N1442" s="133"/>
      <c r="O1442" s="133"/>
      <c r="P1442" s="133"/>
      <c r="Q1442" s="133"/>
      <c r="R1442" s="133"/>
      <c r="S1442" s="133"/>
      <c r="T1442" s="133"/>
      <c r="U1442" s="133"/>
      <c r="V1442" s="133"/>
      <c r="W1442" s="133"/>
      <c r="X1442" s="133"/>
      <c r="Y1442" s="133"/>
      <c r="Z1442" s="133"/>
    </row>
    <row r="1443">
      <c r="A1443" s="133">
        <f>IFERROR(__xludf.DUMMYFUNCTION("""COMPUTED_VALUE"""),1442.0)</f>
        <v>1442</v>
      </c>
      <c r="B1443" s="133" t="str">
        <f>IFERROR(__xludf.DUMMYFUNCTION("""COMPUTED_VALUE"""),"P-232")</f>
        <v>P-232</v>
      </c>
      <c r="C1443" s="133" t="str">
        <f>IFERROR(__xludf.DUMMYFUNCTION("""COMPUTED_VALUE"""),"P-1-N-040923-5247")</f>
        <v>P-1-N-040923-5247</v>
      </c>
      <c r="D1443" s="133"/>
      <c r="E1443" s="133" t="str">
        <f>IFERROR(__xludf.DUMMYFUNCTION("""COMPUTED_VALUE"""),"تمت طباعة الشهادة")</f>
        <v>تمت طباعة الشهادة</v>
      </c>
      <c r="F1443" s="133" t="str">
        <f>IFERROR(__xludf.DUMMYFUNCTION("""COMPUTED_VALUE"""),"CIAO SUGOI CRUNCHY SCALLOP FLAVOR PLUS PREBIOTICS 110G")</f>
        <v>CIAO SUGOI CRUNCHY SCALLOP FLAVOR PLUS PREBIOTICS 110G</v>
      </c>
      <c r="G1443" s="133" t="str">
        <f>IFERROR(__xludf.DUMMYFUNCTION("""COMPUTED_VALUE"""),"تشاو سوغوي نكهة الإسكالوب المقرمشة بالإضافة إلى البريبايوتكس 110 جم")</f>
        <v>تشاو سوغوي نكهة الإسكالوب المقرمشة بالإضافة إلى البريبايوتكس 110 جم</v>
      </c>
      <c r="H1443" s="133" t="str">
        <f>IFERROR(__xludf.DUMMYFUNCTION("""COMPUTED_VALUE"""),"MAFE20233448")</f>
        <v>MAFE20233448</v>
      </c>
      <c r="I1443" s="133"/>
      <c r="J1443" s="133"/>
      <c r="K1443" s="133" t="str">
        <f>IFERROR(__xludf.DUMMYFUNCTION("""COMPUTED_VALUE"""),"شركة تاي اينابا للأغذية المحدودة")</f>
        <v>شركة تاي اينابا للأغذية المحدودة</v>
      </c>
      <c r="L1443" s="142" t="str">
        <f>IFERROR(__xludf.DUMMYFUNCTION("""COMPUTED_VALUE"""),"P-232")</f>
        <v>P-232</v>
      </c>
      <c r="M1443" s="133"/>
      <c r="N1443" s="133"/>
      <c r="O1443" s="133"/>
      <c r="P1443" s="133"/>
      <c r="Q1443" s="133"/>
      <c r="R1443" s="133"/>
      <c r="S1443" s="133"/>
      <c r="T1443" s="133"/>
      <c r="U1443" s="133"/>
      <c r="V1443" s="133"/>
      <c r="W1443" s="133"/>
      <c r="X1443" s="133"/>
      <c r="Y1443" s="133"/>
      <c r="Z1443" s="133"/>
    </row>
    <row r="1444">
      <c r="A1444" s="133">
        <f>IFERROR(__xludf.DUMMYFUNCTION("""COMPUTED_VALUE"""),1443.0)</f>
        <v>1443</v>
      </c>
      <c r="B1444" s="133" t="str">
        <f>IFERROR(__xludf.DUMMYFUNCTION("""COMPUTED_VALUE"""),"P-233")</f>
        <v>P-233</v>
      </c>
      <c r="C1444" s="133" t="str">
        <f>IFERROR(__xludf.DUMMYFUNCTION("""COMPUTED_VALUE"""),"P-1-N-040923-5248")</f>
        <v>P-1-N-040923-5248</v>
      </c>
      <c r="D1444" s="133"/>
      <c r="E1444" s="133" t="str">
        <f>IFERROR(__xludf.DUMMYFUNCTION("""COMPUTED_VALUE"""),"تمت طباعة الشهادة")</f>
        <v>تمت طباعة الشهادة</v>
      </c>
      <c r="F1444" s="133" t="str">
        <f>IFERROR(__xludf.DUMMYFUNCTION("""COMPUTED_VALUE"""),"CIAO SUGOI CRUNCHY CHICKEN FLAVOR PLUS PREBIOTICS 110G")</f>
        <v>CIAO SUGOI CRUNCHY CHICKEN FLAVOR PLUS PREBIOTICS 110G</v>
      </c>
      <c r="G1444" s="133" t="str">
        <f>IFERROR(__xludf.DUMMYFUNCTION("""COMPUTED_VALUE"""),"تشاو سوغوي نكهة الدجاج المقرمشة بالإضافة إلى البريبايوتكس 110 جم")</f>
        <v>تشاو سوغوي نكهة الدجاج المقرمشة بالإضافة إلى البريبايوتكس 110 جم</v>
      </c>
      <c r="H1444" s="133" t="str">
        <f>IFERROR(__xludf.DUMMYFUNCTION("""COMPUTED_VALUE"""),"MAFE20233447")</f>
        <v>MAFE20233447</v>
      </c>
      <c r="I1444" s="133"/>
      <c r="J1444" s="133"/>
      <c r="K1444" s="133" t="str">
        <f>IFERROR(__xludf.DUMMYFUNCTION("""COMPUTED_VALUE"""),"شركة تاي اينابا للأغذية المحدودة")</f>
        <v>شركة تاي اينابا للأغذية المحدودة</v>
      </c>
      <c r="L1444" s="142" t="str">
        <f>IFERROR(__xludf.DUMMYFUNCTION("""COMPUTED_VALUE"""),"P-233")</f>
        <v>P-233</v>
      </c>
      <c r="M1444" s="133"/>
      <c r="N1444" s="133"/>
      <c r="O1444" s="133"/>
      <c r="P1444" s="133"/>
      <c r="Q1444" s="133"/>
      <c r="R1444" s="133"/>
      <c r="S1444" s="133"/>
      <c r="T1444" s="133"/>
      <c r="U1444" s="133"/>
      <c r="V1444" s="133"/>
      <c r="W1444" s="133"/>
      <c r="X1444" s="133"/>
      <c r="Y1444" s="133"/>
      <c r="Z1444" s="133"/>
    </row>
    <row r="1445">
      <c r="A1445" s="133">
        <f>IFERROR(__xludf.DUMMYFUNCTION("""COMPUTED_VALUE"""),1444.0)</f>
        <v>1444</v>
      </c>
      <c r="B1445" s="133" t="str">
        <f>IFERROR(__xludf.DUMMYFUNCTION("""COMPUTED_VALUE"""),"CDT-253")</f>
        <v>CDT-253</v>
      </c>
      <c r="C1445" s="133" t="str">
        <f>IFERROR(__xludf.DUMMYFUNCTION("""COMPUTED_VALUE"""),"P-1-N-040923-5249")</f>
        <v>P-1-N-040923-5249</v>
      </c>
      <c r="D1445" s="133"/>
      <c r="E1445" s="133" t="str">
        <f>IFERROR(__xludf.DUMMYFUNCTION("""COMPUTED_VALUE"""),"تمت طباعة الشهادة")</f>
        <v>تمت طباعة الشهادة</v>
      </c>
      <c r="F1445" s="133" t="str">
        <f>IFERROR(__xludf.DUMMYFUNCTION("""COMPUTED_VALUE"""),"CIAO SUGOI CRUNCHY CHICKEN FLAVOR PLUS PREBIOTICS 1.14KG")</f>
        <v>CIAO SUGOI CRUNCHY CHICKEN FLAVOR PLUS PREBIOTICS 1.14KG</v>
      </c>
      <c r="G1445" s="133" t="str">
        <f>IFERROR(__xludf.DUMMYFUNCTION("""COMPUTED_VALUE"""),"تشاو سوغوي نكهة الدجاج المقرمشة بالإضافة إلى البريبايوتكس 1.14 كجم")</f>
        <v>تشاو سوغوي نكهة الدجاج المقرمشة بالإضافة إلى البريبايوتكس 1.14 كجم</v>
      </c>
      <c r="H1445" s="133" t="str">
        <f>IFERROR(__xludf.DUMMYFUNCTION("""COMPUTED_VALUE"""),"MAFE20233446")</f>
        <v>MAFE20233446</v>
      </c>
      <c r="I1445" s="133"/>
      <c r="J1445" s="133"/>
      <c r="K1445" s="133" t="str">
        <f>IFERROR(__xludf.DUMMYFUNCTION("""COMPUTED_VALUE"""),"شركة تاي اينابا للأغذية المحدودة")</f>
        <v>شركة تاي اينابا للأغذية المحدودة</v>
      </c>
      <c r="L1445" s="142" t="str">
        <f>IFERROR(__xludf.DUMMYFUNCTION("""COMPUTED_VALUE"""),"CDT-253")</f>
        <v>CDT-253</v>
      </c>
      <c r="M1445" s="133"/>
      <c r="N1445" s="133"/>
      <c r="O1445" s="133"/>
      <c r="P1445" s="133"/>
      <c r="Q1445" s="133"/>
      <c r="R1445" s="133"/>
      <c r="S1445" s="133"/>
      <c r="T1445" s="133"/>
      <c r="U1445" s="133"/>
      <c r="V1445" s="133"/>
      <c r="W1445" s="133"/>
      <c r="X1445" s="133"/>
      <c r="Y1445" s="133"/>
      <c r="Z1445" s="133"/>
    </row>
    <row r="1446">
      <c r="A1446" s="133">
        <f>IFERROR(__xludf.DUMMYFUNCTION("""COMPUTED_VALUE"""),1445.0)</f>
        <v>1445</v>
      </c>
      <c r="B1446" s="133" t="str">
        <f>IFERROR(__xludf.DUMMYFUNCTION("""COMPUTED_VALUE"""),"CDT-254")</f>
        <v>CDT-254</v>
      </c>
      <c r="C1446" s="133" t="str">
        <f>IFERROR(__xludf.DUMMYFUNCTION("""COMPUTED_VALUE"""),"P-1-N-040923-5250")</f>
        <v>P-1-N-040923-5250</v>
      </c>
      <c r="D1446" s="133"/>
      <c r="E1446" s="133" t="str">
        <f>IFERROR(__xludf.DUMMYFUNCTION("""COMPUTED_VALUE"""),"تمت طباعة الشهادة")</f>
        <v>تمت طباعة الشهادة</v>
      </c>
      <c r="F1446" s="133" t="str">
        <f>IFERROR(__xludf.DUMMYFUNCTION("""COMPUTED_VALUE"""),"CIAO SUGOI CRUNCHY SALMON FLAVOR PLUS PREBIOTICS 110G")</f>
        <v>CIAO SUGOI CRUNCHY SALMON FLAVOR PLUS PREBIOTICS 110G</v>
      </c>
      <c r="G1446" s="133" t="str">
        <f>IFERROR(__xludf.DUMMYFUNCTION("""COMPUTED_VALUE"""),"تشاو سوغوي نكهة السلمون المقرمشة بالإضافة إلى البريبايوتكس 110 جم")</f>
        <v>تشاو سوغوي نكهة السلمون المقرمشة بالإضافة إلى البريبايوتكس 110 جم</v>
      </c>
      <c r="H1446" s="133" t="str">
        <f>IFERROR(__xludf.DUMMYFUNCTION("""COMPUTED_VALUE"""),"MAFE20233426")</f>
        <v>MAFE20233426</v>
      </c>
      <c r="I1446" s="133"/>
      <c r="J1446" s="133"/>
      <c r="K1446" s="133" t="str">
        <f>IFERROR(__xludf.DUMMYFUNCTION("""COMPUTED_VALUE"""),"شركة تاي اينابا للأغذية المحدودة")</f>
        <v>شركة تاي اينابا للأغذية المحدودة</v>
      </c>
      <c r="L1446" s="142" t="str">
        <f>IFERROR(__xludf.DUMMYFUNCTION("""COMPUTED_VALUE"""),"CDT-254")</f>
        <v>CDT-254</v>
      </c>
      <c r="M1446" s="133"/>
      <c r="N1446" s="133"/>
      <c r="O1446" s="133"/>
      <c r="P1446" s="133"/>
      <c r="Q1446" s="133"/>
      <c r="R1446" s="133"/>
      <c r="S1446" s="133"/>
      <c r="T1446" s="133"/>
      <c r="U1446" s="133"/>
      <c r="V1446" s="133"/>
      <c r="W1446" s="133"/>
      <c r="X1446" s="133"/>
      <c r="Y1446" s="133"/>
      <c r="Z1446" s="133"/>
    </row>
    <row r="1447">
      <c r="A1447" s="133">
        <f>IFERROR(__xludf.DUMMYFUNCTION("""COMPUTED_VALUE"""),1446.0)</f>
        <v>1446</v>
      </c>
      <c r="B1447" s="133"/>
      <c r="C1447" s="133" t="str">
        <f>IFERROR(__xludf.DUMMYFUNCTION("""COMPUTED_VALUE"""),"P-1-N-190923-5561")</f>
        <v>P-1-N-190923-5561</v>
      </c>
      <c r="D1447" s="133"/>
      <c r="E1447" s="133" t="str">
        <f>IFERROR(__xludf.DUMMYFUNCTION("""COMPUTED_VALUE"""),"تمت طباعة الشهادة")</f>
        <v>تمت طباعة الشهادة</v>
      </c>
      <c r="F1447" s="133" t="str">
        <f>IFERROR(__xludf.DUMMYFUNCTION("""COMPUTED_VALUE"""),"Country Chew sticks fig &amp; pineapple 110g")</f>
        <v>Country Chew sticks fig &amp; pineapple 110g</v>
      </c>
      <c r="G1447" s="133" t="str">
        <f>IFERROR(__xludf.DUMMYFUNCTION("""COMPUTED_VALUE"""),"كونتري تشو ستيكس التين والأناناس 110 جرام")</f>
        <v>كونتري تشو ستيكس التين والأناناس 110 جرام</v>
      </c>
      <c r="H1447" s="133" t="str">
        <f>IFERROR(__xludf.DUMMYFUNCTION("""COMPUTED_VALUE"""),"MAFE20233633")</f>
        <v>MAFE20233633</v>
      </c>
      <c r="I1447" s="133"/>
      <c r="J1447" s="133"/>
      <c r="K1447" s="133" t="str">
        <f>IFERROR(__xludf.DUMMYFUNCTION("""COMPUTED_VALUE"""),"ويت مولين بي في")</f>
        <v>ويت مولين بي في</v>
      </c>
      <c r="L1447" s="133"/>
      <c r="M1447" s="133"/>
      <c r="N1447" s="133"/>
      <c r="O1447" s="133"/>
      <c r="P1447" s="133"/>
      <c r="Q1447" s="133"/>
      <c r="R1447" s="133"/>
      <c r="S1447" s="133"/>
      <c r="T1447" s="133"/>
      <c r="U1447" s="133"/>
      <c r="V1447" s="133"/>
      <c r="W1447" s="133"/>
      <c r="X1447" s="133"/>
      <c r="Y1447" s="133"/>
      <c r="Z1447" s="133"/>
    </row>
    <row r="1448">
      <c r="A1448" s="133">
        <f>IFERROR(__xludf.DUMMYFUNCTION("""COMPUTED_VALUE"""),1447.0)</f>
        <v>1447</v>
      </c>
      <c r="B1448" s="133" t="str">
        <f>IFERROR(__xludf.DUMMYFUNCTION("""COMPUTED_VALUE"""),"50012227")</f>
        <v>50012227</v>
      </c>
      <c r="C1448" s="133" t="str">
        <f>IFERROR(__xludf.DUMMYFUNCTION("""COMPUTED_VALUE"""),"P-1-N-250923-5693")</f>
        <v>P-1-N-250923-5693</v>
      </c>
      <c r="D1448" s="133"/>
      <c r="E1448" s="133" t="str">
        <f>IFERROR(__xludf.DUMMYFUNCTION("""COMPUTED_VALUE"""),"تمت طباعة الشهادة")</f>
        <v>تمت طباعة الشهادة</v>
      </c>
      <c r="F1448" s="133" t="str">
        <f>IFERROR(__xludf.DUMMYFUNCTION("""COMPUTED_VALUE"""),"JosiCat Sterilised Classic 650g")</f>
        <v>JosiCat Sterilised Classic 650g</v>
      </c>
      <c r="G1448" s="133" t="str">
        <f>IFERROR(__xludf.DUMMYFUNCTION("""COMPUTED_VALUE"""),"جوسيكات ستيرلايزد كلاسيك 650 جم")</f>
        <v>جوسيكات ستيرلايزد كلاسيك 650 جم</v>
      </c>
      <c r="H1448" s="133" t="str">
        <f>IFERROR(__xludf.DUMMYFUNCTION("""COMPUTED_VALUE"""),"MAFE20233760")</f>
        <v>MAFE20233760</v>
      </c>
      <c r="I1448" s="133"/>
      <c r="J1448" s="133"/>
      <c r="K1448" s="133" t="str">
        <f>IFERROR(__xludf.DUMMYFUNCTION("""COMPUTED_VALUE"""),"شركة جوسيرا بت فود جي ام بي اتش كاي جي")</f>
        <v>شركة جوسيرا بت فود جي ام بي اتش كاي جي</v>
      </c>
      <c r="L1448" s="142" t="str">
        <f>IFERROR(__xludf.DUMMYFUNCTION("""COMPUTED_VALUE"""),"50012227")</f>
        <v>50012227</v>
      </c>
      <c r="M1448" s="133"/>
      <c r="N1448" s="133"/>
      <c r="O1448" s="133"/>
      <c r="P1448" s="133"/>
      <c r="Q1448" s="133"/>
      <c r="R1448" s="133"/>
      <c r="S1448" s="133"/>
      <c r="T1448" s="133"/>
      <c r="U1448" s="133"/>
      <c r="V1448" s="133"/>
      <c r="W1448" s="133"/>
      <c r="X1448" s="133"/>
      <c r="Y1448" s="133"/>
      <c r="Z1448" s="133"/>
    </row>
    <row r="1449">
      <c r="A1449" s="133">
        <f>IFERROR(__xludf.DUMMYFUNCTION("""COMPUTED_VALUE"""),1448.0)</f>
        <v>1448</v>
      </c>
      <c r="B1449" s="133" t="str">
        <f>IFERROR(__xludf.DUMMYFUNCTION("""COMPUTED_VALUE"""),"50012225")</f>
        <v>50012225</v>
      </c>
      <c r="C1449" s="133" t="str">
        <f>IFERROR(__xludf.DUMMYFUNCTION("""COMPUTED_VALUE"""),"P-1-N-250923-5694")</f>
        <v>P-1-N-250923-5694</v>
      </c>
      <c r="D1449" s="133"/>
      <c r="E1449" s="133" t="str">
        <f>IFERROR(__xludf.DUMMYFUNCTION("""COMPUTED_VALUE"""),"تمت طباعة الشهادة")</f>
        <v>تمت طباعة الشهادة</v>
      </c>
      <c r="F1449" s="133" t="str">
        <f>IFERROR(__xludf.DUMMYFUNCTION("""COMPUTED_VALUE"""),"JosiCat Crispy Duck 650g")</f>
        <v>JosiCat Crispy Duck 650g</v>
      </c>
      <c r="G1449" s="133" t="str">
        <f>IFERROR(__xludf.DUMMYFUNCTION("""COMPUTED_VALUE"""),"جوسيكات البط المقرمش 650 جم")</f>
        <v>جوسيكات البط المقرمش 650 جم</v>
      </c>
      <c r="H1449" s="133" t="str">
        <f>IFERROR(__xludf.DUMMYFUNCTION("""COMPUTED_VALUE"""),"MAFE20233775")</f>
        <v>MAFE20233775</v>
      </c>
      <c r="I1449" s="133"/>
      <c r="J1449" s="133"/>
      <c r="K1449" s="133" t="str">
        <f>IFERROR(__xludf.DUMMYFUNCTION("""COMPUTED_VALUE"""),"شركة جوسيرا بت فود جي ام بي اتش كاي جي")</f>
        <v>شركة جوسيرا بت فود جي ام بي اتش كاي جي</v>
      </c>
      <c r="L1449" s="142" t="str">
        <f>IFERROR(__xludf.DUMMYFUNCTION("""COMPUTED_VALUE"""),"50012225")</f>
        <v>50012225</v>
      </c>
      <c r="M1449" s="133"/>
      <c r="N1449" s="133"/>
      <c r="O1449" s="133"/>
      <c r="P1449" s="133"/>
      <c r="Q1449" s="133"/>
      <c r="R1449" s="133"/>
      <c r="S1449" s="133"/>
      <c r="T1449" s="133"/>
      <c r="U1449" s="133"/>
      <c r="V1449" s="133"/>
      <c r="W1449" s="133"/>
      <c r="X1449" s="133"/>
      <c r="Y1449" s="133"/>
      <c r="Z1449" s="133"/>
    </row>
    <row r="1450">
      <c r="A1450" s="133">
        <f>IFERROR(__xludf.DUMMYFUNCTION("""COMPUTED_VALUE"""),1449.0)</f>
        <v>1449</v>
      </c>
      <c r="B1450" s="133" t="str">
        <f>IFERROR(__xludf.DUMMYFUNCTION("""COMPUTED_VALUE"""),"50012988")</f>
        <v>50012988</v>
      </c>
      <c r="C1450" s="133" t="str">
        <f>IFERROR(__xludf.DUMMYFUNCTION("""COMPUTED_VALUE"""),"P-1-N-250923-5695")</f>
        <v>P-1-N-250923-5695</v>
      </c>
      <c r="D1450" s="133"/>
      <c r="E1450" s="133" t="str">
        <f>IFERROR(__xludf.DUMMYFUNCTION("""COMPUTED_VALUE"""),"تمت طباعة الشهادة")</f>
        <v>تمت طباعة الشهادة</v>
      </c>
      <c r="F1450" s="133" t="str">
        <f>IFERROR(__xludf.DUMMYFUNCTION("""COMPUTED_VALUE"""),"JosiCat Crunchy Chicken 650g")</f>
        <v>JosiCat Crunchy Chicken 650g</v>
      </c>
      <c r="G1450" s="133" t="str">
        <f>IFERROR(__xludf.DUMMYFUNCTION("""COMPUTED_VALUE"""),"جوسيكات الدجاج المقرمش 650 جم")</f>
        <v>جوسيكات الدجاج المقرمش 650 جم</v>
      </c>
      <c r="H1450" s="133" t="str">
        <f>IFERROR(__xludf.DUMMYFUNCTION("""COMPUTED_VALUE"""),"MAFE20233776")</f>
        <v>MAFE20233776</v>
      </c>
      <c r="I1450" s="133"/>
      <c r="J1450" s="133"/>
      <c r="K1450" s="133" t="str">
        <f>IFERROR(__xludf.DUMMYFUNCTION("""COMPUTED_VALUE"""),"شركة جوسيرا بت فود جي ام بي اتش كاي جي")</f>
        <v>شركة جوسيرا بت فود جي ام بي اتش كاي جي</v>
      </c>
      <c r="L1450" s="142" t="str">
        <f>IFERROR(__xludf.DUMMYFUNCTION("""COMPUTED_VALUE"""),"50012988")</f>
        <v>50012988</v>
      </c>
      <c r="M1450" s="133"/>
      <c r="N1450" s="133"/>
      <c r="O1450" s="133"/>
      <c r="P1450" s="133"/>
      <c r="Q1450" s="133"/>
      <c r="R1450" s="133"/>
      <c r="S1450" s="133"/>
      <c r="T1450" s="133"/>
      <c r="U1450" s="133"/>
      <c r="V1450" s="133"/>
      <c r="W1450" s="133"/>
      <c r="X1450" s="133"/>
      <c r="Y1450" s="133"/>
      <c r="Z1450" s="133"/>
    </row>
    <row r="1451">
      <c r="A1451" s="133">
        <f>IFERROR(__xludf.DUMMYFUNCTION("""COMPUTED_VALUE"""),1450.0)</f>
        <v>1450</v>
      </c>
      <c r="B1451" s="133" t="str">
        <f>IFERROR(__xludf.DUMMYFUNCTION("""COMPUTED_VALUE"""),"50012229")</f>
        <v>50012229</v>
      </c>
      <c r="C1451" s="133" t="str">
        <f>IFERROR(__xludf.DUMMYFUNCTION("""COMPUTED_VALUE"""),"P-1-N-250923-5696")</f>
        <v>P-1-N-250923-5696</v>
      </c>
      <c r="D1451" s="133"/>
      <c r="E1451" s="133" t="str">
        <f>IFERROR(__xludf.DUMMYFUNCTION("""COMPUTED_VALUE"""),"تمت طباعة الشهادة")</f>
        <v>تمت طباعة الشهادة</v>
      </c>
      <c r="F1451" s="133" t="str">
        <f>IFERROR(__xludf.DUMMYFUNCTION("""COMPUTED_VALUE"""),"JosiCat Tasty Beef 650g")</f>
        <v>JosiCat Tasty Beef 650g</v>
      </c>
      <c r="G1451" s="133" t="str">
        <f>IFERROR(__xludf.DUMMYFUNCTION("""COMPUTED_VALUE"""),"جوسيكات اللحم البقري اللذيذ 650 جم")</f>
        <v>جوسيكات اللحم البقري اللذيذ 650 جم</v>
      </c>
      <c r="H1451" s="133" t="str">
        <f>IFERROR(__xludf.DUMMYFUNCTION("""COMPUTED_VALUE"""),"MAFE20233777")</f>
        <v>MAFE20233777</v>
      </c>
      <c r="I1451" s="133"/>
      <c r="J1451" s="143">
        <f>IFERROR(__xludf.DUMMYFUNCTION("""COMPUTED_VALUE"""),47028.0)</f>
        <v>47028</v>
      </c>
      <c r="K1451" s="133" t="str">
        <f>IFERROR(__xludf.DUMMYFUNCTION("""COMPUTED_VALUE"""),"شركة جوسيرا بت فود جي ام بي اتش كاي جي")</f>
        <v>شركة جوسيرا بت فود جي ام بي اتش كاي جي</v>
      </c>
      <c r="L1451" s="142" t="str">
        <f>IFERROR(__xludf.DUMMYFUNCTION("""COMPUTED_VALUE"""),"50012229")</f>
        <v>50012229</v>
      </c>
      <c r="M1451" s="133"/>
      <c r="N1451" s="133"/>
      <c r="O1451" s="133"/>
      <c r="P1451" s="133"/>
      <c r="Q1451" s="133"/>
      <c r="R1451" s="133"/>
      <c r="S1451" s="133"/>
      <c r="T1451" s="133"/>
      <c r="U1451" s="133"/>
      <c r="V1451" s="133"/>
      <c r="W1451" s="133"/>
      <c r="X1451" s="133"/>
      <c r="Y1451" s="133"/>
      <c r="Z1451" s="133"/>
    </row>
    <row r="1452">
      <c r="A1452" s="133">
        <f>IFERROR(__xludf.DUMMYFUNCTION("""COMPUTED_VALUE"""),1451.0)</f>
        <v>1451</v>
      </c>
      <c r="B1452" s="133"/>
      <c r="C1452" s="133" t="str">
        <f>IFERROR(__xludf.DUMMYFUNCTION("""COMPUTED_VALUE"""),"P-1-N-250923-5697")</f>
        <v>P-1-N-250923-5697</v>
      </c>
      <c r="D1452" s="133"/>
      <c r="E1452" s="133" t="str">
        <f>IFERROR(__xludf.DUMMYFUNCTION("""COMPUTED_VALUE"""),"مرجع للتعديل")</f>
        <v>مرجع للتعديل</v>
      </c>
      <c r="F1452" s="133" t="str">
        <f>IFERROR(__xludf.DUMMYFUNCTION("""COMPUTED_VALUE"""),"JosiCat Sterilised Classic 18kg - 650 g")</f>
        <v>JosiCat Sterilised Classic 18kg - 650 g</v>
      </c>
      <c r="G1452" s="133" t="str">
        <f>IFERROR(__xludf.DUMMYFUNCTION("""COMPUTED_VALUE"""),"جوسيكات ستيرلايزد كلاسيك 18 كجم")</f>
        <v>جوسيكات ستيرلايزد كلاسيك 18 كجم</v>
      </c>
      <c r="H1452" s="133" t="str">
        <f>IFERROR(__xludf.DUMMYFUNCTION("""COMPUTED_VALUE"""),"FOM-2024-6397-FEB-2024-49456 -C-0041-70253")</f>
        <v>FOM-2024-6397-FEB-2024-49456 -C-0041-70253</v>
      </c>
      <c r="I1452" s="133"/>
      <c r="J1452" s="133"/>
      <c r="K1452" s="133"/>
      <c r="L1452" s="133"/>
      <c r="M1452" s="133"/>
      <c r="N1452" s="133"/>
      <c r="O1452" s="133"/>
      <c r="P1452" s="133"/>
      <c r="Q1452" s="133"/>
      <c r="R1452" s="133"/>
      <c r="S1452" s="133"/>
      <c r="T1452" s="133"/>
      <c r="U1452" s="133"/>
      <c r="V1452" s="133"/>
      <c r="W1452" s="133"/>
      <c r="X1452" s="133"/>
      <c r="Y1452" s="133"/>
      <c r="Z1452" s="133"/>
    </row>
    <row r="1453">
      <c r="A1453" s="133">
        <f>IFERROR(__xludf.DUMMYFUNCTION("""COMPUTED_VALUE"""),1452.0)</f>
        <v>1452</v>
      </c>
      <c r="B1453" s="133"/>
      <c r="C1453" s="133" t="str">
        <f>IFERROR(__xludf.DUMMYFUNCTION("""COMPUTED_VALUE"""),"P-1-N-270923-5779")</f>
        <v>P-1-N-270923-5779</v>
      </c>
      <c r="D1453" s="133"/>
      <c r="E1453" s="133" t="str">
        <f>IFERROR(__xludf.DUMMYFUNCTION("""COMPUTED_VALUE"""),"تمت طباعة الشهادة")</f>
        <v>تمت طباعة الشهادة</v>
      </c>
      <c r="F1453" s="133" t="str">
        <f>IFERROR(__xludf.DUMMYFUNCTION("""COMPUTED_VALUE"""),"PUUR Fruits &amp; Nuts Crumble 200gr")</f>
        <v>PUUR Fruits &amp; Nuts Crumble 200gr</v>
      </c>
      <c r="G1453" s="133" t="str">
        <f>IFERROR(__xludf.DUMMYFUNCTION("""COMPUTED_VALUE"""),"بيور كرامبل الفواكه والمكسرات 200 جم")</f>
        <v>بيور كرامبل الفواكه والمكسرات 200 جم</v>
      </c>
      <c r="H1453" s="133" t="str">
        <f>IFERROR(__xludf.DUMMYFUNCTION("""COMPUTED_VALUE"""),"MAFE20233778")</f>
        <v>MAFE20233778</v>
      </c>
      <c r="I1453" s="133"/>
      <c r="J1453" s="133"/>
      <c r="K1453" s="133"/>
      <c r="L1453" s="133"/>
      <c r="M1453" s="133"/>
      <c r="N1453" s="133"/>
      <c r="O1453" s="133"/>
      <c r="P1453" s="133"/>
      <c r="Q1453" s="133"/>
      <c r="R1453" s="133"/>
      <c r="S1453" s="133"/>
      <c r="T1453" s="133"/>
      <c r="U1453" s="133"/>
      <c r="V1453" s="133"/>
      <c r="W1453" s="133"/>
      <c r="X1453" s="133"/>
      <c r="Y1453" s="133"/>
      <c r="Z1453" s="133"/>
    </row>
    <row r="1454">
      <c r="A1454" s="133">
        <f>IFERROR(__xludf.DUMMYFUNCTION("""COMPUTED_VALUE"""),1453.0)</f>
        <v>1453</v>
      </c>
      <c r="B1454" s="133"/>
      <c r="C1454" s="133" t="str">
        <f>IFERROR(__xludf.DUMMYFUNCTION("""COMPUTED_VALUE"""),"P-1-N-301023-6531")</f>
        <v>P-1-N-301023-6531</v>
      </c>
      <c r="D1454" s="133"/>
      <c r="E1454" s="133" t="str">
        <f>IFERROR(__xludf.DUMMYFUNCTION("""COMPUTED_VALUE"""),"تمت طباعة الشهادة")</f>
        <v>تمت طباعة الشهادة</v>
      </c>
      <c r="F1454" s="133" t="str">
        <f>IFERROR(__xludf.DUMMYFUNCTION("""COMPUTED_VALUE"""),"Dr. Clauder’s High Premium Adult Grainfree 1.5 kg")</f>
        <v>Dr. Clauder’s High Premium Adult Grainfree 1.5 kg</v>
      </c>
      <c r="G1454" s="133" t="str">
        <f>IFERROR(__xludf.DUMMYFUNCTION("""COMPUTED_VALUE"""),"دكتور كلاودر هاي بريميوم خالي من الحبوب للبالغين 1.5 كجم")</f>
        <v>دكتور كلاودر هاي بريميوم خالي من الحبوب للبالغين 1.5 كجم</v>
      </c>
      <c r="H1454" s="133" t="str">
        <f>IFERROR(__xludf.DUMMYFUNCTION("""COMPUTED_VALUE"""),"MAFE20234771")</f>
        <v>MAFE20234771</v>
      </c>
      <c r="I1454" s="133"/>
      <c r="J1454" s="133"/>
      <c r="K1454" s="133" t="str">
        <f>IFERROR(__xludf.DUMMYFUNCTION("""COMPUTED_VALUE"""),"شركة حلول د. كلودر للحيوانات الأليفة محدودة المسؤولية")</f>
        <v>شركة حلول د. كلودر للحيوانات الأليفة محدودة المسؤولية</v>
      </c>
      <c r="L1454" s="133"/>
      <c r="M1454" s="133"/>
      <c r="N1454" s="133"/>
      <c r="O1454" s="133"/>
      <c r="P1454" s="133"/>
      <c r="Q1454" s="133"/>
      <c r="R1454" s="133"/>
      <c r="S1454" s="133"/>
      <c r="T1454" s="133"/>
      <c r="U1454" s="133"/>
      <c r="V1454" s="133"/>
      <c r="W1454" s="133"/>
      <c r="X1454" s="133"/>
      <c r="Y1454" s="133"/>
      <c r="Z1454" s="133"/>
    </row>
    <row r="1455">
      <c r="A1455" s="133">
        <f>IFERROR(__xludf.DUMMYFUNCTION("""COMPUTED_VALUE"""),1454.0)</f>
        <v>1454</v>
      </c>
      <c r="B1455" s="133"/>
      <c r="C1455" s="133" t="str">
        <f>IFERROR(__xludf.DUMMYFUNCTION("""COMPUTED_VALUE"""),"P-1-N-301023-6532")</f>
        <v>P-1-N-301023-6532</v>
      </c>
      <c r="D1455" s="133"/>
      <c r="E1455" s="133" t="str">
        <f>IFERROR(__xludf.DUMMYFUNCTION("""COMPUTED_VALUE"""),"تمت طباعة الشهادة")</f>
        <v>تمت طباعة الشهادة</v>
      </c>
      <c r="F1455" s="133" t="str">
        <f>IFERROR(__xludf.DUMMYFUNCTION("""COMPUTED_VALUE"""),"Dr. Clauder’s High Premium Adult Grainfree 4 kg")</f>
        <v>Dr. Clauder’s High Premium Adult Grainfree 4 kg</v>
      </c>
      <c r="G1455" s="133" t="str">
        <f>IFERROR(__xludf.DUMMYFUNCTION("""COMPUTED_VALUE"""),"دكتور كلاودر هاي بريميوم خالي من الحبوب للبالغين 4 كجم")</f>
        <v>دكتور كلاودر هاي بريميوم خالي من الحبوب للبالغين 4 كجم</v>
      </c>
      <c r="H1455" s="133" t="str">
        <f>IFERROR(__xludf.DUMMYFUNCTION("""COMPUTED_VALUE"""),"MAFE20234767")</f>
        <v>MAFE20234767</v>
      </c>
      <c r="I1455" s="133"/>
      <c r="J1455" s="133"/>
      <c r="K1455" s="133" t="str">
        <f>IFERROR(__xludf.DUMMYFUNCTION("""COMPUTED_VALUE"""),"شركة حلول د. كلودر للحيوانات الأليفة محدودة المسؤولية")</f>
        <v>شركة حلول د. كلودر للحيوانات الأليفة محدودة المسؤولية</v>
      </c>
      <c r="L1455" s="133"/>
      <c r="M1455" s="133"/>
      <c r="N1455" s="133"/>
      <c r="O1455" s="133"/>
      <c r="P1455" s="133"/>
      <c r="Q1455" s="133"/>
      <c r="R1455" s="133"/>
      <c r="S1455" s="133"/>
      <c r="T1455" s="133"/>
      <c r="U1455" s="133"/>
      <c r="V1455" s="133"/>
      <c r="W1455" s="133"/>
      <c r="X1455" s="133"/>
      <c r="Y1455" s="133"/>
      <c r="Z1455" s="133"/>
    </row>
    <row r="1456">
      <c r="A1456" s="133">
        <f>IFERROR(__xludf.DUMMYFUNCTION("""COMPUTED_VALUE"""),1455.0)</f>
        <v>1455</v>
      </c>
      <c r="B1456" s="133"/>
      <c r="C1456" s="133" t="str">
        <f>IFERROR(__xludf.DUMMYFUNCTION("""COMPUTED_VALUE"""),"P-1-N-301023-6533")</f>
        <v>P-1-N-301023-6533</v>
      </c>
      <c r="D1456" s="133"/>
      <c r="E1456" s="133" t="str">
        <f>IFERROR(__xludf.DUMMYFUNCTION("""COMPUTED_VALUE"""),"تمت طباعة الشهادة")</f>
        <v>تمت طباعة الشهادة</v>
      </c>
      <c r="F1456" s="133" t="str">
        <f>IFERROR(__xludf.DUMMYFUNCTION("""COMPUTED_VALUE"""),"Dr. Clauder’s High Premium Adult Grainfree 10 kg")</f>
        <v>Dr. Clauder’s High Premium Adult Grainfree 10 kg</v>
      </c>
      <c r="G1456" s="133" t="str">
        <f>IFERROR(__xludf.DUMMYFUNCTION("""COMPUTED_VALUE"""),"دكتور كلاودر هاي بريميوم خالي من الحبوب للبالغين 10 كجم")</f>
        <v>دكتور كلاودر هاي بريميوم خالي من الحبوب للبالغين 10 كجم</v>
      </c>
      <c r="H1456" s="133" t="str">
        <f>IFERROR(__xludf.DUMMYFUNCTION("""COMPUTED_VALUE"""),"MAFE20234841")</f>
        <v>MAFE20234841</v>
      </c>
      <c r="I1456" s="133"/>
      <c r="J1456" s="133"/>
      <c r="K1456" s="133" t="str">
        <f>IFERROR(__xludf.DUMMYFUNCTION("""COMPUTED_VALUE"""),"شركة حلول د. كلودر للحيوانات الأليفة محدودة المسؤولية")</f>
        <v>شركة حلول د. كلودر للحيوانات الأليفة محدودة المسؤولية</v>
      </c>
      <c r="L1456" s="133"/>
      <c r="M1456" s="133"/>
      <c r="N1456" s="133"/>
      <c r="O1456" s="133"/>
      <c r="P1456" s="133"/>
      <c r="Q1456" s="133"/>
      <c r="R1456" s="133"/>
      <c r="S1456" s="133"/>
      <c r="T1456" s="133"/>
      <c r="U1456" s="133"/>
      <c r="V1456" s="133"/>
      <c r="W1456" s="133"/>
      <c r="X1456" s="133"/>
      <c r="Y1456" s="133"/>
      <c r="Z1456" s="133"/>
    </row>
    <row r="1457">
      <c r="A1457" s="133">
        <f>IFERROR(__xludf.DUMMYFUNCTION("""COMPUTED_VALUE"""),1456.0)</f>
        <v>1456</v>
      </c>
      <c r="B1457" s="133"/>
      <c r="C1457" s="133" t="str">
        <f>IFERROR(__xludf.DUMMYFUNCTION("""COMPUTED_VALUE"""),"P-1-N-301023-6534")</f>
        <v>P-1-N-301023-6534</v>
      </c>
      <c r="D1457" s="133"/>
      <c r="E1457" s="133" t="str">
        <f>IFERROR(__xludf.DUMMYFUNCTION("""COMPUTED_VALUE"""),"تمت طباعة الشهادة")</f>
        <v>تمت طباعة الشهادة</v>
      </c>
      <c r="F1457" s="133" t="str">
        <f>IFERROR(__xludf.DUMMYFUNCTION("""COMPUTED_VALUE"""),"Dr. Clauder’s High Premium Indoor 4 kg")</f>
        <v>Dr. Clauder’s High Premium Indoor 4 kg</v>
      </c>
      <c r="G1457" s="133" t="str">
        <f>IFERROR(__xludf.DUMMYFUNCTION("""COMPUTED_VALUE"""),"دكتور كلاودر هاي بريميوم اندور 4 كجم")</f>
        <v>دكتور كلاودر هاي بريميوم اندور 4 كجم</v>
      </c>
      <c r="H1457" s="133"/>
      <c r="I1457" s="133"/>
      <c r="J1457" s="133"/>
      <c r="K1457" s="133" t="str">
        <f>IFERROR(__xludf.DUMMYFUNCTION("""COMPUTED_VALUE"""),"شركة حلول د. كلودر للحيوانات الأليفة محدودة المسؤولية")</f>
        <v>شركة حلول د. كلودر للحيوانات الأليفة محدودة المسؤولية</v>
      </c>
      <c r="L1457" s="133"/>
      <c r="M1457" s="133"/>
      <c r="N1457" s="133"/>
      <c r="O1457" s="133"/>
      <c r="P1457" s="133"/>
      <c r="Q1457" s="133"/>
      <c r="R1457" s="133"/>
      <c r="S1457" s="133"/>
      <c r="T1457" s="133"/>
      <c r="U1457" s="133"/>
      <c r="V1457" s="133"/>
      <c r="W1457" s="133"/>
      <c r="X1457" s="133"/>
      <c r="Y1457" s="133"/>
      <c r="Z1457" s="133"/>
    </row>
    <row r="1458">
      <c r="A1458" s="133">
        <f>IFERROR(__xludf.DUMMYFUNCTION("""COMPUTED_VALUE"""),1457.0)</f>
        <v>1457</v>
      </c>
      <c r="B1458" s="133"/>
      <c r="C1458" s="133" t="str">
        <f>IFERROR(__xludf.DUMMYFUNCTION("""COMPUTED_VALUE"""),"P-1-N-301023-6535")</f>
        <v>P-1-N-301023-6535</v>
      </c>
      <c r="D1458" s="133"/>
      <c r="E1458" s="133" t="str">
        <f>IFERROR(__xludf.DUMMYFUNCTION("""COMPUTED_VALUE"""),"تمت طباعة الشهادة")</f>
        <v>تمت طباعة الشهادة</v>
      </c>
      <c r="F1458" s="133" t="str">
        <f>IFERROR(__xludf.DUMMYFUNCTION("""COMPUTED_VALUE"""),"Dr. Clauder’s High Premium Indoor 10 kg")</f>
        <v>Dr. Clauder’s High Premium Indoor 10 kg</v>
      </c>
      <c r="G1458" s="133" t="str">
        <f>IFERROR(__xludf.DUMMYFUNCTION("""COMPUTED_VALUE"""),"دكتور كلاودر هاي بريميوم اندور 10 كجم")</f>
        <v>دكتور كلاودر هاي بريميوم اندور 10 كجم</v>
      </c>
      <c r="H1458" s="133" t="str">
        <f>IFERROR(__xludf.DUMMYFUNCTION("""COMPUTED_VALUE"""),"MAFE20234769")</f>
        <v>MAFE20234769</v>
      </c>
      <c r="I1458" s="133"/>
      <c r="J1458" s="133"/>
      <c r="K1458" s="133" t="str">
        <f>IFERROR(__xludf.DUMMYFUNCTION("""COMPUTED_VALUE"""),"شركة حلول د. كلودر للحيوانات الأليفة محدودة المسؤولية")</f>
        <v>شركة حلول د. كلودر للحيوانات الأليفة محدودة المسؤولية</v>
      </c>
      <c r="L1458" s="133"/>
      <c r="M1458" s="133"/>
      <c r="N1458" s="133"/>
      <c r="O1458" s="133"/>
      <c r="P1458" s="133"/>
      <c r="Q1458" s="133"/>
      <c r="R1458" s="133"/>
      <c r="S1458" s="133"/>
      <c r="T1458" s="133"/>
      <c r="U1458" s="133"/>
      <c r="V1458" s="133"/>
      <c r="W1458" s="133"/>
      <c r="X1458" s="133"/>
      <c r="Y1458" s="133"/>
      <c r="Z1458" s="133"/>
    </row>
    <row r="1459">
      <c r="A1459" s="133">
        <f>IFERROR(__xludf.DUMMYFUNCTION("""COMPUTED_VALUE"""),1458.0)</f>
        <v>1458</v>
      </c>
      <c r="B1459" s="133"/>
      <c r="C1459" s="133" t="str">
        <f>IFERROR(__xludf.DUMMYFUNCTION("""COMPUTED_VALUE"""),"P-1-N-301023-6536")</f>
        <v>P-1-N-301023-6536</v>
      </c>
      <c r="D1459" s="133"/>
      <c r="E1459" s="133" t="str">
        <f>IFERROR(__xludf.DUMMYFUNCTION("""COMPUTED_VALUE"""),"تمت طباعة الشهادة")</f>
        <v>تمت طباعة الشهادة</v>
      </c>
      <c r="F1459" s="133" t="str">
        <f>IFERROR(__xludf.DUMMYFUNCTION("""COMPUTED_VALUE"""),"Dr. Clauder’s High Premium Kitten ")</f>
        <v>Dr. Clauder’s High Premium Kitten </v>
      </c>
      <c r="G1459" s="133" t="str">
        <f>IFERROR(__xludf.DUMMYFUNCTION("""COMPUTED_VALUE"""),"دكتور كلاودر هاي بريميوم قطط صغيرة 400 جم")</f>
        <v>دكتور كلاودر هاي بريميوم قطط صغيرة 400 جم</v>
      </c>
      <c r="H1459" s="133" t="str">
        <f>IFERROR(__xludf.DUMMYFUNCTION("""COMPUTED_VALUE"""),"\")</f>
        <v>\</v>
      </c>
      <c r="I1459" s="133"/>
      <c r="J1459" s="133"/>
      <c r="K1459" s="133" t="str">
        <f>IFERROR(__xludf.DUMMYFUNCTION("""COMPUTED_VALUE"""),"شركة حلول د. كلودر للحيوانات الأليفة محدودة المسؤولية")</f>
        <v>شركة حلول د. كلودر للحيوانات الأليفة محدودة المسؤولية</v>
      </c>
      <c r="L1459" s="133"/>
      <c r="M1459" s="133"/>
      <c r="N1459" s="133"/>
      <c r="O1459" s="133"/>
      <c r="P1459" s="133"/>
      <c r="Q1459" s="133"/>
      <c r="R1459" s="133"/>
      <c r="S1459" s="133"/>
      <c r="T1459" s="133"/>
      <c r="U1459" s="133"/>
      <c r="V1459" s="133"/>
      <c r="W1459" s="133"/>
      <c r="X1459" s="133"/>
      <c r="Y1459" s="133"/>
      <c r="Z1459" s="133"/>
    </row>
    <row r="1460">
      <c r="A1460" s="133">
        <f>IFERROR(__xludf.DUMMYFUNCTION("""COMPUTED_VALUE"""),1459.0)</f>
        <v>1459</v>
      </c>
      <c r="B1460" s="133"/>
      <c r="C1460" s="133" t="str">
        <f>IFERROR(__xludf.DUMMYFUNCTION("""COMPUTED_VALUE"""),"P-1-N-301023-6537")</f>
        <v>P-1-N-301023-6537</v>
      </c>
      <c r="D1460" s="133"/>
      <c r="E1460" s="133" t="str">
        <f>IFERROR(__xludf.DUMMYFUNCTION("""COMPUTED_VALUE"""),"تمت طباعة الشهادة")</f>
        <v>تمت طباعة الشهادة</v>
      </c>
      <c r="F1460" s="133" t="str">
        <f>IFERROR(__xludf.DUMMYFUNCTION("""COMPUTED_VALUE"""),"Dr. Clauder’s High Premium Kitten 1.5kg")</f>
        <v>Dr. Clauder’s High Premium Kitten 1.5kg</v>
      </c>
      <c r="G1460" s="133" t="str">
        <f>IFERROR(__xludf.DUMMYFUNCTION("""COMPUTED_VALUE"""),"دكتور كلاودر هاي بريميوم قطط صغيرة 1.5 كجم")</f>
        <v>دكتور كلاودر هاي بريميوم قطط صغيرة 1.5 كجم</v>
      </c>
      <c r="H1460" s="133" t="str">
        <f>IFERROR(__xludf.DUMMYFUNCTION("""COMPUTED_VALUE"""),"MAFE20234768")</f>
        <v>MAFE20234768</v>
      </c>
      <c r="I1460" s="133"/>
      <c r="J1460" s="133"/>
      <c r="K1460" s="133" t="str">
        <f>IFERROR(__xludf.DUMMYFUNCTION("""COMPUTED_VALUE"""),"شركة حلول د. كلودر للحيوانات الأليفة محدودة المسؤولية")</f>
        <v>شركة حلول د. كلودر للحيوانات الأليفة محدودة المسؤولية</v>
      </c>
      <c r="L1460" s="133"/>
      <c r="M1460" s="133"/>
      <c r="N1460" s="133"/>
      <c r="O1460" s="133"/>
      <c r="P1460" s="133"/>
      <c r="Q1460" s="133"/>
      <c r="R1460" s="133"/>
      <c r="S1460" s="133"/>
      <c r="T1460" s="133"/>
      <c r="U1460" s="133"/>
      <c r="V1460" s="133"/>
      <c r="W1460" s="133"/>
      <c r="X1460" s="133"/>
      <c r="Y1460" s="133"/>
      <c r="Z1460" s="133"/>
    </row>
    <row r="1461">
      <c r="A1461" s="133">
        <f>IFERROR(__xludf.DUMMYFUNCTION("""COMPUTED_VALUE"""),1460.0)</f>
        <v>1460</v>
      </c>
      <c r="B1461" s="133"/>
      <c r="C1461" s="133" t="str">
        <f>IFERROR(__xludf.DUMMYFUNCTION("""COMPUTED_VALUE"""),"P-1-N-301023-6538")</f>
        <v>P-1-N-301023-6538</v>
      </c>
      <c r="D1461" s="133"/>
      <c r="E1461" s="133" t="str">
        <f>IFERROR(__xludf.DUMMYFUNCTION("""COMPUTED_VALUE"""),"تمت طباعة الشهادة")</f>
        <v>تمت طباعة الشهادة</v>
      </c>
      <c r="F1461" s="133" t="str">
        <f>IFERROR(__xludf.DUMMYFUNCTION("""COMPUTED_VALUE"""),"Dr. Clauder’s High Premium Kitten 4kg")</f>
        <v>Dr. Clauder’s High Premium Kitten 4kg</v>
      </c>
      <c r="G1461" s="133" t="str">
        <f>IFERROR(__xludf.DUMMYFUNCTION("""COMPUTED_VALUE"""),"دكتور كلاودر هاي بريميوم قطط صغيرة 4 كجم")</f>
        <v>دكتور كلاودر هاي بريميوم قطط صغيرة 4 كجم</v>
      </c>
      <c r="H1461" s="133" t="str">
        <f>IFERROR(__xludf.DUMMYFUNCTION("""COMPUTED_VALUE"""),"MAFE20234766")</f>
        <v>MAFE20234766</v>
      </c>
      <c r="I1461" s="133"/>
      <c r="J1461" s="133"/>
      <c r="K1461" s="133" t="str">
        <f>IFERROR(__xludf.DUMMYFUNCTION("""COMPUTED_VALUE"""),"شركة حلول د. كلودر للحيوانات الأليفة محدودة المسؤولية")</f>
        <v>شركة حلول د. كلودر للحيوانات الأليفة محدودة المسؤولية</v>
      </c>
      <c r="L1461" s="133"/>
      <c r="M1461" s="133"/>
      <c r="N1461" s="133"/>
      <c r="O1461" s="133"/>
      <c r="P1461" s="133"/>
      <c r="Q1461" s="133"/>
      <c r="R1461" s="133"/>
      <c r="S1461" s="133"/>
      <c r="T1461" s="133"/>
      <c r="U1461" s="133"/>
      <c r="V1461" s="133"/>
      <c r="W1461" s="133"/>
      <c r="X1461" s="133"/>
      <c r="Y1461" s="133"/>
      <c r="Z1461" s="133"/>
    </row>
    <row r="1462">
      <c r="A1462" s="133">
        <f>IFERROR(__xludf.DUMMYFUNCTION("""COMPUTED_VALUE"""),1461.0)</f>
        <v>1461</v>
      </c>
      <c r="B1462" s="133"/>
      <c r="C1462" s="133" t="str">
        <f>IFERROR(__xludf.DUMMYFUNCTION("""COMPUTED_VALUE"""),"P-1-N-301023-6539")</f>
        <v>P-1-N-301023-6539</v>
      </c>
      <c r="D1462" s="133"/>
      <c r="E1462" s="133" t="str">
        <f>IFERROR(__xludf.DUMMYFUNCTION("""COMPUTED_VALUE"""),"تمت طباعة الشهادة")</f>
        <v>تمت طباعة الشهادة</v>
      </c>
      <c r="F1462" s="133" t="str">
        <f>IFERROR(__xludf.DUMMYFUNCTION("""COMPUTED_VALUE"""),"Dr. Clauder’s High Premium Kitten 10kg")</f>
        <v>Dr. Clauder’s High Premium Kitten 10kg</v>
      </c>
      <c r="G1462" s="133" t="str">
        <f>IFERROR(__xludf.DUMMYFUNCTION("""COMPUTED_VALUE"""),"دكتور كلاودر هاي بريميوم قطط صغيرة 10 كجم")</f>
        <v>دكتور كلاودر هاي بريميوم قطط صغيرة 10 كجم</v>
      </c>
      <c r="H1462" s="133" t="str">
        <f>IFERROR(__xludf.DUMMYFUNCTION("""COMPUTED_VALUE"""),"MAFE20234765")</f>
        <v>MAFE20234765</v>
      </c>
      <c r="I1462" s="133"/>
      <c r="J1462" s="133"/>
      <c r="K1462" s="133" t="str">
        <f>IFERROR(__xludf.DUMMYFUNCTION("""COMPUTED_VALUE"""),"شركة حلول د. كلودر للحيوانات الأليفة محدودة المسؤولية")</f>
        <v>شركة حلول د. كلودر للحيوانات الأليفة محدودة المسؤولية</v>
      </c>
      <c r="L1462" s="133"/>
      <c r="M1462" s="133"/>
      <c r="N1462" s="133"/>
      <c r="O1462" s="133"/>
      <c r="P1462" s="133"/>
      <c r="Q1462" s="133"/>
      <c r="R1462" s="133"/>
      <c r="S1462" s="133"/>
      <c r="T1462" s="133"/>
      <c r="U1462" s="133"/>
      <c r="V1462" s="133"/>
      <c r="W1462" s="133"/>
      <c r="X1462" s="133"/>
      <c r="Y1462" s="133"/>
      <c r="Z1462" s="133"/>
    </row>
    <row r="1463">
      <c r="A1463" s="133">
        <f>IFERROR(__xludf.DUMMYFUNCTION("""COMPUTED_VALUE"""),1462.0)</f>
        <v>1462</v>
      </c>
      <c r="B1463" s="133"/>
      <c r="C1463" s="133" t="str">
        <f>IFERROR(__xludf.DUMMYFUNCTION("""COMPUTED_VALUE"""),"P-1-N-301023-6541")</f>
        <v>P-1-N-301023-6541</v>
      </c>
      <c r="D1463" s="133"/>
      <c r="E1463" s="133" t="str">
        <f>IFERROR(__xludf.DUMMYFUNCTION("""COMPUTED_VALUE"""),"تمت طباعة الشهادة")</f>
        <v>تمت طباعة الشهادة</v>
      </c>
      <c r="F1463" s="133" t="str">
        <f>IFERROR(__xludf.DUMMYFUNCTION("""COMPUTED_VALUE"""),"Dr. Clauder’s High Premium Outdoor 1.5 kg")</f>
        <v>Dr. Clauder’s High Premium Outdoor 1.5 kg</v>
      </c>
      <c r="G1463" s="133" t="str">
        <f>IFERROR(__xludf.DUMMYFUNCTION("""COMPUTED_VALUE"""),"دكتور كلاودر هاي بريميوم اوت دور 1.5 كجم")</f>
        <v>دكتور كلاودر هاي بريميوم اوت دور 1.5 كجم</v>
      </c>
      <c r="H1463" s="133" t="str">
        <f>IFERROR(__xludf.DUMMYFUNCTION("""COMPUTED_VALUE"""),"MAFE20234764")</f>
        <v>MAFE20234764</v>
      </c>
      <c r="I1463" s="133"/>
      <c r="J1463" s="133"/>
      <c r="K1463" s="133" t="str">
        <f>IFERROR(__xludf.DUMMYFUNCTION("""COMPUTED_VALUE"""),"شركة حلول د. كلودر للحيوانات الأليفة محدودة المسؤولية")</f>
        <v>شركة حلول د. كلودر للحيوانات الأليفة محدودة المسؤولية</v>
      </c>
      <c r="L1463" s="133"/>
      <c r="M1463" s="133"/>
      <c r="N1463" s="133"/>
      <c r="O1463" s="133"/>
      <c r="P1463" s="133"/>
      <c r="Q1463" s="133"/>
      <c r="R1463" s="133"/>
      <c r="S1463" s="133"/>
      <c r="T1463" s="133"/>
      <c r="U1463" s="133"/>
      <c r="V1463" s="133"/>
      <c r="W1463" s="133"/>
      <c r="X1463" s="133"/>
      <c r="Y1463" s="133"/>
      <c r="Z1463" s="133"/>
    </row>
    <row r="1464">
      <c r="A1464" s="133">
        <f>IFERROR(__xludf.DUMMYFUNCTION("""COMPUTED_VALUE"""),1463.0)</f>
        <v>1463</v>
      </c>
      <c r="B1464" s="133" t="str">
        <f>IFERROR(__xludf.DUMMYFUNCTION("""COMPUTED_VALUE"""),"21420400")</f>
        <v>21420400</v>
      </c>
      <c r="C1464" s="133" t="str">
        <f>IFERROR(__xludf.DUMMYFUNCTION("""COMPUTED_VALUE"""),"P-1-N-301023-6542")</f>
        <v>P-1-N-301023-6542</v>
      </c>
      <c r="D1464" s="133"/>
      <c r="E1464" s="133" t="str">
        <f>IFERROR(__xludf.DUMMYFUNCTION("""COMPUTED_VALUE"""),"تمت طباعة الشهادة")</f>
        <v>تمت طباعة الشهادة</v>
      </c>
      <c r="F1464" s="133" t="str">
        <f>IFERROR(__xludf.DUMMYFUNCTION("""COMPUTED_VALUE"""),"Dr. Clauder’s High Premium Outdoor 4 kg")</f>
        <v>Dr. Clauder’s High Premium Outdoor 4 kg</v>
      </c>
      <c r="G1464" s="133" t="str">
        <f>IFERROR(__xludf.DUMMYFUNCTION("""COMPUTED_VALUE"""),"دكتور كلاودر هاي بريميوم اوت دور 4 كجم")</f>
        <v>دكتور كلاودر هاي بريميوم اوت دور 4 كجم</v>
      </c>
      <c r="H1464" s="133" t="str">
        <f>IFERROR(__xludf.DUMMYFUNCTION("""COMPUTED_VALUE"""),"MAFE20234763")</f>
        <v>MAFE20234763</v>
      </c>
      <c r="I1464" s="133"/>
      <c r="J1464" s="133"/>
      <c r="K1464" s="133" t="str">
        <f>IFERROR(__xludf.DUMMYFUNCTION("""COMPUTED_VALUE"""),"شركة حلول د. كلودر للحيوانات الأليفة محدودة المسؤولية")</f>
        <v>شركة حلول د. كلودر للحيوانات الأليفة محدودة المسؤولية</v>
      </c>
      <c r="L1464" s="142" t="str">
        <f>IFERROR(__xludf.DUMMYFUNCTION("""COMPUTED_VALUE"""),"21420400")</f>
        <v>21420400</v>
      </c>
      <c r="M1464" s="133"/>
      <c r="N1464" s="133"/>
      <c r="O1464" s="133"/>
      <c r="P1464" s="133"/>
      <c r="Q1464" s="133"/>
      <c r="R1464" s="133"/>
      <c r="S1464" s="133"/>
      <c r="T1464" s="133"/>
      <c r="U1464" s="133"/>
      <c r="V1464" s="133"/>
      <c r="W1464" s="133"/>
      <c r="X1464" s="133"/>
      <c r="Y1464" s="133"/>
      <c r="Z1464" s="133"/>
    </row>
    <row r="1465">
      <c r="A1465" s="133">
        <f>IFERROR(__xludf.DUMMYFUNCTION("""COMPUTED_VALUE"""),1464.0)</f>
        <v>1464</v>
      </c>
      <c r="B1465" s="133" t="str">
        <f>IFERROR(__xludf.DUMMYFUNCTION("""COMPUTED_VALUE"""),"21421000")</f>
        <v>21421000</v>
      </c>
      <c r="C1465" s="133" t="str">
        <f>IFERROR(__xludf.DUMMYFUNCTION("""COMPUTED_VALUE"""),"P-1-N-301023-6543")</f>
        <v>P-1-N-301023-6543</v>
      </c>
      <c r="D1465" s="133"/>
      <c r="E1465" s="133" t="str">
        <f>IFERROR(__xludf.DUMMYFUNCTION("""COMPUTED_VALUE"""),"تمت طباعة الشهادة")</f>
        <v>تمت طباعة الشهادة</v>
      </c>
      <c r="F1465" s="133" t="str">
        <f>IFERROR(__xludf.DUMMYFUNCTION("""COMPUTED_VALUE"""),"Dr. Clauder’s High Premium Outdoor 10 kg")</f>
        <v>Dr. Clauder’s High Premium Outdoor 10 kg</v>
      </c>
      <c r="G1465" s="133" t="str">
        <f>IFERROR(__xludf.DUMMYFUNCTION("""COMPUTED_VALUE"""),"دكتور كلاودر هاي بريميوم اوت دور 10 كجم")</f>
        <v>دكتور كلاودر هاي بريميوم اوت دور 10 كجم</v>
      </c>
      <c r="H1465" s="133" t="str">
        <f>IFERROR(__xludf.DUMMYFUNCTION("""COMPUTED_VALUE"""),"MAFE20234762")</f>
        <v>MAFE20234762</v>
      </c>
      <c r="I1465" s="133"/>
      <c r="J1465" s="133"/>
      <c r="K1465" s="133" t="str">
        <f>IFERROR(__xludf.DUMMYFUNCTION("""COMPUTED_VALUE"""),"شركة حلول د. كلودر للحيوانات الأليفة محدودة المسؤولية")</f>
        <v>شركة حلول د. كلودر للحيوانات الأليفة محدودة المسؤولية</v>
      </c>
      <c r="L1465" s="142" t="str">
        <f>IFERROR(__xludf.DUMMYFUNCTION("""COMPUTED_VALUE"""),"21421000")</f>
        <v>21421000</v>
      </c>
      <c r="M1465" s="133"/>
      <c r="N1465" s="133"/>
      <c r="O1465" s="133"/>
      <c r="P1465" s="133"/>
      <c r="Q1465" s="133"/>
      <c r="R1465" s="133"/>
      <c r="S1465" s="133"/>
      <c r="T1465" s="133"/>
      <c r="U1465" s="133"/>
      <c r="V1465" s="133"/>
      <c r="W1465" s="133"/>
      <c r="X1465" s="133"/>
      <c r="Y1465" s="133"/>
      <c r="Z1465" s="133"/>
    </row>
    <row r="1466">
      <c r="A1466" s="133">
        <f>IFERROR(__xludf.DUMMYFUNCTION("""COMPUTED_VALUE"""),1465.0)</f>
        <v>1465</v>
      </c>
      <c r="B1466" s="133" t="str">
        <f>IFERROR(__xludf.DUMMYFUNCTION("""COMPUTED_VALUE"""),"21450150")</f>
        <v>21450150</v>
      </c>
      <c r="C1466" s="133" t="str">
        <f>IFERROR(__xludf.DUMMYFUNCTION("""COMPUTED_VALUE"""),"P-1-N-301023-6544")</f>
        <v>P-1-N-301023-6544</v>
      </c>
      <c r="D1466" s="133"/>
      <c r="E1466" s="133" t="str">
        <f>IFERROR(__xludf.DUMMYFUNCTION("""COMPUTED_VALUE"""),"تمت طباعة الشهادة")</f>
        <v>تمت طباعة الشهادة</v>
      </c>
      <c r="F1466" s="133" t="str">
        <f>IFERROR(__xludf.DUMMYFUNCTION("""COMPUTED_VALUE"""),"Dr. Clauder’s High Premium Senior/Light 1.5kg")</f>
        <v>Dr. Clauder’s High Premium Senior/Light 1.5kg</v>
      </c>
      <c r="G1466" s="133" t="str">
        <f>IFERROR(__xludf.DUMMYFUNCTION("""COMPUTED_VALUE"""),"دكتور كلاودر هاي بريميوم سينيور / لايت 1.5 كجم")</f>
        <v>دكتور كلاودر هاي بريميوم سينيور / لايت 1.5 كجم</v>
      </c>
      <c r="H1466" s="133" t="str">
        <f>IFERROR(__xludf.DUMMYFUNCTION("""COMPUTED_VALUE"""),"MAFE20234761")</f>
        <v>MAFE20234761</v>
      </c>
      <c r="I1466" s="133"/>
      <c r="J1466" s="133"/>
      <c r="K1466" s="133" t="str">
        <f>IFERROR(__xludf.DUMMYFUNCTION("""COMPUTED_VALUE"""),"شركة حلول د. كلودر للحيوانات الأليفة محدودة المسؤولية")</f>
        <v>شركة حلول د. كلودر للحيوانات الأليفة محدودة المسؤولية</v>
      </c>
      <c r="L1466" s="142" t="str">
        <f>IFERROR(__xludf.DUMMYFUNCTION("""COMPUTED_VALUE"""),"21450150")</f>
        <v>21450150</v>
      </c>
      <c r="M1466" s="133"/>
      <c r="N1466" s="133"/>
      <c r="O1466" s="133"/>
      <c r="P1466" s="133"/>
      <c r="Q1466" s="133"/>
      <c r="R1466" s="133"/>
      <c r="S1466" s="133"/>
      <c r="T1466" s="133"/>
      <c r="U1466" s="133"/>
      <c r="V1466" s="133"/>
      <c r="W1466" s="133"/>
      <c r="X1466" s="133"/>
      <c r="Y1466" s="133"/>
      <c r="Z1466" s="133"/>
    </row>
    <row r="1467">
      <c r="A1467" s="133">
        <f>IFERROR(__xludf.DUMMYFUNCTION("""COMPUTED_VALUE"""),1466.0)</f>
        <v>1466</v>
      </c>
      <c r="B1467" s="133" t="str">
        <f>IFERROR(__xludf.DUMMYFUNCTION("""COMPUTED_VALUE"""),"21450400")</f>
        <v>21450400</v>
      </c>
      <c r="C1467" s="133" t="str">
        <f>IFERROR(__xludf.DUMMYFUNCTION("""COMPUTED_VALUE"""),"P-1-N-301023-6545")</f>
        <v>P-1-N-301023-6545</v>
      </c>
      <c r="D1467" s="133"/>
      <c r="E1467" s="133" t="str">
        <f>IFERROR(__xludf.DUMMYFUNCTION("""COMPUTED_VALUE"""),"تمت طباعة الشهادة")</f>
        <v>تمت طباعة الشهادة</v>
      </c>
      <c r="F1467" s="133" t="str">
        <f>IFERROR(__xludf.DUMMYFUNCTION("""COMPUTED_VALUE"""),"Dr. Clauder’s High Premium Senior/Light 4kg")</f>
        <v>Dr. Clauder’s High Premium Senior/Light 4kg</v>
      </c>
      <c r="G1467" s="133" t="str">
        <f>IFERROR(__xludf.DUMMYFUNCTION("""COMPUTED_VALUE"""),"دكتور كلاودر هاي بريميوم سينيور / لايت 4 كجم")</f>
        <v>دكتور كلاودر هاي بريميوم سينيور / لايت 4 كجم</v>
      </c>
      <c r="H1467" s="133" t="str">
        <f>IFERROR(__xludf.DUMMYFUNCTION("""COMPUTED_VALUE"""),"MAFE20234760")</f>
        <v>MAFE20234760</v>
      </c>
      <c r="I1467" s="133"/>
      <c r="J1467" s="133"/>
      <c r="K1467" s="133" t="str">
        <f>IFERROR(__xludf.DUMMYFUNCTION("""COMPUTED_VALUE"""),"شركة حلول د. كلودر للحيوانات الأليفة محدودة المسؤولية")</f>
        <v>شركة حلول د. كلودر للحيوانات الأليفة محدودة المسؤولية</v>
      </c>
      <c r="L1467" s="142" t="str">
        <f>IFERROR(__xludf.DUMMYFUNCTION("""COMPUTED_VALUE"""),"21450400")</f>
        <v>21450400</v>
      </c>
      <c r="M1467" s="133"/>
      <c r="N1467" s="133"/>
      <c r="O1467" s="133"/>
      <c r="P1467" s="133"/>
      <c r="Q1467" s="133"/>
      <c r="R1467" s="133"/>
      <c r="S1467" s="133"/>
      <c r="T1467" s="133"/>
      <c r="U1467" s="133"/>
      <c r="V1467" s="133"/>
      <c r="W1467" s="133"/>
      <c r="X1467" s="133"/>
      <c r="Y1467" s="133"/>
      <c r="Z1467" s="133"/>
    </row>
    <row r="1468">
      <c r="A1468" s="133">
        <f>IFERROR(__xludf.DUMMYFUNCTION("""COMPUTED_VALUE"""),1467.0)</f>
        <v>1467</v>
      </c>
      <c r="B1468" s="133"/>
      <c r="C1468" s="133" t="str">
        <f>IFERROR(__xludf.DUMMYFUNCTION("""COMPUTED_VALUE"""),"P-1-N-301023-6546")</f>
        <v>P-1-N-301023-6546</v>
      </c>
      <c r="D1468" s="133"/>
      <c r="E1468" s="133" t="str">
        <f>IFERROR(__xludf.DUMMYFUNCTION("""COMPUTED_VALUE"""),"تمت طباعة الشهادة")</f>
        <v>تمت طباعة الشهادة</v>
      </c>
      <c r="F1468" s="133" t="str">
        <f>IFERROR(__xludf.DUMMYFUNCTION("""COMPUTED_VALUE"""),"Dr. Clauder’s High Premium Senior/Light 10kg")</f>
        <v>Dr. Clauder’s High Premium Senior/Light 10kg</v>
      </c>
      <c r="G1468" s="133" t="str">
        <f>IFERROR(__xludf.DUMMYFUNCTION("""COMPUTED_VALUE"""),"دكتور كلاودر هاي بريميوم سينيور / لايت 10 كجم")</f>
        <v>دكتور كلاودر هاي بريميوم سينيور / لايت 10 كجم</v>
      </c>
      <c r="H1468" s="133" t="str">
        <f>IFERROR(__xludf.DUMMYFUNCTION("""COMPUTED_VALUE"""),"MAFE20234759")</f>
        <v>MAFE20234759</v>
      </c>
      <c r="I1468" s="133"/>
      <c r="J1468" s="133"/>
      <c r="K1468" s="133" t="str">
        <f>IFERROR(__xludf.DUMMYFUNCTION("""COMPUTED_VALUE"""),"شركة حلول د. كلودر للحيوانات الأليفة محدودة المسؤولية")</f>
        <v>شركة حلول د. كلودر للحيوانات الأليفة محدودة المسؤولية</v>
      </c>
      <c r="L1468" s="133"/>
      <c r="M1468" s="133"/>
      <c r="N1468" s="133"/>
      <c r="O1468" s="133"/>
      <c r="P1468" s="133"/>
      <c r="Q1468" s="133"/>
      <c r="R1468" s="133"/>
      <c r="S1468" s="133"/>
      <c r="T1468" s="133"/>
      <c r="U1468" s="133"/>
      <c r="V1468" s="133"/>
      <c r="W1468" s="133"/>
      <c r="X1468" s="133"/>
      <c r="Y1468" s="133"/>
      <c r="Z1468" s="133"/>
    </row>
    <row r="1469">
      <c r="A1469" s="133">
        <f>IFERROR(__xludf.DUMMYFUNCTION("""COMPUTED_VALUE"""),1468.0)</f>
        <v>1468</v>
      </c>
      <c r="B1469" s="133"/>
      <c r="C1469" s="133" t="str">
        <f>IFERROR(__xludf.DUMMYFUNCTION("""COMPUTED_VALUE"""),"P-1-N-311023-6580")</f>
        <v>P-1-N-311023-6580</v>
      </c>
      <c r="D1469" s="133"/>
      <c r="E1469" s="133" t="str">
        <f>IFERROR(__xludf.DUMMYFUNCTION("""COMPUTED_VALUE"""),"تمت طباعة الشهادة")</f>
        <v>تمت طباعة الشهادة</v>
      </c>
      <c r="F1469" s="133" t="str">
        <f>IFERROR(__xludf.DUMMYFUNCTION("""COMPUTED_VALUE"""),"Dr. Clauder’s Selected Meat Ente 100 g")</f>
        <v>Dr. Clauder’s Selected Meat Ente 100 g</v>
      </c>
      <c r="G1469" s="133" t="str">
        <f>IFERROR(__xludf.DUMMYFUNCTION("""COMPUTED_VALUE"""),"دكتور كلاودر لحوم مختارة بط 100 جم")</f>
        <v>دكتور كلاودر لحوم مختارة بط 100 جم</v>
      </c>
      <c r="H1469" s="133" t="str">
        <f>IFERROR(__xludf.DUMMYFUNCTION("""COMPUTED_VALUE"""),"MAFE20234679")</f>
        <v>MAFE20234679</v>
      </c>
      <c r="I1469" s="133"/>
      <c r="J1469" s="133"/>
      <c r="K1469" s="133" t="str">
        <f>IFERROR(__xludf.DUMMYFUNCTION("""COMPUTED_VALUE"""),"شركة حلول د. كلودر للحيوانات الأليفة محدودة المسؤولية")</f>
        <v>شركة حلول د. كلودر للحيوانات الأليفة محدودة المسؤولية</v>
      </c>
      <c r="L1469" s="133"/>
      <c r="M1469" s="133"/>
      <c r="N1469" s="133"/>
      <c r="O1469" s="133"/>
      <c r="P1469" s="133"/>
      <c r="Q1469" s="133"/>
      <c r="R1469" s="133"/>
      <c r="S1469" s="133"/>
      <c r="T1469" s="133"/>
      <c r="U1469" s="133"/>
      <c r="V1469" s="133"/>
      <c r="W1469" s="133"/>
      <c r="X1469" s="133"/>
      <c r="Y1469" s="133"/>
      <c r="Z1469" s="133"/>
    </row>
    <row r="1470">
      <c r="A1470" s="133">
        <f>IFERROR(__xludf.DUMMYFUNCTION("""COMPUTED_VALUE"""),1469.0)</f>
        <v>1469</v>
      </c>
      <c r="B1470" s="133"/>
      <c r="C1470" s="133" t="str">
        <f>IFERROR(__xludf.DUMMYFUNCTION("""COMPUTED_VALUE"""),"P-1-N-311023-6581")</f>
        <v>P-1-N-311023-6581</v>
      </c>
      <c r="D1470" s="133"/>
      <c r="E1470" s="133" t="str">
        <f>IFERROR(__xludf.DUMMYFUNCTION("""COMPUTED_VALUE"""),"تمت طباعة الشهادة")</f>
        <v>تمت طباعة الشهادة</v>
      </c>
      <c r="F1470" s="133" t="str">
        <f>IFERROR(__xludf.DUMMYFUNCTION("""COMPUTED_VALUE"""),"Dr. Clauder’s Selected Meat Geflügel 100 g")</f>
        <v>Dr. Clauder’s Selected Meat Geflügel 100 g</v>
      </c>
      <c r="G1470" s="133" t="str">
        <f>IFERROR(__xludf.DUMMYFUNCTION("""COMPUTED_VALUE"""),"دكتور كلاودر لحوم مختارة دواجن 100 جم")</f>
        <v>دكتور كلاودر لحوم مختارة دواجن 100 جم</v>
      </c>
      <c r="H1470" s="133" t="str">
        <f>IFERROR(__xludf.DUMMYFUNCTION("""COMPUTED_VALUE"""),"MAFE20234680")</f>
        <v>MAFE20234680</v>
      </c>
      <c r="I1470" s="133"/>
      <c r="J1470" s="133"/>
      <c r="K1470" s="133" t="str">
        <f>IFERROR(__xludf.DUMMYFUNCTION("""COMPUTED_VALUE"""),"شركة حلول د. كلودر للحيوانات الأليفة محدودة المسؤولية")</f>
        <v>شركة حلول د. كلودر للحيوانات الأليفة محدودة المسؤولية</v>
      </c>
      <c r="L1470" s="133"/>
      <c r="M1470" s="133"/>
      <c r="N1470" s="133"/>
      <c r="O1470" s="133"/>
      <c r="P1470" s="133"/>
      <c r="Q1470" s="133"/>
      <c r="R1470" s="133"/>
      <c r="S1470" s="133"/>
      <c r="T1470" s="133"/>
      <c r="U1470" s="133"/>
      <c r="V1470" s="133"/>
      <c r="W1470" s="133"/>
      <c r="X1470" s="133"/>
      <c r="Y1470" s="133"/>
      <c r="Z1470" s="133"/>
    </row>
    <row r="1471">
      <c r="A1471" s="133">
        <f>IFERROR(__xludf.DUMMYFUNCTION("""COMPUTED_VALUE"""),1470.0)</f>
        <v>1470</v>
      </c>
      <c r="B1471" s="133"/>
      <c r="C1471" s="133" t="str">
        <f>IFERROR(__xludf.DUMMYFUNCTION("""COMPUTED_VALUE"""),"P-1-N-311023-6582")</f>
        <v>P-1-N-311023-6582</v>
      </c>
      <c r="D1471" s="133"/>
      <c r="E1471" s="133" t="str">
        <f>IFERROR(__xludf.DUMMYFUNCTION("""COMPUTED_VALUE"""),"تمت طباعة الشهادة")</f>
        <v>تمت طباعة الشهادة</v>
      </c>
      <c r="F1471" s="133" t="str">
        <f>IFERROR(__xludf.DUMMYFUNCTION("""COMPUTED_VALUE"""),"Dr. Clauder’s Selected Meat Lachs &amp; Reis 100 g")</f>
        <v>Dr. Clauder’s Selected Meat Lachs &amp; Reis 100 g</v>
      </c>
      <c r="G1471" s="133" t="str">
        <f>IFERROR(__xludf.DUMMYFUNCTION("""COMPUTED_VALUE"""),"دكتور كلاودر لحوم مختارة سمك السلمون والأرز 100 جم")</f>
        <v>دكتور كلاودر لحوم مختارة سمك السلمون والأرز 100 جم</v>
      </c>
      <c r="H1471" s="133" t="str">
        <f>IFERROR(__xludf.DUMMYFUNCTION("""COMPUTED_VALUE"""),"MAFE20234681")</f>
        <v>MAFE20234681</v>
      </c>
      <c r="I1471" s="133"/>
      <c r="J1471" s="133"/>
      <c r="K1471" s="133" t="str">
        <f>IFERROR(__xludf.DUMMYFUNCTION("""COMPUTED_VALUE"""),"شركة حلول د. كلودر للحيوانات الأليفة محدودة المسؤولية")</f>
        <v>شركة حلول د. كلودر للحيوانات الأليفة محدودة المسؤولية</v>
      </c>
      <c r="L1471" s="133"/>
      <c r="M1471" s="133"/>
      <c r="N1471" s="133"/>
      <c r="O1471" s="133"/>
      <c r="P1471" s="133"/>
      <c r="Q1471" s="133"/>
      <c r="R1471" s="133"/>
      <c r="S1471" s="133"/>
      <c r="T1471" s="133"/>
      <c r="U1471" s="133"/>
      <c r="V1471" s="133"/>
      <c r="W1471" s="133"/>
      <c r="X1471" s="133"/>
      <c r="Y1471" s="133"/>
      <c r="Z1471" s="133"/>
    </row>
    <row r="1472">
      <c r="A1472" s="133">
        <f>IFERROR(__xludf.DUMMYFUNCTION("""COMPUTED_VALUE"""),1471.0)</f>
        <v>1471</v>
      </c>
      <c r="B1472" s="133"/>
      <c r="C1472" s="133" t="str">
        <f>IFERROR(__xludf.DUMMYFUNCTION("""COMPUTED_VALUE"""),"P-1-N-311023-6583")</f>
        <v>P-1-N-311023-6583</v>
      </c>
      <c r="D1472" s="133"/>
      <c r="E1472" s="133" t="str">
        <f>IFERROR(__xludf.DUMMYFUNCTION("""COMPUTED_VALUE"""),"تمت طباعة الشهادة")</f>
        <v>تمت طباعة الشهادة</v>
      </c>
      <c r="F1472" s="133" t="str">
        <f>IFERROR(__xludf.DUMMYFUNCTION("""COMPUTED_VALUE"""),"Dr. Clauder’s Selected Meat Pute &amp; Reis 100 g")</f>
        <v>Dr. Clauder’s Selected Meat Pute &amp; Reis 100 g</v>
      </c>
      <c r="G1472" s="133" t="str">
        <f>IFERROR(__xludf.DUMMYFUNCTION("""COMPUTED_VALUE"""),"دكتور كلاودر لحوم مختارة الديك الرومي والأرز 100 جم")</f>
        <v>دكتور كلاودر لحوم مختارة الديك الرومي والأرز 100 جم</v>
      </c>
      <c r="H1472" s="133" t="str">
        <f>IFERROR(__xludf.DUMMYFUNCTION("""COMPUTED_VALUE"""),"MAFE20234682")</f>
        <v>MAFE20234682</v>
      </c>
      <c r="I1472" s="133"/>
      <c r="J1472" s="133"/>
      <c r="K1472" s="133" t="str">
        <f>IFERROR(__xludf.DUMMYFUNCTION("""COMPUTED_VALUE"""),"شركة حلول د. كلودر للحيوانات الأليفة محدودة المسؤولية")</f>
        <v>شركة حلول د. كلودر للحيوانات الأليفة محدودة المسؤولية</v>
      </c>
      <c r="L1472" s="133"/>
      <c r="M1472" s="133"/>
      <c r="N1472" s="133"/>
      <c r="O1472" s="133"/>
      <c r="P1472" s="133"/>
      <c r="Q1472" s="133"/>
      <c r="R1472" s="133"/>
      <c r="S1472" s="133"/>
      <c r="T1472" s="133"/>
      <c r="U1472" s="133"/>
      <c r="V1472" s="133"/>
      <c r="W1472" s="133"/>
      <c r="X1472" s="133"/>
      <c r="Y1472" s="133"/>
      <c r="Z1472" s="133"/>
    </row>
    <row r="1473">
      <c r="A1473" s="133">
        <f>IFERROR(__xludf.DUMMYFUNCTION("""COMPUTED_VALUE"""),1472.0)</f>
        <v>1472</v>
      </c>
      <c r="B1473" s="133"/>
      <c r="C1473" s="133" t="str">
        <f>IFERROR(__xludf.DUMMYFUNCTION("""COMPUTED_VALUE"""),"P-1-N-131123-6896")</f>
        <v>P-1-N-131123-6896</v>
      </c>
      <c r="D1473" s="133" t="str">
        <f>IFERROR(__xludf.DUMMYFUNCTION("""COMPUTED_VALUE"""),"FEB-2024-58702 
")</f>
        <v>FEB-2024-58702 
</v>
      </c>
      <c r="E1473" s="133" t="str">
        <f>IFERROR(__xludf.DUMMYFUNCTION("""COMPUTED_VALUE"""),"مكتمل")</f>
        <v>مكتمل</v>
      </c>
      <c r="F1473" s="133" t="str">
        <f>IFERROR(__xludf.DUMMYFUNCTION("""COMPUTED_VALUE"""),"SOLID GOLD MIGHTY MINI TOY &amp; SMALL BREED LAMB GRAIN FREE 99g")</f>
        <v>SOLID GOLD MIGHTY MINI TOY &amp; SMALL BREED LAMB GRAIN FREE 99g</v>
      </c>
      <c r="G1473" s="133" t="str">
        <f>IFERROR(__xludf.DUMMYFUNCTION("""COMPUTED_VALUE"""),"سوليد جولد مايتي سلالة الكلاب الصغيرة والصغيرة جدا الضأن خالي من الحبوب 99 جم")</f>
        <v>سوليد جولد مايتي سلالة الكلاب الصغيرة والصغيرة جدا الضأن خالي من الحبوب 99 جم</v>
      </c>
      <c r="H1473" s="133" t="str">
        <f>IFERROR(__xludf.DUMMYFUNCTION("""COMPUTED_VALUE"""),"FOM-2024-5981-FEB-2024-58702 -C-0041-79510")</f>
        <v>FOM-2024-5981-FEB-2024-58702 -C-0041-79510</v>
      </c>
      <c r="I1473" s="133"/>
      <c r="J1473" s="133"/>
      <c r="K1473" s="133" t="str">
        <f>IFERROR(__xludf.DUMMYFUNCTION("""COMPUTED_VALUE"""),"شركة سوليد جولد بيت المحدودة المسؤولية")</f>
        <v>شركة سوليد جولد بيت المحدودة المسؤولية</v>
      </c>
      <c r="L1473" s="133"/>
      <c r="M1473" s="133" t="str">
        <f>IFERROR(__xludf.DUMMYFUNCTION("""COMPUTED_VALUE"""),"19/11/2028")</f>
        <v>19/11/2028</v>
      </c>
      <c r="N1473" s="133"/>
      <c r="O1473" s="133"/>
      <c r="P1473" s="133"/>
      <c r="Q1473" s="133"/>
      <c r="R1473" s="133"/>
      <c r="S1473" s="133"/>
      <c r="T1473" s="133"/>
      <c r="U1473" s="133"/>
      <c r="V1473" s="133"/>
      <c r="W1473" s="133"/>
      <c r="X1473" s="133"/>
      <c r="Y1473" s="133"/>
      <c r="Z1473" s="133"/>
    </row>
    <row r="1474">
      <c r="A1474" s="133">
        <f>IFERROR(__xludf.DUMMYFUNCTION("""COMPUTED_VALUE"""),1473.0)</f>
        <v>1473</v>
      </c>
      <c r="B1474" s="133"/>
      <c r="C1474" s="133" t="str">
        <f>IFERROR(__xludf.DUMMYFUNCTION("""COMPUTED_VALUE"""),"P-1-N-131123-6897")</f>
        <v>P-1-N-131123-6897</v>
      </c>
      <c r="D1474" s="133" t="str">
        <f>IFERROR(__xludf.DUMMYFUNCTION("""COMPUTED_VALUE"""),"FEB-2024-58703 
")</f>
        <v>FEB-2024-58703 
</v>
      </c>
      <c r="E1474" s="133" t="str">
        <f>IFERROR(__xludf.DUMMYFUNCTION("""COMPUTED_VALUE"""),"مكتمل")</f>
        <v>مكتمل</v>
      </c>
      <c r="F1474" s="133" t="str">
        <f>IFERROR(__xludf.DUMMYFUNCTION("""COMPUTED_VALUE"""),"SOLID GOLD MIGHTY MINI TOY &amp; SMALL BREED CHICKEN GRAIN FREE 99g")</f>
        <v>SOLID GOLD MIGHTY MINI TOY &amp; SMALL BREED CHICKEN GRAIN FREE 99g</v>
      </c>
      <c r="G1474" s="133" t="str">
        <f>IFERROR(__xludf.DUMMYFUNCTION("""COMPUTED_VALUE"""),"سوليد جولد مايتي سلالة الكلاب الصغيرة والصغيرة جدا الدجاج خالي من الحبوب 99 جم")</f>
        <v>سوليد جولد مايتي سلالة الكلاب الصغيرة والصغيرة جدا الدجاج خالي من الحبوب 99 جم</v>
      </c>
      <c r="H1474" s="133" t="str">
        <f>IFERROR(__xludf.DUMMYFUNCTION("""COMPUTED_VALUE"""),"FOM-2024-5981-FEB-2024-58703 -C-0041-79511")</f>
        <v>FOM-2024-5981-FEB-2024-58703 -C-0041-79511</v>
      </c>
      <c r="I1474" s="133"/>
      <c r="J1474" s="133"/>
      <c r="K1474" s="133" t="str">
        <f>IFERROR(__xludf.DUMMYFUNCTION("""COMPUTED_VALUE"""),"شركة سوليد جولد بيت المحدودة المسؤولية")</f>
        <v>شركة سوليد جولد بيت المحدودة المسؤولية</v>
      </c>
      <c r="L1474" s="133"/>
      <c r="M1474" s="133" t="str">
        <f>IFERROR(__xludf.DUMMYFUNCTION("""COMPUTED_VALUE"""),"19/11/2028")</f>
        <v>19/11/2028</v>
      </c>
      <c r="N1474" s="133"/>
      <c r="O1474" s="133"/>
      <c r="P1474" s="133"/>
      <c r="Q1474" s="133"/>
      <c r="R1474" s="133"/>
      <c r="S1474" s="133"/>
      <c r="T1474" s="133"/>
      <c r="U1474" s="133"/>
      <c r="V1474" s="133"/>
      <c r="W1474" s="133"/>
      <c r="X1474" s="133"/>
      <c r="Y1474" s="133"/>
      <c r="Z1474" s="133"/>
    </row>
    <row r="1475">
      <c r="A1475" s="133">
        <f>IFERROR(__xludf.DUMMYFUNCTION("""COMPUTED_VALUE"""),1474.0)</f>
        <v>1474</v>
      </c>
      <c r="B1475" s="133"/>
      <c r="C1475" s="133" t="str">
        <f>IFERROR(__xludf.DUMMYFUNCTION("""COMPUTED_VALUE"""),"P-1-N-131123-6912")</f>
        <v>P-1-N-131123-6912</v>
      </c>
      <c r="D1475" s="133"/>
      <c r="E1475" s="133" t="str">
        <f>IFERROR(__xludf.DUMMYFUNCTION("""COMPUTED_VALUE"""),"REJECTED")</f>
        <v>REJECTED</v>
      </c>
      <c r="F1475" s="133" t="str">
        <f>IFERROR(__xludf.DUMMYFUNCTION("""COMPUTED_VALUE"""),"SOLID GOLD NB LOVE AT FIRST BARK CHICKEN GRAIN FREE 9.98kg")</f>
        <v>SOLID GOLD NB LOVE AT FIRST BARK CHICKEN GRAIN FREE 9.98kg</v>
      </c>
      <c r="G1475" s="133" t="str">
        <f>IFERROR(__xludf.DUMMYFUNCTION("""COMPUTED_VALUE"""),"سوليد جولد ان بي لاف ات فرست بارك الدجاج خالي من الحبوب 9.98 كجم")</f>
        <v>سوليد جولد ان بي لاف ات فرست بارك الدجاج خالي من الحبوب 9.98 كجم</v>
      </c>
      <c r="H1475" s="133"/>
      <c r="I1475" s="133"/>
      <c r="J1475" s="133"/>
      <c r="K1475" s="133" t="str">
        <f>IFERROR(__xludf.DUMMYFUNCTION("""COMPUTED_VALUE"""),"شركة سوليد جولد بيت المحدودة المسؤولية")</f>
        <v>شركة سوليد جولد بيت المحدودة المسؤولية</v>
      </c>
      <c r="L1475" s="133"/>
      <c r="M1475" s="133"/>
      <c r="N1475" s="133"/>
      <c r="O1475" s="133"/>
      <c r="P1475" s="133"/>
      <c r="Q1475" s="133"/>
      <c r="R1475" s="133"/>
      <c r="S1475" s="133"/>
      <c r="T1475" s="133"/>
      <c r="U1475" s="133"/>
      <c r="V1475" s="133"/>
      <c r="W1475" s="133"/>
      <c r="X1475" s="133"/>
      <c r="Y1475" s="133"/>
      <c r="Z1475" s="133"/>
    </row>
    <row r="1476">
      <c r="A1476" s="133">
        <f>IFERROR(__xludf.DUMMYFUNCTION("""COMPUTED_VALUE"""),1475.0)</f>
        <v>1475</v>
      </c>
      <c r="B1476" s="133"/>
      <c r="C1476" s="133" t="str">
        <f>IFERROR(__xludf.DUMMYFUNCTION("""COMPUTED_VALUE"""),"P-1-N-131123-6913")</f>
        <v>P-1-N-131123-6913</v>
      </c>
      <c r="D1476" s="133"/>
      <c r="E1476" s="133" t="str">
        <f>IFERROR(__xludf.DUMMYFUNCTION("""COMPUTED_VALUE"""),"REJECTED")</f>
        <v>REJECTED</v>
      </c>
      <c r="F1476" s="133" t="str">
        <f>IFERROR(__xludf.DUMMYFUNCTION("""COMPUTED_VALUE"""),"SOLID GOLD NB LOVE AT FIRST BARK CHICKEN GRAIN FREE 1.7kg")</f>
        <v>SOLID GOLD NB LOVE AT FIRST BARK CHICKEN GRAIN FREE 1.7kg</v>
      </c>
      <c r="G1476" s="133" t="str">
        <f>IFERROR(__xludf.DUMMYFUNCTION("""COMPUTED_VALUE"""),"سوليد جولد ان بي لاف ات فرست بارك الدجاج خالي من الحبوب 1.7 كجم")</f>
        <v>سوليد جولد ان بي لاف ات فرست بارك الدجاج خالي من الحبوب 1.7 كجم</v>
      </c>
      <c r="H1476" s="133"/>
      <c r="I1476" s="133"/>
      <c r="J1476" s="133"/>
      <c r="K1476" s="133" t="str">
        <f>IFERROR(__xludf.DUMMYFUNCTION("""COMPUTED_VALUE"""),"شركة سوليد جولد بيت المحدودة المسؤولية")</f>
        <v>شركة سوليد جولد بيت المحدودة المسؤولية</v>
      </c>
      <c r="L1476" s="133"/>
      <c r="M1476" s="133"/>
      <c r="N1476" s="133"/>
      <c r="O1476" s="133"/>
      <c r="P1476" s="133"/>
      <c r="Q1476" s="133"/>
      <c r="R1476" s="133"/>
      <c r="S1476" s="133"/>
      <c r="T1476" s="133"/>
      <c r="U1476" s="133"/>
      <c r="V1476" s="133"/>
      <c r="W1476" s="133"/>
      <c r="X1476" s="133"/>
      <c r="Y1476" s="133"/>
      <c r="Z1476" s="133"/>
    </row>
    <row r="1477">
      <c r="A1477" s="133">
        <f>IFERROR(__xludf.DUMMYFUNCTION("""COMPUTED_VALUE"""),1476.0)</f>
        <v>1476</v>
      </c>
      <c r="B1477" s="133"/>
      <c r="C1477" s="133" t="str">
        <f>IFERROR(__xludf.DUMMYFUNCTION("""COMPUTED_VALUE"""),"P-1-N-181223-7728")</f>
        <v>P-1-N-181223-7728</v>
      </c>
      <c r="D1477" s="133" t="str">
        <f>IFERROR(__xludf.DUMMYFUNCTION("""COMPUTED_VALUE"""),"FEB-2024-58691")</f>
        <v>FEB-2024-58691</v>
      </c>
      <c r="E1477" s="133" t="str">
        <f>IFERROR(__xludf.DUMMYFUNCTION("""COMPUTED_VALUE"""),"مكتمل")</f>
        <v>مكتمل</v>
      </c>
      <c r="F1477" s="133" t="str">
        <f>IFERROR(__xludf.DUMMYFUNCTION("""COMPUTED_VALUE"""),"Solid Gold NB Mighty Mini Chicken 1.7Kg")</f>
        <v>Solid Gold NB Mighty Mini Chicken 1.7Kg</v>
      </c>
      <c r="G1477" s="133" t="str">
        <f>IFERROR(__xludf.DUMMYFUNCTION("""COMPUTED_VALUE"""),"سوليد جولد ان بي مايتي ميني دجاج 1.7 جم")</f>
        <v>سوليد جولد ان بي مايتي ميني دجاج 1.7 جم</v>
      </c>
      <c r="H1477" s="133" t="str">
        <f>IFERROR(__xludf.DUMMYFUNCTION("""COMPUTED_VALUE"""),"FOM-2024-5981-FEB-2024-58691 -C-0041-79499")</f>
        <v>FOM-2024-5981-FEB-2024-58691 -C-0041-79499</v>
      </c>
      <c r="I1477" s="133"/>
      <c r="J1477" s="133"/>
      <c r="K1477" s="133" t="str">
        <f>IFERROR(__xludf.DUMMYFUNCTION("""COMPUTED_VALUE"""),"شركة سوليد جولد بيت المحدودة المسؤولية")</f>
        <v>شركة سوليد جولد بيت المحدودة المسؤولية</v>
      </c>
      <c r="L1477" s="133"/>
      <c r="M1477" s="133" t="str">
        <f>IFERROR(__xludf.DUMMYFUNCTION("""COMPUTED_VALUE"""),"25/12/2028")</f>
        <v>25/12/2028</v>
      </c>
      <c r="N1477" s="133"/>
      <c r="O1477" s="133"/>
      <c r="P1477" s="133"/>
      <c r="Q1477" s="133"/>
      <c r="R1477" s="133"/>
      <c r="S1477" s="133"/>
      <c r="T1477" s="133"/>
      <c r="U1477" s="133"/>
      <c r="V1477" s="133"/>
      <c r="W1477" s="133"/>
      <c r="X1477" s="133"/>
      <c r="Y1477" s="133"/>
      <c r="Z1477" s="133"/>
    </row>
    <row r="1478">
      <c r="A1478" s="133">
        <f>IFERROR(__xludf.DUMMYFUNCTION("""COMPUTED_VALUE"""),1478.0)</f>
        <v>1478</v>
      </c>
      <c r="B1478" s="133"/>
      <c r="C1478" s="133" t="str">
        <f>IFERROR(__xludf.DUMMYFUNCTION("""COMPUTED_VALUE"""),"P-1-N-191123-7085")</f>
        <v>P-1-N-191123-7085</v>
      </c>
      <c r="D1478" s="133"/>
      <c r="E1478" s="133" t="str">
        <f>IFERROR(__xludf.DUMMYFUNCTION("""COMPUTED_VALUE"""),"مكتمل")</f>
        <v>مكتمل</v>
      </c>
      <c r="F1478" s="133" t="str">
        <f>IFERROR(__xludf.DUMMYFUNCTION("""COMPUTED_VALUE"""),"Solid Gold NB Barking at the Moon Beef 1.7Kg")</f>
        <v>Solid Gold NB Barking at the Moon Beef 1.7Kg</v>
      </c>
      <c r="G1478" s="133" t="str">
        <f>IFERROR(__xludf.DUMMYFUNCTION("""COMPUTED_VALUE"""),"سوليد جولد ان بي باركينج ات ذا مون لحم بقري 1.7 جم")</f>
        <v>سوليد جولد ان بي باركينج ات ذا مون لحم بقري 1.7 جم</v>
      </c>
      <c r="H1478" s="133" t="str">
        <f>IFERROR(__xludf.DUMMYFUNCTION("""COMPUTED_VALUE"""),"FOM-2024-5981-FEB-2024-58693 -C-0041-79501")</f>
        <v>FOM-2024-5981-FEB-2024-58693 -C-0041-79501</v>
      </c>
      <c r="I1478" s="133"/>
      <c r="J1478" s="133"/>
      <c r="K1478" s="133" t="str">
        <f>IFERROR(__xludf.DUMMYFUNCTION("""COMPUTED_VALUE"""),"شركة سوليد جولد بيت المحدودة المسؤولية")</f>
        <v>شركة سوليد جولد بيت المحدودة المسؤولية</v>
      </c>
      <c r="L1478" s="133"/>
      <c r="M1478" s="133" t="str">
        <f>IFERROR(__xludf.DUMMYFUNCTION("""COMPUTED_VALUE"""),"25/12/2028")</f>
        <v>25/12/2028</v>
      </c>
      <c r="N1478" s="133"/>
      <c r="O1478" s="133"/>
      <c r="P1478" s="133"/>
      <c r="Q1478" s="133"/>
      <c r="R1478" s="133"/>
      <c r="S1478" s="133"/>
      <c r="T1478" s="133"/>
      <c r="U1478" s="133"/>
      <c r="V1478" s="133"/>
      <c r="W1478" s="133"/>
      <c r="X1478" s="133"/>
      <c r="Y1478" s="133"/>
      <c r="Z1478" s="133"/>
    </row>
    <row r="1479">
      <c r="A1479" s="133">
        <f>IFERROR(__xludf.DUMMYFUNCTION("""COMPUTED_VALUE"""),1479.0)</f>
        <v>1479</v>
      </c>
      <c r="B1479" s="133"/>
      <c r="C1479" s="133" t="str">
        <f>IFERROR(__xludf.DUMMYFUNCTION("""COMPUTED_VALUE"""),"P-1-N-191123-7086")</f>
        <v>P-1-N-191123-7086</v>
      </c>
      <c r="D1479" s="133"/>
      <c r="E1479" s="133" t="str">
        <f>IFERROR(__xludf.DUMMYFUNCTION("""COMPUTED_VALUE"""),"مكتمل")</f>
        <v>مكتمل</v>
      </c>
      <c r="F1479" s="133" t="str">
        <f>IFERROR(__xludf.DUMMYFUNCTION("""COMPUTED_VALUE"""),"Solid Gold NB Barking at the Moon Beef 4.99Kg")</f>
        <v>Solid Gold NB Barking at the Moon Beef 4.99Kg</v>
      </c>
      <c r="G1479" s="133" t="str">
        <f>IFERROR(__xludf.DUMMYFUNCTION("""COMPUTED_VALUE"""),"سوليد جولد ان بي باركينج ات ذا مون لحم بقري 4.99 جم")</f>
        <v>سوليد جولد ان بي باركينج ات ذا مون لحم بقري 4.99 جم</v>
      </c>
      <c r="H1479" s="133" t="str">
        <f>IFERROR(__xludf.DUMMYFUNCTION("""COMPUTED_VALUE"""),"FOM-2024-0902-FEP-2024-80872-C-22548-0675
")</f>
        <v>FOM-2024-0902-FEP-2024-80872-C-22548-0675
</v>
      </c>
      <c r="I1479" s="133"/>
      <c r="J1479" s="133"/>
      <c r="K1479" s="133" t="str">
        <f>IFERROR(__xludf.DUMMYFUNCTION("""COMPUTED_VALUE"""),"شركة سوليد جولد بيت المحدودة المسؤولية")</f>
        <v>شركة سوليد جولد بيت المحدودة المسؤولية</v>
      </c>
      <c r="L1479" s="133"/>
      <c r="M1479" s="133"/>
      <c r="N1479" s="133"/>
      <c r="O1479" s="133"/>
      <c r="P1479" s="133"/>
      <c r="Q1479" s="133"/>
      <c r="R1479" s="133"/>
      <c r="S1479" s="133"/>
      <c r="T1479" s="133"/>
      <c r="U1479" s="133"/>
      <c r="V1479" s="133"/>
      <c r="W1479" s="133"/>
      <c r="X1479" s="133"/>
      <c r="Y1479" s="133"/>
      <c r="Z1479" s="133"/>
    </row>
    <row r="1480">
      <c r="A1480" s="133">
        <f>IFERROR(__xludf.DUMMYFUNCTION("""COMPUTED_VALUE"""),1480.0)</f>
        <v>1480</v>
      </c>
      <c r="B1480" s="133"/>
      <c r="C1480" s="133" t="str">
        <f>IFERROR(__xludf.DUMMYFUNCTION("""COMPUTED_VALUE"""),"P-1-N-191123-7087")</f>
        <v>P-1-N-191123-7087</v>
      </c>
      <c r="D1480" s="133" t="str">
        <f>IFERROR(__xludf.DUMMYFUNCTION("""COMPUTED_VALUE"""),"FEB-2024-58688 
")</f>
        <v>FEB-2024-58688 
</v>
      </c>
      <c r="E1480" s="133" t="str">
        <f>IFERROR(__xludf.DUMMYFUNCTION("""COMPUTED_VALUE"""),"مكتمل")</f>
        <v>مكتمل</v>
      </c>
      <c r="F1480" s="133" t="str">
        <f>IFERROR(__xludf.DUMMYFUNCTION("""COMPUTED_VALUE"""),"Solid Gold NB Barking at the Moon Beef 9.98Kg")</f>
        <v>Solid Gold NB Barking at the Moon Beef 9.98Kg</v>
      </c>
      <c r="G1480" s="133" t="str">
        <f>IFERROR(__xludf.DUMMYFUNCTION("""COMPUTED_VALUE"""),"سوليد جولد ان بي باركينج ات ذا مون لحم بقري 9.98 جم")</f>
        <v>سوليد جولد ان بي باركينج ات ذا مون لحم بقري 9.98 جم</v>
      </c>
      <c r="H1480" s="133" t="str">
        <f>IFERROR(__xludf.DUMMYFUNCTION("""COMPUTED_VALUE"""),"FOM-2024-5981-FEB-2024-58688 -C-0041-79496
")</f>
        <v>FOM-2024-5981-FEB-2024-58688 -C-0041-79496
</v>
      </c>
      <c r="I1480" s="133"/>
      <c r="J1480" s="133"/>
      <c r="K1480" s="133" t="str">
        <f>IFERROR(__xludf.DUMMYFUNCTION("""COMPUTED_VALUE"""),"شركة سوليد جولد بيت المحدودة المسؤولية")</f>
        <v>شركة سوليد جولد بيت المحدودة المسؤولية</v>
      </c>
      <c r="L1480" s="133"/>
      <c r="M1480" s="133" t="str">
        <f>IFERROR(__xludf.DUMMYFUNCTION("""COMPUTED_VALUE"""),"19/12/2028
")</f>
        <v>19/12/2028
</v>
      </c>
      <c r="N1480" s="133"/>
      <c r="O1480" s="133"/>
      <c r="P1480" s="133"/>
      <c r="Q1480" s="133"/>
      <c r="R1480" s="133"/>
      <c r="S1480" s="133"/>
      <c r="T1480" s="133"/>
      <c r="U1480" s="133"/>
      <c r="V1480" s="133"/>
      <c r="W1480" s="133"/>
      <c r="X1480" s="133"/>
      <c r="Y1480" s="133"/>
      <c r="Z1480" s="133"/>
    </row>
    <row r="1481">
      <c r="A1481" s="133">
        <f>IFERROR(__xludf.DUMMYFUNCTION("""COMPUTED_VALUE"""),1481.0)</f>
        <v>1481</v>
      </c>
      <c r="B1481" s="133" t="str">
        <f>IFERROR(__xludf.DUMMYFUNCTION("""COMPUTED_VALUE"""),"21703")</f>
        <v>21703</v>
      </c>
      <c r="C1481" s="133" t="str">
        <f>IFERROR(__xludf.DUMMYFUNCTION("""COMPUTED_VALUE"""),"P-1-N-191123-7090")</f>
        <v>P-1-N-191123-7090</v>
      </c>
      <c r="D1481" s="133"/>
      <c r="E1481" s="133" t="str">
        <f>IFERROR(__xludf.DUMMYFUNCTION("""COMPUTED_VALUE"""),"تمت طباعة الشهادة")</f>
        <v>تمت طباعة الشهادة</v>
      </c>
      <c r="F1481" s="133" t="str">
        <f>IFERROR(__xludf.DUMMYFUNCTION("""COMPUTED_VALUE"""),"Solid Gold LET'S STAY IN CHICKEN GF 1.36 kg")</f>
        <v>Solid Gold LET'S STAY IN CHICKEN GF 1.36 kg</v>
      </c>
      <c r="G1481" s="133" t="str">
        <f>IFERROR(__xludf.DUMMYFUNCTION("""COMPUTED_VALUE"""),"سوليد جولد لتس ستاي إن دجاج خالي من الحبوب إندور 1.36 كجم")</f>
        <v>سوليد جولد لتس ستاي إن دجاج خالي من الحبوب إندور 1.36 كجم</v>
      </c>
      <c r="H1481" s="133" t="str">
        <f>IFERROR(__xludf.DUMMYFUNCTION("""COMPUTED_VALUE"""),"MAFE20234732")</f>
        <v>MAFE20234732</v>
      </c>
      <c r="I1481" s="133"/>
      <c r="J1481" s="133"/>
      <c r="K1481" s="133" t="str">
        <f>IFERROR(__xludf.DUMMYFUNCTION("""COMPUTED_VALUE"""),"شركة سوليد جولد بيت المحدودة المسؤولية")</f>
        <v>شركة سوليد جولد بيت المحدودة المسؤولية</v>
      </c>
      <c r="L1481" s="142" t="str">
        <f>IFERROR(__xludf.DUMMYFUNCTION("""COMPUTED_VALUE"""),"21703")</f>
        <v>21703</v>
      </c>
      <c r="M1481" s="133"/>
      <c r="N1481" s="133"/>
      <c r="O1481" s="133"/>
      <c r="P1481" s="133"/>
      <c r="Q1481" s="133"/>
      <c r="R1481" s="133"/>
      <c r="S1481" s="133"/>
      <c r="T1481" s="133"/>
      <c r="U1481" s="133"/>
      <c r="V1481" s="133"/>
      <c r="W1481" s="133"/>
      <c r="X1481" s="133"/>
      <c r="Y1481" s="133"/>
      <c r="Z1481" s="133"/>
    </row>
    <row r="1482">
      <c r="A1482" s="133">
        <f>IFERROR(__xludf.DUMMYFUNCTION("""COMPUTED_VALUE"""),1482.0)</f>
        <v>1482</v>
      </c>
      <c r="B1482" s="133" t="str">
        <f>IFERROR(__xludf.DUMMYFUNCTION("""COMPUTED_VALUE"""),"21706")</f>
        <v>21706</v>
      </c>
      <c r="C1482" s="133" t="str">
        <f>IFERROR(__xludf.DUMMYFUNCTION("""COMPUTED_VALUE"""),"P-1-N-191123-7091")</f>
        <v>P-1-N-191123-7091</v>
      </c>
      <c r="D1482" s="133"/>
      <c r="E1482" s="133" t="str">
        <f>IFERROR(__xludf.DUMMYFUNCTION("""COMPUTED_VALUE"""),"تمت طباعة الشهادة")</f>
        <v>تمت طباعة الشهادة</v>
      </c>
      <c r="F1482" s="133" t="str">
        <f>IFERROR(__xludf.DUMMYFUNCTION("""COMPUTED_VALUE"""),"Solid Gold LET'S STAY IN CHICKEN GF 2.72 kg")</f>
        <v>Solid Gold LET'S STAY IN CHICKEN GF 2.72 kg</v>
      </c>
      <c r="G1482" s="133" t="str">
        <f>IFERROR(__xludf.DUMMYFUNCTION("""COMPUTED_VALUE"""),"سوليد جولد لتس ستاي إن دجاج خالي من الحبوب إندور 2.72 كجم")</f>
        <v>سوليد جولد لتس ستاي إن دجاج خالي من الحبوب إندور 2.72 كجم</v>
      </c>
      <c r="H1482" s="133" t="str">
        <f>IFERROR(__xludf.DUMMYFUNCTION("""COMPUTED_VALUE"""),"MAFE20234730")</f>
        <v>MAFE20234730</v>
      </c>
      <c r="I1482" s="133"/>
      <c r="J1482" s="133"/>
      <c r="K1482" s="133" t="str">
        <f>IFERROR(__xludf.DUMMYFUNCTION("""COMPUTED_VALUE"""),"شركة سوليد جولد بيت المحدودة المسؤولية")</f>
        <v>شركة سوليد جولد بيت المحدودة المسؤولية</v>
      </c>
      <c r="L1482" s="142" t="str">
        <f>IFERROR(__xludf.DUMMYFUNCTION("""COMPUTED_VALUE"""),"21706")</f>
        <v>21706</v>
      </c>
      <c r="M1482" s="133"/>
      <c r="N1482" s="133"/>
      <c r="O1482" s="133"/>
      <c r="P1482" s="133"/>
      <c r="Q1482" s="133"/>
      <c r="R1482" s="133"/>
      <c r="S1482" s="133"/>
      <c r="T1482" s="133"/>
      <c r="U1482" s="133"/>
      <c r="V1482" s="133"/>
      <c r="W1482" s="133"/>
      <c r="X1482" s="133"/>
      <c r="Y1482" s="133"/>
      <c r="Z1482" s="133"/>
    </row>
    <row r="1483">
      <c r="A1483" s="133">
        <f>IFERROR(__xludf.DUMMYFUNCTION("""COMPUTED_VALUE"""),1483.0)</f>
        <v>1483</v>
      </c>
      <c r="B1483" s="133" t="str">
        <f>IFERROR(__xludf.DUMMYFUNCTION("""COMPUTED_VALUE"""),"21712")</f>
        <v>21712</v>
      </c>
      <c r="C1483" s="133" t="str">
        <f>IFERROR(__xludf.DUMMYFUNCTION("""COMPUTED_VALUE"""),"P-1-N-191123-7092")</f>
        <v>P-1-N-191123-7092</v>
      </c>
      <c r="D1483" s="133"/>
      <c r="E1483" s="133" t="str">
        <f>IFERROR(__xludf.DUMMYFUNCTION("""COMPUTED_VALUE"""),"تمت طباعة الشهادة")</f>
        <v>تمت طباعة الشهادة</v>
      </c>
      <c r="F1483" s="133" t="str">
        <f>IFERROR(__xludf.DUMMYFUNCTION("""COMPUTED_VALUE"""),"Solid Gold LET'S STAY IN CHICKEN GF IN 5.44 kg")</f>
        <v>Solid Gold LET'S STAY IN CHICKEN GF IN 5.44 kg</v>
      </c>
      <c r="G1483" s="133" t="str">
        <f>IFERROR(__xludf.DUMMYFUNCTION("""COMPUTED_VALUE"""),"سوليد جولد لتس ستاي إن دجاج خالي من الحبوب إندور 5.44 كجم")</f>
        <v>سوليد جولد لتس ستاي إن دجاج خالي من الحبوب إندور 5.44 كجم</v>
      </c>
      <c r="H1483" s="133" t="str">
        <f>IFERROR(__xludf.DUMMYFUNCTION("""COMPUTED_VALUE"""),"MAFE20234729")</f>
        <v>MAFE20234729</v>
      </c>
      <c r="I1483" s="133"/>
      <c r="J1483" s="133"/>
      <c r="K1483" s="133" t="str">
        <f>IFERROR(__xludf.DUMMYFUNCTION("""COMPUTED_VALUE"""),"شركة سوليد جولد بيت المحدودة المسؤولية")</f>
        <v>شركة سوليد جولد بيت المحدودة المسؤولية</v>
      </c>
      <c r="L1483" s="142" t="str">
        <f>IFERROR(__xludf.DUMMYFUNCTION("""COMPUTED_VALUE"""),"21712")</f>
        <v>21712</v>
      </c>
      <c r="M1483" s="133"/>
      <c r="N1483" s="133"/>
      <c r="O1483" s="133"/>
      <c r="P1483" s="133"/>
      <c r="Q1483" s="133"/>
      <c r="R1483" s="133"/>
      <c r="S1483" s="133"/>
      <c r="T1483" s="133"/>
      <c r="U1483" s="133"/>
      <c r="V1483" s="133"/>
      <c r="W1483" s="133"/>
      <c r="X1483" s="133"/>
      <c r="Y1483" s="133"/>
      <c r="Z1483" s="133"/>
    </row>
    <row r="1484">
      <c r="A1484" s="133">
        <f>IFERROR(__xludf.DUMMYFUNCTION("""COMPUTED_VALUE"""),1484.0)</f>
        <v>1484</v>
      </c>
      <c r="B1484" s="133"/>
      <c r="C1484" s="133" t="str">
        <f>IFERROR(__xludf.DUMMYFUNCTION("""COMPUTED_VALUE"""),"P-1-N-191123-7093")</f>
        <v>P-1-N-191123-7093</v>
      </c>
      <c r="D1484" s="133"/>
      <c r="E1484" s="133" t="str">
        <f>IFERROR(__xludf.DUMMYFUNCTION("""COMPUTED_VALUE"""),"REJECTED")</f>
        <v>REJECTED</v>
      </c>
      <c r="F1484" s="133" t="str">
        <f>IFERROR(__xludf.DUMMYFUNCTION("""COMPUTED_VALUE"""),"SOLID GOLD MIGHTY MINI TURKEY GRAVY GF 99g")</f>
        <v>SOLID GOLD MIGHTY MINI TURKEY GRAVY GF 99g</v>
      </c>
      <c r="G1484" s="133" t="str">
        <f>IFERROR(__xludf.DUMMYFUNCTION("""COMPUTED_VALUE"""),"سوليد جولد مايتي ميني الديك الرومي في المرق خالي من الحبوب 99 جم")</f>
        <v>سوليد جولد مايتي ميني الديك الرومي في المرق خالي من الحبوب 99 جم</v>
      </c>
      <c r="H1484" s="133"/>
      <c r="I1484" s="133"/>
      <c r="J1484" s="133"/>
      <c r="K1484" s="133" t="str">
        <f>IFERROR(__xludf.DUMMYFUNCTION("""COMPUTED_VALUE"""),"شركة سوليد جولد بيت المحدودة المسؤولية")</f>
        <v>شركة سوليد جولد بيت المحدودة المسؤولية</v>
      </c>
      <c r="L1484" s="133"/>
      <c r="M1484" s="133"/>
      <c r="N1484" s="133"/>
      <c r="O1484" s="133"/>
      <c r="P1484" s="133"/>
      <c r="Q1484" s="133"/>
      <c r="R1484" s="133"/>
      <c r="S1484" s="133"/>
      <c r="T1484" s="133"/>
      <c r="U1484" s="133"/>
      <c r="V1484" s="133"/>
      <c r="W1484" s="133"/>
      <c r="X1484" s="133"/>
      <c r="Y1484" s="133"/>
      <c r="Z1484" s="133"/>
    </row>
    <row r="1485">
      <c r="A1485" s="133">
        <f>IFERROR(__xludf.DUMMYFUNCTION("""COMPUTED_VALUE"""),1485.0)</f>
        <v>1485</v>
      </c>
      <c r="B1485" s="133" t="str">
        <f>IFERROR(__xludf.DUMMYFUNCTION("""COMPUTED_VALUE"""),"SD2456")</f>
        <v>SD2456</v>
      </c>
      <c r="C1485" s="133" t="str">
        <f>IFERROR(__xludf.DUMMYFUNCTION("""COMPUTED_VALUE"""),"P-1-N-271123-7233")</f>
        <v>P-1-N-271123-7233</v>
      </c>
      <c r="D1485" s="133"/>
      <c r="E1485" s="133" t="str">
        <f>IFERROR(__xludf.DUMMYFUNCTION("""COMPUTED_VALUE"""),"تمت طباعة الشهادة")</f>
        <v>تمت طباعة الشهادة</v>
      </c>
      <c r="F1485" s="133" t="str">
        <f>IFERROR(__xludf.DUMMYFUNCTION("""COMPUTED_VALUE"""),"Sanal Biotin 75 g")</f>
        <v>Sanal Biotin 75 g</v>
      </c>
      <c r="G1485" s="133" t="str">
        <f>IFERROR(__xludf.DUMMYFUNCTION("""COMPUTED_VALUE"""),"سانال بيوتين 75 جم")</f>
        <v>سانال بيوتين 75 جم</v>
      </c>
      <c r="H1485" s="133" t="str">
        <f>IFERROR(__xludf.DUMMYFUNCTION("""COMPUTED_VALUE"""),"MAFE20234718")</f>
        <v>MAFE20234718</v>
      </c>
      <c r="I1485" s="133"/>
      <c r="J1485" s="133"/>
      <c r="K1485" s="133" t="str">
        <f>IFERROR(__xludf.DUMMYFUNCTION("""COMPUTED_VALUE"""),"نيدرما بي في")</f>
        <v>نيدرما بي في</v>
      </c>
      <c r="L1485" s="142" t="str">
        <f>IFERROR(__xludf.DUMMYFUNCTION("""COMPUTED_VALUE"""),"SD2456")</f>
        <v>SD2456</v>
      </c>
      <c r="M1485" s="133"/>
      <c r="N1485" s="133"/>
      <c r="O1485" s="133"/>
      <c r="P1485" s="133"/>
      <c r="Q1485" s="133"/>
      <c r="R1485" s="133"/>
      <c r="S1485" s="133"/>
      <c r="T1485" s="133"/>
      <c r="U1485" s="133"/>
      <c r="V1485" s="133"/>
      <c r="W1485" s="133"/>
      <c r="X1485" s="133"/>
      <c r="Y1485" s="133"/>
      <c r="Z1485" s="133"/>
    </row>
    <row r="1486">
      <c r="A1486" s="133">
        <f>IFERROR(__xludf.DUMMYFUNCTION("""COMPUTED_VALUE"""),1486.0)</f>
        <v>1486</v>
      </c>
      <c r="B1486" s="133" t="str">
        <f>IFERROR(__xludf.DUMMYFUNCTION("""COMPUTED_VALUE"""),"33220200")</f>
        <v>33220200</v>
      </c>
      <c r="C1486" s="133" t="str">
        <f>IFERROR(__xludf.DUMMYFUNCTION("""COMPUTED_VALUE"""),"P-1-N-031223-7361")</f>
        <v>P-1-N-031223-7361</v>
      </c>
      <c r="D1486" s="133"/>
      <c r="E1486" s="133" t="str">
        <f>IFERROR(__xludf.DUMMYFUNCTION("""COMPUTED_VALUE"""),"تمت طباعة الشهادة")</f>
        <v>تمت طباعة الشهادة</v>
      </c>
      <c r="F1486" s="133" t="str">
        <f>IFERROR(__xludf.DUMMYFUNCTION("""COMPUTED_VALUE"""),"Dr. Clauder’s Best Choice Mini Adult 2 kg")</f>
        <v>Dr. Clauder’s Best Choice Mini Adult 2 kg</v>
      </c>
      <c r="G1486" s="133" t="str">
        <f>IFERROR(__xludf.DUMMYFUNCTION("""COMPUTED_VALUE"""),"دكتور كلاودر أفضل خيار ميني الكبار 2 كجم")</f>
        <v>دكتور كلاودر أفضل خيار ميني الكبار 2 كجم</v>
      </c>
      <c r="H1486" s="133" t="str">
        <f>IFERROR(__xludf.DUMMYFUNCTION("""COMPUTED_VALUE"""),"MAFE20234850")</f>
        <v>MAFE20234850</v>
      </c>
      <c r="I1486" s="133"/>
      <c r="J1486" s="133"/>
      <c r="K1486" s="133" t="str">
        <f>IFERROR(__xludf.DUMMYFUNCTION("""COMPUTED_VALUE"""),"شركة حلول د. كلودر للحيوانات الأليفة محدودة المسؤولية")</f>
        <v>شركة حلول د. كلودر للحيوانات الأليفة محدودة المسؤولية</v>
      </c>
      <c r="L1486" s="142" t="str">
        <f>IFERROR(__xludf.DUMMYFUNCTION("""COMPUTED_VALUE"""),"33220200")</f>
        <v>33220200</v>
      </c>
      <c r="M1486" s="133"/>
      <c r="N1486" s="133"/>
      <c r="O1486" s="133"/>
      <c r="P1486" s="133"/>
      <c r="Q1486" s="133"/>
      <c r="R1486" s="133"/>
      <c r="S1486" s="133"/>
      <c r="T1486" s="133"/>
      <c r="U1486" s="133"/>
      <c r="V1486" s="133"/>
      <c r="W1486" s="133"/>
      <c r="X1486" s="133"/>
      <c r="Y1486" s="133"/>
      <c r="Z1486" s="133"/>
    </row>
    <row r="1487">
      <c r="A1487" s="133">
        <f>IFERROR(__xludf.DUMMYFUNCTION("""COMPUTED_VALUE"""),1487.0)</f>
        <v>1487</v>
      </c>
      <c r="B1487" s="133"/>
      <c r="C1487" s="133" t="str">
        <f>IFERROR(__xludf.DUMMYFUNCTION("""COMPUTED_VALUE"""),"P-1-N-031223-7362")</f>
        <v>P-1-N-031223-7362</v>
      </c>
      <c r="D1487" s="133"/>
      <c r="E1487" s="133" t="str">
        <f>IFERROR(__xludf.DUMMYFUNCTION("""COMPUTED_VALUE"""),"تمت طباعة الشهادة")</f>
        <v>تمت طباعة الشهادة</v>
      </c>
      <c r="F1487" s="133" t="str">
        <f>IFERROR(__xludf.DUMMYFUNCTION("""COMPUTED_VALUE"""),"Dr. Clauder’s Best Choice Mini Adult Lamm &amp; Reis 2kg")</f>
        <v>Dr. Clauder’s Best Choice Mini Adult Lamm &amp; Reis 2kg</v>
      </c>
      <c r="G1487" s="133" t="str">
        <f>IFERROR(__xludf.DUMMYFUNCTION("""COMPUTED_VALUE"""),"دكتور كلاودر أفضل خيار ميني الكبار لحم الضأن والأرز 2 كجم")</f>
        <v>دكتور كلاودر أفضل خيار ميني الكبار لحم الضأن والأرز 2 كجم</v>
      </c>
      <c r="H1487" s="133" t="str">
        <f>IFERROR(__xludf.DUMMYFUNCTION("""COMPUTED_VALUE"""),"MAFE20234849")</f>
        <v>MAFE20234849</v>
      </c>
      <c r="I1487" s="133"/>
      <c r="J1487" s="133"/>
      <c r="K1487" s="133" t="str">
        <f>IFERROR(__xludf.DUMMYFUNCTION("""COMPUTED_VALUE"""),"شركة حلول د. كلودر للحيوانات الأليفة محدودة المسؤولية")</f>
        <v>شركة حلول د. كلودر للحيوانات الأليفة محدودة المسؤولية</v>
      </c>
      <c r="L1487" s="133"/>
      <c r="M1487" s="133"/>
      <c r="N1487" s="133"/>
      <c r="O1487" s="133"/>
      <c r="P1487" s="133"/>
      <c r="Q1487" s="133"/>
      <c r="R1487" s="133"/>
      <c r="S1487" s="133"/>
      <c r="T1487" s="133"/>
      <c r="U1487" s="133"/>
      <c r="V1487" s="133"/>
      <c r="W1487" s="133"/>
      <c r="X1487" s="133"/>
      <c r="Y1487" s="133"/>
      <c r="Z1487" s="133"/>
    </row>
    <row r="1488">
      <c r="A1488" s="133">
        <f>IFERROR(__xludf.DUMMYFUNCTION("""COMPUTED_VALUE"""),1488.0)</f>
        <v>1488</v>
      </c>
      <c r="B1488" s="133" t="str">
        <f>IFERROR(__xludf.DUMMYFUNCTION("""COMPUTED_VALUE"""),"33230200")</f>
        <v>33230200</v>
      </c>
      <c r="C1488" s="133" t="str">
        <f>IFERROR(__xludf.DUMMYFUNCTION("""COMPUTED_VALUE"""),"P-1-N-031223-7363")</f>
        <v>P-1-N-031223-7363</v>
      </c>
      <c r="D1488" s="133"/>
      <c r="E1488" s="133" t="str">
        <f>IFERROR(__xludf.DUMMYFUNCTION("""COMPUTED_VALUE"""),"تمت طباعة الشهادة")</f>
        <v>تمت طباعة الشهادة</v>
      </c>
      <c r="F1488" s="133" t="str">
        <f>IFERROR(__xludf.DUMMYFUNCTION("""COMPUTED_VALUE"""),"Dr. Clauder’s Best Choice Mini Junior Lachs 2 kg")</f>
        <v>Dr. Clauder’s Best Choice Mini Junior Lachs 2 kg</v>
      </c>
      <c r="G1488" s="133" t="str">
        <f>IFERROR(__xludf.DUMMYFUNCTION("""COMPUTED_VALUE"""),"دكتور كلاودر أفضل خيار ميني جونيور سمك السالمون 2 كجم")</f>
        <v>دكتور كلاودر أفضل خيار ميني جونيور سمك السالمون 2 كجم</v>
      </c>
      <c r="H1488" s="133" t="str">
        <f>IFERROR(__xludf.DUMMYFUNCTION("""COMPUTED_VALUE"""),"MAFE20234848")</f>
        <v>MAFE20234848</v>
      </c>
      <c r="I1488" s="133"/>
      <c r="J1488" s="133"/>
      <c r="K1488" s="133" t="str">
        <f>IFERROR(__xludf.DUMMYFUNCTION("""COMPUTED_VALUE"""),"شركة حلول د. كلودر للحيوانات الأليفة محدودة المسؤولية")</f>
        <v>شركة حلول د. كلودر للحيوانات الأليفة محدودة المسؤولية</v>
      </c>
      <c r="L1488" s="142" t="str">
        <f>IFERROR(__xludf.DUMMYFUNCTION("""COMPUTED_VALUE"""),"33230200")</f>
        <v>33230200</v>
      </c>
      <c r="M1488" s="133"/>
      <c r="N1488" s="133"/>
      <c r="O1488" s="133"/>
      <c r="P1488" s="133"/>
      <c r="Q1488" s="133"/>
      <c r="R1488" s="133"/>
      <c r="S1488" s="133"/>
      <c r="T1488" s="133"/>
      <c r="U1488" s="133"/>
      <c r="V1488" s="133"/>
      <c r="W1488" s="133"/>
      <c r="X1488" s="133"/>
      <c r="Y1488" s="133"/>
      <c r="Z1488" s="133"/>
    </row>
    <row r="1489">
      <c r="A1489" s="133">
        <f>IFERROR(__xludf.DUMMYFUNCTION("""COMPUTED_VALUE"""),1489.0)</f>
        <v>1489</v>
      </c>
      <c r="B1489" s="133"/>
      <c r="C1489" s="133" t="str">
        <f>IFERROR(__xludf.DUMMYFUNCTION("""COMPUTED_VALUE"""),"P-1-N-031223-7364")</f>
        <v>P-1-N-031223-7364</v>
      </c>
      <c r="D1489" s="133"/>
      <c r="E1489" s="133" t="str">
        <f>IFERROR(__xludf.DUMMYFUNCTION("""COMPUTED_VALUE"""),"تمت طباعة الشهادة")</f>
        <v>تمت طباعة الشهادة</v>
      </c>
      <c r="F1489" s="133" t="str">
        <f>IFERROR(__xludf.DUMMYFUNCTION("""COMPUTED_VALUE"""),"Dr")</f>
        <v>Dr</v>
      </c>
      <c r="G1489" s="133" t="str">
        <f>IFERROR(__xludf.DUMMYFUNCTION("""COMPUTED_VALUE"""),"دكتور كلاودر أفضل خيار الكبار متوسط الحجم 4 كجم")</f>
        <v>دكتور كلاودر أفضل خيار الكبار متوسط الحجم 4 كجم</v>
      </c>
      <c r="H1489" s="133" t="str">
        <f>IFERROR(__xludf.DUMMYFUNCTION("""COMPUTED_VALUE"""),"MAFE20234847")</f>
        <v>MAFE20234847</v>
      </c>
      <c r="I1489" s="133"/>
      <c r="J1489" s="133"/>
      <c r="K1489" s="133" t="str">
        <f>IFERROR(__xludf.DUMMYFUNCTION("""COMPUTED_VALUE"""),"شركة حلول د. كلودر للحيوانات الأليفة محدودة المسؤولية")</f>
        <v>شركة حلول د. كلودر للحيوانات الأليفة محدودة المسؤولية</v>
      </c>
      <c r="L1489" s="133"/>
      <c r="M1489" s="133"/>
      <c r="N1489" s="133"/>
      <c r="O1489" s="133"/>
      <c r="P1489" s="133"/>
      <c r="Q1489" s="133"/>
      <c r="R1489" s="133"/>
      <c r="S1489" s="133"/>
      <c r="T1489" s="133"/>
      <c r="U1489" s="133"/>
      <c r="V1489" s="133"/>
      <c r="W1489" s="133"/>
      <c r="X1489" s="133"/>
      <c r="Y1489" s="133"/>
      <c r="Z1489" s="133"/>
    </row>
    <row r="1490">
      <c r="A1490" s="133">
        <f>IFERROR(__xludf.DUMMYFUNCTION("""COMPUTED_VALUE"""),1490.0)</f>
        <v>1490</v>
      </c>
      <c r="B1490" s="133" t="str">
        <f>IFERROR(__xludf.DUMMYFUNCTION("""COMPUTED_VALUE"""),"34021250")</f>
        <v>34021250</v>
      </c>
      <c r="C1490" s="133" t="str">
        <f>IFERROR(__xludf.DUMMYFUNCTION("""COMPUTED_VALUE"""),"P-1-N-031223-7365")</f>
        <v>P-1-N-031223-7365</v>
      </c>
      <c r="D1490" s="133"/>
      <c r="E1490" s="133" t="str">
        <f>IFERROR(__xludf.DUMMYFUNCTION("""COMPUTED_VALUE"""),"تمت طباعة الشهادة")</f>
        <v>تمت طباعة الشهادة</v>
      </c>
      <c r="F1490" s="133" t="str">
        <f>IFERROR(__xludf.DUMMYFUNCTION("""COMPUTED_VALUE"""),"Dr. Clauder’s Best Choice Adult Medium 12.5 kg")</f>
        <v>Dr. Clauder’s Best Choice Adult Medium 12.5 kg</v>
      </c>
      <c r="G1490" s="133" t="str">
        <f>IFERROR(__xludf.DUMMYFUNCTION("""COMPUTED_VALUE"""),"دكتور كلاودر أفضل خيار الكبار متوسط الحجم 12.5 كجم")</f>
        <v>دكتور كلاودر أفضل خيار الكبار متوسط الحجم 12.5 كجم</v>
      </c>
      <c r="H1490" s="133" t="str">
        <f>IFERROR(__xludf.DUMMYFUNCTION("""COMPUTED_VALUE"""),"MAFE20234846")</f>
        <v>MAFE20234846</v>
      </c>
      <c r="I1490" s="133"/>
      <c r="J1490" s="133"/>
      <c r="K1490" s="133" t="str">
        <f>IFERROR(__xludf.DUMMYFUNCTION("""COMPUTED_VALUE"""),"شركة حلول د. كلودر للحيوانات الأليفة محدودة المسؤولية")</f>
        <v>شركة حلول د. كلودر للحيوانات الأليفة محدودة المسؤولية</v>
      </c>
      <c r="L1490" s="142" t="str">
        <f>IFERROR(__xludf.DUMMYFUNCTION("""COMPUTED_VALUE"""),"34021250")</f>
        <v>34021250</v>
      </c>
      <c r="M1490" s="133"/>
      <c r="N1490" s="133"/>
      <c r="O1490" s="133"/>
      <c r="P1490" s="133"/>
      <c r="Q1490" s="133"/>
      <c r="R1490" s="133"/>
      <c r="S1490" s="133"/>
      <c r="T1490" s="133"/>
      <c r="U1490" s="133"/>
      <c r="V1490" s="133"/>
      <c r="W1490" s="133"/>
      <c r="X1490" s="133"/>
      <c r="Y1490" s="133"/>
      <c r="Z1490" s="133"/>
    </row>
    <row r="1491">
      <c r="A1491" s="133">
        <f>IFERROR(__xludf.DUMMYFUNCTION("""COMPUTED_VALUE"""),1491.0)</f>
        <v>1491</v>
      </c>
      <c r="B1491" s="133" t="str">
        <f>IFERROR(__xludf.DUMMYFUNCTION("""COMPUTED_VALUE"""),"34000400")</f>
        <v>34000400</v>
      </c>
      <c r="C1491" s="133" t="str">
        <f>IFERROR(__xludf.DUMMYFUNCTION("""COMPUTED_VALUE"""),"P-1-N-031223-7366")</f>
        <v>P-1-N-031223-7366</v>
      </c>
      <c r="D1491" s="133"/>
      <c r="E1491" s="133" t="str">
        <f>IFERROR(__xludf.DUMMYFUNCTION("""COMPUTED_VALUE"""),"تمت طباعة الشهادة")</f>
        <v>تمت طباعة الشهادة</v>
      </c>
      <c r="F1491" s="133" t="str">
        <f>IFERROR(__xludf.DUMMYFUNCTION("""COMPUTED_VALUE"""),"Clauder’s Best Choice Junior Medium 4 kg")</f>
        <v>Clauder’s Best Choice Junior Medium 4 kg</v>
      </c>
      <c r="G1491" s="133" t="str">
        <f>IFERROR(__xludf.DUMMYFUNCTION("""COMPUTED_VALUE"""),"دكتور كلاودر أفضل خيار جونيور متوسط الحجم 4 كجم")</f>
        <v>دكتور كلاودر أفضل خيار جونيور متوسط الحجم 4 كجم</v>
      </c>
      <c r="H1491" s="133" t="str">
        <f>IFERROR(__xludf.DUMMYFUNCTION("""COMPUTED_VALUE"""),"MAFE20234845")</f>
        <v>MAFE20234845</v>
      </c>
      <c r="I1491" s="133"/>
      <c r="J1491" s="133"/>
      <c r="K1491" s="133" t="str">
        <f>IFERROR(__xludf.DUMMYFUNCTION("""COMPUTED_VALUE"""),"شركة حلول د. كلودر للحيوانات الأليفة محدودة المسؤولية")</f>
        <v>شركة حلول د. كلودر للحيوانات الأليفة محدودة المسؤولية</v>
      </c>
      <c r="L1491" s="142" t="str">
        <f>IFERROR(__xludf.DUMMYFUNCTION("""COMPUTED_VALUE"""),"34000400")</f>
        <v>34000400</v>
      </c>
      <c r="M1491" s="133"/>
      <c r="N1491" s="133"/>
      <c r="O1491" s="133"/>
      <c r="P1491" s="133"/>
      <c r="Q1491" s="133"/>
      <c r="R1491" s="133"/>
      <c r="S1491" s="133"/>
      <c r="T1491" s="133"/>
      <c r="U1491" s="133"/>
      <c r="V1491" s="133"/>
      <c r="W1491" s="133"/>
      <c r="X1491" s="133"/>
      <c r="Y1491" s="133"/>
      <c r="Z1491" s="133"/>
    </row>
    <row r="1492">
      <c r="A1492" s="133">
        <f>IFERROR(__xludf.DUMMYFUNCTION("""COMPUTED_VALUE"""),1492.0)</f>
        <v>1492</v>
      </c>
      <c r="B1492" s="133"/>
      <c r="C1492" s="133" t="str">
        <f>IFERROR(__xludf.DUMMYFUNCTION("""COMPUTED_VALUE"""),"P-1-N-031223-7367")</f>
        <v>P-1-N-031223-7367</v>
      </c>
      <c r="D1492" s="133"/>
      <c r="E1492" s="133" t="str">
        <f>IFERROR(__xludf.DUMMYFUNCTION("""COMPUTED_VALUE"""),"تمت طباعة الشهادة")</f>
        <v>تمت طباعة الشهادة</v>
      </c>
      <c r="F1492" s="133" t="str">
        <f>IFERROR(__xludf.DUMMYFUNCTION("""COMPUTED_VALUE"""),"Dr. Clauder’s Best Choice Junior Medium 12.5 kg")</f>
        <v>Dr. Clauder’s Best Choice Junior Medium 12.5 kg</v>
      </c>
      <c r="G1492" s="133" t="str">
        <f>IFERROR(__xludf.DUMMYFUNCTION("""COMPUTED_VALUE"""),"دكتور كلاودر أفضل خيار جونيور متوسط الحجم 12.5 كجم")</f>
        <v>دكتور كلاودر أفضل خيار جونيور متوسط الحجم 12.5 كجم</v>
      </c>
      <c r="H1492" s="133" t="str">
        <f>IFERROR(__xludf.DUMMYFUNCTION("""COMPUTED_VALUE"""),"MAFE20234844")</f>
        <v>MAFE20234844</v>
      </c>
      <c r="I1492" s="133"/>
      <c r="J1492" s="133"/>
      <c r="K1492" s="133" t="str">
        <f>IFERROR(__xludf.DUMMYFUNCTION("""COMPUTED_VALUE"""),"شركة حلول د. كلودر للحيوانات الأليفة محدودة المسؤولية")</f>
        <v>شركة حلول د. كلودر للحيوانات الأليفة محدودة المسؤولية</v>
      </c>
      <c r="L1492" s="133"/>
      <c r="M1492" s="133"/>
      <c r="N1492" s="133"/>
      <c r="O1492" s="133"/>
      <c r="P1492" s="133"/>
      <c r="Q1492" s="133"/>
      <c r="R1492" s="133"/>
      <c r="S1492" s="133"/>
      <c r="T1492" s="133"/>
      <c r="U1492" s="133"/>
      <c r="V1492" s="133"/>
      <c r="W1492" s="133"/>
      <c r="X1492" s="133"/>
      <c r="Y1492" s="133"/>
      <c r="Z1492" s="133"/>
    </row>
    <row r="1493">
      <c r="A1493" s="133">
        <f>IFERROR(__xludf.DUMMYFUNCTION("""COMPUTED_VALUE"""),1493.0)</f>
        <v>1493</v>
      </c>
      <c r="B1493" s="133"/>
      <c r="C1493" s="133" t="str">
        <f>IFERROR(__xludf.DUMMYFUNCTION("""COMPUTED_VALUE"""),"P-1-N-051223-7411")</f>
        <v>P-1-N-051223-7411</v>
      </c>
      <c r="D1493" s="133"/>
      <c r="E1493" s="133" t="str">
        <f>IFERROR(__xludf.DUMMYFUNCTION("""COMPUTED_VALUE"""),"تمت طباعة الشهادة")</f>
        <v>تمت طباعة الشهادة</v>
      </c>
      <c r="F1493" s="133" t="str">
        <f>IFERROR(__xludf.DUMMYFUNCTION("""COMPUTED_VALUE"""),"Dr. Clauder’s Best Choice Performance PowerPlus 4 kg")</f>
        <v>Dr. Clauder’s Best Choice Performance PowerPlus 4 kg</v>
      </c>
      <c r="G1493" s="133" t="str">
        <f>IFERROR(__xludf.DUMMYFUNCTION("""COMPUTED_VALUE"""),"دكتور كلاودر أفضل خيار بيرفورمانس باور بلس 4 كجم")</f>
        <v>دكتور كلاودر أفضل خيار بيرفورمانس باور بلس 4 كجم</v>
      </c>
      <c r="H1493" s="133" t="str">
        <f>IFERROR(__xludf.DUMMYFUNCTION("""COMPUTED_VALUE"""),"MAFE20235016")</f>
        <v>MAFE20235016</v>
      </c>
      <c r="I1493" s="133"/>
      <c r="J1493" s="133"/>
      <c r="K1493" s="133" t="str">
        <f>IFERROR(__xludf.DUMMYFUNCTION("""COMPUTED_VALUE"""),"شركة حلول د. كلودر للحيوانات الأليفة محدودة المسؤولية")</f>
        <v>شركة حلول د. كلودر للحيوانات الأليفة محدودة المسؤولية</v>
      </c>
      <c r="L1493" s="133"/>
      <c r="M1493" s="133"/>
      <c r="N1493" s="133"/>
      <c r="O1493" s="133"/>
      <c r="P1493" s="133"/>
      <c r="Q1493" s="133"/>
      <c r="R1493" s="133"/>
      <c r="S1493" s="133"/>
      <c r="T1493" s="133"/>
      <c r="U1493" s="133"/>
      <c r="V1493" s="133"/>
      <c r="W1493" s="133"/>
      <c r="X1493" s="133"/>
      <c r="Y1493" s="133"/>
      <c r="Z1493" s="133"/>
    </row>
    <row r="1494">
      <c r="A1494" s="133">
        <f>IFERROR(__xludf.DUMMYFUNCTION("""COMPUTED_VALUE"""),1494.0)</f>
        <v>1494</v>
      </c>
      <c r="B1494" s="133"/>
      <c r="C1494" s="133" t="str">
        <f>IFERROR(__xludf.DUMMYFUNCTION("""COMPUTED_VALUE"""),"P-1-N-051223-7412")</f>
        <v>P-1-N-051223-7412</v>
      </c>
      <c r="D1494" s="133"/>
      <c r="E1494" s="133" t="str">
        <f>IFERROR(__xludf.DUMMYFUNCTION("""COMPUTED_VALUE"""),"تمت طباعة الشهادة")</f>
        <v>تمت طباعة الشهادة</v>
      </c>
      <c r="F1494" s="133" t="str">
        <f>IFERROR(__xludf.DUMMYFUNCTION("""COMPUTED_VALUE"""),"Dr. Clauder’s Best Choice Performance PowerPlus 12.5 kg")</f>
        <v>Dr. Clauder’s Best Choice Performance PowerPlus 12.5 kg</v>
      </c>
      <c r="G1494" s="133" t="str">
        <f>IFERROR(__xludf.DUMMYFUNCTION("""COMPUTED_VALUE"""),"دكتور كلاودر أفضل خيار بيرفورمانس باور بلس 12.5 كجم")</f>
        <v>دكتور كلاودر أفضل خيار بيرفورمانس باور بلس 12.5 كجم</v>
      </c>
      <c r="H1494" s="133" t="str">
        <f>IFERROR(__xludf.DUMMYFUNCTION("""COMPUTED_VALUE"""),"MAFE20235015")</f>
        <v>MAFE20235015</v>
      </c>
      <c r="I1494" s="133"/>
      <c r="J1494" s="133"/>
      <c r="K1494" s="133" t="str">
        <f>IFERROR(__xludf.DUMMYFUNCTION("""COMPUTED_VALUE"""),"شركة حلول د. كلودر للحيوانات الأليفة محدودة المسؤولية")</f>
        <v>شركة حلول د. كلودر للحيوانات الأليفة محدودة المسؤولية</v>
      </c>
      <c r="L1494" s="133"/>
      <c r="M1494" s="133"/>
      <c r="N1494" s="133"/>
      <c r="O1494" s="133"/>
      <c r="P1494" s="133"/>
      <c r="Q1494" s="133"/>
      <c r="R1494" s="133"/>
      <c r="S1494" s="133"/>
      <c r="T1494" s="133"/>
      <c r="U1494" s="133"/>
      <c r="V1494" s="133"/>
      <c r="W1494" s="133"/>
      <c r="X1494" s="133"/>
      <c r="Y1494" s="133"/>
      <c r="Z1494" s="133"/>
    </row>
    <row r="1495">
      <c r="A1495" s="133">
        <f>IFERROR(__xludf.DUMMYFUNCTION("""COMPUTED_VALUE"""),1495.0)</f>
        <v>1495</v>
      </c>
      <c r="B1495" s="133" t="str">
        <f>IFERROR(__xludf.DUMMYFUNCTION("""COMPUTED_VALUE"""),"33050400")</f>
        <v>33050400</v>
      </c>
      <c r="C1495" s="133" t="str">
        <f>IFERROR(__xludf.DUMMYFUNCTION("""COMPUTED_VALUE"""),"P-1-N-051223-7413")</f>
        <v>P-1-N-051223-7413</v>
      </c>
      <c r="D1495" s="133"/>
      <c r="E1495" s="133" t="str">
        <f>IFERROR(__xludf.DUMMYFUNCTION("""COMPUTED_VALUE"""),"تمت طباعة الشهادة")</f>
        <v>تمت طباعة الشهادة</v>
      </c>
      <c r="F1495" s="133" t="str">
        <f>IFERROR(__xludf.DUMMYFUNCTION("""COMPUTED_VALUE"""),"Dr. Clauder’s Best Choice Adult Lamm &amp; Reis 4 kg")</f>
        <v>Dr. Clauder’s Best Choice Adult Lamm &amp; Reis 4 kg</v>
      </c>
      <c r="G1495" s="133" t="str">
        <f>IFERROR(__xludf.DUMMYFUNCTION("""COMPUTED_VALUE"""),"دكتور كلاودر أفضل خيار الكبار لحم الضأن والأرز 4 كجم")</f>
        <v>دكتور كلاودر أفضل خيار الكبار لحم الضأن والأرز 4 كجم</v>
      </c>
      <c r="H1495" s="133" t="str">
        <f>IFERROR(__xludf.DUMMYFUNCTION("""COMPUTED_VALUE"""),"MAFE20235062")</f>
        <v>MAFE20235062</v>
      </c>
      <c r="I1495" s="133"/>
      <c r="J1495" s="133"/>
      <c r="K1495" s="133" t="str">
        <f>IFERROR(__xludf.DUMMYFUNCTION("""COMPUTED_VALUE"""),"شركة حلول د. كلودر للحيوانات الأليفة محدودة المسؤولية")</f>
        <v>شركة حلول د. كلودر للحيوانات الأليفة محدودة المسؤولية</v>
      </c>
      <c r="L1495" s="142" t="str">
        <f>IFERROR(__xludf.DUMMYFUNCTION("""COMPUTED_VALUE"""),"33050400")</f>
        <v>33050400</v>
      </c>
      <c r="M1495" s="133"/>
      <c r="N1495" s="133"/>
      <c r="O1495" s="133"/>
      <c r="P1495" s="133"/>
      <c r="Q1495" s="133"/>
      <c r="R1495" s="133"/>
      <c r="S1495" s="133"/>
      <c r="T1495" s="133"/>
      <c r="U1495" s="133"/>
      <c r="V1495" s="133"/>
      <c r="W1495" s="133"/>
      <c r="X1495" s="133"/>
      <c r="Y1495" s="133"/>
      <c r="Z1495" s="133"/>
    </row>
    <row r="1496">
      <c r="A1496" s="133">
        <f>IFERROR(__xludf.DUMMYFUNCTION("""COMPUTED_VALUE"""),1496.0)</f>
        <v>1496</v>
      </c>
      <c r="B1496" s="133" t="str">
        <f>IFERROR(__xludf.DUMMYFUNCTION("""COMPUTED_VALUE"""),"33051250")</f>
        <v>33051250</v>
      </c>
      <c r="C1496" s="133" t="str">
        <f>IFERROR(__xludf.DUMMYFUNCTION("""COMPUTED_VALUE"""),"P-1-N-051223-7414")</f>
        <v>P-1-N-051223-7414</v>
      </c>
      <c r="D1496" s="133"/>
      <c r="E1496" s="133" t="str">
        <f>IFERROR(__xludf.DUMMYFUNCTION("""COMPUTED_VALUE"""),"تمت طباعة الشهادة")</f>
        <v>تمت طباعة الشهادة</v>
      </c>
      <c r="F1496" s="133" t="str">
        <f>IFERROR(__xludf.DUMMYFUNCTION("""COMPUTED_VALUE"""),"Dr. Clauder’s Best Choice Adult Lamm &amp; Reis 12.5 kg")</f>
        <v>Dr. Clauder’s Best Choice Adult Lamm &amp; Reis 12.5 kg</v>
      </c>
      <c r="G1496" s="133" t="str">
        <f>IFERROR(__xludf.DUMMYFUNCTION("""COMPUTED_VALUE"""),"دكتور كلاودر أفضل خيار الكبار لحم الضأن والأرز 12.5 كجم")</f>
        <v>دكتور كلاودر أفضل خيار الكبار لحم الضأن والأرز 12.5 كجم</v>
      </c>
      <c r="H1496" s="133" t="str">
        <f>IFERROR(__xludf.DUMMYFUNCTION("""COMPUTED_VALUE"""),"MAFE20235014")</f>
        <v>MAFE20235014</v>
      </c>
      <c r="I1496" s="133"/>
      <c r="J1496" s="133"/>
      <c r="K1496" s="133" t="str">
        <f>IFERROR(__xludf.DUMMYFUNCTION("""COMPUTED_VALUE"""),"شركة حلول د. كلودر للحيوانات الأليفة محدودة المسؤولية")</f>
        <v>شركة حلول د. كلودر للحيوانات الأليفة محدودة المسؤولية</v>
      </c>
      <c r="L1496" s="142" t="str">
        <f>IFERROR(__xludf.DUMMYFUNCTION("""COMPUTED_VALUE"""),"33051250")</f>
        <v>33051250</v>
      </c>
      <c r="M1496" s="133"/>
      <c r="N1496" s="133"/>
      <c r="O1496" s="133"/>
      <c r="P1496" s="133"/>
      <c r="Q1496" s="133"/>
      <c r="R1496" s="133"/>
      <c r="S1496" s="133"/>
      <c r="T1496" s="133"/>
      <c r="U1496" s="133"/>
      <c r="V1496" s="133"/>
      <c r="W1496" s="133"/>
      <c r="X1496" s="133"/>
      <c r="Y1496" s="133"/>
      <c r="Z1496" s="133"/>
    </row>
    <row r="1497">
      <c r="A1497" s="133">
        <f>IFERROR(__xludf.DUMMYFUNCTION("""COMPUTED_VALUE"""),1497.0)</f>
        <v>1497</v>
      </c>
      <c r="B1497" s="133" t="str">
        <f>IFERROR(__xludf.DUMMYFUNCTION("""COMPUTED_VALUE"""),"33140400")</f>
        <v>33140400</v>
      </c>
      <c r="C1497" s="133" t="str">
        <f>IFERROR(__xludf.DUMMYFUNCTION("""COMPUTED_VALUE"""),"P-1-N-051223-7415")</f>
        <v>P-1-N-051223-7415</v>
      </c>
      <c r="D1497" s="133"/>
      <c r="E1497" s="133" t="str">
        <f>IFERROR(__xludf.DUMMYFUNCTION("""COMPUTED_VALUE"""),"تمت طباعة الشهادة")</f>
        <v>تمت طباعة الشهادة</v>
      </c>
      <c r="F1497" s="133" t="str">
        <f>IFERROR(__xludf.DUMMYFUNCTION("""COMPUTED_VALUE"""),"Dr. Clauder’s Best Choice Junior Lamm &amp; Reis 4 kg")</f>
        <v>Dr. Clauder’s Best Choice Junior Lamm &amp; Reis 4 kg</v>
      </c>
      <c r="G1497" s="133" t="str">
        <f>IFERROR(__xludf.DUMMYFUNCTION("""COMPUTED_VALUE"""),"دكتور كلاودر أفضل خيار جونيور لحم الضأن والأرز 4 كجم")</f>
        <v>دكتور كلاودر أفضل خيار جونيور لحم الضأن والأرز 4 كجم</v>
      </c>
      <c r="H1497" s="133" t="str">
        <f>IFERROR(__xludf.DUMMYFUNCTION("""COMPUTED_VALUE"""),"MAFE20235061")</f>
        <v>MAFE20235061</v>
      </c>
      <c r="I1497" s="133"/>
      <c r="J1497" s="133"/>
      <c r="K1497" s="133" t="str">
        <f>IFERROR(__xludf.DUMMYFUNCTION("""COMPUTED_VALUE"""),"شركة حلول د. كلودر للحيوانات الأليفة محدودة المسؤولية")</f>
        <v>شركة حلول د. كلودر للحيوانات الأليفة محدودة المسؤولية</v>
      </c>
      <c r="L1497" s="142" t="str">
        <f>IFERROR(__xludf.DUMMYFUNCTION("""COMPUTED_VALUE"""),"33140400")</f>
        <v>33140400</v>
      </c>
      <c r="M1497" s="133"/>
      <c r="N1497" s="133"/>
      <c r="O1497" s="133"/>
      <c r="P1497" s="133"/>
      <c r="Q1497" s="133"/>
      <c r="R1497" s="133"/>
      <c r="S1497" s="133"/>
      <c r="T1497" s="133"/>
      <c r="U1497" s="133"/>
      <c r="V1497" s="133"/>
      <c r="W1497" s="133"/>
      <c r="X1497" s="133"/>
      <c r="Y1497" s="133"/>
      <c r="Z1497" s="133"/>
    </row>
    <row r="1498">
      <c r="A1498" s="133">
        <f>IFERROR(__xludf.DUMMYFUNCTION("""COMPUTED_VALUE"""),1498.0)</f>
        <v>1498</v>
      </c>
      <c r="B1498" s="133"/>
      <c r="C1498" s="133" t="str">
        <f>IFERROR(__xludf.DUMMYFUNCTION("""COMPUTED_VALUE"""),"P-1-N-051223-7416")</f>
        <v>P-1-N-051223-7416</v>
      </c>
      <c r="D1498" s="133"/>
      <c r="E1498" s="133" t="str">
        <f>IFERROR(__xludf.DUMMYFUNCTION("""COMPUTED_VALUE"""),"تمت طباعة الشهادة")</f>
        <v>تمت طباعة الشهادة</v>
      </c>
      <c r="F1498" s="133" t="str">
        <f>IFERROR(__xludf.DUMMYFUNCTION("""COMPUTED_VALUE"""),"Dr. Clauder’s Best Choice Junior Lamm &amp; Reis 12.5 kg")</f>
        <v>Dr. Clauder’s Best Choice Junior Lamm &amp; Reis 12.5 kg</v>
      </c>
      <c r="G1498" s="133" t="str">
        <f>IFERROR(__xludf.DUMMYFUNCTION("""COMPUTED_VALUE"""),"دكتور كلاودر أفضل خيار جونيور لحم الضأن والأرز 12.5 كجم")</f>
        <v>دكتور كلاودر أفضل خيار جونيور لحم الضأن والأرز 12.5 كجم</v>
      </c>
      <c r="H1498" s="133" t="str">
        <f>IFERROR(__xludf.DUMMYFUNCTION("""COMPUTED_VALUE"""),"MAFE20235060")</f>
        <v>MAFE20235060</v>
      </c>
      <c r="I1498" s="133"/>
      <c r="J1498" s="133"/>
      <c r="K1498" s="133" t="str">
        <f>IFERROR(__xludf.DUMMYFUNCTION("""COMPUTED_VALUE"""),"شركة حلول د. كلودر للحيوانات الأليفة محدودة المسؤولية")</f>
        <v>شركة حلول د. كلودر للحيوانات الأليفة محدودة المسؤولية</v>
      </c>
      <c r="L1498" s="133"/>
      <c r="M1498" s="133"/>
      <c r="N1498" s="133"/>
      <c r="O1498" s="133"/>
      <c r="P1498" s="133"/>
      <c r="Q1498" s="133"/>
      <c r="R1498" s="133"/>
      <c r="S1498" s="133"/>
      <c r="T1498" s="133"/>
      <c r="U1498" s="133"/>
      <c r="V1498" s="133"/>
      <c r="W1498" s="133"/>
      <c r="X1498" s="133"/>
      <c r="Y1498" s="133"/>
      <c r="Z1498" s="133"/>
    </row>
    <row r="1499">
      <c r="A1499" s="133">
        <f>IFERROR(__xludf.DUMMYFUNCTION("""COMPUTED_VALUE"""),1499.0)</f>
        <v>1499</v>
      </c>
      <c r="B1499" s="133"/>
      <c r="C1499" s="133" t="str">
        <f>IFERROR(__xludf.DUMMYFUNCTION("""COMPUTED_VALUE"""),"P-1-N-051223-7417")</f>
        <v>P-1-N-051223-7417</v>
      </c>
      <c r="D1499" s="133"/>
      <c r="E1499" s="133" t="str">
        <f>IFERROR(__xludf.DUMMYFUNCTION("""COMPUTED_VALUE"""),"تمت طباعة الشهادة")</f>
        <v>تمت طباعة الشهادة</v>
      </c>
      <c r="F1499" s="133" t="str">
        <f>IFERROR(__xludf.DUMMYFUNCTION("""COMPUTED_VALUE"""),"Dr. Clauder’s Ente&amp;Kartoffel 11.5 kg")</f>
        <v>Dr. Clauder’s Ente&amp;Kartoffel 11.5 kg</v>
      </c>
      <c r="G1499" s="133" t="str">
        <f>IFERROR(__xludf.DUMMYFUNCTION("""COMPUTED_VALUE"""),"دكتور كلاودر بط وبطاطس 11.5 كجم")</f>
        <v>دكتور كلاودر بط وبطاطس 11.5 كجم</v>
      </c>
      <c r="H1499" s="133" t="str">
        <f>IFERROR(__xludf.DUMMYFUNCTION("""COMPUTED_VALUE"""),"MAFE20235013")</f>
        <v>MAFE20235013</v>
      </c>
      <c r="I1499" s="133"/>
      <c r="J1499" s="133"/>
      <c r="K1499" s="133" t="str">
        <f>IFERROR(__xludf.DUMMYFUNCTION("""COMPUTED_VALUE"""),"شركة حلول د. كلودر للحيوانات الأليفة محدودة المسؤولية")</f>
        <v>شركة حلول د. كلودر للحيوانات الأليفة محدودة المسؤولية</v>
      </c>
      <c r="L1499" s="133"/>
      <c r="M1499" s="133"/>
      <c r="N1499" s="133"/>
      <c r="O1499" s="133"/>
      <c r="P1499" s="133"/>
      <c r="Q1499" s="133"/>
      <c r="R1499" s="133"/>
      <c r="S1499" s="133"/>
      <c r="T1499" s="133"/>
      <c r="U1499" s="133"/>
      <c r="V1499" s="133"/>
      <c r="W1499" s="133"/>
      <c r="X1499" s="133"/>
      <c r="Y1499" s="133"/>
      <c r="Z1499" s="133"/>
    </row>
    <row r="1500">
      <c r="A1500" s="133">
        <f>IFERROR(__xludf.DUMMYFUNCTION("""COMPUTED_VALUE"""),1500.0)</f>
        <v>1500</v>
      </c>
      <c r="B1500" s="133" t="str">
        <f>IFERROR(__xludf.DUMMYFUNCTION("""COMPUTED_VALUE"""),"33210200")</f>
        <v>33210200</v>
      </c>
      <c r="C1500" s="133" t="str">
        <f>IFERROR(__xludf.DUMMYFUNCTION("""COMPUTED_VALUE"""),"P-1-N-051223-7418")</f>
        <v>P-1-N-051223-7418</v>
      </c>
      <c r="D1500" s="133"/>
      <c r="E1500" s="133" t="str">
        <f>IFERROR(__xludf.DUMMYFUNCTION("""COMPUTED_VALUE"""),"تمت طباعة الشهادة")</f>
        <v>تمت طباعة الشهادة</v>
      </c>
      <c r="F1500" s="133" t="str">
        <f>IFERROR(__xludf.DUMMYFUNCTION("""COMPUTED_VALUE"""),"Dr. Clauder’s Mini Ente&amp;Kartoffel 2 kg")</f>
        <v>Dr. Clauder’s Mini Ente&amp;Kartoffel 2 kg</v>
      </c>
      <c r="G1500" s="133" t="str">
        <f>IFERROR(__xludf.DUMMYFUNCTION("""COMPUTED_VALUE"""),"دكتور كلاودر ميني بط وبطاطس 2 كجم")</f>
        <v>دكتور كلاودر ميني بط وبطاطس 2 كجم</v>
      </c>
      <c r="H1500" s="133" t="str">
        <f>IFERROR(__xludf.DUMMYFUNCTION("""COMPUTED_VALUE"""),"MAFE20235012")</f>
        <v>MAFE20235012</v>
      </c>
      <c r="I1500" s="133"/>
      <c r="J1500" s="133"/>
      <c r="K1500" s="133" t="str">
        <f>IFERROR(__xludf.DUMMYFUNCTION("""COMPUTED_VALUE"""),"شركة حلول د. كلودر للحيوانات الأليفة محدودة المسؤولية")</f>
        <v>شركة حلول د. كلودر للحيوانات الأليفة محدودة المسؤولية</v>
      </c>
      <c r="L1500" s="142" t="str">
        <f>IFERROR(__xludf.DUMMYFUNCTION("""COMPUTED_VALUE"""),"33210200")</f>
        <v>33210200</v>
      </c>
      <c r="M1500" s="133"/>
      <c r="N1500" s="133"/>
      <c r="O1500" s="133"/>
      <c r="P1500" s="133"/>
      <c r="Q1500" s="133"/>
      <c r="R1500" s="133"/>
      <c r="S1500" s="133"/>
      <c r="T1500" s="133"/>
      <c r="U1500" s="133"/>
      <c r="V1500" s="133"/>
      <c r="W1500" s="133"/>
      <c r="X1500" s="133"/>
      <c r="Y1500" s="133"/>
      <c r="Z1500" s="133"/>
    </row>
    <row r="1501">
      <c r="A1501" s="133">
        <f>IFERROR(__xludf.DUMMYFUNCTION("""COMPUTED_VALUE"""),1501.0)</f>
        <v>1501</v>
      </c>
      <c r="B1501" s="133"/>
      <c r="C1501" s="133" t="str">
        <f>IFERROR(__xludf.DUMMYFUNCTION("""COMPUTED_VALUE"""),"P-1-N-051223-7419")</f>
        <v>P-1-N-051223-7419</v>
      </c>
      <c r="D1501" s="133"/>
      <c r="E1501" s="133" t="str">
        <f>IFERROR(__xludf.DUMMYFUNCTION("""COMPUTED_VALUE"""),"تمت طباعة الشهادة")</f>
        <v>تمت طباعة الشهادة</v>
      </c>
      <c r="F1501" s="133" t="str">
        <f>IFERROR(__xludf.DUMMYFUNCTION("""COMPUTED_VALUE"""),"Dr. Clauder’s Mini Ente&amp;Kartoffel 12.5 kg")</f>
        <v>Dr. Clauder’s Mini Ente&amp;Kartoffel 12.5 kg</v>
      </c>
      <c r="G1501" s="133" t="str">
        <f>IFERROR(__xludf.DUMMYFUNCTION("""COMPUTED_VALUE"""),"دكتور كلاودر ميني بط وبطاطس 12.5 كجم")</f>
        <v>دكتور كلاودر ميني بط وبطاطس 12.5 كجم</v>
      </c>
      <c r="H1501" s="133" t="str">
        <f>IFERROR(__xludf.DUMMYFUNCTION("""COMPUTED_VALUE"""),"MAFE20235011")</f>
        <v>MAFE20235011</v>
      </c>
      <c r="I1501" s="133"/>
      <c r="J1501" s="133"/>
      <c r="K1501" s="133" t="str">
        <f>IFERROR(__xludf.DUMMYFUNCTION("""COMPUTED_VALUE"""),"شركة حلول د. كلودر للحيوانات الأليفة محدودة المسؤولية")</f>
        <v>شركة حلول د. كلودر للحيوانات الأليفة محدودة المسؤولية</v>
      </c>
      <c r="L1501" s="133"/>
      <c r="M1501" s="133"/>
      <c r="N1501" s="133"/>
      <c r="O1501" s="133"/>
      <c r="P1501" s="133"/>
      <c r="Q1501" s="133"/>
      <c r="R1501" s="133"/>
      <c r="S1501" s="133"/>
      <c r="T1501" s="133"/>
      <c r="U1501" s="133"/>
      <c r="V1501" s="133"/>
      <c r="W1501" s="133"/>
      <c r="X1501" s="133"/>
      <c r="Y1501" s="133"/>
      <c r="Z1501" s="133"/>
    </row>
    <row r="1502">
      <c r="A1502" s="133">
        <f>IFERROR(__xludf.DUMMYFUNCTION("""COMPUTED_VALUE"""),1502.0)</f>
        <v>1502</v>
      </c>
      <c r="B1502" s="133"/>
      <c r="C1502" s="133" t="str">
        <f>IFERROR(__xludf.DUMMYFUNCTION("""COMPUTED_VALUE"""),"P-1-N-051223-7421")</f>
        <v>P-1-N-051223-7421</v>
      </c>
      <c r="D1502" s="133"/>
      <c r="E1502" s="133" t="str">
        <f>IFERROR(__xludf.DUMMYFUNCTION("""COMPUTED_VALUE"""),"تمت طباعة الشهادة")</f>
        <v>تمت طباعة الشهادة</v>
      </c>
      <c r="F1502" s="133" t="str">
        <f>IFERROR(__xludf.DUMMYFUNCTION("""COMPUTED_VALUE"""),"Dr. Clauder’s Wildlife Ente 2 kg")</f>
        <v>Dr. Clauder’s Wildlife Ente 2 kg</v>
      </c>
      <c r="G1502" s="133" t="str">
        <f>IFERROR(__xludf.DUMMYFUNCTION("""COMPUTED_VALUE"""),"دكتور كلاودر وايلد لايف بط 2 كجم")</f>
        <v>دكتور كلاودر وايلد لايف بط 2 كجم</v>
      </c>
      <c r="H1502" s="133" t="str">
        <f>IFERROR(__xludf.DUMMYFUNCTION("""COMPUTED_VALUE"""),"MAFE20235010")</f>
        <v>MAFE20235010</v>
      </c>
      <c r="I1502" s="133"/>
      <c r="J1502" s="133"/>
      <c r="K1502" s="133" t="str">
        <f>IFERROR(__xludf.DUMMYFUNCTION("""COMPUTED_VALUE"""),"شركة حلول د. كلودر للحيوانات الأليفة محدودة المسؤولية")</f>
        <v>شركة حلول د. كلودر للحيوانات الأليفة محدودة المسؤولية</v>
      </c>
      <c r="L1502" s="133"/>
      <c r="M1502" s="133"/>
      <c r="N1502" s="133"/>
      <c r="O1502" s="133"/>
      <c r="P1502" s="133"/>
      <c r="Q1502" s="133"/>
      <c r="R1502" s="133"/>
      <c r="S1502" s="133"/>
      <c r="T1502" s="133"/>
      <c r="U1502" s="133"/>
      <c r="V1502" s="133"/>
      <c r="W1502" s="133"/>
      <c r="X1502" s="133"/>
      <c r="Y1502" s="133"/>
      <c r="Z1502" s="133"/>
    </row>
    <row r="1503">
      <c r="A1503" s="133">
        <f>IFERROR(__xludf.DUMMYFUNCTION("""COMPUTED_VALUE"""),1503.0)</f>
        <v>1503</v>
      </c>
      <c r="B1503" s="133" t="str">
        <f>IFERROR(__xludf.DUMMYFUNCTION("""COMPUTED_VALUE"""),"34421150")</f>
        <v>34421150</v>
      </c>
      <c r="C1503" s="133" t="str">
        <f>IFERROR(__xludf.DUMMYFUNCTION("""COMPUTED_VALUE"""),"P-1-N-051223-7422")</f>
        <v>P-1-N-051223-7422</v>
      </c>
      <c r="D1503" s="133"/>
      <c r="E1503" s="133" t="str">
        <f>IFERROR(__xludf.DUMMYFUNCTION("""COMPUTED_VALUE"""),"تمت طباعة الشهادة")</f>
        <v>تمت طباعة الشهادة</v>
      </c>
      <c r="F1503" s="133" t="str">
        <f>IFERROR(__xludf.DUMMYFUNCTION("""COMPUTED_VALUE"""),"Dr. Clauder’s Wildlife Ente 11.5 kg")</f>
        <v>Dr. Clauder’s Wildlife Ente 11.5 kg</v>
      </c>
      <c r="G1503" s="133" t="str">
        <f>IFERROR(__xludf.DUMMYFUNCTION("""COMPUTED_VALUE"""),"دكتور كلاودر وايلد لايف بط 11.5 كجم")</f>
        <v>دكتور كلاودر وايلد لايف بط 11.5 كجم</v>
      </c>
      <c r="H1503" s="133" t="str">
        <f>IFERROR(__xludf.DUMMYFUNCTION("""COMPUTED_VALUE"""),"MAFE20235009")</f>
        <v>MAFE20235009</v>
      </c>
      <c r="I1503" s="133"/>
      <c r="J1503" s="133"/>
      <c r="K1503" s="133" t="str">
        <f>IFERROR(__xludf.DUMMYFUNCTION("""COMPUTED_VALUE"""),"شركة حلول د. كلودر للحيوانات الأليفة محدودة المسؤولية")</f>
        <v>شركة حلول د. كلودر للحيوانات الأليفة محدودة المسؤولية</v>
      </c>
      <c r="L1503" s="142" t="str">
        <f>IFERROR(__xludf.DUMMYFUNCTION("""COMPUTED_VALUE"""),"34421150")</f>
        <v>34421150</v>
      </c>
      <c r="M1503" s="133"/>
      <c r="N1503" s="133"/>
      <c r="O1503" s="133"/>
      <c r="P1503" s="133"/>
      <c r="Q1503" s="133"/>
      <c r="R1503" s="133"/>
      <c r="S1503" s="133"/>
      <c r="T1503" s="133"/>
      <c r="U1503" s="133"/>
      <c r="V1503" s="133"/>
      <c r="W1503" s="133"/>
      <c r="X1503" s="133"/>
      <c r="Y1503" s="133"/>
      <c r="Z1503" s="133"/>
    </row>
    <row r="1504">
      <c r="A1504" s="133">
        <f>IFERROR(__xludf.DUMMYFUNCTION("""COMPUTED_VALUE"""),1504.0)</f>
        <v>1504</v>
      </c>
      <c r="B1504" s="133" t="str">
        <f>IFERROR(__xludf.DUMMYFUNCTION("""COMPUTED_VALUE"""),"34410200")</f>
        <v>34410200</v>
      </c>
      <c r="C1504" s="133" t="str">
        <f>IFERROR(__xludf.DUMMYFUNCTION("""COMPUTED_VALUE"""),"P-1-N-051223-7423")</f>
        <v>P-1-N-051223-7423</v>
      </c>
      <c r="D1504" s="133"/>
      <c r="E1504" s="133" t="str">
        <f>IFERROR(__xludf.DUMMYFUNCTION("""COMPUTED_VALUE"""),"تمت طباعة الشهادة")</f>
        <v>تمت طباعة الشهادة</v>
      </c>
      <c r="F1504" s="133" t="str">
        <f>IFERROR(__xludf.DUMMYFUNCTION("""COMPUTED_VALUE"""),"Dr. Clauder’s Wildlife Lamm 2 kg")</f>
        <v>Dr. Clauder’s Wildlife Lamm 2 kg</v>
      </c>
      <c r="G1504" s="133" t="str">
        <f>IFERROR(__xludf.DUMMYFUNCTION("""COMPUTED_VALUE"""),"دكتور كلاودر وايلد لايف لحم ضأن 2 كجم")</f>
        <v>دكتور كلاودر وايلد لايف لحم ضأن 2 كجم</v>
      </c>
      <c r="H1504" s="133" t="str">
        <f>IFERROR(__xludf.DUMMYFUNCTION("""COMPUTED_VALUE"""),"MAFE20235008")</f>
        <v>MAFE20235008</v>
      </c>
      <c r="I1504" s="133"/>
      <c r="J1504" s="133"/>
      <c r="K1504" s="133" t="str">
        <f>IFERROR(__xludf.DUMMYFUNCTION("""COMPUTED_VALUE"""),"شركة حلول د. كلودر للحيوانات الأليفة محدودة المسؤولية")</f>
        <v>شركة حلول د. كلودر للحيوانات الأليفة محدودة المسؤولية</v>
      </c>
      <c r="L1504" s="142" t="str">
        <f>IFERROR(__xludf.DUMMYFUNCTION("""COMPUTED_VALUE"""),"34410200")</f>
        <v>34410200</v>
      </c>
      <c r="M1504" s="133"/>
      <c r="N1504" s="133"/>
      <c r="O1504" s="133"/>
      <c r="P1504" s="133"/>
      <c r="Q1504" s="133"/>
      <c r="R1504" s="133"/>
      <c r="S1504" s="133"/>
      <c r="T1504" s="133"/>
      <c r="U1504" s="133"/>
      <c r="V1504" s="133"/>
      <c r="W1504" s="133"/>
      <c r="X1504" s="133"/>
      <c r="Y1504" s="133"/>
      <c r="Z1504" s="133"/>
    </row>
    <row r="1505">
      <c r="A1505" s="133">
        <f>IFERROR(__xludf.DUMMYFUNCTION("""COMPUTED_VALUE"""),1505.0)</f>
        <v>1505</v>
      </c>
      <c r="B1505" s="133" t="str">
        <f>IFERROR(__xludf.DUMMYFUNCTION("""COMPUTED_VALUE"""),"34411150")</f>
        <v>34411150</v>
      </c>
      <c r="C1505" s="133" t="str">
        <f>IFERROR(__xludf.DUMMYFUNCTION("""COMPUTED_VALUE"""),"P-1-N-051223-7424")</f>
        <v>P-1-N-051223-7424</v>
      </c>
      <c r="D1505" s="133"/>
      <c r="E1505" s="133" t="str">
        <f>IFERROR(__xludf.DUMMYFUNCTION("""COMPUTED_VALUE"""),"تمت طباعة الشهادة")</f>
        <v>تمت طباعة الشهادة</v>
      </c>
      <c r="F1505" s="133" t="str">
        <f>IFERROR(__xludf.DUMMYFUNCTION("""COMPUTED_VALUE"""),"Dr. Clauder’s Wildlife Lamm 11.5 kg")</f>
        <v>Dr. Clauder’s Wildlife Lamm 11.5 kg</v>
      </c>
      <c r="G1505" s="133" t="str">
        <f>IFERROR(__xludf.DUMMYFUNCTION("""COMPUTED_VALUE"""),"دكتور كلاودر وايلد لايف لحم ضأن 11.5 كجم")</f>
        <v>دكتور كلاودر وايلد لايف لحم ضأن 11.5 كجم</v>
      </c>
      <c r="H1505" s="133" t="str">
        <f>IFERROR(__xludf.DUMMYFUNCTION("""COMPUTED_VALUE"""),"MAFE20235007")</f>
        <v>MAFE20235007</v>
      </c>
      <c r="I1505" s="133"/>
      <c r="J1505" s="133"/>
      <c r="K1505" s="133" t="str">
        <f>IFERROR(__xludf.DUMMYFUNCTION("""COMPUTED_VALUE"""),"شركة حلول د. كلودر للحيوانات الأليفة محدودة المسؤولية")</f>
        <v>شركة حلول د. كلودر للحيوانات الأليفة محدودة المسؤولية</v>
      </c>
      <c r="L1505" s="142" t="str">
        <f>IFERROR(__xludf.DUMMYFUNCTION("""COMPUTED_VALUE"""),"34411150")</f>
        <v>34411150</v>
      </c>
      <c r="M1505" s="133"/>
      <c r="N1505" s="133"/>
      <c r="O1505" s="133"/>
      <c r="P1505" s="133"/>
      <c r="Q1505" s="133"/>
      <c r="R1505" s="133"/>
      <c r="S1505" s="133"/>
      <c r="T1505" s="133"/>
      <c r="U1505" s="133"/>
      <c r="V1505" s="133"/>
      <c r="W1505" s="133"/>
      <c r="X1505" s="133"/>
      <c r="Y1505" s="133"/>
      <c r="Z1505" s="133"/>
    </row>
    <row r="1506">
      <c r="A1506" s="133">
        <f>IFERROR(__xludf.DUMMYFUNCTION("""COMPUTED_VALUE"""),1506.0)</f>
        <v>1506</v>
      </c>
      <c r="B1506" s="133" t="str">
        <f>IFERROR(__xludf.DUMMYFUNCTION("""COMPUTED_VALUE"""),"33321000")</f>
        <v>33321000</v>
      </c>
      <c r="C1506" s="133" t="str">
        <f>IFERROR(__xludf.DUMMYFUNCTION("""COMPUTED_VALUE"""),"P-1-N-051223-7425")</f>
        <v>P-1-N-051223-7425</v>
      </c>
      <c r="D1506" s="133"/>
      <c r="E1506" s="133" t="str">
        <f>IFERROR(__xludf.DUMMYFUNCTION("""COMPUTED_VALUE"""),"تمت طباعة الشهادة")</f>
        <v>تمت طباعة الشهادة</v>
      </c>
      <c r="F1506" s="133" t="str">
        <f>IFERROR(__xludf.DUMMYFUNCTION("""COMPUTED_VALUE"""),"Dr. Clauder’s Diät FSD Haar &amp; Hautdiät 1 kg")</f>
        <v>Dr. Clauder’s Diät FSD Haar &amp; Hautdiät 1 kg</v>
      </c>
      <c r="G1506" s="133" t="str">
        <f>IFERROR(__xludf.DUMMYFUNCTION("""COMPUTED_VALUE"""),"دكتور كلاودر النظام الغذائي للفرو والجلد 1 كجم")</f>
        <v>دكتور كلاودر النظام الغذائي للفرو والجلد 1 كجم</v>
      </c>
      <c r="H1506" s="133" t="str">
        <f>IFERROR(__xludf.DUMMYFUNCTION("""COMPUTED_VALUE"""),"MAFE20235006")</f>
        <v>MAFE20235006</v>
      </c>
      <c r="I1506" s="133"/>
      <c r="J1506" s="133"/>
      <c r="K1506" s="133" t="str">
        <f>IFERROR(__xludf.DUMMYFUNCTION("""COMPUTED_VALUE"""),"شركة حلول د. كلودر للحيوانات الأليفة محدودة المسؤولية")</f>
        <v>شركة حلول د. كلودر للحيوانات الأليفة محدودة المسؤولية</v>
      </c>
      <c r="L1506" s="142" t="str">
        <f>IFERROR(__xludf.DUMMYFUNCTION("""COMPUTED_VALUE"""),"33321000")</f>
        <v>33321000</v>
      </c>
      <c r="M1506" s="133"/>
      <c r="N1506" s="133"/>
      <c r="O1506" s="133"/>
      <c r="P1506" s="133"/>
      <c r="Q1506" s="133"/>
      <c r="R1506" s="133"/>
      <c r="S1506" s="133"/>
      <c r="T1506" s="133"/>
      <c r="U1506" s="133"/>
      <c r="V1506" s="133"/>
      <c r="W1506" s="133"/>
      <c r="X1506" s="133"/>
      <c r="Y1506" s="133"/>
      <c r="Z1506" s="133"/>
    </row>
    <row r="1507">
      <c r="A1507" s="133">
        <f>IFERROR(__xludf.DUMMYFUNCTION("""COMPUTED_VALUE"""),1507.0)</f>
        <v>1507</v>
      </c>
      <c r="B1507" s="133" t="str">
        <f>IFERROR(__xludf.DUMMYFUNCTION("""COMPUTED_VALUE"""),"33324000")</f>
        <v>33324000</v>
      </c>
      <c r="C1507" s="133" t="str">
        <f>IFERROR(__xludf.DUMMYFUNCTION("""COMPUTED_VALUE"""),"P-1-N-051223-7426")</f>
        <v>P-1-N-051223-7426</v>
      </c>
      <c r="D1507" s="133"/>
      <c r="E1507" s="133" t="str">
        <f>IFERROR(__xludf.DUMMYFUNCTION("""COMPUTED_VALUE"""),"تمت طباعة الشهادة")</f>
        <v>تمت طباعة الشهادة</v>
      </c>
      <c r="F1507" s="133" t="str">
        <f>IFERROR(__xludf.DUMMYFUNCTION("""COMPUTED_VALUE"""),"Dr. Clauder’s Diät FSD Haar &amp; Hautdiät 4 kg")</f>
        <v>Dr. Clauder’s Diät FSD Haar &amp; Hautdiät 4 kg</v>
      </c>
      <c r="G1507" s="133" t="str">
        <f>IFERROR(__xludf.DUMMYFUNCTION("""COMPUTED_VALUE"""),"دكتور كلاودر النظام الغذائي للفرو والجلد 4 كجم")</f>
        <v>دكتور كلاودر النظام الغذائي للفرو والجلد 4 كجم</v>
      </c>
      <c r="H1507" s="133" t="str">
        <f>IFERROR(__xludf.DUMMYFUNCTION("""COMPUTED_VALUE"""),"MAFE20235005")</f>
        <v>MAFE20235005</v>
      </c>
      <c r="I1507" s="133"/>
      <c r="J1507" s="133"/>
      <c r="K1507" s="133" t="str">
        <f>IFERROR(__xludf.DUMMYFUNCTION("""COMPUTED_VALUE"""),"شركة حلول د. كلودر للحيوانات الأليفة محدودة المسؤولية")</f>
        <v>شركة حلول د. كلودر للحيوانات الأليفة محدودة المسؤولية</v>
      </c>
      <c r="L1507" s="142" t="str">
        <f>IFERROR(__xludf.DUMMYFUNCTION("""COMPUTED_VALUE"""),"33324000")</f>
        <v>33324000</v>
      </c>
      <c r="M1507" s="133"/>
      <c r="N1507" s="133"/>
      <c r="O1507" s="133"/>
      <c r="P1507" s="133"/>
      <c r="Q1507" s="133"/>
      <c r="R1507" s="133"/>
      <c r="S1507" s="133"/>
      <c r="T1507" s="133"/>
      <c r="U1507" s="133"/>
      <c r="V1507" s="133"/>
      <c r="W1507" s="133"/>
      <c r="X1507" s="133"/>
      <c r="Y1507" s="133"/>
      <c r="Z1507" s="133"/>
    </row>
    <row r="1508">
      <c r="A1508" s="133">
        <f>IFERROR(__xludf.DUMMYFUNCTION("""COMPUTED_VALUE"""),1508.0)</f>
        <v>1508</v>
      </c>
      <c r="B1508" s="133" t="str">
        <f>IFERROR(__xludf.DUMMYFUNCTION("""COMPUTED_VALUE"""),"31444015")</f>
        <v>31444015</v>
      </c>
      <c r="C1508" s="133" t="str">
        <f>IFERROR(__xludf.DUMMYFUNCTION("""COMPUTED_VALUE"""),"P-1-N-051223-7427")</f>
        <v>P-1-N-051223-7427</v>
      </c>
      <c r="D1508" s="133"/>
      <c r="E1508" s="133" t="str">
        <f>IFERROR(__xludf.DUMMYFUNCTION("""COMPUTED_VALUE"""),"تمت طباعة الشهادة")</f>
        <v>تمت طباعة الشهادة</v>
      </c>
      <c r="F1508" s="133" t="str">
        <f>IFERROR(__xludf.DUMMYFUNCTION("""COMPUTED_VALUE"""),"Dr. Clauder’s High Premium Junior 15 kg")</f>
        <v>Dr. Clauder’s High Premium Junior 15 kg</v>
      </c>
      <c r="G1508" s="133" t="str">
        <f>IFERROR(__xludf.DUMMYFUNCTION("""COMPUTED_VALUE"""),"دكتور كلاودر هاي بريميوم جونيور 15 كجم")</f>
        <v>دكتور كلاودر هاي بريميوم جونيور 15 كجم</v>
      </c>
      <c r="H1508" s="133" t="str">
        <f>IFERROR(__xludf.DUMMYFUNCTION("""COMPUTED_VALUE"""),"MAFE20235004")</f>
        <v>MAFE20235004</v>
      </c>
      <c r="I1508" s="133"/>
      <c r="J1508" s="133"/>
      <c r="K1508" s="133" t="str">
        <f>IFERROR(__xludf.DUMMYFUNCTION("""COMPUTED_VALUE"""),"شركة حلول د. كلودر للحيوانات الأليفة محدودة المسؤولية")</f>
        <v>شركة حلول د. كلودر للحيوانات الأليفة محدودة المسؤولية</v>
      </c>
      <c r="L1508" s="142" t="str">
        <f>IFERROR(__xludf.DUMMYFUNCTION("""COMPUTED_VALUE"""),"31444015")</f>
        <v>31444015</v>
      </c>
      <c r="M1508" s="133"/>
      <c r="N1508" s="133"/>
      <c r="O1508" s="133"/>
      <c r="P1508" s="133"/>
      <c r="Q1508" s="133"/>
      <c r="R1508" s="133"/>
      <c r="S1508" s="133"/>
      <c r="T1508" s="133"/>
      <c r="U1508" s="133"/>
      <c r="V1508" s="133"/>
      <c r="W1508" s="133"/>
      <c r="X1508" s="133"/>
      <c r="Y1508" s="133"/>
      <c r="Z1508" s="133"/>
    </row>
    <row r="1509">
      <c r="A1509" s="133">
        <f>IFERROR(__xludf.DUMMYFUNCTION("""COMPUTED_VALUE"""),1509.0)</f>
        <v>1509</v>
      </c>
      <c r="B1509" s="133" t="str">
        <f>IFERROR(__xludf.DUMMYFUNCTION("""COMPUTED_VALUE"""),"31444115")</f>
        <v>31444115</v>
      </c>
      <c r="C1509" s="133" t="str">
        <f>IFERROR(__xludf.DUMMYFUNCTION("""COMPUTED_VALUE"""),"P-1-N-051223-7428")</f>
        <v>P-1-N-051223-7428</v>
      </c>
      <c r="D1509" s="133"/>
      <c r="E1509" s="133" t="str">
        <f>IFERROR(__xludf.DUMMYFUNCTION("""COMPUTED_VALUE"""),"تمت طباعة الشهادة")</f>
        <v>تمت طباعة الشهادة</v>
      </c>
      <c r="F1509" s="133" t="str">
        <f>IFERROR(__xludf.DUMMYFUNCTION("""COMPUTED_VALUE"""),"Dr. Clauder’s High Premium Lamm &amp; Reis 15 kg")</f>
        <v>Dr. Clauder’s High Premium Lamm &amp; Reis 15 kg</v>
      </c>
      <c r="G1509" s="133" t="str">
        <f>IFERROR(__xludf.DUMMYFUNCTION("""COMPUTED_VALUE"""),"دكتور كلاودر هاي بريميوم لحم الضأن والأرز 15 كجم")</f>
        <v>دكتور كلاودر هاي بريميوم لحم الضأن والأرز 15 كجم</v>
      </c>
      <c r="H1509" s="133" t="str">
        <f>IFERROR(__xludf.DUMMYFUNCTION("""COMPUTED_VALUE"""),"MAFE20235003")</f>
        <v>MAFE20235003</v>
      </c>
      <c r="I1509" s="133"/>
      <c r="J1509" s="133"/>
      <c r="K1509" s="133" t="str">
        <f>IFERROR(__xludf.DUMMYFUNCTION("""COMPUTED_VALUE"""),"شركة حلول د. كلودر للحيوانات الأليفة محدودة المسؤولية")</f>
        <v>شركة حلول د. كلودر للحيوانات الأليفة محدودة المسؤولية</v>
      </c>
      <c r="L1509" s="142" t="str">
        <f>IFERROR(__xludf.DUMMYFUNCTION("""COMPUTED_VALUE"""),"31444115")</f>
        <v>31444115</v>
      </c>
      <c r="M1509" s="133"/>
      <c r="N1509" s="133"/>
      <c r="O1509" s="133"/>
      <c r="P1509" s="133"/>
      <c r="Q1509" s="133"/>
      <c r="R1509" s="133"/>
      <c r="S1509" s="133"/>
      <c r="T1509" s="133"/>
      <c r="U1509" s="133"/>
      <c r="V1509" s="133"/>
      <c r="W1509" s="133"/>
      <c r="X1509" s="133"/>
      <c r="Y1509" s="133"/>
      <c r="Z1509" s="133"/>
    </row>
    <row r="1510">
      <c r="A1510" s="133">
        <f>IFERROR(__xludf.DUMMYFUNCTION("""COMPUTED_VALUE"""),1510.0)</f>
        <v>1510</v>
      </c>
      <c r="B1510" s="133"/>
      <c r="C1510" s="133" t="str">
        <f>IFERROR(__xludf.DUMMYFUNCTION("""COMPUTED_VALUE"""),"P-1-N-051223-7429")</f>
        <v>P-1-N-051223-7429</v>
      </c>
      <c r="D1510" s="133"/>
      <c r="E1510" s="133" t="str">
        <f>IFERROR(__xludf.DUMMYFUNCTION("""COMPUTED_VALUE"""),"تمت طباعة الشهادة")</f>
        <v>تمت طباعة الشهادة</v>
      </c>
      <c r="F1510" s="133" t="str">
        <f>IFERROR(__xludf.DUMMYFUNCTION("""COMPUTED_VALUE"""),"Dr. Clauder’s Basic Nature Energy 20 kg")</f>
        <v>Dr. Clauder’s Basic Nature Energy 20 kg</v>
      </c>
      <c r="G1510" s="133" t="str">
        <f>IFERROR(__xludf.DUMMYFUNCTION("""COMPUTED_VALUE"""),"دكتور كلاودر بسيك نايتشور انرجي 20 كجم")</f>
        <v>دكتور كلاودر بسيك نايتشور انرجي 20 كجم</v>
      </c>
      <c r="H1510" s="133" t="str">
        <f>IFERROR(__xludf.DUMMYFUNCTION("""COMPUTED_VALUE"""),"MAFE20235002")</f>
        <v>MAFE20235002</v>
      </c>
      <c r="I1510" s="133"/>
      <c r="J1510" s="133"/>
      <c r="K1510" s="133" t="str">
        <f>IFERROR(__xludf.DUMMYFUNCTION("""COMPUTED_VALUE"""),"شركة حلول د. كلودر للحيوانات الأليفة محدودة المسؤولية")</f>
        <v>شركة حلول د. كلودر للحيوانات الأليفة محدودة المسؤولية</v>
      </c>
      <c r="L1510" s="133"/>
      <c r="M1510" s="133"/>
      <c r="N1510" s="133"/>
      <c r="O1510" s="133"/>
      <c r="P1510" s="133"/>
      <c r="Q1510" s="133"/>
      <c r="R1510" s="133"/>
      <c r="S1510" s="133"/>
      <c r="T1510" s="133"/>
      <c r="U1510" s="133"/>
      <c r="V1510" s="133"/>
      <c r="W1510" s="133"/>
      <c r="X1510" s="133"/>
      <c r="Y1510" s="133"/>
      <c r="Z1510" s="133"/>
    </row>
    <row r="1511">
      <c r="A1511" s="133">
        <f>IFERROR(__xludf.DUMMYFUNCTION("""COMPUTED_VALUE"""),1511.0)</f>
        <v>1511</v>
      </c>
      <c r="B1511" s="133"/>
      <c r="C1511" s="133" t="str">
        <f>IFERROR(__xludf.DUMMYFUNCTION("""COMPUTED_VALUE"""),"P-1-N-051223-7430")</f>
        <v>P-1-N-051223-7430</v>
      </c>
      <c r="D1511" s="133"/>
      <c r="E1511" s="133" t="str">
        <f>IFERROR(__xludf.DUMMYFUNCTION("""COMPUTED_VALUE"""),"تمت طباعة الشهادة")</f>
        <v>تمت طباعة الشهادة</v>
      </c>
      <c r="F1511" s="133" t="str">
        <f>IFERROR(__xludf.DUMMYFUNCTION("""COMPUTED_VALUE"""),"Dr. Clauder’s Basic Nature Vollkost Croc 20 kg")</f>
        <v>Dr. Clauder’s Basic Nature Vollkost Croc 20 kg</v>
      </c>
      <c r="G1511" s="133" t="str">
        <f>IFERROR(__xludf.DUMMYFUNCTION("""COMPUTED_VALUE"""),"دكتور كلاودر بسيك نايتشور فولكوست كروك 20 كجم")</f>
        <v>دكتور كلاودر بسيك نايتشور فولكوست كروك 20 كجم</v>
      </c>
      <c r="H1511" s="133" t="str">
        <f>IFERROR(__xludf.DUMMYFUNCTION("""COMPUTED_VALUE"""),"MAFE20235001")</f>
        <v>MAFE20235001</v>
      </c>
      <c r="I1511" s="133"/>
      <c r="J1511" s="133"/>
      <c r="K1511" s="133" t="str">
        <f>IFERROR(__xludf.DUMMYFUNCTION("""COMPUTED_VALUE"""),"شركة حلول د. كلودر للحيوانات الأليفة محدودة المسؤولية")</f>
        <v>شركة حلول د. كلودر للحيوانات الأليفة محدودة المسؤولية</v>
      </c>
      <c r="L1511" s="133"/>
      <c r="M1511" s="133"/>
      <c r="N1511" s="133"/>
      <c r="O1511" s="133"/>
      <c r="P1511" s="133"/>
      <c r="Q1511" s="133"/>
      <c r="R1511" s="133"/>
      <c r="S1511" s="133"/>
      <c r="T1511" s="133"/>
      <c r="U1511" s="133"/>
      <c r="V1511" s="133"/>
      <c r="W1511" s="133"/>
      <c r="X1511" s="133"/>
      <c r="Y1511" s="133"/>
      <c r="Z1511" s="133"/>
    </row>
    <row r="1512">
      <c r="A1512" s="133">
        <f>IFERROR(__xludf.DUMMYFUNCTION("""COMPUTED_VALUE"""),1512.0)</f>
        <v>1512</v>
      </c>
      <c r="B1512" s="133" t="str">
        <f>IFERROR(__xludf.DUMMYFUNCTION("""COMPUTED_VALUE"""),"21232252")</f>
        <v>21232252</v>
      </c>
      <c r="C1512" s="133" t="str">
        <f>IFERROR(__xludf.DUMMYFUNCTION("""COMPUTED_VALUE"""),"P-1-N-061223-7456")</f>
        <v>P-1-N-061223-7456</v>
      </c>
      <c r="D1512" s="133"/>
      <c r="E1512" s="133" t="str">
        <f>IFERROR(__xludf.DUMMYFUNCTION("""COMPUTED_VALUE"""),"تمت طباعة الشهادة")</f>
        <v>تمت طباعة الشهادة</v>
      </c>
      <c r="F1512" s="133" t="str">
        <f>IFERROR(__xludf.DUMMYFUNCTION("""COMPUTED_VALUE"""),"Schesir After Dark Velvet Mousse Chicken with quail egg 80g")</f>
        <v>Schesir After Dark Velvet Mousse Chicken with quail egg 80g</v>
      </c>
      <c r="G1512" s="133" t="str">
        <f>IFERROR(__xludf.DUMMYFUNCTION("""COMPUTED_VALUE"""),"شیزیر افتر دارك فیلفت موس دجاج مع بیض السمان 80 جم")</f>
        <v>شیزیر افتر دارك فیلفت موس دجاج مع بیض السمان 80 جم</v>
      </c>
      <c r="H1512" s="133" t="str">
        <f>IFERROR(__xludf.DUMMYFUNCTION("""COMPUTED_VALUE"""),"MAFE20235000")</f>
        <v>MAFE20235000</v>
      </c>
      <c r="I1512" s="133"/>
      <c r="J1512" s="133"/>
      <c r="K1512" s="133" t="str">
        <f>IFERROR(__xludf.DUMMYFUNCTION("""COMPUTED_VALUE"""),"شركة التحالف الآسيوي الدولية المحدودة")</f>
        <v>شركة التحالف الآسيوي الدولية المحدودة</v>
      </c>
      <c r="L1512" s="142" t="str">
        <f>IFERROR(__xludf.DUMMYFUNCTION("""COMPUTED_VALUE"""),"21232252")</f>
        <v>21232252</v>
      </c>
      <c r="M1512" s="133"/>
      <c r="N1512" s="133"/>
      <c r="O1512" s="133"/>
      <c r="P1512" s="133"/>
      <c r="Q1512" s="133"/>
      <c r="R1512" s="133"/>
      <c r="S1512" s="133"/>
      <c r="T1512" s="133"/>
      <c r="U1512" s="133"/>
      <c r="V1512" s="133"/>
      <c r="W1512" s="133"/>
      <c r="X1512" s="133"/>
      <c r="Y1512" s="133"/>
      <c r="Z1512" s="133"/>
    </row>
    <row r="1513">
      <c r="A1513" s="133">
        <f>IFERROR(__xludf.DUMMYFUNCTION("""COMPUTED_VALUE"""),1513.0)</f>
        <v>1513</v>
      </c>
      <c r="B1513" s="133" t="str">
        <f>IFERROR(__xludf.DUMMYFUNCTION("""COMPUTED_VALUE"""),"21232352")</f>
        <v>21232352</v>
      </c>
      <c r="C1513" s="133" t="str">
        <f>IFERROR(__xludf.DUMMYFUNCTION("""COMPUTED_VALUE"""),"P-1-N-061223-7457")</f>
        <v>P-1-N-061223-7457</v>
      </c>
      <c r="D1513" s="133"/>
      <c r="E1513" s="133" t="str">
        <f>IFERROR(__xludf.DUMMYFUNCTION("""COMPUTED_VALUE"""),"تمت طباعة الشهادة")</f>
        <v>تمت طباعة الشهادة</v>
      </c>
      <c r="F1513" s="133" t="str">
        <f>IFERROR(__xludf.DUMMYFUNCTION("""COMPUTED_VALUE"""),"Schesir After Dark Velvet Mousse Chicken with beef 80g")</f>
        <v>Schesir After Dark Velvet Mousse Chicken with beef 80g</v>
      </c>
      <c r="G1513" s="133" t="str">
        <f>IFERROR(__xludf.DUMMYFUNCTION("""COMPUTED_VALUE"""),"شیزیر افتر دارك فیلفیت موس دجاج مع اللحم البقري 80 جم")</f>
        <v>شیزیر افتر دارك فیلفیت موس دجاج مع اللحم البقري 80 جم</v>
      </c>
      <c r="H1513" s="133" t="str">
        <f>IFERROR(__xludf.DUMMYFUNCTION("""COMPUTED_VALUE"""),"MAFE20234999")</f>
        <v>MAFE20234999</v>
      </c>
      <c r="I1513" s="133"/>
      <c r="J1513" s="133"/>
      <c r="K1513" s="133" t="str">
        <f>IFERROR(__xludf.DUMMYFUNCTION("""COMPUTED_VALUE"""),"شركة التحالف الآسيوي الدولية المحدودة")</f>
        <v>شركة التحالف الآسيوي الدولية المحدودة</v>
      </c>
      <c r="L1513" s="142" t="str">
        <f>IFERROR(__xludf.DUMMYFUNCTION("""COMPUTED_VALUE"""),"21232352")</f>
        <v>21232352</v>
      </c>
      <c r="M1513" s="133"/>
      <c r="N1513" s="133"/>
      <c r="O1513" s="133"/>
      <c r="P1513" s="133"/>
      <c r="Q1513" s="133"/>
      <c r="R1513" s="133"/>
      <c r="S1513" s="133"/>
      <c r="T1513" s="133"/>
      <c r="U1513" s="133"/>
      <c r="V1513" s="133"/>
      <c r="W1513" s="133"/>
      <c r="X1513" s="133"/>
      <c r="Y1513" s="133"/>
      <c r="Z1513" s="133"/>
    </row>
    <row r="1514">
      <c r="A1514" s="133">
        <f>IFERROR(__xludf.DUMMYFUNCTION("""COMPUTED_VALUE"""),1514.0)</f>
        <v>1514</v>
      </c>
      <c r="B1514" s="133" t="str">
        <f>IFERROR(__xludf.DUMMYFUNCTION("""COMPUTED_VALUE"""),"21232152")</f>
        <v>21232152</v>
      </c>
      <c r="C1514" s="133" t="str">
        <f>IFERROR(__xludf.DUMMYFUNCTION("""COMPUTED_VALUE"""),"P-1-N-061223-7458")</f>
        <v>P-1-N-061223-7458</v>
      </c>
      <c r="D1514" s="133"/>
      <c r="E1514" s="133" t="str">
        <f>IFERROR(__xludf.DUMMYFUNCTION("""COMPUTED_VALUE"""),"تمت طباعة الشهادة")</f>
        <v>تمت طباعة الشهادة</v>
      </c>
      <c r="F1514" s="133" t="str">
        <f>IFERROR(__xludf.DUMMYFUNCTION("""COMPUTED_VALUE"""),"Schesir After Dark Velvet Mousse Chicken 80g")</f>
        <v>Schesir After Dark Velvet Mousse Chicken 80g</v>
      </c>
      <c r="G1514" s="133" t="str">
        <f>IFERROR(__xludf.DUMMYFUNCTION("""COMPUTED_VALUE"""),"شیزیر افتر دارك دجاج فیفلت موس 80 جم")</f>
        <v>شیزیر افتر دارك دجاج فیفلت موس 80 جم</v>
      </c>
      <c r="H1514" s="133" t="str">
        <f>IFERROR(__xludf.DUMMYFUNCTION("""COMPUTED_VALUE"""),"MAFE20234998")</f>
        <v>MAFE20234998</v>
      </c>
      <c r="I1514" s="133"/>
      <c r="J1514" s="133"/>
      <c r="K1514" s="133" t="str">
        <f>IFERROR(__xludf.DUMMYFUNCTION("""COMPUTED_VALUE"""),"شركة التحالف الآسيوي الدولية المحدودة")</f>
        <v>شركة التحالف الآسيوي الدولية المحدودة</v>
      </c>
      <c r="L1514" s="142" t="str">
        <f>IFERROR(__xludf.DUMMYFUNCTION("""COMPUTED_VALUE"""),"21232152")</f>
        <v>21232152</v>
      </c>
      <c r="M1514" s="133"/>
      <c r="N1514" s="133"/>
      <c r="O1514" s="133"/>
      <c r="P1514" s="133"/>
      <c r="Q1514" s="133"/>
      <c r="R1514" s="133"/>
      <c r="S1514" s="133"/>
      <c r="T1514" s="133"/>
      <c r="U1514" s="133"/>
      <c r="V1514" s="133"/>
      <c r="W1514" s="133"/>
      <c r="X1514" s="133"/>
      <c r="Y1514" s="133"/>
      <c r="Z1514" s="133"/>
    </row>
    <row r="1515">
      <c r="A1515" s="133">
        <f>IFERROR(__xludf.DUMMYFUNCTION("""COMPUTED_VALUE"""),1515.0)</f>
        <v>1515</v>
      </c>
      <c r="B1515" s="133"/>
      <c r="C1515" s="133" t="str">
        <f>IFERROR(__xludf.DUMMYFUNCTION("""COMPUTED_VALUE"""),"P-1-N-061223-7459")</f>
        <v>P-1-N-061223-7459</v>
      </c>
      <c r="D1515" s="133"/>
      <c r="E1515" s="133" t="str">
        <f>IFERROR(__xludf.DUMMYFUNCTION("""COMPUTED_VALUE"""),"تمت طباعة الشهادة")</f>
        <v>تمت طباعة الشهادة</v>
      </c>
      <c r="F1515" s="133" t="str">
        <f>IFERROR(__xludf.DUMMYFUNCTION("""COMPUTED_VALUE"""),"Schesir After Dark Velvet Mousse Chicken with duck 80g")</f>
        <v>Schesir After Dark Velvet Mousse Chicken with duck 80g</v>
      </c>
      <c r="G1515" s="133" t="str">
        <f>IFERROR(__xludf.DUMMYFUNCTION("""COMPUTED_VALUE"""),"شیزیر افتر دارك فیلفت موس دجاج مع البط 80 جم")</f>
        <v>شیزیر افتر دارك فیلفت موس دجاج مع البط 80 جم</v>
      </c>
      <c r="H1515" s="133" t="str">
        <f>IFERROR(__xludf.DUMMYFUNCTION("""COMPUTED_VALUE"""),"MAFE20234997")</f>
        <v>MAFE20234997</v>
      </c>
      <c r="I1515" s="133"/>
      <c r="J1515" s="133"/>
      <c r="K1515" s="133" t="str">
        <f>IFERROR(__xludf.DUMMYFUNCTION("""COMPUTED_VALUE"""),"شركة التحالف الآسيوي الدولية المحدودة")</f>
        <v>شركة التحالف الآسيوي الدولية المحدودة</v>
      </c>
      <c r="L1515" s="133"/>
      <c r="M1515" s="133"/>
      <c r="N1515" s="133"/>
      <c r="O1515" s="133"/>
      <c r="P1515" s="133"/>
      <c r="Q1515" s="133"/>
      <c r="R1515" s="133"/>
      <c r="S1515" s="133"/>
      <c r="T1515" s="133"/>
      <c r="U1515" s="133"/>
      <c r="V1515" s="133"/>
      <c r="W1515" s="133"/>
      <c r="X1515" s="133"/>
      <c r="Y1515" s="133"/>
      <c r="Z1515" s="133"/>
    </row>
    <row r="1516">
      <c r="A1516" s="133">
        <f>IFERROR(__xludf.DUMMYFUNCTION("""COMPUTED_VALUE"""),1516.0)</f>
        <v>1516</v>
      </c>
      <c r="B1516" s="133"/>
      <c r="C1516" s="133" t="str">
        <f>IFERROR(__xludf.DUMMYFUNCTION("""COMPUTED_VALUE"""),"P-1-N-061223-7460")</f>
        <v>P-1-N-061223-7460</v>
      </c>
      <c r="D1516" s="133"/>
      <c r="E1516" s="133" t="str">
        <f>IFERROR(__xludf.DUMMYFUNCTION("""COMPUTED_VALUE"""),"تمت طباعة الشهادة")</f>
        <v>تمت طباعة الشهادة</v>
      </c>
      <c r="F1516" s="133" t="str">
        <f>IFERROR(__xludf.DUMMYFUNCTION("""COMPUTED_VALUE"""),"Schesir After Dark Chicken with quail egg Pate 80g")</f>
        <v>Schesir After Dark Chicken with quail egg Pate 80g</v>
      </c>
      <c r="G1516" s="133" t="str">
        <f>IFERROR(__xludf.DUMMYFUNCTION("""COMPUTED_VALUE"""),"شیزیر افتر دارك دجاج مع بیض السمان باتیه 80 جم")</f>
        <v>شیزیر افتر دارك دجاج مع بیض السمان باتیه 80 جم</v>
      </c>
      <c r="H1516" s="133" t="str">
        <f>IFERROR(__xludf.DUMMYFUNCTION("""COMPUTED_VALUE"""),"MAFE20234996")</f>
        <v>MAFE20234996</v>
      </c>
      <c r="I1516" s="133"/>
      <c r="J1516" s="133"/>
      <c r="K1516" s="133" t="str">
        <f>IFERROR(__xludf.DUMMYFUNCTION("""COMPUTED_VALUE"""),"شركة التحالف الآسيوي الدولية المحدودة")</f>
        <v>شركة التحالف الآسيوي الدولية المحدودة</v>
      </c>
      <c r="L1516" s="133"/>
      <c r="M1516" s="133"/>
      <c r="N1516" s="133"/>
      <c r="O1516" s="133"/>
      <c r="P1516" s="133"/>
      <c r="Q1516" s="133"/>
      <c r="R1516" s="133"/>
      <c r="S1516" s="133"/>
      <c r="T1516" s="133"/>
      <c r="U1516" s="133"/>
      <c r="V1516" s="133"/>
      <c r="W1516" s="133"/>
      <c r="X1516" s="133"/>
      <c r="Y1516" s="133"/>
      <c r="Z1516" s="133"/>
    </row>
    <row r="1517">
      <c r="A1517" s="133">
        <f>IFERROR(__xludf.DUMMYFUNCTION("""COMPUTED_VALUE"""),1517.0)</f>
        <v>1517</v>
      </c>
      <c r="B1517" s="133"/>
      <c r="C1517" s="133" t="str">
        <f>IFERROR(__xludf.DUMMYFUNCTION("""COMPUTED_VALUE"""),"P-1-N-061223-7461")</f>
        <v>P-1-N-061223-7461</v>
      </c>
      <c r="D1517" s="133"/>
      <c r="E1517" s="133" t="str">
        <f>IFERROR(__xludf.DUMMYFUNCTION("""COMPUTED_VALUE"""),"تمت طباعة الشهادة")</f>
        <v>تمت طباعة الشهادة</v>
      </c>
      <c r="F1517" s="133" t="str">
        <f>IFERROR(__xludf.DUMMYFUNCTION("""COMPUTED_VALUE"""),"Schesir After Dark Chicken with beef Pate 80g")</f>
        <v>Schesir After Dark Chicken with beef Pate 80g</v>
      </c>
      <c r="G1517" s="133" t="str">
        <f>IFERROR(__xludf.DUMMYFUNCTION("""COMPUTED_VALUE"""),"شیزیر افتر دارك دجاج مع اللحم البقري باتیه 80 جم")</f>
        <v>شیزیر افتر دارك دجاج مع اللحم البقري باتیه 80 جم</v>
      </c>
      <c r="H1517" s="133" t="str">
        <f>IFERROR(__xludf.DUMMYFUNCTION("""COMPUTED_VALUE"""),"MAFE20234995")</f>
        <v>MAFE20234995</v>
      </c>
      <c r="I1517" s="133"/>
      <c r="J1517" s="133"/>
      <c r="K1517" s="133" t="str">
        <f>IFERROR(__xludf.DUMMYFUNCTION("""COMPUTED_VALUE"""),"شركة التحالف الآسيوي الدولية المحدودة")</f>
        <v>شركة التحالف الآسيوي الدولية المحدودة</v>
      </c>
      <c r="L1517" s="133"/>
      <c r="M1517" s="133"/>
      <c r="N1517" s="133"/>
      <c r="O1517" s="133"/>
      <c r="P1517" s="133"/>
      <c r="Q1517" s="133"/>
      <c r="R1517" s="133"/>
      <c r="S1517" s="133"/>
      <c r="T1517" s="133"/>
      <c r="U1517" s="133"/>
      <c r="V1517" s="133"/>
      <c r="W1517" s="133"/>
      <c r="X1517" s="133"/>
      <c r="Y1517" s="133"/>
      <c r="Z1517" s="133"/>
    </row>
    <row r="1518">
      <c r="A1518" s="133">
        <f>IFERROR(__xludf.DUMMYFUNCTION("""COMPUTED_VALUE"""),1518.0)</f>
        <v>1518</v>
      </c>
      <c r="B1518" s="133" t="str">
        <f>IFERROR(__xludf.DUMMYFUNCTION("""COMPUTED_VALUE"""),"21232452")</f>
        <v>21232452</v>
      </c>
      <c r="C1518" s="133" t="str">
        <f>IFERROR(__xludf.DUMMYFUNCTION("""COMPUTED_VALUE"""),"P-1-N-061223-7463")</f>
        <v>P-1-N-061223-7463</v>
      </c>
      <c r="D1518" s="133"/>
      <c r="E1518" s="133" t="str">
        <f>IFERROR(__xludf.DUMMYFUNCTION("""COMPUTED_VALUE"""),"تمت طباعة الشهادة")</f>
        <v>تمت طباعة الشهادة</v>
      </c>
      <c r="F1518" s="133" t="str">
        <f>IFERROR(__xludf.DUMMYFUNCTION("""COMPUTED_VALUE"""),"Schesir After Dark Chicken with duck Pate 80g")</f>
        <v>Schesir After Dark Chicken with duck Pate 80g</v>
      </c>
      <c r="G1518" s="133" t="str">
        <f>IFERROR(__xludf.DUMMYFUNCTION("""COMPUTED_VALUE"""),"شیزیر افتر دارك دجاج مع البط باتیه 80 جم")</f>
        <v>شیزیر افتر دارك دجاج مع البط باتیه 80 جم</v>
      </c>
      <c r="H1518" s="133" t="str">
        <f>IFERROR(__xludf.DUMMYFUNCTION("""COMPUTED_VALUE"""),"MAFE20234994")</f>
        <v>MAFE20234994</v>
      </c>
      <c r="I1518" s="133"/>
      <c r="J1518" s="133"/>
      <c r="K1518" s="133" t="str">
        <f>IFERROR(__xludf.DUMMYFUNCTION("""COMPUTED_VALUE"""),"شركة التحالف الآسيوي الدولية المحدودة")</f>
        <v>شركة التحالف الآسيوي الدولية المحدودة</v>
      </c>
      <c r="L1518" s="142" t="str">
        <f>IFERROR(__xludf.DUMMYFUNCTION("""COMPUTED_VALUE"""),"21232452")</f>
        <v>21232452</v>
      </c>
      <c r="M1518" s="133"/>
      <c r="N1518" s="133"/>
      <c r="O1518" s="133"/>
      <c r="P1518" s="133"/>
      <c r="Q1518" s="133"/>
      <c r="R1518" s="133"/>
      <c r="S1518" s="133"/>
      <c r="T1518" s="133"/>
      <c r="U1518" s="133"/>
      <c r="V1518" s="133"/>
      <c r="W1518" s="133"/>
      <c r="X1518" s="133"/>
      <c r="Y1518" s="133"/>
      <c r="Z1518" s="133"/>
    </row>
    <row r="1519">
      <c r="A1519" s="133">
        <f>IFERROR(__xludf.DUMMYFUNCTION("""COMPUTED_VALUE"""),1519.0)</f>
        <v>1519</v>
      </c>
      <c r="B1519" s="133"/>
      <c r="C1519" s="133" t="str">
        <f>IFERROR(__xludf.DUMMYFUNCTION("""COMPUTED_VALUE"""),"P-1-N-061223-7464")</f>
        <v>P-1-N-061223-7464</v>
      </c>
      <c r="D1519" s="133"/>
      <c r="E1519" s="133" t="str">
        <f>IFERROR(__xludf.DUMMYFUNCTION("""COMPUTED_VALUE"""),"تمت طباعة الشهادة")</f>
        <v>تمت طباعة الشهادة</v>
      </c>
      <c r="F1519" s="133" t="str">
        <f>IFERROR(__xludf.DUMMYFUNCTION("""COMPUTED_VALUE"""),"Schesir After Dark Chicken Pate 80g")</f>
        <v>Schesir After Dark Chicken Pate 80g</v>
      </c>
      <c r="G1519" s="133" t="str">
        <f>IFERROR(__xludf.DUMMYFUNCTION("""COMPUTED_VALUE"""),"شیزیر افتر دارك دجاج باتیه 80 جم")</f>
        <v>شیزیر افتر دارك دجاج باتیه 80 جم</v>
      </c>
      <c r="H1519" s="133" t="str">
        <f>IFERROR(__xludf.DUMMYFUNCTION("""COMPUTED_VALUE"""),"MAFE20234993")</f>
        <v>MAFE20234993</v>
      </c>
      <c r="I1519" s="133"/>
      <c r="J1519" s="133"/>
      <c r="K1519" s="133" t="str">
        <f>IFERROR(__xludf.DUMMYFUNCTION("""COMPUTED_VALUE"""),"شركة التحالف الآسيوي الدولية المحدودة")</f>
        <v>شركة التحالف الآسيوي الدولية المحدودة</v>
      </c>
      <c r="L1519" s="133"/>
      <c r="M1519" s="133"/>
      <c r="N1519" s="133"/>
      <c r="O1519" s="133"/>
      <c r="P1519" s="133"/>
      <c r="Q1519" s="133"/>
      <c r="R1519" s="133"/>
      <c r="S1519" s="133"/>
      <c r="T1519" s="133"/>
      <c r="U1519" s="133"/>
      <c r="V1519" s="133"/>
      <c r="W1519" s="133"/>
      <c r="X1519" s="133"/>
      <c r="Y1519" s="133"/>
      <c r="Z1519" s="133"/>
    </row>
    <row r="1520">
      <c r="A1520" s="133">
        <f>IFERROR(__xludf.DUMMYFUNCTION("""COMPUTED_VALUE"""),1520.0)</f>
        <v>1520</v>
      </c>
      <c r="B1520" s="133" t="str">
        <f>IFERROR(__xludf.DUMMYFUNCTION("""COMPUTED_VALUE"""),"21112152")</f>
        <v>21112152</v>
      </c>
      <c r="C1520" s="133" t="str">
        <f>IFERROR(__xludf.DUMMYFUNCTION("""COMPUTED_VALUE"""),"P-1-N-061223-7465")</f>
        <v>P-1-N-061223-7465</v>
      </c>
      <c r="D1520" s="133"/>
      <c r="E1520" s="133" t="str">
        <f>IFERROR(__xludf.DUMMYFUNCTION("""COMPUTED_VALUE"""),"تمت طباعة الشهادة")</f>
        <v>تمت طباعة الشهادة</v>
      </c>
      <c r="F1520" s="133" t="str">
        <f>IFERROR(__xludf.DUMMYFUNCTION("""COMPUTED_VALUE"""),"Schesir After Dark Chicken with quail egg in broth 80g")</f>
        <v>Schesir After Dark Chicken with quail egg in broth 80g</v>
      </c>
      <c r="G1520" s="133" t="str">
        <f>IFERROR(__xludf.DUMMYFUNCTION("""COMPUTED_VALUE"""),"شیزیر افتر دارك دجاج مع بیض السمان بالمرق 80 جم")</f>
        <v>شیزیر افتر دارك دجاج مع بیض السمان بالمرق 80 جم</v>
      </c>
      <c r="H1520" s="133" t="str">
        <f>IFERROR(__xludf.DUMMYFUNCTION("""COMPUTED_VALUE"""),"MAFE20234992")</f>
        <v>MAFE20234992</v>
      </c>
      <c r="I1520" s="133"/>
      <c r="J1520" s="133"/>
      <c r="K1520" s="133" t="str">
        <f>IFERROR(__xludf.DUMMYFUNCTION("""COMPUTED_VALUE"""),"شركة التحالف الآسيوي الدولية المحدودة")</f>
        <v>شركة التحالف الآسيوي الدولية المحدودة</v>
      </c>
      <c r="L1520" s="142" t="str">
        <f>IFERROR(__xludf.DUMMYFUNCTION("""COMPUTED_VALUE"""),"21112152")</f>
        <v>21112152</v>
      </c>
      <c r="M1520" s="133"/>
      <c r="N1520" s="133"/>
      <c r="O1520" s="133"/>
      <c r="P1520" s="133"/>
      <c r="Q1520" s="133"/>
      <c r="R1520" s="133"/>
      <c r="S1520" s="133"/>
      <c r="T1520" s="133"/>
      <c r="U1520" s="133"/>
      <c r="V1520" s="133"/>
      <c r="W1520" s="133"/>
      <c r="X1520" s="133"/>
      <c r="Y1520" s="133"/>
      <c r="Z1520" s="133"/>
    </row>
    <row r="1521">
      <c r="A1521" s="133">
        <f>IFERROR(__xludf.DUMMYFUNCTION("""COMPUTED_VALUE"""),1521.0)</f>
        <v>1521</v>
      </c>
      <c r="B1521" s="133"/>
      <c r="C1521" s="133" t="str">
        <f>IFERROR(__xludf.DUMMYFUNCTION("""COMPUTED_VALUE"""),"P-1-N-061223-7466")</f>
        <v>P-1-N-061223-7466</v>
      </c>
      <c r="D1521" s="133"/>
      <c r="E1521" s="133" t="str">
        <f>IFERROR(__xludf.DUMMYFUNCTION("""COMPUTED_VALUE"""),"تمت طباعة الشهادة")</f>
        <v>تمت طباعة الشهادة</v>
      </c>
      <c r="F1521" s="133" t="str">
        <f>IFERROR(__xludf.DUMMYFUNCTION("""COMPUTED_VALUE"""),"Schesir After Dark Chicken in broth 80g")</f>
        <v>Schesir After Dark Chicken in broth 80g</v>
      </c>
      <c r="G1521" s="133" t="str">
        <f>IFERROR(__xludf.DUMMYFUNCTION("""COMPUTED_VALUE"""),"شیزیر افتر دارك دجاج بالمرق 80 جم")</f>
        <v>شیزیر افتر دارك دجاج بالمرق 80 جم</v>
      </c>
      <c r="H1521" s="133" t="str">
        <f>IFERROR(__xludf.DUMMYFUNCTION("""COMPUTED_VALUE"""),"MAFE23234991")</f>
        <v>MAFE23234991</v>
      </c>
      <c r="I1521" s="133"/>
      <c r="J1521" s="133"/>
      <c r="K1521" s="133" t="str">
        <f>IFERROR(__xludf.DUMMYFUNCTION("""COMPUTED_VALUE"""),"شركة التحالف الآسيوي الدولية المحدودة")</f>
        <v>شركة التحالف الآسيوي الدولية المحدودة</v>
      </c>
      <c r="L1521" s="133"/>
      <c r="M1521" s="133"/>
      <c r="N1521" s="133"/>
      <c r="O1521" s="133"/>
      <c r="P1521" s="133"/>
      <c r="Q1521" s="133"/>
      <c r="R1521" s="133"/>
      <c r="S1521" s="133"/>
      <c r="T1521" s="133"/>
      <c r="U1521" s="133"/>
      <c r="V1521" s="133"/>
      <c r="W1521" s="133"/>
      <c r="X1521" s="133"/>
      <c r="Y1521" s="133"/>
      <c r="Z1521" s="133"/>
    </row>
    <row r="1522">
      <c r="A1522" s="133">
        <f>IFERROR(__xludf.DUMMYFUNCTION("""COMPUTED_VALUE"""),1522.0)</f>
        <v>1522</v>
      </c>
      <c r="B1522" s="133" t="str">
        <f>IFERROR(__xludf.DUMMYFUNCTION("""COMPUTED_VALUE"""),"21112252")</f>
        <v>21112252</v>
      </c>
      <c r="C1522" s="133" t="str">
        <f>IFERROR(__xludf.DUMMYFUNCTION("""COMPUTED_VALUE"""),"P-1-N-061223-7467")</f>
        <v>P-1-N-061223-7467</v>
      </c>
      <c r="D1522" s="133"/>
      <c r="E1522" s="133" t="str">
        <f>IFERROR(__xludf.DUMMYFUNCTION("""COMPUTED_VALUE"""),"تمت طباعة الشهادة")</f>
        <v>تمت طباعة الشهادة</v>
      </c>
      <c r="F1522" s="133" t="str">
        <f>IFERROR(__xludf.DUMMYFUNCTION("""COMPUTED_VALUE"""),"Schesir After Dark Chicken with beef in broth 80g")</f>
        <v>Schesir After Dark Chicken with beef in broth 80g</v>
      </c>
      <c r="G1522" s="133" t="str">
        <f>IFERROR(__xludf.DUMMYFUNCTION("""COMPUTED_VALUE"""),"شیزیر افتر دارك دجاج مع اللحم البقري بالمرق 80 جم")</f>
        <v>شیزیر افتر دارك دجاج مع اللحم البقري بالمرق 80 جم</v>
      </c>
      <c r="H1522" s="133" t="str">
        <f>IFERROR(__xludf.DUMMYFUNCTION("""COMPUTED_VALUE"""),"MAFE20234990")</f>
        <v>MAFE20234990</v>
      </c>
      <c r="I1522" s="133"/>
      <c r="J1522" s="133"/>
      <c r="K1522" s="133" t="str">
        <f>IFERROR(__xludf.DUMMYFUNCTION("""COMPUTED_VALUE"""),"شركة التحالف الآسيوي الدولية المحدودة")</f>
        <v>شركة التحالف الآسيوي الدولية المحدودة</v>
      </c>
      <c r="L1522" s="142" t="str">
        <f>IFERROR(__xludf.DUMMYFUNCTION("""COMPUTED_VALUE"""),"21112252")</f>
        <v>21112252</v>
      </c>
      <c r="M1522" s="133"/>
      <c r="N1522" s="133"/>
      <c r="O1522" s="133"/>
      <c r="P1522" s="133"/>
      <c r="Q1522" s="133"/>
      <c r="R1522" s="133"/>
      <c r="S1522" s="133"/>
      <c r="T1522" s="133"/>
      <c r="U1522" s="133"/>
      <c r="V1522" s="133"/>
      <c r="W1522" s="133"/>
      <c r="X1522" s="133"/>
      <c r="Y1522" s="133"/>
      <c r="Z1522" s="133"/>
    </row>
    <row r="1523">
      <c r="A1523" s="133">
        <f>IFERROR(__xludf.DUMMYFUNCTION("""COMPUTED_VALUE"""),1523.0)</f>
        <v>1523</v>
      </c>
      <c r="B1523" s="133" t="str">
        <f>IFERROR(__xludf.DUMMYFUNCTION("""COMPUTED_VALUE"""),"21112352")</f>
        <v>21112352</v>
      </c>
      <c r="C1523" s="133" t="str">
        <f>IFERROR(__xludf.DUMMYFUNCTION("""COMPUTED_VALUE"""),"P-1-N-061223-7468")</f>
        <v>P-1-N-061223-7468</v>
      </c>
      <c r="D1523" s="133"/>
      <c r="E1523" s="133" t="str">
        <f>IFERROR(__xludf.DUMMYFUNCTION("""COMPUTED_VALUE"""),"تمت طباعة الشهادة")</f>
        <v>تمت طباعة الشهادة</v>
      </c>
      <c r="F1523" s="133" t="str">
        <f>IFERROR(__xludf.DUMMYFUNCTION("""COMPUTED_VALUE"""),"Schesir After Dark Chicken with duck in broth 80g")</f>
        <v>Schesir After Dark Chicken with duck in broth 80g</v>
      </c>
      <c r="G1523" s="133" t="str">
        <f>IFERROR(__xludf.DUMMYFUNCTION("""COMPUTED_VALUE"""),"شیزیر افتر دارك دجاج مع البط بالمرق 80 جم")</f>
        <v>شیزیر افتر دارك دجاج مع البط بالمرق 80 جم</v>
      </c>
      <c r="H1523" s="133" t="str">
        <f>IFERROR(__xludf.DUMMYFUNCTION("""COMPUTED_VALUE"""),"MAFE20234989")</f>
        <v>MAFE20234989</v>
      </c>
      <c r="I1523" s="133"/>
      <c r="J1523" s="133"/>
      <c r="K1523" s="133" t="str">
        <f>IFERROR(__xludf.DUMMYFUNCTION("""COMPUTED_VALUE"""),"شركة التحالف الآسيوي الدولية المحدودة")</f>
        <v>شركة التحالف الآسيوي الدولية المحدودة</v>
      </c>
      <c r="L1523" s="142" t="str">
        <f>IFERROR(__xludf.DUMMYFUNCTION("""COMPUTED_VALUE"""),"21112352")</f>
        <v>21112352</v>
      </c>
      <c r="M1523" s="133"/>
      <c r="N1523" s="133"/>
      <c r="O1523" s="133"/>
      <c r="P1523" s="133"/>
      <c r="Q1523" s="133"/>
      <c r="R1523" s="133"/>
      <c r="S1523" s="133"/>
      <c r="T1523" s="133"/>
      <c r="U1523" s="133"/>
      <c r="V1523" s="133"/>
      <c r="W1523" s="133"/>
      <c r="X1523" s="133"/>
      <c r="Y1523" s="133"/>
      <c r="Z1523" s="133"/>
    </row>
    <row r="1524">
      <c r="A1524" s="133">
        <f>IFERROR(__xludf.DUMMYFUNCTION("""COMPUTED_VALUE"""),1524.0)</f>
        <v>1524</v>
      </c>
      <c r="B1524" s="133" t="str">
        <f>IFERROR(__xludf.DUMMYFUNCTION("""COMPUTED_VALUE"""),"21239152")</f>
        <v>21239152</v>
      </c>
      <c r="C1524" s="133" t="str">
        <f>IFERROR(__xludf.DUMMYFUNCTION("""COMPUTED_VALUE"""),"P-1-N-061223-7480")</f>
        <v>P-1-N-061223-7480</v>
      </c>
      <c r="D1524" s="133"/>
      <c r="E1524" s="133" t="str">
        <f>IFERROR(__xludf.DUMMYFUNCTION("""COMPUTED_VALUE"""),"تمت طباعة الشهادة")</f>
        <v>تمت طباعة الشهادة</v>
      </c>
      <c r="F1524" s="133" t="str">
        <f>IFERROR(__xludf.DUMMYFUNCTION("""COMPUTED_VALUE"""),"Schesir Baby Chicken with salmon in broth 70g")</f>
        <v>Schesir Baby Chicken with salmon in broth 70g</v>
      </c>
      <c r="G1524" s="133" t="str">
        <f>IFERROR(__xludf.DUMMYFUNCTION("""COMPUTED_VALUE"""),"شیزیر بیبي بالدجاج والسالمون في المرق 70 جم")</f>
        <v>شیزیر بیبي بالدجاج والسالمون في المرق 70 جم</v>
      </c>
      <c r="H1524" s="133" t="str">
        <f>IFERROR(__xludf.DUMMYFUNCTION("""COMPUTED_VALUE"""),"MAFE20234988")</f>
        <v>MAFE20234988</v>
      </c>
      <c r="I1524" s="133"/>
      <c r="J1524" s="133"/>
      <c r="K1524" s="133" t="str">
        <f>IFERROR(__xludf.DUMMYFUNCTION("""COMPUTED_VALUE"""),"شركة التحالف الآسيوي الدولية المحدودة")</f>
        <v>شركة التحالف الآسيوي الدولية المحدودة</v>
      </c>
      <c r="L1524" s="142" t="str">
        <f>IFERROR(__xludf.DUMMYFUNCTION("""COMPUTED_VALUE"""),"21239152")</f>
        <v>21239152</v>
      </c>
      <c r="M1524" s="133"/>
      <c r="N1524" s="133"/>
      <c r="O1524" s="133"/>
      <c r="P1524" s="133"/>
      <c r="Q1524" s="133"/>
      <c r="R1524" s="133"/>
      <c r="S1524" s="133"/>
      <c r="T1524" s="133"/>
      <c r="U1524" s="133"/>
      <c r="V1524" s="133"/>
      <c r="W1524" s="133"/>
      <c r="X1524" s="133"/>
      <c r="Y1524" s="133"/>
      <c r="Z1524" s="133"/>
    </row>
    <row r="1525">
      <c r="A1525" s="133">
        <f>IFERROR(__xludf.DUMMYFUNCTION("""COMPUTED_VALUE"""),1525.0)</f>
        <v>1525</v>
      </c>
      <c r="B1525" s="133" t="str">
        <f>IFERROR(__xludf.DUMMYFUNCTION("""COMPUTED_VALUE"""),"21111052")</f>
        <v>21111052</v>
      </c>
      <c r="C1525" s="133" t="str">
        <f>IFERROR(__xludf.DUMMYFUNCTION("""COMPUTED_VALUE"""),"P-1-N-061223-7481")</f>
        <v>P-1-N-061223-7481</v>
      </c>
      <c r="D1525" s="133"/>
      <c r="E1525" s="133" t="str">
        <f>IFERROR(__xludf.DUMMYFUNCTION("""COMPUTED_VALUE"""),"تمت طباعة الشهادة")</f>
        <v>تمت طباعة الشهادة</v>
      </c>
      <c r="F1525" s="133" t="str">
        <f>IFERROR(__xludf.DUMMYFUNCTION("""COMPUTED_VALUE"""),"Schesir Baby Chicken with chicken liver in broth 70g")</f>
        <v>Schesir Baby Chicken with chicken liver in broth 70g</v>
      </c>
      <c r="G1525" s="133" t="str">
        <f>IFERROR(__xludf.DUMMYFUNCTION("""COMPUTED_VALUE"""),"شیزیر بیبي بالدجاج والكبد في المرق 70 جم")</f>
        <v>شیزیر بیبي بالدجاج والكبد في المرق 70 جم</v>
      </c>
      <c r="H1525" s="133" t="str">
        <f>IFERROR(__xludf.DUMMYFUNCTION("""COMPUTED_VALUE"""),"MAFE20235043")</f>
        <v>MAFE20235043</v>
      </c>
      <c r="I1525" s="133"/>
      <c r="J1525" s="133"/>
      <c r="K1525" s="133" t="str">
        <f>IFERROR(__xludf.DUMMYFUNCTION("""COMPUTED_VALUE"""),"شركة التحالف الآسيوي الدولية المحدودة")</f>
        <v>شركة التحالف الآسيوي الدولية المحدودة</v>
      </c>
      <c r="L1525" s="142" t="str">
        <f>IFERROR(__xludf.DUMMYFUNCTION("""COMPUTED_VALUE"""),"21111052")</f>
        <v>21111052</v>
      </c>
      <c r="M1525" s="133"/>
      <c r="N1525" s="133"/>
      <c r="O1525" s="133"/>
      <c r="P1525" s="133"/>
      <c r="Q1525" s="133"/>
      <c r="R1525" s="133"/>
      <c r="S1525" s="133"/>
      <c r="T1525" s="133"/>
      <c r="U1525" s="133"/>
      <c r="V1525" s="133"/>
      <c r="W1525" s="133"/>
      <c r="X1525" s="133"/>
      <c r="Y1525" s="133"/>
      <c r="Z1525" s="133"/>
    </row>
    <row r="1526">
      <c r="A1526" s="133">
        <f>IFERROR(__xludf.DUMMYFUNCTION("""COMPUTED_VALUE"""),1526.0)</f>
        <v>1526</v>
      </c>
      <c r="B1526" s="133" t="str">
        <f>IFERROR(__xludf.DUMMYFUNCTION("""COMPUTED_VALUE"""),"21630152")</f>
        <v>21630152</v>
      </c>
      <c r="C1526" s="133" t="str">
        <f>IFERROR(__xludf.DUMMYFUNCTION("""COMPUTED_VALUE"""),"P-1-N-061223-7482")</f>
        <v>P-1-N-061223-7482</v>
      </c>
      <c r="D1526" s="133"/>
      <c r="E1526" s="133" t="str">
        <f>IFERROR(__xludf.DUMMYFUNCTION("""COMPUTED_VALUE"""),"تمت طباعة الشهادة")</f>
        <v>تمت طباعة الشهادة</v>
      </c>
      <c r="F1526" s="133" t="str">
        <f>IFERROR(__xludf.DUMMYFUNCTION("""COMPUTED_VALUE"""),"Schesir Baby Chicken with salmon and chicken liver 3 x 55g")</f>
        <v>Schesir Baby Chicken with salmon and chicken liver 3 x 55g</v>
      </c>
      <c r="G1526" s="133" t="str">
        <f>IFERROR(__xludf.DUMMYFUNCTION("""COMPUTED_VALUE"""),"شیزیر بیبي بالدجاج والكبد والسالمون 3 × 55 جم")</f>
        <v>شیزیر بیبي بالدجاج والكبد والسالمون 3 × 55 جم</v>
      </c>
      <c r="H1526" s="133" t="str">
        <f>IFERROR(__xludf.DUMMYFUNCTION("""COMPUTED_VALUE"""),"MAFE20234987")</f>
        <v>MAFE20234987</v>
      </c>
      <c r="I1526" s="133"/>
      <c r="J1526" s="133"/>
      <c r="K1526" s="133" t="str">
        <f>IFERROR(__xludf.DUMMYFUNCTION("""COMPUTED_VALUE"""),"شركة التحالف الآسيوي الدولية المحدودة")</f>
        <v>شركة التحالف الآسيوي الدولية المحدودة</v>
      </c>
      <c r="L1526" s="142" t="str">
        <f>IFERROR(__xludf.DUMMYFUNCTION("""COMPUTED_VALUE"""),"21630152")</f>
        <v>21630152</v>
      </c>
      <c r="M1526" s="133"/>
      <c r="N1526" s="133"/>
      <c r="O1526" s="133"/>
      <c r="P1526" s="133"/>
      <c r="Q1526" s="133"/>
      <c r="R1526" s="133"/>
      <c r="S1526" s="133"/>
      <c r="T1526" s="133"/>
      <c r="U1526" s="133"/>
      <c r="V1526" s="133"/>
      <c r="W1526" s="133"/>
      <c r="X1526" s="133"/>
      <c r="Y1526" s="133"/>
      <c r="Z1526" s="133"/>
    </row>
    <row r="1527">
      <c r="A1527" s="133">
        <f>IFERROR(__xludf.DUMMYFUNCTION("""COMPUTED_VALUE"""),1527.0)</f>
        <v>1527</v>
      </c>
      <c r="B1527" s="133" t="str">
        <f>IFERROR(__xludf.DUMMYFUNCTION("""COMPUTED_VALUE"""),"21113152")</f>
        <v>21113152</v>
      </c>
      <c r="C1527" s="133" t="str">
        <f>IFERROR(__xludf.DUMMYFUNCTION("""COMPUTED_VALUE"""),"P-1-N-061223-7484")</f>
        <v>P-1-N-061223-7484</v>
      </c>
      <c r="D1527" s="133"/>
      <c r="E1527" s="133" t="str">
        <f>IFERROR(__xludf.DUMMYFUNCTION("""COMPUTED_VALUE"""),"تمت طباعة الشهادة")</f>
        <v>تمت طباعة الشهادة</v>
      </c>
      <c r="F1527" s="133" t="str">
        <f>IFERROR(__xludf.DUMMYFUNCTION("""COMPUTED_VALUE"""),"Schesir Silver Tuna and mackerel in broth 70g")</f>
        <v>Schesir Silver Tuna and mackerel in broth 70g</v>
      </c>
      <c r="G1527" s="133" t="str">
        <f>IFERROR(__xludf.DUMMYFUNCTION("""COMPUTED_VALUE"""),"شيزير سيلفر تونا وسمك المكاريل في المرق 70 جم")</f>
        <v>شيزير سيلفر تونا وسمك المكاريل في المرق 70 جم</v>
      </c>
      <c r="H1527" s="133" t="str">
        <f>IFERROR(__xludf.DUMMYFUNCTION("""COMPUTED_VALUE"""),"MAFE20235042")</f>
        <v>MAFE20235042</v>
      </c>
      <c r="I1527" s="133"/>
      <c r="J1527" s="133"/>
      <c r="K1527" s="133" t="str">
        <f>IFERROR(__xludf.DUMMYFUNCTION("""COMPUTED_VALUE"""),"شركة التحالف الآسيوي الدولية المحدودة")</f>
        <v>شركة التحالف الآسيوي الدولية المحدودة</v>
      </c>
      <c r="L1527" s="142" t="str">
        <f>IFERROR(__xludf.DUMMYFUNCTION("""COMPUTED_VALUE"""),"21113152")</f>
        <v>21113152</v>
      </c>
      <c r="M1527" s="133"/>
      <c r="N1527" s="133"/>
      <c r="O1527" s="133"/>
      <c r="P1527" s="133"/>
      <c r="Q1527" s="133"/>
      <c r="R1527" s="133"/>
      <c r="S1527" s="133"/>
      <c r="T1527" s="133"/>
      <c r="U1527" s="133"/>
      <c r="V1527" s="133"/>
      <c r="W1527" s="133"/>
      <c r="X1527" s="133"/>
      <c r="Y1527" s="133"/>
      <c r="Z1527" s="133"/>
    </row>
    <row r="1528">
      <c r="A1528" s="133">
        <f>IFERROR(__xludf.DUMMYFUNCTION("""COMPUTED_VALUE"""),1528.0)</f>
        <v>1528</v>
      </c>
      <c r="B1528" s="133" t="str">
        <f>IFERROR(__xludf.DUMMYFUNCTION("""COMPUTED_VALUE"""),"21100152")</f>
        <v>21100152</v>
      </c>
      <c r="C1528" s="133" t="str">
        <f>IFERROR(__xludf.DUMMYFUNCTION("""COMPUTED_VALUE"""),"P-1-N-061223-7485")</f>
        <v>P-1-N-061223-7485</v>
      </c>
      <c r="D1528" s="133"/>
      <c r="E1528" s="133" t="str">
        <f>IFERROR(__xludf.DUMMYFUNCTION("""COMPUTED_VALUE"""),"تمت طباعة الشهادة")</f>
        <v>تمت طباعة الشهادة</v>
      </c>
      <c r="F1528" s="133" t="str">
        <f>IFERROR(__xludf.DUMMYFUNCTION("""COMPUTED_VALUE"""),"Schesir Silver Chicken with duck 70g")</f>
        <v>Schesir Silver Chicken with duck 70g</v>
      </c>
      <c r="G1528" s="133" t="str">
        <f>IFERROR(__xludf.DUMMYFUNCTION("""COMPUTED_VALUE"""),"شيزير سيلفر دجاج مع البط في المرق 70 جم")</f>
        <v>شيزير سيلفر دجاج مع البط في المرق 70 جم</v>
      </c>
      <c r="H1528" s="133" t="str">
        <f>IFERROR(__xludf.DUMMYFUNCTION("""COMPUTED_VALUE"""),"MAFE20235041")</f>
        <v>MAFE20235041</v>
      </c>
      <c r="I1528" s="133"/>
      <c r="J1528" s="133"/>
      <c r="K1528" s="133" t="str">
        <f>IFERROR(__xludf.DUMMYFUNCTION("""COMPUTED_VALUE"""),"شركة التحالف الآسيوي الدولية المحدودة")</f>
        <v>شركة التحالف الآسيوي الدولية المحدودة</v>
      </c>
      <c r="L1528" s="142" t="str">
        <f>IFERROR(__xludf.DUMMYFUNCTION("""COMPUTED_VALUE"""),"21100152")</f>
        <v>21100152</v>
      </c>
      <c r="M1528" s="133"/>
      <c r="N1528" s="133"/>
      <c r="O1528" s="133"/>
      <c r="P1528" s="133"/>
      <c r="Q1528" s="133"/>
      <c r="R1528" s="133"/>
      <c r="S1528" s="133"/>
      <c r="T1528" s="133"/>
      <c r="U1528" s="133"/>
      <c r="V1528" s="133"/>
      <c r="W1528" s="133"/>
      <c r="X1528" s="133"/>
      <c r="Y1528" s="133"/>
      <c r="Z1528" s="133"/>
    </row>
    <row r="1529">
      <c r="A1529" s="133">
        <f>IFERROR(__xludf.DUMMYFUNCTION("""COMPUTED_VALUE"""),1529.0)</f>
        <v>1529</v>
      </c>
      <c r="B1529" s="133"/>
      <c r="C1529" s="133" t="str">
        <f>IFERROR(__xludf.DUMMYFUNCTION("""COMPUTED_VALUE"""),"P-1-N-061223-7486")</f>
        <v>P-1-N-061223-7486</v>
      </c>
      <c r="D1529" s="133"/>
      <c r="E1529" s="133" t="str">
        <f>IFERROR(__xludf.DUMMYFUNCTION("""COMPUTED_VALUE"""),"تمت طباعة الشهادة")</f>
        <v>تمت طباعة الشهادة</v>
      </c>
      <c r="F1529" s="133" t="str">
        <f>IFERROR(__xludf.DUMMYFUNCTION("""COMPUTED_VALUE"""),"Schesir")</f>
        <v>Schesir</v>
      </c>
      <c r="G1529" s="133" t="str">
        <f>IFERROR(__xludf.DUMMYFUNCTION("""COMPUTED_VALUE"""),"شيزير سيلفر دجاج في المرق 70 جم")</f>
        <v>شيزير سيلفر دجاج في المرق 70 جم</v>
      </c>
      <c r="H1529" s="133" t="str">
        <f>IFERROR(__xludf.DUMMYFUNCTION("""COMPUTED_VALUE"""),"MAFE20235040")</f>
        <v>MAFE20235040</v>
      </c>
      <c r="I1529" s="133"/>
      <c r="J1529" s="133"/>
      <c r="K1529" s="133" t="str">
        <f>IFERROR(__xludf.DUMMYFUNCTION("""COMPUTED_VALUE"""),"شركة التحالف الآسيوي الدولية المحدودة")</f>
        <v>شركة التحالف الآسيوي الدولية المحدودة</v>
      </c>
      <c r="L1529" s="133"/>
      <c r="M1529" s="133"/>
      <c r="N1529" s="133"/>
      <c r="O1529" s="133"/>
      <c r="P1529" s="133"/>
      <c r="Q1529" s="133"/>
      <c r="R1529" s="133"/>
      <c r="S1529" s="133"/>
      <c r="T1529" s="133"/>
      <c r="U1529" s="133"/>
      <c r="V1529" s="133"/>
      <c r="W1529" s="133"/>
      <c r="X1529" s="133"/>
      <c r="Y1529" s="133"/>
      <c r="Z1529" s="133"/>
    </row>
    <row r="1530">
      <c r="A1530" s="133">
        <f>IFERROR(__xludf.DUMMYFUNCTION("""COMPUTED_VALUE"""),1530.0)</f>
        <v>1530</v>
      </c>
      <c r="B1530" s="133" t="str">
        <f>IFERROR(__xludf.DUMMYFUNCTION("""COMPUTED_VALUE"""),"21231052")</f>
        <v>21231052</v>
      </c>
      <c r="C1530" s="133" t="str">
        <f>IFERROR(__xludf.DUMMYFUNCTION("""COMPUTED_VALUE"""),"P-1-N-061223-7487")</f>
        <v>P-1-N-061223-7487</v>
      </c>
      <c r="D1530" s="133"/>
      <c r="E1530" s="133" t="str">
        <f>IFERROR(__xludf.DUMMYFUNCTION("""COMPUTED_VALUE"""),"تمت طباعة الشهادة")</f>
        <v>تمت طباعة الشهادة</v>
      </c>
      <c r="F1530" s="133" t="str">
        <f>IFERROR(__xludf.DUMMYFUNCTION("""COMPUTED_VALUE"""),"Schesir Special Mousse Chicken with duck liver 70g")</f>
        <v>Schesir Special Mousse Chicken with duck liver 70g</v>
      </c>
      <c r="G1530" s="133" t="str">
        <f>IFERROR(__xludf.DUMMYFUNCTION("""COMPUTED_VALUE"""),"شیزیر سبیشل موس دجاج مع كبد البط 70 جم")</f>
        <v>شیزیر سبیشل موس دجاج مع كبد البط 70 جم</v>
      </c>
      <c r="H1530" s="133" t="str">
        <f>IFERROR(__xludf.DUMMYFUNCTION("""COMPUTED_VALUE"""),"MAFE20234986")</f>
        <v>MAFE20234986</v>
      </c>
      <c r="I1530" s="133"/>
      <c r="J1530" s="133"/>
      <c r="K1530" s="133" t="str">
        <f>IFERROR(__xludf.DUMMYFUNCTION("""COMPUTED_VALUE"""),"شركة التحالف الآسيوي الدولية المحدودة")</f>
        <v>شركة التحالف الآسيوي الدولية المحدودة</v>
      </c>
      <c r="L1530" s="142" t="str">
        <f>IFERROR(__xludf.DUMMYFUNCTION("""COMPUTED_VALUE"""),"21231052")</f>
        <v>21231052</v>
      </c>
      <c r="M1530" s="133"/>
      <c r="N1530" s="133"/>
      <c r="O1530" s="133"/>
      <c r="P1530" s="133"/>
      <c r="Q1530" s="133"/>
      <c r="R1530" s="133"/>
      <c r="S1530" s="133"/>
      <c r="T1530" s="133"/>
      <c r="U1530" s="133"/>
      <c r="V1530" s="133"/>
      <c r="W1530" s="133"/>
      <c r="X1530" s="133"/>
      <c r="Y1530" s="133"/>
      <c r="Z1530" s="133"/>
    </row>
    <row r="1531">
      <c r="A1531" s="133">
        <f>IFERROR(__xludf.DUMMYFUNCTION("""COMPUTED_VALUE"""),1531.0)</f>
        <v>1531</v>
      </c>
      <c r="B1531" s="133"/>
      <c r="C1531" s="133" t="str">
        <f>IFERROR(__xludf.DUMMYFUNCTION("""COMPUTED_VALUE"""),"P-1-N-061223-7489")</f>
        <v>P-1-N-061223-7489</v>
      </c>
      <c r="D1531" s="133"/>
      <c r="E1531" s="133" t="str">
        <f>IFERROR(__xludf.DUMMYFUNCTION("""COMPUTED_VALUE"""),"تمت طباعة الشهادة")</f>
        <v>تمت طباعة الشهادة</v>
      </c>
      <c r="F1531" s="133" t="str">
        <f>IFERROR(__xludf.DUMMYFUNCTION("""COMPUTED_VALUE"""),"Schesir Special Mousse Chicken 70g")</f>
        <v>Schesir Special Mousse Chicken 70g</v>
      </c>
      <c r="G1531" s="133" t="str">
        <f>IFERROR(__xludf.DUMMYFUNCTION("""COMPUTED_VALUE"""),"شیزیر سبیشل موس بالدجاج 70 جم")</f>
        <v>شیزیر سبیشل موس بالدجاج 70 جم</v>
      </c>
      <c r="H1531" s="133" t="str">
        <f>IFERROR(__xludf.DUMMYFUNCTION("""COMPUTED_VALUE"""),"MAFE20234985")</f>
        <v>MAFE20234985</v>
      </c>
      <c r="I1531" s="133"/>
      <c r="J1531" s="133"/>
      <c r="K1531" s="133" t="str">
        <f>IFERROR(__xludf.DUMMYFUNCTION("""COMPUTED_VALUE"""),"شركة التحالف الآسيوي الدولية المحدودة")</f>
        <v>شركة التحالف الآسيوي الدولية المحدودة</v>
      </c>
      <c r="L1531" s="133"/>
      <c r="M1531" s="133"/>
      <c r="N1531" s="133"/>
      <c r="O1531" s="133"/>
      <c r="P1531" s="133"/>
      <c r="Q1531" s="133"/>
      <c r="R1531" s="133"/>
      <c r="S1531" s="133"/>
      <c r="T1531" s="133"/>
      <c r="U1531" s="133"/>
      <c r="V1531" s="133"/>
      <c r="W1531" s="133"/>
      <c r="X1531" s="133"/>
      <c r="Y1531" s="133"/>
      <c r="Z1531" s="133"/>
    </row>
    <row r="1532">
      <c r="A1532" s="133">
        <f>IFERROR(__xludf.DUMMYFUNCTION("""COMPUTED_VALUE"""),1532.0)</f>
        <v>1532</v>
      </c>
      <c r="B1532" s="133"/>
      <c r="C1532" s="133" t="str">
        <f>IFERROR(__xludf.DUMMYFUNCTION("""COMPUTED_VALUE"""),"P-1-N-061223-7490")</f>
        <v>P-1-N-061223-7490</v>
      </c>
      <c r="D1532" s="133"/>
      <c r="E1532" s="133" t="str">
        <f>IFERROR(__xludf.DUMMYFUNCTION("""COMPUTED_VALUE"""),"تمت طباعة الشهادة")</f>
        <v>تمت طباعة الشهادة</v>
      </c>
      <c r="F1532" s="133" t="str">
        <f>IFERROR(__xludf.DUMMYFUNCTION("""COMPUTED_VALUE"""),"Schesir Special Mousse Salmon with Chicken 70g")</f>
        <v>Schesir Special Mousse Salmon with Chicken 70g</v>
      </c>
      <c r="G1532" s="133" t="str">
        <f>IFERROR(__xludf.DUMMYFUNCTION("""COMPUTED_VALUE"""),"شیزیر سبیشل موس دجاج بالسالمون 70 جم")</f>
        <v>شیزیر سبیشل موس دجاج بالسالمون 70 جم</v>
      </c>
      <c r="H1532" s="133" t="str">
        <f>IFERROR(__xludf.DUMMYFUNCTION("""COMPUTED_VALUE"""),"MAFE20234984")</f>
        <v>MAFE20234984</v>
      </c>
      <c r="I1532" s="133"/>
      <c r="J1532" s="133"/>
      <c r="K1532" s="133" t="str">
        <f>IFERROR(__xludf.DUMMYFUNCTION("""COMPUTED_VALUE"""),"شركة التحالف الآسيوي الدولية المحدودة")</f>
        <v>شركة التحالف الآسيوي الدولية المحدودة</v>
      </c>
      <c r="L1532" s="133"/>
      <c r="M1532" s="133"/>
      <c r="N1532" s="133"/>
      <c r="O1532" s="133"/>
      <c r="P1532" s="133"/>
      <c r="Q1532" s="133"/>
      <c r="R1532" s="133"/>
      <c r="S1532" s="133"/>
      <c r="T1532" s="133"/>
      <c r="U1532" s="133"/>
      <c r="V1532" s="133"/>
      <c r="W1532" s="133"/>
      <c r="X1532" s="133"/>
      <c r="Y1532" s="133"/>
      <c r="Z1532" s="133"/>
    </row>
    <row r="1533">
      <c r="A1533" s="133">
        <f>IFERROR(__xludf.DUMMYFUNCTION("""COMPUTED_VALUE"""),1533.0)</f>
        <v>1533</v>
      </c>
      <c r="B1533" s="133" t="str">
        <f>IFERROR(__xludf.DUMMYFUNCTION("""COMPUTED_VALUE"""),"21239052")</f>
        <v>21239052</v>
      </c>
      <c r="C1533" s="133" t="str">
        <f>IFERROR(__xludf.DUMMYFUNCTION("""COMPUTED_VALUE"""),"P-1-N-061223-7491")</f>
        <v>P-1-N-061223-7491</v>
      </c>
      <c r="D1533" s="133"/>
      <c r="E1533" s="133" t="str">
        <f>IFERROR(__xludf.DUMMYFUNCTION("""COMPUTED_VALUE"""),"تمت طباعة الشهادة")</f>
        <v>تمت طباعة الشهادة</v>
      </c>
      <c r="F1533" s="133" t="str">
        <f>IFERROR(__xludf.DUMMYFUNCTION("""COMPUTED_VALUE"""),"Schesir Baby Mousse Chicken with chicken Liver 70g")</f>
        <v>Schesir Baby Mousse Chicken with chicken Liver 70g</v>
      </c>
      <c r="G1533" s="133" t="str">
        <f>IFERROR(__xludf.DUMMYFUNCTION("""COMPUTED_VALUE"""),"شیزیر بیبي موس بالدجاج والكبد 70 جم")</f>
        <v>شیزیر بیبي موس بالدجاج والكبد 70 جم</v>
      </c>
      <c r="H1533" s="133" t="str">
        <f>IFERROR(__xludf.DUMMYFUNCTION("""COMPUTED_VALUE"""),"MAFE20235039")</f>
        <v>MAFE20235039</v>
      </c>
      <c r="I1533" s="133"/>
      <c r="J1533" s="133"/>
      <c r="K1533" s="133" t="str">
        <f>IFERROR(__xludf.DUMMYFUNCTION("""COMPUTED_VALUE"""),"شركة التحالف الآسيوي الدولية المحدودة")</f>
        <v>شركة التحالف الآسيوي الدولية المحدودة</v>
      </c>
      <c r="L1533" s="142" t="str">
        <f>IFERROR(__xludf.DUMMYFUNCTION("""COMPUTED_VALUE"""),"21239052")</f>
        <v>21239052</v>
      </c>
      <c r="M1533" s="133"/>
      <c r="N1533" s="133"/>
      <c r="O1533" s="133"/>
      <c r="P1533" s="133"/>
      <c r="Q1533" s="133"/>
      <c r="R1533" s="133"/>
      <c r="S1533" s="133"/>
      <c r="T1533" s="133"/>
      <c r="U1533" s="133"/>
      <c r="V1533" s="133"/>
      <c r="W1533" s="133"/>
      <c r="X1533" s="133"/>
      <c r="Y1533" s="133"/>
      <c r="Z1533" s="133"/>
    </row>
    <row r="1534">
      <c r="A1534" s="133">
        <f>IFERROR(__xludf.DUMMYFUNCTION("""COMPUTED_VALUE"""),1534.0)</f>
        <v>1534</v>
      </c>
      <c r="B1534" s="133"/>
      <c r="C1534" s="133" t="str">
        <f>IFERROR(__xludf.DUMMYFUNCTION("""COMPUTED_VALUE"""),"P-1-N-061223-7493")</f>
        <v>P-1-N-061223-7493</v>
      </c>
      <c r="D1534" s="133"/>
      <c r="E1534" s="133" t="str">
        <f>IFERROR(__xludf.DUMMYFUNCTION("""COMPUTED_VALUE"""),"تمت طباعة الشهادة")</f>
        <v>تمت طباعة الشهادة</v>
      </c>
      <c r="F1534" s="133" t="str">
        <f>IFERROR(__xludf.DUMMYFUNCTION("""COMPUTED_VALUE"""),"Schesir Baby Mousse Salmon and chicken 70g")</f>
        <v>Schesir Baby Mousse Salmon and chicken 70g</v>
      </c>
      <c r="G1534" s="133" t="str">
        <f>IFERROR(__xludf.DUMMYFUNCTION("""COMPUTED_VALUE"""),"شیزیر بیبي موس بالدجاج والسالمون 70 جم")</f>
        <v>شیزیر بیبي موس بالدجاج والسالمون 70 جم</v>
      </c>
      <c r="H1534" s="133" t="str">
        <f>IFERROR(__xludf.DUMMYFUNCTION("""COMPUTED_VALUE"""),"MAFE20235038")</f>
        <v>MAFE20235038</v>
      </c>
      <c r="I1534" s="133"/>
      <c r="J1534" s="133"/>
      <c r="K1534" s="133" t="str">
        <f>IFERROR(__xludf.DUMMYFUNCTION("""COMPUTED_VALUE"""),"شركة التحالف الآسيوي الدولية المحدودة")</f>
        <v>شركة التحالف الآسيوي الدولية المحدودة</v>
      </c>
      <c r="L1534" s="133"/>
      <c r="M1534" s="133"/>
      <c r="N1534" s="133"/>
      <c r="O1534" s="133"/>
      <c r="P1534" s="133"/>
      <c r="Q1534" s="133"/>
      <c r="R1534" s="133"/>
      <c r="S1534" s="133"/>
      <c r="T1534" s="133"/>
      <c r="U1534" s="133"/>
      <c r="V1534" s="133"/>
      <c r="W1534" s="133"/>
      <c r="X1534" s="133"/>
      <c r="Y1534" s="133"/>
      <c r="Z1534" s="133"/>
    </row>
    <row r="1535">
      <c r="A1535" s="133">
        <f>IFERROR(__xludf.DUMMYFUNCTION("""COMPUTED_VALUE"""),1535.0)</f>
        <v>1535</v>
      </c>
      <c r="B1535" s="133"/>
      <c r="C1535" s="133" t="str">
        <f>IFERROR(__xludf.DUMMYFUNCTION("""COMPUTED_VALUE"""),"P-1-N-061223-7495")</f>
        <v>P-1-N-061223-7495</v>
      </c>
      <c r="D1535" s="133"/>
      <c r="E1535" s="133" t="str">
        <f>IFERROR(__xludf.DUMMYFUNCTION("""COMPUTED_VALUE"""),"تمت طباعة الشهادة")</f>
        <v>تمت طباعة الشهادة</v>
      </c>
      <c r="F1535" s="133" t="str">
        <f>IFERROR(__xludf.DUMMYFUNCTION("""COMPUTED_VALUE"""),"Schesir Stix Creamy snacks with Duck 6 x 15g")</f>
        <v>Schesir Stix Creamy snacks with Duck 6 x 15g</v>
      </c>
      <c r="G1535" s="133" t="str">
        <f>IFERROR(__xludf.DUMMYFUNCTION("""COMPUTED_VALUE"""),"شيزيرستيكس كريمي وجبات خفيفة في البط 6 × 15 جم")</f>
        <v>شيزيرستيكس كريمي وجبات خفيفة في البط 6 × 15 جم</v>
      </c>
      <c r="H1535" s="133" t="str">
        <f>IFERROR(__xludf.DUMMYFUNCTION("""COMPUTED_VALUE"""),"MAFE20235037")</f>
        <v>MAFE20235037</v>
      </c>
      <c r="I1535" s="133"/>
      <c r="J1535" s="133"/>
      <c r="K1535" s="133" t="str">
        <f>IFERROR(__xludf.DUMMYFUNCTION("""COMPUTED_VALUE"""),"شركة التحالف الآسيوي الدولية المحدودة")</f>
        <v>شركة التحالف الآسيوي الدولية المحدودة</v>
      </c>
      <c r="L1535" s="133"/>
      <c r="M1535" s="133"/>
      <c r="N1535" s="133"/>
      <c r="O1535" s="133"/>
      <c r="P1535" s="133"/>
      <c r="Q1535" s="133"/>
      <c r="R1535" s="133"/>
      <c r="S1535" s="133"/>
      <c r="T1535" s="133"/>
      <c r="U1535" s="133"/>
      <c r="V1535" s="133"/>
      <c r="W1535" s="133"/>
      <c r="X1535" s="133"/>
      <c r="Y1535" s="133"/>
      <c r="Z1535" s="133"/>
    </row>
    <row r="1536">
      <c r="A1536" s="133">
        <f>IFERROR(__xludf.DUMMYFUNCTION("""COMPUTED_VALUE"""),1536.0)</f>
        <v>1536</v>
      </c>
      <c r="B1536" s="133"/>
      <c r="C1536" s="133" t="str">
        <f>IFERROR(__xludf.DUMMYFUNCTION("""COMPUTED_VALUE"""),"P-1-N-061223-7497")</f>
        <v>P-1-N-061223-7497</v>
      </c>
      <c r="D1536" s="133"/>
      <c r="E1536" s="133" t="str">
        <f>IFERROR(__xludf.DUMMYFUNCTION("""COMPUTED_VALUE"""),"تمت طباعة الشهادة")</f>
        <v>تمت طباعة الشهادة</v>
      </c>
      <c r="F1536" s="133" t="str">
        <f>IFERROR(__xludf.DUMMYFUNCTION("""COMPUTED_VALUE"""),"Schesir Stix Creamy snacks Chicken 6 x 15g")</f>
        <v>Schesir Stix Creamy snacks Chicken 6 x 15g</v>
      </c>
      <c r="G1536" s="133" t="str">
        <f>IFERROR(__xludf.DUMMYFUNCTION("""COMPUTED_VALUE"""),"شيزيرستيكس كريمي وجبات خفيفة في الدجاج 6 × 15 جم")</f>
        <v>شيزيرستيكس كريمي وجبات خفيفة في الدجاج 6 × 15 جم</v>
      </c>
      <c r="H1536" s="133" t="str">
        <f>IFERROR(__xludf.DUMMYFUNCTION("""COMPUTED_VALUE"""),"MAFE20235036")</f>
        <v>MAFE20235036</v>
      </c>
      <c r="I1536" s="133"/>
      <c r="J1536" s="133"/>
      <c r="K1536" s="133" t="str">
        <f>IFERROR(__xludf.DUMMYFUNCTION("""COMPUTED_VALUE"""),"شركة التحالف الآسيوي الدولية المحدودة")</f>
        <v>شركة التحالف الآسيوي الدولية المحدودة</v>
      </c>
      <c r="L1536" s="133"/>
      <c r="M1536" s="133"/>
      <c r="N1536" s="133"/>
      <c r="O1536" s="133"/>
      <c r="P1536" s="133"/>
      <c r="Q1536" s="133"/>
      <c r="R1536" s="133"/>
      <c r="S1536" s="133"/>
      <c r="T1536" s="133"/>
      <c r="U1536" s="133"/>
      <c r="V1536" s="133"/>
      <c r="W1536" s="133"/>
      <c r="X1536" s="133"/>
      <c r="Y1536" s="133"/>
      <c r="Z1536" s="133"/>
    </row>
    <row r="1537">
      <c r="A1537" s="133">
        <f>IFERROR(__xludf.DUMMYFUNCTION("""COMPUTED_VALUE"""),1537.0)</f>
        <v>1537</v>
      </c>
      <c r="B1537" s="133" t="str">
        <f>IFERROR(__xludf.DUMMYFUNCTION("""COMPUTED_VALUE"""),"25231452")</f>
        <v>25231452</v>
      </c>
      <c r="C1537" s="133" t="str">
        <f>IFERROR(__xludf.DUMMYFUNCTION("""COMPUTED_VALUE"""),"P-1-N-071223-7501")</f>
        <v>P-1-N-071223-7501</v>
      </c>
      <c r="D1537" s="133"/>
      <c r="E1537" s="133" t="str">
        <f>IFERROR(__xludf.DUMMYFUNCTION("""COMPUTED_VALUE"""),"تمت طباعة الشهادة")</f>
        <v>تمت طباعة الشهادة</v>
      </c>
      <c r="F1537" s="133" t="str">
        <f>IFERROR(__xludf.DUMMYFUNCTION("""COMPUTED_VALUE"""),"Schesir Stix Creamy snacks with Salmon 6 x 15g")</f>
        <v>Schesir Stix Creamy snacks with Salmon 6 x 15g</v>
      </c>
      <c r="G1537" s="133" t="str">
        <f>IFERROR(__xludf.DUMMYFUNCTION("""COMPUTED_VALUE"""),"شيزيرستيكس كريمي وجبات خفيفة في السالمون 6 × 15 جم")</f>
        <v>شيزيرستيكس كريمي وجبات خفيفة في السالمون 6 × 15 جم</v>
      </c>
      <c r="H1537" s="133" t="str">
        <f>IFERROR(__xludf.DUMMYFUNCTION("""COMPUTED_VALUE"""),"MAFE20235034")</f>
        <v>MAFE20235034</v>
      </c>
      <c r="I1537" s="133"/>
      <c r="J1537" s="133"/>
      <c r="K1537" s="133" t="str">
        <f>IFERROR(__xludf.DUMMYFUNCTION("""COMPUTED_VALUE"""),"شركة التحالف الآسيوي الدولية المحدودة")</f>
        <v>شركة التحالف الآسيوي الدولية المحدودة</v>
      </c>
      <c r="L1537" s="142" t="str">
        <f>IFERROR(__xludf.DUMMYFUNCTION("""COMPUTED_VALUE"""),"25231452")</f>
        <v>25231452</v>
      </c>
      <c r="M1537" s="133"/>
      <c r="N1537" s="133"/>
      <c r="O1537" s="133"/>
      <c r="P1537" s="133"/>
      <c r="Q1537" s="133"/>
      <c r="R1537" s="133"/>
      <c r="S1537" s="133"/>
      <c r="T1537" s="133"/>
      <c r="U1537" s="133"/>
      <c r="V1537" s="133"/>
      <c r="W1537" s="133"/>
      <c r="X1537" s="133"/>
      <c r="Y1537" s="133"/>
      <c r="Z1537" s="133"/>
    </row>
    <row r="1538">
      <c r="A1538" s="133">
        <f>IFERROR(__xludf.DUMMYFUNCTION("""COMPUTED_VALUE"""),1538.0)</f>
        <v>1538</v>
      </c>
      <c r="B1538" s="133"/>
      <c r="C1538" s="133" t="str">
        <f>IFERROR(__xludf.DUMMYFUNCTION("""COMPUTED_VALUE"""),"P-1-N-071223-7502")</f>
        <v>P-1-N-071223-7502</v>
      </c>
      <c r="D1538" s="133"/>
      <c r="E1538" s="133" t="str">
        <f>IFERROR(__xludf.DUMMYFUNCTION("""COMPUTED_VALUE"""),"تمت طباعة الشهادة")</f>
        <v>تمت طباعة الشهادة</v>
      </c>
      <c r="F1538" s="133" t="str">
        <f>IFERROR(__xludf.DUMMYFUNCTION("""COMPUTED_VALUE"""),"Schesir Stix Creamy snacks Tuna 6 x 15g")</f>
        <v>Schesir Stix Creamy snacks Tuna 6 x 15g</v>
      </c>
      <c r="G1538" s="133" t="str">
        <f>IFERROR(__xludf.DUMMYFUNCTION("""COMPUTED_VALUE"""),"شيزيرستيكس كريمي وجبات خفيفة في التونا 6 × 15 جم")</f>
        <v>شيزيرستيكس كريمي وجبات خفيفة في التونا 6 × 15 جم</v>
      </c>
      <c r="H1538" s="133" t="str">
        <f>IFERROR(__xludf.DUMMYFUNCTION("""COMPUTED_VALUE"""),"MAFE20235033")</f>
        <v>MAFE20235033</v>
      </c>
      <c r="I1538" s="133"/>
      <c r="J1538" s="133"/>
      <c r="K1538" s="133" t="str">
        <f>IFERROR(__xludf.DUMMYFUNCTION("""COMPUTED_VALUE"""),"شركة التحالف الآسيوي الدولية المحدودة")</f>
        <v>شركة التحالف الآسيوي الدولية المحدودة</v>
      </c>
      <c r="L1538" s="133"/>
      <c r="M1538" s="133"/>
      <c r="N1538" s="133"/>
      <c r="O1538" s="133"/>
      <c r="P1538" s="133"/>
      <c r="Q1538" s="133"/>
      <c r="R1538" s="133"/>
      <c r="S1538" s="133"/>
      <c r="T1538" s="133"/>
      <c r="U1538" s="133"/>
      <c r="V1538" s="133"/>
      <c r="W1538" s="133"/>
      <c r="X1538" s="133"/>
      <c r="Y1538" s="133"/>
      <c r="Z1538" s="133"/>
    </row>
    <row r="1539">
      <c r="A1539" s="133">
        <f>IFERROR(__xludf.DUMMYFUNCTION("""COMPUTED_VALUE"""),1539.0)</f>
        <v>1539</v>
      </c>
      <c r="B1539" s="133"/>
      <c r="C1539" s="133" t="str">
        <f>IFERROR(__xludf.DUMMYFUNCTION("""COMPUTED_VALUE"""),"P-1-N-071223-7503")</f>
        <v>P-1-N-071223-7503</v>
      </c>
      <c r="D1539" s="133"/>
      <c r="E1539" s="133" t="str">
        <f>IFERROR(__xludf.DUMMYFUNCTION("""COMPUTED_VALUE"""),"تمت طباعة الشهادة")</f>
        <v>تمت طباعة الشهادة</v>
      </c>
      <c r="F1539" s="133" t="str">
        <f>IFERROR(__xludf.DUMMYFUNCTION("""COMPUTED_VALUE"""),"Schesir Baby Thrive Chicken with chicken liver 8g")</f>
        <v>Schesir Baby Thrive Chicken with chicken liver 8g</v>
      </c>
      <c r="G1539" s="133" t="str">
        <f>IFERROR(__xludf.DUMMYFUNCTION("""COMPUTED_VALUE"""),"شیزیر بیبي ثرایف بالدجاج والكبد 8 جم")</f>
        <v>شیزیر بیبي ثرایف بالدجاج والكبد 8 جم</v>
      </c>
      <c r="H1539" s="133" t="str">
        <f>IFERROR(__xludf.DUMMYFUNCTION("""COMPUTED_VALUE"""),"MAFE20234983")</f>
        <v>MAFE20234983</v>
      </c>
      <c r="I1539" s="133"/>
      <c r="J1539" s="133"/>
      <c r="K1539" s="133" t="str">
        <f>IFERROR(__xludf.DUMMYFUNCTION("""COMPUTED_VALUE"""),"شركة التحالف الآسيوي الدولية المحدودة")</f>
        <v>شركة التحالف الآسيوي الدولية المحدودة</v>
      </c>
      <c r="L1539" s="133"/>
      <c r="M1539" s="133"/>
      <c r="N1539" s="133"/>
      <c r="O1539" s="133"/>
      <c r="P1539" s="133"/>
      <c r="Q1539" s="133"/>
      <c r="R1539" s="133"/>
      <c r="S1539" s="133"/>
      <c r="T1539" s="133"/>
      <c r="U1539" s="133"/>
      <c r="V1539" s="133"/>
      <c r="W1539" s="133"/>
      <c r="X1539" s="133"/>
      <c r="Y1539" s="133"/>
      <c r="Z1539" s="133"/>
    </row>
    <row r="1540">
      <c r="A1540" s="133">
        <f>IFERROR(__xludf.DUMMYFUNCTION("""COMPUTED_VALUE"""),1540.0)</f>
        <v>1540</v>
      </c>
      <c r="B1540" s="133" t="str">
        <f>IFERROR(__xludf.DUMMYFUNCTION("""COMPUTED_VALUE"""),"25200152")</f>
        <v>25200152</v>
      </c>
      <c r="C1540" s="133" t="str">
        <f>IFERROR(__xludf.DUMMYFUNCTION("""COMPUTED_VALUE"""),"P-1-N-071223-7504")</f>
        <v>P-1-N-071223-7504</v>
      </c>
      <c r="D1540" s="133"/>
      <c r="E1540" s="133" t="str">
        <f>IFERROR(__xludf.DUMMYFUNCTION("""COMPUTED_VALUE"""),"تمت طباعة الشهادة")</f>
        <v>تمت طباعة الشهادة</v>
      </c>
      <c r="F1540" s="133" t="str">
        <f>IFERROR(__xludf.DUMMYFUNCTION("""COMPUTED_VALUE"""),"Schesir Baby Thrive Chicken with chicken liver 20 x 8g")</f>
        <v>Schesir Baby Thrive Chicken with chicken liver 20 x 8g</v>
      </c>
      <c r="G1540" s="133" t="str">
        <f>IFERROR(__xludf.DUMMYFUNCTION("""COMPUTED_VALUE"""),"شیزیر بیبي ثرایف بالدجاج والكبد 20 × 8 جم")</f>
        <v>شیزیر بیبي ثرایف بالدجاج والكبد 20 × 8 جم</v>
      </c>
      <c r="H1540" s="133" t="str">
        <f>IFERROR(__xludf.DUMMYFUNCTION("""COMPUTED_VALUE"""),"MAFE20234982")</f>
        <v>MAFE20234982</v>
      </c>
      <c r="I1540" s="133"/>
      <c r="J1540" s="133"/>
      <c r="K1540" s="133" t="str">
        <f>IFERROR(__xludf.DUMMYFUNCTION("""COMPUTED_VALUE"""),"شركة التحالف الآسيوي الدولية المحدودة")</f>
        <v>شركة التحالف الآسيوي الدولية المحدودة</v>
      </c>
      <c r="L1540" s="142" t="str">
        <f>IFERROR(__xludf.DUMMYFUNCTION("""COMPUTED_VALUE"""),"25200152")</f>
        <v>25200152</v>
      </c>
      <c r="M1540" s="133"/>
      <c r="N1540" s="133"/>
      <c r="O1540" s="133"/>
      <c r="P1540" s="133"/>
      <c r="Q1540" s="133"/>
      <c r="R1540" s="133"/>
      <c r="S1540" s="133"/>
      <c r="T1540" s="133"/>
      <c r="U1540" s="133"/>
      <c r="V1540" s="133"/>
      <c r="W1540" s="133"/>
      <c r="X1540" s="133"/>
      <c r="Y1540" s="133"/>
      <c r="Z1540" s="133"/>
    </row>
    <row r="1541">
      <c r="A1541" s="133">
        <f>IFERROR(__xludf.DUMMYFUNCTION("""COMPUTED_VALUE"""),1541.0)</f>
        <v>1541</v>
      </c>
      <c r="B1541" s="133"/>
      <c r="C1541" s="133" t="str">
        <f>IFERROR(__xludf.DUMMYFUNCTION("""COMPUTED_VALUE"""),"P-1-N-071223-7505")</f>
        <v>P-1-N-071223-7505</v>
      </c>
      <c r="D1541" s="133"/>
      <c r="E1541" s="133" t="str">
        <f>IFERROR(__xludf.DUMMYFUNCTION("""COMPUTED_VALUE"""),"تمت طباعة الشهادة")</f>
        <v>تمت طباعة الشهادة</v>
      </c>
      <c r="F1541" s="133" t="str">
        <f>IFERROR(__xludf.DUMMYFUNCTION("""COMPUTED_VALUE"""),"Schesir Silver Mousse Chicken 80g")</f>
        <v>Schesir Silver Mousse Chicken 80g</v>
      </c>
      <c r="G1541" s="133" t="str">
        <f>IFERROR(__xludf.DUMMYFUNCTION("""COMPUTED_VALUE"""),"شيزير سيلفر موس دجاج 80 جم")</f>
        <v>شيزير سيلفر موس دجاج 80 جم</v>
      </c>
      <c r="H1541" s="133" t="str">
        <f>IFERROR(__xludf.DUMMYFUNCTION("""COMPUTED_VALUE"""),"MAFE20235032")</f>
        <v>MAFE20235032</v>
      </c>
      <c r="I1541" s="133"/>
      <c r="J1541" s="133"/>
      <c r="K1541" s="133" t="str">
        <f>IFERROR(__xludf.DUMMYFUNCTION("""COMPUTED_VALUE"""),"شركة التحالف الآسيوي الدولية المحدودة")</f>
        <v>شركة التحالف الآسيوي الدولية المحدودة</v>
      </c>
      <c r="L1541" s="133"/>
      <c r="M1541" s="133"/>
      <c r="N1541" s="133"/>
      <c r="O1541" s="133"/>
      <c r="P1541" s="133"/>
      <c r="Q1541" s="133"/>
      <c r="R1541" s="133"/>
      <c r="S1541" s="133"/>
      <c r="T1541" s="133"/>
      <c r="U1541" s="133"/>
      <c r="V1541" s="133"/>
      <c r="W1541" s="133"/>
      <c r="X1541" s="133"/>
      <c r="Y1541" s="133"/>
      <c r="Z1541" s="133"/>
    </row>
    <row r="1542">
      <c r="A1542" s="133">
        <f>IFERROR(__xludf.DUMMYFUNCTION("""COMPUTED_VALUE"""),1542.0)</f>
        <v>1542</v>
      </c>
      <c r="B1542" s="133"/>
      <c r="C1542" s="133" t="str">
        <f>IFERROR(__xludf.DUMMYFUNCTION("""COMPUTED_VALUE"""),"P-1-N-071223-7506")</f>
        <v>P-1-N-071223-7506</v>
      </c>
      <c r="D1542" s="133"/>
      <c r="E1542" s="133" t="str">
        <f>IFERROR(__xludf.DUMMYFUNCTION("""COMPUTED_VALUE"""),"تمت طباعة الشهادة")</f>
        <v>تمت طباعة الشهادة</v>
      </c>
      <c r="F1542" s="133" t="str">
        <f>IFERROR(__xludf.DUMMYFUNCTION("""COMPUTED_VALUE"""),"Schesir Silver Mousse Salmon and chicken 80g")</f>
        <v>Schesir Silver Mousse Salmon and chicken 80g</v>
      </c>
      <c r="G1542" s="133" t="str">
        <f>IFERROR(__xludf.DUMMYFUNCTION("""COMPUTED_VALUE"""),"شيزيرسيلفر موس سالمون ودجاج 80 جم")</f>
        <v>شيزيرسيلفر موس سالمون ودجاج 80 جم</v>
      </c>
      <c r="H1542" s="133" t="str">
        <f>IFERROR(__xludf.DUMMYFUNCTION("""COMPUTED_VALUE"""),"MAFE20235031")</f>
        <v>MAFE20235031</v>
      </c>
      <c r="I1542" s="133"/>
      <c r="J1542" s="133"/>
      <c r="K1542" s="133" t="str">
        <f>IFERROR(__xludf.DUMMYFUNCTION("""COMPUTED_VALUE"""),"شركة التحالف الآسيوي الدولية المحدودة")</f>
        <v>شركة التحالف الآسيوي الدولية المحدودة</v>
      </c>
      <c r="L1542" s="133"/>
      <c r="M1542" s="133"/>
      <c r="N1542" s="133"/>
      <c r="O1542" s="133"/>
      <c r="P1542" s="133"/>
      <c r="Q1542" s="133"/>
      <c r="R1542" s="133"/>
      <c r="S1542" s="133"/>
      <c r="T1542" s="133"/>
      <c r="U1542" s="133"/>
      <c r="V1542" s="133"/>
      <c r="W1542" s="133"/>
      <c r="X1542" s="133"/>
      <c r="Y1542" s="133"/>
      <c r="Z1542" s="133"/>
    </row>
    <row r="1543">
      <c r="A1543" s="133">
        <f>IFERROR(__xludf.DUMMYFUNCTION("""COMPUTED_VALUE"""),1543.0)</f>
        <v>1543</v>
      </c>
      <c r="B1543" s="133"/>
      <c r="C1543" s="133" t="str">
        <f>IFERROR(__xludf.DUMMYFUNCTION("""COMPUTED_VALUE"""),"P-1-N-131223-7647")</f>
        <v>P-1-N-131223-7647</v>
      </c>
      <c r="D1543" s="133"/>
      <c r="E1543" s="133" t="str">
        <f>IFERROR(__xludf.DUMMYFUNCTION("""COMPUTED_VALUE"""),"تمت طباعة الشهادة")</f>
        <v>تمت طباعة الشهادة</v>
      </c>
      <c r="F1543" s="133" t="str">
        <f>IFERROR(__xludf.DUMMYFUNCTION("""COMPUTED_VALUE"""),"Solid Gold NB Barking at the Moon Beef 9.98Kg")</f>
        <v>Solid Gold NB Barking at the Moon Beef 9.98Kg</v>
      </c>
      <c r="G1543" s="133" t="str">
        <f>IFERROR(__xludf.DUMMYFUNCTION("""COMPUTED_VALUE"""),"سوليد جولد ان بي باركينج ات ذا مون لحم بقري 9.98 كجم")</f>
        <v>سوليد جولد ان بي باركينج ات ذا مون لحم بقري 9.98 كجم</v>
      </c>
      <c r="H1543" s="133" t="str">
        <f>IFERROR(__xludf.DUMMYFUNCTION("""COMPUTED_VALUE"""),"MAFE20235056")</f>
        <v>MAFE20235056</v>
      </c>
      <c r="I1543" s="133"/>
      <c r="J1543" s="133"/>
      <c r="K1543" s="133" t="str">
        <f>IFERROR(__xludf.DUMMYFUNCTION("""COMPUTED_VALUE"""),"شركة سوليد جولد بيت المحدودة المسؤولية")</f>
        <v>شركة سوليد جولد بيت المحدودة المسؤولية</v>
      </c>
      <c r="L1543" s="133"/>
      <c r="M1543" s="133"/>
      <c r="N1543" s="133"/>
      <c r="O1543" s="133"/>
      <c r="P1543" s="133"/>
      <c r="Q1543" s="133"/>
      <c r="R1543" s="133"/>
      <c r="S1543" s="133"/>
      <c r="T1543" s="133"/>
      <c r="U1543" s="133"/>
      <c r="V1543" s="133"/>
      <c r="W1543" s="133"/>
      <c r="X1543" s="133"/>
      <c r="Y1543" s="133"/>
      <c r="Z1543" s="133"/>
    </row>
    <row r="1544">
      <c r="A1544" s="133">
        <f>IFERROR(__xludf.DUMMYFUNCTION("""COMPUTED_VALUE"""),1544.0)</f>
        <v>1544</v>
      </c>
      <c r="B1544" s="133"/>
      <c r="C1544" s="133" t="str">
        <f>IFERROR(__xludf.DUMMYFUNCTION("""COMPUTED_VALUE"""),"P-1-N-181223-7718")</f>
        <v>P-1-N-181223-7718</v>
      </c>
      <c r="D1544" s="133"/>
      <c r="E1544" s="133" t="str">
        <f>IFERROR(__xludf.DUMMYFUNCTION("""COMPUTED_VALUE"""),"تمت طباعة الشهادة")</f>
        <v>تمت طباعة الشهادة</v>
      </c>
      <c r="F1544" s="133" t="str">
        <f>IFERROR(__xludf.DUMMYFUNCTION("""COMPUTED_VALUE"""),"SOLID GOLD NB LOVE AT FIRST BARK CHICKEN GRAIN FREE 9.98kg")</f>
        <v>SOLID GOLD NB LOVE AT FIRST BARK CHICKEN GRAIN FREE 9.98kg</v>
      </c>
      <c r="G1544" s="133" t="str">
        <f>IFERROR(__xludf.DUMMYFUNCTION("""COMPUTED_VALUE"""),"سوليد جولد ان بي لاف ات فرست بارك الدجاج خالي من الحبوب 9.98 كجم")</f>
        <v>سوليد جولد ان بي لاف ات فرست بارك الدجاج خالي من الحبوب 9.98 كجم</v>
      </c>
      <c r="H1544" s="133" t="str">
        <f>IFERROR(__xludf.DUMMYFUNCTION("""COMPUTED_VALUE"""),"MAFE20234586")</f>
        <v>MAFE20234586</v>
      </c>
      <c r="I1544" s="133"/>
      <c r="J1544" s="133"/>
      <c r="K1544" s="133" t="str">
        <f>IFERROR(__xludf.DUMMYFUNCTION("""COMPUTED_VALUE"""),"شركة سوليد جولد بيت المحدودة المسؤولية")</f>
        <v>شركة سوليد جولد بيت المحدودة المسؤولية</v>
      </c>
      <c r="L1544" s="133"/>
      <c r="M1544" s="133"/>
      <c r="N1544" s="133"/>
      <c r="O1544" s="133"/>
      <c r="P1544" s="133"/>
      <c r="Q1544" s="133"/>
      <c r="R1544" s="133"/>
      <c r="S1544" s="133"/>
      <c r="T1544" s="133"/>
      <c r="U1544" s="133"/>
      <c r="V1544" s="133"/>
      <c r="W1544" s="133"/>
      <c r="X1544" s="133"/>
      <c r="Y1544" s="133"/>
      <c r="Z1544" s="133"/>
    </row>
    <row r="1545">
      <c r="A1545" s="133">
        <f>IFERROR(__xludf.DUMMYFUNCTION("""COMPUTED_VALUE"""),1545.0)</f>
        <v>1545</v>
      </c>
      <c r="B1545" s="133" t="str">
        <f>IFERROR(__xludf.DUMMYFUNCTION("""COMPUTED_VALUE"""),"12703")</f>
        <v>12703</v>
      </c>
      <c r="C1545" s="133" t="str">
        <f>IFERROR(__xludf.DUMMYFUNCTION("""COMPUTED_VALUE"""),"P-1-N-181223-7719")</f>
        <v>P-1-N-181223-7719</v>
      </c>
      <c r="D1545" s="133"/>
      <c r="E1545" s="133" t="str">
        <f>IFERROR(__xludf.DUMMYFUNCTION("""COMPUTED_VALUE"""),"تمت طباعة الشهادة")</f>
        <v>تمت طباعة الشهادة</v>
      </c>
      <c r="F1545" s="133" t="str">
        <f>IFERROR(__xludf.DUMMYFUNCTION("""COMPUTED_VALUE"""),"SOLID GOLD NB LOVE AT FIRST BARK CHICKEN GRAIN FREE 1.7kg")</f>
        <v>SOLID GOLD NB LOVE AT FIRST BARK CHICKEN GRAIN FREE 1.7kg</v>
      </c>
      <c r="G1545" s="133" t="str">
        <f>IFERROR(__xludf.DUMMYFUNCTION("""COMPUTED_VALUE"""),"سوليد جولد ان بي لاف ات فرست بارك الدجاج خالي من الحبوب 1.7 كجم")</f>
        <v>سوليد جولد ان بي لاف ات فرست بارك الدجاج خالي من الحبوب 1.7 كجم</v>
      </c>
      <c r="H1545" s="133" t="str">
        <f>IFERROR(__xludf.DUMMYFUNCTION("""COMPUTED_VALUE"""),"MAFE20234587")</f>
        <v>MAFE20234587</v>
      </c>
      <c r="I1545" s="133"/>
      <c r="J1545" s="133"/>
      <c r="K1545" s="133" t="str">
        <f>IFERROR(__xludf.DUMMYFUNCTION("""COMPUTED_VALUE"""),"شركة سوليد جولد بيت المحدودة المسؤولية")</f>
        <v>شركة سوليد جولد بيت المحدودة المسؤولية</v>
      </c>
      <c r="L1545" s="142" t="str">
        <f>IFERROR(__xludf.DUMMYFUNCTION("""COMPUTED_VALUE"""),"12703")</f>
        <v>12703</v>
      </c>
      <c r="M1545" s="133"/>
      <c r="N1545" s="133"/>
      <c r="O1545" s="133"/>
      <c r="P1545" s="133"/>
      <c r="Q1545" s="133"/>
      <c r="R1545" s="133"/>
      <c r="S1545" s="133"/>
      <c r="T1545" s="133"/>
      <c r="U1545" s="133"/>
      <c r="V1545" s="133"/>
      <c r="W1545" s="133"/>
      <c r="X1545" s="133"/>
      <c r="Y1545" s="133"/>
      <c r="Z1545" s="133"/>
    </row>
    <row r="1546">
      <c r="A1546" s="133">
        <f>IFERROR(__xludf.DUMMYFUNCTION("""COMPUTED_VALUE"""),1547.0)</f>
        <v>1547</v>
      </c>
      <c r="B1546" s="133" t="str">
        <f>IFERROR(__xludf.DUMMYFUNCTION("""COMPUTED_VALUE"""),"15511")</f>
        <v>15511</v>
      </c>
      <c r="C1546" s="133" t="str">
        <f>IFERROR(__xludf.DUMMYFUNCTION("""COMPUTED_VALUE"""),"P-1-N-181223-7729")</f>
        <v>P-1-N-181223-7729</v>
      </c>
      <c r="D1546" s="133"/>
      <c r="E1546" s="133" t="str">
        <f>IFERROR(__xludf.DUMMYFUNCTION("""COMPUTED_VALUE"""),"مكتمل")</f>
        <v>مكتمل</v>
      </c>
      <c r="F1546" s="133" t="str">
        <f>IFERROR(__xludf.DUMMYFUNCTION("""COMPUTED_VALUE"""),"Solid Gold NB Mighty Mini Chicken 4.99Kg")</f>
        <v>Solid Gold NB Mighty Mini Chicken 4.99Kg</v>
      </c>
      <c r="G1546" s="133" t="str">
        <f>IFERROR(__xludf.DUMMYFUNCTION("""COMPUTED_VALUE"""),"سوليد جولد ان بي مايتي ميني دجاج 4.99 كجم")</f>
        <v>سوليد جولد ان بي مايتي ميني دجاج 4.99 كجم</v>
      </c>
      <c r="H1546" s="133" t="str">
        <f>IFERROR(__xludf.DUMMYFUNCTION("""COMPUTED_VALUE"""),"FOM-2024-5981-FEB-2024-58692 -C-0041-79500")</f>
        <v>FOM-2024-5981-FEB-2024-58692 -C-0041-79500</v>
      </c>
      <c r="I1546" s="133"/>
      <c r="J1546" s="133"/>
      <c r="K1546" s="133" t="str">
        <f>IFERROR(__xludf.DUMMYFUNCTION("""COMPUTED_VALUE"""),"شركة سوليد جولد بيت المحدودة المسؤولية")</f>
        <v>شركة سوليد جولد بيت المحدودة المسؤولية</v>
      </c>
      <c r="L1546" s="142" t="str">
        <f>IFERROR(__xludf.DUMMYFUNCTION("""COMPUTED_VALUE"""),"15511")</f>
        <v>15511</v>
      </c>
      <c r="M1546" s="133"/>
      <c r="N1546" s="133"/>
      <c r="O1546" s="133"/>
      <c r="P1546" s="133"/>
      <c r="Q1546" s="133"/>
      <c r="R1546" s="133"/>
      <c r="S1546" s="133"/>
      <c r="T1546" s="133"/>
      <c r="U1546" s="133"/>
      <c r="V1546" s="133"/>
      <c r="W1546" s="133"/>
      <c r="X1546" s="133"/>
      <c r="Y1546" s="133"/>
      <c r="Z1546" s="133"/>
    </row>
    <row r="1547">
      <c r="A1547" s="133">
        <f>IFERROR(__xludf.DUMMYFUNCTION("""COMPUTED_VALUE"""),1548.0)</f>
        <v>1548</v>
      </c>
      <c r="B1547" s="133"/>
      <c r="C1547" s="133" t="str">
        <f>IFERROR(__xludf.DUMMYFUNCTION("""COMPUTED_VALUE"""),"P-1-N-191223-7739")</f>
        <v>P-1-N-191223-7739</v>
      </c>
      <c r="D1547" s="133"/>
      <c r="E1547" s="133" t="str">
        <f>IFERROR(__xludf.DUMMYFUNCTION("""COMPUTED_VALUE"""),"تمت طباعة الشهادة")</f>
        <v>تمت طباعة الشهادة</v>
      </c>
      <c r="F1547" s="133" t="str">
        <f>IFERROR(__xludf.DUMMYFUNCTION("""COMPUTED_VALUE"""),"Solid Gold NB Barking at the Moon Beef 1.7Kg")</f>
        <v>Solid Gold NB Barking at the Moon Beef 1.7Kg</v>
      </c>
      <c r="G1547" s="133" t="str">
        <f>IFERROR(__xludf.DUMMYFUNCTION("""COMPUTED_VALUE"""),"سوليد جولد ان بي باركينج ات ذا مون لحم بقري 1.7 جم")</f>
        <v>سوليد جولد ان بي باركينج ات ذا مون لحم بقري 1.7 جم</v>
      </c>
      <c r="H1547" s="133" t="str">
        <f>IFERROR(__xludf.DUMMYFUNCTION("""COMPUTED_VALUE"""),"MAFE20235154")</f>
        <v>MAFE20235154</v>
      </c>
      <c r="I1547" s="133"/>
      <c r="J1547" s="133"/>
      <c r="K1547" s="133" t="str">
        <f>IFERROR(__xludf.DUMMYFUNCTION("""COMPUTED_VALUE"""),"شركة سوليد جولد بيت المحدودة المسؤولية")</f>
        <v>شركة سوليد جولد بيت المحدودة المسؤولية</v>
      </c>
      <c r="L1547" s="133"/>
      <c r="M1547" s="133"/>
      <c r="N1547" s="133"/>
      <c r="O1547" s="133"/>
      <c r="P1547" s="133"/>
      <c r="Q1547" s="133"/>
      <c r="R1547" s="133"/>
      <c r="S1547" s="133"/>
      <c r="T1547" s="133"/>
      <c r="U1547" s="133"/>
      <c r="V1547" s="133"/>
      <c r="W1547" s="133"/>
      <c r="X1547" s="133"/>
      <c r="Y1547" s="133"/>
      <c r="Z1547" s="133"/>
    </row>
    <row r="1548">
      <c r="A1548" s="133">
        <f>IFERROR(__xludf.DUMMYFUNCTION("""COMPUTED_VALUE"""),1549.0)</f>
        <v>1549</v>
      </c>
      <c r="B1548" s="133"/>
      <c r="C1548" s="133" t="str">
        <f>IFERROR(__xludf.DUMMYFUNCTION("""COMPUTED_VALUE"""),"P-1-N-191223-7740")</f>
        <v>P-1-N-191223-7740</v>
      </c>
      <c r="D1548" s="133"/>
      <c r="E1548" s="133" t="str">
        <f>IFERROR(__xludf.DUMMYFUNCTION("""COMPUTED_VALUE"""),"REJECTED")</f>
        <v>REJECTED</v>
      </c>
      <c r="F1548" s="133" t="str">
        <f>IFERROR(__xludf.DUMMYFUNCTION("""COMPUTED_VALUE"""),"Solid Gold NB Barking at the Moon Beef 4.99Kg")</f>
        <v>Solid Gold NB Barking at the Moon Beef 4.99Kg</v>
      </c>
      <c r="G1548" s="133" t="str">
        <f>IFERROR(__xludf.DUMMYFUNCTION("""COMPUTED_VALUE"""),"سوليد جولد ان بي باركينج ات ذا مون لحم بقري 4.99 كجم")</f>
        <v>سوليد جولد ان بي باركينج ات ذا مون لحم بقري 4.99 كجم</v>
      </c>
      <c r="H1548" s="133"/>
      <c r="I1548" s="133"/>
      <c r="J1548" s="133"/>
      <c r="K1548" s="133" t="str">
        <f>IFERROR(__xludf.DUMMYFUNCTION("""COMPUTED_VALUE"""),"شركة سوليد جولد بيت المحدودة المسؤولية")</f>
        <v>شركة سوليد جولد بيت المحدودة المسؤولية</v>
      </c>
      <c r="L1548" s="133"/>
      <c r="M1548" s="133"/>
      <c r="N1548" s="133"/>
      <c r="O1548" s="133"/>
      <c r="P1548" s="133"/>
      <c r="Q1548" s="133"/>
      <c r="R1548" s="133"/>
      <c r="S1548" s="133"/>
      <c r="T1548" s="133"/>
      <c r="U1548" s="133"/>
      <c r="V1548" s="133"/>
      <c r="W1548" s="133"/>
      <c r="X1548" s="133"/>
      <c r="Y1548" s="133"/>
      <c r="Z1548" s="133"/>
    </row>
    <row r="1549">
      <c r="A1549" s="133">
        <f>IFERROR(__xludf.DUMMYFUNCTION("""COMPUTED_VALUE"""),1550.0)</f>
        <v>1550</v>
      </c>
      <c r="B1549" s="133" t="str">
        <f>IFERROR(__xludf.DUMMYFUNCTION("""COMPUTED_VALUE"""),"50012956")</f>
        <v>50012956</v>
      </c>
      <c r="C1549" s="133" t="str">
        <f>IFERROR(__xludf.DUMMYFUNCTION("""COMPUTED_VALUE"""),"P-1-N-241223-7844")</f>
        <v>P-1-N-241223-7844</v>
      </c>
      <c r="D1549" s="133"/>
      <c r="E1549" s="133" t="str">
        <f>IFERROR(__xludf.DUMMYFUNCTION("""COMPUTED_VALUE"""),"تمت طباعة الشهادة")</f>
        <v>تمت طباعة الشهادة</v>
      </c>
      <c r="F1549" s="133" t="str">
        <f>IFERROR(__xludf.DUMMYFUNCTION("""COMPUTED_VALUE"""),"Poultry Menu 12.5kg")</f>
        <v>Poultry Menu 12.5kg</v>
      </c>
      <c r="G1549" s="133" t="str">
        <f>IFERROR(__xludf.DUMMYFUNCTION("""COMPUTED_VALUE"""),"بولتري منيو 12.5 كجم")</f>
        <v>بولتري منيو 12.5 كجم</v>
      </c>
      <c r="H1549" s="133" t="str">
        <f>IFERROR(__xludf.DUMMYFUNCTION("""COMPUTED_VALUE"""),"MAFE20235197")</f>
        <v>MAFE20235197</v>
      </c>
      <c r="I1549" s="133"/>
      <c r="J1549" s="133"/>
      <c r="K1549" s="133" t="str">
        <f>IFERROR(__xludf.DUMMYFUNCTION("""COMPUTED_VALUE"""),"شركة جوسيرا بت فود جي ام بي اتش كاي جي")</f>
        <v>شركة جوسيرا بت فود جي ام بي اتش كاي جي</v>
      </c>
      <c r="L1549" s="142" t="str">
        <f>IFERROR(__xludf.DUMMYFUNCTION("""COMPUTED_VALUE"""),"50012956")</f>
        <v>50012956</v>
      </c>
      <c r="M1549" s="133"/>
      <c r="N1549" s="133"/>
      <c r="O1549" s="133"/>
      <c r="P1549" s="133"/>
      <c r="Q1549" s="133"/>
      <c r="R1549" s="133"/>
      <c r="S1549" s="133"/>
      <c r="T1549" s="133"/>
      <c r="U1549" s="133"/>
      <c r="V1549" s="133"/>
      <c r="W1549" s="133"/>
      <c r="X1549" s="133"/>
      <c r="Y1549" s="133"/>
      <c r="Z1549" s="133"/>
    </row>
    <row r="1550">
      <c r="A1550" s="133">
        <f>IFERROR(__xludf.DUMMYFUNCTION("""COMPUTED_VALUE"""),1551.0)</f>
        <v>1551</v>
      </c>
      <c r="B1550" s="133" t="str">
        <f>IFERROR(__xludf.DUMMYFUNCTION("""COMPUTED_VALUE"""),"50012951")</f>
        <v>50012951</v>
      </c>
      <c r="C1550" s="133" t="str">
        <f>IFERROR(__xludf.DUMMYFUNCTION("""COMPUTED_VALUE"""),"P-1-N-241223-7845")</f>
        <v>P-1-N-241223-7845</v>
      </c>
      <c r="D1550" s="133"/>
      <c r="E1550" s="133" t="str">
        <f>IFERROR(__xludf.DUMMYFUNCTION("""COMPUTED_VALUE"""),"تمت طباعة الشهادة")</f>
        <v>تمت طباعة الشهادة</v>
      </c>
      <c r="F1550" s="133" t="str">
        <f>IFERROR(__xludf.DUMMYFUNCTION("""COMPUTED_VALUE"""),"MiniDeluxe 10kg")</f>
        <v>MiniDeluxe 10kg</v>
      </c>
      <c r="G1550" s="133" t="str">
        <f>IFERROR(__xludf.DUMMYFUNCTION("""COMPUTED_VALUE"""),"ميني ديلوكس 10 كجم")</f>
        <v>ميني ديلوكس 10 كجم</v>
      </c>
      <c r="H1550" s="133" t="str">
        <f>IFERROR(__xludf.DUMMYFUNCTION("""COMPUTED_VALUE"""),"MAFE20235198")</f>
        <v>MAFE20235198</v>
      </c>
      <c r="I1550" s="133"/>
      <c r="J1550" s="133"/>
      <c r="K1550" s="133" t="str">
        <f>IFERROR(__xludf.DUMMYFUNCTION("""COMPUTED_VALUE"""),"شركة جوسيرا بت فود جي ام بي اتش كاي جي")</f>
        <v>شركة جوسيرا بت فود جي ام بي اتش كاي جي</v>
      </c>
      <c r="L1550" s="142" t="str">
        <f>IFERROR(__xludf.DUMMYFUNCTION("""COMPUTED_VALUE"""),"50012951")</f>
        <v>50012951</v>
      </c>
      <c r="M1550" s="133"/>
      <c r="N1550" s="133"/>
      <c r="O1550" s="133"/>
      <c r="P1550" s="133"/>
      <c r="Q1550" s="133"/>
      <c r="R1550" s="133"/>
      <c r="S1550" s="133"/>
      <c r="T1550" s="133"/>
      <c r="U1550" s="133"/>
      <c r="V1550" s="133"/>
      <c r="W1550" s="133"/>
      <c r="X1550" s="133"/>
      <c r="Y1550" s="133"/>
      <c r="Z1550" s="133"/>
    </row>
    <row r="1551">
      <c r="A1551" s="133">
        <f>IFERROR(__xludf.DUMMYFUNCTION("""COMPUTED_VALUE"""),1552.0)</f>
        <v>1552</v>
      </c>
      <c r="B1551" s="133"/>
      <c r="C1551" s="133" t="str">
        <f>IFERROR(__xludf.DUMMYFUNCTION("""COMPUTED_VALUE"""),"P-1-N-090124-197")</f>
        <v>P-1-N-090124-197</v>
      </c>
      <c r="D1551" s="133"/>
      <c r="E1551" s="133" t="str">
        <f>IFERROR(__xludf.DUMMYFUNCTION("""COMPUTED_VALUE"""),"REJECTED")</f>
        <v>REJECTED</v>
      </c>
      <c r="F1551" s="133" t="str">
        <f>IFERROR(__xludf.DUMMYFUNCTION("""COMPUTED_VALUE"""),"SOLID GOLD NB LEAPING WATERS SENSITIVE STOMACH SALMON &amp; VEGETABLES GRAIN FREE 9.98Kg")</f>
        <v>SOLID GOLD NB LEAPING WATERS SENSITIVE STOMACH SALMON &amp; VEGETABLES GRAIN FREE 9.98Kg</v>
      </c>
      <c r="G1551" s="133" t="str">
        <f>IFERROR(__xludf.DUMMYFUNCTION("""COMPUTED_VALUE"""),"سوليد جولد ان بي ليبينج ووترز المعدة الحساسة سمك السلمون والخضروات خالية من الحبوب 9.98 كجم")</f>
        <v>سوليد جولد ان بي ليبينج ووترز المعدة الحساسة سمك السلمون والخضروات خالية من الحبوب 9.98 كجم</v>
      </c>
      <c r="H1551" s="133"/>
      <c r="I1551" s="133"/>
      <c r="J1551" s="133"/>
      <c r="K1551" s="133" t="str">
        <f>IFERROR(__xludf.DUMMYFUNCTION("""COMPUTED_VALUE"""),"شركة سوليد جولد بيت المحدودة المسؤولية")</f>
        <v>شركة سوليد جولد بيت المحدودة المسؤولية</v>
      </c>
      <c r="L1551" s="133"/>
      <c r="M1551" s="133"/>
      <c r="N1551" s="133"/>
      <c r="O1551" s="133"/>
      <c r="P1551" s="133"/>
      <c r="Q1551" s="133"/>
      <c r="R1551" s="133"/>
      <c r="S1551" s="133"/>
      <c r="T1551" s="133"/>
      <c r="U1551" s="133"/>
      <c r="V1551" s="133"/>
      <c r="W1551" s="133"/>
      <c r="X1551" s="133"/>
      <c r="Y1551" s="133"/>
      <c r="Z1551" s="133"/>
    </row>
    <row r="1552">
      <c r="A1552" s="133">
        <f>IFERROR(__xludf.DUMMYFUNCTION("""COMPUTED_VALUE"""),1553.0)</f>
        <v>1553</v>
      </c>
      <c r="B1552" s="133" t="str">
        <f>IFERROR(__xludf.DUMMYFUNCTION("""COMPUTED_VALUE"""),"21203")</f>
        <v>21203</v>
      </c>
      <c r="C1552" s="133" t="str">
        <f>IFERROR(__xludf.DUMMYFUNCTION("""COMPUTED_VALUE"""),"P-1-N-090124-199")</f>
        <v>P-1-N-090124-199</v>
      </c>
      <c r="D1552" s="133"/>
      <c r="E1552" s="133" t="str">
        <f>IFERROR(__xludf.DUMMYFUNCTION("""COMPUTED_VALUE"""),"تمت طباعة الشهادة")</f>
        <v>تمت طباعة الشهادة</v>
      </c>
      <c r="F1552" s="133" t="str">
        <f>IFERROR(__xludf.DUMMYFUNCTION("""COMPUTED_VALUE"""),"SOLID GOLD FIT AS A FIDDLE ALASKAN POLLOCK GRAIN FREE 1.36 kg")</f>
        <v>SOLID GOLD FIT AS A FIDDLE ALASKAN POLLOCK GRAIN FREE 1.36 kg</v>
      </c>
      <c r="G1552" s="133" t="str">
        <f>IFERROR(__xludf.DUMMYFUNCTION("""COMPUTED_VALUE"""),"سوليد جولد فيت از اه فيدل بلوق خالي من الحبوب 1.36 كجم")</f>
        <v>سوليد جولد فيت از اه فيدل بلوق خالي من الحبوب 1.36 كجم</v>
      </c>
      <c r="H1552" s="133" t="str">
        <f>IFERROR(__xludf.DUMMYFUNCTION("""COMPUTED_VALUE"""),"MAFE2024216")</f>
        <v>MAFE2024216</v>
      </c>
      <c r="I1552" s="133"/>
      <c r="J1552" s="133"/>
      <c r="K1552" s="133" t="str">
        <f>IFERROR(__xludf.DUMMYFUNCTION("""COMPUTED_VALUE"""),"شركة سوليد جولد بيت المحدودة المسؤولية")</f>
        <v>شركة سوليد جولد بيت المحدودة المسؤولية</v>
      </c>
      <c r="L1552" s="142" t="str">
        <f>IFERROR(__xludf.DUMMYFUNCTION("""COMPUTED_VALUE"""),"21203")</f>
        <v>21203</v>
      </c>
      <c r="M1552" s="133"/>
      <c r="N1552" s="133"/>
      <c r="O1552" s="133"/>
      <c r="P1552" s="133"/>
      <c r="Q1552" s="133"/>
      <c r="R1552" s="133"/>
      <c r="S1552" s="133"/>
      <c r="T1552" s="133"/>
      <c r="U1552" s="133"/>
      <c r="V1552" s="133"/>
      <c r="W1552" s="133"/>
      <c r="X1552" s="133"/>
      <c r="Y1552" s="133"/>
      <c r="Z1552" s="133"/>
    </row>
    <row r="1553">
      <c r="A1553" s="133">
        <f>IFERROR(__xludf.DUMMYFUNCTION("""COMPUTED_VALUE"""),1554.0)</f>
        <v>1554</v>
      </c>
      <c r="B1553" s="133" t="str">
        <f>IFERROR(__xludf.DUMMYFUNCTION("""COMPUTED_VALUE"""),"11004")</f>
        <v>11004</v>
      </c>
      <c r="C1553" s="133" t="str">
        <f>IFERROR(__xludf.DUMMYFUNCTION("""COMPUTED_VALUE"""),"P-1-N-090124-200")</f>
        <v>P-1-N-090124-200</v>
      </c>
      <c r="D1553" s="133"/>
      <c r="E1553" s="133" t="str">
        <f>IFERROR(__xludf.DUMMYFUNCTION("""COMPUTED_VALUE"""),"تمت طباعة الشهادة")</f>
        <v>تمت طباعة الشهادة</v>
      </c>
      <c r="F1553" s="133" t="str">
        <f>IFERROR(__xludf.DUMMYFUNCTION("""COMPUTED_VALUE"""),"Solid Gold Holistique Blendz Oatmeal 1.81 kg")</f>
        <v>Solid Gold Holistique Blendz Oatmeal 1.81 kg</v>
      </c>
      <c r="G1553" s="133" t="str">
        <f>IFERROR(__xludf.DUMMYFUNCTION("""COMPUTED_VALUE"""),"سوليد جولد هوليستيك بليندز دقيق الشوفان 1.81 كجم")</f>
        <v>سوليد جولد هوليستيك بليندز دقيق الشوفان 1.81 كجم</v>
      </c>
      <c r="H1553" s="133" t="str">
        <f>IFERROR(__xludf.DUMMYFUNCTION("""COMPUTED_VALUE"""),"MAFE2024217")</f>
        <v>MAFE2024217</v>
      </c>
      <c r="I1553" s="133"/>
      <c r="J1553" s="133"/>
      <c r="K1553" s="133" t="str">
        <f>IFERROR(__xludf.DUMMYFUNCTION("""COMPUTED_VALUE"""),"شركة سوليد جولد بيت المحدودة المسؤولية")</f>
        <v>شركة سوليد جولد بيت المحدودة المسؤولية</v>
      </c>
      <c r="L1553" s="142" t="str">
        <f>IFERROR(__xludf.DUMMYFUNCTION("""COMPUTED_VALUE"""),"11004")</f>
        <v>11004</v>
      </c>
      <c r="M1553" s="133"/>
      <c r="N1553" s="133"/>
      <c r="O1553" s="133"/>
      <c r="P1553" s="133"/>
      <c r="Q1553" s="133"/>
      <c r="R1553" s="133"/>
      <c r="S1553" s="133"/>
      <c r="T1553" s="133"/>
      <c r="U1553" s="133"/>
      <c r="V1553" s="133"/>
      <c r="W1553" s="133"/>
      <c r="X1553" s="133"/>
      <c r="Y1553" s="133"/>
      <c r="Z1553" s="133"/>
    </row>
    <row r="1554">
      <c r="A1554" s="133">
        <f>IFERROR(__xludf.DUMMYFUNCTION("""COMPUTED_VALUE"""),1555.0)</f>
        <v>1555</v>
      </c>
      <c r="B1554" s="133"/>
      <c r="C1554" s="133" t="str">
        <f>IFERROR(__xludf.DUMMYFUNCTION("""COMPUTED_VALUE"""),"P-1-N-090124-202")</f>
        <v>P-1-N-090124-202</v>
      </c>
      <c r="D1554" s="133"/>
      <c r="E1554" s="133" t="str">
        <f>IFERROR(__xludf.DUMMYFUNCTION("""COMPUTED_VALUE"""),"REJECTED")</f>
        <v>REJECTED</v>
      </c>
      <c r="F1554" s="133" t="str">
        <f>IFERROR(__xludf.DUMMYFUNCTION("""COMPUTED_VALUE"""),"Solid Gold FIT AND FABULOUS POLLOCK 1.81 kg")</f>
        <v>Solid Gold FIT AND FABULOUS POLLOCK 1.81 kg</v>
      </c>
      <c r="G1554" s="133" t="str">
        <f>IFERROR(__xludf.DUMMYFUNCTION("""COMPUTED_VALUE"""),"سوليد جولد فيت اند فابيولوس بلوق 1.81 كجم")</f>
        <v>سوليد جولد فيت اند فابيولوس بلوق 1.81 كجم</v>
      </c>
      <c r="H1554" s="133"/>
      <c r="I1554" s="133"/>
      <c r="J1554" s="133"/>
      <c r="K1554" s="133" t="str">
        <f>IFERROR(__xludf.DUMMYFUNCTION("""COMPUTED_VALUE"""),"شركة سوليد جولد بيت المحدودة المسؤولية")</f>
        <v>شركة سوليد جولد بيت المحدودة المسؤولية</v>
      </c>
      <c r="L1554" s="133"/>
      <c r="M1554" s="133"/>
      <c r="N1554" s="133"/>
      <c r="O1554" s="133"/>
      <c r="P1554" s="133"/>
      <c r="Q1554" s="133"/>
      <c r="R1554" s="133"/>
      <c r="S1554" s="133"/>
      <c r="T1554" s="133"/>
      <c r="U1554" s="133"/>
      <c r="V1554" s="133"/>
      <c r="W1554" s="133"/>
      <c r="X1554" s="133"/>
      <c r="Y1554" s="133"/>
      <c r="Z1554" s="133"/>
    </row>
    <row r="1555">
      <c r="A1555" s="133">
        <f>IFERROR(__xludf.DUMMYFUNCTION("""COMPUTED_VALUE"""),1556.0)</f>
        <v>1556</v>
      </c>
      <c r="B1555" s="133"/>
      <c r="C1555" s="133" t="str">
        <f>IFERROR(__xludf.DUMMYFUNCTION("""COMPUTED_VALUE"""),"P-1-N-090124-203")</f>
        <v>P-1-N-090124-203</v>
      </c>
      <c r="D1555" s="133"/>
      <c r="E1555" s="133" t="str">
        <f>IFERROR(__xludf.DUMMYFUNCTION("""COMPUTED_VALUE"""),"REJECTED")</f>
        <v>REJECTED</v>
      </c>
      <c r="F1555" s="133" t="str">
        <f>IFERROR(__xludf.DUMMYFUNCTION("""COMPUTED_VALUE"""),"Solid Gold FIT AND FABULOUS POLLOCK WC 10.89 kg")</f>
        <v>Solid Gold FIT AND FABULOUS POLLOCK WC 10.89 kg</v>
      </c>
      <c r="G1555" s="133" t="str">
        <f>IFERROR(__xludf.DUMMYFUNCTION("""COMPUTED_VALUE"""),"سوليد جولد فيت اند فابيولوس بلوق دبليو سي 10.89 كجم")</f>
        <v>سوليد جولد فيت اند فابيولوس بلوق دبليو سي 10.89 كجم</v>
      </c>
      <c r="H1555" s="133"/>
      <c r="I1555" s="133"/>
      <c r="J1555" s="133"/>
      <c r="K1555" s="133" t="str">
        <f>IFERROR(__xludf.DUMMYFUNCTION("""COMPUTED_VALUE"""),"شركة سوليد جولد بيت المحدودة المسؤولية")</f>
        <v>شركة سوليد جولد بيت المحدودة المسؤولية</v>
      </c>
      <c r="L1555" s="133"/>
      <c r="M1555" s="133"/>
      <c r="N1555" s="133"/>
      <c r="O1555" s="133"/>
      <c r="P1555" s="133"/>
      <c r="Q1555" s="133"/>
      <c r="R1555" s="133"/>
      <c r="S1555" s="133"/>
      <c r="T1555" s="133"/>
      <c r="U1555" s="133"/>
      <c r="V1555" s="133"/>
      <c r="W1555" s="133"/>
      <c r="X1555" s="133"/>
      <c r="Y1555" s="133"/>
      <c r="Z1555" s="133"/>
    </row>
    <row r="1556">
      <c r="A1556" s="133">
        <f>IFERROR(__xludf.DUMMYFUNCTION("""COMPUTED_VALUE"""),1557.0)</f>
        <v>1557</v>
      </c>
      <c r="B1556" s="133"/>
      <c r="C1556" s="133" t="str">
        <f>IFERROR(__xludf.DUMMYFUNCTION("""COMPUTED_VALUE"""),"P-1-N-090124-204")</f>
        <v>P-1-N-090124-204</v>
      </c>
      <c r="D1556" s="133"/>
      <c r="E1556" s="133" t="str">
        <f>IFERROR(__xludf.DUMMYFUNCTION("""COMPUTED_VALUE"""),"تمت طباعة الشهادة")</f>
        <v>تمت طباعة الشهادة</v>
      </c>
      <c r="F1556" s="133" t="str">
        <f>IFERROR(__xludf.DUMMYFUNCTION("""COMPUTED_VALUE"""),"Solid Gold Holistique Blendz Oatmeal SR 6.80 kg")</f>
        <v>Solid Gold Holistique Blendz Oatmeal SR 6.80 kg</v>
      </c>
      <c r="G1556" s="133" t="str">
        <f>IFERROR(__xludf.DUMMYFUNCTION("""COMPUTED_VALUE"""),"سوليد جولد هوليستيك بليندز دقيق الشوفان اس ار 6.80 كجم")</f>
        <v>سوليد جولد هوليستيك بليندز دقيق الشوفان اس ار 6.80 كجم</v>
      </c>
      <c r="H1556" s="133" t="str">
        <f>IFERROR(__xludf.DUMMYFUNCTION("""COMPUTED_VALUE"""),"MAFE2024218")</f>
        <v>MAFE2024218</v>
      </c>
      <c r="I1556" s="133"/>
      <c r="J1556" s="133"/>
      <c r="K1556" s="133" t="str">
        <f>IFERROR(__xludf.DUMMYFUNCTION("""COMPUTED_VALUE"""),"شركة سوليد جولد بيت المحدودة المسؤولية")</f>
        <v>شركة سوليد جولد بيت المحدودة المسؤولية</v>
      </c>
      <c r="L1556" s="133"/>
      <c r="M1556" s="133"/>
      <c r="N1556" s="133"/>
      <c r="O1556" s="133"/>
      <c r="P1556" s="133"/>
      <c r="Q1556" s="133"/>
      <c r="R1556" s="133"/>
      <c r="S1556" s="133"/>
      <c r="T1556" s="133"/>
      <c r="U1556" s="133"/>
      <c r="V1556" s="133"/>
      <c r="W1556" s="133"/>
      <c r="X1556" s="133"/>
      <c r="Y1556" s="133"/>
      <c r="Z1556" s="133"/>
    </row>
    <row r="1557">
      <c r="A1557" s="133">
        <f>IFERROR(__xludf.DUMMYFUNCTION("""COMPUTED_VALUE"""),1558.0)</f>
        <v>1558</v>
      </c>
      <c r="B1557" s="133" t="str">
        <f>IFERROR(__xludf.DUMMYFUNCTION("""COMPUTED_VALUE"""),"11024")</f>
        <v>11024</v>
      </c>
      <c r="C1557" s="133" t="str">
        <f>IFERROR(__xludf.DUMMYFUNCTION("""COMPUTED_VALUE"""),"P-1-N-090124-205")</f>
        <v>P-1-N-090124-205</v>
      </c>
      <c r="D1557" s="133"/>
      <c r="E1557" s="133" t="str">
        <f>IFERROR(__xludf.DUMMYFUNCTION("""COMPUTED_VALUE"""),"تمت طباعة الشهادة")</f>
        <v>تمت طباعة الشهادة</v>
      </c>
      <c r="F1557" s="133" t="str">
        <f>IFERROR(__xludf.DUMMYFUNCTION("""COMPUTED_VALUE"""),"Solid Gold Holistique Blendz Oatmeal SR 10.89kg")</f>
        <v>Solid Gold Holistique Blendz Oatmeal SR 10.89kg</v>
      </c>
      <c r="G1557" s="133" t="str">
        <f>IFERROR(__xludf.DUMMYFUNCTION("""COMPUTED_VALUE"""),"سوليد جولد هوليستيك بليندز دقيق الشوفان اس ار 10.89 كجم")</f>
        <v>سوليد جولد هوليستيك بليندز دقيق الشوفان اس ار 10.89 كجم</v>
      </c>
      <c r="H1557" s="133" t="str">
        <f>IFERROR(__xludf.DUMMYFUNCTION("""COMPUTED_VALUE"""),"MAFE2024219")</f>
        <v>MAFE2024219</v>
      </c>
      <c r="I1557" s="133"/>
      <c r="J1557" s="133"/>
      <c r="K1557" s="133" t="str">
        <f>IFERROR(__xludf.DUMMYFUNCTION("""COMPUTED_VALUE"""),"شركة سوليد جولد بيت المحدودة المسؤولية")</f>
        <v>شركة سوليد جولد بيت المحدودة المسؤولية</v>
      </c>
      <c r="L1557" s="142" t="str">
        <f>IFERROR(__xludf.DUMMYFUNCTION("""COMPUTED_VALUE"""),"11024")</f>
        <v>11024</v>
      </c>
      <c r="M1557" s="133"/>
      <c r="N1557" s="133"/>
      <c r="O1557" s="133"/>
      <c r="P1557" s="133"/>
      <c r="Q1557" s="133"/>
      <c r="R1557" s="133"/>
      <c r="S1557" s="133"/>
      <c r="T1557" s="133"/>
      <c r="U1557" s="133"/>
      <c r="V1557" s="133"/>
      <c r="W1557" s="133"/>
      <c r="X1557" s="133"/>
      <c r="Y1557" s="133"/>
      <c r="Z1557" s="133"/>
    </row>
    <row r="1558">
      <c r="A1558" s="133">
        <f>IFERROR(__xludf.DUMMYFUNCTION("""COMPUTED_VALUE"""),1559.0)</f>
        <v>1559</v>
      </c>
      <c r="B1558" s="133" t="str">
        <f>IFERROR(__xludf.DUMMYFUNCTION("""COMPUTED_VALUE"""),"23003")</f>
        <v>23003</v>
      </c>
      <c r="C1558" s="133" t="str">
        <f>IFERROR(__xludf.DUMMYFUNCTION("""COMPUTED_VALUE"""),"P-1-N-090124-206")</f>
        <v>P-1-N-090124-206</v>
      </c>
      <c r="D1558" s="133"/>
      <c r="E1558" s="133" t="str">
        <f>IFERROR(__xludf.DUMMYFUNCTION("""COMPUTED_VALUE"""),"تمت طباعة الشهادة")</f>
        <v>تمت طباعة الشهادة</v>
      </c>
      <c r="F1558" s="133" t="str">
        <f>IFERROR(__xludf.DUMMYFUNCTION("""COMPUTED_VALUE"""),"Solid Gold INDIGO MOON POLLOCK GF 1.36 kg")</f>
        <v>Solid Gold INDIGO MOON POLLOCK GF 1.36 kg</v>
      </c>
      <c r="G1558" s="133" t="str">
        <f>IFERROR(__xludf.DUMMYFUNCTION("""COMPUTED_VALUE"""),"سوليد جولد إنديجو مون بلوق خالي من الحبوب 1.36 كجم")</f>
        <v>سوليد جولد إنديجو مون بلوق خالي من الحبوب 1.36 كجم</v>
      </c>
      <c r="H1558" s="133" t="str">
        <f>IFERROR(__xludf.DUMMYFUNCTION("""COMPUTED_VALUE"""),"MAFE2024221")</f>
        <v>MAFE2024221</v>
      </c>
      <c r="I1558" s="133"/>
      <c r="J1558" s="133"/>
      <c r="K1558" s="133" t="str">
        <f>IFERROR(__xludf.DUMMYFUNCTION("""COMPUTED_VALUE"""),"شركة سوليد جولد بيت المحدودة المسؤولية")</f>
        <v>شركة سوليد جولد بيت المحدودة المسؤولية</v>
      </c>
      <c r="L1558" s="142" t="str">
        <f>IFERROR(__xludf.DUMMYFUNCTION("""COMPUTED_VALUE"""),"23003")</f>
        <v>23003</v>
      </c>
      <c r="M1558" s="133"/>
      <c r="N1558" s="133"/>
      <c r="O1558" s="133"/>
      <c r="P1558" s="133"/>
      <c r="Q1558" s="133"/>
      <c r="R1558" s="133"/>
      <c r="S1558" s="133"/>
      <c r="T1558" s="133"/>
      <c r="U1558" s="133"/>
      <c r="V1558" s="133"/>
      <c r="W1558" s="133"/>
      <c r="X1558" s="133"/>
      <c r="Y1558" s="133"/>
      <c r="Z1558" s="133"/>
    </row>
    <row r="1559">
      <c r="A1559" s="133">
        <f>IFERROR(__xludf.DUMMYFUNCTION("""COMPUTED_VALUE"""),1560.0)</f>
        <v>1560</v>
      </c>
      <c r="B1559" s="133" t="str">
        <f>IFERROR(__xludf.DUMMYFUNCTION("""COMPUTED_VALUE"""),"23006")</f>
        <v>23006</v>
      </c>
      <c r="C1559" s="133" t="str">
        <f>IFERROR(__xludf.DUMMYFUNCTION("""COMPUTED_VALUE"""),"P-1-N-090124-207")</f>
        <v>P-1-N-090124-207</v>
      </c>
      <c r="D1559" s="133"/>
      <c r="E1559" s="133" t="str">
        <f>IFERROR(__xludf.DUMMYFUNCTION("""COMPUTED_VALUE"""),"تمت طباعة الشهادة")</f>
        <v>تمت طباعة الشهادة</v>
      </c>
      <c r="F1559" s="133" t="str">
        <f>IFERROR(__xludf.DUMMYFUNCTION("""COMPUTED_VALUE"""),"Solid Gold INDIGO MOON POLLOCK GF 2.72 kg")</f>
        <v>Solid Gold INDIGO MOON POLLOCK GF 2.72 kg</v>
      </c>
      <c r="G1559" s="133" t="str">
        <f>IFERROR(__xludf.DUMMYFUNCTION("""COMPUTED_VALUE"""),"سوليد جولد إنديجو مون بلوق خالي من الحبوب 2.72 كجم")</f>
        <v>سوليد جولد إنديجو مون بلوق خالي من الحبوب 2.72 كجم</v>
      </c>
      <c r="H1559" s="133" t="str">
        <f>IFERROR(__xludf.DUMMYFUNCTION("""COMPUTED_VALUE"""),"MAFE2024220")</f>
        <v>MAFE2024220</v>
      </c>
      <c r="I1559" s="133"/>
      <c r="J1559" s="133"/>
      <c r="K1559" s="133" t="str">
        <f>IFERROR(__xludf.DUMMYFUNCTION("""COMPUTED_VALUE"""),"شركة سوليد جولد بيت المحدودة المسؤولية")</f>
        <v>شركة سوليد جولد بيت المحدودة المسؤولية</v>
      </c>
      <c r="L1559" s="142" t="str">
        <f>IFERROR(__xludf.DUMMYFUNCTION("""COMPUTED_VALUE"""),"23006")</f>
        <v>23006</v>
      </c>
      <c r="M1559" s="133"/>
      <c r="N1559" s="133"/>
      <c r="O1559" s="133"/>
      <c r="P1559" s="133"/>
      <c r="Q1559" s="133"/>
      <c r="R1559" s="133"/>
      <c r="S1559" s="133"/>
      <c r="T1559" s="133"/>
      <c r="U1559" s="133"/>
      <c r="V1559" s="133"/>
      <c r="W1559" s="133"/>
      <c r="X1559" s="133"/>
      <c r="Y1559" s="133"/>
      <c r="Z1559" s="133"/>
    </row>
    <row r="1560">
      <c r="A1560" s="133">
        <f>IFERROR(__xludf.DUMMYFUNCTION("""COMPUTED_VALUE"""),1561.0)</f>
        <v>1561</v>
      </c>
      <c r="B1560" s="133" t="str">
        <f>IFERROR(__xludf.DUMMYFUNCTION("""COMPUTED_VALUE"""),"23012")</f>
        <v>23012</v>
      </c>
      <c r="C1560" s="133" t="str">
        <f>IFERROR(__xludf.DUMMYFUNCTION("""COMPUTED_VALUE"""),"P-1-N-090124-208")</f>
        <v>P-1-N-090124-208</v>
      </c>
      <c r="D1560" s="133"/>
      <c r="E1560" s="133" t="str">
        <f>IFERROR(__xludf.DUMMYFUNCTION("""COMPUTED_VALUE"""),"تمت طباعة الشهادة")</f>
        <v>تمت طباعة الشهادة</v>
      </c>
      <c r="F1560" s="133" t="str">
        <f>IFERROR(__xludf.DUMMYFUNCTION("""COMPUTED_VALUE"""),"Solid Gold INDIGO MOON POLLOCK GF 5.44 kg")</f>
        <v>Solid Gold INDIGO MOON POLLOCK GF 5.44 kg</v>
      </c>
      <c r="G1560" s="133" t="str">
        <f>IFERROR(__xludf.DUMMYFUNCTION("""COMPUTED_VALUE"""),"سوليد جولد إنديجو مون بلوق خالي من الحبوب 5.44 كجم")</f>
        <v>سوليد جولد إنديجو مون بلوق خالي من الحبوب 5.44 كجم</v>
      </c>
      <c r="H1560" s="133" t="str">
        <f>IFERROR(__xludf.DUMMYFUNCTION("""COMPUTED_VALUE"""),"MAFE2024222")</f>
        <v>MAFE2024222</v>
      </c>
      <c r="I1560" s="133"/>
      <c r="J1560" s="133"/>
      <c r="K1560" s="133" t="str">
        <f>IFERROR(__xludf.DUMMYFUNCTION("""COMPUTED_VALUE"""),"شركة سوليد جولد بيت المحدودة المسؤولية")</f>
        <v>شركة سوليد جولد بيت المحدودة المسؤولية</v>
      </c>
      <c r="L1560" s="142" t="str">
        <f>IFERROR(__xludf.DUMMYFUNCTION("""COMPUTED_VALUE"""),"23012")</f>
        <v>23012</v>
      </c>
      <c r="M1560" s="133"/>
      <c r="N1560" s="133"/>
      <c r="O1560" s="133"/>
      <c r="P1560" s="133"/>
      <c r="Q1560" s="133"/>
      <c r="R1560" s="133"/>
      <c r="S1560" s="133"/>
      <c r="T1560" s="133"/>
      <c r="U1560" s="133"/>
      <c r="V1560" s="133"/>
      <c r="W1560" s="133"/>
      <c r="X1560" s="133"/>
      <c r="Y1560" s="133"/>
      <c r="Z1560" s="133"/>
    </row>
    <row r="1561">
      <c r="A1561" s="133">
        <f>IFERROR(__xludf.DUMMYFUNCTION("""COMPUTED_VALUE"""),1562.0)</f>
        <v>1562</v>
      </c>
      <c r="B1561" s="133" t="str">
        <f>IFERROR(__xludf.DUMMYFUNCTION("""COMPUTED_VALUE"""),"21106")</f>
        <v>21106</v>
      </c>
      <c r="C1561" s="133" t="str">
        <f>IFERROR(__xludf.DUMMYFUNCTION("""COMPUTED_VALUE"""),"P-1-N-090124-209")</f>
        <v>P-1-N-090124-209</v>
      </c>
      <c r="D1561" s="133"/>
      <c r="E1561" s="133" t="str">
        <f>IFERROR(__xludf.DUMMYFUNCTION("""COMPUTED_VALUE"""),"تمت طباعة الشهادة")</f>
        <v>تمت طباعة الشهادة</v>
      </c>
      <c r="F1561" s="133" t="str">
        <f>IFERROR(__xludf.DUMMYFUNCTION("""COMPUTED_VALUE"""),"Solid Gold WINGED TIGER QUAIL GE 2.72kg")</f>
        <v>Solid Gold WINGED TIGER QUAIL GE 2.72kg</v>
      </c>
      <c r="G1561" s="133" t="str">
        <f>IFERROR(__xludf.DUMMYFUNCTION("""COMPUTED_VALUE"""),"سوليد جولد وينجد تايجر السمان جي إي 2.72 كجم")</f>
        <v>سوليد جولد وينجد تايجر السمان جي إي 2.72 كجم</v>
      </c>
      <c r="H1561" s="133" t="str">
        <f>IFERROR(__xludf.DUMMYFUNCTION("""COMPUTED_VALUE"""),"MAFE2024223")</f>
        <v>MAFE2024223</v>
      </c>
      <c r="I1561" s="133"/>
      <c r="J1561" s="133"/>
      <c r="K1561" s="133" t="str">
        <f>IFERROR(__xludf.DUMMYFUNCTION("""COMPUTED_VALUE"""),"شركة سوليد جولد بيت المحدودة المسؤولية")</f>
        <v>شركة سوليد جولد بيت المحدودة المسؤولية</v>
      </c>
      <c r="L1561" s="142" t="str">
        <f>IFERROR(__xludf.DUMMYFUNCTION("""COMPUTED_VALUE"""),"21106")</f>
        <v>21106</v>
      </c>
      <c r="M1561" s="133"/>
      <c r="N1561" s="133"/>
      <c r="O1561" s="133"/>
      <c r="P1561" s="133"/>
      <c r="Q1561" s="133"/>
      <c r="R1561" s="133"/>
      <c r="S1561" s="133"/>
      <c r="T1561" s="133"/>
      <c r="U1561" s="133"/>
      <c r="V1561" s="133"/>
      <c r="W1561" s="133"/>
      <c r="X1561" s="133"/>
      <c r="Y1561" s="133"/>
      <c r="Z1561" s="133"/>
    </row>
    <row r="1562">
      <c r="A1562" s="133">
        <f>IFERROR(__xludf.DUMMYFUNCTION("""COMPUTED_VALUE"""),1563.0)</f>
        <v>1563</v>
      </c>
      <c r="B1562" s="133"/>
      <c r="C1562" s="133" t="str">
        <f>IFERROR(__xludf.DUMMYFUNCTION("""COMPUTED_VALUE"""),"FEP-2024-80877
")</f>
        <v>FEP-2024-80877
</v>
      </c>
      <c r="D1562" s="133"/>
      <c r="E1562" s="133" t="str">
        <f>IFERROR(__xludf.DUMMYFUNCTION("""COMPUTED_VALUE"""),"REJECTED")</f>
        <v>REJECTED</v>
      </c>
      <c r="F1562" s="133" t="str">
        <f>IFERROR(__xludf.DUMMYFUNCTION("""COMPUTED_VALUE"""),"Solid Gold NUTRIENT BOOST KATZ N FLOCKEN LAMB 4.98kg")</f>
        <v>Solid Gold NUTRIENT BOOST KATZ N FLOCKEN LAMB 4.98kg</v>
      </c>
      <c r="G1562" s="133" t="str">
        <f>IFERROR(__xludf.DUMMYFUNCTION("""COMPUTED_VALUE"""),"سوليد جولد نيوترينت بوست كاتز آند فلوكين لحم ضأن 4.98 كجم")</f>
        <v>سوليد جولد نيوترينت بوست كاتز آند فلوكين لحم ضأن 4.98 كجم</v>
      </c>
      <c r="H1562" s="133"/>
      <c r="I1562" s="133"/>
      <c r="J1562" s="133"/>
      <c r="K1562" s="133" t="str">
        <f>IFERROR(__xludf.DUMMYFUNCTION("""COMPUTED_VALUE"""),"شركة سوليد جولد بيت المحدودة المسؤولية")</f>
        <v>شركة سوليد جولد بيت المحدودة المسؤولية</v>
      </c>
      <c r="L1562" s="133"/>
      <c r="M1562" s="133"/>
      <c r="N1562" s="133"/>
      <c r="O1562" s="133"/>
      <c r="P1562" s="133"/>
      <c r="Q1562" s="133"/>
      <c r="R1562" s="133"/>
      <c r="S1562" s="133"/>
      <c r="T1562" s="133"/>
      <c r="U1562" s="133"/>
      <c r="V1562" s="133"/>
      <c r="W1562" s="133"/>
      <c r="X1562" s="133"/>
      <c r="Y1562" s="133"/>
      <c r="Z1562" s="133"/>
    </row>
    <row r="1563">
      <c r="A1563" s="133">
        <f>IFERROR(__xludf.DUMMYFUNCTION("""COMPUTED_VALUE"""),1564.0)</f>
        <v>1564</v>
      </c>
      <c r="B1563" s="133"/>
      <c r="C1563" s="133" t="str">
        <f>IFERROR(__xludf.DUMMYFUNCTION("""COMPUTED_VALUE"""),"P-1-N-140124-322")</f>
        <v>P-1-N-140124-322</v>
      </c>
      <c r="D1563" s="133"/>
      <c r="E1563" s="133" t="str">
        <f>IFERROR(__xludf.DUMMYFUNCTION("""COMPUTED_VALUE"""),"REJECTED")</f>
        <v>REJECTED</v>
      </c>
      <c r="F1563" s="133" t="str">
        <f>IFERROR(__xludf.DUMMYFUNCTION("""COMPUTED_VALUE"""),"Applaws Chicken Breast with Cheese 70 gram")</f>
        <v>Applaws Chicken Breast with Cheese 70 gram</v>
      </c>
      <c r="G1563" s="133" t="str">
        <f>IFERROR(__xludf.DUMMYFUNCTION("""COMPUTED_VALUE"""),"ابلاوز صدور الدجاج مع الجبنة 70 جرام")</f>
        <v>ابلاوز صدور الدجاج مع الجبنة 70 جرام</v>
      </c>
      <c r="H1563" s="133"/>
      <c r="I1563" s="133"/>
      <c r="J1563" s="133"/>
      <c r="K1563" s="133" t="str">
        <f>IFERROR(__xludf.DUMMYFUNCTION("""COMPUTED_VALUE"""),"أم بي أم برودكتس ليمتد")</f>
        <v>أم بي أم برودكتس ليمتد</v>
      </c>
      <c r="L1563" s="133"/>
      <c r="M1563" s="133"/>
      <c r="N1563" s="133"/>
      <c r="O1563" s="133"/>
      <c r="P1563" s="133"/>
      <c r="Q1563" s="133"/>
      <c r="R1563" s="133"/>
      <c r="S1563" s="133"/>
      <c r="T1563" s="133"/>
      <c r="U1563" s="133"/>
      <c r="V1563" s="133"/>
      <c r="W1563" s="133"/>
      <c r="X1563" s="133"/>
      <c r="Y1563" s="133"/>
      <c r="Z1563" s="133"/>
    </row>
    <row r="1564">
      <c r="A1564" s="133">
        <f>IFERROR(__xludf.DUMMYFUNCTION("""COMPUTED_VALUE"""),1565.0)</f>
        <v>1565</v>
      </c>
      <c r="B1564" s="133"/>
      <c r="C1564" s="133" t="str">
        <f>IFERROR(__xludf.DUMMYFUNCTION("""COMPUTED_VALUE"""),"P-1-N-140124-324")</f>
        <v>P-1-N-140124-324</v>
      </c>
      <c r="D1564" s="133"/>
      <c r="E1564" s="133" t="str">
        <f>IFERROR(__xludf.DUMMYFUNCTION("""COMPUTED_VALUE"""),"REJECTED")</f>
        <v>REJECTED</v>
      </c>
      <c r="F1564" s="133" t="str">
        <f>IFERROR(__xludf.DUMMYFUNCTION("""COMPUTED_VALUE"""),"Applaws Chicken Breast with Pumpkin 70 gram")</f>
        <v>Applaws Chicken Breast with Pumpkin 70 gram</v>
      </c>
      <c r="G1564" s="133" t="str">
        <f>IFERROR(__xludf.DUMMYFUNCTION("""COMPUTED_VALUE"""),"ابلاوز صدور الدجاج مع اليقطين 70 جرام")</f>
        <v>ابلاوز صدور الدجاج مع اليقطين 70 جرام</v>
      </c>
      <c r="H1564" s="133"/>
      <c r="I1564" s="133"/>
      <c r="J1564" s="133"/>
      <c r="K1564" s="133" t="str">
        <f>IFERROR(__xludf.DUMMYFUNCTION("""COMPUTED_VALUE"""),"أم بي أم برودكتس ليمتد")</f>
        <v>أم بي أم برودكتس ليمتد</v>
      </c>
      <c r="L1564" s="133"/>
      <c r="M1564" s="133"/>
      <c r="N1564" s="133"/>
      <c r="O1564" s="133"/>
      <c r="P1564" s="133"/>
      <c r="Q1564" s="133"/>
      <c r="R1564" s="133"/>
      <c r="S1564" s="133"/>
      <c r="T1564" s="133"/>
      <c r="U1564" s="133"/>
      <c r="V1564" s="133"/>
      <c r="W1564" s="133"/>
      <c r="X1564" s="133"/>
      <c r="Y1564" s="133"/>
      <c r="Z1564" s="133"/>
    </row>
    <row r="1565">
      <c r="A1565" s="133">
        <f>IFERROR(__xludf.DUMMYFUNCTION("""COMPUTED_VALUE"""),1566.0)</f>
        <v>1566</v>
      </c>
      <c r="B1565" s="133"/>
      <c r="C1565" s="133" t="str">
        <f>IFERROR(__xludf.DUMMYFUNCTION("""COMPUTED_VALUE"""),"P-1-N-140124-326")</f>
        <v>P-1-N-140124-326</v>
      </c>
      <c r="D1565" s="133"/>
      <c r="E1565" s="133" t="str">
        <f>IFERROR(__xludf.DUMMYFUNCTION("""COMPUTED_VALUE"""),"REJECTED")</f>
        <v>REJECTED</v>
      </c>
      <c r="F1565" s="133" t="str">
        <f>IFERROR(__xludf.DUMMYFUNCTION("""COMPUTED_VALUE"""),"Applaws Tuna with crab 60 gram")</f>
        <v>Applaws Tuna with crab 60 gram</v>
      </c>
      <c r="G1565" s="133" t="str">
        <f>IFERROR(__xludf.DUMMYFUNCTION("""COMPUTED_VALUE"""),"ابلاوز تونة مع السلطعون البحري 60 جرام")</f>
        <v>ابلاوز تونة مع السلطعون البحري 60 جرام</v>
      </c>
      <c r="H1565" s="133"/>
      <c r="I1565" s="133"/>
      <c r="J1565" s="133"/>
      <c r="K1565" s="133" t="str">
        <f>IFERROR(__xludf.DUMMYFUNCTION("""COMPUTED_VALUE"""),"أم بي أم برودكتس ليمتد")</f>
        <v>أم بي أم برودكتس ليمتد</v>
      </c>
      <c r="L1565" s="133"/>
      <c r="M1565" s="133"/>
      <c r="N1565" s="133"/>
      <c r="O1565" s="133"/>
      <c r="P1565" s="133"/>
      <c r="Q1565" s="133"/>
      <c r="R1565" s="133"/>
      <c r="S1565" s="133"/>
      <c r="T1565" s="133"/>
      <c r="U1565" s="133"/>
      <c r="V1565" s="133"/>
      <c r="W1565" s="133"/>
      <c r="X1565" s="133"/>
      <c r="Y1565" s="133"/>
      <c r="Z1565" s="133"/>
    </row>
    <row r="1566">
      <c r="A1566" s="133">
        <f>IFERROR(__xludf.DUMMYFUNCTION("""COMPUTED_VALUE"""),1567.0)</f>
        <v>1567</v>
      </c>
      <c r="B1566" s="133"/>
      <c r="C1566" s="133" t="str">
        <f>IFERROR(__xludf.DUMMYFUNCTION("""COMPUTED_VALUE"""),"P-1-N-150124-333")</f>
        <v>P-1-N-150124-333</v>
      </c>
      <c r="D1566" s="133"/>
      <c r="E1566" s="133" t="str">
        <f>IFERROR(__xludf.DUMMYFUNCTION("""COMPUTED_VALUE"""),"REJECTED")</f>
        <v>REJECTED</v>
      </c>
      <c r="F1566" s="133" t="str">
        <f>IFERROR(__xludf.DUMMYFUNCTION("""COMPUTED_VALUE"""),"Tuna with Prawn 60 gram")</f>
        <v>Tuna with Prawn 60 gram</v>
      </c>
      <c r="G1566" s="133" t="str">
        <f>IFERROR(__xludf.DUMMYFUNCTION("""COMPUTED_VALUE"""),"ابلاوز تونة بالربيان 60 جرام")</f>
        <v>ابلاوز تونة بالربيان 60 جرام</v>
      </c>
      <c r="H1566" s="133"/>
      <c r="I1566" s="133"/>
      <c r="J1566" s="133"/>
      <c r="K1566" s="133" t="str">
        <f>IFERROR(__xludf.DUMMYFUNCTION("""COMPUTED_VALUE"""),"أم بي أم برودكتس ليمتد")</f>
        <v>أم بي أم برودكتس ليمتد</v>
      </c>
      <c r="L1566" s="133"/>
      <c r="M1566" s="133"/>
      <c r="N1566" s="133"/>
      <c r="O1566" s="133"/>
      <c r="P1566" s="133"/>
      <c r="Q1566" s="133"/>
      <c r="R1566" s="133"/>
      <c r="S1566" s="133"/>
      <c r="T1566" s="133"/>
      <c r="U1566" s="133"/>
      <c r="V1566" s="133"/>
      <c r="W1566" s="133"/>
      <c r="X1566" s="133"/>
      <c r="Y1566" s="133"/>
      <c r="Z1566" s="133"/>
    </row>
    <row r="1567">
      <c r="A1567" s="133">
        <f>IFERROR(__xludf.DUMMYFUNCTION("""COMPUTED_VALUE"""),1568.0)</f>
        <v>1568</v>
      </c>
      <c r="B1567" s="133"/>
      <c r="C1567" s="133" t="str">
        <f>IFERROR(__xludf.DUMMYFUNCTION("""COMPUTED_VALUE"""),"P-1-N-150124-334")</f>
        <v>P-1-N-150124-334</v>
      </c>
      <c r="D1567" s="133"/>
      <c r="E1567" s="133" t="str">
        <f>IFERROR(__xludf.DUMMYFUNCTION("""COMPUTED_VALUE"""),"REJECTED")</f>
        <v>REJECTED</v>
      </c>
      <c r="F1567" s="133" t="str">
        <f>IFERROR(__xludf.DUMMYFUNCTION("""COMPUTED_VALUE"""),"Chicken with Duck 60 gram")</f>
        <v>Chicken with Duck 60 gram</v>
      </c>
      <c r="G1567" s="133" t="str">
        <f>IFERROR(__xludf.DUMMYFUNCTION("""COMPUTED_VALUE"""),"صدور الدجاج مع البط 60 جرام")</f>
        <v>صدور الدجاج مع البط 60 جرام</v>
      </c>
      <c r="H1567" s="133"/>
      <c r="I1567" s="133"/>
      <c r="J1567" s="133"/>
      <c r="K1567" s="133" t="str">
        <f>IFERROR(__xludf.DUMMYFUNCTION("""COMPUTED_VALUE"""),"أم بي أم برودكتس ليمتد")</f>
        <v>أم بي أم برودكتس ليمتد</v>
      </c>
      <c r="L1567" s="133"/>
      <c r="M1567" s="133"/>
      <c r="N1567" s="133"/>
      <c r="O1567" s="133"/>
      <c r="P1567" s="133"/>
      <c r="Q1567" s="133"/>
      <c r="R1567" s="133"/>
      <c r="S1567" s="133"/>
      <c r="T1567" s="133"/>
      <c r="U1567" s="133"/>
      <c r="V1567" s="133"/>
      <c r="W1567" s="133"/>
      <c r="X1567" s="133"/>
      <c r="Y1567" s="133"/>
      <c r="Z1567" s="133"/>
    </row>
    <row r="1568">
      <c r="A1568" s="133">
        <f>IFERROR(__xludf.DUMMYFUNCTION("""COMPUTED_VALUE"""),1569.0)</f>
        <v>1569</v>
      </c>
      <c r="B1568" s="133" t="str">
        <f>IFERROR(__xludf.DUMMYFUNCTION("""COMPUTED_VALUE"""),"6041A")</f>
        <v>6041A</v>
      </c>
      <c r="C1568" s="133" t="str">
        <f>IFERROR(__xludf.DUMMYFUNCTION("""COMPUTED_VALUE"""),"P-1-N-160124-368")</f>
        <v>P-1-N-160124-368</v>
      </c>
      <c r="D1568" s="133"/>
      <c r="E1568" s="133" t="str">
        <f>IFERROR(__xludf.DUMMYFUNCTION("""COMPUTED_VALUE"""),"تمت طباعة الشهادة")</f>
        <v>تمت طباعة الشهادة</v>
      </c>
      <c r="F1568" s="133" t="str">
        <f>IFERROR(__xludf.DUMMYFUNCTION("""COMPUTED_VALUE"""),"Delicious Dinners Pouch Chicken And Liver CIJ /Chicken And Beef CIJ 4x100g")</f>
        <v>Delicious Dinners Pouch Chicken And Liver CIJ /Chicken And Beef CIJ 4x100g</v>
      </c>
      <c r="G1568" s="133" t="str">
        <f>IFERROR(__xludf.DUMMYFUNCTION("""COMPUTED_VALUE"""),"عشاء لذيذ كيس الدجاج والكبد قطع في الجيلي/ الدجاج و لحم البقر قطع في الجيلي 4×100 جم")</f>
        <v>عشاء لذيذ كيس الدجاج والكبد قطع في الجيلي/ الدجاج و لحم البقر قطع في الجيلي 4×100 جم</v>
      </c>
      <c r="H1568" s="133" t="str">
        <f>IFERROR(__xludf.DUMMYFUNCTION("""COMPUTED_VALUE"""),"MAFE2024307")</f>
        <v>MAFE2024307</v>
      </c>
      <c r="I1568" s="133"/>
      <c r="J1568" s="133"/>
      <c r="K1568" s="133" t="str">
        <f>IFERROR(__xludf.DUMMYFUNCTION("""COMPUTED_VALUE"""),"بوتشرز بت كير ال تي دي")</f>
        <v>بوتشرز بت كير ال تي دي</v>
      </c>
      <c r="L1568" s="142" t="str">
        <f>IFERROR(__xludf.DUMMYFUNCTION("""COMPUTED_VALUE"""),"6041A")</f>
        <v>6041A</v>
      </c>
      <c r="M1568" s="133"/>
      <c r="N1568" s="133"/>
      <c r="O1568" s="133"/>
      <c r="P1568" s="133"/>
      <c r="Q1568" s="133"/>
      <c r="R1568" s="133"/>
      <c r="S1568" s="133"/>
      <c r="T1568" s="133"/>
      <c r="U1568" s="133"/>
      <c r="V1568" s="133"/>
      <c r="W1568" s="133"/>
      <c r="X1568" s="133"/>
      <c r="Y1568" s="133"/>
      <c r="Z1568" s="133"/>
    </row>
    <row r="1569">
      <c r="A1569" s="133">
        <f>IFERROR(__xludf.DUMMYFUNCTION("""COMPUTED_VALUE"""),1570.0)</f>
        <v>1570</v>
      </c>
      <c r="B1569" s="133"/>
      <c r="C1569" s="133" t="str">
        <f>IFERROR(__xludf.DUMMYFUNCTION("""COMPUTED_VALUE"""),"P-1-N-160124-369")</f>
        <v>P-1-N-160124-369</v>
      </c>
      <c r="D1569" s="133"/>
      <c r="E1569" s="133" t="str">
        <f>IFERROR(__xludf.DUMMYFUNCTION("""COMPUTED_VALUE"""),"تمت طباعة الشهادة")</f>
        <v>تمت طباعة الشهادة</v>
      </c>
      <c r="F1569" s="133" t="str">
        <f>IFERROR(__xludf.DUMMYFUNCTION("""COMPUTED_VALUE"""),"Delicious Dinners Pouch with Ocean Fish CIJ/ with Haddock CIJ 4x100g")</f>
        <v>Delicious Dinners Pouch with Ocean Fish CIJ/ with Haddock CIJ 4x100g</v>
      </c>
      <c r="G1569" s="133" t="str">
        <f>IFERROR(__xludf.DUMMYFUNCTION("""COMPUTED_VALUE"""),"عشاء لذيذ كيس أسماك المحيط قطع في الجيلي/ بسمك الحدوق قطع في الجيلي 4 ×100 جم")</f>
        <v>عشاء لذيذ كيس أسماك المحيط قطع في الجيلي/ بسمك الحدوق قطع في الجيلي 4 ×100 جم</v>
      </c>
      <c r="H1569" s="133" t="str">
        <f>IFERROR(__xludf.DUMMYFUNCTION("""COMPUTED_VALUE"""),"MAFE2024309")</f>
        <v>MAFE2024309</v>
      </c>
      <c r="I1569" s="133"/>
      <c r="J1569" s="133"/>
      <c r="K1569" s="133" t="str">
        <f>IFERROR(__xludf.DUMMYFUNCTION("""COMPUTED_VALUE"""),"بوتشرز بت كير ال تي دي")</f>
        <v>بوتشرز بت كير ال تي دي</v>
      </c>
      <c r="L1569" s="133"/>
      <c r="M1569" s="133"/>
      <c r="N1569" s="133"/>
      <c r="O1569" s="133"/>
      <c r="P1569" s="133"/>
      <c r="Q1569" s="133"/>
      <c r="R1569" s="133"/>
      <c r="S1569" s="133"/>
      <c r="T1569" s="133"/>
      <c r="U1569" s="133"/>
      <c r="V1569" s="133"/>
      <c r="W1569" s="133"/>
      <c r="X1569" s="133"/>
      <c r="Y1569" s="133"/>
      <c r="Z1569" s="133"/>
    </row>
    <row r="1570">
      <c r="A1570" s="133">
        <f>IFERROR(__xludf.DUMMYFUNCTION("""COMPUTED_VALUE"""),1571.0)</f>
        <v>1571</v>
      </c>
      <c r="B1570" s="133"/>
      <c r="C1570" s="133" t="str">
        <f>IFERROR(__xludf.DUMMYFUNCTION("""COMPUTED_VALUE"""),"P-1-N-160124-370")</f>
        <v>P-1-N-160124-370</v>
      </c>
      <c r="D1570" s="133"/>
      <c r="E1570" s="133" t="str">
        <f>IFERROR(__xludf.DUMMYFUNCTION("""COMPUTED_VALUE"""),"تمت طباعة الشهادة")</f>
        <v>تمت طباعة الشهادة</v>
      </c>
      <c r="F1570" s="133" t="str">
        <f>IFERROR(__xludf.DUMMYFUNCTION("""COMPUTED_VALUE"""),"Delicious Dinners Pouch Chicken And Salmon CIJ /with Trout CIJ 4x100g")</f>
        <v>Delicious Dinners Pouch Chicken And Salmon CIJ /with Trout CIJ 4x100g</v>
      </c>
      <c r="G1570" s="133" t="str">
        <f>IFERROR(__xludf.DUMMYFUNCTION("""COMPUTED_VALUE"""),"عشاء لذيذ كيس الدجاج والسلمون قطع في الجيلي/ بسمك السلمون المرقط قطع في الجيلي 4 ×100 جم")</f>
        <v>عشاء لذيذ كيس الدجاج والسلمون قطع في الجيلي/ بسمك السلمون المرقط قطع في الجيلي 4 ×100 جم</v>
      </c>
      <c r="H1570" s="133" t="str">
        <f>IFERROR(__xludf.DUMMYFUNCTION("""COMPUTED_VALUE"""),"MAFE2024310")</f>
        <v>MAFE2024310</v>
      </c>
      <c r="I1570" s="133"/>
      <c r="J1570" s="133"/>
      <c r="K1570" s="133" t="str">
        <f>IFERROR(__xludf.DUMMYFUNCTION("""COMPUTED_VALUE"""),"بوتشرز بت كير ال تي دي")</f>
        <v>بوتشرز بت كير ال تي دي</v>
      </c>
      <c r="L1570" s="133"/>
      <c r="M1570" s="133"/>
      <c r="N1570" s="133"/>
      <c r="O1570" s="133"/>
      <c r="P1570" s="133"/>
      <c r="Q1570" s="133"/>
      <c r="R1570" s="133"/>
      <c r="S1570" s="133"/>
      <c r="T1570" s="133"/>
      <c r="U1570" s="133"/>
      <c r="V1570" s="133"/>
      <c r="W1570" s="133"/>
      <c r="X1570" s="133"/>
      <c r="Y1570" s="133"/>
      <c r="Z1570" s="133"/>
    </row>
    <row r="1571">
      <c r="A1571" s="133">
        <f>IFERROR(__xludf.DUMMYFUNCTION("""COMPUTED_VALUE"""),1572.0)</f>
        <v>1572</v>
      </c>
      <c r="B1571" s="133" t="str">
        <f>IFERROR(__xludf.DUMMYFUNCTION("""COMPUTED_VALUE"""),"6042A")</f>
        <v>6042A</v>
      </c>
      <c r="C1571" s="133" t="str">
        <f>IFERROR(__xludf.DUMMYFUNCTION("""COMPUTED_VALUE"""),"P-1-N-160124-371")</f>
        <v>P-1-N-160124-371</v>
      </c>
      <c r="D1571" s="133"/>
      <c r="E1571" s="133" t="str">
        <f>IFERROR(__xludf.DUMMYFUNCTION("""COMPUTED_VALUE"""),"تمت طباعة الشهادة")</f>
        <v>تمت طباعة الشهادة</v>
      </c>
      <c r="F1571" s="133" t="str">
        <f>IFERROR(__xludf.DUMMYFUNCTION("""COMPUTED_VALUE"""),"Delicious Dinners Pouch Chicken CIJ/Chicken And Turkey CIJ 4x100g")</f>
        <v>Delicious Dinners Pouch Chicken CIJ/Chicken And Turkey CIJ 4x100g</v>
      </c>
      <c r="G1571" s="133" t="str">
        <f>IFERROR(__xludf.DUMMYFUNCTION("""COMPUTED_VALUE"""),"عشاء لذيذ كيس الدجاج قطع في الجيلي/ الدجاج والديك الرومي قطع في الجيلي 4 ×100 جم")</f>
        <v>عشاء لذيذ كيس الدجاج قطع في الجيلي/ الدجاج والديك الرومي قطع في الجيلي 4 ×100 جم</v>
      </c>
      <c r="H1571" s="133" t="str">
        <f>IFERROR(__xludf.DUMMYFUNCTION("""COMPUTED_VALUE"""),"MAFE2024311")</f>
        <v>MAFE2024311</v>
      </c>
      <c r="I1571" s="133"/>
      <c r="J1571" s="133"/>
      <c r="K1571" s="133" t="str">
        <f>IFERROR(__xludf.DUMMYFUNCTION("""COMPUTED_VALUE"""),"بوتشرز بت كير ال تي دي")</f>
        <v>بوتشرز بت كير ال تي دي</v>
      </c>
      <c r="L1571" s="142" t="str">
        <f>IFERROR(__xludf.DUMMYFUNCTION("""COMPUTED_VALUE"""),"6042A")</f>
        <v>6042A</v>
      </c>
      <c r="M1571" s="133"/>
      <c r="N1571" s="133"/>
      <c r="O1571" s="133"/>
      <c r="P1571" s="133"/>
      <c r="Q1571" s="133"/>
      <c r="R1571" s="133"/>
      <c r="S1571" s="133"/>
      <c r="T1571" s="133"/>
      <c r="U1571" s="133"/>
      <c r="V1571" s="133"/>
      <c r="W1571" s="133"/>
      <c r="X1571" s="133"/>
      <c r="Y1571" s="133"/>
      <c r="Z1571" s="133"/>
    </row>
    <row r="1572">
      <c r="A1572" s="133">
        <f>IFERROR(__xludf.DUMMYFUNCTION("""COMPUTED_VALUE"""),1573.0)</f>
        <v>1573</v>
      </c>
      <c r="B1572" s="133"/>
      <c r="C1572" s="133" t="str">
        <f>IFERROR(__xludf.DUMMYFUNCTION("""COMPUTED_VALUE"""),"P-1-N-160124-372")</f>
        <v>P-1-N-160124-372</v>
      </c>
      <c r="D1572" s="133"/>
      <c r="E1572" s="133" t="str">
        <f>IFERROR(__xludf.DUMMYFUNCTION("""COMPUTED_VALUE"""),"تمت طباعة الشهادة")</f>
        <v>تمت طباعة الشهادة</v>
      </c>
      <c r="F1572" s="133" t="str">
        <f>IFERROR(__xludf.DUMMYFUNCTION("""COMPUTED_VALUE"""),"Delicious Dinners Pouch Chicken CIJ/ Chicken And Turkey CIJ /Chicken And Liver CIJ /Chicken And Beef CIJ 4x100g")</f>
        <v>Delicious Dinners Pouch Chicken CIJ/ Chicken And Turkey CIJ /Chicken And Liver CIJ /Chicken And Beef CIJ 4x100g</v>
      </c>
      <c r="G1572" s="133" t="str">
        <f>IFERROR(__xludf.DUMMYFUNCTION("""COMPUTED_VALUE"""),"عشاء لذيذ كيس الدجاج قطع في الجيلي/ الدجاج والديك الرومي قطع في الجيلي/ الدجاج والكبد قطع في الجيلي/ الدجاج و لحم البقر قطع في الجيلي 4 ×100 جم")</f>
        <v>عشاء لذيذ كيس الدجاج قطع في الجيلي/ الدجاج والديك الرومي قطع في الجيلي/ الدجاج والكبد قطع في الجيلي/ الدجاج و لحم البقر قطع في الجيلي 4 ×100 جم</v>
      </c>
      <c r="H1572" s="133" t="str">
        <f>IFERROR(__xludf.DUMMYFUNCTION("""COMPUTED_VALUE"""),"MAFE2024312")</f>
        <v>MAFE2024312</v>
      </c>
      <c r="I1572" s="133"/>
      <c r="J1572" s="133"/>
      <c r="K1572" s="133" t="str">
        <f>IFERROR(__xludf.DUMMYFUNCTION("""COMPUTED_VALUE"""),"بوتشرز بت كير ال تي دي")</f>
        <v>بوتشرز بت كير ال تي دي</v>
      </c>
      <c r="L1572" s="133"/>
      <c r="M1572" s="133"/>
      <c r="N1572" s="133"/>
      <c r="O1572" s="133"/>
      <c r="P1572" s="133"/>
      <c r="Q1572" s="133"/>
      <c r="R1572" s="133"/>
      <c r="S1572" s="133"/>
      <c r="T1572" s="133"/>
      <c r="U1572" s="133"/>
      <c r="V1572" s="133"/>
      <c r="W1572" s="133"/>
      <c r="X1572" s="133"/>
      <c r="Y1572" s="133"/>
      <c r="Z1572" s="133"/>
    </row>
    <row r="1573">
      <c r="A1573" s="133">
        <f>IFERROR(__xludf.DUMMYFUNCTION("""COMPUTED_VALUE"""),1574.0)</f>
        <v>1574</v>
      </c>
      <c r="B1573" s="133"/>
      <c r="C1573" s="133" t="str">
        <f>IFERROR(__xludf.DUMMYFUNCTION("""COMPUTED_VALUE"""),"P-1-N-180124-453")</f>
        <v>P-1-N-180124-453</v>
      </c>
      <c r="D1573" s="133"/>
      <c r="E1573" s="133" t="str">
        <f>IFERROR(__xludf.DUMMYFUNCTION("""COMPUTED_VALUE"""),"تمت طباعة الشهادة")</f>
        <v>تمت طباعة الشهادة</v>
      </c>
      <c r="F1573" s="133" t="str">
        <f>IFERROR(__xludf.DUMMYFUNCTION("""COMPUTED_VALUE"""),"BAB’IN CLASSIC JUNIOR 3 KG")</f>
        <v>BAB’IN CLASSIC JUNIOR 3 KG</v>
      </c>
      <c r="G1573" s="133" t="str">
        <f>IFERROR(__xludf.DUMMYFUNCTION("""COMPUTED_VALUE"""),"بابين كلاسيك جونيور 3 كجم")</f>
        <v>بابين كلاسيك جونيور 3 كجم</v>
      </c>
      <c r="H1573" s="133" t="str">
        <f>IFERROR(__xludf.DUMMYFUNCTION("""COMPUTED_VALUE"""),"MAFE2024313")</f>
        <v>MAFE2024313</v>
      </c>
      <c r="I1573" s="133"/>
      <c r="J1573" s="133"/>
      <c r="K1573" s="133" t="str">
        <f>IFERROR(__xludf.DUMMYFUNCTION("""COMPUTED_VALUE"""),"كوديكو")</f>
        <v>كوديكو</v>
      </c>
      <c r="L1573" s="133"/>
      <c r="M1573" s="133"/>
      <c r="N1573" s="133"/>
      <c r="O1573" s="133"/>
      <c r="P1573" s="133"/>
      <c r="Q1573" s="133"/>
      <c r="R1573" s="133"/>
      <c r="S1573" s="133"/>
      <c r="T1573" s="133"/>
      <c r="U1573" s="133"/>
      <c r="V1573" s="133"/>
      <c r="W1573" s="133"/>
      <c r="X1573" s="133"/>
      <c r="Y1573" s="133"/>
      <c r="Z1573" s="133"/>
    </row>
    <row r="1574">
      <c r="A1574" s="133">
        <f>IFERROR(__xludf.DUMMYFUNCTION("""COMPUTED_VALUE"""),1575.0)</f>
        <v>1575</v>
      </c>
      <c r="B1574" s="133"/>
      <c r="C1574" s="133" t="str">
        <f>IFERROR(__xludf.DUMMYFUNCTION("""COMPUTED_VALUE"""),"P-1-N-180124-454")</f>
        <v>P-1-N-180124-454</v>
      </c>
      <c r="D1574" s="133"/>
      <c r="E1574" s="133" t="str">
        <f>IFERROR(__xludf.DUMMYFUNCTION("""COMPUTED_VALUE"""),"تمت طباعة الشهادة")</f>
        <v>تمت طباعة الشهادة</v>
      </c>
      <c r="F1574" s="133" t="str">
        <f>IFERROR(__xludf.DUMMYFUNCTION("""COMPUTED_VALUE"""),"BAB’IN CLASSIC JUNIOR 14 KG")</f>
        <v>BAB’IN CLASSIC JUNIOR 14 KG</v>
      </c>
      <c r="G1574" s="133" t="str">
        <f>IFERROR(__xludf.DUMMYFUNCTION("""COMPUTED_VALUE"""),"بابين كلاسيك جونيور 14 كجم")</f>
        <v>بابين كلاسيك جونيور 14 كجم</v>
      </c>
      <c r="H1574" s="133" t="str">
        <f>IFERROR(__xludf.DUMMYFUNCTION("""COMPUTED_VALUE"""),"MAFE2024314")</f>
        <v>MAFE2024314</v>
      </c>
      <c r="I1574" s="133"/>
      <c r="J1574" s="133"/>
      <c r="K1574" s="133" t="str">
        <f>IFERROR(__xludf.DUMMYFUNCTION("""COMPUTED_VALUE"""),"كوديكو")</f>
        <v>كوديكو</v>
      </c>
      <c r="L1574" s="133"/>
      <c r="M1574" s="133"/>
      <c r="N1574" s="133"/>
      <c r="O1574" s="133"/>
      <c r="P1574" s="133"/>
      <c r="Q1574" s="133"/>
      <c r="R1574" s="133"/>
      <c r="S1574" s="133"/>
      <c r="T1574" s="133"/>
      <c r="U1574" s="133"/>
      <c r="V1574" s="133"/>
      <c r="W1574" s="133"/>
      <c r="X1574" s="133"/>
      <c r="Y1574" s="133"/>
      <c r="Z1574" s="133"/>
    </row>
    <row r="1575">
      <c r="A1575" s="133">
        <f>IFERROR(__xludf.DUMMYFUNCTION("""COMPUTED_VALUE"""),1576.0)</f>
        <v>1576</v>
      </c>
      <c r="B1575" s="133"/>
      <c r="C1575" s="133" t="str">
        <f>IFERROR(__xludf.DUMMYFUNCTION("""COMPUTED_VALUE"""),"P-1-N-180124-455")</f>
        <v>P-1-N-180124-455</v>
      </c>
      <c r="D1575" s="133"/>
      <c r="E1575" s="133" t="str">
        <f>IFERROR(__xludf.DUMMYFUNCTION("""COMPUTED_VALUE"""),"تمت طباعة الشهادة")</f>
        <v>تمت طباعة الشهادة</v>
      </c>
      <c r="F1575" s="133" t="str">
        <f>IFERROR(__xludf.DUMMYFUNCTION("""COMPUTED_VALUE"""),"BAB’IN CLASSIC MAINTENANCE 3 KG")</f>
        <v>BAB’IN CLASSIC MAINTENANCE 3 KG</v>
      </c>
      <c r="G1575" s="133" t="str">
        <f>IFERROR(__xludf.DUMMYFUNCTION("""COMPUTED_VALUE"""),"بابين كلاسيك ماينتينانس 3 كجم")</f>
        <v>بابين كلاسيك ماينتينانس 3 كجم</v>
      </c>
      <c r="H1575" s="133" t="str">
        <f>IFERROR(__xludf.DUMMYFUNCTION("""COMPUTED_VALUE"""),"MAFE2024315")</f>
        <v>MAFE2024315</v>
      </c>
      <c r="I1575" s="133"/>
      <c r="J1575" s="133"/>
      <c r="K1575" s="133" t="str">
        <f>IFERROR(__xludf.DUMMYFUNCTION("""COMPUTED_VALUE"""),"كوديكو")</f>
        <v>كوديكو</v>
      </c>
      <c r="L1575" s="133"/>
      <c r="M1575" s="133"/>
      <c r="N1575" s="133"/>
      <c r="O1575" s="133"/>
      <c r="P1575" s="133"/>
      <c r="Q1575" s="133"/>
      <c r="R1575" s="133"/>
      <c r="S1575" s="133"/>
      <c r="T1575" s="133"/>
      <c r="U1575" s="133"/>
      <c r="V1575" s="133"/>
      <c r="W1575" s="133"/>
      <c r="X1575" s="133"/>
      <c r="Y1575" s="133"/>
      <c r="Z1575" s="133"/>
    </row>
    <row r="1576">
      <c r="A1576" s="133">
        <f>IFERROR(__xludf.DUMMYFUNCTION("""COMPUTED_VALUE"""),1577.0)</f>
        <v>1577</v>
      </c>
      <c r="B1576" s="133"/>
      <c r="C1576" s="133" t="str">
        <f>IFERROR(__xludf.DUMMYFUNCTION("""COMPUTED_VALUE"""),"P-1-N-180124-456")</f>
        <v>P-1-N-180124-456</v>
      </c>
      <c r="D1576" s="133"/>
      <c r="E1576" s="133" t="str">
        <f>IFERROR(__xludf.DUMMYFUNCTION("""COMPUTED_VALUE"""),"تمت طباعة الشهادة")</f>
        <v>تمت طباعة الشهادة</v>
      </c>
      <c r="F1576" s="133" t="str">
        <f>IFERROR(__xludf.DUMMYFUNCTION("""COMPUTED_VALUE"""),"BAB’IN CLASSIC MAINTENANCE 14 KG")</f>
        <v>BAB’IN CLASSIC MAINTENANCE 14 KG</v>
      </c>
      <c r="G1576" s="133" t="str">
        <f>IFERROR(__xludf.DUMMYFUNCTION("""COMPUTED_VALUE"""),"بابين كلاسيك ماينتينانس 14 كجم")</f>
        <v>بابين كلاسيك ماينتينانس 14 كجم</v>
      </c>
      <c r="H1576" s="133" t="str">
        <f>IFERROR(__xludf.DUMMYFUNCTION("""COMPUTED_VALUE"""),"MAFE2024316")</f>
        <v>MAFE2024316</v>
      </c>
      <c r="I1576" s="133"/>
      <c r="J1576" s="133"/>
      <c r="K1576" s="133" t="str">
        <f>IFERROR(__xludf.DUMMYFUNCTION("""COMPUTED_VALUE"""),"كوديكو")</f>
        <v>كوديكو</v>
      </c>
      <c r="L1576" s="133"/>
      <c r="M1576" s="133"/>
      <c r="N1576" s="133"/>
      <c r="O1576" s="133"/>
      <c r="P1576" s="133"/>
      <c r="Q1576" s="133"/>
      <c r="R1576" s="133"/>
      <c r="S1576" s="133"/>
      <c r="T1576" s="133"/>
      <c r="U1576" s="133"/>
      <c r="V1576" s="133"/>
      <c r="W1576" s="133"/>
      <c r="X1576" s="133"/>
      <c r="Y1576" s="133"/>
      <c r="Z1576" s="133"/>
    </row>
    <row r="1577">
      <c r="A1577" s="133">
        <f>IFERROR(__xludf.DUMMYFUNCTION("""COMPUTED_VALUE"""),1578.0)</f>
        <v>1578</v>
      </c>
      <c r="B1577" s="133"/>
      <c r="C1577" s="133" t="str">
        <f>IFERROR(__xludf.DUMMYFUNCTION("""COMPUTED_VALUE"""),"P-1-N-180124-458")</f>
        <v>P-1-N-180124-458</v>
      </c>
      <c r="D1577" s="133"/>
      <c r="E1577" s="133" t="str">
        <f>IFERROR(__xludf.DUMMYFUNCTION("""COMPUTED_VALUE"""),"تمت طباعة الشهادة")</f>
        <v>تمت طباعة الشهادة</v>
      </c>
      <c r="F1577" s="133" t="str">
        <f>IFERROR(__xludf.DUMMYFUNCTION("""COMPUTED_VALUE"""),"BAB’IN CLASSIC EFFORT 3 KG")</f>
        <v>BAB’IN CLASSIC EFFORT 3 KG</v>
      </c>
      <c r="G1577" s="133" t="str">
        <f>IFERROR(__xludf.DUMMYFUNCTION("""COMPUTED_VALUE"""),"بابين كلاسيك إففورت 3 كجم")</f>
        <v>بابين كلاسيك إففورت 3 كجم</v>
      </c>
      <c r="H1577" s="133" t="str">
        <f>IFERROR(__xludf.DUMMYFUNCTION("""COMPUTED_VALUE"""),"MAFE2024317")</f>
        <v>MAFE2024317</v>
      </c>
      <c r="I1577" s="133"/>
      <c r="J1577" s="133"/>
      <c r="K1577" s="133" t="str">
        <f>IFERROR(__xludf.DUMMYFUNCTION("""COMPUTED_VALUE"""),"كوديكو")</f>
        <v>كوديكو</v>
      </c>
      <c r="L1577" s="133"/>
      <c r="M1577" s="133"/>
      <c r="N1577" s="133"/>
      <c r="O1577" s="133"/>
      <c r="P1577" s="133"/>
      <c r="Q1577" s="133"/>
      <c r="R1577" s="133"/>
      <c r="S1577" s="133"/>
      <c r="T1577" s="133"/>
      <c r="U1577" s="133"/>
      <c r="V1577" s="133"/>
      <c r="W1577" s="133"/>
      <c r="X1577" s="133"/>
      <c r="Y1577" s="133"/>
      <c r="Z1577" s="133"/>
    </row>
    <row r="1578">
      <c r="A1578" s="133">
        <f>IFERROR(__xludf.DUMMYFUNCTION("""COMPUTED_VALUE"""),1579.0)</f>
        <v>1579</v>
      </c>
      <c r="B1578" s="133"/>
      <c r="C1578" s="133" t="str">
        <f>IFERROR(__xludf.DUMMYFUNCTION("""COMPUTED_VALUE"""),"P-1-N-180124-459")</f>
        <v>P-1-N-180124-459</v>
      </c>
      <c r="D1578" s="133"/>
      <c r="E1578" s="133" t="str">
        <f>IFERROR(__xludf.DUMMYFUNCTION("""COMPUTED_VALUE"""),"تمت طباعة الشهادة")</f>
        <v>تمت طباعة الشهادة</v>
      </c>
      <c r="F1578" s="133" t="str">
        <f>IFERROR(__xludf.DUMMYFUNCTION("""COMPUTED_VALUE"""),"BAB’IN CLASSIC EFFORT 14 KG")</f>
        <v>BAB’IN CLASSIC EFFORT 14 KG</v>
      </c>
      <c r="G1578" s="133" t="str">
        <f>IFERROR(__xludf.DUMMYFUNCTION("""COMPUTED_VALUE"""),"بابين كلاسيك إففورت 14 كجم")</f>
        <v>بابين كلاسيك إففورت 14 كجم</v>
      </c>
      <c r="H1578" s="133" t="str">
        <f>IFERROR(__xludf.DUMMYFUNCTION("""COMPUTED_VALUE"""),"MAFE2024318")</f>
        <v>MAFE2024318</v>
      </c>
      <c r="I1578" s="133"/>
      <c r="J1578" s="133"/>
      <c r="K1578" s="133" t="str">
        <f>IFERROR(__xludf.DUMMYFUNCTION("""COMPUTED_VALUE"""),"كوديكو")</f>
        <v>كوديكو</v>
      </c>
      <c r="L1578" s="133"/>
      <c r="M1578" s="133"/>
      <c r="N1578" s="133"/>
      <c r="O1578" s="133"/>
      <c r="P1578" s="133"/>
      <c r="Q1578" s="133"/>
      <c r="R1578" s="133"/>
      <c r="S1578" s="133"/>
      <c r="T1578" s="133"/>
      <c r="U1578" s="133"/>
      <c r="V1578" s="133"/>
      <c r="W1578" s="133"/>
      <c r="X1578" s="133"/>
      <c r="Y1578" s="133"/>
      <c r="Z1578" s="133"/>
    </row>
    <row r="1579">
      <c r="A1579" s="133">
        <f>IFERROR(__xludf.DUMMYFUNCTION("""COMPUTED_VALUE"""),1580.0)</f>
        <v>1580</v>
      </c>
      <c r="B1579" s="133"/>
      <c r="C1579" s="133" t="str">
        <f>IFERROR(__xludf.DUMMYFUNCTION("""COMPUTED_VALUE"""),"P-1-N-210124-518")</f>
        <v>P-1-N-210124-518</v>
      </c>
      <c r="D1579" s="133"/>
      <c r="E1579" s="133" t="str">
        <f>IFERROR(__xludf.DUMMYFUNCTION("""COMPUTED_VALUE"""),"REJECTED")</f>
        <v>REJECTED</v>
      </c>
      <c r="F1579" s="133" t="str">
        <f>IFERROR(__xludf.DUMMYFUNCTION("""COMPUTED_VALUE"""),"Applaws Chicken with Tuna Roe 60 gram")</f>
        <v>Applaws Chicken with Tuna Roe 60 gram</v>
      </c>
      <c r="G1579" s="133" t="str">
        <f>IFERROR(__xludf.DUMMYFUNCTION("""COMPUTED_VALUE"""),"ابلاوز دجاج مع بطارخ التونة 60 جرام")</f>
        <v>ابلاوز دجاج مع بطارخ التونة 60 جرام</v>
      </c>
      <c r="H1579" s="133"/>
      <c r="I1579" s="133"/>
      <c r="J1579" s="133"/>
      <c r="K1579" s="133" t="str">
        <f>IFERROR(__xludf.DUMMYFUNCTION("""COMPUTED_VALUE"""),"أم بي أم برودكتس ليمتد")</f>
        <v>أم بي أم برودكتس ليمتد</v>
      </c>
      <c r="L1579" s="133"/>
      <c r="M1579" s="133"/>
      <c r="N1579" s="133"/>
      <c r="O1579" s="133"/>
      <c r="P1579" s="133"/>
      <c r="Q1579" s="133"/>
      <c r="R1579" s="133"/>
      <c r="S1579" s="133"/>
      <c r="T1579" s="133"/>
      <c r="U1579" s="133"/>
      <c r="V1579" s="133"/>
      <c r="W1579" s="133"/>
      <c r="X1579" s="133"/>
      <c r="Y1579" s="133"/>
      <c r="Z1579" s="133"/>
    </row>
    <row r="1580">
      <c r="A1580" s="133">
        <f>IFERROR(__xludf.DUMMYFUNCTION("""COMPUTED_VALUE"""),1581.0)</f>
        <v>1581</v>
      </c>
      <c r="B1580" s="133"/>
      <c r="C1580" s="133" t="str">
        <f>IFERROR(__xludf.DUMMYFUNCTION("""COMPUTED_VALUE"""),"P-1-N-210124-520")</f>
        <v>P-1-N-210124-520</v>
      </c>
      <c r="D1580" s="133"/>
      <c r="E1580" s="133" t="str">
        <f>IFERROR(__xludf.DUMMYFUNCTION("""COMPUTED_VALUE"""),"REJECTED")</f>
        <v>REJECTED</v>
      </c>
      <c r="F1580" s="133" t="str">
        <f>IFERROR(__xludf.DUMMYFUNCTION("""COMPUTED_VALUE"""),"Applaws chicken and Rice 60 gram")</f>
        <v>Applaws chicken and Rice 60 gram</v>
      </c>
      <c r="G1580" s="133" t="str">
        <f>IFERROR(__xludf.DUMMYFUNCTION("""COMPUTED_VALUE"""),"ابلاوز دجاج مع ارز 60 جرام")</f>
        <v>ابلاوز دجاج مع ارز 60 جرام</v>
      </c>
      <c r="H1580" s="133"/>
      <c r="I1580" s="133"/>
      <c r="J1580" s="133"/>
      <c r="K1580" s="133" t="str">
        <f>IFERROR(__xludf.DUMMYFUNCTION("""COMPUTED_VALUE"""),"أم بي أم برودكتس ليمتد")</f>
        <v>أم بي أم برودكتس ليمتد</v>
      </c>
      <c r="L1580" s="133"/>
      <c r="M1580" s="133"/>
      <c r="N1580" s="133"/>
      <c r="O1580" s="133"/>
      <c r="P1580" s="133"/>
      <c r="Q1580" s="133"/>
      <c r="R1580" s="133"/>
      <c r="S1580" s="133"/>
      <c r="T1580" s="133"/>
      <c r="U1580" s="133"/>
      <c r="V1580" s="133"/>
      <c r="W1580" s="133"/>
      <c r="X1580" s="133"/>
      <c r="Y1580" s="133"/>
      <c r="Z1580" s="133"/>
    </row>
    <row r="1581">
      <c r="A1581" s="133">
        <f>IFERROR(__xludf.DUMMYFUNCTION("""COMPUTED_VALUE"""),1582.0)</f>
        <v>1582</v>
      </c>
      <c r="B1581" s="133"/>
      <c r="C1581" s="133" t="str">
        <f>IFERROR(__xludf.DUMMYFUNCTION("""COMPUTED_VALUE"""),"P-1-N-210124-521")</f>
        <v>P-1-N-210124-521</v>
      </c>
      <c r="D1581" s="133"/>
      <c r="E1581" s="133" t="str">
        <f>IFERROR(__xludf.DUMMYFUNCTION("""COMPUTED_VALUE"""),"REJECTED")</f>
        <v>REJECTED</v>
      </c>
      <c r="F1581" s="133" t="str">
        <f>IFERROR(__xludf.DUMMYFUNCTION("""COMPUTED_VALUE"""),"Applaws Sardine and Mackerel 60 gram")</f>
        <v>Applaws Sardine and Mackerel 60 gram</v>
      </c>
      <c r="G1581" s="133" t="str">
        <f>IFERROR(__xludf.DUMMYFUNCTION("""COMPUTED_VALUE"""),"ابلاوز سردين مع ماكريل 60 جرام")</f>
        <v>ابلاوز سردين مع ماكريل 60 جرام</v>
      </c>
      <c r="H1581" s="133"/>
      <c r="I1581" s="133"/>
      <c r="J1581" s="133"/>
      <c r="K1581" s="133" t="str">
        <f>IFERROR(__xludf.DUMMYFUNCTION("""COMPUTED_VALUE"""),"أم بي أم برودكتس ليمتد")</f>
        <v>أم بي أم برودكتس ليمتد</v>
      </c>
      <c r="L1581" s="133"/>
      <c r="M1581" s="133"/>
      <c r="N1581" s="133"/>
      <c r="O1581" s="133"/>
      <c r="P1581" s="133"/>
      <c r="Q1581" s="133"/>
      <c r="R1581" s="133"/>
      <c r="S1581" s="133"/>
      <c r="T1581" s="133"/>
      <c r="U1581" s="133"/>
      <c r="V1581" s="133"/>
      <c r="W1581" s="133"/>
      <c r="X1581" s="133"/>
      <c r="Y1581" s="133"/>
      <c r="Z1581" s="133"/>
    </row>
    <row r="1582">
      <c r="A1582" s="133">
        <f>IFERROR(__xludf.DUMMYFUNCTION("""COMPUTED_VALUE"""),1583.0)</f>
        <v>1583</v>
      </c>
      <c r="B1582" s="133"/>
      <c r="C1582" s="133" t="str">
        <f>IFERROR(__xludf.DUMMYFUNCTION("""COMPUTED_VALUE"""),"P-1-N-210124-523")</f>
        <v>P-1-N-210124-523</v>
      </c>
      <c r="D1582" s="133"/>
      <c r="E1582" s="133" t="str">
        <f>IFERROR(__xludf.DUMMYFUNCTION("""COMPUTED_VALUE"""),"REJECTED")</f>
        <v>REJECTED</v>
      </c>
      <c r="F1582" s="133" t="str">
        <f>IFERROR(__xludf.DUMMYFUNCTION("""COMPUTED_VALUE"""),"Princess Kitten 20kg")</f>
        <v>Princess Kitten 20kg</v>
      </c>
      <c r="G1582" s="133" t="str">
        <f>IFERROR(__xludf.DUMMYFUNCTION("""COMPUTED_VALUE"""),"برنسيس للقطط الصغيرة 20 كج")</f>
        <v>برنسيس للقطط الصغيرة 20 كج</v>
      </c>
      <c r="H1582" s="133"/>
      <c r="I1582" s="133"/>
      <c r="J1582" s="133"/>
      <c r="K1582" s="133" t="str">
        <f>IFERROR(__xludf.DUMMYFUNCTION("""COMPUTED_VALUE"""),"اقريناتورا هادزيتشي")</f>
        <v>اقريناتورا هادزيتشي</v>
      </c>
      <c r="L1582" s="133"/>
      <c r="M1582" s="133"/>
      <c r="N1582" s="133"/>
      <c r="O1582" s="133"/>
      <c r="P1582" s="133"/>
      <c r="Q1582" s="133"/>
      <c r="R1582" s="133"/>
      <c r="S1582" s="133"/>
      <c r="T1582" s="133"/>
      <c r="U1582" s="133"/>
      <c r="V1582" s="133"/>
      <c r="W1582" s="133"/>
      <c r="X1582" s="133"/>
      <c r="Y1582" s="133"/>
      <c r="Z1582" s="133"/>
    </row>
    <row r="1583">
      <c r="A1583" s="133">
        <f>IFERROR(__xludf.DUMMYFUNCTION("""COMPUTED_VALUE"""),1584.0)</f>
        <v>1584</v>
      </c>
      <c r="B1583" s="133"/>
      <c r="C1583" s="133" t="str">
        <f>IFERROR(__xludf.DUMMYFUNCTION("""COMPUTED_VALUE"""),"P-1-N-210124-524")</f>
        <v>P-1-N-210124-524</v>
      </c>
      <c r="D1583" s="133"/>
      <c r="E1583" s="133" t="str">
        <f>IFERROR(__xludf.DUMMYFUNCTION("""COMPUTED_VALUE"""),"REJECTED")</f>
        <v>REJECTED</v>
      </c>
      <c r="F1583" s="133" t="str">
        <f>IFERROR(__xludf.DUMMYFUNCTION("""COMPUTED_VALUE"""),"Princess Maintenance15 kg")</f>
        <v>Princess Maintenance15 kg</v>
      </c>
      <c r="G1583" s="133" t="str">
        <f>IFERROR(__xludf.DUMMYFUNCTION("""COMPUTED_VALUE"""),"برنسيس مينتنانس 15 كج")</f>
        <v>برنسيس مينتنانس 15 كج</v>
      </c>
      <c r="H1583" s="133"/>
      <c r="I1583" s="133"/>
      <c r="J1583" s="133"/>
      <c r="K1583" s="133" t="str">
        <f>IFERROR(__xludf.DUMMYFUNCTION("""COMPUTED_VALUE"""),"اقريناتورا هادزيتشي")</f>
        <v>اقريناتورا هادزيتشي</v>
      </c>
      <c r="L1583" s="133"/>
      <c r="M1583" s="133"/>
      <c r="N1583" s="133"/>
      <c r="O1583" s="133"/>
      <c r="P1583" s="133"/>
      <c r="Q1583" s="133"/>
      <c r="R1583" s="133"/>
      <c r="S1583" s="133"/>
      <c r="T1583" s="133"/>
      <c r="U1583" s="133"/>
      <c r="V1583" s="133"/>
      <c r="W1583" s="133"/>
      <c r="X1583" s="133"/>
      <c r="Y1583" s="133"/>
      <c r="Z1583" s="133"/>
    </row>
    <row r="1584">
      <c r="A1584" s="133">
        <f>IFERROR(__xludf.DUMMYFUNCTION("""COMPUTED_VALUE"""),1585.0)</f>
        <v>1585</v>
      </c>
      <c r="B1584" s="133"/>
      <c r="C1584" s="133" t="str">
        <f>IFERROR(__xludf.DUMMYFUNCTION("""COMPUTED_VALUE"""),"P-1-N-210124-525")</f>
        <v>P-1-N-210124-525</v>
      </c>
      <c r="D1584" s="133"/>
      <c r="E1584" s="133" t="str">
        <f>IFERROR(__xludf.DUMMYFUNCTION("""COMPUTED_VALUE"""),"REJECTED")</f>
        <v>REJECTED</v>
      </c>
      <c r="F1584" s="133" t="str">
        <f>IFERROR(__xludf.DUMMYFUNCTION("""COMPUTED_VALUE"""),"Princess Temptation 20 kg")</f>
        <v>Princess Temptation 20 kg</v>
      </c>
      <c r="G1584" s="133" t="str">
        <f>IFERROR(__xludf.DUMMYFUNCTION("""COMPUTED_VALUE"""),"برنسيس تيمتاشن للقطط البالغة 20 كج")</f>
        <v>برنسيس تيمتاشن للقطط البالغة 20 كج</v>
      </c>
      <c r="H1584" s="133" t="str">
        <f>IFERROR(__xludf.DUMMYFUNCTION("""COMPUTED_VALUE"""),"MAFE2024729")</f>
        <v>MAFE2024729</v>
      </c>
      <c r="I1584" s="133"/>
      <c r="J1584" s="133"/>
      <c r="K1584" s="133" t="str">
        <f>IFERROR(__xludf.DUMMYFUNCTION("""COMPUTED_VALUE"""),"اقريناتورا هادزيتشي")</f>
        <v>اقريناتورا هادزيتشي</v>
      </c>
      <c r="L1584" s="133"/>
      <c r="M1584" s="133"/>
      <c r="N1584" s="133"/>
      <c r="O1584" s="133"/>
      <c r="P1584" s="133"/>
      <c r="Q1584" s="133"/>
      <c r="R1584" s="133"/>
      <c r="S1584" s="133"/>
      <c r="T1584" s="133"/>
      <c r="U1584" s="133"/>
      <c r="V1584" s="133"/>
      <c r="W1584" s="133"/>
      <c r="X1584" s="133"/>
      <c r="Y1584" s="133"/>
      <c r="Z1584" s="133"/>
    </row>
    <row r="1585">
      <c r="A1585" s="133">
        <f>IFERROR(__xludf.DUMMYFUNCTION("""COMPUTED_VALUE"""),1586.0)</f>
        <v>1586</v>
      </c>
      <c r="B1585" s="133"/>
      <c r="C1585" s="133" t="str">
        <f>IFERROR(__xludf.DUMMYFUNCTION("""COMPUTED_VALUE"""),"P-1-N-210124-526")</f>
        <v>P-1-N-210124-526</v>
      </c>
      <c r="D1585" s="133"/>
      <c r="E1585" s="133" t="str">
        <f>IFERROR(__xludf.DUMMYFUNCTION("""COMPUTED_VALUE"""),"REJECTED")</f>
        <v>REJECTED</v>
      </c>
      <c r="F1585" s="133" t="str">
        <f>IFERROR(__xludf.DUMMYFUNCTION("""COMPUTED_VALUE"""),"Princess Sterilized 20kg")</f>
        <v>Princess Sterilized 20kg</v>
      </c>
      <c r="G1585" s="133" t="str">
        <f>IFERROR(__xludf.DUMMYFUNCTION("""COMPUTED_VALUE"""),"برنسيس للقطط المعقمة 20 كج")</f>
        <v>برنسيس للقطط المعقمة 20 كج</v>
      </c>
      <c r="H1585" s="133"/>
      <c r="I1585" s="133"/>
      <c r="J1585" s="133"/>
      <c r="K1585" s="133" t="str">
        <f>IFERROR(__xludf.DUMMYFUNCTION("""COMPUTED_VALUE"""),"اقريناتورا هادزيتشي")</f>
        <v>اقريناتورا هادزيتشي</v>
      </c>
      <c r="L1585" s="133"/>
      <c r="M1585" s="133"/>
      <c r="N1585" s="133"/>
      <c r="O1585" s="133"/>
      <c r="P1585" s="133"/>
      <c r="Q1585" s="133"/>
      <c r="R1585" s="133"/>
      <c r="S1585" s="133"/>
      <c r="T1585" s="133"/>
      <c r="U1585" s="133"/>
      <c r="V1585" s="133"/>
      <c r="W1585" s="133"/>
      <c r="X1585" s="133"/>
      <c r="Y1585" s="133"/>
      <c r="Z1585" s="133"/>
    </row>
    <row r="1586">
      <c r="A1586" s="133">
        <f>IFERROR(__xludf.DUMMYFUNCTION("""COMPUTED_VALUE"""),1587.0)</f>
        <v>1587</v>
      </c>
      <c r="B1586" s="133" t="str">
        <f>IFERROR(__xludf.DUMMYFUNCTION("""COMPUTED_VALUE"""),"101100")</f>
        <v>101100</v>
      </c>
      <c r="C1586" s="133" t="str">
        <f>IFERROR(__xludf.DUMMYFUNCTION("""COMPUTED_VALUE"""),"P-1-N-210124-531")</f>
        <v>P-1-N-210124-531</v>
      </c>
      <c r="D1586" s="133"/>
      <c r="E1586" s="133" t="str">
        <f>IFERROR(__xludf.DUMMYFUNCTION("""COMPUTED_VALUE"""),"تمت طباعة الشهادة")</f>
        <v>تمت طباعة الشهادة</v>
      </c>
      <c r="F1586" s="133" t="str">
        <f>IFERROR(__xludf.DUMMYFUNCTION("""COMPUTED_VALUE"""),"BAB’IN SIGNATURE MINI JUNIOR 2 KG")</f>
        <v>BAB’IN SIGNATURE MINI JUNIOR 2 KG</v>
      </c>
      <c r="G1586" s="133" t="str">
        <f>IFERROR(__xludf.DUMMYFUNCTION("""COMPUTED_VALUE"""),"بابين سيجنتشر ميني جونيور 2 كجم")</f>
        <v>بابين سيجنتشر ميني جونيور 2 كجم</v>
      </c>
      <c r="H1586" s="133" t="str">
        <f>IFERROR(__xludf.DUMMYFUNCTION("""COMPUTED_VALUE"""),"MAFE2024333")</f>
        <v>MAFE2024333</v>
      </c>
      <c r="I1586" s="133"/>
      <c r="J1586" s="133"/>
      <c r="K1586" s="133" t="str">
        <f>IFERROR(__xludf.DUMMYFUNCTION("""COMPUTED_VALUE"""),"كوديكو")</f>
        <v>كوديكو</v>
      </c>
      <c r="L1586" s="142" t="str">
        <f>IFERROR(__xludf.DUMMYFUNCTION("""COMPUTED_VALUE"""),"101100")</f>
        <v>101100</v>
      </c>
      <c r="M1586" s="133"/>
      <c r="N1586" s="133"/>
      <c r="O1586" s="133"/>
      <c r="P1586" s="133"/>
      <c r="Q1586" s="133"/>
      <c r="R1586" s="133"/>
      <c r="S1586" s="133"/>
      <c r="T1586" s="133"/>
      <c r="U1586" s="133"/>
      <c r="V1586" s="133"/>
      <c r="W1586" s="133"/>
      <c r="X1586" s="133"/>
      <c r="Y1586" s="133"/>
      <c r="Z1586" s="133"/>
    </row>
    <row r="1587">
      <c r="A1587" s="133">
        <f>IFERROR(__xludf.DUMMYFUNCTION("""COMPUTED_VALUE"""),1588.0)</f>
        <v>1588</v>
      </c>
      <c r="B1587" s="133" t="str">
        <f>IFERROR(__xludf.DUMMYFUNCTION("""COMPUTED_VALUE"""),"101110")</f>
        <v>101110</v>
      </c>
      <c r="C1587" s="133" t="str">
        <f>IFERROR(__xludf.DUMMYFUNCTION("""COMPUTED_VALUE"""),"P-1-N-210124-532")</f>
        <v>P-1-N-210124-532</v>
      </c>
      <c r="D1587" s="133"/>
      <c r="E1587" s="133" t="str">
        <f>IFERROR(__xludf.DUMMYFUNCTION("""COMPUTED_VALUE"""),"تمت طباعة الشهادة")</f>
        <v>تمت طباعة الشهادة</v>
      </c>
      <c r="F1587" s="133" t="str">
        <f>IFERROR(__xludf.DUMMYFUNCTION("""COMPUTED_VALUE"""),"BAB’IN SIGNATURE MEDIUM JUNIOR 3 KG")</f>
        <v>BAB’IN SIGNATURE MEDIUM JUNIOR 3 KG</v>
      </c>
      <c r="G1587" s="133" t="str">
        <f>IFERROR(__xludf.DUMMYFUNCTION("""COMPUTED_VALUE"""),"بابين سيجنتشرميديم جونيور 3 كجم")</f>
        <v>بابين سيجنتشرميديم جونيور 3 كجم</v>
      </c>
      <c r="H1587" s="133" t="str">
        <f>IFERROR(__xludf.DUMMYFUNCTION("""COMPUTED_VALUE"""),"MAFE2024332")</f>
        <v>MAFE2024332</v>
      </c>
      <c r="I1587" s="133"/>
      <c r="J1587" s="133"/>
      <c r="K1587" s="133" t="str">
        <f>IFERROR(__xludf.DUMMYFUNCTION("""COMPUTED_VALUE"""),"كوديكو")</f>
        <v>كوديكو</v>
      </c>
      <c r="L1587" s="142" t="str">
        <f>IFERROR(__xludf.DUMMYFUNCTION("""COMPUTED_VALUE"""),"101110")</f>
        <v>101110</v>
      </c>
      <c r="M1587" s="133"/>
      <c r="N1587" s="133"/>
      <c r="O1587" s="133"/>
      <c r="P1587" s="133"/>
      <c r="Q1587" s="133"/>
      <c r="R1587" s="133"/>
      <c r="S1587" s="133"/>
      <c r="T1587" s="133"/>
      <c r="U1587" s="133"/>
      <c r="V1587" s="133"/>
      <c r="W1587" s="133"/>
      <c r="X1587" s="133"/>
      <c r="Y1587" s="133"/>
      <c r="Z1587" s="133"/>
    </row>
    <row r="1588">
      <c r="A1588" s="133">
        <f>IFERROR(__xludf.DUMMYFUNCTION("""COMPUTED_VALUE"""),1589.0)</f>
        <v>1589</v>
      </c>
      <c r="B1588" s="133" t="str">
        <f>IFERROR(__xludf.DUMMYFUNCTION("""COMPUTED_VALUE"""),"101115")</f>
        <v>101115</v>
      </c>
      <c r="C1588" s="133" t="str">
        <f>IFERROR(__xludf.DUMMYFUNCTION("""COMPUTED_VALUE"""),"P-1-N-210124-533")</f>
        <v>P-1-N-210124-533</v>
      </c>
      <c r="D1588" s="133"/>
      <c r="E1588" s="133" t="str">
        <f>IFERROR(__xludf.DUMMYFUNCTION("""COMPUTED_VALUE"""),"تمت طباعة الشهادة")</f>
        <v>تمت طباعة الشهادة</v>
      </c>
      <c r="F1588" s="133" t="str">
        <f>IFERROR(__xludf.DUMMYFUNCTION("""COMPUTED_VALUE"""),"BAB’IN SIGNATURE MEDIUM JUNIOR 12 KG")</f>
        <v>BAB’IN SIGNATURE MEDIUM JUNIOR 12 KG</v>
      </c>
      <c r="G1588" s="133" t="str">
        <f>IFERROR(__xludf.DUMMYFUNCTION("""COMPUTED_VALUE"""),"بابين سيجنتشرميديم جونيور 12 كجم")</f>
        <v>بابين سيجنتشرميديم جونيور 12 كجم</v>
      </c>
      <c r="H1588" s="133" t="str">
        <f>IFERROR(__xludf.DUMMYFUNCTION("""COMPUTED_VALUE"""),"MAFE2024331")</f>
        <v>MAFE2024331</v>
      </c>
      <c r="I1588" s="133"/>
      <c r="J1588" s="133"/>
      <c r="K1588" s="133" t="str">
        <f>IFERROR(__xludf.DUMMYFUNCTION("""COMPUTED_VALUE"""),"كوديكو")</f>
        <v>كوديكو</v>
      </c>
      <c r="L1588" s="142" t="str">
        <f>IFERROR(__xludf.DUMMYFUNCTION("""COMPUTED_VALUE"""),"101115")</f>
        <v>101115</v>
      </c>
      <c r="M1588" s="133"/>
      <c r="N1588" s="133"/>
      <c r="O1588" s="133"/>
      <c r="P1588" s="133"/>
      <c r="Q1588" s="133"/>
      <c r="R1588" s="133"/>
      <c r="S1588" s="133"/>
      <c r="T1588" s="133"/>
      <c r="U1588" s="133"/>
      <c r="V1588" s="133"/>
      <c r="W1588" s="133"/>
      <c r="X1588" s="133"/>
      <c r="Y1588" s="133"/>
      <c r="Z1588" s="133"/>
    </row>
    <row r="1589">
      <c r="A1589" s="133">
        <f>IFERROR(__xludf.DUMMYFUNCTION("""COMPUTED_VALUE"""),1590.0)</f>
        <v>1590</v>
      </c>
      <c r="B1589" s="133"/>
      <c r="C1589" s="133" t="str">
        <f>IFERROR(__xludf.DUMMYFUNCTION("""COMPUTED_VALUE"""),"P-1-N-210124-534")</f>
        <v>P-1-N-210124-534</v>
      </c>
      <c r="D1589" s="133"/>
      <c r="E1589" s="133" t="str">
        <f>IFERROR(__xludf.DUMMYFUNCTION("""COMPUTED_VALUE"""),"تمت طباعة الشهادة")</f>
        <v>تمت طباعة الشهادة</v>
      </c>
      <c r="F1589" s="133" t="str">
        <f>IFERROR(__xludf.DUMMYFUNCTION("""COMPUTED_VALUE"""),"BAB’IN SIGNATURE GIANT JUNIOR 12 KG")</f>
        <v>BAB’IN SIGNATURE GIANT JUNIOR 12 KG</v>
      </c>
      <c r="G1589" s="133" t="str">
        <f>IFERROR(__xludf.DUMMYFUNCTION("""COMPUTED_VALUE"""),"بابين سيجنتشر جاينت جونيور 12 كجم")</f>
        <v>بابين سيجنتشر جاينت جونيور 12 كجم</v>
      </c>
      <c r="H1589" s="133" t="str">
        <f>IFERROR(__xludf.DUMMYFUNCTION("""COMPUTED_VALUE"""),"MAFE2024330")</f>
        <v>MAFE2024330</v>
      </c>
      <c r="I1589" s="133"/>
      <c r="J1589" s="133"/>
      <c r="K1589" s="133" t="str">
        <f>IFERROR(__xludf.DUMMYFUNCTION("""COMPUTED_VALUE"""),"كوديكو")</f>
        <v>كوديكو</v>
      </c>
      <c r="L1589" s="133"/>
      <c r="M1589" s="133"/>
      <c r="N1589" s="133"/>
      <c r="O1589" s="133"/>
      <c r="P1589" s="133"/>
      <c r="Q1589" s="133"/>
      <c r="R1589" s="133"/>
      <c r="S1589" s="133"/>
      <c r="T1589" s="133"/>
      <c r="U1589" s="133"/>
      <c r="V1589" s="133"/>
      <c r="W1589" s="133"/>
      <c r="X1589" s="133"/>
      <c r="Y1589" s="133"/>
      <c r="Z1589" s="133"/>
    </row>
    <row r="1590">
      <c r="A1590" s="133">
        <f>IFERROR(__xludf.DUMMYFUNCTION("""COMPUTED_VALUE"""),1591.0)</f>
        <v>1591</v>
      </c>
      <c r="B1590" s="133" t="str">
        <f>IFERROR(__xludf.DUMMYFUNCTION("""COMPUTED_VALUE"""),"101130")</f>
        <v>101130</v>
      </c>
      <c r="C1590" s="133" t="str">
        <f>IFERROR(__xludf.DUMMYFUNCTION("""COMPUTED_VALUE"""),"P-1-N-210124-535")</f>
        <v>P-1-N-210124-535</v>
      </c>
      <c r="D1590" s="133"/>
      <c r="E1590" s="133" t="str">
        <f>IFERROR(__xludf.DUMMYFUNCTION("""COMPUTED_VALUE"""),"تمت طباعة الشهادة")</f>
        <v>تمت طباعة الشهادة</v>
      </c>
      <c r="F1590" s="133" t="str">
        <f>IFERROR(__xludf.DUMMYFUNCTION("""COMPUTED_VALUE"""),"BAB’IN SIGNATURE MINI ADULT 2 KG")</f>
        <v>BAB’IN SIGNATURE MINI ADULT 2 KG</v>
      </c>
      <c r="G1590" s="133" t="str">
        <f>IFERROR(__xludf.DUMMYFUNCTION("""COMPUTED_VALUE"""),"بابين سيجنتشر ميني ادلت 2 كجم")</f>
        <v>بابين سيجنتشر ميني ادلت 2 كجم</v>
      </c>
      <c r="H1590" s="133" t="str">
        <f>IFERROR(__xludf.DUMMYFUNCTION("""COMPUTED_VALUE"""),"MAFE2024329")</f>
        <v>MAFE2024329</v>
      </c>
      <c r="I1590" s="133"/>
      <c r="J1590" s="133"/>
      <c r="K1590" s="133" t="str">
        <f>IFERROR(__xludf.DUMMYFUNCTION("""COMPUTED_VALUE"""),"كوديكو")</f>
        <v>كوديكو</v>
      </c>
      <c r="L1590" s="142" t="str">
        <f>IFERROR(__xludf.DUMMYFUNCTION("""COMPUTED_VALUE"""),"101130")</f>
        <v>101130</v>
      </c>
      <c r="M1590" s="133"/>
      <c r="N1590" s="133"/>
      <c r="O1590" s="133"/>
      <c r="P1590" s="133"/>
      <c r="Q1590" s="133"/>
      <c r="R1590" s="133"/>
      <c r="S1590" s="133"/>
      <c r="T1590" s="133"/>
      <c r="U1590" s="133"/>
      <c r="V1590" s="133"/>
      <c r="W1590" s="133"/>
      <c r="X1590" s="133"/>
      <c r="Y1590" s="133"/>
      <c r="Z1590" s="133"/>
    </row>
    <row r="1591">
      <c r="A1591" s="133">
        <f>IFERROR(__xludf.DUMMYFUNCTION("""COMPUTED_VALUE"""),1592.0)</f>
        <v>1592</v>
      </c>
      <c r="B1591" s="133" t="str">
        <f>IFERROR(__xludf.DUMMYFUNCTION("""COMPUTED_VALUE"""),"101135")</f>
        <v>101135</v>
      </c>
      <c r="C1591" s="133" t="str">
        <f>IFERROR(__xludf.DUMMYFUNCTION("""COMPUTED_VALUE"""),"P-1-N-210124-536")</f>
        <v>P-1-N-210124-536</v>
      </c>
      <c r="D1591" s="133"/>
      <c r="E1591" s="133" t="str">
        <f>IFERROR(__xludf.DUMMYFUNCTION("""COMPUTED_VALUE"""),"تمت طباعة الشهادة")</f>
        <v>تمت طباعة الشهادة</v>
      </c>
      <c r="F1591" s="133" t="str">
        <f>IFERROR(__xludf.DUMMYFUNCTION("""COMPUTED_VALUE"""),"BAB’IN SIGNATURE MINI ADULT 6 KG")</f>
        <v>BAB’IN SIGNATURE MINI ADULT 6 KG</v>
      </c>
      <c r="G1591" s="133" t="str">
        <f>IFERROR(__xludf.DUMMYFUNCTION("""COMPUTED_VALUE"""),"بابين سيجنتشر ميني ادلت 6 كجم")</f>
        <v>بابين سيجنتشر ميني ادلت 6 كجم</v>
      </c>
      <c r="H1591" s="133" t="str">
        <f>IFERROR(__xludf.DUMMYFUNCTION("""COMPUTED_VALUE"""),"MAFE2024328")</f>
        <v>MAFE2024328</v>
      </c>
      <c r="I1591" s="133"/>
      <c r="J1591" s="133"/>
      <c r="K1591" s="133" t="str">
        <f>IFERROR(__xludf.DUMMYFUNCTION("""COMPUTED_VALUE"""),"كوديكو")</f>
        <v>كوديكو</v>
      </c>
      <c r="L1591" s="142" t="str">
        <f>IFERROR(__xludf.DUMMYFUNCTION("""COMPUTED_VALUE"""),"101135")</f>
        <v>101135</v>
      </c>
      <c r="M1591" s="133"/>
      <c r="N1591" s="133"/>
      <c r="O1591" s="133"/>
      <c r="P1591" s="133"/>
      <c r="Q1591" s="133"/>
      <c r="R1591" s="133"/>
      <c r="S1591" s="133"/>
      <c r="T1591" s="133"/>
      <c r="U1591" s="133"/>
      <c r="V1591" s="133"/>
      <c r="W1591" s="133"/>
      <c r="X1591" s="133"/>
      <c r="Y1591" s="133"/>
      <c r="Z1591" s="133"/>
    </row>
    <row r="1592">
      <c r="A1592" s="133">
        <f>IFERROR(__xludf.DUMMYFUNCTION("""COMPUTED_VALUE"""),1593.0)</f>
        <v>1593</v>
      </c>
      <c r="B1592" s="133" t="str">
        <f>IFERROR(__xludf.DUMMYFUNCTION("""COMPUTED_VALUE"""),"101140")</f>
        <v>101140</v>
      </c>
      <c r="C1592" s="133" t="str">
        <f>IFERROR(__xludf.DUMMYFUNCTION("""COMPUTED_VALUE"""),"P-1-N-210124-537")</f>
        <v>P-1-N-210124-537</v>
      </c>
      <c r="D1592" s="133"/>
      <c r="E1592" s="133" t="str">
        <f>IFERROR(__xludf.DUMMYFUNCTION("""COMPUTED_VALUE"""),"تمت طباعة الشهادة")</f>
        <v>تمت طباعة الشهادة</v>
      </c>
      <c r="F1592" s="133" t="str">
        <f>IFERROR(__xludf.DUMMYFUNCTION("""COMPUTED_VALUE"""),"BAB’IN SIGNATURE MINI STERILIZED 2 KG")</f>
        <v>BAB’IN SIGNATURE MINI STERILIZED 2 KG</v>
      </c>
      <c r="G1592" s="133" t="str">
        <f>IFERROR(__xludf.DUMMYFUNCTION("""COMPUTED_VALUE"""),"بابين سيجنتشر ميني ستريليزد 2 كجم")</f>
        <v>بابين سيجنتشر ميني ستريليزد 2 كجم</v>
      </c>
      <c r="H1592" s="133" t="str">
        <f>IFERROR(__xludf.DUMMYFUNCTION("""COMPUTED_VALUE"""),"MAFE2024327")</f>
        <v>MAFE2024327</v>
      </c>
      <c r="I1592" s="133"/>
      <c r="J1592" s="133"/>
      <c r="K1592" s="133" t="str">
        <f>IFERROR(__xludf.DUMMYFUNCTION("""COMPUTED_VALUE"""),"كوديكو")</f>
        <v>كوديكو</v>
      </c>
      <c r="L1592" s="142" t="str">
        <f>IFERROR(__xludf.DUMMYFUNCTION("""COMPUTED_VALUE"""),"101140")</f>
        <v>101140</v>
      </c>
      <c r="M1592" s="133"/>
      <c r="N1592" s="133"/>
      <c r="O1592" s="133"/>
      <c r="P1592" s="133"/>
      <c r="Q1592" s="133"/>
      <c r="R1592" s="133"/>
      <c r="S1592" s="133"/>
      <c r="T1592" s="133"/>
      <c r="U1592" s="133"/>
      <c r="V1592" s="133"/>
      <c r="W1592" s="133"/>
      <c r="X1592" s="133"/>
      <c r="Y1592" s="133"/>
      <c r="Z1592" s="133"/>
    </row>
    <row r="1593">
      <c r="A1593" s="133">
        <f>IFERROR(__xludf.DUMMYFUNCTION("""COMPUTED_VALUE"""),1594.0)</f>
        <v>1594</v>
      </c>
      <c r="B1593" s="133" t="str">
        <f>IFERROR(__xludf.DUMMYFUNCTION("""COMPUTED_VALUE"""),"101145")</f>
        <v>101145</v>
      </c>
      <c r="C1593" s="133" t="str">
        <f>IFERROR(__xludf.DUMMYFUNCTION("""COMPUTED_VALUE"""),"P-1-N-210124-538")</f>
        <v>P-1-N-210124-538</v>
      </c>
      <c r="D1593" s="133"/>
      <c r="E1593" s="133" t="str">
        <f>IFERROR(__xludf.DUMMYFUNCTION("""COMPUTED_VALUE"""),"تمت طباعة الشهادة")</f>
        <v>تمت طباعة الشهادة</v>
      </c>
      <c r="F1593" s="133" t="str">
        <f>IFERROR(__xludf.DUMMYFUNCTION("""COMPUTED_VALUE"""),"BAB’IN SIGNATURE MINI STERILIZED 6 KG")</f>
        <v>BAB’IN SIGNATURE MINI STERILIZED 6 KG</v>
      </c>
      <c r="G1593" s="133" t="str">
        <f>IFERROR(__xludf.DUMMYFUNCTION("""COMPUTED_VALUE"""),"بابين سيجنتشر ميني ستريليزد 6 كجم")</f>
        <v>بابين سيجنتشر ميني ستريليزد 6 كجم</v>
      </c>
      <c r="H1593" s="133" t="str">
        <f>IFERROR(__xludf.DUMMYFUNCTION("""COMPUTED_VALUE"""),"MAFE2024326")</f>
        <v>MAFE2024326</v>
      </c>
      <c r="I1593" s="133"/>
      <c r="J1593" s="133"/>
      <c r="K1593" s="133" t="str">
        <f>IFERROR(__xludf.DUMMYFUNCTION("""COMPUTED_VALUE"""),"كوديكو")</f>
        <v>كوديكو</v>
      </c>
      <c r="L1593" s="142" t="str">
        <f>IFERROR(__xludf.DUMMYFUNCTION("""COMPUTED_VALUE"""),"101145")</f>
        <v>101145</v>
      </c>
      <c r="M1593" s="133"/>
      <c r="N1593" s="133"/>
      <c r="O1593" s="133"/>
      <c r="P1593" s="133"/>
      <c r="Q1593" s="133"/>
      <c r="R1593" s="133"/>
      <c r="S1593" s="133"/>
      <c r="T1593" s="133"/>
      <c r="U1593" s="133"/>
      <c r="V1593" s="133"/>
      <c r="W1593" s="133"/>
      <c r="X1593" s="133"/>
      <c r="Y1593" s="133"/>
      <c r="Z1593" s="133"/>
    </row>
    <row r="1594">
      <c r="A1594" s="133">
        <f>IFERROR(__xludf.DUMMYFUNCTION("""COMPUTED_VALUE"""),1595.0)</f>
        <v>1595</v>
      </c>
      <c r="B1594" s="133" t="str">
        <f>IFERROR(__xludf.DUMMYFUNCTION("""COMPUTED_VALUE"""),"101150")</f>
        <v>101150</v>
      </c>
      <c r="C1594" s="133" t="str">
        <f>IFERROR(__xludf.DUMMYFUNCTION("""COMPUTED_VALUE"""),"P-1-N-210124-539")</f>
        <v>P-1-N-210124-539</v>
      </c>
      <c r="D1594" s="133"/>
      <c r="E1594" s="133" t="str">
        <f>IFERROR(__xludf.DUMMYFUNCTION("""COMPUTED_VALUE"""),"تمت طباعة الشهادة")</f>
        <v>تمت طباعة الشهادة</v>
      </c>
      <c r="F1594" s="133" t="str">
        <f>IFERROR(__xludf.DUMMYFUNCTION("""COMPUTED_VALUE"""),"BAB’IN SIGNATURE MEDIUM ADULT 3 KG")</f>
        <v>BAB’IN SIGNATURE MEDIUM ADULT 3 KG</v>
      </c>
      <c r="G1594" s="133" t="str">
        <f>IFERROR(__xludf.DUMMYFUNCTION("""COMPUTED_VALUE"""),"بابين سيجنتشر ميديم ادلت 3 كجم")</f>
        <v>بابين سيجنتشر ميديم ادلت 3 كجم</v>
      </c>
      <c r="H1594" s="133" t="str">
        <f>IFERROR(__xludf.DUMMYFUNCTION("""COMPUTED_VALUE"""),"MAFE2024325")</f>
        <v>MAFE2024325</v>
      </c>
      <c r="I1594" s="133"/>
      <c r="J1594" s="133"/>
      <c r="K1594" s="133" t="str">
        <f>IFERROR(__xludf.DUMMYFUNCTION("""COMPUTED_VALUE"""),"كوديكو")</f>
        <v>كوديكو</v>
      </c>
      <c r="L1594" s="142" t="str">
        <f>IFERROR(__xludf.DUMMYFUNCTION("""COMPUTED_VALUE"""),"101150")</f>
        <v>101150</v>
      </c>
      <c r="M1594" s="133"/>
      <c r="N1594" s="133"/>
      <c r="O1594" s="133"/>
      <c r="P1594" s="133"/>
      <c r="Q1594" s="133"/>
      <c r="R1594" s="133"/>
      <c r="S1594" s="133"/>
      <c r="T1594" s="133"/>
      <c r="U1594" s="133"/>
      <c r="V1594" s="133"/>
      <c r="W1594" s="133"/>
      <c r="X1594" s="133"/>
      <c r="Y1594" s="133"/>
      <c r="Z1594" s="133"/>
    </row>
    <row r="1595">
      <c r="A1595" s="133">
        <f>IFERROR(__xludf.DUMMYFUNCTION("""COMPUTED_VALUE"""),1596.0)</f>
        <v>1596</v>
      </c>
      <c r="B1595" s="133" t="str">
        <f>IFERROR(__xludf.DUMMYFUNCTION("""COMPUTED_VALUE"""),"101155")</f>
        <v>101155</v>
      </c>
      <c r="C1595" s="133" t="str">
        <f>IFERROR(__xludf.DUMMYFUNCTION("""COMPUTED_VALUE"""),"P-1-N-210124-540")</f>
        <v>P-1-N-210124-540</v>
      </c>
      <c r="D1595" s="133"/>
      <c r="E1595" s="133" t="str">
        <f>IFERROR(__xludf.DUMMYFUNCTION("""COMPUTED_VALUE"""),"تمت طباعة الشهادة")</f>
        <v>تمت طباعة الشهادة</v>
      </c>
      <c r="F1595" s="133" t="str">
        <f>IFERROR(__xludf.DUMMYFUNCTION("""COMPUTED_VALUE"""),"BAB’IN SIGNATURE MEDIUM ADULT 12 KG")</f>
        <v>BAB’IN SIGNATURE MEDIUM ADULT 12 KG</v>
      </c>
      <c r="G1595" s="133" t="str">
        <f>IFERROR(__xludf.DUMMYFUNCTION("""COMPUTED_VALUE"""),"بابين سيجنتشر ميديم ادلت 12 كجم")</f>
        <v>بابين سيجنتشر ميديم ادلت 12 كجم</v>
      </c>
      <c r="H1595" s="133" t="str">
        <f>IFERROR(__xludf.DUMMYFUNCTION("""COMPUTED_VALUE"""),"MAFE2024324")</f>
        <v>MAFE2024324</v>
      </c>
      <c r="I1595" s="133"/>
      <c r="J1595" s="133"/>
      <c r="K1595" s="133" t="str">
        <f>IFERROR(__xludf.DUMMYFUNCTION("""COMPUTED_VALUE"""),"كوديكو")</f>
        <v>كوديكو</v>
      </c>
      <c r="L1595" s="142" t="str">
        <f>IFERROR(__xludf.DUMMYFUNCTION("""COMPUTED_VALUE"""),"101155")</f>
        <v>101155</v>
      </c>
      <c r="M1595" s="133"/>
      <c r="N1595" s="133"/>
      <c r="O1595" s="133"/>
      <c r="P1595" s="133"/>
      <c r="Q1595" s="133"/>
      <c r="R1595" s="133"/>
      <c r="S1595" s="133"/>
      <c r="T1595" s="133"/>
      <c r="U1595" s="133"/>
      <c r="V1595" s="133"/>
      <c r="W1595" s="133"/>
      <c r="X1595" s="133"/>
      <c r="Y1595" s="133"/>
      <c r="Z1595" s="133"/>
    </row>
    <row r="1596">
      <c r="A1596" s="133">
        <f>IFERROR(__xludf.DUMMYFUNCTION("""COMPUTED_VALUE"""),1597.0)</f>
        <v>1597</v>
      </c>
      <c r="B1596" s="133" t="str">
        <f>IFERROR(__xludf.DUMMYFUNCTION("""COMPUTED_VALUE"""),"101161")</f>
        <v>101161</v>
      </c>
      <c r="C1596" s="133" t="str">
        <f>IFERROR(__xludf.DUMMYFUNCTION("""COMPUTED_VALUE"""),"P-1-N-210124-541")</f>
        <v>P-1-N-210124-541</v>
      </c>
      <c r="D1596" s="133"/>
      <c r="E1596" s="133" t="str">
        <f>IFERROR(__xludf.DUMMYFUNCTION("""COMPUTED_VALUE"""),"تمت طباعة الشهادة")</f>
        <v>تمت طباعة الشهادة</v>
      </c>
      <c r="F1596" s="133" t="str">
        <f>IFERROR(__xludf.DUMMYFUNCTION("""COMPUTED_VALUE"""),"BAB’IN SIGNATURE MEDIUM STERILIZED 3 KG")</f>
        <v>BAB’IN SIGNATURE MEDIUM STERILIZED 3 KG</v>
      </c>
      <c r="G1596" s="133" t="str">
        <f>IFERROR(__xludf.DUMMYFUNCTION("""COMPUTED_VALUE"""),"بابين سيجنتشرميديم ستريليزد 3 كجم")</f>
        <v>بابين سيجنتشرميديم ستريليزد 3 كجم</v>
      </c>
      <c r="H1596" s="133" t="str">
        <f>IFERROR(__xludf.DUMMYFUNCTION("""COMPUTED_VALUE"""),"MAFE2024323")</f>
        <v>MAFE2024323</v>
      </c>
      <c r="I1596" s="133"/>
      <c r="J1596" s="133"/>
      <c r="K1596" s="133" t="str">
        <f>IFERROR(__xludf.DUMMYFUNCTION("""COMPUTED_VALUE"""),"كوديكو")</f>
        <v>كوديكو</v>
      </c>
      <c r="L1596" s="142" t="str">
        <f>IFERROR(__xludf.DUMMYFUNCTION("""COMPUTED_VALUE"""),"101161")</f>
        <v>101161</v>
      </c>
      <c r="M1596" s="133"/>
      <c r="N1596" s="133"/>
      <c r="O1596" s="133"/>
      <c r="P1596" s="133"/>
      <c r="Q1596" s="133"/>
      <c r="R1596" s="133"/>
      <c r="S1596" s="133"/>
      <c r="T1596" s="133"/>
      <c r="U1596" s="133"/>
      <c r="V1596" s="133"/>
      <c r="W1596" s="133"/>
      <c r="X1596" s="133"/>
      <c r="Y1596" s="133"/>
      <c r="Z1596" s="133"/>
    </row>
    <row r="1597">
      <c r="A1597" s="133">
        <f>IFERROR(__xludf.DUMMYFUNCTION("""COMPUTED_VALUE"""),1598.0)</f>
        <v>1598</v>
      </c>
      <c r="B1597" s="133" t="str">
        <f>IFERROR(__xludf.DUMMYFUNCTION("""COMPUTED_VALUE"""),"101167")</f>
        <v>101167</v>
      </c>
      <c r="C1597" s="133" t="str">
        <f>IFERROR(__xludf.DUMMYFUNCTION("""COMPUTED_VALUE"""),"P-1-N-210124-542")</f>
        <v>P-1-N-210124-542</v>
      </c>
      <c r="D1597" s="133"/>
      <c r="E1597" s="133" t="str">
        <f>IFERROR(__xludf.DUMMYFUNCTION("""COMPUTED_VALUE"""),"تمت طباعة الشهادة")</f>
        <v>تمت طباعة الشهادة</v>
      </c>
      <c r="F1597" s="133" t="str">
        <f>IFERROR(__xludf.DUMMYFUNCTION("""COMPUTED_VALUE"""),"BAB’IN SIGNATURE MEDIUM STERILIZED 12 KG")</f>
        <v>BAB’IN SIGNATURE MEDIUM STERILIZED 12 KG</v>
      </c>
      <c r="G1597" s="133" t="str">
        <f>IFERROR(__xludf.DUMMYFUNCTION("""COMPUTED_VALUE"""),"بابين سيجنتشرميديم ستريليزد 12 كجم")</f>
        <v>بابين سيجنتشرميديم ستريليزد 12 كجم</v>
      </c>
      <c r="H1597" s="133" t="str">
        <f>IFERROR(__xludf.DUMMYFUNCTION("""COMPUTED_VALUE"""),"MAFE2024322")</f>
        <v>MAFE2024322</v>
      </c>
      <c r="I1597" s="133"/>
      <c r="J1597" s="133"/>
      <c r="K1597" s="133" t="str">
        <f>IFERROR(__xludf.DUMMYFUNCTION("""COMPUTED_VALUE"""),"كوديكو")</f>
        <v>كوديكو</v>
      </c>
      <c r="L1597" s="142" t="str">
        <f>IFERROR(__xludf.DUMMYFUNCTION("""COMPUTED_VALUE"""),"101167")</f>
        <v>101167</v>
      </c>
      <c r="M1597" s="133"/>
      <c r="N1597" s="133"/>
      <c r="O1597" s="133"/>
      <c r="P1597" s="133"/>
      <c r="Q1597" s="133"/>
      <c r="R1597" s="133"/>
      <c r="S1597" s="133"/>
      <c r="T1597" s="133"/>
      <c r="U1597" s="133"/>
      <c r="V1597" s="133"/>
      <c r="W1597" s="133"/>
      <c r="X1597" s="133"/>
      <c r="Y1597" s="133"/>
      <c r="Z1597" s="133"/>
    </row>
    <row r="1598">
      <c r="A1598" s="133">
        <f>IFERROR(__xludf.DUMMYFUNCTION("""COMPUTED_VALUE"""),1599.0)</f>
        <v>1599</v>
      </c>
      <c r="B1598" s="133"/>
      <c r="C1598" s="133" t="str">
        <f>IFERROR(__xludf.DUMMYFUNCTION("""COMPUTED_VALUE"""),"P-1-N-210124-543")</f>
        <v>P-1-N-210124-543</v>
      </c>
      <c r="D1598" s="133"/>
      <c r="E1598" s="133" t="str">
        <f>IFERROR(__xludf.DUMMYFUNCTION("""COMPUTED_VALUE"""),"تمت طباعة الشهادة")</f>
        <v>تمت طباعة الشهادة</v>
      </c>
      <c r="F1598" s="133" t="str">
        <f>IFERROR(__xludf.DUMMYFUNCTION("""COMPUTED_VALUE"""),"BAB’IN SIGNATURE GIANT BREED ADULT 12 KG")</f>
        <v>BAB’IN SIGNATURE GIANT BREED ADULT 12 KG</v>
      </c>
      <c r="G1598" s="133" t="str">
        <f>IFERROR(__xludf.DUMMYFUNCTION("""COMPUTED_VALUE"""),"بابين سيجنتشرجاينت بريد ادلت 12 كجم")</f>
        <v>بابين سيجنتشرجاينت بريد ادلت 12 كجم</v>
      </c>
      <c r="H1598" s="133" t="str">
        <f>IFERROR(__xludf.DUMMYFUNCTION("""COMPUTED_VALUE"""),"MAFE2024321")</f>
        <v>MAFE2024321</v>
      </c>
      <c r="I1598" s="133"/>
      <c r="J1598" s="133"/>
      <c r="K1598" s="133" t="str">
        <f>IFERROR(__xludf.DUMMYFUNCTION("""COMPUTED_VALUE"""),"كوديكو")</f>
        <v>كوديكو</v>
      </c>
      <c r="L1598" s="133"/>
      <c r="M1598" s="133"/>
      <c r="N1598" s="133"/>
      <c r="O1598" s="133"/>
      <c r="P1598" s="133"/>
      <c r="Q1598" s="133"/>
      <c r="R1598" s="133"/>
      <c r="S1598" s="133"/>
      <c r="T1598" s="133"/>
      <c r="U1598" s="133"/>
      <c r="V1598" s="133"/>
      <c r="W1598" s="133"/>
      <c r="X1598" s="133"/>
      <c r="Y1598" s="133"/>
      <c r="Z1598" s="133"/>
    </row>
    <row r="1599">
      <c r="A1599" s="133">
        <f>IFERROR(__xludf.DUMMYFUNCTION("""COMPUTED_VALUE"""),1600.0)</f>
        <v>1600</v>
      </c>
      <c r="B1599" s="133" t="str">
        <f>IFERROR(__xludf.DUMMYFUNCTION("""COMPUTED_VALUE"""),"101180")</f>
        <v>101180</v>
      </c>
      <c r="C1599" s="133" t="str">
        <f>IFERROR(__xludf.DUMMYFUNCTION("""COMPUTED_VALUE"""),"P-1-N-210124-544")</f>
        <v>P-1-N-210124-544</v>
      </c>
      <c r="D1599" s="133"/>
      <c r="E1599" s="133" t="str">
        <f>IFERROR(__xludf.DUMMYFUNCTION("""COMPUTED_VALUE"""),"تمت طباعة الشهادة")</f>
        <v>تمت طباعة الشهادة</v>
      </c>
      <c r="F1599" s="133" t="str">
        <f>IFERROR(__xludf.DUMMYFUNCTION("""COMPUTED_VALUE"""),"BAB’IN SIGNATURE MINI SENIOR 2 KG")</f>
        <v>BAB’IN SIGNATURE MINI SENIOR 2 KG</v>
      </c>
      <c r="G1599" s="133" t="str">
        <f>IFERROR(__xludf.DUMMYFUNCTION("""COMPUTED_VALUE"""),"بابين سيجنتشر ميني سينيور 2 كجم")</f>
        <v>بابين سيجنتشر ميني سينيور 2 كجم</v>
      </c>
      <c r="H1599" s="133" t="str">
        <f>IFERROR(__xludf.DUMMYFUNCTION("""COMPUTED_VALUE"""),"MAFE2024320")</f>
        <v>MAFE2024320</v>
      </c>
      <c r="I1599" s="133"/>
      <c r="J1599" s="133"/>
      <c r="K1599" s="133" t="str">
        <f>IFERROR(__xludf.DUMMYFUNCTION("""COMPUTED_VALUE"""),"كوديكو")</f>
        <v>كوديكو</v>
      </c>
      <c r="L1599" s="142" t="str">
        <f>IFERROR(__xludf.DUMMYFUNCTION("""COMPUTED_VALUE"""),"101180")</f>
        <v>101180</v>
      </c>
      <c r="M1599" s="133"/>
      <c r="N1599" s="133"/>
      <c r="O1599" s="133"/>
      <c r="P1599" s="133"/>
      <c r="Q1599" s="133"/>
      <c r="R1599" s="133"/>
      <c r="S1599" s="133"/>
      <c r="T1599" s="133"/>
      <c r="U1599" s="133"/>
      <c r="V1599" s="133"/>
      <c r="W1599" s="133"/>
      <c r="X1599" s="133"/>
      <c r="Y1599" s="133"/>
      <c r="Z1599" s="133"/>
    </row>
    <row r="1600">
      <c r="A1600" s="133">
        <f>IFERROR(__xludf.DUMMYFUNCTION("""COMPUTED_VALUE"""),1601.0)</f>
        <v>1601</v>
      </c>
      <c r="B1600" s="133" t="str">
        <f>IFERROR(__xludf.DUMMYFUNCTION("""COMPUTED_VALUE"""),"101183")</f>
        <v>101183</v>
      </c>
      <c r="C1600" s="133" t="str">
        <f>IFERROR(__xludf.DUMMYFUNCTION("""COMPUTED_VALUE"""),"P-1-N-210124-545")</f>
        <v>P-1-N-210124-545</v>
      </c>
      <c r="D1600" s="133"/>
      <c r="E1600" s="133" t="str">
        <f>IFERROR(__xludf.DUMMYFUNCTION("""COMPUTED_VALUE"""),"تمت طباعة الشهادة")</f>
        <v>تمت طباعة الشهادة</v>
      </c>
      <c r="F1600" s="133" t="str">
        <f>IFERROR(__xludf.DUMMYFUNCTION("""COMPUTED_VALUE"""),"BAB’IN SIGNATURE MINI SENIOR 6 KG")</f>
        <v>BAB’IN SIGNATURE MINI SENIOR 6 KG</v>
      </c>
      <c r="G1600" s="133" t="str">
        <f>IFERROR(__xludf.DUMMYFUNCTION("""COMPUTED_VALUE"""),"بابين سيجنتشر ميني سينيور 6 كجم")</f>
        <v>بابين سيجنتشر ميني سينيور 6 كجم</v>
      </c>
      <c r="H1600" s="133" t="str">
        <f>IFERROR(__xludf.DUMMYFUNCTION("""COMPUTED_VALUE"""),"MAFE2024319")</f>
        <v>MAFE2024319</v>
      </c>
      <c r="I1600" s="133"/>
      <c r="J1600" s="133"/>
      <c r="K1600" s="133" t="str">
        <f>IFERROR(__xludf.DUMMYFUNCTION("""COMPUTED_VALUE"""),"كوديكو")</f>
        <v>كوديكو</v>
      </c>
      <c r="L1600" s="142" t="str">
        <f>IFERROR(__xludf.DUMMYFUNCTION("""COMPUTED_VALUE"""),"101183")</f>
        <v>101183</v>
      </c>
      <c r="M1600" s="133"/>
      <c r="N1600" s="133"/>
      <c r="O1600" s="133"/>
      <c r="P1600" s="133"/>
      <c r="Q1600" s="133"/>
      <c r="R1600" s="133"/>
      <c r="S1600" s="133"/>
      <c r="T1600" s="133"/>
      <c r="U1600" s="133"/>
      <c r="V1600" s="133"/>
      <c r="W1600" s="133"/>
      <c r="X1600" s="133"/>
      <c r="Y1600" s="133"/>
      <c r="Z1600" s="133"/>
    </row>
    <row r="1601">
      <c r="A1601" s="133">
        <f>IFERROR(__xludf.DUMMYFUNCTION("""COMPUTED_VALUE"""),1602.0)</f>
        <v>1602</v>
      </c>
      <c r="B1601" s="133"/>
      <c r="C1601" s="133" t="str">
        <f>IFERROR(__xludf.DUMMYFUNCTION("""COMPUTED_VALUE"""),"P-1-N-300124-692")</f>
        <v>P-1-N-300124-692</v>
      </c>
      <c r="D1601" s="133"/>
      <c r="E1601" s="133" t="str">
        <f>IFERROR(__xludf.DUMMYFUNCTION("""COMPUTED_VALUE"""),"تمت طباعة الشهادة")</f>
        <v>تمت طباعة الشهادة</v>
      </c>
      <c r="F1601" s="133" t="str">
        <f>IFERROR(__xludf.DUMMYFUNCTION("""COMPUTED_VALUE"""),"Princess Temptation 20 kg")</f>
        <v>Princess Temptation 20 kg</v>
      </c>
      <c r="G1601" s="133" t="str">
        <f>IFERROR(__xludf.DUMMYFUNCTION("""COMPUTED_VALUE"""),"برنسيس تيمتاشن للقطط البالغة 20 كج")</f>
        <v>برنسيس تيمتاشن للقطط البالغة 20 كج</v>
      </c>
      <c r="H1601" s="133"/>
      <c r="I1601" s="133"/>
      <c r="J1601" s="133"/>
      <c r="K1601" s="133" t="str">
        <f>IFERROR(__xludf.DUMMYFUNCTION("""COMPUTED_VALUE"""),"اقريناتورا هادزيتشي")</f>
        <v>اقريناتورا هادزيتشي</v>
      </c>
      <c r="L1601" s="133"/>
      <c r="M1601" s="133"/>
      <c r="N1601" s="133"/>
      <c r="O1601" s="133"/>
      <c r="P1601" s="133"/>
      <c r="Q1601" s="133"/>
      <c r="R1601" s="133"/>
      <c r="S1601" s="133"/>
      <c r="T1601" s="133"/>
      <c r="U1601" s="133"/>
      <c r="V1601" s="133"/>
      <c r="W1601" s="133"/>
      <c r="X1601" s="133"/>
      <c r="Y1601" s="133"/>
      <c r="Z1601" s="133"/>
    </row>
    <row r="1602">
      <c r="A1602" s="133">
        <f>IFERROR(__xludf.DUMMYFUNCTION("""COMPUTED_VALUE"""),1603.0)</f>
        <v>1603</v>
      </c>
      <c r="B1602" s="133"/>
      <c r="C1602" s="133" t="str">
        <f>IFERROR(__xludf.DUMMYFUNCTION("""COMPUTED_VALUE"""),"P-1-N-300124-694")</f>
        <v>P-1-N-300124-694</v>
      </c>
      <c r="D1602" s="133"/>
      <c r="E1602" s="133" t="str">
        <f>IFERROR(__xludf.DUMMYFUNCTION("""COMPUTED_VALUE"""),"تمت طباعة الشهادة")</f>
        <v>تمت طباعة الشهادة</v>
      </c>
      <c r="F1602" s="133" t="str">
        <f>IFERROR(__xludf.DUMMYFUNCTION("""COMPUTED_VALUE"""),"Princess Maintenance15 kg")</f>
        <v>Princess Maintenance15 kg</v>
      </c>
      <c r="G1602" s="133" t="str">
        <f>IFERROR(__xludf.DUMMYFUNCTION("""COMPUTED_VALUE"""),"برنسيس مينتنانس 15 كج")</f>
        <v>برنسيس مينتنانس 15 كج</v>
      </c>
      <c r="H1602" s="133" t="str">
        <f>IFERROR(__xludf.DUMMYFUNCTION("""COMPUTED_VALUE"""),"FOM-2024-6730-FEB-2024-59196 -C-0041-80004")</f>
        <v>FOM-2024-6730-FEB-2024-59196 -C-0041-80004</v>
      </c>
      <c r="I1602" s="133"/>
      <c r="J1602" s="133"/>
      <c r="K1602" s="133" t="str">
        <f>IFERROR(__xludf.DUMMYFUNCTION("""COMPUTED_VALUE"""),"اقريناتورا هادزيتشي")</f>
        <v>اقريناتورا هادزيتشي</v>
      </c>
      <c r="L1602" s="133"/>
      <c r="M1602" s="133"/>
      <c r="N1602" s="133"/>
      <c r="O1602" s="133"/>
      <c r="P1602" s="133"/>
      <c r="Q1602" s="133"/>
      <c r="R1602" s="133"/>
      <c r="S1602" s="133"/>
      <c r="T1602" s="133"/>
      <c r="U1602" s="133"/>
      <c r="V1602" s="133"/>
      <c r="W1602" s="133"/>
      <c r="X1602" s="133"/>
      <c r="Y1602" s="133"/>
      <c r="Z1602" s="133"/>
    </row>
    <row r="1603">
      <c r="A1603" s="133">
        <f>IFERROR(__xludf.DUMMYFUNCTION("""COMPUTED_VALUE"""),1604.0)</f>
        <v>1604</v>
      </c>
      <c r="B1603" s="133"/>
      <c r="C1603" s="133" t="str">
        <f>IFERROR(__xludf.DUMMYFUNCTION("""COMPUTED_VALUE"""),"P-1-N-300124-695")</f>
        <v>P-1-N-300124-695</v>
      </c>
      <c r="D1603" s="133"/>
      <c r="E1603" s="133" t="str">
        <f>IFERROR(__xludf.DUMMYFUNCTION("""COMPUTED_VALUE"""),"تمت طباعة الشهادة")</f>
        <v>تمت طباعة الشهادة</v>
      </c>
      <c r="F1603" s="133" t="str">
        <f>IFERROR(__xludf.DUMMYFUNCTION("""COMPUTED_VALUE"""),"Princess Kitten 20kg")</f>
        <v>Princess Kitten 20kg</v>
      </c>
      <c r="G1603" s="133" t="str">
        <f>IFERROR(__xludf.DUMMYFUNCTION("""COMPUTED_VALUE"""),"برنسيس للقطط الصغيرة 20 كج")</f>
        <v>برنسيس للقطط الصغيرة 20 كج</v>
      </c>
      <c r="H1603" s="133" t="str">
        <f>IFERROR(__xludf.DUMMYFUNCTION("""COMPUTED_VALUE"""),"FOM-2024-6730-FEB-2024-59183 -C-0041-79991")</f>
        <v>FOM-2024-6730-FEB-2024-59183 -C-0041-79991</v>
      </c>
      <c r="I1603" s="133"/>
      <c r="J1603" s="133"/>
      <c r="K1603" s="133" t="str">
        <f>IFERROR(__xludf.DUMMYFUNCTION("""COMPUTED_VALUE"""),"اقريناتورا هادزيتشي")</f>
        <v>اقريناتورا هادزيتشي</v>
      </c>
      <c r="L1603" s="133"/>
      <c r="M1603" s="133"/>
      <c r="N1603" s="133"/>
      <c r="O1603" s="133"/>
      <c r="P1603" s="133"/>
      <c r="Q1603" s="133"/>
      <c r="R1603" s="133"/>
      <c r="S1603" s="133"/>
      <c r="T1603" s="133"/>
      <c r="U1603" s="133"/>
      <c r="V1603" s="133"/>
      <c r="W1603" s="133"/>
      <c r="X1603" s="133"/>
      <c r="Y1603" s="133"/>
      <c r="Z1603" s="133"/>
    </row>
    <row r="1604">
      <c r="A1604" s="133">
        <f>IFERROR(__xludf.DUMMYFUNCTION("""COMPUTED_VALUE"""),1605.0)</f>
        <v>1605</v>
      </c>
      <c r="B1604" s="133"/>
      <c r="C1604" s="133" t="str">
        <f>IFERROR(__xludf.DUMMYFUNCTION("""COMPUTED_VALUE"""),"P-1-N-310124-714")</f>
        <v>P-1-N-310124-714</v>
      </c>
      <c r="D1604" s="133"/>
      <c r="E1604" s="133" t="str">
        <f>IFERROR(__xludf.DUMMYFUNCTION("""COMPUTED_VALUE"""),"تمت طباعة الشهادة")</f>
        <v>تمت طباعة الشهادة</v>
      </c>
      <c r="F1604" s="133" t="str">
        <f>IFERROR(__xludf.DUMMYFUNCTION("""COMPUTED_VALUE"""),"BAB’IN CLASSIC CROC 18 KG")</f>
        <v>BAB’IN CLASSIC CROC 18 KG</v>
      </c>
      <c r="G1604" s="133" t="str">
        <f>IFERROR(__xludf.DUMMYFUNCTION("""COMPUTED_VALUE"""),"بابين كلاسيك كروك 18 كجم")</f>
        <v>بابين كلاسيك كروك 18 كجم</v>
      </c>
      <c r="H1604" s="133" t="str">
        <f>IFERROR(__xludf.DUMMYFUNCTION("""COMPUTED_VALUE"""),"MAFE2024543")</f>
        <v>MAFE2024543</v>
      </c>
      <c r="I1604" s="133"/>
      <c r="J1604" s="133"/>
      <c r="K1604" s="133" t="str">
        <f>IFERROR(__xludf.DUMMYFUNCTION("""COMPUTED_VALUE"""),"كوديكو")</f>
        <v>كوديكو</v>
      </c>
      <c r="L1604" s="133"/>
      <c r="M1604" s="133"/>
      <c r="N1604" s="133"/>
      <c r="O1604" s="133"/>
      <c r="P1604" s="133"/>
      <c r="Q1604" s="133"/>
      <c r="R1604" s="133"/>
      <c r="S1604" s="133"/>
      <c r="T1604" s="133"/>
      <c r="U1604" s="133"/>
      <c r="V1604" s="133"/>
      <c r="W1604" s="133"/>
      <c r="X1604" s="133"/>
      <c r="Y1604" s="133"/>
      <c r="Z1604" s="133"/>
    </row>
    <row r="1605">
      <c r="A1605" s="133">
        <f>IFERROR(__xludf.DUMMYFUNCTION("""COMPUTED_VALUE"""),1606.0)</f>
        <v>1606</v>
      </c>
      <c r="B1605" s="133" t="str">
        <f>IFERROR(__xludf.DUMMYFUNCTION("""COMPUTED_VALUE"""),"101120")</f>
        <v>101120</v>
      </c>
      <c r="C1605" s="133" t="str">
        <f>IFERROR(__xludf.DUMMYFUNCTION("""COMPUTED_VALUE"""),"P-1-N-310124-715")</f>
        <v>P-1-N-310124-715</v>
      </c>
      <c r="D1605" s="133"/>
      <c r="E1605" s="133" t="str">
        <f>IFERROR(__xludf.DUMMYFUNCTION("""COMPUTED_VALUE"""),"تمت طباعة الشهادة")</f>
        <v>تمت طباعة الشهادة</v>
      </c>
      <c r="F1605" s="133" t="str">
        <f>IFERROR(__xludf.DUMMYFUNCTION("""COMPUTED_VALUE"""),"BAB’IN SIGNATURE MAXI JUNIOR 12 KG")</f>
        <v>BAB’IN SIGNATURE MAXI JUNIOR 12 KG</v>
      </c>
      <c r="G1605" s="133" t="str">
        <f>IFERROR(__xludf.DUMMYFUNCTION("""COMPUTED_VALUE"""),"بابين سيجنتشر ماكسي جونيور 12 كجم")</f>
        <v>بابين سيجنتشر ماكسي جونيور 12 كجم</v>
      </c>
      <c r="H1605" s="133" t="str">
        <f>IFERROR(__xludf.DUMMYFUNCTION("""COMPUTED_VALUE"""),"MAFE2024545")</f>
        <v>MAFE2024545</v>
      </c>
      <c r="I1605" s="133"/>
      <c r="J1605" s="133"/>
      <c r="K1605" s="133" t="str">
        <f>IFERROR(__xludf.DUMMYFUNCTION("""COMPUTED_VALUE"""),"كوديكو")</f>
        <v>كوديكو</v>
      </c>
      <c r="L1605" s="142" t="str">
        <f>IFERROR(__xludf.DUMMYFUNCTION("""COMPUTED_VALUE"""),"101120")</f>
        <v>101120</v>
      </c>
      <c r="M1605" s="133"/>
      <c r="N1605" s="133"/>
      <c r="O1605" s="133"/>
      <c r="P1605" s="133"/>
      <c r="Q1605" s="133"/>
      <c r="R1605" s="133"/>
      <c r="S1605" s="133"/>
      <c r="T1605" s="133"/>
      <c r="U1605" s="133"/>
      <c r="V1605" s="133"/>
      <c r="W1605" s="133"/>
      <c r="X1605" s="133"/>
      <c r="Y1605" s="133"/>
      <c r="Z1605" s="133"/>
    </row>
    <row r="1606">
      <c r="A1606" s="133">
        <f>IFERROR(__xludf.DUMMYFUNCTION("""COMPUTED_VALUE"""),1607.0)</f>
        <v>1607</v>
      </c>
      <c r="B1606" s="133" t="str">
        <f>IFERROR(__xludf.DUMMYFUNCTION("""COMPUTED_VALUE"""),"101170")</f>
        <v>101170</v>
      </c>
      <c r="C1606" s="133" t="str">
        <f>IFERROR(__xludf.DUMMYFUNCTION("""COMPUTED_VALUE"""),"P-1-N-310124-716")</f>
        <v>P-1-N-310124-716</v>
      </c>
      <c r="D1606" s="133"/>
      <c r="E1606" s="133" t="str">
        <f>IFERROR(__xludf.DUMMYFUNCTION("""COMPUTED_VALUE"""),"تمت طباعة الشهادة")</f>
        <v>تمت طباعة الشهادة</v>
      </c>
      <c r="F1606" s="133" t="str">
        <f>IFERROR(__xludf.DUMMYFUNCTION("""COMPUTED_VALUE"""),"BAB’IN SIGNATURE MAXI ADULT 12 KG")</f>
        <v>BAB’IN SIGNATURE MAXI ADULT 12 KG</v>
      </c>
      <c r="G1606" s="133" t="str">
        <f>IFERROR(__xludf.DUMMYFUNCTION("""COMPUTED_VALUE"""),"بابين سيجنتشر ماكسي ادلت 12 كجم")</f>
        <v>بابين سيجنتشر ماكسي ادلت 12 كجم</v>
      </c>
      <c r="H1606" s="133" t="str">
        <f>IFERROR(__xludf.DUMMYFUNCTION("""COMPUTED_VALUE"""),"MAFE2024546")</f>
        <v>MAFE2024546</v>
      </c>
      <c r="I1606" s="133"/>
      <c r="J1606" s="133"/>
      <c r="K1606" s="133" t="str">
        <f>IFERROR(__xludf.DUMMYFUNCTION("""COMPUTED_VALUE"""),"كوديكو")</f>
        <v>كوديكو</v>
      </c>
      <c r="L1606" s="142" t="str">
        <f>IFERROR(__xludf.DUMMYFUNCTION("""COMPUTED_VALUE"""),"101170")</f>
        <v>101170</v>
      </c>
      <c r="M1606" s="133"/>
      <c r="N1606" s="133"/>
      <c r="O1606" s="133"/>
      <c r="P1606" s="133"/>
      <c r="Q1606" s="133"/>
      <c r="R1606" s="133"/>
      <c r="S1606" s="133"/>
      <c r="T1606" s="133"/>
      <c r="U1606" s="133"/>
      <c r="V1606" s="133"/>
      <c r="W1606" s="133"/>
      <c r="X1606" s="133"/>
      <c r="Y1606" s="133"/>
      <c r="Z1606" s="133"/>
    </row>
    <row r="1607">
      <c r="A1607" s="133">
        <f>IFERROR(__xludf.DUMMYFUNCTION("""COMPUTED_VALUE"""),1608.0)</f>
        <v>1608</v>
      </c>
      <c r="B1607" s="133" t="str">
        <f>IFERROR(__xludf.DUMMYFUNCTION("""COMPUTED_VALUE"""),"101185")</f>
        <v>101185</v>
      </c>
      <c r="C1607" s="133" t="str">
        <f>IFERROR(__xludf.DUMMYFUNCTION("""COMPUTED_VALUE"""),"P-1-N-310124-717")</f>
        <v>P-1-N-310124-717</v>
      </c>
      <c r="D1607" s="133"/>
      <c r="E1607" s="133" t="str">
        <f>IFERROR(__xludf.DUMMYFUNCTION("""COMPUTED_VALUE"""),"تمت طباعة الشهادة")</f>
        <v>تمت طباعة الشهادة</v>
      </c>
      <c r="F1607" s="133" t="str">
        <f>IFERROR(__xludf.DUMMYFUNCTION("""COMPUTED_VALUE"""),"BAB’IN SIGNATURE SENIOR MEDIUM &amp; MAXI 3 KG")</f>
        <v>BAB’IN SIGNATURE SENIOR MEDIUM &amp; MAXI 3 KG</v>
      </c>
      <c r="G1607" s="133" t="str">
        <f>IFERROR(__xludf.DUMMYFUNCTION("""COMPUTED_VALUE"""),"بابين سيجنتشر سينيور ميديم وماكسي 3 كجم")</f>
        <v>بابين سيجنتشر سينيور ميديم وماكسي 3 كجم</v>
      </c>
      <c r="H1607" s="133" t="str">
        <f>IFERROR(__xludf.DUMMYFUNCTION("""COMPUTED_VALUE"""),"MAFE2024547")</f>
        <v>MAFE2024547</v>
      </c>
      <c r="I1607" s="133"/>
      <c r="J1607" s="133"/>
      <c r="K1607" s="133" t="str">
        <f>IFERROR(__xludf.DUMMYFUNCTION("""COMPUTED_VALUE"""),"كوديكو")</f>
        <v>كوديكو</v>
      </c>
      <c r="L1607" s="142" t="str">
        <f>IFERROR(__xludf.DUMMYFUNCTION("""COMPUTED_VALUE"""),"101185")</f>
        <v>101185</v>
      </c>
      <c r="M1607" s="133"/>
      <c r="N1607" s="133"/>
      <c r="O1607" s="133"/>
      <c r="P1607" s="133"/>
      <c r="Q1607" s="133"/>
      <c r="R1607" s="133"/>
      <c r="S1607" s="133"/>
      <c r="T1607" s="133"/>
      <c r="U1607" s="133"/>
      <c r="V1607" s="133"/>
      <c r="W1607" s="133"/>
      <c r="X1607" s="133"/>
      <c r="Y1607" s="133"/>
      <c r="Z1607" s="133"/>
    </row>
    <row r="1608">
      <c r="A1608" s="133">
        <f>IFERROR(__xludf.DUMMYFUNCTION("""COMPUTED_VALUE"""),1609.0)</f>
        <v>1609</v>
      </c>
      <c r="B1608" s="133" t="str">
        <f>IFERROR(__xludf.DUMMYFUNCTION("""COMPUTED_VALUE"""),"101190")</f>
        <v>101190</v>
      </c>
      <c r="C1608" s="133" t="str">
        <f>IFERROR(__xludf.DUMMYFUNCTION("""COMPUTED_VALUE"""),"P-1-N-310124-718")</f>
        <v>P-1-N-310124-718</v>
      </c>
      <c r="D1608" s="133"/>
      <c r="E1608" s="133" t="str">
        <f>IFERROR(__xludf.DUMMYFUNCTION("""COMPUTED_VALUE"""),"تمت طباعة الشهادة")</f>
        <v>تمت طباعة الشهادة</v>
      </c>
      <c r="F1608" s="133" t="str">
        <f>IFERROR(__xludf.DUMMYFUNCTION("""COMPUTED_VALUE"""),"BAB’IN SIGNATURE SENIOR MEDIUM &amp; MAXI 12 KG")</f>
        <v>BAB’IN SIGNATURE SENIOR MEDIUM &amp; MAXI 12 KG</v>
      </c>
      <c r="G1608" s="133" t="str">
        <f>IFERROR(__xludf.DUMMYFUNCTION("""COMPUTED_VALUE"""),"بابين سيجنتشر سينيور ميديم وماكسي 12 كجم")</f>
        <v>بابين سيجنتشر سينيور ميديم وماكسي 12 كجم</v>
      </c>
      <c r="H1608" s="133" t="str">
        <f>IFERROR(__xludf.DUMMYFUNCTION("""COMPUTED_VALUE"""),"MAFE2024548")</f>
        <v>MAFE2024548</v>
      </c>
      <c r="I1608" s="133"/>
      <c r="J1608" s="133"/>
      <c r="K1608" s="133" t="str">
        <f>IFERROR(__xludf.DUMMYFUNCTION("""COMPUTED_VALUE"""),"كوديكو")</f>
        <v>كوديكو</v>
      </c>
      <c r="L1608" s="142" t="str">
        <f>IFERROR(__xludf.DUMMYFUNCTION("""COMPUTED_VALUE"""),"101190")</f>
        <v>101190</v>
      </c>
      <c r="M1608" s="133"/>
      <c r="N1608" s="133"/>
      <c r="O1608" s="133"/>
      <c r="P1608" s="133"/>
      <c r="Q1608" s="133"/>
      <c r="R1608" s="133"/>
      <c r="S1608" s="133"/>
      <c r="T1608" s="133"/>
      <c r="U1608" s="133"/>
      <c r="V1608" s="133"/>
      <c r="W1608" s="133"/>
      <c r="X1608" s="133"/>
      <c r="Y1608" s="133"/>
      <c r="Z1608" s="133"/>
    </row>
    <row r="1609">
      <c r="A1609" s="133">
        <f>IFERROR(__xludf.DUMMYFUNCTION("""COMPUTED_VALUE"""),1610.0)</f>
        <v>1610</v>
      </c>
      <c r="B1609" s="133"/>
      <c r="C1609" s="133" t="str">
        <f>IFERROR(__xludf.DUMMYFUNCTION("""COMPUTED_VALUE"""),"P-1-N-310124-719")</f>
        <v>P-1-N-310124-719</v>
      </c>
      <c r="D1609" s="133"/>
      <c r="E1609" s="133" t="str">
        <f>IFERROR(__xludf.DUMMYFUNCTION("""COMPUTED_VALUE"""),"تمت طباعة الشهادة")</f>
        <v>تمت طباعة الشهادة</v>
      </c>
      <c r="F1609" s="133" t="str">
        <f>IFERROR(__xludf.DUMMYFUNCTION("""COMPUTED_VALUE"""),"BAB’IN SIGNATURE MAXI STERILIZED 12 KG")</f>
        <v>BAB’IN SIGNATURE MAXI STERILIZED 12 KG</v>
      </c>
      <c r="G1609" s="133" t="str">
        <f>IFERROR(__xludf.DUMMYFUNCTION("""COMPUTED_VALUE"""),"بابين سيجنتشر ماكسي ستريليزد 12 كجم")</f>
        <v>بابين سيجنتشر ماكسي ستريليزد 12 كجم</v>
      </c>
      <c r="H1609" s="133" t="str">
        <f>IFERROR(__xludf.DUMMYFUNCTION("""COMPUTED_VALUE"""),"MAFE2024549")</f>
        <v>MAFE2024549</v>
      </c>
      <c r="I1609" s="133"/>
      <c r="J1609" s="133"/>
      <c r="K1609" s="133" t="str">
        <f>IFERROR(__xludf.DUMMYFUNCTION("""COMPUTED_VALUE"""),"كوديكو")</f>
        <v>كوديكو</v>
      </c>
      <c r="L1609" s="133"/>
      <c r="M1609" s="133"/>
      <c r="N1609" s="133"/>
      <c r="O1609" s="133"/>
      <c r="P1609" s="133"/>
      <c r="Q1609" s="133"/>
      <c r="R1609" s="133"/>
      <c r="S1609" s="133"/>
      <c r="T1609" s="133"/>
      <c r="U1609" s="133"/>
      <c r="V1609" s="133"/>
      <c r="W1609" s="133"/>
      <c r="X1609" s="133"/>
      <c r="Y1609" s="133"/>
      <c r="Z1609" s="133"/>
    </row>
    <row r="1610">
      <c r="A1610" s="133">
        <f>IFERROR(__xludf.DUMMYFUNCTION("""COMPUTED_VALUE"""),1611.0)</f>
        <v>1611</v>
      </c>
      <c r="B1610" s="133" t="str">
        <f>IFERROR(__xludf.DUMMYFUNCTION("""COMPUTED_VALUE"""),"101210")</f>
        <v>101210</v>
      </c>
      <c r="C1610" s="133" t="str">
        <f>IFERROR(__xludf.DUMMYFUNCTION("""COMPUTED_VALUE"""),"P-1-N-310124-720")</f>
        <v>P-1-N-310124-720</v>
      </c>
      <c r="D1610" s="133"/>
      <c r="E1610" s="133" t="str">
        <f>IFERROR(__xludf.DUMMYFUNCTION("""COMPUTED_VALUE"""),"تمت طباعة الشهادة")</f>
        <v>تمت طباعة الشهادة</v>
      </c>
      <c r="F1610" s="133" t="str">
        <f>IFERROR(__xludf.DUMMYFUNCTION("""COMPUTED_VALUE"""),"BAB’IN SIGNATURE ADULTE DUCK 3 KG")</f>
        <v>BAB’IN SIGNATURE ADULTE DUCK 3 KG</v>
      </c>
      <c r="G1610" s="133" t="str">
        <f>IFERROR(__xludf.DUMMYFUNCTION("""COMPUTED_VALUE"""),"بابين سيجنتشر ادلت بالبط 3 كجم")</f>
        <v>بابين سيجنتشر ادلت بالبط 3 كجم</v>
      </c>
      <c r="H1610" s="133" t="str">
        <f>IFERROR(__xludf.DUMMYFUNCTION("""COMPUTED_VALUE"""),"MAFE2024550")</f>
        <v>MAFE2024550</v>
      </c>
      <c r="I1610" s="133"/>
      <c r="J1610" s="133"/>
      <c r="K1610" s="133" t="str">
        <f>IFERROR(__xludf.DUMMYFUNCTION("""COMPUTED_VALUE"""),"كوديكو")</f>
        <v>كوديكو</v>
      </c>
      <c r="L1610" s="142" t="str">
        <f>IFERROR(__xludf.DUMMYFUNCTION("""COMPUTED_VALUE"""),"101210")</f>
        <v>101210</v>
      </c>
      <c r="M1610" s="133"/>
      <c r="N1610" s="133"/>
      <c r="O1610" s="133"/>
      <c r="P1610" s="133"/>
      <c r="Q1610" s="133"/>
      <c r="R1610" s="133"/>
      <c r="S1610" s="133"/>
      <c r="T1610" s="133"/>
      <c r="U1610" s="133"/>
      <c r="V1610" s="133"/>
      <c r="W1610" s="133"/>
      <c r="X1610" s="133"/>
      <c r="Y1610" s="133"/>
      <c r="Z1610" s="133"/>
    </row>
    <row r="1611">
      <c r="A1611" s="133">
        <f>IFERROR(__xludf.DUMMYFUNCTION("""COMPUTED_VALUE"""),1612.0)</f>
        <v>1612</v>
      </c>
      <c r="B1611" s="133" t="str">
        <f>IFERROR(__xludf.DUMMYFUNCTION("""COMPUTED_VALUE"""),"101215")</f>
        <v>101215</v>
      </c>
      <c r="C1611" s="133" t="str">
        <f>IFERROR(__xludf.DUMMYFUNCTION("""COMPUTED_VALUE"""),"P-1-N-310124-721")</f>
        <v>P-1-N-310124-721</v>
      </c>
      <c r="D1611" s="133"/>
      <c r="E1611" s="133" t="str">
        <f>IFERROR(__xludf.DUMMYFUNCTION("""COMPUTED_VALUE"""),"تمت طباعة الشهادة")</f>
        <v>تمت طباعة الشهادة</v>
      </c>
      <c r="F1611" s="133" t="str">
        <f>IFERROR(__xludf.DUMMYFUNCTION("""COMPUTED_VALUE"""),"BAB’IN SIGNATURE ADULTE DUCK 12 KG")</f>
        <v>BAB’IN SIGNATURE ADULTE DUCK 12 KG</v>
      </c>
      <c r="G1611" s="133" t="str">
        <f>IFERROR(__xludf.DUMMYFUNCTION("""COMPUTED_VALUE"""),"بابين سيجنتشر ادلت بالبط 12 كجم")</f>
        <v>بابين سيجنتشر ادلت بالبط 12 كجم</v>
      </c>
      <c r="H1611" s="133" t="str">
        <f>IFERROR(__xludf.DUMMYFUNCTION("""COMPUTED_VALUE"""),"MAFE2024531")</f>
        <v>MAFE2024531</v>
      </c>
      <c r="I1611" s="133"/>
      <c r="J1611" s="133"/>
      <c r="K1611" s="133" t="str">
        <f>IFERROR(__xludf.DUMMYFUNCTION("""COMPUTED_VALUE"""),"كوديكو")</f>
        <v>كوديكو</v>
      </c>
      <c r="L1611" s="142" t="str">
        <f>IFERROR(__xludf.DUMMYFUNCTION("""COMPUTED_VALUE"""),"101215")</f>
        <v>101215</v>
      </c>
      <c r="M1611" s="133"/>
      <c r="N1611" s="133"/>
      <c r="O1611" s="133"/>
      <c r="P1611" s="133"/>
      <c r="Q1611" s="133"/>
      <c r="R1611" s="133"/>
      <c r="S1611" s="133"/>
      <c r="T1611" s="133"/>
      <c r="U1611" s="133"/>
      <c r="V1611" s="133"/>
      <c r="W1611" s="133"/>
      <c r="X1611" s="133"/>
      <c r="Y1611" s="133"/>
      <c r="Z1611" s="133"/>
    </row>
    <row r="1612">
      <c r="A1612" s="133">
        <f>IFERROR(__xludf.DUMMYFUNCTION("""COMPUTED_VALUE"""),1613.0)</f>
        <v>1613</v>
      </c>
      <c r="B1612" s="133"/>
      <c r="C1612" s="133" t="str">
        <f>IFERROR(__xludf.DUMMYFUNCTION("""COMPUTED_VALUE"""),"P-1-N-040224-763")</f>
        <v>P-1-N-040224-763</v>
      </c>
      <c r="D1612" s="133"/>
      <c r="E1612" s="133" t="str">
        <f>IFERROR(__xludf.DUMMYFUNCTION("""COMPUTED_VALUE"""),"تمت طباعة الشهادة")</f>
        <v>تمت طباعة الشهادة</v>
      </c>
      <c r="F1612" s="133" t="str">
        <f>IFERROR(__xludf.DUMMYFUNCTION("""COMPUTED_VALUE"""),"Delicious Dinners Pouch Chicken CIJ/ Chicken And Turkey CIJ /Chicken And Liver CIJ /Chicken And Beef CIJ 40x100g")</f>
        <v>Delicious Dinners Pouch Chicken CIJ/ Chicken And Turkey CIJ /Chicken And Liver CIJ /Chicken And Beef CIJ 40x100g</v>
      </c>
      <c r="G1612" s="133" t="str">
        <f>IFERROR(__xludf.DUMMYFUNCTION("""COMPUTED_VALUE"""),"عشاء لذيذ كيس الدجاج قطع في الجيلي/ الدجاج والديك الرومي قطع في الجيلي/ الدجاج والكبد قطع في الجيلي/ الدجاج و لحم البقر قطع في الجيلي 40 ×100 جم")</f>
        <v>عشاء لذيذ كيس الدجاج قطع في الجيلي/ الدجاج والديك الرومي قطع في الجيلي/ الدجاج والكبد قطع في الجيلي/ الدجاج و لحم البقر قطع في الجيلي 40 ×100 جم</v>
      </c>
      <c r="H1612" s="133" t="str">
        <f>IFERROR(__xludf.DUMMYFUNCTION("""COMPUTED_VALUE"""),"MAFE2024597")</f>
        <v>MAFE2024597</v>
      </c>
      <c r="I1612" s="133"/>
      <c r="J1612" s="133"/>
      <c r="K1612" s="133" t="str">
        <f>IFERROR(__xludf.DUMMYFUNCTION("""COMPUTED_VALUE"""),"بوتشرز بت كير ال تي دي")</f>
        <v>بوتشرز بت كير ال تي دي</v>
      </c>
      <c r="L1612" s="133"/>
      <c r="M1612" s="133"/>
      <c r="N1612" s="133"/>
      <c r="O1612" s="133"/>
      <c r="P1612" s="133"/>
      <c r="Q1612" s="133"/>
      <c r="R1612" s="133"/>
      <c r="S1612" s="133"/>
      <c r="T1612" s="133"/>
      <c r="U1612" s="133"/>
      <c r="V1612" s="133"/>
      <c r="W1612" s="133"/>
      <c r="X1612" s="133"/>
      <c r="Y1612" s="133"/>
      <c r="Z1612" s="133"/>
    </row>
    <row r="1613">
      <c r="A1613" s="133">
        <f>IFERROR(__xludf.DUMMYFUNCTION("""COMPUTED_VALUE"""),1614.0)</f>
        <v>1614</v>
      </c>
      <c r="B1613" s="133"/>
      <c r="C1613" s="133" t="str">
        <f>IFERROR(__xludf.DUMMYFUNCTION("""COMPUTED_VALUE"""),"P-1-N-040224-777")</f>
        <v>P-1-N-040224-777</v>
      </c>
      <c r="D1613" s="133"/>
      <c r="E1613" s="133" t="str">
        <f>IFERROR(__xludf.DUMMYFUNCTION("""COMPUTED_VALUE"""),"تمت طباعة الشهادة")</f>
        <v>تمت طباعة الشهادة</v>
      </c>
      <c r="F1613" s="133" t="str">
        <f>IFERROR(__xludf.DUMMYFUNCTION("""COMPUTED_VALUE"""),"BAB’IN SIGNATURE GRAIN FREE JUNIOR CHICKEN 3 KG")</f>
        <v>BAB’IN SIGNATURE GRAIN FREE JUNIOR CHICKEN 3 KG</v>
      </c>
      <c r="G1613" s="133" t="str">
        <f>IFERROR(__xludf.DUMMYFUNCTION("""COMPUTED_VALUE"""),"بابين سيجنتشر خالي من الحبوب جونيور بالدجاج 3 كجم")</f>
        <v>بابين سيجنتشر خالي من الحبوب جونيور بالدجاج 3 كجم</v>
      </c>
      <c r="H1613" s="133" t="str">
        <f>IFERROR(__xludf.DUMMYFUNCTION("""COMPUTED_VALUE"""),"MAFE2024599")</f>
        <v>MAFE2024599</v>
      </c>
      <c r="I1613" s="133"/>
      <c r="J1613" s="133"/>
      <c r="K1613" s="133" t="str">
        <f>IFERROR(__xludf.DUMMYFUNCTION("""COMPUTED_VALUE"""),"كوديكو")</f>
        <v>كوديكو</v>
      </c>
      <c r="L1613" s="133"/>
      <c r="M1613" s="133"/>
      <c r="N1613" s="133"/>
      <c r="O1613" s="133"/>
      <c r="P1613" s="133"/>
      <c r="Q1613" s="133"/>
      <c r="R1613" s="133"/>
      <c r="S1613" s="133"/>
      <c r="T1613" s="133"/>
      <c r="U1613" s="133"/>
      <c r="V1613" s="133"/>
      <c r="W1613" s="133"/>
      <c r="X1613" s="133"/>
      <c r="Y1613" s="133"/>
      <c r="Z1613" s="133"/>
    </row>
    <row r="1614">
      <c r="A1614" s="133">
        <f>IFERROR(__xludf.DUMMYFUNCTION("""COMPUTED_VALUE"""),1615.0)</f>
        <v>1615</v>
      </c>
      <c r="B1614" s="133"/>
      <c r="C1614" s="133" t="str">
        <f>IFERROR(__xludf.DUMMYFUNCTION("""COMPUTED_VALUE"""),"P-1-N-040224-778")</f>
        <v>P-1-N-040224-778</v>
      </c>
      <c r="D1614" s="133"/>
      <c r="E1614" s="133" t="str">
        <f>IFERROR(__xludf.DUMMYFUNCTION("""COMPUTED_VALUE"""),"تمت طباعة الشهادة")</f>
        <v>تمت طباعة الشهادة</v>
      </c>
      <c r="F1614" s="133" t="str">
        <f>IFERROR(__xludf.DUMMYFUNCTION("""COMPUTED_VALUE"""),"BAB’IN SIGNATURE GRAIN FREE JUNIOR CHICKEN 12 KG")</f>
        <v>BAB’IN SIGNATURE GRAIN FREE JUNIOR CHICKEN 12 KG</v>
      </c>
      <c r="G1614" s="133" t="str">
        <f>IFERROR(__xludf.DUMMYFUNCTION("""COMPUTED_VALUE"""),"بابين سيجنتشر خالي من الحبوب جونيور بالدجاج 12 كجم")</f>
        <v>بابين سيجنتشر خالي من الحبوب جونيور بالدجاج 12 كجم</v>
      </c>
      <c r="H1614" s="133" t="str">
        <f>IFERROR(__xludf.DUMMYFUNCTION("""COMPUTED_VALUE"""),"MAFE2024600")</f>
        <v>MAFE2024600</v>
      </c>
      <c r="I1614" s="133"/>
      <c r="J1614" s="133"/>
      <c r="K1614" s="133" t="str">
        <f>IFERROR(__xludf.DUMMYFUNCTION("""COMPUTED_VALUE"""),"كوديكو")</f>
        <v>كوديكو</v>
      </c>
      <c r="L1614" s="133"/>
      <c r="M1614" s="133"/>
      <c r="N1614" s="133"/>
      <c r="O1614" s="133"/>
      <c r="P1614" s="133"/>
      <c r="Q1614" s="133"/>
      <c r="R1614" s="133"/>
      <c r="S1614" s="133"/>
      <c r="T1614" s="133"/>
      <c r="U1614" s="133"/>
      <c r="V1614" s="133"/>
      <c r="W1614" s="133"/>
      <c r="X1614" s="133"/>
      <c r="Y1614" s="133"/>
      <c r="Z1614" s="133"/>
    </row>
    <row r="1615">
      <c r="A1615" s="133">
        <f>IFERROR(__xludf.DUMMYFUNCTION("""COMPUTED_VALUE"""),1616.0)</f>
        <v>1616</v>
      </c>
      <c r="B1615" s="133"/>
      <c r="C1615" s="133" t="str">
        <f>IFERROR(__xludf.DUMMYFUNCTION("""COMPUTED_VALUE"""),"P-1-N-040224-779")</f>
        <v>P-1-N-040224-779</v>
      </c>
      <c r="D1615" s="133"/>
      <c r="E1615" s="133" t="str">
        <f>IFERROR(__xludf.DUMMYFUNCTION("""COMPUTED_VALUE"""),"تمت طباعة الشهادة")</f>
        <v>تمت طباعة الشهادة</v>
      </c>
      <c r="F1615" s="133" t="str">
        <f>IFERROR(__xludf.DUMMYFUNCTION("""COMPUTED_VALUE"""),"BAB’IN SIGNATURE GRAIN FREE MEDIUM ADULT CHICKEN 3 KG")</f>
        <v>BAB’IN SIGNATURE GRAIN FREE MEDIUM ADULT CHICKEN 3 KG</v>
      </c>
      <c r="G1615" s="133" t="str">
        <f>IFERROR(__xludf.DUMMYFUNCTION("""COMPUTED_VALUE"""),"بابين سيجنتشر خالي من الحبوب ميديم ادلت بالدجاج 3 كجم")</f>
        <v>بابين سيجنتشر خالي من الحبوب ميديم ادلت بالدجاج 3 كجم</v>
      </c>
      <c r="H1615" s="133" t="str">
        <f>IFERROR(__xludf.DUMMYFUNCTION("""COMPUTED_VALUE"""),"MAFE2024601")</f>
        <v>MAFE2024601</v>
      </c>
      <c r="I1615" s="133"/>
      <c r="J1615" s="133"/>
      <c r="K1615" s="133" t="str">
        <f>IFERROR(__xludf.DUMMYFUNCTION("""COMPUTED_VALUE"""),"كوديكو")</f>
        <v>كوديكو</v>
      </c>
      <c r="L1615" s="133"/>
      <c r="M1615" s="133"/>
      <c r="N1615" s="133"/>
      <c r="O1615" s="133"/>
      <c r="P1615" s="133"/>
      <c r="Q1615" s="133"/>
      <c r="R1615" s="133"/>
      <c r="S1615" s="133"/>
      <c r="T1615" s="133"/>
      <c r="U1615" s="133"/>
      <c r="V1615" s="133"/>
      <c r="W1615" s="133"/>
      <c r="X1615" s="133"/>
      <c r="Y1615" s="133"/>
      <c r="Z1615" s="133"/>
    </row>
    <row r="1616">
      <c r="A1616" s="133">
        <f>IFERROR(__xludf.DUMMYFUNCTION("""COMPUTED_VALUE"""),1617.0)</f>
        <v>1617</v>
      </c>
      <c r="B1616" s="133"/>
      <c r="C1616" s="133" t="str">
        <f>IFERROR(__xludf.DUMMYFUNCTION("""COMPUTED_VALUE"""),"P-1-N-040224-780")</f>
        <v>P-1-N-040224-780</v>
      </c>
      <c r="D1616" s="133"/>
      <c r="E1616" s="133" t="str">
        <f>IFERROR(__xludf.DUMMYFUNCTION("""COMPUTED_VALUE"""),"تمت طباعة الشهادة")</f>
        <v>تمت طباعة الشهادة</v>
      </c>
      <c r="F1616" s="133" t="str">
        <f>IFERROR(__xludf.DUMMYFUNCTION("""COMPUTED_VALUE"""),"BAB’IN SIGNATURE GRAIN FREE MEDIUM ADULT CHICKEN 12 KG")</f>
        <v>BAB’IN SIGNATURE GRAIN FREE MEDIUM ADULT CHICKEN 12 KG</v>
      </c>
      <c r="G1616" s="133" t="str">
        <f>IFERROR(__xludf.DUMMYFUNCTION("""COMPUTED_VALUE"""),"بابين سيجنتشر خالي من الحبوب ميديم ادلت بالدجاج 12 كجم")</f>
        <v>بابين سيجنتشر خالي من الحبوب ميديم ادلت بالدجاج 12 كجم</v>
      </c>
      <c r="H1616" s="133" t="str">
        <f>IFERROR(__xludf.DUMMYFUNCTION("""COMPUTED_VALUE"""),"MAFE2024602")</f>
        <v>MAFE2024602</v>
      </c>
      <c r="I1616" s="133"/>
      <c r="J1616" s="133"/>
      <c r="K1616" s="133" t="str">
        <f>IFERROR(__xludf.DUMMYFUNCTION("""COMPUTED_VALUE"""),"كوديكو")</f>
        <v>كوديكو</v>
      </c>
      <c r="L1616" s="133"/>
      <c r="M1616" s="133"/>
      <c r="N1616" s="133"/>
      <c r="O1616" s="133"/>
      <c r="P1616" s="133"/>
      <c r="Q1616" s="133"/>
      <c r="R1616" s="133"/>
      <c r="S1616" s="133"/>
      <c r="T1616" s="133"/>
      <c r="U1616" s="133"/>
      <c r="V1616" s="133"/>
      <c r="W1616" s="133"/>
      <c r="X1616" s="133"/>
      <c r="Y1616" s="133"/>
      <c r="Z1616" s="133"/>
    </row>
    <row r="1617">
      <c r="A1617" s="133">
        <f>IFERROR(__xludf.DUMMYFUNCTION("""COMPUTED_VALUE"""),1618.0)</f>
        <v>1618</v>
      </c>
      <c r="B1617" s="133"/>
      <c r="C1617" s="133" t="str">
        <f>IFERROR(__xludf.DUMMYFUNCTION("""COMPUTED_VALUE"""),"P-1-N-040224-781")</f>
        <v>P-1-N-040224-781</v>
      </c>
      <c r="D1617" s="133"/>
      <c r="E1617" s="133" t="str">
        <f>IFERROR(__xludf.DUMMYFUNCTION("""COMPUTED_VALUE"""),"تمت طباعة الشهادة")</f>
        <v>تمت طباعة الشهادة</v>
      </c>
      <c r="F1617" s="133" t="str">
        <f>IFERROR(__xludf.DUMMYFUNCTION("""COMPUTED_VALUE"""),"BAB’IN SIGNATURE GRAIN FREE ADULT DUCK 3 KG")</f>
        <v>BAB’IN SIGNATURE GRAIN FREE ADULT DUCK 3 KG</v>
      </c>
      <c r="G1617" s="133" t="str">
        <f>IFERROR(__xludf.DUMMYFUNCTION("""COMPUTED_VALUE"""),"بابين سيجنتشر خالي من الحبوب ادلت بالبط 3 كجم")</f>
        <v>بابين سيجنتشر خالي من الحبوب ادلت بالبط 3 كجم</v>
      </c>
      <c r="H1617" s="133" t="str">
        <f>IFERROR(__xludf.DUMMYFUNCTION("""COMPUTED_VALUE"""),"MAFE2024603")</f>
        <v>MAFE2024603</v>
      </c>
      <c r="I1617" s="133"/>
      <c r="J1617" s="133"/>
      <c r="K1617" s="133" t="str">
        <f>IFERROR(__xludf.DUMMYFUNCTION("""COMPUTED_VALUE"""),"كوديكو")</f>
        <v>كوديكو</v>
      </c>
      <c r="L1617" s="133"/>
      <c r="M1617" s="133"/>
      <c r="N1617" s="133"/>
      <c r="O1617" s="133"/>
      <c r="P1617" s="133"/>
      <c r="Q1617" s="133"/>
      <c r="R1617" s="133"/>
      <c r="S1617" s="133"/>
      <c r="T1617" s="133"/>
      <c r="U1617" s="133"/>
      <c r="V1617" s="133"/>
      <c r="W1617" s="133"/>
      <c r="X1617" s="133"/>
      <c r="Y1617" s="133"/>
      <c r="Z1617" s="133"/>
    </row>
    <row r="1618">
      <c r="A1618" s="133">
        <f>IFERROR(__xludf.DUMMYFUNCTION("""COMPUTED_VALUE"""),1619.0)</f>
        <v>1619</v>
      </c>
      <c r="B1618" s="133"/>
      <c r="C1618" s="133" t="str">
        <f>IFERROR(__xludf.DUMMYFUNCTION("""COMPUTED_VALUE"""),"P-1-N-040224-782")</f>
        <v>P-1-N-040224-782</v>
      </c>
      <c r="D1618" s="133"/>
      <c r="E1618" s="133" t="str">
        <f>IFERROR(__xludf.DUMMYFUNCTION("""COMPUTED_VALUE"""),"تمت طباعة الشهادة")</f>
        <v>تمت طباعة الشهادة</v>
      </c>
      <c r="F1618" s="133" t="str">
        <f>IFERROR(__xludf.DUMMYFUNCTION("""COMPUTED_VALUE"""),"BAB’IN SIGNATURE GRAIN FREE ADULT DUCK 12 KG")</f>
        <v>BAB’IN SIGNATURE GRAIN FREE ADULT DUCK 12 KG</v>
      </c>
      <c r="G1618" s="133" t="str">
        <f>IFERROR(__xludf.DUMMYFUNCTION("""COMPUTED_VALUE"""),"بابين سيجنتشر خالي من الحبوب ادلت بالبط 12 كجم")</f>
        <v>بابين سيجنتشر خالي من الحبوب ادلت بالبط 12 كجم</v>
      </c>
      <c r="H1618" s="133" t="str">
        <f>IFERROR(__xludf.DUMMYFUNCTION("""COMPUTED_VALUE"""),"MAFE2024604")</f>
        <v>MAFE2024604</v>
      </c>
      <c r="I1618" s="133"/>
      <c r="J1618" s="133"/>
      <c r="K1618" s="133" t="str">
        <f>IFERROR(__xludf.DUMMYFUNCTION("""COMPUTED_VALUE"""),"كوديكو")</f>
        <v>كوديكو</v>
      </c>
      <c r="L1618" s="133"/>
      <c r="M1618" s="133"/>
      <c r="N1618" s="133"/>
      <c r="O1618" s="133"/>
      <c r="P1618" s="133"/>
      <c r="Q1618" s="133"/>
      <c r="R1618" s="133"/>
      <c r="S1618" s="133"/>
      <c r="T1618" s="133"/>
      <c r="U1618" s="133"/>
      <c r="V1618" s="133"/>
      <c r="W1618" s="133"/>
      <c r="X1618" s="133"/>
      <c r="Y1618" s="133"/>
      <c r="Z1618" s="133"/>
    </row>
    <row r="1619">
      <c r="A1619" s="133">
        <f>IFERROR(__xludf.DUMMYFUNCTION("""COMPUTED_VALUE"""),1620.0)</f>
        <v>1620</v>
      </c>
      <c r="B1619" s="133"/>
      <c r="C1619" s="133" t="str">
        <f>IFERROR(__xludf.DUMMYFUNCTION("""COMPUTED_VALUE"""),"P-1-N-040224-783")</f>
        <v>P-1-N-040224-783</v>
      </c>
      <c r="D1619" s="133"/>
      <c r="E1619" s="133" t="str">
        <f>IFERROR(__xludf.DUMMYFUNCTION("""COMPUTED_VALUE"""),"تمت طباعة الشهادة")</f>
        <v>تمت طباعة الشهادة</v>
      </c>
      <c r="F1619" s="133" t="str">
        <f>IFERROR(__xludf.DUMMYFUNCTION("""COMPUTED_VALUE"""),"BAB’IN SIGNATURE GRAIN FREE MINI ADULT CHICKEN 2 KG")</f>
        <v>BAB’IN SIGNATURE GRAIN FREE MINI ADULT CHICKEN 2 KG</v>
      </c>
      <c r="G1619" s="133" t="str">
        <f>IFERROR(__xludf.DUMMYFUNCTION("""COMPUTED_VALUE"""),"بابين سيجنتشر خالي من الحبوب ميني ادلت بالدجاج 2 كجم")</f>
        <v>بابين سيجنتشر خالي من الحبوب ميني ادلت بالدجاج 2 كجم</v>
      </c>
      <c r="H1619" s="133" t="str">
        <f>IFERROR(__xludf.DUMMYFUNCTION("""COMPUTED_VALUE"""),"MAFE2024605")</f>
        <v>MAFE2024605</v>
      </c>
      <c r="I1619" s="133"/>
      <c r="J1619" s="133"/>
      <c r="K1619" s="133" t="str">
        <f>IFERROR(__xludf.DUMMYFUNCTION("""COMPUTED_VALUE"""),"كوديكو")</f>
        <v>كوديكو</v>
      </c>
      <c r="L1619" s="133"/>
      <c r="M1619" s="133"/>
      <c r="N1619" s="133"/>
      <c r="O1619" s="133"/>
      <c r="P1619" s="133"/>
      <c r="Q1619" s="133"/>
      <c r="R1619" s="133"/>
      <c r="S1619" s="133"/>
      <c r="T1619" s="133"/>
      <c r="U1619" s="133"/>
      <c r="V1619" s="133"/>
      <c r="W1619" s="133"/>
      <c r="X1619" s="133"/>
      <c r="Y1619" s="133"/>
      <c r="Z1619" s="133"/>
    </row>
    <row r="1620">
      <c r="A1620" s="133">
        <f>IFERROR(__xludf.DUMMYFUNCTION("""COMPUTED_VALUE"""),1621.0)</f>
        <v>1621</v>
      </c>
      <c r="B1620" s="133"/>
      <c r="C1620" s="133" t="str">
        <f>IFERROR(__xludf.DUMMYFUNCTION("""COMPUTED_VALUE"""),"P-1-N-040224-784")</f>
        <v>P-1-N-040224-784</v>
      </c>
      <c r="D1620" s="133"/>
      <c r="E1620" s="133" t="str">
        <f>IFERROR(__xludf.DUMMYFUNCTION("""COMPUTED_VALUE"""),"تمت طباعة الشهادة")</f>
        <v>تمت طباعة الشهادة</v>
      </c>
      <c r="F1620" s="133" t="str">
        <f>IFERROR(__xludf.DUMMYFUNCTION("""COMPUTED_VALUE"""),"BAB’IN SIGNATURE GRAIN FREE MINI ADULT CHICKEN 6 KG")</f>
        <v>BAB’IN SIGNATURE GRAIN FREE MINI ADULT CHICKEN 6 KG</v>
      </c>
      <c r="G1620" s="133" t="str">
        <f>IFERROR(__xludf.DUMMYFUNCTION("""COMPUTED_VALUE"""),"بابين سيجنتشر خالي من الحبوب ميني ادلت بالدجاج 6 كجم")</f>
        <v>بابين سيجنتشر خالي من الحبوب ميني ادلت بالدجاج 6 كجم</v>
      </c>
      <c r="H1620" s="133" t="str">
        <f>IFERROR(__xludf.DUMMYFUNCTION("""COMPUTED_VALUE"""),"MAFE2024606")</f>
        <v>MAFE2024606</v>
      </c>
      <c r="I1620" s="133"/>
      <c r="J1620" s="133"/>
      <c r="K1620" s="133" t="str">
        <f>IFERROR(__xludf.DUMMYFUNCTION("""COMPUTED_VALUE"""),"كوديكو")</f>
        <v>كوديكو</v>
      </c>
      <c r="L1620" s="133"/>
      <c r="M1620" s="133"/>
      <c r="N1620" s="133"/>
      <c r="O1620" s="133"/>
      <c r="P1620" s="133"/>
      <c r="Q1620" s="133"/>
      <c r="R1620" s="133"/>
      <c r="S1620" s="133"/>
      <c r="T1620" s="133"/>
      <c r="U1620" s="133"/>
      <c r="V1620" s="133"/>
      <c r="W1620" s="133"/>
      <c r="X1620" s="133"/>
      <c r="Y1620" s="133"/>
      <c r="Z1620" s="133"/>
    </row>
    <row r="1621">
      <c r="A1621" s="133">
        <f>IFERROR(__xludf.DUMMYFUNCTION("""COMPUTED_VALUE"""),1622.0)</f>
        <v>1622</v>
      </c>
      <c r="B1621" s="133"/>
      <c r="C1621" s="133" t="str">
        <f>IFERROR(__xludf.DUMMYFUNCTION("""COMPUTED_VALUE"""),"P-1-N-040224-785")</f>
        <v>P-1-N-040224-785</v>
      </c>
      <c r="D1621" s="133"/>
      <c r="E1621" s="133" t="str">
        <f>IFERROR(__xludf.DUMMYFUNCTION("""COMPUTED_VALUE"""),"تمت طباعة الشهادة")</f>
        <v>تمت طباعة الشهادة</v>
      </c>
      <c r="F1621" s="133" t="str">
        <f>IFERROR(__xludf.DUMMYFUNCTION("""COMPUTED_VALUE"""),"BAB’IN SIGNATURE GRAIN FREE MAXI ADULT CHICKEN 12 KG")</f>
        <v>BAB’IN SIGNATURE GRAIN FREE MAXI ADULT CHICKEN 12 KG</v>
      </c>
      <c r="G1621" s="133" t="str">
        <f>IFERROR(__xludf.DUMMYFUNCTION("""COMPUTED_VALUE"""),"بابين سيجنتشر خالي من الحبوب ماكسي ادلت بالدجاج 12 كجم")</f>
        <v>بابين سيجنتشر خالي من الحبوب ماكسي ادلت بالدجاج 12 كجم</v>
      </c>
      <c r="H1621" s="133" t="str">
        <f>IFERROR(__xludf.DUMMYFUNCTION("""COMPUTED_VALUE"""),"MAFE2024607")</f>
        <v>MAFE2024607</v>
      </c>
      <c r="I1621" s="133"/>
      <c r="J1621" s="133"/>
      <c r="K1621" s="133" t="str">
        <f>IFERROR(__xludf.DUMMYFUNCTION("""COMPUTED_VALUE"""),"كوديكو")</f>
        <v>كوديكو</v>
      </c>
      <c r="L1621" s="133"/>
      <c r="M1621" s="133"/>
      <c r="N1621" s="133"/>
      <c r="O1621" s="133"/>
      <c r="P1621" s="133"/>
      <c r="Q1621" s="133"/>
      <c r="R1621" s="133"/>
      <c r="S1621" s="133"/>
      <c r="T1621" s="133"/>
      <c r="U1621" s="133"/>
      <c r="V1621" s="133"/>
      <c r="W1621" s="133"/>
      <c r="X1621" s="133"/>
      <c r="Y1621" s="133"/>
      <c r="Z1621" s="133"/>
    </row>
    <row r="1622">
      <c r="A1622" s="133">
        <f>IFERROR(__xludf.DUMMYFUNCTION("""COMPUTED_VALUE"""),1623.0)</f>
        <v>1623</v>
      </c>
      <c r="B1622" s="133"/>
      <c r="C1622" s="133" t="str">
        <f>IFERROR(__xludf.DUMMYFUNCTION("""COMPUTED_VALUE"""),"P-1-N-050224-801")</f>
        <v>P-1-N-050224-801</v>
      </c>
      <c r="D1622" s="133"/>
      <c r="E1622" s="133" t="str">
        <f>IFERROR(__xludf.DUMMYFUNCTION("""COMPUTED_VALUE"""),"تمت طباعة الشهادة")</f>
        <v>تمت طباعة الشهادة</v>
      </c>
      <c r="F1622" s="133" t="str">
        <f>IFERROR(__xludf.DUMMYFUNCTION("""COMPUTED_VALUE"""),"Applaws Chicken Breast with Cheese 70 gram")</f>
        <v>Applaws Chicken Breast with Cheese 70 gram</v>
      </c>
      <c r="G1622" s="133" t="str">
        <f>IFERROR(__xludf.DUMMYFUNCTION("""COMPUTED_VALUE"""),"ابلاوز صدور الدجاج مع الجبنة 70 جرام")</f>
        <v>ابلاوز صدور الدجاج مع الجبنة 70 جرام</v>
      </c>
      <c r="H1622" s="133"/>
      <c r="I1622" s="133"/>
      <c r="J1622" s="133"/>
      <c r="K1622" s="133" t="str">
        <f>IFERROR(__xludf.DUMMYFUNCTION("""COMPUTED_VALUE"""),"أم بي أم برودكتس ليمتد")</f>
        <v>أم بي أم برودكتس ليمتد</v>
      </c>
      <c r="L1622" s="133"/>
      <c r="M1622" s="133"/>
      <c r="N1622" s="133"/>
      <c r="O1622" s="133"/>
      <c r="P1622" s="133"/>
      <c r="Q1622" s="133"/>
      <c r="R1622" s="133"/>
      <c r="S1622" s="133"/>
      <c r="T1622" s="133"/>
      <c r="U1622" s="133"/>
      <c r="V1622" s="133"/>
      <c r="W1622" s="133"/>
      <c r="X1622" s="133"/>
      <c r="Y1622" s="133"/>
      <c r="Z1622" s="133"/>
    </row>
    <row r="1623">
      <c r="A1623" s="133">
        <f>IFERROR(__xludf.DUMMYFUNCTION("""COMPUTED_VALUE"""),1624.0)</f>
        <v>1624</v>
      </c>
      <c r="B1623" s="133"/>
      <c r="C1623" s="133" t="str">
        <f>IFERROR(__xludf.DUMMYFUNCTION("""COMPUTED_VALUE"""),"P-1-N-050224-802")</f>
        <v>P-1-N-050224-802</v>
      </c>
      <c r="D1623" s="133"/>
      <c r="E1623" s="133" t="str">
        <f>IFERROR(__xludf.DUMMYFUNCTION("""COMPUTED_VALUE"""),"تمت طباعة الشهادة")</f>
        <v>تمت طباعة الشهادة</v>
      </c>
      <c r="F1623" s="133" t="str">
        <f>IFERROR(__xludf.DUMMYFUNCTION("""COMPUTED_VALUE"""),"Applaws Chicken Breast with Pumpkin 70 gram")</f>
        <v>Applaws Chicken Breast with Pumpkin 70 gram</v>
      </c>
      <c r="G1623" s="133" t="str">
        <f>IFERROR(__xludf.DUMMYFUNCTION("""COMPUTED_VALUE"""),"ابلاوز صدور الدجاج مع اليقطين 70 جرام")</f>
        <v>ابلاوز صدور الدجاج مع اليقطين 70 جرام</v>
      </c>
      <c r="H1623" s="133"/>
      <c r="I1623" s="133"/>
      <c r="J1623" s="133"/>
      <c r="K1623" s="133" t="str">
        <f>IFERROR(__xludf.DUMMYFUNCTION("""COMPUTED_VALUE"""),"أم بي أم برودكتس ليمتد")</f>
        <v>أم بي أم برودكتس ليمتد</v>
      </c>
      <c r="L1623" s="133"/>
      <c r="M1623" s="133"/>
      <c r="N1623" s="133"/>
      <c r="O1623" s="133"/>
      <c r="P1623" s="133"/>
      <c r="Q1623" s="133"/>
      <c r="R1623" s="133"/>
      <c r="S1623" s="133"/>
      <c r="T1623" s="133"/>
      <c r="U1623" s="133"/>
      <c r="V1623" s="133"/>
      <c r="W1623" s="133"/>
      <c r="X1623" s="133"/>
      <c r="Y1623" s="133"/>
      <c r="Z1623" s="133"/>
    </row>
    <row r="1624">
      <c r="A1624" s="133">
        <f>IFERROR(__xludf.DUMMYFUNCTION("""COMPUTED_VALUE"""),1625.0)</f>
        <v>1625</v>
      </c>
      <c r="B1624" s="133"/>
      <c r="C1624" s="133" t="str">
        <f>IFERROR(__xludf.DUMMYFUNCTION("""COMPUTED_VALUE"""),"P-1-N-050224-803")</f>
        <v>P-1-N-050224-803</v>
      </c>
      <c r="D1624" s="133"/>
      <c r="E1624" s="133" t="str">
        <f>IFERROR(__xludf.DUMMYFUNCTION("""COMPUTED_VALUE"""),"تمت طباعة الشهادة")</f>
        <v>تمت طباعة الشهادة</v>
      </c>
      <c r="F1624" s="133" t="str">
        <f>IFERROR(__xludf.DUMMYFUNCTION("""COMPUTED_VALUE"""),"Applaws Tuna with crab 60 gram")</f>
        <v>Applaws Tuna with crab 60 gram</v>
      </c>
      <c r="G1624" s="133" t="str">
        <f>IFERROR(__xludf.DUMMYFUNCTION("""COMPUTED_VALUE"""),"ابلاوز تونة مع السلطعون البحري 60 جرام")</f>
        <v>ابلاوز تونة مع السلطعون البحري 60 جرام</v>
      </c>
      <c r="H1624" s="133"/>
      <c r="I1624" s="133"/>
      <c r="J1624" s="133"/>
      <c r="K1624" s="133" t="str">
        <f>IFERROR(__xludf.DUMMYFUNCTION("""COMPUTED_VALUE"""),"أم بي أم برودكتس ليمتد")</f>
        <v>أم بي أم برودكتس ليمتد</v>
      </c>
      <c r="L1624" s="133"/>
      <c r="M1624" s="133"/>
      <c r="N1624" s="133"/>
      <c r="O1624" s="133"/>
      <c r="P1624" s="133"/>
      <c r="Q1624" s="133"/>
      <c r="R1624" s="133"/>
      <c r="S1624" s="133"/>
      <c r="T1624" s="133"/>
      <c r="U1624" s="133"/>
      <c r="V1624" s="133"/>
      <c r="W1624" s="133"/>
      <c r="X1624" s="133"/>
      <c r="Y1624" s="133"/>
      <c r="Z1624" s="133"/>
    </row>
    <row r="1625">
      <c r="A1625" s="133">
        <f>IFERROR(__xludf.DUMMYFUNCTION("""COMPUTED_VALUE"""),1626.0)</f>
        <v>1626</v>
      </c>
      <c r="B1625" s="133"/>
      <c r="C1625" s="133" t="str">
        <f>IFERROR(__xludf.DUMMYFUNCTION("""COMPUTED_VALUE"""),"P-1-N-050224-804")</f>
        <v>P-1-N-050224-804</v>
      </c>
      <c r="D1625" s="133"/>
      <c r="E1625" s="133" t="str">
        <f>IFERROR(__xludf.DUMMYFUNCTION("""COMPUTED_VALUE"""),"تمت طباعة الشهادة")</f>
        <v>تمت طباعة الشهادة</v>
      </c>
      <c r="F1625" s="133" t="str">
        <f>IFERROR(__xludf.DUMMYFUNCTION("""COMPUTED_VALUE"""),"Tuna with Prawn")</f>
        <v>Tuna with Prawn</v>
      </c>
      <c r="G1625" s="133" t="str">
        <f>IFERROR(__xludf.DUMMYFUNCTION("""COMPUTED_VALUE"""),"ابلاوز تونة بالربيان 60 جرام")</f>
        <v>ابلاوز تونة بالربيان 60 جرام</v>
      </c>
      <c r="H1625" s="133"/>
      <c r="I1625" s="133"/>
      <c r="J1625" s="133"/>
      <c r="K1625" s="133" t="str">
        <f>IFERROR(__xludf.DUMMYFUNCTION("""COMPUTED_VALUE"""),"أم بي أم برودكتس ليمتد")</f>
        <v>أم بي أم برودكتس ليمتد</v>
      </c>
      <c r="L1625" s="133"/>
      <c r="M1625" s="133"/>
      <c r="N1625" s="133"/>
      <c r="O1625" s="133"/>
      <c r="P1625" s="133"/>
      <c r="Q1625" s="133"/>
      <c r="R1625" s="133"/>
      <c r="S1625" s="133"/>
      <c r="T1625" s="133"/>
      <c r="U1625" s="133"/>
      <c r="V1625" s="133"/>
      <c r="W1625" s="133"/>
      <c r="X1625" s="133"/>
      <c r="Y1625" s="133"/>
      <c r="Z1625" s="133"/>
    </row>
    <row r="1626">
      <c r="A1626" s="133">
        <f>IFERROR(__xludf.DUMMYFUNCTION("""COMPUTED_VALUE"""),1627.0)</f>
        <v>1627</v>
      </c>
      <c r="B1626" s="133"/>
      <c r="C1626" s="133" t="str">
        <f>IFERROR(__xludf.DUMMYFUNCTION("""COMPUTED_VALUE"""),"P-1-N-050224-808")</f>
        <v>P-1-N-050224-808</v>
      </c>
      <c r="D1626" s="133"/>
      <c r="E1626" s="133" t="str">
        <f>IFERROR(__xludf.DUMMYFUNCTION("""COMPUTED_VALUE"""),"تمت طباعة الشهادة")</f>
        <v>تمت طباعة الشهادة</v>
      </c>
      <c r="F1626" s="133" t="str">
        <f>IFERROR(__xludf.DUMMYFUNCTION("""COMPUTED_VALUE"""),"BAB’IN LAB JUNIOR SKIN &amp; COAT CARE SALMON 2 KG")</f>
        <v>BAB’IN LAB JUNIOR SKIN &amp; COAT CARE SALMON 2 KG</v>
      </c>
      <c r="G1626" s="133" t="str">
        <f>IFERROR(__xludf.DUMMYFUNCTION("""COMPUTED_VALUE"""),"بابين لاب جونيور سكين اند كوت كير بالسلمون 2 كجم")</f>
        <v>بابين لاب جونيور سكين اند كوت كير بالسلمون 2 كجم</v>
      </c>
      <c r="H1626" s="133" t="str">
        <f>IFERROR(__xludf.DUMMYFUNCTION("""COMPUTED_VALUE"""),"MAFE2024652")</f>
        <v>MAFE2024652</v>
      </c>
      <c r="I1626" s="133"/>
      <c r="J1626" s="133"/>
      <c r="K1626" s="133" t="str">
        <f>IFERROR(__xludf.DUMMYFUNCTION("""COMPUTED_VALUE"""),"كوديكو")</f>
        <v>كوديكو</v>
      </c>
      <c r="L1626" s="133"/>
      <c r="M1626" s="133"/>
      <c r="N1626" s="133"/>
      <c r="O1626" s="133"/>
      <c r="P1626" s="133"/>
      <c r="Q1626" s="133"/>
      <c r="R1626" s="133"/>
      <c r="S1626" s="133"/>
      <c r="T1626" s="133"/>
      <c r="U1626" s="133"/>
      <c r="V1626" s="133"/>
      <c r="W1626" s="133"/>
      <c r="X1626" s="133"/>
      <c r="Y1626" s="133"/>
      <c r="Z1626" s="133"/>
    </row>
    <row r="1627">
      <c r="A1627" s="133">
        <f>IFERROR(__xludf.DUMMYFUNCTION("""COMPUTED_VALUE"""),1628.0)</f>
        <v>1628</v>
      </c>
      <c r="B1627" s="133"/>
      <c r="C1627" s="133" t="str">
        <f>IFERROR(__xludf.DUMMYFUNCTION("""COMPUTED_VALUE"""),"P-1-N-050224-809")</f>
        <v>P-1-N-050224-809</v>
      </c>
      <c r="D1627" s="133"/>
      <c r="E1627" s="133" t="str">
        <f>IFERROR(__xludf.DUMMYFUNCTION("""COMPUTED_VALUE"""),"تمت طباعة الشهادة")</f>
        <v>تمت طباعة الشهادة</v>
      </c>
      <c r="F1627" s="133" t="str">
        <f>IFERROR(__xludf.DUMMYFUNCTION("""COMPUTED_VALUE"""),"BAB’IN LAB JUNIOR SKIN &amp; COAT CARE SALMON 12 KG")</f>
        <v>BAB’IN LAB JUNIOR SKIN &amp; COAT CARE SALMON 12 KG</v>
      </c>
      <c r="G1627" s="133" t="str">
        <f>IFERROR(__xludf.DUMMYFUNCTION("""COMPUTED_VALUE"""),"بابين لاب جونيور سكين اند كوت كير بالسلمون 12 كجم")</f>
        <v>بابين لاب جونيور سكين اند كوت كير بالسلمون 12 كجم</v>
      </c>
      <c r="H1627" s="133" t="str">
        <f>IFERROR(__xludf.DUMMYFUNCTION("""COMPUTED_VALUE"""),"MAFE2024654")</f>
        <v>MAFE2024654</v>
      </c>
      <c r="I1627" s="133"/>
      <c r="J1627" s="133"/>
      <c r="K1627" s="133" t="str">
        <f>IFERROR(__xludf.DUMMYFUNCTION("""COMPUTED_VALUE"""),"كوديكو")</f>
        <v>كوديكو</v>
      </c>
      <c r="L1627" s="133"/>
      <c r="M1627" s="133"/>
      <c r="N1627" s="133"/>
      <c r="O1627" s="133"/>
      <c r="P1627" s="133"/>
      <c r="Q1627" s="133"/>
      <c r="R1627" s="133"/>
      <c r="S1627" s="133"/>
      <c r="T1627" s="133"/>
      <c r="U1627" s="133"/>
      <c r="V1627" s="133"/>
      <c r="W1627" s="133"/>
      <c r="X1627" s="133"/>
      <c r="Y1627" s="133"/>
      <c r="Z1627" s="133"/>
    </row>
    <row r="1628">
      <c r="A1628" s="133">
        <f>IFERROR(__xludf.DUMMYFUNCTION("""COMPUTED_VALUE"""),1629.0)</f>
        <v>1629</v>
      </c>
      <c r="B1628" s="133"/>
      <c r="C1628" s="133" t="str">
        <f>IFERROR(__xludf.DUMMYFUNCTION("""COMPUTED_VALUE"""),"P-1-N-050224-810")</f>
        <v>P-1-N-050224-810</v>
      </c>
      <c r="D1628" s="133"/>
      <c r="E1628" s="133" t="str">
        <f>IFERROR(__xludf.DUMMYFUNCTION("""COMPUTED_VALUE"""),"تمت طباعة الشهادة")</f>
        <v>تمت طباعة الشهادة</v>
      </c>
      <c r="F1628" s="133" t="str">
        <f>IFERROR(__xludf.DUMMYFUNCTION("""COMPUTED_VALUE"""),"BAB’IN LAB MINI ADULT DIGESTIVE CARE CHICKEN 2 KG")</f>
        <v>BAB’IN LAB MINI ADULT DIGESTIVE CARE CHICKEN 2 KG</v>
      </c>
      <c r="G1628" s="133" t="str">
        <f>IFERROR(__xludf.DUMMYFUNCTION("""COMPUTED_VALUE"""),"بابين لاب ميني ادلت دايجستف كير بالدجاج 2 كجم")</f>
        <v>بابين لاب ميني ادلت دايجستف كير بالدجاج 2 كجم</v>
      </c>
      <c r="H1628" s="133" t="str">
        <f>IFERROR(__xludf.DUMMYFUNCTION("""COMPUTED_VALUE"""),"MAFE2024655")</f>
        <v>MAFE2024655</v>
      </c>
      <c r="I1628" s="133"/>
      <c r="J1628" s="133"/>
      <c r="K1628" s="133" t="str">
        <f>IFERROR(__xludf.DUMMYFUNCTION("""COMPUTED_VALUE"""),"كوديكو")</f>
        <v>كوديكو</v>
      </c>
      <c r="L1628" s="133"/>
      <c r="M1628" s="133"/>
      <c r="N1628" s="133"/>
      <c r="O1628" s="133"/>
      <c r="P1628" s="133"/>
      <c r="Q1628" s="133"/>
      <c r="R1628" s="133"/>
      <c r="S1628" s="133"/>
      <c r="T1628" s="133"/>
      <c r="U1628" s="133"/>
      <c r="V1628" s="133"/>
      <c r="W1628" s="133"/>
      <c r="X1628" s="133"/>
      <c r="Y1628" s="133"/>
      <c r="Z1628" s="133"/>
    </row>
    <row r="1629">
      <c r="A1629" s="133">
        <f>IFERROR(__xludf.DUMMYFUNCTION("""COMPUTED_VALUE"""),1630.0)</f>
        <v>1630</v>
      </c>
      <c r="B1629" s="133"/>
      <c r="C1629" s="133" t="str">
        <f>IFERROR(__xludf.DUMMYFUNCTION("""COMPUTED_VALUE"""),"P-1-N-050224-811")</f>
        <v>P-1-N-050224-811</v>
      </c>
      <c r="D1629" s="133"/>
      <c r="E1629" s="133" t="str">
        <f>IFERROR(__xludf.DUMMYFUNCTION("""COMPUTED_VALUE"""),"تمت طباعة الشهادة")</f>
        <v>تمت طباعة الشهادة</v>
      </c>
      <c r="F1629" s="133" t="str">
        <f>IFERROR(__xludf.DUMMYFUNCTION("""COMPUTED_VALUE"""),"BAB’IN LAB MINI ADULT DIGESTIVE CARE CHICKEN 6 KG")</f>
        <v>BAB’IN LAB MINI ADULT DIGESTIVE CARE CHICKEN 6 KG</v>
      </c>
      <c r="G1629" s="133" t="str">
        <f>IFERROR(__xludf.DUMMYFUNCTION("""COMPUTED_VALUE"""),"بابين لاب ميني ادلت دايجستف كير بالدجاج 6 كجم")</f>
        <v>بابين لاب ميني ادلت دايجستف كير بالدجاج 6 كجم</v>
      </c>
      <c r="H1629" s="133" t="str">
        <f>IFERROR(__xludf.DUMMYFUNCTION("""COMPUTED_VALUE"""),"MAFE2024656")</f>
        <v>MAFE2024656</v>
      </c>
      <c r="I1629" s="133"/>
      <c r="J1629" s="133"/>
      <c r="K1629" s="133" t="str">
        <f>IFERROR(__xludf.DUMMYFUNCTION("""COMPUTED_VALUE"""),"كوديكو")</f>
        <v>كوديكو</v>
      </c>
      <c r="L1629" s="133"/>
      <c r="M1629" s="133"/>
      <c r="N1629" s="133"/>
      <c r="O1629" s="133"/>
      <c r="P1629" s="133"/>
      <c r="Q1629" s="133"/>
      <c r="R1629" s="133"/>
      <c r="S1629" s="133"/>
      <c r="T1629" s="133"/>
      <c r="U1629" s="133"/>
      <c r="V1629" s="133"/>
      <c r="W1629" s="133"/>
      <c r="X1629" s="133"/>
      <c r="Y1629" s="133"/>
      <c r="Z1629" s="133"/>
    </row>
    <row r="1630">
      <c r="A1630" s="133">
        <f>IFERROR(__xludf.DUMMYFUNCTION("""COMPUTED_VALUE"""),1631.0)</f>
        <v>1631</v>
      </c>
      <c r="B1630" s="133"/>
      <c r="C1630" s="133" t="str">
        <f>IFERROR(__xludf.DUMMYFUNCTION("""COMPUTED_VALUE"""),"P-1-N-050224-812")</f>
        <v>P-1-N-050224-812</v>
      </c>
      <c r="D1630" s="133"/>
      <c r="E1630" s="133" t="str">
        <f>IFERROR(__xludf.DUMMYFUNCTION("""COMPUTED_VALUE"""),"تمت طباعة الشهادة")</f>
        <v>تمت طباعة الشهادة</v>
      </c>
      <c r="F1630" s="133" t="str">
        <f>IFERROR(__xludf.DUMMYFUNCTION("""COMPUTED_VALUE"""),"BAB’IN LAB MEDIUM &amp; MAXI ADULT DIGESTIVE CARE CHICKEN 12 KG")</f>
        <v>BAB’IN LAB MEDIUM &amp; MAXI ADULT DIGESTIVE CARE CHICKEN 12 KG</v>
      </c>
      <c r="G1630" s="133" t="str">
        <f>IFERROR(__xludf.DUMMYFUNCTION("""COMPUTED_VALUE"""),"بابين لاب ميديم وماكسي ادلت دايجستف كير بالدجاج 12 كجم")</f>
        <v>بابين لاب ميديم وماكسي ادلت دايجستف كير بالدجاج 12 كجم</v>
      </c>
      <c r="H1630" s="133" t="str">
        <f>IFERROR(__xludf.DUMMYFUNCTION("""COMPUTED_VALUE"""),"MAFE2024657")</f>
        <v>MAFE2024657</v>
      </c>
      <c r="I1630" s="133"/>
      <c r="J1630" s="133"/>
      <c r="K1630" s="133" t="str">
        <f>IFERROR(__xludf.DUMMYFUNCTION("""COMPUTED_VALUE"""),"كوديكو")</f>
        <v>كوديكو</v>
      </c>
      <c r="L1630" s="133"/>
      <c r="M1630" s="133"/>
      <c r="N1630" s="133"/>
      <c r="O1630" s="133"/>
      <c r="P1630" s="133"/>
      <c r="Q1630" s="133"/>
      <c r="R1630" s="133"/>
      <c r="S1630" s="133"/>
      <c r="T1630" s="133"/>
      <c r="U1630" s="133"/>
      <c r="V1630" s="133"/>
      <c r="W1630" s="133"/>
      <c r="X1630" s="133"/>
      <c r="Y1630" s="133"/>
      <c r="Z1630" s="133"/>
    </row>
    <row r="1631">
      <c r="A1631" s="133">
        <f>IFERROR(__xludf.DUMMYFUNCTION("""COMPUTED_VALUE"""),1632.0)</f>
        <v>1632</v>
      </c>
      <c r="B1631" s="133"/>
      <c r="C1631" s="133" t="str">
        <f>IFERROR(__xludf.DUMMYFUNCTION("""COMPUTED_VALUE"""),"P-1-N-050224-813")</f>
        <v>P-1-N-050224-813</v>
      </c>
      <c r="D1631" s="133"/>
      <c r="E1631" s="133" t="str">
        <f>IFERROR(__xludf.DUMMYFUNCTION("""COMPUTED_VALUE"""),"تمت طباعة الشهادة")</f>
        <v>تمت طباعة الشهادة</v>
      </c>
      <c r="F1631" s="133" t="str">
        <f>IFERROR(__xludf.DUMMYFUNCTION("""COMPUTED_VALUE"""),"BAB’IN LAB MEDIUM &amp; MAXI ADULT SKIN &amp; COAT CARE SALMON 12 KG")</f>
        <v>BAB’IN LAB MEDIUM &amp; MAXI ADULT SKIN &amp; COAT CARE SALMON 12 KG</v>
      </c>
      <c r="G1631" s="133" t="str">
        <f>IFERROR(__xludf.DUMMYFUNCTION("""COMPUTED_VALUE"""),"بابين لاب ميديم وماكسي ادلت سكين اند كوت كير بالسلمون 12 كجم")</f>
        <v>بابين لاب ميديم وماكسي ادلت سكين اند كوت كير بالسلمون 12 كجم</v>
      </c>
      <c r="H1631" s="133" t="str">
        <f>IFERROR(__xludf.DUMMYFUNCTION("""COMPUTED_VALUE"""),"MAFE2024658")</f>
        <v>MAFE2024658</v>
      </c>
      <c r="I1631" s="133"/>
      <c r="J1631" s="133"/>
      <c r="K1631" s="133" t="str">
        <f>IFERROR(__xludf.DUMMYFUNCTION("""COMPUTED_VALUE"""),"كوديكو")</f>
        <v>كوديكو</v>
      </c>
      <c r="L1631" s="133"/>
      <c r="M1631" s="133"/>
      <c r="N1631" s="133"/>
      <c r="O1631" s="133"/>
      <c r="P1631" s="133"/>
      <c r="Q1631" s="133"/>
      <c r="R1631" s="133"/>
      <c r="S1631" s="133"/>
      <c r="T1631" s="133"/>
      <c r="U1631" s="133"/>
      <c r="V1631" s="133"/>
      <c r="W1631" s="133"/>
      <c r="X1631" s="133"/>
      <c r="Y1631" s="133"/>
      <c r="Z1631" s="133"/>
    </row>
    <row r="1632">
      <c r="A1632" s="133">
        <f>IFERROR(__xludf.DUMMYFUNCTION("""COMPUTED_VALUE"""),1633.0)</f>
        <v>1633</v>
      </c>
      <c r="B1632" s="133"/>
      <c r="C1632" s="133" t="str">
        <f>IFERROR(__xludf.DUMMYFUNCTION("""COMPUTED_VALUE"""),"P-1-N-050224-814")</f>
        <v>P-1-N-050224-814</v>
      </c>
      <c r="D1632" s="133"/>
      <c r="E1632" s="133" t="str">
        <f>IFERROR(__xludf.DUMMYFUNCTION("""COMPUTED_VALUE"""),"تمت طباعة الشهادة")</f>
        <v>تمت طباعة الشهادة</v>
      </c>
      <c r="F1632" s="133" t="str">
        <f>IFERROR(__xludf.DUMMYFUNCTION("""COMPUTED_VALUE"""),"BAB’IN LAB ADULT LOW FAT LAMB 2 KG")</f>
        <v>BAB’IN LAB ADULT LOW FAT LAMB 2 KG</v>
      </c>
      <c r="G1632" s="133" t="str">
        <f>IFERROR(__xludf.DUMMYFUNCTION("""COMPUTED_VALUE"""),"بابين لاب ادلت لحم ضأن قليل الدسم 2 كجم")</f>
        <v>بابين لاب ادلت لحم ضأن قليل الدسم 2 كجم</v>
      </c>
      <c r="H1632" s="133" t="str">
        <f>IFERROR(__xludf.DUMMYFUNCTION("""COMPUTED_VALUE"""),"MAFE2024718")</f>
        <v>MAFE2024718</v>
      </c>
      <c r="I1632" s="133"/>
      <c r="J1632" s="133"/>
      <c r="K1632" s="133" t="str">
        <f>IFERROR(__xludf.DUMMYFUNCTION("""COMPUTED_VALUE"""),"كوديكو")</f>
        <v>كوديكو</v>
      </c>
      <c r="L1632" s="133"/>
      <c r="M1632" s="133"/>
      <c r="N1632" s="133"/>
      <c r="O1632" s="133"/>
      <c r="P1632" s="133"/>
      <c r="Q1632" s="133"/>
      <c r="R1632" s="133"/>
      <c r="S1632" s="133"/>
      <c r="T1632" s="133"/>
      <c r="U1632" s="133"/>
      <c r="V1632" s="133"/>
      <c r="W1632" s="133"/>
      <c r="X1632" s="133"/>
      <c r="Y1632" s="133"/>
      <c r="Z1632" s="133"/>
    </row>
    <row r="1633">
      <c r="A1633" s="133">
        <f>IFERROR(__xludf.DUMMYFUNCTION("""COMPUTED_VALUE"""),1634.0)</f>
        <v>1634</v>
      </c>
      <c r="B1633" s="133"/>
      <c r="C1633" s="133" t="str">
        <f>IFERROR(__xludf.DUMMYFUNCTION("""COMPUTED_VALUE"""),"P-1-N-050224-815")</f>
        <v>P-1-N-050224-815</v>
      </c>
      <c r="D1633" s="133"/>
      <c r="E1633" s="133" t="str">
        <f>IFERROR(__xludf.DUMMYFUNCTION("""COMPUTED_VALUE"""),"تمت طباعة الشهادة")</f>
        <v>تمت طباعة الشهادة</v>
      </c>
      <c r="F1633" s="133" t="str">
        <f>IFERROR(__xludf.DUMMYFUNCTION("""COMPUTED_VALUE"""),"BAB’IN LAB ADULT LOW FAT LAMB 12 KG")</f>
        <v>BAB’IN LAB ADULT LOW FAT LAMB 12 KG</v>
      </c>
      <c r="G1633" s="133" t="str">
        <f>IFERROR(__xludf.DUMMYFUNCTION("""COMPUTED_VALUE"""),"بابين لاب ادلت لحم ضأن قليل الدسم 12 كجم")</f>
        <v>بابين لاب ادلت لحم ضأن قليل الدسم 12 كجم</v>
      </c>
      <c r="H1633" s="133" t="str">
        <f>IFERROR(__xludf.DUMMYFUNCTION("""COMPUTED_VALUE"""),"MAFE2024719")</f>
        <v>MAFE2024719</v>
      </c>
      <c r="I1633" s="133"/>
      <c r="J1633" s="133"/>
      <c r="K1633" s="133" t="str">
        <f>IFERROR(__xludf.DUMMYFUNCTION("""COMPUTED_VALUE"""),"كوديكو")</f>
        <v>كوديكو</v>
      </c>
      <c r="L1633" s="133"/>
      <c r="M1633" s="133"/>
      <c r="N1633" s="133"/>
      <c r="O1633" s="133"/>
      <c r="P1633" s="133"/>
      <c r="Q1633" s="133"/>
      <c r="R1633" s="133"/>
      <c r="S1633" s="133"/>
      <c r="T1633" s="133"/>
      <c r="U1633" s="133"/>
      <c r="V1633" s="133"/>
      <c r="W1633" s="133"/>
      <c r="X1633" s="133"/>
      <c r="Y1633" s="133"/>
      <c r="Z1633" s="133"/>
    </row>
    <row r="1634">
      <c r="A1634" s="133">
        <f>IFERROR(__xludf.DUMMYFUNCTION("""COMPUTED_VALUE"""),1635.0)</f>
        <v>1635</v>
      </c>
      <c r="B1634" s="133"/>
      <c r="C1634" s="133" t="str">
        <f>IFERROR(__xludf.DUMMYFUNCTION("""COMPUTED_VALUE"""),"P-1-N-050224-816")</f>
        <v>P-1-N-050224-816</v>
      </c>
      <c r="D1634" s="133"/>
      <c r="E1634" s="133" t="str">
        <f>IFERROR(__xludf.DUMMYFUNCTION("""COMPUTED_VALUE"""),"تمت طباعة الشهادة")</f>
        <v>تمت طباعة الشهادة</v>
      </c>
      <c r="F1634" s="133" t="str">
        <f>IFERROR(__xludf.DUMMYFUNCTION("""COMPUTED_VALUE"""),"BAB’IN LAB ADULT WEIGHT LOSS 2 KG")</f>
        <v>BAB’IN LAB ADULT WEIGHT LOSS 2 KG</v>
      </c>
      <c r="G1634" s="133" t="str">
        <f>IFERROR(__xludf.DUMMYFUNCTION("""COMPUTED_VALUE"""),"بابين لاب ادلت ويت لوس 2 كجم")</f>
        <v>بابين لاب ادلت ويت لوس 2 كجم</v>
      </c>
      <c r="H1634" s="133" t="str">
        <f>IFERROR(__xludf.DUMMYFUNCTION("""COMPUTED_VALUE"""),"MAFE2024720")</f>
        <v>MAFE2024720</v>
      </c>
      <c r="I1634" s="133"/>
      <c r="J1634" s="133"/>
      <c r="K1634" s="133" t="str">
        <f>IFERROR(__xludf.DUMMYFUNCTION("""COMPUTED_VALUE"""),"كوديكو")</f>
        <v>كوديكو</v>
      </c>
      <c r="L1634" s="133"/>
      <c r="M1634" s="133"/>
      <c r="N1634" s="133"/>
      <c r="O1634" s="133"/>
      <c r="P1634" s="133"/>
      <c r="Q1634" s="133"/>
      <c r="R1634" s="133"/>
      <c r="S1634" s="133"/>
      <c r="T1634" s="133"/>
      <c r="U1634" s="133"/>
      <c r="V1634" s="133"/>
      <c r="W1634" s="133"/>
      <c r="X1634" s="133"/>
      <c r="Y1634" s="133"/>
      <c r="Z1634" s="133"/>
    </row>
    <row r="1635">
      <c r="A1635" s="133">
        <f>IFERROR(__xludf.DUMMYFUNCTION("""COMPUTED_VALUE"""),1636.0)</f>
        <v>1636</v>
      </c>
      <c r="B1635" s="133"/>
      <c r="C1635" s="133" t="str">
        <f>IFERROR(__xludf.DUMMYFUNCTION("""COMPUTED_VALUE"""),"P-1-N-050224-817")</f>
        <v>P-1-N-050224-817</v>
      </c>
      <c r="D1635" s="133"/>
      <c r="E1635" s="133" t="str">
        <f>IFERROR(__xludf.DUMMYFUNCTION("""COMPUTED_VALUE"""),"تمت طباعة الشهادة")</f>
        <v>تمت طباعة الشهادة</v>
      </c>
      <c r="F1635" s="133" t="str">
        <f>IFERROR(__xludf.DUMMYFUNCTION("""COMPUTED_VALUE"""),"BAB’IN LAB ADULT WEIGHT LOSS 12 KG")</f>
        <v>BAB’IN LAB ADULT WEIGHT LOSS 12 KG</v>
      </c>
      <c r="G1635" s="133" t="str">
        <f>IFERROR(__xludf.DUMMYFUNCTION("""COMPUTED_VALUE"""),"بابين لاب ادلت ويت لوس 12 كجم")</f>
        <v>بابين لاب ادلت ويت لوس 12 كجم</v>
      </c>
      <c r="H1635" s="133" t="str">
        <f>IFERROR(__xludf.DUMMYFUNCTION("""COMPUTED_VALUE"""),"MAFE2024721")</f>
        <v>MAFE2024721</v>
      </c>
      <c r="I1635" s="133"/>
      <c r="J1635" s="133"/>
      <c r="K1635" s="133" t="str">
        <f>IFERROR(__xludf.DUMMYFUNCTION("""COMPUTED_VALUE"""),"كوديكو")</f>
        <v>كوديكو</v>
      </c>
      <c r="L1635" s="133"/>
      <c r="M1635" s="133"/>
      <c r="N1635" s="133"/>
      <c r="O1635" s="133"/>
      <c r="P1635" s="133"/>
      <c r="Q1635" s="133"/>
      <c r="R1635" s="133"/>
      <c r="S1635" s="133"/>
      <c r="T1635" s="133"/>
      <c r="U1635" s="133"/>
      <c r="V1635" s="133"/>
      <c r="W1635" s="133"/>
      <c r="X1635" s="133"/>
      <c r="Y1635" s="133"/>
      <c r="Z1635" s="133"/>
    </row>
    <row r="1636">
      <c r="A1636" s="133">
        <f>IFERROR(__xludf.DUMMYFUNCTION("""COMPUTED_VALUE"""),1637.0)</f>
        <v>1637</v>
      </c>
      <c r="B1636" s="133"/>
      <c r="C1636" s="133" t="str">
        <f>IFERROR(__xludf.DUMMYFUNCTION("""COMPUTED_VALUE"""),"P-1-N-050224-818")</f>
        <v>P-1-N-050224-818</v>
      </c>
      <c r="D1636" s="133"/>
      <c r="E1636" s="133" t="str">
        <f>IFERROR(__xludf.DUMMYFUNCTION("""COMPUTED_VALUE"""),"تمت طباعة الشهادة")</f>
        <v>تمت طباعة الشهادة</v>
      </c>
      <c r="F1636" s="133" t="str">
        <f>IFERROR(__xludf.DUMMYFUNCTION("""COMPUTED_VALUE"""),"BAB’IN LAB ADULT RENAL 2 KG")</f>
        <v>BAB’IN LAB ADULT RENAL 2 KG</v>
      </c>
      <c r="G1636" s="133" t="str">
        <f>IFERROR(__xludf.DUMMYFUNCTION("""COMPUTED_VALUE"""),"بابين لاب ادلت رينال 2 كجم")</f>
        <v>بابين لاب ادلت رينال 2 كجم</v>
      </c>
      <c r="H1636" s="133" t="str">
        <f>IFERROR(__xludf.DUMMYFUNCTION("""COMPUTED_VALUE"""),"MAFE2024723")</f>
        <v>MAFE2024723</v>
      </c>
      <c r="I1636" s="133"/>
      <c r="J1636" s="133"/>
      <c r="K1636" s="133" t="str">
        <f>IFERROR(__xludf.DUMMYFUNCTION("""COMPUTED_VALUE"""),"كوديكو")</f>
        <v>كوديكو</v>
      </c>
      <c r="L1636" s="133"/>
      <c r="M1636" s="133"/>
      <c r="N1636" s="133"/>
      <c r="O1636" s="133"/>
      <c r="P1636" s="133"/>
      <c r="Q1636" s="133"/>
      <c r="R1636" s="133"/>
      <c r="S1636" s="133"/>
      <c r="T1636" s="133"/>
      <c r="U1636" s="133"/>
      <c r="V1636" s="133"/>
      <c r="W1636" s="133"/>
      <c r="X1636" s="133"/>
      <c r="Y1636" s="133"/>
      <c r="Z1636" s="133"/>
    </row>
    <row r="1637">
      <c r="A1637" s="133">
        <f>IFERROR(__xludf.DUMMYFUNCTION("""COMPUTED_VALUE"""),1638.0)</f>
        <v>1638</v>
      </c>
      <c r="B1637" s="133"/>
      <c r="C1637" s="133" t="str">
        <f>IFERROR(__xludf.DUMMYFUNCTION("""COMPUTED_VALUE"""),"P-1-N-050224-819")</f>
        <v>P-1-N-050224-819</v>
      </c>
      <c r="D1637" s="133"/>
      <c r="E1637" s="133" t="str">
        <f>IFERROR(__xludf.DUMMYFUNCTION("""COMPUTED_VALUE"""),"تمت طباعة الشهادة")</f>
        <v>تمت طباعة الشهادة</v>
      </c>
      <c r="F1637" s="133" t="str">
        <f>IFERROR(__xludf.DUMMYFUNCTION("""COMPUTED_VALUE"""),"BAB’IN LAB ADULT RENAL 2 KG")</f>
        <v>BAB’IN LAB ADULT RENAL 2 KG</v>
      </c>
      <c r="G1637" s="133" t="str">
        <f>IFERROR(__xludf.DUMMYFUNCTION("""COMPUTED_VALUE"""),"بابين لاب ادلت رينال 2 كجم")</f>
        <v>بابين لاب ادلت رينال 2 كجم</v>
      </c>
      <c r="H1637" s="133" t="str">
        <f>IFERROR(__xludf.DUMMYFUNCTION("""COMPUTED_VALUE"""),"MAFE2024722")</f>
        <v>MAFE2024722</v>
      </c>
      <c r="I1637" s="133"/>
      <c r="J1637" s="133"/>
      <c r="K1637" s="133" t="str">
        <f>IFERROR(__xludf.DUMMYFUNCTION("""COMPUTED_VALUE"""),"كوديكو")</f>
        <v>كوديكو</v>
      </c>
      <c r="L1637" s="133"/>
      <c r="M1637" s="133"/>
      <c r="N1637" s="133"/>
      <c r="O1637" s="133"/>
      <c r="P1637" s="133"/>
      <c r="Q1637" s="133"/>
      <c r="R1637" s="133"/>
      <c r="S1637" s="133"/>
      <c r="T1637" s="133"/>
      <c r="U1637" s="133"/>
      <c r="V1637" s="133"/>
      <c r="W1637" s="133"/>
      <c r="X1637" s="133"/>
      <c r="Y1637" s="133"/>
      <c r="Z1637" s="133"/>
    </row>
    <row r="1638">
      <c r="A1638" s="133">
        <f>IFERROR(__xludf.DUMMYFUNCTION("""COMPUTED_VALUE"""),1639.0)</f>
        <v>1639</v>
      </c>
      <c r="B1638" s="133"/>
      <c r="C1638" s="133" t="str">
        <f>IFERROR(__xludf.DUMMYFUNCTION("""COMPUTED_VALUE"""),"P-1-N-050224-820")</f>
        <v>P-1-N-050224-820</v>
      </c>
      <c r="D1638" s="133"/>
      <c r="E1638" s="133" t="str">
        <f>IFERROR(__xludf.DUMMYFUNCTION("""COMPUTED_VALUE"""),"تمت طباعة الشهادة")</f>
        <v>تمت طباعة الشهادة</v>
      </c>
      <c r="F1638" s="133" t="str">
        <f>IFERROR(__xludf.DUMMYFUNCTION("""COMPUTED_VALUE"""),"BAB’IN LAB ADULT RENAL 10 KG")</f>
        <v>BAB’IN LAB ADULT RENAL 10 KG</v>
      </c>
      <c r="G1638" s="133" t="str">
        <f>IFERROR(__xludf.DUMMYFUNCTION("""COMPUTED_VALUE"""),"بابين لاب ادلت رينال 10 كجم")</f>
        <v>بابين لاب ادلت رينال 10 كجم</v>
      </c>
      <c r="H1638" s="133" t="str">
        <f>IFERROR(__xludf.DUMMYFUNCTION("""COMPUTED_VALUE"""),"MAFE2024724")</f>
        <v>MAFE2024724</v>
      </c>
      <c r="I1638" s="133"/>
      <c r="J1638" s="133"/>
      <c r="K1638" s="133" t="str">
        <f>IFERROR(__xludf.DUMMYFUNCTION("""COMPUTED_VALUE"""),"كوديكو")</f>
        <v>كوديكو</v>
      </c>
      <c r="L1638" s="133"/>
      <c r="M1638" s="133"/>
      <c r="N1638" s="133"/>
      <c r="O1638" s="133"/>
      <c r="P1638" s="133"/>
      <c r="Q1638" s="133"/>
      <c r="R1638" s="133"/>
      <c r="S1638" s="133"/>
      <c r="T1638" s="133"/>
      <c r="U1638" s="133"/>
      <c r="V1638" s="133"/>
      <c r="W1638" s="133"/>
      <c r="X1638" s="133"/>
      <c r="Y1638" s="133"/>
      <c r="Z1638" s="133"/>
    </row>
    <row r="1639">
      <c r="A1639" s="133">
        <f>IFERROR(__xludf.DUMMYFUNCTION("""COMPUTED_VALUE"""),1640.0)</f>
        <v>1640</v>
      </c>
      <c r="B1639" s="133"/>
      <c r="C1639" s="133" t="str">
        <f>IFERROR(__xludf.DUMMYFUNCTION("""COMPUTED_VALUE"""),"P-1-N-050224-821")</f>
        <v>P-1-N-050224-821</v>
      </c>
      <c r="D1639" s="133"/>
      <c r="E1639" s="133" t="str">
        <f>IFERROR(__xludf.DUMMYFUNCTION("""COMPUTED_VALUE"""),"تمت طباعة الشهادة")</f>
        <v>تمت طباعة الشهادة</v>
      </c>
      <c r="F1639" s="133" t="str">
        <f>IFERROR(__xludf.DUMMYFUNCTION("""COMPUTED_VALUE"""),"BAB’IN LAB ADULT HYPOALLERGENIC 2 KG")</f>
        <v>BAB’IN LAB ADULT HYPOALLERGENIC 2 KG</v>
      </c>
      <c r="G1639" s="133" t="str">
        <f>IFERROR(__xludf.DUMMYFUNCTION("""COMPUTED_VALUE"""),"بابين لاب ادلت هيبوالرجينيك 2 كجم")</f>
        <v>بابين لاب ادلت هيبوالرجينيك 2 كجم</v>
      </c>
      <c r="H1639" s="133" t="str">
        <f>IFERROR(__xludf.DUMMYFUNCTION("""COMPUTED_VALUE"""),"MAFE2024727")</f>
        <v>MAFE2024727</v>
      </c>
      <c r="I1639" s="133"/>
      <c r="J1639" s="133"/>
      <c r="K1639" s="133" t="str">
        <f>IFERROR(__xludf.DUMMYFUNCTION("""COMPUTED_VALUE"""),"كوديكو")</f>
        <v>كوديكو</v>
      </c>
      <c r="L1639" s="133"/>
      <c r="M1639" s="133"/>
      <c r="N1639" s="133"/>
      <c r="O1639" s="133"/>
      <c r="P1639" s="133"/>
      <c r="Q1639" s="133"/>
      <c r="R1639" s="133"/>
      <c r="S1639" s="133"/>
      <c r="T1639" s="133"/>
      <c r="U1639" s="133"/>
      <c r="V1639" s="133"/>
      <c r="W1639" s="133"/>
      <c r="X1639" s="133"/>
      <c r="Y1639" s="133"/>
      <c r="Z1639" s="133"/>
    </row>
    <row r="1640">
      <c r="A1640" s="133">
        <f>IFERROR(__xludf.DUMMYFUNCTION("""COMPUTED_VALUE"""),1641.0)</f>
        <v>1641</v>
      </c>
      <c r="B1640" s="133"/>
      <c r="C1640" s="133" t="str">
        <f>IFERROR(__xludf.DUMMYFUNCTION("""COMPUTED_VALUE"""),"P-1-N-050224-822")</f>
        <v>P-1-N-050224-822</v>
      </c>
      <c r="D1640" s="133"/>
      <c r="E1640" s="133" t="str">
        <f>IFERROR(__xludf.DUMMYFUNCTION("""COMPUTED_VALUE"""),"تمت طباعة الشهادة")</f>
        <v>تمت طباعة الشهادة</v>
      </c>
      <c r="F1640" s="133" t="str">
        <f>IFERROR(__xludf.DUMMYFUNCTION("""COMPUTED_VALUE"""),"BAB’IN LAB ADULT HYPOALLERGENIC 10 KG")</f>
        <v>BAB’IN LAB ADULT HYPOALLERGENIC 10 KG</v>
      </c>
      <c r="G1640" s="133" t="str">
        <f>IFERROR(__xludf.DUMMYFUNCTION("""COMPUTED_VALUE"""),"بابين لاب ادلت هيبوالرجينيك 10 كجم")</f>
        <v>بابين لاب ادلت هيبوالرجينيك 10 كجم</v>
      </c>
      <c r="H1640" s="133" t="str">
        <f>IFERROR(__xludf.DUMMYFUNCTION("""COMPUTED_VALUE"""),"MAFE2024725")</f>
        <v>MAFE2024725</v>
      </c>
      <c r="I1640" s="133"/>
      <c r="J1640" s="133"/>
      <c r="K1640" s="133" t="str">
        <f>IFERROR(__xludf.DUMMYFUNCTION("""COMPUTED_VALUE"""),"كوديكو")</f>
        <v>كوديكو</v>
      </c>
      <c r="L1640" s="133"/>
      <c r="M1640" s="133"/>
      <c r="N1640" s="133"/>
      <c r="O1640" s="133"/>
      <c r="P1640" s="133"/>
      <c r="Q1640" s="133"/>
      <c r="R1640" s="133"/>
      <c r="S1640" s="133"/>
      <c r="T1640" s="133"/>
      <c r="U1640" s="133"/>
      <c r="V1640" s="133"/>
      <c r="W1640" s="133"/>
      <c r="X1640" s="133"/>
      <c r="Y1640" s="133"/>
      <c r="Z1640" s="133"/>
    </row>
    <row r="1641">
      <c r="A1641" s="133">
        <f>IFERROR(__xludf.DUMMYFUNCTION("""COMPUTED_VALUE"""),1642.0)</f>
        <v>1642</v>
      </c>
      <c r="B1641" s="133"/>
      <c r="C1641" s="133" t="str">
        <f>IFERROR(__xludf.DUMMYFUNCTION("""COMPUTED_VALUE"""),"P-1-N-050224-823")</f>
        <v>P-1-N-050224-823</v>
      </c>
      <c r="D1641" s="133"/>
      <c r="E1641" s="133" t="str">
        <f>IFERROR(__xludf.DUMMYFUNCTION("""COMPUTED_VALUE"""),"تمت طباعة الشهادة")</f>
        <v>تمت طباعة الشهادة</v>
      </c>
      <c r="F1641" s="133" t="str">
        <f>IFERROR(__xludf.DUMMYFUNCTION("""COMPUTED_VALUE"""),"BAB’IN LAB ADULT JOINT CARE 12 KG")</f>
        <v>BAB’IN LAB ADULT JOINT CARE 12 KG</v>
      </c>
      <c r="G1641" s="133" t="str">
        <f>IFERROR(__xludf.DUMMYFUNCTION("""COMPUTED_VALUE"""),"بابين لاب ادلت جوينت كير 12 كجم")</f>
        <v>بابين لاب ادلت جوينت كير 12 كجم</v>
      </c>
      <c r="H1641" s="133" t="str">
        <f>IFERROR(__xludf.DUMMYFUNCTION("""COMPUTED_VALUE"""),"MAFE2024726")</f>
        <v>MAFE2024726</v>
      </c>
      <c r="I1641" s="133"/>
      <c r="J1641" s="133"/>
      <c r="K1641" s="133" t="str">
        <f>IFERROR(__xludf.DUMMYFUNCTION("""COMPUTED_VALUE"""),"كوديكو")</f>
        <v>كوديكو</v>
      </c>
      <c r="L1641" s="133"/>
      <c r="M1641" s="133"/>
      <c r="N1641" s="133"/>
      <c r="O1641" s="133"/>
      <c r="P1641" s="133"/>
      <c r="Q1641" s="133"/>
      <c r="R1641" s="133"/>
      <c r="S1641" s="133"/>
      <c r="T1641" s="133"/>
      <c r="U1641" s="133"/>
      <c r="V1641" s="133"/>
      <c r="W1641" s="133"/>
      <c r="X1641" s="133"/>
      <c r="Y1641" s="133"/>
      <c r="Z1641" s="133"/>
    </row>
    <row r="1642">
      <c r="A1642" s="133">
        <f>IFERROR(__xludf.DUMMYFUNCTION("""COMPUTED_VALUE"""),1643.0)</f>
        <v>1643</v>
      </c>
      <c r="B1642" s="133"/>
      <c r="C1642" s="133" t="str">
        <f>IFERROR(__xludf.DUMMYFUNCTION("""COMPUTED_VALUE"""),"P-1-N-050224-824")</f>
        <v>P-1-N-050224-824</v>
      </c>
      <c r="D1642" s="133"/>
      <c r="E1642" s="133" t="str">
        <f>IFERROR(__xludf.DUMMYFUNCTION("""COMPUTED_VALUE"""),"تمت طباعة الشهادة")</f>
        <v>تمت طباعة الشهادة</v>
      </c>
      <c r="F1642" s="133" t="str">
        <f>IFERROR(__xludf.DUMMYFUNCTION("""COMPUTED_VALUE"""),"BAB’IN LAB MINI ADULT SKIN &amp; COAT CARE SALMON 2 KG")</f>
        <v>BAB’IN LAB MINI ADULT SKIN &amp; COAT CARE SALMON 2 KG</v>
      </c>
      <c r="G1642" s="133" t="str">
        <f>IFERROR(__xludf.DUMMYFUNCTION("""COMPUTED_VALUE"""),"بابين لاب ميني ادلت سكين اند كوت كير بالسلمون 2 كجم")</f>
        <v>بابين لاب ميني ادلت سكين اند كوت كير بالسلمون 2 كجم</v>
      </c>
      <c r="H1642" s="133" t="str">
        <f>IFERROR(__xludf.DUMMYFUNCTION("""COMPUTED_VALUE"""),"MAFE2024728")</f>
        <v>MAFE2024728</v>
      </c>
      <c r="I1642" s="133"/>
      <c r="J1642" s="133"/>
      <c r="K1642" s="133" t="str">
        <f>IFERROR(__xludf.DUMMYFUNCTION("""COMPUTED_VALUE"""),"كوديكو")</f>
        <v>كوديكو</v>
      </c>
      <c r="L1642" s="133"/>
      <c r="M1642" s="133"/>
      <c r="N1642" s="133"/>
      <c r="O1642" s="133"/>
      <c r="P1642" s="133"/>
      <c r="Q1642" s="133"/>
      <c r="R1642" s="133"/>
      <c r="S1642" s="133"/>
      <c r="T1642" s="133"/>
      <c r="U1642" s="133"/>
      <c r="V1642" s="133"/>
      <c r="W1642" s="133"/>
      <c r="X1642" s="133"/>
      <c r="Y1642" s="133"/>
      <c r="Z1642" s="133"/>
    </row>
    <row r="1643">
      <c r="A1643" s="133">
        <f>IFERROR(__xludf.DUMMYFUNCTION("""COMPUTED_VALUE"""),1644.0)</f>
        <v>1644</v>
      </c>
      <c r="B1643" s="133"/>
      <c r="C1643" s="133" t="str">
        <f>IFERROR(__xludf.DUMMYFUNCTION("""COMPUTED_VALUE"""),"P-1-N-050224-825")</f>
        <v>P-1-N-050224-825</v>
      </c>
      <c r="D1643" s="133"/>
      <c r="E1643" s="133" t="str">
        <f>IFERROR(__xludf.DUMMYFUNCTION("""COMPUTED_VALUE"""),"تمت طباعة الشهادة")</f>
        <v>تمت طباعة الشهادة</v>
      </c>
      <c r="F1643" s="133" t="str">
        <f>IFERROR(__xludf.DUMMYFUNCTION("""COMPUTED_VALUE"""),"BAB’IN LAB MINI ADULT SKIN &amp; COAT CARE SALMON 6 KG")</f>
        <v>BAB’IN LAB MINI ADULT SKIN &amp; COAT CARE SALMON 6 KG</v>
      </c>
      <c r="G1643" s="133" t="str">
        <f>IFERROR(__xludf.DUMMYFUNCTION("""COMPUTED_VALUE"""),"بابين لاب ميني ادلت سكين اند كوت كير بالسلمون 6 كجم")</f>
        <v>بابين لاب ميني ادلت سكين اند كوت كير بالسلمون 6 كجم</v>
      </c>
      <c r="H1643" s="133" t="str">
        <f>IFERROR(__xludf.DUMMYFUNCTION("""COMPUTED_VALUE"""),"MAFE2024731")</f>
        <v>MAFE2024731</v>
      </c>
      <c r="I1643" s="133"/>
      <c r="J1643" s="133"/>
      <c r="K1643" s="133" t="str">
        <f>IFERROR(__xludf.DUMMYFUNCTION("""COMPUTED_VALUE"""),"كوديكو")</f>
        <v>كوديكو</v>
      </c>
      <c r="L1643" s="133"/>
      <c r="M1643" s="133"/>
      <c r="N1643" s="133"/>
      <c r="O1643" s="133"/>
      <c r="P1643" s="133"/>
      <c r="Q1643" s="133"/>
      <c r="R1643" s="133"/>
      <c r="S1643" s="133"/>
      <c r="T1643" s="133"/>
      <c r="U1643" s="133"/>
      <c r="V1643" s="133"/>
      <c r="W1643" s="133"/>
      <c r="X1643" s="133"/>
      <c r="Y1643" s="133"/>
      <c r="Z1643" s="133"/>
    </row>
    <row r="1644">
      <c r="A1644" s="133">
        <f>IFERROR(__xludf.DUMMYFUNCTION("""COMPUTED_VALUE"""),1645.0)</f>
        <v>1645</v>
      </c>
      <c r="B1644" s="133"/>
      <c r="C1644" s="133" t="str">
        <f>IFERROR(__xludf.DUMMYFUNCTION("""COMPUTED_VALUE"""),"P-1-N-060224-835")</f>
        <v>P-1-N-060224-835</v>
      </c>
      <c r="D1644" s="133"/>
      <c r="E1644" s="133" t="str">
        <f>IFERROR(__xludf.DUMMYFUNCTION("""COMPUTED_VALUE"""),"تمت طباعة الشهادة")</f>
        <v>تمت طباعة الشهادة</v>
      </c>
      <c r="F1644" s="133" t="str">
        <f>IFERROR(__xludf.DUMMYFUNCTION("""COMPUTED_VALUE"""),"Princess Temptation 20 kg")</f>
        <v>Princess Temptation 20 kg</v>
      </c>
      <c r="G1644" s="133" t="str">
        <f>IFERROR(__xludf.DUMMYFUNCTION("""COMPUTED_VALUE"""),"برنسيس تيمتاشن للقطط البالغة 20 كج")</f>
        <v>برنسيس تيمتاشن للقطط البالغة 20 كج</v>
      </c>
      <c r="H1644" s="133"/>
      <c r="I1644" s="133"/>
      <c r="J1644" s="133"/>
      <c r="K1644" s="133" t="str">
        <f>IFERROR(__xludf.DUMMYFUNCTION("""COMPUTED_VALUE"""),"اقريناتورا هادزيتشي")</f>
        <v>اقريناتورا هادزيتشي</v>
      </c>
      <c r="L1644" s="133"/>
      <c r="M1644" s="133"/>
      <c r="N1644" s="133"/>
      <c r="O1644" s="133"/>
      <c r="P1644" s="133"/>
      <c r="Q1644" s="133"/>
      <c r="R1644" s="133"/>
      <c r="S1644" s="133"/>
      <c r="T1644" s="133"/>
      <c r="U1644" s="133"/>
      <c r="V1644" s="133"/>
      <c r="W1644" s="133"/>
      <c r="X1644" s="133"/>
      <c r="Y1644" s="133"/>
      <c r="Z1644" s="133"/>
    </row>
    <row r="1645">
      <c r="A1645" s="133">
        <f>IFERROR(__xludf.DUMMYFUNCTION("""COMPUTED_VALUE"""),1646.0)</f>
        <v>1646</v>
      </c>
      <c r="B1645" s="133"/>
      <c r="C1645" s="133" t="str">
        <f>IFERROR(__xludf.DUMMYFUNCTION("""COMPUTED_VALUE"""),"P-1-N-060224-837")</f>
        <v>P-1-N-060224-837</v>
      </c>
      <c r="D1645" s="133"/>
      <c r="E1645" s="133" t="str">
        <f>IFERROR(__xludf.DUMMYFUNCTION("""COMPUTED_VALUE"""),"تمت طباعة الشهادة")</f>
        <v>تمت طباعة الشهادة</v>
      </c>
      <c r="F1645" s="133" t="str">
        <f>IFERROR(__xludf.DUMMYFUNCTION("""COMPUTED_VALUE"""),"Princess Temptation 20 kg")</f>
        <v>Princess Temptation 20 kg</v>
      </c>
      <c r="G1645" s="133" t="str">
        <f>IFERROR(__xludf.DUMMYFUNCTION("""COMPUTED_VALUE"""),"برنسيس تيمتاشن للقطط البالغة 20 كج")</f>
        <v>برنسيس تيمتاشن للقطط البالغة 20 كج</v>
      </c>
      <c r="H1645" s="133"/>
      <c r="I1645" s="133"/>
      <c r="J1645" s="133"/>
      <c r="K1645" s="133" t="str">
        <f>IFERROR(__xludf.DUMMYFUNCTION("""COMPUTED_VALUE"""),"اقريناتورا هادزيتشي")</f>
        <v>اقريناتورا هادزيتشي</v>
      </c>
      <c r="L1645" s="133"/>
      <c r="M1645" s="133"/>
      <c r="N1645" s="133"/>
      <c r="O1645" s="133"/>
      <c r="P1645" s="133"/>
      <c r="Q1645" s="133"/>
      <c r="R1645" s="133"/>
      <c r="S1645" s="133"/>
      <c r="T1645" s="133"/>
      <c r="U1645" s="133"/>
      <c r="V1645" s="133"/>
      <c r="W1645" s="133"/>
      <c r="X1645" s="133"/>
      <c r="Y1645" s="133"/>
      <c r="Z1645" s="133"/>
    </row>
    <row r="1646">
      <c r="A1646" s="133">
        <f>IFERROR(__xludf.DUMMYFUNCTION("""COMPUTED_VALUE"""),1647.0)</f>
        <v>1647</v>
      </c>
      <c r="B1646" s="133"/>
      <c r="C1646" s="133" t="str">
        <f>IFERROR(__xludf.DUMMYFUNCTION("""COMPUTED_VALUE"""),"P-1-N-060224-838")</f>
        <v>P-1-N-060224-838</v>
      </c>
      <c r="D1646" s="133"/>
      <c r="E1646" s="133" t="str">
        <f>IFERROR(__xludf.DUMMYFUNCTION("""COMPUTED_VALUE"""),"تمت طباعة الشهادة")</f>
        <v>تمت طباعة الشهادة</v>
      </c>
      <c r="F1646" s="133" t="str">
        <f>IFERROR(__xludf.DUMMYFUNCTION("""COMPUTED_VALUE"""),"Princess Kitten 20kg")</f>
        <v>Princess Kitten 20kg</v>
      </c>
      <c r="G1646" s="133" t="str">
        <f>IFERROR(__xludf.DUMMYFUNCTION("""COMPUTED_VALUE"""),"برنسيس للقطط الصغيرة 20 كج")</f>
        <v>برنسيس للقطط الصغيرة 20 كج</v>
      </c>
      <c r="H1646" s="133"/>
      <c r="I1646" s="133"/>
      <c r="J1646" s="133"/>
      <c r="K1646" s="133" t="str">
        <f>IFERROR(__xludf.DUMMYFUNCTION("""COMPUTED_VALUE"""),"اقريناتورا هادزيتشي")</f>
        <v>اقريناتورا هادزيتشي</v>
      </c>
      <c r="L1646" s="133"/>
      <c r="M1646" s="133"/>
      <c r="N1646" s="133"/>
      <c r="O1646" s="133"/>
      <c r="P1646" s="133"/>
      <c r="Q1646" s="133"/>
      <c r="R1646" s="133"/>
      <c r="S1646" s="133"/>
      <c r="T1646" s="133"/>
      <c r="U1646" s="133"/>
      <c r="V1646" s="133"/>
      <c r="W1646" s="133"/>
      <c r="X1646" s="133"/>
      <c r="Y1646" s="133"/>
      <c r="Z1646" s="133"/>
    </row>
    <row r="1647">
      <c r="A1647" s="133">
        <f>IFERROR(__xludf.DUMMYFUNCTION("""COMPUTED_VALUE"""),1648.0)</f>
        <v>1648</v>
      </c>
      <c r="B1647" s="133"/>
      <c r="C1647" s="133" t="str">
        <f>IFERROR(__xludf.DUMMYFUNCTION("""COMPUTED_VALUE"""),"P-1-N-060224-845")</f>
        <v>P-1-N-060224-845</v>
      </c>
      <c r="D1647" s="133"/>
      <c r="E1647" s="133" t="str">
        <f>IFERROR(__xludf.DUMMYFUNCTION("""COMPUTED_VALUE"""),"تمت طباعة الشهادة")</f>
        <v>تمت طباعة الشهادة</v>
      </c>
      <c r="F1647" s="133" t="str">
        <f>IFERROR(__xludf.DUMMYFUNCTION("""COMPUTED_VALUE"""),"Princess Maintenance15 kg")</f>
        <v>Princess Maintenance15 kg</v>
      </c>
      <c r="G1647" s="133" t="str">
        <f>IFERROR(__xludf.DUMMYFUNCTION("""COMPUTED_VALUE"""),"برنسيس مينتنانس 15 كج")</f>
        <v>برنسيس مينتنانس 15 كج</v>
      </c>
      <c r="H1647" s="133"/>
      <c r="I1647" s="133"/>
      <c r="J1647" s="133"/>
      <c r="K1647" s="133" t="str">
        <f>IFERROR(__xludf.DUMMYFUNCTION("""COMPUTED_VALUE"""),"اقريناتورا هادزيتشي")</f>
        <v>اقريناتورا هادزيتشي</v>
      </c>
      <c r="L1647" s="133"/>
      <c r="M1647" s="133"/>
      <c r="N1647" s="133"/>
      <c r="O1647" s="133"/>
      <c r="P1647" s="133"/>
      <c r="Q1647" s="133"/>
      <c r="R1647" s="133"/>
      <c r="S1647" s="133"/>
      <c r="T1647" s="133"/>
      <c r="U1647" s="133"/>
      <c r="V1647" s="133"/>
      <c r="W1647" s="133"/>
      <c r="X1647" s="133"/>
      <c r="Y1647" s="133"/>
      <c r="Z1647" s="133"/>
    </row>
    <row r="1648">
      <c r="A1648" s="133">
        <f>IFERROR(__xludf.DUMMYFUNCTION("""COMPUTED_VALUE"""),1649.0)</f>
        <v>1649</v>
      </c>
      <c r="B1648" s="133" t="str">
        <f>IFERROR(__xludf.DUMMYFUNCTION("""COMPUTED_VALUE"""),"101700")</f>
        <v>101700</v>
      </c>
      <c r="C1648" s="133" t="str">
        <f>IFERROR(__xludf.DUMMYFUNCTION("""COMPUTED_VALUE"""),"P-1-N-080224-887")</f>
        <v>P-1-N-080224-887</v>
      </c>
      <c r="D1648" s="133"/>
      <c r="E1648" s="133" t="str">
        <f>IFERROR(__xludf.DUMMYFUNCTION("""COMPUTED_VALUE"""),"REJECTED")</f>
        <v>REJECTED</v>
      </c>
      <c r="F1648" s="133" t="str">
        <f>IFERROR(__xludf.DUMMYFUNCTION("""COMPUTED_VALUE"""),"BAB’IN SIGNATURE KITTEN CHICKEN 1.5 KG")</f>
        <v>BAB’IN SIGNATURE KITTEN CHICKEN 1.5 KG</v>
      </c>
      <c r="G1648" s="133" t="str">
        <f>IFERROR(__xludf.DUMMYFUNCTION("""COMPUTED_VALUE"""),"بابين سيجنتشر كيتن دجاج 1.5 كجم")</f>
        <v>بابين سيجنتشر كيتن دجاج 1.5 كجم</v>
      </c>
      <c r="H1648" s="133"/>
      <c r="I1648" s="133"/>
      <c r="J1648" s="133"/>
      <c r="K1648" s="133" t="str">
        <f>IFERROR(__xludf.DUMMYFUNCTION("""COMPUTED_VALUE"""),"كوديكو")</f>
        <v>كوديكو</v>
      </c>
      <c r="L1648" s="142" t="str">
        <f>IFERROR(__xludf.DUMMYFUNCTION("""COMPUTED_VALUE"""),"101700")</f>
        <v>101700</v>
      </c>
      <c r="M1648" s="133"/>
      <c r="N1648" s="133"/>
      <c r="O1648" s="133"/>
      <c r="P1648" s="133"/>
      <c r="Q1648" s="133"/>
      <c r="R1648" s="133"/>
      <c r="S1648" s="133"/>
      <c r="T1648" s="133"/>
      <c r="U1648" s="133"/>
      <c r="V1648" s="133"/>
      <c r="W1648" s="133"/>
      <c r="X1648" s="133"/>
      <c r="Y1648" s="133"/>
      <c r="Z1648" s="133"/>
    </row>
    <row r="1649">
      <c r="A1649" s="133">
        <f>IFERROR(__xludf.DUMMYFUNCTION("""COMPUTED_VALUE"""),1650.0)</f>
        <v>1650</v>
      </c>
      <c r="B1649" s="133" t="str">
        <f>IFERROR(__xludf.DUMMYFUNCTION("""COMPUTED_VALUE"""),"101703")</f>
        <v>101703</v>
      </c>
      <c r="C1649" s="133" t="str">
        <f>IFERROR(__xludf.DUMMYFUNCTION("""COMPUTED_VALUE"""),"P-1-N-080224-888")</f>
        <v>P-1-N-080224-888</v>
      </c>
      <c r="D1649" s="133"/>
      <c r="E1649" s="133" t="str">
        <f>IFERROR(__xludf.DUMMYFUNCTION("""COMPUTED_VALUE"""),"REJECTED")</f>
        <v>REJECTED</v>
      </c>
      <c r="F1649" s="133" t="str">
        <f>IFERROR(__xludf.DUMMYFUNCTION("""COMPUTED_VALUE"""),"BAB’IN SIGNATURE KITTEN CHICKEN 3 KG")</f>
        <v>BAB’IN SIGNATURE KITTEN CHICKEN 3 KG</v>
      </c>
      <c r="G1649" s="133" t="str">
        <f>IFERROR(__xludf.DUMMYFUNCTION("""COMPUTED_VALUE"""),"بابين سيجنتشر كيتن دجاج 3 كجم")</f>
        <v>بابين سيجنتشر كيتن دجاج 3 كجم</v>
      </c>
      <c r="H1649" s="133"/>
      <c r="I1649" s="133"/>
      <c r="J1649" s="133"/>
      <c r="K1649" s="133" t="str">
        <f>IFERROR(__xludf.DUMMYFUNCTION("""COMPUTED_VALUE"""),"كوديكو")</f>
        <v>كوديكو</v>
      </c>
      <c r="L1649" s="142" t="str">
        <f>IFERROR(__xludf.DUMMYFUNCTION("""COMPUTED_VALUE"""),"101703")</f>
        <v>101703</v>
      </c>
      <c r="M1649" s="133"/>
      <c r="N1649" s="133"/>
      <c r="O1649" s="133"/>
      <c r="P1649" s="133"/>
      <c r="Q1649" s="133"/>
      <c r="R1649" s="133"/>
      <c r="S1649" s="133"/>
      <c r="T1649" s="133"/>
      <c r="U1649" s="133"/>
      <c r="V1649" s="133"/>
      <c r="W1649" s="133"/>
      <c r="X1649" s="133"/>
      <c r="Y1649" s="133"/>
      <c r="Z1649" s="133"/>
    </row>
    <row r="1650">
      <c r="A1650" s="133">
        <f>IFERROR(__xludf.DUMMYFUNCTION("""COMPUTED_VALUE"""),1651.0)</f>
        <v>1651</v>
      </c>
      <c r="B1650" s="133" t="str">
        <f>IFERROR(__xludf.DUMMYFUNCTION("""COMPUTED_VALUE"""),"101710")</f>
        <v>101710</v>
      </c>
      <c r="C1650" s="133" t="str">
        <f>IFERROR(__xludf.DUMMYFUNCTION("""COMPUTED_VALUE"""),"P-1-N-080224-889")</f>
        <v>P-1-N-080224-889</v>
      </c>
      <c r="D1650" s="133"/>
      <c r="E1650" s="133" t="str">
        <f>IFERROR(__xludf.DUMMYFUNCTION("""COMPUTED_VALUE"""),"REJECTED")</f>
        <v>REJECTED</v>
      </c>
      <c r="F1650" s="133" t="str">
        <f>IFERROR(__xludf.DUMMYFUNCTION("""COMPUTED_VALUE"""),"BAB’IN SIGNATURE KITTEN SALMON 1.5 KG")</f>
        <v>BAB’IN SIGNATURE KITTEN SALMON 1.5 KG</v>
      </c>
      <c r="G1650" s="133" t="str">
        <f>IFERROR(__xludf.DUMMYFUNCTION("""COMPUTED_VALUE"""),"بابين سيجنتشر كيتن سمك السالمون 1.5 كجم")</f>
        <v>بابين سيجنتشر كيتن سمك السالمون 1.5 كجم</v>
      </c>
      <c r="H1650" s="133"/>
      <c r="I1650" s="133"/>
      <c r="J1650" s="133"/>
      <c r="K1650" s="133" t="str">
        <f>IFERROR(__xludf.DUMMYFUNCTION("""COMPUTED_VALUE"""),"كوديكو")</f>
        <v>كوديكو</v>
      </c>
      <c r="L1650" s="142" t="str">
        <f>IFERROR(__xludf.DUMMYFUNCTION("""COMPUTED_VALUE"""),"101710")</f>
        <v>101710</v>
      </c>
      <c r="M1650" s="133"/>
      <c r="N1650" s="133"/>
      <c r="O1650" s="133"/>
      <c r="P1650" s="133"/>
      <c r="Q1650" s="133"/>
      <c r="R1650" s="133"/>
      <c r="S1650" s="133"/>
      <c r="T1650" s="133"/>
      <c r="U1650" s="133"/>
      <c r="V1650" s="133"/>
      <c r="W1650" s="133"/>
      <c r="X1650" s="133"/>
      <c r="Y1650" s="133"/>
      <c r="Z1650" s="133"/>
    </row>
    <row r="1651">
      <c r="A1651" s="133">
        <f>IFERROR(__xludf.DUMMYFUNCTION("""COMPUTED_VALUE"""),1652.0)</f>
        <v>1652</v>
      </c>
      <c r="B1651" s="133" t="str">
        <f>IFERROR(__xludf.DUMMYFUNCTION("""COMPUTED_VALUE"""),"101713")</f>
        <v>101713</v>
      </c>
      <c r="C1651" s="133" t="str">
        <f>IFERROR(__xludf.DUMMYFUNCTION("""COMPUTED_VALUE"""),"P-1-N-080224-890")</f>
        <v>P-1-N-080224-890</v>
      </c>
      <c r="D1651" s="133"/>
      <c r="E1651" s="133" t="str">
        <f>IFERROR(__xludf.DUMMYFUNCTION("""COMPUTED_VALUE"""),"REJECTED")</f>
        <v>REJECTED</v>
      </c>
      <c r="F1651" s="133" t="str">
        <f>IFERROR(__xludf.DUMMYFUNCTION("""COMPUTED_VALUE"""),"BAB’IN SIGNATURE KITTEN SALMON 3 KG")</f>
        <v>BAB’IN SIGNATURE KITTEN SALMON 3 KG</v>
      </c>
      <c r="G1651" s="133" t="str">
        <f>IFERROR(__xludf.DUMMYFUNCTION("""COMPUTED_VALUE"""),"بابين سيجنتشر كيتن سمك السالمون 3 كجم")</f>
        <v>بابين سيجنتشر كيتن سمك السالمون 3 كجم</v>
      </c>
      <c r="H1651" s="133"/>
      <c r="I1651" s="133"/>
      <c r="J1651" s="133"/>
      <c r="K1651" s="133" t="str">
        <f>IFERROR(__xludf.DUMMYFUNCTION("""COMPUTED_VALUE"""),"كوديكو")</f>
        <v>كوديكو</v>
      </c>
      <c r="L1651" s="142" t="str">
        <f>IFERROR(__xludf.DUMMYFUNCTION("""COMPUTED_VALUE"""),"101713")</f>
        <v>101713</v>
      </c>
      <c r="M1651" s="133"/>
      <c r="N1651" s="133"/>
      <c r="O1651" s="133"/>
      <c r="P1651" s="133"/>
      <c r="Q1651" s="133"/>
      <c r="R1651" s="133"/>
      <c r="S1651" s="133"/>
      <c r="T1651" s="133"/>
      <c r="U1651" s="133"/>
      <c r="V1651" s="133"/>
      <c r="W1651" s="133"/>
      <c r="X1651" s="133"/>
      <c r="Y1651" s="133"/>
      <c r="Z1651" s="133"/>
    </row>
    <row r="1652">
      <c r="A1652" s="133">
        <f>IFERROR(__xludf.DUMMYFUNCTION("""COMPUTED_VALUE"""),1653.0)</f>
        <v>1653</v>
      </c>
      <c r="B1652" s="133" t="str">
        <f>IFERROR(__xludf.DUMMYFUNCTION("""COMPUTED_VALUE"""),"101720")</f>
        <v>101720</v>
      </c>
      <c r="C1652" s="133" t="str">
        <f>IFERROR(__xludf.DUMMYFUNCTION("""COMPUTED_VALUE"""),"P-1-N-080224-891")</f>
        <v>P-1-N-080224-891</v>
      </c>
      <c r="D1652" s="133"/>
      <c r="E1652" s="133" t="str">
        <f>IFERROR(__xludf.DUMMYFUNCTION("""COMPUTED_VALUE"""),"REJECTED")</f>
        <v>REJECTED</v>
      </c>
      <c r="F1652" s="133" t="str">
        <f>IFERROR(__xludf.DUMMYFUNCTION("""COMPUTED_VALUE"""),"BAB’IN SIGNATURE ADULT NEUTERED CAT CHICKEN 1.5 KG")</f>
        <v>BAB’IN SIGNATURE ADULT NEUTERED CAT CHICKEN 1.5 KG</v>
      </c>
      <c r="G1652" s="133" t="str">
        <f>IFERROR(__xludf.DUMMYFUNCTION("""COMPUTED_VALUE"""),"بابين سيجنتشر ادلت نيوترد كات دجاج 1.5 كجم")</f>
        <v>بابين سيجنتشر ادلت نيوترد كات دجاج 1.5 كجم</v>
      </c>
      <c r="H1652" s="133"/>
      <c r="I1652" s="133"/>
      <c r="J1652" s="133"/>
      <c r="K1652" s="133" t="str">
        <f>IFERROR(__xludf.DUMMYFUNCTION("""COMPUTED_VALUE"""),"كوديكو")</f>
        <v>كوديكو</v>
      </c>
      <c r="L1652" s="142" t="str">
        <f>IFERROR(__xludf.DUMMYFUNCTION("""COMPUTED_VALUE"""),"101720")</f>
        <v>101720</v>
      </c>
      <c r="M1652" s="133"/>
      <c r="N1652" s="133"/>
      <c r="O1652" s="133"/>
      <c r="P1652" s="133"/>
      <c r="Q1652" s="133"/>
      <c r="R1652" s="133"/>
      <c r="S1652" s="133"/>
      <c r="T1652" s="133"/>
      <c r="U1652" s="133"/>
      <c r="V1652" s="133"/>
      <c r="W1652" s="133"/>
      <c r="X1652" s="133"/>
      <c r="Y1652" s="133"/>
      <c r="Z1652" s="133"/>
    </row>
    <row r="1653">
      <c r="A1653" s="133">
        <f>IFERROR(__xludf.DUMMYFUNCTION("""COMPUTED_VALUE"""),1654.0)</f>
        <v>1654</v>
      </c>
      <c r="B1653" s="133" t="str">
        <f>IFERROR(__xludf.DUMMYFUNCTION("""COMPUTED_VALUE"""),"101723")</f>
        <v>101723</v>
      </c>
      <c r="C1653" s="133" t="str">
        <f>IFERROR(__xludf.DUMMYFUNCTION("""COMPUTED_VALUE"""),"P-1-N-080224-892")</f>
        <v>P-1-N-080224-892</v>
      </c>
      <c r="D1653" s="133"/>
      <c r="E1653" s="133" t="str">
        <f>IFERROR(__xludf.DUMMYFUNCTION("""COMPUTED_VALUE"""),"REJECTED")</f>
        <v>REJECTED</v>
      </c>
      <c r="F1653" s="133" t="str">
        <f>IFERROR(__xludf.DUMMYFUNCTION("""COMPUTED_VALUE"""),"BAB’IN SIGNATURE ADULT NEUTERED CAT CHICKEN 3 KG")</f>
        <v>BAB’IN SIGNATURE ADULT NEUTERED CAT CHICKEN 3 KG</v>
      </c>
      <c r="G1653" s="133" t="str">
        <f>IFERROR(__xludf.DUMMYFUNCTION("""COMPUTED_VALUE"""),"بابين سيجنتشر ادلت نيوترد كات دجاج 3 كجم")</f>
        <v>بابين سيجنتشر ادلت نيوترد كات دجاج 3 كجم</v>
      </c>
      <c r="H1653" s="133"/>
      <c r="I1653" s="133"/>
      <c r="J1653" s="133"/>
      <c r="K1653" s="133" t="str">
        <f>IFERROR(__xludf.DUMMYFUNCTION("""COMPUTED_VALUE"""),"كوديكو")</f>
        <v>كوديكو</v>
      </c>
      <c r="L1653" s="142" t="str">
        <f>IFERROR(__xludf.DUMMYFUNCTION("""COMPUTED_VALUE"""),"101723")</f>
        <v>101723</v>
      </c>
      <c r="M1653" s="133"/>
      <c r="N1653" s="133"/>
      <c r="O1653" s="133"/>
      <c r="P1653" s="133"/>
      <c r="Q1653" s="133"/>
      <c r="R1653" s="133"/>
      <c r="S1653" s="133"/>
      <c r="T1653" s="133"/>
      <c r="U1653" s="133"/>
      <c r="V1653" s="133"/>
      <c r="W1653" s="133"/>
      <c r="X1653" s="133"/>
      <c r="Y1653" s="133"/>
      <c r="Z1653" s="133"/>
    </row>
    <row r="1654">
      <c r="A1654" s="133">
        <f>IFERROR(__xludf.DUMMYFUNCTION("""COMPUTED_VALUE"""),1655.0)</f>
        <v>1655</v>
      </c>
      <c r="B1654" s="133" t="str">
        <f>IFERROR(__xludf.DUMMYFUNCTION("""COMPUTED_VALUE"""),"101726")</f>
        <v>101726</v>
      </c>
      <c r="C1654" s="133" t="str">
        <f>IFERROR(__xludf.DUMMYFUNCTION("""COMPUTED_VALUE"""),"P-1-N-080224-893")</f>
        <v>P-1-N-080224-893</v>
      </c>
      <c r="D1654" s="133"/>
      <c r="E1654" s="133" t="str">
        <f>IFERROR(__xludf.DUMMYFUNCTION("""COMPUTED_VALUE"""),"REJECTED")</f>
        <v>REJECTED</v>
      </c>
      <c r="F1654" s="133" t="str">
        <f>IFERROR(__xludf.DUMMYFUNCTION("""COMPUTED_VALUE"""),"BAB’IN SIGNATURE ADULT NEUTERED CAT CHICKEN 6 KG")</f>
        <v>BAB’IN SIGNATURE ADULT NEUTERED CAT CHICKEN 6 KG</v>
      </c>
      <c r="G1654" s="133" t="str">
        <f>IFERROR(__xludf.DUMMYFUNCTION("""COMPUTED_VALUE"""),"بابين سيجنتشر ادلت نيوترد كات دجاج 6 كجم")</f>
        <v>بابين سيجنتشر ادلت نيوترد كات دجاج 6 كجم</v>
      </c>
      <c r="H1654" s="133"/>
      <c r="I1654" s="133"/>
      <c r="J1654" s="133"/>
      <c r="K1654" s="133" t="str">
        <f>IFERROR(__xludf.DUMMYFUNCTION("""COMPUTED_VALUE"""),"كوديكو")</f>
        <v>كوديكو</v>
      </c>
      <c r="L1654" s="142" t="str">
        <f>IFERROR(__xludf.DUMMYFUNCTION("""COMPUTED_VALUE"""),"101726")</f>
        <v>101726</v>
      </c>
      <c r="M1654" s="133"/>
      <c r="N1654" s="133"/>
      <c r="O1654" s="133"/>
      <c r="P1654" s="133"/>
      <c r="Q1654" s="133"/>
      <c r="R1654" s="133"/>
      <c r="S1654" s="133"/>
      <c r="T1654" s="133"/>
      <c r="U1654" s="133"/>
      <c r="V1654" s="133"/>
      <c r="W1654" s="133"/>
      <c r="X1654" s="133"/>
      <c r="Y1654" s="133"/>
      <c r="Z1654" s="133"/>
    </row>
    <row r="1655">
      <c r="A1655" s="133">
        <f>IFERROR(__xludf.DUMMYFUNCTION("""COMPUTED_VALUE"""),1656.0)</f>
        <v>1656</v>
      </c>
      <c r="B1655" s="133" t="str">
        <f>IFERROR(__xludf.DUMMYFUNCTION("""COMPUTED_VALUE"""),"101730")</f>
        <v>101730</v>
      </c>
      <c r="C1655" s="133" t="str">
        <f>IFERROR(__xludf.DUMMYFUNCTION("""COMPUTED_VALUE"""),"P-1-N-080224-894")</f>
        <v>P-1-N-080224-894</v>
      </c>
      <c r="D1655" s="133"/>
      <c r="E1655" s="133" t="str">
        <f>IFERROR(__xludf.DUMMYFUNCTION("""COMPUTED_VALUE"""),"REJECTED")</f>
        <v>REJECTED</v>
      </c>
      <c r="F1655" s="133" t="str">
        <f>IFERROR(__xludf.DUMMYFUNCTION("""COMPUTED_VALUE"""),"BAB’IN SIGNATURE ADULT NEUTERED CAT SALMON 1.5 KG")</f>
        <v>BAB’IN SIGNATURE ADULT NEUTERED CAT SALMON 1.5 KG</v>
      </c>
      <c r="G1655" s="133" t="str">
        <f>IFERROR(__xludf.DUMMYFUNCTION("""COMPUTED_VALUE"""),"بابين سيجنتشر ادلت نيوترد كات سمك السالمون 1.5 كجم")</f>
        <v>بابين سيجنتشر ادلت نيوترد كات سمك السالمون 1.5 كجم</v>
      </c>
      <c r="H1655" s="133"/>
      <c r="I1655" s="133"/>
      <c r="J1655" s="133"/>
      <c r="K1655" s="133" t="str">
        <f>IFERROR(__xludf.DUMMYFUNCTION("""COMPUTED_VALUE"""),"كوديكو")</f>
        <v>كوديكو</v>
      </c>
      <c r="L1655" s="142" t="str">
        <f>IFERROR(__xludf.DUMMYFUNCTION("""COMPUTED_VALUE"""),"101730")</f>
        <v>101730</v>
      </c>
      <c r="M1655" s="133"/>
      <c r="N1655" s="133"/>
      <c r="O1655" s="133"/>
      <c r="P1655" s="133"/>
      <c r="Q1655" s="133"/>
      <c r="R1655" s="133"/>
      <c r="S1655" s="133"/>
      <c r="T1655" s="133"/>
      <c r="U1655" s="133"/>
      <c r="V1655" s="133"/>
      <c r="W1655" s="133"/>
      <c r="X1655" s="133"/>
      <c r="Y1655" s="133"/>
      <c r="Z1655" s="133"/>
    </row>
    <row r="1656">
      <c r="A1656" s="133">
        <f>IFERROR(__xludf.DUMMYFUNCTION("""COMPUTED_VALUE"""),1657.0)</f>
        <v>1657</v>
      </c>
      <c r="B1656" s="133" t="str">
        <f>IFERROR(__xludf.DUMMYFUNCTION("""COMPUTED_VALUE"""),"101733")</f>
        <v>101733</v>
      </c>
      <c r="C1656" s="133" t="str">
        <f>IFERROR(__xludf.DUMMYFUNCTION("""COMPUTED_VALUE"""),"P-1-N-080224-895")</f>
        <v>P-1-N-080224-895</v>
      </c>
      <c r="D1656" s="133"/>
      <c r="E1656" s="133" t="str">
        <f>IFERROR(__xludf.DUMMYFUNCTION("""COMPUTED_VALUE"""),"REJECTED")</f>
        <v>REJECTED</v>
      </c>
      <c r="F1656" s="133" t="str">
        <f>IFERROR(__xludf.DUMMYFUNCTION("""COMPUTED_VALUE"""),"BAB’IN SIGNATURE ADULT NEUTERED CAT SALMON 3 KG")</f>
        <v>BAB’IN SIGNATURE ADULT NEUTERED CAT SALMON 3 KG</v>
      </c>
      <c r="G1656" s="133" t="str">
        <f>IFERROR(__xludf.DUMMYFUNCTION("""COMPUTED_VALUE"""),"بابين سيجنتشر ادلت نيوترد كات سمك السالمون 3 كجم")</f>
        <v>بابين سيجنتشر ادلت نيوترد كات سمك السالمون 3 كجم</v>
      </c>
      <c r="H1656" s="133"/>
      <c r="I1656" s="133"/>
      <c r="J1656" s="133"/>
      <c r="K1656" s="133" t="str">
        <f>IFERROR(__xludf.DUMMYFUNCTION("""COMPUTED_VALUE"""),"كوديكو")</f>
        <v>كوديكو</v>
      </c>
      <c r="L1656" s="142" t="str">
        <f>IFERROR(__xludf.DUMMYFUNCTION("""COMPUTED_VALUE"""),"101733")</f>
        <v>101733</v>
      </c>
      <c r="M1656" s="133"/>
      <c r="N1656" s="133"/>
      <c r="O1656" s="133"/>
      <c r="P1656" s="133"/>
      <c r="Q1656" s="133"/>
      <c r="R1656" s="133"/>
      <c r="S1656" s="133"/>
      <c r="T1656" s="133"/>
      <c r="U1656" s="133"/>
      <c r="V1656" s="133"/>
      <c r="W1656" s="133"/>
      <c r="X1656" s="133"/>
      <c r="Y1656" s="133"/>
      <c r="Z1656" s="133"/>
    </row>
    <row r="1657">
      <c r="A1657" s="133">
        <f>IFERROR(__xludf.DUMMYFUNCTION("""COMPUTED_VALUE"""),1658.0)</f>
        <v>1658</v>
      </c>
      <c r="B1657" s="133" t="str">
        <f>IFERROR(__xludf.DUMMYFUNCTION("""COMPUTED_VALUE"""),"101736")</f>
        <v>101736</v>
      </c>
      <c r="C1657" s="133" t="str">
        <f>IFERROR(__xludf.DUMMYFUNCTION("""COMPUTED_VALUE"""),"P-1-N-080224-896")</f>
        <v>P-1-N-080224-896</v>
      </c>
      <c r="D1657" s="133"/>
      <c r="E1657" s="133" t="str">
        <f>IFERROR(__xludf.DUMMYFUNCTION("""COMPUTED_VALUE"""),"REJECTED")</f>
        <v>REJECTED</v>
      </c>
      <c r="F1657" s="133" t="str">
        <f>IFERROR(__xludf.DUMMYFUNCTION("""COMPUTED_VALUE"""),"BAB’IN SIGNATURE ADULT NEUTERED CAT SALMON 6 KG")</f>
        <v>BAB’IN SIGNATURE ADULT NEUTERED CAT SALMON 6 KG</v>
      </c>
      <c r="G1657" s="133" t="str">
        <f>IFERROR(__xludf.DUMMYFUNCTION("""COMPUTED_VALUE"""),"بابين سيجنتشر ادلت نيوترد كات سمك السالمون 6 كجم")</f>
        <v>بابين سيجنتشر ادلت نيوترد كات سمك السالمون 6 كجم</v>
      </c>
      <c r="H1657" s="133"/>
      <c r="I1657" s="133"/>
      <c r="J1657" s="133"/>
      <c r="K1657" s="133" t="str">
        <f>IFERROR(__xludf.DUMMYFUNCTION("""COMPUTED_VALUE"""),"كوديكو")</f>
        <v>كوديكو</v>
      </c>
      <c r="L1657" s="142" t="str">
        <f>IFERROR(__xludf.DUMMYFUNCTION("""COMPUTED_VALUE"""),"101736")</f>
        <v>101736</v>
      </c>
      <c r="M1657" s="133"/>
      <c r="N1657" s="133"/>
      <c r="O1657" s="133"/>
      <c r="P1657" s="133"/>
      <c r="Q1657" s="133"/>
      <c r="R1657" s="133"/>
      <c r="S1657" s="133"/>
      <c r="T1657" s="133"/>
      <c r="U1657" s="133"/>
      <c r="V1657" s="133"/>
      <c r="W1657" s="133"/>
      <c r="X1657" s="133"/>
      <c r="Y1657" s="133"/>
      <c r="Z1657" s="133"/>
    </row>
    <row r="1658">
      <c r="A1658" s="133">
        <f>IFERROR(__xludf.DUMMYFUNCTION("""COMPUTED_VALUE"""),1659.0)</f>
        <v>1659</v>
      </c>
      <c r="B1658" s="133" t="str">
        <f>IFERROR(__xludf.DUMMYFUNCTION("""COMPUTED_VALUE"""),"101740")</f>
        <v>101740</v>
      </c>
      <c r="C1658" s="133" t="str">
        <f>IFERROR(__xludf.DUMMYFUNCTION("""COMPUTED_VALUE"""),"P-1-N-080224-897")</f>
        <v>P-1-N-080224-897</v>
      </c>
      <c r="D1658" s="133"/>
      <c r="E1658" s="133" t="str">
        <f>IFERROR(__xludf.DUMMYFUNCTION("""COMPUTED_VALUE"""),"REJECTED")</f>
        <v>REJECTED</v>
      </c>
      <c r="F1658" s="133" t="str">
        <f>IFERROR(__xludf.DUMMYFUNCTION("""COMPUTED_VALUE"""),"BAB’IN SIGNATURE ADULT NEUTERED CAT DUCK 1.5 KG")</f>
        <v>BAB’IN SIGNATURE ADULT NEUTERED CAT DUCK 1.5 KG</v>
      </c>
      <c r="G1658" s="133" t="str">
        <f>IFERROR(__xludf.DUMMYFUNCTION("""COMPUTED_VALUE"""),"بابين سيجنتشر ادلت نيوترد كات بط 1.5 كجم")</f>
        <v>بابين سيجنتشر ادلت نيوترد كات بط 1.5 كجم</v>
      </c>
      <c r="H1658" s="133"/>
      <c r="I1658" s="133"/>
      <c r="J1658" s="133"/>
      <c r="K1658" s="133" t="str">
        <f>IFERROR(__xludf.DUMMYFUNCTION("""COMPUTED_VALUE"""),"كوديكو")</f>
        <v>كوديكو</v>
      </c>
      <c r="L1658" s="142" t="str">
        <f>IFERROR(__xludf.DUMMYFUNCTION("""COMPUTED_VALUE"""),"101740")</f>
        <v>101740</v>
      </c>
      <c r="M1658" s="133"/>
      <c r="N1658" s="133"/>
      <c r="O1658" s="133"/>
      <c r="P1658" s="133"/>
      <c r="Q1658" s="133"/>
      <c r="R1658" s="133"/>
      <c r="S1658" s="133"/>
      <c r="T1658" s="133"/>
      <c r="U1658" s="133"/>
      <c r="V1658" s="133"/>
      <c r="W1658" s="133"/>
      <c r="X1658" s="133"/>
      <c r="Y1658" s="133"/>
      <c r="Z1658" s="133"/>
    </row>
    <row r="1659">
      <c r="A1659" s="133">
        <f>IFERROR(__xludf.DUMMYFUNCTION("""COMPUTED_VALUE"""),1660.0)</f>
        <v>1660</v>
      </c>
      <c r="B1659" s="133" t="str">
        <f>IFERROR(__xludf.DUMMYFUNCTION("""COMPUTED_VALUE"""),"101743")</f>
        <v>101743</v>
      </c>
      <c r="C1659" s="133" t="str">
        <f>IFERROR(__xludf.DUMMYFUNCTION("""COMPUTED_VALUE"""),"P-1-N-080224-898")</f>
        <v>P-1-N-080224-898</v>
      </c>
      <c r="D1659" s="133"/>
      <c r="E1659" s="133" t="str">
        <f>IFERROR(__xludf.DUMMYFUNCTION("""COMPUTED_VALUE"""),"REJECTED")</f>
        <v>REJECTED</v>
      </c>
      <c r="F1659" s="133" t="str">
        <f>IFERROR(__xludf.DUMMYFUNCTION("""COMPUTED_VALUE"""),"BAB’IN SIGNATURE ADULT NEUTERED CAT DUCK 3 KG")</f>
        <v>BAB’IN SIGNATURE ADULT NEUTERED CAT DUCK 3 KG</v>
      </c>
      <c r="G1659" s="133" t="str">
        <f>IFERROR(__xludf.DUMMYFUNCTION("""COMPUTED_VALUE"""),"بابين سيجنتشر ادلت نيوترد كات بط 3 كجم")</f>
        <v>بابين سيجنتشر ادلت نيوترد كات بط 3 كجم</v>
      </c>
      <c r="H1659" s="133"/>
      <c r="I1659" s="133"/>
      <c r="J1659" s="133"/>
      <c r="K1659" s="133" t="str">
        <f>IFERROR(__xludf.DUMMYFUNCTION("""COMPUTED_VALUE"""),"كوديكو")</f>
        <v>كوديكو</v>
      </c>
      <c r="L1659" s="142" t="str">
        <f>IFERROR(__xludf.DUMMYFUNCTION("""COMPUTED_VALUE"""),"101743")</f>
        <v>101743</v>
      </c>
      <c r="M1659" s="133"/>
      <c r="N1659" s="133"/>
      <c r="O1659" s="133"/>
      <c r="P1659" s="133"/>
      <c r="Q1659" s="133"/>
      <c r="R1659" s="133"/>
      <c r="S1659" s="133"/>
      <c r="T1659" s="133"/>
      <c r="U1659" s="133"/>
      <c r="V1659" s="133"/>
      <c r="W1659" s="133"/>
      <c r="X1659" s="133"/>
      <c r="Y1659" s="133"/>
      <c r="Z1659" s="133"/>
    </row>
    <row r="1660">
      <c r="A1660" s="133">
        <f>IFERROR(__xludf.DUMMYFUNCTION("""COMPUTED_VALUE"""),1661.0)</f>
        <v>1661</v>
      </c>
      <c r="B1660" s="133" t="str">
        <f>IFERROR(__xludf.DUMMYFUNCTION("""COMPUTED_VALUE"""),"101746")</f>
        <v>101746</v>
      </c>
      <c r="C1660" s="133" t="str">
        <f>IFERROR(__xludf.DUMMYFUNCTION("""COMPUTED_VALUE"""),"P-1-N-080224-899")</f>
        <v>P-1-N-080224-899</v>
      </c>
      <c r="D1660" s="133"/>
      <c r="E1660" s="133" t="str">
        <f>IFERROR(__xludf.DUMMYFUNCTION("""COMPUTED_VALUE"""),"REJECTED")</f>
        <v>REJECTED</v>
      </c>
      <c r="F1660" s="133" t="str">
        <f>IFERROR(__xludf.DUMMYFUNCTION("""COMPUTED_VALUE"""),"BAB’IN SIGNATURE ADULT NEUTERED CAT DUCK 6 KG")</f>
        <v>BAB’IN SIGNATURE ADULT NEUTERED CAT DUCK 6 KG</v>
      </c>
      <c r="G1660" s="133" t="str">
        <f>IFERROR(__xludf.DUMMYFUNCTION("""COMPUTED_VALUE"""),"بابين سيجنتشر ادلت نيوترد كات بط 6 كجم")</f>
        <v>بابين سيجنتشر ادلت نيوترد كات بط 6 كجم</v>
      </c>
      <c r="H1660" s="133"/>
      <c r="I1660" s="133"/>
      <c r="J1660" s="133"/>
      <c r="K1660" s="133" t="str">
        <f>IFERROR(__xludf.DUMMYFUNCTION("""COMPUTED_VALUE"""),"كوديكو")</f>
        <v>كوديكو</v>
      </c>
      <c r="L1660" s="142" t="str">
        <f>IFERROR(__xludf.DUMMYFUNCTION("""COMPUTED_VALUE"""),"101746")</f>
        <v>101746</v>
      </c>
      <c r="M1660" s="133"/>
      <c r="N1660" s="133"/>
      <c r="O1660" s="133"/>
      <c r="P1660" s="133"/>
      <c r="Q1660" s="133"/>
      <c r="R1660" s="133"/>
      <c r="S1660" s="133"/>
      <c r="T1660" s="133"/>
      <c r="U1660" s="133"/>
      <c r="V1660" s="133"/>
      <c r="W1660" s="133"/>
      <c r="X1660" s="133"/>
      <c r="Y1660" s="133"/>
      <c r="Z1660" s="133"/>
    </row>
    <row r="1661">
      <c r="A1661" s="133">
        <f>IFERROR(__xludf.DUMMYFUNCTION("""COMPUTED_VALUE"""),1662.0)</f>
        <v>1662</v>
      </c>
      <c r="B1661" s="133" t="str">
        <f>IFERROR(__xludf.DUMMYFUNCTION("""COMPUTED_VALUE"""),"101750")</f>
        <v>101750</v>
      </c>
      <c r="C1661" s="133" t="str">
        <f>IFERROR(__xludf.DUMMYFUNCTION("""COMPUTED_VALUE"""),"P-1-N-080224-900")</f>
        <v>P-1-N-080224-900</v>
      </c>
      <c r="D1661" s="133"/>
      <c r="E1661" s="133" t="str">
        <f>IFERROR(__xludf.DUMMYFUNCTION("""COMPUTED_VALUE"""),"REJECTED")</f>
        <v>REJECTED</v>
      </c>
      <c r="F1661" s="133" t="str">
        <f>IFERROR(__xludf.DUMMYFUNCTION("""COMPUTED_VALUE"""),"BAB’IN SIGNATURE SENIOR NEUTERED CAT 1.5 KG")</f>
        <v>BAB’IN SIGNATURE SENIOR NEUTERED CAT 1.5 KG</v>
      </c>
      <c r="G1661" s="133" t="str">
        <f>IFERROR(__xludf.DUMMYFUNCTION("""COMPUTED_VALUE"""),"بابين سيجنتشر سنيور نيوترد كات 1.5 كجم")</f>
        <v>بابين سيجنتشر سنيور نيوترد كات 1.5 كجم</v>
      </c>
      <c r="H1661" s="133"/>
      <c r="I1661" s="133"/>
      <c r="J1661" s="133"/>
      <c r="K1661" s="133" t="str">
        <f>IFERROR(__xludf.DUMMYFUNCTION("""COMPUTED_VALUE"""),"كوديكو")</f>
        <v>كوديكو</v>
      </c>
      <c r="L1661" s="142" t="str">
        <f>IFERROR(__xludf.DUMMYFUNCTION("""COMPUTED_VALUE"""),"101750")</f>
        <v>101750</v>
      </c>
      <c r="M1661" s="133"/>
      <c r="N1661" s="133"/>
      <c r="O1661" s="133"/>
      <c r="P1661" s="133"/>
      <c r="Q1661" s="133"/>
      <c r="R1661" s="133"/>
      <c r="S1661" s="133"/>
      <c r="T1661" s="133"/>
      <c r="U1661" s="133"/>
      <c r="V1661" s="133"/>
      <c r="W1661" s="133"/>
      <c r="X1661" s="133"/>
      <c r="Y1661" s="133"/>
      <c r="Z1661" s="133"/>
    </row>
    <row r="1662">
      <c r="A1662" s="133">
        <f>IFERROR(__xludf.DUMMYFUNCTION("""COMPUTED_VALUE"""),1663.0)</f>
        <v>1663</v>
      </c>
      <c r="B1662" s="133" t="str">
        <f>IFERROR(__xludf.DUMMYFUNCTION("""COMPUTED_VALUE"""),"101753")</f>
        <v>101753</v>
      </c>
      <c r="C1662" s="133" t="str">
        <f>IFERROR(__xludf.DUMMYFUNCTION("""COMPUTED_VALUE"""),"P-1-N-080224-902")</f>
        <v>P-1-N-080224-902</v>
      </c>
      <c r="D1662" s="133"/>
      <c r="E1662" s="133" t="str">
        <f>IFERROR(__xludf.DUMMYFUNCTION("""COMPUTED_VALUE"""),"تمت طباعة الشهادة")</f>
        <v>تمت طباعة الشهادة</v>
      </c>
      <c r="F1662" s="133" t="str">
        <f>IFERROR(__xludf.DUMMYFUNCTION("""COMPUTED_VALUE"""),"BAB’IN SIGNATURE SENIOR NEUTERED CAT 3 KG")</f>
        <v>BAB’IN SIGNATURE SENIOR NEUTERED CAT 3 KG</v>
      </c>
      <c r="G1662" s="133" t="str">
        <f>IFERROR(__xludf.DUMMYFUNCTION("""COMPUTED_VALUE"""),"بابين سيجنتشر سنيور نيوترد كات 3 كجم")</f>
        <v>بابين سيجنتشر سنيور نيوترد كات 3 كجم</v>
      </c>
      <c r="H1662" s="133" t="str">
        <f>IFERROR(__xludf.DUMMYFUNCTION("""COMPUTED_VALUE"""),"MAFE2024737")</f>
        <v>MAFE2024737</v>
      </c>
      <c r="I1662" s="133"/>
      <c r="J1662" s="133"/>
      <c r="K1662" s="133" t="str">
        <f>IFERROR(__xludf.DUMMYFUNCTION("""COMPUTED_VALUE"""),"كوديكو")</f>
        <v>كوديكو</v>
      </c>
      <c r="L1662" s="142" t="str">
        <f>IFERROR(__xludf.DUMMYFUNCTION("""COMPUTED_VALUE"""),"101753")</f>
        <v>101753</v>
      </c>
      <c r="M1662" s="133"/>
      <c r="N1662" s="133"/>
      <c r="O1662" s="133"/>
      <c r="P1662" s="133"/>
      <c r="Q1662" s="133"/>
      <c r="R1662" s="133"/>
      <c r="S1662" s="133"/>
      <c r="T1662" s="133"/>
      <c r="U1662" s="133"/>
      <c r="V1662" s="133"/>
      <c r="W1662" s="133"/>
      <c r="X1662" s="133"/>
      <c r="Y1662" s="133"/>
      <c r="Z1662" s="133"/>
    </row>
    <row r="1663">
      <c r="A1663" s="133">
        <f>IFERROR(__xludf.DUMMYFUNCTION("""COMPUTED_VALUE"""),1664.0)</f>
        <v>1664</v>
      </c>
      <c r="B1663" s="133" t="str">
        <f>IFERROR(__xludf.DUMMYFUNCTION("""COMPUTED_VALUE"""),"101770")</f>
        <v>101770</v>
      </c>
      <c r="C1663" s="133" t="str">
        <f>IFERROR(__xludf.DUMMYFUNCTION("""COMPUTED_VALUE"""),"P-1-N-080224-903")</f>
        <v>P-1-N-080224-903</v>
      </c>
      <c r="D1663" s="133"/>
      <c r="E1663" s="133" t="str">
        <f>IFERROR(__xludf.DUMMYFUNCTION("""COMPUTED_VALUE"""),"تمت طباعة الشهادة")</f>
        <v>تمت طباعة الشهادة</v>
      </c>
      <c r="F1663" s="133" t="str">
        <f>IFERROR(__xludf.DUMMYFUNCTION("""COMPUTED_VALUE"""),"BAB’IN SIGNATURE ADULT NEUTERED CAT GRAIN FREE CHICKEN 1.5 KG")</f>
        <v>BAB’IN SIGNATURE ADULT NEUTERED CAT GRAIN FREE CHICKEN 1.5 KG</v>
      </c>
      <c r="G1663" s="133" t="str">
        <f>IFERROR(__xludf.DUMMYFUNCTION("""COMPUTED_VALUE"""),"بابين سيجنتشر ادلت نيوترد كات دجاج خالي من الحبوب 1.5 كجم")</f>
        <v>بابين سيجنتشر ادلت نيوترد كات دجاج خالي من الحبوب 1.5 كجم</v>
      </c>
      <c r="H1663" s="133" t="str">
        <f>IFERROR(__xludf.DUMMYFUNCTION("""COMPUTED_VALUE"""),"MAFE2024734")</f>
        <v>MAFE2024734</v>
      </c>
      <c r="I1663" s="133"/>
      <c r="J1663" s="133"/>
      <c r="K1663" s="133" t="str">
        <f>IFERROR(__xludf.DUMMYFUNCTION("""COMPUTED_VALUE"""),"كوديكو")</f>
        <v>كوديكو</v>
      </c>
      <c r="L1663" s="142" t="str">
        <f>IFERROR(__xludf.DUMMYFUNCTION("""COMPUTED_VALUE"""),"101770")</f>
        <v>101770</v>
      </c>
      <c r="M1663" s="133"/>
      <c r="N1663" s="133"/>
      <c r="O1663" s="133"/>
      <c r="P1663" s="133"/>
      <c r="Q1663" s="133"/>
      <c r="R1663" s="133"/>
      <c r="S1663" s="133"/>
      <c r="T1663" s="133"/>
      <c r="U1663" s="133"/>
      <c r="V1663" s="133"/>
      <c r="W1663" s="133"/>
      <c r="X1663" s="133"/>
      <c r="Y1663" s="133"/>
      <c r="Z1663" s="133"/>
    </row>
    <row r="1664">
      <c r="A1664" s="133">
        <f>IFERROR(__xludf.DUMMYFUNCTION("""COMPUTED_VALUE"""),1665.0)</f>
        <v>1665</v>
      </c>
      <c r="B1664" s="133" t="str">
        <f>IFERROR(__xludf.DUMMYFUNCTION("""COMPUTED_VALUE"""),"101773")</f>
        <v>101773</v>
      </c>
      <c r="C1664" s="133" t="str">
        <f>IFERROR(__xludf.DUMMYFUNCTION("""COMPUTED_VALUE"""),"P-1-N-080224-904")</f>
        <v>P-1-N-080224-904</v>
      </c>
      <c r="D1664" s="133"/>
      <c r="E1664" s="133" t="str">
        <f>IFERROR(__xludf.DUMMYFUNCTION("""COMPUTED_VALUE"""),"تمت طباعة الشهادة")</f>
        <v>تمت طباعة الشهادة</v>
      </c>
      <c r="F1664" s="133" t="str">
        <f>IFERROR(__xludf.DUMMYFUNCTION("""COMPUTED_VALUE"""),"BAB’IN SIGNATURE ADULT NEUTERED CAT GRAIN FREE CHICKEN 3 KG")</f>
        <v>BAB’IN SIGNATURE ADULT NEUTERED CAT GRAIN FREE CHICKEN 3 KG</v>
      </c>
      <c r="G1664" s="133" t="str">
        <f>IFERROR(__xludf.DUMMYFUNCTION("""COMPUTED_VALUE"""),"بابين سيجنتشر ادلت نيوترد كات دجاج خالي من الحبوب 3 كجم")</f>
        <v>بابين سيجنتشر ادلت نيوترد كات دجاج خالي من الحبوب 3 كجم</v>
      </c>
      <c r="H1664" s="133" t="str">
        <f>IFERROR(__xludf.DUMMYFUNCTION("""COMPUTED_VALUE"""),"MAFE2024738")</f>
        <v>MAFE2024738</v>
      </c>
      <c r="I1664" s="133"/>
      <c r="J1664" s="133"/>
      <c r="K1664" s="133" t="str">
        <f>IFERROR(__xludf.DUMMYFUNCTION("""COMPUTED_VALUE"""),"كوديكو")</f>
        <v>كوديكو</v>
      </c>
      <c r="L1664" s="142" t="str">
        <f>IFERROR(__xludf.DUMMYFUNCTION("""COMPUTED_VALUE"""),"101773")</f>
        <v>101773</v>
      </c>
      <c r="M1664" s="133"/>
      <c r="N1664" s="133"/>
      <c r="O1664" s="133"/>
      <c r="P1664" s="133"/>
      <c r="Q1664" s="133"/>
      <c r="R1664" s="133"/>
      <c r="S1664" s="133"/>
      <c r="T1664" s="133"/>
      <c r="U1664" s="133"/>
      <c r="V1664" s="133"/>
      <c r="W1664" s="133"/>
      <c r="X1664" s="133"/>
      <c r="Y1664" s="133"/>
      <c r="Z1664" s="133"/>
    </row>
    <row r="1665">
      <c r="A1665" s="133">
        <f>IFERROR(__xludf.DUMMYFUNCTION("""COMPUTED_VALUE"""),1666.0)</f>
        <v>1666</v>
      </c>
      <c r="B1665" s="133" t="str">
        <f>IFERROR(__xludf.DUMMYFUNCTION("""COMPUTED_VALUE"""),"101776")</f>
        <v>101776</v>
      </c>
      <c r="C1665" s="133" t="str">
        <f>IFERROR(__xludf.DUMMYFUNCTION("""COMPUTED_VALUE"""),"P-1-N-080224-905")</f>
        <v>P-1-N-080224-905</v>
      </c>
      <c r="D1665" s="133"/>
      <c r="E1665" s="133" t="str">
        <f>IFERROR(__xludf.DUMMYFUNCTION("""COMPUTED_VALUE"""),"تمت طباعة الشهادة")</f>
        <v>تمت طباعة الشهادة</v>
      </c>
      <c r="F1665" s="133" t="str">
        <f>IFERROR(__xludf.DUMMYFUNCTION("""COMPUTED_VALUE"""),"BAB’IN SIGNATURE ADULT NEUTERED CAT GRAIN FREE CHICKEN 6 KG")</f>
        <v>BAB’IN SIGNATURE ADULT NEUTERED CAT GRAIN FREE CHICKEN 6 KG</v>
      </c>
      <c r="G1665" s="133" t="str">
        <f>IFERROR(__xludf.DUMMYFUNCTION("""COMPUTED_VALUE"""),"بابين سيجنتشر ادلت نيوترد كات دجاج خالي من الحبوب 6 كجم")</f>
        <v>بابين سيجنتشر ادلت نيوترد كات دجاج خالي من الحبوب 6 كجم</v>
      </c>
      <c r="H1665" s="133" t="str">
        <f>IFERROR(__xludf.DUMMYFUNCTION("""COMPUTED_VALUE"""),"MAFE2024735")</f>
        <v>MAFE2024735</v>
      </c>
      <c r="I1665" s="133"/>
      <c r="J1665" s="133"/>
      <c r="K1665" s="133" t="str">
        <f>IFERROR(__xludf.DUMMYFUNCTION("""COMPUTED_VALUE"""),"كوديكو")</f>
        <v>كوديكو</v>
      </c>
      <c r="L1665" s="142" t="str">
        <f>IFERROR(__xludf.DUMMYFUNCTION("""COMPUTED_VALUE"""),"101776")</f>
        <v>101776</v>
      </c>
      <c r="M1665" s="133"/>
      <c r="N1665" s="133"/>
      <c r="O1665" s="133"/>
      <c r="P1665" s="133"/>
      <c r="Q1665" s="133"/>
      <c r="R1665" s="133"/>
      <c r="S1665" s="133"/>
      <c r="T1665" s="133"/>
      <c r="U1665" s="133"/>
      <c r="V1665" s="133"/>
      <c r="W1665" s="133"/>
      <c r="X1665" s="133"/>
      <c r="Y1665" s="133"/>
      <c r="Z1665" s="133"/>
    </row>
    <row r="1666">
      <c r="A1666" s="133">
        <f>IFERROR(__xludf.DUMMYFUNCTION("""COMPUTED_VALUE"""),1667.0)</f>
        <v>1667</v>
      </c>
      <c r="B1666" s="133" t="str">
        <f>IFERROR(__xludf.DUMMYFUNCTION("""COMPUTED_VALUE"""),"101730")</f>
        <v>101730</v>
      </c>
      <c r="C1666" s="133" t="str">
        <f>IFERROR(__xludf.DUMMYFUNCTION("""COMPUTED_VALUE"""),"P-1-N-080224-906")</f>
        <v>P-1-N-080224-906</v>
      </c>
      <c r="D1666" s="133"/>
      <c r="E1666" s="133" t="str">
        <f>IFERROR(__xludf.DUMMYFUNCTION("""COMPUTED_VALUE"""),"تمت طباعة الشهادة")</f>
        <v>تمت طباعة الشهادة</v>
      </c>
      <c r="F1666" s="133" t="str">
        <f>IFERROR(__xludf.DUMMYFUNCTION("""COMPUTED_VALUE"""),"BAB’IN SIGNATURE ADULT NEUTERED CAT GRAIN FREE SALMON 1.5 KG")</f>
        <v>BAB’IN SIGNATURE ADULT NEUTERED CAT GRAIN FREE SALMON 1.5 KG</v>
      </c>
      <c r="G1666" s="133" t="str">
        <f>IFERROR(__xludf.DUMMYFUNCTION("""COMPUTED_VALUE"""),"بابين سيجنتشر ادلت نيوترد كات سمك السالمون خالي من الحبوب 1.5 كجم")</f>
        <v>بابين سيجنتشر ادلت نيوترد كات سمك السالمون خالي من الحبوب 1.5 كجم</v>
      </c>
      <c r="H1666" s="133" t="str">
        <f>IFERROR(__xludf.DUMMYFUNCTION("""COMPUTED_VALUE"""),"MAFE2024742")</f>
        <v>MAFE2024742</v>
      </c>
      <c r="I1666" s="133"/>
      <c r="J1666" s="133"/>
      <c r="K1666" s="133" t="str">
        <f>IFERROR(__xludf.DUMMYFUNCTION("""COMPUTED_VALUE"""),"كوديكو")</f>
        <v>كوديكو</v>
      </c>
      <c r="L1666" s="142" t="str">
        <f>IFERROR(__xludf.DUMMYFUNCTION("""COMPUTED_VALUE"""),"101730")</f>
        <v>101730</v>
      </c>
      <c r="M1666" s="133"/>
      <c r="N1666" s="133"/>
      <c r="O1666" s="133"/>
      <c r="P1666" s="133"/>
      <c r="Q1666" s="133"/>
      <c r="R1666" s="133"/>
      <c r="S1666" s="133"/>
      <c r="T1666" s="133"/>
      <c r="U1666" s="133"/>
      <c r="V1666" s="133"/>
      <c r="W1666" s="133"/>
      <c r="X1666" s="133"/>
      <c r="Y1666" s="133"/>
      <c r="Z1666" s="133"/>
    </row>
    <row r="1667">
      <c r="A1667" s="133">
        <f>IFERROR(__xludf.DUMMYFUNCTION("""COMPUTED_VALUE"""),1668.0)</f>
        <v>1668</v>
      </c>
      <c r="B1667" s="133" t="str">
        <f>IFERROR(__xludf.DUMMYFUNCTION("""COMPUTED_VALUE"""),"101783")</f>
        <v>101783</v>
      </c>
      <c r="C1667" s="133" t="str">
        <f>IFERROR(__xludf.DUMMYFUNCTION("""COMPUTED_VALUE"""),"P-1-N-080224-907")</f>
        <v>P-1-N-080224-907</v>
      </c>
      <c r="D1667" s="133"/>
      <c r="E1667" s="133" t="str">
        <f>IFERROR(__xludf.DUMMYFUNCTION("""COMPUTED_VALUE"""),"تمت طباعة الشهادة")</f>
        <v>تمت طباعة الشهادة</v>
      </c>
      <c r="F1667" s="133" t="str">
        <f>IFERROR(__xludf.DUMMYFUNCTION("""COMPUTED_VALUE"""),"BAB’IN SIGNATURE ADULT NEUTERED CAT GRAIN FREE SALMON 3 KG")</f>
        <v>BAB’IN SIGNATURE ADULT NEUTERED CAT GRAIN FREE SALMON 3 KG</v>
      </c>
      <c r="G1667" s="133" t="str">
        <f>IFERROR(__xludf.DUMMYFUNCTION("""COMPUTED_VALUE"""),"بابين سيجنتشر ادلت نيوترد كات سمك السالمون خالي من الحبوب 3 كجم")</f>
        <v>بابين سيجنتشر ادلت نيوترد كات سمك السالمون خالي من الحبوب 3 كجم</v>
      </c>
      <c r="H1667" s="133" t="str">
        <f>IFERROR(__xludf.DUMMYFUNCTION("""COMPUTED_VALUE"""),"MAFE2024739")</f>
        <v>MAFE2024739</v>
      </c>
      <c r="I1667" s="133"/>
      <c r="J1667" s="133"/>
      <c r="K1667" s="133" t="str">
        <f>IFERROR(__xludf.DUMMYFUNCTION("""COMPUTED_VALUE"""),"كوديكو")</f>
        <v>كوديكو</v>
      </c>
      <c r="L1667" s="142" t="str">
        <f>IFERROR(__xludf.DUMMYFUNCTION("""COMPUTED_VALUE"""),"101783")</f>
        <v>101783</v>
      </c>
      <c r="M1667" s="133"/>
      <c r="N1667" s="133"/>
      <c r="O1667" s="133"/>
      <c r="P1667" s="133"/>
      <c r="Q1667" s="133"/>
      <c r="R1667" s="133"/>
      <c r="S1667" s="133"/>
      <c r="T1667" s="133"/>
      <c r="U1667" s="133"/>
      <c r="V1667" s="133"/>
      <c r="W1667" s="133"/>
      <c r="X1667" s="133"/>
      <c r="Y1667" s="133"/>
      <c r="Z1667" s="133"/>
    </row>
    <row r="1668">
      <c r="A1668" s="133">
        <f>IFERROR(__xludf.DUMMYFUNCTION("""COMPUTED_VALUE"""),1669.0)</f>
        <v>1669</v>
      </c>
      <c r="B1668" s="133" t="str">
        <f>IFERROR(__xludf.DUMMYFUNCTION("""COMPUTED_VALUE"""),"101786")</f>
        <v>101786</v>
      </c>
      <c r="C1668" s="133" t="str">
        <f>IFERROR(__xludf.DUMMYFUNCTION("""COMPUTED_VALUE"""),"P-1-N-080224-908")</f>
        <v>P-1-N-080224-908</v>
      </c>
      <c r="D1668" s="133"/>
      <c r="E1668" s="133" t="str">
        <f>IFERROR(__xludf.DUMMYFUNCTION("""COMPUTED_VALUE"""),"تمت طباعة الشهادة")</f>
        <v>تمت طباعة الشهادة</v>
      </c>
      <c r="F1668" s="133" t="str">
        <f>IFERROR(__xludf.DUMMYFUNCTION("""COMPUTED_VALUE"""),"BAB’IN SIGNATURE ADULT NEUTERED CAT GRAIN FREE SALMON 6 KG")</f>
        <v>BAB’IN SIGNATURE ADULT NEUTERED CAT GRAIN FREE SALMON 6 KG</v>
      </c>
      <c r="G1668" s="133" t="str">
        <f>IFERROR(__xludf.DUMMYFUNCTION("""COMPUTED_VALUE"""),"بابين سيجنتشر ادلت نيوترد كات سمك السالمون خالي من الحبوب 6 كجم")</f>
        <v>بابين سيجنتشر ادلت نيوترد كات سمك السالمون خالي من الحبوب 6 كجم</v>
      </c>
      <c r="H1668" s="133" t="str">
        <f>IFERROR(__xludf.DUMMYFUNCTION("""COMPUTED_VALUE"""),"MAFE2024736")</f>
        <v>MAFE2024736</v>
      </c>
      <c r="I1668" s="133"/>
      <c r="J1668" s="133"/>
      <c r="K1668" s="133" t="str">
        <f>IFERROR(__xludf.DUMMYFUNCTION("""COMPUTED_VALUE"""),"كوديكو")</f>
        <v>كوديكو</v>
      </c>
      <c r="L1668" s="142" t="str">
        <f>IFERROR(__xludf.DUMMYFUNCTION("""COMPUTED_VALUE"""),"101786")</f>
        <v>101786</v>
      </c>
      <c r="M1668" s="133"/>
      <c r="N1668" s="133"/>
      <c r="O1668" s="133"/>
      <c r="P1668" s="133"/>
      <c r="Q1668" s="133"/>
      <c r="R1668" s="133"/>
      <c r="S1668" s="133"/>
      <c r="T1668" s="133"/>
      <c r="U1668" s="133"/>
      <c r="V1668" s="133"/>
      <c r="W1668" s="133"/>
      <c r="X1668" s="133"/>
      <c r="Y1668" s="133"/>
      <c r="Z1668" s="133"/>
    </row>
    <row r="1669">
      <c r="A1669" s="133">
        <f>IFERROR(__xludf.DUMMYFUNCTION("""COMPUTED_VALUE"""),1670.0)</f>
        <v>1670</v>
      </c>
      <c r="B1669" s="133"/>
      <c r="C1669" s="133" t="str">
        <f>IFERROR(__xludf.DUMMYFUNCTION("""COMPUTED_VALUE"""),"P-1-N-080224-909")</f>
        <v>P-1-N-080224-909</v>
      </c>
      <c r="D1669" s="133"/>
      <c r="E1669" s="133" t="str">
        <f>IFERROR(__xludf.DUMMYFUNCTION("""COMPUTED_VALUE"""),"تمت طباعة الشهادة")</f>
        <v>تمت طباعة الشهادة</v>
      </c>
      <c r="F1669" s="133" t="str">
        <f>IFERROR(__xludf.DUMMYFUNCTION("""COMPUTED_VALUE"""),"BAB’IN SIGNATURE ADULT NEUTERED CAT GRAIN FREE LARGE BREED 3 KG")</f>
        <v>BAB’IN SIGNATURE ADULT NEUTERED CAT GRAIN FREE LARGE BREED 3 KG</v>
      </c>
      <c r="G1669" s="133" t="str">
        <f>IFERROR(__xludf.DUMMYFUNCTION("""COMPUTED_VALUE"""),"بابين سيجنتشر ادلت نيوترد كات لارج بريد خالي من الحبوب 3 كجم")</f>
        <v>بابين سيجنتشر ادلت نيوترد كات لارج بريد خالي من الحبوب 3 كجم</v>
      </c>
      <c r="H1669" s="133" t="str">
        <f>IFERROR(__xludf.DUMMYFUNCTION("""COMPUTED_VALUE"""),"MAFE2024743")</f>
        <v>MAFE2024743</v>
      </c>
      <c r="I1669" s="133"/>
      <c r="J1669" s="133"/>
      <c r="K1669" s="133" t="str">
        <f>IFERROR(__xludf.DUMMYFUNCTION("""COMPUTED_VALUE"""),"كوديكو")</f>
        <v>كوديكو</v>
      </c>
      <c r="L1669" s="133"/>
      <c r="M1669" s="133"/>
      <c r="N1669" s="133"/>
      <c r="O1669" s="133"/>
      <c r="P1669" s="133"/>
      <c r="Q1669" s="133"/>
      <c r="R1669" s="133"/>
      <c r="S1669" s="133"/>
      <c r="T1669" s="133"/>
      <c r="U1669" s="133"/>
      <c r="V1669" s="133"/>
      <c r="W1669" s="133"/>
      <c r="X1669" s="133"/>
      <c r="Y1669" s="133"/>
      <c r="Z1669" s="133"/>
    </row>
    <row r="1670">
      <c r="A1670" s="133">
        <f>IFERROR(__xludf.DUMMYFUNCTION("""COMPUTED_VALUE"""),1671.0)</f>
        <v>1671</v>
      </c>
      <c r="B1670" s="133"/>
      <c r="C1670" s="133" t="str">
        <f>IFERROR(__xludf.DUMMYFUNCTION("""COMPUTED_VALUE"""),"P-1-N-080224-910")</f>
        <v>P-1-N-080224-910</v>
      </c>
      <c r="D1670" s="133"/>
      <c r="E1670" s="133" t="str">
        <f>IFERROR(__xludf.DUMMYFUNCTION("""COMPUTED_VALUE"""),"تمت طباعة الشهادة")</f>
        <v>تمت طباعة الشهادة</v>
      </c>
      <c r="F1670" s="133" t="str">
        <f>IFERROR(__xludf.DUMMYFUNCTION("""COMPUTED_VALUE"""),"BAB’IN SIGNATURE ADULT NEUTERED CAT GRAIN FREE LARGE BREED 6 KG")</f>
        <v>BAB’IN SIGNATURE ADULT NEUTERED CAT GRAIN FREE LARGE BREED 6 KG</v>
      </c>
      <c r="G1670" s="133" t="str">
        <f>IFERROR(__xludf.DUMMYFUNCTION("""COMPUTED_VALUE"""),"بابين سيجنتشر ادلت نيوترد كات لارج بريد خالي من الحبوب 6 كجم")</f>
        <v>بابين سيجنتشر ادلت نيوترد كات لارج بريد خالي من الحبوب 6 كجم</v>
      </c>
      <c r="H1670" s="133" t="str">
        <f>IFERROR(__xludf.DUMMYFUNCTION("""COMPUTED_VALUE"""),"MAFE2024740")</f>
        <v>MAFE2024740</v>
      </c>
      <c r="I1670" s="133"/>
      <c r="J1670" s="133"/>
      <c r="K1670" s="133" t="str">
        <f>IFERROR(__xludf.DUMMYFUNCTION("""COMPUTED_VALUE"""),"كوديكو")</f>
        <v>كوديكو</v>
      </c>
      <c r="L1670" s="133"/>
      <c r="M1670" s="133"/>
      <c r="N1670" s="133"/>
      <c r="O1670" s="133"/>
      <c r="P1670" s="133"/>
      <c r="Q1670" s="133"/>
      <c r="R1670" s="133"/>
      <c r="S1670" s="133"/>
      <c r="T1670" s="133"/>
      <c r="U1670" s="133"/>
      <c r="V1670" s="133"/>
      <c r="W1670" s="133"/>
      <c r="X1670" s="133"/>
      <c r="Y1670" s="133"/>
      <c r="Z1670" s="133"/>
    </row>
    <row r="1671">
      <c r="A1671" s="133">
        <f>IFERROR(__xludf.DUMMYFUNCTION("""COMPUTED_VALUE"""),1672.0)</f>
        <v>1672</v>
      </c>
      <c r="B1671" s="133" t="str">
        <f>IFERROR(__xludf.DUMMYFUNCTION("""COMPUTED_VALUE"""),"101733")</f>
        <v>101733</v>
      </c>
      <c r="C1671" s="133" t="str">
        <f>IFERROR(__xludf.DUMMYFUNCTION("""COMPUTED_VALUE"""),"P-1-N-110224-929")</f>
        <v>P-1-N-110224-929</v>
      </c>
      <c r="D1671" s="133"/>
      <c r="E1671" s="133" t="str">
        <f>IFERROR(__xludf.DUMMYFUNCTION("""COMPUTED_VALUE"""),"تمت طباعة الشهادة")</f>
        <v>تمت طباعة الشهادة</v>
      </c>
      <c r="F1671" s="133" t="str">
        <f>IFERROR(__xludf.DUMMYFUNCTION("""COMPUTED_VALUE"""),"BAB'IN CLASSIC ADULT CAT SALMON 3 KG")</f>
        <v>BAB'IN CLASSIC ADULT CAT SALMON 3 KG</v>
      </c>
      <c r="G1671" s="133" t="str">
        <f>IFERROR(__xludf.DUMMYFUNCTION("""COMPUTED_VALUE"""),"بابين كلاسيك ادلت كات سمك السالمون 3 كجم")</f>
        <v>بابين كلاسيك ادلت كات سمك السالمون 3 كجم</v>
      </c>
      <c r="H1671" s="133" t="str">
        <f>IFERROR(__xludf.DUMMYFUNCTION("""COMPUTED_VALUE"""),"MAFE2024844")</f>
        <v>MAFE2024844</v>
      </c>
      <c r="I1671" s="133"/>
      <c r="J1671" s="133"/>
      <c r="K1671" s="133" t="str">
        <f>IFERROR(__xludf.DUMMYFUNCTION("""COMPUTED_VALUE"""),"كوديكو")</f>
        <v>كوديكو</v>
      </c>
      <c r="L1671" s="142" t="str">
        <f>IFERROR(__xludf.DUMMYFUNCTION("""COMPUTED_VALUE"""),"101733")</f>
        <v>101733</v>
      </c>
      <c r="M1671" s="133"/>
      <c r="N1671" s="133"/>
      <c r="O1671" s="133"/>
      <c r="P1671" s="133"/>
      <c r="Q1671" s="133"/>
      <c r="R1671" s="133"/>
      <c r="S1671" s="133"/>
      <c r="T1671" s="133"/>
      <c r="U1671" s="133"/>
      <c r="V1671" s="133"/>
      <c r="W1671" s="133"/>
      <c r="X1671" s="133"/>
      <c r="Y1671" s="133"/>
      <c r="Z1671" s="133"/>
    </row>
    <row r="1672">
      <c r="A1672" s="133">
        <f>IFERROR(__xludf.DUMMYFUNCTION("""COMPUTED_VALUE"""),1673.0)</f>
        <v>1673</v>
      </c>
      <c r="B1672" s="133"/>
      <c r="C1672" s="133" t="str">
        <f>IFERROR(__xludf.DUMMYFUNCTION("""COMPUTED_VALUE"""),"P-1-N-110224-930")</f>
        <v>P-1-N-110224-930</v>
      </c>
      <c r="D1672" s="133"/>
      <c r="E1672" s="133" t="str">
        <f>IFERROR(__xludf.DUMMYFUNCTION("""COMPUTED_VALUE"""),"مرجع للتعديل")</f>
        <v>مرجع للتعديل</v>
      </c>
      <c r="F1672" s="133" t="str">
        <f>IFERROR(__xludf.DUMMYFUNCTION("""COMPUTED_VALUE"""),"BAB'IN CLASSIC ADULT CAT SALMON 3 KG")</f>
        <v>BAB'IN CLASSIC ADULT CAT SALMON 3 KG</v>
      </c>
      <c r="G1672" s="133" t="str">
        <f>IFERROR(__xludf.DUMMYFUNCTION("""COMPUTED_VALUE"""),"بابين كلاسيك ادلت كات سمك السالمون 3 كجم")</f>
        <v>بابين كلاسيك ادلت كات سمك السالمون 3 كجم</v>
      </c>
      <c r="H1672" s="133"/>
      <c r="I1672" s="133"/>
      <c r="J1672" s="133"/>
      <c r="K1672" s="133" t="str">
        <f>IFERROR(__xludf.DUMMYFUNCTION("""COMPUTED_VALUE"""),"كوديكو")</f>
        <v>كوديكو</v>
      </c>
      <c r="L1672" s="133"/>
      <c r="M1672" s="133"/>
      <c r="N1672" s="133"/>
      <c r="O1672" s="133"/>
      <c r="P1672" s="133"/>
      <c r="Q1672" s="133"/>
      <c r="R1672" s="133"/>
      <c r="S1672" s="133"/>
      <c r="T1672" s="133"/>
      <c r="U1672" s="133"/>
      <c r="V1672" s="133"/>
      <c r="W1672" s="133"/>
      <c r="X1672" s="133"/>
      <c r="Y1672" s="133"/>
      <c r="Z1672" s="133"/>
    </row>
    <row r="1673">
      <c r="A1673" s="133">
        <f>IFERROR(__xludf.DUMMYFUNCTION("""COMPUTED_VALUE"""),1674.0)</f>
        <v>1674</v>
      </c>
      <c r="B1673" s="133"/>
      <c r="C1673" s="133" t="str">
        <f>IFERROR(__xludf.DUMMYFUNCTION("""COMPUTED_VALUE"""),"P-1-N-110224-931")</f>
        <v>P-1-N-110224-931</v>
      </c>
      <c r="D1673" s="133"/>
      <c r="E1673" s="133" t="str">
        <f>IFERROR(__xludf.DUMMYFUNCTION("""COMPUTED_VALUE"""),"تمت طباعة الشهادة")</f>
        <v>تمت طباعة الشهادة</v>
      </c>
      <c r="F1673" s="133" t="str">
        <f>IFERROR(__xludf.DUMMYFUNCTION("""COMPUTED_VALUE"""),"BAB'IN CLASSIC ADULT CAT SALMON 14 KG")</f>
        <v>BAB'IN CLASSIC ADULT CAT SALMON 14 KG</v>
      </c>
      <c r="G1673" s="133" t="str">
        <f>IFERROR(__xludf.DUMMYFUNCTION("""COMPUTED_VALUE"""),"بابين كلاسيك ادلت كات سمك السالمون 14 كجم")</f>
        <v>بابين كلاسيك ادلت كات سمك السالمون 14 كجم</v>
      </c>
      <c r="H1673" s="133" t="str">
        <f>IFERROR(__xludf.DUMMYFUNCTION("""COMPUTED_VALUE"""),"MAFE2024741")</f>
        <v>MAFE2024741</v>
      </c>
      <c r="I1673" s="133"/>
      <c r="J1673" s="133"/>
      <c r="K1673" s="133" t="str">
        <f>IFERROR(__xludf.DUMMYFUNCTION("""COMPUTED_VALUE"""),"كوديكو")</f>
        <v>كوديكو</v>
      </c>
      <c r="L1673" s="133"/>
      <c r="M1673" s="133"/>
      <c r="N1673" s="133"/>
      <c r="O1673" s="133"/>
      <c r="P1673" s="133"/>
      <c r="Q1673" s="133"/>
      <c r="R1673" s="133"/>
      <c r="S1673" s="133"/>
      <c r="T1673" s="133"/>
      <c r="U1673" s="133"/>
      <c r="V1673" s="133"/>
      <c r="W1673" s="133"/>
      <c r="X1673" s="133"/>
      <c r="Y1673" s="133"/>
      <c r="Z1673" s="133"/>
    </row>
    <row r="1674">
      <c r="A1674" s="133">
        <f>IFERROR(__xludf.DUMMYFUNCTION("""COMPUTED_VALUE"""),1675.0)</f>
        <v>1675</v>
      </c>
      <c r="B1674" s="133"/>
      <c r="C1674" s="133" t="str">
        <f>IFERROR(__xludf.DUMMYFUNCTION("""COMPUTED_VALUE"""),"P-1-N-110224-932")</f>
        <v>P-1-N-110224-932</v>
      </c>
      <c r="D1674" s="133"/>
      <c r="E1674" s="133" t="str">
        <f>IFERROR(__xludf.DUMMYFUNCTION("""COMPUTED_VALUE"""),"تمت طباعة الشهادة")</f>
        <v>تمت طباعة الشهادة</v>
      </c>
      <c r="F1674" s="133" t="str">
        <f>IFERROR(__xludf.DUMMYFUNCTION("""COMPUTED_VALUE"""),"BAB'IN LAB ADULT CAT SKIN &amp; COAT 1.5 KG")</f>
        <v>BAB'IN LAB ADULT CAT SKIN &amp; COAT 1.5 KG</v>
      </c>
      <c r="G1674" s="133" t="str">
        <f>IFERROR(__xludf.DUMMYFUNCTION("""COMPUTED_VALUE"""),"بابين لاب ادلت كات سكين اند كوت 1.5 كجم")</f>
        <v>بابين لاب ادلت كات سكين اند كوت 1.5 كجم</v>
      </c>
      <c r="H1674" s="133" t="str">
        <f>IFERROR(__xludf.DUMMYFUNCTION("""COMPUTED_VALUE"""),"MAFE2024747")</f>
        <v>MAFE2024747</v>
      </c>
      <c r="I1674" s="133"/>
      <c r="J1674" s="133"/>
      <c r="K1674" s="133" t="str">
        <f>IFERROR(__xludf.DUMMYFUNCTION("""COMPUTED_VALUE"""),"كوديكو")</f>
        <v>كوديكو</v>
      </c>
      <c r="L1674" s="133"/>
      <c r="M1674" s="133"/>
      <c r="N1674" s="133"/>
      <c r="O1674" s="133"/>
      <c r="P1674" s="133"/>
      <c r="Q1674" s="133"/>
      <c r="R1674" s="133"/>
      <c r="S1674" s="133"/>
      <c r="T1674" s="133"/>
      <c r="U1674" s="133"/>
      <c r="V1674" s="133"/>
      <c r="W1674" s="133"/>
      <c r="X1674" s="133"/>
      <c r="Y1674" s="133"/>
      <c r="Z1674" s="133"/>
    </row>
    <row r="1675">
      <c r="A1675" s="133">
        <f>IFERROR(__xludf.DUMMYFUNCTION("""COMPUTED_VALUE"""),1676.0)</f>
        <v>1676</v>
      </c>
      <c r="B1675" s="133"/>
      <c r="C1675" s="133" t="str">
        <f>IFERROR(__xludf.DUMMYFUNCTION("""COMPUTED_VALUE"""),"P-1-N-110224-933")</f>
        <v>P-1-N-110224-933</v>
      </c>
      <c r="D1675" s="133"/>
      <c r="E1675" s="133" t="str">
        <f>IFERROR(__xludf.DUMMYFUNCTION("""COMPUTED_VALUE"""),"تمت طباعة الشهادة")</f>
        <v>تمت طباعة الشهادة</v>
      </c>
      <c r="F1675" s="133" t="str">
        <f>IFERROR(__xludf.DUMMYFUNCTION("""COMPUTED_VALUE"""),"BAB'IN LAB ADULT CAT SKIN &amp; COAT 3 KG")</f>
        <v>BAB'IN LAB ADULT CAT SKIN &amp; COAT 3 KG</v>
      </c>
      <c r="G1675" s="133" t="str">
        <f>IFERROR(__xludf.DUMMYFUNCTION("""COMPUTED_VALUE"""),"بابين لاب ادلت كات سكين اند كوت 3 كجم")</f>
        <v>بابين لاب ادلت كات سكين اند كوت 3 كجم</v>
      </c>
      <c r="H1675" s="133" t="str">
        <f>IFERROR(__xludf.DUMMYFUNCTION("""COMPUTED_VALUE"""),"MAFE2024756")</f>
        <v>MAFE2024756</v>
      </c>
      <c r="I1675" s="133"/>
      <c r="J1675" s="133"/>
      <c r="K1675" s="133" t="str">
        <f>IFERROR(__xludf.DUMMYFUNCTION("""COMPUTED_VALUE"""),"كوديكو")</f>
        <v>كوديكو</v>
      </c>
      <c r="L1675" s="133"/>
      <c r="M1675" s="133"/>
      <c r="N1675" s="133"/>
      <c r="O1675" s="133"/>
      <c r="P1675" s="133"/>
      <c r="Q1675" s="133"/>
      <c r="R1675" s="133"/>
      <c r="S1675" s="133"/>
      <c r="T1675" s="133"/>
      <c r="U1675" s="133"/>
      <c r="V1675" s="133"/>
      <c r="W1675" s="133"/>
      <c r="X1675" s="133"/>
      <c r="Y1675" s="133"/>
      <c r="Z1675" s="133"/>
    </row>
    <row r="1676">
      <c r="A1676" s="133">
        <f>IFERROR(__xludf.DUMMYFUNCTION("""COMPUTED_VALUE"""),1677.0)</f>
        <v>1677</v>
      </c>
      <c r="B1676" s="133"/>
      <c r="C1676" s="133" t="str">
        <f>IFERROR(__xludf.DUMMYFUNCTION("""COMPUTED_VALUE"""),"P-1-N-110224-934")</f>
        <v>P-1-N-110224-934</v>
      </c>
      <c r="D1676" s="133"/>
      <c r="E1676" s="133" t="str">
        <f>IFERROR(__xludf.DUMMYFUNCTION("""COMPUTED_VALUE"""),"تمت طباعة الشهادة")</f>
        <v>تمت طباعة الشهادة</v>
      </c>
      <c r="F1676" s="133" t="str">
        <f>IFERROR(__xludf.DUMMYFUNCTION("""COMPUTED_VALUE"""),"BAB'IN LAB ADULT CAT HAIRBALL 1.5 KG")</f>
        <v>BAB'IN LAB ADULT CAT HAIRBALL 1.5 KG</v>
      </c>
      <c r="G1676" s="133" t="str">
        <f>IFERROR(__xludf.DUMMYFUNCTION("""COMPUTED_VALUE"""),"بابين لاب ادلت كات هيربول 1.5 كجم")</f>
        <v>بابين لاب ادلت كات هيربول 1.5 كجم</v>
      </c>
      <c r="H1676" s="133" t="str">
        <f>IFERROR(__xludf.DUMMYFUNCTION("""COMPUTED_VALUE"""),"MAFE2024757")</f>
        <v>MAFE2024757</v>
      </c>
      <c r="I1676" s="133"/>
      <c r="J1676" s="133"/>
      <c r="K1676" s="133" t="str">
        <f>IFERROR(__xludf.DUMMYFUNCTION("""COMPUTED_VALUE"""),"كوديكو")</f>
        <v>كوديكو</v>
      </c>
      <c r="L1676" s="133"/>
      <c r="M1676" s="133"/>
      <c r="N1676" s="133"/>
      <c r="O1676" s="133"/>
      <c r="P1676" s="133"/>
      <c r="Q1676" s="133"/>
      <c r="R1676" s="133"/>
      <c r="S1676" s="133"/>
      <c r="T1676" s="133"/>
      <c r="U1676" s="133"/>
      <c r="V1676" s="133"/>
      <c r="W1676" s="133"/>
      <c r="X1676" s="133"/>
      <c r="Y1676" s="133"/>
      <c r="Z1676" s="133"/>
    </row>
    <row r="1677">
      <c r="A1677" s="133">
        <f>IFERROR(__xludf.DUMMYFUNCTION("""COMPUTED_VALUE"""),1678.0)</f>
        <v>1678</v>
      </c>
      <c r="B1677" s="133"/>
      <c r="C1677" s="133" t="str">
        <f>IFERROR(__xludf.DUMMYFUNCTION("""COMPUTED_VALUE"""),"P-1-N-110224-935")</f>
        <v>P-1-N-110224-935</v>
      </c>
      <c r="D1677" s="133"/>
      <c r="E1677" s="133" t="str">
        <f>IFERROR(__xludf.DUMMYFUNCTION("""COMPUTED_VALUE"""),"تمت طباعة الشهادة")</f>
        <v>تمت طباعة الشهادة</v>
      </c>
      <c r="F1677" s="133" t="str">
        <f>IFERROR(__xludf.DUMMYFUNCTION("""COMPUTED_VALUE"""),"BAB'IN LAB ADULT CAT HAIRBALL 3 KG")</f>
        <v>BAB'IN LAB ADULT CAT HAIRBALL 3 KG</v>
      </c>
      <c r="G1677" s="133" t="str">
        <f>IFERROR(__xludf.DUMMYFUNCTION("""COMPUTED_VALUE"""),"بابين لاب ادلت كات هيربول 3 كجم")</f>
        <v>بابين لاب ادلت كات هيربول 3 كجم</v>
      </c>
      <c r="H1677" s="133" t="str">
        <f>IFERROR(__xludf.DUMMYFUNCTION("""COMPUTED_VALUE"""),"MAFE2024758")</f>
        <v>MAFE2024758</v>
      </c>
      <c r="I1677" s="133"/>
      <c r="J1677" s="133"/>
      <c r="K1677" s="133" t="str">
        <f>IFERROR(__xludf.DUMMYFUNCTION("""COMPUTED_VALUE"""),"كوديكو")</f>
        <v>كوديكو</v>
      </c>
      <c r="L1677" s="133"/>
      <c r="M1677" s="133"/>
      <c r="N1677" s="133"/>
      <c r="O1677" s="133"/>
      <c r="P1677" s="133"/>
      <c r="Q1677" s="133"/>
      <c r="R1677" s="133"/>
      <c r="S1677" s="133"/>
      <c r="T1677" s="133"/>
      <c r="U1677" s="133"/>
      <c r="V1677" s="133"/>
      <c r="W1677" s="133"/>
      <c r="X1677" s="133"/>
      <c r="Y1677" s="133"/>
      <c r="Z1677" s="133"/>
    </row>
    <row r="1678">
      <c r="A1678" s="133">
        <f>IFERROR(__xludf.DUMMYFUNCTION("""COMPUTED_VALUE"""),1679.0)</f>
        <v>1679</v>
      </c>
      <c r="B1678" s="133"/>
      <c r="C1678" s="133" t="str">
        <f>IFERROR(__xludf.DUMMYFUNCTION("""COMPUTED_VALUE"""),"P-1-N-110224-936")</f>
        <v>P-1-N-110224-936</v>
      </c>
      <c r="D1678" s="133"/>
      <c r="E1678" s="133" t="str">
        <f>IFERROR(__xludf.DUMMYFUNCTION("""COMPUTED_VALUE"""),"تمت طباعة الشهادة")</f>
        <v>تمت طباعة الشهادة</v>
      </c>
      <c r="F1678" s="133" t="str">
        <f>IFERROR(__xludf.DUMMYFUNCTION("""COMPUTED_VALUE"""),"BAB'IN LAB ADULT CAT URINARY 1.5 KG")</f>
        <v>BAB'IN LAB ADULT CAT URINARY 1.5 KG</v>
      </c>
      <c r="G1678" s="133" t="str">
        <f>IFERROR(__xludf.DUMMYFUNCTION("""COMPUTED_VALUE"""),"بابين لاب ادلت كات يوريناري 1.5 كجم")</f>
        <v>بابين لاب ادلت كات يوريناري 1.5 كجم</v>
      </c>
      <c r="H1678" s="133" t="str">
        <f>IFERROR(__xludf.DUMMYFUNCTION("""COMPUTED_VALUE"""),"MAFE2024759")</f>
        <v>MAFE2024759</v>
      </c>
      <c r="I1678" s="133"/>
      <c r="J1678" s="133"/>
      <c r="K1678" s="133" t="str">
        <f>IFERROR(__xludf.DUMMYFUNCTION("""COMPUTED_VALUE"""),"كوديكو")</f>
        <v>كوديكو</v>
      </c>
      <c r="L1678" s="133"/>
      <c r="M1678" s="133"/>
      <c r="N1678" s="133"/>
      <c r="O1678" s="133"/>
      <c r="P1678" s="133"/>
      <c r="Q1678" s="133"/>
      <c r="R1678" s="133"/>
      <c r="S1678" s="133"/>
      <c r="T1678" s="133"/>
      <c r="U1678" s="133"/>
      <c r="V1678" s="133"/>
      <c r="W1678" s="133"/>
      <c r="X1678" s="133"/>
      <c r="Y1678" s="133"/>
      <c r="Z1678" s="133"/>
    </row>
    <row r="1679">
      <c r="A1679" s="133">
        <f>IFERROR(__xludf.DUMMYFUNCTION("""COMPUTED_VALUE"""),1680.0)</f>
        <v>1680</v>
      </c>
      <c r="B1679" s="133"/>
      <c r="C1679" s="133" t="str">
        <f>IFERROR(__xludf.DUMMYFUNCTION("""COMPUTED_VALUE"""),"P-1-N-110224-937")</f>
        <v>P-1-N-110224-937</v>
      </c>
      <c r="D1679" s="133"/>
      <c r="E1679" s="133" t="str">
        <f>IFERROR(__xludf.DUMMYFUNCTION("""COMPUTED_VALUE"""),"تمت طباعة الشهادة")</f>
        <v>تمت طباعة الشهادة</v>
      </c>
      <c r="F1679" s="133" t="str">
        <f>IFERROR(__xludf.DUMMYFUNCTION("""COMPUTED_VALUE"""),"BAB'IN LAB ADULT CAT URINARY 3 KG")</f>
        <v>BAB'IN LAB ADULT CAT URINARY 3 KG</v>
      </c>
      <c r="G1679" s="133" t="str">
        <f>IFERROR(__xludf.DUMMYFUNCTION("""COMPUTED_VALUE"""),"بابين لاب ادلت كات يوريناري 3 كجم")</f>
        <v>بابين لاب ادلت كات يوريناري 3 كجم</v>
      </c>
      <c r="H1679" s="133" t="str">
        <f>IFERROR(__xludf.DUMMYFUNCTION("""COMPUTED_VALUE"""),"MAFE2024760")</f>
        <v>MAFE2024760</v>
      </c>
      <c r="I1679" s="133"/>
      <c r="J1679" s="133"/>
      <c r="K1679" s="133" t="str">
        <f>IFERROR(__xludf.DUMMYFUNCTION("""COMPUTED_VALUE"""),"كوديكو")</f>
        <v>كوديكو</v>
      </c>
      <c r="L1679" s="133"/>
      <c r="M1679" s="133"/>
      <c r="N1679" s="133"/>
      <c r="O1679" s="133"/>
      <c r="P1679" s="133"/>
      <c r="Q1679" s="133"/>
      <c r="R1679" s="133"/>
      <c r="S1679" s="133"/>
      <c r="T1679" s="133"/>
      <c r="U1679" s="133"/>
      <c r="V1679" s="133"/>
      <c r="W1679" s="133"/>
      <c r="X1679" s="133"/>
      <c r="Y1679" s="133"/>
      <c r="Z1679" s="133"/>
    </row>
    <row r="1680">
      <c r="A1680" s="133">
        <f>IFERROR(__xludf.DUMMYFUNCTION("""COMPUTED_VALUE"""),1681.0)</f>
        <v>1681</v>
      </c>
      <c r="B1680" s="133"/>
      <c r="C1680" s="133" t="str">
        <f>IFERROR(__xludf.DUMMYFUNCTION("""COMPUTED_VALUE"""),"P-1-N-110224-938")</f>
        <v>P-1-N-110224-938</v>
      </c>
      <c r="D1680" s="133"/>
      <c r="E1680" s="133" t="str">
        <f>IFERROR(__xludf.DUMMYFUNCTION("""COMPUTED_VALUE"""),"تمت طباعة الشهادة")</f>
        <v>تمت طباعة الشهادة</v>
      </c>
      <c r="F1680" s="133" t="str">
        <f>IFERROR(__xludf.DUMMYFUNCTION("""COMPUTED_VALUE"""),"BAB'IN LAB ADULT CAT DIGESTION 1.5 KG")</f>
        <v>BAB'IN LAB ADULT CAT DIGESTION 1.5 KG</v>
      </c>
      <c r="G1680" s="133" t="str">
        <f>IFERROR(__xludf.DUMMYFUNCTION("""COMPUTED_VALUE"""),"بابين لاب ادلت كات دايجسشن 1.5 كجم")</f>
        <v>بابين لاب ادلت كات دايجسشن 1.5 كجم</v>
      </c>
      <c r="H1680" s="133" t="str">
        <f>IFERROR(__xludf.DUMMYFUNCTION("""COMPUTED_VALUE"""),"MAFE2024761")</f>
        <v>MAFE2024761</v>
      </c>
      <c r="I1680" s="133"/>
      <c r="J1680" s="133"/>
      <c r="K1680" s="133" t="str">
        <f>IFERROR(__xludf.DUMMYFUNCTION("""COMPUTED_VALUE"""),"كوديكو")</f>
        <v>كوديكو</v>
      </c>
      <c r="L1680" s="133"/>
      <c r="M1680" s="133"/>
      <c r="N1680" s="133"/>
      <c r="O1680" s="133"/>
      <c r="P1680" s="133"/>
      <c r="Q1680" s="133"/>
      <c r="R1680" s="133"/>
      <c r="S1680" s="133"/>
      <c r="T1680" s="133"/>
      <c r="U1680" s="133"/>
      <c r="V1680" s="133"/>
      <c r="W1680" s="133"/>
      <c r="X1680" s="133"/>
      <c r="Y1680" s="133"/>
      <c r="Z1680" s="133"/>
    </row>
    <row r="1681">
      <c r="A1681" s="133">
        <f>IFERROR(__xludf.DUMMYFUNCTION("""COMPUTED_VALUE"""),1682.0)</f>
        <v>1682</v>
      </c>
      <c r="B1681" s="133"/>
      <c r="C1681" s="133" t="str">
        <f>IFERROR(__xludf.DUMMYFUNCTION("""COMPUTED_VALUE"""),"P-1-N-110224-939")</f>
        <v>P-1-N-110224-939</v>
      </c>
      <c r="D1681" s="133"/>
      <c r="E1681" s="133" t="str">
        <f>IFERROR(__xludf.DUMMYFUNCTION("""COMPUTED_VALUE"""),"تمت طباعة الشهادة")</f>
        <v>تمت طباعة الشهادة</v>
      </c>
      <c r="F1681" s="133" t="str">
        <f>IFERROR(__xludf.DUMMYFUNCTION("""COMPUTED_VALUE"""),"BAB'IN LAB ADULT CAT DIGESTION 3 KG")</f>
        <v>BAB'IN LAB ADULT CAT DIGESTION 3 KG</v>
      </c>
      <c r="G1681" s="133" t="str">
        <f>IFERROR(__xludf.DUMMYFUNCTION("""COMPUTED_VALUE"""),"بابين لاب ادلت كات دايجسشن 3 كجم")</f>
        <v>بابين لاب ادلت كات دايجسشن 3 كجم</v>
      </c>
      <c r="H1681" s="133" t="str">
        <f>IFERROR(__xludf.DUMMYFUNCTION("""COMPUTED_VALUE"""),"MAFE2024744")</f>
        <v>MAFE2024744</v>
      </c>
      <c r="I1681" s="133"/>
      <c r="J1681" s="133"/>
      <c r="K1681" s="133" t="str">
        <f>IFERROR(__xludf.DUMMYFUNCTION("""COMPUTED_VALUE"""),"كوديكو")</f>
        <v>كوديكو</v>
      </c>
      <c r="L1681" s="133"/>
      <c r="M1681" s="133"/>
      <c r="N1681" s="133"/>
      <c r="O1681" s="133"/>
      <c r="P1681" s="133"/>
      <c r="Q1681" s="133"/>
      <c r="R1681" s="133"/>
      <c r="S1681" s="133"/>
      <c r="T1681" s="133"/>
      <c r="U1681" s="133"/>
      <c r="V1681" s="133"/>
      <c r="W1681" s="133"/>
      <c r="X1681" s="133"/>
      <c r="Y1681" s="133"/>
      <c r="Z1681" s="133"/>
    </row>
    <row r="1682">
      <c r="A1682" s="133">
        <f>IFERROR(__xludf.DUMMYFUNCTION("""COMPUTED_VALUE"""),1683.0)</f>
        <v>1683</v>
      </c>
      <c r="B1682" s="133"/>
      <c r="C1682" s="133" t="str">
        <f>IFERROR(__xludf.DUMMYFUNCTION("""COMPUTED_VALUE"""),"P-1-N-110224-940")</f>
        <v>P-1-N-110224-940</v>
      </c>
      <c r="D1682" s="133"/>
      <c r="E1682" s="133" t="str">
        <f>IFERROR(__xludf.DUMMYFUNCTION("""COMPUTED_VALUE"""),"تمت طباعة الشهادة")</f>
        <v>تمت طباعة الشهادة</v>
      </c>
      <c r="F1682" s="133" t="str">
        <f>IFERROR(__xludf.DUMMYFUNCTION("""COMPUTED_VALUE"""),"BAB'IN LAB ADULT CAT WEIGHT LOSS 1.5 KG")</f>
        <v>BAB'IN LAB ADULT CAT WEIGHT LOSS 1.5 KG</v>
      </c>
      <c r="G1682" s="133" t="str">
        <f>IFERROR(__xludf.DUMMYFUNCTION("""COMPUTED_VALUE"""),"بابين لاب ادلت كات ويت لوس 1.5 كجم")</f>
        <v>بابين لاب ادلت كات ويت لوس 1.5 كجم</v>
      </c>
      <c r="H1682" s="133" t="str">
        <f>IFERROR(__xludf.DUMMYFUNCTION("""COMPUTED_VALUE"""),"MAFE2024762")</f>
        <v>MAFE2024762</v>
      </c>
      <c r="I1682" s="133"/>
      <c r="J1682" s="133"/>
      <c r="K1682" s="133" t="str">
        <f>IFERROR(__xludf.DUMMYFUNCTION("""COMPUTED_VALUE"""),"كوديكو")</f>
        <v>كوديكو</v>
      </c>
      <c r="L1682" s="133"/>
      <c r="M1682" s="133"/>
      <c r="N1682" s="133"/>
      <c r="O1682" s="133"/>
      <c r="P1682" s="133"/>
      <c r="Q1682" s="133"/>
      <c r="R1682" s="133"/>
      <c r="S1682" s="133"/>
      <c r="T1682" s="133"/>
      <c r="U1682" s="133"/>
      <c r="V1682" s="133"/>
      <c r="W1682" s="133"/>
      <c r="X1682" s="133"/>
      <c r="Y1682" s="133"/>
      <c r="Z1682" s="133"/>
    </row>
    <row r="1683">
      <c r="A1683" s="133">
        <f>IFERROR(__xludf.DUMMYFUNCTION("""COMPUTED_VALUE"""),1684.0)</f>
        <v>1684</v>
      </c>
      <c r="B1683" s="133"/>
      <c r="C1683" s="133" t="str">
        <f>IFERROR(__xludf.DUMMYFUNCTION("""COMPUTED_VALUE"""),"P-1-N-110224-941")</f>
        <v>P-1-N-110224-941</v>
      </c>
      <c r="D1683" s="133"/>
      <c r="E1683" s="133" t="str">
        <f>IFERROR(__xludf.DUMMYFUNCTION("""COMPUTED_VALUE"""),"تمت طباعة الشهادة")</f>
        <v>تمت طباعة الشهادة</v>
      </c>
      <c r="F1683" s="133" t="str">
        <f>IFERROR(__xludf.DUMMYFUNCTION("""COMPUTED_VALUE"""),"BAB'IN LAB ADULT CAT WEIGHT LOSS 3 KG")</f>
        <v>BAB'IN LAB ADULT CAT WEIGHT LOSS 3 KG</v>
      </c>
      <c r="G1683" s="133" t="str">
        <f>IFERROR(__xludf.DUMMYFUNCTION("""COMPUTED_VALUE"""),"بابين لاب ادلت كات ويت لوس 3 كجم")</f>
        <v>بابين لاب ادلت كات ويت لوس 3 كجم</v>
      </c>
      <c r="H1683" s="133" t="str">
        <f>IFERROR(__xludf.DUMMYFUNCTION("""COMPUTED_VALUE"""),"MAFE2024745")</f>
        <v>MAFE2024745</v>
      </c>
      <c r="I1683" s="133"/>
      <c r="J1683" s="133"/>
      <c r="K1683" s="133" t="str">
        <f>IFERROR(__xludf.DUMMYFUNCTION("""COMPUTED_VALUE"""),"كوديكو")</f>
        <v>كوديكو</v>
      </c>
      <c r="L1683" s="133"/>
      <c r="M1683" s="133"/>
      <c r="N1683" s="133"/>
      <c r="O1683" s="133"/>
      <c r="P1683" s="133"/>
      <c r="Q1683" s="133"/>
      <c r="R1683" s="133"/>
      <c r="S1683" s="133"/>
      <c r="T1683" s="133"/>
      <c r="U1683" s="133"/>
      <c r="V1683" s="133"/>
      <c r="W1683" s="133"/>
      <c r="X1683" s="133"/>
      <c r="Y1683" s="133"/>
      <c r="Z1683" s="133"/>
    </row>
    <row r="1684">
      <c r="A1684" s="133">
        <f>IFERROR(__xludf.DUMMYFUNCTION("""COMPUTED_VALUE"""),1685.0)</f>
        <v>1685</v>
      </c>
      <c r="B1684" s="133" t="str">
        <f>IFERROR(__xludf.DUMMYFUNCTION("""COMPUTED_VALUE"""),"0231001")</f>
        <v>0231001</v>
      </c>
      <c r="C1684" s="133" t="str">
        <f>IFERROR(__xludf.DUMMYFUNCTION("""COMPUTED_VALUE"""),"P-1-N-130224-993")</f>
        <v>P-1-N-130224-993</v>
      </c>
      <c r="D1684" s="133"/>
      <c r="E1684" s="133" t="str">
        <f>IFERROR(__xludf.DUMMYFUNCTION("""COMPUTED_VALUE"""),"مكتمل")</f>
        <v>مكتمل</v>
      </c>
      <c r="F1684" s="133" t="str">
        <f>IFERROR(__xludf.DUMMYFUNCTION("""COMPUTED_VALUE"""),"FORZA10 Maintenance Cat STERILIZED Chicken 1 KG")</f>
        <v>FORZA10 Maintenance Cat STERILIZED Chicken 1 KG</v>
      </c>
      <c r="G1684" s="133" t="str">
        <f>IFERROR(__xludf.DUMMYFUNCTION("""COMPUTED_VALUE"""),"فورزا 10 ماينتنانس كات ستريليزد دجاج 1 كجم")</f>
        <v>فورزا 10 ماينتنانس كات ستريليزد دجاج 1 كجم</v>
      </c>
      <c r="H1684" s="133" t="str">
        <f>IFERROR(__xludf.DUMMYFUNCTION("""COMPUTED_VALUE"""),"FOM-2024-5415-FEB-2024-59145 -C-0041-79953
")</f>
        <v>FOM-2024-5415-FEB-2024-59145 -C-0041-79953
</v>
      </c>
      <c r="I1684" s="133"/>
      <c r="J1684" s="133"/>
      <c r="K1684" s="133" t="str">
        <f>IFERROR(__xludf.DUMMYFUNCTION("""COMPUTED_VALUE"""),"شركة سانيبيت")</f>
        <v>شركة سانيبيت</v>
      </c>
      <c r="L1684" s="142" t="str">
        <f>IFERROR(__xludf.DUMMYFUNCTION("""COMPUTED_VALUE"""),"0231001")</f>
        <v>0231001</v>
      </c>
      <c r="M1684" s="133" t="str">
        <f>IFERROR(__xludf.DUMMYFUNCTION("""COMPUTED_VALUE"""),"25-2-2029")</f>
        <v>25-2-2029</v>
      </c>
      <c r="N1684" s="133"/>
      <c r="O1684" s="133"/>
      <c r="P1684" s="133"/>
      <c r="Q1684" s="133"/>
      <c r="R1684" s="133"/>
      <c r="S1684" s="133"/>
      <c r="T1684" s="133"/>
      <c r="U1684" s="133"/>
      <c r="V1684" s="133"/>
      <c r="W1684" s="133"/>
      <c r="X1684" s="133"/>
      <c r="Y1684" s="133"/>
      <c r="Z1684" s="133"/>
    </row>
    <row r="1685">
      <c r="A1685" s="133">
        <f>IFERROR(__xludf.DUMMYFUNCTION("""COMPUTED_VALUE"""),1686.0)</f>
        <v>1686</v>
      </c>
      <c r="B1685" s="133" t="str">
        <f>IFERROR(__xludf.DUMMYFUNCTION("""COMPUTED_VALUE"""),"0231350")</f>
        <v>0231350</v>
      </c>
      <c r="C1685" s="133" t="str">
        <f>IFERROR(__xludf.DUMMYFUNCTION("""COMPUTED_VALUE"""),"P-1-N-130224-994")</f>
        <v>P-1-N-130224-994</v>
      </c>
      <c r="D1685" s="133"/>
      <c r="E1685" s="133" t="str">
        <f>IFERROR(__xludf.DUMMYFUNCTION("""COMPUTED_VALUE"""),"مكتمل")</f>
        <v>مكتمل</v>
      </c>
      <c r="F1685" s="133" t="str">
        <f>IFERROR(__xludf.DUMMYFUNCTION("""COMPUTED_VALUE"""),"FORZA10 Maintenance Cat STERILIZED Chicken 350G")</f>
        <v>FORZA10 Maintenance Cat STERILIZED Chicken 350G</v>
      </c>
      <c r="G1685" s="133" t="str">
        <f>IFERROR(__xludf.DUMMYFUNCTION("""COMPUTED_VALUE"""),"فورزا 10 ماينتنانس كات ستريليزد دجاج 350 جم")</f>
        <v>فورزا 10 ماينتنانس كات ستريليزد دجاج 350 جم</v>
      </c>
      <c r="H1685" s="133" t="str">
        <f>IFERROR(__xludf.DUMMYFUNCTION("""COMPUTED_VALUE"""),"FOM-2024-5415-FEB-2024-59146 -C-0041-79954
")</f>
        <v>FOM-2024-5415-FEB-2024-59146 -C-0041-79954
</v>
      </c>
      <c r="I1685" s="133"/>
      <c r="J1685" s="133"/>
      <c r="K1685" s="133" t="str">
        <f>IFERROR(__xludf.DUMMYFUNCTION("""COMPUTED_VALUE"""),"شركة سانيبيت")</f>
        <v>شركة سانيبيت</v>
      </c>
      <c r="L1685" s="142" t="str">
        <f>IFERROR(__xludf.DUMMYFUNCTION("""COMPUTED_VALUE"""),"0231350")</f>
        <v>0231350</v>
      </c>
      <c r="M1685" s="133" t="str">
        <f>IFERROR(__xludf.DUMMYFUNCTION("""COMPUTED_VALUE"""),"21-2-2029")</f>
        <v>21-2-2029</v>
      </c>
      <c r="N1685" s="133"/>
      <c r="O1685" s="133"/>
      <c r="P1685" s="133"/>
      <c r="Q1685" s="133"/>
      <c r="R1685" s="133"/>
      <c r="S1685" s="133"/>
      <c r="T1685" s="133"/>
      <c r="U1685" s="133"/>
      <c r="V1685" s="133"/>
      <c r="W1685" s="133"/>
      <c r="X1685" s="133"/>
      <c r="Y1685" s="133"/>
      <c r="Z1685" s="133"/>
    </row>
    <row r="1686">
      <c r="A1686" s="133">
        <f>IFERROR(__xludf.DUMMYFUNCTION("""COMPUTED_VALUE"""),1687.0)</f>
        <v>1687</v>
      </c>
      <c r="B1686" s="133" t="str">
        <f>IFERROR(__xludf.DUMMYFUNCTION("""COMPUTED_VALUE"""),"0232001")</f>
        <v>0232001</v>
      </c>
      <c r="C1686" s="133" t="str">
        <f>IFERROR(__xludf.DUMMYFUNCTION("""COMPUTED_VALUE"""),"P-1-N-130224-995")</f>
        <v>P-1-N-130224-995</v>
      </c>
      <c r="D1686" s="133"/>
      <c r="E1686" s="133" t="str">
        <f>IFERROR(__xludf.DUMMYFUNCTION("""COMPUTED_VALUE"""),"مكتمل")</f>
        <v>مكتمل</v>
      </c>
      <c r="F1686" s="133" t="str">
        <f>IFERROR(__xludf.DUMMYFUNCTION("""COMPUTED_VALUE"""),"FORZA10 Maintenance Cat STERILIZED Salmon 1 KG")</f>
        <v>FORZA10 Maintenance Cat STERILIZED Salmon 1 KG</v>
      </c>
      <c r="G1686" s="133" t="str">
        <f>IFERROR(__xludf.DUMMYFUNCTION("""COMPUTED_VALUE"""),"فورزا 10 ماينتنانس كات ستريليزد سمك السالمون 1 كجم")</f>
        <v>فورزا 10 ماينتنانس كات ستريليزد سمك السالمون 1 كجم</v>
      </c>
      <c r="H1686" s="133" t="str">
        <f>IFERROR(__xludf.DUMMYFUNCTION("""COMPUTED_VALUE"""),"FOM-2024-5415-FEB-2024-59147 -C-0041-79955
")</f>
        <v>FOM-2024-5415-FEB-2024-59147 -C-0041-79955
</v>
      </c>
      <c r="I1686" s="133"/>
      <c r="J1686" s="133"/>
      <c r="K1686" s="133" t="str">
        <f>IFERROR(__xludf.DUMMYFUNCTION("""COMPUTED_VALUE"""),"شركة سانيبيت")</f>
        <v>شركة سانيبيت</v>
      </c>
      <c r="L1686" s="142" t="str">
        <f>IFERROR(__xludf.DUMMYFUNCTION("""COMPUTED_VALUE"""),"0232001")</f>
        <v>0232001</v>
      </c>
      <c r="M1686" s="133" t="str">
        <f>IFERROR(__xludf.DUMMYFUNCTION("""COMPUTED_VALUE"""),"21-2-2029")</f>
        <v>21-2-2029</v>
      </c>
      <c r="N1686" s="133"/>
      <c r="O1686" s="133"/>
      <c r="P1686" s="133"/>
      <c r="Q1686" s="133"/>
      <c r="R1686" s="133"/>
      <c r="S1686" s="133"/>
      <c r="T1686" s="133"/>
      <c r="U1686" s="133"/>
      <c r="V1686" s="133"/>
      <c r="W1686" s="133"/>
      <c r="X1686" s="133"/>
      <c r="Y1686" s="133"/>
      <c r="Z1686" s="133"/>
    </row>
    <row r="1687">
      <c r="A1687" s="133">
        <f>IFERROR(__xludf.DUMMYFUNCTION("""COMPUTED_VALUE"""),1688.0)</f>
        <v>1688</v>
      </c>
      <c r="B1687" s="133" t="str">
        <f>IFERROR(__xludf.DUMMYFUNCTION("""COMPUTED_VALUE"""),"232350")</f>
        <v>232350</v>
      </c>
      <c r="C1687" s="133" t="str">
        <f>IFERROR(__xludf.DUMMYFUNCTION("""COMPUTED_VALUE"""),"P-1-N-130224-996")</f>
        <v>P-1-N-130224-996</v>
      </c>
      <c r="D1687" s="133"/>
      <c r="E1687" s="133" t="str">
        <f>IFERROR(__xludf.DUMMYFUNCTION("""COMPUTED_VALUE"""),"مكتمل")</f>
        <v>مكتمل</v>
      </c>
      <c r="F1687" s="133" t="str">
        <f>IFERROR(__xludf.DUMMYFUNCTION("""COMPUTED_VALUE"""),"FORZA10 Maintenance Cat STERILIZED Salmon 350G")</f>
        <v>FORZA10 Maintenance Cat STERILIZED Salmon 350G</v>
      </c>
      <c r="G1687" s="133" t="str">
        <f>IFERROR(__xludf.DUMMYFUNCTION("""COMPUTED_VALUE"""),"فورزا 10 ماينتنانس كات ستريليزد سمك السالمون 350 جم")</f>
        <v>فورزا 10 ماينتنانس كات ستريليزد سمك السالمون 350 جم</v>
      </c>
      <c r="H1687" s="133" t="str">
        <f>IFERROR(__xludf.DUMMYFUNCTION("""COMPUTED_VALUE"""),"FOM-2024-5415-FEB-2024-59148 -C-0041-79956
")</f>
        <v>FOM-2024-5415-FEB-2024-59148 -C-0041-79956
</v>
      </c>
      <c r="I1687" s="133"/>
      <c r="J1687" s="133"/>
      <c r="K1687" s="133" t="str">
        <f>IFERROR(__xludf.DUMMYFUNCTION("""COMPUTED_VALUE"""),"شركة سانيبيت")</f>
        <v>شركة سانيبيت</v>
      </c>
      <c r="L1687" s="142" t="str">
        <f>IFERROR(__xludf.DUMMYFUNCTION("""COMPUTED_VALUE"""),"232350")</f>
        <v>232350</v>
      </c>
      <c r="M1687" s="133" t="str">
        <f>IFERROR(__xludf.DUMMYFUNCTION("""COMPUTED_VALUE"""),"25-2-2029")</f>
        <v>25-2-2029</v>
      </c>
      <c r="N1687" s="133"/>
      <c r="O1687" s="133"/>
      <c r="P1687" s="133"/>
      <c r="Q1687" s="133"/>
      <c r="R1687" s="133"/>
      <c r="S1687" s="133"/>
      <c r="T1687" s="133"/>
      <c r="U1687" s="133"/>
      <c r="V1687" s="133"/>
      <c r="W1687" s="133"/>
      <c r="X1687" s="133"/>
      <c r="Y1687" s="133"/>
      <c r="Z1687" s="133"/>
    </row>
    <row r="1688">
      <c r="A1688" s="133">
        <f>IFERROR(__xludf.DUMMYFUNCTION("""COMPUTED_VALUE"""),1689.0)</f>
        <v>1689</v>
      </c>
      <c r="B1688" s="133" t="str">
        <f>IFERROR(__xludf.DUMMYFUNCTION("""COMPUTED_VALUE"""),"0233001")</f>
        <v>0233001</v>
      </c>
      <c r="C1688" s="133" t="str">
        <f>IFERROR(__xludf.DUMMYFUNCTION("""COMPUTED_VALUE"""),"P-1-N-130224-997")</f>
        <v>P-1-N-130224-997</v>
      </c>
      <c r="D1688" s="133"/>
      <c r="E1688" s="133" t="str">
        <f>IFERROR(__xludf.DUMMYFUNCTION("""COMPUTED_VALUE"""),"مكتمل")</f>
        <v>مكتمل</v>
      </c>
      <c r="F1688" s="133" t="str">
        <f>IFERROR(__xludf.DUMMYFUNCTION("""COMPUTED_VALUE"""),"FORZA10 Maintenance Cat ADULT Duck 1 KG
")</f>
        <v>FORZA10 Maintenance Cat ADULT Duck 1 KG
</v>
      </c>
      <c r="G1688" s="133" t="str">
        <f>IFERROR(__xludf.DUMMYFUNCTION("""COMPUTED_VALUE"""),"فورزا 10 ماينتنانس كات ادلت بط 1 كجم")</f>
        <v>فورزا 10 ماينتنانس كات ادلت بط 1 كجم</v>
      </c>
      <c r="H1688" s="133" t="str">
        <f>IFERROR(__xludf.DUMMYFUNCTION("""COMPUTED_VALUE"""),"FOM-2024-5415-FEB-2024-59149 -C-0041-79957
")</f>
        <v>FOM-2024-5415-FEB-2024-59149 -C-0041-79957
</v>
      </c>
      <c r="I1688" s="133"/>
      <c r="J1688" s="133"/>
      <c r="K1688" s="133" t="str">
        <f>IFERROR(__xludf.DUMMYFUNCTION("""COMPUTED_VALUE"""),"شركة سانيبيت")</f>
        <v>شركة سانيبيت</v>
      </c>
      <c r="L1688" s="142" t="str">
        <f>IFERROR(__xludf.DUMMYFUNCTION("""COMPUTED_VALUE"""),"0233001")</f>
        <v>0233001</v>
      </c>
      <c r="M1688" s="133" t="str">
        <f>IFERROR(__xludf.DUMMYFUNCTION("""COMPUTED_VALUE"""),"25-2-2029")</f>
        <v>25-2-2029</v>
      </c>
      <c r="N1688" s="133"/>
      <c r="O1688" s="133"/>
      <c r="P1688" s="133"/>
      <c r="Q1688" s="133"/>
      <c r="R1688" s="133"/>
      <c r="S1688" s="133"/>
      <c r="T1688" s="133"/>
      <c r="U1688" s="133"/>
      <c r="V1688" s="133"/>
      <c r="W1688" s="133"/>
      <c r="X1688" s="133"/>
      <c r="Y1688" s="133"/>
      <c r="Z1688" s="133"/>
    </row>
    <row r="1689">
      <c r="A1689" s="133">
        <f>IFERROR(__xludf.DUMMYFUNCTION("""COMPUTED_VALUE"""),1690.0)</f>
        <v>1690</v>
      </c>
      <c r="B1689" s="133" t="str">
        <f>IFERROR(__xludf.DUMMYFUNCTION("""COMPUTED_VALUE"""),"0233350")</f>
        <v>0233350</v>
      </c>
      <c r="C1689" s="133" t="str">
        <f>IFERROR(__xludf.DUMMYFUNCTION("""COMPUTED_VALUE"""),"P-1-N-130224-998")</f>
        <v>P-1-N-130224-998</v>
      </c>
      <c r="D1689" s="133"/>
      <c r="E1689" s="133" t="str">
        <f>IFERROR(__xludf.DUMMYFUNCTION("""COMPUTED_VALUE"""),"مكتمل")</f>
        <v>مكتمل</v>
      </c>
      <c r="F1689" s="133" t="str">
        <f>IFERROR(__xludf.DUMMYFUNCTION("""COMPUTED_VALUE"""),"FORZA10 Maintenance Cat ADULT Duck 350G")</f>
        <v>FORZA10 Maintenance Cat ADULT Duck 350G</v>
      </c>
      <c r="G1689" s="133" t="str">
        <f>IFERROR(__xludf.DUMMYFUNCTION("""COMPUTED_VALUE"""),"فورزا 10 ماينتنانس كات ادلت بط 350 جم")</f>
        <v>فورزا 10 ماينتنانس كات ادلت بط 350 جم</v>
      </c>
      <c r="H1689" s="133" t="str">
        <f>IFERROR(__xludf.DUMMYFUNCTION("""COMPUTED_VALUE"""),"FOM-2024-5415-FEB-2024-59150 -C-0041-79958
")</f>
        <v>FOM-2024-5415-FEB-2024-59150 -C-0041-79958
</v>
      </c>
      <c r="I1689" s="133"/>
      <c r="J1689" s="133"/>
      <c r="K1689" s="133" t="str">
        <f>IFERROR(__xludf.DUMMYFUNCTION("""COMPUTED_VALUE"""),"شركة سانيبيت")</f>
        <v>شركة سانيبيت</v>
      </c>
      <c r="L1689" s="142" t="str">
        <f>IFERROR(__xludf.DUMMYFUNCTION("""COMPUTED_VALUE"""),"0233350")</f>
        <v>0233350</v>
      </c>
      <c r="M1689" s="133" t="str">
        <f>IFERROR(__xludf.DUMMYFUNCTION("""COMPUTED_VALUE"""),"25-2-2029")</f>
        <v>25-2-2029</v>
      </c>
      <c r="N1689" s="133"/>
      <c r="O1689" s="133"/>
      <c r="P1689" s="133"/>
      <c r="Q1689" s="133"/>
      <c r="R1689" s="133"/>
      <c r="S1689" s="133"/>
      <c r="T1689" s="133"/>
      <c r="U1689" s="133"/>
      <c r="V1689" s="133"/>
      <c r="W1689" s="133"/>
      <c r="X1689" s="133"/>
      <c r="Y1689" s="133"/>
      <c r="Z1689" s="133"/>
    </row>
    <row r="1690">
      <c r="A1690" s="133">
        <f>IFERROR(__xludf.DUMMYFUNCTION("""COMPUTED_VALUE"""),1691.0)</f>
        <v>1691</v>
      </c>
      <c r="B1690" s="133" t="str">
        <f>IFERROR(__xludf.DUMMYFUNCTION("""COMPUTED_VALUE"""),"0106102")</f>
        <v>0106102</v>
      </c>
      <c r="C1690" s="133" t="str">
        <f>IFERROR(__xludf.DUMMYFUNCTION("""COMPUTED_VALUE"""),"P-1-N-140224-1035")</f>
        <v>P-1-N-140224-1035</v>
      </c>
      <c r="D1690" s="133"/>
      <c r="E1690" s="133" t="str">
        <f>IFERROR(__xludf.DUMMYFUNCTION("""COMPUTED_VALUE"""),"مكتمل")</f>
        <v>مكتمل</v>
      </c>
      <c r="F1690" s="133" t="str">
        <f>IFERROR(__xludf.DUMMYFUNCTION("""COMPUTED_VALUE"""),"FORZA10 Mini Adult Maintenance Fish 2kg")</f>
        <v>FORZA10 Mini Adult Maintenance Fish 2kg</v>
      </c>
      <c r="G1690" s="133" t="str">
        <f>IFERROR(__xludf.DUMMYFUNCTION("""COMPUTED_VALUE"""),"فورزا 10 ميني ادلت ماينتنانس سمك 2 كجم")</f>
        <v>فورزا 10 ميني ادلت ماينتنانس سمك 2 كجم</v>
      </c>
      <c r="H1690" s="133" t="str">
        <f>IFERROR(__xludf.DUMMYFUNCTION("""COMPUTED_VALUE"""),"FOM-2024-5415-FEB-2024-59157 -C-0041-79965
")</f>
        <v>FOM-2024-5415-FEB-2024-59157 -C-0041-79965
</v>
      </c>
      <c r="I1690" s="133"/>
      <c r="J1690" s="133"/>
      <c r="K1690" s="133" t="str">
        <f>IFERROR(__xludf.DUMMYFUNCTION("""COMPUTED_VALUE"""),"شركة سانيبيت")</f>
        <v>شركة سانيبيت</v>
      </c>
      <c r="L1690" s="142" t="str">
        <f>IFERROR(__xludf.DUMMYFUNCTION("""COMPUTED_VALUE"""),"0106102")</f>
        <v>0106102</v>
      </c>
      <c r="M1690" s="133" t="str">
        <f>IFERROR(__xludf.DUMMYFUNCTION("""COMPUTED_VALUE"""),"25-2-2029")</f>
        <v>25-2-2029</v>
      </c>
      <c r="N1690" s="133"/>
      <c r="O1690" s="133"/>
      <c r="P1690" s="133"/>
      <c r="Q1690" s="133"/>
      <c r="R1690" s="133"/>
      <c r="S1690" s="133"/>
      <c r="T1690" s="133"/>
      <c r="U1690" s="133"/>
      <c r="V1690" s="133"/>
      <c r="W1690" s="133"/>
      <c r="X1690" s="133"/>
      <c r="Y1690" s="133"/>
      <c r="Z1690" s="133"/>
    </row>
    <row r="1691">
      <c r="A1691" s="133">
        <f>IFERROR(__xludf.DUMMYFUNCTION("""COMPUTED_VALUE"""),1692.0)</f>
        <v>1692</v>
      </c>
      <c r="B1691" s="133"/>
      <c r="C1691" s="133" t="str">
        <f>IFERROR(__xludf.DUMMYFUNCTION("""COMPUTED_VALUE"""),"P-1-N-140224-1036")</f>
        <v>P-1-N-140224-1036</v>
      </c>
      <c r="D1691" s="133"/>
      <c r="E1691" s="133" t="str">
        <f>IFERROR(__xludf.DUMMYFUNCTION("""COMPUTED_VALUE"""),"مكتمل")</f>
        <v>مكتمل</v>
      </c>
      <c r="F1691" s="133" t="str">
        <f>IFERROR(__xludf.DUMMYFUNCTION("""COMPUTED_VALUE"""),"FORZA10 Mini Adult Maintenance Fish 4kg")</f>
        <v>FORZA10 Mini Adult Maintenance Fish 4kg</v>
      </c>
      <c r="G1691" s="133" t="str">
        <f>IFERROR(__xludf.DUMMYFUNCTION("""COMPUTED_VALUE"""),"فورزا 10 ميني ادلت ماينتنانس سمك 4 كجم")</f>
        <v>فورزا 10 ميني ادلت ماينتنانس سمك 4 كجم</v>
      </c>
      <c r="H1691" s="133" t="str">
        <f>IFERROR(__xludf.DUMMYFUNCTION("""COMPUTED_VALUE"""),"FOM-2024-5415-FEB-2024-59158 -C-0041-79966
")</f>
        <v>FOM-2024-5415-FEB-2024-59158 -C-0041-79966
</v>
      </c>
      <c r="I1691" s="133"/>
      <c r="J1691" s="133"/>
      <c r="K1691" s="133" t="str">
        <f>IFERROR(__xludf.DUMMYFUNCTION("""COMPUTED_VALUE"""),"شركة سانيبيت")</f>
        <v>شركة سانيبيت</v>
      </c>
      <c r="L1691" s="133"/>
      <c r="M1691" s="133" t="str">
        <f>IFERROR(__xludf.DUMMYFUNCTION("""COMPUTED_VALUE"""),"25-2-2029")</f>
        <v>25-2-2029</v>
      </c>
      <c r="N1691" s="133"/>
      <c r="O1691" s="133"/>
      <c r="P1691" s="133"/>
      <c r="Q1691" s="133"/>
      <c r="R1691" s="133"/>
      <c r="S1691" s="133"/>
      <c r="T1691" s="133"/>
      <c r="U1691" s="133"/>
      <c r="V1691" s="133"/>
      <c r="W1691" s="133"/>
      <c r="X1691" s="133"/>
      <c r="Y1691" s="133"/>
      <c r="Z1691" s="133"/>
    </row>
    <row r="1692">
      <c r="A1692" s="133">
        <f>IFERROR(__xludf.DUMMYFUNCTION("""COMPUTED_VALUE"""),1693.0)</f>
        <v>1693</v>
      </c>
      <c r="B1692" s="133" t="str">
        <f>IFERROR(__xludf.DUMMYFUNCTION("""COMPUTED_VALUE"""),"0106002")</f>
        <v>0106002</v>
      </c>
      <c r="C1692" s="133" t="str">
        <f>IFERROR(__xludf.DUMMYFUNCTION("""COMPUTED_VALUE"""),"P-1-N-140224-1037")</f>
        <v>P-1-N-140224-1037</v>
      </c>
      <c r="D1692" s="133"/>
      <c r="E1692" s="133" t="str">
        <f>IFERROR(__xludf.DUMMYFUNCTION("""COMPUTED_VALUE"""),"مكتمل")</f>
        <v>مكتمل</v>
      </c>
      <c r="F1692" s="133" t="str">
        <f>IFERROR(__xludf.DUMMYFUNCTION("""COMPUTED_VALUE"""),"FORZA10 Medium Adult Maintenance Fish 2kg")</f>
        <v>FORZA10 Medium Adult Maintenance Fish 2kg</v>
      </c>
      <c r="G1692" s="133" t="str">
        <f>IFERROR(__xludf.DUMMYFUNCTION("""COMPUTED_VALUE"""),"فورزا 10 ميديم ادلت ماينتنانس سمك 2 كجم")</f>
        <v>فورزا 10 ميديم ادلت ماينتنانس سمك 2 كجم</v>
      </c>
      <c r="H1692" s="133" t="str">
        <f>IFERROR(__xludf.DUMMYFUNCTION("""COMPUTED_VALUE"""),"FOM-2024-5415-FEB-2024-59159 -C-0041-79967
")</f>
        <v>FOM-2024-5415-FEB-2024-59159 -C-0041-79967
</v>
      </c>
      <c r="I1692" s="133"/>
      <c r="J1692" s="133"/>
      <c r="K1692" s="133" t="str">
        <f>IFERROR(__xludf.DUMMYFUNCTION("""COMPUTED_VALUE"""),"شركة سانيبيت")</f>
        <v>شركة سانيبيت</v>
      </c>
      <c r="L1692" s="142" t="str">
        <f>IFERROR(__xludf.DUMMYFUNCTION("""COMPUTED_VALUE"""),"0106002")</f>
        <v>0106002</v>
      </c>
      <c r="M1692" s="133" t="str">
        <f>IFERROR(__xludf.DUMMYFUNCTION("""COMPUTED_VALUE"""),"25-2-2029")</f>
        <v>25-2-2029</v>
      </c>
      <c r="N1692" s="133"/>
      <c r="O1692" s="133"/>
      <c r="P1692" s="133"/>
      <c r="Q1692" s="133"/>
      <c r="R1692" s="133"/>
      <c r="S1692" s="133"/>
      <c r="T1692" s="133"/>
      <c r="U1692" s="133"/>
      <c r="V1692" s="133"/>
      <c r="W1692" s="133"/>
      <c r="X1692" s="133"/>
      <c r="Y1692" s="133"/>
      <c r="Z1692" s="133"/>
    </row>
    <row r="1693">
      <c r="A1693" s="133">
        <f>IFERROR(__xludf.DUMMYFUNCTION("""COMPUTED_VALUE"""),1694.0)</f>
        <v>1694</v>
      </c>
      <c r="B1693" s="133"/>
      <c r="C1693" s="133" t="str">
        <f>IFERROR(__xludf.DUMMYFUNCTION("""COMPUTED_VALUE"""),"P-1-N-140224-1038")</f>
        <v>P-1-N-140224-1038</v>
      </c>
      <c r="D1693" s="133"/>
      <c r="E1693" s="133" t="str">
        <f>IFERROR(__xludf.DUMMYFUNCTION("""COMPUTED_VALUE"""),"مكتمل")</f>
        <v>مكتمل</v>
      </c>
      <c r="F1693" s="133" t="str">
        <f>IFERROR(__xludf.DUMMYFUNCTION("""COMPUTED_VALUE"""),"FORZA10 Medium Adult Maintenance Fish 12kg")</f>
        <v>FORZA10 Medium Adult Maintenance Fish 12kg</v>
      </c>
      <c r="G1693" s="133" t="str">
        <f>IFERROR(__xludf.DUMMYFUNCTION("""COMPUTED_VALUE"""),"فورزا 10 ميديم ادلت ماينتنانس سمك 12 كجم")</f>
        <v>فورزا 10 ميديم ادلت ماينتنانس سمك 12 كجم</v>
      </c>
      <c r="H1693" s="133" t="str">
        <f>IFERROR(__xludf.DUMMYFUNCTION("""COMPUTED_VALUE"""),"FOM-2024-5415-FEB-2024-59160 -C-0041-79968
")</f>
        <v>FOM-2024-5415-FEB-2024-59160 -C-0041-79968
</v>
      </c>
      <c r="I1693" s="133"/>
      <c r="J1693" s="133"/>
      <c r="K1693" s="133" t="str">
        <f>IFERROR(__xludf.DUMMYFUNCTION("""COMPUTED_VALUE"""),"شركة سانيبيت")</f>
        <v>شركة سانيبيت</v>
      </c>
      <c r="L1693" s="133"/>
      <c r="M1693" s="133" t="str">
        <f>IFERROR(__xludf.DUMMYFUNCTION("""COMPUTED_VALUE"""),"25-2-2029")</f>
        <v>25-2-2029</v>
      </c>
      <c r="N1693" s="133"/>
      <c r="O1693" s="133"/>
      <c r="P1693" s="133"/>
      <c r="Q1693" s="133"/>
      <c r="R1693" s="133"/>
      <c r="S1693" s="133"/>
      <c r="T1693" s="133"/>
      <c r="U1693" s="133"/>
      <c r="V1693" s="133"/>
      <c r="W1693" s="133"/>
      <c r="X1693" s="133"/>
      <c r="Y1693" s="133"/>
      <c r="Z1693" s="133"/>
    </row>
    <row r="1694">
      <c r="A1694" s="133">
        <f>IFERROR(__xludf.DUMMYFUNCTION("""COMPUTED_VALUE"""),1695.0)</f>
        <v>1695</v>
      </c>
      <c r="B1694" s="133"/>
      <c r="C1694" s="133" t="str">
        <f>IFERROR(__xludf.DUMMYFUNCTION("""COMPUTED_VALUE"""),"P-1-N-140224-1039")</f>
        <v>P-1-N-140224-1039</v>
      </c>
      <c r="D1694" s="133"/>
      <c r="E1694" s="133" t="str">
        <f>IFERROR(__xludf.DUMMYFUNCTION("""COMPUTED_VALUE"""),"مكتمل")</f>
        <v>مكتمل</v>
      </c>
      <c r="F1694" s="133" t="str">
        <f>IFERROR(__xludf.DUMMYFUNCTION("""COMPUTED_VALUE"""),"FORZA10 Maxi Adult Maintenance Fish 12kg")</f>
        <v>FORZA10 Maxi Adult Maintenance Fish 12kg</v>
      </c>
      <c r="G1694" s="133" t="str">
        <f>IFERROR(__xludf.DUMMYFUNCTION("""COMPUTED_VALUE"""),"فورزا 10 ماكسي ادلت ماينتنانس سمك 12 كجم")</f>
        <v>فورزا 10 ماكسي ادلت ماينتنانس سمك 12 كجم</v>
      </c>
      <c r="H1694" s="133" t="str">
        <f>IFERROR(__xludf.DUMMYFUNCTION("""COMPUTED_VALUE"""),"FOM-2024-5415-FEB-2024-59161 -C-0041-79969
")</f>
        <v>FOM-2024-5415-FEB-2024-59161 -C-0041-79969
</v>
      </c>
      <c r="I1694" s="133"/>
      <c r="J1694" s="133"/>
      <c r="K1694" s="133" t="str">
        <f>IFERROR(__xludf.DUMMYFUNCTION("""COMPUTED_VALUE"""),"شركة سانيبيت")</f>
        <v>شركة سانيبيت</v>
      </c>
      <c r="L1694" s="133"/>
      <c r="M1694" s="133" t="str">
        <f>IFERROR(__xludf.DUMMYFUNCTION("""COMPUTED_VALUE"""),"25-2-2029")</f>
        <v>25-2-2029</v>
      </c>
      <c r="N1694" s="133"/>
      <c r="O1694" s="133"/>
      <c r="P1694" s="133"/>
      <c r="Q1694" s="133"/>
      <c r="R1694" s="133"/>
      <c r="S1694" s="133"/>
      <c r="T1694" s="133"/>
      <c r="U1694" s="133"/>
      <c r="V1694" s="133"/>
      <c r="W1694" s="133"/>
      <c r="X1694" s="133"/>
      <c r="Y1694" s="133"/>
      <c r="Z1694" s="133"/>
    </row>
    <row r="1695">
      <c r="A1695" s="133">
        <f>IFERROR(__xludf.DUMMYFUNCTION("""COMPUTED_VALUE"""),1696.0)</f>
        <v>1696</v>
      </c>
      <c r="B1695" s="133" t="str">
        <f>IFERROR(__xludf.DUMMYFUNCTION("""COMPUTED_VALUE"""),"111002")</f>
        <v>111002</v>
      </c>
      <c r="C1695" s="133" t="str">
        <f>IFERROR(__xludf.DUMMYFUNCTION("""COMPUTED_VALUE"""),"P-1-N-140224-1040")</f>
        <v>P-1-N-140224-1040</v>
      </c>
      <c r="D1695" s="133"/>
      <c r="E1695" s="133" t="str">
        <f>IFERROR(__xludf.DUMMYFUNCTION("""COMPUTED_VALUE"""),"مكتمل")</f>
        <v>مكتمل</v>
      </c>
      <c r="F1695" s="133" t="str">
        <f>IFERROR(__xludf.DUMMYFUNCTION("""COMPUTED_VALUE"""),"FORZA10 Medium Adult Maintenance Venison &amp; Potatoes 2kg")</f>
        <v>FORZA10 Medium Adult Maintenance Venison &amp; Potatoes 2kg</v>
      </c>
      <c r="G1695" s="133" t="str">
        <f>IFERROR(__xludf.DUMMYFUNCTION("""COMPUTED_VALUE"""),"فورزا 10 ميديم ادلت ماينتنانس لحم الغزال والبطاطس 2 كجم")</f>
        <v>فورزا 10 ميديم ادلت ماينتنانس لحم الغزال والبطاطس 2 كجم</v>
      </c>
      <c r="H1695" s="133" t="str">
        <f>IFERROR(__xludf.DUMMYFUNCTION("""COMPUTED_VALUE"""),"FOM-2024-5415-FEB-2024-59162 -C-0041-79970
")</f>
        <v>FOM-2024-5415-FEB-2024-59162 -C-0041-79970
</v>
      </c>
      <c r="I1695" s="133"/>
      <c r="J1695" s="133"/>
      <c r="K1695" s="133" t="str">
        <f>IFERROR(__xludf.DUMMYFUNCTION("""COMPUTED_VALUE"""),"شركة سانيبيت")</f>
        <v>شركة سانيبيت</v>
      </c>
      <c r="L1695" s="142" t="str">
        <f>IFERROR(__xludf.DUMMYFUNCTION("""COMPUTED_VALUE"""),"111002")</f>
        <v>111002</v>
      </c>
      <c r="M1695" s="133" t="str">
        <f>IFERROR(__xludf.DUMMYFUNCTION("""COMPUTED_VALUE"""),"25-2-2029")</f>
        <v>25-2-2029</v>
      </c>
      <c r="N1695" s="133"/>
      <c r="O1695" s="133"/>
      <c r="P1695" s="133"/>
      <c r="Q1695" s="133"/>
      <c r="R1695" s="133"/>
      <c r="S1695" s="133"/>
      <c r="T1695" s="133"/>
      <c r="U1695" s="133"/>
      <c r="V1695" s="133"/>
      <c r="W1695" s="133"/>
      <c r="X1695" s="133"/>
      <c r="Y1695" s="133"/>
      <c r="Z1695" s="133"/>
    </row>
    <row r="1696">
      <c r="A1696" s="133">
        <f>IFERROR(__xludf.DUMMYFUNCTION("""COMPUTED_VALUE"""),1697.0)</f>
        <v>1697</v>
      </c>
      <c r="B1696" s="133"/>
      <c r="C1696" s="133" t="str">
        <f>IFERROR(__xludf.DUMMYFUNCTION("""COMPUTED_VALUE"""),"P-1-N-140224-1041")</f>
        <v>P-1-N-140224-1041</v>
      </c>
      <c r="D1696" s="133"/>
      <c r="E1696" s="133" t="str">
        <f>IFERROR(__xludf.DUMMYFUNCTION("""COMPUTED_VALUE"""),"مكتمل")</f>
        <v>مكتمل</v>
      </c>
      <c r="F1696" s="133" t="str">
        <f>IFERROR(__xludf.DUMMYFUNCTION("""COMPUTED_VALUE"""),"FORZA10 Medium Adult Maintenance Venison &amp; Potatoes 12kg")</f>
        <v>FORZA10 Medium Adult Maintenance Venison &amp; Potatoes 12kg</v>
      </c>
      <c r="G1696" s="133" t="str">
        <f>IFERROR(__xludf.DUMMYFUNCTION("""COMPUTED_VALUE"""),"فورزا 10 ميديم ادلت ماينتنانس لحم الغزال والبطاطس 12 كجم")</f>
        <v>فورزا 10 ميديم ادلت ماينتنانس لحم الغزال والبطاطس 12 كجم</v>
      </c>
      <c r="H1696" s="133" t="str">
        <f>IFERROR(__xludf.DUMMYFUNCTION("""COMPUTED_VALUE"""),"FOM-2024-5415-FEB-2024-59163 -C-0041-79971
")</f>
        <v>FOM-2024-5415-FEB-2024-59163 -C-0041-79971
</v>
      </c>
      <c r="I1696" s="133"/>
      <c r="J1696" s="133"/>
      <c r="K1696" s="133" t="str">
        <f>IFERROR(__xludf.DUMMYFUNCTION("""COMPUTED_VALUE"""),"شركة سانيبيت")</f>
        <v>شركة سانيبيت</v>
      </c>
      <c r="L1696" s="133"/>
      <c r="M1696" s="133" t="str">
        <f>IFERROR(__xludf.DUMMYFUNCTION("""COMPUTED_VALUE"""),"25-2-2029")</f>
        <v>25-2-2029</v>
      </c>
      <c r="N1696" s="133"/>
      <c r="O1696" s="133"/>
      <c r="P1696" s="133"/>
      <c r="Q1696" s="133"/>
      <c r="R1696" s="133"/>
      <c r="S1696" s="133"/>
      <c r="T1696" s="133"/>
      <c r="U1696" s="133"/>
      <c r="V1696" s="133"/>
      <c r="W1696" s="133"/>
      <c r="X1696" s="133"/>
      <c r="Y1696" s="133"/>
      <c r="Z1696" s="133"/>
    </row>
    <row r="1697">
      <c r="A1697" s="133">
        <f>IFERROR(__xludf.DUMMYFUNCTION("""COMPUTED_VALUE"""),1698.0)</f>
        <v>1698</v>
      </c>
      <c r="B1697" s="133"/>
      <c r="C1697" s="133" t="str">
        <f>IFERROR(__xludf.DUMMYFUNCTION("""COMPUTED_VALUE"""),"P-1-N-140224-1042")</f>
        <v>P-1-N-140224-1042</v>
      </c>
      <c r="D1697" s="133"/>
      <c r="E1697" s="133" t="str">
        <f>IFERROR(__xludf.DUMMYFUNCTION("""COMPUTED_VALUE"""),"مكتمل")</f>
        <v>مكتمل</v>
      </c>
      <c r="F1697" s="133" t="str">
        <f>IFERROR(__xludf.DUMMYFUNCTION("""COMPUTED_VALUE"""),"FORZA10 Maxi Adult Maintenance Venison &amp; Potatoes 12kg")</f>
        <v>FORZA10 Maxi Adult Maintenance Venison &amp; Potatoes 12kg</v>
      </c>
      <c r="G1697" s="133" t="str">
        <f>IFERROR(__xludf.DUMMYFUNCTION("""COMPUTED_VALUE"""),"فورزا 10 ماكسي ادلت ماينتنانس لحم الغزال والبطاطس 12 كجم")</f>
        <v>فورزا 10 ماكسي ادلت ماينتنانس لحم الغزال والبطاطس 12 كجم</v>
      </c>
      <c r="H1697" s="133" t="str">
        <f>IFERROR(__xludf.DUMMYFUNCTION("""COMPUTED_VALUE"""),"FOM-2024-5415-FEB-2024-59164 -C-0041-79972
")</f>
        <v>FOM-2024-5415-FEB-2024-59164 -C-0041-79972
</v>
      </c>
      <c r="I1697" s="133"/>
      <c r="J1697" s="133"/>
      <c r="K1697" s="133" t="str">
        <f>IFERROR(__xludf.DUMMYFUNCTION("""COMPUTED_VALUE"""),"شركة سانيبيت")</f>
        <v>شركة سانيبيت</v>
      </c>
      <c r="L1697" s="133"/>
      <c r="M1697" s="133" t="str">
        <f>IFERROR(__xludf.DUMMYFUNCTION("""COMPUTED_VALUE"""),"25-2-2029")</f>
        <v>25-2-2029</v>
      </c>
      <c r="N1697" s="133"/>
      <c r="O1697" s="133"/>
      <c r="P1697" s="133"/>
      <c r="Q1697" s="133"/>
      <c r="R1697" s="133"/>
      <c r="S1697" s="133"/>
      <c r="T1697" s="133"/>
      <c r="U1697" s="133"/>
      <c r="V1697" s="133"/>
      <c r="W1697" s="133"/>
      <c r="X1697" s="133"/>
      <c r="Y1697" s="133"/>
      <c r="Z1697" s="133"/>
    </row>
    <row r="1698">
      <c r="A1698" s="133">
        <f>IFERROR(__xludf.DUMMYFUNCTION("""COMPUTED_VALUE"""),1699.0)</f>
        <v>1699</v>
      </c>
      <c r="B1698" s="133" t="str">
        <f>IFERROR(__xludf.DUMMYFUNCTION("""COMPUTED_VALUE"""),"117002")</f>
        <v>117002</v>
      </c>
      <c r="C1698" s="133" t="str">
        <f>IFERROR(__xludf.DUMMYFUNCTION("""COMPUTED_VALUE"""),"P-1-N-140224-1043")</f>
        <v>P-1-N-140224-1043</v>
      </c>
      <c r="D1698" s="133"/>
      <c r="E1698" s="133" t="str">
        <f>IFERROR(__xludf.DUMMYFUNCTION("""COMPUTED_VALUE"""),"مكتمل")</f>
        <v>مكتمل</v>
      </c>
      <c r="F1698" s="133" t="str">
        <f>IFERROR(__xludf.DUMMYFUNCTION("""COMPUTED_VALUE"""),"FORZA10 Mini Adult Maintenance Venison &amp; Potatoes 2kg")</f>
        <v>FORZA10 Mini Adult Maintenance Venison &amp; Potatoes 2kg</v>
      </c>
      <c r="G1698" s="133" t="str">
        <f>IFERROR(__xludf.DUMMYFUNCTION("""COMPUTED_VALUE"""),"فورزا 10 ميني ادلت ماينتنانس لحم الغزال والبطاطس 2 كجم")</f>
        <v>فورزا 10 ميني ادلت ماينتنانس لحم الغزال والبطاطس 2 كجم</v>
      </c>
      <c r="H1698" s="133" t="str">
        <f>IFERROR(__xludf.DUMMYFUNCTION("""COMPUTED_VALUE"""),"FOM-2024-5415-FEB-2024-59165 -C-0041-79973
")</f>
        <v>FOM-2024-5415-FEB-2024-59165 -C-0041-79973
</v>
      </c>
      <c r="I1698" s="133"/>
      <c r="J1698" s="133"/>
      <c r="K1698" s="133" t="str">
        <f>IFERROR(__xludf.DUMMYFUNCTION("""COMPUTED_VALUE"""),"شركة سانيبيت")</f>
        <v>شركة سانيبيت</v>
      </c>
      <c r="L1698" s="142" t="str">
        <f>IFERROR(__xludf.DUMMYFUNCTION("""COMPUTED_VALUE"""),"117002")</f>
        <v>117002</v>
      </c>
      <c r="M1698" s="133" t="str">
        <f>IFERROR(__xludf.DUMMYFUNCTION("""COMPUTED_VALUE"""),"25-2-2029")</f>
        <v>25-2-2029</v>
      </c>
      <c r="N1698" s="133"/>
      <c r="O1698" s="133"/>
      <c r="P1698" s="133"/>
      <c r="Q1698" s="133"/>
      <c r="R1698" s="133"/>
      <c r="S1698" s="133"/>
      <c r="T1698" s="133"/>
      <c r="U1698" s="133"/>
      <c r="V1698" s="133"/>
      <c r="W1698" s="133"/>
      <c r="X1698" s="133"/>
      <c r="Y1698" s="133"/>
      <c r="Z1698" s="133"/>
    </row>
    <row r="1699">
      <c r="A1699" s="133">
        <f>IFERROR(__xludf.DUMMYFUNCTION("""COMPUTED_VALUE"""),1700.0)</f>
        <v>1700</v>
      </c>
      <c r="B1699" s="133" t="str">
        <f>IFERROR(__xludf.DUMMYFUNCTION("""COMPUTED_VALUE"""),"118002")</f>
        <v>118002</v>
      </c>
      <c r="C1699" s="133" t="str">
        <f>IFERROR(__xludf.DUMMYFUNCTION("""COMPUTED_VALUE"""),"P-1-N-140224-1044")</f>
        <v>P-1-N-140224-1044</v>
      </c>
      <c r="D1699" s="133"/>
      <c r="E1699" s="133" t="str">
        <f>IFERROR(__xludf.DUMMYFUNCTION("""COMPUTED_VALUE"""),"مكتمل")</f>
        <v>مكتمل</v>
      </c>
      <c r="F1699" s="133" t="str">
        <f>IFERROR(__xludf.DUMMYFUNCTION("""COMPUTED_VALUE"""),"FORZA10 Mini Adult Maintenance Chicken &amp; Potatoes 2kg")</f>
        <v>FORZA10 Mini Adult Maintenance Chicken &amp; Potatoes 2kg</v>
      </c>
      <c r="G1699" s="133" t="str">
        <f>IFERROR(__xludf.DUMMYFUNCTION("""COMPUTED_VALUE"""),"فورزا 10 ميني ادلت ماينتنانس الدجاج والبطاطس 2 كجم")</f>
        <v>فورزا 10 ميني ادلت ماينتنانس الدجاج والبطاطس 2 كجم</v>
      </c>
      <c r="H1699" s="133" t="str">
        <f>IFERROR(__xludf.DUMMYFUNCTION("""COMPUTED_VALUE"""),"FOM-2024-5415-FEB-2024-59166 -C-0041-79974
")</f>
        <v>FOM-2024-5415-FEB-2024-59166 -C-0041-79974
</v>
      </c>
      <c r="I1699" s="133"/>
      <c r="J1699" s="133"/>
      <c r="K1699" s="133" t="str">
        <f>IFERROR(__xludf.DUMMYFUNCTION("""COMPUTED_VALUE"""),"شركة سانيبيت")</f>
        <v>شركة سانيبيت</v>
      </c>
      <c r="L1699" s="142" t="str">
        <f>IFERROR(__xludf.DUMMYFUNCTION("""COMPUTED_VALUE"""),"118002")</f>
        <v>118002</v>
      </c>
      <c r="M1699" s="133" t="str">
        <f>IFERROR(__xludf.DUMMYFUNCTION("""COMPUTED_VALUE"""),"25-2-2029")</f>
        <v>25-2-2029</v>
      </c>
      <c r="N1699" s="133"/>
      <c r="O1699" s="133"/>
      <c r="P1699" s="133"/>
      <c r="Q1699" s="133"/>
      <c r="R1699" s="133"/>
      <c r="S1699" s="133"/>
      <c r="T1699" s="133"/>
      <c r="U1699" s="133"/>
      <c r="V1699" s="133"/>
      <c r="W1699" s="133"/>
      <c r="X1699" s="133"/>
      <c r="Y1699" s="133"/>
      <c r="Z1699" s="133"/>
    </row>
    <row r="1700">
      <c r="A1700" s="133">
        <f>IFERROR(__xludf.DUMMYFUNCTION("""COMPUTED_VALUE"""),1701.0)</f>
        <v>1701</v>
      </c>
      <c r="B1700" s="133"/>
      <c r="C1700" s="133" t="str">
        <f>IFERROR(__xludf.DUMMYFUNCTION("""COMPUTED_VALUE"""),"P-1-N-140224-1045")</f>
        <v>P-1-N-140224-1045</v>
      </c>
      <c r="D1700" s="133"/>
      <c r="E1700" s="133" t="str">
        <f>IFERROR(__xludf.DUMMYFUNCTION("""COMPUTED_VALUE"""),"مكتمل")</f>
        <v>مكتمل</v>
      </c>
      <c r="F1700" s="133" t="str">
        <f>IFERROR(__xludf.DUMMYFUNCTION("""COMPUTED_VALUE"""),"FORZA10 Medium Adult Maintenance Chicken &amp; Potatoes 12kg")</f>
        <v>FORZA10 Medium Adult Maintenance Chicken &amp; Potatoes 12kg</v>
      </c>
      <c r="G1700" s="133" t="str">
        <f>IFERROR(__xludf.DUMMYFUNCTION("""COMPUTED_VALUE"""),"فورزا 10 ميديم ادلت ماينتنانس الدجاج والبطاطس 12 كجم")</f>
        <v>فورزا 10 ميديم ادلت ماينتنانس الدجاج والبطاطس 12 كجم</v>
      </c>
      <c r="H1700" s="133" t="str">
        <f>IFERROR(__xludf.DUMMYFUNCTION("""COMPUTED_VALUE"""),"FOM-2024-5415-FEB-2024-59167 -C-0041-79975
")</f>
        <v>FOM-2024-5415-FEB-2024-59167 -C-0041-79975
</v>
      </c>
      <c r="I1700" s="133"/>
      <c r="J1700" s="133"/>
      <c r="K1700" s="133" t="str">
        <f>IFERROR(__xludf.DUMMYFUNCTION("""COMPUTED_VALUE"""),"شركة سانيبيت")</f>
        <v>شركة سانيبيت</v>
      </c>
      <c r="L1700" s="133"/>
      <c r="M1700" s="133" t="str">
        <f>IFERROR(__xludf.DUMMYFUNCTION("""COMPUTED_VALUE"""),"25-2-2029")</f>
        <v>25-2-2029</v>
      </c>
      <c r="N1700" s="133"/>
      <c r="O1700" s="133"/>
      <c r="P1700" s="133"/>
      <c r="Q1700" s="133"/>
      <c r="R1700" s="133"/>
      <c r="S1700" s="133"/>
      <c r="T1700" s="133"/>
      <c r="U1700" s="133"/>
      <c r="V1700" s="133"/>
      <c r="W1700" s="133"/>
      <c r="X1700" s="133"/>
      <c r="Y1700" s="133"/>
      <c r="Z1700" s="133"/>
    </row>
    <row r="1701">
      <c r="A1701" s="133">
        <f>IFERROR(__xludf.DUMMYFUNCTION("""COMPUTED_VALUE"""),1702.0)</f>
        <v>1702</v>
      </c>
      <c r="B1701" s="133"/>
      <c r="C1701" s="133" t="str">
        <f>IFERROR(__xludf.DUMMYFUNCTION("""COMPUTED_VALUE"""),"P-1-N-140224-1046")</f>
        <v>P-1-N-140224-1046</v>
      </c>
      <c r="D1701" s="133"/>
      <c r="E1701" s="133" t="str">
        <f>IFERROR(__xludf.DUMMYFUNCTION("""COMPUTED_VALUE"""),"مكتمل")</f>
        <v>مكتمل</v>
      </c>
      <c r="F1701" s="133" t="str">
        <f>IFERROR(__xludf.DUMMYFUNCTION("""COMPUTED_VALUE"""),"FORZA10 All Breeds Maintenance Fish &amp; Rice 2kg")</f>
        <v>FORZA10 All Breeds Maintenance Fish &amp; Rice 2kg</v>
      </c>
      <c r="G1701" s="133" t="str">
        <f>IFERROR(__xludf.DUMMYFUNCTION("""COMPUTED_VALUE"""),"فورزا 10 ماينتنانس جميع السلالات السمك والأرز 2 كجم")</f>
        <v>فورزا 10 ماينتنانس جميع السلالات السمك والأرز 2 كجم</v>
      </c>
      <c r="H1701" s="133" t="str">
        <f>IFERROR(__xludf.DUMMYFUNCTION("""COMPUTED_VALUE"""),"FOM-2024-5415-FEB-2024-59168 -C-0041-79976
")</f>
        <v>FOM-2024-5415-FEB-2024-59168 -C-0041-79976
</v>
      </c>
      <c r="I1701" s="133"/>
      <c r="J1701" s="133"/>
      <c r="K1701" s="133" t="str">
        <f>IFERROR(__xludf.DUMMYFUNCTION("""COMPUTED_VALUE"""),"شركة سانيبيت")</f>
        <v>شركة سانيبيت</v>
      </c>
      <c r="L1701" s="133"/>
      <c r="M1701" s="133" t="str">
        <f>IFERROR(__xludf.DUMMYFUNCTION("""COMPUTED_VALUE"""),"25-2-2029")</f>
        <v>25-2-2029</v>
      </c>
      <c r="N1701" s="133"/>
      <c r="O1701" s="133"/>
      <c r="P1701" s="133"/>
      <c r="Q1701" s="133"/>
      <c r="R1701" s="133"/>
      <c r="S1701" s="133"/>
      <c r="T1701" s="133"/>
      <c r="U1701" s="133"/>
      <c r="V1701" s="133"/>
      <c r="W1701" s="133"/>
      <c r="X1701" s="133"/>
      <c r="Y1701" s="133"/>
      <c r="Z1701" s="133"/>
    </row>
    <row r="1702">
      <c r="A1702" s="133">
        <f>IFERROR(__xludf.DUMMYFUNCTION("""COMPUTED_VALUE"""),1703.0)</f>
        <v>1703</v>
      </c>
      <c r="B1702" s="133"/>
      <c r="C1702" s="133" t="str">
        <f>IFERROR(__xludf.DUMMYFUNCTION("""COMPUTED_VALUE"""),"P-1-N-140224-1047")</f>
        <v>P-1-N-140224-1047</v>
      </c>
      <c r="D1702" s="133"/>
      <c r="E1702" s="133" t="str">
        <f>IFERROR(__xludf.DUMMYFUNCTION("""COMPUTED_VALUE"""),"مكتمل")</f>
        <v>مكتمل</v>
      </c>
      <c r="F1702" s="133" t="str">
        <f>IFERROR(__xludf.DUMMYFUNCTION("""COMPUTED_VALUE"""),"FORZA10 All Breeds Maintenance Fish &amp; Rice 12kg")</f>
        <v>FORZA10 All Breeds Maintenance Fish &amp; Rice 12kg</v>
      </c>
      <c r="G1702" s="133" t="str">
        <f>IFERROR(__xludf.DUMMYFUNCTION("""COMPUTED_VALUE"""),"فورزا 10 ماينتنانس جميع السلالات السمك والأرز 12 كجم")</f>
        <v>فورزا 10 ماينتنانس جميع السلالات السمك والأرز 12 كجم</v>
      </c>
      <c r="H1702" s="133" t="str">
        <f>IFERROR(__xludf.DUMMYFUNCTION("""COMPUTED_VALUE"""),"FOM-2024-5415-FEB-2024-59169 -C-0041-79977
")</f>
        <v>FOM-2024-5415-FEB-2024-59169 -C-0041-79977
</v>
      </c>
      <c r="I1702" s="133"/>
      <c r="J1702" s="133"/>
      <c r="K1702" s="133" t="str">
        <f>IFERROR(__xludf.DUMMYFUNCTION("""COMPUTED_VALUE"""),"شركة سانيبيت")</f>
        <v>شركة سانيبيت</v>
      </c>
      <c r="L1702" s="133"/>
      <c r="M1702" s="133" t="str">
        <f>IFERROR(__xludf.DUMMYFUNCTION("""COMPUTED_VALUE"""),"25-2-2029")</f>
        <v>25-2-2029</v>
      </c>
      <c r="N1702" s="133"/>
      <c r="O1702" s="133"/>
      <c r="P1702" s="133"/>
      <c r="Q1702" s="133"/>
      <c r="R1702" s="133"/>
      <c r="S1702" s="133"/>
      <c r="T1702" s="133"/>
      <c r="U1702" s="133"/>
      <c r="V1702" s="133"/>
      <c r="W1702" s="133"/>
      <c r="X1702" s="133"/>
      <c r="Y1702" s="133"/>
      <c r="Z1702" s="133"/>
    </row>
    <row r="1703">
      <c r="A1703" s="133">
        <f>IFERROR(__xludf.DUMMYFUNCTION("""COMPUTED_VALUE"""),1704.0)</f>
        <v>1704</v>
      </c>
      <c r="B1703" s="133"/>
      <c r="C1703" s="133" t="str">
        <f>IFERROR(__xludf.DUMMYFUNCTION("""COMPUTED_VALUE"""),"P-1-N-140224-1048")</f>
        <v>P-1-N-140224-1048</v>
      </c>
      <c r="D1703" s="133"/>
      <c r="E1703" s="133" t="str">
        <f>IFERROR(__xludf.DUMMYFUNCTION("""COMPUTED_VALUE"""),"مكتمل")</f>
        <v>مكتمل</v>
      </c>
      <c r="F1703" s="133" t="str">
        <f>IFERROR(__xludf.DUMMYFUNCTION("""COMPUTED_VALUE"""),"FORZA10 Light All Breeds Maintenance Tuna &amp; Rice 12kg")</f>
        <v>FORZA10 Light All Breeds Maintenance Tuna &amp; Rice 12kg</v>
      </c>
      <c r="G1703" s="133" t="str">
        <f>IFERROR(__xludf.DUMMYFUNCTION("""COMPUTED_VALUE"""),"فورزا 10 ماينتنانس لايت جميع السلالات السمك والأرز 12 كجم")</f>
        <v>فورزا 10 ماينتنانس لايت جميع السلالات السمك والأرز 12 كجم</v>
      </c>
      <c r="H1703" s="133" t="str">
        <f>IFERROR(__xludf.DUMMYFUNCTION("""COMPUTED_VALUE"""),"FOM-2024-5415-FEB-2024-59170 -C-0041-79978
")</f>
        <v>FOM-2024-5415-FEB-2024-59170 -C-0041-79978
</v>
      </c>
      <c r="I1703" s="133"/>
      <c r="J1703" s="133"/>
      <c r="K1703" s="133" t="str">
        <f>IFERROR(__xludf.DUMMYFUNCTION("""COMPUTED_VALUE"""),"شركة سانيبيت")</f>
        <v>شركة سانيبيت</v>
      </c>
      <c r="L1703" s="133"/>
      <c r="M1703" s="133" t="str">
        <f>IFERROR(__xludf.DUMMYFUNCTION("""COMPUTED_VALUE"""),"25-2-2029")</f>
        <v>25-2-2029</v>
      </c>
      <c r="N1703" s="133"/>
      <c r="O1703" s="133"/>
      <c r="P1703" s="133"/>
      <c r="Q1703" s="133"/>
      <c r="R1703" s="133"/>
      <c r="S1703" s="133"/>
      <c r="T1703" s="133"/>
      <c r="U1703" s="133"/>
      <c r="V1703" s="133"/>
      <c r="W1703" s="133"/>
      <c r="X1703" s="133"/>
      <c r="Y1703" s="133"/>
      <c r="Z1703" s="133"/>
    </row>
    <row r="1704">
      <c r="A1704" s="133">
        <f>IFERROR(__xludf.DUMMYFUNCTION("""COMPUTED_VALUE"""),1705.0)</f>
        <v>1705</v>
      </c>
      <c r="B1704" s="133" t="str">
        <f>IFERROR(__xludf.DUMMYFUNCTION("""COMPUTED_VALUE"""),"0116002")</f>
        <v>0116002</v>
      </c>
      <c r="C1704" s="133" t="str">
        <f>IFERROR(__xludf.DUMMYFUNCTION("""COMPUTED_VALUE"""),"P-1-N-200224-1172")</f>
        <v>P-1-N-200224-1172</v>
      </c>
      <c r="D1704" s="133"/>
      <c r="E1704" s="133" t="str">
        <f>IFERROR(__xludf.DUMMYFUNCTION("""COMPUTED_VALUE"""),"تمت طباعة الشهادة")</f>
        <v>تمت طباعة الشهادة</v>
      </c>
      <c r="F1704" s="133" t="str">
        <f>IFERROR(__xludf.DUMMYFUNCTION("""COMPUTED_VALUE"""),"FORZA10 Mini Adult Maintenance Lamb &amp; Rice SM 2kg")</f>
        <v>FORZA10 Mini Adult Maintenance Lamb &amp; Rice SM 2kg</v>
      </c>
      <c r="G1704" s="133" t="str">
        <f>IFERROR(__xludf.DUMMYFUNCTION("""COMPUTED_VALUE"""),"فورزا 10 ميني ادلت ماينتنانس لحم الضأن والأرز 2 كجم")</f>
        <v>فورزا 10 ميني ادلت ماينتنانس لحم الضأن والأرز 2 كجم</v>
      </c>
      <c r="H1704" s="133" t="str">
        <f>IFERROR(__xludf.DUMMYFUNCTION("""COMPUTED_VALUE"""),"MAFE2024980")</f>
        <v>MAFE2024980</v>
      </c>
      <c r="I1704" s="133"/>
      <c r="J1704" s="133"/>
      <c r="K1704" s="133" t="str">
        <f>IFERROR(__xludf.DUMMYFUNCTION("""COMPUTED_VALUE"""),"شركة سانيبيت")</f>
        <v>شركة سانيبيت</v>
      </c>
      <c r="L1704" s="142" t="str">
        <f>IFERROR(__xludf.DUMMYFUNCTION("""COMPUTED_VALUE"""),"0116002")</f>
        <v>0116002</v>
      </c>
      <c r="M1704" s="133"/>
      <c r="N1704" s="133"/>
      <c r="O1704" s="133"/>
      <c r="P1704" s="133"/>
      <c r="Q1704" s="133"/>
      <c r="R1704" s="133"/>
      <c r="S1704" s="133"/>
      <c r="T1704" s="133"/>
      <c r="U1704" s="133"/>
      <c r="V1704" s="133"/>
      <c r="W1704" s="133"/>
      <c r="X1704" s="133"/>
      <c r="Y1704" s="133"/>
      <c r="Z1704" s="133"/>
    </row>
    <row r="1705">
      <c r="A1705" s="133">
        <f>IFERROR(__xludf.DUMMYFUNCTION("""COMPUTED_VALUE"""),1706.0)</f>
        <v>1706</v>
      </c>
      <c r="B1705" s="133"/>
      <c r="C1705" s="133" t="str">
        <f>IFERROR(__xludf.DUMMYFUNCTION("""COMPUTED_VALUE"""),"P-1-N-200224-1173")</f>
        <v>P-1-N-200224-1173</v>
      </c>
      <c r="D1705" s="133"/>
      <c r="E1705" s="133" t="str">
        <f>IFERROR(__xludf.DUMMYFUNCTION("""COMPUTED_VALUE"""),"تمت طباعة الشهادة")</f>
        <v>تمت طباعة الشهادة</v>
      </c>
      <c r="F1705" s="133" t="str">
        <f>IFERROR(__xludf.DUMMYFUNCTION("""COMPUTED_VALUE"""),"FORZA10 Medium Adult Maintenance Lamb &amp; Rice 12kg")</f>
        <v>FORZA10 Medium Adult Maintenance Lamb &amp; Rice 12kg</v>
      </c>
      <c r="G1705" s="133" t="str">
        <f>IFERROR(__xludf.DUMMYFUNCTION("""COMPUTED_VALUE"""),"فورزا 10 ميديم ادلت ماينتنانس لحم الضأن والأرز 12 كجم")</f>
        <v>فورزا 10 ميديم ادلت ماينتنانس لحم الضأن والأرز 12 كجم</v>
      </c>
      <c r="H1705" s="133" t="str">
        <f>IFERROR(__xludf.DUMMYFUNCTION("""COMPUTED_VALUE"""),"MAFE2024981")</f>
        <v>MAFE2024981</v>
      </c>
      <c r="I1705" s="133"/>
      <c r="J1705" s="133"/>
      <c r="K1705" s="133" t="str">
        <f>IFERROR(__xludf.DUMMYFUNCTION("""COMPUTED_VALUE"""),"شركة سانيبيت")</f>
        <v>شركة سانيبيت</v>
      </c>
      <c r="L1705" s="133"/>
      <c r="M1705" s="133"/>
      <c r="N1705" s="133"/>
      <c r="O1705" s="133"/>
      <c r="P1705" s="133"/>
      <c r="Q1705" s="133"/>
      <c r="R1705" s="133"/>
      <c r="S1705" s="133"/>
      <c r="T1705" s="133"/>
      <c r="U1705" s="133"/>
      <c r="V1705" s="133"/>
      <c r="W1705" s="133"/>
      <c r="X1705" s="133"/>
      <c r="Y1705" s="133"/>
      <c r="Z1705" s="133"/>
    </row>
    <row r="1706">
      <c r="A1706" s="133">
        <f>IFERROR(__xludf.DUMMYFUNCTION("""COMPUTED_VALUE"""),1707.0)</f>
        <v>1707</v>
      </c>
      <c r="B1706" s="133" t="str">
        <f>IFERROR(__xludf.DUMMYFUNCTION("""COMPUTED_VALUE"""),"0102012")</f>
        <v>0102012</v>
      </c>
      <c r="C1706" s="133" t="str">
        <f>IFERROR(__xludf.DUMMYFUNCTION("""COMPUTED_VALUE"""),"P-1-N-200224-1175")</f>
        <v>P-1-N-200224-1175</v>
      </c>
      <c r="D1706" s="133"/>
      <c r="E1706" s="133" t="str">
        <f>IFERROR(__xludf.DUMMYFUNCTION("""COMPUTED_VALUE"""),"تمت طباعة الشهادة")</f>
        <v>تمت طباعة الشهادة</v>
      </c>
      <c r="F1706" s="133" t="str">
        <f>IFERROR(__xludf.DUMMYFUNCTION("""COMPUTED_VALUE"""),"FORZA10 Puppy Junior Fish 2kg")</f>
        <v>FORZA10 Puppy Junior Fish 2kg</v>
      </c>
      <c r="G1706" s="133" t="str">
        <f>IFERROR(__xludf.DUMMYFUNCTION("""COMPUTED_VALUE"""),"فورزا 10 بابي جونيور سمك 2 كجم")</f>
        <v>فورزا 10 بابي جونيور سمك 2 كجم</v>
      </c>
      <c r="H1706" s="133" t="str">
        <f>IFERROR(__xludf.DUMMYFUNCTION("""COMPUTED_VALUE"""),"MAFE2024982")</f>
        <v>MAFE2024982</v>
      </c>
      <c r="I1706" s="133"/>
      <c r="J1706" s="133"/>
      <c r="K1706" s="133" t="str">
        <f>IFERROR(__xludf.DUMMYFUNCTION("""COMPUTED_VALUE"""),"شركة سانيبيت")</f>
        <v>شركة سانيبيت</v>
      </c>
      <c r="L1706" s="142" t="str">
        <f>IFERROR(__xludf.DUMMYFUNCTION("""COMPUTED_VALUE"""),"0102012")</f>
        <v>0102012</v>
      </c>
      <c r="M1706" s="133"/>
      <c r="N1706" s="133"/>
      <c r="O1706" s="133"/>
      <c r="P1706" s="133"/>
      <c r="Q1706" s="133"/>
      <c r="R1706" s="133"/>
      <c r="S1706" s="133"/>
      <c r="T1706" s="133"/>
      <c r="U1706" s="133"/>
      <c r="V1706" s="133"/>
      <c r="W1706" s="133"/>
      <c r="X1706" s="133"/>
      <c r="Y1706" s="133"/>
      <c r="Z1706" s="133"/>
    </row>
    <row r="1707">
      <c r="A1707" s="133">
        <f>IFERROR(__xludf.DUMMYFUNCTION("""COMPUTED_VALUE"""),1708.0)</f>
        <v>1708</v>
      </c>
      <c r="B1707" s="133"/>
      <c r="C1707" s="133" t="str">
        <f>IFERROR(__xludf.DUMMYFUNCTION("""COMPUTED_VALUE"""),"P-1-N-200224-1176")</f>
        <v>P-1-N-200224-1176</v>
      </c>
      <c r="D1707" s="133"/>
      <c r="E1707" s="133" t="str">
        <f>IFERROR(__xludf.DUMMYFUNCTION("""COMPUTED_VALUE"""),"تمت طباعة الشهادة")</f>
        <v>تمت طباعة الشهادة</v>
      </c>
      <c r="F1707" s="133" t="str">
        <f>IFERROR(__xludf.DUMMYFUNCTION("""COMPUTED_VALUE"""),"FORZA10 Puppy Junior Fish 12kg")</f>
        <v>FORZA10 Puppy Junior Fish 12kg</v>
      </c>
      <c r="G1707" s="133" t="str">
        <f>IFERROR(__xludf.DUMMYFUNCTION("""COMPUTED_VALUE"""),"فورزا 10 بابي جونيور سمك 12 كجم")</f>
        <v>فورزا 10 بابي جونيور سمك 12 كجم</v>
      </c>
      <c r="H1707" s="133" t="str">
        <f>IFERROR(__xludf.DUMMYFUNCTION("""COMPUTED_VALUE"""),"MAFE2024983")</f>
        <v>MAFE2024983</v>
      </c>
      <c r="I1707" s="133"/>
      <c r="J1707" s="133"/>
      <c r="K1707" s="133" t="str">
        <f>IFERROR(__xludf.DUMMYFUNCTION("""COMPUTED_VALUE"""),"شركة سانيبيت")</f>
        <v>شركة سانيبيت</v>
      </c>
      <c r="L1707" s="133"/>
      <c r="M1707" s="133"/>
      <c r="N1707" s="133"/>
      <c r="O1707" s="133"/>
      <c r="P1707" s="133"/>
      <c r="Q1707" s="133"/>
      <c r="R1707" s="133"/>
      <c r="S1707" s="133"/>
      <c r="T1707" s="133"/>
      <c r="U1707" s="133"/>
      <c r="V1707" s="133"/>
      <c r="W1707" s="133"/>
      <c r="X1707" s="133"/>
      <c r="Y1707" s="133"/>
      <c r="Z1707" s="133"/>
    </row>
    <row r="1708">
      <c r="A1708" s="133">
        <f>IFERROR(__xludf.DUMMYFUNCTION("""COMPUTED_VALUE"""),1709.0)</f>
        <v>1709</v>
      </c>
      <c r="B1708" s="133" t="str">
        <f>IFERROR(__xludf.DUMMYFUNCTION("""COMPUTED_VALUE"""),"0115002")</f>
        <v>0115002</v>
      </c>
      <c r="C1708" s="133" t="str">
        <f>IFERROR(__xludf.DUMMYFUNCTION("""COMPUTED_VALUE"""),"P-1-N-200224-1177")</f>
        <v>P-1-N-200224-1177</v>
      </c>
      <c r="D1708" s="133"/>
      <c r="E1708" s="133" t="str">
        <f>IFERROR(__xludf.DUMMYFUNCTION("""COMPUTED_VALUE"""),"تمت طباعة الشهادة")</f>
        <v>تمت طباعة الشهادة</v>
      </c>
      <c r="F1708" s="133" t="str">
        <f>IFERROR(__xludf.DUMMYFUNCTION("""COMPUTED_VALUE"""),"FORZA10 Puppy Junior Chicken &amp; Potatoes 2kg")</f>
        <v>FORZA10 Puppy Junior Chicken &amp; Potatoes 2kg</v>
      </c>
      <c r="G1708" s="133" t="str">
        <f>IFERROR(__xludf.DUMMYFUNCTION("""COMPUTED_VALUE"""),"فورزا 10 بابي جونيور الدجاج والبطاطس 2 كجم")</f>
        <v>فورزا 10 بابي جونيور الدجاج والبطاطس 2 كجم</v>
      </c>
      <c r="H1708" s="133" t="str">
        <f>IFERROR(__xludf.DUMMYFUNCTION("""COMPUTED_VALUE"""),"MAFE2024984")</f>
        <v>MAFE2024984</v>
      </c>
      <c r="I1708" s="133"/>
      <c r="J1708" s="133"/>
      <c r="K1708" s="133" t="str">
        <f>IFERROR(__xludf.DUMMYFUNCTION("""COMPUTED_VALUE"""),"شركة سانيبيت")</f>
        <v>شركة سانيبيت</v>
      </c>
      <c r="L1708" s="142" t="str">
        <f>IFERROR(__xludf.DUMMYFUNCTION("""COMPUTED_VALUE"""),"0115002")</f>
        <v>0115002</v>
      </c>
      <c r="M1708" s="133"/>
      <c r="N1708" s="133"/>
      <c r="O1708" s="133"/>
      <c r="P1708" s="133"/>
      <c r="Q1708" s="133"/>
      <c r="R1708" s="133"/>
      <c r="S1708" s="133"/>
      <c r="T1708" s="133"/>
      <c r="U1708" s="133"/>
      <c r="V1708" s="133"/>
      <c r="W1708" s="133"/>
      <c r="X1708" s="133"/>
      <c r="Y1708" s="133"/>
      <c r="Z1708" s="133"/>
    </row>
    <row r="1709">
      <c r="A1709" s="133">
        <f>IFERROR(__xludf.DUMMYFUNCTION("""COMPUTED_VALUE"""),1710.0)</f>
        <v>1710</v>
      </c>
      <c r="B1709" s="133"/>
      <c r="C1709" s="133" t="str">
        <f>IFERROR(__xludf.DUMMYFUNCTION("""COMPUTED_VALUE"""),"P-1-N-200224-1178")</f>
        <v>P-1-N-200224-1178</v>
      </c>
      <c r="D1709" s="133"/>
      <c r="E1709" s="133" t="str">
        <f>IFERROR(__xludf.DUMMYFUNCTION("""COMPUTED_VALUE"""),"تمت طباعة الشهادة")</f>
        <v>تمت طباعة الشهادة</v>
      </c>
      <c r="F1709" s="133" t="str">
        <f>IFERROR(__xludf.DUMMYFUNCTION("""COMPUTED_VALUE"""),"FORZA10 Puppy Junior Chicken &amp; Potatoes 12kg")</f>
        <v>FORZA10 Puppy Junior Chicken &amp; Potatoes 12kg</v>
      </c>
      <c r="G1709" s="133" t="str">
        <f>IFERROR(__xludf.DUMMYFUNCTION("""COMPUTED_VALUE"""),"فورزا 10 بابي جونيور الدجاج والبطاطس 12 كجم")</f>
        <v>فورزا 10 بابي جونيور الدجاج والبطاطس 12 كجم</v>
      </c>
      <c r="H1709" s="133" t="str">
        <f>IFERROR(__xludf.DUMMYFUNCTION("""COMPUTED_VALUE"""),"MAFE2024985")</f>
        <v>MAFE2024985</v>
      </c>
      <c r="I1709" s="133"/>
      <c r="J1709" s="133"/>
      <c r="K1709" s="133" t="str">
        <f>IFERROR(__xludf.DUMMYFUNCTION("""COMPUTED_VALUE"""),"شركة سانيبيت")</f>
        <v>شركة سانيبيت</v>
      </c>
      <c r="L1709" s="133"/>
      <c r="M1709" s="133"/>
      <c r="N1709" s="133"/>
      <c r="O1709" s="133"/>
      <c r="P1709" s="133"/>
      <c r="Q1709" s="133"/>
      <c r="R1709" s="133"/>
      <c r="S1709" s="133"/>
      <c r="T1709" s="133"/>
      <c r="U1709" s="133"/>
      <c r="V1709" s="133"/>
      <c r="W1709" s="133"/>
      <c r="X1709" s="133"/>
      <c r="Y1709" s="133"/>
      <c r="Z1709" s="133"/>
    </row>
    <row r="1710">
      <c r="A1710" s="133">
        <f>IFERROR(__xludf.DUMMYFUNCTION("""COMPUTED_VALUE"""),1711.0)</f>
        <v>1711</v>
      </c>
      <c r="B1710" s="133" t="str">
        <f>IFERROR(__xludf.DUMMYFUNCTION("""COMPUTED_VALUE"""),"482880")</f>
        <v>482880</v>
      </c>
      <c r="C1710" s="133" t="str">
        <f>IFERROR(__xludf.DUMMYFUNCTION("""COMPUTED_VALUE"""),"P-1-N-260224-1331")</f>
        <v>P-1-N-260224-1331</v>
      </c>
      <c r="D1710" s="133"/>
      <c r="E1710" s="133" t="str">
        <f>IFERROR(__xludf.DUMMYFUNCTION("""COMPUTED_VALUE"""),"تمت طباعة الشهادة")</f>
        <v>تمت طباعة الشهادة</v>
      </c>
      <c r="F1710" s="133" t="str">
        <f>IFERROR(__xludf.DUMMYFUNCTION("""COMPUTED_VALUE"""),"ZOLUX CHICKEN FILLETS 70G")</f>
        <v>ZOLUX CHICKEN FILLETS 70G</v>
      </c>
      <c r="G1710" s="133" t="str">
        <f>IFERROR(__xludf.DUMMYFUNCTION("""COMPUTED_VALUE"""),"زولكس فيليه دجاج 70 جم")</f>
        <v>زولكس فيليه دجاج 70 جم</v>
      </c>
      <c r="H1710" s="133" t="str">
        <f>IFERROR(__xludf.DUMMYFUNCTION("""COMPUTED_VALUE"""),"MAFE20241100")</f>
        <v>MAFE20241100</v>
      </c>
      <c r="I1710" s="133"/>
      <c r="J1710" s="133"/>
      <c r="K1710" s="133" t="str">
        <f>IFERROR(__xludf.DUMMYFUNCTION("""COMPUTED_VALUE"""),"يانتاي هوس بت فود تك كو")</f>
        <v>يانتاي هوس بت فود تك كو</v>
      </c>
      <c r="L1710" s="142" t="str">
        <f>IFERROR(__xludf.DUMMYFUNCTION("""COMPUTED_VALUE"""),"482880")</f>
        <v>482880</v>
      </c>
      <c r="M1710" s="133"/>
      <c r="N1710" s="133"/>
      <c r="O1710" s="133"/>
      <c r="P1710" s="133"/>
      <c r="Q1710" s="133"/>
      <c r="R1710" s="133"/>
      <c r="S1710" s="133"/>
      <c r="T1710" s="133"/>
      <c r="U1710" s="133"/>
      <c r="V1710" s="133"/>
      <c r="W1710" s="133"/>
      <c r="X1710" s="133"/>
      <c r="Y1710" s="133"/>
      <c r="Z1710" s="133"/>
    </row>
    <row r="1711">
      <c r="A1711" s="133">
        <f>IFERROR(__xludf.DUMMYFUNCTION("""COMPUTED_VALUE"""),1712.0)</f>
        <v>1712</v>
      </c>
      <c r="B1711" s="133" t="str">
        <f>IFERROR(__xludf.DUMMYFUNCTION("""COMPUTED_VALUE"""),"482889")</f>
        <v>482889</v>
      </c>
      <c r="C1711" s="133" t="str">
        <f>IFERROR(__xludf.DUMMYFUNCTION("""COMPUTED_VALUE"""),"P-1-N-260224-1332")</f>
        <v>P-1-N-260224-1332</v>
      </c>
      <c r="D1711" s="133"/>
      <c r="E1711" s="133" t="str">
        <f>IFERROR(__xludf.DUMMYFUNCTION("""COMPUTED_VALUE"""),"تمت طباعة الشهادة")</f>
        <v>تمت طباعة الشهادة</v>
      </c>
      <c r="F1711" s="133" t="str">
        <f>IFERROR(__xludf.DUMMYFUNCTION("""COMPUTED_VALUE"""),"ZOLUX DUCK FILLETS 70G")</f>
        <v>ZOLUX DUCK FILLETS 70G</v>
      </c>
      <c r="G1711" s="133" t="str">
        <f>IFERROR(__xludf.DUMMYFUNCTION("""COMPUTED_VALUE"""),"زولكس فيليه البط 70 جم")</f>
        <v>زولكس فيليه البط 70 جم</v>
      </c>
      <c r="H1711" s="133" t="str">
        <f>IFERROR(__xludf.DUMMYFUNCTION("""COMPUTED_VALUE"""),"MAFE20241099")</f>
        <v>MAFE20241099</v>
      </c>
      <c r="I1711" s="133"/>
      <c r="J1711" s="133"/>
      <c r="K1711" s="133" t="str">
        <f>IFERROR(__xludf.DUMMYFUNCTION("""COMPUTED_VALUE"""),"يانتاي هوس بت فود تك كو")</f>
        <v>يانتاي هوس بت فود تك كو</v>
      </c>
      <c r="L1711" s="142" t="str">
        <f>IFERROR(__xludf.DUMMYFUNCTION("""COMPUTED_VALUE"""),"482889")</f>
        <v>482889</v>
      </c>
      <c r="M1711" s="133"/>
      <c r="N1711" s="133"/>
      <c r="O1711" s="133"/>
      <c r="P1711" s="133"/>
      <c r="Q1711" s="133"/>
      <c r="R1711" s="133"/>
      <c r="S1711" s="133"/>
      <c r="T1711" s="133"/>
      <c r="U1711" s="133"/>
      <c r="V1711" s="133"/>
      <c r="W1711" s="133"/>
      <c r="X1711" s="133"/>
      <c r="Y1711" s="133"/>
      <c r="Z1711" s="133"/>
    </row>
    <row r="1712">
      <c r="A1712" s="133">
        <f>IFERROR(__xludf.DUMMYFUNCTION("""COMPUTED_VALUE"""),1713.0)</f>
        <v>1713</v>
      </c>
      <c r="B1712" s="133" t="str">
        <f>IFERROR(__xludf.DUMMYFUNCTION("""COMPUTED_VALUE"""),"482775")</f>
        <v>482775</v>
      </c>
      <c r="C1712" s="133" t="str">
        <f>IFERROR(__xludf.DUMMYFUNCTION("""COMPUTED_VALUE"""),"P-1-N-260224-1333")</f>
        <v>P-1-N-260224-1333</v>
      </c>
      <c r="D1712" s="133"/>
      <c r="E1712" s="133" t="str">
        <f>IFERROR(__xludf.DUMMYFUNCTION("""COMPUTED_VALUE"""),"تمت طباعة الشهادة")</f>
        <v>تمت طباعة الشهادة</v>
      </c>
      <c r="F1712" s="133" t="str">
        <f>IFERROR(__xludf.DUMMYFUNCTION("""COMPUTED_VALUE"""),"ZOLUX CHEWING STICKS WITH CHICKEN X10 85G")</f>
        <v>ZOLUX CHEWING STICKS WITH CHICKEN X10 85G</v>
      </c>
      <c r="G1712" s="133" t="str">
        <f>IFERROR(__xludf.DUMMYFUNCTION("""COMPUTED_VALUE"""),"زولكس تشوينج ستيكس بالدجاج ×10 85 جم")</f>
        <v>زولكس تشوينج ستيكس بالدجاج ×10 85 جم</v>
      </c>
      <c r="H1712" s="133" t="str">
        <f>IFERROR(__xludf.DUMMYFUNCTION("""COMPUTED_VALUE"""),"MAFE20241098")</f>
        <v>MAFE20241098</v>
      </c>
      <c r="I1712" s="133"/>
      <c r="J1712" s="133"/>
      <c r="K1712" s="133" t="str">
        <f>IFERROR(__xludf.DUMMYFUNCTION("""COMPUTED_VALUE"""),"يانتاي هوس بت فود تك كو")</f>
        <v>يانتاي هوس بت فود تك كو</v>
      </c>
      <c r="L1712" s="142" t="str">
        <f>IFERROR(__xludf.DUMMYFUNCTION("""COMPUTED_VALUE"""),"482775")</f>
        <v>482775</v>
      </c>
      <c r="M1712" s="133"/>
      <c r="N1712" s="133"/>
      <c r="O1712" s="133"/>
      <c r="P1712" s="133"/>
      <c r="Q1712" s="133"/>
      <c r="R1712" s="133"/>
      <c r="S1712" s="133"/>
      <c r="T1712" s="133"/>
      <c r="U1712" s="133"/>
      <c r="V1712" s="133"/>
      <c r="W1712" s="133"/>
      <c r="X1712" s="133"/>
      <c r="Y1712" s="133"/>
      <c r="Z1712" s="133"/>
    </row>
    <row r="1713">
      <c r="A1713" s="133">
        <f>IFERROR(__xludf.DUMMYFUNCTION("""COMPUTED_VALUE"""),1714.0)</f>
        <v>1714</v>
      </c>
      <c r="B1713" s="133" t="str">
        <f>IFERROR(__xludf.DUMMYFUNCTION("""COMPUTED_VALUE"""),"482776")</f>
        <v>482776</v>
      </c>
      <c r="C1713" s="133" t="str">
        <f>IFERROR(__xludf.DUMMYFUNCTION("""COMPUTED_VALUE"""),"P-1-N-260224-1334")</f>
        <v>P-1-N-260224-1334</v>
      </c>
      <c r="D1713" s="133"/>
      <c r="E1713" s="133" t="str">
        <f>IFERROR(__xludf.DUMMYFUNCTION("""COMPUTED_VALUE"""),"تمت طباعة الشهادة")</f>
        <v>تمت طباعة الشهادة</v>
      </c>
      <c r="F1713" s="133" t="str">
        <f>IFERROR(__xludf.DUMMYFUNCTION("""COMPUTED_VALUE"""),"ZOLUX CHEWING DRUM STICKS WITH CHICKEN X7 70G")</f>
        <v>ZOLUX CHEWING DRUM STICKS WITH CHICKEN X7 70G</v>
      </c>
      <c r="G1713" s="133" t="str">
        <f>IFERROR(__xludf.DUMMYFUNCTION("""COMPUTED_VALUE"""),"زولكس تشوينج درام ستيكس بالدجاج ×7 70 جم")</f>
        <v>زولكس تشوينج درام ستيكس بالدجاج ×7 70 جم</v>
      </c>
      <c r="H1713" s="133" t="str">
        <f>IFERROR(__xludf.DUMMYFUNCTION("""COMPUTED_VALUE"""),"MAFE20241097")</f>
        <v>MAFE20241097</v>
      </c>
      <c r="I1713" s="133"/>
      <c r="J1713" s="133"/>
      <c r="K1713" s="133" t="str">
        <f>IFERROR(__xludf.DUMMYFUNCTION("""COMPUTED_VALUE"""),"يانتاي هوس بت فود تك كو")</f>
        <v>يانتاي هوس بت فود تك كو</v>
      </c>
      <c r="L1713" s="142" t="str">
        <f>IFERROR(__xludf.DUMMYFUNCTION("""COMPUTED_VALUE"""),"482776")</f>
        <v>482776</v>
      </c>
      <c r="M1713" s="133"/>
      <c r="N1713" s="133"/>
      <c r="O1713" s="133"/>
      <c r="P1713" s="133"/>
      <c r="Q1713" s="133"/>
      <c r="R1713" s="133"/>
      <c r="S1713" s="133"/>
      <c r="T1713" s="133"/>
      <c r="U1713" s="133"/>
      <c r="V1713" s="133"/>
      <c r="W1713" s="133"/>
      <c r="X1713" s="133"/>
      <c r="Y1713" s="133"/>
      <c r="Z1713" s="133"/>
    </row>
    <row r="1714">
      <c r="A1714" s="133">
        <f>IFERROR(__xludf.DUMMYFUNCTION("""COMPUTED_VALUE"""),1715.0)</f>
        <v>1715</v>
      </c>
      <c r="B1714" s="133" t="str">
        <f>IFERROR(__xludf.DUMMYFUNCTION("""COMPUTED_VALUE"""),"482777")</f>
        <v>482777</v>
      </c>
      <c r="C1714" s="133" t="str">
        <f>IFERROR(__xludf.DUMMYFUNCTION("""COMPUTED_VALUE"""),"P-1-N-260224-1335")</f>
        <v>P-1-N-260224-1335</v>
      </c>
      <c r="D1714" s="133"/>
      <c r="E1714" s="133" t="str">
        <f>IFERROR(__xludf.DUMMYFUNCTION("""COMPUTED_VALUE"""),"تمت طباعة الشهادة")</f>
        <v>تمت طباعة الشهادة</v>
      </c>
      <c r="F1714" s="133" t="str">
        <f>IFERROR(__xludf.DUMMYFUNCTION("""COMPUTED_VALUE"""),"ZOLUX CHEWING BONES WITH CHICKEN X7 90G")</f>
        <v>ZOLUX CHEWING BONES WITH CHICKEN X7 90G</v>
      </c>
      <c r="G1714" s="133" t="str">
        <f>IFERROR(__xludf.DUMMYFUNCTION("""COMPUTED_VALUE"""),"زولكس تشوينج بونز بالدجاج ×7 90 جم")</f>
        <v>زولكس تشوينج بونز بالدجاج ×7 90 جم</v>
      </c>
      <c r="H1714" s="133" t="str">
        <f>IFERROR(__xludf.DUMMYFUNCTION("""COMPUTED_VALUE"""),"MAFE20241096")</f>
        <v>MAFE20241096</v>
      </c>
      <c r="I1714" s="133"/>
      <c r="J1714" s="133"/>
      <c r="K1714" s="133" t="str">
        <f>IFERROR(__xludf.DUMMYFUNCTION("""COMPUTED_VALUE"""),"يانتاي هوس بت فود تك كو")</f>
        <v>يانتاي هوس بت فود تك كو</v>
      </c>
      <c r="L1714" s="142" t="str">
        <f>IFERROR(__xludf.DUMMYFUNCTION("""COMPUTED_VALUE"""),"482777")</f>
        <v>482777</v>
      </c>
      <c r="M1714" s="133"/>
      <c r="N1714" s="133"/>
      <c r="O1714" s="133"/>
      <c r="P1714" s="133"/>
      <c r="Q1714" s="133"/>
      <c r="R1714" s="133"/>
      <c r="S1714" s="133"/>
      <c r="T1714" s="133"/>
      <c r="U1714" s="133"/>
      <c r="V1714" s="133"/>
      <c r="W1714" s="133"/>
      <c r="X1714" s="133"/>
      <c r="Y1714" s="133"/>
      <c r="Z1714" s="133"/>
    </row>
    <row r="1715">
      <c r="A1715" s="133">
        <f>IFERROR(__xludf.DUMMYFUNCTION("""COMPUTED_VALUE"""),1716.0)</f>
        <v>1716</v>
      </c>
      <c r="B1715" s="133" t="str">
        <f>IFERROR(__xludf.DUMMYFUNCTION("""COMPUTED_VALUE"""),"482886")</f>
        <v>482886</v>
      </c>
      <c r="C1715" s="133" t="str">
        <f>IFERROR(__xludf.DUMMYFUNCTION("""COMPUTED_VALUE"""),"P-1-N-260224-1337")</f>
        <v>P-1-N-260224-1337</v>
      </c>
      <c r="D1715" s="133"/>
      <c r="E1715" s="133" t="str">
        <f>IFERROR(__xludf.DUMMYFUNCTION("""COMPUTED_VALUE"""),"تمت طباعة الشهادة")</f>
        <v>تمت طباعة الشهادة</v>
      </c>
      <c r="F1715" s="133" t="str">
        <f>IFERROR(__xludf.DUMMYFUNCTION("""COMPUTED_VALUE"""),"ZOLUX CHICKEN SAUSAGES 100G")</f>
        <v>ZOLUX CHICKEN SAUSAGES 100G</v>
      </c>
      <c r="G1715" s="133" t="str">
        <f>IFERROR(__xludf.DUMMYFUNCTION("""COMPUTED_VALUE"""),"زولكس نقانق دجاج 100 جم")</f>
        <v>زولكس نقانق دجاج 100 جم</v>
      </c>
      <c r="H1715" s="133" t="str">
        <f>IFERROR(__xludf.DUMMYFUNCTION("""COMPUTED_VALUE"""),"MAFE20241095")</f>
        <v>MAFE20241095</v>
      </c>
      <c r="I1715" s="133"/>
      <c r="J1715" s="133"/>
      <c r="K1715" s="133" t="str">
        <f>IFERROR(__xludf.DUMMYFUNCTION("""COMPUTED_VALUE"""),"يانتاي هوس بت فود تك كو")</f>
        <v>يانتاي هوس بت فود تك كو</v>
      </c>
      <c r="L1715" s="142" t="str">
        <f>IFERROR(__xludf.DUMMYFUNCTION("""COMPUTED_VALUE"""),"482886")</f>
        <v>482886</v>
      </c>
      <c r="M1715" s="133"/>
      <c r="N1715" s="133"/>
      <c r="O1715" s="133"/>
      <c r="P1715" s="133"/>
      <c r="Q1715" s="133"/>
      <c r="R1715" s="133"/>
      <c r="S1715" s="133"/>
      <c r="T1715" s="133"/>
      <c r="U1715" s="133"/>
      <c r="V1715" s="133"/>
      <c r="W1715" s="133"/>
      <c r="X1715" s="133"/>
      <c r="Y1715" s="133"/>
      <c r="Z1715" s="133"/>
    </row>
    <row r="1716">
      <c r="A1716" s="133">
        <f>IFERROR(__xludf.DUMMYFUNCTION("""COMPUTED_VALUE"""),1717.0)</f>
        <v>1717</v>
      </c>
      <c r="B1716" s="133" t="str">
        <f>IFERROR(__xludf.DUMMYFUNCTION("""COMPUTED_VALUE"""),"482887")</f>
        <v>482887</v>
      </c>
      <c r="C1716" s="133" t="str">
        <f>IFERROR(__xludf.DUMMYFUNCTION("""COMPUTED_VALUE"""),"P-1-N-260224-1338")</f>
        <v>P-1-N-260224-1338</v>
      </c>
      <c r="D1716" s="133"/>
      <c r="E1716" s="133" t="str">
        <f>IFERROR(__xludf.DUMMYFUNCTION("""COMPUTED_VALUE"""),"تمت طباعة الشهادة")</f>
        <v>تمت طباعة الشهادة</v>
      </c>
      <c r="F1716" s="133" t="str">
        <f>IFERROR(__xludf.DUMMYFUNCTION("""COMPUTED_VALUE"""),"ZOLUX CHICKEN SANDWICH 100G")</f>
        <v>ZOLUX CHICKEN SANDWICH 100G</v>
      </c>
      <c r="G1716" s="133" t="str">
        <f>IFERROR(__xludf.DUMMYFUNCTION("""COMPUTED_VALUE"""),"زولكس ساندوتش دجاج 100 جم")</f>
        <v>زولكس ساندوتش دجاج 100 جم</v>
      </c>
      <c r="H1716" s="133" t="str">
        <f>IFERROR(__xludf.DUMMYFUNCTION("""COMPUTED_VALUE"""),"MAFE20241094")</f>
        <v>MAFE20241094</v>
      </c>
      <c r="I1716" s="133"/>
      <c r="J1716" s="133"/>
      <c r="K1716" s="133" t="str">
        <f>IFERROR(__xludf.DUMMYFUNCTION("""COMPUTED_VALUE"""),"يانتاي هوس بت فود تك كو")</f>
        <v>يانتاي هوس بت فود تك كو</v>
      </c>
      <c r="L1716" s="142" t="str">
        <f>IFERROR(__xludf.DUMMYFUNCTION("""COMPUTED_VALUE"""),"482887")</f>
        <v>482887</v>
      </c>
      <c r="M1716" s="133"/>
      <c r="N1716" s="133"/>
      <c r="O1716" s="133"/>
      <c r="P1716" s="133"/>
      <c r="Q1716" s="133"/>
      <c r="R1716" s="133"/>
      <c r="S1716" s="133"/>
      <c r="T1716" s="133"/>
      <c r="U1716" s="133"/>
      <c r="V1716" s="133"/>
      <c r="W1716" s="133"/>
      <c r="X1716" s="133"/>
      <c r="Y1716" s="133"/>
      <c r="Z1716" s="133"/>
    </row>
    <row r="1717">
      <c r="A1717" s="133">
        <f>IFERROR(__xludf.DUMMYFUNCTION("""COMPUTED_VALUE"""),1718.0)</f>
        <v>1718</v>
      </c>
      <c r="B1717" s="133" t="str">
        <f>IFERROR(__xludf.DUMMYFUNCTION("""COMPUTED_VALUE"""),"482888")</f>
        <v>482888</v>
      </c>
      <c r="C1717" s="133" t="str">
        <f>IFERROR(__xludf.DUMMYFUNCTION("""COMPUTED_VALUE"""),"P-1-N-260224-1340")</f>
        <v>P-1-N-260224-1340</v>
      </c>
      <c r="D1717" s="133"/>
      <c r="E1717" s="133" t="str">
        <f>IFERROR(__xludf.DUMMYFUNCTION("""COMPUTED_VALUE"""),"تمت طباعة الشهادة")</f>
        <v>تمت طباعة الشهادة</v>
      </c>
      <c r="F1717" s="133" t="str">
        <f>IFERROR(__xludf.DUMMYFUNCTION("""COMPUTED_VALUE"""),"ZOLUX CHICKEN SUSHI 100G")</f>
        <v>ZOLUX CHICKEN SUSHI 100G</v>
      </c>
      <c r="G1717" s="133" t="str">
        <f>IFERROR(__xludf.DUMMYFUNCTION("""COMPUTED_VALUE"""),"زولكس سوشي دجاج 100 جم")</f>
        <v>زولكس سوشي دجاج 100 جم</v>
      </c>
      <c r="H1717" s="133" t="str">
        <f>IFERROR(__xludf.DUMMYFUNCTION("""COMPUTED_VALUE"""),"MAFE20241093")</f>
        <v>MAFE20241093</v>
      </c>
      <c r="I1717" s="133"/>
      <c r="J1717" s="133"/>
      <c r="K1717" s="133" t="str">
        <f>IFERROR(__xludf.DUMMYFUNCTION("""COMPUTED_VALUE"""),"يانتاي هوس بت فود تك كو")</f>
        <v>يانتاي هوس بت فود تك كو</v>
      </c>
      <c r="L1717" s="142" t="str">
        <f>IFERROR(__xludf.DUMMYFUNCTION("""COMPUTED_VALUE"""),"482888")</f>
        <v>482888</v>
      </c>
      <c r="M1717" s="133"/>
      <c r="N1717" s="133"/>
      <c r="O1717" s="133"/>
      <c r="P1717" s="133"/>
      <c r="Q1717" s="133"/>
      <c r="R1717" s="133"/>
      <c r="S1717" s="133"/>
      <c r="T1717" s="133"/>
      <c r="U1717" s="133"/>
      <c r="V1717" s="133"/>
      <c r="W1717" s="133"/>
      <c r="X1717" s="133"/>
      <c r="Y1717" s="133"/>
      <c r="Z1717" s="133"/>
    </row>
    <row r="1718">
      <c r="A1718" s="133">
        <f>IFERROR(__xludf.DUMMYFUNCTION("""COMPUTED_VALUE"""),1719.0)</f>
        <v>1719</v>
      </c>
      <c r="B1718" s="133" t="str">
        <f>IFERROR(__xludf.DUMMYFUNCTION("""COMPUTED_VALUE"""),"AALI25")</f>
        <v>AALI25</v>
      </c>
      <c r="C1718" s="133" t="str">
        <f>IFERROR(__xludf.DUMMYFUNCTION("""COMPUTED_VALUE"""),"P-1-N-170324-1827")</f>
        <v>P-1-N-170324-1827</v>
      </c>
      <c r="D1718" s="133"/>
      <c r="E1718" s="133" t="str">
        <f>IFERROR(__xludf.DUMMYFUNCTION("""COMPUTED_VALUE"""),"تمت طباعة الشهادة")</f>
        <v>تمت طباعة الشهادة</v>
      </c>
      <c r="F1718" s="133" t="str">
        <f>IFERROR(__xludf.DUMMYFUNCTION("""COMPUTED_VALUE"""),"PRINCE TRAINER 20kg")</f>
        <v>PRINCE TRAINER 20kg</v>
      </c>
      <c r="G1718" s="133" t="str">
        <f>IFERROR(__xludf.DUMMYFUNCTION("""COMPUTED_VALUE"""),"برنس ترينير20كج")</f>
        <v>برنس ترينير20كج</v>
      </c>
      <c r="H1718" s="133" t="str">
        <f>IFERROR(__xludf.DUMMYFUNCTION("""COMPUTED_VALUE"""),"FOM-2024-6730-FEB-2024-59193 -C-0041-80001
")</f>
        <v>FOM-2024-6730-FEB-2024-59193 -C-0041-80001
</v>
      </c>
      <c r="I1718" s="133"/>
      <c r="J1718" s="133"/>
      <c r="K1718" s="133" t="str">
        <f>IFERROR(__xludf.DUMMYFUNCTION("""COMPUTED_VALUE"""),"اقريناتورا هادزيتشي")</f>
        <v>اقريناتورا هادزيتشي</v>
      </c>
      <c r="L1718" s="142" t="str">
        <f>IFERROR(__xludf.DUMMYFUNCTION("""COMPUTED_VALUE"""),"AALI25")</f>
        <v>AALI25</v>
      </c>
      <c r="M1718" s="133"/>
      <c r="N1718" s="133"/>
      <c r="O1718" s="133"/>
      <c r="P1718" s="133"/>
      <c r="Q1718" s="133"/>
      <c r="R1718" s="133"/>
      <c r="S1718" s="133"/>
      <c r="T1718" s="133"/>
      <c r="U1718" s="133"/>
      <c r="V1718" s="133"/>
      <c r="W1718" s="133"/>
      <c r="X1718" s="133"/>
      <c r="Y1718" s="133"/>
      <c r="Z1718" s="133"/>
    </row>
    <row r="1719">
      <c r="A1719" s="133">
        <f>IFERROR(__xludf.DUMMYFUNCTION("""COMPUTED_VALUE"""),1720.0)</f>
        <v>1720</v>
      </c>
      <c r="B1719" s="133"/>
      <c r="C1719" s="133" t="str">
        <f>IFERROR(__xludf.DUMMYFUNCTION("""COMPUTED_VALUE"""),"P-1-N-170324-1831")</f>
        <v>P-1-N-170324-1831</v>
      </c>
      <c r="D1719" s="133"/>
      <c r="E1719" s="133" t="str">
        <f>IFERROR(__xludf.DUMMYFUNCTION("""COMPUTED_VALUE"""),"تمت طباعة الشهادة")</f>
        <v>تمت طباعة الشهادة</v>
      </c>
      <c r="F1719" s="133" t="str">
        <f>IFERROR(__xludf.DUMMYFUNCTION("""COMPUTED_VALUE"""),"PRINCE MINI 2kg")</f>
        <v>PRINCE MINI 2kg</v>
      </c>
      <c r="G1719" s="133" t="str">
        <f>IFERROR(__xludf.DUMMYFUNCTION("""COMPUTED_VALUE"""),"برنس ميني 2 كج")</f>
        <v>برنس ميني 2 كج</v>
      </c>
      <c r="H1719" s="133" t="str">
        <f>IFERROR(__xludf.DUMMYFUNCTION("""COMPUTED_VALUE"""),"MAFE20241727")</f>
        <v>MAFE20241727</v>
      </c>
      <c r="I1719" s="133"/>
      <c r="J1719" s="133"/>
      <c r="K1719" s="133" t="str">
        <f>IFERROR(__xludf.DUMMYFUNCTION("""COMPUTED_VALUE"""),"اقريناتورا هادزيتشي")</f>
        <v>اقريناتورا هادزيتشي</v>
      </c>
      <c r="L1719" s="133"/>
      <c r="M1719" s="133"/>
      <c r="N1719" s="133"/>
      <c r="O1719" s="133"/>
      <c r="P1719" s="133"/>
      <c r="Q1719" s="133"/>
      <c r="R1719" s="133"/>
      <c r="S1719" s="133"/>
      <c r="T1719" s="133"/>
      <c r="U1719" s="133"/>
      <c r="V1719" s="133"/>
      <c r="W1719" s="133"/>
      <c r="X1719" s="133"/>
      <c r="Y1719" s="133"/>
      <c r="Z1719" s="133"/>
    </row>
    <row r="1720">
      <c r="A1720" s="133">
        <f>IFERROR(__xludf.DUMMYFUNCTION("""COMPUTED_VALUE"""),1721.0)</f>
        <v>1721</v>
      </c>
      <c r="B1720" s="133"/>
      <c r="C1720" s="133" t="str">
        <f>IFERROR(__xludf.DUMMYFUNCTION("""COMPUTED_VALUE"""),"P-1-N-190324-1881")</f>
        <v>P-1-N-190324-1881</v>
      </c>
      <c r="D1720" s="133"/>
      <c r="E1720" s="133" t="str">
        <f>IFERROR(__xludf.DUMMYFUNCTION("""COMPUTED_VALUE"""),"مرجع للتعديل")</f>
        <v>مرجع للتعديل</v>
      </c>
      <c r="F1720" s="133" t="str">
        <f>IFERROR(__xludf.DUMMYFUNCTION("""COMPUTED_VALUE"""),"Princess Sterilized 20 KG")</f>
        <v>Princess Sterilized 20 KG</v>
      </c>
      <c r="G1720" s="133" t="str">
        <f>IFERROR(__xludf.DUMMYFUNCTION("""COMPUTED_VALUE"""),"برنسيس للقطط المعقمة 20 كج")</f>
        <v>برنسيس للقطط المعقمة 20 كج</v>
      </c>
      <c r="H1720" s="133"/>
      <c r="I1720" s="133"/>
      <c r="J1720" s="133"/>
      <c r="K1720" s="133" t="str">
        <f>IFERROR(__xludf.DUMMYFUNCTION("""COMPUTED_VALUE"""),"اقريناتورا هادزيتشي")</f>
        <v>اقريناتورا هادزيتشي</v>
      </c>
      <c r="L1720" s="133"/>
      <c r="M1720" s="133"/>
      <c r="N1720" s="133"/>
      <c r="O1720" s="133"/>
      <c r="P1720" s="133"/>
      <c r="Q1720" s="133"/>
      <c r="R1720" s="133"/>
      <c r="S1720" s="133"/>
      <c r="T1720" s="133"/>
      <c r="U1720" s="133"/>
      <c r="V1720" s="133"/>
      <c r="W1720" s="133"/>
      <c r="X1720" s="133"/>
      <c r="Y1720" s="133"/>
      <c r="Z1720" s="133"/>
    </row>
    <row r="1721">
      <c r="A1721" s="133">
        <f>IFERROR(__xludf.DUMMYFUNCTION("""COMPUTED_VALUE"""),1722.0)</f>
        <v>1722</v>
      </c>
      <c r="B1721" s="133"/>
      <c r="C1721" s="133" t="str">
        <f>IFERROR(__xludf.DUMMYFUNCTION("""COMPUTED_VALUE"""),"P-1-N-210324-1955")</f>
        <v>P-1-N-210324-1955</v>
      </c>
      <c r="D1721" s="133"/>
      <c r="E1721" s="133" t="str">
        <f>IFERROR(__xludf.DUMMYFUNCTION("""COMPUTED_VALUE"""),"تمت طباعة الشهادة")</f>
        <v>تمت طباعة الشهادة</v>
      </c>
      <c r="F1721" s="133" t="str">
        <f>IFERROR(__xludf.DUMMYFUNCTION("""COMPUTED_VALUE"""),"Princess Kitten 2kg")</f>
        <v>Princess Kitten 2kg</v>
      </c>
      <c r="G1721" s="133" t="str">
        <f>IFERROR(__xludf.DUMMYFUNCTION("""COMPUTED_VALUE"""),"برنسيس للقطط الصغيرة 2 كج")</f>
        <v>برنسيس للقطط الصغيرة 2 كج</v>
      </c>
      <c r="H1721" s="133" t="str">
        <f>IFERROR(__xludf.DUMMYFUNCTION("""COMPUTED_VALUE"""),"MAFE20241616")</f>
        <v>MAFE20241616</v>
      </c>
      <c r="I1721" s="133"/>
      <c r="J1721" s="133"/>
      <c r="K1721" s="133" t="str">
        <f>IFERROR(__xludf.DUMMYFUNCTION("""COMPUTED_VALUE"""),"اقريناتورا هادزيتشي")</f>
        <v>اقريناتورا هادزيتشي</v>
      </c>
      <c r="L1721" s="133"/>
      <c r="M1721" s="133"/>
      <c r="N1721" s="133"/>
      <c r="O1721" s="133"/>
      <c r="P1721" s="133"/>
      <c r="Q1721" s="133"/>
      <c r="R1721" s="133"/>
      <c r="S1721" s="133"/>
      <c r="T1721" s="133"/>
      <c r="U1721" s="133"/>
      <c r="V1721" s="133"/>
      <c r="W1721" s="133"/>
      <c r="X1721" s="133"/>
      <c r="Y1721" s="133"/>
      <c r="Z1721" s="133"/>
    </row>
    <row r="1722">
      <c r="A1722" s="133">
        <f>IFERROR(__xludf.DUMMYFUNCTION("""COMPUTED_VALUE"""),1723.0)</f>
        <v>1723</v>
      </c>
      <c r="B1722" s="133"/>
      <c r="C1722" s="133" t="str">
        <f>IFERROR(__xludf.DUMMYFUNCTION("""COMPUTED_VALUE"""),"P-1-N-210324-1956")</f>
        <v>P-1-N-210324-1956</v>
      </c>
      <c r="D1722" s="133"/>
      <c r="E1722" s="133" t="str">
        <f>IFERROR(__xludf.DUMMYFUNCTION("""COMPUTED_VALUE"""),"تمت طباعة الشهادة")</f>
        <v>تمت طباعة الشهادة</v>
      </c>
      <c r="F1722" s="133" t="str">
        <f>IFERROR(__xludf.DUMMYFUNCTION("""COMPUTED_VALUE"""),"Princess Temptation 2kg")</f>
        <v>Princess Temptation 2kg</v>
      </c>
      <c r="G1722" s="133" t="str">
        <f>IFERROR(__xludf.DUMMYFUNCTION("""COMPUTED_VALUE"""),"برنسيس تيمتاشن للقطط البالغة 2 كج")</f>
        <v>برنسيس تيمتاشن للقطط البالغة 2 كج</v>
      </c>
      <c r="H1722" s="133" t="str">
        <f>IFERROR(__xludf.DUMMYFUNCTION("""COMPUTED_VALUE"""),"MAFE20241632")</f>
        <v>MAFE20241632</v>
      </c>
      <c r="I1722" s="133"/>
      <c r="J1722" s="133"/>
      <c r="K1722" s="133" t="str">
        <f>IFERROR(__xludf.DUMMYFUNCTION("""COMPUTED_VALUE"""),"اقريناتورا هادزيتشي")</f>
        <v>اقريناتورا هادزيتشي</v>
      </c>
      <c r="L1722" s="133"/>
      <c r="M1722" s="133"/>
      <c r="N1722" s="133"/>
      <c r="O1722" s="133"/>
      <c r="P1722" s="133"/>
      <c r="Q1722" s="133"/>
      <c r="R1722" s="133"/>
      <c r="S1722" s="133"/>
      <c r="T1722" s="133"/>
      <c r="U1722" s="133"/>
      <c r="V1722" s="133"/>
      <c r="W1722" s="133"/>
      <c r="X1722" s="133"/>
      <c r="Y1722" s="133"/>
      <c r="Z1722" s="133"/>
    </row>
    <row r="1723">
      <c r="A1723" s="133">
        <f>IFERROR(__xludf.DUMMYFUNCTION("""COMPUTED_VALUE"""),1724.0)</f>
        <v>1724</v>
      </c>
      <c r="B1723" s="133"/>
      <c r="C1723" s="133" t="str">
        <f>IFERROR(__xludf.DUMMYFUNCTION("""COMPUTED_VALUE"""),"P-1-N-210324-1958")</f>
        <v>P-1-N-210324-1958</v>
      </c>
      <c r="D1723" s="133"/>
      <c r="E1723" s="133" t="str">
        <f>IFERROR(__xludf.DUMMYFUNCTION("""COMPUTED_VALUE"""),"تمت طباعة الشهادة")</f>
        <v>تمت طباعة الشهادة</v>
      </c>
      <c r="F1723" s="133" t="str">
        <f>IFERROR(__xludf.DUMMYFUNCTION("""COMPUTED_VALUE"""),"PRINCE TRAINER 2kg")</f>
        <v>PRINCE TRAINER 2kg</v>
      </c>
      <c r="G1723" s="133" t="str">
        <f>IFERROR(__xludf.DUMMYFUNCTION("""COMPUTED_VALUE"""),"برنس ترينير 2كج")</f>
        <v>برنس ترينير 2كج</v>
      </c>
      <c r="H1723" s="133" t="str">
        <f>IFERROR(__xludf.DUMMYFUNCTION("""COMPUTED_VALUE"""),"MAFE20241617")</f>
        <v>MAFE20241617</v>
      </c>
      <c r="I1723" s="133"/>
      <c r="J1723" s="133"/>
      <c r="K1723" s="133" t="str">
        <f>IFERROR(__xludf.DUMMYFUNCTION("""COMPUTED_VALUE"""),"اقريناتورا هادزيتشي")</f>
        <v>اقريناتورا هادزيتشي</v>
      </c>
      <c r="L1723" s="133"/>
      <c r="M1723" s="133"/>
      <c r="N1723" s="133"/>
      <c r="O1723" s="133"/>
      <c r="P1723" s="133"/>
      <c r="Q1723" s="133"/>
      <c r="R1723" s="133"/>
      <c r="S1723" s="133"/>
      <c r="T1723" s="133"/>
      <c r="U1723" s="133"/>
      <c r="V1723" s="133"/>
      <c r="W1723" s="133"/>
      <c r="X1723" s="133"/>
      <c r="Y1723" s="133"/>
      <c r="Z1723" s="133"/>
    </row>
    <row r="1724">
      <c r="A1724" s="133">
        <f>IFERROR(__xludf.DUMMYFUNCTION("""COMPUTED_VALUE"""),1725.0)</f>
        <v>1725</v>
      </c>
      <c r="B1724" s="133"/>
      <c r="C1724" s="133" t="str">
        <f>IFERROR(__xludf.DUMMYFUNCTION("""COMPUTED_VALUE"""),"P-1-N-210324-1959")</f>
        <v>P-1-N-210324-1959</v>
      </c>
      <c r="D1724" s="133"/>
      <c r="E1724" s="133" t="str">
        <f>IFERROR(__xludf.DUMMYFUNCTION("""COMPUTED_VALUE"""),"تمت طباعة الشهادة")</f>
        <v>تمت طباعة الشهادة</v>
      </c>
      <c r="F1724" s="133" t="str">
        <f>IFERROR(__xludf.DUMMYFUNCTION("""COMPUTED_VALUE"""),"PRINCE MINI 20kg")</f>
        <v>PRINCE MINI 20kg</v>
      </c>
      <c r="G1724" s="133" t="str">
        <f>IFERROR(__xludf.DUMMYFUNCTION("""COMPUTED_VALUE"""),"برنس ميني 20 كج")</f>
        <v>برنس ميني 20 كج</v>
      </c>
      <c r="H1724" s="133" t="str">
        <f>IFERROR(__xludf.DUMMYFUNCTION("""COMPUTED_VALUE"""),"FOM-2024-6730-FEB-2024-59205 -C-0041-80013")</f>
        <v>FOM-2024-6730-FEB-2024-59205 -C-0041-80013</v>
      </c>
      <c r="I1724" s="133"/>
      <c r="J1724" s="133"/>
      <c r="K1724" s="133" t="str">
        <f>IFERROR(__xludf.DUMMYFUNCTION("""COMPUTED_VALUE"""),"اقريناتورا هادزيتشي")</f>
        <v>اقريناتورا هادزيتشي</v>
      </c>
      <c r="L1724" s="133"/>
      <c r="M1724" s="133"/>
      <c r="N1724" s="133"/>
      <c r="O1724" s="133"/>
      <c r="P1724" s="133"/>
      <c r="Q1724" s="133"/>
      <c r="R1724" s="133"/>
      <c r="S1724" s="133"/>
      <c r="T1724" s="133"/>
      <c r="U1724" s="133"/>
      <c r="V1724" s="133"/>
      <c r="W1724" s="133"/>
      <c r="X1724" s="133"/>
      <c r="Y1724" s="133"/>
      <c r="Z1724" s="133"/>
    </row>
    <row r="1725">
      <c r="A1725" s="133">
        <f>IFERROR(__xludf.DUMMYFUNCTION("""COMPUTED_VALUE"""),1726.0)</f>
        <v>1726</v>
      </c>
      <c r="B1725" s="133"/>
      <c r="C1725" s="133" t="str">
        <f>IFERROR(__xludf.DUMMYFUNCTION("""COMPUTED_VALUE"""),"P-1-N-210324-1961")</f>
        <v>P-1-N-210324-1961</v>
      </c>
      <c r="D1725" s="133"/>
      <c r="E1725" s="133" t="str">
        <f>IFERROR(__xludf.DUMMYFUNCTION("""COMPUTED_VALUE"""),"تمت طباعة الشهادة")</f>
        <v>تمت طباعة الشهادة</v>
      </c>
      <c r="F1725" s="133" t="str">
        <f>IFERROR(__xludf.DUMMYFUNCTION("""COMPUTED_VALUE"""),"Dr. Clauder’s Best Choice Mini Adult Lamm&amp;Reis ")</f>
        <v>Dr. Clauder’s Best Choice Mini Adult Lamm&amp;Reis </v>
      </c>
      <c r="G1725" s="133" t="str">
        <f>IFERROR(__xludf.DUMMYFUNCTION("""COMPUTED_VALUE"""),"دكتور كلاودر أفضل خيار ميني الكبار بلحم الضأن والأرز 400 جم")</f>
        <v>دكتور كلاودر أفضل خيار ميني الكبار بلحم الضأن والأرز 400 جم</v>
      </c>
      <c r="H1725" s="133" t="str">
        <f>IFERROR(__xludf.DUMMYFUNCTION("""COMPUTED_VALUE"""),"MAFE20241630")</f>
        <v>MAFE20241630</v>
      </c>
      <c r="I1725" s="133"/>
      <c r="J1725" s="133"/>
      <c r="K1725" s="133" t="str">
        <f>IFERROR(__xludf.DUMMYFUNCTION("""COMPUTED_VALUE"""),"شركة حلول د. كلودر للحيوانات الأليفة محدودة المسؤولية")</f>
        <v>شركة حلول د. كلودر للحيوانات الأليفة محدودة المسؤولية</v>
      </c>
      <c r="L1725" s="133"/>
      <c r="M1725" s="133"/>
      <c r="N1725" s="133"/>
      <c r="O1725" s="133"/>
      <c r="P1725" s="133"/>
      <c r="Q1725" s="133"/>
      <c r="R1725" s="133"/>
      <c r="S1725" s="133"/>
      <c r="T1725" s="133"/>
      <c r="U1725" s="133"/>
      <c r="V1725" s="133"/>
      <c r="W1725" s="133"/>
      <c r="X1725" s="133"/>
      <c r="Y1725" s="133"/>
      <c r="Z1725" s="133"/>
    </row>
    <row r="1726">
      <c r="A1726" s="133">
        <f>IFERROR(__xludf.DUMMYFUNCTION("""COMPUTED_VALUE"""),1727.0)</f>
        <v>1727</v>
      </c>
      <c r="B1726" s="133"/>
      <c r="C1726" s="133" t="str">
        <f>IFERROR(__xludf.DUMMYFUNCTION("""COMPUTED_VALUE"""),"P-1-N-210324-1963")</f>
        <v>P-1-N-210324-1963</v>
      </c>
      <c r="D1726" s="133"/>
      <c r="E1726" s="133" t="str">
        <f>IFERROR(__xludf.DUMMYFUNCTION("""COMPUTED_VALUE"""),"تمت طباعة الشهادة")</f>
        <v>تمت طباعة الشهادة</v>
      </c>
      <c r="F1726" s="133" t="str">
        <f>IFERROR(__xludf.DUMMYFUNCTION("""COMPUTED_VALUE"""),"Dr. Clauder’s Wildlife Ente 350g")</f>
        <v>Dr. Clauder’s Wildlife Ente 350g</v>
      </c>
      <c r="G1726" s="133" t="str">
        <f>IFERROR(__xludf.DUMMYFUNCTION("""COMPUTED_VALUE"""),"دكتور كلاودر وايلد لايف بط 350 جم")</f>
        <v>دكتور كلاودر وايلد لايف بط 350 جم</v>
      </c>
      <c r="H1726" s="133"/>
      <c r="I1726" s="133"/>
      <c r="J1726" s="133"/>
      <c r="K1726" s="133" t="str">
        <f>IFERROR(__xludf.DUMMYFUNCTION("""COMPUTED_VALUE"""),"شركة حلول د. كلودر للحيوانات الأليفة محدودة المسؤولية")</f>
        <v>شركة حلول د. كلودر للحيوانات الأليفة محدودة المسؤولية</v>
      </c>
      <c r="L1726" s="133"/>
      <c r="M1726" s="133"/>
      <c r="N1726" s="133"/>
      <c r="O1726" s="133"/>
      <c r="P1726" s="133"/>
      <c r="Q1726" s="133"/>
      <c r="R1726" s="133"/>
      <c r="S1726" s="133"/>
      <c r="T1726" s="133"/>
      <c r="U1726" s="133"/>
      <c r="V1726" s="133"/>
      <c r="W1726" s="133"/>
      <c r="X1726" s="133"/>
      <c r="Y1726" s="133"/>
      <c r="Z1726" s="133"/>
    </row>
    <row r="1727">
      <c r="A1727" s="133">
        <f>IFERROR(__xludf.DUMMYFUNCTION("""COMPUTED_VALUE"""),1728.0)</f>
        <v>1728</v>
      </c>
      <c r="B1727" s="133"/>
      <c r="C1727" s="133" t="str">
        <f>IFERROR(__xludf.DUMMYFUNCTION("""COMPUTED_VALUE"""),"P-1-N-210324-1968")</f>
        <v>P-1-N-210324-1968</v>
      </c>
      <c r="D1727" s="133"/>
      <c r="E1727" s="133" t="str">
        <f>IFERROR(__xludf.DUMMYFUNCTION("""COMPUTED_VALUE"""),"تمت طباعة الشهادة")</f>
        <v>تمت طباعة الشهادة</v>
      </c>
      <c r="F1727" s="133" t="str">
        <f>IFERROR(__xludf.DUMMYFUNCTION("""COMPUTED_VALUE"""),"Sanal Cat Multi Vitamin Salmon, e 100g")</f>
        <v>Sanal Cat Multi Vitamin Salmon, e 100g</v>
      </c>
      <c r="G1727" s="133" t="str">
        <f>IFERROR(__xludf.DUMMYFUNCTION("""COMPUTED_VALUE"""),"ﺳﻨﺎل ﻓﻴﺘﺎﻣﻴﻨﺎت ﻣﺘﻌﺪدة 100 ﺟﺮام")</f>
        <v>ﺳﻨﺎل ﻓﻴﺘﺎﻣﻴﻨﺎت ﻣﺘﻌﺪدة 100 ﺟﺮام</v>
      </c>
      <c r="H1727" s="133" t="str">
        <f>IFERROR(__xludf.DUMMYFUNCTION("""COMPUTED_VALUE"""),"MAFE20241623")</f>
        <v>MAFE20241623</v>
      </c>
      <c r="I1727" s="133"/>
      <c r="J1727" s="133"/>
      <c r="K1727" s="133" t="str">
        <f>IFERROR(__xludf.DUMMYFUNCTION("""COMPUTED_VALUE"""),"نيدرما بي في")</f>
        <v>نيدرما بي في</v>
      </c>
      <c r="L1727" s="133"/>
      <c r="M1727" s="133"/>
      <c r="N1727" s="133"/>
      <c r="O1727" s="133"/>
      <c r="P1727" s="133"/>
      <c r="Q1727" s="133"/>
      <c r="R1727" s="133"/>
      <c r="S1727" s="133"/>
      <c r="T1727" s="133"/>
      <c r="U1727" s="133"/>
      <c r="V1727" s="133"/>
      <c r="W1727" s="133"/>
      <c r="X1727" s="133"/>
      <c r="Y1727" s="133"/>
      <c r="Z1727" s="133"/>
    </row>
    <row r="1728">
      <c r="A1728" s="133">
        <f>IFERROR(__xludf.DUMMYFUNCTION("""COMPUTED_VALUE"""),1729.0)</f>
        <v>1729</v>
      </c>
      <c r="B1728" s="133"/>
      <c r="C1728" s="133" t="str">
        <f>IFERROR(__xludf.DUMMYFUNCTION("""COMPUTED_VALUE"""),"P-1-N-210324-1970")</f>
        <v>P-1-N-210324-1970</v>
      </c>
      <c r="D1728" s="133"/>
      <c r="E1728" s="133" t="str">
        <f>IFERROR(__xludf.DUMMYFUNCTION("""COMPUTED_VALUE"""),"تمت طباعة الشهادة")</f>
        <v>تمت طباعة الشهادة</v>
      </c>
      <c r="F1728" s="133" t="str">
        <f>IFERROR(__xludf.DUMMYFUNCTION("""COMPUTED_VALUE"""),"Sanal Cat Multi Vitamin Salmon, e 100g")</f>
        <v>Sanal Cat Multi Vitamin Salmon, e 100g</v>
      </c>
      <c r="G1728" s="133" t="str">
        <f>IFERROR(__xludf.DUMMYFUNCTION("""COMPUTED_VALUE"""),"ﺳﻨﺎل ﻓﻴﺘﺎﻣﻴﻨﺎت ﻣﺘﻌﺪدة ﺳﺎﻟﻤﻮن 100 ﺟﻢ")</f>
        <v>ﺳﻨﺎل ﻓﻴﺘﺎﻣﻴﻨﺎت ﻣﺘﻌﺪدة ﺳﺎﻟﻤﻮن 100 ﺟﻢ</v>
      </c>
      <c r="H1728" s="133" t="str">
        <f>IFERROR(__xludf.DUMMYFUNCTION("""COMPUTED_VALUE"""),"MAFE20241628")</f>
        <v>MAFE20241628</v>
      </c>
      <c r="I1728" s="133"/>
      <c r="J1728" s="133"/>
      <c r="K1728" s="133" t="str">
        <f>IFERROR(__xludf.DUMMYFUNCTION("""COMPUTED_VALUE"""),"نيدرما بي في")</f>
        <v>نيدرما بي في</v>
      </c>
      <c r="L1728" s="133"/>
      <c r="M1728" s="133"/>
      <c r="N1728" s="133"/>
      <c r="O1728" s="133"/>
      <c r="P1728" s="133"/>
      <c r="Q1728" s="133"/>
      <c r="R1728" s="133"/>
      <c r="S1728" s="133"/>
      <c r="T1728" s="133"/>
      <c r="U1728" s="133"/>
      <c r="V1728" s="133"/>
      <c r="W1728" s="133"/>
      <c r="X1728" s="133"/>
      <c r="Y1728" s="133"/>
      <c r="Z1728" s="133"/>
    </row>
    <row r="1729">
      <c r="A1729" s="133">
        <f>IFERROR(__xludf.DUMMYFUNCTION("""COMPUTED_VALUE"""),1730.0)</f>
        <v>1730</v>
      </c>
      <c r="B1729" s="133"/>
      <c r="C1729" s="133" t="str">
        <f>IFERROR(__xludf.DUMMYFUNCTION("""COMPUTED_VALUE"""),"P-1-N-210324-1971")</f>
        <v>P-1-N-210324-1971</v>
      </c>
      <c r="D1729" s="133"/>
      <c r="E1729" s="133" t="str">
        <f>IFERROR(__xludf.DUMMYFUNCTION("""COMPUTED_VALUE"""),"تمت طباعة الشهادة")</f>
        <v>تمت طباعة الشهادة</v>
      </c>
      <c r="F1729" s="133" t="str">
        <f>IFERROR(__xludf.DUMMYFUNCTION("""COMPUTED_VALUE"""),"Dr. Clauder’s Wildlife Lamm 350g")</f>
        <v>Dr. Clauder’s Wildlife Lamm 350g</v>
      </c>
      <c r="G1729" s="133" t="str">
        <f>IFERROR(__xludf.DUMMYFUNCTION("""COMPUTED_VALUE"""),"دكتور كلاودر وايلد لايف لحم ضأن 350 جم")</f>
        <v>دكتور كلاودر وايلد لايف لحم ضأن 350 جم</v>
      </c>
      <c r="H1729" s="133" t="str">
        <f>IFERROR(__xludf.DUMMYFUNCTION("""COMPUTED_VALUE"""),"MAFE20241627")</f>
        <v>MAFE20241627</v>
      </c>
      <c r="I1729" s="133"/>
      <c r="J1729" s="133"/>
      <c r="K1729" s="133" t="str">
        <f>IFERROR(__xludf.DUMMYFUNCTION("""COMPUTED_VALUE"""),"شركة حلول د. كلودر للحيوانات الأليفة محدودة المسؤولية")</f>
        <v>شركة حلول د. كلودر للحيوانات الأليفة محدودة المسؤولية</v>
      </c>
      <c r="L1729" s="133"/>
      <c r="M1729" s="133"/>
      <c r="N1729" s="133"/>
      <c r="O1729" s="133"/>
      <c r="P1729" s="133"/>
      <c r="Q1729" s="133"/>
      <c r="R1729" s="133"/>
      <c r="S1729" s="133"/>
      <c r="T1729" s="133"/>
      <c r="U1729" s="133"/>
      <c r="V1729" s="133"/>
      <c r="W1729" s="133"/>
      <c r="X1729" s="133"/>
      <c r="Y1729" s="133"/>
      <c r="Z1729" s="133"/>
    </row>
    <row r="1730">
      <c r="A1730" s="133">
        <f>IFERROR(__xludf.DUMMYFUNCTION("""COMPUTED_VALUE"""),1731.0)</f>
        <v>1731</v>
      </c>
      <c r="B1730" s="133" t="str">
        <f>IFERROR(__xludf.DUMMYFUNCTION("""COMPUTED_VALUE"""),"21430040")</f>
        <v>21430040</v>
      </c>
      <c r="C1730" s="133" t="str">
        <f>IFERROR(__xludf.DUMMYFUNCTION("""COMPUTED_VALUE"""),"P-1-N-210324-1972")</f>
        <v>P-1-N-210324-1972</v>
      </c>
      <c r="D1730" s="133"/>
      <c r="E1730" s="133" t="str">
        <f>IFERROR(__xludf.DUMMYFUNCTION("""COMPUTED_VALUE"""),"تمت طباعة الشهادة")</f>
        <v>تمت طباعة الشهادة</v>
      </c>
      <c r="F1730" s="133" t="str">
        <f>IFERROR(__xludf.DUMMYFUNCTION("""COMPUTED_VALUE"""),"Dr. Clauder’s Best Choice Mini Adult ")</f>
        <v>Dr. Clauder’s Best Choice Mini Adult </v>
      </c>
      <c r="G1730" s="133" t="str">
        <f>IFERROR(__xludf.DUMMYFUNCTION("""COMPUTED_VALUE"""),"دكتور كلاودر أفضل خيار ميني الكبار 400 جم")</f>
        <v>دكتور كلاودر أفضل خيار ميني الكبار 400 جم</v>
      </c>
      <c r="H1730" s="133" t="str">
        <f>IFERROR(__xludf.DUMMYFUNCTION("""COMPUTED_VALUE"""),"MAFE20241626")</f>
        <v>MAFE20241626</v>
      </c>
      <c r="I1730" s="133"/>
      <c r="J1730" s="133"/>
      <c r="K1730" s="133" t="str">
        <f>IFERROR(__xludf.DUMMYFUNCTION("""COMPUTED_VALUE"""),"شركة حلول د. كلودر للحيوانات الأليفة محدودة المسؤولية")</f>
        <v>شركة حلول د. كلودر للحيوانات الأليفة محدودة المسؤولية</v>
      </c>
      <c r="L1730" s="142" t="str">
        <f>IFERROR(__xludf.DUMMYFUNCTION("""COMPUTED_VALUE"""),"21430040")</f>
        <v>21430040</v>
      </c>
      <c r="M1730" s="133"/>
      <c r="N1730" s="133"/>
      <c r="O1730" s="133"/>
      <c r="P1730" s="133"/>
      <c r="Q1730" s="133"/>
      <c r="R1730" s="133"/>
      <c r="S1730" s="133"/>
      <c r="T1730" s="133"/>
      <c r="U1730" s="133"/>
      <c r="V1730" s="133"/>
      <c r="W1730" s="133"/>
      <c r="X1730" s="133"/>
      <c r="Y1730" s="133"/>
      <c r="Z1730" s="133"/>
    </row>
    <row r="1731">
      <c r="A1731" s="133">
        <f>IFERROR(__xludf.DUMMYFUNCTION("""COMPUTED_VALUE"""),1732.0)</f>
        <v>1732</v>
      </c>
      <c r="B1731" s="133"/>
      <c r="C1731" s="133" t="str">
        <f>IFERROR(__xludf.DUMMYFUNCTION("""COMPUTED_VALUE"""),"P-1-N-210324-1973")</f>
        <v>P-1-N-210324-1973</v>
      </c>
      <c r="D1731" s="133"/>
      <c r="E1731" s="133" t="str">
        <f>IFERROR(__xludf.DUMMYFUNCTION("""COMPUTED_VALUE"""),"تمت طباعة الشهادة")</f>
        <v>تمت طباعة الشهادة</v>
      </c>
      <c r="F1731" s="133" t="str">
        <f>IFERROR(__xludf.DUMMYFUNCTION("""COMPUTED_VALUE"""),"Dr. Clauder’s Best Choice Mini Junior Lachs ")</f>
        <v>Dr. Clauder’s Best Choice Mini Junior Lachs </v>
      </c>
      <c r="G1731" s="133" t="str">
        <f>IFERROR(__xludf.DUMMYFUNCTION("""COMPUTED_VALUE"""),"دكتور كلاودر أفضل خيار ميني جونيور بسمك السلمون 400 جم")</f>
        <v>دكتور كلاودر أفضل خيار ميني جونيور بسمك السلمون 400 جم</v>
      </c>
      <c r="H1731" s="133" t="str">
        <f>IFERROR(__xludf.DUMMYFUNCTION("""COMPUTED_VALUE"""),"MAFE20241625")</f>
        <v>MAFE20241625</v>
      </c>
      <c r="I1731" s="133"/>
      <c r="J1731" s="133"/>
      <c r="K1731" s="133" t="str">
        <f>IFERROR(__xludf.DUMMYFUNCTION("""COMPUTED_VALUE"""),"شركة حلول د. كلودر للحيوانات الأليفة محدودة المسؤولية")</f>
        <v>شركة حلول د. كلودر للحيوانات الأليفة محدودة المسؤولية</v>
      </c>
      <c r="L1731" s="133"/>
      <c r="M1731" s="133"/>
      <c r="N1731" s="133"/>
      <c r="O1731" s="133"/>
      <c r="P1731" s="133"/>
      <c r="Q1731" s="133"/>
      <c r="R1731" s="133"/>
      <c r="S1731" s="133"/>
      <c r="T1731" s="133"/>
      <c r="U1731" s="133"/>
      <c r="V1731" s="133"/>
      <c r="W1731" s="133"/>
      <c r="X1731" s="133"/>
      <c r="Y1731" s="133"/>
      <c r="Z1731" s="133"/>
    </row>
    <row r="1732">
      <c r="A1732" s="133">
        <f>IFERROR(__xludf.DUMMYFUNCTION("""COMPUTED_VALUE"""),1733.0)</f>
        <v>1733</v>
      </c>
      <c r="B1732" s="133"/>
      <c r="C1732" s="133" t="str">
        <f>IFERROR(__xludf.DUMMYFUNCTION("""COMPUTED_VALUE"""),"P-1-N-210324-1974")</f>
        <v>P-1-N-210324-1974</v>
      </c>
      <c r="D1732" s="133"/>
      <c r="E1732" s="133" t="str">
        <f>IFERROR(__xludf.DUMMYFUNCTION("""COMPUTED_VALUE"""),"تمت طباعة الشهادة")</f>
        <v>تمت طباعة الشهادة</v>
      </c>
      <c r="F1732" s="133" t="str">
        <f>IFERROR(__xludf.DUMMYFUNCTION("""COMPUTED_VALUE"""),"Dr. Clauder’s Best Choice Mini Ente &amp; Kartoffel ")</f>
        <v>Dr. Clauder’s Best Choice Mini Ente &amp; Kartoffel </v>
      </c>
      <c r="G1732" s="133" t="str">
        <f>IFERROR(__xludf.DUMMYFUNCTION("""COMPUTED_VALUE"""),"دكتور كلاودر أفضل خيار ميني بط وبطاطس 400 جم")</f>
        <v>دكتور كلاودر أفضل خيار ميني بط وبطاطس 400 جم</v>
      </c>
      <c r="H1732" s="133" t="str">
        <f>IFERROR(__xludf.DUMMYFUNCTION("""COMPUTED_VALUE"""),"MAFE20241624")</f>
        <v>MAFE20241624</v>
      </c>
      <c r="I1732" s="133"/>
      <c r="J1732" s="133"/>
      <c r="K1732" s="133" t="str">
        <f>IFERROR(__xludf.DUMMYFUNCTION("""COMPUTED_VALUE"""),"شركة حلول د. كلودر للحيوانات الأليفة محدودة المسؤولية")</f>
        <v>شركة حلول د. كلودر للحيوانات الأليفة محدودة المسؤولية</v>
      </c>
      <c r="L1732" s="133"/>
      <c r="M1732" s="133"/>
      <c r="N1732" s="133"/>
      <c r="O1732" s="133"/>
      <c r="P1732" s="133"/>
      <c r="Q1732" s="133"/>
      <c r="R1732" s="133"/>
      <c r="S1732" s="133"/>
      <c r="T1732" s="133"/>
      <c r="U1732" s="133"/>
      <c r="V1732" s="133"/>
      <c r="W1732" s="133"/>
      <c r="X1732" s="133"/>
      <c r="Y1732" s="133"/>
      <c r="Z1732" s="133"/>
    </row>
    <row r="1733">
      <c r="A1733" s="133">
        <f>IFERROR(__xludf.DUMMYFUNCTION("""COMPUTED_VALUE"""),1734.0)</f>
        <v>1734</v>
      </c>
      <c r="B1733" s="133"/>
      <c r="C1733" s="133" t="str">
        <f>IFERROR(__xludf.DUMMYFUNCTION("""COMPUTED_VALUE"""),"P-1-N-210324-1975")</f>
        <v>P-1-N-210324-1975</v>
      </c>
      <c r="D1733" s="133"/>
      <c r="E1733" s="133" t="str">
        <f>IFERROR(__xludf.DUMMYFUNCTION("""COMPUTED_VALUE"""),"تمت طباعة الشهادة")</f>
        <v>تمت طباعة الشهادة</v>
      </c>
      <c r="F1733" s="133" t="str">
        <f>IFERROR(__xludf.DUMMYFUNCTION("""COMPUTED_VALUE"""),"Dr. Clauder’s WorkOut Snack mit Rind 100g")</f>
        <v>Dr. Clauder’s WorkOut Snack mit Rind 100g</v>
      </c>
      <c r="G1733" s="133" t="str">
        <f>IFERROR(__xludf.DUMMYFUNCTION("""COMPUTED_VALUE"""),"دكتور كلاودر ورك اوت وجبة خفيفة بلحم بقري 100 جم")</f>
        <v>دكتور كلاودر ورك اوت وجبة خفيفة بلحم بقري 100 جم</v>
      </c>
      <c r="H1733" s="133" t="str">
        <f>IFERROR(__xludf.DUMMYFUNCTION("""COMPUTED_VALUE"""),"MAFE20241622")</f>
        <v>MAFE20241622</v>
      </c>
      <c r="I1733" s="133"/>
      <c r="J1733" s="133"/>
      <c r="K1733" s="133" t="str">
        <f>IFERROR(__xludf.DUMMYFUNCTION("""COMPUTED_VALUE"""),"شركة حلول د. كلودر للحيوانات الأليفة محدودة المسؤولية")</f>
        <v>شركة حلول د. كلودر للحيوانات الأليفة محدودة المسؤولية</v>
      </c>
      <c r="L1733" s="133"/>
      <c r="M1733" s="133"/>
      <c r="N1733" s="133"/>
      <c r="O1733" s="133"/>
      <c r="P1733" s="133"/>
      <c r="Q1733" s="133"/>
      <c r="R1733" s="133"/>
      <c r="S1733" s="133"/>
      <c r="T1733" s="133"/>
      <c r="U1733" s="133"/>
      <c r="V1733" s="133"/>
      <c r="W1733" s="133"/>
      <c r="X1733" s="133"/>
      <c r="Y1733" s="133"/>
      <c r="Z1733" s="133"/>
    </row>
    <row r="1734">
      <c r="A1734" s="133">
        <f>IFERROR(__xludf.DUMMYFUNCTION("""COMPUTED_VALUE"""),1735.0)</f>
        <v>1735</v>
      </c>
      <c r="B1734" s="133" t="str">
        <f>IFERROR(__xludf.DUMMYFUNCTION("""COMPUTED_VALUE"""),"23620100")</f>
        <v>23620100</v>
      </c>
      <c r="C1734" s="133" t="str">
        <f>IFERROR(__xludf.DUMMYFUNCTION("""COMPUTED_VALUE"""),"P-1-N-210324-1976")</f>
        <v>P-1-N-210324-1976</v>
      </c>
      <c r="D1734" s="133"/>
      <c r="E1734" s="133" t="str">
        <f>IFERROR(__xludf.DUMMYFUNCTION("""COMPUTED_VALUE"""),"تمت طباعة الشهادة")</f>
        <v>تمت طباعة الشهادة</v>
      </c>
      <c r="F1734" s="133" t="str">
        <f>IFERROR(__xludf.DUMMYFUNCTION("""COMPUTED_VALUE"""),"Dr. Clauder’s WorkOut Snack mit Käse 100g")</f>
        <v>Dr. Clauder’s WorkOut Snack mit Käse 100g</v>
      </c>
      <c r="G1734" s="133" t="str">
        <f>IFERROR(__xludf.DUMMYFUNCTION("""COMPUTED_VALUE"""),"دكتور كلاودر ورك اوت وجبة خفيفة بالجبن 100 جم")</f>
        <v>دكتور كلاودر ورك اوت وجبة خفيفة بالجبن 100 جم</v>
      </c>
      <c r="H1734" s="133" t="str">
        <f>IFERROR(__xludf.DUMMYFUNCTION("""COMPUTED_VALUE"""),"MAFE20241546")</f>
        <v>MAFE20241546</v>
      </c>
      <c r="I1734" s="133"/>
      <c r="J1734" s="133"/>
      <c r="K1734" s="133" t="str">
        <f>IFERROR(__xludf.DUMMYFUNCTION("""COMPUTED_VALUE"""),"شركة حلول د. كلودر للحيوانات الأليفة محدودة المسؤولية")</f>
        <v>شركة حلول د. كلودر للحيوانات الأليفة محدودة المسؤولية</v>
      </c>
      <c r="L1734" s="142" t="str">
        <f>IFERROR(__xludf.DUMMYFUNCTION("""COMPUTED_VALUE"""),"23620100")</f>
        <v>23620100</v>
      </c>
      <c r="M1734" s="133"/>
      <c r="N1734" s="133"/>
      <c r="O1734" s="133"/>
      <c r="P1734" s="133"/>
      <c r="Q1734" s="133"/>
      <c r="R1734" s="133"/>
      <c r="S1734" s="133"/>
      <c r="T1734" s="133"/>
      <c r="U1734" s="133"/>
      <c r="V1734" s="133"/>
      <c r="W1734" s="133"/>
      <c r="X1734" s="133"/>
      <c r="Y1734" s="133"/>
      <c r="Z1734" s="133"/>
    </row>
    <row r="1735">
      <c r="A1735" s="133">
        <f>IFERROR(__xludf.DUMMYFUNCTION("""COMPUTED_VALUE"""),1736.0)</f>
        <v>1736</v>
      </c>
      <c r="B1735" s="133"/>
      <c r="C1735" s="133" t="str">
        <f>IFERROR(__xludf.DUMMYFUNCTION("""COMPUTED_VALUE"""),"P-1-N-210324-1977")</f>
        <v>P-1-N-210324-1977</v>
      </c>
      <c r="D1735" s="133"/>
      <c r="E1735" s="133" t="str">
        <f>IFERROR(__xludf.DUMMYFUNCTION("""COMPUTED_VALUE"""),"تمت طباعة الشهادة")</f>
        <v>تمت طباعة الشهادة</v>
      </c>
      <c r="F1735" s="133" t="str">
        <f>IFERROR(__xludf.DUMMYFUNCTION("""COMPUTED_VALUE"""),"Dr. Clauder’s WorkOut Snack mit Huhn 100g")</f>
        <v>Dr. Clauder’s WorkOut Snack mit Huhn 100g</v>
      </c>
      <c r="G1735" s="133" t="str">
        <f>IFERROR(__xludf.DUMMYFUNCTION("""COMPUTED_VALUE"""),"دكتور كلاودر ورك اوت وجبة خفيفة بالدجاج 100 جم")</f>
        <v>دكتور كلاودر ورك اوت وجبة خفيفة بالدجاج 100 جم</v>
      </c>
      <c r="H1735" s="133" t="str">
        <f>IFERROR(__xludf.DUMMYFUNCTION("""COMPUTED_VALUE"""),"MAFE20241621")</f>
        <v>MAFE20241621</v>
      </c>
      <c r="I1735" s="133"/>
      <c r="J1735" s="133"/>
      <c r="K1735" s="133" t="str">
        <f>IFERROR(__xludf.DUMMYFUNCTION("""COMPUTED_VALUE"""),"شركة حلول د. كلودر للحيوانات الأليفة محدودة المسؤولية")</f>
        <v>شركة حلول د. كلودر للحيوانات الأليفة محدودة المسؤولية</v>
      </c>
      <c r="L1735" s="133"/>
      <c r="M1735" s="133"/>
      <c r="N1735" s="133"/>
      <c r="O1735" s="133"/>
      <c r="P1735" s="133"/>
      <c r="Q1735" s="133"/>
      <c r="R1735" s="133"/>
      <c r="S1735" s="133"/>
      <c r="T1735" s="133"/>
      <c r="U1735" s="133"/>
      <c r="V1735" s="133"/>
      <c r="W1735" s="133"/>
      <c r="X1735" s="133"/>
      <c r="Y1735" s="133"/>
      <c r="Z1735" s="133"/>
    </row>
    <row r="1736">
      <c r="A1736" s="133">
        <f>IFERROR(__xludf.DUMMYFUNCTION("""COMPUTED_VALUE"""),1737.0)</f>
        <v>1737</v>
      </c>
      <c r="B1736" s="133"/>
      <c r="C1736" s="133" t="str">
        <f>IFERROR(__xludf.DUMMYFUNCTION("""COMPUTED_VALUE"""),"P-1-N-210324-1978")</f>
        <v>P-1-N-210324-1978</v>
      </c>
      <c r="D1736" s="133"/>
      <c r="E1736" s="133" t="str">
        <f>IFERROR(__xludf.DUMMYFUNCTION("""COMPUTED_VALUE"""),"تمت طباعة الشهادة")</f>
        <v>تمت طباعة الشهادة</v>
      </c>
      <c r="F1736" s="133" t="str">
        <f>IFERROR(__xludf.DUMMYFUNCTION("""COMPUTED_VALUE"""),"Dr. Clauder’s WorkOut Snack Energy Power Fresh 100g")</f>
        <v>Dr. Clauder’s WorkOut Snack Energy Power Fresh 100g</v>
      </c>
      <c r="G1736" s="133" t="str">
        <f>IFERROR(__xludf.DUMMYFUNCTION("""COMPUTED_VALUE"""),"دكتور كلاودر ورك اوت وجبة خفيفة انرجي باور فريش 100 جم")</f>
        <v>دكتور كلاودر ورك اوت وجبة خفيفة انرجي باور فريش 100 جم</v>
      </c>
      <c r="H1736" s="133" t="str">
        <f>IFERROR(__xludf.DUMMYFUNCTION("""COMPUTED_VALUE"""),"MAFE20241538")</f>
        <v>MAFE20241538</v>
      </c>
      <c r="I1736" s="133"/>
      <c r="J1736" s="133"/>
      <c r="K1736" s="133" t="str">
        <f>IFERROR(__xludf.DUMMYFUNCTION("""COMPUTED_VALUE"""),"شركة حلول د. كلودر للحيوانات الأليفة محدودة المسؤولية")</f>
        <v>شركة حلول د. كلودر للحيوانات الأليفة محدودة المسؤولية</v>
      </c>
      <c r="L1736" s="133"/>
      <c r="M1736" s="133"/>
      <c r="N1736" s="133"/>
      <c r="O1736" s="133"/>
      <c r="P1736" s="133"/>
      <c r="Q1736" s="133"/>
      <c r="R1736" s="133"/>
      <c r="S1736" s="133"/>
      <c r="T1736" s="133"/>
      <c r="U1736" s="133"/>
      <c r="V1736" s="133"/>
      <c r="W1736" s="133"/>
      <c r="X1736" s="133"/>
      <c r="Y1736" s="133"/>
      <c r="Z1736" s="133"/>
    </row>
    <row r="1737">
      <c r="A1737" s="133">
        <f>IFERROR(__xludf.DUMMYFUNCTION("""COMPUTED_VALUE"""),1738.0)</f>
        <v>1738</v>
      </c>
      <c r="B1737" s="133"/>
      <c r="C1737" s="133" t="str">
        <f>IFERROR(__xludf.DUMMYFUNCTION("""COMPUTED_VALUE"""),"P-1-N-210324-1979")</f>
        <v>P-1-N-210324-1979</v>
      </c>
      <c r="D1737" s="133"/>
      <c r="E1737" s="133" t="str">
        <f>IFERROR(__xludf.DUMMYFUNCTION("""COMPUTED_VALUE"""),"تمت طباعة الشهادة")</f>
        <v>تمت طباعة الشهادة</v>
      </c>
      <c r="F1737" s="133" t="str">
        <f>IFERROR(__xludf.DUMMYFUNCTION("""COMPUTED_VALUE"""),"Dr. Clauder’s WorkOut Snack mit Lamm 100g")</f>
        <v>Dr. Clauder’s WorkOut Snack mit Lamm 100g</v>
      </c>
      <c r="G1737" s="133" t="str">
        <f>IFERROR(__xludf.DUMMYFUNCTION("""COMPUTED_VALUE"""),"دكتور كلاودر ورك اوت وجبة خفيفة بلحم الضأن 100 جم")</f>
        <v>دكتور كلاودر ورك اوت وجبة خفيفة بلحم الضأن 100 جم</v>
      </c>
      <c r="H1737" s="133" t="str">
        <f>IFERROR(__xludf.DUMMYFUNCTION("""COMPUTED_VALUE"""),"MAFE20241544")</f>
        <v>MAFE20241544</v>
      </c>
      <c r="I1737" s="133"/>
      <c r="J1737" s="133"/>
      <c r="K1737" s="133" t="str">
        <f>IFERROR(__xludf.DUMMYFUNCTION("""COMPUTED_VALUE"""),"شركة حلول د. كلودر للحيوانات الأليفة محدودة المسؤولية")</f>
        <v>شركة حلول د. كلودر للحيوانات الأليفة محدودة المسؤولية</v>
      </c>
      <c r="L1737" s="133"/>
      <c r="M1737" s="133"/>
      <c r="N1737" s="133"/>
      <c r="O1737" s="133"/>
      <c r="P1737" s="133"/>
      <c r="Q1737" s="133"/>
      <c r="R1737" s="133"/>
      <c r="S1737" s="133"/>
      <c r="T1737" s="133"/>
      <c r="U1737" s="133"/>
      <c r="V1737" s="133"/>
      <c r="W1737" s="133"/>
      <c r="X1737" s="133"/>
      <c r="Y1737" s="133"/>
      <c r="Z1737" s="133"/>
    </row>
    <row r="1738">
      <c r="A1738" s="133">
        <f>IFERROR(__xludf.DUMMYFUNCTION("""COMPUTED_VALUE"""),1739.0)</f>
        <v>1739</v>
      </c>
      <c r="B1738" s="133"/>
      <c r="C1738" s="133" t="str">
        <f>IFERROR(__xludf.DUMMYFUNCTION("""COMPUTED_VALUE"""),"P-1-N-210324-1980")</f>
        <v>P-1-N-210324-1980</v>
      </c>
      <c r="D1738" s="133"/>
      <c r="E1738" s="133" t="str">
        <f>IFERROR(__xludf.DUMMYFUNCTION("""COMPUTED_VALUE"""),"تمت طباعة الشهادة")</f>
        <v>تمت طباعة الشهادة</v>
      </c>
      <c r="F1738" s="133" t="str">
        <f>IFERROR(__xludf.DUMMYFUNCTION("""COMPUTED_VALUE"""),"Dr. Clauder’s WorkOut Snack Multivitamin 100g")</f>
        <v>Dr. Clauder’s WorkOut Snack Multivitamin 100g</v>
      </c>
      <c r="G1738" s="133" t="str">
        <f>IFERROR(__xludf.DUMMYFUNCTION("""COMPUTED_VALUE"""),"دكتور كلاودر ورك اوت وجبة خفيفة مع الفيتامينات المتعددة 100 جم")</f>
        <v>دكتور كلاودر ورك اوت وجبة خفيفة مع الفيتامينات المتعددة 100 جم</v>
      </c>
      <c r="H1738" s="133" t="str">
        <f>IFERROR(__xludf.DUMMYFUNCTION("""COMPUTED_VALUE"""),"MAFE20241541")</f>
        <v>MAFE20241541</v>
      </c>
      <c r="I1738" s="133"/>
      <c r="J1738" s="133"/>
      <c r="K1738" s="133" t="str">
        <f>IFERROR(__xludf.DUMMYFUNCTION("""COMPUTED_VALUE"""),"شركة حلول د. كلودر للحيوانات الأليفة محدودة المسؤولية")</f>
        <v>شركة حلول د. كلودر للحيوانات الأليفة محدودة المسؤولية</v>
      </c>
      <c r="L1738" s="133"/>
      <c r="M1738" s="133"/>
      <c r="N1738" s="133"/>
      <c r="O1738" s="133"/>
      <c r="P1738" s="133"/>
      <c r="Q1738" s="133"/>
      <c r="R1738" s="133"/>
      <c r="S1738" s="133"/>
      <c r="T1738" s="133"/>
      <c r="U1738" s="133"/>
      <c r="V1738" s="133"/>
      <c r="W1738" s="133"/>
      <c r="X1738" s="133"/>
      <c r="Y1738" s="133"/>
      <c r="Z1738" s="133"/>
    </row>
    <row r="1739">
      <c r="A1739" s="133">
        <f>IFERROR(__xludf.DUMMYFUNCTION("""COMPUTED_VALUE"""),1740.0)</f>
        <v>1740</v>
      </c>
      <c r="B1739" s="133"/>
      <c r="C1739" s="133" t="str">
        <f>IFERROR(__xludf.DUMMYFUNCTION("""COMPUTED_VALUE"""),"P-1-N-210324-1981")</f>
        <v>P-1-N-210324-1981</v>
      </c>
      <c r="D1739" s="133"/>
      <c r="E1739" s="133" t="str">
        <f>IFERROR(__xludf.DUMMYFUNCTION("""COMPUTED_VALUE"""),"تمت طباعة الشهادة")</f>
        <v>تمت طباعة الشهادة</v>
      </c>
      <c r="F1739" s="133" t="str">
        <f>IFERROR(__xludf.DUMMYFUNCTION("""COMPUTED_VALUE"""),"Dr. Clauder’s WorkOut Snack mit Lachs 100g")</f>
        <v>Dr. Clauder’s WorkOut Snack mit Lachs 100g</v>
      </c>
      <c r="G1739" s="133" t="str">
        <f>IFERROR(__xludf.DUMMYFUNCTION("""COMPUTED_VALUE"""),"دكتور كلاودر ورك اوت وجبة خفيفة بسمك السالمون 100 جم")</f>
        <v>دكتور كلاودر ورك اوت وجبة خفيفة بسمك السالمون 100 جم</v>
      </c>
      <c r="H1739" s="133" t="str">
        <f>IFERROR(__xludf.DUMMYFUNCTION("""COMPUTED_VALUE"""),"MAFE20241543")</f>
        <v>MAFE20241543</v>
      </c>
      <c r="I1739" s="133"/>
      <c r="J1739" s="133"/>
      <c r="K1739" s="133" t="str">
        <f>IFERROR(__xludf.DUMMYFUNCTION("""COMPUTED_VALUE"""),"شركة حلول د. كلودر للحيوانات الأليفة محدودة المسؤولية")</f>
        <v>شركة حلول د. كلودر للحيوانات الأليفة محدودة المسؤولية</v>
      </c>
      <c r="L1739" s="133"/>
      <c r="M1739" s="133"/>
      <c r="N1739" s="133"/>
      <c r="O1739" s="133"/>
      <c r="P1739" s="133"/>
      <c r="Q1739" s="133"/>
      <c r="R1739" s="133"/>
      <c r="S1739" s="133"/>
      <c r="T1739" s="133"/>
      <c r="U1739" s="133"/>
      <c r="V1739" s="133"/>
      <c r="W1739" s="133"/>
      <c r="X1739" s="133"/>
      <c r="Y1739" s="133"/>
      <c r="Z1739" s="133"/>
    </row>
    <row r="1740">
      <c r="A1740" s="133">
        <f>IFERROR(__xludf.DUMMYFUNCTION("""COMPUTED_VALUE"""),1741.0)</f>
        <v>1741</v>
      </c>
      <c r="B1740" s="133"/>
      <c r="C1740" s="133" t="str">
        <f>IFERROR(__xludf.DUMMYFUNCTION("""COMPUTED_VALUE"""),"P-1-N-210324-1982")</f>
        <v>P-1-N-210324-1982</v>
      </c>
      <c r="D1740" s="133"/>
      <c r="E1740" s="133" t="str">
        <f>IFERROR(__xludf.DUMMYFUNCTION("""COMPUTED_VALUE"""),"تمت طباعة الشهادة")</f>
        <v>تمت طباعة الشهادة</v>
      </c>
      <c r="F1740" s="133" t="str">
        <f>IFERROR(__xludf.DUMMYFUNCTION("""COMPUTED_VALUE"""),"Dr. Clauder’s SnackIT Geflügellebercreme 75g")</f>
        <v>Dr. Clauder’s SnackIT Geflügellebercreme 75g</v>
      </c>
      <c r="G1740" s="133" t="str">
        <f>IFERROR(__xludf.DUMMYFUNCTION("""COMPUTED_VALUE"""),"دكتور كلاودر سناك ايت كريمة كبد الدواجن 75 جم")</f>
        <v>دكتور كلاودر سناك ايت كريمة كبد الدواجن 75 جم</v>
      </c>
      <c r="H1740" s="133" t="str">
        <f>IFERROR(__xludf.DUMMYFUNCTION("""COMPUTED_VALUE"""),"MAFE20241540")</f>
        <v>MAFE20241540</v>
      </c>
      <c r="I1740" s="133"/>
      <c r="J1740" s="133"/>
      <c r="K1740" s="133" t="str">
        <f>IFERROR(__xludf.DUMMYFUNCTION("""COMPUTED_VALUE"""),"شركة حلول د. كلودر للحيوانات الأليفة محدودة المسؤولية")</f>
        <v>شركة حلول د. كلودر للحيوانات الأليفة محدودة المسؤولية</v>
      </c>
      <c r="L1740" s="133"/>
      <c r="M1740" s="133"/>
      <c r="N1740" s="133"/>
      <c r="O1740" s="133"/>
      <c r="P1740" s="133"/>
      <c r="Q1740" s="133"/>
      <c r="R1740" s="133"/>
      <c r="S1740" s="133"/>
      <c r="T1740" s="133"/>
      <c r="U1740" s="133"/>
      <c r="V1740" s="133"/>
      <c r="W1740" s="133"/>
      <c r="X1740" s="133"/>
      <c r="Y1740" s="133"/>
      <c r="Z1740" s="133"/>
    </row>
    <row r="1741">
      <c r="A1741" s="133">
        <f>IFERROR(__xludf.DUMMYFUNCTION("""COMPUTED_VALUE"""),1742.0)</f>
        <v>1742</v>
      </c>
      <c r="B1741" s="133"/>
      <c r="C1741" s="133" t="str">
        <f>IFERROR(__xludf.DUMMYFUNCTION("""COMPUTED_VALUE"""),"P-1-N-210324-1983")</f>
        <v>P-1-N-210324-1983</v>
      </c>
      <c r="D1741" s="133"/>
      <c r="E1741" s="133" t="str">
        <f>IFERROR(__xludf.DUMMYFUNCTION("""COMPUTED_VALUE"""),"تمت طباعة الشهادة")</f>
        <v>تمت طباعة الشهادة</v>
      </c>
      <c r="F1741" s="133" t="str">
        <f>IFERROR(__xludf.DUMMYFUNCTION("""COMPUTED_VALUE"""),"Dr. Clauder’s SnackIT Lachscreme 75g")</f>
        <v>Dr. Clauder’s SnackIT Lachscreme 75g</v>
      </c>
      <c r="G1741" s="133" t="str">
        <f>IFERROR(__xludf.DUMMYFUNCTION("""COMPUTED_VALUE"""),"دكتور كلاودر سناك ايت كريمة سمك السلمون 75 جم")</f>
        <v>دكتور كلاودر سناك ايت كريمة سمك السلمون 75 جم</v>
      </c>
      <c r="H1741" s="133" t="str">
        <f>IFERROR(__xludf.DUMMYFUNCTION("""COMPUTED_VALUE"""),"MAFE20241537")</f>
        <v>MAFE20241537</v>
      </c>
      <c r="I1741" s="133"/>
      <c r="J1741" s="133"/>
      <c r="K1741" s="133" t="str">
        <f>IFERROR(__xludf.DUMMYFUNCTION("""COMPUTED_VALUE"""),"شركة حلول د. كلودر للحيوانات الأليفة محدودة المسؤولية")</f>
        <v>شركة حلول د. كلودر للحيوانات الأليفة محدودة المسؤولية</v>
      </c>
      <c r="L1741" s="133"/>
      <c r="M1741" s="133"/>
      <c r="N1741" s="133"/>
      <c r="O1741" s="133"/>
      <c r="P1741" s="133"/>
      <c r="Q1741" s="133"/>
      <c r="R1741" s="133"/>
      <c r="S1741" s="133"/>
      <c r="T1741" s="133"/>
      <c r="U1741" s="133"/>
      <c r="V1741" s="133"/>
      <c r="W1741" s="133"/>
      <c r="X1741" s="133"/>
      <c r="Y1741" s="133"/>
      <c r="Z1741" s="133"/>
    </row>
    <row r="1742">
      <c r="A1742" s="133">
        <f>IFERROR(__xludf.DUMMYFUNCTION("""COMPUTED_VALUE"""),1743.0)</f>
        <v>1743</v>
      </c>
      <c r="B1742" s="133"/>
      <c r="C1742" s="133" t="str">
        <f>IFERROR(__xludf.DUMMYFUNCTION("""COMPUTED_VALUE"""),"P-1-N-210324-1984")</f>
        <v>P-1-N-210324-1984</v>
      </c>
      <c r="D1742" s="133"/>
      <c r="E1742" s="133" t="str">
        <f>IFERROR(__xludf.DUMMYFUNCTION("""COMPUTED_VALUE"""),"تمت طباعة الشهادة")</f>
        <v>تمت طباعة الشهادة</v>
      </c>
      <c r="F1742" s="133" t="str">
        <f>IFERROR(__xludf.DUMMYFUNCTION("""COMPUTED_VALUE"""),"Dr. Clauder’s F&amp;C Hündin &amp; Welpenemulsion 150g")</f>
        <v>Dr. Clauder’s F&amp;C Hündin &amp; Welpenemulsion 150g</v>
      </c>
      <c r="G1742" s="133" t="str">
        <f>IFERROR(__xludf.DUMMYFUNCTION("""COMPUTED_VALUE"""),"دكتور كلاودر إف آند سي مستحلب للكلاب والجراء 150 جم")</f>
        <v>دكتور كلاودر إف آند سي مستحلب للكلاب والجراء 150 جم</v>
      </c>
      <c r="H1742" s="133" t="str">
        <f>IFERROR(__xludf.DUMMYFUNCTION("""COMPUTED_VALUE"""),"MAFE20241539")</f>
        <v>MAFE20241539</v>
      </c>
      <c r="I1742" s="133"/>
      <c r="J1742" s="133"/>
      <c r="K1742" s="133" t="str">
        <f>IFERROR(__xludf.DUMMYFUNCTION("""COMPUTED_VALUE"""),"شركة حلول د. كلودر للحيوانات الأليفة محدودة المسؤولية")</f>
        <v>شركة حلول د. كلودر للحيوانات الأليفة محدودة المسؤولية</v>
      </c>
      <c r="L1742" s="133"/>
      <c r="M1742" s="133"/>
      <c r="N1742" s="133"/>
      <c r="O1742" s="133"/>
      <c r="P1742" s="133"/>
      <c r="Q1742" s="133"/>
      <c r="R1742" s="133"/>
      <c r="S1742" s="133"/>
      <c r="T1742" s="133"/>
      <c r="U1742" s="133"/>
      <c r="V1742" s="133"/>
      <c r="W1742" s="133"/>
      <c r="X1742" s="133"/>
      <c r="Y1742" s="133"/>
      <c r="Z1742" s="133"/>
    </row>
    <row r="1743">
      <c r="A1743" s="133">
        <f>IFERROR(__xludf.DUMMYFUNCTION("""COMPUTED_VALUE"""),1744.0)</f>
        <v>1744</v>
      </c>
      <c r="B1743" s="133"/>
      <c r="C1743" s="133" t="str">
        <f>IFERROR(__xludf.DUMMYFUNCTION("""COMPUTED_VALUE"""),"P-1-N-210324-1985")</f>
        <v>P-1-N-210324-1985</v>
      </c>
      <c r="D1743" s="133"/>
      <c r="E1743" s="133" t="str">
        <f>IFERROR(__xludf.DUMMYFUNCTION("""COMPUTED_VALUE"""),"تمت طباعة الشهادة")</f>
        <v>تمت طباعة الشهادة</v>
      </c>
      <c r="F1743" s="133" t="str">
        <f>IFERROR(__xludf.DUMMYFUNCTION("""COMPUTED_VALUE"""),"Dr. Clauder’s SnackIT Lachscreme 75g")</f>
        <v>Dr. Clauder’s SnackIT Lachscreme 75g</v>
      </c>
      <c r="G1743" s="133" t="str">
        <f>IFERROR(__xludf.DUMMYFUNCTION("""COMPUTED_VALUE"""),"دكتور كلاودر سناك ايت كريمة سمك السلمون 75 جم")</f>
        <v>دكتور كلاودر سناك ايت كريمة سمك السلمون 75 جم</v>
      </c>
      <c r="H1743" s="133" t="str">
        <f>IFERROR(__xludf.DUMMYFUNCTION("""COMPUTED_VALUE"""),"MAFE20241536")</f>
        <v>MAFE20241536</v>
      </c>
      <c r="I1743" s="133"/>
      <c r="J1743" s="133"/>
      <c r="K1743" s="133" t="str">
        <f>IFERROR(__xludf.DUMMYFUNCTION("""COMPUTED_VALUE"""),"شركة حلول د. كلودر للحيوانات الأليفة محدودة المسؤولية")</f>
        <v>شركة حلول د. كلودر للحيوانات الأليفة محدودة المسؤولية</v>
      </c>
      <c r="L1743" s="133"/>
      <c r="M1743" s="133"/>
      <c r="N1743" s="133"/>
      <c r="O1743" s="133"/>
      <c r="P1743" s="133"/>
      <c r="Q1743" s="133"/>
      <c r="R1743" s="133"/>
      <c r="S1743" s="133"/>
      <c r="T1743" s="133"/>
      <c r="U1743" s="133"/>
      <c r="V1743" s="133"/>
      <c r="W1743" s="133"/>
      <c r="X1743" s="133"/>
      <c r="Y1743" s="133"/>
      <c r="Z1743" s="133"/>
    </row>
    <row r="1744">
      <c r="A1744" s="133">
        <f>IFERROR(__xludf.DUMMYFUNCTION("""COMPUTED_VALUE"""),1745.0)</f>
        <v>1745</v>
      </c>
      <c r="B1744" s="133"/>
      <c r="C1744" s="133" t="str">
        <f>IFERROR(__xludf.DUMMYFUNCTION("""COMPUTED_VALUE"""),"P-1-N-210324-1986")</f>
        <v>P-1-N-210324-1986</v>
      </c>
      <c r="D1744" s="133"/>
      <c r="E1744" s="133" t="str">
        <f>IFERROR(__xludf.DUMMYFUNCTION("""COMPUTED_VALUE"""),"تمت طباعة الشهادة")</f>
        <v>تمت طباعة الشهادة</v>
      </c>
      <c r="F1744" s="133" t="str">
        <f>IFERROR(__xludf.DUMMYFUNCTION("""COMPUTED_VALUE"""),"Dr. Clauder’s SnackIT Light Anti-Hairball paste 100g")</f>
        <v>Dr. Clauder’s SnackIT Light Anti-Hairball paste 100g</v>
      </c>
      <c r="G1744" s="133" t="str">
        <f>IFERROR(__xludf.DUMMYFUNCTION("""COMPUTED_VALUE"""),"دكتور كلاودر سناك ايت لايت انتي هيربول بست 100 جم")</f>
        <v>دكتور كلاودر سناك ايت لايت انتي هيربول بست 100 جم</v>
      </c>
      <c r="H1744" s="133" t="str">
        <f>IFERROR(__xludf.DUMMYFUNCTION("""COMPUTED_VALUE"""),"MAFE20241534")</f>
        <v>MAFE20241534</v>
      </c>
      <c r="I1744" s="133"/>
      <c r="J1744" s="133"/>
      <c r="K1744" s="133" t="str">
        <f>IFERROR(__xludf.DUMMYFUNCTION("""COMPUTED_VALUE"""),"شركة حلول د. كلودر للحيوانات الأليفة محدودة المسؤولية")</f>
        <v>شركة حلول د. كلودر للحيوانات الأليفة محدودة المسؤولية</v>
      </c>
      <c r="L1744" s="133"/>
      <c r="M1744" s="133"/>
      <c r="N1744" s="133"/>
      <c r="O1744" s="133"/>
      <c r="P1744" s="133"/>
      <c r="Q1744" s="133"/>
      <c r="R1744" s="133"/>
      <c r="S1744" s="133"/>
      <c r="T1744" s="133"/>
      <c r="U1744" s="133"/>
      <c r="V1744" s="133"/>
      <c r="W1744" s="133"/>
      <c r="X1744" s="133"/>
      <c r="Y1744" s="133"/>
      <c r="Z1744" s="133"/>
    </row>
    <row r="1745">
      <c r="A1745" s="133">
        <f>IFERROR(__xludf.DUMMYFUNCTION("""COMPUTED_VALUE"""),1746.0)</f>
        <v>1746</v>
      </c>
      <c r="B1745" s="133"/>
      <c r="C1745" s="133" t="str">
        <f>IFERROR(__xludf.DUMMYFUNCTION("""COMPUTED_VALUE"""),"P-1-N-210324-1987")</f>
        <v>P-1-N-210324-1987</v>
      </c>
      <c r="D1745" s="133"/>
      <c r="E1745" s="133" t="str">
        <f>IFERROR(__xludf.DUMMYFUNCTION("""COMPUTED_VALUE"""),"تمت طباعة الشهادة")</f>
        <v>تمت طباعة الشهادة</v>
      </c>
      <c r="F1745" s="133" t="str">
        <f>IFERROR(__xludf.DUMMYFUNCTION("""COMPUTED_VALUE"""),"Dr. Clauder’s SnackIT Light Käsecreme 100g")</f>
        <v>Dr. Clauder’s SnackIT Light Käsecreme 100g</v>
      </c>
      <c r="G1745" s="133" t="str">
        <f>IFERROR(__xludf.DUMMYFUNCTION("""COMPUTED_VALUE"""),"دكتور كلاودر سناك ايت لايت جبنة كريمة 100 جم")</f>
        <v>دكتور كلاودر سناك ايت لايت جبنة كريمة 100 جم</v>
      </c>
      <c r="H1745" s="133" t="str">
        <f>IFERROR(__xludf.DUMMYFUNCTION("""COMPUTED_VALUE"""),"MAFE20241535")</f>
        <v>MAFE20241535</v>
      </c>
      <c r="I1745" s="133"/>
      <c r="J1745" s="133"/>
      <c r="K1745" s="133" t="str">
        <f>IFERROR(__xludf.DUMMYFUNCTION("""COMPUTED_VALUE"""),"شركة حلول د. كلودر للحيوانات الأليفة محدودة المسؤولية")</f>
        <v>شركة حلول د. كلودر للحيوانات الأليفة محدودة المسؤولية</v>
      </c>
      <c r="L1745" s="133"/>
      <c r="M1745" s="133"/>
      <c r="N1745" s="133"/>
      <c r="O1745" s="133"/>
      <c r="P1745" s="133"/>
      <c r="Q1745" s="133"/>
      <c r="R1745" s="133"/>
      <c r="S1745" s="133"/>
      <c r="T1745" s="133"/>
      <c r="U1745" s="133"/>
      <c r="V1745" s="133"/>
      <c r="W1745" s="133"/>
      <c r="X1745" s="133"/>
      <c r="Y1745" s="133"/>
      <c r="Z1745" s="133"/>
    </row>
    <row r="1746">
      <c r="A1746" s="133">
        <f>IFERROR(__xludf.DUMMYFUNCTION("""COMPUTED_VALUE"""),1747.0)</f>
        <v>1747</v>
      </c>
      <c r="B1746" s="133"/>
      <c r="C1746" s="133" t="str">
        <f>IFERROR(__xludf.DUMMYFUNCTION("""COMPUTED_VALUE"""),"P-1-N-210324-1988")</f>
        <v>P-1-N-210324-1988</v>
      </c>
      <c r="D1746" s="133"/>
      <c r="E1746" s="133" t="str">
        <f>IFERROR(__xludf.DUMMYFUNCTION("""COMPUTED_VALUE"""),"تمت طباعة الشهادة")</f>
        <v>تمت طباعة الشهادة</v>
      </c>
      <c r="F1746" s="133" t="str">
        <f>IFERROR(__xludf.DUMMYFUNCTION("""COMPUTED_VALUE"""),"Dr. Clauder’s SnackIT Light Multivitamin 100g")</f>
        <v>Dr. Clauder’s SnackIT Light Multivitamin 100g</v>
      </c>
      <c r="G1746" s="133" t="str">
        <f>IFERROR(__xludf.DUMMYFUNCTION("""COMPUTED_VALUE"""),"دكتور كلاودر سناك ايت لايت متعدد الفيتامينات 100 جم")</f>
        <v>دكتور كلاودر سناك ايت لايت متعدد الفيتامينات 100 جم</v>
      </c>
      <c r="H1746" s="133" t="str">
        <f>IFERROR(__xludf.DUMMYFUNCTION("""COMPUTED_VALUE"""),"MAFE20241533")</f>
        <v>MAFE20241533</v>
      </c>
      <c r="I1746" s="133"/>
      <c r="J1746" s="133"/>
      <c r="K1746" s="133" t="str">
        <f>IFERROR(__xludf.DUMMYFUNCTION("""COMPUTED_VALUE"""),"شركة حلول د. كلودر للحيوانات الأليفة محدودة المسؤولية")</f>
        <v>شركة حلول د. كلودر للحيوانات الأليفة محدودة المسؤولية</v>
      </c>
      <c r="L1746" s="133"/>
      <c r="M1746" s="133"/>
      <c r="N1746" s="133"/>
      <c r="O1746" s="133"/>
      <c r="P1746" s="133"/>
      <c r="Q1746" s="133"/>
      <c r="R1746" s="133"/>
      <c r="S1746" s="133"/>
      <c r="T1746" s="133"/>
      <c r="U1746" s="133"/>
      <c r="V1746" s="133"/>
      <c r="W1746" s="133"/>
      <c r="X1746" s="133"/>
      <c r="Y1746" s="133"/>
      <c r="Z1746" s="133"/>
    </row>
    <row r="1747">
      <c r="A1747" s="133">
        <f>IFERROR(__xludf.DUMMYFUNCTION("""COMPUTED_VALUE"""),1748.0)</f>
        <v>1748</v>
      </c>
      <c r="B1747" s="133"/>
      <c r="C1747" s="133" t="str">
        <f>IFERROR(__xludf.DUMMYFUNCTION("""COMPUTED_VALUE"""),"P-1-N-210324-1989")</f>
        <v>P-1-N-210324-1989</v>
      </c>
      <c r="D1747" s="133"/>
      <c r="E1747" s="133" t="str">
        <f>IFERROR(__xludf.DUMMYFUNCTION("""COMPUTED_VALUE"""),"تمت طباعة الشهادة")</f>
        <v>تمت طباعة الشهادة</v>
      </c>
      <c r="F1747" s="133" t="str">
        <f>IFERROR(__xludf.DUMMYFUNCTION("""COMPUTED_VALUE"""),"Dr. Clauder’s SnackIT Light Lachscreme 100g")</f>
        <v>Dr. Clauder’s SnackIT Light Lachscreme 100g</v>
      </c>
      <c r="G1747" s="133" t="str">
        <f>IFERROR(__xludf.DUMMYFUNCTION("""COMPUTED_VALUE"""),"دكتور كلاودر سناك ايت لايت كريمة السلمون 100 جم")</f>
        <v>دكتور كلاودر سناك ايت لايت كريمة السلمون 100 جم</v>
      </c>
      <c r="H1747" s="133" t="str">
        <f>IFERROR(__xludf.DUMMYFUNCTION("""COMPUTED_VALUE"""),"MAFE20241532")</f>
        <v>MAFE20241532</v>
      </c>
      <c r="I1747" s="133"/>
      <c r="J1747" s="133"/>
      <c r="K1747" s="133" t="str">
        <f>IFERROR(__xludf.DUMMYFUNCTION("""COMPUTED_VALUE"""),"شركة حلول د. كلودر للحيوانات الأليفة محدودة المسؤولية")</f>
        <v>شركة حلول د. كلودر للحيوانات الأليفة محدودة المسؤولية</v>
      </c>
      <c r="L1747" s="133"/>
      <c r="M1747" s="133"/>
      <c r="N1747" s="133"/>
      <c r="O1747" s="133"/>
      <c r="P1747" s="133"/>
      <c r="Q1747" s="133"/>
      <c r="R1747" s="133"/>
      <c r="S1747" s="133"/>
      <c r="T1747" s="133"/>
      <c r="U1747" s="133"/>
      <c r="V1747" s="133"/>
      <c r="W1747" s="133"/>
      <c r="X1747" s="133"/>
      <c r="Y1747" s="133"/>
      <c r="Z1747" s="133"/>
    </row>
    <row r="1748">
      <c r="A1748" s="133">
        <f>IFERROR(__xludf.DUMMYFUNCTION("""COMPUTED_VALUE"""),1749.0)</f>
        <v>1749</v>
      </c>
      <c r="B1748" s="133"/>
      <c r="C1748" s="133" t="str">
        <f>IFERROR(__xludf.DUMMYFUNCTION("""COMPUTED_VALUE"""),"P-1-N-210324-1990")</f>
        <v>P-1-N-210324-1990</v>
      </c>
      <c r="D1748" s="133"/>
      <c r="E1748" s="133" t="str">
        <f>IFERROR(__xludf.DUMMYFUNCTION("""COMPUTED_VALUE"""),"تمت طباعة الشهادة")</f>
        <v>تمت طباعة الشهادة</v>
      </c>
      <c r="F1748" s="133" t="str">
        <f>IFERROR(__xludf.DUMMYFUNCTION("""COMPUTED_VALUE"""),"DC F&amp;C Anti Hairball paste 100g")</f>
        <v>DC F&amp;C Anti Hairball paste 100g</v>
      </c>
      <c r="G1748" s="133" t="str">
        <f>IFERROR(__xludf.DUMMYFUNCTION("""COMPUTED_VALUE"""),"دكتور كلاودر إف آند سي انتي هيربول بست مع التورين 100 جم")</f>
        <v>دكتور كلاودر إف آند سي انتي هيربول بست مع التورين 100 جم</v>
      </c>
      <c r="H1748" s="133" t="str">
        <f>IFERROR(__xludf.DUMMYFUNCTION("""COMPUTED_VALUE"""),"MAFE20241531")</f>
        <v>MAFE20241531</v>
      </c>
      <c r="I1748" s="133"/>
      <c r="J1748" s="133"/>
      <c r="K1748" s="133" t="str">
        <f>IFERROR(__xludf.DUMMYFUNCTION("""COMPUTED_VALUE"""),"شركة حلول د. كلودر للحيوانات الأليفة محدودة المسؤولية")</f>
        <v>شركة حلول د. كلودر للحيوانات الأليفة محدودة المسؤولية</v>
      </c>
      <c r="L1748" s="133"/>
      <c r="M1748" s="133"/>
      <c r="N1748" s="133"/>
      <c r="O1748" s="133"/>
      <c r="P1748" s="133"/>
      <c r="Q1748" s="133"/>
      <c r="R1748" s="133"/>
      <c r="S1748" s="133"/>
      <c r="T1748" s="133"/>
      <c r="U1748" s="133"/>
      <c r="V1748" s="133"/>
      <c r="W1748" s="133"/>
      <c r="X1748" s="133"/>
      <c r="Y1748" s="133"/>
      <c r="Z1748" s="133"/>
    </row>
    <row r="1749">
      <c r="A1749" s="133">
        <f>IFERROR(__xludf.DUMMYFUNCTION("""COMPUTED_VALUE"""),1750.0)</f>
        <v>1750</v>
      </c>
      <c r="B1749" s="133"/>
      <c r="C1749" s="133" t="str">
        <f>IFERROR(__xludf.DUMMYFUNCTION("""COMPUTED_VALUE"""),"P-1-N-210324-1991")</f>
        <v>P-1-N-210324-1991</v>
      </c>
      <c r="D1749" s="133"/>
      <c r="E1749" s="133" t="str">
        <f>IFERROR(__xludf.DUMMYFUNCTION("""COMPUTED_VALUE"""),"تمت طباعة الشهادة")</f>
        <v>تمت طباعة الشهادة</v>
      </c>
      <c r="F1749" s="133" t="str">
        <f>IFERROR(__xludf.DUMMYFUNCTION("""COMPUTED_VALUE"""),"Dr. Clauder’s F&amp;C Fell Plus Serum 100ml")</f>
        <v>Dr. Clauder’s F&amp;C Fell Plus Serum 100ml</v>
      </c>
      <c r="G1749" s="133" t="str">
        <f>IFERROR(__xludf.DUMMYFUNCTION("""COMPUTED_VALUE"""),"دكتور كلاودر إف آند سي فيل بلس سيروم 100 مل")</f>
        <v>دكتور كلاودر إف آند سي فيل بلس سيروم 100 مل</v>
      </c>
      <c r="H1749" s="133" t="str">
        <f>IFERROR(__xludf.DUMMYFUNCTION("""COMPUTED_VALUE"""),"MAFE20241530")</f>
        <v>MAFE20241530</v>
      </c>
      <c r="I1749" s="133"/>
      <c r="J1749" s="133"/>
      <c r="K1749" s="133" t="str">
        <f>IFERROR(__xludf.DUMMYFUNCTION("""COMPUTED_VALUE"""),"شركة حلول د. كلودر للحيوانات الأليفة محدودة المسؤولية")</f>
        <v>شركة حلول د. كلودر للحيوانات الأليفة محدودة المسؤولية</v>
      </c>
      <c r="L1749" s="133"/>
      <c r="M1749" s="133"/>
      <c r="N1749" s="133"/>
      <c r="O1749" s="133"/>
      <c r="P1749" s="133"/>
      <c r="Q1749" s="133"/>
      <c r="R1749" s="133"/>
      <c r="S1749" s="133"/>
      <c r="T1749" s="133"/>
      <c r="U1749" s="133"/>
      <c r="V1749" s="133"/>
      <c r="W1749" s="133"/>
      <c r="X1749" s="133"/>
      <c r="Y1749" s="133"/>
      <c r="Z1749" s="133"/>
    </row>
    <row r="1750">
      <c r="A1750" s="133">
        <f>IFERROR(__xludf.DUMMYFUNCTION("""COMPUTED_VALUE"""),1751.0)</f>
        <v>1751</v>
      </c>
      <c r="B1750" s="133"/>
      <c r="C1750" s="133" t="str">
        <f>IFERROR(__xludf.DUMMYFUNCTION("""COMPUTED_VALUE"""),"P-1-N-210324-1992")</f>
        <v>P-1-N-210324-1992</v>
      </c>
      <c r="D1750" s="133"/>
      <c r="E1750" s="133" t="str">
        <f>IFERROR(__xludf.DUMMYFUNCTION("""COMPUTED_VALUE"""),"تمت طباعة الشهادة")</f>
        <v>تمت طباعة الشهادة</v>
      </c>
      <c r="F1750" s="133" t="str">
        <f>IFERROR(__xludf.DUMMYFUNCTION("""COMPUTED_VALUE"""),"Dr. Clauder’s F&amp;C Fell Aktiv Lachs Röllchen 100g")</f>
        <v>Dr. Clauder’s F&amp;C Fell Aktiv Lachs Röllchen 100g</v>
      </c>
      <c r="G1750" s="133" t="str">
        <f>IFERROR(__xludf.DUMMYFUNCTION("""COMPUTED_VALUE"""),"دكتور كلاودر إف آند سي فيل أكتيف لفات السلمون 100 جم")</f>
        <v>دكتور كلاودر إف آند سي فيل أكتيف لفات السلمون 100 جم</v>
      </c>
      <c r="H1750" s="133" t="str">
        <f>IFERROR(__xludf.DUMMYFUNCTION("""COMPUTED_VALUE"""),"MAFE20241529")</f>
        <v>MAFE20241529</v>
      </c>
      <c r="I1750" s="133"/>
      <c r="J1750" s="133"/>
      <c r="K1750" s="133" t="str">
        <f>IFERROR(__xludf.DUMMYFUNCTION("""COMPUTED_VALUE"""),"شركة حلول د. كلودر للحيوانات الأليفة محدودة المسؤولية")</f>
        <v>شركة حلول د. كلودر للحيوانات الأليفة محدودة المسؤولية</v>
      </c>
      <c r="L1750" s="133"/>
      <c r="M1750" s="133"/>
      <c r="N1750" s="133"/>
      <c r="O1750" s="133"/>
      <c r="P1750" s="133"/>
      <c r="Q1750" s="133"/>
      <c r="R1750" s="133"/>
      <c r="S1750" s="133"/>
      <c r="T1750" s="133"/>
      <c r="U1750" s="133"/>
      <c r="V1750" s="133"/>
      <c r="W1750" s="133"/>
      <c r="X1750" s="133"/>
      <c r="Y1750" s="133"/>
      <c r="Z1750" s="133"/>
    </row>
    <row r="1751">
      <c r="A1751" s="133">
        <f>IFERROR(__xludf.DUMMYFUNCTION("""COMPUTED_VALUE"""),1752.0)</f>
        <v>1752</v>
      </c>
      <c r="B1751" s="133"/>
      <c r="C1751" s="133" t="str">
        <f>IFERROR(__xludf.DUMMYFUNCTION("""COMPUTED_VALUE"""),"P-1-N-210324-1993")</f>
        <v>P-1-N-210324-1993</v>
      </c>
      <c r="D1751" s="133"/>
      <c r="E1751" s="133" t="str">
        <f>IFERROR(__xludf.DUMMYFUNCTION("""COMPUTED_VALUE"""),"تمت طباعة الشهادة")</f>
        <v>تمت طباعة الشهادة</v>
      </c>
      <c r="F1751" s="133" t="str">
        <f>IFERROR(__xludf.DUMMYFUNCTION("""COMPUTED_VALUE"""),"Dr. Clauder’s F&amp;C ImmunAktiv Cat Mint Röllchen 100g")</f>
        <v>Dr. Clauder’s F&amp;C ImmunAktiv Cat Mint Röllchen 100g</v>
      </c>
      <c r="G1751" s="133" t="str">
        <f>IFERROR(__xludf.DUMMYFUNCTION("""COMPUTED_VALUE"""),"دكتور كلاودر إف آند سي اميونأكتيف كات لفات النعناع 100 جم")</f>
        <v>دكتور كلاودر إف آند سي اميونأكتيف كات لفات النعناع 100 جم</v>
      </c>
      <c r="H1751" s="133" t="str">
        <f>IFERROR(__xludf.DUMMYFUNCTION("""COMPUTED_VALUE"""),"MAFE20241528")</f>
        <v>MAFE20241528</v>
      </c>
      <c r="I1751" s="133"/>
      <c r="J1751" s="133"/>
      <c r="K1751" s="133" t="str">
        <f>IFERROR(__xludf.DUMMYFUNCTION("""COMPUTED_VALUE"""),"شركة حلول د. كلودر للحيوانات الأليفة محدودة المسؤولية")</f>
        <v>شركة حلول د. كلودر للحيوانات الأليفة محدودة المسؤولية</v>
      </c>
      <c r="L1751" s="133"/>
      <c r="M1751" s="133"/>
      <c r="N1751" s="133"/>
      <c r="O1751" s="133"/>
      <c r="P1751" s="133"/>
      <c r="Q1751" s="133"/>
      <c r="R1751" s="133"/>
      <c r="S1751" s="133"/>
      <c r="T1751" s="133"/>
      <c r="U1751" s="133"/>
      <c r="V1751" s="133"/>
      <c r="W1751" s="133"/>
      <c r="X1751" s="133"/>
      <c r="Y1751" s="133"/>
      <c r="Z1751" s="133"/>
    </row>
    <row r="1752">
      <c r="A1752" s="133">
        <f>IFERROR(__xludf.DUMMYFUNCTION("""COMPUTED_VALUE"""),1753.0)</f>
        <v>1753</v>
      </c>
      <c r="B1752" s="133"/>
      <c r="C1752" s="133" t="str">
        <f>IFERROR(__xludf.DUMMYFUNCTION("""COMPUTED_VALUE"""),"P-1-N-240324-2016")</f>
        <v>P-1-N-240324-2016</v>
      </c>
      <c r="D1752" s="133"/>
      <c r="E1752" s="133" t="str">
        <f>IFERROR(__xludf.DUMMYFUNCTION("""COMPUTED_VALUE"""),"تمت طباعة الشهادة")</f>
        <v>تمت طباعة الشهادة</v>
      </c>
      <c r="F1752" s="133" t="str">
        <f>IFERROR(__xludf.DUMMYFUNCTION("""COMPUTED_VALUE"""),"Zesty Paws Allergy &amp; Immune Bites Lamb 315mL")</f>
        <v>Zesty Paws Allergy &amp; Immune Bites Lamb 315mL</v>
      </c>
      <c r="G1752" s="133" t="str">
        <f>IFERROR(__xludf.DUMMYFUNCTION("""COMPUTED_VALUE"""),"زيستي باوز اليرجي اند إميون بايتس لحم ضأن 315 مل")</f>
        <v>زيستي باوز اليرجي اند إميون بايتس لحم ضأن 315 مل</v>
      </c>
      <c r="H1752" s="133" t="str">
        <f>IFERROR(__xludf.DUMMYFUNCTION("""COMPUTED_VALUE"""),"MAFE20241672")</f>
        <v>MAFE20241672</v>
      </c>
      <c r="I1752" s="133"/>
      <c r="J1752" s="133"/>
      <c r="K1752" s="133" t="str">
        <f>IFERROR(__xludf.DUMMYFUNCTION("""COMPUTED_VALUE"""),"شركة زيستي باوز ذات المسؤولية المحدودة")</f>
        <v>شركة زيستي باوز ذات المسؤولية المحدودة</v>
      </c>
      <c r="L1752" s="133"/>
      <c r="M1752" s="133"/>
      <c r="N1752" s="133"/>
      <c r="O1752" s="133"/>
      <c r="P1752" s="133"/>
      <c r="Q1752" s="133"/>
      <c r="R1752" s="133"/>
      <c r="S1752" s="133"/>
      <c r="T1752" s="133"/>
      <c r="U1752" s="133"/>
      <c r="V1752" s="133"/>
      <c r="W1752" s="133"/>
      <c r="X1752" s="133"/>
      <c r="Y1752" s="133"/>
      <c r="Z1752" s="133"/>
    </row>
    <row r="1753">
      <c r="A1753" s="133">
        <f>IFERROR(__xludf.DUMMYFUNCTION("""COMPUTED_VALUE"""),1754.0)</f>
        <v>1754</v>
      </c>
      <c r="B1753" s="133"/>
      <c r="C1753" s="133" t="str">
        <f>IFERROR(__xludf.DUMMYFUNCTION("""COMPUTED_VALUE"""),"P-1-N-240324-2018")</f>
        <v>P-1-N-240324-2018</v>
      </c>
      <c r="D1753" s="133"/>
      <c r="E1753" s="133" t="str">
        <f>IFERROR(__xludf.DUMMYFUNCTION("""COMPUTED_VALUE"""),"تمت طباعة الشهادة")</f>
        <v>تمت طباعة الشهادة</v>
      </c>
      <c r="F1753" s="133" t="str">
        <f>IFERROR(__xludf.DUMMYFUNCTION("""COMPUTED_VALUE"""),"Zesty Paws Skin &amp; Coat Bites Chicken 315mL")</f>
        <v>Zesty Paws Skin &amp; Coat Bites Chicken 315mL</v>
      </c>
      <c r="G1753" s="133" t="str">
        <f>IFERROR(__xludf.DUMMYFUNCTION("""COMPUTED_VALUE"""),"زيستي باوز سكين اند كوت بايتس الدجاج 315 مل")</f>
        <v>زيستي باوز سكين اند كوت بايتس الدجاج 315 مل</v>
      </c>
      <c r="H1753" s="133" t="str">
        <f>IFERROR(__xludf.DUMMYFUNCTION("""COMPUTED_VALUE"""),"MAFE20241669")</f>
        <v>MAFE20241669</v>
      </c>
      <c r="I1753" s="133"/>
      <c r="J1753" s="133"/>
      <c r="K1753" s="133" t="str">
        <f>IFERROR(__xludf.DUMMYFUNCTION("""COMPUTED_VALUE"""),"شركة زيستي باوز ذات المسؤولية المحدودة")</f>
        <v>شركة زيستي باوز ذات المسؤولية المحدودة</v>
      </c>
      <c r="L1753" s="133"/>
      <c r="M1753" s="133"/>
      <c r="N1753" s="133"/>
      <c r="O1753" s="133"/>
      <c r="P1753" s="133"/>
      <c r="Q1753" s="133"/>
      <c r="R1753" s="133"/>
      <c r="S1753" s="133"/>
      <c r="T1753" s="133"/>
      <c r="U1753" s="133"/>
      <c r="V1753" s="133"/>
      <c r="W1753" s="133"/>
      <c r="X1753" s="133"/>
      <c r="Y1753" s="133"/>
      <c r="Z1753" s="133"/>
    </row>
    <row r="1754">
      <c r="A1754" s="133">
        <f>IFERROR(__xludf.DUMMYFUNCTION("""COMPUTED_VALUE"""),1755.0)</f>
        <v>1755</v>
      </c>
      <c r="B1754" s="133"/>
      <c r="C1754" s="133" t="str">
        <f>IFERROR(__xludf.DUMMYFUNCTION("""COMPUTED_VALUE"""),"P-1-N-240324-2019")</f>
        <v>P-1-N-240324-2019</v>
      </c>
      <c r="D1754" s="133"/>
      <c r="E1754" s="133" t="str">
        <f>IFERROR(__xludf.DUMMYFUNCTION("""COMPUTED_VALUE"""),"تمت طباعة الشهادة")</f>
        <v>تمت طباعة الشهادة</v>
      </c>
      <c r="F1754" s="133" t="str">
        <f>IFERROR(__xludf.DUMMYFUNCTION("""COMPUTED_VALUE"""),"Zesty Paws Probiotic Bites Chicken 315mL")</f>
        <v>Zesty Paws Probiotic Bites Chicken 315mL</v>
      </c>
      <c r="G1754" s="133" t="str">
        <f>IFERROR(__xludf.DUMMYFUNCTION("""COMPUTED_VALUE"""),"زيستي باوز بروبيوتيك بايتس الدجاج 315 مل")</f>
        <v>زيستي باوز بروبيوتيك بايتس الدجاج 315 مل</v>
      </c>
      <c r="H1754" s="133" t="str">
        <f>IFERROR(__xludf.DUMMYFUNCTION("""COMPUTED_VALUE"""),"MAFE20241671")</f>
        <v>MAFE20241671</v>
      </c>
      <c r="I1754" s="133"/>
      <c r="J1754" s="133"/>
      <c r="K1754" s="133" t="str">
        <f>IFERROR(__xludf.DUMMYFUNCTION("""COMPUTED_VALUE"""),"شركة زيستي باوز ذات المسؤولية المحدودة")</f>
        <v>شركة زيستي باوز ذات المسؤولية المحدودة</v>
      </c>
      <c r="L1754" s="133"/>
      <c r="M1754" s="133"/>
      <c r="N1754" s="133"/>
      <c r="O1754" s="133"/>
      <c r="P1754" s="133"/>
      <c r="Q1754" s="133"/>
      <c r="R1754" s="133"/>
      <c r="S1754" s="133"/>
      <c r="T1754" s="133"/>
      <c r="U1754" s="133"/>
      <c r="V1754" s="133"/>
      <c r="W1754" s="133"/>
      <c r="X1754" s="133"/>
      <c r="Y1754" s="133"/>
      <c r="Z1754" s="133"/>
    </row>
    <row r="1755">
      <c r="A1755" s="133">
        <f>IFERROR(__xludf.DUMMYFUNCTION("""COMPUTED_VALUE"""),1756.0)</f>
        <v>1756</v>
      </c>
      <c r="B1755" s="133"/>
      <c r="C1755" s="133" t="str">
        <f>IFERROR(__xludf.DUMMYFUNCTION("""COMPUTED_VALUE"""),"P-1-N-240324-2020")</f>
        <v>P-1-N-240324-2020</v>
      </c>
      <c r="D1755" s="133"/>
      <c r="E1755" s="133" t="str">
        <f>IFERROR(__xludf.DUMMYFUNCTION("""COMPUTED_VALUE"""),"تمت طباعة الشهادة")</f>
        <v>تمت طباعة الشهادة</v>
      </c>
      <c r="F1755" s="133" t="str">
        <f>IFERROR(__xludf.DUMMYFUNCTION("""COMPUTED_VALUE"""),"Zesty Paws Probiotic Bites Pumpkin 315mL")</f>
        <v>Zesty Paws Probiotic Bites Pumpkin 315mL</v>
      </c>
      <c r="G1755" s="133" t="str">
        <f>IFERROR(__xludf.DUMMYFUNCTION("""COMPUTED_VALUE"""),"زيستي باوز بروبيوتيك بايتس اليقطين 315 مل")</f>
        <v>زيستي باوز بروبيوتيك بايتس اليقطين 315 مل</v>
      </c>
      <c r="H1755" s="133" t="str">
        <f>IFERROR(__xludf.DUMMYFUNCTION("""COMPUTED_VALUE"""),"MAFE20241670")</f>
        <v>MAFE20241670</v>
      </c>
      <c r="I1755" s="133"/>
      <c r="J1755" s="133"/>
      <c r="K1755" s="133" t="str">
        <f>IFERROR(__xludf.DUMMYFUNCTION("""COMPUTED_VALUE"""),"شركة زيستي باوز ذات المسؤولية المحدودة")</f>
        <v>شركة زيستي باوز ذات المسؤولية المحدودة</v>
      </c>
      <c r="L1755" s="133"/>
      <c r="M1755" s="133"/>
      <c r="N1755" s="133"/>
      <c r="O1755" s="133"/>
      <c r="P1755" s="133"/>
      <c r="Q1755" s="133"/>
      <c r="R1755" s="133"/>
      <c r="S1755" s="133"/>
      <c r="T1755" s="133"/>
      <c r="U1755" s="133"/>
      <c r="V1755" s="133"/>
      <c r="W1755" s="133"/>
      <c r="X1755" s="133"/>
      <c r="Y1755" s="133"/>
      <c r="Z1755" s="133"/>
    </row>
    <row r="1756">
      <c r="A1756" s="133">
        <f>IFERROR(__xludf.DUMMYFUNCTION("""COMPUTED_VALUE"""),1757.0)</f>
        <v>1757</v>
      </c>
      <c r="B1756" s="133"/>
      <c r="C1756" s="133" t="str">
        <f>IFERROR(__xludf.DUMMYFUNCTION("""COMPUTED_VALUE"""),"P-1-N-240324-2021")</f>
        <v>P-1-N-240324-2021</v>
      </c>
      <c r="D1756" s="133"/>
      <c r="E1756" s="133" t="str">
        <f>IFERROR(__xludf.DUMMYFUNCTION("""COMPUTED_VALUE"""),"تمت طباعة الشهادة")</f>
        <v>تمت طباعة الشهادة</v>
      </c>
      <c r="F1756" s="133" t="str">
        <f>IFERROR(__xludf.DUMMYFUNCTION("""COMPUTED_VALUE"""),"Zesty Paws Wild Alaskan Salmon Oil 237mL")</f>
        <v>Zesty Paws Wild Alaskan Salmon Oil 237mL</v>
      </c>
      <c r="G1756" s="133" t="str">
        <f>IFERROR(__xludf.DUMMYFUNCTION("""COMPUTED_VALUE"""),"زيستي باوز زيت سلمون ألاسكا البري 237 مل")</f>
        <v>زيستي باوز زيت سلمون ألاسكا البري 237 مل</v>
      </c>
      <c r="H1756" s="133" t="str">
        <f>IFERROR(__xludf.DUMMYFUNCTION("""COMPUTED_VALUE"""),"MAFE20241667")</f>
        <v>MAFE20241667</v>
      </c>
      <c r="I1756" s="133"/>
      <c r="J1756" s="133"/>
      <c r="K1756" s="133" t="str">
        <f>IFERROR(__xludf.DUMMYFUNCTION("""COMPUTED_VALUE"""),"شركة زيستي باوز ذات المسؤولية المحدودة")</f>
        <v>شركة زيستي باوز ذات المسؤولية المحدودة</v>
      </c>
      <c r="L1756" s="133"/>
      <c r="M1756" s="133"/>
      <c r="N1756" s="133"/>
      <c r="O1756" s="133"/>
      <c r="P1756" s="133"/>
      <c r="Q1756" s="133"/>
      <c r="R1756" s="133"/>
      <c r="S1756" s="133"/>
      <c r="T1756" s="133"/>
      <c r="U1756" s="133"/>
      <c r="V1756" s="133"/>
      <c r="W1756" s="133"/>
      <c r="X1756" s="133"/>
      <c r="Y1756" s="133"/>
      <c r="Z1756" s="133"/>
    </row>
    <row r="1757">
      <c r="A1757" s="133">
        <f>IFERROR(__xludf.DUMMYFUNCTION("""COMPUTED_VALUE"""),1758.0)</f>
        <v>1758</v>
      </c>
      <c r="B1757" s="133"/>
      <c r="C1757" s="133" t="str">
        <f>IFERROR(__xludf.DUMMYFUNCTION("""COMPUTED_VALUE"""),"P-1-N-240324-2022")</f>
        <v>P-1-N-240324-2022</v>
      </c>
      <c r="D1757" s="133"/>
      <c r="E1757" s="133" t="str">
        <f>IFERROR(__xludf.DUMMYFUNCTION("""COMPUTED_VALUE"""),"تمت طباعة الشهادة")</f>
        <v>تمت طباعة الشهادة</v>
      </c>
      <c r="F1757" s="133" t="str">
        <f>IFERROR(__xludf.DUMMYFUNCTION("""COMPUTED_VALUE"""),"Zesty Paws Wild Alaskan Salmon Oil 473mL")</f>
        <v>Zesty Paws Wild Alaskan Salmon Oil 473mL</v>
      </c>
      <c r="G1757" s="133" t="str">
        <f>IFERROR(__xludf.DUMMYFUNCTION("""COMPUTED_VALUE"""),"زيستي باوز زيت سلمون ألاسكا البري 473 مل")</f>
        <v>زيستي باوز زيت سلمون ألاسكا البري 473 مل</v>
      </c>
      <c r="H1757" s="133" t="str">
        <f>IFERROR(__xludf.DUMMYFUNCTION("""COMPUTED_VALUE"""),"MAFE20241666")</f>
        <v>MAFE20241666</v>
      </c>
      <c r="I1757" s="133"/>
      <c r="J1757" s="133"/>
      <c r="K1757" s="133" t="str">
        <f>IFERROR(__xludf.DUMMYFUNCTION("""COMPUTED_VALUE"""),"شركة زيستي باوز ذات المسؤولية المحدودة")</f>
        <v>شركة زيستي باوز ذات المسؤولية المحدودة</v>
      </c>
      <c r="L1757" s="133"/>
      <c r="M1757" s="133"/>
      <c r="N1757" s="133"/>
      <c r="O1757" s="133"/>
      <c r="P1757" s="133"/>
      <c r="Q1757" s="133"/>
      <c r="R1757" s="133"/>
      <c r="S1757" s="133"/>
      <c r="T1757" s="133"/>
      <c r="U1757" s="133"/>
      <c r="V1757" s="133"/>
      <c r="W1757" s="133"/>
      <c r="X1757" s="133"/>
      <c r="Y1757" s="133"/>
      <c r="Z1757" s="133"/>
    </row>
    <row r="1758">
      <c r="A1758" s="133">
        <f>IFERROR(__xludf.DUMMYFUNCTION("""COMPUTED_VALUE"""),1759.0)</f>
        <v>1759</v>
      </c>
      <c r="B1758" s="133"/>
      <c r="C1758" s="133" t="str">
        <f>IFERROR(__xludf.DUMMYFUNCTION("""COMPUTED_VALUE"""),"P-1-N-240324-2023")</f>
        <v>P-1-N-240324-2023</v>
      </c>
      <c r="D1758" s="133"/>
      <c r="E1758" s="133" t="str">
        <f>IFERROR(__xludf.DUMMYFUNCTION("""COMPUTED_VALUE"""),"تمت طباعة الشهادة")</f>
        <v>تمت طباعة الشهادة</v>
      </c>
      <c r="F1758" s="133" t="str">
        <f>IFERROR(__xludf.DUMMYFUNCTION("""COMPUTED_VALUE"""),"Zesty Paws Wild Alaskan Salmon Oil 946mL")</f>
        <v>Zesty Paws Wild Alaskan Salmon Oil 946mL</v>
      </c>
      <c r="G1758" s="133" t="str">
        <f>IFERROR(__xludf.DUMMYFUNCTION("""COMPUTED_VALUE"""),"زيستي باوز زيت سلمون ألاسكا البري 946 مل")</f>
        <v>زيستي باوز زيت سلمون ألاسكا البري 946 مل</v>
      </c>
      <c r="H1758" s="133" t="str">
        <f>IFERROR(__xludf.DUMMYFUNCTION("""COMPUTED_VALUE"""),"MAFE20241668")</f>
        <v>MAFE20241668</v>
      </c>
      <c r="I1758" s="133"/>
      <c r="J1758" s="133"/>
      <c r="K1758" s="133" t="str">
        <f>IFERROR(__xludf.DUMMYFUNCTION("""COMPUTED_VALUE"""),"شركة زيستي باوز ذات المسؤولية المحدودة")</f>
        <v>شركة زيستي باوز ذات المسؤولية المحدودة</v>
      </c>
      <c r="L1758" s="133"/>
      <c r="M1758" s="133"/>
      <c r="N1758" s="133"/>
      <c r="O1758" s="133"/>
      <c r="P1758" s="133"/>
      <c r="Q1758" s="133"/>
      <c r="R1758" s="133"/>
      <c r="S1758" s="133"/>
      <c r="T1758" s="133"/>
      <c r="U1758" s="133"/>
      <c r="V1758" s="133"/>
      <c r="W1758" s="133"/>
      <c r="X1758" s="133"/>
      <c r="Y1758" s="133"/>
      <c r="Z1758" s="133"/>
    </row>
    <row r="1759">
      <c r="A1759" s="133">
        <f>IFERROR(__xludf.DUMMYFUNCTION("""COMPUTED_VALUE"""),1760.0)</f>
        <v>1760</v>
      </c>
      <c r="B1759" s="133"/>
      <c r="C1759" s="133">
        <f>IFERROR(__xludf.DUMMYFUNCTION("""COMPUTED_VALUE"""),4.0)</f>
        <v>4</v>
      </c>
      <c r="D1759" s="133"/>
      <c r="E1759" s="133" t="str">
        <f>IFERROR(__xludf.DUMMYFUNCTION("""COMPUTED_VALUE"""),"تمت طباعة الشهادة")</f>
        <v>تمت طباعة الشهادة</v>
      </c>
      <c r="F1759" s="133" t="str">
        <f>IFERROR(__xludf.DUMMYFUNCTION("""COMPUTED_VALUE"""),"Zesty Paws Skin &amp; Coat Bites Bacon 315mL")</f>
        <v>Zesty Paws Skin &amp; Coat Bites Bacon 315mL</v>
      </c>
      <c r="G1759" s="133" t="str">
        <f>IFERROR(__xludf.DUMMYFUNCTION("""COMPUTED_VALUE"""),"زيستي باوز سكين اند كوت بايتس بيكون 315 مل")</f>
        <v>زيستي باوز سكين اند كوت بايتس بيكون 315 مل</v>
      </c>
      <c r="H1759" s="133" t="str">
        <f>IFERROR(__xludf.DUMMYFUNCTION("""COMPUTED_VALUE"""),"MAFE20241755")</f>
        <v>MAFE20241755</v>
      </c>
      <c r="I1759" s="133"/>
      <c r="J1759" s="133"/>
      <c r="K1759" s="133" t="str">
        <f>IFERROR(__xludf.DUMMYFUNCTION("""COMPUTED_VALUE"""),"شركة زيستي باوز ذات المسؤولية المحدودة")</f>
        <v>شركة زيستي باوز ذات المسؤولية المحدودة</v>
      </c>
      <c r="L1759" s="133"/>
      <c r="M1759" s="133"/>
      <c r="N1759" s="133"/>
      <c r="O1759" s="133"/>
      <c r="P1759" s="133"/>
      <c r="Q1759" s="133"/>
      <c r="R1759" s="133"/>
      <c r="S1759" s="133"/>
      <c r="T1759" s="133"/>
      <c r="U1759" s="133"/>
      <c r="V1759" s="133"/>
      <c r="W1759" s="133"/>
      <c r="X1759" s="133"/>
      <c r="Y1759" s="133"/>
      <c r="Z1759" s="133"/>
    </row>
    <row r="1760">
      <c r="A1760" s="133">
        <f>IFERROR(__xludf.DUMMYFUNCTION("""COMPUTED_VALUE"""),1761.0)</f>
        <v>1761</v>
      </c>
      <c r="B1760" s="133"/>
      <c r="C1760" s="133" t="str">
        <f>IFERROR(__xludf.DUMMYFUNCTION("""COMPUTED_VALUE"""),"P-1-N-270324-2163")</f>
        <v>P-1-N-270324-2163</v>
      </c>
      <c r="D1760" s="133"/>
      <c r="E1760" s="133" t="str">
        <f>IFERROR(__xludf.DUMMYFUNCTION("""COMPUTED_VALUE"""),"مكتمل")</f>
        <v>مكتمل</v>
      </c>
      <c r="F1760" s="133" t="str">
        <f>IFERROR(__xludf.DUMMYFUNCTION("""COMPUTED_VALUE"""),"FORZA10 Adult Medium Monodiet Lamb 1.5kg")</f>
        <v>FORZA10 Adult Medium Monodiet Lamb 1.5kg</v>
      </c>
      <c r="G1760" s="133" t="str">
        <f>IFERROR(__xludf.DUMMYFUNCTION("""COMPUTED_VALUE"""),"فورزا 10 ادلت ميديم مونوديت لحم ضأن 1.5 كجم")</f>
        <v>فورزا 10 ادلت ميديم مونوديت لحم ضأن 1.5 كجم</v>
      </c>
      <c r="H1760" s="133" t="str">
        <f>IFERROR(__xludf.DUMMYFUNCTION("""COMPUTED_VALUE"""),"FOM-2024-5415-FEB-2024-59176 -C-0041-79984
")</f>
        <v>FOM-2024-5415-FEB-2024-59176 -C-0041-79984
</v>
      </c>
      <c r="I1760" s="133"/>
      <c r="J1760" s="133"/>
      <c r="K1760" s="133" t="str">
        <f>IFERROR(__xludf.DUMMYFUNCTION("""COMPUTED_VALUE"""),"شركة سانيبيت")</f>
        <v>شركة سانيبيت</v>
      </c>
      <c r="L1760" s="133"/>
      <c r="M1760" s="133" t="str">
        <f>IFERROR(__xludf.DUMMYFUNCTION("""COMPUTED_VALUE"""),"25-2-2029")</f>
        <v>25-2-2029</v>
      </c>
      <c r="N1760" s="133"/>
      <c r="O1760" s="133"/>
      <c r="P1760" s="133"/>
      <c r="Q1760" s="133"/>
      <c r="R1760" s="133"/>
      <c r="S1760" s="133"/>
      <c r="T1760" s="133"/>
      <c r="U1760" s="133"/>
      <c r="V1760" s="133"/>
      <c r="W1760" s="133"/>
      <c r="X1760" s="133"/>
      <c r="Y1760" s="133"/>
      <c r="Z1760" s="133"/>
    </row>
    <row r="1761">
      <c r="A1761" s="133">
        <f>IFERROR(__xludf.DUMMYFUNCTION("""COMPUTED_VALUE"""),1762.0)</f>
        <v>1762</v>
      </c>
      <c r="B1761" s="133"/>
      <c r="C1761" s="133" t="str">
        <f>IFERROR(__xludf.DUMMYFUNCTION("""COMPUTED_VALUE"""),"P-1-N-270324-2164")</f>
        <v>P-1-N-270324-2164</v>
      </c>
      <c r="D1761" s="133"/>
      <c r="E1761" s="133" t="str">
        <f>IFERROR(__xludf.DUMMYFUNCTION("""COMPUTED_VALUE"""),"تمت طباعة الشهادة")</f>
        <v>تمت طباعة الشهادة</v>
      </c>
      <c r="F1761" s="133" t="str">
        <f>IFERROR(__xludf.DUMMYFUNCTION("""COMPUTED_VALUE"""),"FORZA10 Adult Medium Monodiet Venison/Potatoes 1.5kg")</f>
        <v>FORZA10 Adult Medium Monodiet Venison/Potatoes 1.5kg</v>
      </c>
      <c r="G1761" s="133" t="str">
        <f>IFERROR(__xludf.DUMMYFUNCTION("""COMPUTED_VALUE"""),"فورزا 10 ادلت ميديم مونوديت لحم الغزال/البطاطا 1.5 كجم")</f>
        <v>فورزا 10 ادلت ميديم مونوديت لحم الغزال/البطاطا 1.5 كجم</v>
      </c>
      <c r="H1761" s="133" t="str">
        <f>IFERROR(__xludf.DUMMYFUNCTION("""COMPUTED_VALUE"""),"MAFE20241737")</f>
        <v>MAFE20241737</v>
      </c>
      <c r="I1761" s="133"/>
      <c r="J1761" s="133"/>
      <c r="K1761" s="133" t="str">
        <f>IFERROR(__xludf.DUMMYFUNCTION("""COMPUTED_VALUE"""),"شركة سانيبيت")</f>
        <v>شركة سانيبيت</v>
      </c>
      <c r="L1761" s="133"/>
      <c r="M1761" s="133"/>
      <c r="N1761" s="133"/>
      <c r="O1761" s="133"/>
      <c r="P1761" s="133"/>
      <c r="Q1761" s="133"/>
      <c r="R1761" s="133"/>
      <c r="S1761" s="133"/>
      <c r="T1761" s="133"/>
      <c r="U1761" s="133"/>
      <c r="V1761" s="133"/>
      <c r="W1761" s="133"/>
      <c r="X1761" s="133"/>
      <c r="Y1761" s="133"/>
      <c r="Z1761" s="133"/>
    </row>
    <row r="1762">
      <c r="A1762" s="133">
        <f>IFERROR(__xludf.DUMMYFUNCTION("""COMPUTED_VALUE"""),1763.0)</f>
        <v>1763</v>
      </c>
      <c r="B1762" s="133" t="str">
        <f>IFERROR(__xludf.DUMMYFUNCTION("""COMPUTED_VALUE"""),"SC1591")</f>
        <v>SC1591</v>
      </c>
      <c r="C1762" s="133" t="str">
        <f>IFERROR(__xludf.DUMMYFUNCTION("""COMPUTED_VALUE"""),"P-1-N-040424-2297")</f>
        <v>P-1-N-040424-2297</v>
      </c>
      <c r="D1762" s="133"/>
      <c r="E1762" s="133" t="str">
        <f>IFERROR(__xludf.DUMMYFUNCTION("""COMPUTED_VALUE"""),"معتمد أولي")</f>
        <v>معتمد أولي</v>
      </c>
      <c r="F1762" s="133" t="str">
        <f>IFERROR(__xludf.DUMMYFUNCTION("""COMPUTED_VALUE"""),"Sanal skin &amp; Coat bites, e 75g")</f>
        <v>Sanal skin &amp; Coat bites, e 75g</v>
      </c>
      <c r="G1762" s="133" t="str">
        <f>IFERROR(__xludf.DUMMYFUNCTION("""COMPUTED_VALUE"""),"سنال لدعم الجلد و الفراء 75 جرام")</f>
        <v>سنال لدعم الجلد و الفراء 75 جرام</v>
      </c>
      <c r="H1762" s="133"/>
      <c r="I1762" s="133"/>
      <c r="J1762" s="133"/>
      <c r="K1762" s="133" t="str">
        <f>IFERROR(__xludf.DUMMYFUNCTION("""COMPUTED_VALUE"""),"نيدرما بي في")</f>
        <v>نيدرما بي في</v>
      </c>
      <c r="L1762" s="133"/>
      <c r="M1762" s="133"/>
      <c r="N1762" s="133"/>
      <c r="O1762" s="133"/>
      <c r="P1762" s="133"/>
      <c r="Q1762" s="133"/>
      <c r="R1762" s="133"/>
      <c r="S1762" s="133"/>
      <c r="T1762" s="133"/>
      <c r="U1762" s="133"/>
      <c r="V1762" s="133"/>
      <c r="W1762" s="133"/>
      <c r="X1762" s="133"/>
      <c r="Y1762" s="133"/>
      <c r="Z1762" s="133"/>
    </row>
    <row r="1763">
      <c r="A1763" s="133">
        <f>IFERROR(__xludf.DUMMYFUNCTION("""COMPUTED_VALUE"""),1764.0)</f>
        <v>1764</v>
      </c>
      <c r="B1763" s="133" t="str">
        <f>IFERROR(__xludf.DUMMYFUNCTION("""COMPUTED_VALUE"""),"103115")</f>
        <v>103115</v>
      </c>
      <c r="C1763" s="133" t="str">
        <f>IFERROR(__xludf.DUMMYFUNCTION("""COMPUTED_VALUE"""),"P-1-N-080424-2365")</f>
        <v>P-1-N-080424-2365</v>
      </c>
      <c r="D1763" s="133"/>
      <c r="E1763" s="133" t="str">
        <f>IFERROR(__xludf.DUMMYFUNCTION("""COMPUTED_VALUE"""),"مكتمل")</f>
        <v>مكتمل</v>
      </c>
      <c r="F1763" s="133" t="str">
        <f>IFERROR(__xludf.DUMMYFUNCTION("""COMPUTED_VALUE"""),"Forza10 Adult Medium Monodiet Fish 1.5kg")</f>
        <v>Forza10 Adult Medium Monodiet Fish 1.5kg</v>
      </c>
      <c r="G1763" s="133" t="str">
        <f>IFERROR(__xludf.DUMMYFUNCTION("""COMPUTED_VALUE"""),"فورزا10 ادلت ميديوم مونو دايت سمك 1.5كغ")</f>
        <v>فورزا10 ادلت ميديوم مونو دايت سمك 1.5كغ</v>
      </c>
      <c r="H1763" s="133" t="str">
        <f>IFERROR(__xludf.DUMMYFUNCTION("""COMPUTED_VALUE"""),"FOM-2024-5415-FEB-2024-59171 -C-0041-79979
")</f>
        <v>FOM-2024-5415-FEB-2024-59171 -C-0041-79979
</v>
      </c>
      <c r="I1763" s="133"/>
      <c r="J1763" s="133"/>
      <c r="K1763" s="133" t="str">
        <f>IFERROR(__xludf.DUMMYFUNCTION("""COMPUTED_VALUE"""),"شركة سانيبيت")</f>
        <v>شركة سانيبيت</v>
      </c>
      <c r="L1763" s="142" t="str">
        <f>IFERROR(__xludf.DUMMYFUNCTION("""COMPUTED_VALUE"""),"103115")</f>
        <v>103115</v>
      </c>
      <c r="M1763" s="133" t="str">
        <f>IFERROR(__xludf.DUMMYFUNCTION("""COMPUTED_VALUE"""),"25-2-2029")</f>
        <v>25-2-2029</v>
      </c>
      <c r="N1763" s="133"/>
      <c r="O1763" s="133"/>
      <c r="P1763" s="133"/>
      <c r="Q1763" s="133"/>
      <c r="R1763" s="133"/>
      <c r="S1763" s="133"/>
      <c r="T1763" s="133"/>
      <c r="U1763" s="133"/>
      <c r="V1763" s="133"/>
      <c r="W1763" s="133"/>
      <c r="X1763" s="133"/>
      <c r="Y1763" s="133"/>
      <c r="Z1763" s="133"/>
    </row>
    <row r="1764">
      <c r="A1764" s="133">
        <f>IFERROR(__xludf.DUMMYFUNCTION("""COMPUTED_VALUE"""),1765.0)</f>
        <v>1765</v>
      </c>
      <c r="B1764" s="133" t="str">
        <f>IFERROR(__xludf.DUMMYFUNCTION("""COMPUTED_VALUE"""),"0110115")</f>
        <v>0110115</v>
      </c>
      <c r="C1764" s="133" t="str">
        <f>IFERROR(__xludf.DUMMYFUNCTION("""COMPUTED_VALUE"""),"P-1-N-080424-2366")</f>
        <v>P-1-N-080424-2366</v>
      </c>
      <c r="D1764" s="133"/>
      <c r="E1764" s="133" t="str">
        <f>IFERROR(__xludf.DUMMYFUNCTION("""COMPUTED_VALUE"""),"تمت طباعة الشهادة")</f>
        <v>تمت طباعة الشهادة</v>
      </c>
      <c r="F1764" s="133" t="str">
        <f>IFERROR(__xludf.DUMMYFUNCTION("""COMPUTED_VALUE"""),"Forza10 Adult Medium Monodiet Vension/Potatoes 1.5kg")</f>
        <v>Forza10 Adult Medium Monodiet Vension/Potatoes 1.5kg</v>
      </c>
      <c r="G1764" s="133" t="str">
        <f>IFERROR(__xludf.DUMMYFUNCTION("""COMPUTED_VALUE"""),"فورزا10 ادلت ميديوم مونو دايت غزال وبطاطس 1.5كغ")</f>
        <v>فورزا10 ادلت ميديوم مونو دايت غزال وبطاطس 1.5كغ</v>
      </c>
      <c r="H1764" s="133" t="str">
        <f>IFERROR(__xludf.DUMMYFUNCTION("""COMPUTED_VALUE"""),"MAFE20241857")</f>
        <v>MAFE20241857</v>
      </c>
      <c r="I1764" s="133"/>
      <c r="J1764" s="133"/>
      <c r="K1764" s="133" t="str">
        <f>IFERROR(__xludf.DUMMYFUNCTION("""COMPUTED_VALUE"""),"شركة سانيبيت")</f>
        <v>شركة سانيبيت</v>
      </c>
      <c r="L1764" s="142" t="str">
        <f>IFERROR(__xludf.DUMMYFUNCTION("""COMPUTED_VALUE"""),"0110115")</f>
        <v>0110115</v>
      </c>
      <c r="M1764" s="133"/>
      <c r="N1764" s="133"/>
      <c r="O1764" s="133"/>
      <c r="P1764" s="133"/>
      <c r="Q1764" s="133"/>
      <c r="R1764" s="133"/>
      <c r="S1764" s="133"/>
      <c r="T1764" s="133"/>
      <c r="U1764" s="133"/>
      <c r="V1764" s="133"/>
      <c r="W1764" s="133"/>
      <c r="X1764" s="133"/>
      <c r="Y1764" s="133"/>
      <c r="Z1764" s="133"/>
    </row>
    <row r="1765">
      <c r="A1765" s="133">
        <f>IFERROR(__xludf.DUMMYFUNCTION("""COMPUTED_VALUE"""),1766.0)</f>
        <v>1766</v>
      </c>
      <c r="B1765" s="133" t="str">
        <f>IFERROR(__xludf.DUMMYFUNCTION("""COMPUTED_VALUE"""),"0116115")</f>
        <v>0116115</v>
      </c>
      <c r="C1765" s="133" t="str">
        <f>IFERROR(__xludf.DUMMYFUNCTION("""COMPUTED_VALUE"""),"P-1-N-080424-2367")</f>
        <v>P-1-N-080424-2367</v>
      </c>
      <c r="D1765" s="133"/>
      <c r="E1765" s="133" t="str">
        <f>IFERROR(__xludf.DUMMYFUNCTION("""COMPUTED_VALUE"""),"تمت طباعة الشهادة")</f>
        <v>تمت طباعة الشهادة</v>
      </c>
      <c r="F1765" s="133" t="str">
        <f>IFERROR(__xludf.DUMMYFUNCTION("""COMPUTED_VALUE"""),"Forza10 Adult Medium Monodiet Lamb 1.5kg")</f>
        <v>Forza10 Adult Medium Monodiet Lamb 1.5kg</v>
      </c>
      <c r="G1765" s="133" t="str">
        <f>IFERROR(__xludf.DUMMYFUNCTION("""COMPUTED_VALUE"""),"فورزا10 ادلت ميديوم مونو دايت لحم الضأن 1.5كغ")</f>
        <v>فورزا10 ادلت ميديوم مونو دايت لحم الضأن 1.5كغ</v>
      </c>
      <c r="H1765" s="133" t="str">
        <f>IFERROR(__xludf.DUMMYFUNCTION("""COMPUTED_VALUE"""),"MAFE20241856")</f>
        <v>MAFE20241856</v>
      </c>
      <c r="I1765" s="133"/>
      <c r="J1765" s="133"/>
      <c r="K1765" s="133" t="str">
        <f>IFERROR(__xludf.DUMMYFUNCTION("""COMPUTED_VALUE"""),"شركة سانيبيت")</f>
        <v>شركة سانيبيت</v>
      </c>
      <c r="L1765" s="142" t="str">
        <f>IFERROR(__xludf.DUMMYFUNCTION("""COMPUTED_VALUE"""),"0116115")</f>
        <v>0116115</v>
      </c>
      <c r="M1765" s="133"/>
      <c r="N1765" s="133"/>
      <c r="O1765" s="133"/>
      <c r="P1765" s="133"/>
      <c r="Q1765" s="133"/>
      <c r="R1765" s="133"/>
      <c r="S1765" s="133"/>
      <c r="T1765" s="133"/>
      <c r="U1765" s="133"/>
      <c r="V1765" s="133"/>
      <c r="W1765" s="133"/>
      <c r="X1765" s="133"/>
      <c r="Y1765" s="133"/>
      <c r="Z1765" s="133"/>
    </row>
    <row r="1766">
      <c r="A1766" s="133">
        <f>IFERROR(__xludf.DUMMYFUNCTION("""COMPUTED_VALUE"""),1767.0)</f>
        <v>1767</v>
      </c>
      <c r="B1766" s="133" t="str">
        <f>IFERROR(__xludf.DUMMYFUNCTION("""COMPUTED_VALUE"""),"0101115")</f>
        <v>0101115</v>
      </c>
      <c r="C1766" s="133" t="str">
        <f>IFERROR(__xludf.DUMMYFUNCTION("""COMPUTED_VALUE"""),"P-1-N-080424-2368")</f>
        <v>P-1-N-080424-2368</v>
      </c>
      <c r="D1766" s="133"/>
      <c r="E1766" s="133" t="str">
        <f>IFERROR(__xludf.DUMMYFUNCTION("""COMPUTED_VALUE"""),"تمت طباعة الشهادة")</f>
        <v>تمت طباعة الشهادة</v>
      </c>
      <c r="F1766" s="133" t="str">
        <f>IFERROR(__xludf.DUMMYFUNCTION("""COMPUTED_VALUE"""),"Forza10 Adult Mini Monodiet Fish 1.5kg")</f>
        <v>Forza10 Adult Mini Monodiet Fish 1.5kg</v>
      </c>
      <c r="G1766" s="133" t="str">
        <f>IFERROR(__xludf.DUMMYFUNCTION("""COMPUTED_VALUE"""),"فورزا10 ادلت ميني مونو دايت سمك 1.5كغ")</f>
        <v>فورزا10 ادلت ميني مونو دايت سمك 1.5كغ</v>
      </c>
      <c r="H1766" s="133" t="str">
        <f>IFERROR(__xludf.DUMMYFUNCTION("""COMPUTED_VALUE"""),"MAFE20241855")</f>
        <v>MAFE20241855</v>
      </c>
      <c r="I1766" s="133"/>
      <c r="J1766" s="133"/>
      <c r="K1766" s="133" t="str">
        <f>IFERROR(__xludf.DUMMYFUNCTION("""COMPUTED_VALUE"""),"شركة سانيبيت")</f>
        <v>شركة سانيبيت</v>
      </c>
      <c r="L1766" s="142" t="str">
        <f>IFERROR(__xludf.DUMMYFUNCTION("""COMPUTED_VALUE"""),"0101115")</f>
        <v>0101115</v>
      </c>
      <c r="M1766" s="133"/>
      <c r="N1766" s="133"/>
      <c r="O1766" s="133"/>
      <c r="P1766" s="133"/>
      <c r="Q1766" s="133"/>
      <c r="R1766" s="133"/>
      <c r="S1766" s="133"/>
      <c r="T1766" s="133"/>
      <c r="U1766" s="133"/>
      <c r="V1766" s="133"/>
      <c r="W1766" s="133"/>
      <c r="X1766" s="133"/>
      <c r="Y1766" s="133"/>
      <c r="Z1766" s="133"/>
    </row>
    <row r="1767">
      <c r="A1767" s="133">
        <f>IFERROR(__xludf.DUMMYFUNCTION("""COMPUTED_VALUE"""),1768.0)</f>
        <v>1768</v>
      </c>
      <c r="B1767" s="133" t="str">
        <f>IFERROR(__xludf.DUMMYFUNCTION("""COMPUTED_VALUE"""),"A4073")</f>
        <v>A4073</v>
      </c>
      <c r="C1767" s="133" t="str">
        <f>IFERROR(__xludf.DUMMYFUNCTION("""COMPUTED_VALUE"""),"P-1-N-120720-1901")</f>
        <v>P-1-N-120720-1901</v>
      </c>
      <c r="D1767" s="133"/>
      <c r="E1767" s="133" t="str">
        <f>IFERROR(__xludf.DUMMYFUNCTION("""COMPUTED_VALUE"""),"REJECTED")</f>
        <v>REJECTED</v>
      </c>
      <c r="F1767" s="133" t="str">
        <f>IFERROR(__xludf.DUMMYFUNCTION("""COMPUTED_VALUE"""),"Applaws Adult Cat Chicken with Extra Salmon 7.5 kg")</f>
        <v>Applaws Adult Cat Chicken with Extra Salmon 7.5 kg</v>
      </c>
      <c r="G1767" s="133" t="str">
        <f>IFERROR(__xludf.DUMMYFUNCTION("""COMPUTED_VALUE"""),"ابلاوز دجاج مع سلمون اضافي للقطه البالغه 7.5 كغم")</f>
        <v>ابلاوز دجاج مع سلمون اضافي للقطه البالغه 7.5 كغم</v>
      </c>
      <c r="H1767" s="133"/>
      <c r="I1767" s="133"/>
      <c r="J1767" s="133"/>
      <c r="K1767" s="133" t="str">
        <f>IFERROR(__xludf.DUMMYFUNCTION("""COMPUTED_VALUE"""),"أم بي أم برودكتس ليمتد")</f>
        <v>أم بي أم برودكتس ليمتد</v>
      </c>
      <c r="L1767" s="142" t="str">
        <f>IFERROR(__xludf.DUMMYFUNCTION("""COMPUTED_VALUE"""),"A4073")</f>
        <v>A4073</v>
      </c>
      <c r="M1767" s="133"/>
      <c r="N1767" s="133"/>
      <c r="O1767" s="133"/>
      <c r="P1767" s="133"/>
      <c r="Q1767" s="133"/>
      <c r="R1767" s="133"/>
      <c r="S1767" s="133"/>
      <c r="T1767" s="133"/>
      <c r="U1767" s="133"/>
      <c r="V1767" s="133"/>
      <c r="W1767" s="133"/>
      <c r="X1767" s="133"/>
      <c r="Y1767" s="133"/>
      <c r="Z1767" s="133"/>
    </row>
    <row r="1768">
      <c r="A1768" s="133">
        <f>IFERROR(__xludf.DUMMYFUNCTION("""COMPUTED_VALUE"""),1769.0)</f>
        <v>1769</v>
      </c>
      <c r="B1768" s="133"/>
      <c r="C1768" s="133" t="str">
        <f>IFERROR(__xludf.DUMMYFUNCTION("""COMPUTED_VALUE"""),"P-1-N-160720-1969")</f>
        <v>P-1-N-160720-1969</v>
      </c>
      <c r="D1768" s="133"/>
      <c r="E1768" s="133" t="str">
        <f>IFERROR(__xludf.DUMMYFUNCTION("""COMPUTED_VALUE"""),"REJECTED")</f>
        <v>REJECTED</v>
      </c>
      <c r="F1768" s="133" t="str">
        <f>IFERROR(__xludf.DUMMYFUNCTION("""COMPUTED_VALUE"""),"Applaws Cat Chicken with Lamb 7.5kg")</f>
        <v>Applaws Cat Chicken with Lamb 7.5kg</v>
      </c>
      <c r="G1768" s="133" t="str">
        <f>IFERROR(__xludf.DUMMYFUNCTION("""COMPUTED_VALUE"""),"ابلاوز دجاج مع لحم الضأن للقطط 7.5 كجم")</f>
        <v>ابلاوز دجاج مع لحم الضأن للقطط 7.5 كجم</v>
      </c>
      <c r="H1768" s="133"/>
      <c r="I1768" s="133"/>
      <c r="J1768" s="133"/>
      <c r="K1768" s="133" t="str">
        <f>IFERROR(__xludf.DUMMYFUNCTION("""COMPUTED_VALUE"""),"أم بي أم برودكتس ليمتد")</f>
        <v>أم بي أم برودكتس ليمتد</v>
      </c>
      <c r="L1768" s="133"/>
      <c r="M1768" s="133"/>
      <c r="N1768" s="133"/>
      <c r="O1768" s="133"/>
      <c r="P1768" s="133"/>
      <c r="Q1768" s="133"/>
      <c r="R1768" s="133"/>
      <c r="S1768" s="133"/>
      <c r="T1768" s="133"/>
      <c r="U1768" s="133"/>
      <c r="V1768" s="133"/>
      <c r="W1768" s="133"/>
      <c r="X1768" s="133"/>
      <c r="Y1768" s="133"/>
      <c r="Z1768" s="133"/>
    </row>
    <row r="1769">
      <c r="A1769" s="133">
        <f>IFERROR(__xludf.DUMMYFUNCTION("""COMPUTED_VALUE"""),1770.0)</f>
        <v>1770</v>
      </c>
      <c r="B1769" s="133" t="str">
        <f>IFERROR(__xludf.DUMMYFUNCTION("""COMPUTED_VALUE"""),"B1110")</f>
        <v>B1110</v>
      </c>
      <c r="C1769" s="133" t="str">
        <f>IFERROR(__xludf.DUMMYFUNCTION("""COMPUTED_VALUE"""),"P-1-N-180820-2289")</f>
        <v>P-1-N-180820-2289</v>
      </c>
      <c r="D1769" s="133"/>
      <c r="E1769" s="133" t="str">
        <f>IFERROR(__xludf.DUMMYFUNCTION("""COMPUTED_VALUE"""),"REJECTED")</f>
        <v>REJECTED</v>
      </c>
      <c r="F1769" s="133" t="str">
        <f>IFERROR(__xludf.DUMMYFUNCTION("""COMPUTED_VALUE"""),"Butcher's Natural &amp; Healthy Dog with Lamb and Rice Pate 390g")</f>
        <v>Butcher's Natural &amp; Healthy Dog with Lamb and Rice Pate 390g</v>
      </c>
      <c r="G1769" s="133" t="str">
        <f>IFERROR(__xludf.DUMMYFUNCTION("""COMPUTED_VALUE"""),"بوتشرز طبيعي وصحي للكلاب مع لحم الغنم والرز باتي 390 جم")</f>
        <v>بوتشرز طبيعي وصحي للكلاب مع لحم الغنم والرز باتي 390 جم</v>
      </c>
      <c r="H1769" s="133"/>
      <c r="I1769" s="133"/>
      <c r="J1769" s="133"/>
      <c r="K1769" s="133" t="str">
        <f>IFERROR(__xludf.DUMMYFUNCTION("""COMPUTED_VALUE"""),"بوتشرز بت كير ال تي دي")</f>
        <v>بوتشرز بت كير ال تي دي</v>
      </c>
      <c r="L1769" s="142" t="str">
        <f>IFERROR(__xludf.DUMMYFUNCTION("""COMPUTED_VALUE"""),"B1110")</f>
        <v>B1110</v>
      </c>
      <c r="M1769" s="133"/>
      <c r="N1769" s="133"/>
      <c r="O1769" s="133"/>
      <c r="P1769" s="133"/>
      <c r="Q1769" s="133"/>
      <c r="R1769" s="133"/>
      <c r="S1769" s="133"/>
      <c r="T1769" s="133"/>
      <c r="U1769" s="133"/>
      <c r="V1769" s="133"/>
      <c r="W1769" s="133"/>
      <c r="X1769" s="133"/>
      <c r="Y1769" s="133"/>
      <c r="Z1769" s="133"/>
    </row>
    <row r="1770">
      <c r="A1770" s="133">
        <f>IFERROR(__xludf.DUMMYFUNCTION("""COMPUTED_VALUE"""),1771.0)</f>
        <v>1771</v>
      </c>
      <c r="B1770" s="133" t="str">
        <f>IFERROR(__xludf.DUMMYFUNCTION("""COMPUTED_VALUE"""),"KC836")</f>
        <v>KC836</v>
      </c>
      <c r="C1770" s="133" t="str">
        <f>IFERROR(__xludf.DUMMYFUNCTION("""COMPUTED_VALUE"""),"P-1-N-070920-2663")</f>
        <v>P-1-N-070920-2663</v>
      </c>
      <c r="D1770" s="133"/>
      <c r="E1770" s="133" t="str">
        <f>IFERROR(__xludf.DUMMYFUNCTION("""COMPUTED_VALUE"""),"تمت طباعة الشهادة")</f>
        <v>تمت طباعة الشهادة</v>
      </c>
      <c r="F1770" s="133" t="str">
        <f>IFERROR(__xludf.DUMMYFUNCTION("""COMPUTED_VALUE"""),"Kitcat Purr Puree Tuna &amp; Salmon 4*15g")</f>
        <v>Kitcat Purr Puree Tuna &amp; Salmon 4*15g</v>
      </c>
      <c r="G1770" s="133" t="str">
        <f>IFERROR(__xludf.DUMMYFUNCTION("""COMPUTED_VALUE"""),"كت كات بور بوري تونا و سالمون 15جرام *4")</f>
        <v>كت كات بور بوري تونا و سالمون 15جرام *4</v>
      </c>
      <c r="H1770" s="133" t="str">
        <f>IFERROR(__xludf.DUMMYFUNCTION("""COMPUTED_VALUE"""),"MAFE20201197")</f>
        <v>MAFE20201197</v>
      </c>
      <c r="I1770" s="133"/>
      <c r="J1770" s="133"/>
      <c r="K1770" s="133" t="str">
        <f>IFERROR(__xludf.DUMMYFUNCTION("""COMPUTED_VALUE"""),"شركة يونيكورد العامة المحدودة")</f>
        <v>شركة يونيكورد العامة المحدودة</v>
      </c>
      <c r="L1770" s="142" t="str">
        <f>IFERROR(__xludf.DUMMYFUNCTION("""COMPUTED_VALUE"""),"KC836")</f>
        <v>KC836</v>
      </c>
      <c r="M1770" s="133"/>
      <c r="N1770" s="133"/>
      <c r="O1770" s="133"/>
      <c r="P1770" s="133"/>
      <c r="Q1770" s="133"/>
      <c r="R1770" s="133"/>
      <c r="S1770" s="133"/>
      <c r="T1770" s="133"/>
      <c r="U1770" s="133"/>
      <c r="V1770" s="133"/>
      <c r="W1770" s="133"/>
      <c r="X1770" s="133"/>
      <c r="Y1770" s="133"/>
      <c r="Z1770" s="133"/>
    </row>
    <row r="1771">
      <c r="A1771" s="133">
        <f>IFERROR(__xludf.DUMMYFUNCTION("""COMPUTED_VALUE"""),1772.0)</f>
        <v>1772</v>
      </c>
      <c r="B1771" s="133" t="str">
        <f>IFERROR(__xludf.DUMMYFUNCTION("""COMPUTED_VALUE"""),"KC843")</f>
        <v>KC843</v>
      </c>
      <c r="C1771" s="133" t="str">
        <f>IFERROR(__xludf.DUMMYFUNCTION("""COMPUTED_VALUE"""),"P-1-N-070920-2664")</f>
        <v>P-1-N-070920-2664</v>
      </c>
      <c r="D1771" s="133"/>
      <c r="E1771" s="133" t="str">
        <f>IFERROR(__xludf.DUMMYFUNCTION("""COMPUTED_VALUE"""),"تمت طباعة الشهادة")</f>
        <v>تمت طباعة الشهادة</v>
      </c>
      <c r="F1771" s="133" t="str">
        <f>IFERROR(__xludf.DUMMYFUNCTION("""COMPUTED_VALUE"""),"Kitcat Purr Puree Tuna &amp; fiber (Hairball) 4*15g")</f>
        <v>Kitcat Purr Puree Tuna &amp; fiber (Hairball) 4*15g</v>
      </c>
      <c r="G1771" s="133" t="str">
        <f>IFERROR(__xludf.DUMMYFUNCTION("""COMPUTED_VALUE"""),"كت كات بور بوري تونا و الياف (كرات الشعر) 15جرام *4")</f>
        <v>كت كات بور بوري تونا و الياف (كرات الشعر) 15جرام *4</v>
      </c>
      <c r="H1771" s="133" t="str">
        <f>IFERROR(__xludf.DUMMYFUNCTION("""COMPUTED_VALUE"""),"MAFE20201196")</f>
        <v>MAFE20201196</v>
      </c>
      <c r="I1771" s="133"/>
      <c r="J1771" s="133"/>
      <c r="K1771" s="133" t="str">
        <f>IFERROR(__xludf.DUMMYFUNCTION("""COMPUTED_VALUE"""),"شركة يونيكورد العامة المحدودة")</f>
        <v>شركة يونيكورد العامة المحدودة</v>
      </c>
      <c r="L1771" s="142" t="str">
        <f>IFERROR(__xludf.DUMMYFUNCTION("""COMPUTED_VALUE"""),"KC843")</f>
        <v>KC843</v>
      </c>
      <c r="M1771" s="133"/>
      <c r="N1771" s="133"/>
      <c r="O1771" s="133"/>
      <c r="P1771" s="133"/>
      <c r="Q1771" s="133"/>
      <c r="R1771" s="133"/>
      <c r="S1771" s="133"/>
      <c r="T1771" s="133"/>
      <c r="U1771" s="133"/>
      <c r="V1771" s="133"/>
      <c r="W1771" s="133"/>
      <c r="X1771" s="133"/>
      <c r="Y1771" s="133"/>
      <c r="Z1771" s="133"/>
    </row>
    <row r="1772">
      <c r="A1772" s="133">
        <f>IFERROR(__xludf.DUMMYFUNCTION("""COMPUTED_VALUE"""),1773.0)</f>
        <v>1773</v>
      </c>
      <c r="B1772" s="133" t="str">
        <f>IFERROR(__xludf.DUMMYFUNCTION("""COMPUTED_VALUE"""),"KC850")</f>
        <v>KC850</v>
      </c>
      <c r="C1772" s="133" t="str">
        <f>IFERROR(__xludf.DUMMYFUNCTION("""COMPUTED_VALUE"""),"P-1-N-070920-2665")</f>
        <v>P-1-N-070920-2665</v>
      </c>
      <c r="D1772" s="133"/>
      <c r="E1772" s="133" t="str">
        <f>IFERROR(__xludf.DUMMYFUNCTION("""COMPUTED_VALUE"""),"تمت طباعة الشهادة")</f>
        <v>تمت طباعة الشهادة</v>
      </c>
      <c r="F1772" s="133" t="str">
        <f>IFERROR(__xludf.DUMMYFUNCTION("""COMPUTED_VALUE"""),"Kitcat Purr Puree Tuna &amp; Smoked fish 4*15g")</f>
        <v>Kitcat Purr Puree Tuna &amp; Smoked fish 4*15g</v>
      </c>
      <c r="G1772" s="133" t="str">
        <f>IFERROR(__xludf.DUMMYFUNCTION("""COMPUTED_VALUE"""),"كت كات بور بوري تونا و سمك مدخن 15جرام *4")</f>
        <v>كت كات بور بوري تونا و سمك مدخن 15جرام *4</v>
      </c>
      <c r="H1772" s="133" t="str">
        <f>IFERROR(__xludf.DUMMYFUNCTION("""COMPUTED_VALUE"""),"MAFE20201195")</f>
        <v>MAFE20201195</v>
      </c>
      <c r="I1772" s="133"/>
      <c r="J1772" s="133"/>
      <c r="K1772" s="133" t="str">
        <f>IFERROR(__xludf.DUMMYFUNCTION("""COMPUTED_VALUE"""),"شركة يونيكورد العامة المحدودة")</f>
        <v>شركة يونيكورد العامة المحدودة</v>
      </c>
      <c r="L1772" s="142" t="str">
        <f>IFERROR(__xludf.DUMMYFUNCTION("""COMPUTED_VALUE"""),"KC850")</f>
        <v>KC850</v>
      </c>
      <c r="M1772" s="133"/>
      <c r="N1772" s="133"/>
      <c r="O1772" s="133"/>
      <c r="P1772" s="133"/>
      <c r="Q1772" s="133"/>
      <c r="R1772" s="133"/>
      <c r="S1772" s="133"/>
      <c r="T1772" s="133"/>
      <c r="U1772" s="133"/>
      <c r="V1772" s="133"/>
      <c r="W1772" s="133"/>
      <c r="X1772" s="133"/>
      <c r="Y1772" s="133"/>
      <c r="Z1772" s="133"/>
    </row>
    <row r="1773">
      <c r="A1773" s="133">
        <f>IFERROR(__xludf.DUMMYFUNCTION("""COMPUTED_VALUE"""),1774.0)</f>
        <v>1774</v>
      </c>
      <c r="B1773" s="133" t="str">
        <f>IFERROR(__xludf.DUMMYFUNCTION("""COMPUTED_VALUE"""),"KC867")</f>
        <v>KC867</v>
      </c>
      <c r="C1773" s="133" t="str">
        <f>IFERROR(__xludf.DUMMYFUNCTION("""COMPUTED_VALUE"""),"P-1-N-070920-2666")</f>
        <v>P-1-N-070920-2666</v>
      </c>
      <c r="D1773" s="133"/>
      <c r="E1773" s="133" t="str">
        <f>IFERROR(__xludf.DUMMYFUNCTION("""COMPUTED_VALUE"""),"تمت طباعة الشهادة")</f>
        <v>تمت طباعة الشهادة</v>
      </c>
      <c r="F1773" s="133" t="str">
        <f>IFERROR(__xludf.DUMMYFUNCTION("""COMPUTED_VALUE"""),"Kitcat Purr Puree Tuna &amp; Scallop 4*15g")</f>
        <v>Kitcat Purr Puree Tuna &amp; Scallop 4*15g</v>
      </c>
      <c r="G1773" s="133" t="str">
        <f>IFERROR(__xludf.DUMMYFUNCTION("""COMPUTED_VALUE"""),"كت كات بور بوري تونا و محار 15جرام *4")</f>
        <v>كت كات بور بوري تونا و محار 15جرام *4</v>
      </c>
      <c r="H1773" s="133" t="str">
        <f>IFERROR(__xludf.DUMMYFUNCTION("""COMPUTED_VALUE"""),"MAFE20201194")</f>
        <v>MAFE20201194</v>
      </c>
      <c r="I1773" s="133"/>
      <c r="J1773" s="133"/>
      <c r="K1773" s="133" t="str">
        <f>IFERROR(__xludf.DUMMYFUNCTION("""COMPUTED_VALUE"""),"شركة يونيكورد العامة المحدودة")</f>
        <v>شركة يونيكورد العامة المحدودة</v>
      </c>
      <c r="L1773" s="142" t="str">
        <f>IFERROR(__xludf.DUMMYFUNCTION("""COMPUTED_VALUE"""),"KC867")</f>
        <v>KC867</v>
      </c>
      <c r="M1773" s="133"/>
      <c r="N1773" s="133"/>
      <c r="O1773" s="133"/>
      <c r="P1773" s="133"/>
      <c r="Q1773" s="133"/>
      <c r="R1773" s="133"/>
      <c r="S1773" s="133"/>
      <c r="T1773" s="133"/>
      <c r="U1773" s="133"/>
      <c r="V1773" s="133"/>
      <c r="W1773" s="133"/>
      <c r="X1773" s="133"/>
      <c r="Y1773" s="133"/>
      <c r="Z1773" s="133"/>
    </row>
    <row r="1774">
      <c r="A1774" s="133">
        <f>IFERROR(__xludf.DUMMYFUNCTION("""COMPUTED_VALUE"""),1775.0)</f>
        <v>1775</v>
      </c>
      <c r="B1774" s="133" t="str">
        <f>IFERROR(__xludf.DUMMYFUNCTION("""COMPUTED_VALUE"""),"KC874")</f>
        <v>KC874</v>
      </c>
      <c r="C1774" s="133" t="str">
        <f>IFERROR(__xludf.DUMMYFUNCTION("""COMPUTED_VALUE"""),"P-1-N-070920-2667")</f>
        <v>P-1-N-070920-2667</v>
      </c>
      <c r="D1774" s="133"/>
      <c r="E1774" s="133" t="str">
        <f>IFERROR(__xludf.DUMMYFUNCTION("""COMPUTED_VALUE"""),"تمت طباعة الشهادة")</f>
        <v>تمت طباعة الشهادة</v>
      </c>
      <c r="F1774" s="133" t="str">
        <f>IFERROR(__xludf.DUMMYFUNCTION("""COMPUTED_VALUE"""),"Kitcat Purr Puree Chicken &amp; Salmon 4*15g")</f>
        <v>Kitcat Purr Puree Chicken &amp; Salmon 4*15g</v>
      </c>
      <c r="G1774" s="133" t="str">
        <f>IFERROR(__xludf.DUMMYFUNCTION("""COMPUTED_VALUE"""),"كت كات بور بوري دجاج و سالمون 15جرام *4")</f>
        <v>كت كات بور بوري دجاج و سالمون 15جرام *4</v>
      </c>
      <c r="H1774" s="133" t="str">
        <f>IFERROR(__xludf.DUMMYFUNCTION("""COMPUTED_VALUE"""),"MAFE20201193")</f>
        <v>MAFE20201193</v>
      </c>
      <c r="I1774" s="133"/>
      <c r="J1774" s="133"/>
      <c r="K1774" s="133" t="str">
        <f>IFERROR(__xludf.DUMMYFUNCTION("""COMPUTED_VALUE"""),"شركة يونيكورد العامة المحدودة")</f>
        <v>شركة يونيكورد العامة المحدودة</v>
      </c>
      <c r="L1774" s="142" t="str">
        <f>IFERROR(__xludf.DUMMYFUNCTION("""COMPUTED_VALUE"""),"KC874")</f>
        <v>KC874</v>
      </c>
      <c r="M1774" s="133"/>
      <c r="N1774" s="133"/>
      <c r="O1774" s="133"/>
      <c r="P1774" s="133"/>
      <c r="Q1774" s="133"/>
      <c r="R1774" s="133"/>
      <c r="S1774" s="133"/>
      <c r="T1774" s="133"/>
      <c r="U1774" s="133"/>
      <c r="V1774" s="133"/>
      <c r="W1774" s="133"/>
      <c r="X1774" s="133"/>
      <c r="Y1774" s="133"/>
      <c r="Z1774" s="133"/>
    </row>
    <row r="1775">
      <c r="A1775" s="133">
        <f>IFERROR(__xludf.DUMMYFUNCTION("""COMPUTED_VALUE"""),1776.0)</f>
        <v>1776</v>
      </c>
      <c r="B1775" s="133" t="str">
        <f>IFERROR(__xludf.DUMMYFUNCTION("""COMPUTED_VALUE"""),"KC881")</f>
        <v>KC881</v>
      </c>
      <c r="C1775" s="133" t="str">
        <f>IFERROR(__xludf.DUMMYFUNCTION("""COMPUTED_VALUE"""),"P-1-N-070920-2668")</f>
        <v>P-1-N-070920-2668</v>
      </c>
      <c r="D1775" s="133"/>
      <c r="E1775" s="133" t="str">
        <f>IFERROR(__xludf.DUMMYFUNCTION("""COMPUTED_VALUE"""),"تمت طباعة الشهادة")</f>
        <v>تمت طباعة الشهادة</v>
      </c>
      <c r="F1775" s="133" t="str">
        <f>IFERROR(__xludf.DUMMYFUNCTION("""COMPUTED_VALUE"""),"Kitcat Purr Puree Chicken &amp; fiber (Hairball) 4*15g")</f>
        <v>Kitcat Purr Puree Chicken &amp; fiber (Hairball) 4*15g</v>
      </c>
      <c r="G1775" s="133" t="str">
        <f>IFERROR(__xludf.DUMMYFUNCTION("""COMPUTED_VALUE"""),"كت كات بور بوري دجاج و الياف (كرة الشعر) 15جرام *4")</f>
        <v>كت كات بور بوري دجاج و الياف (كرة الشعر) 15جرام *4</v>
      </c>
      <c r="H1775" s="133" t="str">
        <f>IFERROR(__xludf.DUMMYFUNCTION("""COMPUTED_VALUE"""),"MAFE20201192")</f>
        <v>MAFE20201192</v>
      </c>
      <c r="I1775" s="133"/>
      <c r="J1775" s="133"/>
      <c r="K1775" s="133" t="str">
        <f>IFERROR(__xludf.DUMMYFUNCTION("""COMPUTED_VALUE"""),"شركة يونيكورد العامة المحدودة")</f>
        <v>شركة يونيكورد العامة المحدودة</v>
      </c>
      <c r="L1775" s="142" t="str">
        <f>IFERROR(__xludf.DUMMYFUNCTION("""COMPUTED_VALUE"""),"KC881")</f>
        <v>KC881</v>
      </c>
      <c r="M1775" s="133"/>
      <c r="N1775" s="133"/>
      <c r="O1775" s="133"/>
      <c r="P1775" s="133"/>
      <c r="Q1775" s="133"/>
      <c r="R1775" s="133"/>
      <c r="S1775" s="133"/>
      <c r="T1775" s="133"/>
      <c r="U1775" s="133"/>
      <c r="V1775" s="133"/>
      <c r="W1775" s="133"/>
      <c r="X1775" s="133"/>
      <c r="Y1775" s="133"/>
      <c r="Z1775" s="133"/>
    </row>
    <row r="1776">
      <c r="A1776" s="133">
        <f>IFERROR(__xludf.DUMMYFUNCTION("""COMPUTED_VALUE"""),1777.0)</f>
        <v>1777</v>
      </c>
      <c r="B1776" s="133" t="str">
        <f>IFERROR(__xludf.DUMMYFUNCTION("""COMPUTED_VALUE"""),"KC898")</f>
        <v>KC898</v>
      </c>
      <c r="C1776" s="133" t="str">
        <f>IFERROR(__xludf.DUMMYFUNCTION("""COMPUTED_VALUE"""),"P-1-N-070920-2669")</f>
        <v>P-1-N-070920-2669</v>
      </c>
      <c r="D1776" s="133"/>
      <c r="E1776" s="133" t="str">
        <f>IFERROR(__xludf.DUMMYFUNCTION("""COMPUTED_VALUE"""),"تمت طباعة الشهادة")</f>
        <v>تمت طباعة الشهادة</v>
      </c>
      <c r="F1776" s="133" t="str">
        <f>IFERROR(__xludf.DUMMYFUNCTION("""COMPUTED_VALUE"""),"Kitcat Purr Puree Chicken &amp; Smoked fish 4*15g")</f>
        <v>Kitcat Purr Puree Chicken &amp; Smoked fish 4*15g</v>
      </c>
      <c r="G1776" s="133" t="str">
        <f>IFERROR(__xludf.DUMMYFUNCTION("""COMPUTED_VALUE"""),"كت كات بور بوري دجاج و سمك مدخن 15جرام *4")</f>
        <v>كت كات بور بوري دجاج و سمك مدخن 15جرام *4</v>
      </c>
      <c r="H1776" s="133" t="str">
        <f>IFERROR(__xludf.DUMMYFUNCTION("""COMPUTED_VALUE"""),"MAFE20201191")</f>
        <v>MAFE20201191</v>
      </c>
      <c r="I1776" s="133"/>
      <c r="J1776" s="133"/>
      <c r="K1776" s="133" t="str">
        <f>IFERROR(__xludf.DUMMYFUNCTION("""COMPUTED_VALUE"""),"شركة يونيكورد العامة المحدودة")</f>
        <v>شركة يونيكورد العامة المحدودة</v>
      </c>
      <c r="L1776" s="142" t="str">
        <f>IFERROR(__xludf.DUMMYFUNCTION("""COMPUTED_VALUE"""),"KC898")</f>
        <v>KC898</v>
      </c>
      <c r="M1776" s="133"/>
      <c r="N1776" s="133"/>
      <c r="O1776" s="133"/>
      <c r="P1776" s="133"/>
      <c r="Q1776" s="133"/>
      <c r="R1776" s="133"/>
      <c r="S1776" s="133"/>
      <c r="T1776" s="133"/>
      <c r="U1776" s="133"/>
      <c r="V1776" s="133"/>
      <c r="W1776" s="133"/>
      <c r="X1776" s="133"/>
      <c r="Y1776" s="133"/>
      <c r="Z1776" s="133"/>
    </row>
    <row r="1777">
      <c r="A1777" s="133">
        <f>IFERROR(__xludf.DUMMYFUNCTION("""COMPUTED_VALUE"""),1778.0)</f>
        <v>1778</v>
      </c>
      <c r="B1777" s="133" t="str">
        <f>IFERROR(__xludf.DUMMYFUNCTION("""COMPUTED_VALUE"""),"KC904")</f>
        <v>KC904</v>
      </c>
      <c r="C1777" s="133" t="str">
        <f>IFERROR(__xludf.DUMMYFUNCTION("""COMPUTED_VALUE"""),"P-1-N-070920-2670")</f>
        <v>P-1-N-070920-2670</v>
      </c>
      <c r="D1777" s="133"/>
      <c r="E1777" s="133" t="str">
        <f>IFERROR(__xludf.DUMMYFUNCTION("""COMPUTED_VALUE"""),"تمت طباعة الشهادة")</f>
        <v>تمت طباعة الشهادة</v>
      </c>
      <c r="F1777" s="133" t="str">
        <f>IFERROR(__xludf.DUMMYFUNCTION("""COMPUTED_VALUE"""),"Kitcat Purr Puree Chicken &amp; Scallop 4*15g")</f>
        <v>Kitcat Purr Puree Chicken &amp; Scallop 4*15g</v>
      </c>
      <c r="G1777" s="133" t="str">
        <f>IFERROR(__xludf.DUMMYFUNCTION("""COMPUTED_VALUE"""),"كت كات بور بوري دجاج و محار 15جرام *4")</f>
        <v>كت كات بور بوري دجاج و محار 15جرام *4</v>
      </c>
      <c r="H1777" s="133" t="str">
        <f>IFERROR(__xludf.DUMMYFUNCTION("""COMPUTED_VALUE"""),"MAFE20201190")</f>
        <v>MAFE20201190</v>
      </c>
      <c r="I1777" s="133"/>
      <c r="J1777" s="133"/>
      <c r="K1777" s="133" t="str">
        <f>IFERROR(__xludf.DUMMYFUNCTION("""COMPUTED_VALUE"""),"شركة يونيكورد العامة المحدودة")</f>
        <v>شركة يونيكورد العامة المحدودة</v>
      </c>
      <c r="L1777" s="142" t="str">
        <f>IFERROR(__xludf.DUMMYFUNCTION("""COMPUTED_VALUE"""),"KC904")</f>
        <v>KC904</v>
      </c>
      <c r="M1777" s="133"/>
      <c r="N1777" s="133"/>
      <c r="O1777" s="133"/>
      <c r="P1777" s="133"/>
      <c r="Q1777" s="133"/>
      <c r="R1777" s="133"/>
      <c r="S1777" s="133"/>
      <c r="T1777" s="133"/>
      <c r="U1777" s="133"/>
      <c r="V1777" s="133"/>
      <c r="W1777" s="133"/>
      <c r="X1777" s="133"/>
      <c r="Y1777" s="133"/>
      <c r="Z1777" s="133"/>
    </row>
    <row r="1778">
      <c r="A1778" s="133">
        <f>IFERROR(__xludf.DUMMYFUNCTION("""COMPUTED_VALUE"""),1779.0)</f>
        <v>1779</v>
      </c>
      <c r="B1778" s="133" t="str">
        <f>IFERROR(__xludf.DUMMYFUNCTION("""COMPUTED_VALUE"""),"KC3222")</f>
        <v>KC3222</v>
      </c>
      <c r="C1778" s="133" t="str">
        <f>IFERROR(__xludf.DUMMYFUNCTION("""COMPUTED_VALUE"""),"P-1-N-070920-2671")</f>
        <v>P-1-N-070920-2671</v>
      </c>
      <c r="D1778" s="133"/>
      <c r="E1778" s="133" t="str">
        <f>IFERROR(__xludf.DUMMYFUNCTION("""COMPUTED_VALUE"""),"تمت طباعة الشهادة")</f>
        <v>تمت طباعة الشهادة</v>
      </c>
      <c r="F1778" s="133" t="str">
        <f>IFERROR(__xludf.DUMMYFUNCTION("""COMPUTED_VALUE"""),"Kit cat Purr Puree Skin &amp; Coat (Chicken &amp; Fish oil) 4*15g")</f>
        <v>Kit cat Purr Puree Skin &amp; Coat (Chicken &amp; Fish oil) 4*15g</v>
      </c>
      <c r="G1778" s="133" t="str">
        <f>IFERROR(__xludf.DUMMYFUNCTION("""COMPUTED_VALUE"""),"كت كات بور بوري بلاس الجلد والفرو (دجاج و زيت السمك) 15جرام *4")</f>
        <v>كت كات بور بوري بلاس الجلد والفرو (دجاج و زيت السمك) 15جرام *4</v>
      </c>
      <c r="H1778" s="133" t="str">
        <f>IFERROR(__xludf.DUMMYFUNCTION("""COMPUTED_VALUE"""),"MAFE20201189")</f>
        <v>MAFE20201189</v>
      </c>
      <c r="I1778" s="133"/>
      <c r="J1778" s="133"/>
      <c r="K1778" s="133" t="str">
        <f>IFERROR(__xludf.DUMMYFUNCTION("""COMPUTED_VALUE"""),"شركة يونيكورد العامة المحدودة")</f>
        <v>شركة يونيكورد العامة المحدودة</v>
      </c>
      <c r="L1778" s="142" t="str">
        <f>IFERROR(__xludf.DUMMYFUNCTION("""COMPUTED_VALUE"""),"KC3222")</f>
        <v>KC3222</v>
      </c>
      <c r="M1778" s="133"/>
      <c r="N1778" s="133"/>
      <c r="O1778" s="133"/>
      <c r="P1778" s="133"/>
      <c r="Q1778" s="133"/>
      <c r="R1778" s="133"/>
      <c r="S1778" s="133"/>
      <c r="T1778" s="133"/>
      <c r="U1778" s="133"/>
      <c r="V1778" s="133"/>
      <c r="W1778" s="133"/>
      <c r="X1778" s="133"/>
      <c r="Y1778" s="133"/>
      <c r="Z1778" s="133"/>
    </row>
    <row r="1779">
      <c r="A1779" s="133">
        <f>IFERROR(__xludf.DUMMYFUNCTION("""COMPUTED_VALUE"""),1780.0)</f>
        <v>1780</v>
      </c>
      <c r="B1779" s="133" t="str">
        <f>IFERROR(__xludf.DUMMYFUNCTION("""COMPUTED_VALUE"""),"KC3215")</f>
        <v>KC3215</v>
      </c>
      <c r="C1779" s="133" t="str">
        <f>IFERROR(__xludf.DUMMYFUNCTION("""COMPUTED_VALUE"""),"P-1-N-070920-2672")</f>
        <v>P-1-N-070920-2672</v>
      </c>
      <c r="D1779" s="133"/>
      <c r="E1779" s="133" t="str">
        <f>IFERROR(__xludf.DUMMYFUNCTION("""COMPUTED_VALUE"""),"تمت طباعة الشهادة")</f>
        <v>تمت طباعة الشهادة</v>
      </c>
      <c r="F1779" s="133" t="str">
        <f>IFERROR(__xludf.DUMMYFUNCTION("""COMPUTED_VALUE"""),"Kit cat Purr Puree Urinary care (Chicken &amp; cranberry) 4*15g")</f>
        <v>Kit cat Purr Puree Urinary care (Chicken &amp; cranberry) 4*15g</v>
      </c>
      <c r="G1779" s="133" t="str">
        <f>IFERROR(__xludf.DUMMYFUNCTION("""COMPUTED_VALUE"""),"كت كات بور بوري بلاس العناية البولية (دجاج و توت بري) 15جرام *4")</f>
        <v>كت كات بور بوري بلاس العناية البولية (دجاج و توت بري) 15جرام *4</v>
      </c>
      <c r="H1779" s="133" t="str">
        <f>IFERROR(__xludf.DUMMYFUNCTION("""COMPUTED_VALUE"""),"MAFE20201188")</f>
        <v>MAFE20201188</v>
      </c>
      <c r="I1779" s="133"/>
      <c r="J1779" s="133"/>
      <c r="K1779" s="133" t="str">
        <f>IFERROR(__xludf.DUMMYFUNCTION("""COMPUTED_VALUE"""),"شركة يونيكورد العامة المحدودة")</f>
        <v>شركة يونيكورد العامة المحدودة</v>
      </c>
      <c r="L1779" s="142" t="str">
        <f>IFERROR(__xludf.DUMMYFUNCTION("""COMPUTED_VALUE"""),"KC3215")</f>
        <v>KC3215</v>
      </c>
      <c r="M1779" s="133"/>
      <c r="N1779" s="133"/>
      <c r="O1779" s="133"/>
      <c r="P1779" s="133"/>
      <c r="Q1779" s="133"/>
      <c r="R1779" s="133"/>
      <c r="S1779" s="133"/>
      <c r="T1779" s="133"/>
      <c r="U1779" s="133"/>
      <c r="V1779" s="133"/>
      <c r="W1779" s="133"/>
      <c r="X1779" s="133"/>
      <c r="Y1779" s="133"/>
      <c r="Z1779" s="133"/>
    </row>
    <row r="1780">
      <c r="A1780" s="133">
        <f>IFERROR(__xludf.DUMMYFUNCTION("""COMPUTED_VALUE"""),1781.0)</f>
        <v>1781</v>
      </c>
      <c r="B1780" s="133" t="str">
        <f>IFERROR(__xludf.DUMMYFUNCTION("""COMPUTED_VALUE"""),"KC3246")</f>
        <v>KC3246</v>
      </c>
      <c r="C1780" s="133" t="str">
        <f>IFERROR(__xludf.DUMMYFUNCTION("""COMPUTED_VALUE"""),"P-1-N-070920-2673")</f>
        <v>P-1-N-070920-2673</v>
      </c>
      <c r="D1780" s="133"/>
      <c r="E1780" s="133" t="str">
        <f>IFERROR(__xludf.DUMMYFUNCTION("""COMPUTED_VALUE"""),"تمت طباعة الشهادة")</f>
        <v>تمت طباعة الشهادة</v>
      </c>
      <c r="F1780" s="133" t="str">
        <f>IFERROR(__xludf.DUMMYFUNCTION("""COMPUTED_VALUE"""),"Kit cat Purr Puree Joint care (Chicken &amp; Glucosamine) 4*15g")</f>
        <v>Kit cat Purr Puree Joint care (Chicken &amp; Glucosamine) 4*15g</v>
      </c>
      <c r="G1780" s="133" t="str">
        <f>IFERROR(__xludf.DUMMYFUNCTION("""COMPUTED_VALUE"""),"كت كات بور بوري بلاس العناية بالمفصل (دجاج و الجلوكوزامين) 15جرام *4")</f>
        <v>كت كات بور بوري بلاس العناية بالمفصل (دجاج و الجلوكوزامين) 15جرام *4</v>
      </c>
      <c r="H1780" s="133" t="str">
        <f>IFERROR(__xludf.DUMMYFUNCTION("""COMPUTED_VALUE"""),"MAFE20201187")</f>
        <v>MAFE20201187</v>
      </c>
      <c r="I1780" s="133"/>
      <c r="J1780" s="133"/>
      <c r="K1780" s="133" t="str">
        <f>IFERROR(__xludf.DUMMYFUNCTION("""COMPUTED_VALUE"""),"شركة يونيكورد العامة المحدودة")</f>
        <v>شركة يونيكورد العامة المحدودة</v>
      </c>
      <c r="L1780" s="142" t="str">
        <f>IFERROR(__xludf.DUMMYFUNCTION("""COMPUTED_VALUE"""),"KC3246")</f>
        <v>KC3246</v>
      </c>
      <c r="M1780" s="133"/>
      <c r="N1780" s="133"/>
      <c r="O1780" s="133"/>
      <c r="P1780" s="133"/>
      <c r="Q1780" s="133"/>
      <c r="R1780" s="133"/>
      <c r="S1780" s="133"/>
      <c r="T1780" s="133"/>
      <c r="U1780" s="133"/>
      <c r="V1780" s="133"/>
      <c r="W1780" s="133"/>
      <c r="X1780" s="133"/>
      <c r="Y1780" s="133"/>
      <c r="Z1780" s="133"/>
    </row>
    <row r="1781">
      <c r="A1781" s="133">
        <f>IFERROR(__xludf.DUMMYFUNCTION("""COMPUTED_VALUE"""),1782.0)</f>
        <v>1782</v>
      </c>
      <c r="B1781" s="133" t="str">
        <f>IFERROR(__xludf.DUMMYFUNCTION("""COMPUTED_VALUE"""),"KC3239")</f>
        <v>KC3239</v>
      </c>
      <c r="C1781" s="133" t="str">
        <f>IFERROR(__xludf.DUMMYFUNCTION("""COMPUTED_VALUE"""),"P-1-N-070920-2674")</f>
        <v>P-1-N-070920-2674</v>
      </c>
      <c r="D1781" s="133"/>
      <c r="E1781" s="133" t="str">
        <f>IFERROR(__xludf.DUMMYFUNCTION("""COMPUTED_VALUE"""),"تمت طباعة الشهادة")</f>
        <v>تمت طباعة الشهادة</v>
      </c>
      <c r="F1781" s="133" t="str">
        <f>IFERROR(__xludf.DUMMYFUNCTION("""COMPUTED_VALUE"""),"Kit cat Purr Puree Collagen care (Chicken &amp; Collagen) 4*15g")</f>
        <v>Kit cat Purr Puree Collagen care (Chicken &amp; Collagen) 4*15g</v>
      </c>
      <c r="G1781" s="133" t="str">
        <f>IFERROR(__xludf.DUMMYFUNCTION("""COMPUTED_VALUE"""),"كت كات بور بوري بلاس العناية بالكولاجين (دجاج و كولاجين) 15جرام *4")</f>
        <v>كت كات بور بوري بلاس العناية بالكولاجين (دجاج و كولاجين) 15جرام *4</v>
      </c>
      <c r="H1781" s="133" t="str">
        <f>IFERROR(__xludf.DUMMYFUNCTION("""COMPUTED_VALUE"""),"MAFE20201186")</f>
        <v>MAFE20201186</v>
      </c>
      <c r="I1781" s="133"/>
      <c r="J1781" s="133"/>
      <c r="K1781" s="133" t="str">
        <f>IFERROR(__xludf.DUMMYFUNCTION("""COMPUTED_VALUE"""),"شركة يونيكورد العامة المحدودة")</f>
        <v>شركة يونيكورد العامة المحدودة</v>
      </c>
      <c r="L1781" s="142" t="str">
        <f>IFERROR(__xludf.DUMMYFUNCTION("""COMPUTED_VALUE"""),"KC3239")</f>
        <v>KC3239</v>
      </c>
      <c r="M1781" s="133"/>
      <c r="N1781" s="133"/>
      <c r="O1781" s="133"/>
      <c r="P1781" s="133"/>
      <c r="Q1781" s="133"/>
      <c r="R1781" s="133"/>
      <c r="S1781" s="133"/>
      <c r="T1781" s="133"/>
      <c r="U1781" s="133"/>
      <c r="V1781" s="133"/>
      <c r="W1781" s="133"/>
      <c r="X1781" s="133"/>
      <c r="Y1781" s="133"/>
      <c r="Z1781" s="133"/>
    </row>
    <row r="1782">
      <c r="A1782" s="133">
        <f>IFERROR(__xludf.DUMMYFUNCTION("""COMPUTED_VALUE"""),1783.0)</f>
        <v>1783</v>
      </c>
      <c r="B1782" s="133" t="str">
        <f>IFERROR(__xludf.DUMMYFUNCTION("""COMPUTED_VALUE"""),"KC3253")</f>
        <v>KC3253</v>
      </c>
      <c r="C1782" s="133" t="str">
        <f>IFERROR(__xludf.DUMMYFUNCTION("""COMPUTED_VALUE"""),"P-1-N-070920-2675")</f>
        <v>P-1-N-070920-2675</v>
      </c>
      <c r="D1782" s="133"/>
      <c r="E1782" s="133" t="str">
        <f>IFERROR(__xludf.DUMMYFUNCTION("""COMPUTED_VALUE"""),"تمت طباعة الشهادة")</f>
        <v>تمت طباعة الشهادة</v>
      </c>
      <c r="F1782" s="133" t="str">
        <f>IFERROR(__xludf.DUMMYFUNCTION("""COMPUTED_VALUE"""),"Kit cat Purr Puree Urinary care (Tuna &amp; cranberry) 4*15g")</f>
        <v>Kit cat Purr Puree Urinary care (Tuna &amp; cranberry) 4*15g</v>
      </c>
      <c r="G1782" s="133" t="str">
        <f>IFERROR(__xludf.DUMMYFUNCTION("""COMPUTED_VALUE"""),"كت كات بور بوري بلاس العناية البولية (تونا و توت بري) 15جرام *4")</f>
        <v>كت كات بور بوري بلاس العناية البولية (تونا و توت بري) 15جرام *4</v>
      </c>
      <c r="H1782" s="133" t="str">
        <f>IFERROR(__xludf.DUMMYFUNCTION("""COMPUTED_VALUE"""),"MAFE20201185")</f>
        <v>MAFE20201185</v>
      </c>
      <c r="I1782" s="133"/>
      <c r="J1782" s="133"/>
      <c r="K1782" s="133" t="str">
        <f>IFERROR(__xludf.DUMMYFUNCTION("""COMPUTED_VALUE"""),"شركة يونيكورد العامة المحدودة")</f>
        <v>شركة يونيكورد العامة المحدودة</v>
      </c>
      <c r="L1782" s="142" t="str">
        <f>IFERROR(__xludf.DUMMYFUNCTION("""COMPUTED_VALUE"""),"KC3253")</f>
        <v>KC3253</v>
      </c>
      <c r="M1782" s="133"/>
      <c r="N1782" s="133"/>
      <c r="O1782" s="133"/>
      <c r="P1782" s="133"/>
      <c r="Q1782" s="133"/>
      <c r="R1782" s="133"/>
      <c r="S1782" s="133"/>
      <c r="T1782" s="133"/>
      <c r="U1782" s="133"/>
      <c r="V1782" s="133"/>
      <c r="W1782" s="133"/>
      <c r="X1782" s="133"/>
      <c r="Y1782" s="133"/>
      <c r="Z1782" s="133"/>
    </row>
    <row r="1783">
      <c r="A1783" s="133">
        <f>IFERROR(__xludf.DUMMYFUNCTION("""COMPUTED_VALUE"""),1784.0)</f>
        <v>1784</v>
      </c>
      <c r="B1783" s="133" t="str">
        <f>IFERROR(__xludf.DUMMYFUNCTION("""COMPUTED_VALUE"""),"KC3277")</f>
        <v>KC3277</v>
      </c>
      <c r="C1783" s="133" t="str">
        <f>IFERROR(__xludf.DUMMYFUNCTION("""COMPUTED_VALUE"""),"P-1-N-070920-2676")</f>
        <v>P-1-N-070920-2676</v>
      </c>
      <c r="D1783" s="133"/>
      <c r="E1783" s="133" t="str">
        <f>IFERROR(__xludf.DUMMYFUNCTION("""COMPUTED_VALUE"""),"تمت طباعة الشهادة")</f>
        <v>تمت طباعة الشهادة</v>
      </c>
      <c r="F1783" s="133" t="str">
        <f>IFERROR(__xludf.DUMMYFUNCTION("""COMPUTED_VALUE"""),"Kit cat Purr Puree Collagen care (Tuna &amp; Collagen) 4*15g")</f>
        <v>Kit cat Purr Puree Collagen care (Tuna &amp; Collagen) 4*15g</v>
      </c>
      <c r="G1783" s="133" t="str">
        <f>IFERROR(__xludf.DUMMYFUNCTION("""COMPUTED_VALUE"""),"كت كات بور بوري بلاس العناية بالكولاجين (تونا و كولاجين) 15جرام *4")</f>
        <v>كت كات بور بوري بلاس العناية بالكولاجين (تونا و كولاجين) 15جرام *4</v>
      </c>
      <c r="H1783" s="133" t="str">
        <f>IFERROR(__xludf.DUMMYFUNCTION("""COMPUTED_VALUE"""),"MAFE20201184")</f>
        <v>MAFE20201184</v>
      </c>
      <c r="I1783" s="133"/>
      <c r="J1783" s="133"/>
      <c r="K1783" s="133" t="str">
        <f>IFERROR(__xludf.DUMMYFUNCTION("""COMPUTED_VALUE"""),"شركة يونيكورد العامة المحدودة")</f>
        <v>شركة يونيكورد العامة المحدودة</v>
      </c>
      <c r="L1783" s="142" t="str">
        <f>IFERROR(__xludf.DUMMYFUNCTION("""COMPUTED_VALUE"""),"KC3277")</f>
        <v>KC3277</v>
      </c>
      <c r="M1783" s="133"/>
      <c r="N1783" s="133"/>
      <c r="O1783" s="133"/>
      <c r="P1783" s="133"/>
      <c r="Q1783" s="133"/>
      <c r="R1783" s="133"/>
      <c r="S1783" s="133"/>
      <c r="T1783" s="133"/>
      <c r="U1783" s="133"/>
      <c r="V1783" s="133"/>
      <c r="W1783" s="133"/>
      <c r="X1783" s="133"/>
      <c r="Y1783" s="133"/>
      <c r="Z1783" s="133"/>
    </row>
    <row r="1784">
      <c r="A1784" s="133">
        <f>IFERROR(__xludf.DUMMYFUNCTION("""COMPUTED_VALUE"""),1785.0)</f>
        <v>1785</v>
      </c>
      <c r="B1784" s="133" t="str">
        <f>IFERROR(__xludf.DUMMYFUNCTION("""COMPUTED_VALUE"""),"KC881")</f>
        <v>KC881</v>
      </c>
      <c r="C1784" s="133" t="str">
        <f>IFERROR(__xludf.DUMMYFUNCTION("""COMPUTED_VALUE"""),"P-1-N-070920-2678")</f>
        <v>P-1-N-070920-2678</v>
      </c>
      <c r="D1784" s="133"/>
      <c r="E1784" s="133" t="str">
        <f>IFERROR(__xludf.DUMMYFUNCTION("""COMPUTED_VALUE"""),"تمت طباعة الشهادة")</f>
        <v>تمت طباعة الشهادة</v>
      </c>
      <c r="F1784" s="133" t="str">
        <f>IFERROR(__xludf.DUMMYFUNCTION("""COMPUTED_VALUE"""),"Kitcat Purr Puree Chicken &amp; fiber (Hairball) 4*15g")</f>
        <v>Kitcat Purr Puree Chicken &amp; fiber (Hairball) 4*15g</v>
      </c>
      <c r="G1784" s="133" t="str">
        <f>IFERROR(__xludf.DUMMYFUNCTION("""COMPUTED_VALUE"""),"كت كات كيتي كرانش كات نكهة لحم الضأن 60 جرام")</f>
        <v>كت كات كيتي كرانش كات نكهة لحم الضأن 60 جرام</v>
      </c>
      <c r="H1784" s="133" t="str">
        <f>IFERROR(__xludf.DUMMYFUNCTION("""COMPUTED_VALUE"""),"MAFE20201180")</f>
        <v>MAFE20201180</v>
      </c>
      <c r="I1784" s="133"/>
      <c r="J1784" s="133"/>
      <c r="K1784" s="133" t="str">
        <f>IFERROR(__xludf.DUMMYFUNCTION("""COMPUTED_VALUE"""),"شركة نوتريكس العامة المحدودة")</f>
        <v>شركة نوتريكس العامة المحدودة</v>
      </c>
      <c r="L1784" s="142" t="str">
        <f>IFERROR(__xludf.DUMMYFUNCTION("""COMPUTED_VALUE"""),"KC881")</f>
        <v>KC881</v>
      </c>
      <c r="M1784" s="133"/>
      <c r="N1784" s="133"/>
      <c r="O1784" s="133"/>
      <c r="P1784" s="133"/>
      <c r="Q1784" s="133"/>
      <c r="R1784" s="133"/>
      <c r="S1784" s="133"/>
      <c r="T1784" s="133"/>
      <c r="U1784" s="133"/>
      <c r="V1784" s="133"/>
      <c r="W1784" s="133"/>
      <c r="X1784" s="133"/>
      <c r="Y1784" s="133"/>
      <c r="Z1784" s="133"/>
    </row>
    <row r="1785">
      <c r="A1785" s="133">
        <f>IFERROR(__xludf.DUMMYFUNCTION("""COMPUTED_VALUE"""),1786.0)</f>
        <v>1786</v>
      </c>
      <c r="B1785" s="133" t="str">
        <f>IFERROR(__xludf.DUMMYFUNCTION("""COMPUTED_VALUE"""),"KC898")</f>
        <v>KC898</v>
      </c>
      <c r="C1785" s="133" t="str">
        <f>IFERROR(__xludf.DUMMYFUNCTION("""COMPUTED_VALUE"""),"P-1-N-070920-2679")</f>
        <v>P-1-N-070920-2679</v>
      </c>
      <c r="D1785" s="133"/>
      <c r="E1785" s="133" t="str">
        <f>IFERROR(__xludf.DUMMYFUNCTION("""COMPUTED_VALUE"""),"تمت طباعة الشهادة")</f>
        <v>تمت طباعة الشهادة</v>
      </c>
      <c r="F1785" s="133" t="str">
        <f>IFERROR(__xludf.DUMMYFUNCTION("""COMPUTED_VALUE"""),"Kitcat Purr Puree Chicken &amp; Smoked fish 4*15g")</f>
        <v>Kitcat Purr Puree Chicken &amp; Smoked fish 4*15g</v>
      </c>
      <c r="G1785" s="133" t="str">
        <f>IFERROR(__xludf.DUMMYFUNCTION("""COMPUTED_VALUE"""),"كت كات كيتي كرانش كات نكهة التونا 60 جرام")</f>
        <v>كت كات كيتي كرانش كات نكهة التونا 60 جرام</v>
      </c>
      <c r="H1785" s="133" t="str">
        <f>IFERROR(__xludf.DUMMYFUNCTION("""COMPUTED_VALUE"""),"MAFE20201179")</f>
        <v>MAFE20201179</v>
      </c>
      <c r="I1785" s="133"/>
      <c r="J1785" s="133"/>
      <c r="K1785" s="133" t="str">
        <f>IFERROR(__xludf.DUMMYFUNCTION("""COMPUTED_VALUE"""),"شركة نوتريكس العامة المحدودة")</f>
        <v>شركة نوتريكس العامة المحدودة</v>
      </c>
      <c r="L1785" s="142" t="str">
        <f>IFERROR(__xludf.DUMMYFUNCTION("""COMPUTED_VALUE"""),"KC898")</f>
        <v>KC898</v>
      </c>
      <c r="M1785" s="133"/>
      <c r="N1785" s="133"/>
      <c r="O1785" s="133"/>
      <c r="P1785" s="133"/>
      <c r="Q1785" s="133"/>
      <c r="R1785" s="133"/>
      <c r="S1785" s="133"/>
      <c r="T1785" s="133"/>
      <c r="U1785" s="133"/>
      <c r="V1785" s="133"/>
      <c r="W1785" s="133"/>
      <c r="X1785" s="133"/>
      <c r="Y1785" s="133"/>
      <c r="Z1785" s="133"/>
    </row>
    <row r="1786">
      <c r="A1786" s="133">
        <f>IFERROR(__xludf.DUMMYFUNCTION("""COMPUTED_VALUE"""),1787.0)</f>
        <v>1787</v>
      </c>
      <c r="B1786" s="133" t="str">
        <f>IFERROR(__xludf.DUMMYFUNCTION("""COMPUTED_VALUE"""),"KC904")</f>
        <v>KC904</v>
      </c>
      <c r="C1786" s="133" t="str">
        <f>IFERROR(__xludf.DUMMYFUNCTION("""COMPUTED_VALUE"""),"P-1-N-070920-2680")</f>
        <v>P-1-N-070920-2680</v>
      </c>
      <c r="D1786" s="133"/>
      <c r="E1786" s="133" t="str">
        <f>IFERROR(__xludf.DUMMYFUNCTION("""COMPUTED_VALUE"""),"تمت طباعة الشهادة")</f>
        <v>تمت طباعة الشهادة</v>
      </c>
      <c r="F1786" s="133" t="str">
        <f>IFERROR(__xludf.DUMMYFUNCTION("""COMPUTED_VALUE"""),"Kitcat Purr Puree Chicken &amp; Scallop 4*15g")</f>
        <v>Kitcat Purr Puree Chicken &amp; Scallop 4*15g</v>
      </c>
      <c r="G1786" s="133" t="str">
        <f>IFERROR(__xludf.DUMMYFUNCTION("""COMPUTED_VALUE"""),"كت كات كيتي كرانش كات نكهة الدجاج 60 جرام")</f>
        <v>كت كات كيتي كرانش كات نكهة الدجاج 60 جرام</v>
      </c>
      <c r="H1786" s="133" t="str">
        <f>IFERROR(__xludf.DUMMYFUNCTION("""COMPUTED_VALUE"""),"MAFE20201178")</f>
        <v>MAFE20201178</v>
      </c>
      <c r="I1786" s="133"/>
      <c r="J1786" s="133"/>
      <c r="K1786" s="133" t="str">
        <f>IFERROR(__xludf.DUMMYFUNCTION("""COMPUTED_VALUE"""),"شركة نوتريكس العامة المحدودة")</f>
        <v>شركة نوتريكس العامة المحدودة</v>
      </c>
      <c r="L1786" s="142" t="str">
        <f>IFERROR(__xludf.DUMMYFUNCTION("""COMPUTED_VALUE"""),"KC904")</f>
        <v>KC904</v>
      </c>
      <c r="M1786" s="133"/>
      <c r="N1786" s="133"/>
      <c r="O1786" s="133"/>
      <c r="P1786" s="133"/>
      <c r="Q1786" s="133"/>
      <c r="R1786" s="133"/>
      <c r="S1786" s="133"/>
      <c r="T1786" s="133"/>
      <c r="U1786" s="133"/>
      <c r="V1786" s="133"/>
      <c r="W1786" s="133"/>
      <c r="X1786" s="133"/>
      <c r="Y1786" s="133"/>
      <c r="Z1786" s="133"/>
    </row>
    <row r="1787">
      <c r="A1787" s="133">
        <f>IFERROR(__xludf.DUMMYFUNCTION("""COMPUTED_VALUE"""),1788.0)</f>
        <v>1788</v>
      </c>
      <c r="B1787" s="133" t="str">
        <f>IFERROR(__xludf.DUMMYFUNCTION("""COMPUTED_VALUE"""),"KC3222")</f>
        <v>KC3222</v>
      </c>
      <c r="C1787" s="133" t="str">
        <f>IFERROR(__xludf.DUMMYFUNCTION("""COMPUTED_VALUE"""),"P-1-N-070920-2681")</f>
        <v>P-1-N-070920-2681</v>
      </c>
      <c r="D1787" s="133"/>
      <c r="E1787" s="133" t="str">
        <f>IFERROR(__xludf.DUMMYFUNCTION("""COMPUTED_VALUE"""),"تمت طباعة الشهادة")</f>
        <v>تمت طباعة الشهادة</v>
      </c>
      <c r="F1787" s="133" t="str">
        <f>IFERROR(__xludf.DUMMYFUNCTION("""COMPUTED_VALUE"""),"Kit cat Purr Puree Skin &amp; Coat (Chicken &amp; Fish oil) 4*15g")</f>
        <v>Kit cat Purr Puree Skin &amp; Coat (Chicken &amp; Fish oil) 4*15g</v>
      </c>
      <c r="G1787" s="133" t="str">
        <f>IFERROR(__xludf.DUMMYFUNCTION("""COMPUTED_VALUE"""),"كت كات كيتي كرانش كات نكهة المأكولات البحرية 60 جرام")</f>
        <v>كت كات كيتي كرانش كات نكهة المأكولات البحرية 60 جرام</v>
      </c>
      <c r="H1787" s="133" t="str">
        <f>IFERROR(__xludf.DUMMYFUNCTION("""COMPUTED_VALUE"""),"MAFE20201152")</f>
        <v>MAFE20201152</v>
      </c>
      <c r="I1787" s="133"/>
      <c r="J1787" s="133"/>
      <c r="K1787" s="133" t="str">
        <f>IFERROR(__xludf.DUMMYFUNCTION("""COMPUTED_VALUE"""),"شركة نوتريكس العامة المحدودة")</f>
        <v>شركة نوتريكس العامة المحدودة</v>
      </c>
      <c r="L1787" s="142" t="str">
        <f>IFERROR(__xludf.DUMMYFUNCTION("""COMPUTED_VALUE"""),"KC3222")</f>
        <v>KC3222</v>
      </c>
      <c r="M1787" s="133"/>
      <c r="N1787" s="133"/>
      <c r="O1787" s="133"/>
      <c r="P1787" s="133"/>
      <c r="Q1787" s="133"/>
      <c r="R1787" s="133"/>
      <c r="S1787" s="133"/>
      <c r="T1787" s="133"/>
      <c r="U1787" s="133"/>
      <c r="V1787" s="133"/>
      <c r="W1787" s="133"/>
      <c r="X1787" s="133"/>
      <c r="Y1787" s="133"/>
      <c r="Z1787" s="133"/>
    </row>
    <row r="1788">
      <c r="A1788" s="133">
        <f>IFERROR(__xludf.DUMMYFUNCTION("""COMPUTED_VALUE"""),1789.0)</f>
        <v>1789</v>
      </c>
      <c r="B1788" s="133" t="str">
        <f>IFERROR(__xludf.DUMMYFUNCTION("""COMPUTED_VALUE"""),"KC3215")</f>
        <v>KC3215</v>
      </c>
      <c r="C1788" s="133" t="str">
        <f>IFERROR(__xludf.DUMMYFUNCTION("""COMPUTED_VALUE"""),"P-1-N-070920-2682")</f>
        <v>P-1-N-070920-2682</v>
      </c>
      <c r="D1788" s="133"/>
      <c r="E1788" s="133" t="str">
        <f>IFERROR(__xludf.DUMMYFUNCTION("""COMPUTED_VALUE"""),"تمت طباعة الشهادة")</f>
        <v>تمت طباعة الشهادة</v>
      </c>
      <c r="F1788" s="133" t="str">
        <f>IFERROR(__xludf.DUMMYFUNCTION("""COMPUTED_VALUE"""),"Kit cat Purr Puree Urinary care (Chicken &amp; cranberry) 4*15g")</f>
        <v>Kit cat Purr Puree Urinary care (Chicken &amp; cranberry) 4*15g</v>
      </c>
      <c r="G1788" s="133" t="str">
        <f>IFERROR(__xludf.DUMMYFUNCTION("""COMPUTED_VALUE"""),"كت كات بور بوري بلاس الجلد والفرو (تونا و زيت السمك) 15جرام *4")</f>
        <v>كت كات بور بوري بلاس الجلد والفرو (تونا و زيت السمك) 15جرام *4</v>
      </c>
      <c r="H1788" s="133" t="str">
        <f>IFERROR(__xludf.DUMMYFUNCTION("""COMPUTED_VALUE"""),"MAFE20201177")</f>
        <v>MAFE20201177</v>
      </c>
      <c r="I1788" s="133"/>
      <c r="J1788" s="133"/>
      <c r="K1788" s="133" t="str">
        <f>IFERROR(__xludf.DUMMYFUNCTION("""COMPUTED_VALUE"""),"شركة نوتريكس العامة المحدودة")</f>
        <v>شركة نوتريكس العامة المحدودة</v>
      </c>
      <c r="L1788" s="142" t="str">
        <f>IFERROR(__xludf.DUMMYFUNCTION("""COMPUTED_VALUE"""),"KC3215")</f>
        <v>KC3215</v>
      </c>
      <c r="M1788" s="133"/>
      <c r="N1788" s="133"/>
      <c r="O1788" s="133"/>
      <c r="P1788" s="133"/>
      <c r="Q1788" s="133"/>
      <c r="R1788" s="133"/>
      <c r="S1788" s="133"/>
      <c r="T1788" s="133"/>
      <c r="U1788" s="133"/>
      <c r="V1788" s="133"/>
      <c r="W1788" s="133"/>
      <c r="X1788" s="133"/>
      <c r="Y1788" s="133"/>
      <c r="Z1788" s="133"/>
    </row>
    <row r="1789">
      <c r="A1789" s="133">
        <f>IFERROR(__xludf.DUMMYFUNCTION("""COMPUTED_VALUE"""),1790.0)</f>
        <v>1790</v>
      </c>
      <c r="B1789" s="133" t="str">
        <f>IFERROR(__xludf.DUMMYFUNCTION("""COMPUTED_VALUE"""),"KC9613")</f>
        <v>KC9613</v>
      </c>
      <c r="C1789" s="133" t="str">
        <f>IFERROR(__xludf.DUMMYFUNCTION("""COMPUTED_VALUE"""),"P-1-N-070920-2684")</f>
        <v>P-1-N-070920-2684</v>
      </c>
      <c r="D1789" s="133"/>
      <c r="E1789" s="133" t="str">
        <f>IFERROR(__xludf.DUMMYFUNCTION("""COMPUTED_VALUE"""),"تمت طباعة الشهادة")</f>
        <v>تمت طباعة الشهادة</v>
      </c>
      <c r="F1789" s="133" t="str">
        <f>IFERROR(__xludf.DUMMYFUNCTION("""COMPUTED_VALUE"""),"Kitcat Kittycrunch cat Beef Flavor 60G")</f>
        <v>Kitcat Kittycrunch cat Beef Flavor 60G</v>
      </c>
      <c r="G1789" s="133" t="str">
        <f>IFERROR(__xludf.DUMMYFUNCTION("""COMPUTED_VALUE"""),"كت كات كيتي كرانش كات نكهة اللحم البقري 60 جرام")</f>
        <v>كت كات كيتي كرانش كات نكهة اللحم البقري 60 جرام</v>
      </c>
      <c r="H1789" s="133" t="str">
        <f>IFERROR(__xludf.DUMMYFUNCTION("""COMPUTED_VALUE"""),"MAFE20201175")</f>
        <v>MAFE20201175</v>
      </c>
      <c r="I1789" s="133"/>
      <c r="J1789" s="133"/>
      <c r="K1789" s="133" t="str">
        <f>IFERROR(__xludf.DUMMYFUNCTION("""COMPUTED_VALUE"""),"شركة نوتريكس العامة المحدودة")</f>
        <v>شركة نوتريكس العامة المحدودة</v>
      </c>
      <c r="L1789" s="142" t="str">
        <f>IFERROR(__xludf.DUMMYFUNCTION("""COMPUTED_VALUE"""),"KC9613")</f>
        <v>KC9613</v>
      </c>
      <c r="M1789" s="133"/>
      <c r="N1789" s="133"/>
      <c r="O1789" s="133"/>
      <c r="P1789" s="133"/>
      <c r="Q1789" s="133"/>
      <c r="R1789" s="133"/>
      <c r="S1789" s="133"/>
      <c r="T1789" s="133"/>
      <c r="U1789" s="133"/>
      <c r="V1789" s="133"/>
      <c r="W1789" s="133"/>
      <c r="X1789" s="133"/>
      <c r="Y1789" s="133"/>
      <c r="Z1789" s="133"/>
    </row>
    <row r="1790">
      <c r="A1790" s="133">
        <f>IFERROR(__xludf.DUMMYFUNCTION("""COMPUTED_VALUE"""),1791.0)</f>
        <v>1791</v>
      </c>
      <c r="B1790" s="133" t="str">
        <f>IFERROR(__xludf.DUMMYFUNCTION("""COMPUTED_VALUE"""),"KC9620")</f>
        <v>KC9620</v>
      </c>
      <c r="C1790" s="133" t="str">
        <f>IFERROR(__xludf.DUMMYFUNCTION("""COMPUTED_VALUE"""),"P-1-N-070920-2685")</f>
        <v>P-1-N-070920-2685</v>
      </c>
      <c r="D1790" s="133"/>
      <c r="E1790" s="133" t="str">
        <f>IFERROR(__xludf.DUMMYFUNCTION("""COMPUTED_VALUE"""),"تمت طباعة الشهادة")</f>
        <v>تمت طباعة الشهادة</v>
      </c>
      <c r="F1790" s="133" t="str">
        <f>IFERROR(__xludf.DUMMYFUNCTION("""COMPUTED_VALUE"""),"Kitcat kittycrunch cat Salmon Flavor 60 G")</f>
        <v>Kitcat kittycrunch cat Salmon Flavor 60 G</v>
      </c>
      <c r="G1790" s="133" t="str">
        <f>IFERROR(__xludf.DUMMYFUNCTION("""COMPUTED_VALUE"""),"كت كات كيتي كرنش كات نكهة السالمون 60 جرام")</f>
        <v>كت كات كيتي كرنش كات نكهة السالمون 60 جرام</v>
      </c>
      <c r="H1790" s="133" t="str">
        <f>IFERROR(__xludf.DUMMYFUNCTION("""COMPUTED_VALUE"""),"MAFE20201174")</f>
        <v>MAFE20201174</v>
      </c>
      <c r="I1790" s="133"/>
      <c r="J1790" s="133"/>
      <c r="K1790" s="133" t="str">
        <f>IFERROR(__xludf.DUMMYFUNCTION("""COMPUTED_VALUE"""),"شركة نوتريكس العامة المحدودة")</f>
        <v>شركة نوتريكس العامة المحدودة</v>
      </c>
      <c r="L1790" s="142" t="str">
        <f>IFERROR(__xludf.DUMMYFUNCTION("""COMPUTED_VALUE"""),"KC9620")</f>
        <v>KC9620</v>
      </c>
      <c r="M1790" s="133"/>
      <c r="N1790" s="133"/>
      <c r="O1790" s="133"/>
      <c r="P1790" s="133"/>
      <c r="Q1790" s="133"/>
      <c r="R1790" s="133"/>
      <c r="S1790" s="133"/>
      <c r="T1790" s="133"/>
      <c r="U1790" s="133"/>
      <c r="V1790" s="133"/>
      <c r="W1790" s="133"/>
      <c r="X1790" s="133"/>
      <c r="Y1790" s="133"/>
      <c r="Z1790" s="133"/>
    </row>
    <row r="1791">
      <c r="A1791" s="133">
        <f>IFERROR(__xludf.DUMMYFUNCTION("""COMPUTED_VALUE"""),1792.0)</f>
        <v>1792</v>
      </c>
      <c r="B1791" s="133" t="str">
        <f>IFERROR(__xludf.DUMMYFUNCTION("""COMPUTED_VALUE"""),"KC7045")</f>
        <v>KC7045</v>
      </c>
      <c r="C1791" s="133" t="str">
        <f>IFERROR(__xludf.DUMMYFUNCTION("""COMPUTED_VALUE"""),"P-1-N-070920-2686")</f>
        <v>P-1-N-070920-2686</v>
      </c>
      <c r="D1791" s="133"/>
      <c r="E1791" s="133" t="str">
        <f>IFERROR(__xludf.DUMMYFUNCTION("""COMPUTED_VALUE"""),"تمت طباعة الشهادة")</f>
        <v>تمت طباعة الشهادة</v>
      </c>
      <c r="F1791" s="133" t="str">
        <f>IFERROR(__xludf.DUMMYFUNCTION("""COMPUTED_VALUE"""),"Kitcat Breath Bites Chicken Flavor 60G")</f>
        <v>Kitcat Breath Bites Chicken Flavor 60G</v>
      </c>
      <c r="G1791" s="133" t="str">
        <f>IFERROR(__xludf.DUMMYFUNCTION("""COMPUTED_VALUE"""),"كت كات بريث بايتس نكهة الدجاج 60 جرام")</f>
        <v>كت كات بريث بايتس نكهة الدجاج 60 جرام</v>
      </c>
      <c r="H1791" s="133" t="str">
        <f>IFERROR(__xludf.DUMMYFUNCTION("""COMPUTED_VALUE"""),"MAFE20201173")</f>
        <v>MAFE20201173</v>
      </c>
      <c r="I1791" s="133"/>
      <c r="J1791" s="133"/>
      <c r="K1791" s="133" t="str">
        <f>IFERROR(__xludf.DUMMYFUNCTION("""COMPUTED_VALUE"""),"شركة نوتريكس العامة المحدودة")</f>
        <v>شركة نوتريكس العامة المحدودة</v>
      </c>
      <c r="L1791" s="142" t="str">
        <f>IFERROR(__xludf.DUMMYFUNCTION("""COMPUTED_VALUE"""),"KC7045")</f>
        <v>KC7045</v>
      </c>
      <c r="M1791" s="133"/>
      <c r="N1791" s="133"/>
      <c r="O1791" s="133"/>
      <c r="P1791" s="133"/>
      <c r="Q1791" s="133"/>
      <c r="R1791" s="133"/>
      <c r="S1791" s="133"/>
      <c r="T1791" s="133"/>
      <c r="U1791" s="133"/>
      <c r="V1791" s="133"/>
      <c r="W1791" s="133"/>
      <c r="X1791" s="133"/>
      <c r="Y1791" s="133"/>
      <c r="Z1791" s="133"/>
    </row>
    <row r="1792">
      <c r="A1792" s="133">
        <f>IFERROR(__xludf.DUMMYFUNCTION("""COMPUTED_VALUE"""),1793.0)</f>
        <v>1793</v>
      </c>
      <c r="B1792" s="133" t="str">
        <f>IFERROR(__xludf.DUMMYFUNCTION("""COMPUTED_VALUE"""),"KC7052")</f>
        <v>KC7052</v>
      </c>
      <c r="C1792" s="133" t="str">
        <f>IFERROR(__xludf.DUMMYFUNCTION("""COMPUTED_VALUE"""),"P-1-N-070920-2687")</f>
        <v>P-1-N-070920-2687</v>
      </c>
      <c r="D1792" s="133"/>
      <c r="E1792" s="133" t="str">
        <f>IFERROR(__xludf.DUMMYFUNCTION("""COMPUTED_VALUE"""),"تمت طباعة الشهادة")</f>
        <v>تمت طباعة الشهادة</v>
      </c>
      <c r="F1792" s="133" t="str">
        <f>IFERROR(__xludf.DUMMYFUNCTION("""COMPUTED_VALUE"""),"Kitcat Breath Bites Beef Flavor 60G")</f>
        <v>Kitcat Breath Bites Beef Flavor 60G</v>
      </c>
      <c r="G1792" s="133" t="str">
        <f>IFERROR(__xludf.DUMMYFUNCTION("""COMPUTED_VALUE"""),"كت كات بريث بايتس نكهة اللحم البقري 60 جرام")</f>
        <v>كت كات بريث بايتس نكهة اللحم البقري 60 جرام</v>
      </c>
      <c r="H1792" s="133" t="str">
        <f>IFERROR(__xludf.DUMMYFUNCTION("""COMPUTED_VALUE"""),"MAFE20201172")</f>
        <v>MAFE20201172</v>
      </c>
      <c r="I1792" s="133"/>
      <c r="J1792" s="133"/>
      <c r="K1792" s="133" t="str">
        <f>IFERROR(__xludf.DUMMYFUNCTION("""COMPUTED_VALUE"""),"شركة نوتريكس العامة المحدودة")</f>
        <v>شركة نوتريكس العامة المحدودة</v>
      </c>
      <c r="L1792" s="142" t="str">
        <f>IFERROR(__xludf.DUMMYFUNCTION("""COMPUTED_VALUE"""),"KC7052")</f>
        <v>KC7052</v>
      </c>
      <c r="M1792" s="133"/>
      <c r="N1792" s="133"/>
      <c r="O1792" s="133"/>
      <c r="P1792" s="133"/>
      <c r="Q1792" s="133"/>
      <c r="R1792" s="133"/>
      <c r="S1792" s="133"/>
      <c r="T1792" s="133"/>
      <c r="U1792" s="133"/>
      <c r="V1792" s="133"/>
      <c r="W1792" s="133"/>
      <c r="X1792" s="133"/>
      <c r="Y1792" s="133"/>
      <c r="Z1792" s="133"/>
    </row>
    <row r="1793">
      <c r="A1793" s="133">
        <f>IFERROR(__xludf.DUMMYFUNCTION("""COMPUTED_VALUE"""),1794.0)</f>
        <v>1794</v>
      </c>
      <c r="B1793" s="133" t="str">
        <f>IFERROR(__xludf.DUMMYFUNCTION("""COMPUTED_VALUE"""),"KC7069")</f>
        <v>KC7069</v>
      </c>
      <c r="C1793" s="133" t="str">
        <f>IFERROR(__xludf.DUMMYFUNCTION("""COMPUTED_VALUE"""),"P-1-N-070920-2688")</f>
        <v>P-1-N-070920-2688</v>
      </c>
      <c r="D1793" s="133"/>
      <c r="E1793" s="133" t="str">
        <f>IFERROR(__xludf.DUMMYFUNCTION("""COMPUTED_VALUE"""),"تمت طباعة الشهادة")</f>
        <v>تمت طباعة الشهادة</v>
      </c>
      <c r="F1793" s="133" t="str">
        <f>IFERROR(__xludf.DUMMYFUNCTION("""COMPUTED_VALUE"""),"Kitcat Breath Bites Lamb Flavor 60G")</f>
        <v>Kitcat Breath Bites Lamb Flavor 60G</v>
      </c>
      <c r="G1793" s="133" t="str">
        <f>IFERROR(__xludf.DUMMYFUNCTION("""COMPUTED_VALUE"""),"كت كات بريث بايتس نكهة لحم الخروف 60 جرام")</f>
        <v>كت كات بريث بايتس نكهة لحم الخروف 60 جرام</v>
      </c>
      <c r="H1793" s="133" t="str">
        <f>IFERROR(__xludf.DUMMYFUNCTION("""COMPUTED_VALUE"""),"MAFE20201171")</f>
        <v>MAFE20201171</v>
      </c>
      <c r="I1793" s="133"/>
      <c r="J1793" s="133"/>
      <c r="K1793" s="133" t="str">
        <f>IFERROR(__xludf.DUMMYFUNCTION("""COMPUTED_VALUE"""),"شركة نوتريكس العامة المحدودة")</f>
        <v>شركة نوتريكس العامة المحدودة</v>
      </c>
      <c r="L1793" s="142" t="str">
        <f>IFERROR(__xludf.DUMMYFUNCTION("""COMPUTED_VALUE"""),"KC7069")</f>
        <v>KC7069</v>
      </c>
      <c r="M1793" s="133"/>
      <c r="N1793" s="133"/>
      <c r="O1793" s="133"/>
      <c r="P1793" s="133"/>
      <c r="Q1793" s="133"/>
      <c r="R1793" s="133"/>
      <c r="S1793" s="133"/>
      <c r="T1793" s="133"/>
      <c r="U1793" s="133"/>
      <c r="V1793" s="133"/>
      <c r="W1793" s="133"/>
      <c r="X1793" s="133"/>
      <c r="Y1793" s="133"/>
      <c r="Z1793" s="133"/>
    </row>
    <row r="1794">
      <c r="A1794" s="133">
        <f>IFERROR(__xludf.DUMMYFUNCTION("""COMPUTED_VALUE"""),1795.0)</f>
        <v>1795</v>
      </c>
      <c r="B1794" s="133" t="str">
        <f>IFERROR(__xludf.DUMMYFUNCTION("""COMPUTED_VALUE"""),"KC7076")</f>
        <v>KC7076</v>
      </c>
      <c r="C1794" s="133" t="str">
        <f>IFERROR(__xludf.DUMMYFUNCTION("""COMPUTED_VALUE"""),"P-1-N-070920-2689")</f>
        <v>P-1-N-070920-2689</v>
      </c>
      <c r="D1794" s="133"/>
      <c r="E1794" s="133" t="str">
        <f>IFERROR(__xludf.DUMMYFUNCTION("""COMPUTED_VALUE"""),"تمت طباعة الشهادة")</f>
        <v>تمت طباعة الشهادة</v>
      </c>
      <c r="F1794" s="133" t="str">
        <f>IFERROR(__xludf.DUMMYFUNCTION("""COMPUTED_VALUE"""),"Kitcat Breath Bites Salmon Flavor 60G")</f>
        <v>Kitcat Breath Bites Salmon Flavor 60G</v>
      </c>
      <c r="G1794" s="133" t="str">
        <f>IFERROR(__xludf.DUMMYFUNCTION("""COMPUTED_VALUE"""),"كت كات بريث بايتس نكهة السالمون 60 جرام")</f>
        <v>كت كات بريث بايتس نكهة السالمون 60 جرام</v>
      </c>
      <c r="H1794" s="133" t="str">
        <f>IFERROR(__xludf.DUMMYFUNCTION("""COMPUTED_VALUE"""),"MAFE20201170")</f>
        <v>MAFE20201170</v>
      </c>
      <c r="I1794" s="133"/>
      <c r="J1794" s="133"/>
      <c r="K1794" s="133" t="str">
        <f>IFERROR(__xludf.DUMMYFUNCTION("""COMPUTED_VALUE"""),"شركة نوتريكس العامة المحدودة")</f>
        <v>شركة نوتريكس العامة المحدودة</v>
      </c>
      <c r="L1794" s="142" t="str">
        <f>IFERROR(__xludf.DUMMYFUNCTION("""COMPUTED_VALUE"""),"KC7076")</f>
        <v>KC7076</v>
      </c>
      <c r="M1794" s="133"/>
      <c r="N1794" s="133"/>
      <c r="O1794" s="133"/>
      <c r="P1794" s="133"/>
      <c r="Q1794" s="133"/>
      <c r="R1794" s="133"/>
      <c r="S1794" s="133"/>
      <c r="T1794" s="133"/>
      <c r="U1794" s="133"/>
      <c r="V1794" s="133"/>
      <c r="W1794" s="133"/>
      <c r="X1794" s="133"/>
      <c r="Y1794" s="133"/>
      <c r="Z1794" s="133"/>
    </row>
    <row r="1795">
      <c r="A1795" s="133">
        <f>IFERROR(__xludf.DUMMYFUNCTION("""COMPUTED_VALUE"""),1796.0)</f>
        <v>1796</v>
      </c>
      <c r="B1795" s="133" t="str">
        <f>IFERROR(__xludf.DUMMYFUNCTION("""COMPUTED_VALUE"""),"KC7090")</f>
        <v>KC7090</v>
      </c>
      <c r="C1795" s="133" t="str">
        <f>IFERROR(__xludf.DUMMYFUNCTION("""COMPUTED_VALUE"""),"P-1-N-070920-2690")</f>
        <v>P-1-N-070920-2690</v>
      </c>
      <c r="D1795" s="133"/>
      <c r="E1795" s="133" t="str">
        <f>IFERROR(__xludf.DUMMYFUNCTION("""COMPUTED_VALUE"""),"تمت طباعة الشهادة")</f>
        <v>تمت طباعة الشهادة</v>
      </c>
      <c r="F1795" s="133" t="str">
        <f>IFERROR(__xludf.DUMMYFUNCTION("""COMPUTED_VALUE"""),"Kitcat Breath Bites Tuna Flavor 60G")</f>
        <v>Kitcat Breath Bites Tuna Flavor 60G</v>
      </c>
      <c r="G1795" s="133" t="str">
        <f>IFERROR(__xludf.DUMMYFUNCTION("""COMPUTED_VALUE"""),"كت كات بريث بايتس نكهة التونا 60 جرام")</f>
        <v>كت كات بريث بايتس نكهة التونا 60 جرام</v>
      </c>
      <c r="H1795" s="133" t="str">
        <f>IFERROR(__xludf.DUMMYFUNCTION("""COMPUTED_VALUE"""),"MAFE20201169")</f>
        <v>MAFE20201169</v>
      </c>
      <c r="I1795" s="133"/>
      <c r="J1795" s="133"/>
      <c r="K1795" s="133" t="str">
        <f>IFERROR(__xludf.DUMMYFUNCTION("""COMPUTED_VALUE"""),"شركة نوتريكس العامة المحدودة")</f>
        <v>شركة نوتريكس العامة المحدودة</v>
      </c>
      <c r="L1795" s="142" t="str">
        <f>IFERROR(__xludf.DUMMYFUNCTION("""COMPUTED_VALUE"""),"KC7090")</f>
        <v>KC7090</v>
      </c>
      <c r="M1795" s="133"/>
      <c r="N1795" s="133"/>
      <c r="O1795" s="133"/>
      <c r="P1795" s="133"/>
      <c r="Q1795" s="133"/>
      <c r="R1795" s="133"/>
      <c r="S1795" s="133"/>
      <c r="T1795" s="133"/>
      <c r="U1795" s="133"/>
      <c r="V1795" s="133"/>
      <c r="W1795" s="133"/>
      <c r="X1795" s="133"/>
      <c r="Y1795" s="133"/>
      <c r="Z1795" s="133"/>
    </row>
    <row r="1796">
      <c r="A1796" s="133">
        <f>IFERROR(__xludf.DUMMYFUNCTION("""COMPUTED_VALUE"""),1797.0)</f>
        <v>1797</v>
      </c>
      <c r="B1796" s="133" t="str">
        <f>IFERROR(__xludf.DUMMYFUNCTION("""COMPUTED_VALUE"""),"KC7083")</f>
        <v>KC7083</v>
      </c>
      <c r="C1796" s="133" t="str">
        <f>IFERROR(__xludf.DUMMYFUNCTION("""COMPUTED_VALUE"""),"P-1-N-070920-2691")</f>
        <v>P-1-N-070920-2691</v>
      </c>
      <c r="D1796" s="133"/>
      <c r="E1796" s="133" t="str">
        <f>IFERROR(__xludf.DUMMYFUNCTION("""COMPUTED_VALUE"""),"تمت طباعة الشهادة")</f>
        <v>تمت طباعة الشهادة</v>
      </c>
      <c r="F1796" s="133" t="str">
        <f>IFERROR(__xludf.DUMMYFUNCTION("""COMPUTED_VALUE"""),"Kitcat Breath Bites Seafood Flavor 60G")</f>
        <v>Kitcat Breath Bites Seafood Flavor 60G</v>
      </c>
      <c r="G1796" s="133" t="str">
        <f>IFERROR(__xludf.DUMMYFUNCTION("""COMPUTED_VALUE"""),"كت كات بريث بايتس نكهة مأكولات بحرية 60 جرام")</f>
        <v>كت كات بريث بايتس نكهة مأكولات بحرية 60 جرام</v>
      </c>
      <c r="H1796" s="133" t="str">
        <f>IFERROR(__xludf.DUMMYFUNCTION("""COMPUTED_VALUE"""),"MAFE20201168")</f>
        <v>MAFE20201168</v>
      </c>
      <c r="I1796" s="133"/>
      <c r="J1796" s="133"/>
      <c r="K1796" s="133" t="str">
        <f>IFERROR(__xludf.DUMMYFUNCTION("""COMPUTED_VALUE"""),"شركة نوتريكس العامة المحدودة")</f>
        <v>شركة نوتريكس العامة المحدودة</v>
      </c>
      <c r="L1796" s="142" t="str">
        <f>IFERROR(__xludf.DUMMYFUNCTION("""COMPUTED_VALUE"""),"KC7083")</f>
        <v>KC7083</v>
      </c>
      <c r="M1796" s="133"/>
      <c r="N1796" s="133"/>
      <c r="O1796" s="133"/>
      <c r="P1796" s="133"/>
      <c r="Q1796" s="133"/>
      <c r="R1796" s="133"/>
      <c r="S1796" s="133"/>
      <c r="T1796" s="133"/>
      <c r="U1796" s="133"/>
      <c r="V1796" s="133"/>
      <c r="W1796" s="133"/>
      <c r="X1796" s="133"/>
      <c r="Y1796" s="133"/>
      <c r="Z1796" s="133"/>
    </row>
    <row r="1797">
      <c r="A1797" s="133">
        <f>IFERROR(__xludf.DUMMYFUNCTION("""COMPUTED_VALUE"""),1798.0)</f>
        <v>1798</v>
      </c>
      <c r="B1797" s="133" t="str">
        <f>IFERROR(__xludf.DUMMYFUNCTION("""COMPUTED_VALUE"""),"kc2265")</f>
        <v>kc2265</v>
      </c>
      <c r="C1797" s="133" t="str">
        <f>IFERROR(__xludf.DUMMYFUNCTION("""COMPUTED_VALUE"""),"P-1-N-080920-2749")</f>
        <v>P-1-N-080920-2749</v>
      </c>
      <c r="D1797" s="133"/>
      <c r="E1797" s="133" t="str">
        <f>IFERROR(__xludf.DUMMYFUNCTION("""COMPUTED_VALUE"""),"تمت طباعة الشهادة")</f>
        <v>تمت طباعة الشهادة</v>
      </c>
      <c r="F1797" s="133" t="str">
        <f>IFERROR(__xludf.DUMMYFUNCTION("""COMPUTED_VALUE"""),"Kitcat Boneless Chicken shred &amp; cheese goat milk 70g")</f>
        <v>Kitcat Boneless Chicken shred &amp; cheese goat milk 70g</v>
      </c>
      <c r="G1797" s="133" t="str">
        <f>IFERROR(__xludf.DUMMYFUNCTION("""COMPUTED_VALUE"""),"كت كات شرائح الدجاج منزوع العظم و جبنة مع حليب الماعز 70 جرام")</f>
        <v>كت كات شرائح الدجاج منزوع العظم و جبنة مع حليب الماعز 70 جرام</v>
      </c>
      <c r="H1797" s="133" t="str">
        <f>IFERROR(__xludf.DUMMYFUNCTION("""COMPUTED_VALUE"""),"MAFE20201282")</f>
        <v>MAFE20201282</v>
      </c>
      <c r="I1797" s="133"/>
      <c r="J1797" s="133"/>
      <c r="K1797" s="133"/>
      <c r="L1797" s="142" t="str">
        <f>IFERROR(__xludf.DUMMYFUNCTION("""COMPUTED_VALUE"""),"kc2265")</f>
        <v>kc2265</v>
      </c>
      <c r="M1797" s="133"/>
      <c r="N1797" s="133"/>
      <c r="O1797" s="133"/>
      <c r="P1797" s="133"/>
      <c r="Q1797" s="133"/>
      <c r="R1797" s="133"/>
      <c r="S1797" s="133"/>
      <c r="T1797" s="133"/>
      <c r="U1797" s="133"/>
      <c r="V1797" s="133"/>
      <c r="W1797" s="133"/>
      <c r="X1797" s="133"/>
      <c r="Y1797" s="133"/>
      <c r="Z1797" s="133"/>
    </row>
    <row r="1798">
      <c r="A1798" s="133">
        <f>IFERROR(__xludf.DUMMYFUNCTION("""COMPUTED_VALUE"""),1799.0)</f>
        <v>1799</v>
      </c>
      <c r="B1798" s="133" t="str">
        <f>IFERROR(__xludf.DUMMYFUNCTION("""COMPUTED_VALUE"""),"KC2272")</f>
        <v>KC2272</v>
      </c>
      <c r="C1798" s="133" t="str">
        <f>IFERROR(__xludf.DUMMYFUNCTION("""COMPUTED_VALUE"""),"P-1-N-080920-2750")</f>
        <v>P-1-N-080920-2750</v>
      </c>
      <c r="D1798" s="133"/>
      <c r="E1798" s="133" t="str">
        <f>IFERROR(__xludf.DUMMYFUNCTION("""COMPUTED_VALUE"""),"تمت طباعة الشهادة")</f>
        <v>تمت طباعة الشهادة</v>
      </c>
      <c r="F1798" s="133" t="str">
        <f>IFERROR(__xludf.DUMMYFUNCTION("""COMPUTED_VALUE"""),"Kitcat Boneless Chicken shred &amp; Crab with goat milk 70g")</f>
        <v>Kitcat Boneless Chicken shred &amp; Crab with goat milk 70g</v>
      </c>
      <c r="G1798" s="133" t="str">
        <f>IFERROR(__xludf.DUMMYFUNCTION("""COMPUTED_VALUE"""),"كت كات شرائح الدجاج منزوع العظم و سلطعون مع حليب الماعز 70 جرام")</f>
        <v>كت كات شرائح الدجاج منزوع العظم و سلطعون مع حليب الماعز 70 جرام</v>
      </c>
      <c r="H1798" s="133" t="str">
        <f>IFERROR(__xludf.DUMMYFUNCTION("""COMPUTED_VALUE"""),"MAFE20201281")</f>
        <v>MAFE20201281</v>
      </c>
      <c r="I1798" s="133"/>
      <c r="J1798" s="133"/>
      <c r="K1798" s="133"/>
      <c r="L1798" s="142" t="str">
        <f>IFERROR(__xludf.DUMMYFUNCTION("""COMPUTED_VALUE"""),"KC2272")</f>
        <v>KC2272</v>
      </c>
      <c r="M1798" s="133"/>
      <c r="N1798" s="133"/>
      <c r="O1798" s="133"/>
      <c r="P1798" s="133"/>
      <c r="Q1798" s="133"/>
      <c r="R1798" s="133"/>
      <c r="S1798" s="133"/>
      <c r="T1798" s="133"/>
      <c r="U1798" s="133"/>
      <c r="V1798" s="133"/>
      <c r="W1798" s="133"/>
      <c r="X1798" s="133"/>
      <c r="Y1798" s="133"/>
      <c r="Z1798" s="133"/>
    </row>
    <row r="1799">
      <c r="A1799" s="133">
        <f>IFERROR(__xludf.DUMMYFUNCTION("""COMPUTED_VALUE"""),1800.0)</f>
        <v>1800</v>
      </c>
      <c r="B1799" s="133" t="str">
        <f>IFERROR(__xludf.DUMMYFUNCTION("""COMPUTED_VALUE"""),"KC2234")</f>
        <v>KC2234</v>
      </c>
      <c r="C1799" s="133" t="str">
        <f>IFERROR(__xludf.DUMMYFUNCTION("""COMPUTED_VALUE"""),"P-1-N-080920-2751")</f>
        <v>P-1-N-080920-2751</v>
      </c>
      <c r="D1799" s="133"/>
      <c r="E1799" s="133" t="str">
        <f>IFERROR(__xludf.DUMMYFUNCTION("""COMPUTED_VALUE"""),"تمت طباعة الشهادة")</f>
        <v>تمت طباعة الشهادة</v>
      </c>
      <c r="F1799" s="133" t="str">
        <f>IFERROR(__xludf.DUMMYFUNCTION("""COMPUTED_VALUE"""),"Kitcat Boneless Chicken shred &amp; salmon with Goat milk 70g")</f>
        <v>Kitcat Boneless Chicken shred &amp; salmon with Goat milk 70g</v>
      </c>
      <c r="G1799" s="133" t="str">
        <f>IFERROR(__xludf.DUMMYFUNCTION("""COMPUTED_VALUE"""),"كت كات شرائح الدجاج منزوع العظم و سالمون مع حليب الماعز 70 جرام")</f>
        <v>كت كات شرائح الدجاج منزوع العظم و سالمون مع حليب الماعز 70 جرام</v>
      </c>
      <c r="H1799" s="133" t="str">
        <f>IFERROR(__xludf.DUMMYFUNCTION("""COMPUTED_VALUE"""),"MAFE20201280")</f>
        <v>MAFE20201280</v>
      </c>
      <c r="I1799" s="133"/>
      <c r="J1799" s="133"/>
      <c r="K1799" s="133"/>
      <c r="L1799" s="142" t="str">
        <f>IFERROR(__xludf.DUMMYFUNCTION("""COMPUTED_VALUE"""),"KC2234")</f>
        <v>KC2234</v>
      </c>
      <c r="M1799" s="133"/>
      <c r="N1799" s="133"/>
      <c r="O1799" s="133"/>
      <c r="P1799" s="133"/>
      <c r="Q1799" s="133"/>
      <c r="R1799" s="133"/>
      <c r="S1799" s="133"/>
      <c r="T1799" s="133"/>
      <c r="U1799" s="133"/>
      <c r="V1799" s="133"/>
      <c r="W1799" s="133"/>
      <c r="X1799" s="133"/>
      <c r="Y1799" s="133"/>
      <c r="Z1799" s="133"/>
    </row>
    <row r="1800">
      <c r="A1800" s="133">
        <f>IFERROR(__xludf.DUMMYFUNCTION("""COMPUTED_VALUE"""),1801.0)</f>
        <v>1801</v>
      </c>
      <c r="B1800" s="133" t="str">
        <f>IFERROR(__xludf.DUMMYFUNCTION("""COMPUTED_VALUE"""),"KC2241")</f>
        <v>KC2241</v>
      </c>
      <c r="C1800" s="133" t="str">
        <f>IFERROR(__xludf.DUMMYFUNCTION("""COMPUTED_VALUE"""),"P-1-N-080920-2752")</f>
        <v>P-1-N-080920-2752</v>
      </c>
      <c r="D1800" s="133"/>
      <c r="E1800" s="133" t="str">
        <f>IFERROR(__xludf.DUMMYFUNCTION("""COMPUTED_VALUE"""),"تمت طباعة الشهادة")</f>
        <v>تمت طباعة الشهادة</v>
      </c>
      <c r="F1800" s="133" t="str">
        <f>IFERROR(__xludf.DUMMYFUNCTION("""COMPUTED_VALUE"""),"Kitcat Boneless Chicken shred &amp; Whitebait with Goat milk 70g")</f>
        <v>Kitcat Boneless Chicken shred &amp; Whitebait with Goat milk 70g</v>
      </c>
      <c r="G1800" s="133" t="str">
        <f>IFERROR(__xludf.DUMMYFUNCTION("""COMPUTED_VALUE"""),"كت كات شرائح الدجاج منزوع العظم و صغار السمك مع حليب الماعز 70 جرام")</f>
        <v>كت كات شرائح الدجاج منزوع العظم و صغار السمك مع حليب الماعز 70 جرام</v>
      </c>
      <c r="H1800" s="133" t="str">
        <f>IFERROR(__xludf.DUMMYFUNCTION("""COMPUTED_VALUE"""),"MAFE20201279")</f>
        <v>MAFE20201279</v>
      </c>
      <c r="I1800" s="133"/>
      <c r="J1800" s="133"/>
      <c r="K1800" s="133"/>
      <c r="L1800" s="142" t="str">
        <f>IFERROR(__xludf.DUMMYFUNCTION("""COMPUTED_VALUE"""),"KC2241")</f>
        <v>KC2241</v>
      </c>
      <c r="M1800" s="133"/>
      <c r="N1800" s="133"/>
      <c r="O1800" s="133"/>
      <c r="P1800" s="133"/>
      <c r="Q1800" s="133"/>
      <c r="R1800" s="133"/>
      <c r="S1800" s="133"/>
      <c r="T1800" s="133"/>
      <c r="U1800" s="133"/>
      <c r="V1800" s="133"/>
      <c r="W1800" s="133"/>
      <c r="X1800" s="133"/>
      <c r="Y1800" s="133"/>
      <c r="Z1800" s="133"/>
    </row>
    <row r="1801">
      <c r="A1801" s="133">
        <f>IFERROR(__xludf.DUMMYFUNCTION("""COMPUTED_VALUE"""),1802.0)</f>
        <v>1802</v>
      </c>
      <c r="B1801" s="133" t="str">
        <f>IFERROR(__xludf.DUMMYFUNCTION("""COMPUTED_VALUE"""),"KC2258")</f>
        <v>KC2258</v>
      </c>
      <c r="C1801" s="133" t="str">
        <f>IFERROR(__xludf.DUMMYFUNCTION("""COMPUTED_VALUE"""),"P-1-N-080920-2753")</f>
        <v>P-1-N-080920-2753</v>
      </c>
      <c r="D1801" s="133"/>
      <c r="E1801" s="133" t="str">
        <f>IFERROR(__xludf.DUMMYFUNCTION("""COMPUTED_VALUE"""),"تمت طباعة الشهادة")</f>
        <v>تمت طباعة الشهادة</v>
      </c>
      <c r="F1801" s="133" t="str">
        <f>IFERROR(__xludf.DUMMYFUNCTION("""COMPUTED_VALUE"""),"Kitcat Boneless Chicken shred &amp; Smoked fish flakes with Goat milk 70g")</f>
        <v>Kitcat Boneless Chicken shred &amp; Smoked fish flakes with Goat milk 70g</v>
      </c>
      <c r="G1801" s="133" t="str">
        <f>IFERROR(__xludf.DUMMYFUNCTION("""COMPUTED_VALUE"""),"كت كات شرائح الدجاج منزوع العظم و رقائق سمك مدخن مع حليب الماعز 70 جرام")</f>
        <v>كت كات شرائح الدجاج منزوع العظم و رقائق سمك مدخن مع حليب الماعز 70 جرام</v>
      </c>
      <c r="H1801" s="133" t="str">
        <f>IFERROR(__xludf.DUMMYFUNCTION("""COMPUTED_VALUE"""),"MAFE20201310")</f>
        <v>MAFE20201310</v>
      </c>
      <c r="I1801" s="133"/>
      <c r="J1801" s="133"/>
      <c r="K1801" s="133"/>
      <c r="L1801" s="142" t="str">
        <f>IFERROR(__xludf.DUMMYFUNCTION("""COMPUTED_VALUE"""),"KC2258")</f>
        <v>KC2258</v>
      </c>
      <c r="M1801" s="133"/>
      <c r="N1801" s="133"/>
      <c r="O1801" s="133"/>
      <c r="P1801" s="133"/>
      <c r="Q1801" s="133"/>
      <c r="R1801" s="133"/>
      <c r="S1801" s="133"/>
      <c r="T1801" s="133"/>
      <c r="U1801" s="133"/>
      <c r="V1801" s="133"/>
      <c r="W1801" s="133"/>
      <c r="X1801" s="133"/>
      <c r="Y1801" s="133"/>
      <c r="Z1801" s="133"/>
    </row>
    <row r="1802">
      <c r="A1802" s="133">
        <f>IFERROR(__xludf.DUMMYFUNCTION("""COMPUTED_VALUE"""),1803.0)</f>
        <v>1803</v>
      </c>
      <c r="B1802" s="133" t="str">
        <f>IFERROR(__xludf.DUMMYFUNCTION("""COMPUTED_VALUE"""),"KC2289")</f>
        <v>KC2289</v>
      </c>
      <c r="C1802" s="133" t="str">
        <f>IFERROR(__xludf.DUMMYFUNCTION("""COMPUTED_VALUE"""),"P-1-N-080920-2754")</f>
        <v>P-1-N-080920-2754</v>
      </c>
      <c r="D1802" s="133"/>
      <c r="E1802" s="133" t="str">
        <f>IFERROR(__xludf.DUMMYFUNCTION("""COMPUTED_VALUE"""),"تمت طباعة الشهادة")</f>
        <v>تمت طباعة الشهادة</v>
      </c>
      <c r="F1802" s="133" t="str">
        <f>IFERROR(__xludf.DUMMYFUNCTION("""COMPUTED_VALUE"""),"Kitcat Boneless Chicken shred &amp; Shrimp with Goat milk 70g")</f>
        <v>Kitcat Boneless Chicken shred &amp; Shrimp with Goat milk 70g</v>
      </c>
      <c r="G1802" s="133" t="str">
        <f>IFERROR(__xludf.DUMMYFUNCTION("""COMPUTED_VALUE"""),"كت كات شرائح الدجاج منزوع العظم و جمبري مع حليب الماعز 70 جرام")</f>
        <v>كت كات شرائح الدجاج منزوع العظم و جمبري مع حليب الماعز 70 جرام</v>
      </c>
      <c r="H1802" s="133" t="str">
        <f>IFERROR(__xludf.DUMMYFUNCTION("""COMPUTED_VALUE"""),"MAFE20201278")</f>
        <v>MAFE20201278</v>
      </c>
      <c r="I1802" s="133"/>
      <c r="J1802" s="133"/>
      <c r="K1802" s="133"/>
      <c r="L1802" s="142" t="str">
        <f>IFERROR(__xludf.DUMMYFUNCTION("""COMPUTED_VALUE"""),"KC2289")</f>
        <v>KC2289</v>
      </c>
      <c r="M1802" s="133"/>
      <c r="N1802" s="133"/>
      <c r="O1802" s="133"/>
      <c r="P1802" s="133"/>
      <c r="Q1802" s="133"/>
      <c r="R1802" s="133"/>
      <c r="S1802" s="133"/>
      <c r="T1802" s="133"/>
      <c r="U1802" s="133"/>
      <c r="V1802" s="133"/>
      <c r="W1802" s="133"/>
      <c r="X1802" s="133"/>
      <c r="Y1802" s="133"/>
      <c r="Z1802" s="133"/>
    </row>
    <row r="1803">
      <c r="A1803" s="133">
        <f>IFERROR(__xludf.DUMMYFUNCTION("""COMPUTED_VALUE"""),1804.0)</f>
        <v>1804</v>
      </c>
      <c r="B1803" s="133" t="str">
        <f>IFERROR(__xludf.DUMMYFUNCTION("""COMPUTED_VALUE"""),"KC2319")</f>
        <v>KC2319</v>
      </c>
      <c r="C1803" s="133" t="str">
        <f>IFERROR(__xludf.DUMMYFUNCTION("""COMPUTED_VALUE"""),"P-1-N-080920-2755")</f>
        <v>P-1-N-080920-2755</v>
      </c>
      <c r="D1803" s="133"/>
      <c r="E1803" s="133" t="str">
        <f>IFERROR(__xludf.DUMMYFUNCTION("""COMPUTED_VALUE"""),"تمت طباعة الشهادة")</f>
        <v>تمت طباعة الشهادة</v>
      </c>
      <c r="F1803" s="133" t="str">
        <f>IFERROR(__xludf.DUMMYFUNCTION("""COMPUTED_VALUE"""),"Kitcat white meat tuna flakes with Smoked fish flakes Goat milk 70g")</f>
        <v>Kitcat white meat tuna flakes with Smoked fish flakes Goat milk 70g</v>
      </c>
      <c r="G1803" s="133" t="str">
        <f>IFERROR(__xludf.DUMMYFUNCTION("""COMPUTED_VALUE"""),"كت كات رقائق تونا لحم ابيض و رقائق سمك مدخن مع حليب ماعز 70 جرام")</f>
        <v>كت كات رقائق تونا لحم ابيض و رقائق سمك مدخن مع حليب ماعز 70 جرام</v>
      </c>
      <c r="H1803" s="133" t="str">
        <f>IFERROR(__xludf.DUMMYFUNCTION("""COMPUTED_VALUE"""),"MAFE20201277")</f>
        <v>MAFE20201277</v>
      </c>
      <c r="I1803" s="133"/>
      <c r="J1803" s="133"/>
      <c r="K1803" s="133"/>
      <c r="L1803" s="142" t="str">
        <f>IFERROR(__xludf.DUMMYFUNCTION("""COMPUTED_VALUE"""),"KC2319")</f>
        <v>KC2319</v>
      </c>
      <c r="M1803" s="133"/>
      <c r="N1803" s="133"/>
      <c r="O1803" s="133"/>
      <c r="P1803" s="133"/>
      <c r="Q1803" s="133"/>
      <c r="R1803" s="133"/>
      <c r="S1803" s="133"/>
      <c r="T1803" s="133"/>
      <c r="U1803" s="133"/>
      <c r="V1803" s="133"/>
      <c r="W1803" s="133"/>
      <c r="X1803" s="133"/>
      <c r="Y1803" s="133"/>
      <c r="Z1803" s="133"/>
    </row>
    <row r="1804">
      <c r="A1804" s="133">
        <f>IFERROR(__xludf.DUMMYFUNCTION("""COMPUTED_VALUE"""),1805.0)</f>
        <v>1805</v>
      </c>
      <c r="B1804" s="133" t="str">
        <f>IFERROR(__xludf.DUMMYFUNCTION("""COMPUTED_VALUE"""),"KC2326")</f>
        <v>KC2326</v>
      </c>
      <c r="C1804" s="133" t="str">
        <f>IFERROR(__xludf.DUMMYFUNCTION("""COMPUTED_VALUE"""),"P-1-N-080920-2756")</f>
        <v>P-1-N-080920-2756</v>
      </c>
      <c r="D1804" s="133"/>
      <c r="E1804" s="133" t="str">
        <f>IFERROR(__xludf.DUMMYFUNCTION("""COMPUTED_VALUE"""),"تمت طباعة الشهادة")</f>
        <v>تمت طباعة الشهادة</v>
      </c>
      <c r="F1804" s="133" t="str">
        <f>IFERROR(__xludf.DUMMYFUNCTION("""COMPUTED_VALUE"""),"Kitcat white meat tuna flakes and cheese with Goat milk 70g")</f>
        <v>Kitcat white meat tuna flakes and cheese with Goat milk 70g</v>
      </c>
      <c r="G1804" s="133" t="str">
        <f>IFERROR(__xludf.DUMMYFUNCTION("""COMPUTED_VALUE"""),"كت كات رقائق تونا لحم ابيض و الجبنة مع حليب الماعز 70 جرام")</f>
        <v>كت كات رقائق تونا لحم ابيض و الجبنة مع حليب الماعز 70 جرام</v>
      </c>
      <c r="H1804" s="133" t="str">
        <f>IFERROR(__xludf.DUMMYFUNCTION("""COMPUTED_VALUE"""),"MAFE20201275")</f>
        <v>MAFE20201275</v>
      </c>
      <c r="I1804" s="133"/>
      <c r="J1804" s="133"/>
      <c r="K1804" s="133"/>
      <c r="L1804" s="142" t="str">
        <f>IFERROR(__xludf.DUMMYFUNCTION("""COMPUTED_VALUE"""),"KC2326")</f>
        <v>KC2326</v>
      </c>
      <c r="M1804" s="133"/>
      <c r="N1804" s="133"/>
      <c r="O1804" s="133"/>
      <c r="P1804" s="133"/>
      <c r="Q1804" s="133"/>
      <c r="R1804" s="133"/>
      <c r="S1804" s="133"/>
      <c r="T1804" s="133"/>
      <c r="U1804" s="133"/>
      <c r="V1804" s="133"/>
      <c r="W1804" s="133"/>
      <c r="X1804" s="133"/>
      <c r="Y1804" s="133"/>
      <c r="Z1804" s="133"/>
    </row>
    <row r="1805">
      <c r="A1805" s="133">
        <f>IFERROR(__xludf.DUMMYFUNCTION("""COMPUTED_VALUE"""),1806.0)</f>
        <v>1806</v>
      </c>
      <c r="B1805" s="133" t="str">
        <f>IFERROR(__xludf.DUMMYFUNCTION("""COMPUTED_VALUE"""),"KC2333")</f>
        <v>KC2333</v>
      </c>
      <c r="C1805" s="133" t="str">
        <f>IFERROR(__xludf.DUMMYFUNCTION("""COMPUTED_VALUE"""),"P-1-N-080920-2757")</f>
        <v>P-1-N-080920-2757</v>
      </c>
      <c r="D1805" s="133"/>
      <c r="E1805" s="133" t="str">
        <f>IFERROR(__xludf.DUMMYFUNCTION("""COMPUTED_VALUE"""),"تمت طباعة الشهادة")</f>
        <v>تمت طباعة الشهادة</v>
      </c>
      <c r="F1805" s="133" t="str">
        <f>IFERROR(__xludf.DUMMYFUNCTION("""COMPUTED_VALUE"""),"Kitcat white meat tuna flakes &amp; Crab with Goat milk 70g")</f>
        <v>Kitcat white meat tuna flakes &amp; Crab with Goat milk 70g</v>
      </c>
      <c r="G1805" s="133" t="str">
        <f>IFERROR(__xludf.DUMMYFUNCTION("""COMPUTED_VALUE"""),"كت كات رقائق تونا لحم ابيض و السلطعون مع حليب الماعز 70 جرام")</f>
        <v>كت كات رقائق تونا لحم ابيض و السلطعون مع حليب الماعز 70 جرام</v>
      </c>
      <c r="H1805" s="133" t="str">
        <f>IFERROR(__xludf.DUMMYFUNCTION("""COMPUTED_VALUE"""),"MAFE20201274")</f>
        <v>MAFE20201274</v>
      </c>
      <c r="I1805" s="133"/>
      <c r="J1805" s="133"/>
      <c r="K1805" s="133"/>
      <c r="L1805" s="142" t="str">
        <f>IFERROR(__xludf.DUMMYFUNCTION("""COMPUTED_VALUE"""),"KC2333")</f>
        <v>KC2333</v>
      </c>
      <c r="M1805" s="133"/>
      <c r="N1805" s="133"/>
      <c r="O1805" s="133"/>
      <c r="P1805" s="133"/>
      <c r="Q1805" s="133"/>
      <c r="R1805" s="133"/>
      <c r="S1805" s="133"/>
      <c r="T1805" s="133"/>
      <c r="U1805" s="133"/>
      <c r="V1805" s="133"/>
      <c r="W1805" s="133"/>
      <c r="X1805" s="133"/>
      <c r="Y1805" s="133"/>
      <c r="Z1805" s="133"/>
    </row>
    <row r="1806">
      <c r="A1806" s="133">
        <f>IFERROR(__xludf.DUMMYFUNCTION("""COMPUTED_VALUE"""),1807.0)</f>
        <v>1807</v>
      </c>
      <c r="B1806" s="133" t="str">
        <f>IFERROR(__xludf.DUMMYFUNCTION("""COMPUTED_VALUE"""),"KC2326")</f>
        <v>KC2326</v>
      </c>
      <c r="C1806" s="133" t="str">
        <f>IFERROR(__xludf.DUMMYFUNCTION("""COMPUTED_VALUE"""),"P-1-N-080920-2758")</f>
        <v>P-1-N-080920-2758</v>
      </c>
      <c r="D1806" s="133"/>
      <c r="E1806" s="133" t="str">
        <f>IFERROR(__xludf.DUMMYFUNCTION("""COMPUTED_VALUE"""),"تمت طباعة الشهادة")</f>
        <v>تمت طباعة الشهادة</v>
      </c>
      <c r="F1806" s="133" t="str">
        <f>IFERROR(__xludf.DUMMYFUNCTION("""COMPUTED_VALUE"""),"Kitcat white meat tuna flakes and cheese with Goat milk 70g")</f>
        <v>Kitcat white meat tuna flakes and cheese with Goat milk 70g</v>
      </c>
      <c r="G1806" s="133" t="str">
        <f>IFERROR(__xludf.DUMMYFUNCTION("""COMPUTED_VALUE"""),"كت كات رقائق تونا لحم ابيض و السالمون مع حليب الماعز 70 جرام")</f>
        <v>كت كات رقائق تونا لحم ابيض و السالمون مع حليب الماعز 70 جرام</v>
      </c>
      <c r="H1806" s="133" t="str">
        <f>IFERROR(__xludf.DUMMYFUNCTION("""COMPUTED_VALUE"""),"MAFE20201273")</f>
        <v>MAFE20201273</v>
      </c>
      <c r="I1806" s="133"/>
      <c r="J1806" s="133"/>
      <c r="K1806" s="133"/>
      <c r="L1806" s="142" t="str">
        <f>IFERROR(__xludf.DUMMYFUNCTION("""COMPUTED_VALUE"""),"KC2326")</f>
        <v>KC2326</v>
      </c>
      <c r="M1806" s="133"/>
      <c r="N1806" s="133"/>
      <c r="O1806" s="133"/>
      <c r="P1806" s="133"/>
      <c r="Q1806" s="133"/>
      <c r="R1806" s="133"/>
      <c r="S1806" s="133"/>
      <c r="T1806" s="133"/>
      <c r="U1806" s="133"/>
      <c r="V1806" s="133"/>
      <c r="W1806" s="133"/>
      <c r="X1806" s="133"/>
      <c r="Y1806" s="133"/>
      <c r="Z1806" s="133"/>
    </row>
    <row r="1807">
      <c r="A1807" s="133">
        <f>IFERROR(__xludf.DUMMYFUNCTION("""COMPUTED_VALUE"""),1808.0)</f>
        <v>1808</v>
      </c>
      <c r="B1807" s="133" t="str">
        <f>IFERROR(__xludf.DUMMYFUNCTION("""COMPUTED_VALUE"""),"KC2340")</f>
        <v>KC2340</v>
      </c>
      <c r="C1807" s="133" t="str">
        <f>IFERROR(__xludf.DUMMYFUNCTION("""COMPUTED_VALUE"""),"P-1-N-080920-2759")</f>
        <v>P-1-N-080920-2759</v>
      </c>
      <c r="D1807" s="133"/>
      <c r="E1807" s="133" t="str">
        <f>IFERROR(__xludf.DUMMYFUNCTION("""COMPUTED_VALUE"""),"تمت طباعة الشهادة")</f>
        <v>تمت طباعة الشهادة</v>
      </c>
      <c r="F1807" s="133" t="str">
        <f>IFERROR(__xludf.DUMMYFUNCTION("""COMPUTED_VALUE"""),"Kitcat white meat tuna flakes &amp; Shrimp with Goat milk 70g")</f>
        <v>Kitcat white meat tuna flakes &amp; Shrimp with Goat milk 70g</v>
      </c>
      <c r="G1807" s="133" t="str">
        <f>IFERROR(__xludf.DUMMYFUNCTION("""COMPUTED_VALUE"""),"كت كات رقائق تونا لحم ابيض و جمبري مع حليب الماعز 70 جرام")</f>
        <v>كت كات رقائق تونا لحم ابيض و جمبري مع حليب الماعز 70 جرام</v>
      </c>
      <c r="H1807" s="133" t="str">
        <f>IFERROR(__xludf.DUMMYFUNCTION("""COMPUTED_VALUE"""),"MAFE20201267")</f>
        <v>MAFE20201267</v>
      </c>
      <c r="I1807" s="133"/>
      <c r="J1807" s="133"/>
      <c r="K1807" s="133" t="str">
        <f>IFERROR(__xludf.DUMMYFUNCTION("""COMPUTED_VALUE"""),"شركة سيام للأغذية العالمية المحدودة")</f>
        <v>شركة سيام للأغذية العالمية المحدودة</v>
      </c>
      <c r="L1807" s="142" t="str">
        <f>IFERROR(__xludf.DUMMYFUNCTION("""COMPUTED_VALUE"""),"KC2340")</f>
        <v>KC2340</v>
      </c>
      <c r="M1807" s="133"/>
      <c r="N1807" s="133"/>
      <c r="O1807" s="133"/>
      <c r="P1807" s="133"/>
      <c r="Q1807" s="133"/>
      <c r="R1807" s="133"/>
      <c r="S1807" s="133"/>
      <c r="T1807" s="133"/>
      <c r="U1807" s="133"/>
      <c r="V1807" s="133"/>
      <c r="W1807" s="133"/>
      <c r="X1807" s="133"/>
      <c r="Y1807" s="133"/>
      <c r="Z1807" s="133"/>
    </row>
    <row r="1808">
      <c r="A1808" s="133">
        <f>IFERROR(__xludf.DUMMYFUNCTION("""COMPUTED_VALUE"""),1809.0)</f>
        <v>1809</v>
      </c>
      <c r="B1808" s="133" t="str">
        <f>IFERROR(__xludf.DUMMYFUNCTION("""COMPUTED_VALUE"""),"KC2302")</f>
        <v>KC2302</v>
      </c>
      <c r="C1808" s="133" t="str">
        <f>IFERROR(__xludf.DUMMYFUNCTION("""COMPUTED_VALUE"""),"P-1-N-080920-2760")</f>
        <v>P-1-N-080920-2760</v>
      </c>
      <c r="D1808" s="133"/>
      <c r="E1808" s="133" t="str">
        <f>IFERROR(__xludf.DUMMYFUNCTION("""COMPUTED_VALUE"""),"تمت طباعة الشهادة")</f>
        <v>تمت طباعة الشهادة</v>
      </c>
      <c r="F1808" s="133" t="str">
        <f>IFERROR(__xludf.DUMMYFUNCTION("""COMPUTED_VALUE"""),"Kitcat white meat tuna flakes &amp; Whitebait with Goat milk 70g")</f>
        <v>Kitcat white meat tuna flakes &amp; Whitebait with Goat milk 70g</v>
      </c>
      <c r="G1808" s="133" t="str">
        <f>IFERROR(__xludf.DUMMYFUNCTION("""COMPUTED_VALUE"""),"كت كات رقائق تونا لحم ابيض و صغارالسمك مع حليب الماعز 70 جرام")</f>
        <v>كت كات رقائق تونا لحم ابيض و صغارالسمك مع حليب الماعز 70 جرام</v>
      </c>
      <c r="H1808" s="133" t="str">
        <f>IFERROR(__xludf.DUMMYFUNCTION("""COMPUTED_VALUE"""),"MAFE20201266")</f>
        <v>MAFE20201266</v>
      </c>
      <c r="I1808" s="133"/>
      <c r="J1808" s="133"/>
      <c r="K1808" s="133" t="str">
        <f>IFERROR(__xludf.DUMMYFUNCTION("""COMPUTED_VALUE"""),"شركة سيام للأغذية العالمية المحدودة")</f>
        <v>شركة سيام للأغذية العالمية المحدودة</v>
      </c>
      <c r="L1808" s="142" t="str">
        <f>IFERROR(__xludf.DUMMYFUNCTION("""COMPUTED_VALUE"""),"KC2302")</f>
        <v>KC2302</v>
      </c>
      <c r="M1808" s="133"/>
      <c r="N1808" s="133"/>
      <c r="O1808" s="133"/>
      <c r="P1808" s="133"/>
      <c r="Q1808" s="133"/>
      <c r="R1808" s="133"/>
      <c r="S1808" s="133"/>
      <c r="T1808" s="133"/>
      <c r="U1808" s="133"/>
      <c r="V1808" s="133"/>
      <c r="W1808" s="133"/>
      <c r="X1808" s="133"/>
      <c r="Y1808" s="133"/>
      <c r="Z1808" s="133"/>
    </row>
    <row r="1809">
      <c r="A1809" s="133">
        <f>IFERROR(__xludf.DUMMYFUNCTION("""COMPUTED_VALUE"""),1810.0)</f>
        <v>1810</v>
      </c>
      <c r="B1809" s="133" t="str">
        <f>IFERROR(__xludf.DUMMYFUNCTION("""COMPUTED_VALUE"""),"KC2166")</f>
        <v>KC2166</v>
      </c>
      <c r="C1809" s="133" t="str">
        <f>IFERROR(__xludf.DUMMYFUNCTION("""COMPUTED_VALUE"""),"P-1-N-120920-2851")</f>
        <v>P-1-N-120920-2851</v>
      </c>
      <c r="D1809" s="133"/>
      <c r="E1809" s="133" t="str">
        <f>IFERROR(__xludf.DUMMYFUNCTION("""COMPUTED_VALUE"""),"تمت طباعة الشهادة")</f>
        <v>تمت طباعة الشهادة</v>
      </c>
      <c r="F1809" s="133" t="str">
        <f>IFERROR(__xludf.DUMMYFUNCTION("""COMPUTED_VALUE"""),"Kitcat deboned chicken &amp; salmon toppers 80g")</f>
        <v>Kitcat deboned chicken &amp; salmon toppers 80g</v>
      </c>
      <c r="G1809" s="133" t="str">
        <f>IFERROR(__xludf.DUMMYFUNCTION("""COMPUTED_VALUE"""),"كت كات دجاج منزوع العظم و السلمون 80 جرام")</f>
        <v>كت كات دجاج منزوع العظم و السلمون 80 جرام</v>
      </c>
      <c r="H1809" s="133" t="str">
        <f>IFERROR(__xludf.DUMMYFUNCTION("""COMPUTED_VALUE"""),"MAFE20201265")</f>
        <v>MAFE20201265</v>
      </c>
      <c r="I1809" s="133"/>
      <c r="J1809" s="133"/>
      <c r="K1809" s="133" t="str">
        <f>IFERROR(__xludf.DUMMYFUNCTION("""COMPUTED_VALUE"""),"شركة سيام للأغذية العالمية المحدودة")</f>
        <v>شركة سيام للأغذية العالمية المحدودة</v>
      </c>
      <c r="L1809" s="142" t="str">
        <f>IFERROR(__xludf.DUMMYFUNCTION("""COMPUTED_VALUE"""),"KC2166")</f>
        <v>KC2166</v>
      </c>
      <c r="M1809" s="133"/>
      <c r="N1809" s="133"/>
      <c r="O1809" s="133"/>
      <c r="P1809" s="133"/>
      <c r="Q1809" s="133"/>
      <c r="R1809" s="133"/>
      <c r="S1809" s="133"/>
      <c r="T1809" s="133"/>
      <c r="U1809" s="133"/>
      <c r="V1809" s="133"/>
      <c r="W1809" s="133"/>
      <c r="X1809" s="133"/>
      <c r="Y1809" s="133"/>
      <c r="Z1809" s="133"/>
    </row>
    <row r="1810">
      <c r="A1810" s="133">
        <f>IFERROR(__xludf.DUMMYFUNCTION("""COMPUTED_VALUE"""),1811.0)</f>
        <v>1811</v>
      </c>
      <c r="B1810" s="133" t="str">
        <f>IFERROR(__xludf.DUMMYFUNCTION("""COMPUTED_VALUE"""),"KC2180")</f>
        <v>KC2180</v>
      </c>
      <c r="C1810" s="133" t="str">
        <f>IFERROR(__xludf.DUMMYFUNCTION("""COMPUTED_VALUE"""),"P-1-N-120920-2852")</f>
        <v>P-1-N-120920-2852</v>
      </c>
      <c r="D1810" s="133"/>
      <c r="E1810" s="133" t="str">
        <f>IFERROR(__xludf.DUMMYFUNCTION("""COMPUTED_VALUE"""),"تمت طباعة الشهادة")</f>
        <v>تمت طباعة الشهادة</v>
      </c>
      <c r="F1810" s="133" t="str">
        <f>IFERROR(__xludf.DUMMYFUNCTION("""COMPUTED_VALUE"""),"Kitcat deboned chicken &amp; seafood toppers 80g")</f>
        <v>Kitcat deboned chicken &amp; seafood toppers 80g</v>
      </c>
      <c r="G1810" s="133" t="str">
        <f>IFERROR(__xludf.DUMMYFUNCTION("""COMPUTED_VALUE"""),"كت كات دجاج منزوع العظم و مأكولات بحرية 80 جرام")</f>
        <v>كت كات دجاج منزوع العظم و مأكولات بحرية 80 جرام</v>
      </c>
      <c r="H1810" s="133" t="str">
        <f>IFERROR(__xludf.DUMMYFUNCTION("""COMPUTED_VALUE"""),"MAFE20201264")</f>
        <v>MAFE20201264</v>
      </c>
      <c r="I1810" s="133"/>
      <c r="J1810" s="133"/>
      <c r="K1810" s="133" t="str">
        <f>IFERROR(__xludf.DUMMYFUNCTION("""COMPUTED_VALUE"""),"شركة سيام للأغذية العالمية المحدودة")</f>
        <v>شركة سيام للأغذية العالمية المحدودة</v>
      </c>
      <c r="L1810" s="142" t="str">
        <f>IFERROR(__xludf.DUMMYFUNCTION("""COMPUTED_VALUE"""),"KC2180")</f>
        <v>KC2180</v>
      </c>
      <c r="M1810" s="133"/>
      <c r="N1810" s="133"/>
      <c r="O1810" s="133"/>
      <c r="P1810" s="133"/>
      <c r="Q1810" s="133"/>
      <c r="R1810" s="133"/>
      <c r="S1810" s="133"/>
      <c r="T1810" s="133"/>
      <c r="U1810" s="133"/>
      <c r="V1810" s="133"/>
      <c r="W1810" s="133"/>
      <c r="X1810" s="133"/>
      <c r="Y1810" s="133"/>
      <c r="Z1810" s="133"/>
    </row>
    <row r="1811">
      <c r="A1811" s="133">
        <f>IFERROR(__xludf.DUMMYFUNCTION("""COMPUTED_VALUE"""),1812.0)</f>
        <v>1812</v>
      </c>
      <c r="B1811" s="133" t="str">
        <f>IFERROR(__xludf.DUMMYFUNCTION("""COMPUTED_VALUE"""),"KC2203")</f>
        <v>KC2203</v>
      </c>
      <c r="C1811" s="133" t="str">
        <f>IFERROR(__xludf.DUMMYFUNCTION("""COMPUTED_VALUE"""),"P-1-N-120920-2853")</f>
        <v>P-1-N-120920-2853</v>
      </c>
      <c r="D1811" s="133"/>
      <c r="E1811" s="133" t="str">
        <f>IFERROR(__xludf.DUMMYFUNCTION("""COMPUTED_VALUE"""),"تمت طباعة الشهادة")</f>
        <v>تمت طباعة الشهادة</v>
      </c>
      <c r="F1811" s="133" t="str">
        <f>IFERROR(__xludf.DUMMYFUNCTION("""COMPUTED_VALUE"""),"Kitcat Deboned tuna &amp; Anchovy toppers 80g")</f>
        <v>Kitcat Deboned tuna &amp; Anchovy toppers 80g</v>
      </c>
      <c r="G1811" s="133" t="str">
        <f>IFERROR(__xludf.DUMMYFUNCTION("""COMPUTED_VALUE"""),"كت كات تونا و سمك الانشوفة 80 جرام")</f>
        <v>كت كات تونا و سمك الانشوفة 80 جرام</v>
      </c>
      <c r="H1811" s="133" t="str">
        <f>IFERROR(__xludf.DUMMYFUNCTION("""COMPUTED_VALUE"""),"MAFE20201309")</f>
        <v>MAFE20201309</v>
      </c>
      <c r="I1811" s="133"/>
      <c r="J1811" s="133"/>
      <c r="K1811" s="133" t="str">
        <f>IFERROR(__xludf.DUMMYFUNCTION("""COMPUTED_VALUE"""),"شركة سيام للأغذية العالمية المحدودة")</f>
        <v>شركة سيام للأغذية العالمية المحدودة</v>
      </c>
      <c r="L1811" s="142" t="str">
        <f>IFERROR(__xludf.DUMMYFUNCTION("""COMPUTED_VALUE"""),"KC2203")</f>
        <v>KC2203</v>
      </c>
      <c r="M1811" s="133"/>
      <c r="N1811" s="133"/>
      <c r="O1811" s="133"/>
      <c r="P1811" s="133"/>
      <c r="Q1811" s="133"/>
      <c r="R1811" s="133"/>
      <c r="S1811" s="133"/>
      <c r="T1811" s="133"/>
      <c r="U1811" s="133"/>
      <c r="V1811" s="133"/>
      <c r="W1811" s="133"/>
      <c r="X1811" s="133"/>
      <c r="Y1811" s="133"/>
      <c r="Z1811" s="133"/>
    </row>
    <row r="1812">
      <c r="A1812" s="133">
        <f>IFERROR(__xludf.DUMMYFUNCTION("""COMPUTED_VALUE"""),1813.0)</f>
        <v>1813</v>
      </c>
      <c r="B1812" s="133" t="str">
        <f>IFERROR(__xludf.DUMMYFUNCTION("""COMPUTED_VALUE"""),"KC2197")</f>
        <v>KC2197</v>
      </c>
      <c r="C1812" s="133" t="str">
        <f>IFERROR(__xludf.DUMMYFUNCTION("""COMPUTED_VALUE"""),"P-1-N-120920-2854")</f>
        <v>P-1-N-120920-2854</v>
      </c>
      <c r="D1812" s="133"/>
      <c r="E1812" s="133" t="str">
        <f>IFERROR(__xludf.DUMMYFUNCTION("""COMPUTED_VALUE"""),"تمت طباعة الشهادة")</f>
        <v>تمت طباعة الشهادة</v>
      </c>
      <c r="F1812" s="133" t="str">
        <f>IFERROR(__xludf.DUMMYFUNCTION("""COMPUTED_VALUE"""),"Kitcat Deboned tuna classic aspic 80g")</f>
        <v>Kitcat Deboned tuna classic aspic 80g</v>
      </c>
      <c r="G1812" s="133" t="str">
        <f>IFERROR(__xludf.DUMMYFUNCTION("""COMPUTED_VALUE"""),"كت كات تونا كلاسيكي منزوع العظم 80 جرام")</f>
        <v>كت كات تونا كلاسيكي منزوع العظم 80 جرام</v>
      </c>
      <c r="H1812" s="133" t="str">
        <f>IFERROR(__xludf.DUMMYFUNCTION("""COMPUTED_VALUE"""),"MAFE20201258")</f>
        <v>MAFE20201258</v>
      </c>
      <c r="I1812" s="133"/>
      <c r="J1812" s="133"/>
      <c r="K1812" s="133" t="str">
        <f>IFERROR(__xludf.DUMMYFUNCTION("""COMPUTED_VALUE"""),"شركة سيام للأغذية العالمية المحدودة")</f>
        <v>شركة سيام للأغذية العالمية المحدودة</v>
      </c>
      <c r="L1812" s="142" t="str">
        <f>IFERROR(__xludf.DUMMYFUNCTION("""COMPUTED_VALUE"""),"KC2197")</f>
        <v>KC2197</v>
      </c>
      <c r="M1812" s="133"/>
      <c r="N1812" s="133"/>
      <c r="O1812" s="133"/>
      <c r="P1812" s="133"/>
      <c r="Q1812" s="133"/>
      <c r="R1812" s="133"/>
      <c r="S1812" s="133"/>
      <c r="T1812" s="133"/>
      <c r="U1812" s="133"/>
      <c r="V1812" s="133"/>
      <c r="W1812" s="133"/>
      <c r="X1812" s="133"/>
      <c r="Y1812" s="133"/>
      <c r="Z1812" s="133"/>
    </row>
    <row r="1813">
      <c r="A1813" s="133">
        <f>IFERROR(__xludf.DUMMYFUNCTION("""COMPUTED_VALUE"""),1814.0)</f>
        <v>1814</v>
      </c>
      <c r="B1813" s="133" t="str">
        <f>IFERROR(__xludf.DUMMYFUNCTION("""COMPUTED_VALUE"""),"KC2263")</f>
        <v>KC2263</v>
      </c>
      <c r="C1813" s="133" t="str">
        <f>IFERROR(__xludf.DUMMYFUNCTION("""COMPUTED_VALUE"""),"P-1-N-120920-2855")</f>
        <v>P-1-N-120920-2855</v>
      </c>
      <c r="D1813" s="133"/>
      <c r="E1813" s="133" t="str">
        <f>IFERROR(__xludf.DUMMYFUNCTION("""COMPUTED_VALUE"""),"تمت طباعة الشهادة")</f>
        <v>تمت طباعة الشهادة</v>
      </c>
      <c r="F1813" s="133" t="str">
        <f>IFERROR(__xludf.DUMMYFUNCTION("""COMPUTED_VALUE"""),"Kitcat deboned tuna &amp; crab toppers 80g")</f>
        <v>Kitcat deboned tuna &amp; crab toppers 80g</v>
      </c>
      <c r="G1813" s="133" t="str">
        <f>IFERROR(__xludf.DUMMYFUNCTION("""COMPUTED_VALUE"""),"كت كات تونا منزوع العظم و السلطعون 80 جرام")</f>
        <v>كت كات تونا منزوع العظم و السلطعون 80 جرام</v>
      </c>
      <c r="H1813" s="133" t="str">
        <f>IFERROR(__xludf.DUMMYFUNCTION("""COMPUTED_VALUE"""),"MAFE20201263")</f>
        <v>MAFE20201263</v>
      </c>
      <c r="I1813" s="133"/>
      <c r="J1813" s="133"/>
      <c r="K1813" s="133" t="str">
        <f>IFERROR(__xludf.DUMMYFUNCTION("""COMPUTED_VALUE"""),"شركة سيام للأغذية العالمية المحدودة")</f>
        <v>شركة سيام للأغذية العالمية المحدودة</v>
      </c>
      <c r="L1813" s="142" t="str">
        <f>IFERROR(__xludf.DUMMYFUNCTION("""COMPUTED_VALUE"""),"KC2263")</f>
        <v>KC2263</v>
      </c>
      <c r="M1813" s="133"/>
      <c r="N1813" s="133"/>
      <c r="O1813" s="133"/>
      <c r="P1813" s="133"/>
      <c r="Q1813" s="133"/>
      <c r="R1813" s="133"/>
      <c r="S1813" s="133"/>
      <c r="T1813" s="133"/>
      <c r="U1813" s="133"/>
      <c r="V1813" s="133"/>
      <c r="W1813" s="133"/>
      <c r="X1813" s="133"/>
      <c r="Y1813" s="133"/>
      <c r="Z1813" s="133"/>
    </row>
    <row r="1814">
      <c r="A1814" s="133">
        <f>IFERROR(__xludf.DUMMYFUNCTION("""COMPUTED_VALUE"""),1815.0)</f>
        <v>1815</v>
      </c>
      <c r="B1814" s="133" t="str">
        <f>IFERROR(__xludf.DUMMYFUNCTION("""COMPUTED_VALUE"""),"KC2249")</f>
        <v>KC2249</v>
      </c>
      <c r="C1814" s="133" t="str">
        <f>IFERROR(__xludf.DUMMYFUNCTION("""COMPUTED_VALUE"""),"P-1-N-120920-2856")</f>
        <v>P-1-N-120920-2856</v>
      </c>
      <c r="D1814" s="133"/>
      <c r="E1814" s="133" t="str">
        <f>IFERROR(__xludf.DUMMYFUNCTION("""COMPUTED_VALUE"""),"تمت طباعة الشهادة")</f>
        <v>تمت طباعة الشهادة</v>
      </c>
      <c r="F1814" s="133" t="str">
        <f>IFERROR(__xludf.DUMMYFUNCTION("""COMPUTED_VALUE"""),"Kitcat deboned tuna &amp; scallop toppers 80g")</f>
        <v>Kitcat deboned tuna &amp; scallop toppers 80g</v>
      </c>
      <c r="G1814" s="133" t="str">
        <f>IFERROR(__xludf.DUMMYFUNCTION("""COMPUTED_VALUE"""),"كت كات تونا منزوع العظم و محار 80 جرام")</f>
        <v>كت كات تونا منزوع العظم و محار 80 جرام</v>
      </c>
      <c r="H1814" s="133" t="str">
        <f>IFERROR(__xludf.DUMMYFUNCTION("""COMPUTED_VALUE"""),"MAFE20201262")</f>
        <v>MAFE20201262</v>
      </c>
      <c r="I1814" s="133"/>
      <c r="J1814" s="133"/>
      <c r="K1814" s="133" t="str">
        <f>IFERROR(__xludf.DUMMYFUNCTION("""COMPUTED_VALUE"""),"شركة سيام للأغذية العالمية المحدودة")</f>
        <v>شركة سيام للأغذية العالمية المحدودة</v>
      </c>
      <c r="L1814" s="142" t="str">
        <f>IFERROR(__xludf.DUMMYFUNCTION("""COMPUTED_VALUE"""),"KC2249")</f>
        <v>KC2249</v>
      </c>
      <c r="M1814" s="133"/>
      <c r="N1814" s="133"/>
      <c r="O1814" s="133"/>
      <c r="P1814" s="133"/>
      <c r="Q1814" s="133"/>
      <c r="R1814" s="133"/>
      <c r="S1814" s="133"/>
      <c r="T1814" s="133"/>
      <c r="U1814" s="133"/>
      <c r="V1814" s="133"/>
      <c r="W1814" s="133"/>
      <c r="X1814" s="133"/>
      <c r="Y1814" s="133"/>
      <c r="Z1814" s="133"/>
    </row>
    <row r="1815">
      <c r="A1815" s="133">
        <f>IFERROR(__xludf.DUMMYFUNCTION("""COMPUTED_VALUE"""),1816.0)</f>
        <v>1816</v>
      </c>
      <c r="B1815" s="133" t="str">
        <f>IFERROR(__xludf.DUMMYFUNCTION("""COMPUTED_VALUE"""),"KC2270")</f>
        <v>KC2270</v>
      </c>
      <c r="C1815" s="133" t="str">
        <f>IFERROR(__xludf.DUMMYFUNCTION("""COMPUTED_VALUE"""),"P-1-N-120920-2857")</f>
        <v>P-1-N-120920-2857</v>
      </c>
      <c r="D1815" s="133"/>
      <c r="E1815" s="133" t="str">
        <f>IFERROR(__xludf.DUMMYFUNCTION("""COMPUTED_VALUE"""),"تمت طباعة الشهادة")</f>
        <v>تمت طباعة الشهادة</v>
      </c>
      <c r="F1815" s="133" t="str">
        <f>IFERROR(__xludf.DUMMYFUNCTION("""COMPUTED_VALUE"""),"Kitcat deboned tuna &amp; salmon toppers 80g")</f>
        <v>Kitcat deboned tuna &amp; salmon toppers 80g</v>
      </c>
      <c r="G1815" s="133" t="str">
        <f>IFERROR(__xludf.DUMMYFUNCTION("""COMPUTED_VALUE"""),"كت كات تونا منزوع العظم و سالمون 80 جرام")</f>
        <v>كت كات تونا منزوع العظم و سالمون 80 جرام</v>
      </c>
      <c r="H1815" s="133" t="str">
        <f>IFERROR(__xludf.DUMMYFUNCTION("""COMPUTED_VALUE"""),"MAFE20201261")</f>
        <v>MAFE20201261</v>
      </c>
      <c r="I1815" s="133"/>
      <c r="J1815" s="133"/>
      <c r="K1815" s="133" t="str">
        <f>IFERROR(__xludf.DUMMYFUNCTION("""COMPUTED_VALUE"""),"شركة سيام للأغذية العالمية المحدودة")</f>
        <v>شركة سيام للأغذية العالمية المحدودة</v>
      </c>
      <c r="L1815" s="142" t="str">
        <f>IFERROR(__xludf.DUMMYFUNCTION("""COMPUTED_VALUE"""),"KC2270")</f>
        <v>KC2270</v>
      </c>
      <c r="M1815" s="133"/>
      <c r="N1815" s="133"/>
      <c r="O1815" s="133"/>
      <c r="P1815" s="133"/>
      <c r="Q1815" s="133"/>
      <c r="R1815" s="133"/>
      <c r="S1815" s="133"/>
      <c r="T1815" s="133"/>
      <c r="U1815" s="133"/>
      <c r="V1815" s="133"/>
      <c r="W1815" s="133"/>
      <c r="X1815" s="133"/>
      <c r="Y1815" s="133"/>
      <c r="Z1815" s="133"/>
    </row>
    <row r="1816">
      <c r="A1816" s="133">
        <f>IFERROR(__xludf.DUMMYFUNCTION("""COMPUTED_VALUE"""),1817.0)</f>
        <v>1817</v>
      </c>
      <c r="B1816" s="133" t="str">
        <f>IFERROR(__xludf.DUMMYFUNCTION("""COMPUTED_VALUE"""),"KC2256")</f>
        <v>KC2256</v>
      </c>
      <c r="C1816" s="133" t="str">
        <f>IFERROR(__xludf.DUMMYFUNCTION("""COMPUTED_VALUE"""),"P-1-N-120920-2858")</f>
        <v>P-1-N-120920-2858</v>
      </c>
      <c r="D1816" s="133"/>
      <c r="E1816" s="133" t="str">
        <f>IFERROR(__xludf.DUMMYFUNCTION("""COMPUTED_VALUE"""),"تمت طباعة الشهادة")</f>
        <v>تمت طباعة الشهادة</v>
      </c>
      <c r="F1816" s="133" t="str">
        <f>IFERROR(__xludf.DUMMYFUNCTION("""COMPUTED_VALUE"""),"Kitcat deboned tuna &amp; chicken toppers 80g")</f>
        <v>Kitcat deboned tuna &amp; chicken toppers 80g</v>
      </c>
      <c r="G1816" s="133" t="str">
        <f>IFERROR(__xludf.DUMMYFUNCTION("""COMPUTED_VALUE"""),"كت كات تونا منزوع العظم و الدجاج 80 جرام")</f>
        <v>كت كات تونا منزوع العظم و الدجاج 80 جرام</v>
      </c>
      <c r="H1816" s="133" t="str">
        <f>IFERROR(__xludf.DUMMYFUNCTION("""COMPUTED_VALUE"""),"MAFE20201260")</f>
        <v>MAFE20201260</v>
      </c>
      <c r="I1816" s="133"/>
      <c r="J1816" s="133"/>
      <c r="K1816" s="133" t="str">
        <f>IFERROR(__xludf.DUMMYFUNCTION("""COMPUTED_VALUE"""),"شركة سيام للأغذية العالمية المحدودة")</f>
        <v>شركة سيام للأغذية العالمية المحدودة</v>
      </c>
      <c r="L1816" s="142" t="str">
        <f>IFERROR(__xludf.DUMMYFUNCTION("""COMPUTED_VALUE"""),"KC2256")</f>
        <v>KC2256</v>
      </c>
      <c r="M1816" s="133"/>
      <c r="N1816" s="133"/>
      <c r="O1816" s="133"/>
      <c r="P1816" s="133"/>
      <c r="Q1816" s="133"/>
      <c r="R1816" s="133"/>
      <c r="S1816" s="133"/>
      <c r="T1816" s="133"/>
      <c r="U1816" s="133"/>
      <c r="V1816" s="133"/>
      <c r="W1816" s="133"/>
      <c r="X1816" s="133"/>
      <c r="Y1816" s="133"/>
      <c r="Z1816" s="133"/>
    </row>
    <row r="1817">
      <c r="A1817" s="133">
        <f>IFERROR(__xludf.DUMMYFUNCTION("""COMPUTED_VALUE"""),1818.0)</f>
        <v>1818</v>
      </c>
      <c r="B1817" s="133" t="str">
        <f>IFERROR(__xludf.DUMMYFUNCTION("""COMPUTED_VALUE"""),"KC2218")</f>
        <v>KC2218</v>
      </c>
      <c r="C1817" s="133" t="str">
        <f>IFERROR(__xludf.DUMMYFUNCTION("""COMPUTED_VALUE"""),"P-1-N-120920-2859")</f>
        <v>P-1-N-120920-2859</v>
      </c>
      <c r="D1817" s="133"/>
      <c r="E1817" s="133" t="str">
        <f>IFERROR(__xludf.DUMMYFUNCTION("""COMPUTED_VALUE"""),"تمت طباعة الشهادة")</f>
        <v>تمت طباعة الشهادة</v>
      </c>
      <c r="F1817" s="133" t="str">
        <f>IFERROR(__xludf.DUMMYFUNCTION("""COMPUTED_VALUE"""),"Kitcat deboned chicken &amp; beef toppers 80g")</f>
        <v>Kitcat deboned chicken &amp; beef toppers 80g</v>
      </c>
      <c r="G1817" s="133" t="str">
        <f>IFERROR(__xludf.DUMMYFUNCTION("""COMPUTED_VALUE"""),"كت كات دجاج منزوع العظم و لحم بقري 80 جرام")</f>
        <v>كت كات دجاج منزوع العظم و لحم بقري 80 جرام</v>
      </c>
      <c r="H1817" s="133" t="str">
        <f>IFERROR(__xludf.DUMMYFUNCTION("""COMPUTED_VALUE"""),"MAFE20201236")</f>
        <v>MAFE20201236</v>
      </c>
      <c r="I1817" s="133"/>
      <c r="J1817" s="133"/>
      <c r="K1817" s="133" t="str">
        <f>IFERROR(__xludf.DUMMYFUNCTION("""COMPUTED_VALUE"""),"شركة سيام للأغذية العالمية المحدودة")</f>
        <v>شركة سيام للأغذية العالمية المحدودة</v>
      </c>
      <c r="L1817" s="142" t="str">
        <f>IFERROR(__xludf.DUMMYFUNCTION("""COMPUTED_VALUE"""),"KC2218")</f>
        <v>KC2218</v>
      </c>
      <c r="M1817" s="133"/>
      <c r="N1817" s="133"/>
      <c r="O1817" s="133"/>
      <c r="P1817" s="133"/>
      <c r="Q1817" s="133"/>
      <c r="R1817" s="133"/>
      <c r="S1817" s="133"/>
      <c r="T1817" s="133"/>
      <c r="U1817" s="133"/>
      <c r="V1817" s="133"/>
      <c r="W1817" s="133"/>
      <c r="X1817" s="133"/>
      <c r="Y1817" s="133"/>
      <c r="Z1817" s="133"/>
    </row>
    <row r="1818">
      <c r="A1818" s="133">
        <f>IFERROR(__xludf.DUMMYFUNCTION("""COMPUTED_VALUE"""),1819.0)</f>
        <v>1819</v>
      </c>
      <c r="B1818" s="133" t="str">
        <f>IFERROR(__xludf.DUMMYFUNCTION("""COMPUTED_VALUE"""),"KC2225")</f>
        <v>KC2225</v>
      </c>
      <c r="C1818" s="133" t="str">
        <f>IFERROR(__xludf.DUMMYFUNCTION("""COMPUTED_VALUE"""),"P-1-N-120920-2860")</f>
        <v>P-1-N-120920-2860</v>
      </c>
      <c r="D1818" s="133"/>
      <c r="E1818" s="133" t="str">
        <f>IFERROR(__xludf.DUMMYFUNCTION("""COMPUTED_VALUE"""),"تمت طباعة الشهادة")</f>
        <v>تمت طباعة الشهادة</v>
      </c>
      <c r="F1818" s="133" t="str">
        <f>IFERROR(__xludf.DUMMYFUNCTION("""COMPUTED_VALUE"""),"Kitcat Deboned chicken &amp; lamb toppers 80g")</f>
        <v>Kitcat Deboned chicken &amp; lamb toppers 80g</v>
      </c>
      <c r="G1818" s="133" t="str">
        <f>IFERROR(__xludf.DUMMYFUNCTION("""COMPUTED_VALUE"""),"كت كات دجاج منزوع العظم و لحم الضأن 80 جرام")</f>
        <v>كت كات دجاج منزوع العظم و لحم الضأن 80 جرام</v>
      </c>
      <c r="H1818" s="133" t="str">
        <f>IFERROR(__xludf.DUMMYFUNCTION("""COMPUTED_VALUE"""),"MAFE20201235")</f>
        <v>MAFE20201235</v>
      </c>
      <c r="I1818" s="133"/>
      <c r="J1818" s="133"/>
      <c r="K1818" s="133" t="str">
        <f>IFERROR(__xludf.DUMMYFUNCTION("""COMPUTED_VALUE"""),"شركة سيام للأغذية العالمية المحدودة")</f>
        <v>شركة سيام للأغذية العالمية المحدودة</v>
      </c>
      <c r="L1818" s="142" t="str">
        <f>IFERROR(__xludf.DUMMYFUNCTION("""COMPUTED_VALUE"""),"KC2225")</f>
        <v>KC2225</v>
      </c>
      <c r="M1818" s="133"/>
      <c r="N1818" s="133"/>
      <c r="O1818" s="133"/>
      <c r="P1818" s="133"/>
      <c r="Q1818" s="133"/>
      <c r="R1818" s="133"/>
      <c r="S1818" s="133"/>
      <c r="T1818" s="133"/>
      <c r="U1818" s="133"/>
      <c r="V1818" s="133"/>
      <c r="W1818" s="133"/>
      <c r="X1818" s="133"/>
      <c r="Y1818" s="133"/>
      <c r="Z1818" s="133"/>
    </row>
    <row r="1819">
      <c r="A1819" s="133">
        <f>IFERROR(__xludf.DUMMYFUNCTION("""COMPUTED_VALUE"""),1820.0)</f>
        <v>1820</v>
      </c>
      <c r="B1819" s="133" t="str">
        <f>IFERROR(__xludf.DUMMYFUNCTION("""COMPUTED_VALUE"""),"KC2232")</f>
        <v>KC2232</v>
      </c>
      <c r="C1819" s="133" t="str">
        <f>IFERROR(__xludf.DUMMYFUNCTION("""COMPUTED_VALUE"""),"P-1-N-120920-2861")</f>
        <v>P-1-N-120920-2861</v>
      </c>
      <c r="D1819" s="133"/>
      <c r="E1819" s="133" t="str">
        <f>IFERROR(__xludf.DUMMYFUNCTION("""COMPUTED_VALUE"""),"تمت طباعة الشهادة")</f>
        <v>تمت طباعة الشهادة</v>
      </c>
      <c r="F1819" s="133" t="str">
        <f>IFERROR(__xludf.DUMMYFUNCTION("""COMPUTED_VALUE"""),"Kitcat Deboned chicken &amp; prawn toppers 80g")</f>
        <v>Kitcat Deboned chicken &amp; prawn toppers 80g</v>
      </c>
      <c r="G1819" s="133" t="str">
        <f>IFERROR(__xludf.DUMMYFUNCTION("""COMPUTED_VALUE"""),"كت كات دجاج منزوع العظم و جمبري 80 جرام")</f>
        <v>كت كات دجاج منزوع العظم و جمبري 80 جرام</v>
      </c>
      <c r="H1819" s="133" t="str">
        <f>IFERROR(__xludf.DUMMYFUNCTION("""COMPUTED_VALUE"""),"MAFE20201259")</f>
        <v>MAFE20201259</v>
      </c>
      <c r="I1819" s="133"/>
      <c r="J1819" s="133"/>
      <c r="K1819" s="133" t="str">
        <f>IFERROR(__xludf.DUMMYFUNCTION("""COMPUTED_VALUE"""),"شركة سيام للأغذية العالمية المحدودة")</f>
        <v>شركة سيام للأغذية العالمية المحدودة</v>
      </c>
      <c r="L1819" s="142" t="str">
        <f>IFERROR(__xludf.DUMMYFUNCTION("""COMPUTED_VALUE"""),"KC2232")</f>
        <v>KC2232</v>
      </c>
      <c r="M1819" s="133"/>
      <c r="N1819" s="133"/>
      <c r="O1819" s="133"/>
      <c r="P1819" s="133"/>
      <c r="Q1819" s="133"/>
      <c r="R1819" s="133"/>
      <c r="S1819" s="133"/>
      <c r="T1819" s="133"/>
      <c r="U1819" s="133"/>
      <c r="V1819" s="133"/>
      <c r="W1819" s="133"/>
      <c r="X1819" s="133"/>
      <c r="Y1819" s="133"/>
      <c r="Z1819" s="133"/>
    </row>
    <row r="1820">
      <c r="A1820" s="133">
        <f>IFERROR(__xludf.DUMMYFUNCTION("""COMPUTED_VALUE"""),1821.0)</f>
        <v>1821</v>
      </c>
      <c r="B1820" s="133" t="str">
        <f>IFERROR(__xludf.DUMMYFUNCTION("""COMPUTED_VALUE"""),"KC2201")</f>
        <v>KC2201</v>
      </c>
      <c r="C1820" s="133" t="str">
        <f>IFERROR(__xludf.DUMMYFUNCTION("""COMPUTED_VALUE"""),"P-1-N-120920-2862")</f>
        <v>P-1-N-120920-2862</v>
      </c>
      <c r="D1820" s="133"/>
      <c r="E1820" s="133" t="str">
        <f>IFERROR(__xludf.DUMMYFUNCTION("""COMPUTED_VALUE"""),"تمت طباعة الشهادة")</f>
        <v>تمت طباعة الشهادة</v>
      </c>
      <c r="F1820" s="133" t="str">
        <f>IFERROR(__xludf.DUMMYFUNCTION("""COMPUTED_VALUE"""),"Kitcat Deboned chicken classic 80g")</f>
        <v>Kitcat Deboned chicken classic 80g</v>
      </c>
      <c r="G1820" s="133" t="str">
        <f>IFERROR(__xludf.DUMMYFUNCTION("""COMPUTED_VALUE"""),"كت كات دجاج كلاسيكي منزوع العظم 80 جرام")</f>
        <v>كت كات دجاج كلاسيكي منزوع العظم 80 جرام</v>
      </c>
      <c r="H1820" s="133" t="str">
        <f>IFERROR(__xludf.DUMMYFUNCTION("""COMPUTED_VALUE"""),"MAFE20201234")</f>
        <v>MAFE20201234</v>
      </c>
      <c r="I1820" s="133"/>
      <c r="J1820" s="133"/>
      <c r="K1820" s="133" t="str">
        <f>IFERROR(__xludf.DUMMYFUNCTION("""COMPUTED_VALUE"""),"شركة سيام للأغذية العالمية المحدودة")</f>
        <v>شركة سيام للأغذية العالمية المحدودة</v>
      </c>
      <c r="L1820" s="142" t="str">
        <f>IFERROR(__xludf.DUMMYFUNCTION("""COMPUTED_VALUE"""),"KC2201")</f>
        <v>KC2201</v>
      </c>
      <c r="M1820" s="133"/>
      <c r="N1820" s="133"/>
      <c r="O1820" s="133"/>
      <c r="P1820" s="133"/>
      <c r="Q1820" s="133"/>
      <c r="R1820" s="133"/>
      <c r="S1820" s="133"/>
      <c r="T1820" s="133"/>
      <c r="U1820" s="133"/>
      <c r="V1820" s="133"/>
      <c r="W1820" s="133"/>
      <c r="X1820" s="133"/>
      <c r="Y1820" s="133"/>
      <c r="Z1820" s="133"/>
    </row>
    <row r="1821">
      <c r="A1821" s="133">
        <f>IFERROR(__xludf.DUMMYFUNCTION("""COMPUTED_VALUE"""),1822.0)</f>
        <v>1822</v>
      </c>
      <c r="B1821" s="133" t="str">
        <f>IFERROR(__xludf.DUMMYFUNCTION("""COMPUTED_VALUE"""),"KC9286")</f>
        <v>KC9286</v>
      </c>
      <c r="C1821" s="133" t="str">
        <f>IFERROR(__xludf.DUMMYFUNCTION("""COMPUTED_VALUE"""),"P-1-N-120920-2864")</f>
        <v>P-1-N-120920-2864</v>
      </c>
      <c r="D1821" s="133"/>
      <c r="E1821" s="133" t="str">
        <f>IFERROR(__xludf.DUMMYFUNCTION("""COMPUTED_VALUE"""),"تمت طباعة الشهادة")</f>
        <v>تمت طباعة الشهادة</v>
      </c>
      <c r="F1821" s="133" t="str">
        <f>IFERROR(__xludf.DUMMYFUNCTION("""COMPUTED_VALUE"""),"Kitcat Pick of the ocean 1.20 KG")</f>
        <v>Kitcat Pick of the ocean 1.20 KG</v>
      </c>
      <c r="G1821" s="133" t="str">
        <f>IFERROR(__xludf.DUMMYFUNCTION("""COMPUTED_VALUE"""),"كت كات اختيار المحيط 1.20 كيلو")</f>
        <v>كت كات اختيار المحيط 1.20 كيلو</v>
      </c>
      <c r="H1821" s="133" t="str">
        <f>IFERROR(__xludf.DUMMYFUNCTION("""COMPUTED_VALUE"""),"MAFE20201232")</f>
        <v>MAFE20201232</v>
      </c>
      <c r="I1821" s="133"/>
      <c r="J1821" s="133"/>
      <c r="K1821" s="133" t="str">
        <f>IFERROR(__xludf.DUMMYFUNCTION("""COMPUTED_VALUE"""),"شركة نوتريكس العامة المحدودة")</f>
        <v>شركة نوتريكس العامة المحدودة</v>
      </c>
      <c r="L1821" s="142" t="str">
        <f>IFERROR(__xludf.DUMMYFUNCTION("""COMPUTED_VALUE"""),"KC9286")</f>
        <v>KC9286</v>
      </c>
      <c r="M1821" s="133"/>
      <c r="N1821" s="133"/>
      <c r="O1821" s="133"/>
      <c r="P1821" s="133"/>
      <c r="Q1821" s="133"/>
      <c r="R1821" s="133"/>
      <c r="S1821" s="133"/>
      <c r="T1821" s="133"/>
      <c r="U1821" s="133"/>
      <c r="V1821" s="133"/>
      <c r="W1821" s="133"/>
      <c r="X1821" s="133"/>
      <c r="Y1821" s="133"/>
      <c r="Z1821" s="133"/>
    </row>
    <row r="1822">
      <c r="A1822" s="133">
        <f>IFERROR(__xludf.DUMMYFUNCTION("""COMPUTED_VALUE"""),1823.0)</f>
        <v>1823</v>
      </c>
      <c r="B1822" s="133" t="str">
        <f>IFERROR(__xludf.DUMMYFUNCTION("""COMPUTED_VALUE"""),"KC9279")</f>
        <v>KC9279</v>
      </c>
      <c r="C1822" s="133" t="str">
        <f>IFERROR(__xludf.DUMMYFUNCTION("""COMPUTED_VALUE"""),"P-1-N-120920-2865")</f>
        <v>P-1-N-120920-2865</v>
      </c>
      <c r="D1822" s="133"/>
      <c r="E1822" s="133" t="str">
        <f>IFERROR(__xludf.DUMMYFUNCTION("""COMPUTED_VALUE"""),"تمت طباعة الشهادة")</f>
        <v>تمت طباعة الشهادة</v>
      </c>
      <c r="F1822" s="133" t="str">
        <f>IFERROR(__xludf.DUMMYFUNCTION("""COMPUTED_VALUE"""),"Kitcat fillet ""O"" flakes 1.20 KG")</f>
        <v>Kitcat fillet "O" flakes 1.20 KG</v>
      </c>
      <c r="G1822" s="133" t="str">
        <f>IFERROR(__xludf.DUMMYFUNCTION("""COMPUTED_VALUE"""),"كت كات رقائق الفيليه 1.20 كيلو")</f>
        <v>كت كات رقائق الفيليه 1.20 كيلو</v>
      </c>
      <c r="H1822" s="133" t="str">
        <f>IFERROR(__xludf.DUMMYFUNCTION("""COMPUTED_VALUE"""),"MAFE20201231")</f>
        <v>MAFE20201231</v>
      </c>
      <c r="I1822" s="133"/>
      <c r="J1822" s="133"/>
      <c r="K1822" s="133" t="str">
        <f>IFERROR(__xludf.DUMMYFUNCTION("""COMPUTED_VALUE"""),"شركة")</f>
        <v>شركة</v>
      </c>
      <c r="L1822" s="142" t="str">
        <f>IFERROR(__xludf.DUMMYFUNCTION("""COMPUTED_VALUE"""),"KC9279")</f>
        <v>KC9279</v>
      </c>
      <c r="M1822" s="133"/>
      <c r="N1822" s="133"/>
      <c r="O1822" s="133"/>
      <c r="P1822" s="133"/>
      <c r="Q1822" s="133"/>
      <c r="R1822" s="133"/>
      <c r="S1822" s="133"/>
      <c r="T1822" s="133"/>
      <c r="U1822" s="133"/>
      <c r="V1822" s="133"/>
      <c r="W1822" s="133"/>
      <c r="X1822" s="133"/>
      <c r="Y1822" s="133"/>
      <c r="Z1822" s="133"/>
    </row>
    <row r="1823">
      <c r="A1823" s="133">
        <f>IFERROR(__xludf.DUMMYFUNCTION("""COMPUTED_VALUE"""),1824.0)</f>
        <v>1824</v>
      </c>
      <c r="B1823" s="133" t="str">
        <f>IFERROR(__xludf.DUMMYFUNCTION("""COMPUTED_VALUE"""),"KC9293")</f>
        <v>KC9293</v>
      </c>
      <c r="C1823" s="133" t="str">
        <f>IFERROR(__xludf.DUMMYFUNCTION("""COMPUTED_VALUE"""),"P-1-N-120920-2866")</f>
        <v>P-1-N-120920-2866</v>
      </c>
      <c r="D1823" s="133"/>
      <c r="E1823" s="133" t="str">
        <f>IFERROR(__xludf.DUMMYFUNCTION("""COMPUTED_VALUE"""),"تمت طباعة الشهادة")</f>
        <v>تمت طباعة الشهادة</v>
      </c>
      <c r="F1823" s="133" t="str">
        <f>IFERROR(__xludf.DUMMYFUNCTION("""COMPUTED_VALUE"""),"FOM-2024-5403-FEB-2024-49847 -C-0041-70644
")</f>
        <v>FOM-2024-5403-FEB-2024-49847 -C-0041-70644
</v>
      </c>
      <c r="G1823" s="133" t="str">
        <f>IFERROR(__xludf.DUMMYFUNCTION("""COMPUTED_VALUE"""),"كت كات سمك صغير متنوع 1.20 كيلو")</f>
        <v>كت كات سمك صغير متنوع 1.20 كيلو</v>
      </c>
      <c r="H1823" s="133" t="str">
        <f>IFERROR(__xludf.DUMMYFUNCTION("""COMPUTED_VALUE"""),"MAFE20201230")</f>
        <v>MAFE20201230</v>
      </c>
      <c r="I1823" s="133"/>
      <c r="J1823" s="133"/>
      <c r="K1823" s="133" t="str">
        <f>IFERROR(__xludf.DUMMYFUNCTION("""COMPUTED_VALUE"""),"شركة نوتريكس العامة المحدودة")</f>
        <v>شركة نوتريكس العامة المحدودة</v>
      </c>
      <c r="L1823" s="142" t="str">
        <f>IFERROR(__xludf.DUMMYFUNCTION("""COMPUTED_VALUE"""),"KC9293")</f>
        <v>KC9293</v>
      </c>
      <c r="M1823" s="133"/>
      <c r="N1823" s="133"/>
      <c r="O1823" s="133"/>
      <c r="P1823" s="133"/>
      <c r="Q1823" s="133"/>
      <c r="R1823" s="133"/>
      <c r="S1823" s="133"/>
      <c r="T1823" s="133"/>
      <c r="U1823" s="133"/>
      <c r="V1823" s="133"/>
      <c r="W1823" s="133"/>
      <c r="X1823" s="133"/>
      <c r="Y1823" s="133"/>
      <c r="Z1823" s="133"/>
    </row>
    <row r="1824">
      <c r="A1824" s="133">
        <f>IFERROR(__xludf.DUMMYFUNCTION("""COMPUTED_VALUE"""),1825.0)</f>
        <v>1825</v>
      </c>
      <c r="B1824" s="133" t="str">
        <f>IFERROR(__xludf.DUMMYFUNCTION("""COMPUTED_VALUE"""),"KC9248")</f>
        <v>KC9248</v>
      </c>
      <c r="C1824" s="133" t="str">
        <f>IFERROR(__xludf.DUMMYFUNCTION("""COMPUTED_VALUE"""),"P-1-N-120920-2867")</f>
        <v>P-1-N-120920-2867</v>
      </c>
      <c r="D1824" s="133"/>
      <c r="E1824" s="133" t="str">
        <f>IFERROR(__xludf.DUMMYFUNCTION("""COMPUTED_VALUE"""),"تمت طباعة الشهادة")</f>
        <v>تمت طباعة الشهادة</v>
      </c>
      <c r="F1824" s="133" t="str">
        <f>IFERROR(__xludf.DUMMYFUNCTION("""COMPUTED_VALUE"""),"Kitcat chicken cuisine 1.20 KG")</f>
        <v>Kitcat chicken cuisine 1.20 KG</v>
      </c>
      <c r="G1824" s="133" t="str">
        <f>IFERROR(__xludf.DUMMYFUNCTION("""COMPUTED_VALUE"""),"كت كات طبق الدجاج 1.20 كيلو")</f>
        <v>كت كات طبق الدجاج 1.20 كيلو</v>
      </c>
      <c r="H1824" s="133" t="str">
        <f>IFERROR(__xludf.DUMMYFUNCTION("""COMPUTED_VALUE"""),"MAFE20201229")</f>
        <v>MAFE20201229</v>
      </c>
      <c r="I1824" s="133"/>
      <c r="J1824" s="133"/>
      <c r="K1824" s="133" t="str">
        <f>IFERROR(__xludf.DUMMYFUNCTION("""COMPUTED_VALUE"""),"شركة نوتريكس العامة المحدودة")</f>
        <v>شركة نوتريكس العامة المحدودة</v>
      </c>
      <c r="L1824" s="142" t="str">
        <f>IFERROR(__xludf.DUMMYFUNCTION("""COMPUTED_VALUE"""),"KC9248")</f>
        <v>KC9248</v>
      </c>
      <c r="M1824" s="133"/>
      <c r="N1824" s="133"/>
      <c r="O1824" s="133"/>
      <c r="P1824" s="133"/>
      <c r="Q1824" s="133"/>
      <c r="R1824" s="133"/>
      <c r="S1824" s="133"/>
      <c r="T1824" s="133"/>
      <c r="U1824" s="133"/>
      <c r="V1824" s="133"/>
      <c r="W1824" s="133"/>
      <c r="X1824" s="133"/>
      <c r="Y1824" s="133"/>
      <c r="Z1824" s="133"/>
    </row>
    <row r="1825">
      <c r="A1825" s="133">
        <f>IFERROR(__xludf.DUMMYFUNCTION("""COMPUTED_VALUE"""),1826.0)</f>
        <v>1826</v>
      </c>
      <c r="B1825" s="133" t="str">
        <f>IFERROR(__xludf.DUMMYFUNCTION("""COMPUTED_VALUE"""),"KC9262")</f>
        <v>KC9262</v>
      </c>
      <c r="C1825" s="133" t="str">
        <f>IFERROR(__xludf.DUMMYFUNCTION("""COMPUTED_VALUE"""),"P-1-N-120920-2868")</f>
        <v>P-1-N-120920-2868</v>
      </c>
      <c r="D1825" s="133"/>
      <c r="E1825" s="133" t="str">
        <f>IFERROR(__xludf.DUMMYFUNCTION("""COMPUTED_VALUE"""),"تمت طباعة الشهادة")</f>
        <v>تمت طباعة الشهادة</v>
      </c>
      <c r="F1825" s="133" t="str">
        <f>IFERROR(__xludf.DUMMYFUNCTION("""COMPUTED_VALUE"""),"Kitcat signature salmon 1.20 KG")</f>
        <v>Kitcat signature salmon 1.20 KG</v>
      </c>
      <c r="G1825" s="133" t="str">
        <f>IFERROR(__xludf.DUMMYFUNCTION("""COMPUTED_VALUE"""),"كت كات سمك السلمون المميز 1.20 كيلو")</f>
        <v>كت كات سمك السلمون المميز 1.20 كيلو</v>
      </c>
      <c r="H1825" s="133" t="str">
        <f>IFERROR(__xludf.DUMMYFUNCTION("""COMPUTED_VALUE"""),"MAFE20201227")</f>
        <v>MAFE20201227</v>
      </c>
      <c r="I1825" s="133"/>
      <c r="J1825" s="133"/>
      <c r="K1825" s="133" t="str">
        <f>IFERROR(__xludf.DUMMYFUNCTION("""COMPUTED_VALUE"""),"شركة نوتريكس العامة المحدودة")</f>
        <v>شركة نوتريكس العامة المحدودة</v>
      </c>
      <c r="L1825" s="142" t="str">
        <f>IFERROR(__xludf.DUMMYFUNCTION("""COMPUTED_VALUE"""),"KC9262")</f>
        <v>KC9262</v>
      </c>
      <c r="M1825" s="133"/>
      <c r="N1825" s="133"/>
      <c r="O1825" s="133"/>
      <c r="P1825" s="133"/>
      <c r="Q1825" s="133"/>
      <c r="R1825" s="133"/>
      <c r="S1825" s="133"/>
      <c r="T1825" s="133"/>
      <c r="U1825" s="133"/>
      <c r="V1825" s="133"/>
      <c r="W1825" s="133"/>
      <c r="X1825" s="133"/>
      <c r="Y1825" s="133"/>
      <c r="Z1825" s="133"/>
    </row>
    <row r="1826">
      <c r="A1826" s="133">
        <f>IFERROR(__xludf.DUMMYFUNCTION("""COMPUTED_VALUE"""),1827.0)</f>
        <v>1827</v>
      </c>
      <c r="B1826" s="133" t="str">
        <f>IFERROR(__xludf.DUMMYFUNCTION("""COMPUTED_VALUE"""),"KC3200")</f>
        <v>KC3200</v>
      </c>
      <c r="C1826" s="133" t="str">
        <f>IFERROR(__xludf.DUMMYFUNCTION("""COMPUTED_VALUE"""),"P-1-N-041020-3342")</f>
        <v>P-1-N-041020-3342</v>
      </c>
      <c r="D1826" s="133"/>
      <c r="E1826" s="133" t="str">
        <f>IFERROR(__xludf.DUMMYFUNCTION("""COMPUTED_VALUE"""),"تمت طباعة الشهادة")</f>
        <v>تمت طباعة الشهادة</v>
      </c>
      <c r="F1826" s="133" t="str">
        <f>IFERROR(__xludf.DUMMYFUNCTION("""COMPUTED_VALUE"""),"Gravy Classic Tuna 70g")</f>
        <v>Gravy Classic Tuna 70g</v>
      </c>
      <c r="G1826" s="133" t="str">
        <f>IFERROR(__xludf.DUMMYFUNCTION("""COMPUTED_VALUE"""),"مرق التونا كلاسيكي 70 جرام")</f>
        <v>مرق التونا كلاسيكي 70 جرام</v>
      </c>
      <c r="H1826" s="133" t="str">
        <f>IFERROR(__xludf.DUMMYFUNCTION("""COMPUTED_VALUE"""),"MAFE20201665")</f>
        <v>MAFE20201665</v>
      </c>
      <c r="I1826" s="133"/>
      <c r="J1826" s="133"/>
      <c r="K1826" s="133" t="str">
        <f>IFERROR(__xludf.DUMMYFUNCTION("""COMPUTED_VALUE"""),"شركة سيام للأغذية العالمية المحدودة")</f>
        <v>شركة سيام للأغذية العالمية المحدودة</v>
      </c>
      <c r="L1826" s="142" t="str">
        <f>IFERROR(__xludf.DUMMYFUNCTION("""COMPUTED_VALUE"""),"KC3200")</f>
        <v>KC3200</v>
      </c>
      <c r="M1826" s="133"/>
      <c r="N1826" s="133"/>
      <c r="O1826" s="133"/>
      <c r="P1826" s="133"/>
      <c r="Q1826" s="133"/>
      <c r="R1826" s="133"/>
      <c r="S1826" s="133"/>
      <c r="T1826" s="133"/>
      <c r="U1826" s="133"/>
      <c r="V1826" s="133"/>
      <c r="W1826" s="133"/>
      <c r="X1826" s="133"/>
      <c r="Y1826" s="133"/>
      <c r="Z1826" s="133"/>
    </row>
    <row r="1827">
      <c r="A1827" s="133">
        <f>IFERROR(__xludf.DUMMYFUNCTION("""COMPUTED_VALUE"""),1828.0)</f>
        <v>1828</v>
      </c>
      <c r="B1827" s="133" t="str">
        <f>IFERROR(__xludf.DUMMYFUNCTION("""COMPUTED_VALUE"""),"KC3132")</f>
        <v>KC3132</v>
      </c>
      <c r="C1827" s="133" t="str">
        <f>IFERROR(__xludf.DUMMYFUNCTION("""COMPUTED_VALUE"""),"P-1-N-041020-3343")</f>
        <v>P-1-N-041020-3343</v>
      </c>
      <c r="D1827" s="133"/>
      <c r="E1827" s="133" t="str">
        <f>IFERROR(__xludf.DUMMYFUNCTION("""COMPUTED_VALUE"""),"تمت طباعة الشهادة")</f>
        <v>تمت طباعة الشهادة</v>
      </c>
      <c r="F1827" s="133" t="str">
        <f>IFERROR(__xludf.DUMMYFUNCTION("""COMPUTED_VALUE"""),"Gravy chicken &amp; beef 70g")</f>
        <v>Gravy chicken &amp; beef 70g</v>
      </c>
      <c r="G1827" s="133" t="str">
        <f>IFERROR(__xludf.DUMMYFUNCTION("""COMPUTED_VALUE"""),"مرق الدجاج و اللحم البقري 70 جرام")</f>
        <v>مرق الدجاج و اللحم البقري 70 جرام</v>
      </c>
      <c r="H1827" s="133" t="str">
        <f>IFERROR(__xludf.DUMMYFUNCTION("""COMPUTED_VALUE"""),"MAFE20201649")</f>
        <v>MAFE20201649</v>
      </c>
      <c r="I1827" s="133"/>
      <c r="J1827" s="133"/>
      <c r="K1827" s="133" t="str">
        <f>IFERROR(__xludf.DUMMYFUNCTION("""COMPUTED_VALUE"""),"شركة")</f>
        <v>شركة</v>
      </c>
      <c r="L1827" s="142" t="str">
        <f>IFERROR(__xludf.DUMMYFUNCTION("""COMPUTED_VALUE"""),"KC3132")</f>
        <v>KC3132</v>
      </c>
      <c r="M1827" s="133"/>
      <c r="N1827" s="133"/>
      <c r="O1827" s="133"/>
      <c r="P1827" s="133"/>
      <c r="Q1827" s="133"/>
      <c r="R1827" s="133"/>
      <c r="S1827" s="133"/>
      <c r="T1827" s="133"/>
      <c r="U1827" s="133"/>
      <c r="V1827" s="133"/>
      <c r="W1827" s="133"/>
      <c r="X1827" s="133"/>
      <c r="Y1827" s="133"/>
      <c r="Z1827" s="133"/>
    </row>
    <row r="1828">
      <c r="A1828" s="133">
        <f>IFERROR(__xludf.DUMMYFUNCTION("""COMPUTED_VALUE"""),1829.0)</f>
        <v>1829</v>
      </c>
      <c r="B1828" s="133" t="str">
        <f>IFERROR(__xludf.DUMMYFUNCTION("""COMPUTED_VALUE"""),"KC3118")</f>
        <v>KC3118</v>
      </c>
      <c r="C1828" s="133" t="str">
        <f>IFERROR(__xludf.DUMMYFUNCTION("""COMPUTED_VALUE"""),"P-1-N-041020-3344")</f>
        <v>P-1-N-041020-3344</v>
      </c>
      <c r="D1828" s="133"/>
      <c r="E1828" s="133" t="str">
        <f>IFERROR(__xludf.DUMMYFUNCTION("""COMPUTED_VALUE"""),"تمت طباعة الشهادة")</f>
        <v>تمت طباعة الشهادة</v>
      </c>
      <c r="F1828" s="133" t="str">
        <f>IFERROR(__xludf.DUMMYFUNCTION("""COMPUTED_VALUE"""),"Gravy chicken &amp; Quail egg 70 g")</f>
        <v>Gravy chicken &amp; Quail egg 70 g</v>
      </c>
      <c r="G1828" s="133" t="str">
        <f>IFERROR(__xludf.DUMMYFUNCTION("""COMPUTED_VALUE"""),"مرق الدجاج و بيض السمان 70 جرام")</f>
        <v>مرق الدجاج و بيض السمان 70 جرام</v>
      </c>
      <c r="H1828" s="133" t="str">
        <f>IFERROR(__xludf.DUMMYFUNCTION("""COMPUTED_VALUE"""),"MAFE20201648")</f>
        <v>MAFE20201648</v>
      </c>
      <c r="I1828" s="133"/>
      <c r="J1828" s="133"/>
      <c r="K1828" s="133" t="str">
        <f>IFERROR(__xludf.DUMMYFUNCTION("""COMPUTED_VALUE"""),"شركة سيام للأغذية العالمية المحدودة")</f>
        <v>شركة سيام للأغذية العالمية المحدودة</v>
      </c>
      <c r="L1828" s="142" t="str">
        <f>IFERROR(__xludf.DUMMYFUNCTION("""COMPUTED_VALUE"""),"KC3118")</f>
        <v>KC3118</v>
      </c>
      <c r="M1828" s="133"/>
      <c r="N1828" s="133"/>
      <c r="O1828" s="133"/>
      <c r="P1828" s="133"/>
      <c r="Q1828" s="133"/>
      <c r="R1828" s="133"/>
      <c r="S1828" s="133"/>
      <c r="T1828" s="133"/>
      <c r="U1828" s="133"/>
      <c r="V1828" s="133"/>
      <c r="W1828" s="133"/>
      <c r="X1828" s="133"/>
      <c r="Y1828" s="133"/>
      <c r="Z1828" s="133"/>
    </row>
    <row r="1829">
      <c r="A1829" s="133">
        <f>IFERROR(__xludf.DUMMYFUNCTION("""COMPUTED_VALUE"""),1830.0)</f>
        <v>1830</v>
      </c>
      <c r="B1829" s="133" t="str">
        <f>IFERROR(__xludf.DUMMYFUNCTION("""COMPUTED_VALUE"""),"KC3125")</f>
        <v>KC3125</v>
      </c>
      <c r="C1829" s="133" t="str">
        <f>IFERROR(__xludf.DUMMYFUNCTION("""COMPUTED_VALUE"""),"P-1-N-041020-3345")</f>
        <v>P-1-N-041020-3345</v>
      </c>
      <c r="D1829" s="133"/>
      <c r="E1829" s="133" t="str">
        <f>IFERROR(__xludf.DUMMYFUNCTION("""COMPUTED_VALUE"""),"تمت طباعة الشهادة")</f>
        <v>تمت طباعة الشهادة</v>
      </c>
      <c r="F1829" s="133" t="str">
        <f>IFERROR(__xludf.DUMMYFUNCTION("""COMPUTED_VALUE"""),"Gravy chicken &amp; salmon 70g")</f>
        <v>Gravy chicken &amp; salmon 70g</v>
      </c>
      <c r="G1829" s="133" t="str">
        <f>IFERROR(__xludf.DUMMYFUNCTION("""COMPUTED_VALUE"""),"مرق")</f>
        <v>مرق</v>
      </c>
      <c r="H1829" s="133" t="str">
        <f>IFERROR(__xludf.DUMMYFUNCTION("""COMPUTED_VALUE"""),"MAFE20201647")</f>
        <v>MAFE20201647</v>
      </c>
      <c r="I1829" s="133"/>
      <c r="J1829" s="133"/>
      <c r="K1829" s="133" t="str">
        <f>IFERROR(__xludf.DUMMYFUNCTION("""COMPUTED_VALUE"""),"شركة سيام للأغذية العالمية المحدودة")</f>
        <v>شركة سيام للأغذية العالمية المحدودة</v>
      </c>
      <c r="L1829" s="142" t="str">
        <f>IFERROR(__xludf.DUMMYFUNCTION("""COMPUTED_VALUE"""),"KC3125")</f>
        <v>KC3125</v>
      </c>
      <c r="M1829" s="133"/>
      <c r="N1829" s="133"/>
      <c r="O1829" s="133"/>
      <c r="P1829" s="133"/>
      <c r="Q1829" s="133"/>
      <c r="R1829" s="133"/>
      <c r="S1829" s="133"/>
      <c r="T1829" s="133"/>
      <c r="U1829" s="133"/>
      <c r="V1829" s="133"/>
      <c r="W1829" s="133"/>
      <c r="X1829" s="133"/>
      <c r="Y1829" s="133"/>
      <c r="Z1829" s="133"/>
    </row>
    <row r="1830">
      <c r="A1830" s="133">
        <f>IFERROR(__xludf.DUMMYFUNCTION("""COMPUTED_VALUE"""),1831.0)</f>
        <v>1831</v>
      </c>
      <c r="B1830" s="133" t="str">
        <f>IFERROR(__xludf.DUMMYFUNCTION("""COMPUTED_VALUE"""),"KC3095")</f>
        <v>KC3095</v>
      </c>
      <c r="C1830" s="133" t="str">
        <f>IFERROR(__xludf.DUMMYFUNCTION("""COMPUTED_VALUE"""),"P-1-N-041020-3346")</f>
        <v>P-1-N-041020-3346</v>
      </c>
      <c r="D1830" s="133"/>
      <c r="E1830" s="133" t="str">
        <f>IFERROR(__xludf.DUMMYFUNCTION("""COMPUTED_VALUE"""),"تمت طباعة الشهادة")</f>
        <v>تمت طباعة الشهادة</v>
      </c>
      <c r="F1830" s="133" t="str">
        <f>IFERROR(__xludf.DUMMYFUNCTION("""COMPUTED_VALUE"""),"Gravy chicken &amp; whitebait 70g")</f>
        <v>Gravy chicken &amp; whitebait 70g</v>
      </c>
      <c r="G1830" s="133" t="str">
        <f>IFERROR(__xludf.DUMMYFUNCTION("""COMPUTED_VALUE"""),"مرق الدجاج و السمك الصغير 70 جرام")</f>
        <v>مرق الدجاج و السمك الصغير 70 جرام</v>
      </c>
      <c r="H1830" s="133" t="str">
        <f>IFERROR(__xludf.DUMMYFUNCTION("""COMPUTED_VALUE"""),"MAFE20201646")</f>
        <v>MAFE20201646</v>
      </c>
      <c r="I1830" s="133"/>
      <c r="J1830" s="133"/>
      <c r="K1830" s="133" t="str">
        <f>IFERROR(__xludf.DUMMYFUNCTION("""COMPUTED_VALUE"""),"شركة سيام للأغذية العالمية المحدودة")</f>
        <v>شركة سيام للأغذية العالمية المحدودة</v>
      </c>
      <c r="L1830" s="142" t="str">
        <f>IFERROR(__xludf.DUMMYFUNCTION("""COMPUTED_VALUE"""),"KC3095")</f>
        <v>KC3095</v>
      </c>
      <c r="M1830" s="133"/>
      <c r="N1830" s="133"/>
      <c r="O1830" s="133"/>
      <c r="P1830" s="133"/>
      <c r="Q1830" s="133"/>
      <c r="R1830" s="133"/>
      <c r="S1830" s="133"/>
      <c r="T1830" s="133"/>
      <c r="U1830" s="133"/>
      <c r="V1830" s="133"/>
      <c r="W1830" s="133"/>
      <c r="X1830" s="133"/>
      <c r="Y1830" s="133"/>
      <c r="Z1830" s="133"/>
    </row>
    <row r="1831">
      <c r="A1831" s="133">
        <f>IFERROR(__xludf.DUMMYFUNCTION("""COMPUTED_VALUE"""),1832.0)</f>
        <v>1832</v>
      </c>
      <c r="B1831" s="133" t="str">
        <f>IFERROR(__xludf.DUMMYFUNCTION("""COMPUTED_VALUE"""),"KC3149")</f>
        <v>KC3149</v>
      </c>
      <c r="C1831" s="133" t="str">
        <f>IFERROR(__xludf.DUMMYFUNCTION("""COMPUTED_VALUE"""),"P-1-N-041020-3347")</f>
        <v>P-1-N-041020-3347</v>
      </c>
      <c r="D1831" s="133"/>
      <c r="E1831" s="133" t="str">
        <f>IFERROR(__xludf.DUMMYFUNCTION("""COMPUTED_VALUE"""),"تمت طباعة الشهادة")</f>
        <v>تمت طباعة الشهادة</v>
      </c>
      <c r="F1831" s="133" t="str">
        <f>IFERROR(__xludf.DUMMYFUNCTION("""COMPUTED_VALUE"""),"Gravy classic chicken 70g")</f>
        <v>Gravy classic chicken 70g</v>
      </c>
      <c r="G1831" s="133" t="str">
        <f>IFERROR(__xludf.DUMMYFUNCTION("""COMPUTED_VALUE"""),"مرق الدجاج الكلاسيكي 70 جرام")</f>
        <v>مرق الدجاج الكلاسيكي 70 جرام</v>
      </c>
      <c r="H1831" s="133" t="str">
        <f>IFERROR(__xludf.DUMMYFUNCTION("""COMPUTED_VALUE"""),"MAFE20201645")</f>
        <v>MAFE20201645</v>
      </c>
      <c r="I1831" s="133"/>
      <c r="J1831" s="133"/>
      <c r="K1831" s="133" t="str">
        <f>IFERROR(__xludf.DUMMYFUNCTION("""COMPUTED_VALUE"""),"شركة سيام للأغذية العالمية المحدودة")</f>
        <v>شركة سيام للأغذية العالمية المحدودة</v>
      </c>
      <c r="L1831" s="142" t="str">
        <f>IFERROR(__xludf.DUMMYFUNCTION("""COMPUTED_VALUE"""),"KC3149")</f>
        <v>KC3149</v>
      </c>
      <c r="M1831" s="133"/>
      <c r="N1831" s="133"/>
      <c r="O1831" s="133"/>
      <c r="P1831" s="133"/>
      <c r="Q1831" s="133"/>
      <c r="R1831" s="133"/>
      <c r="S1831" s="133"/>
      <c r="T1831" s="133"/>
      <c r="U1831" s="133"/>
      <c r="V1831" s="133"/>
      <c r="W1831" s="133"/>
      <c r="X1831" s="133"/>
      <c r="Y1831" s="133"/>
      <c r="Z1831" s="133"/>
    </row>
    <row r="1832">
      <c r="A1832" s="133">
        <f>IFERROR(__xludf.DUMMYFUNCTION("""COMPUTED_VALUE"""),1833.0)</f>
        <v>1833</v>
      </c>
      <c r="B1832" s="133" t="str">
        <f>IFERROR(__xludf.DUMMYFUNCTION("""COMPUTED_VALUE"""),"KC3156")</f>
        <v>KC3156</v>
      </c>
      <c r="C1832" s="133" t="str">
        <f>IFERROR(__xludf.DUMMYFUNCTION("""COMPUTED_VALUE"""),"P-1-N-041020-3348")</f>
        <v>P-1-N-041020-3348</v>
      </c>
      <c r="D1832" s="133"/>
      <c r="E1832" s="133" t="str">
        <f>IFERROR(__xludf.DUMMYFUNCTION("""COMPUTED_VALUE"""),"تمت طباعة الشهادة")</f>
        <v>تمت طباعة الشهادة</v>
      </c>
      <c r="F1832" s="133" t="str">
        <f>IFERROR(__xludf.DUMMYFUNCTION("""COMPUTED_VALUE"""),"Gravy tuna &amp; whitebait 70g")</f>
        <v>Gravy tuna &amp; whitebait 70g</v>
      </c>
      <c r="G1832" s="133" t="str">
        <f>IFERROR(__xludf.DUMMYFUNCTION("""COMPUTED_VALUE"""),"مرق التونا و السمك الصغير 70 جرام")</f>
        <v>مرق التونا و السمك الصغير 70 جرام</v>
      </c>
      <c r="H1832" s="133" t="str">
        <f>IFERROR(__xludf.DUMMYFUNCTION("""COMPUTED_VALUE"""),"MAFE20201644")</f>
        <v>MAFE20201644</v>
      </c>
      <c r="I1832" s="133"/>
      <c r="J1832" s="133"/>
      <c r="K1832" s="133" t="str">
        <f>IFERROR(__xludf.DUMMYFUNCTION("""COMPUTED_VALUE"""),"شركة سيام للأغذية العالمية المحدودة")</f>
        <v>شركة سيام للأغذية العالمية المحدودة</v>
      </c>
      <c r="L1832" s="142" t="str">
        <f>IFERROR(__xludf.DUMMYFUNCTION("""COMPUTED_VALUE"""),"KC3156")</f>
        <v>KC3156</v>
      </c>
      <c r="M1832" s="133"/>
      <c r="N1832" s="133"/>
      <c r="O1832" s="133"/>
      <c r="P1832" s="133"/>
      <c r="Q1832" s="133"/>
      <c r="R1832" s="133"/>
      <c r="S1832" s="133"/>
      <c r="T1832" s="133"/>
      <c r="U1832" s="133"/>
      <c r="V1832" s="133"/>
      <c r="W1832" s="133"/>
      <c r="X1832" s="133"/>
      <c r="Y1832" s="133"/>
      <c r="Z1832" s="133"/>
    </row>
    <row r="1833">
      <c r="A1833" s="133">
        <f>IFERROR(__xludf.DUMMYFUNCTION("""COMPUTED_VALUE"""),1834.0)</f>
        <v>1834</v>
      </c>
      <c r="B1833" s="133" t="str">
        <f>IFERROR(__xludf.DUMMYFUNCTION("""COMPUTED_VALUE"""),"KC3194")</f>
        <v>KC3194</v>
      </c>
      <c r="C1833" s="133" t="str">
        <f>IFERROR(__xludf.DUMMYFUNCTION("""COMPUTED_VALUE"""),"P-1-N-041020-3349")</f>
        <v>P-1-N-041020-3349</v>
      </c>
      <c r="D1833" s="133"/>
      <c r="E1833" s="133" t="str">
        <f>IFERROR(__xludf.DUMMYFUNCTION("""COMPUTED_VALUE"""),"تمت طباعة الشهادة")</f>
        <v>تمت طباعة الشهادة</v>
      </c>
      <c r="F1833" s="133" t="str">
        <f>IFERROR(__xludf.DUMMYFUNCTION("""COMPUTED_VALUE"""),"Gravy tuna &amp; beef 70g")</f>
        <v>Gravy tuna &amp; beef 70g</v>
      </c>
      <c r="G1833" s="133" t="str">
        <f>IFERROR(__xludf.DUMMYFUNCTION("""COMPUTED_VALUE"""),"مرق التونا و اللحم البقري 70 جرام")</f>
        <v>مرق التونا و اللحم البقري 70 جرام</v>
      </c>
      <c r="H1833" s="133" t="str">
        <f>IFERROR(__xludf.DUMMYFUNCTION("""COMPUTED_VALUE"""),"MAFE20201643")</f>
        <v>MAFE20201643</v>
      </c>
      <c r="I1833" s="133"/>
      <c r="J1833" s="133"/>
      <c r="K1833" s="133" t="str">
        <f>IFERROR(__xludf.DUMMYFUNCTION("""COMPUTED_VALUE"""),"شركة سيام للأغذية العالمية المحدودة")</f>
        <v>شركة سيام للأغذية العالمية المحدودة</v>
      </c>
      <c r="L1833" s="142" t="str">
        <f>IFERROR(__xludf.DUMMYFUNCTION("""COMPUTED_VALUE"""),"KC3194")</f>
        <v>KC3194</v>
      </c>
      <c r="M1833" s="133"/>
      <c r="N1833" s="133"/>
      <c r="O1833" s="133"/>
      <c r="P1833" s="133"/>
      <c r="Q1833" s="133"/>
      <c r="R1833" s="133"/>
      <c r="S1833" s="133"/>
      <c r="T1833" s="133"/>
      <c r="U1833" s="133"/>
      <c r="V1833" s="133"/>
      <c r="W1833" s="133"/>
      <c r="X1833" s="133"/>
      <c r="Y1833" s="133"/>
      <c r="Z1833" s="133"/>
    </row>
    <row r="1834">
      <c r="A1834" s="133">
        <f>IFERROR(__xludf.DUMMYFUNCTION("""COMPUTED_VALUE"""),1835.0)</f>
        <v>1835</v>
      </c>
      <c r="B1834" s="133" t="str">
        <f>IFERROR(__xludf.DUMMYFUNCTION("""COMPUTED_VALUE"""),"KC3163")</f>
        <v>KC3163</v>
      </c>
      <c r="C1834" s="133" t="str">
        <f>IFERROR(__xludf.DUMMYFUNCTION("""COMPUTED_VALUE"""),"P-1-N-041020-3350")</f>
        <v>P-1-N-041020-3350</v>
      </c>
      <c r="D1834" s="133"/>
      <c r="E1834" s="133" t="str">
        <f>IFERROR(__xludf.DUMMYFUNCTION("""COMPUTED_VALUE"""),"تمت طباعة الشهادة")</f>
        <v>تمت طباعة الشهادة</v>
      </c>
      <c r="F1834" s="133" t="str">
        <f>IFERROR(__xludf.DUMMYFUNCTION("""COMPUTED_VALUE"""),"Gravy tuna &amp; chicken 70g")</f>
        <v>Gravy tuna &amp; chicken 70g</v>
      </c>
      <c r="G1834" s="133" t="str">
        <f>IFERROR(__xludf.DUMMYFUNCTION("""COMPUTED_VALUE"""),"مرق التونا و الدجاج 70 جرام")</f>
        <v>مرق التونا و الدجاج 70 جرام</v>
      </c>
      <c r="H1834" s="133" t="str">
        <f>IFERROR(__xludf.DUMMYFUNCTION("""COMPUTED_VALUE"""),"MAFE20201642")</f>
        <v>MAFE20201642</v>
      </c>
      <c r="I1834" s="133"/>
      <c r="J1834" s="133"/>
      <c r="K1834" s="133" t="str">
        <f>IFERROR(__xludf.DUMMYFUNCTION("""COMPUTED_VALUE"""),"شركة سيام للأغذية العالمية المحدودة")</f>
        <v>شركة سيام للأغذية العالمية المحدودة</v>
      </c>
      <c r="L1834" s="142" t="str">
        <f>IFERROR(__xludf.DUMMYFUNCTION("""COMPUTED_VALUE"""),"KC3163")</f>
        <v>KC3163</v>
      </c>
      <c r="M1834" s="133"/>
      <c r="N1834" s="133"/>
      <c r="O1834" s="133"/>
      <c r="P1834" s="133"/>
      <c r="Q1834" s="133"/>
      <c r="R1834" s="133"/>
      <c r="S1834" s="133"/>
      <c r="T1834" s="133"/>
      <c r="U1834" s="133"/>
      <c r="V1834" s="133"/>
      <c r="W1834" s="133"/>
      <c r="X1834" s="133"/>
      <c r="Y1834" s="133"/>
      <c r="Z1834" s="133"/>
    </row>
    <row r="1835">
      <c r="A1835" s="133">
        <f>IFERROR(__xludf.DUMMYFUNCTION("""COMPUTED_VALUE"""),1836.0)</f>
        <v>1836</v>
      </c>
      <c r="B1835" s="133" t="str">
        <f>IFERROR(__xludf.DUMMYFUNCTION("""COMPUTED_VALUE"""),"KC3187")</f>
        <v>KC3187</v>
      </c>
      <c r="C1835" s="133" t="str">
        <f>IFERROR(__xludf.DUMMYFUNCTION("""COMPUTED_VALUE"""),"P-1-N-041020-3351")</f>
        <v>P-1-N-041020-3351</v>
      </c>
      <c r="D1835" s="133"/>
      <c r="E1835" s="133" t="str">
        <f>IFERROR(__xludf.DUMMYFUNCTION("""COMPUTED_VALUE"""),"تمت طباعة الشهادة")</f>
        <v>تمت طباعة الشهادة</v>
      </c>
      <c r="F1835" s="133" t="str">
        <f>IFERROR(__xludf.DUMMYFUNCTION("""COMPUTED_VALUE"""),"Gravy tuna &amp; salmon 70g")</f>
        <v>Gravy tuna &amp; salmon 70g</v>
      </c>
      <c r="G1835" s="133" t="str">
        <f>IFERROR(__xludf.DUMMYFUNCTION("""COMPUTED_VALUE"""),"مرق التونا و السلمون 70 جرام")</f>
        <v>مرق التونا و السلمون 70 جرام</v>
      </c>
      <c r="H1835" s="133" t="str">
        <f>IFERROR(__xludf.DUMMYFUNCTION("""COMPUTED_VALUE"""),"MAFE20201641")</f>
        <v>MAFE20201641</v>
      </c>
      <c r="I1835" s="133"/>
      <c r="J1835" s="133"/>
      <c r="K1835" s="133" t="str">
        <f>IFERROR(__xludf.DUMMYFUNCTION("""COMPUTED_VALUE"""),"شركة سيام للأغذية العالمية المحدودة")</f>
        <v>شركة سيام للأغذية العالمية المحدودة</v>
      </c>
      <c r="L1835" s="142" t="str">
        <f>IFERROR(__xludf.DUMMYFUNCTION("""COMPUTED_VALUE"""),"KC3187")</f>
        <v>KC3187</v>
      </c>
      <c r="M1835" s="133"/>
      <c r="N1835" s="133"/>
      <c r="O1835" s="133"/>
      <c r="P1835" s="133"/>
      <c r="Q1835" s="133"/>
      <c r="R1835" s="133"/>
      <c r="S1835" s="133"/>
      <c r="T1835" s="133"/>
      <c r="U1835" s="133"/>
      <c r="V1835" s="133"/>
      <c r="W1835" s="133"/>
      <c r="X1835" s="133"/>
      <c r="Y1835" s="133"/>
      <c r="Z1835" s="133"/>
    </row>
    <row r="1836">
      <c r="A1836" s="133">
        <f>IFERROR(__xludf.DUMMYFUNCTION("""COMPUTED_VALUE"""),1837.0)</f>
        <v>1837</v>
      </c>
      <c r="B1836" s="133" t="str">
        <f>IFERROR(__xludf.DUMMYFUNCTION("""COMPUTED_VALUE"""),"KC3101")</f>
        <v>KC3101</v>
      </c>
      <c r="C1836" s="133" t="str">
        <f>IFERROR(__xludf.DUMMYFUNCTION("""COMPUTED_VALUE"""),"P-1-N-041020-3353")</f>
        <v>P-1-N-041020-3353</v>
      </c>
      <c r="D1836" s="133"/>
      <c r="E1836" s="133" t="str">
        <f>IFERROR(__xludf.DUMMYFUNCTION("""COMPUTED_VALUE"""),"تمت طباعة الشهادة")</f>
        <v>تمت طباعة الشهادة</v>
      </c>
      <c r="F1836" s="133" t="str">
        <f>IFERROR(__xludf.DUMMYFUNCTION("""COMPUTED_VALUE"""),"Gravy chicken &amp; skipjack 70g")</f>
        <v>Gravy chicken &amp; skipjack 70g</v>
      </c>
      <c r="G1836" s="133" t="str">
        <f>IFERROR(__xludf.DUMMYFUNCTION("""COMPUTED_VALUE"""),"مرق الدجاج و التونا الوثابة 70 جرام")</f>
        <v>مرق الدجاج و التونا الوثابة 70 جرام</v>
      </c>
      <c r="H1836" s="133" t="str">
        <f>IFERROR(__xludf.DUMMYFUNCTION("""COMPUTED_VALUE"""),"MAFE20201640")</f>
        <v>MAFE20201640</v>
      </c>
      <c r="I1836" s="133"/>
      <c r="J1836" s="133"/>
      <c r="K1836" s="133" t="str">
        <f>IFERROR(__xludf.DUMMYFUNCTION("""COMPUTED_VALUE"""),"شركة سيام للأغذية العالمية المحدودة")</f>
        <v>شركة سيام للأغذية العالمية المحدودة</v>
      </c>
      <c r="L1836" s="142" t="str">
        <f>IFERROR(__xludf.DUMMYFUNCTION("""COMPUTED_VALUE"""),"KC3101")</f>
        <v>KC3101</v>
      </c>
      <c r="M1836" s="133"/>
      <c r="N1836" s="133"/>
      <c r="O1836" s="133"/>
      <c r="P1836" s="133"/>
      <c r="Q1836" s="133"/>
      <c r="R1836" s="133"/>
      <c r="S1836" s="133"/>
      <c r="T1836" s="133"/>
      <c r="U1836" s="133"/>
      <c r="V1836" s="133"/>
      <c r="W1836" s="133"/>
      <c r="X1836" s="133"/>
      <c r="Y1836" s="133"/>
      <c r="Z1836" s="133"/>
    </row>
    <row r="1837">
      <c r="A1837" s="133">
        <f>IFERROR(__xludf.DUMMYFUNCTION("""COMPUTED_VALUE"""),1838.0)</f>
        <v>1838</v>
      </c>
      <c r="B1837" s="133" t="str">
        <f>IFERROR(__xludf.DUMMYFUNCTION("""COMPUTED_VALUE"""),"KC3170")</f>
        <v>KC3170</v>
      </c>
      <c r="C1837" s="133" t="str">
        <f>IFERROR(__xludf.DUMMYFUNCTION("""COMPUTED_VALUE"""),"P-1-N-041020-3354")</f>
        <v>P-1-N-041020-3354</v>
      </c>
      <c r="D1837" s="133"/>
      <c r="E1837" s="133" t="str">
        <f>IFERROR(__xludf.DUMMYFUNCTION("""COMPUTED_VALUE"""),"تمت طباعة الشهادة")</f>
        <v>تمت طباعة الشهادة</v>
      </c>
      <c r="F1837" s="133" t="str">
        <f>IFERROR(__xludf.DUMMYFUNCTION("""COMPUTED_VALUE"""),"Gravy tuna &amp; quail egg 70g")</f>
        <v>Gravy tuna &amp; quail egg 70g</v>
      </c>
      <c r="G1837" s="133" t="str">
        <f>IFERROR(__xludf.DUMMYFUNCTION("""COMPUTED_VALUE"""),"مرق التونا وبيض السمان 70 جرام")</f>
        <v>مرق التونا وبيض السمان 70 جرام</v>
      </c>
      <c r="H1837" s="133" t="str">
        <f>IFERROR(__xludf.DUMMYFUNCTION("""COMPUTED_VALUE"""),"MAFE20201639")</f>
        <v>MAFE20201639</v>
      </c>
      <c r="I1837" s="133"/>
      <c r="J1837" s="133"/>
      <c r="K1837" s="133" t="str">
        <f>IFERROR(__xludf.DUMMYFUNCTION("""COMPUTED_VALUE"""),"شركة")</f>
        <v>شركة</v>
      </c>
      <c r="L1837" s="142" t="str">
        <f>IFERROR(__xludf.DUMMYFUNCTION("""COMPUTED_VALUE"""),"KC3170")</f>
        <v>KC3170</v>
      </c>
      <c r="M1837" s="133"/>
      <c r="N1837" s="133"/>
      <c r="O1837" s="133"/>
      <c r="P1837" s="133"/>
      <c r="Q1837" s="133"/>
      <c r="R1837" s="133"/>
      <c r="S1837" s="133"/>
      <c r="T1837" s="133"/>
      <c r="U1837" s="133"/>
      <c r="V1837" s="133"/>
      <c r="W1837" s="133"/>
      <c r="X1837" s="133"/>
      <c r="Y1837" s="133"/>
      <c r="Z1837" s="133"/>
    </row>
    <row r="1838">
      <c r="A1838" s="133">
        <f>IFERROR(__xludf.DUMMYFUNCTION("""COMPUTED_VALUE"""),1839.0)</f>
        <v>1839</v>
      </c>
      <c r="B1838" s="133" t="str">
        <f>IFERROR(__xludf.DUMMYFUNCTION("""COMPUTED_VALUE"""),"KC9422")</f>
        <v>KC9422</v>
      </c>
      <c r="C1838" s="133" t="str">
        <f>IFERROR(__xludf.DUMMYFUNCTION("""COMPUTED_VALUE"""),"P-1-N-291220-5176")</f>
        <v>P-1-N-291220-5176</v>
      </c>
      <c r="D1838" s="133"/>
      <c r="E1838" s="133" t="str">
        <f>IFERROR(__xludf.DUMMYFUNCTION("""COMPUTED_VALUE"""),"تمت طباعة الشهادة")</f>
        <v>تمت طباعة الشهادة</v>
      </c>
      <c r="F1838" s="133" t="str">
        <f>IFERROR(__xludf.DUMMYFUNCTION("""COMPUTED_VALUE"""),"Kit Cat Chicken Cuisine 5kg")</f>
        <v>Kit Cat Chicken Cuisine 5kg</v>
      </c>
      <c r="G1838" s="133" t="str">
        <f>IFERROR(__xludf.DUMMYFUNCTION("""COMPUTED_VALUE"""),"كيت كات دجاج كويسين 5 كجم")</f>
        <v>كيت كات دجاج كويسين 5 كجم</v>
      </c>
      <c r="H1838" s="133" t="str">
        <f>IFERROR(__xludf.DUMMYFUNCTION("""COMPUTED_VALUE"""),"MAFE20202569")</f>
        <v>MAFE20202569</v>
      </c>
      <c r="I1838" s="133"/>
      <c r="J1838" s="133"/>
      <c r="K1838" s="133" t="str">
        <f>IFERROR(__xludf.DUMMYFUNCTION("""COMPUTED_VALUE"""),"شركة نوتريكس العامة المحدودة")</f>
        <v>شركة نوتريكس العامة المحدودة</v>
      </c>
      <c r="L1838" s="142" t="str">
        <f>IFERROR(__xludf.DUMMYFUNCTION("""COMPUTED_VALUE"""),"KC9422")</f>
        <v>KC9422</v>
      </c>
      <c r="M1838" s="133"/>
      <c r="N1838" s="133"/>
      <c r="O1838" s="133"/>
      <c r="P1838" s="133"/>
      <c r="Q1838" s="133"/>
      <c r="R1838" s="133"/>
      <c r="S1838" s="133"/>
      <c r="T1838" s="133"/>
      <c r="U1838" s="133"/>
      <c r="V1838" s="133"/>
      <c r="W1838" s="133"/>
      <c r="X1838" s="133"/>
      <c r="Y1838" s="133"/>
      <c r="Z1838" s="133"/>
    </row>
    <row r="1839">
      <c r="A1839" s="133">
        <f>IFERROR(__xludf.DUMMYFUNCTION("""COMPUTED_VALUE"""),1840.0)</f>
        <v>1840</v>
      </c>
      <c r="B1839" s="133" t="str">
        <f>IFERROR(__xludf.DUMMYFUNCTION("""COMPUTED_VALUE"""),"KC9415")</f>
        <v>KC9415</v>
      </c>
      <c r="C1839" s="133" t="str">
        <f>IFERROR(__xludf.DUMMYFUNCTION("""COMPUTED_VALUE"""),"P-1-N-291220-5177")</f>
        <v>P-1-N-291220-5177</v>
      </c>
      <c r="D1839" s="133"/>
      <c r="E1839" s="133" t="str">
        <f>IFERROR(__xludf.DUMMYFUNCTION("""COMPUTED_VALUE"""),"تمت طباعة الشهادة")</f>
        <v>تمت طباعة الشهادة</v>
      </c>
      <c r="F1839" s="133" t="str">
        <f>IFERROR(__xludf.DUMMYFUNCTION("""COMPUTED_VALUE"""),"Kit Cat Classic 32 5kg")</f>
        <v>Kit Cat Classic 32 5kg</v>
      </c>
      <c r="G1839" s="133" t="str">
        <f>IFERROR(__xludf.DUMMYFUNCTION("""COMPUTED_VALUE"""),"كيت كات كلاسيك 32 5 كجم")</f>
        <v>كيت كات كلاسيك 32 5 كجم</v>
      </c>
      <c r="H1839" s="133" t="str">
        <f>IFERROR(__xludf.DUMMYFUNCTION("""COMPUTED_VALUE"""),"MAFE20202568")</f>
        <v>MAFE20202568</v>
      </c>
      <c r="I1839" s="133"/>
      <c r="J1839" s="133"/>
      <c r="K1839" s="133" t="str">
        <f>IFERROR(__xludf.DUMMYFUNCTION("""COMPUTED_VALUE"""),"شركة نوتريكس العامة المحدودة")</f>
        <v>شركة نوتريكس العامة المحدودة</v>
      </c>
      <c r="L1839" s="142" t="str">
        <f>IFERROR(__xludf.DUMMYFUNCTION("""COMPUTED_VALUE"""),"KC9415")</f>
        <v>KC9415</v>
      </c>
      <c r="M1839" s="133"/>
      <c r="N1839" s="133"/>
      <c r="O1839" s="133"/>
      <c r="P1839" s="133"/>
      <c r="Q1839" s="133"/>
      <c r="R1839" s="133"/>
      <c r="S1839" s="133"/>
      <c r="T1839" s="133"/>
      <c r="U1839" s="133"/>
      <c r="V1839" s="133"/>
      <c r="W1839" s="133"/>
      <c r="X1839" s="133"/>
      <c r="Y1839" s="133"/>
      <c r="Z1839" s="133"/>
    </row>
    <row r="1840">
      <c r="A1840" s="133">
        <f>IFERROR(__xludf.DUMMYFUNCTION("""COMPUTED_VALUE"""),1841.0)</f>
        <v>1841</v>
      </c>
      <c r="B1840" s="133" t="str">
        <f>IFERROR(__xludf.DUMMYFUNCTION("""COMPUTED_VALUE"""),"KC9477")</f>
        <v>KC9477</v>
      </c>
      <c r="C1840" s="133" t="str">
        <f>IFERROR(__xludf.DUMMYFUNCTION("""COMPUTED_VALUE"""),"P-1-N-291220-5178")</f>
        <v>P-1-N-291220-5178</v>
      </c>
      <c r="D1840" s="133"/>
      <c r="E1840" s="133" t="str">
        <f>IFERROR(__xludf.DUMMYFUNCTION("""COMPUTED_VALUE"""),"تمت طباعة الشهادة")</f>
        <v>تمت طباعة الشهادة</v>
      </c>
      <c r="F1840" s="133" t="str">
        <f>IFERROR(__xludf.DUMMYFUNCTION("""COMPUTED_VALUE"""),"Kit Cat Classic 32 15kg")</f>
        <v>Kit Cat Classic 32 15kg</v>
      </c>
      <c r="G1840" s="133" t="str">
        <f>IFERROR(__xludf.DUMMYFUNCTION("""COMPUTED_VALUE"""),"كيت كات كلاسيك 32 15 كجم")</f>
        <v>كيت كات كلاسيك 32 15 كجم</v>
      </c>
      <c r="H1840" s="133" t="str">
        <f>IFERROR(__xludf.DUMMYFUNCTION("""COMPUTED_VALUE"""),"MAFE20202567")</f>
        <v>MAFE20202567</v>
      </c>
      <c r="I1840" s="133"/>
      <c r="J1840" s="133"/>
      <c r="K1840" s="133" t="str">
        <f>IFERROR(__xludf.DUMMYFUNCTION("""COMPUTED_VALUE"""),"شركة نوتريكس العامة المحدودة")</f>
        <v>شركة نوتريكس العامة المحدودة</v>
      </c>
      <c r="L1840" s="142" t="str">
        <f>IFERROR(__xludf.DUMMYFUNCTION("""COMPUTED_VALUE"""),"KC9477")</f>
        <v>KC9477</v>
      </c>
      <c r="M1840" s="133"/>
      <c r="N1840" s="133"/>
      <c r="O1840" s="133"/>
      <c r="P1840" s="133"/>
      <c r="Q1840" s="133"/>
      <c r="R1840" s="133"/>
      <c r="S1840" s="133"/>
      <c r="T1840" s="133"/>
      <c r="U1840" s="133"/>
      <c r="V1840" s="133"/>
      <c r="W1840" s="133"/>
      <c r="X1840" s="133"/>
      <c r="Y1840" s="133"/>
      <c r="Z1840" s="133"/>
    </row>
    <row r="1841">
      <c r="A1841" s="133">
        <f>IFERROR(__xludf.DUMMYFUNCTION("""COMPUTED_VALUE"""),1842.0)</f>
        <v>1842</v>
      </c>
      <c r="B1841" s="133" t="str">
        <f>IFERROR(__xludf.DUMMYFUNCTION("""COMPUTED_VALUE"""),"KC9453")</f>
        <v>KC9453</v>
      </c>
      <c r="C1841" s="133" t="str">
        <f>IFERROR(__xludf.DUMMYFUNCTION("""COMPUTED_VALUE"""),"P-1-N-291220-5179")</f>
        <v>P-1-N-291220-5179</v>
      </c>
      <c r="D1841" s="133"/>
      <c r="E1841" s="133" t="str">
        <f>IFERROR(__xludf.DUMMYFUNCTION("""COMPUTED_VALUE"""),"تمت طباعة الشهادة")</f>
        <v>تمت طباعة الشهادة</v>
      </c>
      <c r="F1841" s="133" t="str">
        <f>IFERROR(__xludf.DUMMYFUNCTION("""COMPUTED_VALUE"""),"Kit Cat Fillet ‘O’ Flakes 5kg")</f>
        <v>Kit Cat Fillet ‘O’ Flakes 5kg</v>
      </c>
      <c r="G1841" s="133" t="str">
        <f>IFERROR(__xludf.DUMMYFUNCTION("""COMPUTED_VALUE"""),"كيت كات فيليه 'او' فلاكس 5 كجم")</f>
        <v>كيت كات فيليه 'او' فلاكس 5 كجم</v>
      </c>
      <c r="H1841" s="133" t="str">
        <f>IFERROR(__xludf.DUMMYFUNCTION("""COMPUTED_VALUE"""),"MAFE20202566")</f>
        <v>MAFE20202566</v>
      </c>
      <c r="I1841" s="133"/>
      <c r="J1841" s="133"/>
      <c r="K1841" s="133" t="str">
        <f>IFERROR(__xludf.DUMMYFUNCTION("""COMPUTED_VALUE"""),"شركة نوتريكس العامة المحدودة")</f>
        <v>شركة نوتريكس العامة المحدودة</v>
      </c>
      <c r="L1841" s="142" t="str">
        <f>IFERROR(__xludf.DUMMYFUNCTION("""COMPUTED_VALUE"""),"KC9453")</f>
        <v>KC9453</v>
      </c>
      <c r="M1841" s="133"/>
      <c r="N1841" s="133"/>
      <c r="O1841" s="133"/>
      <c r="P1841" s="133"/>
      <c r="Q1841" s="133"/>
      <c r="R1841" s="133"/>
      <c r="S1841" s="133"/>
      <c r="T1841" s="133"/>
      <c r="U1841" s="133"/>
      <c r="V1841" s="133"/>
      <c r="W1841" s="133"/>
      <c r="X1841" s="133"/>
      <c r="Y1841" s="133"/>
      <c r="Z1841" s="133"/>
    </row>
    <row r="1842">
      <c r="A1842" s="133">
        <f>IFERROR(__xludf.DUMMYFUNCTION("""COMPUTED_VALUE"""),1843.0)</f>
        <v>1843</v>
      </c>
      <c r="B1842" s="133" t="str">
        <f>IFERROR(__xludf.DUMMYFUNCTION("""COMPUTED_VALUE"""),"KC9446")</f>
        <v>KC9446</v>
      </c>
      <c r="C1842" s="133" t="str">
        <f>IFERROR(__xludf.DUMMYFUNCTION("""COMPUTED_VALUE"""),"P-1-N-291220-5181")</f>
        <v>P-1-N-291220-5181</v>
      </c>
      <c r="D1842" s="133"/>
      <c r="E1842" s="133" t="str">
        <f>IFERROR(__xludf.DUMMYFUNCTION("""COMPUTED_VALUE"""),"تمت طباعة الشهادة")</f>
        <v>تمت طباعة الشهادة</v>
      </c>
      <c r="F1842" s="133" t="str">
        <f>IFERROR(__xludf.DUMMYFUNCTION("""COMPUTED_VALUE"""),"Kit Cat Mini Fish Medley 5kg")</f>
        <v>Kit Cat Mini Fish Medley 5kg</v>
      </c>
      <c r="G1842" s="133" t="str">
        <f>IFERROR(__xludf.DUMMYFUNCTION("""COMPUTED_VALUE"""),"كيت كات ميني فيش ميدلي 5 كجم")</f>
        <v>كيت كات ميني فيش ميدلي 5 كجم</v>
      </c>
      <c r="H1842" s="133" t="str">
        <f>IFERROR(__xludf.DUMMYFUNCTION("""COMPUTED_VALUE"""),"MAFE20202565")</f>
        <v>MAFE20202565</v>
      </c>
      <c r="I1842" s="133"/>
      <c r="J1842" s="133"/>
      <c r="K1842" s="133" t="str">
        <f>IFERROR(__xludf.DUMMYFUNCTION("""COMPUTED_VALUE"""),"شركة نوتريكس العامة المحدودة")</f>
        <v>شركة نوتريكس العامة المحدودة</v>
      </c>
      <c r="L1842" s="142" t="str">
        <f>IFERROR(__xludf.DUMMYFUNCTION("""COMPUTED_VALUE"""),"KC9446")</f>
        <v>KC9446</v>
      </c>
      <c r="M1842" s="133"/>
      <c r="N1842" s="133"/>
      <c r="O1842" s="133"/>
      <c r="P1842" s="133"/>
      <c r="Q1842" s="133"/>
      <c r="R1842" s="133"/>
      <c r="S1842" s="133"/>
      <c r="T1842" s="133"/>
      <c r="U1842" s="133"/>
      <c r="V1842" s="133"/>
      <c r="W1842" s="133"/>
      <c r="X1842" s="133"/>
      <c r="Y1842" s="133"/>
      <c r="Z1842" s="133"/>
    </row>
    <row r="1843">
      <c r="A1843" s="133">
        <f>IFERROR(__xludf.DUMMYFUNCTION("""COMPUTED_VALUE"""),1844.0)</f>
        <v>1844</v>
      </c>
      <c r="B1843" s="133" t="str">
        <f>IFERROR(__xludf.DUMMYFUNCTION("""COMPUTED_VALUE"""),"KC9484")</f>
        <v>KC9484</v>
      </c>
      <c r="C1843" s="133" t="str">
        <f>IFERROR(__xludf.DUMMYFUNCTION("""COMPUTED_VALUE"""),"P-1-N-291220-5183")</f>
        <v>P-1-N-291220-5183</v>
      </c>
      <c r="D1843" s="133"/>
      <c r="E1843" s="133" t="str">
        <f>IFERROR(__xludf.DUMMYFUNCTION("""COMPUTED_VALUE"""),"تمت طباعة الشهادة")</f>
        <v>تمت طباعة الشهادة</v>
      </c>
      <c r="F1843" s="133" t="str">
        <f>IFERROR(__xludf.DUMMYFUNCTION("""COMPUTED_VALUE"""),"Kit Cat Pick of the Ocean 15kg")</f>
        <v>Kit Cat Pick of the Ocean 15kg</v>
      </c>
      <c r="G1843" s="133" t="str">
        <f>IFERROR(__xludf.DUMMYFUNCTION("""COMPUTED_VALUE"""),"كيت كات بيك اوف ذا اوشن 15 كجم")</f>
        <v>كيت كات بيك اوف ذا اوشن 15 كجم</v>
      </c>
      <c r="H1843" s="133" t="str">
        <f>IFERROR(__xludf.DUMMYFUNCTION("""COMPUTED_VALUE"""),"MAFE20202563")</f>
        <v>MAFE20202563</v>
      </c>
      <c r="I1843" s="133"/>
      <c r="J1843" s="133"/>
      <c r="K1843" s="133" t="str">
        <f>IFERROR(__xludf.DUMMYFUNCTION("""COMPUTED_VALUE"""),"شركة")</f>
        <v>شركة</v>
      </c>
      <c r="L1843" s="142" t="str">
        <f>IFERROR(__xludf.DUMMYFUNCTION("""COMPUTED_VALUE"""),"KC9484")</f>
        <v>KC9484</v>
      </c>
      <c r="M1843" s="133"/>
      <c r="N1843" s="133"/>
      <c r="O1843" s="133"/>
      <c r="P1843" s="133"/>
      <c r="Q1843" s="133"/>
      <c r="R1843" s="133"/>
      <c r="S1843" s="133"/>
      <c r="T1843" s="133"/>
      <c r="U1843" s="133"/>
      <c r="V1843" s="133"/>
      <c r="W1843" s="133"/>
      <c r="X1843" s="133"/>
      <c r="Y1843" s="133"/>
      <c r="Z1843" s="133"/>
    </row>
    <row r="1844">
      <c r="A1844" s="133">
        <f>IFERROR(__xludf.DUMMYFUNCTION("""COMPUTED_VALUE"""),1845.0)</f>
        <v>1845</v>
      </c>
      <c r="B1844" s="133" t="str">
        <f>IFERROR(__xludf.DUMMYFUNCTION("""COMPUTED_VALUE"""),"KC9361")</f>
        <v>KC9361</v>
      </c>
      <c r="C1844" s="133" t="str">
        <f>IFERROR(__xludf.DUMMYFUNCTION("""COMPUTED_VALUE"""),"P-1-N-291220-5184")</f>
        <v>P-1-N-291220-5184</v>
      </c>
      <c r="D1844" s="133"/>
      <c r="E1844" s="133" t="str">
        <f>IFERROR(__xludf.DUMMYFUNCTION("""COMPUTED_VALUE"""),"تمت طباعة الشهادة")</f>
        <v>تمت طباعة الشهادة</v>
      </c>
      <c r="F1844" s="133" t="str">
        <f>IFERROR(__xludf.DUMMYFUNCTION("""COMPUTED_VALUE"""),"Kit Cat Dry Food - Kittens &amp; Pregnant Cat 1.2kg")</f>
        <v>Kit Cat Dry Food - Kittens &amp; Pregnant Cat 1.2kg</v>
      </c>
      <c r="G1844" s="133" t="str">
        <f>IFERROR(__xludf.DUMMYFUNCTION("""COMPUTED_VALUE"""),"كيت كات طعام جاف - للقطط الصغيرة والقطط الحامل 1.2 كجم")</f>
        <v>كيت كات طعام جاف - للقطط الصغيرة والقطط الحامل 1.2 كجم</v>
      </c>
      <c r="H1844" s="133" t="str">
        <f>IFERROR(__xludf.DUMMYFUNCTION("""COMPUTED_VALUE"""),"MAFE2021396")</f>
        <v>MAFE2021396</v>
      </c>
      <c r="I1844" s="133"/>
      <c r="J1844" s="133"/>
      <c r="K1844" s="133" t="str">
        <f>IFERROR(__xludf.DUMMYFUNCTION("""COMPUTED_VALUE"""),"شركة نوتريكس العامة المحدودة")</f>
        <v>شركة نوتريكس العامة المحدودة</v>
      </c>
      <c r="L1844" s="142" t="str">
        <f>IFERROR(__xludf.DUMMYFUNCTION("""COMPUTED_VALUE"""),"KC9361")</f>
        <v>KC9361</v>
      </c>
      <c r="M1844" s="133"/>
      <c r="N1844" s="133"/>
      <c r="O1844" s="133"/>
      <c r="P1844" s="133"/>
      <c r="Q1844" s="133"/>
      <c r="R1844" s="133"/>
      <c r="S1844" s="133"/>
      <c r="T1844" s="133"/>
      <c r="U1844" s="133"/>
      <c r="V1844" s="133"/>
      <c r="W1844" s="133"/>
      <c r="X1844" s="133"/>
      <c r="Y1844" s="133"/>
      <c r="Z1844" s="133"/>
    </row>
    <row r="1845">
      <c r="A1845" s="133">
        <f>IFERROR(__xludf.DUMMYFUNCTION("""COMPUTED_VALUE"""),1846.0)</f>
        <v>1846</v>
      </c>
      <c r="B1845" s="133" t="str">
        <f>IFERROR(__xludf.DUMMYFUNCTION("""COMPUTED_VALUE"""),"KC9521")</f>
        <v>KC9521</v>
      </c>
      <c r="C1845" s="133" t="str">
        <f>IFERROR(__xludf.DUMMYFUNCTION("""COMPUTED_VALUE"""),"P-1-N-291220-5185")</f>
        <v>P-1-N-291220-5185</v>
      </c>
      <c r="D1845" s="133"/>
      <c r="E1845" s="133" t="str">
        <f>IFERROR(__xludf.DUMMYFUNCTION("""COMPUTED_VALUE"""),"تمت طباعة الشهادة")</f>
        <v>تمت طباعة الشهادة</v>
      </c>
      <c r="F1845" s="133" t="str">
        <f>IFERROR(__xludf.DUMMYFUNCTION("""COMPUTED_VALUE"""),"Kit Cat Dry Food - Kittens &amp; Pregnant Cat 5kg")</f>
        <v>Kit Cat Dry Food - Kittens &amp; Pregnant Cat 5kg</v>
      </c>
      <c r="G1845" s="133" t="str">
        <f>IFERROR(__xludf.DUMMYFUNCTION("""COMPUTED_VALUE"""),"كيت")</f>
        <v>كيت</v>
      </c>
      <c r="H1845" s="133" t="str">
        <f>IFERROR(__xludf.DUMMYFUNCTION("""COMPUTED_VALUE"""),"MAFE20202562")</f>
        <v>MAFE20202562</v>
      </c>
      <c r="I1845" s="133"/>
      <c r="J1845" s="133"/>
      <c r="K1845" s="133" t="str">
        <f>IFERROR(__xludf.DUMMYFUNCTION("""COMPUTED_VALUE"""),"شركة نوتريكس العامة المحدودة")</f>
        <v>شركة نوتريكس العامة المحدودة</v>
      </c>
      <c r="L1845" s="142" t="str">
        <f>IFERROR(__xludf.DUMMYFUNCTION("""COMPUTED_VALUE"""),"KC9521")</f>
        <v>KC9521</v>
      </c>
      <c r="M1845" s="133"/>
      <c r="N1845" s="133"/>
      <c r="O1845" s="133"/>
      <c r="P1845" s="133"/>
      <c r="Q1845" s="133"/>
      <c r="R1845" s="133"/>
      <c r="S1845" s="133"/>
      <c r="T1845" s="133"/>
      <c r="U1845" s="133"/>
      <c r="V1845" s="133"/>
      <c r="W1845" s="133"/>
      <c r="X1845" s="133"/>
      <c r="Y1845" s="133"/>
      <c r="Z1845" s="133"/>
    </row>
    <row r="1846">
      <c r="A1846" s="133">
        <f>IFERROR(__xludf.DUMMYFUNCTION("""COMPUTED_VALUE"""),1847.0)</f>
        <v>1847</v>
      </c>
      <c r="B1846" s="133" t="str">
        <f>IFERROR(__xludf.DUMMYFUNCTION("""COMPUTED_VALUE"""),"KC2521")</f>
        <v>KC2521</v>
      </c>
      <c r="C1846" s="133" t="str">
        <f>IFERROR(__xludf.DUMMYFUNCTION("""COMPUTED_VALUE"""),"P-1-N-190121-247")</f>
        <v>P-1-N-190121-247</v>
      </c>
      <c r="D1846" s="133"/>
      <c r="E1846" s="133" t="str">
        <f>IFERROR(__xludf.DUMMYFUNCTION("""COMPUTED_VALUE"""),"تمت طباعة الشهادة")</f>
        <v>تمت طباعة الشهادة</v>
      </c>
      <c r="F1846" s="133" t="str">
        <f>IFERROR(__xludf.DUMMYFUNCTION("""COMPUTED_VALUE"""),"Kitcat Milk for Kittens 250ml")</f>
        <v>Kitcat Milk for Kittens 250ml</v>
      </c>
      <c r="G1846" s="133" t="str">
        <f>IFERROR(__xludf.DUMMYFUNCTION("""COMPUTED_VALUE"""),"كت")</f>
        <v>كت</v>
      </c>
      <c r="H1846" s="133" t="str">
        <f>IFERROR(__xludf.DUMMYFUNCTION("""COMPUTED_VALUE"""),"MAFE2021192")</f>
        <v>MAFE2021192</v>
      </c>
      <c r="I1846" s="133"/>
      <c r="J1846" s="133"/>
      <c r="K1846" s="133" t="str">
        <f>IFERROR(__xludf.DUMMYFUNCTION("""COMPUTED_VALUE"""),"ليملكو ان في")</f>
        <v>ليملكو ان في</v>
      </c>
      <c r="L1846" s="142" t="str">
        <f>IFERROR(__xludf.DUMMYFUNCTION("""COMPUTED_VALUE"""),"KC2521")</f>
        <v>KC2521</v>
      </c>
      <c r="M1846" s="133"/>
      <c r="N1846" s="133"/>
      <c r="O1846" s="133"/>
      <c r="P1846" s="133"/>
      <c r="Q1846" s="133"/>
      <c r="R1846" s="133"/>
      <c r="S1846" s="133"/>
      <c r="T1846" s="133"/>
      <c r="U1846" s="133"/>
      <c r="V1846" s="133"/>
      <c r="W1846" s="133"/>
      <c r="X1846" s="133"/>
      <c r="Y1846" s="133"/>
      <c r="Z1846" s="133"/>
    </row>
    <row r="1847">
      <c r="A1847" s="133">
        <f>IFERROR(__xludf.DUMMYFUNCTION("""COMPUTED_VALUE"""),1848.0)</f>
        <v>1848</v>
      </c>
      <c r="B1847" s="133" t="str">
        <f>IFERROR(__xludf.DUMMYFUNCTION("""COMPUTED_VALUE"""),"KC426")</f>
        <v>KC426</v>
      </c>
      <c r="C1847" s="133" t="str">
        <f>IFERROR(__xludf.DUMMYFUNCTION("""COMPUTED_VALUE"""),"P-1-N-100221-609")</f>
        <v>P-1-N-100221-609</v>
      </c>
      <c r="D1847" s="133"/>
      <c r="E1847" s="133" t="str">
        <f>IFERROR(__xludf.DUMMYFUNCTION("""COMPUTED_VALUE"""),"تمت طباعة الشهادة")</f>
        <v>تمت طباعة الشهادة</v>
      </c>
      <c r="F1847" s="133" t="str">
        <f>IFERROR(__xludf.DUMMYFUNCTION("""COMPUTED_VALUE"""),"Kit Cat Kitten Mousse ")</f>
        <v>Kit Cat Kitten Mousse </v>
      </c>
      <c r="G1847" s="133" t="str">
        <f>IFERROR(__xludf.DUMMYFUNCTION("""COMPUTED_VALUE"""),"كيت كات موس للقطط الصغيرة 400 جم")</f>
        <v>كيت كات موس للقطط الصغيرة 400 جم</v>
      </c>
      <c r="H1847" s="133" t="str">
        <f>IFERROR(__xludf.DUMMYFUNCTION("""COMPUTED_VALUE"""),"MAFE2021562")</f>
        <v>MAFE2021562</v>
      </c>
      <c r="I1847" s="133"/>
      <c r="J1847" s="143">
        <f>IFERROR(__xludf.DUMMYFUNCTION("""COMPUTED_VALUE"""),46075.0)</f>
        <v>46075</v>
      </c>
      <c r="K1847" s="133" t="str">
        <f>IFERROR(__xludf.DUMMYFUNCTION("""COMPUTED_VALUE"""),"شركة سيام للأغذية العالمية المحدودة")</f>
        <v>شركة سيام للأغذية العالمية المحدودة</v>
      </c>
      <c r="L1847" s="142" t="str">
        <f>IFERROR(__xludf.DUMMYFUNCTION("""COMPUTED_VALUE"""),"KC426")</f>
        <v>KC426</v>
      </c>
      <c r="M1847" s="133"/>
      <c r="N1847" s="133"/>
      <c r="O1847" s="133"/>
      <c r="P1847" s="133"/>
      <c r="Q1847" s="133"/>
      <c r="R1847" s="133"/>
      <c r="S1847" s="133"/>
      <c r="T1847" s="133"/>
      <c r="U1847" s="133"/>
      <c r="V1847" s="133"/>
      <c r="W1847" s="133"/>
      <c r="X1847" s="133"/>
      <c r="Y1847" s="133"/>
      <c r="Z1847" s="133"/>
    </row>
    <row r="1848">
      <c r="A1848" s="133">
        <f>IFERROR(__xludf.DUMMYFUNCTION("""COMPUTED_VALUE"""),1849.0)</f>
        <v>1849</v>
      </c>
      <c r="B1848" s="133" t="str">
        <f>IFERROR(__xludf.DUMMYFUNCTION("""COMPUTED_VALUE"""),"KC419")</f>
        <v>KC419</v>
      </c>
      <c r="C1848" s="133" t="str">
        <f>IFERROR(__xludf.DUMMYFUNCTION("""COMPUTED_VALUE"""),"P-1-N-100221-610")</f>
        <v>P-1-N-100221-610</v>
      </c>
      <c r="D1848" s="133"/>
      <c r="E1848" s="133" t="str">
        <f>IFERROR(__xludf.DUMMYFUNCTION("""COMPUTED_VALUE"""),"تمت طباعة الشهادة")</f>
        <v>تمت طباعة الشهادة</v>
      </c>
      <c r="F1848" s="133" t="str">
        <f>IFERROR(__xludf.DUMMYFUNCTION("""COMPUTED_VALUE"""),"Kit Cat Atlantic Tuna with Crab ")</f>
        <v>Kit Cat Atlantic Tuna with Crab </v>
      </c>
      <c r="G1848" s="133" t="str">
        <f>IFERROR(__xludf.DUMMYFUNCTION("""COMPUTED_VALUE"""),"كيت كات اتلانتيك تونة مع الكابوريا 400 جم")</f>
        <v>كيت كات اتلانتيك تونة مع الكابوريا 400 جم</v>
      </c>
      <c r="H1848" s="133" t="str">
        <f>IFERROR(__xludf.DUMMYFUNCTION("""COMPUTED_VALUE"""),"MAFE2021561")</f>
        <v>MAFE2021561</v>
      </c>
      <c r="I1848" s="133"/>
      <c r="J1848" s="143">
        <f>IFERROR(__xludf.DUMMYFUNCTION("""COMPUTED_VALUE"""),46075.0)</f>
        <v>46075</v>
      </c>
      <c r="K1848" s="133" t="str">
        <f>IFERROR(__xludf.DUMMYFUNCTION("""COMPUTED_VALUE"""),"شركة سيام للأغذية العالمية المحدودة")</f>
        <v>شركة سيام للأغذية العالمية المحدودة</v>
      </c>
      <c r="L1848" s="142" t="str">
        <f>IFERROR(__xludf.DUMMYFUNCTION("""COMPUTED_VALUE"""),"KC419")</f>
        <v>KC419</v>
      </c>
      <c r="M1848" s="133"/>
      <c r="N1848" s="133"/>
      <c r="O1848" s="133"/>
      <c r="P1848" s="133"/>
      <c r="Q1848" s="133"/>
      <c r="R1848" s="133"/>
      <c r="S1848" s="133"/>
      <c r="T1848" s="133"/>
      <c r="U1848" s="133"/>
      <c r="V1848" s="133"/>
      <c r="W1848" s="133"/>
      <c r="X1848" s="133"/>
      <c r="Y1848" s="133"/>
      <c r="Z1848" s="133"/>
    </row>
    <row r="1849">
      <c r="A1849" s="133">
        <f>IFERROR(__xludf.DUMMYFUNCTION("""COMPUTED_VALUE"""),1850.0)</f>
        <v>1850</v>
      </c>
      <c r="B1849" s="133" t="str">
        <f>IFERROR(__xludf.DUMMYFUNCTION("""COMPUTED_VALUE"""),"KC433")</f>
        <v>KC433</v>
      </c>
      <c r="C1849" s="133" t="str">
        <f>IFERROR(__xludf.DUMMYFUNCTION("""COMPUTED_VALUE"""),"P-1-N-100221-611")</f>
        <v>P-1-N-100221-611</v>
      </c>
      <c r="D1849" s="133"/>
      <c r="E1849" s="133" t="str">
        <f>IFERROR(__xludf.DUMMYFUNCTION("""COMPUTED_VALUE"""),"تمت طباعة الشهادة")</f>
        <v>تمت طباعة الشهادة</v>
      </c>
      <c r="F1849" s="133" t="str">
        <f>IFERROR(__xludf.DUMMYFUNCTION("""COMPUTED_VALUE"""),"Kit Cat Tuna with Mackerel ")</f>
        <v>Kit Cat Tuna with Mackerel </v>
      </c>
      <c r="G1849" s="133" t="str">
        <f>IFERROR(__xludf.DUMMYFUNCTION("""COMPUTED_VALUE"""),"كيت كات تونة مع الماكريل 400 جم")</f>
        <v>كيت كات تونة مع الماكريل 400 جم</v>
      </c>
      <c r="H1849" s="133" t="str">
        <f>IFERROR(__xludf.DUMMYFUNCTION("""COMPUTED_VALUE"""),"MAFE2021560")</f>
        <v>MAFE2021560</v>
      </c>
      <c r="I1849" s="133"/>
      <c r="J1849" s="143">
        <f>IFERROR(__xludf.DUMMYFUNCTION("""COMPUTED_VALUE"""),46075.0)</f>
        <v>46075</v>
      </c>
      <c r="K1849" s="133" t="str">
        <f>IFERROR(__xludf.DUMMYFUNCTION("""COMPUTED_VALUE"""),"شركة سيام للأغذية العالمية المحدودة")</f>
        <v>شركة سيام للأغذية العالمية المحدودة</v>
      </c>
      <c r="L1849" s="142" t="str">
        <f>IFERROR(__xludf.DUMMYFUNCTION("""COMPUTED_VALUE"""),"KC433")</f>
        <v>KC433</v>
      </c>
      <c r="M1849" s="133"/>
      <c r="N1849" s="133"/>
      <c r="O1849" s="133"/>
      <c r="P1849" s="133"/>
      <c r="Q1849" s="133"/>
      <c r="R1849" s="133"/>
      <c r="S1849" s="133"/>
      <c r="T1849" s="133"/>
      <c r="U1849" s="133"/>
      <c r="V1849" s="133"/>
      <c r="W1849" s="133"/>
      <c r="X1849" s="133"/>
      <c r="Y1849" s="133"/>
      <c r="Z1849" s="133"/>
    </row>
    <row r="1850">
      <c r="A1850" s="133">
        <f>IFERROR(__xludf.DUMMYFUNCTION("""COMPUTED_VALUE"""),1851.0)</f>
        <v>1851</v>
      </c>
      <c r="B1850" s="133" t="str">
        <f>IFERROR(__xludf.DUMMYFUNCTION("""COMPUTED_VALUE"""),"KC440")</f>
        <v>KC440</v>
      </c>
      <c r="C1850" s="133" t="str">
        <f>IFERROR(__xludf.DUMMYFUNCTION("""COMPUTED_VALUE"""),"P-1-N-100221-612")</f>
        <v>P-1-N-100221-612</v>
      </c>
      <c r="D1850" s="133"/>
      <c r="E1850" s="133" t="str">
        <f>IFERROR(__xludf.DUMMYFUNCTION("""COMPUTED_VALUE"""),"تمت طباعة الشهادة")</f>
        <v>تمت طباعة الشهادة</v>
      </c>
      <c r="F1850" s="133" t="str">
        <f>IFERROR(__xludf.DUMMYFUNCTION("""COMPUTED_VALUE"""),"Kit Cat Tuna with Prawn ")</f>
        <v>Kit Cat Tuna with Prawn </v>
      </c>
      <c r="G1850" s="133" t="str">
        <f>IFERROR(__xludf.DUMMYFUNCTION("""COMPUTED_VALUE"""),"كيت كات تونة مع الروبيان 400 جم")</f>
        <v>كيت كات تونة مع الروبيان 400 جم</v>
      </c>
      <c r="H1850" s="133" t="str">
        <f>IFERROR(__xludf.DUMMYFUNCTION("""COMPUTED_VALUE"""),"MAFE2021559")</f>
        <v>MAFE2021559</v>
      </c>
      <c r="I1850" s="133"/>
      <c r="J1850" s="143">
        <f>IFERROR(__xludf.DUMMYFUNCTION("""COMPUTED_VALUE"""),46075.0)</f>
        <v>46075</v>
      </c>
      <c r="K1850" s="133" t="str">
        <f>IFERROR(__xludf.DUMMYFUNCTION("""COMPUTED_VALUE"""),"شركة سيام للأغذية العالمية المحدودة")</f>
        <v>شركة سيام للأغذية العالمية المحدودة</v>
      </c>
      <c r="L1850" s="142" t="str">
        <f>IFERROR(__xludf.DUMMYFUNCTION("""COMPUTED_VALUE"""),"KC440")</f>
        <v>KC440</v>
      </c>
      <c r="M1850" s="133"/>
      <c r="N1850" s="133"/>
      <c r="O1850" s="133"/>
      <c r="P1850" s="133"/>
      <c r="Q1850" s="133"/>
      <c r="R1850" s="133"/>
      <c r="S1850" s="133"/>
      <c r="T1850" s="133"/>
      <c r="U1850" s="133"/>
      <c r="V1850" s="133"/>
      <c r="W1850" s="133"/>
      <c r="X1850" s="133"/>
      <c r="Y1850" s="133"/>
      <c r="Z1850" s="133"/>
    </row>
    <row r="1851">
      <c r="A1851" s="133">
        <f>IFERROR(__xludf.DUMMYFUNCTION("""COMPUTED_VALUE"""),1852.0)</f>
        <v>1852</v>
      </c>
      <c r="B1851" s="133" t="str">
        <f>IFERROR(__xludf.DUMMYFUNCTION("""COMPUTED_VALUE"""),"KC464")</f>
        <v>KC464</v>
      </c>
      <c r="C1851" s="133" t="str">
        <f>IFERROR(__xludf.DUMMYFUNCTION("""COMPUTED_VALUE"""),"P-1-N-100221-614")</f>
        <v>P-1-N-100221-614</v>
      </c>
      <c r="D1851" s="133"/>
      <c r="E1851" s="133" t="str">
        <f>IFERROR(__xludf.DUMMYFUNCTION("""COMPUTED_VALUE"""),"تمت طباعة الشهادة")</f>
        <v>تمت طباعة الشهادة</v>
      </c>
      <c r="F1851" s="133" t="str">
        <f>IFERROR(__xludf.DUMMYFUNCTION("""COMPUTED_VALUE"""),"Kit Cat Tuna with Whitebait ")</f>
        <v>Kit Cat Tuna with Whitebait </v>
      </c>
      <c r="G1851" s="133" t="str">
        <f>IFERROR(__xludf.DUMMYFUNCTION("""COMPUTED_VALUE"""),"كيت كات تونة مع سمك وايتبيت 400 جم")</f>
        <v>كيت كات تونة مع سمك وايتبيت 400 جم</v>
      </c>
      <c r="H1851" s="133" t="str">
        <f>IFERROR(__xludf.DUMMYFUNCTION("""COMPUTED_VALUE"""),"MAFE2021557")</f>
        <v>MAFE2021557</v>
      </c>
      <c r="I1851" s="133"/>
      <c r="J1851" s="143">
        <f>IFERROR(__xludf.DUMMYFUNCTION("""COMPUTED_VALUE"""),46075.0)</f>
        <v>46075</v>
      </c>
      <c r="K1851" s="133" t="str">
        <f>IFERROR(__xludf.DUMMYFUNCTION("""COMPUTED_VALUE"""),"شركة")</f>
        <v>شركة</v>
      </c>
      <c r="L1851" s="142" t="str">
        <f>IFERROR(__xludf.DUMMYFUNCTION("""COMPUTED_VALUE"""),"KC464")</f>
        <v>KC464</v>
      </c>
      <c r="M1851" s="133"/>
      <c r="N1851" s="133"/>
      <c r="O1851" s="133"/>
      <c r="P1851" s="133"/>
      <c r="Q1851" s="133"/>
      <c r="R1851" s="133"/>
      <c r="S1851" s="133"/>
      <c r="T1851" s="133"/>
      <c r="U1851" s="133"/>
      <c r="V1851" s="133"/>
      <c r="W1851" s="133"/>
      <c r="X1851" s="133"/>
      <c r="Y1851" s="133"/>
      <c r="Z1851" s="133"/>
    </row>
    <row r="1852">
      <c r="A1852" s="133">
        <f>IFERROR(__xludf.DUMMYFUNCTION("""COMPUTED_VALUE"""),1853.0)</f>
        <v>1853</v>
      </c>
      <c r="B1852" s="133" t="str">
        <f>IFERROR(__xludf.DUMMYFUNCTION("""COMPUTED_VALUE"""),"KC2494")</f>
        <v>KC2494</v>
      </c>
      <c r="C1852" s="133" t="str">
        <f>IFERROR(__xludf.DUMMYFUNCTION("""COMPUTED_VALUE"""),"P-1-N-100221-615")</f>
        <v>P-1-N-100221-615</v>
      </c>
      <c r="D1852" s="133"/>
      <c r="E1852" s="133" t="str">
        <f>IFERROR(__xludf.DUMMYFUNCTION("""COMPUTED_VALUE"""),"تمت طباعة الشهادة")</f>
        <v>تمت طباعة الشهادة</v>
      </c>
      <c r="F1852" s="133" t="str">
        <f>IFERROR(__xludf.DUMMYFUNCTION("""COMPUTED_VALUE"""),"Kit Cat Kitten Mousse with Tuna 80g")</f>
        <v>Kit Cat Kitten Mousse with Tuna 80g</v>
      </c>
      <c r="G1852" s="133" t="str">
        <f>IFERROR(__xludf.DUMMYFUNCTION("""COMPUTED_VALUE"""),"كيت كات موس للقطط الصغيرة مع التونة 80 جم")</f>
        <v>كيت كات موس للقطط الصغيرة مع التونة 80 جم</v>
      </c>
      <c r="H1852" s="133" t="str">
        <f>IFERROR(__xludf.DUMMYFUNCTION("""COMPUTED_VALUE"""),"MAFE2021556")</f>
        <v>MAFE2021556</v>
      </c>
      <c r="I1852" s="133"/>
      <c r="J1852" s="133"/>
      <c r="K1852" s="133" t="str">
        <f>IFERROR(__xludf.DUMMYFUNCTION("""COMPUTED_VALUE"""),"شركة سيام للأغذية العالمية المحدودة")</f>
        <v>شركة سيام للأغذية العالمية المحدودة</v>
      </c>
      <c r="L1852" s="142" t="str">
        <f>IFERROR(__xludf.DUMMYFUNCTION("""COMPUTED_VALUE"""),"KC2494")</f>
        <v>KC2494</v>
      </c>
      <c r="M1852" s="133"/>
      <c r="N1852" s="133"/>
      <c r="O1852" s="133"/>
      <c r="P1852" s="133"/>
      <c r="Q1852" s="133"/>
      <c r="R1852" s="133"/>
      <c r="S1852" s="133"/>
      <c r="T1852" s="133"/>
      <c r="U1852" s="133"/>
      <c r="V1852" s="133"/>
      <c r="W1852" s="133"/>
      <c r="X1852" s="133"/>
      <c r="Y1852" s="133"/>
      <c r="Z1852" s="133"/>
    </row>
    <row r="1853">
      <c r="A1853" s="133">
        <f>IFERROR(__xludf.DUMMYFUNCTION("""COMPUTED_VALUE"""),1854.0)</f>
        <v>1854</v>
      </c>
      <c r="B1853" s="133" t="str">
        <f>IFERROR(__xludf.DUMMYFUNCTION("""COMPUTED_VALUE"""),"KC2487")</f>
        <v>KC2487</v>
      </c>
      <c r="C1853" s="133" t="str">
        <f>IFERROR(__xludf.DUMMYFUNCTION("""COMPUTED_VALUE"""),"P-1-N-100221-616")</f>
        <v>P-1-N-100221-616</v>
      </c>
      <c r="D1853" s="133"/>
      <c r="E1853" s="133" t="str">
        <f>IFERROR(__xludf.DUMMYFUNCTION("""COMPUTED_VALUE"""),"تمت طباعة الشهادة")</f>
        <v>تمت طباعة الشهادة</v>
      </c>
      <c r="F1853" s="133" t="str">
        <f>IFERROR(__xludf.DUMMYFUNCTION("""COMPUTED_VALUE"""),"Kit Cat Kitten Mousse with Chicken 80g")</f>
        <v>Kit Cat Kitten Mousse with Chicken 80g</v>
      </c>
      <c r="G1853" s="133" t="str">
        <f>IFERROR(__xludf.DUMMYFUNCTION("""COMPUTED_VALUE"""),"كيت")</f>
        <v>كيت</v>
      </c>
      <c r="H1853" s="133" t="str">
        <f>IFERROR(__xludf.DUMMYFUNCTION("""COMPUTED_VALUE"""),"MAFE2021555")</f>
        <v>MAFE2021555</v>
      </c>
      <c r="I1853" s="133"/>
      <c r="J1853" s="133"/>
      <c r="K1853" s="133" t="str">
        <f>IFERROR(__xludf.DUMMYFUNCTION("""COMPUTED_VALUE"""),"شركة سيام للأغذية العالمية المحدودة")</f>
        <v>شركة سيام للأغذية العالمية المحدودة</v>
      </c>
      <c r="L1853" s="142" t="str">
        <f>IFERROR(__xludf.DUMMYFUNCTION("""COMPUTED_VALUE"""),"KC2487")</f>
        <v>KC2487</v>
      </c>
      <c r="M1853" s="133"/>
      <c r="N1853" s="133"/>
      <c r="O1853" s="133"/>
      <c r="P1853" s="133"/>
      <c r="Q1853" s="133"/>
      <c r="R1853" s="133"/>
      <c r="S1853" s="133"/>
      <c r="T1853" s="133"/>
      <c r="U1853" s="133"/>
      <c r="V1853" s="133"/>
      <c r="W1853" s="133"/>
      <c r="X1853" s="133"/>
      <c r="Y1853" s="133"/>
      <c r="Z1853" s="133"/>
    </row>
    <row r="1854">
      <c r="A1854" s="133">
        <f>IFERROR(__xludf.DUMMYFUNCTION("""COMPUTED_VALUE"""),1855.0)</f>
        <v>1855</v>
      </c>
      <c r="B1854" s="133" t="str">
        <f>IFERROR(__xludf.DUMMYFUNCTION("""COMPUTED_VALUE"""),"KC2500")</f>
        <v>KC2500</v>
      </c>
      <c r="C1854" s="133" t="str">
        <f>IFERROR(__xludf.DUMMYFUNCTION("""COMPUTED_VALUE"""),"P-1-N-100221-617")</f>
        <v>P-1-N-100221-617</v>
      </c>
      <c r="D1854" s="133"/>
      <c r="E1854" s="133" t="str">
        <f>IFERROR(__xludf.DUMMYFUNCTION("""COMPUTED_VALUE"""),"تمت طباعة الشهادة")</f>
        <v>تمت طباعة الشهادة</v>
      </c>
      <c r="F1854" s="133" t="str">
        <f>IFERROR(__xludf.DUMMYFUNCTION("""COMPUTED_VALUE"""),"Kit Cat Tuna Mousse &amp; Chicken Toppers 80g")</f>
        <v>Kit Cat Tuna Mousse &amp; Chicken Toppers 80g</v>
      </c>
      <c r="G1854" s="133" t="str">
        <f>IFERROR(__xludf.DUMMYFUNCTION("""COMPUTED_VALUE"""),"كيت كات موس التونة و دجاج توبرز 80 جم")</f>
        <v>كيت كات موس التونة و دجاج توبرز 80 جم</v>
      </c>
      <c r="H1854" s="133" t="str">
        <f>IFERROR(__xludf.DUMMYFUNCTION("""COMPUTED_VALUE"""),"MAFE2021554")</f>
        <v>MAFE2021554</v>
      </c>
      <c r="I1854" s="133"/>
      <c r="J1854" s="133"/>
      <c r="K1854" s="133" t="str">
        <f>IFERROR(__xludf.DUMMYFUNCTION("""COMPUTED_VALUE"""),"شركة سيام للأغذية العالمية المحدودة")</f>
        <v>شركة سيام للأغذية العالمية المحدودة</v>
      </c>
      <c r="L1854" s="142" t="str">
        <f>IFERROR(__xludf.DUMMYFUNCTION("""COMPUTED_VALUE"""),"KC2500")</f>
        <v>KC2500</v>
      </c>
      <c r="M1854" s="133"/>
      <c r="N1854" s="133"/>
      <c r="O1854" s="133"/>
      <c r="P1854" s="133"/>
      <c r="Q1854" s="133"/>
      <c r="R1854" s="133"/>
      <c r="S1854" s="133"/>
      <c r="T1854" s="133"/>
      <c r="U1854" s="133"/>
      <c r="V1854" s="133"/>
      <c r="W1854" s="133"/>
      <c r="X1854" s="133"/>
      <c r="Y1854" s="133"/>
      <c r="Z1854" s="133"/>
    </row>
    <row r="1855">
      <c r="A1855" s="133">
        <f>IFERROR(__xludf.DUMMYFUNCTION("""COMPUTED_VALUE"""),1856.0)</f>
        <v>1856</v>
      </c>
      <c r="B1855" s="133" t="str">
        <f>IFERROR(__xludf.DUMMYFUNCTION("""COMPUTED_VALUE"""),"KC2517")</f>
        <v>KC2517</v>
      </c>
      <c r="C1855" s="133" t="str">
        <f>IFERROR(__xludf.DUMMYFUNCTION("""COMPUTED_VALUE"""),"P-1-N-100221-618")</f>
        <v>P-1-N-100221-618</v>
      </c>
      <c r="D1855" s="133"/>
      <c r="E1855" s="133" t="str">
        <f>IFERROR(__xludf.DUMMYFUNCTION("""COMPUTED_VALUE"""),"تمت طباعة الشهادة")</f>
        <v>تمت طباعة الشهادة</v>
      </c>
      <c r="F1855" s="133" t="str">
        <f>IFERROR(__xludf.DUMMYFUNCTION("""COMPUTED_VALUE"""),"Kit Cat Chicken Mousse &amp; Tuna Toppers 80g")</f>
        <v>Kit Cat Chicken Mousse &amp; Tuna Toppers 80g</v>
      </c>
      <c r="G1855" s="133" t="str">
        <f>IFERROR(__xludf.DUMMYFUNCTION("""COMPUTED_VALUE"""),"كيت كات موس الدجاج و تونة توبرز 80 جم")</f>
        <v>كيت كات موس الدجاج و تونة توبرز 80 جم</v>
      </c>
      <c r="H1855" s="133" t="str">
        <f>IFERROR(__xludf.DUMMYFUNCTION("""COMPUTED_VALUE"""),"MAFE2021553")</f>
        <v>MAFE2021553</v>
      </c>
      <c r="I1855" s="133"/>
      <c r="J1855" s="133"/>
      <c r="K1855" s="133" t="str">
        <f>IFERROR(__xludf.DUMMYFUNCTION("""COMPUTED_VALUE"""),"شركة سيام للأغذية العالمية المحدودة")</f>
        <v>شركة سيام للأغذية العالمية المحدودة</v>
      </c>
      <c r="L1855" s="142" t="str">
        <f>IFERROR(__xludf.DUMMYFUNCTION("""COMPUTED_VALUE"""),"KC2517")</f>
        <v>KC2517</v>
      </c>
      <c r="M1855" s="133"/>
      <c r="N1855" s="133"/>
      <c r="O1855" s="133"/>
      <c r="P1855" s="133"/>
      <c r="Q1855" s="133"/>
      <c r="R1855" s="133"/>
      <c r="S1855" s="133"/>
      <c r="T1855" s="133"/>
      <c r="U1855" s="133"/>
      <c r="V1855" s="133"/>
      <c r="W1855" s="133"/>
      <c r="X1855" s="133"/>
      <c r="Y1855" s="133"/>
      <c r="Z1855" s="133"/>
    </row>
    <row r="1856">
      <c r="A1856" s="133">
        <f>IFERROR(__xludf.DUMMYFUNCTION("""COMPUTED_VALUE"""),1857.0)</f>
        <v>1857</v>
      </c>
      <c r="B1856" s="133" t="str">
        <f>IFERROR(__xludf.DUMMYFUNCTION("""COMPUTED_VALUE"""),"KC2210")</f>
        <v>KC2210</v>
      </c>
      <c r="C1856" s="133" t="str">
        <f>IFERROR(__xludf.DUMMYFUNCTION("""COMPUTED_VALUE"""),"P-1-N-040321-1093")</f>
        <v>P-1-N-040321-1093</v>
      </c>
      <c r="D1856" s="133"/>
      <c r="E1856" s="133" t="str">
        <f>IFERROR(__xludf.DUMMYFUNCTION("""COMPUTED_VALUE"""),"تمت طباعة الشهادة")</f>
        <v>تمت طباعة الشهادة</v>
      </c>
      <c r="F1856" s="133" t="str">
        <f>IFERROR(__xludf.DUMMYFUNCTION("""COMPUTED_VALUE"""),"Kit Cat Deboned Tuna &amp; Shrimp Toppers 80g")</f>
        <v>Kit Cat Deboned Tuna &amp; Shrimp Toppers 80g</v>
      </c>
      <c r="G1856" s="133" t="str">
        <f>IFERROR(__xludf.DUMMYFUNCTION("""COMPUTED_VALUE"""),"كيت كات ديبوند تونة و روبيان توبرز 80 جم")</f>
        <v>كيت كات ديبوند تونة و روبيان توبرز 80 جم</v>
      </c>
      <c r="H1856" s="133" t="str">
        <f>IFERROR(__xludf.DUMMYFUNCTION("""COMPUTED_VALUE"""),"MAFE2021705")</f>
        <v>MAFE2021705</v>
      </c>
      <c r="I1856" s="133"/>
      <c r="J1856" s="133"/>
      <c r="K1856" s="133" t="str">
        <f>IFERROR(__xludf.DUMMYFUNCTION("""COMPUTED_VALUE"""),"شركة")</f>
        <v>شركة</v>
      </c>
      <c r="L1856" s="142" t="str">
        <f>IFERROR(__xludf.DUMMYFUNCTION("""COMPUTED_VALUE"""),"KC2210")</f>
        <v>KC2210</v>
      </c>
      <c r="M1856" s="133"/>
      <c r="N1856" s="133"/>
      <c r="O1856" s="133"/>
      <c r="P1856" s="133"/>
      <c r="Q1856" s="133"/>
      <c r="R1856" s="133"/>
      <c r="S1856" s="133"/>
      <c r="T1856" s="133"/>
      <c r="U1856" s="133"/>
      <c r="V1856" s="133"/>
      <c r="W1856" s="133"/>
      <c r="X1856" s="133"/>
      <c r="Y1856" s="133"/>
      <c r="Z1856" s="133"/>
    </row>
    <row r="1857">
      <c r="A1857" s="133">
        <f>IFERROR(__xludf.DUMMYFUNCTION("""COMPUTED_VALUE"""),1858.0)</f>
        <v>1858</v>
      </c>
      <c r="B1857" s="133" t="str">
        <f>IFERROR(__xludf.DUMMYFUNCTION("""COMPUTED_VALUE"""),"kc449")</f>
        <v>kc449</v>
      </c>
      <c r="C1857" s="133" t="str">
        <f>IFERROR(__xludf.DUMMYFUNCTION("""COMPUTED_VALUE"""),"P-1-N-280321-1527")</f>
        <v>P-1-N-280321-1527</v>
      </c>
      <c r="D1857" s="133"/>
      <c r="E1857" s="133" t="str">
        <f>IFERROR(__xludf.DUMMYFUNCTION("""COMPUTED_VALUE"""),"تمت طباعة الشهادة")</f>
        <v>تمت طباعة الشهادة</v>
      </c>
      <c r="F1857" s="133" t="str">
        <f>IFERROR(__xludf.DUMMYFUNCTION("""COMPUTED_VALUE"""),"Kit Cat Tuna with Salmon ")</f>
        <v>Kit Cat Tuna with Salmon </v>
      </c>
      <c r="G1857" s="133" t="str">
        <f>IFERROR(__xludf.DUMMYFUNCTION("""COMPUTED_VALUE"""),"كيت كات تونة مع السلمون 400 جم")</f>
        <v>كيت كات تونة مع السلمون 400 جم</v>
      </c>
      <c r="H1857" s="133" t="str">
        <f>IFERROR(__xludf.DUMMYFUNCTION("""COMPUTED_VALUE"""),"MAFE2021960")</f>
        <v>MAFE2021960</v>
      </c>
      <c r="I1857" s="133"/>
      <c r="J1857" s="143">
        <f>IFERROR(__xludf.DUMMYFUNCTION("""COMPUTED_VALUE"""),46110.0)</f>
        <v>46110</v>
      </c>
      <c r="K1857" s="133" t="str">
        <f>IFERROR(__xludf.DUMMYFUNCTION("""COMPUTED_VALUE"""),"شركة سيام للأغذية العالمية المحدودة")</f>
        <v>شركة سيام للأغذية العالمية المحدودة</v>
      </c>
      <c r="L1857" s="142" t="str">
        <f>IFERROR(__xludf.DUMMYFUNCTION("""COMPUTED_VALUE"""),"kc449")</f>
        <v>kc449</v>
      </c>
      <c r="M1857" s="133"/>
      <c r="N1857" s="133"/>
      <c r="O1857" s="133"/>
      <c r="P1857" s="133"/>
      <c r="Q1857" s="133"/>
      <c r="R1857" s="133"/>
      <c r="S1857" s="133"/>
      <c r="T1857" s="133"/>
      <c r="U1857" s="133"/>
      <c r="V1857" s="133"/>
      <c r="W1857" s="133"/>
      <c r="X1857" s="133"/>
      <c r="Y1857" s="133"/>
      <c r="Z1857" s="133"/>
    </row>
    <row r="1858">
      <c r="A1858" s="133">
        <f>IFERROR(__xludf.DUMMYFUNCTION("""COMPUTED_VALUE"""),1859.0)</f>
        <v>1859</v>
      </c>
      <c r="B1858" s="133" t="str">
        <f>IFERROR(__xludf.DUMMYFUNCTION("""COMPUTED_VALUE"""),"KC3071")</f>
        <v>KC3071</v>
      </c>
      <c r="C1858" s="133" t="str">
        <f>IFERROR(__xludf.DUMMYFUNCTION("""COMPUTED_VALUE"""),"P-1-N-180521-2697")</f>
        <v>P-1-N-180521-2697</v>
      </c>
      <c r="D1858" s="133"/>
      <c r="E1858" s="133" t="str">
        <f>IFERROR(__xludf.DUMMYFUNCTION("""COMPUTED_VALUE"""),"تمت طباعة الشهادة")</f>
        <v>تمت طباعة الشهادة</v>
      </c>
      <c r="F1858" s="133" t="str">
        <f>IFERROR(__xludf.DUMMYFUNCTION("""COMPUTED_VALUE"""),"Kit Cat Deboned Kitten Tuna Flakes with Aspic 80g")</f>
        <v>Kit Cat Deboned Kitten Tuna Flakes with Aspic 80g</v>
      </c>
      <c r="G1858" s="133" t="str">
        <f>IFERROR(__xludf.DUMMYFUNCTION("""COMPUTED_VALUE"""),"كيت كات ديبوند كيتن رقائق التونة مع أسبيك 80 جم")</f>
        <v>كيت كات ديبوند كيتن رقائق التونة مع أسبيك 80 جم</v>
      </c>
      <c r="H1858" s="133" t="str">
        <f>IFERROR(__xludf.DUMMYFUNCTION("""COMPUTED_VALUE"""),"MAFE20211666")</f>
        <v>MAFE20211666</v>
      </c>
      <c r="I1858" s="133"/>
      <c r="J1858" s="133"/>
      <c r="K1858" s="133" t="str">
        <f>IFERROR(__xludf.DUMMYFUNCTION("""COMPUTED_VALUE"""),"شركة سيام للأغذية العالمية المحدودة")</f>
        <v>شركة سيام للأغذية العالمية المحدودة</v>
      </c>
      <c r="L1858" s="142" t="str">
        <f>IFERROR(__xludf.DUMMYFUNCTION("""COMPUTED_VALUE"""),"KC3071")</f>
        <v>KC3071</v>
      </c>
      <c r="M1858" s="133"/>
      <c r="N1858" s="133"/>
      <c r="O1858" s="133"/>
      <c r="P1858" s="133"/>
      <c r="Q1858" s="133"/>
      <c r="R1858" s="133"/>
      <c r="S1858" s="133"/>
      <c r="T1858" s="133"/>
      <c r="U1858" s="133"/>
      <c r="V1858" s="133"/>
      <c r="W1858" s="133"/>
      <c r="X1858" s="133"/>
      <c r="Y1858" s="133"/>
      <c r="Z1858" s="133"/>
    </row>
    <row r="1859">
      <c r="A1859" s="133">
        <f>IFERROR(__xludf.DUMMYFUNCTION("""COMPUTED_VALUE"""),1860.0)</f>
        <v>1860</v>
      </c>
      <c r="B1859" s="133" t="str">
        <f>IFERROR(__xludf.DUMMYFUNCTION("""COMPUTED_VALUE"""),"KC3088")</f>
        <v>KC3088</v>
      </c>
      <c r="C1859" s="133" t="str">
        <f>IFERROR(__xludf.DUMMYFUNCTION("""COMPUTED_VALUE"""),"P-1-N-180521-2698")</f>
        <v>P-1-N-180521-2698</v>
      </c>
      <c r="D1859" s="133"/>
      <c r="E1859" s="133" t="str">
        <f>IFERROR(__xludf.DUMMYFUNCTION("""COMPUTED_VALUE"""),"تمت طباعة الشهادة")</f>
        <v>تمت طباعة الشهادة</v>
      </c>
      <c r="F1859" s="133" t="str">
        <f>IFERROR(__xludf.DUMMYFUNCTION("""COMPUTED_VALUE"""),"Kit Cat Deboned Kitten Chicken Flakes with Aspic 80g")</f>
        <v>Kit Cat Deboned Kitten Chicken Flakes with Aspic 80g</v>
      </c>
      <c r="G1859" s="133" t="str">
        <f>IFERROR(__xludf.DUMMYFUNCTION("""COMPUTED_VALUE"""),"كيت كات ديبوند كيتن رقائق الدجاج مع أسبيك 80 جم")</f>
        <v>كيت كات ديبوند كيتن رقائق الدجاج مع أسبيك 80 جم</v>
      </c>
      <c r="H1859" s="133" t="str">
        <f>IFERROR(__xludf.DUMMYFUNCTION("""COMPUTED_VALUE"""),"MAFE20211644")</f>
        <v>MAFE20211644</v>
      </c>
      <c r="I1859" s="133"/>
      <c r="J1859" s="133"/>
      <c r="K1859" s="133" t="str">
        <f>IFERROR(__xludf.DUMMYFUNCTION("""COMPUTED_VALUE"""),"شركة سيام للأغذية العالمية المحدودة")</f>
        <v>شركة سيام للأغذية العالمية المحدودة</v>
      </c>
      <c r="L1859" s="142" t="str">
        <f>IFERROR(__xludf.DUMMYFUNCTION("""COMPUTED_VALUE"""),"KC3088")</f>
        <v>KC3088</v>
      </c>
      <c r="M1859" s="133"/>
      <c r="N1859" s="133"/>
      <c r="O1859" s="133"/>
      <c r="P1859" s="133"/>
      <c r="Q1859" s="133"/>
      <c r="R1859" s="133"/>
      <c r="S1859" s="133"/>
      <c r="T1859" s="133"/>
      <c r="U1859" s="133"/>
      <c r="V1859" s="133"/>
      <c r="W1859" s="133"/>
      <c r="X1859" s="133"/>
      <c r="Y1859" s="133"/>
      <c r="Z1859" s="133"/>
    </row>
    <row r="1860">
      <c r="A1860" s="133">
        <f>IFERROR(__xludf.DUMMYFUNCTION("""COMPUTED_VALUE"""),1861.0)</f>
        <v>1861</v>
      </c>
      <c r="B1860" s="133" t="str">
        <f>IFERROR(__xludf.DUMMYFUNCTION("""COMPUTED_VALUE"""),"15193")</f>
        <v>15193</v>
      </c>
      <c r="C1860" s="133" t="str">
        <f>IFERROR(__xludf.DUMMYFUNCTION("""COMPUTED_VALUE"""),"P-1-N-060721-4181")</f>
        <v>P-1-N-060721-4181</v>
      </c>
      <c r="D1860" s="133"/>
      <c r="E1860" s="133" t="str">
        <f>IFERROR(__xludf.DUMMYFUNCTION("""COMPUTED_VALUE"""),"تمت طباعة الشهادة")</f>
        <v>تمت طباعة الشهادة</v>
      </c>
      <c r="F1860" s="133" t="str">
        <f>IFERROR(__xludf.DUMMYFUNCTION("""COMPUTED_VALUE"""),"Beaphar Lactol Kitten Milk 500g")</f>
        <v>Beaphar Lactol Kitten Milk 500g</v>
      </c>
      <c r="G1860" s="133" t="str">
        <f>IFERROR(__xludf.DUMMYFUNCTION("""COMPUTED_VALUE"""),"بيفار لاكتول حليب القطط الصغيرة 5 جم..")</f>
        <v>بيفار لاكتول حليب القطط الصغيرة 5 جم..</v>
      </c>
      <c r="H1860" s="133" t="str">
        <f>IFERROR(__xludf.DUMMYFUNCTION("""COMPUTED_VALUE"""),"MAFE20212461")</f>
        <v>MAFE20212461</v>
      </c>
      <c r="I1860" s="133"/>
      <c r="J1860" s="133"/>
      <c r="K1860" s="133" t="str">
        <f>IFERROR(__xludf.DUMMYFUNCTION("""COMPUTED_VALUE"""),"Agency")</f>
        <v>Agency</v>
      </c>
      <c r="L1860" s="142" t="str">
        <f>IFERROR(__xludf.DUMMYFUNCTION("""COMPUTED_VALUE"""),"15193")</f>
        <v>15193</v>
      </c>
      <c r="M1860" s="133"/>
      <c r="N1860" s="133"/>
      <c r="O1860" s="133"/>
      <c r="P1860" s="133"/>
      <c r="Q1860" s="133"/>
      <c r="R1860" s="133"/>
      <c r="S1860" s="133"/>
      <c r="T1860" s="133"/>
      <c r="U1860" s="133"/>
      <c r="V1860" s="133"/>
      <c r="W1860" s="133"/>
      <c r="X1860" s="133"/>
      <c r="Y1860" s="133"/>
      <c r="Z1860" s="133"/>
    </row>
    <row r="1861">
      <c r="A1861" s="133">
        <f>IFERROR(__xludf.DUMMYFUNCTION("""COMPUTED_VALUE"""),1862.0)</f>
        <v>1862</v>
      </c>
      <c r="B1861" s="133" t="str">
        <f>IFERROR(__xludf.DUMMYFUNCTION("""COMPUTED_VALUE"""),"KC4709")</f>
        <v>KC4709</v>
      </c>
      <c r="C1861" s="133" t="str">
        <f>IFERROR(__xludf.DUMMYFUNCTION("""COMPUTED_VALUE"""),"P-1-N-011121-7311")</f>
        <v>P-1-N-011121-7311</v>
      </c>
      <c r="D1861" s="133"/>
      <c r="E1861" s="133" t="str">
        <f>IFERROR(__xludf.DUMMYFUNCTION("""COMPUTED_VALUE"""),"تمت طباعة الشهادة")</f>
        <v>تمت طباعة الشهادة</v>
      </c>
      <c r="F1861" s="133" t="str">
        <f>IFERROR(__xludf.DUMMYFUNCTION("""COMPUTED_VALUE"""),"Kit Cat Complete Cuisine - Chicken &amp; Chia Seed 150g")</f>
        <v>Kit Cat Complete Cuisine - Chicken &amp; Chia Seed 150g</v>
      </c>
      <c r="G1861" s="133" t="str">
        <f>IFERROR(__xludf.DUMMYFUNCTION("""COMPUTED_VALUE"""),"كيت كات كوزين كامل - دجاج وبذورالشيا 150 ﺟﻢ")</f>
        <v>كيت كات كوزين كامل - دجاج وبذورالشيا 150 ﺟﻢ</v>
      </c>
      <c r="H1861" s="133" t="str">
        <f>IFERROR(__xludf.DUMMYFUNCTION("""COMPUTED_VALUE"""),"MAFE20214063")</f>
        <v>MAFE20214063</v>
      </c>
      <c r="I1861" s="133"/>
      <c r="J1861" s="133"/>
      <c r="K1861" s="133" t="str">
        <f>IFERROR(__xludf.DUMMYFUNCTION("""COMPUTED_VALUE"""),"تروبيكال كانينج بابليك كمبني ليميتيد")</f>
        <v>تروبيكال كانينج بابليك كمبني ليميتيد</v>
      </c>
      <c r="L1861" s="142" t="str">
        <f>IFERROR(__xludf.DUMMYFUNCTION("""COMPUTED_VALUE"""),"KC4709")</f>
        <v>KC4709</v>
      </c>
      <c r="M1861" s="133"/>
      <c r="N1861" s="133"/>
      <c r="O1861" s="133"/>
      <c r="P1861" s="133"/>
      <c r="Q1861" s="133"/>
      <c r="R1861" s="133"/>
      <c r="S1861" s="133"/>
      <c r="T1861" s="133"/>
      <c r="U1861" s="133"/>
      <c r="V1861" s="133"/>
      <c r="W1861" s="133"/>
      <c r="X1861" s="133"/>
      <c r="Y1861" s="133"/>
      <c r="Z1861" s="133"/>
    </row>
    <row r="1862">
      <c r="A1862" s="133">
        <f>IFERROR(__xludf.DUMMYFUNCTION("""COMPUTED_VALUE"""),1863.0)</f>
        <v>1863</v>
      </c>
      <c r="B1862" s="133" t="str">
        <f>IFERROR(__xludf.DUMMYFUNCTION("""COMPUTED_VALUE"""),"KC4808")</f>
        <v>KC4808</v>
      </c>
      <c r="C1862" s="133" t="str">
        <f>IFERROR(__xludf.DUMMYFUNCTION("""COMPUTED_VALUE"""),"P-1-N-081121-7511")</f>
        <v>P-1-N-081121-7511</v>
      </c>
      <c r="D1862" s="133"/>
      <c r="E1862" s="133" t="str">
        <f>IFERROR(__xludf.DUMMYFUNCTION("""COMPUTED_VALUE"""),"تمت طباعة الشهادة")</f>
        <v>تمت طباعة الشهادة</v>
      </c>
      <c r="F1862" s="133" t="str">
        <f>IFERROR(__xludf.DUMMYFUNCTION("""COMPUTED_VALUE"""),"Kit Cat Complete Cuisine - Chicken &amp; Salmon 150g")</f>
        <v>Kit Cat Complete Cuisine - Chicken &amp; Salmon 150g</v>
      </c>
      <c r="G1862" s="133" t="str">
        <f>IFERROR(__xludf.DUMMYFUNCTION("""COMPUTED_VALUE"""),"كيت كات كوزين كامل - دجاج وسلمون 150 جم")</f>
        <v>كيت كات كوزين كامل - دجاج وسلمون 150 جم</v>
      </c>
      <c r="H1862" s="133" t="str">
        <f>IFERROR(__xludf.DUMMYFUNCTION("""COMPUTED_VALUE"""),"MAFE20214148")</f>
        <v>MAFE20214148</v>
      </c>
      <c r="I1862" s="133"/>
      <c r="J1862" s="133"/>
      <c r="K1862" s="133" t="str">
        <f>IFERROR(__xludf.DUMMYFUNCTION("""COMPUTED_VALUE"""),"تروبيكال كانينج بابليك كمبني ليميتيد")</f>
        <v>تروبيكال كانينج بابليك كمبني ليميتيد</v>
      </c>
      <c r="L1862" s="142" t="str">
        <f>IFERROR(__xludf.DUMMYFUNCTION("""COMPUTED_VALUE"""),"KC4808")</f>
        <v>KC4808</v>
      </c>
      <c r="M1862" s="133"/>
      <c r="N1862" s="133"/>
      <c r="O1862" s="133"/>
      <c r="P1862" s="133"/>
      <c r="Q1862" s="133"/>
      <c r="R1862" s="133"/>
      <c r="S1862" s="133"/>
      <c r="T1862" s="133"/>
      <c r="U1862" s="133"/>
      <c r="V1862" s="133"/>
      <c r="W1862" s="133"/>
      <c r="X1862" s="133"/>
      <c r="Y1862" s="133"/>
      <c r="Z1862" s="133"/>
    </row>
    <row r="1863">
      <c r="A1863" s="133">
        <f>IFERROR(__xludf.DUMMYFUNCTION("""COMPUTED_VALUE"""),1864.0)</f>
        <v>1864</v>
      </c>
      <c r="B1863" s="133" t="str">
        <f>IFERROR(__xludf.DUMMYFUNCTION("""COMPUTED_VALUE"""),"KC4723")</f>
        <v>KC4723</v>
      </c>
      <c r="C1863" s="133" t="str">
        <f>IFERROR(__xludf.DUMMYFUNCTION("""COMPUTED_VALUE"""),"P-1-N-081121-7512")</f>
        <v>P-1-N-081121-7512</v>
      </c>
      <c r="D1863" s="133"/>
      <c r="E1863" s="133" t="str">
        <f>IFERROR(__xludf.DUMMYFUNCTION("""COMPUTED_VALUE"""),"تمت طباعة الشهادة")</f>
        <v>تمت طباعة الشهادة</v>
      </c>
      <c r="F1863" s="133" t="str">
        <f>IFERROR(__xludf.DUMMYFUNCTION("""COMPUTED_VALUE"""),"Kit Cat Complete Cuisine - Chicken &amp; Skipjack 150g")</f>
        <v>Kit Cat Complete Cuisine - Chicken &amp; Skipjack 150g</v>
      </c>
      <c r="G1863" s="133" t="str">
        <f>IFERROR(__xludf.DUMMYFUNCTION("""COMPUTED_VALUE"""),"كيت كات كوزين كامل - دجاج وسكيبجاك 150 جم")</f>
        <v>كيت كات كوزين كامل - دجاج وسكيبجاك 150 جم</v>
      </c>
      <c r="H1863" s="133" t="str">
        <f>IFERROR(__xludf.DUMMYFUNCTION("""COMPUTED_VALUE"""),"MAFE20214144")</f>
        <v>MAFE20214144</v>
      </c>
      <c r="I1863" s="133"/>
      <c r="J1863" s="133"/>
      <c r="K1863" s="133" t="str">
        <f>IFERROR(__xludf.DUMMYFUNCTION("""COMPUTED_VALUE"""),"تروبيكال كانينج بابليك كمبني ليميتيد")</f>
        <v>تروبيكال كانينج بابليك كمبني ليميتيد</v>
      </c>
      <c r="L1863" s="142" t="str">
        <f>IFERROR(__xludf.DUMMYFUNCTION("""COMPUTED_VALUE"""),"KC4723")</f>
        <v>KC4723</v>
      </c>
      <c r="M1863" s="133"/>
      <c r="N1863" s="133"/>
      <c r="O1863" s="133"/>
      <c r="P1863" s="133"/>
      <c r="Q1863" s="133"/>
      <c r="R1863" s="133"/>
      <c r="S1863" s="133"/>
      <c r="T1863" s="133"/>
      <c r="U1863" s="133"/>
      <c r="V1863" s="133"/>
      <c r="W1863" s="133"/>
      <c r="X1863" s="133"/>
      <c r="Y1863" s="133"/>
      <c r="Z1863" s="133"/>
    </row>
    <row r="1864">
      <c r="A1864" s="133">
        <f>IFERROR(__xludf.DUMMYFUNCTION("""COMPUTED_VALUE"""),1865.0)</f>
        <v>1865</v>
      </c>
      <c r="B1864" s="133" t="str">
        <f>IFERROR(__xludf.DUMMYFUNCTION("""COMPUTED_VALUE"""),"KC5096")</f>
        <v>KC5096</v>
      </c>
      <c r="C1864" s="133" t="str">
        <f>IFERROR(__xludf.DUMMYFUNCTION("""COMPUTED_VALUE"""),"P-1-N-081121-7513")</f>
        <v>P-1-N-081121-7513</v>
      </c>
      <c r="D1864" s="133"/>
      <c r="E1864" s="133" t="str">
        <f>IFERROR(__xludf.DUMMYFUNCTION("""COMPUTED_VALUE"""),"تمت طباعة الشهادة")</f>
        <v>تمت طباعة الشهادة</v>
      </c>
      <c r="F1864" s="133" t="str">
        <f>IFERROR(__xludf.DUMMYFUNCTION("""COMPUTED_VALUE"""),"Kit Cat Complete Cuisine - Chicken Classic 150g")</f>
        <v>Kit Cat Complete Cuisine - Chicken Classic 150g</v>
      </c>
      <c r="G1864" s="133" t="str">
        <f>IFERROR(__xludf.DUMMYFUNCTION("""COMPUTED_VALUE"""),"كيت")</f>
        <v>كيت</v>
      </c>
      <c r="H1864" s="133" t="str">
        <f>IFERROR(__xludf.DUMMYFUNCTION("""COMPUTED_VALUE"""),"MAFE20214134")</f>
        <v>MAFE20214134</v>
      </c>
      <c r="I1864" s="133"/>
      <c r="J1864" s="133"/>
      <c r="K1864" s="133" t="str">
        <f>IFERROR(__xludf.DUMMYFUNCTION("""COMPUTED_VALUE"""),"تروبيكال كانينج بابليك كمبني ليميتيد")</f>
        <v>تروبيكال كانينج بابليك كمبني ليميتيد</v>
      </c>
      <c r="L1864" s="142" t="str">
        <f>IFERROR(__xludf.DUMMYFUNCTION("""COMPUTED_VALUE"""),"KC5096")</f>
        <v>KC5096</v>
      </c>
      <c r="M1864" s="133"/>
      <c r="N1864" s="133"/>
      <c r="O1864" s="133"/>
      <c r="P1864" s="133"/>
      <c r="Q1864" s="133"/>
      <c r="R1864" s="133"/>
      <c r="S1864" s="133"/>
      <c r="T1864" s="133"/>
      <c r="U1864" s="133"/>
      <c r="V1864" s="133"/>
      <c r="W1864" s="133"/>
      <c r="X1864" s="133"/>
      <c r="Y1864" s="133"/>
      <c r="Z1864" s="133"/>
    </row>
    <row r="1865">
      <c r="A1865" s="133">
        <f>IFERROR(__xludf.DUMMYFUNCTION("""COMPUTED_VALUE"""),1866.0)</f>
        <v>1866</v>
      </c>
      <c r="B1865" s="133" t="str">
        <f>IFERROR(__xludf.DUMMYFUNCTION("""COMPUTED_VALUE"""),"KC4778")</f>
        <v>KC4778</v>
      </c>
      <c r="C1865" s="133" t="str">
        <f>IFERROR(__xludf.DUMMYFUNCTION("""COMPUTED_VALUE"""),"P-1-N-081121-7516")</f>
        <v>P-1-N-081121-7516</v>
      </c>
      <c r="D1865" s="133"/>
      <c r="E1865" s="133" t="str">
        <f>IFERROR(__xludf.DUMMYFUNCTION("""COMPUTED_VALUE"""),"تمت طباعة الشهادة")</f>
        <v>تمت طباعة الشهادة</v>
      </c>
      <c r="F1865" s="133" t="str">
        <f>IFERROR(__xludf.DUMMYFUNCTION("""COMPUTED_VALUE"""),"Kit Cat Complete Cuisine - Tuna &amp; Chicken 150g")</f>
        <v>Kit Cat Complete Cuisine - Tuna &amp; Chicken 150g</v>
      </c>
      <c r="G1865" s="133" t="str">
        <f>IFERROR(__xludf.DUMMYFUNCTION("""COMPUTED_VALUE"""),"كيت كات كوزين كامل - تونا ودجاج 150 جم")</f>
        <v>كيت كات كوزين كامل - تونا ودجاج 150 جم</v>
      </c>
      <c r="H1865" s="133" t="str">
        <f>IFERROR(__xludf.DUMMYFUNCTION("""COMPUTED_VALUE"""),"MAFE20214143")</f>
        <v>MAFE20214143</v>
      </c>
      <c r="I1865" s="133"/>
      <c r="J1865" s="133"/>
      <c r="K1865" s="133" t="str">
        <f>IFERROR(__xludf.DUMMYFUNCTION("""COMPUTED_VALUE"""),"تروبيكال كانينج بابليك كمبني ليميتيد")</f>
        <v>تروبيكال كانينج بابليك كمبني ليميتيد</v>
      </c>
      <c r="L1865" s="142" t="str">
        <f>IFERROR(__xludf.DUMMYFUNCTION("""COMPUTED_VALUE"""),"KC4778")</f>
        <v>KC4778</v>
      </c>
      <c r="M1865" s="133"/>
      <c r="N1865" s="133"/>
      <c r="O1865" s="133"/>
      <c r="P1865" s="133"/>
      <c r="Q1865" s="133"/>
      <c r="R1865" s="133"/>
      <c r="S1865" s="133"/>
      <c r="T1865" s="133"/>
      <c r="U1865" s="133"/>
      <c r="V1865" s="133"/>
      <c r="W1865" s="133"/>
      <c r="X1865" s="133"/>
      <c r="Y1865" s="133"/>
      <c r="Z1865" s="133"/>
    </row>
    <row r="1866">
      <c r="A1866" s="133">
        <f>IFERROR(__xludf.DUMMYFUNCTION("""COMPUTED_VALUE"""),1867.0)</f>
        <v>1867</v>
      </c>
      <c r="B1866" s="133" t="str">
        <f>IFERROR(__xludf.DUMMYFUNCTION("""COMPUTED_VALUE"""),"KC4754")</f>
        <v>KC4754</v>
      </c>
      <c r="C1866" s="133" t="str">
        <f>IFERROR(__xludf.DUMMYFUNCTION("""COMPUTED_VALUE"""),"P-1-N-081121-7517")</f>
        <v>P-1-N-081121-7517</v>
      </c>
      <c r="D1866" s="133"/>
      <c r="E1866" s="133" t="str">
        <f>IFERROR(__xludf.DUMMYFUNCTION("""COMPUTED_VALUE"""),"تمت طباعة الشهادة")</f>
        <v>تمت طباعة الشهادة</v>
      </c>
      <c r="F1866" s="133" t="str">
        <f>IFERROR(__xludf.DUMMYFUNCTION("""COMPUTED_VALUE"""),"Kit Cat Complete Cuisine - Tuna &amp; Goji Berry 150g")</f>
        <v>Kit Cat Complete Cuisine - Tuna &amp; Goji Berry 150g</v>
      </c>
      <c r="G1866" s="133" t="str">
        <f>IFERROR(__xludf.DUMMYFUNCTION("""COMPUTED_VALUE"""),"كيت كات كوزين كامل - تونا وغوجي بيري 150 جم")</f>
        <v>كيت كات كوزين كامل - تونا وغوجي بيري 150 جم</v>
      </c>
      <c r="H1866" s="133" t="str">
        <f>IFERROR(__xludf.DUMMYFUNCTION("""COMPUTED_VALUE"""),"MAFE20214139")</f>
        <v>MAFE20214139</v>
      </c>
      <c r="I1866" s="133"/>
      <c r="J1866" s="133"/>
      <c r="K1866" s="133" t="str">
        <f>IFERROR(__xludf.DUMMYFUNCTION("""COMPUTED_VALUE"""),"تروبيكال كانينج بابليك كمبني ليميتيد")</f>
        <v>تروبيكال كانينج بابليك كمبني ليميتيد</v>
      </c>
      <c r="L1866" s="142" t="str">
        <f>IFERROR(__xludf.DUMMYFUNCTION("""COMPUTED_VALUE"""),"KC4754")</f>
        <v>KC4754</v>
      </c>
      <c r="M1866" s="133"/>
      <c r="N1866" s="133"/>
      <c r="O1866" s="133"/>
      <c r="P1866" s="133"/>
      <c r="Q1866" s="133"/>
      <c r="R1866" s="133"/>
      <c r="S1866" s="133"/>
      <c r="T1866" s="133"/>
      <c r="U1866" s="133"/>
      <c r="V1866" s="133"/>
      <c r="W1866" s="133"/>
      <c r="X1866" s="133"/>
      <c r="Y1866" s="133"/>
      <c r="Z1866" s="133"/>
    </row>
    <row r="1867">
      <c r="A1867" s="133">
        <f>IFERROR(__xludf.DUMMYFUNCTION("""COMPUTED_VALUE"""),1868.0)</f>
        <v>1868</v>
      </c>
      <c r="B1867" s="133" t="str">
        <f>IFERROR(__xludf.DUMMYFUNCTION("""COMPUTED_VALUE"""),"KC5768")</f>
        <v>KC5768</v>
      </c>
      <c r="C1867" s="133" t="str">
        <f>IFERROR(__xludf.DUMMYFUNCTION("""COMPUTED_VALUE"""),"P-1-N-081121-7518")</f>
        <v>P-1-N-081121-7518</v>
      </c>
      <c r="D1867" s="133"/>
      <c r="E1867" s="133" t="str">
        <f>IFERROR(__xludf.DUMMYFUNCTION("""COMPUTED_VALUE"""),"تمت طباعة الشهادة")</f>
        <v>تمت طباعة الشهادة</v>
      </c>
      <c r="F1867" s="133" t="str">
        <f>IFERROR(__xludf.DUMMYFUNCTION("""COMPUTED_VALUE"""),"Kit Cat Complete Cuisine - Tuna &amp; Salmon 150g")</f>
        <v>Kit Cat Complete Cuisine - Tuna &amp; Salmon 150g</v>
      </c>
      <c r="G1867" s="133" t="str">
        <f>IFERROR(__xludf.DUMMYFUNCTION("""COMPUTED_VALUE"""),"كيت كات كوزين كامل – تونا وسلمون 150 جم")</f>
        <v>كيت كات كوزين كامل – تونا وسلمون 150 جم</v>
      </c>
      <c r="H1867" s="133" t="str">
        <f>IFERROR(__xludf.DUMMYFUNCTION("""COMPUTED_VALUE"""),"MAFE20214142")</f>
        <v>MAFE20214142</v>
      </c>
      <c r="I1867" s="133"/>
      <c r="J1867" s="133"/>
      <c r="K1867" s="133" t="str">
        <f>IFERROR(__xludf.DUMMYFUNCTION("""COMPUTED_VALUE"""),"تروبيكال كانينج بابليك كمبني ليميتيد")</f>
        <v>تروبيكال كانينج بابليك كمبني ليميتيد</v>
      </c>
      <c r="L1867" s="142" t="str">
        <f>IFERROR(__xludf.DUMMYFUNCTION("""COMPUTED_VALUE"""),"KC5768")</f>
        <v>KC5768</v>
      </c>
      <c r="M1867" s="133"/>
      <c r="N1867" s="133"/>
      <c r="O1867" s="133"/>
      <c r="P1867" s="133"/>
      <c r="Q1867" s="133"/>
      <c r="R1867" s="133"/>
      <c r="S1867" s="133"/>
      <c r="T1867" s="133"/>
      <c r="U1867" s="133"/>
      <c r="V1867" s="133"/>
      <c r="W1867" s="133"/>
      <c r="X1867" s="133"/>
      <c r="Y1867" s="133"/>
      <c r="Z1867" s="133"/>
    </row>
    <row r="1868">
      <c r="A1868" s="133">
        <f>IFERROR(__xludf.DUMMYFUNCTION("""COMPUTED_VALUE"""),1869.0)</f>
        <v>1869</v>
      </c>
      <c r="B1868" s="133" t="str">
        <f>IFERROR(__xludf.DUMMYFUNCTION("""COMPUTED_VALUE"""),"KC4792")</f>
        <v>KC4792</v>
      </c>
      <c r="C1868" s="133" t="str">
        <f>IFERROR(__xludf.DUMMYFUNCTION("""COMPUTED_VALUE"""),"P-1-N-081121-7519")</f>
        <v>P-1-N-081121-7519</v>
      </c>
      <c r="D1868" s="133"/>
      <c r="E1868" s="133" t="str">
        <f>IFERROR(__xludf.DUMMYFUNCTION("""COMPUTED_VALUE"""),"تمت طباعة الشهادة")</f>
        <v>تمت طباعة الشهادة</v>
      </c>
      <c r="F1868" s="133" t="str">
        <f>IFERROR(__xludf.DUMMYFUNCTION("""COMPUTED_VALUE"""),"Kit Cat Complete Cuisine - Tuna &amp; Whitebait 150g")</f>
        <v>Kit Cat Complete Cuisine - Tuna &amp; Whitebait 150g</v>
      </c>
      <c r="G1868" s="133" t="str">
        <f>IFERROR(__xludf.DUMMYFUNCTION("""COMPUTED_VALUE"""),"كيت كات كوزين كامل – تونا و ايت بيت 150 جم")</f>
        <v>كيت كات كوزين كامل – تونا و ايت بيت 150 جم</v>
      </c>
      <c r="H1868" s="133" t="str">
        <f>IFERROR(__xludf.DUMMYFUNCTION("""COMPUTED_VALUE"""),"MAFE20214141")</f>
        <v>MAFE20214141</v>
      </c>
      <c r="I1868" s="133"/>
      <c r="J1868" s="133"/>
      <c r="K1868" s="133" t="str">
        <f>IFERROR(__xludf.DUMMYFUNCTION("""COMPUTED_VALUE"""),"تروبيكال كانينج بابليك كمبني ليميتيد")</f>
        <v>تروبيكال كانينج بابليك كمبني ليميتيد</v>
      </c>
      <c r="L1868" s="142" t="str">
        <f>IFERROR(__xludf.DUMMYFUNCTION("""COMPUTED_VALUE"""),"KC4792")</f>
        <v>KC4792</v>
      </c>
      <c r="M1868" s="133"/>
      <c r="N1868" s="133"/>
      <c r="O1868" s="133"/>
      <c r="P1868" s="133"/>
      <c r="Q1868" s="133"/>
      <c r="R1868" s="133"/>
      <c r="S1868" s="133"/>
      <c r="T1868" s="133"/>
      <c r="U1868" s="133"/>
      <c r="V1868" s="133"/>
      <c r="W1868" s="133"/>
      <c r="X1868" s="133"/>
      <c r="Y1868" s="133"/>
      <c r="Z1868" s="133"/>
    </row>
    <row r="1869">
      <c r="A1869" s="133">
        <f>IFERROR(__xludf.DUMMYFUNCTION("""COMPUTED_VALUE"""),1870.0)</f>
        <v>1870</v>
      </c>
      <c r="B1869" s="133" t="str">
        <f>IFERROR(__xludf.DUMMYFUNCTION("""COMPUTED_VALUE"""),"KC4730")</f>
        <v>KC4730</v>
      </c>
      <c r="C1869" s="133" t="str">
        <f>IFERROR(__xludf.DUMMYFUNCTION("""COMPUTED_VALUE"""),"P-1-N-081121-7522")</f>
        <v>P-1-N-081121-7522</v>
      </c>
      <c r="D1869" s="133"/>
      <c r="E1869" s="133" t="str">
        <f>IFERROR(__xludf.DUMMYFUNCTION("""COMPUTED_VALUE"""),"تمت طباعة الشهادة")</f>
        <v>تمت طباعة الشهادة</v>
      </c>
      <c r="F1869" s="133" t="str">
        <f>IFERROR(__xludf.DUMMYFUNCTION("""COMPUTED_VALUE"""),"Kit Cat Complete Cuisine -Chicken &amp; Whitebait 150g")</f>
        <v>Kit Cat Complete Cuisine -Chicken &amp; Whitebait 150g</v>
      </c>
      <c r="G1869" s="133" t="str">
        <f>IFERROR(__xludf.DUMMYFUNCTION("""COMPUTED_VALUE"""),"كيت كات كوزين كامل - دجاج ووايت بيت 150 جم")</f>
        <v>كيت كات كوزين كامل - دجاج ووايت بيت 150 جم</v>
      </c>
      <c r="H1869" s="133" t="str">
        <f>IFERROR(__xludf.DUMMYFUNCTION("""COMPUTED_VALUE"""),"MAFE20214133")</f>
        <v>MAFE20214133</v>
      </c>
      <c r="I1869" s="133"/>
      <c r="J1869" s="133"/>
      <c r="K1869" s="133" t="str">
        <f>IFERROR(__xludf.DUMMYFUNCTION("""COMPUTED_VALUE"""),"تروبيكال كانينج بابليك كمبني ليميتيد")</f>
        <v>تروبيكال كانينج بابليك كمبني ليميتيد</v>
      </c>
      <c r="L1869" s="142" t="str">
        <f>IFERROR(__xludf.DUMMYFUNCTION("""COMPUTED_VALUE"""),"KC4730")</f>
        <v>KC4730</v>
      </c>
      <c r="M1869" s="133"/>
      <c r="N1869" s="133"/>
      <c r="O1869" s="133"/>
      <c r="P1869" s="133"/>
      <c r="Q1869" s="133"/>
      <c r="R1869" s="133"/>
      <c r="S1869" s="133"/>
      <c r="T1869" s="133"/>
      <c r="U1869" s="133"/>
      <c r="V1869" s="133"/>
      <c r="W1869" s="133"/>
      <c r="X1869" s="133"/>
      <c r="Y1869" s="133"/>
      <c r="Z1869" s="133"/>
    </row>
    <row r="1870">
      <c r="A1870" s="133">
        <f>IFERROR(__xludf.DUMMYFUNCTION("""COMPUTED_VALUE"""),1871.0)</f>
        <v>1871</v>
      </c>
      <c r="B1870" s="133" t="str">
        <f>IFERROR(__xludf.DUMMYFUNCTION("""COMPUTED_VALUE"""),"KC4693")</f>
        <v>KC4693</v>
      </c>
      <c r="C1870" s="133" t="str">
        <f>IFERROR(__xludf.DUMMYFUNCTION("""COMPUTED_VALUE"""),"P-1-N-081121-7523")</f>
        <v>P-1-N-081121-7523</v>
      </c>
      <c r="D1870" s="133"/>
      <c r="E1870" s="133" t="str">
        <f>IFERROR(__xludf.DUMMYFUNCTION("""COMPUTED_VALUE"""),"تمت طباعة الشهادة")</f>
        <v>تمت طباعة الشهادة</v>
      </c>
      <c r="F1870" s="133" t="str">
        <f>IFERROR(__xludf.DUMMYFUNCTION("""COMPUTED_VALUE"""),"Kit Cat Complete Cuisine-Chicken &amp; Goji Berry 150g")</f>
        <v>Kit Cat Complete Cuisine-Chicken &amp; Goji Berry 150g</v>
      </c>
      <c r="G1870" s="133" t="str">
        <f>IFERROR(__xludf.DUMMYFUNCTION("""COMPUTED_VALUE"""),"كيت كات كوزين كامل - دجاج وغوجي بيري 150 جم")</f>
        <v>كيت كات كوزين كامل - دجاج وغوجي بيري 150 جم</v>
      </c>
      <c r="H1870" s="133" t="str">
        <f>IFERROR(__xludf.DUMMYFUNCTION("""COMPUTED_VALUE"""),"MAFE20214137")</f>
        <v>MAFE20214137</v>
      </c>
      <c r="I1870" s="133"/>
      <c r="J1870" s="133"/>
      <c r="K1870" s="133" t="str">
        <f>IFERROR(__xludf.DUMMYFUNCTION("""COMPUTED_VALUE"""),"تروبيكال كانينج بابليك كمبني ليميتيد")</f>
        <v>تروبيكال كانينج بابليك كمبني ليميتيد</v>
      </c>
      <c r="L1870" s="142" t="str">
        <f>IFERROR(__xludf.DUMMYFUNCTION("""COMPUTED_VALUE"""),"KC4693")</f>
        <v>KC4693</v>
      </c>
      <c r="M1870" s="133"/>
      <c r="N1870" s="133"/>
      <c r="O1870" s="133"/>
      <c r="P1870" s="133"/>
      <c r="Q1870" s="133"/>
      <c r="R1870" s="133"/>
      <c r="S1870" s="133"/>
      <c r="T1870" s="133"/>
      <c r="U1870" s="133"/>
      <c r="V1870" s="133"/>
      <c r="W1870" s="133"/>
      <c r="X1870" s="133"/>
      <c r="Y1870" s="133"/>
      <c r="Z1870" s="133"/>
    </row>
    <row r="1871">
      <c r="A1871" s="133">
        <f>IFERROR(__xludf.DUMMYFUNCTION("""COMPUTED_VALUE"""),1872.0)</f>
        <v>1872</v>
      </c>
      <c r="B1871" s="133" t="str">
        <f>IFERROR(__xludf.DUMMYFUNCTION("""COMPUTED_VALUE"""),"KC5775")</f>
        <v>KC5775</v>
      </c>
      <c r="C1871" s="133" t="str">
        <f>IFERROR(__xludf.DUMMYFUNCTION("""COMPUTED_VALUE"""),"P-1-N-150522-2936")</f>
        <v>P-1-N-150522-2936</v>
      </c>
      <c r="D1871" s="133"/>
      <c r="E1871" s="133" t="str">
        <f>IFERROR(__xludf.DUMMYFUNCTION("""COMPUTED_VALUE"""),"تمت طباعة الشهادة")</f>
        <v>تمت طباعة الشهادة</v>
      </c>
      <c r="F1871" s="133" t="str">
        <f>IFERROR(__xludf.DUMMYFUNCTION("""COMPUTED_VALUE"""),"Kit Cat Complete Cuisine Kitten Recipe Chicken 150g")</f>
        <v>Kit Cat Complete Cuisine Kitten Recipe Chicken 150g</v>
      </c>
      <c r="G1871" s="133" t="str">
        <f>IFERROR(__xludf.DUMMYFUNCTION("""COMPUTED_VALUE"""),"كيت كات كوزين كامل كتن وصفة الدجاج في المرق 150 جم")</f>
        <v>كيت كات كوزين كامل كتن وصفة الدجاج في المرق 150 جم</v>
      </c>
      <c r="H1871" s="133"/>
      <c r="I1871" s="133"/>
      <c r="J1871" s="133"/>
      <c r="K1871" s="133" t="str">
        <f>IFERROR(__xludf.DUMMYFUNCTION("""COMPUTED_VALUE"""),"تروبيكال كانينج بابليك كمبني ليميتيد")</f>
        <v>تروبيكال كانينج بابليك كمبني ليميتيد</v>
      </c>
      <c r="L1871" s="142" t="str">
        <f>IFERROR(__xludf.DUMMYFUNCTION("""COMPUTED_VALUE"""),"KC5775")</f>
        <v>KC5775</v>
      </c>
      <c r="M1871" s="133"/>
      <c r="N1871" s="133"/>
      <c r="O1871" s="133"/>
      <c r="P1871" s="133"/>
      <c r="Q1871" s="133"/>
      <c r="R1871" s="133"/>
      <c r="S1871" s="133"/>
      <c r="T1871" s="133"/>
      <c r="U1871" s="133"/>
      <c r="V1871" s="133"/>
      <c r="W1871" s="133"/>
      <c r="X1871" s="133"/>
      <c r="Y1871" s="133"/>
      <c r="Z1871" s="133"/>
    </row>
    <row r="1872">
      <c r="A1872" s="133">
        <f>IFERROR(__xludf.DUMMYFUNCTION("""COMPUTED_VALUE"""),1873.0)</f>
        <v>1873</v>
      </c>
      <c r="B1872" s="133" t="str">
        <f>IFERROR(__xludf.DUMMYFUNCTION("""COMPUTED_VALUE"""),"KC4747")</f>
        <v>KC4747</v>
      </c>
      <c r="C1872" s="133" t="str">
        <f>IFERROR(__xludf.DUMMYFUNCTION("""COMPUTED_VALUE"""),"P-1-N-150522-2937")</f>
        <v>P-1-N-150522-2937</v>
      </c>
      <c r="D1872" s="133"/>
      <c r="E1872" s="133" t="str">
        <f>IFERROR(__xludf.DUMMYFUNCTION("""COMPUTED_VALUE"""),"تمت طباعة الشهادة")</f>
        <v>تمت طباعة الشهادة</v>
      </c>
      <c r="F1872" s="133" t="str">
        <f>IFERROR(__xludf.DUMMYFUNCTION("""COMPUTED_VALUE"""),"Kit Cat Complete Cuisine Kitten Recipe Tuna 150g")</f>
        <v>Kit Cat Complete Cuisine Kitten Recipe Tuna 150g</v>
      </c>
      <c r="G1872" s="133" t="str">
        <f>IFERROR(__xludf.DUMMYFUNCTION("""COMPUTED_VALUE"""),"كيت كات كوزين كامل كتن وصفة التونا في المرق 150 جم")</f>
        <v>كيت كات كوزين كامل كتن وصفة التونا في المرق 150 جم</v>
      </c>
      <c r="H1872" s="133" t="str">
        <f>IFERROR(__xludf.DUMMYFUNCTION("""COMPUTED_VALUE"""),"MAFE20221668")</f>
        <v>MAFE20221668</v>
      </c>
      <c r="I1872" s="133"/>
      <c r="J1872" s="133"/>
      <c r="K1872" s="133" t="str">
        <f>IFERROR(__xludf.DUMMYFUNCTION("""COMPUTED_VALUE"""),"تروبيكال كانينج بابليك كمبني ليميتيد")</f>
        <v>تروبيكال كانينج بابليك كمبني ليميتيد</v>
      </c>
      <c r="L1872" s="142" t="str">
        <f>IFERROR(__xludf.DUMMYFUNCTION("""COMPUTED_VALUE"""),"KC4747")</f>
        <v>KC4747</v>
      </c>
      <c r="M1872" s="133"/>
      <c r="N1872" s="133"/>
      <c r="O1872" s="133"/>
      <c r="P1872" s="133"/>
      <c r="Q1872" s="133"/>
      <c r="R1872" s="133"/>
      <c r="S1872" s="133"/>
      <c r="T1872" s="133"/>
      <c r="U1872" s="133"/>
      <c r="V1872" s="133"/>
      <c r="W1872" s="133"/>
      <c r="X1872" s="133"/>
      <c r="Y1872" s="133"/>
      <c r="Z1872" s="133"/>
    </row>
    <row r="1873">
      <c r="A1873" s="133">
        <f>IFERROR(__xludf.DUMMYFUNCTION("""COMPUTED_VALUE"""),1874.0)</f>
        <v>1874</v>
      </c>
      <c r="B1873" s="133" t="str">
        <f>IFERROR(__xludf.DUMMYFUNCTION("""COMPUTED_VALUE"""),"KC5607")</f>
        <v>KC5607</v>
      </c>
      <c r="C1873" s="133" t="str">
        <f>IFERROR(__xludf.DUMMYFUNCTION("""COMPUTED_VALUE"""),"P-1-N-150822-4725")</f>
        <v>P-1-N-150822-4725</v>
      </c>
      <c r="D1873" s="133"/>
      <c r="E1873" s="133" t="str">
        <f>IFERROR(__xludf.DUMMYFUNCTION("""COMPUTED_VALUE"""),"تمت طباعة الشهادة")</f>
        <v>تمت طباعة الشهادة</v>
      </c>
      <c r="F1873" s="133" t="str">
        <f>IFERROR(__xludf.DUMMYFUNCTION("""COMPUTED_VALUE"""),"Kit Cat Cat Stick - Chicken &amp; Wild Berries 15g")</f>
        <v>Kit Cat Cat Stick - Chicken &amp; Wild Berries 15g</v>
      </c>
      <c r="G1873" s="133" t="str">
        <f>IFERROR(__xludf.DUMMYFUNCTION("""COMPUTED_VALUE"""),"كيت كات دجاج مع التوت البري 15 جم")</f>
        <v>كيت كات دجاج مع التوت البري 15 جم</v>
      </c>
      <c r="H1873" s="133" t="str">
        <f>IFERROR(__xludf.DUMMYFUNCTION("""COMPUTED_VALUE"""),"MAFE20222543")</f>
        <v>MAFE20222543</v>
      </c>
      <c r="I1873" s="133"/>
      <c r="J1873" s="133"/>
      <c r="K1873" s="133" t="str">
        <f>IFERROR(__xludf.DUMMYFUNCTION("""COMPUTED_VALUE"""),"شركة برو بيت النمسا لأغذية الحيوانات الأليفة")</f>
        <v>شركة برو بيت النمسا لأغذية الحيوانات الأليفة</v>
      </c>
      <c r="L1873" s="142" t="str">
        <f>IFERROR(__xludf.DUMMYFUNCTION("""COMPUTED_VALUE"""),"KC5607")</f>
        <v>KC5607</v>
      </c>
      <c r="M1873" s="133"/>
      <c r="N1873" s="133"/>
      <c r="O1873" s="133"/>
      <c r="P1873" s="133"/>
      <c r="Q1873" s="133"/>
      <c r="R1873" s="133"/>
      <c r="S1873" s="133"/>
      <c r="T1873" s="133"/>
      <c r="U1873" s="133"/>
      <c r="V1873" s="133"/>
      <c r="W1873" s="133"/>
      <c r="X1873" s="133"/>
      <c r="Y1873" s="133"/>
      <c r="Z1873" s="133"/>
    </row>
    <row r="1874">
      <c r="A1874" s="133">
        <f>IFERROR(__xludf.DUMMYFUNCTION("""COMPUTED_VALUE"""),1875.0)</f>
        <v>1875</v>
      </c>
      <c r="B1874" s="133" t="str">
        <f>IFERROR(__xludf.DUMMYFUNCTION("""COMPUTED_VALUE"""),"KC5621")</f>
        <v>KC5621</v>
      </c>
      <c r="C1874" s="133" t="str">
        <f>IFERROR(__xludf.DUMMYFUNCTION("""COMPUTED_VALUE"""),"P-1-N-150822-4726")</f>
        <v>P-1-N-150822-4726</v>
      </c>
      <c r="D1874" s="133"/>
      <c r="E1874" s="133" t="str">
        <f>IFERROR(__xludf.DUMMYFUNCTION("""COMPUTED_VALUE"""),"تمت طباعة الشهادة")</f>
        <v>تمت طباعة الشهادة</v>
      </c>
      <c r="F1874" s="133" t="str">
        <f>IFERROR(__xludf.DUMMYFUNCTION("""COMPUTED_VALUE"""),"Kit Cat Cat Stick - Chicken &amp; Salmon 15g")</f>
        <v>Kit Cat Cat Stick - Chicken &amp; Salmon 15g</v>
      </c>
      <c r="G1874" s="133" t="str">
        <f>IFERROR(__xludf.DUMMYFUNCTION("""COMPUTED_VALUE"""),"كيت كات دجاج وسلمون 15 جم")</f>
        <v>كيت كات دجاج وسلمون 15 جم</v>
      </c>
      <c r="H1874" s="133" t="str">
        <f>IFERROR(__xludf.DUMMYFUNCTION("""COMPUTED_VALUE"""),"MAFE20222539")</f>
        <v>MAFE20222539</v>
      </c>
      <c r="I1874" s="133"/>
      <c r="J1874" s="133"/>
      <c r="K1874" s="133" t="str">
        <f>IFERROR(__xludf.DUMMYFUNCTION("""COMPUTED_VALUE"""),"شركة برو بيت النمسا لأغذية الحيوانات الأليفة")</f>
        <v>شركة برو بيت النمسا لأغذية الحيوانات الأليفة</v>
      </c>
      <c r="L1874" s="142" t="str">
        <f>IFERROR(__xludf.DUMMYFUNCTION("""COMPUTED_VALUE"""),"KC5621")</f>
        <v>KC5621</v>
      </c>
      <c r="M1874" s="133"/>
      <c r="N1874" s="133"/>
      <c r="O1874" s="133"/>
      <c r="P1874" s="133"/>
      <c r="Q1874" s="133"/>
      <c r="R1874" s="133"/>
      <c r="S1874" s="133"/>
      <c r="T1874" s="133"/>
      <c r="U1874" s="133"/>
      <c r="V1874" s="133"/>
      <c r="W1874" s="133"/>
      <c r="X1874" s="133"/>
      <c r="Y1874" s="133"/>
      <c r="Z1874" s="133"/>
    </row>
    <row r="1875">
      <c r="A1875" s="133">
        <f>IFERROR(__xludf.DUMMYFUNCTION("""COMPUTED_VALUE"""),1876.0)</f>
        <v>1876</v>
      </c>
      <c r="B1875" s="133" t="str">
        <f>IFERROR(__xludf.DUMMYFUNCTION("""COMPUTED_VALUE"""),"KC5669")</f>
        <v>KC5669</v>
      </c>
      <c r="C1875" s="133" t="str">
        <f>IFERROR(__xludf.DUMMYFUNCTION("""COMPUTED_VALUE"""),"P-1-N-150822-4727")</f>
        <v>P-1-N-150822-4727</v>
      </c>
      <c r="D1875" s="133"/>
      <c r="E1875" s="133" t="str">
        <f>IFERROR(__xludf.DUMMYFUNCTION("""COMPUTED_VALUE"""),"تمت طباعة الشهادة")</f>
        <v>تمت طباعة الشهادة</v>
      </c>
      <c r="F1875" s="133" t="str">
        <f>IFERROR(__xludf.DUMMYFUNCTION("""COMPUTED_VALUE"""),"Kit Cat Cat Stick - Chicken , Duck &amp; Cranberries 15g")</f>
        <v>Kit Cat Cat Stick - Chicken , Duck &amp; Cranberries 15g</v>
      </c>
      <c r="G1875" s="133" t="str">
        <f>IFERROR(__xludf.DUMMYFUNCTION("""COMPUTED_VALUE"""),"كيت كات دجاج مع بط و كرز 15 جم")</f>
        <v>كيت كات دجاج مع بط و كرز 15 جم</v>
      </c>
      <c r="H1875" s="133" t="str">
        <f>IFERROR(__xludf.DUMMYFUNCTION("""COMPUTED_VALUE"""),"MAFE20222538")</f>
        <v>MAFE20222538</v>
      </c>
      <c r="I1875" s="133"/>
      <c r="J1875" s="133"/>
      <c r="K1875" s="133" t="str">
        <f>IFERROR(__xludf.DUMMYFUNCTION("""COMPUTED_VALUE"""),"شركة برو بيت النمسا لأغذية الحيوانات الأليفة")</f>
        <v>شركة برو بيت النمسا لأغذية الحيوانات الأليفة</v>
      </c>
      <c r="L1875" s="142" t="str">
        <f>IFERROR(__xludf.DUMMYFUNCTION("""COMPUTED_VALUE"""),"KC5669")</f>
        <v>KC5669</v>
      </c>
      <c r="M1875" s="133"/>
      <c r="N1875" s="133"/>
      <c r="O1875" s="133"/>
      <c r="P1875" s="133"/>
      <c r="Q1875" s="133"/>
      <c r="R1875" s="133"/>
      <c r="S1875" s="133"/>
      <c r="T1875" s="133"/>
      <c r="U1875" s="133"/>
      <c r="V1875" s="133"/>
      <c r="W1875" s="133"/>
      <c r="X1875" s="133"/>
      <c r="Y1875" s="133"/>
      <c r="Z1875" s="133"/>
    </row>
    <row r="1876">
      <c r="A1876" s="133">
        <f>IFERROR(__xludf.DUMMYFUNCTION("""COMPUTED_VALUE"""),1877.0)</f>
        <v>1877</v>
      </c>
      <c r="B1876" s="133" t="str">
        <f>IFERROR(__xludf.DUMMYFUNCTION("""COMPUTED_VALUE"""),"KC5638")</f>
        <v>KC5638</v>
      </c>
      <c r="C1876" s="133" t="str">
        <f>IFERROR(__xludf.DUMMYFUNCTION("""COMPUTED_VALUE"""),"P-1-N-150822-4728")</f>
        <v>P-1-N-150822-4728</v>
      </c>
      <c r="D1876" s="133"/>
      <c r="E1876" s="133" t="str">
        <f>IFERROR(__xludf.DUMMYFUNCTION("""COMPUTED_VALUE"""),"تمت طباعة الشهادة")</f>
        <v>تمت طباعة الشهادة</v>
      </c>
      <c r="F1876" s="133" t="str">
        <f>IFERROR(__xludf.DUMMYFUNCTION("""COMPUTED_VALUE"""),"Kit Cat Cat Stick - Atlantic Salmon 15g")</f>
        <v>Kit Cat Cat Stick - Atlantic Salmon 15g</v>
      </c>
      <c r="G1876" s="133" t="str">
        <f>IFERROR(__xludf.DUMMYFUNCTION("""COMPUTED_VALUE"""),"كيت كات وصفة السلمون الاطلسي 15 جم")</f>
        <v>كيت كات وصفة السلمون الاطلسي 15 جم</v>
      </c>
      <c r="H1876" s="133" t="str">
        <f>IFERROR(__xludf.DUMMYFUNCTION("""COMPUTED_VALUE"""),"MAFE20222531")</f>
        <v>MAFE20222531</v>
      </c>
      <c r="I1876" s="133"/>
      <c r="J1876" s="133"/>
      <c r="K1876" s="133" t="str">
        <f>IFERROR(__xludf.DUMMYFUNCTION("""COMPUTED_VALUE"""),"شركة برو بيت النمسا لأغذية الحيوانات الأليفة")</f>
        <v>شركة برو بيت النمسا لأغذية الحيوانات الأليفة</v>
      </c>
      <c r="L1876" s="142" t="str">
        <f>IFERROR(__xludf.DUMMYFUNCTION("""COMPUTED_VALUE"""),"KC5638")</f>
        <v>KC5638</v>
      </c>
      <c r="M1876" s="133"/>
      <c r="N1876" s="133"/>
      <c r="O1876" s="133"/>
      <c r="P1876" s="133"/>
      <c r="Q1876" s="133"/>
      <c r="R1876" s="133"/>
      <c r="S1876" s="133"/>
      <c r="T1876" s="133"/>
      <c r="U1876" s="133"/>
      <c r="V1876" s="133"/>
      <c r="W1876" s="133"/>
      <c r="X1876" s="133"/>
      <c r="Y1876" s="133"/>
      <c r="Z1876" s="133"/>
    </row>
    <row r="1877">
      <c r="A1877" s="133">
        <f>IFERROR(__xludf.DUMMYFUNCTION("""COMPUTED_VALUE"""),1878.0)</f>
        <v>1878</v>
      </c>
      <c r="B1877" s="133" t="str">
        <f>IFERROR(__xludf.DUMMYFUNCTION("""COMPUTED_VALUE"""),"KC5645")</f>
        <v>KC5645</v>
      </c>
      <c r="C1877" s="133" t="str">
        <f>IFERROR(__xludf.DUMMYFUNCTION("""COMPUTED_VALUE"""),"P-1-N-150822-4730")</f>
        <v>P-1-N-150822-4730</v>
      </c>
      <c r="D1877" s="133"/>
      <c r="E1877" s="133" t="str">
        <f>IFERROR(__xludf.DUMMYFUNCTION("""COMPUTED_VALUE"""),"تمت طباعة الشهادة")</f>
        <v>تمت طباعة الشهادة</v>
      </c>
      <c r="F1877" s="133" t="str">
        <f>IFERROR(__xludf.DUMMYFUNCTION("""COMPUTED_VALUE"""),"Kit Cat Cat Stick - Salmon &amp; Tuna 15g")</f>
        <v>Kit Cat Cat Stick - Salmon &amp; Tuna 15g</v>
      </c>
      <c r="G1877" s="133" t="str">
        <f>IFERROR(__xludf.DUMMYFUNCTION("""COMPUTED_VALUE"""),"كيت كات سلمون وتونة 15 جم")</f>
        <v>كيت كات سلمون وتونة 15 جم</v>
      </c>
      <c r="H1877" s="133" t="str">
        <f>IFERROR(__xludf.DUMMYFUNCTION("""COMPUTED_VALUE"""),"MAFE20222535")</f>
        <v>MAFE20222535</v>
      </c>
      <c r="I1877" s="133"/>
      <c r="J1877" s="133"/>
      <c r="K1877" s="133" t="str">
        <f>IFERROR(__xludf.DUMMYFUNCTION("""COMPUTED_VALUE"""),"شركة برو بيت النمسا لأغذية الحيوانات الأليفة")</f>
        <v>شركة برو بيت النمسا لأغذية الحيوانات الأليفة</v>
      </c>
      <c r="L1877" s="142" t="str">
        <f>IFERROR(__xludf.DUMMYFUNCTION("""COMPUTED_VALUE"""),"KC5645")</f>
        <v>KC5645</v>
      </c>
      <c r="M1877" s="133"/>
      <c r="N1877" s="133"/>
      <c r="O1877" s="133"/>
      <c r="P1877" s="133"/>
      <c r="Q1877" s="133"/>
      <c r="R1877" s="133"/>
      <c r="S1877" s="133"/>
      <c r="T1877" s="133"/>
      <c r="U1877" s="133"/>
      <c r="V1877" s="133"/>
      <c r="W1877" s="133"/>
      <c r="X1877" s="133"/>
      <c r="Y1877" s="133"/>
      <c r="Z1877" s="133"/>
    </row>
    <row r="1878">
      <c r="A1878" s="133">
        <f>IFERROR(__xludf.DUMMYFUNCTION("""COMPUTED_VALUE"""),1879.0)</f>
        <v>1879</v>
      </c>
      <c r="B1878" s="133" t="str">
        <f>IFERROR(__xludf.DUMMYFUNCTION("""COMPUTED_VALUE"""),"KC5676")</f>
        <v>KC5676</v>
      </c>
      <c r="C1878" s="133" t="str">
        <f>IFERROR(__xludf.DUMMYFUNCTION("""COMPUTED_VALUE"""),"P-1-N-150822-4731")</f>
        <v>P-1-N-150822-4731</v>
      </c>
      <c r="D1878" s="133"/>
      <c r="E1878" s="133" t="str">
        <f>IFERROR(__xludf.DUMMYFUNCTION("""COMPUTED_VALUE"""),"تمت طباعة الشهادة")</f>
        <v>تمت طباعة الشهادة</v>
      </c>
      <c r="F1878" s="133" t="str">
        <f>IFERROR(__xludf.DUMMYFUNCTION("""COMPUTED_VALUE"""),"Kit Cat Cat Stick - Salmon &amp; Scallop 15g")</f>
        <v>Kit Cat Cat Stick - Salmon &amp; Scallop 15g</v>
      </c>
      <c r="G1878" s="133" t="str">
        <f>IFERROR(__xludf.DUMMYFUNCTION("""COMPUTED_VALUE"""),"كيت كات السلمون والاسكالوب 15 جم")</f>
        <v>كيت كات السلمون والاسكالوب 15 جم</v>
      </c>
      <c r="H1878" s="133" t="str">
        <f>IFERROR(__xludf.DUMMYFUNCTION("""COMPUTED_VALUE"""),"MAFE20222530")</f>
        <v>MAFE20222530</v>
      </c>
      <c r="I1878" s="133"/>
      <c r="J1878" s="133"/>
      <c r="K1878" s="133" t="str">
        <f>IFERROR(__xludf.DUMMYFUNCTION("""COMPUTED_VALUE"""),"شركة برو بيت النمسا لأغذية الحيوانات الأليفة")</f>
        <v>شركة برو بيت النمسا لأغذية الحيوانات الأليفة</v>
      </c>
      <c r="L1878" s="142" t="str">
        <f>IFERROR(__xludf.DUMMYFUNCTION("""COMPUTED_VALUE"""),"KC5676")</f>
        <v>KC5676</v>
      </c>
      <c r="M1878" s="133"/>
      <c r="N1878" s="133"/>
      <c r="O1878" s="133"/>
      <c r="P1878" s="133"/>
      <c r="Q1878" s="133"/>
      <c r="R1878" s="133"/>
      <c r="S1878" s="133"/>
      <c r="T1878" s="133"/>
      <c r="U1878" s="133"/>
      <c r="V1878" s="133"/>
      <c r="W1878" s="133"/>
      <c r="X1878" s="133"/>
      <c r="Y1878" s="133"/>
      <c r="Z1878" s="133"/>
    </row>
    <row r="1879">
      <c r="A1879" s="133">
        <f>IFERROR(__xludf.DUMMYFUNCTION("""COMPUTED_VALUE"""),1880.0)</f>
        <v>1880</v>
      </c>
      <c r="B1879" s="133" t="str">
        <f>IFERROR(__xludf.DUMMYFUNCTION("""COMPUTED_VALUE"""),"kc7618")</f>
        <v>kc7618</v>
      </c>
      <c r="C1879" s="133" t="str">
        <f>IFERROR(__xludf.DUMMYFUNCTION("""COMPUTED_VALUE"""),"P-1-N-180822-4857")</f>
        <v>P-1-N-180822-4857</v>
      </c>
      <c r="D1879" s="133"/>
      <c r="E1879" s="133" t="str">
        <f>IFERROR(__xludf.DUMMYFUNCTION("""COMPUTED_VALUE"""),"تمت طباعة الشهادة")</f>
        <v>تمت طباعة الشهادة</v>
      </c>
      <c r="F1879" s="133" t="str">
        <f>IFERROR(__xludf.DUMMYFUNCTION("""COMPUTED_VALUE"""),"Kit Cat Purrfect Pockets Chicken &amp; Cheese 60g")</f>
        <v>Kit Cat Purrfect Pockets Chicken &amp; Cheese 60g</v>
      </c>
      <c r="G1879" s="133" t="str">
        <f>IFERROR(__xludf.DUMMYFUNCTION("""COMPUTED_VALUE"""),"كيت كات برفكت باكتس دجاج وجبن 60 ﺟﻢ")</f>
        <v>كيت كات برفكت باكتس دجاج وجبن 60 ﺟﻢ</v>
      </c>
      <c r="H1879" s="133" t="str">
        <f>IFERROR(__xludf.DUMMYFUNCTION("""COMPUTED_VALUE"""),"MAFE20222679")</f>
        <v>MAFE20222679</v>
      </c>
      <c r="I1879" s="133"/>
      <c r="J1879" s="133"/>
      <c r="K1879" s="133" t="str">
        <f>IFERROR(__xludf.DUMMYFUNCTION("""COMPUTED_VALUE"""),"الشركة المتحدة للحيوانات الأليفة أسبانيا")</f>
        <v>الشركة المتحدة للحيوانات الأليفة أسبانيا</v>
      </c>
      <c r="L1879" s="142" t="str">
        <f>IFERROR(__xludf.DUMMYFUNCTION("""COMPUTED_VALUE"""),"kc7618")</f>
        <v>kc7618</v>
      </c>
      <c r="M1879" s="133"/>
      <c r="N1879" s="133"/>
      <c r="O1879" s="133"/>
      <c r="P1879" s="133"/>
      <c r="Q1879" s="133"/>
      <c r="R1879" s="133"/>
      <c r="S1879" s="133"/>
      <c r="T1879" s="133"/>
      <c r="U1879" s="133"/>
      <c r="V1879" s="133"/>
      <c r="W1879" s="133"/>
      <c r="X1879" s="133"/>
      <c r="Y1879" s="133"/>
      <c r="Z1879" s="133"/>
    </row>
    <row r="1880">
      <c r="A1880" s="133">
        <f>IFERROR(__xludf.DUMMYFUNCTION("""COMPUTED_VALUE"""),1881.0)</f>
        <v>1881</v>
      </c>
      <c r="B1880" s="133" t="str">
        <f>IFERROR(__xludf.DUMMYFUNCTION("""COMPUTED_VALUE"""),"kc7601")</f>
        <v>kc7601</v>
      </c>
      <c r="C1880" s="133" t="str">
        <f>IFERROR(__xludf.DUMMYFUNCTION("""COMPUTED_VALUE"""),"P-1-N-180822-4859")</f>
        <v>P-1-N-180822-4859</v>
      </c>
      <c r="D1880" s="133"/>
      <c r="E1880" s="133" t="str">
        <f>IFERROR(__xludf.DUMMYFUNCTION("""COMPUTED_VALUE"""),"تمت طباعة الشهادة")</f>
        <v>تمت طباعة الشهادة</v>
      </c>
      <c r="F1880" s="133" t="str">
        <f>IFERROR(__xludf.DUMMYFUNCTION("""COMPUTED_VALUE"""),"Kit Cat Purrfect Pockets Hairball Control 60g")</f>
        <v>Kit Cat Purrfect Pockets Hairball Control 60g</v>
      </c>
      <c r="G1880" s="133" t="str">
        <f>IFERROR(__xludf.DUMMYFUNCTION("""COMPUTED_VALUE"""),"كيت كات برفكت باكتس للتحكم في كرة الشعر 60 ﺟﻢ")</f>
        <v>كيت كات برفكت باكتس للتحكم في كرة الشعر 60 ﺟﻢ</v>
      </c>
      <c r="H1880" s="133" t="str">
        <f>IFERROR(__xludf.DUMMYFUNCTION("""COMPUTED_VALUE"""),"MAFE20222695")</f>
        <v>MAFE20222695</v>
      </c>
      <c r="I1880" s="133"/>
      <c r="J1880" s="133"/>
      <c r="K1880" s="133" t="str">
        <f>IFERROR(__xludf.DUMMYFUNCTION("""COMPUTED_VALUE"""),"الشركة المتحدة للحيوانات الأليفة أسبانيا")</f>
        <v>الشركة المتحدة للحيوانات الأليفة أسبانيا</v>
      </c>
      <c r="L1880" s="142" t="str">
        <f>IFERROR(__xludf.DUMMYFUNCTION("""COMPUTED_VALUE"""),"kc7601")</f>
        <v>kc7601</v>
      </c>
      <c r="M1880" s="133"/>
      <c r="N1880" s="133"/>
      <c r="O1880" s="133"/>
      <c r="P1880" s="133"/>
      <c r="Q1880" s="133"/>
      <c r="R1880" s="133"/>
      <c r="S1880" s="133"/>
      <c r="T1880" s="133"/>
      <c r="U1880" s="133"/>
      <c r="V1880" s="133"/>
      <c r="W1880" s="133"/>
      <c r="X1880" s="133"/>
      <c r="Y1880" s="133"/>
      <c r="Z1880" s="133"/>
    </row>
    <row r="1881">
      <c r="A1881" s="133">
        <f>IFERROR(__xludf.DUMMYFUNCTION("""COMPUTED_VALUE"""),1882.0)</f>
        <v>1882</v>
      </c>
      <c r="B1881" s="133" t="str">
        <f>IFERROR(__xludf.DUMMYFUNCTION("""COMPUTED_VALUE"""),"kc7625")</f>
        <v>kc7625</v>
      </c>
      <c r="C1881" s="133" t="str">
        <f>IFERROR(__xludf.DUMMYFUNCTION("""COMPUTED_VALUE"""),"P-1-N-180822-4860")</f>
        <v>P-1-N-180822-4860</v>
      </c>
      <c r="D1881" s="133"/>
      <c r="E1881" s="133" t="str">
        <f>IFERROR(__xludf.DUMMYFUNCTION("""COMPUTED_VALUE"""),"تمت طباعة الشهادة")</f>
        <v>تمت طباعة الشهادة</v>
      </c>
      <c r="F1881" s="133" t="str">
        <f>IFERROR(__xludf.DUMMYFUNCTION("""COMPUTED_VALUE"""),"Kit Cat Purrfect Pockets Salmon 60g")</f>
        <v>Kit Cat Purrfect Pockets Salmon 60g</v>
      </c>
      <c r="G1881" s="133" t="str">
        <f>IFERROR(__xludf.DUMMYFUNCTION("""COMPUTED_VALUE"""),"كيت كات برفكت باكتس سلمون 60 ﺟﻢ")</f>
        <v>كيت كات برفكت باكتس سلمون 60 ﺟﻢ</v>
      </c>
      <c r="H1881" s="133" t="str">
        <f>IFERROR(__xludf.DUMMYFUNCTION("""COMPUTED_VALUE"""),"MAFE20222694")</f>
        <v>MAFE20222694</v>
      </c>
      <c r="I1881" s="133"/>
      <c r="J1881" s="133"/>
      <c r="K1881" s="133" t="str">
        <f>IFERROR(__xludf.DUMMYFUNCTION("""COMPUTED_VALUE"""),"الشركة المتحدة للحيوانات الأليفة أسبانيا")</f>
        <v>الشركة المتحدة للحيوانات الأليفة أسبانيا</v>
      </c>
      <c r="L1881" s="142" t="str">
        <f>IFERROR(__xludf.DUMMYFUNCTION("""COMPUTED_VALUE"""),"kc7625")</f>
        <v>kc7625</v>
      </c>
      <c r="M1881" s="133"/>
      <c r="N1881" s="133"/>
      <c r="O1881" s="133"/>
      <c r="P1881" s="133"/>
      <c r="Q1881" s="133"/>
      <c r="R1881" s="133"/>
      <c r="S1881" s="133"/>
      <c r="T1881" s="133"/>
      <c r="U1881" s="133"/>
      <c r="V1881" s="133"/>
      <c r="W1881" s="133"/>
      <c r="X1881" s="133"/>
      <c r="Y1881" s="133"/>
      <c r="Z1881" s="133"/>
    </row>
    <row r="1882">
      <c r="A1882" s="133">
        <f>IFERROR(__xludf.DUMMYFUNCTION("""COMPUTED_VALUE"""),1883.0)</f>
        <v>1883</v>
      </c>
      <c r="B1882" s="133" t="str">
        <f>IFERROR(__xludf.DUMMYFUNCTION("""COMPUTED_VALUE"""),"kc7649")</f>
        <v>kc7649</v>
      </c>
      <c r="C1882" s="133" t="str">
        <f>IFERROR(__xludf.DUMMYFUNCTION("""COMPUTED_VALUE"""),"P-1-N-180822-4861")</f>
        <v>P-1-N-180822-4861</v>
      </c>
      <c r="D1882" s="133"/>
      <c r="E1882" s="133" t="str">
        <f>IFERROR(__xludf.DUMMYFUNCTION("""COMPUTED_VALUE"""),"تمت طباعة الشهادة")</f>
        <v>تمت طباعة الشهادة</v>
      </c>
      <c r="F1882" s="133" t="str">
        <f>IFERROR(__xludf.DUMMYFUNCTION("""COMPUTED_VALUE"""),"Kit Cat Purrfect Pockets Sensitive Care 60g")</f>
        <v>Kit Cat Purrfect Pockets Sensitive Care 60g</v>
      </c>
      <c r="G1882" s="133" t="str">
        <f>IFERROR(__xludf.DUMMYFUNCTION("""COMPUTED_VALUE"""),"كيت كات برفكت باكتس للعناية الحساسة 60 ﺟﻢ")</f>
        <v>كيت كات برفكت باكتس للعناية الحساسة 60 ﺟﻢ</v>
      </c>
      <c r="H1882" s="133" t="str">
        <f>IFERROR(__xludf.DUMMYFUNCTION("""COMPUTED_VALUE"""),"MAFE20222701")</f>
        <v>MAFE20222701</v>
      </c>
      <c r="I1882" s="133"/>
      <c r="J1882" s="133"/>
      <c r="K1882" s="133" t="str">
        <f>IFERROR(__xludf.DUMMYFUNCTION("""COMPUTED_VALUE"""),"الشركة المتحدة للحيوانات الأليفة أسبانيا")</f>
        <v>الشركة المتحدة للحيوانات الأليفة أسبانيا</v>
      </c>
      <c r="L1882" s="142" t="str">
        <f>IFERROR(__xludf.DUMMYFUNCTION("""COMPUTED_VALUE"""),"kc7649")</f>
        <v>kc7649</v>
      </c>
      <c r="M1882" s="133"/>
      <c r="N1882" s="133"/>
      <c r="O1882" s="133"/>
      <c r="P1882" s="133"/>
      <c r="Q1882" s="133"/>
      <c r="R1882" s="133"/>
      <c r="S1882" s="133"/>
      <c r="T1882" s="133"/>
      <c r="U1882" s="133"/>
      <c r="V1882" s="133"/>
      <c r="W1882" s="133"/>
      <c r="X1882" s="133"/>
      <c r="Y1882" s="133"/>
      <c r="Z1882" s="133"/>
    </row>
    <row r="1883">
      <c r="A1883" s="133">
        <f>IFERROR(__xludf.DUMMYFUNCTION("""COMPUTED_VALUE"""),1884.0)</f>
        <v>1884</v>
      </c>
      <c r="B1883" s="133" t="str">
        <f>IFERROR(__xludf.DUMMYFUNCTION("""COMPUTED_VALUE"""),"kc7632")</f>
        <v>kc7632</v>
      </c>
      <c r="C1883" s="133" t="str">
        <f>IFERROR(__xludf.DUMMYFUNCTION("""COMPUTED_VALUE"""),"P-1-N-180822-4862")</f>
        <v>P-1-N-180822-4862</v>
      </c>
      <c r="D1883" s="133"/>
      <c r="E1883" s="133" t="str">
        <f>IFERROR(__xludf.DUMMYFUNCTION("""COMPUTED_VALUE"""),"تمت طباعة الشهادة")</f>
        <v>تمت طباعة الشهادة</v>
      </c>
      <c r="F1883" s="133" t="str">
        <f>IFERROR(__xludf.DUMMYFUNCTION("""COMPUTED_VALUE"""),"Kit Cat Purrfect Pockets Skin &amp; Coat Care 60g")</f>
        <v>Kit Cat Purrfect Pockets Skin &amp; Coat Care 60g</v>
      </c>
      <c r="G1883" s="133" t="str">
        <f>IFERROR(__xludf.DUMMYFUNCTION("""COMPUTED_VALUE"""),"كيت كات برفكت باكتس العناية بالجلد والمعطف 60 ﺟﻢ")</f>
        <v>كيت كات برفكت باكتس العناية بالجلد والمعطف 60 ﺟﻢ</v>
      </c>
      <c r="H1883" s="133" t="str">
        <f>IFERROR(__xludf.DUMMYFUNCTION("""COMPUTED_VALUE"""),"MAFE20222700")</f>
        <v>MAFE20222700</v>
      </c>
      <c r="I1883" s="133"/>
      <c r="J1883" s="133"/>
      <c r="K1883" s="133" t="str">
        <f>IFERROR(__xludf.DUMMYFUNCTION("""COMPUTED_VALUE"""),"الشركة المتحدة للحيوانات الأليفة أسبانيا")</f>
        <v>الشركة المتحدة للحيوانات الأليفة أسبانيا</v>
      </c>
      <c r="L1883" s="142" t="str">
        <f>IFERROR(__xludf.DUMMYFUNCTION("""COMPUTED_VALUE"""),"kc7632")</f>
        <v>kc7632</v>
      </c>
      <c r="M1883" s="133"/>
      <c r="N1883" s="133"/>
      <c r="O1883" s="133"/>
      <c r="P1883" s="133"/>
      <c r="Q1883" s="133"/>
      <c r="R1883" s="133"/>
      <c r="S1883" s="133"/>
      <c r="T1883" s="133"/>
      <c r="U1883" s="133"/>
      <c r="V1883" s="133"/>
      <c r="W1883" s="133"/>
      <c r="X1883" s="133"/>
      <c r="Y1883" s="133"/>
      <c r="Z1883" s="133"/>
    </row>
    <row r="1884">
      <c r="A1884" s="133">
        <f>IFERROR(__xludf.DUMMYFUNCTION("""COMPUTED_VALUE"""),1885.0)</f>
        <v>1885</v>
      </c>
      <c r="B1884" s="133" t="str">
        <f>IFERROR(__xludf.DUMMYFUNCTION("""COMPUTED_VALUE"""),"kc7854")</f>
        <v>kc7854</v>
      </c>
      <c r="C1884" s="133" t="str">
        <f>IFERROR(__xludf.DUMMYFUNCTION("""COMPUTED_VALUE"""),"P-1-N-210822-4880")</f>
        <v>P-1-N-210822-4880</v>
      </c>
      <c r="D1884" s="133"/>
      <c r="E1884" s="133" t="str">
        <f>IFERROR(__xludf.DUMMYFUNCTION("""COMPUTED_VALUE"""),"تمت طباعة الشهادة")</f>
        <v>تمت طباعة الشهادة</v>
      </c>
      <c r="F1884" s="133" t="str">
        <f>IFERROR(__xludf.DUMMYFUNCTION("""COMPUTED_VALUE"""),"Kit Cat Freeze Dried Yogurt Yums 10g - Original")</f>
        <v>Kit Cat Freeze Dried Yogurt Yums 10g - Original</v>
      </c>
      <c r="G1884" s="133" t="str">
        <f>IFERROR(__xludf.DUMMYFUNCTION("""COMPUTED_VALUE"""),"كيت كات فريز درايد يوغرت يمس 10 جرام - أصلي")</f>
        <v>كيت كات فريز درايد يوغرت يمس 10 جرام - أصلي</v>
      </c>
      <c r="H1884" s="133" t="str">
        <f>IFERROR(__xludf.DUMMYFUNCTION("""COMPUTED_VALUE"""),"MAFE20223135")</f>
        <v>MAFE20223135</v>
      </c>
      <c r="I1884" s="133"/>
      <c r="J1884" s="133"/>
      <c r="K1884" s="133" t="str">
        <f>IFERROR(__xludf.DUMMYFUNCTION("""COMPUTED_VALUE"""),"شركة تيانجين رانوفا للحيوانات الأليفة المحدودة")</f>
        <v>شركة تيانجين رانوفا للحيوانات الأليفة المحدودة</v>
      </c>
      <c r="L1884" s="142" t="str">
        <f>IFERROR(__xludf.DUMMYFUNCTION("""COMPUTED_VALUE"""),"kc7854")</f>
        <v>kc7854</v>
      </c>
      <c r="M1884" s="133"/>
      <c r="N1884" s="133"/>
      <c r="O1884" s="133"/>
      <c r="P1884" s="133"/>
      <c r="Q1884" s="133"/>
      <c r="R1884" s="133"/>
      <c r="S1884" s="133"/>
      <c r="T1884" s="133"/>
      <c r="U1884" s="133"/>
      <c r="V1884" s="133"/>
      <c r="W1884" s="133"/>
      <c r="X1884" s="133"/>
      <c r="Y1884" s="133"/>
      <c r="Z1884" s="133"/>
    </row>
    <row r="1885">
      <c r="A1885" s="133">
        <f>IFERROR(__xludf.DUMMYFUNCTION("""COMPUTED_VALUE"""),1886.0)</f>
        <v>1886</v>
      </c>
      <c r="B1885" s="133" t="str">
        <f>IFERROR(__xludf.DUMMYFUNCTION("""COMPUTED_VALUE"""),"kc7847")</f>
        <v>kc7847</v>
      </c>
      <c r="C1885" s="133" t="str">
        <f>IFERROR(__xludf.DUMMYFUNCTION("""COMPUTED_VALUE"""),"P-1-N-210822-4881")</f>
        <v>P-1-N-210822-4881</v>
      </c>
      <c r="D1885" s="133"/>
      <c r="E1885" s="133" t="str">
        <f>IFERROR(__xludf.DUMMYFUNCTION("""COMPUTED_VALUE"""),"تمت طباعة الشهادة")</f>
        <v>تمت طباعة الشهادة</v>
      </c>
      <c r="F1885" s="133" t="str">
        <f>IFERROR(__xludf.DUMMYFUNCTION("""COMPUTED_VALUE"""),"Kit Cat Freeze Dried Yogurt Yums 10g - Blueberry")</f>
        <v>Kit Cat Freeze Dried Yogurt Yums 10g - Blueberry</v>
      </c>
      <c r="G1885" s="133" t="str">
        <f>IFERROR(__xludf.DUMMYFUNCTION("""COMPUTED_VALUE"""),"كيت كات فريز درايد يوغرت يمس 10 جرام - توت")</f>
        <v>كيت كات فريز درايد يوغرت يمس 10 جرام - توت</v>
      </c>
      <c r="H1885" s="133" t="str">
        <f>IFERROR(__xludf.DUMMYFUNCTION("""COMPUTED_VALUE"""),"MAFE20223134")</f>
        <v>MAFE20223134</v>
      </c>
      <c r="I1885" s="133"/>
      <c r="J1885" s="133"/>
      <c r="K1885" s="133" t="str">
        <f>IFERROR(__xludf.DUMMYFUNCTION("""COMPUTED_VALUE"""),"شركة تيانجين رانوفا للحيوانات الأليفة المحدودة")</f>
        <v>شركة تيانجين رانوفا للحيوانات الأليفة المحدودة</v>
      </c>
      <c r="L1885" s="142" t="str">
        <f>IFERROR(__xludf.DUMMYFUNCTION("""COMPUTED_VALUE"""),"kc7847")</f>
        <v>kc7847</v>
      </c>
      <c r="M1885" s="133"/>
      <c r="N1885" s="133"/>
      <c r="O1885" s="133"/>
      <c r="P1885" s="133"/>
      <c r="Q1885" s="133"/>
      <c r="R1885" s="133"/>
      <c r="S1885" s="133"/>
      <c r="T1885" s="133"/>
      <c r="U1885" s="133"/>
      <c r="V1885" s="133"/>
      <c r="W1885" s="133"/>
      <c r="X1885" s="133"/>
      <c r="Y1885" s="133"/>
      <c r="Z1885" s="133"/>
    </row>
    <row r="1886">
      <c r="A1886" s="133">
        <f>IFERROR(__xludf.DUMMYFUNCTION("""COMPUTED_VALUE"""),1887.0)</f>
        <v>1887</v>
      </c>
      <c r="B1886" s="133" t="str">
        <f>IFERROR(__xludf.DUMMYFUNCTION("""COMPUTED_VALUE"""),"kc7861")</f>
        <v>kc7861</v>
      </c>
      <c r="C1886" s="133" t="str">
        <f>IFERROR(__xludf.DUMMYFUNCTION("""COMPUTED_VALUE"""),"P-1-N-210822-4882")</f>
        <v>P-1-N-210822-4882</v>
      </c>
      <c r="D1886" s="133"/>
      <c r="E1886" s="133" t="str">
        <f>IFERROR(__xludf.DUMMYFUNCTION("""COMPUTED_VALUE"""),"تمت طباعة الشهادة")</f>
        <v>تمت طباعة الشهادة</v>
      </c>
      <c r="F1886" s="133" t="str">
        <f>IFERROR(__xludf.DUMMYFUNCTION("""COMPUTED_VALUE"""),"Kit Cat Freeze Dried Yogurt Yums 10g - Cranberry")</f>
        <v>Kit Cat Freeze Dried Yogurt Yums 10g - Cranberry</v>
      </c>
      <c r="G1886" s="133" t="str">
        <f>IFERROR(__xludf.DUMMYFUNCTION("""COMPUTED_VALUE"""),"كيت كات فريز درايد يوغرت يمس 10 جرام - توت بري")</f>
        <v>كيت كات فريز درايد يوغرت يمس 10 جرام - توت بري</v>
      </c>
      <c r="H1886" s="133" t="str">
        <f>IFERROR(__xludf.DUMMYFUNCTION("""COMPUTED_VALUE"""),"MAFE20223133")</f>
        <v>MAFE20223133</v>
      </c>
      <c r="I1886" s="133"/>
      <c r="J1886" s="133"/>
      <c r="K1886" s="133" t="str">
        <f>IFERROR(__xludf.DUMMYFUNCTION("""COMPUTED_VALUE"""),"شركة تيانجين رانوفا للحيوانات الأليفة المحدودة")</f>
        <v>شركة تيانجين رانوفا للحيوانات الأليفة المحدودة</v>
      </c>
      <c r="L1886" s="142" t="str">
        <f>IFERROR(__xludf.DUMMYFUNCTION("""COMPUTED_VALUE"""),"kc7861")</f>
        <v>kc7861</v>
      </c>
      <c r="M1886" s="133"/>
      <c r="N1886" s="133"/>
      <c r="O1886" s="133"/>
      <c r="P1886" s="133"/>
      <c r="Q1886" s="133"/>
      <c r="R1886" s="133"/>
      <c r="S1886" s="133"/>
      <c r="T1886" s="133"/>
      <c r="U1886" s="133"/>
      <c r="V1886" s="133"/>
      <c r="W1886" s="133"/>
      <c r="X1886" s="133"/>
      <c r="Y1886" s="133"/>
      <c r="Z1886" s="133"/>
    </row>
    <row r="1887">
      <c r="A1887" s="133">
        <f>IFERROR(__xludf.DUMMYFUNCTION("""COMPUTED_VALUE"""),1888.0)</f>
        <v>1888</v>
      </c>
      <c r="B1887" s="133" t="str">
        <f>IFERROR(__xludf.DUMMYFUNCTION("""COMPUTED_VALUE"""),"kc7878")</f>
        <v>kc7878</v>
      </c>
      <c r="C1887" s="133" t="str">
        <f>IFERROR(__xludf.DUMMYFUNCTION("""COMPUTED_VALUE"""),"P-1-N-210822-4883")</f>
        <v>P-1-N-210822-4883</v>
      </c>
      <c r="D1887" s="133"/>
      <c r="E1887" s="133" t="str">
        <f>IFERROR(__xludf.DUMMYFUNCTION("""COMPUTED_VALUE"""),"تمت طباعة الشهادة")</f>
        <v>تمت طباعة الشهادة</v>
      </c>
      <c r="F1887" s="133" t="str">
        <f>IFERROR(__xludf.DUMMYFUNCTION("""COMPUTED_VALUE"""),"Kit Cat Freeze Dried Yogurt Yums 10g - Pumpkin")</f>
        <v>Kit Cat Freeze Dried Yogurt Yums 10g - Pumpkin</v>
      </c>
      <c r="G1887" s="133" t="str">
        <f>IFERROR(__xludf.DUMMYFUNCTION("""COMPUTED_VALUE"""),"كيت كات فريز درايد يوغرت يمس 10 جرام - يقطين")</f>
        <v>كيت كات فريز درايد يوغرت يمس 10 جرام - يقطين</v>
      </c>
      <c r="H1887" s="133" t="str">
        <f>IFERROR(__xludf.DUMMYFUNCTION("""COMPUTED_VALUE"""),"MAFE20223131")</f>
        <v>MAFE20223131</v>
      </c>
      <c r="I1887" s="133"/>
      <c r="J1887" s="133"/>
      <c r="K1887" s="133" t="str">
        <f>IFERROR(__xludf.DUMMYFUNCTION("""COMPUTED_VALUE"""),"شركة تيانجين رانوفا للحيوانات الأليفة المحدودة")</f>
        <v>شركة تيانجين رانوفا للحيوانات الأليفة المحدودة</v>
      </c>
      <c r="L1887" s="142" t="str">
        <f>IFERROR(__xludf.DUMMYFUNCTION("""COMPUTED_VALUE"""),"kc7878")</f>
        <v>kc7878</v>
      </c>
      <c r="M1887" s="133"/>
      <c r="N1887" s="133"/>
      <c r="O1887" s="133"/>
      <c r="P1887" s="133"/>
      <c r="Q1887" s="133"/>
      <c r="R1887" s="133"/>
      <c r="S1887" s="133"/>
      <c r="T1887" s="133"/>
      <c r="U1887" s="133"/>
      <c r="V1887" s="133"/>
      <c r="W1887" s="133"/>
      <c r="X1887" s="133"/>
      <c r="Y1887" s="133"/>
      <c r="Z1887" s="133"/>
    </row>
    <row r="1888">
      <c r="A1888" s="133">
        <f>IFERROR(__xludf.DUMMYFUNCTION("""COMPUTED_VALUE"""),1889.0)</f>
        <v>1889</v>
      </c>
      <c r="B1888" s="133" t="str">
        <f>IFERROR(__xludf.DUMMYFUNCTION("""COMPUTED_VALUE"""),"kc7885")</f>
        <v>kc7885</v>
      </c>
      <c r="C1888" s="133" t="str">
        <f>IFERROR(__xludf.DUMMYFUNCTION("""COMPUTED_VALUE"""),"P-1-N-210822-4884")</f>
        <v>P-1-N-210822-4884</v>
      </c>
      <c r="D1888" s="133"/>
      <c r="E1888" s="133" t="str">
        <f>IFERROR(__xludf.DUMMYFUNCTION("""COMPUTED_VALUE"""),"تمت طباعة الشهادة")</f>
        <v>تمت طباعة الشهادة</v>
      </c>
      <c r="F1888" s="133" t="str">
        <f>IFERROR(__xludf.DUMMYFUNCTION("""COMPUTED_VALUE"""),"Kit Cat Freeze Dried Yogurt Yums 10g - Strawberry")</f>
        <v>Kit Cat Freeze Dried Yogurt Yums 10g - Strawberry</v>
      </c>
      <c r="G1888" s="133" t="str">
        <f>IFERROR(__xludf.DUMMYFUNCTION("""COMPUTED_VALUE"""),"كيت كات فريز درايد يوغرت يمس 10 جرام - فراولة")</f>
        <v>كيت كات فريز درايد يوغرت يمس 10 جرام - فراولة</v>
      </c>
      <c r="H1888" s="133" t="str">
        <f>IFERROR(__xludf.DUMMYFUNCTION("""COMPUTED_VALUE"""),"MAFE20223130")</f>
        <v>MAFE20223130</v>
      </c>
      <c r="I1888" s="133"/>
      <c r="J1888" s="133"/>
      <c r="K1888" s="133" t="str">
        <f>IFERROR(__xludf.DUMMYFUNCTION("""COMPUTED_VALUE"""),"شركة تيانجين رانوفا للحيوانات الأليفة المحدودة")</f>
        <v>شركة تيانجين رانوفا للحيوانات الأليفة المحدودة</v>
      </c>
      <c r="L1888" s="142" t="str">
        <f>IFERROR(__xludf.DUMMYFUNCTION("""COMPUTED_VALUE"""),"kc7885")</f>
        <v>kc7885</v>
      </c>
      <c r="M1888" s="133"/>
      <c r="N1888" s="133"/>
      <c r="O1888" s="133"/>
      <c r="P1888" s="133"/>
      <c r="Q1888" s="133"/>
      <c r="R1888" s="133"/>
      <c r="S1888" s="133"/>
      <c r="T1888" s="133"/>
      <c r="U1888" s="133"/>
      <c r="V1888" s="133"/>
      <c r="W1888" s="133"/>
      <c r="X1888" s="133"/>
      <c r="Y1888" s="133"/>
      <c r="Z1888" s="133"/>
    </row>
    <row r="1889">
      <c r="A1889" s="133">
        <f>IFERROR(__xludf.DUMMYFUNCTION("""COMPUTED_VALUE"""),1890.0)</f>
        <v>1890</v>
      </c>
      <c r="B1889" s="133" t="str">
        <f>IFERROR(__xludf.DUMMYFUNCTION("""COMPUTED_VALUE"""),"kc7892")</f>
        <v>kc7892</v>
      </c>
      <c r="C1889" s="133" t="str">
        <f>IFERROR(__xludf.DUMMYFUNCTION("""COMPUTED_VALUE"""),"P-1-N-210822-4886")</f>
        <v>P-1-N-210822-4886</v>
      </c>
      <c r="D1889" s="133"/>
      <c r="E1889" s="133" t="str">
        <f>IFERROR(__xludf.DUMMYFUNCTION("""COMPUTED_VALUE"""),"تمت طباعة الشهادة")</f>
        <v>تمت طباعة الشهادة</v>
      </c>
      <c r="F1889" s="133" t="str">
        <f>IFERROR(__xludf.DUMMYFUNCTION("""COMPUTED_VALUE"""),"Kit Cat Freeze Dried Yogurt Yums 10g - Apple")</f>
        <v>Kit Cat Freeze Dried Yogurt Yums 10g - Apple</v>
      </c>
      <c r="G1889" s="133" t="str">
        <f>IFERROR(__xludf.DUMMYFUNCTION("""COMPUTED_VALUE"""),"كيت كات فريز درايد يوغرت يمس 10 جرام - تفاح")</f>
        <v>كيت كات فريز درايد يوغرت يمس 10 جرام - تفاح</v>
      </c>
      <c r="H1889" s="133" t="str">
        <f>IFERROR(__xludf.DUMMYFUNCTION("""COMPUTED_VALUE"""),"MAFE20223132")</f>
        <v>MAFE20223132</v>
      </c>
      <c r="I1889" s="133"/>
      <c r="J1889" s="133"/>
      <c r="K1889" s="133" t="str">
        <f>IFERROR(__xludf.DUMMYFUNCTION("""COMPUTED_VALUE"""),"شركة تيانجين رانوفا للحيوانات الأليفة المحدودة")</f>
        <v>شركة تيانجين رانوفا للحيوانات الأليفة المحدودة</v>
      </c>
      <c r="L1889" s="142" t="str">
        <f>IFERROR(__xludf.DUMMYFUNCTION("""COMPUTED_VALUE"""),"kc7892")</f>
        <v>kc7892</v>
      </c>
      <c r="M1889" s="133"/>
      <c r="N1889" s="133"/>
      <c r="O1889" s="133"/>
      <c r="P1889" s="133"/>
      <c r="Q1889" s="133"/>
      <c r="R1889" s="133"/>
      <c r="S1889" s="133"/>
      <c r="T1889" s="133"/>
      <c r="U1889" s="133"/>
      <c r="V1889" s="133"/>
      <c r="W1889" s="133"/>
      <c r="X1889" s="133"/>
      <c r="Y1889" s="133"/>
      <c r="Z1889" s="133"/>
    </row>
    <row r="1890">
      <c r="A1890" s="133">
        <f>IFERROR(__xludf.DUMMYFUNCTION("""COMPUTED_VALUE"""),1891.0)</f>
        <v>1891</v>
      </c>
      <c r="B1890" s="133" t="str">
        <f>IFERROR(__xludf.DUMMYFUNCTION("""COMPUTED_VALUE"""),"kc7908")</f>
        <v>kc7908</v>
      </c>
      <c r="C1890" s="133" t="str">
        <f>IFERROR(__xludf.DUMMYFUNCTION("""COMPUTED_VALUE"""),"P-1-N-210822-4887")</f>
        <v>P-1-N-210822-4887</v>
      </c>
      <c r="D1890" s="133"/>
      <c r="E1890" s="133" t="str">
        <f>IFERROR(__xludf.DUMMYFUNCTION("""COMPUTED_VALUE"""),"تمت طباعة الشهادة")</f>
        <v>تمت طباعة الشهادة</v>
      </c>
      <c r="F1890" s="133" t="str">
        <f>IFERROR(__xludf.DUMMYFUNCTION("""COMPUTED_VALUE"""),"Kit Cat Freeze Dried Yogurt Yums 10g - Egg yolk")</f>
        <v>Kit Cat Freeze Dried Yogurt Yums 10g - Egg yolk</v>
      </c>
      <c r="G1890" s="133" t="str">
        <f>IFERROR(__xludf.DUMMYFUNCTION("""COMPUTED_VALUE"""),"كيت كات فريز درايد يوغرت يمس 10 جرام - صفار البيض")</f>
        <v>كيت كات فريز درايد يوغرت يمس 10 جرام - صفار البيض</v>
      </c>
      <c r="H1890" s="133" t="str">
        <f>IFERROR(__xludf.DUMMYFUNCTION("""COMPUTED_VALUE"""),"MAFE20223129")</f>
        <v>MAFE20223129</v>
      </c>
      <c r="I1890" s="133"/>
      <c r="J1890" s="133"/>
      <c r="K1890" s="133" t="str">
        <f>IFERROR(__xludf.DUMMYFUNCTION("""COMPUTED_VALUE"""),"شركة تيانجين رانوفا للحيوانات الأليفة المحدودة")</f>
        <v>شركة تيانجين رانوفا للحيوانات الأليفة المحدودة</v>
      </c>
      <c r="L1890" s="142" t="str">
        <f>IFERROR(__xludf.DUMMYFUNCTION("""COMPUTED_VALUE"""),"kc7908")</f>
        <v>kc7908</v>
      </c>
      <c r="M1890" s="133"/>
      <c r="N1890" s="133"/>
      <c r="O1890" s="133"/>
      <c r="P1890" s="133"/>
      <c r="Q1890" s="133"/>
      <c r="R1890" s="133"/>
      <c r="S1890" s="133"/>
      <c r="T1890" s="133"/>
      <c r="U1890" s="133"/>
      <c r="V1890" s="133"/>
      <c r="W1890" s="133"/>
      <c r="X1890" s="133"/>
      <c r="Y1890" s="133"/>
      <c r="Z1890" s="133"/>
    </row>
    <row r="1891">
      <c r="A1891" s="133">
        <f>IFERROR(__xludf.DUMMYFUNCTION("""COMPUTED_VALUE"""),1892.0)</f>
        <v>1892</v>
      </c>
      <c r="B1891" s="133" t="str">
        <f>IFERROR(__xludf.DUMMYFUNCTION("""COMPUTED_VALUE"""),"kc7915")</f>
        <v>kc7915</v>
      </c>
      <c r="C1891" s="133" t="str">
        <f>IFERROR(__xludf.DUMMYFUNCTION("""COMPUTED_VALUE"""),"P-1-N-210822-4888")</f>
        <v>P-1-N-210822-4888</v>
      </c>
      <c r="D1891" s="133"/>
      <c r="E1891" s="133" t="str">
        <f>IFERROR(__xludf.DUMMYFUNCTION("""COMPUTED_VALUE"""),"تمت طباعة الشهادة")</f>
        <v>تمت طباعة الشهادة</v>
      </c>
      <c r="F1891" s="133" t="str">
        <f>IFERROR(__xludf.DUMMYFUNCTION("""COMPUTED_VALUE"""),"Kit Cat Freeze Dried Yogurt Yums 10g - Cheese")</f>
        <v>Kit Cat Freeze Dried Yogurt Yums 10g - Cheese</v>
      </c>
      <c r="G1891" s="133" t="str">
        <f>IFERROR(__xludf.DUMMYFUNCTION("""COMPUTED_VALUE"""),"كيت كات فريز درايد يوغرت يمس 10 جرام - جبن")</f>
        <v>كيت كات فريز درايد يوغرت يمس 10 جرام - جبن</v>
      </c>
      <c r="H1891" s="133" t="str">
        <f>IFERROR(__xludf.DUMMYFUNCTION("""COMPUTED_VALUE"""),"MAFE20223128")</f>
        <v>MAFE20223128</v>
      </c>
      <c r="I1891" s="133"/>
      <c r="J1891" s="133"/>
      <c r="K1891" s="133" t="str">
        <f>IFERROR(__xludf.DUMMYFUNCTION("""COMPUTED_VALUE"""),"شركة تيانجين رانوفا للحيوانات الأليفة المحدودة")</f>
        <v>شركة تيانجين رانوفا للحيوانات الأليفة المحدودة</v>
      </c>
      <c r="L1891" s="142" t="str">
        <f>IFERROR(__xludf.DUMMYFUNCTION("""COMPUTED_VALUE"""),"kc7915")</f>
        <v>kc7915</v>
      </c>
      <c r="M1891" s="133"/>
      <c r="N1891" s="133"/>
      <c r="O1891" s="133"/>
      <c r="P1891" s="133"/>
      <c r="Q1891" s="133"/>
      <c r="R1891" s="133"/>
      <c r="S1891" s="133"/>
      <c r="T1891" s="133"/>
      <c r="U1891" s="133"/>
      <c r="V1891" s="133"/>
      <c r="W1891" s="133"/>
      <c r="X1891" s="133"/>
      <c r="Y1891" s="133"/>
      <c r="Z1891" s="133"/>
    </row>
    <row r="1892">
      <c r="A1892" s="133">
        <f>IFERROR(__xludf.DUMMYFUNCTION("""COMPUTED_VALUE"""),1893.0)</f>
        <v>1893</v>
      </c>
      <c r="B1892" s="133" t="str">
        <f>IFERROR(__xludf.DUMMYFUNCTION("""COMPUTED_VALUE"""),"KC7922")</f>
        <v>KC7922</v>
      </c>
      <c r="C1892" s="133" t="str">
        <f>IFERROR(__xludf.DUMMYFUNCTION("""COMPUTED_VALUE"""),"P-1-N-230123-477")</f>
        <v>P-1-N-230123-477</v>
      </c>
      <c r="D1892" s="133"/>
      <c r="E1892" s="133" t="str">
        <f>IFERROR(__xludf.DUMMYFUNCTION("""COMPUTED_VALUE"""),"تمت طباعة الشهادة")</f>
        <v>تمت طباعة الشهادة</v>
      </c>
      <c r="F1892" s="133" t="str">
        <f>IFERROR(__xludf.DUMMYFUNCTION("""COMPUTED_VALUE"""),"Kit Cat Cranberry Crisps - Chicken Flavor 20g")</f>
        <v>Kit Cat Cranberry Crisps - Chicken Flavor 20g</v>
      </c>
      <c r="G1892" s="133" t="str">
        <f>IFERROR(__xludf.DUMMYFUNCTION("""COMPUTED_VALUE"""),"كت كات كرانبيري كريسبس - نكهة الدجاج 20 جم")</f>
        <v>كت كات كرانبيري كريسبس - نكهة الدجاج 20 جم</v>
      </c>
      <c r="H1892" s="133" t="str">
        <f>IFERROR(__xludf.DUMMYFUNCTION("""COMPUTED_VALUE"""),"MAFE2023356")</f>
        <v>MAFE2023356</v>
      </c>
      <c r="I1892" s="133"/>
      <c r="J1892" s="133"/>
      <c r="K1892" s="133" t="str">
        <f>IFERROR(__xludf.DUMMYFUNCTION("""COMPUTED_VALUE"""),"شركة نوتريكس العامة المحدودة")</f>
        <v>شركة نوتريكس العامة المحدودة</v>
      </c>
      <c r="L1892" s="142" t="str">
        <f>IFERROR(__xludf.DUMMYFUNCTION("""COMPUTED_VALUE"""),"KC7922")</f>
        <v>KC7922</v>
      </c>
      <c r="M1892" s="133"/>
      <c r="N1892" s="133"/>
      <c r="O1892" s="133"/>
      <c r="P1892" s="133"/>
      <c r="Q1892" s="133"/>
      <c r="R1892" s="133"/>
      <c r="S1892" s="133"/>
      <c r="T1892" s="133"/>
      <c r="U1892" s="133"/>
      <c r="V1892" s="133"/>
      <c r="W1892" s="133"/>
      <c r="X1892" s="133"/>
      <c r="Y1892" s="133"/>
      <c r="Z1892" s="133"/>
    </row>
    <row r="1893">
      <c r="A1893" s="133">
        <f>IFERROR(__xludf.DUMMYFUNCTION("""COMPUTED_VALUE"""),1894.0)</f>
        <v>1894</v>
      </c>
      <c r="B1893" s="133" t="str">
        <f>IFERROR(__xludf.DUMMYFUNCTION("""COMPUTED_VALUE"""),"KC7939")</f>
        <v>KC7939</v>
      </c>
      <c r="C1893" s="133" t="str">
        <f>IFERROR(__xludf.DUMMYFUNCTION("""COMPUTED_VALUE"""),"P-1-N-230123-478")</f>
        <v>P-1-N-230123-478</v>
      </c>
      <c r="D1893" s="133"/>
      <c r="E1893" s="133" t="str">
        <f>IFERROR(__xludf.DUMMYFUNCTION("""COMPUTED_VALUE"""),"تمت طباعة الشهادة")</f>
        <v>تمت طباعة الشهادة</v>
      </c>
      <c r="F1893" s="133" t="str">
        <f>IFERROR(__xludf.DUMMYFUNCTION("""COMPUTED_VALUE"""),"Kit Cat Cranberry Crisps - Beef Flavor 20g")</f>
        <v>Kit Cat Cranberry Crisps - Beef Flavor 20g</v>
      </c>
      <c r="G1893" s="133" t="str">
        <f>IFERROR(__xludf.DUMMYFUNCTION("""COMPUTED_VALUE"""),"كت كات كرانبيري كريسبس - نكهة اللحم البقري 20 جم")</f>
        <v>كت كات كرانبيري كريسبس - نكهة اللحم البقري 20 جم</v>
      </c>
      <c r="H1893" s="133" t="str">
        <f>IFERROR(__xludf.DUMMYFUNCTION("""COMPUTED_VALUE"""),"MAFE2023355")</f>
        <v>MAFE2023355</v>
      </c>
      <c r="I1893" s="133"/>
      <c r="J1893" s="133"/>
      <c r="K1893" s="133" t="str">
        <f>IFERROR(__xludf.DUMMYFUNCTION("""COMPUTED_VALUE"""),"شركة نوتريكس العامة المحدودة")</f>
        <v>شركة نوتريكس العامة المحدودة</v>
      </c>
      <c r="L1893" s="142" t="str">
        <f>IFERROR(__xludf.DUMMYFUNCTION("""COMPUTED_VALUE"""),"KC7939")</f>
        <v>KC7939</v>
      </c>
      <c r="M1893" s="133"/>
      <c r="N1893" s="133"/>
      <c r="O1893" s="133"/>
      <c r="P1893" s="133"/>
      <c r="Q1893" s="133"/>
      <c r="R1893" s="133"/>
      <c r="S1893" s="133"/>
      <c r="T1893" s="133"/>
      <c r="U1893" s="133"/>
      <c r="V1893" s="133"/>
      <c r="W1893" s="133"/>
      <c r="X1893" s="133"/>
      <c r="Y1893" s="133"/>
      <c r="Z1893" s="133"/>
    </row>
    <row r="1894">
      <c r="A1894" s="133">
        <f>IFERROR(__xludf.DUMMYFUNCTION("""COMPUTED_VALUE"""),1895.0)</f>
        <v>1895</v>
      </c>
      <c r="B1894" s="133" t="str">
        <f>IFERROR(__xludf.DUMMYFUNCTION("""COMPUTED_VALUE"""),"KC7946")</f>
        <v>KC7946</v>
      </c>
      <c r="C1894" s="133" t="str">
        <f>IFERROR(__xludf.DUMMYFUNCTION("""COMPUTED_VALUE"""),"P-1-N-230123-479")</f>
        <v>P-1-N-230123-479</v>
      </c>
      <c r="D1894" s="133"/>
      <c r="E1894" s="133" t="str">
        <f>IFERROR(__xludf.DUMMYFUNCTION("""COMPUTED_VALUE"""),"تمت طباعة الشهادة")</f>
        <v>تمت طباعة الشهادة</v>
      </c>
      <c r="F1894" s="133" t="str">
        <f>IFERROR(__xludf.DUMMYFUNCTION("""COMPUTED_VALUE"""),"Kit Cat Cranberry Crisps - Lamb Flavor 20g")</f>
        <v>Kit Cat Cranberry Crisps - Lamb Flavor 20g</v>
      </c>
      <c r="G1894" s="133" t="str">
        <f>IFERROR(__xludf.DUMMYFUNCTION("""COMPUTED_VALUE"""),"كت كات كرانبيري كريسبس - نكهة لحم الضأن 20 جم")</f>
        <v>كت كات كرانبيري كريسبس - نكهة لحم الضأن 20 جم</v>
      </c>
      <c r="H1894" s="133" t="str">
        <f>IFERROR(__xludf.DUMMYFUNCTION("""COMPUTED_VALUE"""),"MAFE2023354")</f>
        <v>MAFE2023354</v>
      </c>
      <c r="I1894" s="133"/>
      <c r="J1894" s="133"/>
      <c r="K1894" s="133" t="str">
        <f>IFERROR(__xludf.DUMMYFUNCTION("""COMPUTED_VALUE"""),"شركة نوتريكس العامة المحدودة")</f>
        <v>شركة نوتريكس العامة المحدودة</v>
      </c>
      <c r="L1894" s="142" t="str">
        <f>IFERROR(__xludf.DUMMYFUNCTION("""COMPUTED_VALUE"""),"KC7946")</f>
        <v>KC7946</v>
      </c>
      <c r="M1894" s="133"/>
      <c r="N1894" s="133"/>
      <c r="O1894" s="133"/>
      <c r="P1894" s="133"/>
      <c r="Q1894" s="133"/>
      <c r="R1894" s="133"/>
      <c r="S1894" s="133"/>
      <c r="T1894" s="133"/>
      <c r="U1894" s="133"/>
      <c r="V1894" s="133"/>
      <c r="W1894" s="133"/>
      <c r="X1894" s="133"/>
      <c r="Y1894" s="133"/>
      <c r="Z1894" s="133"/>
    </row>
    <row r="1895">
      <c r="A1895" s="133">
        <f>IFERROR(__xludf.DUMMYFUNCTION("""COMPUTED_VALUE"""),1896.0)</f>
        <v>1896</v>
      </c>
      <c r="B1895" s="133" t="str">
        <f>IFERROR(__xludf.DUMMYFUNCTION("""COMPUTED_VALUE"""),"KC7977")</f>
        <v>KC7977</v>
      </c>
      <c r="C1895" s="133" t="str">
        <f>IFERROR(__xludf.DUMMYFUNCTION("""COMPUTED_VALUE"""),"P-1-N-230123-480")</f>
        <v>P-1-N-230123-480</v>
      </c>
      <c r="D1895" s="133"/>
      <c r="E1895" s="133" t="str">
        <f>IFERROR(__xludf.DUMMYFUNCTION("""COMPUTED_VALUE"""),"تمت طباعة الشهادة")</f>
        <v>تمت طباعة الشهادة</v>
      </c>
      <c r="F1895" s="133" t="str">
        <f>IFERROR(__xludf.DUMMYFUNCTION("""COMPUTED_VALUE"""),"Kit Cat Cranberry Crisps - Salmon Flavor 20g")</f>
        <v>Kit Cat Cranberry Crisps - Salmon Flavor 20g</v>
      </c>
      <c r="G1895" s="133" t="str">
        <f>IFERROR(__xludf.DUMMYFUNCTION("""COMPUTED_VALUE"""),"كت كات كرانبيري كريسبس - نكهة السلمون 20 جم")</f>
        <v>كت كات كرانبيري كريسبس - نكهة السلمون 20 جم</v>
      </c>
      <c r="H1895" s="133" t="str">
        <f>IFERROR(__xludf.DUMMYFUNCTION("""COMPUTED_VALUE"""),"MAFE2023353")</f>
        <v>MAFE2023353</v>
      </c>
      <c r="I1895" s="133"/>
      <c r="J1895" s="133"/>
      <c r="K1895" s="133" t="str">
        <f>IFERROR(__xludf.DUMMYFUNCTION("""COMPUTED_VALUE"""),"شركة نوتريكس العامة المحدودة")</f>
        <v>شركة نوتريكس العامة المحدودة</v>
      </c>
      <c r="L1895" s="142" t="str">
        <f>IFERROR(__xludf.DUMMYFUNCTION("""COMPUTED_VALUE"""),"KC7977")</f>
        <v>KC7977</v>
      </c>
      <c r="M1895" s="133"/>
      <c r="N1895" s="133"/>
      <c r="O1895" s="133"/>
      <c r="P1895" s="133"/>
      <c r="Q1895" s="133"/>
      <c r="R1895" s="133"/>
      <c r="S1895" s="133"/>
      <c r="T1895" s="133"/>
      <c r="U1895" s="133"/>
      <c r="V1895" s="133"/>
      <c r="W1895" s="133"/>
      <c r="X1895" s="133"/>
      <c r="Y1895" s="133"/>
      <c r="Z1895" s="133"/>
    </row>
    <row r="1896">
      <c r="A1896" s="133">
        <f>IFERROR(__xludf.DUMMYFUNCTION("""COMPUTED_VALUE"""),1897.0)</f>
        <v>1897</v>
      </c>
      <c r="B1896" s="133" t="str">
        <f>IFERROR(__xludf.DUMMYFUNCTION("""COMPUTED_VALUE"""),"KC7953")</f>
        <v>KC7953</v>
      </c>
      <c r="C1896" s="133" t="str">
        <f>IFERROR(__xludf.DUMMYFUNCTION("""COMPUTED_VALUE"""),"P-1-N-230123-481")</f>
        <v>P-1-N-230123-481</v>
      </c>
      <c r="D1896" s="133"/>
      <c r="E1896" s="133" t="str">
        <f>IFERROR(__xludf.DUMMYFUNCTION("""COMPUTED_VALUE"""),"تمت طباعة الشهادة")</f>
        <v>تمت طباعة الشهادة</v>
      </c>
      <c r="F1896" s="133" t="str">
        <f>IFERROR(__xludf.DUMMYFUNCTION("""COMPUTED_VALUE"""),"Kit Cat Cranberry Crisps - Seafood Flavor 20g")</f>
        <v>Kit Cat Cranberry Crisps - Seafood Flavor 20g</v>
      </c>
      <c r="G1896" s="133" t="str">
        <f>IFERROR(__xludf.DUMMYFUNCTION("""COMPUTED_VALUE"""),"كت كات كرانبيري كريسبس - نكهة المأكولات البحرية 20 جم")</f>
        <v>كت كات كرانبيري كريسبس - نكهة المأكولات البحرية 20 جم</v>
      </c>
      <c r="H1896" s="133" t="str">
        <f>IFERROR(__xludf.DUMMYFUNCTION("""COMPUTED_VALUE"""),"MAFE2023352")</f>
        <v>MAFE2023352</v>
      </c>
      <c r="I1896" s="133"/>
      <c r="J1896" s="133"/>
      <c r="K1896" s="133" t="str">
        <f>IFERROR(__xludf.DUMMYFUNCTION("""COMPUTED_VALUE"""),"شركة نوتريكس العامة المحدودة")</f>
        <v>شركة نوتريكس العامة المحدودة</v>
      </c>
      <c r="L1896" s="142" t="str">
        <f>IFERROR(__xludf.DUMMYFUNCTION("""COMPUTED_VALUE"""),"KC7953")</f>
        <v>KC7953</v>
      </c>
      <c r="M1896" s="133"/>
      <c r="N1896" s="133"/>
      <c r="O1896" s="133"/>
      <c r="P1896" s="133"/>
      <c r="Q1896" s="133"/>
      <c r="R1896" s="133"/>
      <c r="S1896" s="133"/>
      <c r="T1896" s="133"/>
      <c r="U1896" s="133"/>
      <c r="V1896" s="133"/>
      <c r="W1896" s="133"/>
      <c r="X1896" s="133"/>
      <c r="Y1896" s="133"/>
      <c r="Z1896" s="133"/>
    </row>
    <row r="1897">
      <c r="A1897" s="133">
        <f>IFERROR(__xludf.DUMMYFUNCTION("""COMPUTED_VALUE"""),1898.0)</f>
        <v>1898</v>
      </c>
      <c r="B1897" s="133" t="str">
        <f>IFERROR(__xludf.DUMMYFUNCTION("""COMPUTED_VALUE"""),"KC7960")</f>
        <v>KC7960</v>
      </c>
      <c r="C1897" s="133" t="str">
        <f>IFERROR(__xludf.DUMMYFUNCTION("""COMPUTED_VALUE"""),"P-1-N-230123-482")</f>
        <v>P-1-N-230123-482</v>
      </c>
      <c r="D1897" s="133"/>
      <c r="E1897" s="133" t="str">
        <f>IFERROR(__xludf.DUMMYFUNCTION("""COMPUTED_VALUE"""),"تمت طباعة الشهادة")</f>
        <v>تمت طباعة الشهادة</v>
      </c>
      <c r="F1897" s="133" t="str">
        <f>IFERROR(__xludf.DUMMYFUNCTION("""COMPUTED_VALUE"""),"Kit Cat Cranberry Crisps - Tuna Flavor 20g")</f>
        <v>Kit Cat Cranberry Crisps - Tuna Flavor 20g</v>
      </c>
      <c r="G1897" s="133" t="str">
        <f>IFERROR(__xludf.DUMMYFUNCTION("""COMPUTED_VALUE"""),"كت كات كرانبيري كريسبس - نكهة التونة 20 جم")</f>
        <v>كت كات كرانبيري كريسبس - نكهة التونة 20 جم</v>
      </c>
      <c r="H1897" s="133" t="str">
        <f>IFERROR(__xludf.DUMMYFUNCTION("""COMPUTED_VALUE"""),"MAFE2023351")</f>
        <v>MAFE2023351</v>
      </c>
      <c r="I1897" s="133"/>
      <c r="J1897" s="133"/>
      <c r="K1897" s="133" t="str">
        <f>IFERROR(__xludf.DUMMYFUNCTION("""COMPUTED_VALUE"""),"شركة نوتريكس العامة المحدودة")</f>
        <v>شركة نوتريكس العامة المحدودة</v>
      </c>
      <c r="L1897" s="142" t="str">
        <f>IFERROR(__xludf.DUMMYFUNCTION("""COMPUTED_VALUE"""),"KC7960")</f>
        <v>KC7960</v>
      </c>
      <c r="M1897" s="133"/>
      <c r="N1897" s="133"/>
      <c r="O1897" s="133"/>
      <c r="P1897" s="133"/>
      <c r="Q1897" s="133"/>
      <c r="R1897" s="133"/>
      <c r="S1897" s="133"/>
      <c r="T1897" s="133"/>
      <c r="U1897" s="133"/>
      <c r="V1897" s="133"/>
      <c r="W1897" s="133"/>
      <c r="X1897" s="133"/>
      <c r="Y1897" s="133"/>
      <c r="Z1897" s="133"/>
    </row>
    <row r="1898">
      <c r="A1898" s="133">
        <f>IFERROR(__xludf.DUMMYFUNCTION("""COMPUTED_VALUE"""),1899.0)</f>
        <v>1899</v>
      </c>
      <c r="B1898" s="133"/>
      <c r="C1898" s="133" t="str">
        <f>IFERROR(__xludf.DUMMYFUNCTION("""COMPUTED_VALUE"""),"P-1-N-160424-2415")</f>
        <v>P-1-N-160424-2415</v>
      </c>
      <c r="D1898" s="133"/>
      <c r="E1898" s="133" t="str">
        <f>IFERROR(__xludf.DUMMYFUNCTION("""COMPUTED_VALUE"""),"REJECTED")</f>
        <v>REJECTED</v>
      </c>
      <c r="F1898" s="133">
        <f>IFERROR(__xludf.DUMMYFUNCTION("""COMPUTED_VALUE"""),0.0)</f>
        <v>0</v>
      </c>
      <c r="G1898" s="133"/>
      <c r="H1898" s="133"/>
      <c r="I1898" s="133"/>
      <c r="J1898" s="133"/>
      <c r="K1898" s="133"/>
      <c r="L1898" s="133"/>
      <c r="M1898" s="133"/>
      <c r="N1898" s="133"/>
      <c r="O1898" s="133"/>
      <c r="P1898" s="133"/>
      <c r="Q1898" s="133"/>
      <c r="R1898" s="133"/>
      <c r="S1898" s="133"/>
      <c r="T1898" s="133"/>
      <c r="U1898" s="133"/>
      <c r="V1898" s="133"/>
      <c r="W1898" s="133"/>
      <c r="X1898" s="133"/>
      <c r="Y1898" s="133"/>
      <c r="Z1898" s="133"/>
    </row>
    <row r="1899">
      <c r="A1899" s="133">
        <f>IFERROR(__xludf.DUMMYFUNCTION("""COMPUTED_VALUE"""),1900.0)</f>
        <v>1900</v>
      </c>
      <c r="B1899" s="133"/>
      <c r="C1899" s="133" t="str">
        <f>IFERROR(__xludf.DUMMYFUNCTION("""COMPUTED_VALUE"""),"P-1-N-160424-2416")</f>
        <v>P-1-N-160424-2416</v>
      </c>
      <c r="D1899" s="133"/>
      <c r="E1899" s="133" t="str">
        <f>IFERROR(__xludf.DUMMYFUNCTION("""COMPUTED_VALUE"""),"REJECTED")</f>
        <v>REJECTED</v>
      </c>
      <c r="F1899" s="133">
        <f>IFERROR(__xludf.DUMMYFUNCTION("""COMPUTED_VALUE"""),0.0)</f>
        <v>0</v>
      </c>
      <c r="G1899" s="133"/>
      <c r="H1899" s="133"/>
      <c r="I1899" s="133"/>
      <c r="J1899" s="133"/>
      <c r="K1899" s="133"/>
      <c r="L1899" s="133"/>
      <c r="M1899" s="133"/>
      <c r="N1899" s="133"/>
      <c r="O1899" s="133"/>
      <c r="P1899" s="133"/>
      <c r="Q1899" s="133"/>
      <c r="R1899" s="133"/>
      <c r="S1899" s="133"/>
      <c r="T1899" s="133"/>
      <c r="U1899" s="133"/>
      <c r="V1899" s="133"/>
      <c r="W1899" s="133"/>
      <c r="X1899" s="133"/>
      <c r="Y1899" s="133"/>
      <c r="Z1899" s="133"/>
    </row>
    <row r="1900">
      <c r="A1900" s="133">
        <f>IFERROR(__xludf.DUMMYFUNCTION("""COMPUTED_VALUE"""),1901.0)</f>
        <v>1901</v>
      </c>
      <c r="B1900" s="133"/>
      <c r="C1900" s="133" t="str">
        <f>IFERROR(__xludf.DUMMYFUNCTION("""COMPUTED_VALUE"""),"P-1-N-160424-2417")</f>
        <v>P-1-N-160424-2417</v>
      </c>
      <c r="D1900" s="133"/>
      <c r="E1900" s="133" t="str">
        <f>IFERROR(__xludf.DUMMYFUNCTION("""COMPUTED_VALUE"""),"REJECTED")</f>
        <v>REJECTED</v>
      </c>
      <c r="F1900" s="133">
        <f>IFERROR(__xludf.DUMMYFUNCTION("""COMPUTED_VALUE"""),0.0)</f>
        <v>0</v>
      </c>
      <c r="G1900" s="133"/>
      <c r="H1900" s="133"/>
      <c r="I1900" s="133"/>
      <c r="J1900" s="133"/>
      <c r="K1900" s="133"/>
      <c r="L1900" s="133"/>
      <c r="M1900" s="133"/>
      <c r="N1900" s="133"/>
      <c r="O1900" s="133"/>
      <c r="P1900" s="133"/>
      <c r="Q1900" s="133"/>
      <c r="R1900" s="133"/>
      <c r="S1900" s="133"/>
      <c r="T1900" s="133"/>
      <c r="U1900" s="133"/>
      <c r="V1900" s="133"/>
      <c r="W1900" s="133"/>
      <c r="X1900" s="133"/>
      <c r="Y1900" s="133"/>
      <c r="Z1900" s="133"/>
    </row>
    <row r="1901">
      <c r="A1901" s="133">
        <f>IFERROR(__xludf.DUMMYFUNCTION("""COMPUTED_VALUE"""),1902.0)</f>
        <v>1902</v>
      </c>
      <c r="B1901" s="133"/>
      <c r="C1901" s="133" t="str">
        <f>IFERROR(__xludf.DUMMYFUNCTION("""COMPUTED_VALUE"""),"P-1-N-160424-2418")</f>
        <v>P-1-N-160424-2418</v>
      </c>
      <c r="D1901" s="133"/>
      <c r="E1901" s="133" t="str">
        <f>IFERROR(__xludf.DUMMYFUNCTION("""COMPUTED_VALUE"""),"REJECTED")</f>
        <v>REJECTED</v>
      </c>
      <c r="F1901" s="133">
        <f>IFERROR(__xludf.DUMMYFUNCTION("""COMPUTED_VALUE"""),0.0)</f>
        <v>0</v>
      </c>
      <c r="G1901" s="133"/>
      <c r="H1901" s="133"/>
      <c r="I1901" s="133"/>
      <c r="J1901" s="133"/>
      <c r="K1901" s="133"/>
      <c r="L1901" s="133"/>
      <c r="M1901" s="133"/>
      <c r="N1901" s="133"/>
      <c r="O1901" s="133"/>
      <c r="P1901" s="133"/>
      <c r="Q1901" s="133"/>
      <c r="R1901" s="133"/>
      <c r="S1901" s="133"/>
      <c r="T1901" s="133"/>
      <c r="U1901" s="133"/>
      <c r="V1901" s="133"/>
      <c r="W1901" s="133"/>
      <c r="X1901" s="133"/>
      <c r="Y1901" s="133"/>
      <c r="Z1901" s="133"/>
    </row>
    <row r="1902">
      <c r="A1902" s="133">
        <f>IFERROR(__xludf.DUMMYFUNCTION("""COMPUTED_VALUE"""),1903.0)</f>
        <v>1903</v>
      </c>
      <c r="B1902" s="133"/>
      <c r="C1902" s="133" t="str">
        <f>IFERROR(__xludf.DUMMYFUNCTION("""COMPUTED_VALUE"""),"P-1-N-160424-2420")</f>
        <v>P-1-N-160424-2420</v>
      </c>
      <c r="D1902" s="133"/>
      <c r="E1902" s="133" t="str">
        <f>IFERROR(__xludf.DUMMYFUNCTION("""COMPUTED_VALUE"""),"REJECTED")</f>
        <v>REJECTED</v>
      </c>
      <c r="F1902" s="133">
        <f>IFERROR(__xludf.DUMMYFUNCTION("""COMPUTED_VALUE"""),0.0)</f>
        <v>0</v>
      </c>
      <c r="G1902" s="133"/>
      <c r="H1902" s="133"/>
      <c r="I1902" s="133"/>
      <c r="J1902" s="133"/>
      <c r="K1902" s="133"/>
      <c r="L1902" s="133"/>
      <c r="M1902" s="133"/>
      <c r="N1902" s="133"/>
      <c r="O1902" s="133"/>
      <c r="P1902" s="133"/>
      <c r="Q1902" s="133"/>
      <c r="R1902" s="133"/>
      <c r="S1902" s="133"/>
      <c r="T1902" s="133"/>
      <c r="U1902" s="133"/>
      <c r="V1902" s="133"/>
      <c r="W1902" s="133"/>
      <c r="X1902" s="133"/>
      <c r="Y1902" s="133"/>
      <c r="Z1902" s="133"/>
    </row>
    <row r="1903">
      <c r="A1903" s="133">
        <f>IFERROR(__xludf.DUMMYFUNCTION("""COMPUTED_VALUE"""),1904.0)</f>
        <v>1904</v>
      </c>
      <c r="B1903" s="133"/>
      <c r="C1903" s="133" t="str">
        <f>IFERROR(__xludf.DUMMYFUNCTION("""COMPUTED_VALUE"""),"P-1-N-160424-2424")</f>
        <v>P-1-N-160424-2424</v>
      </c>
      <c r="D1903" s="133"/>
      <c r="E1903" s="133" t="str">
        <f>IFERROR(__xludf.DUMMYFUNCTION("""COMPUTED_VALUE"""),"REJECTED")</f>
        <v>REJECTED</v>
      </c>
      <c r="F1903" s="133">
        <f>IFERROR(__xludf.DUMMYFUNCTION("""COMPUTED_VALUE"""),0.0)</f>
        <v>0</v>
      </c>
      <c r="G1903" s="133"/>
      <c r="H1903" s="133"/>
      <c r="I1903" s="133"/>
      <c r="J1903" s="133"/>
      <c r="K1903" s="133"/>
      <c r="L1903" s="133"/>
      <c r="M1903" s="133"/>
      <c r="N1903" s="133"/>
      <c r="O1903" s="133"/>
      <c r="P1903" s="133"/>
      <c r="Q1903" s="133"/>
      <c r="R1903" s="133"/>
      <c r="S1903" s="133"/>
      <c r="T1903" s="133"/>
      <c r="U1903" s="133"/>
      <c r="V1903" s="133"/>
      <c r="W1903" s="133"/>
      <c r="X1903" s="133"/>
      <c r="Y1903" s="133"/>
      <c r="Z1903" s="133"/>
    </row>
    <row r="1904">
      <c r="A1904" s="133">
        <f>IFERROR(__xludf.DUMMYFUNCTION("""COMPUTED_VALUE"""),1905.0)</f>
        <v>1905</v>
      </c>
      <c r="B1904" s="133"/>
      <c r="C1904" s="133" t="str">
        <f>IFERROR(__xludf.DUMMYFUNCTION("""COMPUTED_VALUE"""),"P-1-N-160424-2425")</f>
        <v>P-1-N-160424-2425</v>
      </c>
      <c r="D1904" s="133"/>
      <c r="E1904" s="133" t="str">
        <f>IFERROR(__xludf.DUMMYFUNCTION("""COMPUTED_VALUE"""),"REJECTED")</f>
        <v>REJECTED</v>
      </c>
      <c r="F1904" s="133">
        <f>IFERROR(__xludf.DUMMYFUNCTION("""COMPUTED_VALUE"""),0.0)</f>
        <v>0</v>
      </c>
      <c r="G1904" s="133"/>
      <c r="H1904" s="133"/>
      <c r="I1904" s="133"/>
      <c r="J1904" s="133"/>
      <c r="K1904" s="133"/>
      <c r="L1904" s="133"/>
      <c r="M1904" s="133"/>
      <c r="N1904" s="133"/>
      <c r="O1904" s="133"/>
      <c r="P1904" s="133"/>
      <c r="Q1904" s="133"/>
      <c r="R1904" s="133"/>
      <c r="S1904" s="133"/>
      <c r="T1904" s="133"/>
      <c r="U1904" s="133"/>
      <c r="V1904" s="133"/>
      <c r="W1904" s="133"/>
      <c r="X1904" s="133"/>
      <c r="Y1904" s="133"/>
      <c r="Z1904" s="133"/>
    </row>
    <row r="1905">
      <c r="A1905" s="133">
        <f>IFERROR(__xludf.DUMMYFUNCTION("""COMPUTED_VALUE"""),1906.0)</f>
        <v>1906</v>
      </c>
      <c r="B1905" s="133"/>
      <c r="C1905" s="133" t="str">
        <f>IFERROR(__xludf.DUMMYFUNCTION("""COMPUTED_VALUE"""),"P-1-N-160424-2426")</f>
        <v>P-1-N-160424-2426</v>
      </c>
      <c r="D1905" s="133"/>
      <c r="E1905" s="133" t="str">
        <f>IFERROR(__xludf.DUMMYFUNCTION("""COMPUTED_VALUE"""),"REJECTED")</f>
        <v>REJECTED</v>
      </c>
      <c r="F1905" s="133">
        <f>IFERROR(__xludf.DUMMYFUNCTION("""COMPUTED_VALUE"""),0.0)</f>
        <v>0</v>
      </c>
      <c r="G1905" s="133"/>
      <c r="H1905" s="133"/>
      <c r="I1905" s="133"/>
      <c r="J1905" s="133"/>
      <c r="K1905" s="133"/>
      <c r="L1905" s="133"/>
      <c r="M1905" s="133"/>
      <c r="N1905" s="133"/>
      <c r="O1905" s="133"/>
      <c r="P1905" s="133"/>
      <c r="Q1905" s="133"/>
      <c r="R1905" s="133"/>
      <c r="S1905" s="133"/>
      <c r="T1905" s="133"/>
      <c r="U1905" s="133"/>
      <c r="V1905" s="133"/>
      <c r="W1905" s="133"/>
      <c r="X1905" s="133"/>
      <c r="Y1905" s="133"/>
      <c r="Z1905" s="133"/>
    </row>
    <row r="1906">
      <c r="A1906" s="133">
        <f>IFERROR(__xludf.DUMMYFUNCTION("""COMPUTED_VALUE"""),1907.0)</f>
        <v>1907</v>
      </c>
      <c r="B1906" s="133"/>
      <c r="C1906" s="133" t="str">
        <f>IFERROR(__xludf.DUMMYFUNCTION("""COMPUTED_VALUE"""),"P-1-N-160424-2427")</f>
        <v>P-1-N-160424-2427</v>
      </c>
      <c r="D1906" s="133"/>
      <c r="E1906" s="133" t="str">
        <f>IFERROR(__xludf.DUMMYFUNCTION("""COMPUTED_VALUE"""),"REJECTED")</f>
        <v>REJECTED</v>
      </c>
      <c r="F1906" s="133">
        <f>IFERROR(__xludf.DUMMYFUNCTION("""COMPUTED_VALUE"""),0.0)</f>
        <v>0</v>
      </c>
      <c r="G1906" s="133"/>
      <c r="H1906" s="133"/>
      <c r="I1906" s="133"/>
      <c r="J1906" s="133"/>
      <c r="K1906" s="133"/>
      <c r="L1906" s="133"/>
      <c r="M1906" s="133"/>
      <c r="N1906" s="133"/>
      <c r="O1906" s="133"/>
      <c r="P1906" s="133"/>
      <c r="Q1906" s="133"/>
      <c r="R1906" s="133"/>
      <c r="S1906" s="133"/>
      <c r="T1906" s="133"/>
      <c r="U1906" s="133"/>
      <c r="V1906" s="133"/>
      <c r="W1906" s="133"/>
      <c r="X1906" s="133"/>
      <c r="Y1906" s="133"/>
      <c r="Z1906" s="133"/>
    </row>
    <row r="1907">
      <c r="A1907" s="133">
        <f>IFERROR(__xludf.DUMMYFUNCTION("""COMPUTED_VALUE"""),1908.0)</f>
        <v>1908</v>
      </c>
      <c r="B1907" s="133"/>
      <c r="C1907" s="133" t="str">
        <f>IFERROR(__xludf.DUMMYFUNCTION("""COMPUTED_VALUE"""),"P-1-N-160424-2428")</f>
        <v>P-1-N-160424-2428</v>
      </c>
      <c r="D1907" s="133"/>
      <c r="E1907" s="133" t="str">
        <f>IFERROR(__xludf.DUMMYFUNCTION("""COMPUTED_VALUE"""),"REJECTED")</f>
        <v>REJECTED</v>
      </c>
      <c r="F1907" s="133">
        <f>IFERROR(__xludf.DUMMYFUNCTION("""COMPUTED_VALUE"""),0.0)</f>
        <v>0</v>
      </c>
      <c r="G1907" s="133"/>
      <c r="H1907" s="133"/>
      <c r="I1907" s="133"/>
      <c r="J1907" s="133"/>
      <c r="K1907" s="133"/>
      <c r="L1907" s="133"/>
      <c r="M1907" s="133"/>
      <c r="N1907" s="133"/>
      <c r="O1907" s="133"/>
      <c r="P1907" s="133"/>
      <c r="Q1907" s="133"/>
      <c r="R1907" s="133"/>
      <c r="S1907" s="133"/>
      <c r="T1907" s="133"/>
      <c r="U1907" s="133"/>
      <c r="V1907" s="133"/>
      <c r="W1907" s="133"/>
      <c r="X1907" s="133"/>
      <c r="Y1907" s="133"/>
      <c r="Z1907" s="133"/>
    </row>
    <row r="1908">
      <c r="A1908" s="133">
        <f>IFERROR(__xludf.DUMMYFUNCTION("""COMPUTED_VALUE"""),1909.0)</f>
        <v>1909</v>
      </c>
      <c r="B1908" s="133"/>
      <c r="C1908" s="133" t="str">
        <f>IFERROR(__xludf.DUMMYFUNCTION("""COMPUTED_VALUE"""),"P-1-N-160424-2429")</f>
        <v>P-1-N-160424-2429</v>
      </c>
      <c r="D1908" s="133"/>
      <c r="E1908" s="133" t="str">
        <f>IFERROR(__xludf.DUMMYFUNCTION("""COMPUTED_VALUE"""),"REJECTED")</f>
        <v>REJECTED</v>
      </c>
      <c r="F1908" s="133">
        <f>IFERROR(__xludf.DUMMYFUNCTION("""COMPUTED_VALUE"""),0.0)</f>
        <v>0</v>
      </c>
      <c r="G1908" s="133"/>
      <c r="H1908" s="133"/>
      <c r="I1908" s="133"/>
      <c r="J1908" s="133"/>
      <c r="K1908" s="133"/>
      <c r="L1908" s="133"/>
      <c r="M1908" s="133"/>
      <c r="N1908" s="133"/>
      <c r="O1908" s="133"/>
      <c r="P1908" s="133"/>
      <c r="Q1908" s="133"/>
      <c r="R1908" s="133"/>
      <c r="S1908" s="133"/>
      <c r="T1908" s="133"/>
      <c r="U1908" s="133"/>
      <c r="V1908" s="133"/>
      <c r="W1908" s="133"/>
      <c r="X1908" s="133"/>
      <c r="Y1908" s="133"/>
      <c r="Z1908" s="133"/>
    </row>
    <row r="1909">
      <c r="A1909" s="133">
        <f>IFERROR(__xludf.DUMMYFUNCTION("""COMPUTED_VALUE"""),1910.0)</f>
        <v>1910</v>
      </c>
      <c r="B1909" s="133"/>
      <c r="C1909" s="133" t="str">
        <f>IFERROR(__xludf.DUMMYFUNCTION("""COMPUTED_VALUE"""),"P-1-N-160424-2442")</f>
        <v>P-1-N-160424-2442</v>
      </c>
      <c r="D1909" s="133"/>
      <c r="E1909" s="133" t="str">
        <f>IFERROR(__xludf.DUMMYFUNCTION("""COMPUTED_VALUE"""),"تمت طباعة الشهادة")</f>
        <v>تمت طباعة الشهادة</v>
      </c>
      <c r="F1909" s="133" t="str">
        <f>IFERROR(__xludf.DUMMYFUNCTION("""COMPUTED_VALUE"""),"Garden Bites dental Sticks S 420g")</f>
        <v>Garden Bites dental Sticks S 420g</v>
      </c>
      <c r="G1909" s="133" t="str">
        <f>IFERROR(__xludf.DUMMYFUNCTION("""COMPUTED_VALUE"""),"جاردن بايتس دنتال ستيكس صغير 240ج")</f>
        <v>جاردن بايتس دنتال ستيكس صغير 240ج</v>
      </c>
      <c r="H1909" s="133" t="str">
        <f>IFERROR(__xludf.DUMMYFUNCTION("""COMPUTED_VALUE"""),"MAFE20242009")</f>
        <v>MAFE20242009</v>
      </c>
      <c r="I1909" s="133"/>
      <c r="J1909" s="133"/>
      <c r="K1909" s="133" t="str">
        <f>IFERROR(__xludf.DUMMYFUNCTION("""COMPUTED_VALUE"""),"""لاروي جروب إن في	""")</f>
        <v>"لاروي جروب إن في	"</v>
      </c>
      <c r="L1909" s="133"/>
      <c r="M1909" s="133"/>
      <c r="N1909" s="133"/>
      <c r="O1909" s="133"/>
      <c r="P1909" s="133"/>
      <c r="Q1909" s="133"/>
      <c r="R1909" s="133"/>
      <c r="S1909" s="133"/>
      <c r="T1909" s="133"/>
      <c r="U1909" s="133"/>
      <c r="V1909" s="133"/>
      <c r="W1909" s="133"/>
      <c r="X1909" s="133"/>
      <c r="Y1909" s="133"/>
      <c r="Z1909" s="133"/>
    </row>
    <row r="1910">
      <c r="A1910" s="133">
        <f>IFERROR(__xludf.DUMMYFUNCTION("""COMPUTED_VALUE"""),1911.0)</f>
        <v>1911</v>
      </c>
      <c r="B1910" s="133"/>
      <c r="C1910" s="133" t="str">
        <f>IFERROR(__xludf.DUMMYFUNCTION("""COMPUTED_VALUE"""),"P-1-N-160424-2443")</f>
        <v>P-1-N-160424-2443</v>
      </c>
      <c r="D1910" s="133"/>
      <c r="E1910" s="133" t="str">
        <f>IFERROR(__xludf.DUMMYFUNCTION("""COMPUTED_VALUE"""),"تمت طباعة الشهادة")</f>
        <v>تمت طباعة الشهادة</v>
      </c>
      <c r="F1910" s="133" t="str">
        <f>IFERROR(__xludf.DUMMYFUNCTION("""COMPUTED_VALUE"""),"Garden Bites dental Sticks S 3.24KG
")</f>
        <v>Garden Bites dental Sticks S 3.24KG
</v>
      </c>
      <c r="G1910" s="133" t="str">
        <f>IFERROR(__xludf.DUMMYFUNCTION("""COMPUTED_VALUE"""),"جاردن بايتس دنتال ستيكس صغير 3.24 كج
")</f>
        <v>جاردن بايتس دنتال ستيكس صغير 3.24 كج
</v>
      </c>
      <c r="H1910" s="133" t="str">
        <f>IFERROR(__xludf.DUMMYFUNCTION("""COMPUTED_VALUE"""),"MAFE20242084")</f>
        <v>MAFE20242084</v>
      </c>
      <c r="I1910" s="133"/>
      <c r="J1910" s="133"/>
      <c r="K1910" s="133" t="str">
        <f>IFERROR(__xludf.DUMMYFUNCTION("""COMPUTED_VALUE"""),"لاروي جروب إن في	")</f>
        <v>لاروي جروب إن في	</v>
      </c>
      <c r="L1910" s="133"/>
      <c r="M1910" s="133"/>
      <c r="N1910" s="133"/>
      <c r="O1910" s="133"/>
      <c r="P1910" s="133"/>
      <c r="Q1910" s="133"/>
      <c r="R1910" s="133"/>
      <c r="S1910" s="133"/>
      <c r="T1910" s="133"/>
      <c r="U1910" s="133"/>
      <c r="V1910" s="133"/>
      <c r="W1910" s="133"/>
      <c r="X1910" s="133"/>
      <c r="Y1910" s="133"/>
      <c r="Z1910" s="133"/>
    </row>
    <row r="1911">
      <c r="A1911" s="133">
        <f>IFERROR(__xludf.DUMMYFUNCTION("""COMPUTED_VALUE"""),1912.0)</f>
        <v>1912</v>
      </c>
      <c r="B1911" s="133"/>
      <c r="C1911" s="133" t="str">
        <f>IFERROR(__xludf.DUMMYFUNCTION("""COMPUTED_VALUE"""),"P-1-N-170424-2460")</f>
        <v>P-1-N-170424-2460</v>
      </c>
      <c r="D1911" s="133"/>
      <c r="E1911" s="133" t="str">
        <f>IFERROR(__xludf.DUMMYFUNCTION("""COMPUTED_VALUE"""),"تمت طباعة الشهادة")</f>
        <v>تمت طباعة الشهادة</v>
      </c>
      <c r="F1911" s="133" t="str">
        <f>IFERROR(__xludf.DUMMYFUNCTION("""COMPUTED_VALUE"""),"Garden Bites dental Sticks L 420G
")</f>
        <v>Garden Bites dental Sticks L 420G
</v>
      </c>
      <c r="G1911" s="133" t="str">
        <f>IFERROR(__xludf.DUMMYFUNCTION("""COMPUTED_VALUE"""),"جاردن بايتس دنتال ستيكس كبير 420ج
")</f>
        <v>جاردن بايتس دنتال ستيكس كبير 420ج
</v>
      </c>
      <c r="H1911" s="133" t="str">
        <f>IFERROR(__xludf.DUMMYFUNCTION("""COMPUTED_VALUE"""),"MAFE20242024")</f>
        <v>MAFE20242024</v>
      </c>
      <c r="I1911" s="133"/>
      <c r="J1911" s="133"/>
      <c r="K1911" s="133" t="str">
        <f>IFERROR(__xludf.DUMMYFUNCTION("""COMPUTED_VALUE"""),"لاروي جروب إن في	")</f>
        <v>لاروي جروب إن في	</v>
      </c>
      <c r="L1911" s="133"/>
      <c r="M1911" s="133"/>
      <c r="N1911" s="133"/>
      <c r="O1911" s="133"/>
      <c r="P1911" s="133"/>
      <c r="Q1911" s="133"/>
      <c r="R1911" s="133"/>
      <c r="S1911" s="133"/>
      <c r="T1911" s="133"/>
      <c r="U1911" s="133"/>
      <c r="V1911" s="133"/>
      <c r="W1911" s="133"/>
      <c r="X1911" s="133"/>
      <c r="Y1911" s="133"/>
      <c r="Z1911" s="133"/>
    </row>
    <row r="1912">
      <c r="A1912" s="133">
        <f>IFERROR(__xludf.DUMMYFUNCTION("""COMPUTED_VALUE"""),1913.0)</f>
        <v>1913</v>
      </c>
      <c r="B1912" s="133"/>
      <c r="C1912" s="133" t="str">
        <f>IFERROR(__xludf.DUMMYFUNCTION("""COMPUTED_VALUE"""),"P-1-N-170424-2461")</f>
        <v>P-1-N-170424-2461</v>
      </c>
      <c r="D1912" s="133"/>
      <c r="E1912" s="133" t="str">
        <f>IFERROR(__xludf.DUMMYFUNCTION("""COMPUTED_VALUE"""),"تمت طباعة الشهادة")</f>
        <v>تمت طباعة الشهادة</v>
      </c>
      <c r="F1912" s="133" t="str">
        <f>IFERROR(__xludf.DUMMYFUNCTION("""COMPUTED_VALUE"""),"Garden Bites dental Sticks L 3.60KG
")</f>
        <v>Garden Bites dental Sticks L 3.60KG
</v>
      </c>
      <c r="G1912" s="133" t="str">
        <f>IFERROR(__xludf.DUMMYFUNCTION("""COMPUTED_VALUE"""),"جاردن بايتس دنتال ستيكس كبير 3.6كج
")</f>
        <v>جاردن بايتس دنتال ستيكس كبير 3.6كج
</v>
      </c>
      <c r="H1912" s="133" t="str">
        <f>IFERROR(__xludf.DUMMYFUNCTION("""COMPUTED_VALUE"""),"MAFE20242085")</f>
        <v>MAFE20242085</v>
      </c>
      <c r="I1912" s="133"/>
      <c r="J1912" s="133"/>
      <c r="K1912" s="133" t="str">
        <f>IFERROR(__xludf.DUMMYFUNCTION("""COMPUTED_VALUE"""),"لاروي جروب إن في	")</f>
        <v>لاروي جروب إن في	</v>
      </c>
      <c r="L1912" s="133"/>
      <c r="M1912" s="133"/>
      <c r="N1912" s="133"/>
      <c r="O1912" s="133"/>
      <c r="P1912" s="133"/>
      <c r="Q1912" s="133"/>
      <c r="R1912" s="133"/>
      <c r="S1912" s="133"/>
      <c r="T1912" s="133"/>
      <c r="U1912" s="133"/>
      <c r="V1912" s="133"/>
      <c r="W1912" s="133"/>
      <c r="X1912" s="133"/>
      <c r="Y1912" s="133"/>
      <c r="Z1912" s="133"/>
    </row>
    <row r="1913">
      <c r="A1913" s="133">
        <f>IFERROR(__xludf.DUMMYFUNCTION("""COMPUTED_VALUE"""),1914.0)</f>
        <v>1914</v>
      </c>
      <c r="B1913" s="133"/>
      <c r="C1913" s="133" t="str">
        <f>IFERROR(__xludf.DUMMYFUNCTION("""COMPUTED_VALUE"""),"P-1-N-170424-2462")</f>
        <v>P-1-N-170424-2462</v>
      </c>
      <c r="D1913" s="133"/>
      <c r="E1913" s="133" t="str">
        <f>IFERROR(__xludf.DUMMYFUNCTION("""COMPUTED_VALUE"""),"تمت طباعة الشهادة")</f>
        <v>تمت طباعة الشهادة</v>
      </c>
      <c r="F1913" s="133" t="str">
        <f>IFERROR(__xludf.DUMMYFUNCTION("""COMPUTED_VALUE"""),"Garden Bites Veggie Friends S 270g
")</f>
        <v>Garden Bites Veggie Friends S 270g
</v>
      </c>
      <c r="G1913" s="133" t="str">
        <f>IFERROR(__xludf.DUMMYFUNCTION("""COMPUTED_VALUE"""),"جاردن بايتس فيجي فريندز صغير 270ج
")</f>
        <v>جاردن بايتس فيجي فريندز صغير 270ج
</v>
      </c>
      <c r="H1913" s="133" t="str">
        <f>IFERROR(__xludf.DUMMYFUNCTION("""COMPUTED_VALUE"""),"MAFE20242023")</f>
        <v>MAFE20242023</v>
      </c>
      <c r="I1913" s="133"/>
      <c r="J1913" s="133"/>
      <c r="K1913" s="133" t="str">
        <f>IFERROR(__xludf.DUMMYFUNCTION("""COMPUTED_VALUE"""),"لاروي جروب إن في	")</f>
        <v>لاروي جروب إن في	</v>
      </c>
      <c r="L1913" s="133"/>
      <c r="M1913" s="133"/>
      <c r="N1913" s="133"/>
      <c r="O1913" s="133"/>
      <c r="P1913" s="133"/>
      <c r="Q1913" s="133"/>
      <c r="R1913" s="133"/>
      <c r="S1913" s="133"/>
      <c r="T1913" s="133"/>
      <c r="U1913" s="133"/>
      <c r="V1913" s="133"/>
      <c r="W1913" s="133"/>
      <c r="X1913" s="133"/>
      <c r="Y1913" s="133"/>
      <c r="Z1913" s="133"/>
    </row>
    <row r="1914">
      <c r="A1914" s="133">
        <f>IFERROR(__xludf.DUMMYFUNCTION("""COMPUTED_VALUE"""),1915.0)</f>
        <v>1915</v>
      </c>
      <c r="B1914" s="133"/>
      <c r="C1914" s="133" t="str">
        <f>IFERROR(__xludf.DUMMYFUNCTION("""COMPUTED_VALUE"""),"P-1-N-170424-2463")</f>
        <v>P-1-N-170424-2463</v>
      </c>
      <c r="D1914" s="133"/>
      <c r="E1914" s="133" t="str">
        <f>IFERROR(__xludf.DUMMYFUNCTION("""COMPUTED_VALUE"""),"تمت طباعة الشهادة")</f>
        <v>تمت طباعة الشهادة</v>
      </c>
      <c r="F1914" s="133" t="str">
        <f>IFERROR(__xludf.DUMMYFUNCTION("""COMPUTED_VALUE"""),"Garden Bites Veggie Friends L 270g
")</f>
        <v>Garden Bites Veggie Friends L 270g
</v>
      </c>
      <c r="G1914" s="133" t="str">
        <f>IFERROR(__xludf.DUMMYFUNCTION("""COMPUTED_VALUE"""),"جاردن بايتس فيجي فريندز كبير 270 ج
")</f>
        <v>جاردن بايتس فيجي فريندز كبير 270 ج
</v>
      </c>
      <c r="H1914" s="133" t="str">
        <f>IFERROR(__xludf.DUMMYFUNCTION("""COMPUTED_VALUE"""),"MAFE20242022")</f>
        <v>MAFE20242022</v>
      </c>
      <c r="I1914" s="133"/>
      <c r="J1914" s="133"/>
      <c r="K1914" s="133" t="str">
        <f>IFERROR(__xludf.DUMMYFUNCTION("""COMPUTED_VALUE"""),"لاروي جروب إن في	")</f>
        <v>لاروي جروب إن في	</v>
      </c>
      <c r="L1914" s="133"/>
      <c r="M1914" s="133"/>
      <c r="N1914" s="133"/>
      <c r="O1914" s="133"/>
      <c r="P1914" s="133"/>
      <c r="Q1914" s="133"/>
      <c r="R1914" s="133"/>
      <c r="S1914" s="133"/>
      <c r="T1914" s="133"/>
      <c r="U1914" s="133"/>
      <c r="V1914" s="133"/>
      <c r="W1914" s="133"/>
      <c r="X1914" s="133"/>
      <c r="Y1914" s="133"/>
      <c r="Z1914" s="133"/>
    </row>
    <row r="1915">
      <c r="A1915" s="133">
        <f>IFERROR(__xludf.DUMMYFUNCTION("""COMPUTED_VALUE"""),1916.0)</f>
        <v>1916</v>
      </c>
      <c r="B1915" s="133"/>
      <c r="C1915" s="133" t="str">
        <f>IFERROR(__xludf.DUMMYFUNCTION("""COMPUTED_VALUE"""),"P-1-N-170424-2464")</f>
        <v>P-1-N-170424-2464</v>
      </c>
      <c r="D1915" s="133"/>
      <c r="E1915" s="133" t="str">
        <f>IFERROR(__xludf.DUMMYFUNCTION("""COMPUTED_VALUE"""),"تمت طباعة الشهادة")</f>
        <v>تمت طباعة الشهادة</v>
      </c>
      <c r="F1915" s="133" t="str">
        <f>IFERROR(__xludf.DUMMYFUNCTION("""COMPUTED_VALUE"""),"Garden Bites toby toothbrush S 500g
")</f>
        <v>Garden Bites toby toothbrush S 500g
</v>
      </c>
      <c r="G1915" s="133" t="str">
        <f>IFERROR(__xludf.DUMMYFUNCTION("""COMPUTED_VALUE"""),"جاردن بايتس توبي توثبرش صغير 500ج
")</f>
        <v>جاردن بايتس توبي توثبرش صغير 500ج
</v>
      </c>
      <c r="H1915" s="133" t="str">
        <f>IFERROR(__xludf.DUMMYFUNCTION("""COMPUTED_VALUE"""),"MAFE20242021")</f>
        <v>MAFE20242021</v>
      </c>
      <c r="I1915" s="133"/>
      <c r="J1915" s="133"/>
      <c r="K1915" s="133" t="str">
        <f>IFERROR(__xludf.DUMMYFUNCTION("""COMPUTED_VALUE"""),"لاروي جروب إن في	")</f>
        <v>لاروي جروب إن في	</v>
      </c>
      <c r="L1915" s="133"/>
      <c r="M1915" s="133"/>
      <c r="N1915" s="133"/>
      <c r="O1915" s="133"/>
      <c r="P1915" s="133"/>
      <c r="Q1915" s="133"/>
      <c r="R1915" s="133"/>
      <c r="S1915" s="133"/>
      <c r="T1915" s="133"/>
      <c r="U1915" s="133"/>
      <c r="V1915" s="133"/>
      <c r="W1915" s="133"/>
      <c r="X1915" s="133"/>
      <c r="Y1915" s="133"/>
      <c r="Z1915" s="133"/>
    </row>
    <row r="1916">
      <c r="A1916" s="133">
        <f>IFERROR(__xludf.DUMMYFUNCTION("""COMPUTED_VALUE"""),1917.0)</f>
        <v>1917</v>
      </c>
      <c r="B1916" s="133"/>
      <c r="C1916" s="133" t="str">
        <f>IFERROR(__xludf.DUMMYFUNCTION("""COMPUTED_VALUE"""),"P-1-N-170424-2465")</f>
        <v>P-1-N-170424-2465</v>
      </c>
      <c r="D1916" s="133"/>
      <c r="E1916" s="133" t="str">
        <f>IFERROR(__xludf.DUMMYFUNCTION("""COMPUTED_VALUE"""),"تمت طباعة الشهادة")</f>
        <v>تمت طباعة الشهادة</v>
      </c>
      <c r="F1916" s="133" t="str">
        <f>IFERROR(__xludf.DUMMYFUNCTION("""COMPUTED_VALUE"""),"Garden Bites toby toothbrush L500g
")</f>
        <v>Garden Bites toby toothbrush L500g
</v>
      </c>
      <c r="G1916" s="133" t="str">
        <f>IFERROR(__xludf.DUMMYFUNCTION("""COMPUTED_VALUE"""),"جاردن بايتس توبي توثبرش كبير 500ج
")</f>
        <v>جاردن بايتس توبي توثبرش كبير 500ج
</v>
      </c>
      <c r="H1916" s="133" t="str">
        <f>IFERROR(__xludf.DUMMYFUNCTION("""COMPUTED_VALUE"""),"MAFE20242018")</f>
        <v>MAFE20242018</v>
      </c>
      <c r="I1916" s="133"/>
      <c r="J1916" s="133"/>
      <c r="K1916" s="133" t="str">
        <f>IFERROR(__xludf.DUMMYFUNCTION("""COMPUTED_VALUE"""),"لاروي جروب إن في	")</f>
        <v>لاروي جروب إن في	</v>
      </c>
      <c r="L1916" s="133"/>
      <c r="M1916" s="133"/>
      <c r="N1916" s="133"/>
      <c r="O1916" s="133"/>
      <c r="P1916" s="133"/>
      <c r="Q1916" s="133"/>
      <c r="R1916" s="133"/>
      <c r="S1916" s="133"/>
      <c r="T1916" s="133"/>
      <c r="U1916" s="133"/>
      <c r="V1916" s="133"/>
      <c r="W1916" s="133"/>
      <c r="X1916" s="133"/>
      <c r="Y1916" s="133"/>
      <c r="Z1916" s="133"/>
    </row>
    <row r="1917">
      <c r="A1917" s="133">
        <f>IFERROR(__xludf.DUMMYFUNCTION("""COMPUTED_VALUE"""),1918.0)</f>
        <v>1918</v>
      </c>
      <c r="B1917" s="133"/>
      <c r="C1917" s="133" t="str">
        <f>IFERROR(__xludf.DUMMYFUNCTION("""COMPUTED_VALUE"""),"P-1-N-170424-2467")</f>
        <v>P-1-N-170424-2467</v>
      </c>
      <c r="D1917" s="133"/>
      <c r="E1917" s="133" t="str">
        <f>IFERROR(__xludf.DUMMYFUNCTION("""COMPUTED_VALUE"""),"تمت طباعة الشهادة")</f>
        <v>تمت طباعة الشهادة</v>
      </c>
      <c r="F1917" s="133" t="str">
        <f>IFERROR(__xludf.DUMMYFUNCTION("""COMPUTED_VALUE"""),"Garden Bites Fruity friends S 270g
")</f>
        <v>Garden Bites Fruity friends S 270g
</v>
      </c>
      <c r="G1917" s="133" t="str">
        <f>IFERROR(__xludf.DUMMYFUNCTION("""COMPUTED_VALUE"""),"جاردن بايتس فروتي فريندز صغير 270ج
")</f>
        <v>جاردن بايتس فروتي فريندز صغير 270ج
</v>
      </c>
      <c r="H1917" s="133" t="str">
        <f>IFERROR(__xludf.DUMMYFUNCTION("""COMPUTED_VALUE"""),"MAFE20242087")</f>
        <v>MAFE20242087</v>
      </c>
      <c r="I1917" s="133"/>
      <c r="J1917" s="133"/>
      <c r="K1917" s="133" t="str">
        <f>IFERROR(__xludf.DUMMYFUNCTION("""COMPUTED_VALUE"""),"لاروي جروب إن في	")</f>
        <v>لاروي جروب إن في	</v>
      </c>
      <c r="L1917" s="133"/>
      <c r="M1917" s="133"/>
      <c r="N1917" s="133"/>
      <c r="O1917" s="133"/>
      <c r="P1917" s="133"/>
      <c r="Q1917" s="133"/>
      <c r="R1917" s="133"/>
      <c r="S1917" s="133"/>
      <c r="T1917" s="133"/>
      <c r="U1917" s="133"/>
      <c r="V1917" s="133"/>
      <c r="W1917" s="133"/>
      <c r="X1917" s="133"/>
      <c r="Y1917" s="133"/>
      <c r="Z1917" s="133"/>
    </row>
    <row r="1918">
      <c r="A1918" s="133">
        <f>IFERROR(__xludf.DUMMYFUNCTION("""COMPUTED_VALUE"""),1919.0)</f>
        <v>1919</v>
      </c>
      <c r="B1918" s="133"/>
      <c r="C1918" s="133" t="str">
        <f>IFERROR(__xludf.DUMMYFUNCTION("""COMPUTED_VALUE"""),"P-1-N-170424-2469")</f>
        <v>P-1-N-170424-2469</v>
      </c>
      <c r="D1918" s="133"/>
      <c r="E1918" s="133" t="str">
        <f>IFERROR(__xludf.DUMMYFUNCTION("""COMPUTED_VALUE"""),"تمت طباعة الشهادة")</f>
        <v>تمت طباعة الشهادة</v>
      </c>
      <c r="F1918" s="133" t="str">
        <f>IFERROR(__xludf.DUMMYFUNCTION("""COMPUTED_VALUE"""),"Garden Bites Fruity friends L 270g
")</f>
        <v>Garden Bites Fruity friends L 270g
</v>
      </c>
      <c r="G1918" s="133" t="str">
        <f>IFERROR(__xludf.DUMMYFUNCTION("""COMPUTED_VALUE"""),"جاردن بايتس فروتي فريندز كبير 270ج
")</f>
        <v>جاردن بايتس فروتي فريندز كبير 270ج
</v>
      </c>
      <c r="H1918" s="133" t="str">
        <f>IFERROR(__xludf.DUMMYFUNCTION("""COMPUTED_VALUE"""),"MAFE20242062")</f>
        <v>MAFE20242062</v>
      </c>
      <c r="I1918" s="133"/>
      <c r="J1918" s="133"/>
      <c r="K1918" s="133" t="str">
        <f>IFERROR(__xludf.DUMMYFUNCTION("""COMPUTED_VALUE"""),"لاروي جروب إن في	")</f>
        <v>لاروي جروب إن في	</v>
      </c>
      <c r="L1918" s="133"/>
      <c r="M1918" s="133"/>
      <c r="N1918" s="133"/>
      <c r="O1918" s="133"/>
      <c r="P1918" s="133"/>
      <c r="Q1918" s="133"/>
      <c r="R1918" s="133"/>
      <c r="S1918" s="133"/>
      <c r="T1918" s="133"/>
      <c r="U1918" s="133"/>
      <c r="V1918" s="133"/>
      <c r="W1918" s="133"/>
      <c r="X1918" s="133"/>
      <c r="Y1918" s="133"/>
      <c r="Z1918" s="133"/>
    </row>
    <row r="1919">
      <c r="A1919" s="133">
        <f>IFERROR(__xludf.DUMMYFUNCTION("""COMPUTED_VALUE"""),1920.0)</f>
        <v>1920</v>
      </c>
      <c r="B1919" s="133"/>
      <c r="C1919" s="133" t="str">
        <f>IFERROR(__xludf.DUMMYFUNCTION("""COMPUTED_VALUE"""),"P-1-N-170424-2471")</f>
        <v>P-1-N-170424-2471</v>
      </c>
      <c r="D1919" s="133"/>
      <c r="E1919" s="133" t="str">
        <f>IFERROR(__xludf.DUMMYFUNCTION("""COMPUTED_VALUE"""),"تمت طباعة الشهادة")</f>
        <v>تمت طباعة الشهادة</v>
      </c>
      <c r="F1919" s="133" t="str">
        <f>IFERROR(__xludf.DUMMYFUNCTION("""COMPUTED_VALUE"""),"Garden Bites Fruity Tonya toothpaste S 270g
")</f>
        <v>Garden Bites Fruity Tonya toothpaste S 270g
</v>
      </c>
      <c r="G1919" s="133" t="str">
        <f>IFERROR(__xludf.DUMMYFUNCTION("""COMPUTED_VALUE"""),"جاردن بايتس فروتي تونيا توثبيست صغير 270ج
")</f>
        <v>جاردن بايتس فروتي تونيا توثبيست صغير 270ج
</v>
      </c>
      <c r="H1919" s="133" t="str">
        <f>IFERROR(__xludf.DUMMYFUNCTION("""COMPUTED_VALUE"""),"MAFE20242063")</f>
        <v>MAFE20242063</v>
      </c>
      <c r="I1919" s="133"/>
      <c r="J1919" s="133"/>
      <c r="K1919" s="133" t="str">
        <f>IFERROR(__xludf.DUMMYFUNCTION("""COMPUTED_VALUE"""),"لاروي جروب إن في	")</f>
        <v>لاروي جروب إن في	</v>
      </c>
      <c r="L1919" s="133"/>
      <c r="M1919" s="133"/>
      <c r="N1919" s="133"/>
      <c r="O1919" s="133"/>
      <c r="P1919" s="133"/>
      <c r="Q1919" s="133"/>
      <c r="R1919" s="133"/>
      <c r="S1919" s="133"/>
      <c r="T1919" s="133"/>
      <c r="U1919" s="133"/>
      <c r="V1919" s="133"/>
      <c r="W1919" s="133"/>
      <c r="X1919" s="133"/>
      <c r="Y1919" s="133"/>
      <c r="Z1919" s="133"/>
    </row>
    <row r="1920">
      <c r="A1920" s="133">
        <f>IFERROR(__xludf.DUMMYFUNCTION("""COMPUTED_VALUE"""),1921.0)</f>
        <v>1921</v>
      </c>
      <c r="B1920" s="133"/>
      <c r="C1920" s="133" t="str">
        <f>IFERROR(__xludf.DUMMYFUNCTION("""COMPUTED_VALUE"""),"P-1-N-170424-2472")</f>
        <v>P-1-N-170424-2472</v>
      </c>
      <c r="D1920" s="133"/>
      <c r="E1920" s="133" t="str">
        <f>IFERROR(__xludf.DUMMYFUNCTION("""COMPUTED_VALUE"""),"تمت طباعة الشهادة")</f>
        <v>تمت طباعة الشهادة</v>
      </c>
      <c r="F1920" s="133" t="str">
        <f>IFERROR(__xludf.DUMMYFUNCTION("""COMPUTED_VALUE"""),"Garden Bites Fruity Tonya toothpaste L 270g")</f>
        <v>Garden Bites Fruity Tonya toothpaste L 270g</v>
      </c>
      <c r="G1920" s="133" t="str">
        <f>IFERROR(__xludf.DUMMYFUNCTION("""COMPUTED_VALUE"""),"جاردن بايتس فروتي تونيا توثبيست كبير 270ج
")</f>
        <v>جاردن بايتس فروتي تونيا توثبيست كبير 270ج
</v>
      </c>
      <c r="H1920" s="133" t="str">
        <f>IFERROR(__xludf.DUMMYFUNCTION("""COMPUTED_VALUE"""),"MAFE20242064")</f>
        <v>MAFE20242064</v>
      </c>
      <c r="I1920" s="133"/>
      <c r="J1920" s="133"/>
      <c r="K1920" s="133" t="str">
        <f>IFERROR(__xludf.DUMMYFUNCTION("""COMPUTED_VALUE"""),"لاروي جروب إن في	")</f>
        <v>لاروي جروب إن في	</v>
      </c>
      <c r="L1920" s="133"/>
      <c r="M1920" s="133"/>
      <c r="N1920" s="133"/>
      <c r="O1920" s="133"/>
      <c r="P1920" s="133"/>
      <c r="Q1920" s="133"/>
      <c r="R1920" s="133"/>
      <c r="S1920" s="133"/>
      <c r="T1920" s="133"/>
      <c r="U1920" s="133"/>
      <c r="V1920" s="133"/>
      <c r="W1920" s="133"/>
      <c r="X1920" s="133"/>
      <c r="Y1920" s="133"/>
      <c r="Z1920" s="133"/>
    </row>
    <row r="1921">
      <c r="A1921" s="133">
        <f>IFERROR(__xludf.DUMMYFUNCTION("""COMPUTED_VALUE"""),1922.0)</f>
        <v>1922</v>
      </c>
      <c r="B1921" s="133"/>
      <c r="C1921" s="133" t="str">
        <f>IFERROR(__xludf.DUMMYFUNCTION("""COMPUTED_VALUE"""),"P-1-N-170424-2483")</f>
        <v>P-1-N-170424-2483</v>
      </c>
      <c r="D1921" s="133"/>
      <c r="E1921" s="133" t="str">
        <f>IFERROR(__xludf.DUMMYFUNCTION("""COMPUTED_VALUE"""),"تمت طباعة الشهادة")</f>
        <v>تمت طباعة الشهادة</v>
      </c>
      <c r="F1921" s="133" t="str">
        <f>IFERROR(__xludf.DUMMYFUNCTION("""COMPUTED_VALUE"""),"Garden Bites Fruity dental Swirls S230g
")</f>
        <v>Garden Bites Fruity dental Swirls S230g
</v>
      </c>
      <c r="G1921" s="133" t="str">
        <f>IFERROR(__xludf.DUMMYFUNCTION("""COMPUTED_VALUE"""),"جاردن بايتس دينتال سويرلز صغير 230ج
")</f>
        <v>جاردن بايتس دينتال سويرلز صغير 230ج
</v>
      </c>
      <c r="H1921" s="133" t="str">
        <f>IFERROR(__xludf.DUMMYFUNCTION("""COMPUTED_VALUE"""),"MAFE20242065")</f>
        <v>MAFE20242065</v>
      </c>
      <c r="I1921" s="133"/>
      <c r="J1921" s="133"/>
      <c r="K1921" s="133" t="str">
        <f>IFERROR(__xludf.DUMMYFUNCTION("""COMPUTED_VALUE"""),"لاروي جروب إن في	")</f>
        <v>لاروي جروب إن في	</v>
      </c>
      <c r="L1921" s="133"/>
      <c r="M1921" s="133"/>
      <c r="N1921" s="133"/>
      <c r="O1921" s="133"/>
      <c r="P1921" s="133"/>
      <c r="Q1921" s="133"/>
      <c r="R1921" s="133"/>
      <c r="S1921" s="133"/>
      <c r="T1921" s="133"/>
      <c r="U1921" s="133"/>
      <c r="V1921" s="133"/>
      <c r="W1921" s="133"/>
      <c r="X1921" s="133"/>
      <c r="Y1921" s="133"/>
      <c r="Z1921" s="133"/>
    </row>
    <row r="1922">
      <c r="A1922" s="133">
        <f>IFERROR(__xludf.DUMMYFUNCTION("""COMPUTED_VALUE"""),1923.0)</f>
        <v>1923</v>
      </c>
      <c r="B1922" s="133"/>
      <c r="C1922" s="133" t="str">
        <f>IFERROR(__xludf.DUMMYFUNCTION("""COMPUTED_VALUE"""),"P-1-N-170424-2484")</f>
        <v>P-1-N-170424-2484</v>
      </c>
      <c r="D1922" s="133"/>
      <c r="E1922" s="133" t="str">
        <f>IFERROR(__xludf.DUMMYFUNCTION("""COMPUTED_VALUE"""),"تمت طباعة الشهادة")</f>
        <v>تمت طباعة الشهادة</v>
      </c>
      <c r="F1922" s="133" t="str">
        <f>IFERROR(__xludf.DUMMYFUNCTION("""COMPUTED_VALUE"""),"Garden Bites Fruity dental Swirls L 270g
")</f>
        <v>Garden Bites Fruity dental Swirls L 270g
</v>
      </c>
      <c r="G1922" s="133" t="str">
        <f>IFERROR(__xludf.DUMMYFUNCTION("""COMPUTED_VALUE"""),"جاردن بايتس فروتي دينتال سويرلز كبير 270ج
")</f>
        <v>جاردن بايتس فروتي دينتال سويرلز كبير 270ج
</v>
      </c>
      <c r="H1922" s="133" t="str">
        <f>IFERROR(__xludf.DUMMYFUNCTION("""COMPUTED_VALUE"""),"MAFE20242086")</f>
        <v>MAFE20242086</v>
      </c>
      <c r="I1922" s="133"/>
      <c r="J1922" s="133"/>
      <c r="K1922" s="133" t="str">
        <f>IFERROR(__xludf.DUMMYFUNCTION("""COMPUTED_VALUE"""),"لاروي جروب إن في	")</f>
        <v>لاروي جروب إن في	</v>
      </c>
      <c r="L1922" s="133"/>
      <c r="M1922" s="133"/>
      <c r="N1922" s="133"/>
      <c r="O1922" s="133"/>
      <c r="P1922" s="133"/>
      <c r="Q1922" s="133"/>
      <c r="R1922" s="133"/>
      <c r="S1922" s="133"/>
      <c r="T1922" s="133"/>
      <c r="U1922" s="133"/>
      <c r="V1922" s="133"/>
      <c r="W1922" s="133"/>
      <c r="X1922" s="133"/>
      <c r="Y1922" s="133"/>
      <c r="Z1922" s="133"/>
    </row>
    <row r="1923">
      <c r="A1923" s="133">
        <f>IFERROR(__xludf.DUMMYFUNCTION("""COMPUTED_VALUE"""),1924.0)</f>
        <v>1924</v>
      </c>
      <c r="B1923" s="133"/>
      <c r="C1923" s="133" t="str">
        <f>IFERROR(__xludf.DUMMYFUNCTION("""COMPUTED_VALUE"""),"P-1-N-170424-2490")</f>
        <v>P-1-N-170424-2490</v>
      </c>
      <c r="D1923" s="133"/>
      <c r="E1923" s="133" t="str">
        <f>IFERROR(__xludf.DUMMYFUNCTION("""COMPUTED_VALUE"""),"تمت طباعة الشهادة")</f>
        <v>تمت طباعة الشهادة</v>
      </c>
      <c r="F1923" s="133" t="str">
        <f>IFERROR(__xludf.DUMMYFUNCTION("""COMPUTED_VALUE"""),"Garden Bites Fruity friends S 2.7kg
")</f>
        <v>Garden Bites Fruity friends S 2.7kg
</v>
      </c>
      <c r="G1923" s="133" t="str">
        <f>IFERROR(__xludf.DUMMYFUNCTION("""COMPUTED_VALUE"""),"جاردن بايتس فروتي فريندز صغير 2.7كج
")</f>
        <v>جاردن بايتس فروتي فريندز صغير 2.7كج
</v>
      </c>
      <c r="H1923" s="133" t="str">
        <f>IFERROR(__xludf.DUMMYFUNCTION("""COMPUTED_VALUE"""),"MAFE20242087")</f>
        <v>MAFE20242087</v>
      </c>
      <c r="I1923" s="133"/>
      <c r="J1923" s="133"/>
      <c r="K1923" s="133" t="str">
        <f>IFERROR(__xludf.DUMMYFUNCTION("""COMPUTED_VALUE"""),"لاروي جروب إن في	")</f>
        <v>لاروي جروب إن في	</v>
      </c>
      <c r="L1923" s="133"/>
      <c r="M1923" s="133"/>
      <c r="N1923" s="133"/>
      <c r="O1923" s="133"/>
      <c r="P1923" s="133"/>
      <c r="Q1923" s="133"/>
      <c r="R1923" s="133"/>
      <c r="S1923" s="133"/>
      <c r="T1923" s="133"/>
      <c r="U1923" s="133"/>
      <c r="V1923" s="133"/>
      <c r="W1923" s="133"/>
      <c r="X1923" s="133"/>
      <c r="Y1923" s="133"/>
      <c r="Z1923" s="133"/>
    </row>
    <row r="1924">
      <c r="A1924" s="133">
        <f>IFERROR(__xludf.DUMMYFUNCTION("""COMPUTED_VALUE"""),1925.0)</f>
        <v>1925</v>
      </c>
      <c r="B1924" s="133"/>
      <c r="C1924" s="133" t="str">
        <f>IFERROR(__xludf.DUMMYFUNCTION("""COMPUTED_VALUE"""),"P-1-N-180424-2503")</f>
        <v>P-1-N-180424-2503</v>
      </c>
      <c r="D1924" s="133"/>
      <c r="E1924" s="133" t="str">
        <f>IFERROR(__xludf.DUMMYFUNCTION("""COMPUTED_VALUE"""),"تمت طباعة الشهادة")</f>
        <v>تمت طباعة الشهادة</v>
      </c>
      <c r="F1924" s="133" t="str">
        <f>IFERROR(__xludf.DUMMYFUNCTION("""COMPUTED_VALUE"""),"Garden Bites Fruity friends L 1.62kg
")</f>
        <v>Garden Bites Fruity friends L 1.62kg
</v>
      </c>
      <c r="G1924" s="133" t="str">
        <f>IFERROR(__xludf.DUMMYFUNCTION("""COMPUTED_VALUE"""),"جاردن بايتس فروتي فريندز كبير 1.62كج
")</f>
        <v>جاردن بايتس فروتي فريندز كبير 1.62كج
</v>
      </c>
      <c r="H1924" s="133" t="str">
        <f>IFERROR(__xludf.DUMMYFUNCTION("""COMPUTED_VALUE"""),"MAFE20242091")</f>
        <v>MAFE20242091</v>
      </c>
      <c r="I1924" s="133"/>
      <c r="J1924" s="133"/>
      <c r="K1924" s="133" t="str">
        <f>IFERROR(__xludf.DUMMYFUNCTION("""COMPUTED_VALUE"""),"لاروي جروب إن في	")</f>
        <v>لاروي جروب إن في	</v>
      </c>
      <c r="L1924" s="133"/>
      <c r="M1924" s="133"/>
      <c r="N1924" s="133"/>
      <c r="O1924" s="133"/>
      <c r="P1924" s="133"/>
      <c r="Q1924" s="133"/>
      <c r="R1924" s="133"/>
      <c r="S1924" s="133"/>
      <c r="T1924" s="133"/>
      <c r="U1924" s="133"/>
      <c r="V1924" s="133"/>
      <c r="W1924" s="133"/>
      <c r="X1924" s="133"/>
      <c r="Y1924" s="133"/>
      <c r="Z1924" s="133"/>
    </row>
    <row r="1925">
      <c r="A1925" s="133">
        <f>IFERROR(__xludf.DUMMYFUNCTION("""COMPUTED_VALUE"""),1926.0)</f>
        <v>1926</v>
      </c>
      <c r="B1925" s="133"/>
      <c r="C1925" s="133" t="str">
        <f>IFERROR(__xludf.DUMMYFUNCTION("""COMPUTED_VALUE"""),"P-1-N-220424-2567")</f>
        <v>P-1-N-220424-2567</v>
      </c>
      <c r="D1925" s="133"/>
      <c r="E1925" s="133" t="str">
        <f>IFERROR(__xludf.DUMMYFUNCTION("""COMPUTED_VALUE"""),"تمت طباعة الشهادة")</f>
        <v>تمت طباعة الشهادة</v>
      </c>
      <c r="F1925" s="133" t="str">
        <f>IFERROR(__xludf.DUMMYFUNCTION("""COMPUTED_VALUE"""),"Top 10 Multi Vitamin Tablets for cats 180 Tab
")</f>
        <v>Top 10 Multi Vitamin Tablets for cats 180 Tab
</v>
      </c>
      <c r="G1925" s="133" t="str">
        <f>IFERROR(__xludf.DUMMYFUNCTION("""COMPUTED_VALUE"""),"توب 10 مالتي فيتامين للقطط 180 قرص
")</f>
        <v>توب 10 مالتي فيتامين للقطط 180 قرص
</v>
      </c>
      <c r="H1925" s="133" t="str">
        <f>IFERROR(__xludf.DUMMYFUNCTION("""COMPUTED_VALUE"""),"MAFE20242092")</f>
        <v>MAFE20242092</v>
      </c>
      <c r="I1925" s="133"/>
      <c r="J1925" s="133"/>
      <c r="K1925" s="133" t="str">
        <f>IFERROR(__xludf.DUMMYFUNCTION("""COMPUTED_VALUE"""),"بيفار بي في")</f>
        <v>بيفار بي في</v>
      </c>
      <c r="L1925" s="133"/>
      <c r="M1925" s="133"/>
      <c r="N1925" s="133"/>
      <c r="O1925" s="133"/>
      <c r="P1925" s="133"/>
      <c r="Q1925" s="133"/>
      <c r="R1925" s="133"/>
      <c r="S1925" s="133"/>
      <c r="T1925" s="133"/>
      <c r="U1925" s="133"/>
      <c r="V1925" s="133"/>
      <c r="W1925" s="133"/>
      <c r="X1925" s="133"/>
      <c r="Y1925" s="133"/>
      <c r="Z1925" s="133"/>
    </row>
    <row r="1926">
      <c r="A1926" s="133">
        <f>IFERROR(__xludf.DUMMYFUNCTION("""COMPUTED_VALUE"""),1927.0)</f>
        <v>1927</v>
      </c>
      <c r="B1926" s="133"/>
      <c r="C1926" s="133" t="str">
        <f>IFERROR(__xludf.DUMMYFUNCTION("""COMPUTED_VALUE"""),"P-1-N-220424-2568")</f>
        <v>P-1-N-220424-2568</v>
      </c>
      <c r="D1926" s="133"/>
      <c r="E1926" s="133" t="str">
        <f>IFERROR(__xludf.DUMMYFUNCTION("""COMPUTED_VALUE"""),"تمت طباعة الشهادة")</f>
        <v>تمت طباعة الشهادة</v>
      </c>
      <c r="F1926" s="133" t="str">
        <f>IFERROR(__xludf.DUMMYFUNCTION("""COMPUTED_VALUE"""),"Top 10 Multi Vitamin Tablets for dogs 180 tab
")</f>
        <v>Top 10 Multi Vitamin Tablets for dogs 180 tab
</v>
      </c>
      <c r="G1926" s="133" t="str">
        <f>IFERROR(__xludf.DUMMYFUNCTION("""COMPUTED_VALUE"""),"توب 10 مالتي فيتامين للكلاب 180 قرص
")</f>
        <v>توب 10 مالتي فيتامين للكلاب 180 قرص
</v>
      </c>
      <c r="H1926" s="133" t="str">
        <f>IFERROR(__xludf.DUMMYFUNCTION("""COMPUTED_VALUE"""),"MAFE20242095")</f>
        <v>MAFE20242095</v>
      </c>
      <c r="I1926" s="133"/>
      <c r="J1926" s="133"/>
      <c r="K1926" s="133" t="str">
        <f>IFERROR(__xludf.DUMMYFUNCTION("""COMPUTED_VALUE"""),"بيفار بي في")</f>
        <v>بيفار بي في</v>
      </c>
      <c r="L1926" s="133"/>
      <c r="M1926" s="133"/>
      <c r="N1926" s="133"/>
      <c r="O1926" s="133"/>
      <c r="P1926" s="133"/>
      <c r="Q1926" s="133"/>
      <c r="R1926" s="133"/>
      <c r="S1926" s="133"/>
      <c r="T1926" s="133"/>
      <c r="U1926" s="133"/>
      <c r="V1926" s="133"/>
      <c r="W1926" s="133"/>
      <c r="X1926" s="133"/>
      <c r="Y1926" s="133"/>
      <c r="Z1926" s="133"/>
    </row>
    <row r="1927">
      <c r="A1927" s="133">
        <f>IFERROR(__xludf.DUMMYFUNCTION("""COMPUTED_VALUE"""),1928.0)</f>
        <v>1928</v>
      </c>
      <c r="B1927" s="133"/>
      <c r="C1927" s="133" t="str">
        <f>IFERROR(__xludf.DUMMYFUNCTION("""COMPUTED_VALUE"""),"P-1-N-220424-2569")</f>
        <v>P-1-N-220424-2569</v>
      </c>
      <c r="D1927" s="133"/>
      <c r="E1927" s="133" t="str">
        <f>IFERROR(__xludf.DUMMYFUNCTION("""COMPUTED_VALUE"""),"تمت طباعة الشهادة")</f>
        <v>تمت طباعة الشهادة</v>
      </c>
      <c r="F1927" s="133" t="str">
        <f>IFERROR(__xludf.DUMMYFUNCTION("""COMPUTED_VALUE"""),"Calming Cat treats 35G
")</f>
        <v>Calming Cat treats 35G
</v>
      </c>
      <c r="G1927" s="133" t="str">
        <f>IFERROR(__xludf.DUMMYFUNCTION("""COMPUTED_VALUE"""),"كالمينغ كات تريتس 35 جرام
")</f>
        <v>كالمينغ كات تريتس 35 جرام
</v>
      </c>
      <c r="H1927" s="133" t="str">
        <f>IFERROR(__xludf.DUMMYFUNCTION("""COMPUTED_VALUE"""),"MAFE20242017")</f>
        <v>MAFE20242017</v>
      </c>
      <c r="I1927" s="133"/>
      <c r="J1927" s="133"/>
      <c r="K1927" s="133" t="str">
        <f>IFERROR(__xludf.DUMMYFUNCTION("""COMPUTED_VALUE"""),"بيفار بي في")</f>
        <v>بيفار بي في</v>
      </c>
      <c r="L1927" s="133"/>
      <c r="M1927" s="133"/>
      <c r="N1927" s="133"/>
      <c r="O1927" s="133"/>
      <c r="P1927" s="133"/>
      <c r="Q1927" s="133"/>
      <c r="R1927" s="133"/>
      <c r="S1927" s="133"/>
      <c r="T1927" s="133"/>
      <c r="U1927" s="133"/>
      <c r="V1927" s="133"/>
      <c r="W1927" s="133"/>
      <c r="X1927" s="133"/>
      <c r="Y1927" s="133"/>
      <c r="Z1927" s="133"/>
    </row>
    <row r="1928">
      <c r="A1928" s="133">
        <f>IFERROR(__xludf.DUMMYFUNCTION("""COMPUTED_VALUE"""),1929.0)</f>
        <v>1929</v>
      </c>
      <c r="B1928" s="133"/>
      <c r="C1928" s="133" t="str">
        <f>IFERROR(__xludf.DUMMYFUNCTION("""COMPUTED_VALUE"""),"P-1-N-220424-2571")</f>
        <v>P-1-N-220424-2571</v>
      </c>
      <c r="D1928" s="133"/>
      <c r="E1928" s="133" t="str">
        <f>IFERROR(__xludf.DUMMYFUNCTION("""COMPUTED_VALUE"""),"تمت طباعة الشهادة")</f>
        <v>تمت طباعة الشهادة</v>
      </c>
      <c r="F1928" s="133" t="str">
        <f>IFERROR(__xludf.DUMMYFUNCTION("""COMPUTED_VALUE"""),"beaphar Vitamin B6/B12 50ml
")</f>
        <v>beaphar Vitamin B6/B12 50ml
</v>
      </c>
      <c r="G1928" s="133" t="str">
        <f>IFERROR(__xludf.DUMMYFUNCTION("""COMPUTED_VALUE"""),"بیافار فیتامین ب 6 / ب12 50مل
")</f>
        <v>بیافار فیتامین ب 6 / ب12 50مل
</v>
      </c>
      <c r="H1928" s="133" t="str">
        <f>IFERROR(__xludf.DUMMYFUNCTION("""COMPUTED_VALUE"""),"MAFE20242068")</f>
        <v>MAFE20242068</v>
      </c>
      <c r="I1928" s="133"/>
      <c r="J1928" s="133"/>
      <c r="K1928" s="133" t="str">
        <f>IFERROR(__xludf.DUMMYFUNCTION("""COMPUTED_VALUE"""),"بيفار بي في")</f>
        <v>بيفار بي في</v>
      </c>
      <c r="L1928" s="133"/>
      <c r="M1928" s="133"/>
      <c r="N1928" s="133"/>
      <c r="O1928" s="133"/>
      <c r="P1928" s="133"/>
      <c r="Q1928" s="133"/>
      <c r="R1928" s="133"/>
      <c r="S1928" s="133"/>
      <c r="T1928" s="133"/>
      <c r="U1928" s="133"/>
      <c r="V1928" s="133"/>
      <c r="W1928" s="133"/>
      <c r="X1928" s="133"/>
      <c r="Y1928" s="133"/>
      <c r="Z1928" s="133"/>
    </row>
    <row r="1929">
      <c r="A1929" s="133">
        <f>IFERROR(__xludf.DUMMYFUNCTION("""COMPUTED_VALUE"""),1930.0)</f>
        <v>1930</v>
      </c>
      <c r="B1929" s="133"/>
      <c r="C1929" s="133" t="str">
        <f>IFERROR(__xludf.DUMMYFUNCTION("""COMPUTED_VALUE"""),"P-1-N-220424-2578")</f>
        <v>P-1-N-220424-2578</v>
      </c>
      <c r="D1929" s="133"/>
      <c r="E1929" s="133" t="str">
        <f>IFERROR(__xludf.DUMMYFUNCTION("""COMPUTED_VALUE"""),"تمت طباعة الشهادة")</f>
        <v>تمت طباعة الشهادة</v>
      </c>
      <c r="F1929" s="133" t="str">
        <f>IFERROR(__xludf.DUMMYFUNCTION("""COMPUTED_VALUE"""),"Beaphar Multi-Vit Vinka 50ml
")</f>
        <v>Beaphar Multi-Vit Vinka 50ml
</v>
      </c>
      <c r="G1929" s="133" t="str">
        <f>IFERROR(__xludf.DUMMYFUNCTION("""COMPUTED_VALUE"""),"بيافار ملتي فيت فينكا 50مل
")</f>
        <v>بيافار ملتي فيت فينكا 50مل
</v>
      </c>
      <c r="H1929" s="133" t="str">
        <f>IFERROR(__xludf.DUMMYFUNCTION("""COMPUTED_VALUE"""),"MAFE20242069")</f>
        <v>MAFE20242069</v>
      </c>
      <c r="I1929" s="133"/>
      <c r="J1929" s="133"/>
      <c r="K1929" s="133" t="str">
        <f>IFERROR(__xludf.DUMMYFUNCTION("""COMPUTED_VALUE"""),"بيفار بي في")</f>
        <v>بيفار بي في</v>
      </c>
      <c r="L1929" s="133"/>
      <c r="M1929" s="133"/>
      <c r="N1929" s="133"/>
      <c r="O1929" s="133"/>
      <c r="P1929" s="133"/>
      <c r="Q1929" s="133"/>
      <c r="R1929" s="133"/>
      <c r="S1929" s="133"/>
      <c r="T1929" s="133"/>
      <c r="U1929" s="133"/>
      <c r="V1929" s="133"/>
      <c r="W1929" s="133"/>
      <c r="X1929" s="133"/>
      <c r="Y1929" s="133"/>
      <c r="Z1929" s="133"/>
    </row>
    <row r="1930">
      <c r="A1930" s="133">
        <f>IFERROR(__xludf.DUMMYFUNCTION("""COMPUTED_VALUE"""),1931.0)</f>
        <v>1931</v>
      </c>
      <c r="B1930" s="133"/>
      <c r="C1930" s="133" t="str">
        <f>IFERROR(__xludf.DUMMYFUNCTION("""COMPUTED_VALUE"""),"P-1-N-290424-2710")</f>
        <v>P-1-N-290424-2710</v>
      </c>
      <c r="D1930" s="133"/>
      <c r="E1930" s="133" t="str">
        <f>IFERROR(__xludf.DUMMYFUNCTION("""COMPUTED_VALUE"""),"جديد")</f>
        <v>جديد</v>
      </c>
      <c r="F1930" s="133" t="str">
        <f>IFERROR(__xludf.DUMMYFUNCTION("""COMPUTED_VALUE"""),"Beaphar Laveta super multi-vitamin + Carnitine 50ml
")</f>
        <v>Beaphar Laveta super multi-vitamin + Carnitine 50ml
</v>
      </c>
      <c r="G1930" s="133" t="str">
        <f>IFERROR(__xludf.DUMMYFUNCTION("""COMPUTED_VALUE"""),"بيفار لافيتا سوبر مالتي فيتامين +كارنتين 50مل
")</f>
        <v>بيفار لافيتا سوبر مالتي فيتامين +كارنتين 50مل
</v>
      </c>
      <c r="H1930" s="133"/>
      <c r="I1930" s="133"/>
      <c r="J1930" s="133"/>
      <c r="K1930" s="133" t="str">
        <f>IFERROR(__xludf.DUMMYFUNCTION("""COMPUTED_VALUE"""),"بيفار بي في")</f>
        <v>بيفار بي في</v>
      </c>
      <c r="L1930" s="133"/>
      <c r="M1930" s="133"/>
      <c r="N1930" s="133"/>
      <c r="O1930" s="133"/>
      <c r="P1930" s="133"/>
      <c r="Q1930" s="133"/>
      <c r="R1930" s="133"/>
      <c r="S1930" s="133"/>
      <c r="T1930" s="133"/>
      <c r="U1930" s="133"/>
      <c r="V1930" s="133"/>
      <c r="W1930" s="133"/>
      <c r="X1930" s="133"/>
      <c r="Y1930" s="133"/>
      <c r="Z1930" s="133"/>
    </row>
    <row r="1931">
      <c r="A1931" s="133">
        <f>IFERROR(__xludf.DUMMYFUNCTION("""COMPUTED_VALUE"""),1932.0)</f>
        <v>1932</v>
      </c>
      <c r="B1931" s="133"/>
      <c r="C1931" s="133" t="str">
        <f>IFERROR(__xludf.DUMMYFUNCTION("""COMPUTED_VALUE"""),"P-1-N-290424-2711")</f>
        <v>P-1-N-290424-2711</v>
      </c>
      <c r="D1931" s="133"/>
      <c r="E1931" s="133" t="str">
        <f>IFERROR(__xludf.DUMMYFUNCTION("""COMPUTED_VALUE"""),"جديد")</f>
        <v>جديد</v>
      </c>
      <c r="F1931" s="133" t="str">
        <f>IFERROR(__xludf.DUMMYFUNCTION("""COMPUTED_VALUE"""),"beaphar junior paste 100g
")</f>
        <v>beaphar junior paste 100g
</v>
      </c>
      <c r="G1931" s="133" t="str">
        <f>IFERROR(__xludf.DUMMYFUNCTION("""COMPUTED_VALUE"""),"بيفار جونيور بست 100جم
")</f>
        <v>بيفار جونيور بست 100جم
</v>
      </c>
      <c r="H1931" s="133"/>
      <c r="I1931" s="133"/>
      <c r="J1931" s="133"/>
      <c r="K1931" s="133" t="str">
        <f>IFERROR(__xludf.DUMMYFUNCTION("""COMPUTED_VALUE"""),"بيفار بي في")</f>
        <v>بيفار بي في</v>
      </c>
      <c r="L1931" s="133"/>
      <c r="M1931" s="133"/>
      <c r="N1931" s="133"/>
      <c r="O1931" s="133"/>
      <c r="P1931" s="133"/>
      <c r="Q1931" s="133"/>
      <c r="R1931" s="133"/>
      <c r="S1931" s="133"/>
      <c r="T1931" s="133"/>
      <c r="U1931" s="133"/>
      <c r="V1931" s="133"/>
      <c r="W1931" s="133"/>
      <c r="X1931" s="133"/>
      <c r="Y1931" s="133"/>
      <c r="Z1931" s="133"/>
    </row>
    <row r="1932">
      <c r="A1932" s="133">
        <f>IFERROR(__xludf.DUMMYFUNCTION("""COMPUTED_VALUE"""),1933.0)</f>
        <v>1933</v>
      </c>
      <c r="B1932" s="133"/>
      <c r="C1932" s="133" t="str">
        <f>IFERROR(__xludf.DUMMYFUNCTION("""COMPUTED_VALUE"""),"P-1-N-010524-2748")</f>
        <v>P-1-N-010524-2748</v>
      </c>
      <c r="D1932" s="133"/>
      <c r="E1932" s="133" t="str">
        <f>IFERROR(__xludf.DUMMYFUNCTION("""COMPUTED_VALUE"""),"جديد")</f>
        <v>جديد</v>
      </c>
      <c r="F1932" s="133" t="str">
        <f>IFERROR(__xludf.DUMMYFUNCTION("""COMPUTED_VALUE"""),"BAB’IN SIGNATURE KITTEN CHICKEN 1.5 KG
")</f>
        <v>BAB’IN SIGNATURE KITTEN CHICKEN 1.5 KG
</v>
      </c>
      <c r="G1932" s="133" t="str">
        <f>IFERROR(__xludf.DUMMYFUNCTION("""COMPUTED_VALUE"""),"بابين سيجنتشر كيتن دجاج 1.5 كجم
")</f>
        <v>بابين سيجنتشر كيتن دجاج 1.5 كجم
</v>
      </c>
      <c r="H1932" s="133"/>
      <c r="I1932" s="133"/>
      <c r="J1932" s="133"/>
      <c r="K1932" s="133" t="str">
        <f>IFERROR(__xludf.DUMMYFUNCTION("""COMPUTED_VALUE"""),"كوديكو")</f>
        <v>كوديكو</v>
      </c>
      <c r="L1932" s="133"/>
      <c r="M1932" s="133"/>
      <c r="N1932" s="133"/>
      <c r="O1932" s="133"/>
      <c r="P1932" s="133"/>
      <c r="Q1932" s="133"/>
      <c r="R1932" s="133"/>
      <c r="S1932" s="133"/>
      <c r="T1932" s="133"/>
      <c r="U1932" s="133"/>
      <c r="V1932" s="133"/>
      <c r="W1932" s="133"/>
      <c r="X1932" s="133"/>
      <c r="Y1932" s="133"/>
      <c r="Z1932" s="133"/>
    </row>
    <row r="1933">
      <c r="A1933" s="133">
        <f>IFERROR(__xludf.DUMMYFUNCTION("""COMPUTED_VALUE"""),1934.0)</f>
        <v>1934</v>
      </c>
      <c r="B1933" s="133"/>
      <c r="C1933" s="133" t="str">
        <f>IFERROR(__xludf.DUMMYFUNCTION("""COMPUTED_VALUE"""),"P-1-N-060524-2810")</f>
        <v>P-1-N-060524-2810</v>
      </c>
      <c r="D1933" s="133"/>
      <c r="E1933" s="133" t="str">
        <f>IFERROR(__xludf.DUMMYFUNCTION("""COMPUTED_VALUE"""),"جديد")</f>
        <v>جديد</v>
      </c>
      <c r="F1933" s="133" t="str">
        <f>IFERROR(__xludf.DUMMYFUNCTION("""COMPUTED_VALUE"""),"Beaphar Multi-Vitamin Paste 100g")</f>
        <v>Beaphar Multi-Vitamin Paste 100g</v>
      </c>
      <c r="G1933" s="133"/>
      <c r="H1933" s="133"/>
      <c r="I1933" s="133"/>
      <c r="J1933" s="133"/>
      <c r="K1933" s="133"/>
      <c r="L1933" s="133"/>
      <c r="M1933" s="133"/>
      <c r="N1933" s="133"/>
      <c r="O1933" s="133"/>
      <c r="P1933" s="133"/>
      <c r="Q1933" s="133"/>
      <c r="R1933" s="133"/>
      <c r="S1933" s="133"/>
      <c r="T1933" s="133"/>
      <c r="U1933" s="133"/>
      <c r="V1933" s="133"/>
      <c r="W1933" s="133"/>
      <c r="X1933" s="133"/>
      <c r="Y1933" s="133"/>
      <c r="Z1933" s="133"/>
    </row>
    <row r="1934">
      <c r="A1934" s="133">
        <f>IFERROR(__xludf.DUMMYFUNCTION("""COMPUTED_VALUE"""),1935.0)</f>
        <v>1935</v>
      </c>
      <c r="B1934" s="133"/>
      <c r="C1934" s="133" t="str">
        <f>IFERROR(__xludf.DUMMYFUNCTION("""COMPUTED_VALUE"""),"P-1-N-060524-2812")</f>
        <v>P-1-N-060524-2812</v>
      </c>
      <c r="D1934" s="133"/>
      <c r="E1934" s="133" t="str">
        <f>IFERROR(__xludf.DUMMYFUNCTION("""COMPUTED_VALUE"""),"جديد")</f>
        <v>جديد</v>
      </c>
      <c r="F1934" s="133" t="str">
        <f>IFERROR(__xludf.DUMMYFUNCTION("""COMPUTED_VALUE"""),"Beaphar Poultary Paste 100g")</f>
        <v>Beaphar Poultary Paste 100g</v>
      </c>
      <c r="G1934" s="133"/>
      <c r="H1934" s="133"/>
      <c r="I1934" s="133"/>
      <c r="J1934" s="133"/>
      <c r="K1934" s="133"/>
      <c r="L1934" s="133"/>
      <c r="M1934" s="133"/>
      <c r="N1934" s="133"/>
      <c r="O1934" s="133"/>
      <c r="P1934" s="133"/>
      <c r="Q1934" s="133"/>
      <c r="R1934" s="133"/>
      <c r="S1934" s="133"/>
      <c r="T1934" s="133"/>
      <c r="U1934" s="133"/>
      <c r="V1934" s="133"/>
      <c r="W1934" s="133"/>
      <c r="X1934" s="133"/>
      <c r="Y1934" s="133"/>
      <c r="Z1934" s="133"/>
    </row>
    <row r="1935">
      <c r="A1935" s="133">
        <f>IFERROR(__xludf.DUMMYFUNCTION("""COMPUTED_VALUE"""),1936.0)</f>
        <v>1936</v>
      </c>
      <c r="B1935" s="133"/>
      <c r="C1935" s="133" t="str">
        <f>IFERROR(__xludf.DUMMYFUNCTION("""COMPUTED_VALUE"""),"P-1-N-220424-2569")</f>
        <v>P-1-N-220424-2569</v>
      </c>
      <c r="D1935" s="133"/>
      <c r="E1935" s="133" t="str">
        <f>IFERROR(__xludf.DUMMYFUNCTION("""COMPUTED_VALUE"""),"مكتمل")</f>
        <v>مكتمل</v>
      </c>
      <c r="F1935" s="133" t="str">
        <f>IFERROR(__xludf.DUMMYFUNCTION("""COMPUTED_VALUE"""),"Calming Cat treats 35G")</f>
        <v>Calming Cat treats 35G</v>
      </c>
      <c r="G1935" s="133" t="str">
        <f>IFERROR(__xludf.DUMMYFUNCTION("""COMPUTED_VALUE"""),"كالمينغ كات تريتس 35 جرام")</f>
        <v>كالمينغ كات تريتس 35 جرام</v>
      </c>
      <c r="H1935" s="133" t="str">
        <f>IFERROR(__xludf.DUMMYFUNCTION("""COMPUTED_VALUE"""),"FOM-2024-5932-FEB-2024-43274 -C-0041-64071
")</f>
        <v>FOM-2024-5932-FEB-2024-43274 -C-0041-64071
</v>
      </c>
      <c r="I1935" s="133"/>
      <c r="J1935" s="133"/>
      <c r="K1935" s="133" t="str">
        <f>IFERROR(__xludf.DUMMYFUNCTION("""COMPUTED_VALUE"""),"بيفار بي في")</f>
        <v>بيفار بي في</v>
      </c>
      <c r="L1935" s="133"/>
      <c r="M1935" s="133" t="str">
        <f>IFERROR(__xludf.DUMMYFUNCTION("""COMPUTED_VALUE"""),"28-4-2029")</f>
        <v>28-4-2029</v>
      </c>
      <c r="N1935" s="133"/>
      <c r="O1935" s="133"/>
      <c r="P1935" s="133"/>
      <c r="Q1935" s="133"/>
      <c r="R1935" s="133"/>
      <c r="S1935" s="133"/>
      <c r="T1935" s="133"/>
      <c r="U1935" s="133"/>
      <c r="V1935" s="133"/>
      <c r="W1935" s="133"/>
      <c r="X1935" s="133"/>
      <c r="Y1935" s="133"/>
      <c r="Z1935" s="133"/>
    </row>
    <row r="1936">
      <c r="A1936" s="133"/>
      <c r="B1936" s="133"/>
      <c r="C1936" s="133" t="str">
        <f>IFERROR(__xludf.DUMMYFUNCTION("""COMPUTED_VALUE"""),"P-1-N-220424-2578")</f>
        <v>P-1-N-220424-2578</v>
      </c>
      <c r="D1936" s="133" t="str">
        <f>IFERROR(__xludf.DUMMYFUNCTION("""COMPUTED_VALUE"""),"FEB-2024-43276 
")</f>
        <v>FEB-2024-43276 
</v>
      </c>
      <c r="E1936" s="133" t="str">
        <f>IFERROR(__xludf.DUMMYFUNCTION("""COMPUTED_VALUE"""),"مكتمل ")</f>
        <v>مكتمل </v>
      </c>
      <c r="F1936" s="133" t="str">
        <f>IFERROR(__xludf.DUMMYFUNCTION("""COMPUTED_VALUE"""),"Beaphar Multi-Vit Vinka 50ml")</f>
        <v>Beaphar Multi-Vit Vinka 50ml</v>
      </c>
      <c r="G1936" s="133" t="str">
        <f>IFERROR(__xludf.DUMMYFUNCTION("""COMPUTED_VALUE"""),"بيافار ملتي فيت فينكا 50مل
")</f>
        <v>بيافار ملتي فيت فينكا 50مل
</v>
      </c>
      <c r="H1936" s="133" t="str">
        <f>IFERROR(__xludf.DUMMYFUNCTION("""COMPUTED_VALUE"""),"FOM-2024-5932-FEB-2024-43276 -C-0041-64073")</f>
        <v>FOM-2024-5932-FEB-2024-43276 -C-0041-64073</v>
      </c>
      <c r="I1936" s="133"/>
      <c r="J1936" s="133"/>
      <c r="K1936" s="133" t="str">
        <f>IFERROR(__xludf.DUMMYFUNCTION("""COMPUTED_VALUE"""),"بيفار بي في")</f>
        <v>بيفار بي في</v>
      </c>
      <c r="L1936" s="133"/>
      <c r="M1936" s="133" t="str">
        <f>IFERROR(__xludf.DUMMYFUNCTION("""COMPUTED_VALUE"""),"30/4/2029")</f>
        <v>30/4/2029</v>
      </c>
      <c r="N1936" s="133"/>
      <c r="O1936" s="133"/>
      <c r="P1936" s="133"/>
      <c r="Q1936" s="133"/>
      <c r="R1936" s="133"/>
      <c r="S1936" s="133"/>
      <c r="T1936" s="133"/>
      <c r="U1936" s="133"/>
      <c r="V1936" s="133"/>
      <c r="W1936" s="133"/>
      <c r="X1936" s="133"/>
      <c r="Y1936" s="133"/>
      <c r="Z1936" s="133"/>
    </row>
    <row r="1937">
      <c r="A1937" s="133"/>
      <c r="B1937" s="133"/>
      <c r="C1937" s="133" t="str">
        <f>IFERROR(__xludf.DUMMYFUNCTION("""COMPUTED_VALUE"""),"2025-372523
")</f>
        <v>2025-372523
</v>
      </c>
      <c r="D1937" s="133"/>
      <c r="E1937" s="133" t="str">
        <f>IFERROR(__xludf.DUMMYFUNCTION("""COMPUTED_VALUE"""),"مكتمل ")</f>
        <v>مكتمل </v>
      </c>
      <c r="F1937" s="133" t="str">
        <f>IFERROR(__xludf.DUMMYFUNCTION("""COMPUTED_VALUE"""),"PRINCE TRAINER 4kg - 2kg")</f>
        <v>PRINCE TRAINER 4kg - 2kg</v>
      </c>
      <c r="G1937" s="133" t="str">
        <f>IFERROR(__xludf.DUMMYFUNCTION("""COMPUTED_VALUE"""),"برنس ترينير 4 كج- 2 كج")</f>
        <v>برنس ترينير 4 كج- 2 كج</v>
      </c>
      <c r="H1937" s="133" t="str">
        <f>IFERROR(__xludf.DUMMYFUNCTION("""COMPUTED_VALUE"""),"FOM-2024-6730-FEB-2024-59204 -C-0041-80012")</f>
        <v>FOM-2024-6730-FEB-2024-59204 -C-0041-80012</v>
      </c>
      <c r="I1937" s="133"/>
      <c r="J1937" s="133"/>
      <c r="K1937" s="133" t="str">
        <f>IFERROR(__xludf.DUMMYFUNCTION("""COMPUTED_VALUE"""),"اقريناتورا هادزيتشي")</f>
        <v>اقريناتورا هادزيتشي</v>
      </c>
      <c r="L1937" s="133"/>
      <c r="M1937" s="133"/>
      <c r="N1937" s="133"/>
      <c r="O1937" s="133"/>
      <c r="P1937" s="133"/>
      <c r="Q1937" s="133"/>
      <c r="R1937" s="133"/>
      <c r="S1937" s="133"/>
      <c r="T1937" s="133"/>
      <c r="U1937" s="133"/>
      <c r="V1937" s="133"/>
      <c r="W1937" s="133"/>
      <c r="X1937" s="133"/>
      <c r="Y1937" s="133"/>
      <c r="Z1937" s="133"/>
    </row>
    <row r="1938">
      <c r="A1938" s="133"/>
      <c r="B1938" s="133"/>
      <c r="C1938" s="133" t="str">
        <f>IFERROR(__xludf.DUMMYFUNCTION("""COMPUTED_VALUE"""),"P-1-N-130524-2926")</f>
        <v>P-1-N-130524-2926</v>
      </c>
      <c r="D1938" s="133"/>
      <c r="E1938" s="133" t="str">
        <f>IFERROR(__xludf.DUMMYFUNCTION("""COMPUTED_VALUE"""),"تمت طباعة الشهادة")</f>
        <v>تمت طباعة الشهادة</v>
      </c>
      <c r="F1938" s="133" t="str">
        <f>IFERROR(__xludf.DUMMYFUNCTION("""COMPUTED_VALUE"""),"Josicat Chicken in jelly ")</f>
        <v>Josicat Chicken in jelly </v>
      </c>
      <c r="G1938" s="133" t="str">
        <f>IFERROR(__xludf.DUMMYFUNCTION("""COMPUTED_VALUE"""),"جوسي كات دجاج بالجيلي 400ج ")</f>
        <v>جوسي كات دجاج بالجيلي 400ج </v>
      </c>
      <c r="H1938" s="133" t="str">
        <f>IFERROR(__xludf.DUMMYFUNCTION("""COMPUTED_VALUE"""),"MAFE20242247")</f>
        <v>MAFE20242247</v>
      </c>
      <c r="I1938" s="133"/>
      <c r="J1938" s="133"/>
      <c r="K1938" s="133" t="str">
        <f>IFERROR(__xludf.DUMMYFUNCTION("""COMPUTED_VALUE"""),"جوسيرا بيت فود")</f>
        <v>جوسيرا بيت فود</v>
      </c>
      <c r="L1938" s="133"/>
      <c r="M1938" s="133"/>
      <c r="N1938" s="133"/>
      <c r="O1938" s="133"/>
      <c r="P1938" s="133"/>
      <c r="Q1938" s="133"/>
      <c r="R1938" s="133"/>
      <c r="S1938" s="133"/>
      <c r="T1938" s="133"/>
      <c r="U1938" s="133"/>
      <c r="V1938" s="133"/>
      <c r="W1938" s="133"/>
      <c r="X1938" s="133"/>
      <c r="Y1938" s="133"/>
      <c r="Z1938" s="133"/>
    </row>
    <row r="1939">
      <c r="A1939" s="133"/>
      <c r="B1939" s="133"/>
      <c r="C1939" s="133" t="str">
        <f>IFERROR(__xludf.DUMMYFUNCTION("""COMPUTED_VALUE"""),"P-1-N-130524-2927")</f>
        <v>P-1-N-130524-2927</v>
      </c>
      <c r="D1939" s="133"/>
      <c r="E1939" s="133" t="str">
        <f>IFERROR(__xludf.DUMMYFUNCTION("""COMPUTED_VALUE"""),"تمت طباعة الشهادة")</f>
        <v>تمت طباعة الشهادة</v>
      </c>
      <c r="F1939" s="133" t="str">
        <f>IFERROR(__xludf.DUMMYFUNCTION("""COMPUTED_VALUE"""),"Josicat beef in jelly ")</f>
        <v>Josicat beef in jelly </v>
      </c>
      <c r="G1939" s="133" t="str">
        <f>IFERROR(__xludf.DUMMYFUNCTION("""COMPUTED_VALUE"""),"جوسي كات لحم بالجيلي 400ج ")</f>
        <v>جوسي كات لحم بالجيلي 400ج </v>
      </c>
      <c r="H1939" s="133" t="str">
        <f>IFERROR(__xludf.DUMMYFUNCTION("""COMPUTED_VALUE"""),"MAFE20242248")</f>
        <v>MAFE20242248</v>
      </c>
      <c r="I1939" s="133"/>
      <c r="J1939" s="133"/>
      <c r="K1939" s="133" t="str">
        <f>IFERROR(__xludf.DUMMYFUNCTION("""COMPUTED_VALUE"""),"جوسيرا بيت فود ")</f>
        <v>جوسيرا بيت فود </v>
      </c>
      <c r="L1939" s="133"/>
      <c r="M1939" s="133"/>
      <c r="N1939" s="133"/>
      <c r="O1939" s="133"/>
      <c r="P1939" s="133"/>
      <c r="Q1939" s="133"/>
      <c r="R1939" s="133"/>
      <c r="S1939" s="133"/>
      <c r="T1939" s="133"/>
      <c r="U1939" s="133"/>
      <c r="V1939" s="133"/>
      <c r="W1939" s="133"/>
      <c r="X1939" s="133"/>
      <c r="Y1939" s="133"/>
      <c r="Z1939" s="133"/>
    </row>
    <row r="1940">
      <c r="A1940" s="133"/>
      <c r="B1940" s="133"/>
      <c r="C1940" s="133" t="str">
        <f>IFERROR(__xludf.DUMMYFUNCTION("""COMPUTED_VALUE"""),"P-1-N-160524-2995")</f>
        <v>P-1-N-160524-2995</v>
      </c>
      <c r="D1940" s="133"/>
      <c r="E1940" s="133" t="str">
        <f>IFERROR(__xludf.DUMMYFUNCTION("""COMPUTED_VALUE"""),"جديد
")</f>
        <v>جديد
</v>
      </c>
      <c r="F1940" s="133" t="str">
        <f>IFERROR(__xludf.DUMMYFUNCTION("""COMPUTED_VALUE"""),"  ")</f>
        <v>  </v>
      </c>
      <c r="G1940" s="133" t="str">
        <f>IFERROR(__xludf.DUMMYFUNCTION("""COMPUTED_VALUE"""),"بابين سيجنتشر كيتن دجاج 1.5 كجم")</f>
        <v>بابين سيجنتشر كيتن دجاج 1.5 كجم</v>
      </c>
      <c r="H1940" s="133"/>
      <c r="I1940" s="133"/>
      <c r="J1940" s="133"/>
      <c r="K1940" s="133"/>
      <c r="L1940" s="133"/>
      <c r="M1940" s="133"/>
      <c r="N1940" s="133"/>
      <c r="O1940" s="133"/>
      <c r="P1940" s="133"/>
      <c r="Q1940" s="133"/>
      <c r="R1940" s="133"/>
      <c r="S1940" s="133"/>
      <c r="T1940" s="133"/>
      <c r="U1940" s="133"/>
      <c r="V1940" s="133"/>
      <c r="W1940" s="133"/>
      <c r="X1940" s="133"/>
      <c r="Y1940" s="133"/>
      <c r="Z1940" s="133"/>
    </row>
    <row r="1941">
      <c r="A1941" s="133"/>
      <c r="B1941" s="133"/>
      <c r="C1941" s="133"/>
      <c r="D1941" s="133"/>
      <c r="E1941" s="133"/>
      <c r="F1941" s="133"/>
      <c r="G1941" s="133" t="str">
        <f>IFERROR(__xludf.DUMMYFUNCTION("""COMPUTED_VALUE"""),"بابين سيجنتشر كيتن دجاج 1.5 كجم")</f>
        <v>بابين سيجنتشر كيتن دجاج 1.5 كجم</v>
      </c>
      <c r="H1941" s="133"/>
      <c r="I1941" s="133"/>
      <c r="J1941" s="133"/>
      <c r="K1941" s="133" t="str">
        <f>IFERROR(__xludf.DUMMYFUNCTION("""COMPUTED_VALUE"""),"كوديكو")</f>
        <v>كوديكو</v>
      </c>
      <c r="L1941" s="133"/>
      <c r="M1941" s="133"/>
      <c r="N1941" s="133"/>
      <c r="O1941" s="133"/>
      <c r="P1941" s="133"/>
      <c r="Q1941" s="133"/>
      <c r="R1941" s="133"/>
      <c r="S1941" s="133"/>
      <c r="T1941" s="133"/>
      <c r="U1941" s="133"/>
      <c r="V1941" s="133"/>
      <c r="W1941" s="133"/>
      <c r="X1941" s="133"/>
      <c r="Y1941" s="133"/>
      <c r="Z1941" s="133"/>
    </row>
    <row r="1942">
      <c r="A1942" s="133"/>
      <c r="B1942" s="133"/>
      <c r="C1942" s="133" t="str">
        <f>IFERROR(__xludf.DUMMYFUNCTION("""COMPUTED_VALUE"""),"P-1-N-260524-3274")</f>
        <v>P-1-N-260524-3274</v>
      </c>
      <c r="D1942" s="133" t="str">
        <f>IFERROR(__xludf.DUMMYFUNCTION("""COMPUTED_VALUE"""),"FEB-2024-49844 
")</f>
        <v>FEB-2024-49844 
</v>
      </c>
      <c r="E1942" s="133" t="str">
        <f>IFERROR(__xludf.DUMMYFUNCTION("""COMPUTED_VALUE"""),"مكتمل")</f>
        <v>مكتمل</v>
      </c>
      <c r="F1942" s="133" t="str">
        <f>IFERROR(__xludf.DUMMYFUNCTION("""COMPUTED_VALUE"""),"Zolux Dog creamy stick chicken cheese 14g")</f>
        <v>Zolux Dog creamy stick chicken cheese 14g</v>
      </c>
      <c r="G1942" s="133" t="str">
        <f>IFERROR(__xludf.DUMMYFUNCTION("""COMPUTED_VALUE"""),"زولكس مكافات كريمية بالدجاج و الجبن للكلاب 14ج")</f>
        <v>زولكس مكافات كريمية بالدجاج و الجبن للكلاب 14ج</v>
      </c>
      <c r="H1942" s="133" t="str">
        <f>IFERROR(__xludf.DUMMYFUNCTION("""COMPUTED_VALUE"""),"FOM-2024-5403-FEB-2024-49844 -C-0041-70641")</f>
        <v>FOM-2024-5403-FEB-2024-49844 -C-0041-70641</v>
      </c>
      <c r="I1942" s="133"/>
      <c r="J1942" s="133"/>
      <c r="K1942" s="133" t="str">
        <f>IFERROR(__xludf.DUMMYFUNCTION("""COMPUTED_VALUE"""),"يانتاي هوس بت فود تك كو
")</f>
        <v>يانتاي هوس بت فود تك كو
</v>
      </c>
      <c r="L1942" s="133"/>
      <c r="M1942" s="133" t="str">
        <f>IFERROR(__xludf.DUMMYFUNCTION("""COMPUTED_VALUE"""),"21/8/2029")</f>
        <v>21/8/2029</v>
      </c>
      <c r="N1942" s="133"/>
      <c r="O1942" s="133"/>
      <c r="P1942" s="133"/>
      <c r="Q1942" s="133"/>
      <c r="R1942" s="133"/>
      <c r="S1942" s="133"/>
      <c r="T1942" s="133"/>
      <c r="U1942" s="133"/>
      <c r="V1942" s="133"/>
      <c r="W1942" s="133"/>
      <c r="X1942" s="133"/>
      <c r="Y1942" s="133"/>
      <c r="Z1942" s="133"/>
    </row>
    <row r="1943">
      <c r="A1943" s="133"/>
      <c r="B1943" s="133"/>
      <c r="C1943" s="133" t="str">
        <f>IFERROR(__xludf.DUMMYFUNCTION("""COMPUTED_VALUE"""),"P-1-N-260524-3275")</f>
        <v>P-1-N-260524-3275</v>
      </c>
      <c r="D1943" s="133" t="str">
        <f>IFERROR(__xludf.DUMMYFUNCTION("""COMPUTED_VALUE"""),"FEB-2024-49845 
")</f>
        <v>FEB-2024-49845 
</v>
      </c>
      <c r="E1943" s="133" t="str">
        <f>IFERROR(__xludf.DUMMYFUNCTION("""COMPUTED_VALUE"""),"مكتمل")</f>
        <v>مكتمل</v>
      </c>
      <c r="F1943" s="133" t="str">
        <f>IFERROR(__xludf.DUMMYFUNCTION("""COMPUTED_VALUE"""),"Zolux Dog creamy stick duck 14g")</f>
        <v>Zolux Dog creamy stick duck 14g</v>
      </c>
      <c r="G1943" s="133" t="str">
        <f>IFERROR(__xludf.DUMMYFUNCTION("""COMPUTED_VALUE"""),"زولكس مكافات كريمية بالبط للكلاب 14ج")</f>
        <v>زولكس مكافات كريمية بالبط للكلاب 14ج</v>
      </c>
      <c r="H1943" s="133" t="str">
        <f>IFERROR(__xludf.DUMMYFUNCTION("""COMPUTED_VALUE"""),"FOM-2024-5403-FEB-2024-49845 -C-0041-70642
")</f>
        <v>FOM-2024-5403-FEB-2024-49845 -C-0041-70642
</v>
      </c>
      <c r="I1943" s="133"/>
      <c r="J1943" s="133"/>
      <c r="K1943" s="133" t="str">
        <f>IFERROR(__xludf.DUMMYFUNCTION("""COMPUTED_VALUE"""),"يانتاي هوس بت فود تك كو
")</f>
        <v>يانتاي هوس بت فود تك كو
</v>
      </c>
      <c r="L1943" s="133"/>
      <c r="M1943" s="133" t="str">
        <f>IFERROR(__xludf.DUMMYFUNCTION("""COMPUTED_VALUE"""),"21/8/2029")</f>
        <v>21/8/2029</v>
      </c>
      <c r="N1943" s="133"/>
      <c r="O1943" s="133"/>
      <c r="P1943" s="133"/>
      <c r="Q1943" s="133"/>
      <c r="R1943" s="133"/>
      <c r="S1943" s="133"/>
      <c r="T1943" s="133"/>
      <c r="U1943" s="133"/>
      <c r="V1943" s="133"/>
      <c r="W1943" s="133"/>
      <c r="X1943" s="133"/>
      <c r="Y1943" s="133"/>
      <c r="Z1943" s="133"/>
    </row>
    <row r="1944">
      <c r="A1944" s="133"/>
      <c r="B1944" s="133"/>
      <c r="C1944" s="133" t="str">
        <f>IFERROR(__xludf.DUMMYFUNCTION("""COMPUTED_VALUE"""),"P-1-N-260524-3276")</f>
        <v>P-1-N-260524-3276</v>
      </c>
      <c r="D1944" s="133" t="str">
        <f>IFERROR(__xludf.DUMMYFUNCTION("""COMPUTED_VALUE"""),"FEB-2024-49846 
")</f>
        <v>FEB-2024-49846 
</v>
      </c>
      <c r="E1944" s="133" t="str">
        <f>IFERROR(__xludf.DUMMYFUNCTION("""COMPUTED_VALUE"""),"مكتمل")</f>
        <v>مكتمل</v>
      </c>
      <c r="F1944" s="133" t="str">
        <f>IFERROR(__xludf.DUMMYFUNCTION("""COMPUTED_VALUE"""),"Zolux Dog creamy stick chicken 14g")</f>
        <v>Zolux Dog creamy stick chicken 14g</v>
      </c>
      <c r="G1944" s="133" t="str">
        <f>IFERROR(__xludf.DUMMYFUNCTION("""COMPUTED_VALUE"""),"زولكس مكافات كريمية بالدجاج للكلاب 14ج")</f>
        <v>زولكس مكافات كريمية بالدجاج للكلاب 14ج</v>
      </c>
      <c r="H1944" s="133" t="str">
        <f>IFERROR(__xludf.DUMMYFUNCTION("""COMPUTED_VALUE"""),"FOM-2024-5403-FEB-2024-49846 -C-0041-70643")</f>
        <v>FOM-2024-5403-FEB-2024-49846 -C-0041-70643</v>
      </c>
      <c r="I1944" s="133"/>
      <c r="J1944" s="133"/>
      <c r="K1944" s="133" t="str">
        <f>IFERROR(__xludf.DUMMYFUNCTION("""COMPUTED_VALUE"""),"يانتاي هوس بت فود تك كو
")</f>
        <v>يانتاي هوس بت فود تك كو
</v>
      </c>
      <c r="L1944" s="133"/>
      <c r="M1944" s="133" t="str">
        <f>IFERROR(__xludf.DUMMYFUNCTION("""COMPUTED_VALUE"""),"21/8/2029")</f>
        <v>21/8/2029</v>
      </c>
      <c r="N1944" s="133"/>
      <c r="O1944" s="133"/>
      <c r="P1944" s="133"/>
      <c r="Q1944" s="133"/>
      <c r="R1944" s="133"/>
      <c r="S1944" s="133"/>
      <c r="T1944" s="133"/>
      <c r="U1944" s="133"/>
      <c r="V1944" s="133"/>
      <c r="W1944" s="133"/>
      <c r="X1944" s="133"/>
      <c r="Y1944" s="133"/>
      <c r="Z1944" s="133"/>
    </row>
    <row r="1945">
      <c r="A1945" s="133"/>
      <c r="B1945" s="133"/>
      <c r="C1945" s="133" t="str">
        <f>IFERROR(__xludf.DUMMYFUNCTION("""COMPUTED_VALUE"""),"P-1-N-260524-3277")</f>
        <v>P-1-N-260524-3277</v>
      </c>
      <c r="D1945" s="133" t="str">
        <f>IFERROR(__xludf.DUMMYFUNCTION("""COMPUTED_VALUE"""),"FEB-2024-49847 
")</f>
        <v>FEB-2024-49847 
</v>
      </c>
      <c r="E1945" s="133" t="str">
        <f>IFERROR(__xludf.DUMMYFUNCTION("""COMPUTED_VALUE"""),"مكتمل")</f>
        <v>مكتمل</v>
      </c>
      <c r="F1945" s="133" t="str">
        <f>IFERROR(__xludf.DUMMYFUNCTION("""COMPUTED_VALUE"""),"Zolux Dog creamy stick chicken Salmon 14g")</f>
        <v>Zolux Dog creamy stick chicken Salmon 14g</v>
      </c>
      <c r="G1945" s="133" t="str">
        <f>IFERROR(__xludf.DUMMYFUNCTION("""COMPUTED_VALUE"""),"زولكس مكافات كريمية بالدجاج و السلمون للكلاب 14ج")</f>
        <v>زولكس مكافات كريمية بالدجاج و السلمون للكلاب 14ج</v>
      </c>
      <c r="H1945" s="133" t="str">
        <f>IFERROR(__xludf.DUMMYFUNCTION("""COMPUTED_VALUE"""),"FOM-2024-5403-FEB-2024-49847 -C-0041-70644
")</f>
        <v>FOM-2024-5403-FEB-2024-49847 -C-0041-70644
</v>
      </c>
      <c r="I1945" s="133"/>
      <c r="J1945" s="133"/>
      <c r="K1945" s="133" t="str">
        <f>IFERROR(__xludf.DUMMYFUNCTION("""COMPUTED_VALUE"""),"يانتاي هوس بت فود تك كو
")</f>
        <v>يانتاي هوس بت فود تك كو
</v>
      </c>
      <c r="L1945" s="133"/>
      <c r="M1945" s="133" t="str">
        <f>IFERROR(__xludf.DUMMYFUNCTION("""COMPUTED_VALUE"""),"21/8/2029")</f>
        <v>21/8/2029</v>
      </c>
      <c r="N1945" s="133"/>
      <c r="O1945" s="133"/>
      <c r="P1945" s="133"/>
      <c r="Q1945" s="133"/>
      <c r="R1945" s="133"/>
      <c r="S1945" s="133"/>
      <c r="T1945" s="133"/>
      <c r="U1945" s="133"/>
      <c r="V1945" s="133"/>
      <c r="W1945" s="133"/>
      <c r="X1945" s="133"/>
      <c r="Y1945" s="133"/>
      <c r="Z1945" s="133"/>
    </row>
    <row r="1946">
      <c r="A1946" s="133"/>
      <c r="B1946" s="133"/>
      <c r="C1946" s="133" t="str">
        <f>IFERROR(__xludf.DUMMYFUNCTION("""COMPUTED_VALUE"""),"P-1-N-260524-3278")</f>
        <v>P-1-N-260524-3278</v>
      </c>
      <c r="D1946" s="133" t="str">
        <f>IFERROR(__xludf.DUMMYFUNCTION("""COMPUTED_VALUE"""),"FEB-2024-49848 
")</f>
        <v>FEB-2024-49848 
</v>
      </c>
      <c r="E1946" s="133" t="str">
        <f>IFERROR(__xludf.DUMMYFUNCTION("""COMPUTED_VALUE"""),"مكتمل")</f>
        <v>مكتمل</v>
      </c>
      <c r="F1946" s="133" t="str">
        <f>IFERROR(__xludf.DUMMYFUNCTION("""COMPUTED_VALUE"""),"Zolux Cat creamy stick tuna 14g")</f>
        <v>Zolux Cat creamy stick tuna 14g</v>
      </c>
      <c r="G1946" s="133" t="str">
        <f>IFERROR(__xludf.DUMMYFUNCTION("""COMPUTED_VALUE"""),"زولكس مكافات كريمية بالتونة للقطط 14ج")</f>
        <v>زولكس مكافات كريمية بالتونة للقطط 14ج</v>
      </c>
      <c r="H1946" s="133" t="str">
        <f>IFERROR(__xludf.DUMMYFUNCTION("""COMPUTED_VALUE"""),"FOM-2024-5403-FEB-2024-49848 -C-0041-70645
")</f>
        <v>FOM-2024-5403-FEB-2024-49848 -C-0041-70645
</v>
      </c>
      <c r="I1946" s="133"/>
      <c r="J1946" s="133"/>
      <c r="K1946" s="133" t="str">
        <f>IFERROR(__xludf.DUMMYFUNCTION("""COMPUTED_VALUE"""),"يانتاي هوس بت فود تك كو
")</f>
        <v>يانتاي هوس بت فود تك كو
</v>
      </c>
      <c r="L1946" s="133"/>
      <c r="M1946" s="133" t="str">
        <f>IFERROR(__xludf.DUMMYFUNCTION("""COMPUTED_VALUE"""),"21/8/2029")</f>
        <v>21/8/2029</v>
      </c>
      <c r="N1946" s="133"/>
      <c r="O1946" s="133"/>
      <c r="P1946" s="133"/>
      <c r="Q1946" s="133"/>
      <c r="R1946" s="133"/>
      <c r="S1946" s="133"/>
      <c r="T1946" s="133"/>
      <c r="U1946" s="133"/>
      <c r="V1946" s="133"/>
      <c r="W1946" s="133"/>
      <c r="X1946" s="133"/>
      <c r="Y1946" s="133"/>
      <c r="Z1946" s="133"/>
    </row>
    <row r="1947">
      <c r="A1947" s="133"/>
      <c r="B1947" s="133"/>
      <c r="C1947" s="133" t="str">
        <f>IFERROR(__xludf.DUMMYFUNCTION("""COMPUTED_VALUE"""),"P-1-N-260524-3279")</f>
        <v>P-1-N-260524-3279</v>
      </c>
      <c r="D1947" s="133" t="str">
        <f>IFERROR(__xludf.DUMMYFUNCTION("""COMPUTED_VALUE"""),"FEB-2024-49849 
")</f>
        <v>FEB-2024-49849 
</v>
      </c>
      <c r="E1947" s="133" t="str">
        <f>IFERROR(__xludf.DUMMYFUNCTION("""COMPUTED_VALUE"""),"مكتمل")</f>
        <v>مكتمل</v>
      </c>
      <c r="F1947" s="133" t="str">
        <f>IFERROR(__xludf.DUMMYFUNCTION("""COMPUTED_VALUE"""),"Zolux Cat creamy stick chicken 14g")</f>
        <v>Zolux Cat creamy stick chicken 14g</v>
      </c>
      <c r="G1947" s="133" t="str">
        <f>IFERROR(__xludf.DUMMYFUNCTION("""COMPUTED_VALUE"""),"زولكس مكافات كريمية بالدجاج للقطط 14ج")</f>
        <v>زولكس مكافات كريمية بالدجاج للقطط 14ج</v>
      </c>
      <c r="H1947" s="133" t="str">
        <f>IFERROR(__xludf.DUMMYFUNCTION("""COMPUTED_VALUE"""),"FOM-2024-5403-FEB-2024-49849 -C-0041-70646
")</f>
        <v>FOM-2024-5403-FEB-2024-49849 -C-0041-70646
</v>
      </c>
      <c r="I1947" s="133"/>
      <c r="J1947" s="133"/>
      <c r="K1947" s="133" t="str">
        <f>IFERROR(__xludf.DUMMYFUNCTION("""COMPUTED_VALUE"""),"يانتاي هوس بت فود تك كو
")</f>
        <v>يانتاي هوس بت فود تك كو
</v>
      </c>
      <c r="L1947" s="133"/>
      <c r="M1947" s="133" t="str">
        <f>IFERROR(__xludf.DUMMYFUNCTION("""COMPUTED_VALUE"""),"21/8/2029")</f>
        <v>21/8/2029</v>
      </c>
      <c r="N1947" s="133"/>
      <c r="O1947" s="133"/>
      <c r="P1947" s="133"/>
      <c r="Q1947" s="133"/>
      <c r="R1947" s="133"/>
      <c r="S1947" s="133"/>
      <c r="T1947" s="133"/>
      <c r="U1947" s="133"/>
      <c r="V1947" s="133"/>
      <c r="W1947" s="133"/>
      <c r="X1947" s="133"/>
      <c r="Y1947" s="133"/>
      <c r="Z1947" s="133"/>
    </row>
    <row r="1948">
      <c r="A1948" s="133"/>
      <c r="B1948" s="133"/>
      <c r="C1948" s="133" t="str">
        <f>IFERROR(__xludf.DUMMYFUNCTION("""COMPUTED_VALUE"""),"P-1-N-260524-3280")</f>
        <v>P-1-N-260524-3280</v>
      </c>
      <c r="D1948" s="133" t="str">
        <f>IFERROR(__xludf.DUMMYFUNCTION("""COMPUTED_VALUE"""),"FEB-2024-49850 
")</f>
        <v>FEB-2024-49850 
</v>
      </c>
      <c r="E1948" s="133" t="str">
        <f>IFERROR(__xludf.DUMMYFUNCTION("""COMPUTED_VALUE"""),"مكتمل")</f>
        <v>مكتمل</v>
      </c>
      <c r="F1948" s="133" t="str">
        <f>IFERROR(__xludf.DUMMYFUNCTION("""COMPUTED_VALUE"""),"Zolux cat creamy stick tuna shrimp 14g")</f>
        <v>Zolux cat creamy stick tuna shrimp 14g</v>
      </c>
      <c r="G1948" s="133" t="str">
        <f>IFERROR(__xludf.DUMMYFUNCTION("""COMPUTED_VALUE"""),"زولكس مكافات كريمية بالتونة و الجمبري للقطط 14ج")</f>
        <v>زولكس مكافات كريمية بالتونة و الجمبري للقطط 14ج</v>
      </c>
      <c r="H1948" s="133" t="str">
        <f>IFERROR(__xludf.DUMMYFUNCTION("""COMPUTED_VALUE"""),"FOM-2024-5403-FEB-2024-49850 -C-0041-70647
")</f>
        <v>FOM-2024-5403-FEB-2024-49850 -C-0041-70647
</v>
      </c>
      <c r="I1948" s="133"/>
      <c r="J1948" s="133"/>
      <c r="K1948" s="133" t="str">
        <f>IFERROR(__xludf.DUMMYFUNCTION("""COMPUTED_VALUE"""),"يانتاي هوس بت فود تك كو
")</f>
        <v>يانتاي هوس بت فود تك كو
</v>
      </c>
      <c r="L1948" s="133"/>
      <c r="M1948" s="133" t="str">
        <f>IFERROR(__xludf.DUMMYFUNCTION("""COMPUTED_VALUE"""),"21/8/2029")</f>
        <v>21/8/2029</v>
      </c>
      <c r="N1948" s="133"/>
      <c r="O1948" s="133"/>
      <c r="P1948" s="133"/>
      <c r="Q1948" s="133"/>
      <c r="R1948" s="133"/>
      <c r="S1948" s="133"/>
      <c r="T1948" s="133"/>
      <c r="U1948" s="133"/>
      <c r="V1948" s="133"/>
      <c r="W1948" s="133"/>
      <c r="X1948" s="133"/>
      <c r="Y1948" s="133"/>
      <c r="Z1948" s="133"/>
    </row>
    <row r="1949">
      <c r="A1949" s="133"/>
      <c r="B1949" s="133"/>
      <c r="C1949" s="133" t="str">
        <f>IFERROR(__xludf.DUMMYFUNCTION("""COMPUTED_VALUE"""),"P-1-N-260524-3281")</f>
        <v>P-1-N-260524-3281</v>
      </c>
      <c r="D1949" s="133" t="str">
        <f>IFERROR(__xludf.DUMMYFUNCTION("""COMPUTED_VALUE"""),"FEB-2024-49851 
")</f>
        <v>FEB-2024-49851 
</v>
      </c>
      <c r="E1949" s="133" t="str">
        <f>IFERROR(__xludf.DUMMYFUNCTION("""COMPUTED_VALUE"""),"مكتمل")</f>
        <v>مكتمل</v>
      </c>
      <c r="F1949" s="133" t="str">
        <f>IFERROR(__xludf.DUMMYFUNCTION("""COMPUTED_VALUE"""),"Zolux cat creamy stick tuna salmon 14g")</f>
        <v>Zolux cat creamy stick tuna salmon 14g</v>
      </c>
      <c r="G1949" s="133" t="str">
        <f>IFERROR(__xludf.DUMMYFUNCTION("""COMPUTED_VALUE"""),"زولكس مكافات كريمية بالتونة و السالمون للقطط 14ج")</f>
        <v>زولكس مكافات كريمية بالتونة و السالمون للقطط 14ج</v>
      </c>
      <c r="H1949" s="133" t="str">
        <f>IFERROR(__xludf.DUMMYFUNCTION("""COMPUTED_VALUE"""),"FOM-2024-5403-FEB-2024-49851 -C-0041-70648
")</f>
        <v>FOM-2024-5403-FEB-2024-49851 -C-0041-70648
</v>
      </c>
      <c r="I1949" s="133"/>
      <c r="J1949" s="133"/>
      <c r="K1949" s="133" t="str">
        <f>IFERROR(__xludf.DUMMYFUNCTION("""COMPUTED_VALUE"""),"يانتاي هوس بت فود تك كو
")</f>
        <v>يانتاي هوس بت فود تك كو
</v>
      </c>
      <c r="L1949" s="133"/>
      <c r="M1949" s="133" t="str">
        <f>IFERROR(__xludf.DUMMYFUNCTION("""COMPUTED_VALUE"""),"21/8/2029")</f>
        <v>21/8/2029</v>
      </c>
      <c r="N1949" s="133"/>
      <c r="O1949" s="133"/>
      <c r="P1949" s="133"/>
      <c r="Q1949" s="133"/>
      <c r="R1949" s="133"/>
      <c r="S1949" s="133"/>
      <c r="T1949" s="133"/>
      <c r="U1949" s="133"/>
      <c r="V1949" s="133"/>
      <c r="W1949" s="133"/>
      <c r="X1949" s="133"/>
      <c r="Y1949" s="133"/>
      <c r="Z1949" s="133"/>
    </row>
    <row r="1950">
      <c r="A1950" s="133"/>
      <c r="B1950" s="133"/>
      <c r="C1950" s="133" t="str">
        <f>IFERROR(__xludf.DUMMYFUNCTION("""COMPUTED_VALUE"""),"P-1-N-260524-3282")</f>
        <v>P-1-N-260524-3282</v>
      </c>
      <c r="D1950" s="133" t="str">
        <f>IFERROR(__xludf.DUMMYFUNCTION("""COMPUTED_VALUE"""),"FEB-2024-49852 
")</f>
        <v>FEB-2024-49852 
</v>
      </c>
      <c r="E1950" s="133" t="str">
        <f>IFERROR(__xludf.DUMMYFUNCTION("""COMPUTED_VALUE"""),"مكتمل")</f>
        <v>مكتمل</v>
      </c>
      <c r="F1950" s="133" t="str">
        <f>IFERROR(__xludf.DUMMYFUNCTION("""COMPUTED_VALUE"""),"Zolux cat creamy stick tuna crab 14g")</f>
        <v>Zolux cat creamy stick tuna crab 14g</v>
      </c>
      <c r="G1950" s="133" t="str">
        <f>IFERROR(__xludf.DUMMYFUNCTION("""COMPUTED_VALUE"""),"زولكس مكافات كريمية بالتونة و السلطعون للقطط 14ج")</f>
        <v>زولكس مكافات كريمية بالتونة و السلطعون للقطط 14ج</v>
      </c>
      <c r="H1950" s="133" t="str">
        <f>IFERROR(__xludf.DUMMYFUNCTION("""COMPUTED_VALUE"""),"FOM-2024-5403-FEB-2024-49852 -C-0041-70649
")</f>
        <v>FOM-2024-5403-FEB-2024-49852 -C-0041-70649
</v>
      </c>
      <c r="I1950" s="133"/>
      <c r="J1950" s="133"/>
      <c r="K1950" s="133" t="str">
        <f>IFERROR(__xludf.DUMMYFUNCTION("""COMPUTED_VALUE"""),"يانتاي هوس بت فود تك كو
")</f>
        <v>يانتاي هوس بت فود تك كو
</v>
      </c>
      <c r="L1950" s="133"/>
      <c r="M1950" s="133" t="str">
        <f>IFERROR(__xludf.DUMMYFUNCTION("""COMPUTED_VALUE"""),"21/8/2029")</f>
        <v>21/8/2029</v>
      </c>
      <c r="N1950" s="133"/>
      <c r="O1950" s="133"/>
      <c r="P1950" s="133"/>
      <c r="Q1950" s="133"/>
      <c r="R1950" s="133"/>
      <c r="S1950" s="133"/>
      <c r="T1950" s="133"/>
      <c r="U1950" s="133"/>
      <c r="V1950" s="133"/>
      <c r="W1950" s="133"/>
      <c r="X1950" s="133"/>
      <c r="Y1950" s="133"/>
      <c r="Z1950" s="133"/>
    </row>
    <row r="1951">
      <c r="A1951" s="133"/>
      <c r="B1951" s="133"/>
      <c r="C1951" s="133" t="str">
        <f>IFERROR(__xludf.DUMMYFUNCTION("""COMPUTED_VALUE"""),"P-1-N-260524-3283")</f>
        <v>P-1-N-260524-3283</v>
      </c>
      <c r="D1951" s="133" t="str">
        <f>IFERROR(__xludf.DUMMYFUNCTION("""COMPUTED_VALUE"""),"FEB-2024-49853 
")</f>
        <v>FEB-2024-49853 
</v>
      </c>
      <c r="E1951" s="133" t="str">
        <f>IFERROR(__xludf.DUMMYFUNCTION("""COMPUTED_VALUE"""),"مكتمل")</f>
        <v>مكتمل</v>
      </c>
      <c r="F1951" s="133" t="str">
        <f>IFERROR(__xludf.DUMMYFUNCTION("""COMPUTED_VALUE"""),"Zolux cat creamy stick chicken crab 14g")</f>
        <v>Zolux cat creamy stick chicken crab 14g</v>
      </c>
      <c r="G1951" s="133" t="str">
        <f>IFERROR(__xludf.DUMMYFUNCTION("""COMPUTED_VALUE"""),"زولكس مكافات كريمية بالدجاج والسلطعون للقطط 14ج")</f>
        <v>زولكس مكافات كريمية بالدجاج والسلطعون للقطط 14ج</v>
      </c>
      <c r="H1951" s="133" t="str">
        <f>IFERROR(__xludf.DUMMYFUNCTION("""COMPUTED_VALUE"""),"FOM-2024-5403-FEB-2024-49853 -C-0041-70650
")</f>
        <v>FOM-2024-5403-FEB-2024-49853 -C-0041-70650
</v>
      </c>
      <c r="I1951" s="133"/>
      <c r="J1951" s="133"/>
      <c r="K1951" s="133" t="str">
        <f>IFERROR(__xludf.DUMMYFUNCTION("""COMPUTED_VALUE"""),"يانتاي هوس بت فود تك كو
")</f>
        <v>يانتاي هوس بت فود تك كو
</v>
      </c>
      <c r="L1951" s="133"/>
      <c r="M1951" s="133" t="str">
        <f>IFERROR(__xludf.DUMMYFUNCTION("""COMPUTED_VALUE"""),"21/8/2029")</f>
        <v>21/8/2029</v>
      </c>
      <c r="N1951" s="133"/>
      <c r="O1951" s="133"/>
      <c r="P1951" s="133"/>
      <c r="Q1951" s="133"/>
      <c r="R1951" s="133"/>
      <c r="S1951" s="133"/>
      <c r="T1951" s="133"/>
      <c r="U1951" s="133"/>
      <c r="V1951" s="133"/>
      <c r="W1951" s="133"/>
      <c r="X1951" s="133"/>
      <c r="Y1951" s="133"/>
      <c r="Z1951" s="133"/>
    </row>
    <row r="1952">
      <c r="A1952" s="133"/>
      <c r="B1952" s="133" t="str">
        <f>IFERROR(__xludf.DUMMYFUNCTION("""COMPUTED_VALUE"""),"654943")</f>
        <v>654943</v>
      </c>
      <c r="C1952" s="133" t="str">
        <f>IFERROR(__xludf.DUMMYFUNCTION("""COMPUTED_VALUE"""),"P-1-N-050624-3486")</f>
        <v>P-1-N-050624-3486</v>
      </c>
      <c r="D1952" s="133"/>
      <c r="E1952" s="133" t="str">
        <f>IFERROR(__xludf.DUMMYFUNCTION("""COMPUTED_VALUE"""),"تمت طباعة الشهادة ")</f>
        <v>تمت طباعة الشهادة </v>
      </c>
      <c r="F1952" s="133" t="str">
        <f>IFERROR(__xludf.DUMMYFUNCTION("""COMPUTED_VALUE"""),"PUUR Pauze Snack Muesli Parrot Fruit 750g
")</f>
        <v>PUUR Pauze Snack Muesli Parrot Fruit 750g
</v>
      </c>
      <c r="G1952" s="133" t="str">
        <f>IFERROR(__xludf.DUMMYFUNCTION("""COMPUTED_VALUE"""),"بيور باوز وجبة خفيفة متنوعة من الفاكهة للببغاء750ج")</f>
        <v>بيور باوز وجبة خفيفة متنوعة من الفاكهة للببغاء750ج</v>
      </c>
      <c r="H1952" s="133" t="str">
        <f>IFERROR(__xludf.DUMMYFUNCTION("""COMPUTED_VALUE"""),"FOM-2024-6990-FEB-2024-56437 -C-0041-77244")</f>
        <v>FOM-2024-6990-FEB-2024-56437 -C-0041-77244</v>
      </c>
      <c r="I1952" s="133"/>
      <c r="J1952" s="133"/>
      <c r="K1952" s="133" t="str">
        <f>IFERROR(__xludf.DUMMYFUNCTION("""COMPUTED_VALUE"""),"لاروي جروب إن في")</f>
        <v>لاروي جروب إن في</v>
      </c>
      <c r="L1952" s="142" t="str">
        <f>IFERROR(__xludf.DUMMYFUNCTION("""COMPUTED_VALUE"""),"654943")</f>
        <v>654943</v>
      </c>
      <c r="M1952" s="133">
        <f>IFERROR(__xludf.DUMMYFUNCTION("""COMPUTED_VALUE"""),47306.0)</f>
        <v>47306</v>
      </c>
      <c r="N1952" s="133"/>
      <c r="O1952" s="133"/>
      <c r="P1952" s="133"/>
      <c r="Q1952" s="133"/>
      <c r="R1952" s="133"/>
      <c r="S1952" s="133"/>
      <c r="T1952" s="133"/>
      <c r="U1952" s="133"/>
      <c r="V1952" s="133"/>
      <c r="W1952" s="133"/>
      <c r="X1952" s="133"/>
      <c r="Y1952" s="133"/>
      <c r="Z1952" s="133"/>
    </row>
    <row r="1953">
      <c r="A1953" s="133"/>
      <c r="B1953" s="133" t="str">
        <f>IFERROR(__xludf.DUMMYFUNCTION("""COMPUTED_VALUE"""),"654944")</f>
        <v>654944</v>
      </c>
      <c r="C1953" s="133" t="str">
        <f>IFERROR(__xludf.DUMMYFUNCTION("""COMPUTED_VALUE"""),"P-1-N-050624-3487")</f>
        <v>P-1-N-050624-3487</v>
      </c>
      <c r="D1953" s="133"/>
      <c r="E1953" s="133" t="str">
        <f>IFERROR(__xludf.DUMMYFUNCTION("""COMPUTED_VALUE"""),"تمت طباعة الشهادة ")</f>
        <v>تمت طباعة الشهادة </v>
      </c>
      <c r="F1953" s="133" t="str">
        <f>IFERROR(__xludf.DUMMYFUNCTION("""COMPUTED_VALUE"""),"PUUR Pauze Snack Muesli Parrot Nuts 750g
")</f>
        <v>PUUR Pauze Snack Muesli Parrot Nuts 750g
</v>
      </c>
      <c r="G1953" s="133" t="str">
        <f>IFERROR(__xludf.DUMMYFUNCTION("""COMPUTED_VALUE"""),"بيور باوز وجبة خفيفة متنوعة من المكسرات للببغاء 750جم")</f>
        <v>بيور باوز وجبة خفيفة متنوعة من المكسرات للببغاء 750جم</v>
      </c>
      <c r="H1953" s="133" t="str">
        <f>IFERROR(__xludf.DUMMYFUNCTION("""COMPUTED_VALUE"""),"FOM-2024-6990-FEB-2024-56436 -C-0041-77243")</f>
        <v>FOM-2024-6990-FEB-2024-56436 -C-0041-77243</v>
      </c>
      <c r="I1953" s="133"/>
      <c r="J1953" s="133"/>
      <c r="K1953" s="133" t="str">
        <f>IFERROR(__xludf.DUMMYFUNCTION("""COMPUTED_VALUE"""),"لاروي جروب إن في")</f>
        <v>لاروي جروب إن في</v>
      </c>
      <c r="L1953" s="142" t="str">
        <f>IFERROR(__xludf.DUMMYFUNCTION("""COMPUTED_VALUE"""),"654944")</f>
        <v>654944</v>
      </c>
      <c r="M1953" s="144">
        <f>IFERROR(__xludf.DUMMYFUNCTION("""COMPUTED_VALUE"""),47306.0)</f>
        <v>47306</v>
      </c>
      <c r="N1953" s="133"/>
      <c r="O1953" s="133"/>
      <c r="P1953" s="133"/>
      <c r="Q1953" s="133"/>
      <c r="R1953" s="133"/>
      <c r="S1953" s="133"/>
      <c r="T1953" s="133"/>
      <c r="U1953" s="133"/>
      <c r="V1953" s="133"/>
      <c r="W1953" s="133"/>
      <c r="X1953" s="133"/>
      <c r="Y1953" s="133"/>
      <c r="Z1953" s="133"/>
    </row>
    <row r="1954">
      <c r="A1954" s="133"/>
      <c r="B1954" s="133"/>
      <c r="C1954" s="133" t="str">
        <f>IFERROR(__xludf.DUMMYFUNCTION("""COMPUTED_VALUE"""),"P-1-N-100624-3540")</f>
        <v>P-1-N-100624-3540</v>
      </c>
      <c r="D1954" s="133"/>
      <c r="E1954" s="133" t="str">
        <f>IFERROR(__xludf.DUMMYFUNCTION("""COMPUTED_VALUE"""),"مكتمل")</f>
        <v>مكتمل</v>
      </c>
      <c r="F1954" s="133" t="str">
        <f>IFERROR(__xludf.DUMMYFUNCTION("""COMPUTED_VALUE"""),"Indigo Moon Blended Tuna Recipe in Gravy 85g")</f>
        <v>Indigo Moon Blended Tuna Recipe in Gravy 85g</v>
      </c>
      <c r="G1954" s="133" t="str">
        <f>IFERROR(__xludf.DUMMYFUNCTION("""COMPUTED_VALUE"""),"إنديجو مون وصفة التونة المخلوطة في المرق 85 جم")</f>
        <v>إنديجو مون وصفة التونة المخلوطة في المرق 85 جم</v>
      </c>
      <c r="H1954" s="133" t="str">
        <f>IFERROR(__xludf.DUMMYFUNCTION("""COMPUTED_VALUE"""),"FOM-2024-6220-FEB-2024-58707 -C-0041-79515")</f>
        <v>FOM-2024-6220-FEB-2024-58707 -C-0041-79515</v>
      </c>
      <c r="I1954" s="133"/>
      <c r="J1954" s="133"/>
      <c r="K1954" s="133" t="str">
        <f>IFERROR(__xludf.DUMMYFUNCTION("""COMPUTED_VALUE"""),"شركة سونجكلا كانينج العامة المحدودة")</f>
        <v>شركة سونجكلا كانينج العامة المحدودة</v>
      </c>
      <c r="L1954" s="133"/>
      <c r="M1954" s="133" t="str">
        <f>IFERROR(__xludf.DUMMYFUNCTION("""COMPUTED_VALUE"""),"30-6-2029")</f>
        <v>30-6-2029</v>
      </c>
      <c r="N1954" s="133"/>
      <c r="O1954" s="133"/>
      <c r="P1954" s="133"/>
      <c r="Q1954" s="133"/>
      <c r="R1954" s="133"/>
      <c r="S1954" s="133"/>
      <c r="T1954" s="133"/>
      <c r="U1954" s="133"/>
      <c r="V1954" s="133"/>
      <c r="W1954" s="133"/>
      <c r="X1954" s="133"/>
      <c r="Y1954" s="133"/>
      <c r="Z1954" s="133"/>
    </row>
    <row r="1955">
      <c r="A1955" s="133"/>
      <c r="B1955" s="133"/>
      <c r="C1955" s="133" t="str">
        <f>IFERROR(__xludf.DUMMYFUNCTION("""COMPUTED_VALUE"""),"P-1-N-100624-3541")</f>
        <v>P-1-N-100624-3541</v>
      </c>
      <c r="D1955" s="133"/>
      <c r="E1955" s="133" t="str">
        <f>IFERROR(__xludf.DUMMYFUNCTION("""COMPUTED_VALUE"""),"مكتمل")</f>
        <v>مكتمل</v>
      </c>
      <c r="F1955" s="133" t="str">
        <f>IFERROR(__xludf.DUMMYFUNCTION("""COMPUTED_VALUE"""),"FOM-2024-6220-FEB-2024-58709 -C-0041-79517
")</f>
        <v>FOM-2024-6220-FEB-2024-58709 -C-0041-79517
</v>
      </c>
      <c r="G1955" s="133" t="str">
        <f>IFERROR(__xludf.DUMMYFUNCTION("""COMPUTED_VALUE"""),"إنديجو مون وصفة الماكريل والتونة في المرق 85 جم")</f>
        <v>إنديجو مون وصفة الماكريل والتونة في المرق 85 جم</v>
      </c>
      <c r="H1955" s="133" t="str">
        <f>IFERROR(__xludf.DUMMYFUNCTION("""COMPUTED_VALUE"""),"FOM-2024-6220-FEB-2024-58712 -C-0041-79520
")</f>
        <v>FOM-2024-6220-FEB-2024-58712 -C-0041-79520
</v>
      </c>
      <c r="I1955" s="133"/>
      <c r="J1955" s="133"/>
      <c r="K1955" s="133" t="str">
        <f>IFERROR(__xludf.DUMMYFUNCTION("""COMPUTED_VALUE"""),"شركة سونجكلا كانينج العامة المحدودة")</f>
        <v>شركة سونجكلا كانينج العامة المحدودة</v>
      </c>
      <c r="L1955" s="133"/>
      <c r="M1955" s="133" t="str">
        <f>IFERROR(__xludf.DUMMYFUNCTION("""COMPUTED_VALUE"""),"30-6-2029")</f>
        <v>30-6-2029</v>
      </c>
      <c r="N1955" s="133"/>
      <c r="O1955" s="133"/>
      <c r="P1955" s="133"/>
      <c r="Q1955" s="133"/>
      <c r="R1955" s="133"/>
      <c r="S1955" s="133"/>
      <c r="T1955" s="133"/>
      <c r="U1955" s="133"/>
      <c r="V1955" s="133"/>
      <c r="W1955" s="133"/>
      <c r="X1955" s="133"/>
      <c r="Y1955" s="133"/>
      <c r="Z1955" s="133"/>
    </row>
    <row r="1956">
      <c r="A1956" s="133"/>
      <c r="B1956" s="133"/>
      <c r="C1956" s="133" t="str">
        <f>IFERROR(__xludf.DUMMYFUNCTION("""COMPUTED_VALUE"""),"P-1-N-100624-3543")</f>
        <v>P-1-N-100624-3543</v>
      </c>
      <c r="D1956" s="133"/>
      <c r="E1956" s="133" t="str">
        <f>IFERROR(__xludf.DUMMYFUNCTION("""COMPUTED_VALUE"""),"مكتمل")</f>
        <v>مكتمل</v>
      </c>
      <c r="F1956" s="133" t="str">
        <f>IFERROR(__xludf.DUMMYFUNCTION("""COMPUTED_VALUE"""),"Indigo Moon Pate with chicken &amp; coconut oil 85g")</f>
        <v>Indigo Moon Pate with chicken &amp; coconut oil 85g</v>
      </c>
      <c r="G1956" s="133" t="str">
        <f>IFERROR(__xludf.DUMMYFUNCTION("""COMPUTED_VALUE"""),"إنديجو مون دجاج مع زيت جوز الهند باتيه  85 جم")</f>
        <v>إنديجو مون دجاج مع زيت جوز الهند باتيه  85 جم</v>
      </c>
      <c r="H1956" s="133" t="str">
        <f>IFERROR(__xludf.DUMMYFUNCTION("""COMPUTED_VALUE"""),"FOM-2024-6220-FEB-2024-58713 -C-0041-79521
")</f>
        <v>FOM-2024-6220-FEB-2024-58713 -C-0041-79521
</v>
      </c>
      <c r="I1956" s="133"/>
      <c r="J1956" s="133"/>
      <c r="K1956" s="133" t="str">
        <f>IFERROR(__xludf.DUMMYFUNCTION("""COMPUTED_VALUE"""),"شركة سونجكلا كانينج العامة المحدودة")</f>
        <v>شركة سونجكلا كانينج العامة المحدودة</v>
      </c>
      <c r="L1956" s="133"/>
      <c r="M1956" s="133" t="str">
        <f>IFERROR(__xludf.DUMMYFUNCTION("""COMPUTED_VALUE"""),"30-6-2029")</f>
        <v>30-6-2029</v>
      </c>
      <c r="N1956" s="133"/>
      <c r="O1956" s="133"/>
      <c r="P1956" s="133"/>
      <c r="Q1956" s="133"/>
      <c r="R1956" s="133"/>
      <c r="S1956" s="133"/>
      <c r="T1956" s="133"/>
      <c r="U1956" s="133"/>
      <c r="V1956" s="133"/>
      <c r="W1956" s="133"/>
      <c r="X1956" s="133"/>
      <c r="Y1956" s="133"/>
      <c r="Z1956" s="133"/>
    </row>
    <row r="1957">
      <c r="A1957" s="133"/>
      <c r="B1957" s="133"/>
      <c r="C1957" s="133" t="str">
        <f>IFERROR(__xludf.DUMMYFUNCTION("""COMPUTED_VALUE"""),"P-1-N-100624-3544")</f>
        <v>P-1-N-100624-3544</v>
      </c>
      <c r="D1957" s="133"/>
      <c r="E1957" s="133" t="str">
        <f>IFERROR(__xludf.DUMMYFUNCTION("""COMPUTED_VALUE"""),"مكتمل")</f>
        <v>مكتمل</v>
      </c>
      <c r="F1957" s="133" t="str">
        <f>IFERROR(__xludf.DUMMYFUNCTION("""COMPUTED_VALUE"""),"Indigo Moon Pate with liver chicken &amp; coconut oil 85g")</f>
        <v>Indigo Moon Pate with liver chicken &amp; coconut oil 85g</v>
      </c>
      <c r="G1957" s="133" t="str">
        <f>IFERROR(__xludf.DUMMYFUNCTION("""COMPUTED_VALUE"""),"إنديجو مون كبد الدجاج مع زيت جوز الهند باتيه 85 جم")</f>
        <v>إنديجو مون كبد الدجاج مع زيت جوز الهند باتيه 85 جم</v>
      </c>
      <c r="H1957" s="133" t="str">
        <f>IFERROR(__xludf.DUMMYFUNCTION("""COMPUTED_VALUE"""),"FOM-2024-6220-FEB-2024-58708 -C-0041-79516
")</f>
        <v>FOM-2024-6220-FEB-2024-58708 -C-0041-79516
</v>
      </c>
      <c r="I1957" s="133"/>
      <c r="J1957" s="133"/>
      <c r="K1957" s="133" t="str">
        <f>IFERROR(__xludf.DUMMYFUNCTION("""COMPUTED_VALUE"""),"شركة سونجكلا كانينج العامة المحدودة")</f>
        <v>شركة سونجكلا كانينج العامة المحدودة</v>
      </c>
      <c r="L1957" s="133"/>
      <c r="M1957" s="133" t="str">
        <f>IFERROR(__xludf.DUMMYFUNCTION("""COMPUTED_VALUE"""),"30-6-2029")</f>
        <v>30-6-2029</v>
      </c>
      <c r="N1957" s="133"/>
      <c r="O1957" s="133"/>
      <c r="P1957" s="133"/>
      <c r="Q1957" s="133"/>
      <c r="R1957" s="133"/>
      <c r="S1957" s="133"/>
      <c r="T1957" s="133"/>
      <c r="U1957" s="133"/>
      <c r="V1957" s="133"/>
      <c r="W1957" s="133"/>
      <c r="X1957" s="133"/>
      <c r="Y1957" s="133"/>
      <c r="Z1957" s="133"/>
    </row>
    <row r="1958">
      <c r="A1958" s="133"/>
      <c r="B1958" s="133"/>
      <c r="C1958" s="133" t="str">
        <f>IFERROR(__xludf.DUMMYFUNCTION("""COMPUTED_VALUE"""),"P-1-N-100624-3545")</f>
        <v>P-1-N-100624-3545</v>
      </c>
      <c r="D1958" s="133"/>
      <c r="E1958" s="133" t="str">
        <f>IFERROR(__xludf.DUMMYFUNCTION("""COMPUTED_VALUE"""),"مكتمل")</f>
        <v>مكتمل</v>
      </c>
      <c r="F1958" s="133" t="str">
        <f>IFERROR(__xludf.DUMMYFUNCTION("""COMPUTED_VALUE"""),"Indigo Moon Pate with salmon &amp; coconut oil 85g")</f>
        <v>Indigo Moon Pate with salmon &amp; coconut oil 85g</v>
      </c>
      <c r="G1958" s="133" t="str">
        <f>IFERROR(__xludf.DUMMYFUNCTION("""COMPUTED_VALUE"""),"إنديجو مون سالمون مع زيت جوز الهند باتيه 85 جم")</f>
        <v>إنديجو مون سالمون مع زيت جوز الهند باتيه 85 جم</v>
      </c>
      <c r="H1958" s="133" t="str">
        <f>IFERROR(__xludf.DUMMYFUNCTION("""COMPUTED_VALUE"""),"FOM-2024-6220-FEB-2024-58709 -C-0041-79517
")</f>
        <v>FOM-2024-6220-FEB-2024-58709 -C-0041-79517
</v>
      </c>
      <c r="I1958" s="133"/>
      <c r="J1958" s="133"/>
      <c r="K1958" s="133" t="str">
        <f>IFERROR(__xludf.DUMMYFUNCTION("""COMPUTED_VALUE"""),"شركة سونجكلا كانينج العامة المحدودة")</f>
        <v>شركة سونجكلا كانينج العامة المحدودة</v>
      </c>
      <c r="L1958" s="133"/>
      <c r="M1958" s="133" t="str">
        <f>IFERROR(__xludf.DUMMYFUNCTION("""COMPUTED_VALUE"""),"30-6-2029")</f>
        <v>30-6-2029</v>
      </c>
      <c r="N1958" s="133"/>
      <c r="O1958" s="133"/>
      <c r="P1958" s="133"/>
      <c r="Q1958" s="133"/>
      <c r="R1958" s="133"/>
      <c r="S1958" s="133"/>
      <c r="T1958" s="133"/>
      <c r="U1958" s="133"/>
      <c r="V1958" s="133"/>
      <c r="W1958" s="133"/>
      <c r="X1958" s="133"/>
      <c r="Y1958" s="133"/>
      <c r="Z1958" s="133"/>
    </row>
    <row r="1959">
      <c r="A1959" s="133"/>
      <c r="B1959" s="133"/>
      <c r="C1959" s="133" t="str">
        <f>IFERROR(__xludf.DUMMYFUNCTION("""COMPUTED_VALUE"""),"P-1-N-100624-3546")</f>
        <v>P-1-N-100624-3546</v>
      </c>
      <c r="D1959" s="133"/>
      <c r="E1959" s="133" t="str">
        <f>IFERROR(__xludf.DUMMYFUNCTION("""COMPUTED_VALUE"""),"مكتمل")</f>
        <v>مكتمل</v>
      </c>
      <c r="F1959" s="133" t="str">
        <f>IFERROR(__xludf.DUMMYFUNCTION("""COMPUTED_VALUE"""),"Indigo Moon Sardine &amp; Tuna Recipe in Gravy 85g")</f>
        <v>Indigo Moon Sardine &amp; Tuna Recipe in Gravy 85g</v>
      </c>
      <c r="G1959" s="133" t="str">
        <f>IFERROR(__xludf.DUMMYFUNCTION("""COMPUTED_VALUE"""),"إنديجو مون وصفة السردين والتونة في المرق 85 جم")</f>
        <v>إنديجو مون وصفة السردين والتونة في المرق 85 جم</v>
      </c>
      <c r="H1959" s="133" t="str">
        <f>IFERROR(__xludf.DUMMYFUNCTION("""COMPUTED_VALUE"""),"FOM-2024-6220-FEB-2024-58710 -C-0041-79518
")</f>
        <v>FOM-2024-6220-FEB-2024-58710 -C-0041-79518
</v>
      </c>
      <c r="I1959" s="133"/>
      <c r="J1959" s="133"/>
      <c r="K1959" s="133" t="str">
        <f>IFERROR(__xludf.DUMMYFUNCTION("""COMPUTED_VALUE"""),"شركة سونجكلا كانينج العامة المحدودة")</f>
        <v>شركة سونجكلا كانينج العامة المحدودة</v>
      </c>
      <c r="L1959" s="133"/>
      <c r="M1959" s="133" t="str">
        <f>IFERROR(__xludf.DUMMYFUNCTION("""COMPUTED_VALUE"""),"30-6-2029")</f>
        <v>30-6-2029</v>
      </c>
      <c r="N1959" s="133"/>
      <c r="O1959" s="133"/>
      <c r="P1959" s="133"/>
      <c r="Q1959" s="133"/>
      <c r="R1959" s="133"/>
      <c r="S1959" s="133"/>
      <c r="T1959" s="133"/>
      <c r="U1959" s="133"/>
      <c r="V1959" s="133"/>
      <c r="W1959" s="133"/>
      <c r="X1959" s="133"/>
      <c r="Y1959" s="133"/>
      <c r="Z1959" s="133"/>
    </row>
    <row r="1960">
      <c r="A1960" s="133"/>
      <c r="B1960" s="133"/>
      <c r="C1960" s="133" t="str">
        <f>IFERROR(__xludf.DUMMYFUNCTION("""COMPUTED_VALUE"""),"P-1-N-100624-3547")</f>
        <v>P-1-N-100624-3547</v>
      </c>
      <c r="D1960" s="133"/>
      <c r="E1960" s="133" t="str">
        <f>IFERROR(__xludf.DUMMYFUNCTION("""COMPUTED_VALUE"""),"مكتمل")</f>
        <v>مكتمل</v>
      </c>
      <c r="F1960" s="133" t="str">
        <f>IFERROR(__xludf.DUMMYFUNCTION("""COMPUTED_VALUE"""),"Indigo Moon with Tuna &amp; Shrimp in Gravy 85g")</f>
        <v>Indigo Moon with Tuna &amp; Shrimp in Gravy 85g</v>
      </c>
      <c r="G1960" s="133" t="str">
        <f>IFERROR(__xludf.DUMMYFUNCTION("""COMPUTED_VALUE"""),"إنديجو مون مع التونا والروبيان في المرق 85 جم")</f>
        <v>إنديجو مون مع التونا والروبيان في المرق 85 جم</v>
      </c>
      <c r="H1960" s="133" t="str">
        <f>IFERROR(__xludf.DUMMYFUNCTION("""COMPUTED_VALUE"""),"FOM-2024-6220-FEB-2024-58711 -C-0041-79519
")</f>
        <v>FOM-2024-6220-FEB-2024-58711 -C-0041-79519
</v>
      </c>
      <c r="I1960" s="133"/>
      <c r="J1960" s="133"/>
      <c r="K1960" s="133" t="str">
        <f>IFERROR(__xludf.DUMMYFUNCTION("""COMPUTED_VALUE"""),"شركة سونجكلا كانينج العامة المحدودة")</f>
        <v>شركة سونجكلا كانينج العامة المحدودة</v>
      </c>
      <c r="L1960" s="133"/>
      <c r="M1960" s="133" t="str">
        <f>IFERROR(__xludf.DUMMYFUNCTION("""COMPUTED_VALUE"""),"30-6-2029")</f>
        <v>30-6-2029</v>
      </c>
      <c r="N1960" s="133"/>
      <c r="O1960" s="133"/>
      <c r="P1960" s="133"/>
      <c r="Q1960" s="133"/>
      <c r="R1960" s="133"/>
      <c r="S1960" s="133"/>
      <c r="T1960" s="133"/>
      <c r="U1960" s="133"/>
      <c r="V1960" s="133"/>
      <c r="W1960" s="133"/>
      <c r="X1960" s="133"/>
      <c r="Y1960" s="133"/>
      <c r="Z1960" s="133"/>
    </row>
    <row r="1961">
      <c r="A1961" s="133"/>
      <c r="B1961" s="133"/>
      <c r="C1961" s="133" t="str">
        <f>IFERROR(__xludf.DUMMYFUNCTION("""COMPUTED_VALUE"""),"P-1-N-100624-3549	")</f>
        <v>P-1-N-100624-3549	</v>
      </c>
      <c r="D1961" s="133"/>
      <c r="E1961" s="133" t="str">
        <f>IFERROR(__xludf.DUMMYFUNCTION("""COMPUTED_VALUE"""),"مكتمل")</f>
        <v>مكتمل</v>
      </c>
      <c r="F1961" s="133" t="str">
        <f>IFERROR(__xludf.DUMMYFUNCTION("""COMPUTED_VALUE"""),"Indigo Moon with Tuna &amp; Shrimp in Gravy 85g")</f>
        <v>Indigo Moon with Tuna &amp; Shrimp in Gravy 85g</v>
      </c>
      <c r="G1961" s="133" t="str">
        <f>IFERROR(__xludf.DUMMYFUNCTION("""COMPUTED_VALUE"""),"إنديجو مون مع التونا والروبيان في المرق 85 جم")</f>
        <v>إنديجو مون مع التونا والروبيان في المرق 85 جم</v>
      </c>
      <c r="H1961" s="133" t="str">
        <f>IFERROR(__xludf.DUMMYFUNCTION("""COMPUTED_VALUE"""),"FOM-2024-6230-FEB-2024-59713 -C-0041-80521
")</f>
        <v>FOM-2024-6230-FEB-2024-59713 -C-0041-80521
</v>
      </c>
      <c r="I1961" s="133"/>
      <c r="J1961" s="133"/>
      <c r="K1961" s="133" t="str">
        <f>IFERROR(__xludf.DUMMYFUNCTION("""COMPUTED_VALUE"""),"شركة سونجكلا كانينج العامة المحدودة")</f>
        <v>شركة سونجكلا كانينج العامة المحدودة</v>
      </c>
      <c r="L1961" s="133"/>
      <c r="M1961" s="133" t="str">
        <f>IFERROR(__xludf.DUMMYFUNCTION("""COMPUTED_VALUE"""),"30-6-2029")</f>
        <v>30-6-2029</v>
      </c>
      <c r="N1961" s="133"/>
      <c r="O1961" s="133"/>
      <c r="P1961" s="133"/>
      <c r="Q1961" s="133"/>
      <c r="R1961" s="133"/>
      <c r="S1961" s="133"/>
      <c r="T1961" s="133"/>
      <c r="U1961" s="133"/>
      <c r="V1961" s="133"/>
      <c r="W1961" s="133"/>
      <c r="X1961" s="133"/>
      <c r="Y1961" s="133"/>
      <c r="Z1961" s="133"/>
    </row>
    <row r="1962">
      <c r="A1962" s="133"/>
      <c r="B1962" s="133"/>
      <c r="C1962" s="133" t="str">
        <f>IFERROR(__xludf.DUMMYFUNCTION("""COMPUTED_VALUE"""),"P-1-N-100624-3550        ")</f>
        <v>P-1-N-100624-3550        </v>
      </c>
      <c r="D1962" s="133"/>
      <c r="E1962" s="133" t="str">
        <f>IFERROR(__xludf.DUMMYFUNCTION("""COMPUTED_VALUE"""),"مكتمل")</f>
        <v>مكتمل</v>
      </c>
      <c r="F1962" s="133" t="str">
        <f>IFERROR(__xludf.DUMMYFUNCTION("""COMPUTED_VALUE"""),"Indigo Moon Sardine &amp; Tuna Recipe in Gravy 85g
")</f>
        <v>Indigo Moon Sardine &amp; Tuna Recipe in Gravy 85g
</v>
      </c>
      <c r="G1962" s="133" t="str">
        <f>IFERROR(__xludf.DUMMYFUNCTION("""COMPUTED_VALUE"""),"إنديجو مون وصفة السردين والتونة في المرق 85 جم")</f>
        <v>إنديجو مون وصفة السردين والتونة في المرق 85 جم</v>
      </c>
      <c r="H1962" s="133" t="str">
        <f>IFERROR(__xludf.DUMMYFUNCTION("""COMPUTED_VALUE"""),"FOM-2024-6230-FEB-2024-59714 -C-0041-80522
")</f>
        <v>FOM-2024-6230-FEB-2024-59714 -C-0041-80522
</v>
      </c>
      <c r="I1962" s="133"/>
      <c r="J1962" s="133"/>
      <c r="K1962" s="133" t="str">
        <f>IFERROR(__xludf.DUMMYFUNCTION("""COMPUTED_VALUE"""),"شركة سونجكلا كانينج العامة المحدودة")</f>
        <v>شركة سونجكلا كانينج العامة المحدودة</v>
      </c>
      <c r="L1962" s="133"/>
      <c r="M1962" s="133" t="str">
        <f>IFERROR(__xludf.DUMMYFUNCTION("""COMPUTED_VALUE"""),"30-6-2029")</f>
        <v>30-6-2029</v>
      </c>
      <c r="N1962" s="133"/>
      <c r="O1962" s="133"/>
      <c r="P1962" s="133"/>
      <c r="Q1962" s="133"/>
      <c r="R1962" s="133"/>
      <c r="S1962" s="133"/>
      <c r="T1962" s="133"/>
      <c r="U1962" s="133"/>
      <c r="V1962" s="133"/>
      <c r="W1962" s="133"/>
      <c r="X1962" s="133"/>
      <c r="Y1962" s="133"/>
      <c r="Z1962" s="133"/>
    </row>
    <row r="1963">
      <c r="A1963" s="133"/>
      <c r="B1963" s="133"/>
      <c r="C1963" s="133" t="str">
        <f>IFERROR(__xludf.DUMMYFUNCTION("""COMPUTED_VALUE"""),"P-1-N-100624-3551	")</f>
        <v>P-1-N-100624-3551	</v>
      </c>
      <c r="D1963" s="133"/>
      <c r="E1963" s="133" t="str">
        <f>IFERROR(__xludf.DUMMYFUNCTION("""COMPUTED_VALUE"""),"مكتمل")</f>
        <v>مكتمل</v>
      </c>
      <c r="F1963" s="133" t="str">
        <f>IFERROR(__xludf.DUMMYFUNCTION("""COMPUTED_VALUE"""),"Indigo Moon Blended Tuna Recipe in Gravy 85g
")</f>
        <v>Indigo Moon Blended Tuna Recipe in Gravy 85g
</v>
      </c>
      <c r="G1963" s="133" t="str">
        <f>IFERROR(__xludf.DUMMYFUNCTION("""COMPUTED_VALUE"""),"إنديجو مون وصفة التونة المخلوطة في المرق 85 جم")</f>
        <v>إنديجو مون وصفة التونة المخلوطة في المرق 85 جم</v>
      </c>
      <c r="H1963" s="133" t="str">
        <f>IFERROR(__xludf.DUMMYFUNCTION("""COMPUTED_VALUE"""),"FOM-2024-6230-FEB-2024-59715 -C-0041-80523
")</f>
        <v>FOM-2024-6230-FEB-2024-59715 -C-0041-80523
</v>
      </c>
      <c r="I1963" s="133"/>
      <c r="J1963" s="133"/>
      <c r="K1963" s="133" t="str">
        <f>IFERROR(__xludf.DUMMYFUNCTION("""COMPUTED_VALUE"""),"شركة سونجكلا كانينج العامة المحدودة")</f>
        <v>شركة سونجكلا كانينج العامة المحدودة</v>
      </c>
      <c r="L1963" s="133"/>
      <c r="M1963" s="133" t="str">
        <f>IFERROR(__xludf.DUMMYFUNCTION("""COMPUTED_VALUE"""),"30-6-2029")</f>
        <v>30-6-2029</v>
      </c>
      <c r="N1963" s="133"/>
      <c r="O1963" s="133"/>
      <c r="P1963" s="133"/>
      <c r="Q1963" s="133"/>
      <c r="R1963" s="133"/>
      <c r="S1963" s="133"/>
      <c r="T1963" s="133"/>
      <c r="U1963" s="133"/>
      <c r="V1963" s="133"/>
      <c r="W1963" s="133"/>
      <c r="X1963" s="133"/>
      <c r="Y1963" s="133"/>
      <c r="Z1963" s="133"/>
    </row>
    <row r="1964">
      <c r="A1964" s="133"/>
      <c r="B1964" s="133"/>
      <c r="C1964" s="133" t="str">
        <f>IFERROR(__xludf.DUMMYFUNCTION("""COMPUTED_VALUE"""),"P-1-N-100624-3552	")</f>
        <v>P-1-N-100624-3552	</v>
      </c>
      <c r="D1964" s="133"/>
      <c r="E1964" s="133" t="str">
        <f>IFERROR(__xludf.DUMMYFUNCTION("""COMPUTED_VALUE"""),"مكتمل")</f>
        <v>مكتمل</v>
      </c>
      <c r="F1964" s="133" t="str">
        <f>IFERROR(__xludf.DUMMYFUNCTION("""COMPUTED_VALUE"""),"Indigo Moon Mackerel &amp; Tuna Recipe in Gravy 85g
")</f>
        <v>Indigo Moon Mackerel &amp; Tuna Recipe in Gravy 85g
</v>
      </c>
      <c r="G1964" s="133" t="str">
        <f>IFERROR(__xludf.DUMMYFUNCTION("""COMPUTED_VALUE"""),"إنديجو مون وصفة الماكريل والتونة في المرق 85 جم
")</f>
        <v>إنديجو مون وصفة الماكريل والتونة في المرق 85 جم
</v>
      </c>
      <c r="H1964" s="133" t="str">
        <f>IFERROR(__xludf.DUMMYFUNCTION("""COMPUTED_VALUE"""),"FOM-2024-6230-FEB-2024-59716 -C-0041-80524
")</f>
        <v>FOM-2024-6230-FEB-2024-59716 -C-0041-80524
</v>
      </c>
      <c r="I1964" s="133"/>
      <c r="J1964" s="133"/>
      <c r="K1964" s="133" t="str">
        <f>IFERROR(__xludf.DUMMYFUNCTION("""COMPUTED_VALUE"""),"شركة سونجكلا كانينج العامة المحدودة")</f>
        <v>شركة سونجكلا كانينج العامة المحدودة</v>
      </c>
      <c r="L1964" s="133"/>
      <c r="M1964" s="133" t="str">
        <f>IFERROR(__xludf.DUMMYFUNCTION("""COMPUTED_VALUE"""),"30-6-2029")</f>
        <v>30-6-2029</v>
      </c>
      <c r="N1964" s="133"/>
      <c r="O1964" s="133"/>
      <c r="P1964" s="133"/>
      <c r="Q1964" s="133"/>
      <c r="R1964" s="133"/>
      <c r="S1964" s="133"/>
      <c r="T1964" s="133"/>
      <c r="U1964" s="133"/>
      <c r="V1964" s="133"/>
      <c r="W1964" s="133"/>
      <c r="X1964" s="133"/>
      <c r="Y1964" s="133"/>
      <c r="Z1964" s="133"/>
    </row>
    <row r="1965">
      <c r="A1965" s="133"/>
      <c r="B1965" s="133"/>
      <c r="C1965" s="133" t="str">
        <f>IFERROR(__xludf.DUMMYFUNCTION("""COMPUTED_VALUE"""),"P-1-N-240624-3738")</f>
        <v>P-1-N-240624-3738</v>
      </c>
      <c r="D1965" s="133"/>
      <c r="E1965" s="133" t="str">
        <f>IFERROR(__xludf.DUMMYFUNCTION("""COMPUTED_VALUE"""),"تمت طباعة الشهادة ")</f>
        <v>تمت طباعة الشهادة </v>
      </c>
      <c r="F1965" s="133" t="str">
        <f>IFERROR(__xludf.DUMMYFUNCTION("""COMPUTED_VALUE"""),"Kit Cat Kitten Milk Replacer 200g")</f>
        <v>Kit Cat Kitten Milk Replacer 200g</v>
      </c>
      <c r="G1965" s="133" t="str">
        <f>IFERROR(__xludf.DUMMYFUNCTION("""COMPUTED_VALUE"""),"كيت كات كتن ميلك ربليسر 200 جم")</f>
        <v>كيت كات كتن ميلك ربليسر 200 جم</v>
      </c>
      <c r="H1965" s="133" t="str">
        <f>IFERROR(__xludf.DUMMYFUNCTION("""COMPUTED_VALUE"""),"FOM-2024-5665-FEB-2024-59805 -C-0041-80613")</f>
        <v>FOM-2024-5665-FEB-2024-59805 -C-0041-80613</v>
      </c>
      <c r="I1965" s="133"/>
      <c r="J1965" s="133"/>
      <c r="K1965" s="133" t="str">
        <f>IFERROR(__xludf.DUMMYFUNCTION("""COMPUTED_VALUE"""),"كت كات انترناشونال بي تي إي ليمتيد")</f>
        <v>كت كات انترناشونال بي تي إي ليمتيد</v>
      </c>
      <c r="L1965" s="133"/>
      <c r="M1965" s="133"/>
      <c r="N1965" s="133"/>
      <c r="O1965" s="133"/>
      <c r="P1965" s="133"/>
      <c r="Q1965" s="133"/>
      <c r="R1965" s="133"/>
      <c r="S1965" s="133"/>
      <c r="T1965" s="133"/>
      <c r="U1965" s="133"/>
      <c r="V1965" s="133"/>
      <c r="W1965" s="133"/>
      <c r="X1965" s="133"/>
      <c r="Y1965" s="133"/>
      <c r="Z1965" s="133"/>
    </row>
    <row r="1966">
      <c r="A1966" s="133"/>
      <c r="B1966" s="133"/>
      <c r="C1966" s="133" t="str">
        <f>IFERROR(__xludf.DUMMYFUNCTION("""COMPUTED_VALUE"""),"P-1-N-300624-3923")</f>
        <v>P-1-N-300624-3923</v>
      </c>
      <c r="D1966" s="133"/>
      <c r="E1966" s="133" t="str">
        <f>IFERROR(__xludf.DUMMYFUNCTION("""COMPUTED_VALUE"""),"مرفوض")</f>
        <v>مرفوض</v>
      </c>
      <c r="F1966" s="133" t="str">
        <f>IFERROR(__xludf.DUMMYFUNCTION("""COMPUTED_VALUE"""),"VitaliDog 75g
")</f>
        <v>VitaliDog 75g
</v>
      </c>
      <c r="G1966" s="133" t="str">
        <f>IFERROR(__xludf.DUMMYFUNCTION("""COMPUTED_VALUE"""),"فيتالي دوج 75 جم
")</f>
        <v>فيتالي دوج 75 جم
</v>
      </c>
      <c r="H1966" s="133"/>
      <c r="I1966" s="133"/>
      <c r="J1966" s="133"/>
      <c r="K1966" s="133" t="str">
        <f>IFERROR(__xludf.DUMMYFUNCTION("""COMPUTED_VALUE"""),"مار كيميا فيت المحدودة")</f>
        <v>مار كيميا فيت المحدودة</v>
      </c>
      <c r="L1966" s="133"/>
      <c r="M1966" s="133"/>
      <c r="N1966" s="133"/>
      <c r="O1966" s="133"/>
      <c r="P1966" s="133"/>
      <c r="Q1966" s="133"/>
      <c r="R1966" s="133"/>
      <c r="S1966" s="133"/>
      <c r="T1966" s="133"/>
      <c r="U1966" s="133"/>
      <c r="V1966" s="133"/>
      <c r="W1966" s="133"/>
      <c r="X1966" s="133"/>
      <c r="Y1966" s="133"/>
      <c r="Z1966" s="133"/>
    </row>
    <row r="1967">
      <c r="A1967" s="133"/>
      <c r="B1967" s="133"/>
      <c r="C1967" s="133" t="str">
        <f>IFERROR(__xludf.DUMMYFUNCTION("""COMPUTED_VALUE"""),"P-1-N-100724-4272")</f>
        <v>P-1-N-100724-4272</v>
      </c>
      <c r="D1967" s="133"/>
      <c r="E1967" s="133" t="str">
        <f>IFERROR(__xludf.DUMMYFUNCTION("""COMPUTED_VALUE"""),"مكتمل")</f>
        <v>مكتمل</v>
      </c>
      <c r="F1967" s="133" t="str">
        <f>IFERROR(__xludf.DUMMYFUNCTION("""COMPUTED_VALUE"""),"FORZA10 PUPPY MONODIET FISH 1.5kg")</f>
        <v>FORZA10 PUPPY MONODIET FISH 1.5kg</v>
      </c>
      <c r="G1967" s="133" t="str">
        <f>IFERROR(__xludf.DUMMYFUNCTION("""COMPUTED_VALUE"""),"فورزا 10 مونودايت للجراء بالسمك 1.5 كغ
")</f>
        <v>فورزا 10 مونودايت للجراء بالسمك 1.5 كغ
</v>
      </c>
      <c r="H1967" s="133" t="str">
        <f>IFERROR(__xludf.DUMMYFUNCTION("""COMPUTED_VALUE"""),"FOM-2024-5415-FEB-2024-59178 -C-0041-79986
")</f>
        <v>FOM-2024-5415-FEB-2024-59178 -C-0041-79986
</v>
      </c>
      <c r="I1967" s="133"/>
      <c r="J1967" s="133"/>
      <c r="K1967" s="133" t="str">
        <f>IFERROR(__xludf.DUMMYFUNCTION("""COMPUTED_VALUE"""),"شركة سانيبيت	")</f>
        <v>شركة سانيبيت	</v>
      </c>
      <c r="L1967" s="133"/>
      <c r="M1967" s="133" t="str">
        <f>IFERROR(__xludf.DUMMYFUNCTION("""COMPUTED_VALUE"""),"30-7-2029")</f>
        <v>30-7-2029</v>
      </c>
      <c r="N1967" s="133"/>
      <c r="O1967" s="133"/>
      <c r="P1967" s="133"/>
      <c r="Q1967" s="133"/>
      <c r="R1967" s="133"/>
      <c r="S1967" s="133"/>
      <c r="T1967" s="133"/>
      <c r="U1967" s="133"/>
      <c r="V1967" s="133"/>
      <c r="W1967" s="133"/>
      <c r="X1967" s="133"/>
      <c r="Y1967" s="133"/>
      <c r="Z1967" s="133"/>
    </row>
    <row r="1968">
      <c r="A1968" s="133"/>
      <c r="B1968" s="133"/>
      <c r="C1968" s="133" t="str">
        <f>IFERROR(__xludf.DUMMYFUNCTION("""COMPUTED_VALUE"""),"P-1-N-100724-4273")</f>
        <v>P-1-N-100724-4273</v>
      </c>
      <c r="D1968" s="133"/>
      <c r="E1968" s="133" t="str">
        <f>IFERROR(__xludf.DUMMYFUNCTION("""COMPUTED_VALUE"""),"مكتمل")</f>
        <v>مكتمل</v>
      </c>
      <c r="F1968" s="133" t="str">
        <f>IFERROR(__xludf.DUMMYFUNCTION("""COMPUTED_VALUE"""),"FORZA10 CUT MONODIET FISH 1.5kg")</f>
        <v>FORZA10 CUT MONODIET FISH 1.5kg</v>
      </c>
      <c r="G1968" s="133" t="str">
        <f>IFERROR(__xludf.DUMMYFUNCTION("""COMPUTED_VALUE"""),"فورزا 10 مونودايت للقطط بالسمك 1.5 كغ
")</f>
        <v>فورزا 10 مونودايت للقطط بالسمك 1.5 كغ
</v>
      </c>
      <c r="H1968" s="133" t="str">
        <f>IFERROR(__xludf.DUMMYFUNCTION("""COMPUTED_VALUE"""),"FOM-2024-5415-FEB-2024-59177 -C-0041-79985
")</f>
        <v>FOM-2024-5415-FEB-2024-59177 -C-0041-79985
</v>
      </c>
      <c r="I1968" s="133"/>
      <c r="J1968" s="133"/>
      <c r="K1968" s="133" t="str">
        <f>IFERROR(__xludf.DUMMYFUNCTION("""COMPUTED_VALUE"""),"شركة سانيبيت	")</f>
        <v>شركة سانيبيت	</v>
      </c>
      <c r="L1968" s="133"/>
      <c r="M1968" s="133" t="str">
        <f>IFERROR(__xludf.DUMMYFUNCTION("""COMPUTED_VALUE"""),"30-7-2029")</f>
        <v>30-7-2029</v>
      </c>
      <c r="N1968" s="133"/>
      <c r="O1968" s="133"/>
      <c r="P1968" s="133"/>
      <c r="Q1968" s="133"/>
      <c r="R1968" s="133"/>
      <c r="S1968" s="133"/>
      <c r="T1968" s="133"/>
      <c r="U1968" s="133"/>
      <c r="V1968" s="133"/>
      <c r="W1968" s="133"/>
      <c r="X1968" s="133"/>
      <c r="Y1968" s="133"/>
      <c r="Z1968" s="133"/>
    </row>
    <row r="1969">
      <c r="A1969" s="133"/>
      <c r="B1969" s="133"/>
      <c r="C1969" s="133" t="str">
        <f>IFERROR(__xludf.DUMMYFUNCTION("""COMPUTED_VALUE"""),"P-1-N-180724-4487")</f>
        <v>P-1-N-180724-4487</v>
      </c>
      <c r="D1969" s="133"/>
      <c r="E1969" s="133" t="str">
        <f>IFERROR(__xludf.DUMMYFUNCTION("""COMPUTED_VALUE"""),"مكتمل")</f>
        <v>مكتمل</v>
      </c>
      <c r="F1969" s="133" t="str">
        <f>IFERROR(__xludf.DUMMYFUNCTION("""COMPUTED_VALUE"""),"Dr.Clauder's Tuna mousse with spinach flavor 90g")</f>
        <v>Dr.Clauder's Tuna mousse with spinach flavor 90g</v>
      </c>
      <c r="G1969" s="133" t="str">
        <f>IFERROR(__xludf.DUMMYFUNCTION("""COMPUTED_VALUE"""),"دكتور كلاودر كريمة التونة بنكهة السبانخ 90 جم")</f>
        <v>دكتور كلاودر كريمة التونة بنكهة السبانخ 90 جم</v>
      </c>
      <c r="H1969" s="133" t="str">
        <f>IFERROR(__xludf.DUMMYFUNCTION("""COMPUTED_VALUE"""),"FOM-2024-6257-FEB-2024-59799 -C-0041-80607
")</f>
        <v>FOM-2024-6257-FEB-2024-59799 -C-0041-80607
</v>
      </c>
      <c r="I1969" s="133"/>
      <c r="J1969" s="133"/>
      <c r="K1969" s="133" t="str">
        <f>IFERROR(__xludf.DUMMYFUNCTION("""COMPUTED_VALUE"""),"مؤسسة اي تيل المحدودة")</f>
        <v>مؤسسة اي تيل المحدودة</v>
      </c>
      <c r="L1969" s="133"/>
      <c r="M1969" s="145">
        <f>IFERROR(__xludf.DUMMYFUNCTION("""COMPUTED_VALUE"""),47307.0)</f>
        <v>47307</v>
      </c>
      <c r="N1969" s="133"/>
      <c r="O1969" s="133"/>
      <c r="P1969" s="133"/>
      <c r="Q1969" s="133"/>
      <c r="R1969" s="133"/>
      <c r="S1969" s="133"/>
      <c r="T1969" s="133"/>
      <c r="U1969" s="133"/>
      <c r="V1969" s="133"/>
      <c r="W1969" s="133"/>
      <c r="X1969" s="133"/>
      <c r="Y1969" s="133"/>
      <c r="Z1969" s="133"/>
    </row>
    <row r="1970">
      <c r="A1970" s="133"/>
      <c r="B1970" s="133"/>
      <c r="C1970" s="133" t="str">
        <f>IFERROR(__xludf.DUMMYFUNCTION("""COMPUTED_VALUE"""),"P-1-N-180724-4488")</f>
        <v>P-1-N-180724-4488</v>
      </c>
      <c r="D1970" s="133"/>
      <c r="E1970" s="133" t="str">
        <f>IFERROR(__xludf.DUMMYFUNCTION("""COMPUTED_VALUE"""),"مكتمل")</f>
        <v>مكتمل</v>
      </c>
      <c r="F1970" s="133" t="str">
        <f>IFERROR(__xludf.DUMMYFUNCTION("""COMPUTED_VALUE"""),"Dr.Clauder's Chicken breast in broth (For kitten) 70g")</f>
        <v>Dr.Clauder's Chicken breast in broth (For kitten) 70g</v>
      </c>
      <c r="G1970" s="133" t="str">
        <f>IFERROR(__xludf.DUMMYFUNCTION("""COMPUTED_VALUE"""),"دكتور كلاودر صدر الدجاج في المرق للقطط الصغيرة 70 جم")</f>
        <v>دكتور كلاودر صدر الدجاج في المرق للقطط الصغيرة 70 جم</v>
      </c>
      <c r="H1970" s="133" t="str">
        <f>IFERROR(__xludf.DUMMYFUNCTION("""COMPUTED_VALUE"""),"FOM-2024-6257-FEB-2024-59790 -C-0041-80598
")</f>
        <v>FOM-2024-6257-FEB-2024-59790 -C-0041-80598
</v>
      </c>
      <c r="I1970" s="133"/>
      <c r="J1970" s="133"/>
      <c r="K1970" s="133" t="str">
        <f>IFERROR(__xludf.DUMMYFUNCTION("""COMPUTED_VALUE"""),"مؤسسة اي تيل المحدودة")</f>
        <v>مؤسسة اي تيل المحدودة</v>
      </c>
      <c r="L1970" s="133"/>
      <c r="M1970" s="145">
        <f>IFERROR(__xludf.DUMMYFUNCTION("""COMPUTED_VALUE"""),47307.0)</f>
        <v>47307</v>
      </c>
      <c r="N1970" s="133"/>
      <c r="O1970" s="133"/>
      <c r="P1970" s="133"/>
      <c r="Q1970" s="133"/>
      <c r="R1970" s="133"/>
      <c r="S1970" s="133"/>
      <c r="T1970" s="133"/>
      <c r="U1970" s="133"/>
      <c r="V1970" s="133"/>
      <c r="W1970" s="133"/>
      <c r="X1970" s="133"/>
      <c r="Y1970" s="133"/>
      <c r="Z1970" s="133"/>
    </row>
    <row r="1971">
      <c r="A1971" s="133"/>
      <c r="B1971" s="133"/>
      <c r="C1971" s="133" t="str">
        <f>IFERROR(__xludf.DUMMYFUNCTION("""COMPUTED_VALUE"""),"P-1-N-180724-4489")</f>
        <v>P-1-N-180724-4489</v>
      </c>
      <c r="D1971" s="133"/>
      <c r="E1971" s="133" t="str">
        <f>IFERROR(__xludf.DUMMYFUNCTION("""COMPUTED_VALUE"""),"مكتمل")</f>
        <v>مكتمل</v>
      </c>
      <c r="F1971" s="133" t="str">
        <f>IFERROR(__xludf.DUMMYFUNCTION("""COMPUTED_VALUE"""),"Dr.Clauder's Tuna in broth (For kitten) 70g")</f>
        <v>Dr.Clauder's Tuna in broth (For kitten) 70g</v>
      </c>
      <c r="G1971" s="133" t="str">
        <f>IFERROR(__xludf.DUMMYFUNCTION("""COMPUTED_VALUE"""),"دكتور كلاودر تونة في المرق للقطط الصغيرة 70 جم")</f>
        <v>دكتور كلاودر تونة في المرق للقطط الصغيرة 70 جم</v>
      </c>
      <c r="H1971" s="133" t="str">
        <f>IFERROR(__xludf.DUMMYFUNCTION("""COMPUTED_VALUE"""),"FOM-2024-6257-FEB-2024-59791 -C-0041-80599
")</f>
        <v>FOM-2024-6257-FEB-2024-59791 -C-0041-80599
</v>
      </c>
      <c r="I1971" s="133"/>
      <c r="J1971" s="133"/>
      <c r="K1971" s="133" t="str">
        <f>IFERROR(__xludf.DUMMYFUNCTION("""COMPUTED_VALUE"""),"مؤسسة اي تيل المحدودة")</f>
        <v>مؤسسة اي تيل المحدودة</v>
      </c>
      <c r="L1971" s="133"/>
      <c r="M1971" s="145">
        <f>IFERROR(__xludf.DUMMYFUNCTION("""COMPUTED_VALUE"""),47307.0)</f>
        <v>47307</v>
      </c>
      <c r="N1971" s="133"/>
      <c r="O1971" s="133"/>
      <c r="P1971" s="133"/>
      <c r="Q1971" s="133"/>
      <c r="R1971" s="133"/>
      <c r="S1971" s="133"/>
      <c r="T1971" s="133"/>
      <c r="U1971" s="133"/>
      <c r="V1971" s="133"/>
      <c r="W1971" s="133"/>
      <c r="X1971" s="133"/>
      <c r="Y1971" s="133"/>
      <c r="Z1971" s="133"/>
    </row>
    <row r="1972">
      <c r="A1972" s="133"/>
      <c r="B1972" s="133"/>
      <c r="C1972" s="133" t="str">
        <f>IFERROR(__xludf.DUMMYFUNCTION("""COMPUTED_VALUE"""),"P-1-N-180724-4490")</f>
        <v>P-1-N-180724-4490</v>
      </c>
      <c r="D1972" s="133"/>
      <c r="E1972" s="133" t="str">
        <f>IFERROR(__xludf.DUMMYFUNCTION("""COMPUTED_VALUE"""),"مكتمل")</f>
        <v>مكتمل</v>
      </c>
      <c r="F1972" s="133" t="str">
        <f>IFERROR(__xludf.DUMMYFUNCTION("""COMPUTED_VALUE"""),"Dr.Clauder's Chicken breast with shrimp in broth 70g")</f>
        <v>Dr.Clauder's Chicken breast with shrimp in broth 70g</v>
      </c>
      <c r="G1972" s="133" t="str">
        <f>IFERROR(__xludf.DUMMYFUNCTION("""COMPUTED_VALUE"""),"دكتور كلاودر صدر الدجاج مع الربيان في المرق 70 جم")</f>
        <v>دكتور كلاودر صدر الدجاج مع الربيان في المرق 70 جم</v>
      </c>
      <c r="H1972" s="133" t="str">
        <f>IFERROR(__xludf.DUMMYFUNCTION("""COMPUTED_VALUE"""),"FOM-2024-6257-FEB-2024-59792 -C-0041-80600
")</f>
        <v>FOM-2024-6257-FEB-2024-59792 -C-0041-80600
</v>
      </c>
      <c r="I1972" s="133"/>
      <c r="J1972" s="133"/>
      <c r="K1972" s="133" t="str">
        <f>IFERROR(__xludf.DUMMYFUNCTION("""COMPUTED_VALUE"""),"مؤسسة اي تيل المحدودة")</f>
        <v>مؤسسة اي تيل المحدودة</v>
      </c>
      <c r="L1972" s="133"/>
      <c r="M1972" s="145">
        <f>IFERROR(__xludf.DUMMYFUNCTION("""COMPUTED_VALUE"""),47307.0)</f>
        <v>47307</v>
      </c>
      <c r="N1972" s="133"/>
      <c r="O1972" s="133"/>
      <c r="P1972" s="133"/>
      <c r="Q1972" s="133"/>
      <c r="R1972" s="133"/>
      <c r="S1972" s="133"/>
      <c r="T1972" s="133"/>
      <c r="U1972" s="133"/>
      <c r="V1972" s="133"/>
      <c r="W1972" s="133"/>
      <c r="X1972" s="133"/>
      <c r="Y1972" s="133"/>
      <c r="Z1972" s="133"/>
    </row>
    <row r="1973">
      <c r="A1973" s="133"/>
      <c r="B1973" s="133"/>
      <c r="C1973" s="133" t="str">
        <f>IFERROR(__xludf.DUMMYFUNCTION("""COMPUTED_VALUE"""),"P-1-N-180724-4491")</f>
        <v>P-1-N-180724-4491</v>
      </c>
      <c r="D1973" s="133"/>
      <c r="E1973" s="133" t="str">
        <f>IFERROR(__xludf.DUMMYFUNCTION("""COMPUTED_VALUE"""),"مكتمل")</f>
        <v>مكتمل</v>
      </c>
      <c r="F1973" s="133" t="str">
        <f>IFERROR(__xludf.DUMMYFUNCTION("""COMPUTED_VALUE"""),"Dr.Clauder's Chicken breast with salmon in broth 70g")</f>
        <v>Dr.Clauder's Chicken breast with salmon in broth 70g</v>
      </c>
      <c r="G1973" s="133" t="str">
        <f>IFERROR(__xludf.DUMMYFUNCTION("""COMPUTED_VALUE"""),"دكتور كلاودر صدر الدجاج مع السالمون في المرق 70 جم")</f>
        <v>دكتور كلاودر صدر الدجاج مع السالمون في المرق 70 جم</v>
      </c>
      <c r="H1973" s="133" t="str">
        <f>IFERROR(__xludf.DUMMYFUNCTION("""COMPUTED_VALUE"""),"FOM-2024-6257-FEB-2024-59793 -C-0041-80601
")</f>
        <v>FOM-2024-6257-FEB-2024-59793 -C-0041-80601
</v>
      </c>
      <c r="I1973" s="133"/>
      <c r="J1973" s="133"/>
      <c r="K1973" s="133" t="str">
        <f>IFERROR(__xludf.DUMMYFUNCTION("""COMPUTED_VALUE"""),"مؤسسة اي تيل المحدودة")</f>
        <v>مؤسسة اي تيل المحدودة</v>
      </c>
      <c r="L1973" s="133"/>
      <c r="M1973" s="145">
        <f>IFERROR(__xludf.DUMMYFUNCTION("""COMPUTED_VALUE"""),47460.0)</f>
        <v>47460</v>
      </c>
      <c r="N1973" s="133"/>
      <c r="O1973" s="133"/>
      <c r="P1973" s="133"/>
      <c r="Q1973" s="133"/>
      <c r="R1973" s="133"/>
      <c r="S1973" s="133"/>
      <c r="T1973" s="133"/>
      <c r="U1973" s="133"/>
      <c r="V1973" s="133"/>
      <c r="W1973" s="133"/>
      <c r="X1973" s="133"/>
      <c r="Y1973" s="133"/>
      <c r="Z1973" s="133"/>
    </row>
    <row r="1974">
      <c r="A1974" s="133"/>
      <c r="B1974" s="133"/>
      <c r="C1974" s="133" t="str">
        <f>IFERROR(__xludf.DUMMYFUNCTION("""COMPUTED_VALUE"""),"P-1-N-180724-4492")</f>
        <v>P-1-N-180724-4492</v>
      </c>
      <c r="D1974" s="133"/>
      <c r="E1974" s="133" t="str">
        <f>IFERROR(__xludf.DUMMYFUNCTION("""COMPUTED_VALUE"""),"مكتمل")</f>
        <v>مكتمل</v>
      </c>
      <c r="F1974" s="133" t="str">
        <f>IFERROR(__xludf.DUMMYFUNCTION("""COMPUTED_VALUE"""),"Dr.Clauder's Chicken breast with chicken liver in broth 70g")</f>
        <v>Dr.Clauder's Chicken breast with chicken liver in broth 70g</v>
      </c>
      <c r="G1974" s="133" t="str">
        <f>IFERROR(__xludf.DUMMYFUNCTION("""COMPUTED_VALUE"""),"دكتور كلاودر صدر الدجاج مع كبدة الدجاج في المرق 70 جم")</f>
        <v>دكتور كلاودر صدر الدجاج مع كبدة الدجاج في المرق 70 جم</v>
      </c>
      <c r="H1974" s="133" t="str">
        <f>IFERROR(__xludf.DUMMYFUNCTION("""COMPUTED_VALUE"""),"FOM-2024-6257-FEB-2024-59794 -C-0041-80602
")</f>
        <v>FOM-2024-6257-FEB-2024-59794 -C-0041-80602
</v>
      </c>
      <c r="I1974" s="133"/>
      <c r="J1974" s="133"/>
      <c r="K1974" s="133" t="str">
        <f>IFERROR(__xludf.DUMMYFUNCTION("""COMPUTED_VALUE"""),"مؤسسة اي تيل المحدودة")</f>
        <v>مؤسسة اي تيل المحدودة</v>
      </c>
      <c r="L1974" s="133"/>
      <c r="M1974" s="145">
        <f>IFERROR(__xludf.DUMMYFUNCTION("""COMPUTED_VALUE"""),47460.0)</f>
        <v>47460</v>
      </c>
      <c r="N1974" s="133"/>
      <c r="O1974" s="133"/>
      <c r="P1974" s="133"/>
      <c r="Q1974" s="133"/>
      <c r="R1974" s="133"/>
      <c r="S1974" s="133"/>
      <c r="T1974" s="133"/>
      <c r="U1974" s="133"/>
      <c r="V1974" s="133"/>
      <c r="W1974" s="133"/>
      <c r="X1974" s="133"/>
      <c r="Y1974" s="133"/>
      <c r="Z1974" s="133"/>
    </row>
    <row r="1975">
      <c r="A1975" s="133"/>
      <c r="B1975" s="133"/>
      <c r="C1975" s="133" t="str">
        <f>IFERROR(__xludf.DUMMYFUNCTION("""COMPUTED_VALUE"""),"P-1-N-180724-4493")</f>
        <v>P-1-N-180724-4493</v>
      </c>
      <c r="D1975" s="133"/>
      <c r="E1975" s="133" t="str">
        <f>IFERROR(__xludf.DUMMYFUNCTION("""COMPUTED_VALUE"""),"مكتمل")</f>
        <v>مكتمل</v>
      </c>
      <c r="F1975" s="133" t="str">
        <f>IFERROR(__xludf.DUMMYFUNCTION("""COMPUTED_VALUE"""),"Dr.Clauder's Tuna with shrimp in broth 70g")</f>
        <v>Dr.Clauder's Tuna with shrimp in broth 70g</v>
      </c>
      <c r="G1975" s="133" t="str">
        <f>IFERROR(__xludf.DUMMYFUNCTION("""COMPUTED_VALUE"""),"دكتور كلاودر تونة مع الربيان في المرق 70 جم")</f>
        <v>دكتور كلاودر تونة مع الربيان في المرق 70 جم</v>
      </c>
      <c r="H1975" s="133" t="str">
        <f>IFERROR(__xludf.DUMMYFUNCTION("""COMPUTED_VALUE"""),"FOM-2024-6257-FEB-2024-59795 -C-0041-80603
")</f>
        <v>FOM-2024-6257-FEB-2024-59795 -C-0041-80603
</v>
      </c>
      <c r="I1975" s="133"/>
      <c r="J1975" s="133"/>
      <c r="K1975" s="133" t="str">
        <f>IFERROR(__xludf.DUMMYFUNCTION("""COMPUTED_VALUE"""),"مؤسسة اي تيل المحدودة")</f>
        <v>مؤسسة اي تيل المحدودة</v>
      </c>
      <c r="L1975" s="133"/>
      <c r="M1975" s="145">
        <f>IFERROR(__xludf.DUMMYFUNCTION("""COMPUTED_VALUE"""),47460.0)</f>
        <v>47460</v>
      </c>
      <c r="N1975" s="133"/>
      <c r="O1975" s="133"/>
      <c r="P1975" s="133"/>
      <c r="Q1975" s="133"/>
      <c r="R1975" s="133"/>
      <c r="S1975" s="133"/>
      <c r="T1975" s="133"/>
      <c r="U1975" s="133"/>
      <c r="V1975" s="133"/>
      <c r="W1975" s="133"/>
      <c r="X1975" s="133"/>
      <c r="Y1975" s="133"/>
      <c r="Z1975" s="133"/>
    </row>
    <row r="1976">
      <c r="A1976" s="133"/>
      <c r="B1976" s="133"/>
      <c r="C1976" s="133" t="str">
        <f>IFERROR(__xludf.DUMMYFUNCTION("""COMPUTED_VALUE"""),"P-1-N-180724-4494")</f>
        <v>P-1-N-180724-4494</v>
      </c>
      <c r="D1976" s="133"/>
      <c r="E1976" s="133" t="str">
        <f>IFERROR(__xludf.DUMMYFUNCTION("""COMPUTED_VALUE"""),"مكتمل")</f>
        <v>مكتمل</v>
      </c>
      <c r="F1976" s="133" t="str">
        <f>IFERROR(__xludf.DUMMYFUNCTION("""COMPUTED_VALUE"""),"Dr.Clauder's Tuna with salmon in broth 70g")</f>
        <v>Dr.Clauder's Tuna with salmon in broth 70g</v>
      </c>
      <c r="G1976" s="133" t="str">
        <f>IFERROR(__xludf.DUMMYFUNCTION("""COMPUTED_VALUE"""),"دكتور كلاودر تونة مع السالمون في المرق 70جم")</f>
        <v>دكتور كلاودر تونة مع السالمون في المرق 70جم</v>
      </c>
      <c r="H1976" s="133" t="str">
        <f>IFERROR(__xludf.DUMMYFUNCTION("""COMPUTED_VALUE"""),"FOM-2024-6257-FEB-2024-59796 -C-0041-80604
")</f>
        <v>FOM-2024-6257-FEB-2024-59796 -C-0041-80604
</v>
      </c>
      <c r="I1976" s="133"/>
      <c r="J1976" s="133"/>
      <c r="K1976" s="133" t="str">
        <f>IFERROR(__xludf.DUMMYFUNCTION("""COMPUTED_VALUE"""),"مؤسسة اي تيل المحدودة")</f>
        <v>مؤسسة اي تيل المحدودة</v>
      </c>
      <c r="L1976" s="133"/>
      <c r="M1976" s="145">
        <f>IFERROR(__xludf.DUMMYFUNCTION("""COMPUTED_VALUE"""),47460.0)</f>
        <v>47460</v>
      </c>
      <c r="N1976" s="133"/>
      <c r="O1976" s="133"/>
      <c r="P1976" s="133"/>
      <c r="Q1976" s="133"/>
      <c r="R1976" s="133"/>
      <c r="S1976" s="133"/>
      <c r="T1976" s="133"/>
      <c r="U1976" s="133"/>
      <c r="V1976" s="133"/>
      <c r="W1976" s="133"/>
      <c r="X1976" s="133"/>
      <c r="Y1976" s="133"/>
      <c r="Z1976" s="133"/>
    </row>
    <row r="1977">
      <c r="A1977" s="133"/>
      <c r="B1977" s="133"/>
      <c r="C1977" s="133" t="str">
        <f>IFERROR(__xludf.DUMMYFUNCTION("""COMPUTED_VALUE"""),"P-1-N-180724-4495")</f>
        <v>P-1-N-180724-4495</v>
      </c>
      <c r="D1977" s="133"/>
      <c r="E1977" s="133" t="str">
        <f>IFERROR(__xludf.DUMMYFUNCTION("""COMPUTED_VALUE"""),"مكتمل")</f>
        <v>مكتمل</v>
      </c>
      <c r="F1977" s="133" t="str">
        <f>IFERROR(__xludf.DUMMYFUNCTION("""COMPUTED_VALUE"""),"Dr.Claudert s Tuna with chicken breast in broth 70g")</f>
        <v>Dr.Claudert s Tuna with chicken breast in broth 70g</v>
      </c>
      <c r="G1977" s="133" t="str">
        <f>IFERROR(__xludf.DUMMYFUNCTION("""COMPUTED_VALUE"""),"دكتور كلاودر تونة مع صدر الدجاج في المرق 70جم")</f>
        <v>دكتور كلاودر تونة مع صدر الدجاج في المرق 70جم</v>
      </c>
      <c r="H1977" s="133" t="str">
        <f>IFERROR(__xludf.DUMMYFUNCTION("""COMPUTED_VALUE"""),"FOM-2024-6257-FEB-2024-59797 -C-0041-80605
")</f>
        <v>FOM-2024-6257-FEB-2024-59797 -C-0041-80605
</v>
      </c>
      <c r="I1977" s="133"/>
      <c r="J1977" s="133"/>
      <c r="K1977" s="133" t="str">
        <f>IFERROR(__xludf.DUMMYFUNCTION("""COMPUTED_VALUE"""),"مؤسسة اي تيل المحدودة")</f>
        <v>مؤسسة اي تيل المحدودة</v>
      </c>
      <c r="L1977" s="133"/>
      <c r="M1977" s="145">
        <f>IFERROR(__xludf.DUMMYFUNCTION("""COMPUTED_VALUE"""),47460.0)</f>
        <v>47460</v>
      </c>
      <c r="N1977" s="133"/>
      <c r="O1977" s="133"/>
      <c r="P1977" s="133"/>
      <c r="Q1977" s="133"/>
      <c r="R1977" s="133"/>
      <c r="S1977" s="133"/>
      <c r="T1977" s="133"/>
      <c r="U1977" s="133"/>
      <c r="V1977" s="133"/>
      <c r="W1977" s="133"/>
      <c r="X1977" s="133"/>
      <c r="Y1977" s="133"/>
      <c r="Z1977" s="133"/>
    </row>
    <row r="1978">
      <c r="A1978" s="133"/>
      <c r="B1978" s="133"/>
      <c r="C1978" s="133" t="str">
        <f>IFERROR(__xludf.DUMMYFUNCTION("""COMPUTED_VALUE"""),"P-1-N-180724-4496")</f>
        <v>P-1-N-180724-4496</v>
      </c>
      <c r="D1978" s="133"/>
      <c r="E1978" s="133" t="str">
        <f>IFERROR(__xludf.DUMMYFUNCTION("""COMPUTED_VALUE"""),"مكتمل")</f>
        <v>مكتمل</v>
      </c>
      <c r="F1978" s="133" t="str">
        <f>IFERROR(__xludf.DUMMYFUNCTION("""COMPUTED_VALUE"""),"Dr.Clauder's Chicken breast in broth 70g")</f>
        <v>Dr.Clauder's Chicken breast in broth 70g</v>
      </c>
      <c r="G1978" s="133" t="str">
        <f>IFERROR(__xludf.DUMMYFUNCTION("""COMPUTED_VALUE"""),"دكتور كلاودر صدر دجاج في المرق 70جم")</f>
        <v>دكتور كلاودر صدر دجاج في المرق 70جم</v>
      </c>
      <c r="H1978" s="133" t="str">
        <f>IFERROR(__xludf.DUMMYFUNCTION("""COMPUTED_VALUE"""),"FOM-2024-6257-FEB-2024-59798 -C-0041-80606
")</f>
        <v>FOM-2024-6257-FEB-2024-59798 -C-0041-80606
</v>
      </c>
      <c r="I1978" s="133"/>
      <c r="J1978" s="133"/>
      <c r="K1978" s="133" t="str">
        <f>IFERROR(__xludf.DUMMYFUNCTION("""COMPUTED_VALUE"""),"مؤسسة اي تيل المحدودة")</f>
        <v>مؤسسة اي تيل المحدودة</v>
      </c>
      <c r="L1978" s="133"/>
      <c r="M1978" s="145">
        <f>IFERROR(__xludf.DUMMYFUNCTION("""COMPUTED_VALUE"""),47460.0)</f>
        <v>47460</v>
      </c>
      <c r="N1978" s="133"/>
      <c r="O1978" s="133"/>
      <c r="P1978" s="133"/>
      <c r="Q1978" s="133"/>
      <c r="R1978" s="133"/>
      <c r="S1978" s="133"/>
      <c r="T1978" s="133"/>
      <c r="U1978" s="133"/>
      <c r="V1978" s="133"/>
      <c r="W1978" s="133"/>
      <c r="X1978" s="133"/>
      <c r="Y1978" s="133"/>
      <c r="Z1978" s="133"/>
    </row>
    <row r="1979">
      <c r="A1979" s="133"/>
      <c r="B1979" s="133"/>
      <c r="C1979" s="133" t="str">
        <f>IFERROR(__xludf.DUMMYFUNCTION("""COMPUTED_VALUE"""),"P-1-N-210724-4533")</f>
        <v>P-1-N-210724-4533</v>
      </c>
      <c r="D1979" s="133"/>
      <c r="E1979" s="133" t="str">
        <f>IFERROR(__xludf.DUMMYFUNCTION("""COMPUTED_VALUE"""),"مكتمل")</f>
        <v>مكتمل</v>
      </c>
      <c r="F1979" s="133" t="str">
        <f>IFERROR(__xludf.DUMMYFUNCTION("""COMPUTED_VALUE"""),"Dr.Clauder's Tuna fillet 70g")</f>
        <v>Dr.Clauder's Tuna fillet 70g</v>
      </c>
      <c r="G1979" s="133" t="str">
        <f>IFERROR(__xludf.DUMMYFUNCTION("""COMPUTED_VALUE"""),"دكتور كلاودر فيليه التونة 70جم")</f>
        <v>دكتور كلاودر فيليه التونة 70جم</v>
      </c>
      <c r="H1979" s="133" t="str">
        <f>IFERROR(__xludf.DUMMYFUNCTION("""COMPUTED_VALUE"""),"  FOM-2024-6257-FEB-2024-59777 -C-0041-80585
")</f>
        <v>  FOM-2024-6257-FEB-2024-59777 -C-0041-80585
</v>
      </c>
      <c r="I1979" s="133"/>
      <c r="J1979" s="133"/>
      <c r="K1979" s="133" t="str">
        <f>IFERROR(__xludf.DUMMYFUNCTION("""COMPUTED_VALUE"""),"مؤسسة اي تيل المحدودة")</f>
        <v>مؤسسة اي تيل المحدودة</v>
      </c>
      <c r="L1979" s="133"/>
      <c r="M1979" s="145">
        <f>IFERROR(__xludf.DUMMYFUNCTION("""COMPUTED_VALUE"""),47460.0)</f>
        <v>47460</v>
      </c>
      <c r="N1979" s="133"/>
      <c r="O1979" s="133"/>
      <c r="P1979" s="133"/>
      <c r="Q1979" s="133"/>
      <c r="R1979" s="133"/>
      <c r="S1979" s="133"/>
      <c r="T1979" s="133"/>
      <c r="U1979" s="133"/>
      <c r="V1979" s="133"/>
      <c r="W1979" s="133"/>
      <c r="X1979" s="133"/>
      <c r="Y1979" s="133"/>
      <c r="Z1979" s="133"/>
    </row>
    <row r="1980">
      <c r="A1980" s="133"/>
      <c r="B1980" s="133"/>
      <c r="C1980" s="133" t="str">
        <f>IFERROR(__xludf.DUMMYFUNCTION("""COMPUTED_VALUE"""),"P-1-N-210724-4534")</f>
        <v>P-1-N-210724-4534</v>
      </c>
      <c r="D1980" s="133"/>
      <c r="E1980" s="133" t="str">
        <f>IFERROR(__xludf.DUMMYFUNCTION("""COMPUTED_VALUE"""),"مكتمل")</f>
        <v>مكتمل</v>
      </c>
      <c r="F1980" s="133" t="str">
        <f>IFERROR(__xludf.DUMMYFUNCTION("""COMPUTED_VALUE"""),"Dr.Clauder's Salmon fillet 30g")</f>
        <v>Dr.Clauder's Salmon fillet 30g</v>
      </c>
      <c r="G1980" s="133" t="str">
        <f>IFERROR(__xludf.DUMMYFUNCTION("""COMPUTED_VALUE"""),"دكتور كلاودر فيليه سمك السالمون 30جم")</f>
        <v>دكتور كلاودر فيليه سمك السالمون 30جم</v>
      </c>
      <c r="H1980" s="133" t="str">
        <f>IFERROR(__xludf.DUMMYFUNCTION("""COMPUTED_VALUE"""),"FOM-2024-6257-FEB-2024-59778 -C-0041-80586
")</f>
        <v>FOM-2024-6257-FEB-2024-59778 -C-0041-80586
</v>
      </c>
      <c r="I1980" s="133"/>
      <c r="J1980" s="133"/>
      <c r="K1980" s="133" t="str">
        <f>IFERROR(__xludf.DUMMYFUNCTION("""COMPUTED_VALUE"""),"مؤسسة اي تيل المحدودة")</f>
        <v>مؤسسة اي تيل المحدودة</v>
      </c>
      <c r="L1980" s="133"/>
      <c r="M1980" s="145">
        <f>IFERROR(__xludf.DUMMYFUNCTION("""COMPUTED_VALUE"""),47307.0)</f>
        <v>47307</v>
      </c>
      <c r="N1980" s="133"/>
      <c r="O1980" s="133"/>
      <c r="P1980" s="133"/>
      <c r="Q1980" s="133"/>
      <c r="R1980" s="133"/>
      <c r="S1980" s="133"/>
      <c r="T1980" s="133"/>
      <c r="U1980" s="133"/>
      <c r="V1980" s="133"/>
      <c r="W1980" s="133"/>
      <c r="X1980" s="133"/>
      <c r="Y1980" s="133"/>
      <c r="Z1980" s="133"/>
    </row>
    <row r="1981">
      <c r="A1981" s="133"/>
      <c r="B1981" s="133"/>
      <c r="C1981" s="133" t="str">
        <f>IFERROR(__xludf.DUMMYFUNCTION("""COMPUTED_VALUE"""),"P-1-N-210724-4535")</f>
        <v>P-1-N-210724-4535</v>
      </c>
      <c r="D1981" s="133"/>
      <c r="E1981" s="133" t="str">
        <f>IFERROR(__xludf.DUMMYFUNCTION("""COMPUTED_VALUE"""),"مكتمل")</f>
        <v>مكتمل</v>
      </c>
      <c r="F1981" s="133" t="str">
        <f>IFERROR(__xludf.DUMMYFUNCTION("""COMPUTED_VALUE"""),"Dr.Clauder's Mackerel fillet 30g")</f>
        <v>Dr.Clauder's Mackerel fillet 30g</v>
      </c>
      <c r="G1981" s="133" t="str">
        <f>IFERROR(__xludf.DUMMYFUNCTION("""COMPUTED_VALUE"""),"دكتور كلاودر فيليه سمك الماكريل 30جم")</f>
        <v>دكتور كلاودر فيليه سمك الماكريل 30جم</v>
      </c>
      <c r="H1981" s="133" t="str">
        <f>IFERROR(__xludf.DUMMYFUNCTION("""COMPUTED_VALUE"""),"FOM-2024-6257-FEB-2024-59779 -C-0041-80587
")</f>
        <v>FOM-2024-6257-FEB-2024-59779 -C-0041-80587
</v>
      </c>
      <c r="I1981" s="133"/>
      <c r="J1981" s="133"/>
      <c r="K1981" s="133" t="str">
        <f>IFERROR(__xludf.DUMMYFUNCTION("""COMPUTED_VALUE"""),"مؤسسة اي تيل المحدودة")</f>
        <v>مؤسسة اي تيل المحدودة</v>
      </c>
      <c r="L1981" s="133"/>
      <c r="M1981" s="145">
        <f>IFERROR(__xludf.DUMMYFUNCTION("""COMPUTED_VALUE"""),47307.0)</f>
        <v>47307</v>
      </c>
      <c r="N1981" s="133"/>
      <c r="O1981" s="133"/>
      <c r="P1981" s="133"/>
      <c r="Q1981" s="133"/>
      <c r="R1981" s="133"/>
      <c r="S1981" s="133"/>
      <c r="T1981" s="133"/>
      <c r="U1981" s="133"/>
      <c r="V1981" s="133"/>
      <c r="W1981" s="133"/>
      <c r="X1981" s="133"/>
      <c r="Y1981" s="133"/>
      <c r="Z1981" s="133"/>
    </row>
    <row r="1982">
      <c r="A1982" s="133"/>
      <c r="B1982" s="133"/>
      <c r="C1982" s="133" t="str">
        <f>IFERROR(__xludf.DUMMYFUNCTION("""COMPUTED_VALUE"""),"P-1-N-210724-4536")</f>
        <v>P-1-N-210724-4536</v>
      </c>
      <c r="D1982" s="133"/>
      <c r="E1982" s="133" t="str">
        <f>IFERROR(__xludf.DUMMYFUNCTION("""COMPUTED_VALUE"""),"مكتمل")</f>
        <v>مكتمل</v>
      </c>
      <c r="F1982" s="133" t="str">
        <f>IFERROR(__xludf.DUMMYFUNCTION("""COMPUTED_VALUE"""),"Dr.Clauder's Chicken breast fillet 30g")</f>
        <v>Dr.Clauder's Chicken breast fillet 30g</v>
      </c>
      <c r="G1982" s="133" t="str">
        <f>IFERROR(__xludf.DUMMYFUNCTION("""COMPUTED_VALUE"""),"دكتور كلاودر فيليه الدجاج 30جم")</f>
        <v>دكتور كلاودر فيليه الدجاج 30جم</v>
      </c>
      <c r="H1982" s="133" t="str">
        <f>IFERROR(__xludf.DUMMYFUNCTION("""COMPUTED_VALUE"""),"FOM-2024-6257-FEB-2024-59780 -C-0041-80588
")</f>
        <v>FOM-2024-6257-FEB-2024-59780 -C-0041-80588
</v>
      </c>
      <c r="I1982" s="133"/>
      <c r="J1982" s="133"/>
      <c r="K1982" s="133" t="str">
        <f>IFERROR(__xludf.DUMMYFUNCTION("""COMPUTED_VALUE"""),"مؤسسة اي تيل المحدودة")</f>
        <v>مؤسسة اي تيل المحدودة</v>
      </c>
      <c r="L1982" s="133"/>
      <c r="M1982" s="145">
        <f>IFERROR(__xludf.DUMMYFUNCTION("""COMPUTED_VALUE"""),47307.0)</f>
        <v>47307</v>
      </c>
      <c r="N1982" s="133"/>
      <c r="O1982" s="133"/>
      <c r="P1982" s="133"/>
      <c r="Q1982" s="133"/>
      <c r="R1982" s="133"/>
      <c r="S1982" s="133"/>
      <c r="T1982" s="133"/>
      <c r="U1982" s="133"/>
      <c r="V1982" s="133"/>
      <c r="W1982" s="133"/>
      <c r="X1982" s="133"/>
      <c r="Y1982" s="133"/>
      <c r="Z1982" s="133"/>
    </row>
    <row r="1983">
      <c r="A1983" s="133"/>
      <c r="B1983" s="133"/>
      <c r="C1983" s="133" t="str">
        <f>IFERROR(__xludf.DUMMYFUNCTION("""COMPUTED_VALUE"""),"P-1-N-210724-4537")</f>
        <v>P-1-N-210724-4537</v>
      </c>
      <c r="D1983" s="133"/>
      <c r="E1983" s="133" t="str">
        <f>IFERROR(__xludf.DUMMYFUNCTION("""COMPUTED_VALUE"""),"مكتمل")</f>
        <v>مكتمل</v>
      </c>
      <c r="F1983" s="133" t="str">
        <f>IFERROR(__xludf.DUMMYFUNCTION("""COMPUTED_VALUE"""),"Dr.Clauder's Tuna and salmon mousse with carrot 90g")</f>
        <v>Dr.Clauder's Tuna and salmon mousse with carrot 90g</v>
      </c>
      <c r="G1983" s="133" t="str">
        <f>IFERROR(__xludf.DUMMYFUNCTION("""COMPUTED_VALUE"""),"دكتور كلاودر كريمة التونة و السالمون مع الجزر 90ج")</f>
        <v>دكتور كلاودر كريمة التونة و السالمون مع الجزر 90ج</v>
      </c>
      <c r="H1983" s="133" t="str">
        <f>IFERROR(__xludf.DUMMYFUNCTION("""COMPUTED_VALUE"""),"FOM-2024-6257-FEB-2024-59781 -C-0041-80589
")</f>
        <v>FOM-2024-6257-FEB-2024-59781 -C-0041-80589
</v>
      </c>
      <c r="I1983" s="133"/>
      <c r="J1983" s="133"/>
      <c r="K1983" s="133" t="str">
        <f>IFERROR(__xludf.DUMMYFUNCTION("""COMPUTED_VALUE"""),"مؤسسة اي تيل المحدودة")</f>
        <v>مؤسسة اي تيل المحدودة</v>
      </c>
      <c r="L1983" s="133"/>
      <c r="M1983" s="145">
        <f>IFERROR(__xludf.DUMMYFUNCTION("""COMPUTED_VALUE"""),47307.0)</f>
        <v>47307</v>
      </c>
      <c r="N1983" s="133"/>
      <c r="O1983" s="133"/>
      <c r="P1983" s="133"/>
      <c r="Q1983" s="133"/>
      <c r="R1983" s="133"/>
      <c r="S1983" s="133"/>
      <c r="T1983" s="133"/>
      <c r="U1983" s="133"/>
      <c r="V1983" s="133"/>
      <c r="W1983" s="133"/>
      <c r="X1983" s="133"/>
      <c r="Y1983" s="133"/>
      <c r="Z1983" s="133"/>
    </row>
    <row r="1984">
      <c r="A1984" s="133"/>
      <c r="B1984" s="133"/>
      <c r="C1984" s="133" t="str">
        <f>IFERROR(__xludf.DUMMYFUNCTION("""COMPUTED_VALUE"""),"P-1-N-210724-4548")</f>
        <v>P-1-N-210724-4548</v>
      </c>
      <c r="D1984" s="133" t="str">
        <f>IFERROR(__xludf.DUMMYFUNCTION("""COMPUTED_VALUE"""),"FEB-2024-59789 
")</f>
        <v>FEB-2024-59789 
</v>
      </c>
      <c r="E1984" s="133" t="str">
        <f>IFERROR(__xludf.DUMMYFUNCTION("""COMPUTED_VALUE"""),"مكتمل")</f>
        <v>مكتمل</v>
      </c>
      <c r="F1984" s="133" t="str">
        <f>IFERROR(__xludf.DUMMYFUNCTION("""COMPUTED_VALUE"""),"Dr.Clauder's Tuna in broth 30g")</f>
        <v>Dr.Clauder's Tuna in broth 30g</v>
      </c>
      <c r="G1984" s="133" t="str">
        <f>IFERROR(__xludf.DUMMYFUNCTION("""COMPUTED_VALUE"""),"دكتور كلاودر تونة 30جم")</f>
        <v>دكتور كلاودر تونة 30جم</v>
      </c>
      <c r="H1984" s="133" t="str">
        <f>IFERROR(__xludf.DUMMYFUNCTION("""COMPUTED_VALUE"""),"FOM-2024-6257-FEB-2024-59789 -C-0041-80597")</f>
        <v>FOM-2024-6257-FEB-2024-59789 -C-0041-80597</v>
      </c>
      <c r="I1984" s="133"/>
      <c r="J1984" s="133"/>
      <c r="K1984" s="133" t="str">
        <f>IFERROR(__xludf.DUMMYFUNCTION("""COMPUTED_VALUE"""),"مؤسسة اي تيل المحدودة")</f>
        <v>مؤسسة اي تيل المحدودة</v>
      </c>
      <c r="L1984" s="133"/>
      <c r="M1984" s="144">
        <f>IFERROR(__xludf.DUMMYFUNCTION("""COMPUTED_VALUE"""),47307.0)</f>
        <v>47307</v>
      </c>
      <c r="N1984" s="133"/>
      <c r="O1984" s="133"/>
      <c r="P1984" s="133"/>
      <c r="Q1984" s="133"/>
      <c r="R1984" s="133"/>
      <c r="S1984" s="133"/>
      <c r="T1984" s="133"/>
      <c r="U1984" s="133"/>
      <c r="V1984" s="133"/>
      <c r="W1984" s="133"/>
      <c r="X1984" s="133"/>
      <c r="Y1984" s="133"/>
      <c r="Z1984" s="133"/>
    </row>
    <row r="1985">
      <c r="A1985" s="133"/>
      <c r="B1985" s="133"/>
      <c r="C1985" s="133" t="str">
        <f>IFERROR(__xludf.DUMMYFUNCTION("""COMPUTED_VALUE"""),"P-1-N-210724-4538")</f>
        <v>P-1-N-210724-4538</v>
      </c>
      <c r="D1985" s="133"/>
      <c r="E1985" s="133" t="str">
        <f>IFERROR(__xludf.DUMMYFUNCTION("""COMPUTED_VALUE"""),"مكتمل")</f>
        <v>مكتمل</v>
      </c>
      <c r="F1985" s="133" t="str">
        <f>IFERROR(__xludf.DUMMYFUNCTION("""COMPUTED_VALUE"""),"Dr.Clauder's Tuna and chicken mousse with pumpkin 90g")</f>
        <v>Dr.Clauder's Tuna and chicken mousse with pumpkin 90g</v>
      </c>
      <c r="G1985" s="133" t="str">
        <f>IFERROR(__xludf.DUMMYFUNCTION("""COMPUTED_VALUE"""),"دكتور كلاودر كريمة التونة و الدجاج مع الياقطين 90ج")</f>
        <v>دكتور كلاودر كريمة التونة و الدجاج مع الياقطين 90ج</v>
      </c>
      <c r="H1985" s="133" t="str">
        <f>IFERROR(__xludf.DUMMYFUNCTION("""COMPUTED_VALUE"""),"FOM-2024-6257-FEB-2024-59782 -C-0041-80590")</f>
        <v>FOM-2024-6257-FEB-2024-59782 -C-0041-80590</v>
      </c>
      <c r="I1985" s="133"/>
      <c r="J1985" s="133"/>
      <c r="K1985" s="133" t="str">
        <f>IFERROR(__xludf.DUMMYFUNCTION("""COMPUTED_VALUE"""),"مؤسسة اي تيل المحدودة")</f>
        <v>مؤسسة اي تيل المحدودة</v>
      </c>
      <c r="L1985" s="133"/>
      <c r="M1985" s="144">
        <f>IFERROR(__xludf.DUMMYFUNCTION("""COMPUTED_VALUE"""),47307.0)</f>
        <v>47307</v>
      </c>
      <c r="N1985" s="133"/>
      <c r="O1985" s="133"/>
      <c r="P1985" s="133"/>
      <c r="Q1985" s="133"/>
      <c r="R1985" s="133"/>
      <c r="S1985" s="133"/>
      <c r="T1985" s="133"/>
      <c r="U1985" s="133"/>
      <c r="V1985" s="133"/>
      <c r="W1985" s="133"/>
      <c r="X1985" s="133"/>
      <c r="Y1985" s="133"/>
      <c r="Z1985" s="133"/>
    </row>
    <row r="1986">
      <c r="A1986" s="133"/>
      <c r="B1986" s="133"/>
      <c r="C1986" s="133" t="str">
        <f>IFERROR(__xludf.DUMMYFUNCTION("""COMPUTED_VALUE"""),"P-1-N-210724-4539")</f>
        <v>P-1-N-210724-4539</v>
      </c>
      <c r="D1986" s="133" t="str">
        <f>IFERROR(__xludf.DUMMYFUNCTION("""COMPUTED_VALUE"""),"  FEB-2024-44868 
")</f>
        <v>  FEB-2024-44868 
</v>
      </c>
      <c r="E1986" s="133" t="str">
        <f>IFERROR(__xludf.DUMMYFUNCTION("""COMPUTED_VALUE"""),"مكتمل")</f>
        <v>مكتمل</v>
      </c>
      <c r="F1986" s="133" t="str">
        <f>IFERROR(__xludf.DUMMYFUNCTION("""COMPUTED_VALUE"""),"Dr.Clauder's Mackerel mousse with aloe vera 90g")</f>
        <v>Dr.Clauder's Mackerel mousse with aloe vera 90g</v>
      </c>
      <c r="G1986" s="133" t="str">
        <f>IFERROR(__xludf.DUMMYFUNCTION("""COMPUTED_VALUE"""),"دكتور كلاودر كريمة الماكريل مع االصبار 90ج")</f>
        <v>دكتور كلاودر كريمة الماكريل مع االصبار 90ج</v>
      </c>
      <c r="H1986" s="133" t="str">
        <f>IFERROR(__xludf.DUMMYFUNCTION("""COMPUTED_VALUE"""),"FOM-2024-5840-FEB-2024-44868 -C-0041-65665")</f>
        <v>FOM-2024-5840-FEB-2024-44868 -C-0041-65665</v>
      </c>
      <c r="I1986" s="133"/>
      <c r="J1986" s="133"/>
      <c r="K1986" s="133" t="str">
        <f>IFERROR(__xludf.DUMMYFUNCTION("""COMPUTED_VALUE"""),"مؤسسة اي تيل المحدودة")</f>
        <v>مؤسسة اي تيل المحدودة</v>
      </c>
      <c r="L1986" s="133"/>
      <c r="M1986" s="144">
        <f>IFERROR(__xludf.DUMMYFUNCTION("""COMPUTED_VALUE"""),47307.0)</f>
        <v>47307</v>
      </c>
      <c r="N1986" s="133"/>
      <c r="O1986" s="133"/>
      <c r="P1986" s="133"/>
      <c r="Q1986" s="133"/>
      <c r="R1986" s="133"/>
      <c r="S1986" s="133"/>
      <c r="T1986" s="133"/>
      <c r="U1986" s="133"/>
      <c r="V1986" s="133"/>
      <c r="W1986" s="133"/>
      <c r="X1986" s="133"/>
      <c r="Y1986" s="133"/>
      <c r="Z1986" s="133"/>
    </row>
    <row r="1987">
      <c r="A1987" s="133"/>
      <c r="B1987" s="133"/>
      <c r="C1987" s="133" t="str">
        <f>IFERROR(__xludf.DUMMYFUNCTION("""COMPUTED_VALUE"""),"P-1-N-210724-4540")</f>
        <v>P-1-N-210724-4540</v>
      </c>
      <c r="D1987" s="133" t="str">
        <f>IFERROR(__xludf.DUMMYFUNCTION("""COMPUTED_VALUE"""),"FEB-2024-59783 
")</f>
        <v>FEB-2024-59783 
</v>
      </c>
      <c r="E1987" s="133" t="str">
        <f>IFERROR(__xludf.DUMMYFUNCTION("""COMPUTED_VALUE"""),"مكتمل")</f>
        <v>مكتمل</v>
      </c>
      <c r="F1987" s="133" t="str">
        <f>IFERROR(__xludf.DUMMYFUNCTION("""COMPUTED_VALUE"""),"Dr.Clauder's Tuna, rice flavor in jelly 100g")</f>
        <v>Dr.Clauder's Tuna, rice flavor in jelly 100g</v>
      </c>
      <c r="G1987" s="133" t="str">
        <f>IFERROR(__xludf.DUMMYFUNCTION("""COMPUTED_VALUE"""),"دكتور كلودر تونة بنكهة الأرز بالجيلي 100 جرام")</f>
        <v>دكتور كلودر تونة بنكهة الأرز بالجيلي 100 جرام</v>
      </c>
      <c r="H1987" s="133" t="str">
        <f>IFERROR(__xludf.DUMMYFUNCTION("""COMPUTED_VALUE"""),"FOM-2024-6257-FEB-2024-59783 -C-0041-80591")</f>
        <v>FOM-2024-6257-FEB-2024-59783 -C-0041-80591</v>
      </c>
      <c r="I1987" s="133"/>
      <c r="J1987" s="133"/>
      <c r="K1987" s="133" t="str">
        <f>IFERROR(__xludf.DUMMYFUNCTION("""COMPUTED_VALUE"""),"مؤسسة اي تيل المحدودة")</f>
        <v>مؤسسة اي تيل المحدودة</v>
      </c>
      <c r="L1987" s="133"/>
      <c r="M1987" s="146">
        <f>IFERROR(__xludf.DUMMYFUNCTION("""COMPUTED_VALUE"""),47460.0)</f>
        <v>47460</v>
      </c>
      <c r="N1987" s="133"/>
      <c r="O1987" s="133"/>
      <c r="P1987" s="133"/>
      <c r="Q1987" s="133"/>
      <c r="R1987" s="133"/>
      <c r="S1987" s="133"/>
      <c r="T1987" s="133"/>
      <c r="U1987" s="133"/>
      <c r="V1987" s="133"/>
      <c r="W1987" s="133"/>
      <c r="X1987" s="133"/>
      <c r="Y1987" s="133"/>
      <c r="Z1987" s="133"/>
    </row>
    <row r="1988">
      <c r="A1988" s="133"/>
      <c r="B1988" s="133"/>
      <c r="C1988" s="133" t="str">
        <f>IFERROR(__xludf.DUMMYFUNCTION("""COMPUTED_VALUE"""),"P-1-N-210724-4541")</f>
        <v>P-1-N-210724-4541</v>
      </c>
      <c r="D1988" s="133" t="str">
        <f>IFERROR(__xludf.DUMMYFUNCTION("""COMPUTED_VALUE"""),"FEB-2024-59784 
")</f>
        <v>FEB-2024-59784 
</v>
      </c>
      <c r="E1988" s="133" t="str">
        <f>IFERROR(__xludf.DUMMYFUNCTION("""COMPUTED_VALUE"""),"مكتمل")</f>
        <v>مكتمل</v>
      </c>
      <c r="F1988" s="133" t="str">
        <f>IFERROR(__xludf.DUMMYFUNCTION("""COMPUTED_VALUE"""),"Dr.Clauder's Chicken breast, rice flavor topping beef in jelly 100g")</f>
        <v>Dr.Clauder's Chicken breast, rice flavor topping beef in jelly 100g</v>
      </c>
      <c r="G1988" s="133" t="str">
        <f>IFERROR(__xludf.DUMMYFUNCTION("""COMPUTED_VALUE"""),"دكتور كلودر صدر الدجاج بنكهة الأرز مغطاة باللحم البقري بالجيلي 100 جرام")</f>
        <v>دكتور كلودر صدر الدجاج بنكهة الأرز مغطاة باللحم البقري بالجيلي 100 جرام</v>
      </c>
      <c r="H1988" s="133" t="str">
        <f>IFERROR(__xludf.DUMMYFUNCTION("""COMPUTED_VALUE"""),"FOM-2024-6257-FEB-2024-59784 -C-0041-80592
")</f>
        <v>FOM-2024-6257-FEB-2024-59784 -C-0041-80592
</v>
      </c>
      <c r="I1988" s="133"/>
      <c r="J1988" s="133"/>
      <c r="K1988" s="133" t="str">
        <f>IFERROR(__xludf.DUMMYFUNCTION("""COMPUTED_VALUE"""),"مؤسسة اي تيل المحدودة")</f>
        <v>مؤسسة اي تيل المحدودة</v>
      </c>
      <c r="L1988" s="133"/>
      <c r="M1988" s="146">
        <f>IFERROR(__xludf.DUMMYFUNCTION("""COMPUTED_VALUE"""),47460.0)</f>
        <v>47460</v>
      </c>
      <c r="N1988" s="133"/>
      <c r="O1988" s="133"/>
      <c r="P1988" s="133"/>
      <c r="Q1988" s="133"/>
      <c r="R1988" s="133"/>
      <c r="S1988" s="133"/>
      <c r="T1988" s="133"/>
      <c r="U1988" s="133"/>
      <c r="V1988" s="133"/>
      <c r="W1988" s="133"/>
      <c r="X1988" s="133"/>
      <c r="Y1988" s="133"/>
      <c r="Z1988" s="133"/>
    </row>
    <row r="1989">
      <c r="A1989" s="133"/>
      <c r="B1989" s="133"/>
      <c r="C1989" s="133" t="str">
        <f>IFERROR(__xludf.DUMMYFUNCTION("""COMPUTED_VALUE"""),"P-1-N-210724-4542")</f>
        <v>P-1-N-210724-4542</v>
      </c>
      <c r="D1989" s="133" t="str">
        <f>IFERROR(__xludf.DUMMYFUNCTION("""COMPUTED_VALUE"""),"FEB-2024-59785 
")</f>
        <v>FEB-2024-59785 
</v>
      </c>
      <c r="E1989" s="133" t="str">
        <f>IFERROR(__xludf.DUMMYFUNCTION("""COMPUTED_VALUE"""),"مكتمل")</f>
        <v>مكتمل</v>
      </c>
      <c r="F1989" s="133" t="str">
        <f>IFERROR(__xludf.DUMMYFUNCTION("""COMPUTED_VALUE"""),"Dr.Clauder's Tuna light meat, rice flavor topping shrimp in jelly 100g")</f>
        <v>Dr.Clauder's Tuna light meat, rice flavor topping shrimp in jelly 100g</v>
      </c>
      <c r="G1989" s="133" t="str">
        <f>IFERROR(__xludf.DUMMYFUNCTION("""COMPUTED_VALUE"""),"دكتور كلودر لحم تونة خفيف بنكهة الأرز مغطى بالروبيان بالجيلي 100 جرام")</f>
        <v>دكتور كلودر لحم تونة خفيف بنكهة الأرز مغطى بالروبيان بالجيلي 100 جرام</v>
      </c>
      <c r="H1989" s="133" t="str">
        <f>IFERROR(__xludf.DUMMYFUNCTION("""COMPUTED_VALUE"""),"FOM-2024-6257-FEB-2024-59785 -C-0041-80593
")</f>
        <v>FOM-2024-6257-FEB-2024-59785 -C-0041-80593
</v>
      </c>
      <c r="I1989" s="133"/>
      <c r="J1989" s="133"/>
      <c r="K1989" s="133" t="str">
        <f>IFERROR(__xludf.DUMMYFUNCTION("""COMPUTED_VALUE"""),"مؤسسة اي تيل المحدودة")</f>
        <v>مؤسسة اي تيل المحدودة</v>
      </c>
      <c r="L1989" s="133"/>
      <c r="M1989" s="146">
        <f>IFERROR(__xludf.DUMMYFUNCTION("""COMPUTED_VALUE"""),47460.0)</f>
        <v>47460</v>
      </c>
      <c r="N1989" s="133"/>
      <c r="O1989" s="133"/>
      <c r="P1989" s="133"/>
      <c r="Q1989" s="133"/>
      <c r="R1989" s="133"/>
      <c r="S1989" s="133"/>
      <c r="T1989" s="133"/>
      <c r="U1989" s="133"/>
      <c r="V1989" s="133"/>
      <c r="W1989" s="133"/>
      <c r="X1989" s="133"/>
      <c r="Y1989" s="133"/>
      <c r="Z1989" s="133"/>
    </row>
    <row r="1990">
      <c r="A1990" s="133"/>
      <c r="B1990" s="133"/>
      <c r="C1990" s="133" t="str">
        <f>IFERROR(__xludf.DUMMYFUNCTION("""COMPUTED_VALUE"""),"P-1-N-210724-4543")</f>
        <v>P-1-N-210724-4543</v>
      </c>
      <c r="D1990" s="133" t="str">
        <f>IFERROR(__xludf.DUMMYFUNCTION("""COMPUTED_VALUE"""),"FEB-2024-59786 
")</f>
        <v>FEB-2024-59786 
</v>
      </c>
      <c r="E1990" s="133" t="str">
        <f>IFERROR(__xludf.DUMMYFUNCTION("""COMPUTED_VALUE"""),"مكتمل")</f>
        <v>مكتمل</v>
      </c>
      <c r="F1990" s="133" t="str">
        <f>IFERROR(__xludf.DUMMYFUNCTION("""COMPUTED_VALUE"""),"Dr.Clauder's Tuna, rice flavor topping chicken in jelly 100g")</f>
        <v>Dr.Clauder's Tuna, rice flavor topping chicken in jelly 100g</v>
      </c>
      <c r="G1990" s="133" t="str">
        <f>IFERROR(__xludf.DUMMYFUNCTION("""COMPUTED_VALUE"""),"دكتور كلودر تونة بنكهة الأرز مغطاة بالدجاج بالجيلي 100 ج")</f>
        <v>دكتور كلودر تونة بنكهة الأرز مغطاة بالدجاج بالجيلي 100 ج</v>
      </c>
      <c r="H1990" s="133" t="str">
        <f>IFERROR(__xludf.DUMMYFUNCTION("""COMPUTED_VALUE"""),"FOM-2024-6257-FEB-2024-59786 -C-0041-80594")</f>
        <v>FOM-2024-6257-FEB-2024-59786 -C-0041-80594</v>
      </c>
      <c r="I1990" s="133"/>
      <c r="J1990" s="133"/>
      <c r="K1990" s="133" t="str">
        <f>IFERROR(__xludf.DUMMYFUNCTION("""COMPUTED_VALUE"""),"مؤسسة اي تيل المحدودة")</f>
        <v>مؤسسة اي تيل المحدودة</v>
      </c>
      <c r="L1990" s="133"/>
      <c r="M1990" s="146">
        <f>IFERROR(__xludf.DUMMYFUNCTION("""COMPUTED_VALUE"""),47460.0)</f>
        <v>47460</v>
      </c>
      <c r="N1990" s="133"/>
      <c r="O1990" s="133"/>
      <c r="P1990" s="133"/>
      <c r="Q1990" s="133"/>
      <c r="R1990" s="133"/>
      <c r="S1990" s="133"/>
      <c r="T1990" s="133"/>
      <c r="U1990" s="133"/>
      <c r="V1990" s="133"/>
      <c r="W1990" s="133"/>
      <c r="X1990" s="133"/>
      <c r="Y1990" s="133"/>
      <c r="Z1990" s="133"/>
    </row>
    <row r="1991">
      <c r="A1991" s="133"/>
      <c r="B1991" s="133"/>
      <c r="C1991" s="133" t="str">
        <f>IFERROR(__xludf.DUMMYFUNCTION("""COMPUTED_VALUE"""),"P-1-N-210724-4544")</f>
        <v>P-1-N-210724-4544</v>
      </c>
      <c r="D1991" s="133" t="str">
        <f>IFERROR(__xludf.DUMMYFUNCTION("""COMPUTED_VALUE"""),"FEB-2024-59787 
")</f>
        <v>FEB-2024-59787 
</v>
      </c>
      <c r="E1991" s="133" t="str">
        <f>IFERROR(__xludf.DUMMYFUNCTION("""COMPUTED_VALUE"""),"مكتمل")</f>
        <v>مكتمل</v>
      </c>
      <c r="F1991" s="133" t="str">
        <f>IFERROR(__xludf.DUMMYFUNCTION("""COMPUTED_VALUE"""),"Dr.Clauder's Chicken breast, rice flavor in jelly 100g")</f>
        <v>Dr.Clauder's Chicken breast, rice flavor in jelly 100g</v>
      </c>
      <c r="G1991" s="133" t="str">
        <f>IFERROR(__xludf.DUMMYFUNCTION("""COMPUTED_VALUE"""),"دكتور كلودر صدر دجاج بنكهة الأرز بالجيلي 100ج")</f>
        <v>دكتور كلودر صدر دجاج بنكهة الأرز بالجيلي 100ج</v>
      </c>
      <c r="H1991" s="133" t="str">
        <f>IFERROR(__xludf.DUMMYFUNCTION("""COMPUTED_VALUE"""),"FOM-2024-6257-FEB-2024-59787 -C-0041-80595")</f>
        <v>FOM-2024-6257-FEB-2024-59787 -C-0041-80595</v>
      </c>
      <c r="I1991" s="133"/>
      <c r="J1991" s="133"/>
      <c r="K1991" s="133" t="str">
        <f>IFERROR(__xludf.DUMMYFUNCTION("""COMPUTED_VALUE"""),"مؤسسة اي تيل المحدودة")</f>
        <v>مؤسسة اي تيل المحدودة</v>
      </c>
      <c r="L1991" s="133"/>
      <c r="M1991" s="146">
        <f>IFERROR(__xludf.DUMMYFUNCTION("""COMPUTED_VALUE"""),47460.0)</f>
        <v>47460</v>
      </c>
      <c r="N1991" s="133"/>
      <c r="O1991" s="133"/>
      <c r="P1991" s="133"/>
      <c r="Q1991" s="133"/>
      <c r="R1991" s="133"/>
      <c r="S1991" s="133"/>
      <c r="T1991" s="133"/>
      <c r="U1991" s="133"/>
      <c r="V1991" s="133"/>
      <c r="W1991" s="133"/>
      <c r="X1991" s="133"/>
      <c r="Y1991" s="133"/>
      <c r="Z1991" s="133"/>
    </row>
    <row r="1992">
      <c r="A1992" s="133"/>
      <c r="B1992" s="133"/>
      <c r="C1992" s="133" t="str">
        <f>IFERROR(__xludf.DUMMYFUNCTION("""COMPUTED_VALUE"""),"P-1-N-210724-4545")</f>
        <v>P-1-N-210724-4545</v>
      </c>
      <c r="D1992" s="133"/>
      <c r="E1992" s="133" t="str">
        <f>IFERROR(__xludf.DUMMYFUNCTION("""COMPUTED_VALUE"""),"رفض")</f>
        <v>رفض</v>
      </c>
      <c r="F1992" s="133" t="str">
        <f>IFERROR(__xludf.DUMMYFUNCTION("""COMPUTED_VALUE"""),"Dr.Clauder's Salmon mousse, seaweed flavor 15g")</f>
        <v>Dr.Clauder's Salmon mousse, seaweed flavor 15g</v>
      </c>
      <c r="G1992" s="133" t="str">
        <f>IFERROR(__xludf.DUMMYFUNCTION("""COMPUTED_VALUE"""),"دكتور كلاودر كريمة السالمون بنكهة الأعشاب البحرية 15ج")</f>
        <v>دكتور كلاودر كريمة السالمون بنكهة الأعشاب البحرية 15ج</v>
      </c>
      <c r="H1992" s="133"/>
      <c r="I1992" s="133"/>
      <c r="J1992" s="133"/>
      <c r="K1992" s="133" t="str">
        <f>IFERROR(__xludf.DUMMYFUNCTION("""COMPUTED_VALUE"""),"مؤسسة اي تيل المحدودة")</f>
        <v>مؤسسة اي تيل المحدودة</v>
      </c>
      <c r="L1992" s="133"/>
      <c r="M1992" s="133"/>
      <c r="N1992" s="133"/>
      <c r="O1992" s="133"/>
      <c r="P1992" s="133"/>
      <c r="Q1992" s="133"/>
      <c r="R1992" s="133"/>
      <c r="S1992" s="133"/>
      <c r="T1992" s="133"/>
      <c r="U1992" s="133"/>
      <c r="V1992" s="133"/>
      <c r="W1992" s="133"/>
      <c r="X1992" s="133"/>
      <c r="Y1992" s="133"/>
      <c r="Z1992" s="133"/>
    </row>
    <row r="1993">
      <c r="A1993" s="133"/>
      <c r="B1993" s="133"/>
      <c r="C1993" s="133" t="str">
        <f>IFERROR(__xludf.DUMMYFUNCTION("""COMPUTED_VALUE"""),"P-1-N-210724-4546")</f>
        <v>P-1-N-210724-4546</v>
      </c>
      <c r="D1993" s="133">
        <f>IFERROR(__xludf.DUMMYFUNCTION("""COMPUTED_VALUE"""),0.0)</f>
        <v>0</v>
      </c>
      <c r="E1993" s="133" t="str">
        <f>IFERROR(__xludf.DUMMYFUNCTION("""COMPUTED_VALUE"""),"تمت طباعة الشهادة ")</f>
        <v>تمت طباعة الشهادة </v>
      </c>
      <c r="F1993" s="133" t="str">
        <f>IFERROR(__xludf.DUMMYFUNCTION("""COMPUTED_VALUE"""),"Dr.Clauder's Chicken mousse, parsley flavor 15g")</f>
        <v>Dr.Clauder's Chicken mousse, parsley flavor 15g</v>
      </c>
      <c r="G1993" s="133" t="str">
        <f>IFERROR(__xludf.DUMMYFUNCTION("""COMPUTED_VALUE"""),"دكتور كلاودر كريمة الدجاج بنكهة البقدونس 15ج")</f>
        <v>دكتور كلاودر كريمة الدجاج بنكهة البقدونس 15ج</v>
      </c>
      <c r="H1993" s="133" t="str">
        <f>IFERROR(__xludf.DUMMYFUNCTION("""COMPUTED_VALUE"""),"FOM-2024-6257-FEB-2024-59788 -C-0041-80596")</f>
        <v>FOM-2024-6257-FEB-2024-59788 -C-0041-80596</v>
      </c>
      <c r="I1993" s="133"/>
      <c r="J1993" s="133"/>
      <c r="K1993" s="133" t="str">
        <f>IFERROR(__xludf.DUMMYFUNCTION("""COMPUTED_VALUE"""),"مؤسسة اي تيل المحدودة")</f>
        <v>مؤسسة اي تيل المحدودة</v>
      </c>
      <c r="L1993" s="133"/>
      <c r="M1993" s="146">
        <f>IFERROR(__xludf.DUMMYFUNCTION("""COMPUTED_VALUE"""),47430.0)</f>
        <v>47430</v>
      </c>
      <c r="N1993" s="133"/>
      <c r="O1993" s="133"/>
      <c r="P1993" s="133"/>
      <c r="Q1993" s="133"/>
      <c r="R1993" s="133"/>
      <c r="S1993" s="133"/>
      <c r="T1993" s="133"/>
      <c r="U1993" s="133"/>
      <c r="V1993" s="133"/>
      <c r="W1993" s="133"/>
      <c r="X1993" s="133"/>
      <c r="Y1993" s="133"/>
      <c r="Z1993" s="133"/>
    </row>
    <row r="1994">
      <c r="A1994" s="133"/>
      <c r="B1994" s="133"/>
      <c r="C1994" s="133" t="str">
        <f>IFERROR(__xludf.DUMMYFUNCTION("""COMPUTED_VALUE"""),"P-1-N-210724-4555")</f>
        <v>P-1-N-210724-4555</v>
      </c>
      <c r="D1994" s="133">
        <f>IFERROR(__xludf.DUMMYFUNCTION("""COMPUTED_VALUE"""),0.0)</f>
        <v>0</v>
      </c>
      <c r="E1994" s="133" t="str">
        <f>IFERROR(__xludf.DUMMYFUNCTION("""COMPUTED_VALUE"""),"تمت طباعة الشهادة ")</f>
        <v>تمت طباعة الشهادة </v>
      </c>
      <c r="F1994" s="133" t="str">
        <f>IFERROR(__xludf.DUMMYFUNCTION("""COMPUTED_VALUE"""),"Kit Cat Complete Cuisine Pure Chicken Classic In Broth 70g")</f>
        <v>Kit Cat Complete Cuisine Pure Chicken Classic In Broth 70g</v>
      </c>
      <c r="G1994" s="133" t="str">
        <f>IFERROR(__xludf.DUMMYFUNCTION("""COMPUTED_VALUE"""),"كت كات كومبليت كوزين بيور - دجاج كلاسيكي في المرق 70 غ")</f>
        <v>كت كات كومبليت كوزين بيور - دجاج كلاسيكي في المرق 70 غ</v>
      </c>
      <c r="H1994" s="133" t="str">
        <f>IFERROR(__xludf.DUMMYFUNCTION("""COMPUTED_VALUE"""),"FOM-2024-5894-FEB-2024-39702 -C-0041-60499")</f>
        <v>FOM-2024-5894-FEB-2024-39702 -C-0041-60499</v>
      </c>
      <c r="I1994" s="133"/>
      <c r="J1994" s="133"/>
      <c r="K1994" s="133" t="str">
        <f>IFERROR(__xludf.DUMMYFUNCTION("""COMPUTED_VALUE"""),"شركة سيام للأغذية العالمية المحدودة")</f>
        <v>شركة سيام للأغذية العالمية المحدودة</v>
      </c>
      <c r="L1994" s="133"/>
      <c r="M1994" s="144">
        <f>IFERROR(__xludf.DUMMYFUNCTION("""COMPUTED_VALUE"""),47307.0)</f>
        <v>47307</v>
      </c>
      <c r="N1994" s="133"/>
      <c r="O1994" s="133"/>
      <c r="P1994" s="133"/>
      <c r="Q1994" s="133"/>
      <c r="R1994" s="133"/>
      <c r="S1994" s="133"/>
      <c r="T1994" s="133"/>
      <c r="U1994" s="133"/>
      <c r="V1994" s="133"/>
      <c r="W1994" s="133"/>
      <c r="X1994" s="133"/>
      <c r="Y1994" s="133"/>
      <c r="Z1994" s="133"/>
    </row>
    <row r="1995">
      <c r="A1995" s="133"/>
      <c r="B1995" s="133"/>
      <c r="C1995" s="133" t="str">
        <f>IFERROR(__xludf.DUMMYFUNCTION("""COMPUTED_VALUE"""),"P-1-N-210724-4557")</f>
        <v>P-1-N-210724-4557</v>
      </c>
      <c r="D1995" s="133" t="str">
        <f>IFERROR(__xludf.DUMMYFUNCTION("""COMPUTED_VALUE"""),"FEB-2024-39703 
")</f>
        <v>FEB-2024-39703 
</v>
      </c>
      <c r="E1995" s="133" t="str">
        <f>IFERROR(__xludf.DUMMYFUNCTION("""COMPUTED_VALUE"""),"تمت طباعة الشهادة ")</f>
        <v>تمت طباعة الشهادة </v>
      </c>
      <c r="F1995" s="133" t="str">
        <f>IFERROR(__xludf.DUMMYFUNCTION("""COMPUTED_VALUE"""),"Kit Cat Complete Cuisine Pure Chicken &amp; Salmon In Broth 70g")</f>
        <v>Kit Cat Complete Cuisine Pure Chicken &amp; Salmon In Broth 70g</v>
      </c>
      <c r="G1995" s="133" t="str">
        <f>IFERROR(__xludf.DUMMYFUNCTION("""COMPUTED_VALUE"""),"كت كات كومبليت كوزين بيور - دجاج وسلمون في المرق 70 غ")</f>
        <v>كت كات كومبليت كوزين بيور - دجاج وسلمون في المرق 70 غ</v>
      </c>
      <c r="H1995" s="133" t="str">
        <f>IFERROR(__xludf.DUMMYFUNCTION("""COMPUTED_VALUE"""),"FOM-2024-5894-FEB-2024-39703 -C-0041-60500")</f>
        <v>FOM-2024-5894-FEB-2024-39703 -C-0041-60500</v>
      </c>
      <c r="I1995" s="133"/>
      <c r="J1995" s="133"/>
      <c r="K1995" s="133" t="str">
        <f>IFERROR(__xludf.DUMMYFUNCTION("""COMPUTED_VALUE"""),"شركة سيام للأغذية العالمية المحدودة")</f>
        <v>شركة سيام للأغذية العالمية المحدودة</v>
      </c>
      <c r="L1995" s="133"/>
      <c r="M1995" s="144">
        <f>IFERROR(__xludf.DUMMYFUNCTION("""COMPUTED_VALUE"""),47307.0)</f>
        <v>47307</v>
      </c>
      <c r="N1995" s="133"/>
      <c r="O1995" s="133"/>
      <c r="P1995" s="133"/>
      <c r="Q1995" s="133"/>
      <c r="R1995" s="133"/>
      <c r="S1995" s="133"/>
      <c r="T1995" s="133"/>
      <c r="U1995" s="133"/>
      <c r="V1995" s="133"/>
      <c r="W1995" s="133"/>
      <c r="X1995" s="133"/>
      <c r="Y1995" s="133"/>
      <c r="Z1995" s="133"/>
    </row>
    <row r="1996">
      <c r="A1996" s="133"/>
      <c r="B1996" s="133"/>
      <c r="C1996" s="133" t="str">
        <f>IFERROR(__xludf.DUMMYFUNCTION("""COMPUTED_VALUE"""),"P-1-N-210724-4559")</f>
        <v>P-1-N-210724-4559</v>
      </c>
      <c r="D1996" s="133" t="str">
        <f>IFERROR(__xludf.DUMMYFUNCTION("""COMPUTED_VALUE"""),"  FEB-2024-39704 ")</f>
        <v>  FEB-2024-39704 </v>
      </c>
      <c r="E1996" s="133" t="str">
        <f>IFERROR(__xludf.DUMMYFUNCTION("""COMPUTED_VALUE"""),"تمت طباعة الشهادة ")</f>
        <v>تمت طباعة الشهادة </v>
      </c>
      <c r="F1996" s="133" t="str">
        <f>IFERROR(__xludf.DUMMYFUNCTION("""COMPUTED_VALUE"""),"Kit Cat Complete Cuisine Pure Kitten Chicken In Broth 70g")</f>
        <v>Kit Cat Complete Cuisine Pure Kitten Chicken In Broth 70g</v>
      </c>
      <c r="G1996" s="133" t="str">
        <f>IFERROR(__xludf.DUMMYFUNCTION("""COMPUTED_VALUE"""),"كت كات كومبليت كوزين بيور - وصفة للقطط الصغيرة - دجاج في المرق 70 غ")</f>
        <v>كت كات كومبليت كوزين بيور - وصفة للقطط الصغيرة - دجاج في المرق 70 غ</v>
      </c>
      <c r="H1996" s="133" t="str">
        <f>IFERROR(__xludf.DUMMYFUNCTION("""COMPUTED_VALUE"""),"FOM-2024-5894-FEB-2024-39704 -C-0041-60501")</f>
        <v>FOM-2024-5894-FEB-2024-39704 -C-0041-60501</v>
      </c>
      <c r="I1996" s="133"/>
      <c r="J1996" s="133"/>
      <c r="K1996" s="133" t="str">
        <f>IFERROR(__xludf.DUMMYFUNCTION("""COMPUTED_VALUE"""),"شركة سيام للأغذية العالمية المحدودة")</f>
        <v>شركة سيام للأغذية العالمية المحدودة</v>
      </c>
      <c r="L1996" s="133"/>
      <c r="M1996" s="144">
        <f>IFERROR(__xludf.DUMMYFUNCTION("""COMPUTED_VALUE"""),47307.0)</f>
        <v>47307</v>
      </c>
      <c r="N1996" s="133"/>
      <c r="O1996" s="133"/>
      <c r="P1996" s="133"/>
      <c r="Q1996" s="133"/>
      <c r="R1996" s="133"/>
      <c r="S1996" s="133"/>
      <c r="T1996" s="133"/>
      <c r="U1996" s="133"/>
      <c r="V1996" s="133"/>
      <c r="W1996" s="133"/>
      <c r="X1996" s="133"/>
      <c r="Y1996" s="133"/>
      <c r="Z1996" s="133"/>
    </row>
    <row r="1997">
      <c r="A1997" s="133"/>
      <c r="B1997" s="133"/>
      <c r="C1997" s="133" t="str">
        <f>IFERROR(__xludf.DUMMYFUNCTION("""COMPUTED_VALUE"""),"P-1-N-210724-4560")</f>
        <v>P-1-N-210724-4560</v>
      </c>
      <c r="D1997" s="133" t="str">
        <f>IFERROR(__xludf.DUMMYFUNCTION("""COMPUTED_VALUE"""),"FEB-2024-39705")</f>
        <v>FEB-2024-39705</v>
      </c>
      <c r="E1997" s="133" t="str">
        <f>IFERROR(__xludf.DUMMYFUNCTION("""COMPUTED_VALUE"""),"تمت طباعة الشهادة ")</f>
        <v>تمت طباعة الشهادة </v>
      </c>
      <c r="F1997" s="133" t="str">
        <f>IFERROR(__xludf.DUMMYFUNCTION("""COMPUTED_VALUE"""),"Kit Cat Complete Cuisine Pure Tuna Classic In Broth 70g")</f>
        <v>Kit Cat Complete Cuisine Pure Tuna Classic In Broth 70g</v>
      </c>
      <c r="G1997" s="133" t="str">
        <f>IFERROR(__xludf.DUMMYFUNCTION("""COMPUTED_VALUE"""),"كت كات كومبليت كوزين بيور – تونة كلاسيك في المرق 70 غ")</f>
        <v>كت كات كومبليت كوزين بيور – تونة كلاسيك في المرق 70 غ</v>
      </c>
      <c r="H1997" s="133" t="str">
        <f>IFERROR(__xludf.DUMMYFUNCTION("""COMPUTED_VALUE"""),"FOM-2024-5894-FEB-2024-39705 -C-0041-60502")</f>
        <v>FOM-2024-5894-FEB-2024-39705 -C-0041-60502</v>
      </c>
      <c r="I1997" s="133"/>
      <c r="J1997" s="133"/>
      <c r="K1997" s="133" t="str">
        <f>IFERROR(__xludf.DUMMYFUNCTION("""COMPUTED_VALUE"""),"شركة سيام للأغذية العالمية المحدودة")</f>
        <v>شركة سيام للأغذية العالمية المحدودة</v>
      </c>
      <c r="L1997" s="133"/>
      <c r="M1997" s="144">
        <f>IFERROR(__xludf.DUMMYFUNCTION("""COMPUTED_VALUE"""),47307.0)</f>
        <v>47307</v>
      </c>
      <c r="N1997" s="133"/>
      <c r="O1997" s="133"/>
      <c r="P1997" s="133"/>
      <c r="Q1997" s="133"/>
      <c r="R1997" s="133"/>
      <c r="S1997" s="133"/>
      <c r="T1997" s="133"/>
      <c r="U1997" s="133"/>
      <c r="V1997" s="133"/>
      <c r="W1997" s="133"/>
      <c r="X1997" s="133"/>
      <c r="Y1997" s="133"/>
      <c r="Z1997" s="133"/>
    </row>
    <row r="1998">
      <c r="A1998" s="133"/>
      <c r="B1998" s="133"/>
      <c r="C1998" s="133" t="str">
        <f>IFERROR(__xludf.DUMMYFUNCTION("""COMPUTED_VALUE"""),"P-1-N-210724-4564")</f>
        <v>P-1-N-210724-4564</v>
      </c>
      <c r="D1998" s="133" t="str">
        <f>IFERROR(__xludf.DUMMYFUNCTION("""COMPUTED_VALUE"""),"FEB-2024-39707 ")</f>
        <v>FEB-2024-39707 </v>
      </c>
      <c r="E1998" s="133" t="str">
        <f>IFERROR(__xludf.DUMMYFUNCTION("""COMPUTED_VALUE"""),"تمت طباعة الشهادة ")</f>
        <v>تمت طباعة الشهادة </v>
      </c>
      <c r="F1998" s="133" t="str">
        <f>IFERROR(__xludf.DUMMYFUNCTION("""COMPUTED_VALUE"""),"Kit Cat Complete Cuisine Pure Kitten Tuna In Broth 70g")</f>
        <v>Kit Cat Complete Cuisine Pure Kitten Tuna In Broth 70g</v>
      </c>
      <c r="G1998" s="133" t="str">
        <f>IFERROR(__xludf.DUMMYFUNCTION("""COMPUTED_VALUE"""),"كت كات كومبليت كوزين بيور- وصفة للقطط الصغيرة - تونة في المرق 70 غ")</f>
        <v>كت كات كومبليت كوزين بيور- وصفة للقطط الصغيرة - تونة في المرق 70 غ</v>
      </c>
      <c r="H1998" s="133" t="str">
        <f>IFERROR(__xludf.DUMMYFUNCTION("""COMPUTED_VALUE"""),"FOM-2024-5894-FEB-2024-39707 -C-0041-60504")</f>
        <v>FOM-2024-5894-FEB-2024-39707 -C-0041-60504</v>
      </c>
      <c r="I1998" s="133"/>
      <c r="J1998" s="133"/>
      <c r="K1998" s="133" t="str">
        <f>IFERROR(__xludf.DUMMYFUNCTION("""COMPUTED_VALUE"""),"شركة سيام للأغذية العالمية المحدودة")</f>
        <v>شركة سيام للأغذية العالمية المحدودة</v>
      </c>
      <c r="L1998" s="133"/>
      <c r="M1998" s="144">
        <f>IFERROR(__xludf.DUMMYFUNCTION("""COMPUTED_VALUE"""),47307.0)</f>
        <v>47307</v>
      </c>
      <c r="N1998" s="133"/>
      <c r="O1998" s="133"/>
      <c r="P1998" s="133"/>
      <c r="Q1998" s="133"/>
      <c r="R1998" s="133"/>
      <c r="S1998" s="133"/>
      <c r="T1998" s="133"/>
      <c r="U1998" s="133"/>
      <c r="V1998" s="133"/>
      <c r="W1998" s="133"/>
      <c r="X1998" s="133"/>
      <c r="Y1998" s="133"/>
      <c r="Z1998" s="133"/>
    </row>
    <row r="1999">
      <c r="A1999" s="133"/>
      <c r="B1999" s="133"/>
      <c r="C1999" s="133" t="str">
        <f>IFERROR(__xludf.DUMMYFUNCTION("""COMPUTED_VALUE"""),"P-1-N-210724-4563")</f>
        <v>P-1-N-210724-4563</v>
      </c>
      <c r="D1999" s="133" t="str">
        <f>IFERROR(__xludf.DUMMYFUNCTION("""COMPUTED_VALUE"""),"FEB-2024-39706 ")</f>
        <v>FEB-2024-39706 </v>
      </c>
      <c r="E1999" s="133" t="str">
        <f>IFERROR(__xludf.DUMMYFUNCTION("""COMPUTED_VALUE"""),"تمت طباعة الشهادة ")</f>
        <v>تمت طباعة الشهادة </v>
      </c>
      <c r="F1999" s="133" t="str">
        <f>IFERROR(__xludf.DUMMYFUNCTION("""COMPUTED_VALUE"""),"Kit Cat Complete Cuisine Pure Tuna &amp; Salmon In Broth 70g")</f>
        <v>Kit Cat Complete Cuisine Pure Tuna &amp; Salmon In Broth 70g</v>
      </c>
      <c r="G1999" s="133" t="str">
        <f>IFERROR(__xludf.DUMMYFUNCTION("""COMPUTED_VALUE"""),"كت كات كومبليت كوزين بيور – تونة مع سالمون في المرق 70 غ")</f>
        <v>كت كات كومبليت كوزين بيور – تونة مع سالمون في المرق 70 غ</v>
      </c>
      <c r="H1999" s="133" t="str">
        <f>IFERROR(__xludf.DUMMYFUNCTION("""COMPUTED_VALUE"""),"FOM-2024-5894-FEB-2024-39706 -C-0041-60503")</f>
        <v>FOM-2024-5894-FEB-2024-39706 -C-0041-60503</v>
      </c>
      <c r="I1999" s="133"/>
      <c r="J1999" s="133"/>
      <c r="K1999" s="133" t="str">
        <f>IFERROR(__xludf.DUMMYFUNCTION("""COMPUTED_VALUE"""),"شركة سيام للأغذية العالمية المحدودة")</f>
        <v>شركة سيام للأغذية العالمية المحدودة</v>
      </c>
      <c r="L1999" s="133"/>
      <c r="M1999" s="144">
        <f>IFERROR(__xludf.DUMMYFUNCTION("""COMPUTED_VALUE"""),47307.0)</f>
        <v>47307</v>
      </c>
      <c r="N1999" s="133"/>
      <c r="O1999" s="133"/>
      <c r="P1999" s="133"/>
      <c r="Q1999" s="133"/>
      <c r="R1999" s="133"/>
      <c r="S1999" s="133"/>
      <c r="T1999" s="133"/>
      <c r="U1999" s="133"/>
      <c r="V1999" s="133"/>
      <c r="W1999" s="133"/>
      <c r="X1999" s="133"/>
      <c r="Y1999" s="133"/>
      <c r="Z1999" s="133"/>
    </row>
    <row r="2000">
      <c r="A2000" s="133"/>
      <c r="B2000" s="133"/>
      <c r="C2000" s="133" t="str">
        <f>IFERROR(__xludf.DUMMYFUNCTION("""COMPUTED_VALUE"""),"P-1-N-210724-4565")</f>
        <v>P-1-N-210724-4565</v>
      </c>
      <c r="D2000" s="133" t="str">
        <f>IFERROR(__xludf.DUMMYFUNCTION("""COMPUTED_VALUE"""),"FEB-2024-39708")</f>
        <v>FEB-2024-39708</v>
      </c>
      <c r="E2000" s="133" t="str">
        <f>IFERROR(__xludf.DUMMYFUNCTION("""COMPUTED_VALUE"""),"تمت طباعة الشهادة ")</f>
        <v>تمت طباعة الشهادة </v>
      </c>
      <c r="F2000" s="133" t="str">
        <f>IFERROR(__xludf.DUMMYFUNCTION("""COMPUTED_VALUE"""),"Kit Cat Complete Cuisine Pure Tuna &amp; Chicken In Broth 70g")</f>
        <v>Kit Cat Complete Cuisine Pure Tuna &amp; Chicken In Broth 70g</v>
      </c>
      <c r="G2000" s="133" t="str">
        <f>IFERROR(__xludf.DUMMYFUNCTION("""COMPUTED_VALUE"""),"كت كات كومبليت كوزين بيور – تونة مع دجاج في المرق 70 غ")</f>
        <v>كت كات كومبليت كوزين بيور – تونة مع دجاج في المرق 70 غ</v>
      </c>
      <c r="H2000" s="133" t="str">
        <f>IFERROR(__xludf.DUMMYFUNCTION("""COMPUTED_VALUE"""),"FOM-2024-5894-FEB-2024-39708 -C-0041-60505")</f>
        <v>FOM-2024-5894-FEB-2024-39708 -C-0041-60505</v>
      </c>
      <c r="I2000" s="133"/>
      <c r="J2000" s="133"/>
      <c r="K2000" s="133" t="str">
        <f>IFERROR(__xludf.DUMMYFUNCTION("""COMPUTED_VALUE"""),"شركة سيام للأغذية العالمية المحدودة")</f>
        <v>شركة سيام للأغذية العالمية المحدودة</v>
      </c>
      <c r="L2000" s="133"/>
      <c r="M2000" s="144">
        <f>IFERROR(__xludf.DUMMYFUNCTION("""COMPUTED_VALUE"""),47307.0)</f>
        <v>47307</v>
      </c>
      <c r="N2000" s="133"/>
      <c r="O2000" s="133"/>
      <c r="P2000" s="133"/>
      <c r="Q2000" s="133"/>
      <c r="R2000" s="133"/>
      <c r="S2000" s="133"/>
      <c r="T2000" s="133"/>
      <c r="U2000" s="133"/>
      <c r="V2000" s="133"/>
      <c r="W2000" s="133"/>
      <c r="X2000" s="133"/>
      <c r="Y2000" s="133"/>
      <c r="Z2000" s="133"/>
    </row>
    <row r="2001">
      <c r="A2001" s="133"/>
      <c r="B2001" s="133"/>
      <c r="C2001" s="133"/>
      <c r="D2001" s="133"/>
      <c r="E2001" s="133" t="str">
        <f>IFERROR(__xludf.DUMMYFUNCTION("""COMPUTED_VALUE"""),"تمت طباعة الشهادة ")</f>
        <v>تمت طباعة الشهادة </v>
      </c>
      <c r="F2001" s="133" t="str">
        <f>IFERROR(__xludf.DUMMYFUNCTION("""COMPUTED_VALUE"""),"fish meal 65% (50kg)")</f>
        <v>fish meal 65% (50kg)</v>
      </c>
      <c r="G2001" s="133" t="str">
        <f>IFERROR(__xludf.DUMMYFUNCTION("""COMPUTED_VALUE"""),"مسحوق سمك 65% (50 كيلو جرام )")</f>
        <v>مسحوق سمك 65% (50 كيلو جرام )</v>
      </c>
      <c r="H2001" s="133" t="str">
        <f>IFERROR(__xludf.DUMMYFUNCTION("""COMPUTED_VALUE"""),"RFM2024308")</f>
        <v>RFM2024308</v>
      </c>
      <c r="I2001" s="133"/>
      <c r="J2001" s="133"/>
      <c r="K2001" s="133"/>
      <c r="L2001" s="133"/>
      <c r="M2001" s="133"/>
      <c r="N2001" s="133"/>
      <c r="O2001" s="133"/>
      <c r="P2001" s="133"/>
      <c r="Q2001" s="133"/>
      <c r="R2001" s="133"/>
      <c r="S2001" s="133"/>
      <c r="T2001" s="133"/>
      <c r="U2001" s="133"/>
      <c r="V2001" s="133"/>
      <c r="W2001" s="133"/>
      <c r="X2001" s="133"/>
      <c r="Y2001" s="133"/>
      <c r="Z2001" s="133"/>
    </row>
    <row r="2002">
      <c r="A2002" s="133"/>
      <c r="B2002" s="133"/>
      <c r="C2002" s="133" t="str">
        <f>IFERROR(__xludf.DUMMYFUNCTION("""COMPUTED_VALUE"""),"P-1-N-300724-4780")</f>
        <v>P-1-N-300724-4780</v>
      </c>
      <c r="D2002" s="133" t="str">
        <f>IFERROR(__xludf.DUMMYFUNCTION("""COMPUTED_VALUE"""),"FEB-2024-55344 ")</f>
        <v>FEB-2024-55344 </v>
      </c>
      <c r="E2002" s="133" t="str">
        <f>IFERROR(__xludf.DUMMYFUNCTION("""COMPUTED_VALUE"""),"تمت طباعة الشهادة ")</f>
        <v>تمت طباعة الشهادة </v>
      </c>
      <c r="F2002" s="133" t="str">
        <f>IFERROR(__xludf.DUMMYFUNCTION("""COMPUTED_VALUE"""),"ZUPREEM NUTBLEND 907G ")</f>
        <v>ZUPREEM NUTBLEND 907G </v>
      </c>
      <c r="G2002" s="133" t="str">
        <f>IFERROR(__xludf.DUMMYFUNCTION("""COMPUTED_VALUE"""),"زوبريم نوتبلند 907جم")</f>
        <v>زوبريم نوتبلند 907جم</v>
      </c>
      <c r="H2002" s="133" t="str">
        <f>IFERROR(__xludf.DUMMYFUNCTION("""COMPUTED_VALUE"""),"FOM-2024-7157-FEB-2024-55344 -C-0041-76151")</f>
        <v>FOM-2024-7157-FEB-2024-55344 -C-0041-76151</v>
      </c>
      <c r="I2002" s="133"/>
      <c r="J2002" s="133"/>
      <c r="K2002" s="133" t="str">
        <f>IFERROR(__xludf.DUMMYFUNCTION("""COMPUTED_VALUE"""),"شركة المنتجات الغذائية المتميزة")</f>
        <v>شركة المنتجات الغذائية المتميزة</v>
      </c>
      <c r="L2002" s="133"/>
      <c r="M2002" s="144">
        <f>IFERROR(__xludf.DUMMYFUNCTION("""COMPUTED_VALUE"""),47307.0)</f>
        <v>47307</v>
      </c>
      <c r="N2002" s="133"/>
      <c r="O2002" s="133"/>
      <c r="P2002" s="133"/>
      <c r="Q2002" s="133"/>
      <c r="R2002" s="133"/>
      <c r="S2002" s="133"/>
      <c r="T2002" s="133"/>
      <c r="U2002" s="133"/>
      <c r="V2002" s="133"/>
      <c r="W2002" s="133"/>
      <c r="X2002" s="133"/>
      <c r="Y2002" s="133"/>
      <c r="Z2002" s="133"/>
    </row>
    <row r="2003">
      <c r="A2003" s="133"/>
      <c r="B2003" s="133"/>
      <c r="C2003" s="133" t="str">
        <f>IFERROR(__xludf.DUMMYFUNCTION("""COMPUTED_VALUE"""),"P-1-N-050824-4875")</f>
        <v>P-1-N-050824-4875</v>
      </c>
      <c r="D2003" s="133"/>
      <c r="E2003" s="133" t="str">
        <f>IFERROR(__xludf.DUMMYFUNCTION("""COMPUTED_VALUE"""),"تمت طباعة الشهادة ")</f>
        <v>تمت طباعة الشهادة </v>
      </c>
      <c r="F2003" s="133" t="str">
        <f>IFERROR(__xludf.DUMMYFUNCTION("""COMPUTED_VALUE"""),"Applaws Tuna with crab 60 gram
")</f>
        <v>Applaws Tuna with crab 60 gram
</v>
      </c>
      <c r="G2003" s="133" t="str">
        <f>IFERROR(__xludf.DUMMYFUNCTION("""COMPUTED_VALUE"""),"ابلاوز تونة مع السلطعون البحري في المرق 60 جرام")</f>
        <v>ابلاوز تونة مع السلطعون البحري في المرق 60 جرام</v>
      </c>
      <c r="H2003" s="133" t="str">
        <f>IFERROR(__xludf.DUMMYFUNCTION("""COMPUTED_VALUE"""),"FOM-2024-5636-FEB-2024-41462 -C-0041-62259")</f>
        <v>FOM-2024-5636-FEB-2024-41462 -C-0041-62259</v>
      </c>
      <c r="I2003" s="133"/>
      <c r="J2003" s="133"/>
      <c r="K2003" s="133" t="str">
        <f>IFERROR(__xludf.DUMMYFUNCTION("""COMPUTED_VALUE"""),"أم بي أم برودكتس ليمتد")</f>
        <v>أم بي أم برودكتس ليمتد</v>
      </c>
      <c r="L2003" s="133"/>
      <c r="M2003" s="133"/>
      <c r="N2003" s="133"/>
      <c r="O2003" s="133"/>
      <c r="P2003" s="133"/>
      <c r="Q2003" s="133"/>
      <c r="R2003" s="133"/>
      <c r="S2003" s="133"/>
      <c r="T2003" s="133"/>
      <c r="U2003" s="133"/>
      <c r="V2003" s="133"/>
      <c r="W2003" s="133"/>
      <c r="X2003" s="133"/>
      <c r="Y2003" s="133"/>
      <c r="Z2003" s="133"/>
    </row>
    <row r="2004">
      <c r="A2004" s="133"/>
      <c r="B2004" s="133"/>
      <c r="C2004" s="133" t="str">
        <f>IFERROR(__xludf.DUMMYFUNCTION("""COMPUTED_VALUE"""),"P-1-N-060824-4896")</f>
        <v>P-1-N-060824-4896</v>
      </c>
      <c r="D2004" s="133"/>
      <c r="E2004" s="133" t="str">
        <f>IFERROR(__xludf.DUMMYFUNCTION("""COMPUTED_VALUE"""),"رفض ")</f>
        <v>رفض </v>
      </c>
      <c r="F2004" s="133" t="str">
        <f>IFERROR(__xludf.DUMMYFUNCTION("""COMPUTED_VALUE"""),"Applaws Chicken Breast with Tuna Roe 60g")</f>
        <v>Applaws Chicken Breast with Tuna Roe 60g</v>
      </c>
      <c r="G2004" s="133" t="str">
        <f>IFERROR(__xludf.DUMMYFUNCTION("""COMPUTED_VALUE"""),"أبلاوز صدر دجاج مع تونة رو 60 جم")</f>
        <v>أبلاوز صدر دجاج مع تونة رو 60 جم</v>
      </c>
      <c r="H2004" s="133"/>
      <c r="I2004" s="133"/>
      <c r="J2004" s="133"/>
      <c r="K2004" s="133" t="str">
        <f>IFERROR(__xludf.DUMMYFUNCTION("""COMPUTED_VALUE"""),"أم بي أم برودكتس ليمتد	")</f>
        <v>أم بي أم برودكتس ليمتد	</v>
      </c>
      <c r="L2004" s="133"/>
      <c r="M2004" s="133"/>
      <c r="N2004" s="133"/>
      <c r="O2004" s="133"/>
      <c r="P2004" s="133"/>
      <c r="Q2004" s="133"/>
      <c r="R2004" s="133"/>
      <c r="S2004" s="133"/>
      <c r="T2004" s="133"/>
      <c r="U2004" s="133"/>
      <c r="V2004" s="133"/>
      <c r="W2004" s="133"/>
      <c r="X2004" s="133"/>
      <c r="Y2004" s="133"/>
      <c r="Z2004" s="133"/>
    </row>
    <row r="2005">
      <c r="A2005" s="133"/>
      <c r="B2005" s="133"/>
      <c r="C2005" s="133" t="str">
        <f>IFERROR(__xludf.DUMMYFUNCTION("""COMPUTED_VALUE"""),"P-1-N-060824-4899")</f>
        <v>P-1-N-060824-4899</v>
      </c>
      <c r="D2005" s="133"/>
      <c r="E2005" s="133" t="str">
        <f>IFERROR(__xludf.DUMMYFUNCTION("""COMPUTED_VALUE"""),"رفض ")</f>
        <v>رفض </v>
      </c>
      <c r="F2005" s="133" t="str">
        <f>IFERROR(__xludf.DUMMYFUNCTION("""COMPUTED_VALUE"""),"Applaws Sardine with Mackerel 60g")</f>
        <v>Applaws Sardine with Mackerel 60g</v>
      </c>
      <c r="G2005" s="133" t="str">
        <f>IFERROR(__xludf.DUMMYFUNCTION("""COMPUTED_VALUE"""),"أبلاوز سردين مع الماكريل 60 جم")</f>
        <v>أبلاوز سردين مع الماكريل 60 جم</v>
      </c>
      <c r="H2005" s="133"/>
      <c r="I2005" s="133"/>
      <c r="J2005" s="133"/>
      <c r="K2005" s="133" t="str">
        <f>IFERROR(__xludf.DUMMYFUNCTION("""COMPUTED_VALUE"""),"أم بي أم برودكتس ليمتد	")</f>
        <v>أم بي أم برودكتس ليمتد	</v>
      </c>
      <c r="L2005" s="133"/>
      <c r="M2005" s="133"/>
      <c r="N2005" s="133"/>
      <c r="O2005" s="133"/>
      <c r="P2005" s="133"/>
      <c r="Q2005" s="133"/>
      <c r="R2005" s="133"/>
      <c r="S2005" s="133"/>
      <c r="T2005" s="133"/>
      <c r="U2005" s="133"/>
      <c r="V2005" s="133"/>
      <c r="W2005" s="133"/>
      <c r="X2005" s="133"/>
      <c r="Y2005" s="133"/>
      <c r="Z2005" s="133"/>
    </row>
    <row r="2006">
      <c r="A2006" s="133"/>
      <c r="B2006" s="133"/>
      <c r="C2006" s="133" t="str">
        <f>IFERROR(__xludf.DUMMYFUNCTION("""COMPUTED_VALUE""")," P-1-N-120824-4990")</f>
        <v> P-1-N-120824-4990</v>
      </c>
      <c r="D2006" s="133"/>
      <c r="E2006" s="133" t="str">
        <f>IFERROR(__xludf.DUMMYFUNCTION("""COMPUTED_VALUE"""),"رفض ")</f>
        <v>رفض </v>
      </c>
      <c r="F2006" s="133" t="str">
        <f>IFERROR(__xludf.DUMMYFUNCTION("""COMPUTED_VALUE"""),"Applaws chicken with Duck 60 gram")</f>
        <v>Applaws chicken with Duck 60 gram</v>
      </c>
      <c r="G2006" s="133" t="str">
        <f>IFERROR(__xludf.DUMMYFUNCTION("""COMPUTED_VALUE"""),"ابلاوز صدور الدجاج مع البط 60 جرام")</f>
        <v>ابلاوز صدور الدجاج مع البط 60 جرام</v>
      </c>
      <c r="H2006" s="133"/>
      <c r="I2006" s="133"/>
      <c r="J2006" s="133"/>
      <c r="K2006" s="133" t="str">
        <f>IFERROR(__xludf.DUMMYFUNCTION("""COMPUTED_VALUE"""),"أم بي أم برودكتس ليمتد	")</f>
        <v>أم بي أم برودكتس ليمتد	</v>
      </c>
      <c r="L2006" s="133"/>
      <c r="M2006" s="133"/>
      <c r="N2006" s="133"/>
      <c r="O2006" s="133"/>
      <c r="P2006" s="133"/>
      <c r="Q2006" s="133"/>
      <c r="R2006" s="133"/>
      <c r="S2006" s="133"/>
      <c r="T2006" s="133"/>
      <c r="U2006" s="133"/>
      <c r="V2006" s="133"/>
      <c r="W2006" s="133"/>
      <c r="X2006" s="133"/>
      <c r="Y2006" s="133"/>
      <c r="Z2006" s="133"/>
    </row>
    <row r="2007">
      <c r="A2007" s="133"/>
      <c r="B2007" s="133"/>
      <c r="C2007" s="133" t="str">
        <f>IFERROR(__xludf.DUMMYFUNCTION("""COMPUTED_VALUE"""),"P-1-N-120824-4997")</f>
        <v>P-1-N-120824-4997</v>
      </c>
      <c r="D2007" s="133"/>
      <c r="E2007" s="133" t="str">
        <f>IFERROR(__xludf.DUMMYFUNCTION("""COMPUTED_VALUE"""),"رفض ")</f>
        <v>رفض </v>
      </c>
      <c r="F2007" s="133" t="str">
        <f>IFERROR(__xludf.DUMMYFUNCTION("""COMPUTED_VALUE"""),"Applaws kitten chicken 70g")</f>
        <v>Applaws kitten chicken 70g</v>
      </c>
      <c r="G2007" s="133" t="str">
        <f>IFERROR(__xludf.DUMMYFUNCTION("""COMPUTED_VALUE"""),"أبلاوز دجاج للقطط الصغيرة في الجيلي 70غ")</f>
        <v>أبلاوز دجاج للقطط الصغيرة في الجيلي 70غ</v>
      </c>
      <c r="H2007" s="133"/>
      <c r="I2007" s="133"/>
      <c r="J2007" s="133"/>
      <c r="K2007" s="133" t="str">
        <f>IFERROR(__xludf.DUMMYFUNCTION("""COMPUTED_VALUE"""),"أم بي أم برودكتس ليمتد	")</f>
        <v>أم بي أم برودكتس ليمتد	</v>
      </c>
      <c r="L2007" s="133"/>
      <c r="M2007" s="133"/>
      <c r="N2007" s="133"/>
      <c r="O2007" s="133"/>
      <c r="P2007" s="133"/>
      <c r="Q2007" s="133"/>
      <c r="R2007" s="133"/>
      <c r="S2007" s="133"/>
      <c r="T2007" s="133"/>
      <c r="U2007" s="133"/>
      <c r="V2007" s="133"/>
      <c r="W2007" s="133"/>
      <c r="X2007" s="133"/>
      <c r="Y2007" s="133"/>
      <c r="Z2007" s="133"/>
    </row>
    <row r="2008">
      <c r="A2008" s="133"/>
      <c r="B2008" s="133"/>
      <c r="C2008" s="133" t="str">
        <f>IFERROR(__xludf.DUMMYFUNCTION("""COMPUTED_VALUE"""),"P-1-N-120824-4998")</f>
        <v>P-1-N-120824-4998</v>
      </c>
      <c r="D2008" s="133"/>
      <c r="E2008" s="133" t="str">
        <f>IFERROR(__xludf.DUMMYFUNCTION("""COMPUTED_VALUE"""),"رفض ")</f>
        <v>رفض </v>
      </c>
      <c r="F2008" s="133" t="str">
        <f>IFERROR(__xludf.DUMMYFUNCTION("""COMPUTED_VALUE"""),"Applaws kitten Tuna 70g")</f>
        <v>Applaws kitten Tuna 70g</v>
      </c>
      <c r="G2008" s="133" t="str">
        <f>IFERROR(__xludf.DUMMYFUNCTION("""COMPUTED_VALUE"""),"أبلاوز فيليه التونة للقطط الصغيرة في الجيلي 70غ")</f>
        <v>أبلاوز فيليه التونة للقطط الصغيرة في الجيلي 70غ</v>
      </c>
      <c r="H2008" s="133"/>
      <c r="I2008" s="133"/>
      <c r="J2008" s="133"/>
      <c r="K2008" s="133" t="str">
        <f>IFERROR(__xludf.DUMMYFUNCTION("""COMPUTED_VALUE"""),"أم بي أم برودكتس ليمتد	")</f>
        <v>أم بي أم برودكتس ليمتد	</v>
      </c>
      <c r="L2008" s="133"/>
      <c r="M2008" s="133"/>
      <c r="N2008" s="133"/>
      <c r="O2008" s="133"/>
      <c r="P2008" s="133"/>
      <c r="Q2008" s="133"/>
      <c r="R2008" s="133"/>
      <c r="S2008" s="133"/>
      <c r="T2008" s="133"/>
      <c r="U2008" s="133"/>
      <c r="V2008" s="133"/>
      <c r="W2008" s="133"/>
      <c r="X2008" s="133"/>
      <c r="Y2008" s="133"/>
      <c r="Z2008" s="133"/>
    </row>
    <row r="2009">
      <c r="A2009" s="133"/>
      <c r="B2009" s="133"/>
      <c r="C2009" s="133" t="str">
        <f>IFERROR(__xludf.DUMMYFUNCTION("""COMPUTED_VALUE"""),"P-1-N-120824-4999")</f>
        <v>P-1-N-120824-4999</v>
      </c>
      <c r="D2009" s="133"/>
      <c r="E2009" s="133" t="str">
        <f>IFERROR(__xludf.DUMMYFUNCTION("""COMPUTED_VALUE"""),"رفض ")</f>
        <v>رفض </v>
      </c>
      <c r="F2009" s="133" t="str">
        <f>IFERROR(__xludf.DUMMYFUNCTION("""COMPUTED_VALUE"""),"Vitalicat Paste 100mL")</f>
        <v>Vitalicat Paste 100mL</v>
      </c>
      <c r="G2009" s="133" t="str">
        <f>IFERROR(__xludf.DUMMYFUNCTION("""COMPUTED_VALUE"""),"فيتاليكات بايست 100 مل")</f>
        <v>فيتاليكات بايست 100 مل</v>
      </c>
      <c r="H2009" s="133"/>
      <c r="I2009" s="133"/>
      <c r="J2009" s="133"/>
      <c r="K2009" s="133" t="str">
        <f>IFERROR(__xludf.DUMMYFUNCTION("""COMPUTED_VALUE"""),"مار كيميا فيت المحدودة")</f>
        <v>مار كيميا فيت المحدودة</v>
      </c>
      <c r="L2009" s="133"/>
      <c r="M2009" s="133"/>
      <c r="N2009" s="133"/>
      <c r="O2009" s="133"/>
      <c r="P2009" s="133"/>
      <c r="Q2009" s="133"/>
      <c r="R2009" s="133"/>
      <c r="S2009" s="133"/>
      <c r="T2009" s="133"/>
      <c r="U2009" s="133"/>
      <c r="V2009" s="133"/>
      <c r="W2009" s="133"/>
      <c r="X2009" s="133"/>
      <c r="Y2009" s="133"/>
      <c r="Z2009" s="133"/>
    </row>
    <row r="2010">
      <c r="A2010" s="133"/>
      <c r="B2010" s="133"/>
      <c r="C2010" s="133" t="str">
        <f>IFERROR(__xludf.DUMMYFUNCTION("""COMPUTED_VALUE"""),"P-1-N-140824-5067")</f>
        <v>P-1-N-140824-5067</v>
      </c>
      <c r="D2010" s="133" t="str">
        <f>IFERROR(__xludf.DUMMYFUNCTION("""COMPUTED_VALUE"""),"FEP-2024-80865
")</f>
        <v>FEP-2024-80865
</v>
      </c>
      <c r="E2010" s="133" t="str">
        <f>IFERROR(__xludf.DUMMYFUNCTION("""COMPUTED_VALUE"""),"مكتمل")</f>
        <v>مكتمل</v>
      </c>
      <c r="F2010" s="133" t="str">
        <f>IFERROR(__xludf.DUMMYFUNCTION("""COMPUTED_VALUE"""),"SOLID GOLD INDIGO MOON CHICKEN GRAIN FREE 2.72KG")</f>
        <v>SOLID GOLD INDIGO MOON CHICKEN GRAIN FREE 2.72KG</v>
      </c>
      <c r="G2010" s="133" t="str">
        <f>IFERROR(__xludf.DUMMYFUNCTION("""COMPUTED_VALUE"""),"سولید جولد اندیجو مون بالدجاج خالي من الحبوب 2.72كغ")</f>
        <v>سولید جولد اندیجو مون بالدجاج خالي من الحبوب 2.72كغ</v>
      </c>
      <c r="H2010" s="133" t="str">
        <f>IFERROR(__xludf.DUMMYFUNCTION("""COMPUTED_VALUE"""),"FOM-2024-0902-FEP-2024-80865-C-22548-0678")</f>
        <v>FOM-2024-0902-FEP-2024-80865-C-22548-0678</v>
      </c>
      <c r="I2010" s="133"/>
      <c r="J2010" s="133"/>
      <c r="K2010" s="133" t="str">
        <f>IFERROR(__xludf.DUMMYFUNCTION("""COMPUTED_VALUE"""),"شركة سوليد جولد بيت المحدودة المسؤولية")</f>
        <v>شركة سوليد جولد بيت المحدودة المسؤولية</v>
      </c>
      <c r="L2010" s="133"/>
      <c r="M2010" s="133"/>
      <c r="N2010" s="133"/>
      <c r="O2010" s="133"/>
      <c r="P2010" s="133"/>
      <c r="Q2010" s="133"/>
      <c r="R2010" s="133"/>
      <c r="S2010" s="133"/>
      <c r="T2010" s="133"/>
      <c r="U2010" s="133"/>
      <c r="V2010" s="133"/>
      <c r="W2010" s="133"/>
      <c r="X2010" s="133"/>
      <c r="Y2010" s="133"/>
      <c r="Z2010" s="133"/>
    </row>
    <row r="2011">
      <c r="A2011" s="133"/>
      <c r="B2011" s="133"/>
      <c r="C2011" s="133" t="str">
        <f>IFERROR(__xludf.DUMMYFUNCTION("""COMPUTED_VALUE"""),"P-1-N-140824-5066")</f>
        <v>P-1-N-140824-5066</v>
      </c>
      <c r="D2011" s="133" t="str">
        <f>IFERROR(__xludf.DUMMYFUNCTION("""COMPUTED_VALUE"""),"FEP-2024-80864
")</f>
        <v>FEP-2024-80864
</v>
      </c>
      <c r="E2011" s="133" t="str">
        <f>IFERROR(__xludf.DUMMYFUNCTION("""COMPUTED_VALUE"""),"مكتمل")</f>
        <v>مكتمل</v>
      </c>
      <c r="F2011" s="133" t="str">
        <f>IFERROR(__xludf.DUMMYFUNCTION("""COMPUTED_VALUE"""),"SOLID GOLD INDIGO MOON CHICKEN GRAIN FREE 1.36KG")</f>
        <v>SOLID GOLD INDIGO MOON CHICKEN GRAIN FREE 1.36KG</v>
      </c>
      <c r="G2011" s="133" t="str">
        <f>IFERROR(__xludf.DUMMYFUNCTION("""COMPUTED_VALUE"""),"سولید جولد اندیجو مون بالدجاج خالي من الحبوب 1.36كغ")</f>
        <v>سولید جولد اندیجو مون بالدجاج خالي من الحبوب 1.36كغ</v>
      </c>
      <c r="H2011" s="133" t="str">
        <f>IFERROR(__xludf.DUMMYFUNCTION("""COMPUTED_VALUE"""),"FOM-2024-0902-FEP-2024-80864-C-22548-0680
")</f>
        <v>FOM-2024-0902-FEP-2024-80864-C-22548-0680
</v>
      </c>
      <c r="I2011" s="133"/>
      <c r="J2011" s="133"/>
      <c r="K2011" s="133" t="str">
        <f>IFERROR(__xludf.DUMMYFUNCTION("""COMPUTED_VALUE"""),"شركة سوليد جولد بيت المحدودة المسؤولية")</f>
        <v>شركة سوليد جولد بيت المحدودة المسؤولية</v>
      </c>
      <c r="L2011" s="133"/>
      <c r="M2011" s="133"/>
      <c r="N2011" s="133"/>
      <c r="O2011" s="133"/>
      <c r="P2011" s="133"/>
      <c r="Q2011" s="133"/>
      <c r="R2011" s="133"/>
      <c r="S2011" s="133"/>
      <c r="T2011" s="133"/>
      <c r="U2011" s="133"/>
      <c r="V2011" s="133"/>
      <c r="W2011" s="133"/>
      <c r="X2011" s="133"/>
      <c r="Y2011" s="133"/>
      <c r="Z2011" s="133"/>
    </row>
    <row r="2012">
      <c r="A2012" s="133"/>
      <c r="B2012" s="133"/>
      <c r="C2012" s="133" t="str">
        <f>IFERROR(__xludf.DUMMYFUNCTION("""COMPUTED_VALUE"""),"P-1-N-140824-5065")</f>
        <v>P-1-N-140824-5065</v>
      </c>
      <c r="D2012" s="133" t="str">
        <f>IFERROR(__xludf.DUMMYFUNCTION("""COMPUTED_VALUE"""),"FEP-2024-80863
")</f>
        <v>FEP-2024-80863
</v>
      </c>
      <c r="E2012" s="133" t="str">
        <f>IFERROR(__xludf.DUMMYFUNCTION("""COMPUTED_VALUE"""),"مكتمل")</f>
        <v>مكتمل</v>
      </c>
      <c r="F2012" s="133" t="str">
        <f>IFERROR(__xludf.DUMMYFUNCTION("""COMPUTED_VALUE"""),"SOLID GOLD FIT AS A FIDDLE POLLOCK GRAIN FREE 5.44KG")</f>
        <v>SOLID GOLD FIT AS A FIDDLE POLLOCK GRAIN FREE 5.44KG</v>
      </c>
      <c r="G2012" s="133" t="str">
        <f>IFERROR(__xludf.DUMMYFUNCTION("""COMPUTED_VALUE"""),"سولید جولد فیت از ا فیدل بسمك البلوق خالي من الحبوب 5.44كغ")</f>
        <v>سولید جولد فیت از ا فیدل بسمك البلوق خالي من الحبوب 5.44كغ</v>
      </c>
      <c r="H2012" s="133" t="str">
        <f>IFERROR(__xludf.DUMMYFUNCTION("""COMPUTED_VALUE"""),"FOM-2024-0902-FEP-2024-80863-C-22548-0684")</f>
        <v>FOM-2024-0902-FEP-2024-80863-C-22548-0684</v>
      </c>
      <c r="I2012" s="133"/>
      <c r="J2012" s="133"/>
      <c r="K2012" s="133" t="str">
        <f>IFERROR(__xludf.DUMMYFUNCTION("""COMPUTED_VALUE"""),"شركة سوليد جولد بيت المحدودة المسؤولية")</f>
        <v>شركة سوليد جولد بيت المحدودة المسؤولية</v>
      </c>
      <c r="L2012" s="133"/>
      <c r="M2012" s="144">
        <f>IFERROR(__xludf.DUMMYFUNCTION("""COMPUTED_VALUE"""),47308.0)</f>
        <v>47308</v>
      </c>
      <c r="N2012" s="133"/>
      <c r="O2012" s="133"/>
      <c r="P2012" s="133"/>
      <c r="Q2012" s="133"/>
      <c r="R2012" s="133"/>
      <c r="S2012" s="133"/>
      <c r="T2012" s="133"/>
      <c r="U2012" s="133"/>
      <c r="V2012" s="133"/>
      <c r="W2012" s="133"/>
      <c r="X2012" s="133"/>
      <c r="Y2012" s="133"/>
      <c r="Z2012" s="133"/>
    </row>
    <row r="2013">
      <c r="A2013" s="133"/>
      <c r="B2013" s="133"/>
      <c r="C2013" s="133" t="str">
        <f>IFERROR(__xludf.DUMMYFUNCTION("""COMPUTED_VALUE"""),"P-1-N-140824-5064")</f>
        <v>P-1-N-140824-5064</v>
      </c>
      <c r="D2013" s="133"/>
      <c r="E2013" s="133" t="str">
        <f>IFERROR(__xludf.DUMMYFUNCTION("""COMPUTED_VALUE"""),"رفض ")</f>
        <v>رفض </v>
      </c>
      <c r="F2013" s="133" t="str">
        <f>IFERROR(__xludf.DUMMYFUNCTION("""COMPUTED_VALUE"""),"SOLID GOLD FIT AS A FIDDLE POLLOCK GRAIN FREE 2.72KG")</f>
        <v>SOLID GOLD FIT AS A FIDDLE POLLOCK GRAIN FREE 2.72KG</v>
      </c>
      <c r="G2013" s="133" t="str">
        <f>IFERROR(__xludf.DUMMYFUNCTION("""COMPUTED_VALUE"""),"سولید جولد فیت از ا فیدل بسمك البلوق خالي من الحبوب 2.72كغ")</f>
        <v>سولید جولد فیت از ا فیدل بسمك البلوق خالي من الحبوب 2.72كغ</v>
      </c>
      <c r="H2013" s="133"/>
      <c r="I2013" s="133"/>
      <c r="J2013" s="133"/>
      <c r="K2013" s="133" t="str">
        <f>IFERROR(__xludf.DUMMYFUNCTION("""COMPUTED_VALUE"""),"شركة سوليد جولد بيت المحدودة المسؤولية")</f>
        <v>شركة سوليد جولد بيت المحدودة المسؤولية</v>
      </c>
      <c r="L2013" s="133"/>
      <c r="M2013" s="133"/>
      <c r="N2013" s="133"/>
      <c r="O2013" s="133"/>
      <c r="P2013" s="133"/>
      <c r="Q2013" s="133"/>
      <c r="R2013" s="133"/>
      <c r="S2013" s="133"/>
      <c r="T2013" s="133"/>
      <c r="U2013" s="133"/>
      <c r="V2013" s="133"/>
      <c r="W2013" s="133"/>
      <c r="X2013" s="133"/>
      <c r="Y2013" s="133"/>
      <c r="Z2013" s="133"/>
    </row>
    <row r="2014">
      <c r="A2014" s="133"/>
      <c r="B2014" s="133"/>
      <c r="C2014" s="133" t="str">
        <f>IFERROR(__xludf.DUMMYFUNCTION("""COMPUTED_VALUE"""),"P-1-N-140824-5062")</f>
        <v>P-1-N-140824-5062</v>
      </c>
      <c r="D2014" s="133"/>
      <c r="E2014" s="133" t="str">
        <f>IFERROR(__xludf.DUMMYFUNCTION("""COMPUTED_VALUE"""),"رفض ")</f>
        <v>رفض </v>
      </c>
      <c r="F2014" s="133" t="str">
        <f>IFERROR(__xludf.DUMMYFUNCTION("""COMPUTED_VALUE"""),"SOLID GOLD FIT AND FABULOUS CHICKEN GRAIN FREE 374G")</f>
        <v>SOLID GOLD FIT AND FABULOUS CHICKEN GRAIN FREE 374G</v>
      </c>
      <c r="G2014" s="133" t="str">
        <f>IFERROR(__xludf.DUMMYFUNCTION("""COMPUTED_VALUE"""),"سولید جولد فیت اند فابیلس بالدجاج خالي من الحبوب 374غ")</f>
        <v>سولید جولد فیت اند فابیلس بالدجاج خالي من الحبوب 374غ</v>
      </c>
      <c r="H2014" s="133"/>
      <c r="I2014" s="133"/>
      <c r="J2014" s="133"/>
      <c r="K2014" s="133" t="str">
        <f>IFERROR(__xludf.DUMMYFUNCTION("""COMPUTED_VALUE"""),"شركة سوليد جولد بيت المحدودة المسؤولية")</f>
        <v>شركة سوليد جولد بيت المحدودة المسؤولية</v>
      </c>
      <c r="L2014" s="133"/>
      <c r="M2014" s="133"/>
      <c r="N2014" s="133"/>
      <c r="O2014" s="133"/>
      <c r="P2014" s="133"/>
      <c r="Q2014" s="133"/>
      <c r="R2014" s="133"/>
      <c r="S2014" s="133"/>
      <c r="T2014" s="133"/>
      <c r="U2014" s="133"/>
      <c r="V2014" s="133"/>
      <c r="W2014" s="133"/>
      <c r="X2014" s="133"/>
      <c r="Y2014" s="133"/>
      <c r="Z2014" s="133"/>
    </row>
    <row r="2015">
      <c r="A2015" s="133"/>
      <c r="B2015" s="133"/>
      <c r="C2015" s="133" t="str">
        <f>IFERROR(__xludf.DUMMYFUNCTION("""COMPUTED_VALUE"""),"P-1-N-140824-5057")</f>
        <v>P-1-N-140824-5057</v>
      </c>
      <c r="D2015" s="133" t="str">
        <f>IFERROR(__xludf.DUMMYFUNCTION("""COMPUTED_VALUE"""),"1026SRE-A")</f>
        <v>1026SRE-A</v>
      </c>
      <c r="E2015" s="133" t="str">
        <f>IFERROR(__xludf.DUMMYFUNCTION("""COMPUTED_VALUE"""),"رفض ")</f>
        <v>رفض </v>
      </c>
      <c r="F2015" s="133" t="str">
        <f>IFERROR(__xludf.DUMMYFUNCTION("""COMPUTED_VALUE"""),"Applaws Tuna with crab in broth 70g")</f>
        <v>Applaws Tuna with crab in broth 70g</v>
      </c>
      <c r="G2015" s="133" t="str">
        <f>IFERROR(__xludf.DUMMYFUNCTION("""COMPUTED_VALUE"""),"ابلاوز تونة مع السلطعون البحري في المرق 70 جرام")</f>
        <v>ابلاوز تونة مع السلطعون البحري في المرق 70 جرام</v>
      </c>
      <c r="H2015" s="133"/>
      <c r="I2015" s="133"/>
      <c r="J2015" s="133"/>
      <c r="K2015" s="133" t="str">
        <f>IFERROR(__xludf.DUMMYFUNCTION("""COMPUTED_VALUE"""),"أم بي أم برودكتس ليمتد")</f>
        <v>أم بي أم برودكتس ليمتد</v>
      </c>
      <c r="L2015" s="133"/>
      <c r="M2015" s="133"/>
      <c r="N2015" s="133"/>
      <c r="O2015" s="133"/>
      <c r="P2015" s="133"/>
      <c r="Q2015" s="133"/>
      <c r="R2015" s="133"/>
      <c r="S2015" s="133"/>
      <c r="T2015" s="133"/>
      <c r="U2015" s="133"/>
      <c r="V2015" s="133"/>
      <c r="W2015" s="133"/>
      <c r="X2015" s="133"/>
      <c r="Y2015" s="133"/>
      <c r="Z2015" s="133"/>
    </row>
    <row r="2016">
      <c r="A2016" s="133"/>
      <c r="B2016" s="133"/>
      <c r="C2016" s="133" t="str">
        <f>IFERROR(__xludf.DUMMYFUNCTION("""COMPUTED_VALUE"""),"P-1-N-140824-5055")</f>
        <v>P-1-N-140824-5055</v>
      </c>
      <c r="D2016" s="133"/>
      <c r="E2016" s="133" t="str">
        <f>IFERROR(__xludf.DUMMYFUNCTION("""COMPUTED_VALUE"""),"رفض ")</f>
        <v>رفض </v>
      </c>
      <c r="F2016" s="133" t="str">
        <f>IFERROR(__xludf.DUMMYFUNCTION("""COMPUTED_VALUE"""),"Applaws Chicken breast in broth 60g")</f>
        <v>Applaws Chicken breast in broth 60g</v>
      </c>
      <c r="G2016" s="133" t="str">
        <f>IFERROR(__xludf.DUMMYFUNCTION("""COMPUTED_VALUE"""),"أبلاوز صدور الدجاج في المرق 60 غ")</f>
        <v>أبلاوز صدور الدجاج في المرق 60 غ</v>
      </c>
      <c r="H2016" s="133"/>
      <c r="I2016" s="133"/>
      <c r="J2016" s="133"/>
      <c r="K2016" s="133" t="str">
        <f>IFERROR(__xludf.DUMMYFUNCTION("""COMPUTED_VALUE"""),"أم بي أم برودكتس ليمتد")</f>
        <v>أم بي أم برودكتس ليمتد</v>
      </c>
      <c r="L2016" s="133"/>
      <c r="M2016" s="133"/>
      <c r="N2016" s="133"/>
      <c r="O2016" s="133"/>
      <c r="P2016" s="133"/>
      <c r="Q2016" s="133"/>
      <c r="R2016" s="133"/>
      <c r="S2016" s="133"/>
      <c r="T2016" s="133"/>
      <c r="U2016" s="133"/>
      <c r="V2016" s="133"/>
      <c r="W2016" s="133"/>
      <c r="X2016" s="133"/>
      <c r="Y2016" s="133"/>
      <c r="Z2016" s="133"/>
    </row>
    <row r="2017">
      <c r="A2017" s="133"/>
      <c r="B2017" s="133"/>
      <c r="C2017" s="133" t="str">
        <f>IFERROR(__xludf.DUMMYFUNCTION("""COMPUTED_VALUE"""),"P-1-N-130824-5041")</f>
        <v>P-1-N-130824-5041</v>
      </c>
      <c r="D2017" s="133"/>
      <c r="E2017" s="133" t="str">
        <f>IFERROR(__xludf.DUMMYFUNCTION("""COMPUTED_VALUE"""),"رفض ")</f>
        <v>رفض </v>
      </c>
      <c r="F2017" s="133" t="str">
        <f>IFERROR(__xludf.DUMMYFUNCTION("""COMPUTED_VALUE"""),"Applaws Chicken Breast with Tuna fillet in broth 70g")</f>
        <v>Applaws Chicken Breast with Tuna fillet in broth 70g</v>
      </c>
      <c r="G2017" s="133" t="str">
        <f>IFERROR(__xludf.DUMMYFUNCTION("""COMPUTED_VALUE"""),"أبلاوز صدر دجاج مع فيليه تونة في المرق 70 غ")</f>
        <v>أبلاوز صدر دجاج مع فيليه تونة في المرق 70 غ</v>
      </c>
      <c r="H2017" s="133"/>
      <c r="I2017" s="133"/>
      <c r="J2017" s="133"/>
      <c r="K2017" s="133" t="str">
        <f>IFERROR(__xludf.DUMMYFUNCTION("""COMPUTED_VALUE"""),"أم بي أم برودكتس ليمتد")</f>
        <v>أم بي أم برودكتس ليمتد</v>
      </c>
      <c r="L2017" s="133"/>
      <c r="M2017" s="133"/>
      <c r="N2017" s="133"/>
      <c r="O2017" s="133"/>
      <c r="P2017" s="133"/>
      <c r="Q2017" s="133"/>
      <c r="R2017" s="133"/>
      <c r="S2017" s="133"/>
      <c r="T2017" s="133"/>
      <c r="U2017" s="133"/>
      <c r="V2017" s="133"/>
      <c r="W2017" s="133"/>
      <c r="X2017" s="133"/>
      <c r="Y2017" s="133"/>
      <c r="Z2017" s="133"/>
    </row>
    <row r="2018">
      <c r="A2018" s="133"/>
      <c r="B2018" s="133"/>
      <c r="C2018" s="133" t="str">
        <f>IFERROR(__xludf.DUMMYFUNCTION("""COMPUTED_VALUE"""),"P-1-N-130824-5039")</f>
        <v>P-1-N-130824-5039</v>
      </c>
      <c r="D2018" s="133"/>
      <c r="E2018" s="133" t="str">
        <f>IFERROR(__xludf.DUMMYFUNCTION("""COMPUTED_VALUE"""),"رفض ")</f>
        <v>رفض </v>
      </c>
      <c r="F2018" s="133" t="str">
        <f>IFERROR(__xludf.DUMMYFUNCTION("""COMPUTED_VALUE"""),"Applaws Chicken breast in broth 70")</f>
        <v>Applaws Chicken breast in broth 70</v>
      </c>
      <c r="G2018" s="133" t="str">
        <f>IFERROR(__xludf.DUMMYFUNCTION("""COMPUTED_VALUE"""),"أبلاوز صدور الدجاج في المرق 70 غ")</f>
        <v>أبلاوز صدور الدجاج في المرق 70 غ</v>
      </c>
      <c r="H2018" s="133"/>
      <c r="I2018" s="133"/>
      <c r="J2018" s="133"/>
      <c r="K2018" s="133" t="str">
        <f>IFERROR(__xludf.DUMMYFUNCTION("""COMPUTED_VALUE"""),"أم بي أم برودكتس ليمتد")</f>
        <v>أم بي أم برودكتس ليمتد</v>
      </c>
      <c r="L2018" s="133"/>
      <c r="M2018" s="133"/>
      <c r="N2018" s="133"/>
      <c r="O2018" s="133"/>
      <c r="P2018" s="133"/>
      <c r="Q2018" s="133"/>
      <c r="R2018" s="133"/>
      <c r="S2018" s="133"/>
      <c r="T2018" s="133"/>
      <c r="U2018" s="133"/>
      <c r="V2018" s="133"/>
      <c r="W2018" s="133"/>
      <c r="X2018" s="133"/>
      <c r="Y2018" s="133"/>
      <c r="Z2018" s="133"/>
    </row>
    <row r="2019">
      <c r="A2019" s="133"/>
      <c r="B2019" s="133"/>
      <c r="C2019" s="133" t="str">
        <f>IFERROR(__xludf.DUMMYFUNCTION("""COMPUTED_VALUE"""),"P-1-N-130824-5037")</f>
        <v>P-1-N-130824-5037</v>
      </c>
      <c r="D2019" s="133"/>
      <c r="E2019" s="133" t="str">
        <f>IFERROR(__xludf.DUMMYFUNCTION("""COMPUTED_VALUE"""),"رفض ")</f>
        <v>رفض </v>
      </c>
      <c r="F2019" s="133" t="str">
        <f>IFERROR(__xludf.DUMMYFUNCTION("""COMPUTED_VALUE"""),"Applaws Tuna Fillet in Broth 70g")</f>
        <v>Applaws Tuna Fillet in Broth 70g</v>
      </c>
      <c r="G2019" s="133" t="str">
        <f>IFERROR(__xludf.DUMMYFUNCTION("""COMPUTED_VALUE"""),"أبلاوز فيليه التونة في المرق 70 غ")</f>
        <v>أبلاوز فيليه التونة في المرق 70 غ</v>
      </c>
      <c r="H2019" s="133"/>
      <c r="I2019" s="133"/>
      <c r="J2019" s="133"/>
      <c r="K2019" s="133" t="str">
        <f>IFERROR(__xludf.DUMMYFUNCTION("""COMPUTED_VALUE"""),"أم بي أم برودكتس ليمتد")</f>
        <v>أم بي أم برودكتس ليمتد</v>
      </c>
      <c r="L2019" s="133"/>
      <c r="M2019" s="133"/>
      <c r="N2019" s="133"/>
      <c r="O2019" s="133"/>
      <c r="P2019" s="133"/>
      <c r="Q2019" s="133"/>
      <c r="R2019" s="133"/>
      <c r="S2019" s="133"/>
      <c r="T2019" s="133"/>
      <c r="U2019" s="133"/>
      <c r="V2019" s="133"/>
      <c r="W2019" s="133"/>
      <c r="X2019" s="133"/>
      <c r="Y2019" s="133"/>
      <c r="Z2019" s="133"/>
    </row>
    <row r="2020">
      <c r="A2020" s="133"/>
      <c r="B2020" s="133"/>
      <c r="C2020" s="133" t="str">
        <f>IFERROR(__xludf.DUMMYFUNCTION("""COMPUTED_VALUE"""),"P-1-N-130824-5036")</f>
        <v>P-1-N-130824-5036</v>
      </c>
      <c r="D2020" s="133"/>
      <c r="E2020" s="133" t="str">
        <f>IFERROR(__xludf.DUMMYFUNCTION("""COMPUTED_VALUE"""),"رفض ")</f>
        <v>رفض </v>
      </c>
      <c r="F2020" s="133" t="str">
        <f>IFERROR(__xludf.DUMMYFUNCTION("""COMPUTED_VALUE"""),"Dermacat Paste 100mL")</f>
        <v>Dermacat Paste 100mL</v>
      </c>
      <c r="G2020" s="133" t="str">
        <f>IFERROR(__xludf.DUMMYFUNCTION("""COMPUTED_VALUE"""),"ديرماكات بايست 100 مل")</f>
        <v>ديرماكات بايست 100 مل</v>
      </c>
      <c r="H2020" s="133"/>
      <c r="I2020" s="133"/>
      <c r="J2020" s="133"/>
      <c r="K2020" s="133" t="str">
        <f>IFERROR(__xludf.DUMMYFUNCTION("""COMPUTED_VALUE"""),"مار كيميا فيت المحدودة")</f>
        <v>مار كيميا فيت المحدودة</v>
      </c>
      <c r="L2020" s="133"/>
      <c r="M2020" s="133"/>
      <c r="N2020" s="133"/>
      <c r="O2020" s="133"/>
      <c r="P2020" s="133"/>
      <c r="Q2020" s="133"/>
      <c r="R2020" s="133"/>
      <c r="S2020" s="133"/>
      <c r="T2020" s="133"/>
      <c r="U2020" s="133"/>
      <c r="V2020" s="133"/>
      <c r="W2020" s="133"/>
      <c r="X2020" s="133"/>
      <c r="Y2020" s="133"/>
      <c r="Z2020" s="133"/>
    </row>
    <row r="2021">
      <c r="A2021" s="133"/>
      <c r="B2021" s="133"/>
      <c r="C2021" s="133" t="str">
        <f>IFERROR(__xludf.DUMMYFUNCTION("""COMPUTED_VALUE"""),"P-1-N-130824-5035")</f>
        <v>P-1-N-130824-5035</v>
      </c>
      <c r="D2021" s="133"/>
      <c r="E2021" s="133" t="str">
        <f>IFERROR(__xludf.DUMMYFUNCTION("""COMPUTED_VALUE"""),"رفض ")</f>
        <v>رفض </v>
      </c>
      <c r="F2021" s="133" t="str">
        <f>IFERROR(__xludf.DUMMYFUNCTION("""COMPUTED_VALUE"""),"Bio Puppy 200g")</f>
        <v>Bio Puppy 200g</v>
      </c>
      <c r="G2021" s="133" t="str">
        <f>IFERROR(__xludf.DUMMYFUNCTION("""COMPUTED_VALUE"""),"بيو بوبي 200 جم")</f>
        <v>بيو بوبي 200 جم</v>
      </c>
      <c r="H2021" s="133"/>
      <c r="I2021" s="133"/>
      <c r="J2021" s="133"/>
      <c r="K2021" s="133" t="str">
        <f>IFERROR(__xludf.DUMMYFUNCTION("""COMPUTED_VALUE"""),"مار كيميا فيت المحدودة")</f>
        <v>مار كيميا فيت المحدودة</v>
      </c>
      <c r="L2021" s="133"/>
      <c r="M2021" s="133"/>
      <c r="N2021" s="133"/>
      <c r="O2021" s="133"/>
      <c r="P2021" s="133"/>
      <c r="Q2021" s="133"/>
      <c r="R2021" s="133"/>
      <c r="S2021" s="133"/>
      <c r="T2021" s="133"/>
      <c r="U2021" s="133"/>
      <c r="V2021" s="133"/>
      <c r="W2021" s="133"/>
      <c r="X2021" s="133"/>
      <c r="Y2021" s="133"/>
      <c r="Z2021" s="133"/>
    </row>
    <row r="2022">
      <c r="A2022" s="133"/>
      <c r="B2022" s="133"/>
      <c r="C2022" s="133" t="str">
        <f>IFERROR(__xludf.DUMMYFUNCTION("""COMPUTED_VALUE"""),"P-1-N-130824-5034")</f>
        <v>P-1-N-130824-5034</v>
      </c>
      <c r="D2022" s="133"/>
      <c r="E2022" s="133" t="str">
        <f>IFERROR(__xludf.DUMMYFUNCTION("""COMPUTED_VALUE"""),"رفض ")</f>
        <v>رفض </v>
      </c>
      <c r="F2022" s="133" t="str">
        <f>IFERROR(__xludf.DUMMYFUNCTION("""COMPUTED_VALUE"""),"Bio Kitten 200g")</f>
        <v>Bio Kitten 200g</v>
      </c>
      <c r="G2022" s="133" t="str">
        <f>IFERROR(__xludf.DUMMYFUNCTION("""COMPUTED_VALUE"""),"بيو كيتن 200 جم")</f>
        <v>بيو كيتن 200 جم</v>
      </c>
      <c r="H2022" s="133"/>
      <c r="I2022" s="133"/>
      <c r="J2022" s="133"/>
      <c r="K2022" s="133" t="str">
        <f>IFERROR(__xludf.DUMMYFUNCTION("""COMPUTED_VALUE"""),"مار كيميا فيت المحدودة")</f>
        <v>مار كيميا فيت المحدودة</v>
      </c>
      <c r="L2022" s="133"/>
      <c r="M2022" s="133"/>
      <c r="N2022" s="133"/>
      <c r="O2022" s="133"/>
      <c r="P2022" s="133"/>
      <c r="Q2022" s="133"/>
      <c r="R2022" s="133"/>
      <c r="S2022" s="133"/>
      <c r="T2022" s="133"/>
      <c r="U2022" s="133"/>
      <c r="V2022" s="133"/>
      <c r="W2022" s="133"/>
      <c r="X2022" s="133"/>
      <c r="Y2022" s="133"/>
      <c r="Z2022" s="133"/>
    </row>
    <row r="2023">
      <c r="A2023" s="133"/>
      <c r="B2023" s="133"/>
      <c r="C2023" s="133" t="str">
        <f>IFERROR(__xludf.DUMMYFUNCTION("""COMPUTED_VALUE"""),"P-1-N-130824-5032")</f>
        <v>P-1-N-130824-5032</v>
      </c>
      <c r="D2023" s="133"/>
      <c r="E2023" s="133" t="str">
        <f>IFERROR(__xludf.DUMMYFUNCTION("""COMPUTED_VALUE"""),"رفض ")</f>
        <v>رفض </v>
      </c>
      <c r="F2023" s="133" t="str">
        <f>IFERROR(__xludf.DUMMYFUNCTION("""COMPUTED_VALUE"""),"بيو كيتن الجرو الحيوي معجون ديرماكات 100 مل")</f>
        <v>بيو كيتن الجرو الحيوي معجون ديرماكات 100 مل</v>
      </c>
      <c r="G2023" s="133"/>
      <c r="H2023" s="133"/>
      <c r="I2023" s="133"/>
      <c r="J2023" s="133"/>
      <c r="K2023" s="133" t="str">
        <f>IFERROR(__xludf.DUMMYFUNCTION("""COMPUTED_VALUE"""),"مار كيميا فيت المحدودة")</f>
        <v>مار كيميا فيت المحدودة</v>
      </c>
      <c r="L2023" s="133"/>
      <c r="M2023" s="133"/>
      <c r="N2023" s="133"/>
      <c r="O2023" s="133"/>
      <c r="P2023" s="133"/>
      <c r="Q2023" s="133"/>
      <c r="R2023" s="133"/>
      <c r="S2023" s="133"/>
      <c r="T2023" s="133"/>
      <c r="U2023" s="133"/>
      <c r="V2023" s="133"/>
      <c r="W2023" s="133"/>
      <c r="X2023" s="133"/>
      <c r="Y2023" s="133"/>
      <c r="Z2023" s="133"/>
    </row>
    <row r="2024">
      <c r="A2024" s="133"/>
      <c r="B2024" s="133"/>
      <c r="C2024" s="133" t="str">
        <f>IFERROR(__xludf.DUMMYFUNCTION("""COMPUTED_VALUE"""),"P-1-N-130824-5030")</f>
        <v>P-1-N-130824-5030</v>
      </c>
      <c r="D2024" s="133"/>
      <c r="E2024" s="133" t="str">
        <f>IFERROR(__xludf.DUMMYFUNCTION("""COMPUTED_VALUE"""),"رفض ")</f>
        <v>رفض </v>
      </c>
      <c r="F2024" s="133" t="str">
        <f>IFERROR(__xludf.DUMMYFUNCTION("""COMPUTED_VALUE"""),"Catimalt Plus Soft Paste 100mL")</f>
        <v>Catimalt Plus Soft Paste 100mL</v>
      </c>
      <c r="G2024" s="133" t="str">
        <f>IFERROR(__xludf.DUMMYFUNCTION("""COMPUTED_VALUE"""),"كاتيمالت بلس سوفت بايست 100 مل")</f>
        <v>كاتيمالت بلس سوفت بايست 100 مل</v>
      </c>
      <c r="H2024" s="133"/>
      <c r="I2024" s="133"/>
      <c r="J2024" s="133"/>
      <c r="K2024" s="133" t="str">
        <f>IFERROR(__xludf.DUMMYFUNCTION("""COMPUTED_VALUE"""),"مار كيميا فيت المحدودة")</f>
        <v>مار كيميا فيت المحدودة</v>
      </c>
      <c r="L2024" s="133"/>
      <c r="M2024" s="133"/>
      <c r="N2024" s="133"/>
      <c r="O2024" s="133"/>
      <c r="P2024" s="133"/>
      <c r="Q2024" s="133"/>
      <c r="R2024" s="133"/>
      <c r="S2024" s="133"/>
      <c r="T2024" s="133"/>
      <c r="U2024" s="133"/>
      <c r="V2024" s="133"/>
      <c r="W2024" s="133"/>
      <c r="X2024" s="133"/>
      <c r="Y2024" s="133"/>
      <c r="Z2024" s="133"/>
    </row>
    <row r="2025">
      <c r="A2025" s="133"/>
      <c r="B2025" s="133"/>
      <c r="C2025" s="133" t="str">
        <f>IFERROR(__xludf.DUMMYFUNCTION("""COMPUTED_VALUE"""),"P-1-N-130824-5029")</f>
        <v>P-1-N-130824-5029</v>
      </c>
      <c r="D2025" s="133"/>
      <c r="E2025" s="133" t="str">
        <f>IFERROR(__xludf.DUMMYFUNCTION("""COMPUTED_VALUE"""),"رفض ")</f>
        <v>رفض </v>
      </c>
      <c r="F2025" s="133" t="str">
        <f>IFERROR(__xludf.DUMMYFUNCTION("""COMPUTED_VALUE"""),"Catimalt Plus Soft Paste 25mL")</f>
        <v>Catimalt Plus Soft Paste 25mL</v>
      </c>
      <c r="G2025" s="133" t="str">
        <f>IFERROR(__xludf.DUMMYFUNCTION("""COMPUTED_VALUE"""),"كاتيمالت بلس سوفت بايست 25 مل")</f>
        <v>كاتيمالت بلس سوفت بايست 25 مل</v>
      </c>
      <c r="H2025" s="133"/>
      <c r="I2025" s="133"/>
      <c r="J2025" s="133"/>
      <c r="K2025" s="133" t="str">
        <f>IFERROR(__xludf.DUMMYFUNCTION("""COMPUTED_VALUE"""),"مار كيميا فيت المحدودة")</f>
        <v>مار كيميا فيت المحدودة</v>
      </c>
      <c r="L2025" s="133"/>
      <c r="M2025" s="133"/>
      <c r="N2025" s="133"/>
      <c r="O2025" s="133"/>
      <c r="P2025" s="133"/>
      <c r="Q2025" s="133"/>
      <c r="R2025" s="133"/>
      <c r="S2025" s="133"/>
      <c r="T2025" s="133"/>
      <c r="U2025" s="133"/>
      <c r="V2025" s="133"/>
      <c r="W2025" s="133"/>
      <c r="X2025" s="133"/>
      <c r="Y2025" s="133"/>
      <c r="Z2025" s="133"/>
    </row>
    <row r="2026">
      <c r="A2026" s="133"/>
      <c r="B2026" s="133"/>
      <c r="C2026" s="133" t="str">
        <f>IFERROR(__xludf.DUMMYFUNCTION("""COMPUTED_VALUE"""),"P-1-N-130824-5028")</f>
        <v>P-1-N-130824-5028</v>
      </c>
      <c r="D2026" s="133"/>
      <c r="E2026" s="133" t="str">
        <f>IFERROR(__xludf.DUMMYFUNCTION("""COMPUTED_VALUE"""),"رفض ")</f>
        <v>رفض </v>
      </c>
      <c r="F2026" s="133" t="str">
        <f>IFERROR(__xludf.DUMMYFUNCTION("""COMPUTED_VALUE"""),"Calming Cat Paste 100mL")</f>
        <v>Calming Cat Paste 100mL</v>
      </c>
      <c r="G2026" s="133" t="str">
        <f>IFERROR(__xludf.DUMMYFUNCTION("""COMPUTED_VALUE"""),"كالمينج كات بايست 100 مل")</f>
        <v>كالمينج كات بايست 100 مل</v>
      </c>
      <c r="H2026" s="133"/>
      <c r="I2026" s="133"/>
      <c r="J2026" s="133"/>
      <c r="K2026" s="133" t="str">
        <f>IFERROR(__xludf.DUMMYFUNCTION("""COMPUTED_VALUE"""),"مار كيميا فيت المحدودة")</f>
        <v>مار كيميا فيت المحدودة</v>
      </c>
      <c r="L2026" s="133"/>
      <c r="M2026" s="133"/>
      <c r="N2026" s="133"/>
      <c r="O2026" s="133"/>
      <c r="P2026" s="133"/>
      <c r="Q2026" s="133"/>
      <c r="R2026" s="133"/>
      <c r="S2026" s="133"/>
      <c r="T2026" s="133"/>
      <c r="U2026" s="133"/>
      <c r="V2026" s="133"/>
      <c r="W2026" s="133"/>
      <c r="X2026" s="133"/>
      <c r="Y2026" s="133"/>
      <c r="Z2026" s="133"/>
    </row>
    <row r="2027">
      <c r="A2027" s="133"/>
      <c r="B2027" s="133"/>
      <c r="C2027" s="133" t="str">
        <f>IFERROR(__xludf.DUMMYFUNCTION("""COMPUTED_VALUE"""),"P-1-N-130824-5027")</f>
        <v>P-1-N-130824-5027</v>
      </c>
      <c r="D2027" s="133"/>
      <c r="E2027" s="133" t="str">
        <f>IFERROR(__xludf.DUMMYFUNCTION("""COMPUTED_VALUE"""),"رفض ")</f>
        <v>رفض </v>
      </c>
      <c r="F2027" s="133" t="str">
        <f>IFERROR(__xludf.DUMMYFUNCTION("""COMPUTED_VALUE"""),"Felilysine Gel 100mL")</f>
        <v>Felilysine Gel 100mL</v>
      </c>
      <c r="G2027" s="133" t="str">
        <f>IFERROR(__xludf.DUMMYFUNCTION("""COMPUTED_VALUE"""),"فيليليسين جل 100 مل")</f>
        <v>فيليليسين جل 100 مل</v>
      </c>
      <c r="H2027" s="133"/>
      <c r="I2027" s="133"/>
      <c r="J2027" s="133"/>
      <c r="K2027" s="133" t="str">
        <f>IFERROR(__xludf.DUMMYFUNCTION("""COMPUTED_VALUE"""),"مار كيميا فيت المحدودة")</f>
        <v>مار كيميا فيت المحدودة</v>
      </c>
      <c r="L2027" s="133"/>
      <c r="M2027" s="133"/>
      <c r="N2027" s="133"/>
      <c r="O2027" s="133"/>
      <c r="P2027" s="133"/>
      <c r="Q2027" s="133"/>
      <c r="R2027" s="133"/>
      <c r="S2027" s="133"/>
      <c r="T2027" s="133"/>
      <c r="U2027" s="133"/>
      <c r="V2027" s="133"/>
      <c r="W2027" s="133"/>
      <c r="X2027" s="133"/>
      <c r="Y2027" s="133"/>
      <c r="Z2027" s="133"/>
    </row>
    <row r="2028">
      <c r="A2028" s="133"/>
      <c r="B2028" s="133"/>
      <c r="C2028" s="133" t="str">
        <f>IFERROR(__xludf.DUMMYFUNCTION("""COMPUTED_VALUE"""),"P-1-N-130824-5026")</f>
        <v>P-1-N-130824-5026</v>
      </c>
      <c r="D2028" s="133"/>
      <c r="E2028" s="133" t="str">
        <f>IFERROR(__xludf.DUMMYFUNCTION("""COMPUTED_VALUE"""),"رفض ")</f>
        <v>رفض </v>
      </c>
      <c r="F2028" s="133" t="str">
        <f>IFERROR(__xludf.DUMMYFUNCTION("""COMPUTED_VALUE"""),"Vitalicat Junior Paste 100mL")</f>
        <v>Vitalicat Junior Paste 100mL</v>
      </c>
      <c r="G2028" s="133" t="str">
        <f>IFERROR(__xludf.DUMMYFUNCTION("""COMPUTED_VALUE"""),"فيتاليكات جونيور بايست 100 مل")</f>
        <v>فيتاليكات جونيور بايست 100 مل</v>
      </c>
      <c r="H2028" s="133"/>
      <c r="I2028" s="133"/>
      <c r="J2028" s="133"/>
      <c r="K2028" s="133" t="str">
        <f>IFERROR(__xludf.DUMMYFUNCTION("""COMPUTED_VALUE"""),"مار كيميا فيت المحدودة")</f>
        <v>مار كيميا فيت المحدودة</v>
      </c>
      <c r="L2028" s="133"/>
      <c r="M2028" s="133"/>
      <c r="N2028" s="133"/>
      <c r="O2028" s="133"/>
      <c r="P2028" s="133"/>
      <c r="Q2028" s="133"/>
      <c r="R2028" s="133"/>
      <c r="S2028" s="133"/>
      <c r="T2028" s="133"/>
      <c r="U2028" s="133"/>
      <c r="V2028" s="133"/>
      <c r="W2028" s="133"/>
      <c r="X2028" s="133"/>
      <c r="Y2028" s="133"/>
      <c r="Z2028" s="133"/>
    </row>
    <row r="2029">
      <c r="A2029" s="133"/>
      <c r="B2029" s="133"/>
      <c r="C2029" s="133" t="str">
        <f>IFERROR(__xludf.DUMMYFUNCTION("""COMPUTED_VALUE"""),"P-1-N-130824-5025")</f>
        <v>P-1-N-130824-5025</v>
      </c>
      <c r="D2029" s="133"/>
      <c r="E2029" s="133" t="str">
        <f>IFERROR(__xludf.DUMMYFUNCTION("""COMPUTED_VALUE"""),"رفض ")</f>
        <v>رفض </v>
      </c>
      <c r="F2029" s="133" t="str">
        <f>IFERROR(__xludf.DUMMYFUNCTION("""COMPUTED_VALUE"""),"Silycumin 67.5g")</f>
        <v>Silycumin 67.5g</v>
      </c>
      <c r="G2029" s="133" t="str">
        <f>IFERROR(__xludf.DUMMYFUNCTION("""COMPUTED_VALUE"""),"سيليكومين 67.5 جم")</f>
        <v>سيليكومين 67.5 جم</v>
      </c>
      <c r="H2029" s="133"/>
      <c r="I2029" s="133"/>
      <c r="J2029" s="133"/>
      <c r="K2029" s="133" t="str">
        <f>IFERROR(__xludf.DUMMYFUNCTION("""COMPUTED_VALUE"""),"مار كيميا فيت المحدودة")</f>
        <v>مار كيميا فيت المحدودة</v>
      </c>
      <c r="L2029" s="133"/>
      <c r="M2029" s="133"/>
      <c r="N2029" s="133"/>
      <c r="O2029" s="133"/>
      <c r="P2029" s="133"/>
      <c r="Q2029" s="133"/>
      <c r="R2029" s="133"/>
      <c r="S2029" s="133"/>
      <c r="T2029" s="133"/>
      <c r="U2029" s="133"/>
      <c r="V2029" s="133"/>
      <c r="W2029" s="133"/>
      <c r="X2029" s="133"/>
      <c r="Y2029" s="133"/>
      <c r="Z2029" s="133"/>
    </row>
    <row r="2030">
      <c r="A2030" s="133"/>
      <c r="B2030" s="133"/>
      <c r="C2030" s="133" t="str">
        <f>IFERROR(__xludf.DUMMYFUNCTION("""COMPUTED_VALUE"""),"P-1-N-130824-5024")</f>
        <v>P-1-N-130824-5024</v>
      </c>
      <c r="D2030" s="133"/>
      <c r="E2030" s="133" t="str">
        <f>IFERROR(__xludf.DUMMYFUNCTION("""COMPUTED_VALUE"""),"رفض ")</f>
        <v>رفض </v>
      </c>
      <c r="F2030" s="133" t="str">
        <f>IFERROR(__xludf.DUMMYFUNCTION("""COMPUTED_VALUE"""),"Silycumin 50g")</f>
        <v>Silycumin 50g</v>
      </c>
      <c r="G2030" s="133" t="str">
        <f>IFERROR(__xludf.DUMMYFUNCTION("""COMPUTED_VALUE"""),"سيليكومين 50 جم")</f>
        <v>سيليكومين 50 جم</v>
      </c>
      <c r="H2030" s="133"/>
      <c r="I2030" s="133"/>
      <c r="J2030" s="133"/>
      <c r="K2030" s="133" t="str">
        <f>IFERROR(__xludf.DUMMYFUNCTION("""COMPUTED_VALUE"""),"مار كيميا فيت المحدودة")</f>
        <v>مار كيميا فيت المحدودة</v>
      </c>
      <c r="L2030" s="133"/>
      <c r="M2030" s="133"/>
      <c r="N2030" s="133"/>
      <c r="O2030" s="133"/>
      <c r="P2030" s="133"/>
      <c r="Q2030" s="133"/>
      <c r="R2030" s="133"/>
      <c r="S2030" s="133"/>
      <c r="T2030" s="133"/>
      <c r="U2030" s="133"/>
      <c r="V2030" s="133"/>
      <c r="W2030" s="133"/>
      <c r="X2030" s="133"/>
      <c r="Y2030" s="133"/>
      <c r="Z2030" s="133"/>
    </row>
    <row r="2031">
      <c r="A2031" s="133"/>
      <c r="B2031" s="133"/>
      <c r="C2031" s="133" t="str">
        <f>IFERROR(__xludf.DUMMYFUNCTION("""COMPUTED_VALUE"""),"P-1-N-130824-5023")</f>
        <v>P-1-N-130824-5023</v>
      </c>
      <c r="D2031" s="133"/>
      <c r="E2031" s="133" t="str">
        <f>IFERROR(__xludf.DUMMYFUNCTION("""COMPUTED_VALUE"""),"رفض ")</f>
        <v>رفض </v>
      </c>
      <c r="F2031" s="133" t="str">
        <f>IFERROR(__xludf.DUMMYFUNCTION("""COMPUTED_VALUE"""),"D-Kaltabs 126g")</f>
        <v>D-Kaltabs 126g</v>
      </c>
      <c r="G2031" s="133" t="str">
        <f>IFERROR(__xludf.DUMMYFUNCTION("""COMPUTED_VALUE"""),"د- كلتابس 126 جم")</f>
        <v>د- كلتابس 126 جم</v>
      </c>
      <c r="H2031" s="133"/>
      <c r="I2031" s="133"/>
      <c r="J2031" s="133"/>
      <c r="K2031" s="133" t="str">
        <f>IFERROR(__xludf.DUMMYFUNCTION("""COMPUTED_VALUE"""),"مار كيميا فيت المحدودة")</f>
        <v>مار كيميا فيت المحدودة</v>
      </c>
      <c r="L2031" s="133"/>
      <c r="M2031" s="133"/>
      <c r="N2031" s="133"/>
      <c r="O2031" s="133"/>
      <c r="P2031" s="133"/>
      <c r="Q2031" s="133"/>
      <c r="R2031" s="133"/>
      <c r="S2031" s="133"/>
      <c r="T2031" s="133"/>
      <c r="U2031" s="133"/>
      <c r="V2031" s="133"/>
      <c r="W2031" s="133"/>
      <c r="X2031" s="133"/>
      <c r="Y2031" s="133"/>
      <c r="Z2031" s="133"/>
    </row>
    <row r="2032">
      <c r="A2032" s="133"/>
      <c r="B2032" s="133"/>
      <c r="C2032" s="133" t="str">
        <f>IFERROR(__xludf.DUMMYFUNCTION("""COMPUTED_VALUE"""),"P-1-N-130824-5022")</f>
        <v>P-1-N-130824-5022</v>
      </c>
      <c r="D2032" s="133"/>
      <c r="E2032" s="133" t="str">
        <f>IFERROR(__xludf.DUMMYFUNCTION("""COMPUTED_VALUE"""),"رفض ")</f>
        <v>رفض </v>
      </c>
      <c r="F2032" s="133" t="str">
        <f>IFERROR(__xludf.DUMMYFUNCTION("""COMPUTED_VALUE"""),"Biodermdog 37.5g")</f>
        <v>Biodermdog 37.5g</v>
      </c>
      <c r="G2032" s="133" t="str">
        <f>IFERROR(__xludf.DUMMYFUNCTION("""COMPUTED_VALUE"""),"بيوديرمدوج 37.5 جم")</f>
        <v>بيوديرمدوج 37.5 جم</v>
      </c>
      <c r="H2032" s="133"/>
      <c r="I2032" s="133"/>
      <c r="J2032" s="133"/>
      <c r="K2032" s="133" t="str">
        <f>IFERROR(__xludf.DUMMYFUNCTION("""COMPUTED_VALUE"""),"مار كيميا فيت المحدودة")</f>
        <v>مار كيميا فيت المحدودة</v>
      </c>
      <c r="L2032" s="133"/>
      <c r="M2032" s="133"/>
      <c r="N2032" s="133"/>
      <c r="O2032" s="133"/>
      <c r="P2032" s="133"/>
      <c r="Q2032" s="133"/>
      <c r="R2032" s="133"/>
      <c r="S2032" s="133"/>
      <c r="T2032" s="133"/>
      <c r="U2032" s="133"/>
      <c r="V2032" s="133"/>
      <c r="W2032" s="133"/>
      <c r="X2032" s="133"/>
      <c r="Y2032" s="133"/>
      <c r="Z2032" s="133"/>
    </row>
    <row r="2033">
      <c r="A2033" s="133"/>
      <c r="B2033" s="133"/>
      <c r="C2033" s="133" t="str">
        <f>IFERROR(__xludf.DUMMYFUNCTION("""COMPUTED_VALUE"""),"P-1-N-130824-5020")</f>
        <v>P-1-N-130824-5020</v>
      </c>
      <c r="D2033" s="133"/>
      <c r="E2033" s="133" t="str">
        <f>IFERROR(__xludf.DUMMYFUNCTION("""COMPUTED_VALUE"""),"رفض ")</f>
        <v>رفض </v>
      </c>
      <c r="F2033" s="133" t="str">
        <f>IFERROR(__xludf.DUMMYFUNCTION("""COMPUTED_VALUE"""),"Dermadog 0,5 Small Breed 30g")</f>
        <v>Dermadog 0,5 Small Breed 30g</v>
      </c>
      <c r="G2033" s="133" t="str">
        <f>IFERROR(__xludf.DUMMYFUNCTION("""COMPUTED_VALUE"""),"ديرمادوج 0,5 سلالة صغيرة 30 جم")</f>
        <v>ديرمادوج 0,5 سلالة صغيرة 30 جم</v>
      </c>
      <c r="H2033" s="133"/>
      <c r="I2033" s="133"/>
      <c r="J2033" s="133"/>
      <c r="K2033" s="133" t="str">
        <f>IFERROR(__xludf.DUMMYFUNCTION("""COMPUTED_VALUE"""),"مار كيميا فيت المحدودة")</f>
        <v>مار كيميا فيت المحدودة</v>
      </c>
      <c r="L2033" s="133"/>
      <c r="M2033" s="133"/>
      <c r="N2033" s="133"/>
      <c r="O2033" s="133"/>
      <c r="P2033" s="133"/>
      <c r="Q2033" s="133"/>
      <c r="R2033" s="133"/>
      <c r="S2033" s="133"/>
      <c r="T2033" s="133"/>
      <c r="U2033" s="133"/>
      <c r="V2033" s="133"/>
      <c r="W2033" s="133"/>
      <c r="X2033" s="133"/>
      <c r="Y2033" s="133"/>
      <c r="Z2033" s="133"/>
    </row>
    <row r="2034">
      <c r="A2034" s="133"/>
      <c r="B2034" s="133"/>
      <c r="C2034" s="133" t="str">
        <f>IFERROR(__xludf.DUMMYFUNCTION("""COMPUTED_VALUE"""),"P-1-N-130824-5018")</f>
        <v>P-1-N-130824-5018</v>
      </c>
      <c r="D2034" s="133"/>
      <c r="E2034" s="133" t="str">
        <f>IFERROR(__xludf.DUMMYFUNCTION("""COMPUTED_VALUE"""),"رفض ")</f>
        <v>رفض </v>
      </c>
      <c r="F2034" s="133" t="str">
        <f>IFERROR(__xludf.DUMMYFUNCTION("""COMPUTED_VALUE"""),"Dermadog 1.5 75g")</f>
        <v>Dermadog 1.5 75g</v>
      </c>
      <c r="G2034" s="133" t="str">
        <f>IFERROR(__xludf.DUMMYFUNCTION("""COMPUTED_VALUE"""),"ديرمادوج 1.5 75 جم")</f>
        <v>ديرمادوج 1.5 75 جم</v>
      </c>
      <c r="H2034" s="133"/>
      <c r="I2034" s="133"/>
      <c r="J2034" s="133"/>
      <c r="K2034" s="133" t="str">
        <f>IFERROR(__xludf.DUMMYFUNCTION("""COMPUTED_VALUE"""),"مار كيميا فيت المحدودة")</f>
        <v>مار كيميا فيت المحدودة</v>
      </c>
      <c r="L2034" s="133"/>
      <c r="M2034" s="133"/>
      <c r="N2034" s="133"/>
      <c r="O2034" s="133"/>
      <c r="P2034" s="133"/>
      <c r="Q2034" s="133"/>
      <c r="R2034" s="133"/>
      <c r="S2034" s="133"/>
      <c r="T2034" s="133"/>
      <c r="U2034" s="133"/>
      <c r="V2034" s="133"/>
      <c r="W2034" s="133"/>
      <c r="X2034" s="133"/>
      <c r="Y2034" s="133"/>
      <c r="Z2034" s="133"/>
    </row>
    <row r="2035">
      <c r="A2035" s="133"/>
      <c r="B2035" s="133"/>
      <c r="C2035" s="133" t="str">
        <f>IFERROR(__xludf.DUMMYFUNCTION("""COMPUTED_VALUE"""),"P-1-N-130824-5017")</f>
        <v>P-1-N-130824-5017</v>
      </c>
      <c r="D2035" s="133"/>
      <c r="E2035" s="133" t="str">
        <f>IFERROR(__xludf.DUMMYFUNCTION("""COMPUTED_VALUE"""),"رفض ")</f>
        <v>رفض </v>
      </c>
      <c r="F2035" s="133" t="str">
        <f>IFERROR(__xludf.DUMMYFUNCTION("""COMPUTED_VALUE"""),"Vitalidog Junior Paste 100mL")</f>
        <v>Vitalidog Junior Paste 100mL</v>
      </c>
      <c r="G2035" s="133" t="str">
        <f>IFERROR(__xludf.DUMMYFUNCTION("""COMPUTED_VALUE"""),"فيتاليدوج جونيوربايست 100 مل")</f>
        <v>فيتاليدوج جونيوربايست 100 مل</v>
      </c>
      <c r="H2035" s="133"/>
      <c r="I2035" s="133"/>
      <c r="J2035" s="133"/>
      <c r="K2035" s="133" t="str">
        <f>IFERROR(__xludf.DUMMYFUNCTION("""COMPUTED_VALUE"""),"مار كيميا فيت المحدودة")</f>
        <v>مار كيميا فيت المحدودة</v>
      </c>
      <c r="L2035" s="133"/>
      <c r="M2035" s="133"/>
      <c r="N2035" s="133"/>
      <c r="O2035" s="133"/>
      <c r="P2035" s="133"/>
      <c r="Q2035" s="133"/>
      <c r="R2035" s="133"/>
      <c r="S2035" s="133"/>
      <c r="T2035" s="133"/>
      <c r="U2035" s="133"/>
      <c r="V2035" s="133"/>
      <c r="W2035" s="133"/>
      <c r="X2035" s="133"/>
      <c r="Y2035" s="133"/>
      <c r="Z2035" s="133"/>
    </row>
    <row r="2036">
      <c r="A2036" s="133"/>
      <c r="B2036" s="133"/>
      <c r="C2036" s="133" t="str">
        <f>IFERROR(__xludf.DUMMYFUNCTION("""COMPUTED_VALUE"""),"P-1-N-130824-5016")</f>
        <v>P-1-N-130824-5016</v>
      </c>
      <c r="D2036" s="133"/>
      <c r="E2036" s="133" t="str">
        <f>IFERROR(__xludf.DUMMYFUNCTION("""COMPUTED_VALUE"""),"رفض ")</f>
        <v>رفض </v>
      </c>
      <c r="F2036" s="133" t="str">
        <f>IFERROR(__xludf.DUMMYFUNCTION("""COMPUTED_VALUE"""),"Vitalidog Paste 100mL")</f>
        <v>Vitalidog Paste 100mL</v>
      </c>
      <c r="G2036" s="133" t="str">
        <f>IFERROR(__xludf.DUMMYFUNCTION("""COMPUTED_VALUE"""),"فيتاليدوج بايست 100 مل")</f>
        <v>فيتاليدوج بايست 100 مل</v>
      </c>
      <c r="H2036" s="133"/>
      <c r="I2036" s="133"/>
      <c r="J2036" s="133"/>
      <c r="K2036" s="133" t="str">
        <f>IFERROR(__xludf.DUMMYFUNCTION("""COMPUTED_VALUE"""),"مار كيميا فيت المحدودة")</f>
        <v>مار كيميا فيت المحدودة</v>
      </c>
      <c r="L2036" s="133"/>
      <c r="M2036" s="133"/>
      <c r="N2036" s="133"/>
      <c r="O2036" s="133"/>
      <c r="P2036" s="133"/>
      <c r="Q2036" s="133"/>
      <c r="R2036" s="133"/>
      <c r="S2036" s="133"/>
      <c r="T2036" s="133"/>
      <c r="U2036" s="133"/>
      <c r="V2036" s="133"/>
      <c r="W2036" s="133"/>
      <c r="X2036" s="133"/>
      <c r="Y2036" s="133"/>
      <c r="Z2036" s="133"/>
    </row>
    <row r="2037">
      <c r="A2037" s="133"/>
      <c r="B2037" s="133"/>
      <c r="C2037" s="133" t="str">
        <f>IFERROR(__xludf.DUMMYFUNCTION("""COMPUTED_VALUE"""),"P-1-N-140824-5068")</f>
        <v>P-1-N-140824-5068</v>
      </c>
      <c r="D2037" s="133" t="str">
        <f>IFERROR(__xludf.DUMMYFUNCTION("""COMPUTED_VALUE"""),"FEP-2024-80866
")</f>
        <v>FEP-2024-80866
</v>
      </c>
      <c r="E2037" s="133" t="str">
        <f>IFERROR(__xludf.DUMMYFUNCTION("""COMPUTED_VALUE"""),"مكتمل")</f>
        <v>مكتمل</v>
      </c>
      <c r="F2037" s="133" t="str">
        <f>IFERROR(__xludf.DUMMYFUNCTION("""COMPUTED_VALUE"""),"SOLID GOLD INDIGO MOON CHICKEN GRAIN FREE 5.44KG")</f>
        <v>SOLID GOLD INDIGO MOON CHICKEN GRAIN FREE 5.44KG</v>
      </c>
      <c r="G2037" s="133" t="str">
        <f>IFERROR(__xludf.DUMMYFUNCTION("""COMPUTED_VALUE"""),"سولید جولد اندیجو مون بالدجاج خالي من الحبوب 5.44كغ")</f>
        <v>سولید جولد اندیجو مون بالدجاج خالي من الحبوب 5.44كغ</v>
      </c>
      <c r="H2037" s="133" t="str">
        <f>IFERROR(__xludf.DUMMYFUNCTION("""COMPUTED_VALUE"""),"FOM-2024-0902-FEP-2024-80866-C-22548-0677
")</f>
        <v>FOM-2024-0902-FEP-2024-80866-C-22548-0677
</v>
      </c>
      <c r="I2037" s="133"/>
      <c r="J2037" s="133"/>
      <c r="K2037" s="133" t="str">
        <f>IFERROR(__xludf.DUMMYFUNCTION("""COMPUTED_VALUE"""),"شركة سوليد جولد بيت المحدودة المسؤولية")</f>
        <v>شركة سوليد جولد بيت المحدودة المسؤولية</v>
      </c>
      <c r="L2037" s="133"/>
      <c r="M2037" s="144">
        <f>IFERROR(__xludf.DUMMYFUNCTION("""COMPUTED_VALUE"""),47308.0)</f>
        <v>47308</v>
      </c>
      <c r="N2037" s="133"/>
      <c r="O2037" s="133"/>
      <c r="P2037" s="133"/>
      <c r="Q2037" s="133"/>
      <c r="R2037" s="133"/>
      <c r="S2037" s="133"/>
      <c r="T2037" s="133"/>
      <c r="U2037" s="133"/>
      <c r="V2037" s="133"/>
      <c r="W2037" s="133"/>
      <c r="X2037" s="133"/>
      <c r="Y2037" s="133"/>
      <c r="Z2037" s="133"/>
    </row>
    <row r="2038">
      <c r="A2038" s="133"/>
      <c r="B2038" s="133"/>
      <c r="C2038" s="133" t="str">
        <f>IFERROR(__xludf.DUMMYFUNCTION("""COMPUTED_VALUE"""),"P-1-N-140824-5069")</f>
        <v>P-1-N-140824-5069</v>
      </c>
      <c r="D2038" s="133" t="str">
        <f>IFERROR(__xludf.DUMMYFUNCTION("""COMPUTED_VALUE"""),"FEP-2024-80868
")</f>
        <v>FEP-2024-80868
</v>
      </c>
      <c r="E2038" s="133" t="str">
        <f>IFERROR(__xludf.DUMMYFUNCTION("""COMPUTED_VALUE"""),"مكتمل")</f>
        <v>مكتمل</v>
      </c>
      <c r="F2038" s="133" t="str">
        <f>IFERROR(__xludf.DUMMYFUNCTION("""COMPUTED_VALUE"""),"SOLID GOLD KATZ N FLOCKEN LAMB 1.81KG")</f>
        <v>SOLID GOLD KATZ N FLOCKEN LAMB 1.81KG</v>
      </c>
      <c r="G2038" s="133" t="str">
        <f>IFERROR(__xludf.DUMMYFUNCTION("""COMPUTED_VALUE"""),"سوليد جولد كاتز ان فلوكين بلحم الضأن 1.81كغ")</f>
        <v>سوليد جولد كاتز ان فلوكين بلحم الضأن 1.81كغ</v>
      </c>
      <c r="H2038" s="133" t="str">
        <f>IFERROR(__xludf.DUMMYFUNCTION("""COMPUTED_VALUE"""),"FOM-2024-0902-FEP-2024-80868-C-22548-0676
")</f>
        <v>FOM-2024-0902-FEP-2024-80868-C-22548-0676
</v>
      </c>
      <c r="I2038" s="133"/>
      <c r="J2038" s="133"/>
      <c r="K2038" s="133" t="str">
        <f>IFERROR(__xludf.DUMMYFUNCTION("""COMPUTED_VALUE"""),"شركة سوليد جولد بيت المحدودة المسؤولية")</f>
        <v>شركة سوليد جولد بيت المحدودة المسؤولية</v>
      </c>
      <c r="L2038" s="133"/>
      <c r="M2038" s="144">
        <f>IFERROR(__xludf.DUMMYFUNCTION("""COMPUTED_VALUE"""),47308.0)</f>
        <v>47308</v>
      </c>
      <c r="N2038" s="133"/>
      <c r="O2038" s="133"/>
      <c r="P2038" s="133"/>
      <c r="Q2038" s="133"/>
      <c r="R2038" s="133"/>
      <c r="S2038" s="133"/>
      <c r="T2038" s="133"/>
      <c r="U2038" s="133"/>
      <c r="V2038" s="133"/>
      <c r="W2038" s="133"/>
      <c r="X2038" s="133"/>
      <c r="Y2038" s="133"/>
      <c r="Z2038" s="133"/>
    </row>
    <row r="2039">
      <c r="A2039" s="133"/>
      <c r="B2039" s="133"/>
      <c r="C2039" s="133" t="str">
        <f>IFERROR(__xludf.DUMMYFUNCTION("""COMPUTED_VALUE"""),"P-1-N-140824-5070")</f>
        <v>P-1-N-140824-5070</v>
      </c>
      <c r="D2039" s="133" t="str">
        <f>IFERROR(__xludf.DUMMYFUNCTION("""COMPUTED_VALUE"""),"FEP-2024-80869
")</f>
        <v>FEP-2024-80869
</v>
      </c>
      <c r="E2039" s="133" t="str">
        <f>IFERROR(__xludf.DUMMYFUNCTION("""COMPUTED_VALUE"""),"مكتمل")</f>
        <v>مكتمل</v>
      </c>
      <c r="F2039" s="133" t="str">
        <f>IFERROR(__xludf.DUMMYFUNCTION("""COMPUTED_VALUE"""),"SOLID GOLD KATZ N FLOCKEN LAMB 5.44KG")</f>
        <v>SOLID GOLD KATZ N FLOCKEN LAMB 5.44KG</v>
      </c>
      <c r="G2039" s="133" t="str">
        <f>IFERROR(__xludf.DUMMYFUNCTION("""COMPUTED_VALUE"""),"سوليد جولد كاتز ان فلوكين بلحم الضأن 5.44كغ")</f>
        <v>سوليد جولد كاتز ان فلوكين بلحم الضأن 5.44كغ</v>
      </c>
      <c r="H2039" s="133" t="str">
        <f>IFERROR(__xludf.DUMMYFUNCTION("""COMPUTED_VALUE"""),"FOM-2024-0902-FEP-2024-80869-C-22548-0682
")</f>
        <v>FOM-2024-0902-FEP-2024-80869-C-22548-0682
</v>
      </c>
      <c r="I2039" s="133"/>
      <c r="J2039" s="133"/>
      <c r="K2039" s="133" t="str">
        <f>IFERROR(__xludf.DUMMYFUNCTION("""COMPUTED_VALUE"""),"شركة سوليد جولد بيت المحدودة المسؤولية")</f>
        <v>شركة سوليد جولد بيت المحدودة المسؤولية</v>
      </c>
      <c r="L2039" s="133"/>
      <c r="M2039" s="144">
        <f>IFERROR(__xludf.DUMMYFUNCTION("""COMPUTED_VALUE"""),47308.0)</f>
        <v>47308</v>
      </c>
      <c r="N2039" s="133"/>
      <c r="O2039" s="133"/>
      <c r="P2039" s="133"/>
      <c r="Q2039" s="133"/>
      <c r="R2039" s="133"/>
      <c r="S2039" s="133"/>
      <c r="T2039" s="133"/>
      <c r="U2039" s="133"/>
      <c r="V2039" s="133"/>
      <c r="W2039" s="133"/>
      <c r="X2039" s="133"/>
      <c r="Y2039" s="133"/>
      <c r="Z2039" s="133"/>
    </row>
    <row r="2040">
      <c r="A2040" s="133"/>
      <c r="B2040" s="133"/>
      <c r="C2040" s="133" t="str">
        <f>IFERROR(__xludf.DUMMYFUNCTION("""COMPUTED_VALUE"""),"P-1-N-140824-5071")</f>
        <v>P-1-N-140824-5071</v>
      </c>
      <c r="D2040" s="133"/>
      <c r="E2040" s="133" t="str">
        <f>IFERROR(__xludf.DUMMYFUNCTION("""COMPUTED_VALUE"""),"مكتمل")</f>
        <v>مكتمل</v>
      </c>
      <c r="F2040" s="133" t="str">
        <f>IFERROR(__xludf.DUMMYFUNCTION("""COMPUTED_VALUE"""),"SOLID GOLD LET’S STAY IN SALMON 5.44KG")</f>
        <v>SOLID GOLD LET’S STAY IN SALMON 5.44KG</v>
      </c>
      <c r="G2040" s="133" t="str">
        <f>IFERROR(__xludf.DUMMYFUNCTION("""COMPUTED_VALUE"""),"سوليد جولد ليتس ستاي إن سالمون
5.44")</f>
        <v>سوليد جولد ليتس ستاي إن سالمون
5.44</v>
      </c>
      <c r="H2040" s="133" t="str">
        <f>IFERROR(__xludf.DUMMYFUNCTION("""COMPUTED_VALUE"""),"FOM-2024-0902-FEP-2024-80871-C-22548-0687
")</f>
        <v>FOM-2024-0902-FEP-2024-80871-C-22548-0687
</v>
      </c>
      <c r="I2040" s="133"/>
      <c r="J2040" s="133"/>
      <c r="K2040" s="133" t="str">
        <f>IFERROR(__xludf.DUMMYFUNCTION("""COMPUTED_VALUE"""),"شركة سوليد جولد بيت المحدودة المسؤولية")</f>
        <v>شركة سوليد جولد بيت المحدودة المسؤولية</v>
      </c>
      <c r="L2040" s="133"/>
      <c r="M2040" s="144">
        <f>IFERROR(__xludf.DUMMYFUNCTION("""COMPUTED_VALUE"""),47308.0)</f>
        <v>47308</v>
      </c>
      <c r="N2040" s="133"/>
      <c r="O2040" s="133"/>
      <c r="P2040" s="133"/>
      <c r="Q2040" s="133"/>
      <c r="R2040" s="133"/>
      <c r="S2040" s="133"/>
      <c r="T2040" s="133"/>
      <c r="U2040" s="133"/>
      <c r="V2040" s="133"/>
      <c r="W2040" s="133"/>
      <c r="X2040" s="133"/>
      <c r="Y2040" s="133"/>
      <c r="Z2040" s="133"/>
    </row>
    <row r="2041">
      <c r="A2041" s="133"/>
      <c r="B2041" s="133"/>
      <c r="C2041" s="133" t="str">
        <f>IFERROR(__xludf.DUMMYFUNCTION("""COMPUTED_VALUE"""),"P-1-N-140824-5072")</f>
        <v>P-1-N-140824-5072</v>
      </c>
      <c r="D2041" s="133" t="str">
        <f>IFERROR(__xludf.DUMMYFUNCTION("""COMPUTED_VALUE"""),"FEP-2024-80870
")</f>
        <v>FEP-2024-80870
</v>
      </c>
      <c r="E2041" s="133" t="str">
        <f>IFERROR(__xludf.DUMMYFUNCTION("""COMPUTED_VALUE"""),"مكتمل")</f>
        <v>مكتمل</v>
      </c>
      <c r="F2041" s="133" t="str">
        <f>IFERROR(__xludf.DUMMYFUNCTION("""COMPUTED_VALUE"""),"SOLID GOLD LET’S STAY IN SALMON 1.36KG")</f>
        <v>SOLID GOLD LET’S STAY IN SALMON 1.36KG</v>
      </c>
      <c r="G2041" s="133" t="str">
        <f>IFERROR(__xludf.DUMMYFUNCTION("""COMPUTED_VALUE"""),"سوليد جولد ليتس ستاي إن سالمون 1.36كغ")</f>
        <v>سوليد جولد ليتس ستاي إن سالمون 1.36كغ</v>
      </c>
      <c r="H2041" s="133" t="str">
        <f>IFERROR(__xludf.DUMMYFUNCTION("""COMPUTED_VALUE"""),"FOM-2024-0902-FEP-2024-80870-C-22548-0683")</f>
        <v>FOM-2024-0902-FEP-2024-80870-C-22548-0683</v>
      </c>
      <c r="I2041" s="133"/>
      <c r="J2041" s="133"/>
      <c r="K2041" s="133" t="str">
        <f>IFERROR(__xludf.DUMMYFUNCTION("""COMPUTED_VALUE"""),"شركة سوليد جولد بيت المحدودة المسؤولية")</f>
        <v>شركة سوليد جولد بيت المحدودة المسؤولية</v>
      </c>
      <c r="L2041" s="133"/>
      <c r="M2041" s="144">
        <f>IFERROR(__xludf.DUMMYFUNCTION("""COMPUTED_VALUE"""),47308.0)</f>
        <v>47308</v>
      </c>
      <c r="N2041" s="133"/>
      <c r="O2041" s="133"/>
      <c r="P2041" s="133"/>
      <c r="Q2041" s="133"/>
      <c r="R2041" s="133"/>
      <c r="S2041" s="133"/>
      <c r="T2041" s="133"/>
      <c r="U2041" s="133"/>
      <c r="V2041" s="133"/>
      <c r="W2041" s="133"/>
      <c r="X2041" s="133"/>
      <c r="Y2041" s="133"/>
      <c r="Z2041" s="133"/>
    </row>
    <row r="2042">
      <c r="A2042" s="133"/>
      <c r="B2042" s="133"/>
      <c r="C2042" s="133" t="str">
        <f>IFERROR(__xludf.DUMMYFUNCTION("""COMPUTED_VALUE"""),"P-1-N-140824-5073")</f>
        <v>P-1-N-140824-5073</v>
      </c>
      <c r="D2042" s="133" t="str">
        <f>IFERROR(__xludf.DUMMYFUNCTION("""COMPUTED_VALUE"""),"FEP-2024-80872
")</f>
        <v>FEP-2024-80872
</v>
      </c>
      <c r="E2042" s="133" t="str">
        <f>IFERROR(__xludf.DUMMYFUNCTION("""COMPUTED_VALUE"""),"مكتمل")</f>
        <v>مكتمل</v>
      </c>
      <c r="F2042" s="133" t="str">
        <f>IFERROR(__xludf.DUMMYFUNCTION("""COMPUTED_VALUE"""),"SOLID GOLD NB BARKING AT THE MOON BEEF 4.99KG")</f>
        <v>SOLID GOLD NB BARKING AT THE MOON BEEF 4.99KG</v>
      </c>
      <c r="G2042" s="133" t="str">
        <f>IFERROR(__xludf.DUMMYFUNCTION("""COMPUTED_VALUE"""),"سوليد جولد ان بي باركينق ات ذا مون باللحم البقري 4.99كغ")</f>
        <v>سوليد جولد ان بي باركينق ات ذا مون باللحم البقري 4.99كغ</v>
      </c>
      <c r="H2042" s="133" t="str">
        <f>IFERROR(__xludf.DUMMYFUNCTION("""COMPUTED_VALUE"""),"FOM-2024-0902-FEP-2024-80872-C-22548-0675")</f>
        <v>FOM-2024-0902-FEP-2024-80872-C-22548-0675</v>
      </c>
      <c r="I2042" s="133"/>
      <c r="J2042" s="133"/>
      <c r="K2042" s="133" t="str">
        <f>IFERROR(__xludf.DUMMYFUNCTION("""COMPUTED_VALUE"""),"شركة سوليد جولد بيت المحدودة المسؤولية")</f>
        <v>شركة سوليد جولد بيت المحدودة المسؤولية</v>
      </c>
      <c r="L2042" s="133"/>
      <c r="M2042" s="144">
        <f>IFERROR(__xludf.DUMMYFUNCTION("""COMPUTED_VALUE"""),47308.0)</f>
        <v>47308</v>
      </c>
      <c r="N2042" s="133"/>
      <c r="O2042" s="133"/>
      <c r="P2042" s="133"/>
      <c r="Q2042" s="133"/>
      <c r="R2042" s="133"/>
      <c r="S2042" s="133"/>
      <c r="T2042" s="133"/>
      <c r="U2042" s="133"/>
      <c r="V2042" s="133"/>
      <c r="W2042" s="133"/>
      <c r="X2042" s="133"/>
      <c r="Y2042" s="133"/>
      <c r="Z2042" s="133"/>
    </row>
    <row r="2043">
      <c r="A2043" s="133"/>
      <c r="B2043" s="133"/>
      <c r="C2043" s="133"/>
      <c r="D2043" s="133" t="str">
        <f>IFERROR(__xludf.DUMMYFUNCTION("""COMPUTED_VALUE"""),"FEP-2024-80874")</f>
        <v>FEP-2024-80874</v>
      </c>
      <c r="E2043" s="133" t="str">
        <f>IFERROR(__xludf.DUMMYFUNCTION("""COMPUTED_VALUE"""),"مكتمل")</f>
        <v>مكتمل</v>
      </c>
      <c r="F2043" s="133" t="str">
        <f>IFERROR(__xludf.DUMMYFUNCTION("""COMPUTED_VALUE"""),"SOLID GOLD NB HUND N FLOCKEN LAMB 1.81KG")</f>
        <v>SOLID GOLD NB HUND N FLOCKEN LAMB 1.81KG</v>
      </c>
      <c r="G2043" s="133" t="str">
        <f>IFERROR(__xludf.DUMMYFUNCTION("""COMPUTED_VALUE"""),"سولید جولد ان بي ھند ان فلوكین بلحم الضأن 1.81كغ")</f>
        <v>سولید جولد ان بي ھند ان فلوكین بلحم الضأن 1.81كغ</v>
      </c>
      <c r="H2043" s="133" t="str">
        <f>IFERROR(__xludf.DUMMYFUNCTION("""COMPUTED_VALUE"""),"FOM-2024-0902-FEP-2024-80874-C-22548-0674")</f>
        <v>FOM-2024-0902-FEP-2024-80874-C-22548-0674</v>
      </c>
      <c r="I2043" s="133"/>
      <c r="J2043" s="133"/>
      <c r="K2043" s="133" t="str">
        <f>IFERROR(__xludf.DUMMYFUNCTION("""COMPUTED_VALUE"""),"شركة سوليد جولد بيت المحدودة المسؤولية")</f>
        <v>شركة سوليد جولد بيت المحدودة المسؤولية</v>
      </c>
      <c r="L2043" s="133"/>
      <c r="M2043" s="144">
        <f>IFERROR(__xludf.DUMMYFUNCTION("""COMPUTED_VALUE"""),47308.0)</f>
        <v>47308</v>
      </c>
      <c r="N2043" s="133"/>
      <c r="O2043" s="133"/>
      <c r="P2043" s="133"/>
      <c r="Q2043" s="133"/>
      <c r="R2043" s="133"/>
      <c r="S2043" s="133"/>
      <c r="T2043" s="133"/>
      <c r="U2043" s="133"/>
      <c r="V2043" s="133"/>
      <c r="W2043" s="133"/>
      <c r="X2043" s="133"/>
      <c r="Y2043" s="133"/>
      <c r="Z2043" s="133"/>
    </row>
    <row r="2044">
      <c r="A2044" s="133"/>
      <c r="B2044" s="133"/>
      <c r="C2044" s="133" t="str">
        <f>IFERROR(__xludf.DUMMYFUNCTION("""COMPUTED_VALUE"""),"P-1-N-140824-5076")</f>
        <v>P-1-N-140824-5076</v>
      </c>
      <c r="D2044" s="133"/>
      <c r="E2044" s="133" t="str">
        <f>IFERROR(__xludf.DUMMYFUNCTION("""COMPUTED_VALUE"""),"رفض ")</f>
        <v>رفض </v>
      </c>
      <c r="F2044" s="133" t="str">
        <f>IFERROR(__xludf.DUMMYFUNCTION("""COMPUTED_VALUE"""),"SOLID GOLD NB HUND N FLOCKEN LAMB 10.89KG")</f>
        <v>SOLID GOLD NB HUND N FLOCKEN LAMB 10.89KG</v>
      </c>
      <c r="G2044" s="133" t="str">
        <f>IFERROR(__xludf.DUMMYFUNCTION("""COMPUTED_VALUE"""),"سولید جولد ان بي ھند ان فلوكین بلحم الضأن 10.89كغ")</f>
        <v>سولید جولد ان بي ھند ان فلوكین بلحم الضأن 10.89كغ</v>
      </c>
      <c r="H2044" s="133"/>
      <c r="I2044" s="133"/>
      <c r="J2044" s="133"/>
      <c r="K2044" s="133" t="str">
        <f>IFERROR(__xludf.DUMMYFUNCTION("""COMPUTED_VALUE"""),"شركة سوليد جولد بيت المحدودة المسؤولية")</f>
        <v>شركة سوليد جولد بيت المحدودة المسؤولية</v>
      </c>
      <c r="L2044" s="133"/>
      <c r="M2044" s="133"/>
      <c r="N2044" s="133"/>
      <c r="O2044" s="133"/>
      <c r="P2044" s="133"/>
      <c r="Q2044" s="133"/>
      <c r="R2044" s="133"/>
      <c r="S2044" s="133"/>
      <c r="T2044" s="133"/>
      <c r="U2044" s="133"/>
      <c r="V2044" s="133"/>
      <c r="W2044" s="133"/>
      <c r="X2044" s="133"/>
      <c r="Y2044" s="133"/>
      <c r="Z2044" s="133"/>
    </row>
    <row r="2045">
      <c r="A2045" s="133"/>
      <c r="B2045" s="133"/>
      <c r="C2045" s="133" t="str">
        <f>IFERROR(__xludf.DUMMYFUNCTION("""COMPUTED_VALUE"""),"P-1-N-140824-5078")</f>
        <v>P-1-N-140824-5078</v>
      </c>
      <c r="D2045" s="133" t="str">
        <f>IFERROR(__xludf.DUMMYFUNCTION("""COMPUTED_VALUE"""),"FEP-2024-80878
")</f>
        <v>FEP-2024-80878
</v>
      </c>
      <c r="E2045" s="133" t="str">
        <f>IFERROR(__xludf.DUMMYFUNCTION("""COMPUTED_VALUE"""),"مكتمل")</f>
        <v>مكتمل</v>
      </c>
      <c r="F2045" s="133" t="str">
        <f>IFERROR(__xludf.DUMMYFUNCTION("""COMPUTED_VALUE"""),"SOLID GOLD NB WOLF KING BISON 4.99KG")</f>
        <v>SOLID GOLD NB WOLF KING BISON 4.99KG</v>
      </c>
      <c r="G2045" s="133" t="str">
        <f>IFERROR(__xludf.DUMMYFUNCTION("""COMPUTED_VALUE"""),"سولید جولد ان بي وولف كینق بایسون 4.99كغ")</f>
        <v>سولید جولد ان بي وولف كینق بایسون 4.99كغ</v>
      </c>
      <c r="H2045" s="133" t="str">
        <f>IFERROR(__xludf.DUMMYFUNCTION("""COMPUTED_VALUE"""),"FOM-2024-0902-FEP-2024-80878-C-22548-0690")</f>
        <v>FOM-2024-0902-FEP-2024-80878-C-22548-0690</v>
      </c>
      <c r="I2045" s="133"/>
      <c r="J2045" s="133"/>
      <c r="K2045" s="133" t="str">
        <f>IFERROR(__xludf.DUMMYFUNCTION("""COMPUTED_VALUE"""),"شركة سوليد جولد بيت المحدودة المسؤولية")</f>
        <v>شركة سوليد جولد بيت المحدودة المسؤولية</v>
      </c>
      <c r="L2045" s="133"/>
      <c r="M2045" s="144">
        <f>IFERROR(__xludf.DUMMYFUNCTION("""COMPUTED_VALUE"""),47308.0)</f>
        <v>47308</v>
      </c>
      <c r="N2045" s="133"/>
      <c r="O2045" s="133"/>
      <c r="P2045" s="133"/>
      <c r="Q2045" s="133"/>
      <c r="R2045" s="133"/>
      <c r="S2045" s="133"/>
      <c r="T2045" s="133"/>
      <c r="U2045" s="133"/>
      <c r="V2045" s="133"/>
      <c r="W2045" s="133"/>
      <c r="X2045" s="133"/>
      <c r="Y2045" s="133"/>
      <c r="Z2045" s="133"/>
    </row>
    <row r="2046">
      <c r="A2046" s="133"/>
      <c r="B2046" s="133"/>
      <c r="C2046" s="133" t="str">
        <f>IFERROR(__xludf.DUMMYFUNCTION("""COMPUTED_VALUE"""),"P-1-N-140824-5079")</f>
        <v>P-1-N-140824-5079</v>
      </c>
      <c r="D2046" s="133" t="str">
        <f>IFERROR(__xludf.DUMMYFUNCTION("""COMPUTED_VALUE"""),"FEP-2024-80879
")</f>
        <v>FEP-2024-80879
</v>
      </c>
      <c r="E2046" s="133" t="str">
        <f>IFERROR(__xludf.DUMMYFUNCTION("""COMPUTED_VALUE"""),"مكتمل")</f>
        <v>مكتمل</v>
      </c>
      <c r="F2046" s="133" t="str">
        <f>IFERROR(__xludf.DUMMYFUNCTION("""COMPUTED_VALUE"""),"SOLID GOLD NB WOLF KING BISON 9.98KG")</f>
        <v>SOLID GOLD NB WOLF KING BISON 9.98KG</v>
      </c>
      <c r="G2046" s="133" t="str">
        <f>IFERROR(__xludf.DUMMYFUNCTION("""COMPUTED_VALUE"""),"سولید جولد ان بي وولف كینق بایسون 9.98كغ")</f>
        <v>سولید جولد ان بي وولف كینق بایسون 9.98كغ</v>
      </c>
      <c r="H2046" s="133" t="str">
        <f>IFERROR(__xludf.DUMMYFUNCTION("""COMPUTED_VALUE"""),"FOM-2024-0902-FEP-2024-80879-C-22548-0691")</f>
        <v>FOM-2024-0902-FEP-2024-80879-C-22548-0691</v>
      </c>
      <c r="I2046" s="133"/>
      <c r="J2046" s="133"/>
      <c r="K2046" s="133" t="str">
        <f>IFERROR(__xludf.DUMMYFUNCTION("""COMPUTED_VALUE"""),"شركة سوليد جولد بيت المحدودة المسؤولية")</f>
        <v>شركة سوليد جولد بيت المحدودة المسؤولية</v>
      </c>
      <c r="L2046" s="133"/>
      <c r="M2046" s="144">
        <f>IFERROR(__xludf.DUMMYFUNCTION("""COMPUTED_VALUE"""),47308.0)</f>
        <v>47308</v>
      </c>
      <c r="N2046" s="133"/>
      <c r="O2046" s="133"/>
      <c r="P2046" s="133"/>
      <c r="Q2046" s="133"/>
      <c r="R2046" s="133"/>
      <c r="S2046" s="133"/>
      <c r="T2046" s="133"/>
      <c r="U2046" s="133"/>
      <c r="V2046" s="133"/>
      <c r="W2046" s="133"/>
      <c r="X2046" s="133"/>
      <c r="Y2046" s="133"/>
      <c r="Z2046" s="133"/>
    </row>
    <row r="2047">
      <c r="A2047" s="133"/>
      <c r="B2047" s="133"/>
      <c r="C2047" s="133" t="str">
        <f>IFERROR(__xludf.DUMMYFUNCTION("""COMPUTED_VALUE"""),"P-1-N-140824-5080")</f>
        <v>P-1-N-140824-5080</v>
      </c>
      <c r="D2047" s="133" t="str">
        <f>IFERROR(__xludf.DUMMYFUNCTION("""COMPUTED_VALUE"""),"FEP-2024-80880")</f>
        <v>FEP-2024-80880</v>
      </c>
      <c r="E2047" s="133" t="str">
        <f>IFERROR(__xludf.DUMMYFUNCTION("""COMPUTED_VALUE"""),"مكتمل")</f>
        <v>مكتمل</v>
      </c>
      <c r="F2047" s="133" t="str">
        <f>IFERROR(__xludf.DUMMYFUNCTION("""COMPUTED_VALUE"""),"SOLID GOLD STAR CHASER CHICKEN LOAF 374G")</f>
        <v>SOLID GOLD STAR CHASER CHICKEN LOAF 374G</v>
      </c>
      <c r="G2047" s="133" t="str">
        <f>IFERROR(__xludf.DUMMYFUNCTION("""COMPUTED_VALUE"""),"سوليد جولد ستار تشيسر بالدجاج 374غ")</f>
        <v>سوليد جولد ستار تشيسر بالدجاج 374غ</v>
      </c>
      <c r="H2047" s="133" t="str">
        <f>IFERROR(__xludf.DUMMYFUNCTION("""COMPUTED_VALUE"""),"FOM-2024-0902-FEP-2024-80880-C-22548-0692")</f>
        <v>FOM-2024-0902-FEP-2024-80880-C-22548-0692</v>
      </c>
      <c r="I2047" s="133"/>
      <c r="J2047" s="133"/>
      <c r="K2047" s="133" t="str">
        <f>IFERROR(__xludf.DUMMYFUNCTION("""COMPUTED_VALUE"""),"شركة سوليد جولد بيت المحدودة المسؤولية")</f>
        <v>شركة سوليد جولد بيت المحدودة المسؤولية</v>
      </c>
      <c r="L2047" s="133"/>
      <c r="M2047" s="144">
        <f>IFERROR(__xludf.DUMMYFUNCTION("""COMPUTED_VALUE"""),47308.0)</f>
        <v>47308</v>
      </c>
      <c r="N2047" s="133"/>
      <c r="O2047" s="133"/>
      <c r="P2047" s="133"/>
      <c r="Q2047" s="133"/>
      <c r="R2047" s="133"/>
      <c r="S2047" s="133"/>
      <c r="T2047" s="133"/>
      <c r="U2047" s="133"/>
      <c r="V2047" s="133"/>
      <c r="W2047" s="133"/>
      <c r="X2047" s="133"/>
      <c r="Y2047" s="133"/>
      <c r="Z2047" s="133"/>
    </row>
    <row r="2048">
      <c r="A2048" s="133"/>
      <c r="B2048" s="133"/>
      <c r="C2048" s="133" t="str">
        <f>IFERROR(__xludf.DUMMYFUNCTION("""COMPUTED_VALUE"""),"P-1-N-140824-5082")</f>
        <v>P-1-N-140824-5082</v>
      </c>
      <c r="D2048" s="133"/>
      <c r="E2048" s="133" t="str">
        <f>IFERROR(__xludf.DUMMYFUNCTION("""COMPUTED_VALUE"""),"رفض ")</f>
        <v>رفض </v>
      </c>
      <c r="F2048" s="133" t="str">
        <f>IFERROR(__xludf.DUMMYFUNCTION("""COMPUTED_VALUE"""),"Applaws Chicken Breast with Pumpkin 70G")</f>
        <v>Applaws Chicken Breast with Pumpkin 70G</v>
      </c>
      <c r="G2048" s="133" t="str">
        <f>IFERROR(__xludf.DUMMYFUNCTION("""COMPUTED_VALUE"""),"ابلاوز صدور الدجاج مع القرع في المرق 70 جرام")</f>
        <v>ابلاوز صدور الدجاج مع القرع في المرق 70 جرام</v>
      </c>
      <c r="H2048" s="133"/>
      <c r="I2048" s="133"/>
      <c r="J2048" s="133"/>
      <c r="K2048" s="133" t="str">
        <f>IFERROR(__xludf.DUMMYFUNCTION("""COMPUTED_VALUE"""),"أم بي أم برودكتس ليمتد")</f>
        <v>أم بي أم برودكتس ليمتد</v>
      </c>
      <c r="L2048" s="133"/>
      <c r="M2048" s="133"/>
      <c r="N2048" s="133"/>
      <c r="O2048" s="133"/>
      <c r="P2048" s="133"/>
      <c r="Q2048" s="133"/>
      <c r="R2048" s="133"/>
      <c r="S2048" s="133"/>
      <c r="T2048" s="133"/>
      <c r="U2048" s="133"/>
      <c r="V2048" s="133"/>
      <c r="W2048" s="133"/>
      <c r="X2048" s="133"/>
      <c r="Y2048" s="133"/>
      <c r="Z2048" s="133"/>
    </row>
    <row r="2049">
      <c r="A2049" s="133"/>
      <c r="B2049" s="133"/>
      <c r="C2049" s="133" t="str">
        <f>IFERROR(__xludf.DUMMYFUNCTION("""COMPUTED_VALUE"""),"P-1-N-140824-5085")</f>
        <v>P-1-N-140824-5085</v>
      </c>
      <c r="D2049" s="133" t="str">
        <f>IFERROR(__xludf.DUMMYFUNCTION("""COMPUTED_VALUE"""),"FEP-2024-80884
")</f>
        <v>FEP-2024-80884
</v>
      </c>
      <c r="E2049" s="133" t="str">
        <f>IFERROR(__xludf.DUMMYFUNCTION("""COMPUTED_VALUE"""),"مكتمل")</f>
        <v>مكتمل</v>
      </c>
      <c r="F2049" s="133" t="str">
        <f>IFERROR(__xludf.DUMMYFUNCTION("""COMPUTED_VALUE"""),"SOLID GOLD WINGED TIGER WITH QUAIL 1.36KG")</f>
        <v>SOLID GOLD WINGED TIGER WITH QUAIL 1.36KG</v>
      </c>
      <c r="G2049" s="133" t="str">
        <f>IFERROR(__xludf.DUMMYFUNCTION("""COMPUTED_VALUE"""),"سوليد جولد وينجد تايجر بالسمان 1.36كغ")</f>
        <v>سوليد جولد وينجد تايجر بالسمان 1.36كغ</v>
      </c>
      <c r="H2049" s="133" t="str">
        <f>IFERROR(__xludf.DUMMYFUNCTION("""COMPUTED_VALUE"""),"FOM-2024-0902-FEP-2024-80884-C-22548-0694
")</f>
        <v>FOM-2024-0902-FEP-2024-80884-C-22548-0694
</v>
      </c>
      <c r="I2049" s="133"/>
      <c r="J2049" s="133"/>
      <c r="K2049" s="133" t="str">
        <f>IFERROR(__xludf.DUMMYFUNCTION("""COMPUTED_VALUE"""),"أم بي أم برودكتس ليمتد")</f>
        <v>أم بي أم برودكتس ليمتد</v>
      </c>
      <c r="L2049" s="133"/>
      <c r="M2049" s="144">
        <f>IFERROR(__xludf.DUMMYFUNCTION("""COMPUTED_VALUE"""),47308.0)</f>
        <v>47308</v>
      </c>
      <c r="N2049" s="133"/>
      <c r="O2049" s="133"/>
      <c r="P2049" s="133"/>
      <c r="Q2049" s="133"/>
      <c r="R2049" s="133"/>
      <c r="S2049" s="133"/>
      <c r="T2049" s="133"/>
      <c r="U2049" s="133"/>
      <c r="V2049" s="133"/>
      <c r="W2049" s="133"/>
      <c r="X2049" s="133"/>
      <c r="Y2049" s="133"/>
      <c r="Z2049" s="133"/>
    </row>
    <row r="2050">
      <c r="A2050" s="133"/>
      <c r="B2050" s="133"/>
      <c r="C2050" s="133" t="str">
        <f>IFERROR(__xludf.DUMMYFUNCTION("""COMPUTED_VALUE"""),"P-1-N-140824-5086")</f>
        <v>P-1-N-140824-5086</v>
      </c>
      <c r="D2050" s="133"/>
      <c r="E2050" s="133" t="str">
        <f>IFERROR(__xludf.DUMMYFUNCTION("""COMPUTED_VALUE"""),"مكتمل")</f>
        <v>مكتمل</v>
      </c>
      <c r="F2050" s="133" t="str">
        <f>IFERROR(__xludf.DUMMYFUNCTION("""COMPUTED_VALUE"""),"SOLID GOLD SUN DANCER CHICKEN LOAF 374G")</f>
        <v>SOLID GOLD SUN DANCER CHICKEN LOAF 374G</v>
      </c>
      <c r="G2050" s="133" t="str">
        <f>IFERROR(__xludf.DUMMYFUNCTION("""COMPUTED_VALUE"""),"سوليد جولد سن دانسر بالدجاج 374غ")</f>
        <v>سوليد جولد سن دانسر بالدجاج 374غ</v>
      </c>
      <c r="H2050" s="133" t="str">
        <f>IFERROR(__xludf.DUMMYFUNCTION("""COMPUTED_VALUE"""),"FOM-2024-0902-FEP-2024-80882-C-22548-0693
")</f>
        <v>FOM-2024-0902-FEP-2024-80882-C-22548-0693
</v>
      </c>
      <c r="I2050" s="133"/>
      <c r="J2050" s="133"/>
      <c r="K2050" s="133" t="str">
        <f>IFERROR(__xludf.DUMMYFUNCTION("""COMPUTED_VALUE"""),"أم بي أم برودكتس ليمتد")</f>
        <v>أم بي أم برودكتس ليمتد</v>
      </c>
      <c r="L2050" s="133"/>
      <c r="M2050" s="144">
        <f>IFERROR(__xludf.DUMMYFUNCTION("""COMPUTED_VALUE"""),47308.0)</f>
        <v>47308</v>
      </c>
      <c r="N2050" s="133"/>
      <c r="O2050" s="133"/>
      <c r="P2050" s="133"/>
      <c r="Q2050" s="133"/>
      <c r="R2050" s="133"/>
      <c r="S2050" s="133"/>
      <c r="T2050" s="133"/>
      <c r="U2050" s="133"/>
      <c r="V2050" s="133"/>
      <c r="W2050" s="133"/>
      <c r="X2050" s="133"/>
      <c r="Y2050" s="133"/>
      <c r="Z2050" s="133"/>
    </row>
    <row r="2051">
      <c r="A2051" s="133"/>
      <c r="B2051" s="133"/>
      <c r="C2051" s="133" t="str">
        <f>IFERROR(__xludf.DUMMYFUNCTION("""COMPUTED_VALUE"""),"P-1-N-140824-5087")</f>
        <v>P-1-N-140824-5087</v>
      </c>
      <c r="D2051" s="133"/>
      <c r="E2051" s="133" t="str">
        <f>IFERROR(__xludf.DUMMYFUNCTION("""COMPUTED_VALUE"""),"رفض ")</f>
        <v>رفض </v>
      </c>
      <c r="F2051" s="133" t="str">
        <f>IFERROR(__xludf.DUMMYFUNCTION("""COMPUTED_VALUE"""),"Applaws chicken breast with beef In jelly 70g")</f>
        <v>Applaws chicken breast with beef In jelly 70g</v>
      </c>
      <c r="G2051" s="133" t="str">
        <f>IFERROR(__xludf.DUMMYFUNCTION("""COMPUTED_VALUE"""),"أبلاوز صدر دجاج مع لحم بقري في الجيلي 70 غ")</f>
        <v>أبلاوز صدر دجاج مع لحم بقري في الجيلي 70 غ</v>
      </c>
      <c r="H2051" s="133"/>
      <c r="I2051" s="133"/>
      <c r="J2051" s="133"/>
      <c r="K2051" s="133" t="str">
        <f>IFERROR(__xludf.DUMMYFUNCTION("""COMPUTED_VALUE"""),"أم بي أم برودكتس ليمتد")</f>
        <v>أم بي أم برودكتس ليمتد</v>
      </c>
      <c r="L2051" s="133"/>
      <c r="M2051" s="133"/>
      <c r="N2051" s="133"/>
      <c r="O2051" s="133"/>
      <c r="P2051" s="133"/>
      <c r="Q2051" s="133"/>
      <c r="R2051" s="133"/>
      <c r="S2051" s="133"/>
      <c r="T2051" s="133"/>
      <c r="U2051" s="133"/>
      <c r="V2051" s="133"/>
      <c r="W2051" s="133"/>
      <c r="X2051" s="133"/>
      <c r="Y2051" s="133"/>
      <c r="Z2051" s="133"/>
    </row>
    <row r="2052">
      <c r="A2052" s="133"/>
      <c r="B2052" s="133"/>
      <c r="C2052" s="133" t="str">
        <f>IFERROR(__xludf.DUMMYFUNCTION("""COMPUTED_VALUE"""),"P-1-N-140824-5088")</f>
        <v>P-1-N-140824-5088</v>
      </c>
      <c r="D2052" s="133" t="str">
        <f>IFERROR(__xludf.DUMMYFUNCTION("""COMPUTED_VALUE"""),"8253SML-A")</f>
        <v>8253SML-A</v>
      </c>
      <c r="E2052" s="133" t="str">
        <f>IFERROR(__xludf.DUMMYFUNCTION("""COMPUTED_VALUE"""),"رفض ")</f>
        <v>رفض </v>
      </c>
      <c r="F2052" s="133" t="str">
        <f>IFERROR(__xludf.DUMMYFUNCTION("""COMPUTED_VALUE"""),"Applaws chicken breast with lamp in Jelly 70g")</f>
        <v>Applaws chicken breast with lamp in Jelly 70g</v>
      </c>
      <c r="G2052" s="133" t="str">
        <f>IFERROR(__xludf.DUMMYFUNCTION("""COMPUTED_VALUE"""),"أبلاوز صدر دجاج مع لحم غنم في الجيلي 70 غ")</f>
        <v>أبلاوز صدر دجاج مع لحم غنم في الجيلي 70 غ</v>
      </c>
      <c r="H2052" s="133"/>
      <c r="I2052" s="133"/>
      <c r="J2052" s="133"/>
      <c r="K2052" s="133" t="str">
        <f>IFERROR(__xludf.DUMMYFUNCTION("""COMPUTED_VALUE"""),"أم بي أم برودكتس ليمتد")</f>
        <v>أم بي أم برودكتس ليمتد</v>
      </c>
      <c r="L2052" s="133"/>
      <c r="M2052" s="133"/>
      <c r="N2052" s="133"/>
      <c r="O2052" s="133"/>
      <c r="P2052" s="133"/>
      <c r="Q2052" s="133"/>
      <c r="R2052" s="133"/>
      <c r="S2052" s="133"/>
      <c r="T2052" s="133"/>
      <c r="U2052" s="133"/>
      <c r="V2052" s="133"/>
      <c r="W2052" s="133"/>
      <c r="X2052" s="133"/>
      <c r="Y2052" s="133"/>
      <c r="Z2052" s="133"/>
    </row>
    <row r="2053">
      <c r="A2053" s="133"/>
      <c r="B2053" s="133"/>
      <c r="C2053" s="133" t="str">
        <f>IFERROR(__xludf.DUMMYFUNCTION("""COMPUTED_VALUE"""),"P-1-N-140824-5089")</f>
        <v>P-1-N-140824-5089</v>
      </c>
      <c r="D2053" s="133"/>
      <c r="E2053" s="133" t="str">
        <f>IFERROR(__xludf.DUMMYFUNCTION("""COMPUTED_VALUE"""),"رفض ")</f>
        <v>رفض </v>
      </c>
      <c r="F2053" s="133" t="str">
        <f>IFERROR(__xludf.DUMMYFUNCTION("""COMPUTED_VALUE"""),"Applaws Tuna Fillet in jelly 70g")</f>
        <v>Applaws Tuna Fillet in jelly 70g</v>
      </c>
      <c r="G2053" s="133" t="str">
        <f>IFERROR(__xludf.DUMMYFUNCTION("""COMPUTED_VALUE"""),"أبلاوز فيليه التونة في الجيلي 70 غ")</f>
        <v>أبلاوز فيليه التونة في الجيلي 70 غ</v>
      </c>
      <c r="H2053" s="133"/>
      <c r="I2053" s="133"/>
      <c r="J2053" s="133"/>
      <c r="K2053" s="133" t="str">
        <f>IFERROR(__xludf.DUMMYFUNCTION("""COMPUTED_VALUE"""),"أم بي أم برودكتس ليمتد")</f>
        <v>أم بي أم برودكتس ليمتد</v>
      </c>
      <c r="L2053" s="133"/>
      <c r="M2053" s="133"/>
      <c r="N2053" s="133"/>
      <c r="O2053" s="133"/>
      <c r="P2053" s="133"/>
      <c r="Q2053" s="133"/>
      <c r="R2053" s="133"/>
      <c r="S2053" s="133"/>
      <c r="T2053" s="133"/>
      <c r="U2053" s="133"/>
      <c r="V2053" s="133"/>
      <c r="W2053" s="133"/>
      <c r="X2053" s="133"/>
      <c r="Y2053" s="133"/>
      <c r="Z2053" s="133"/>
    </row>
    <row r="2054">
      <c r="A2054" s="133"/>
      <c r="B2054" s="133"/>
      <c r="C2054" s="133" t="str">
        <f>IFERROR(__xludf.DUMMYFUNCTION("""COMPUTED_VALUE"""),"P-1-N-140824-5090")</f>
        <v>P-1-N-140824-5090</v>
      </c>
      <c r="D2054" s="133"/>
      <c r="E2054" s="133" t="str">
        <f>IFERROR(__xludf.DUMMYFUNCTION("""COMPUTED_VALUE"""),"رفض ")</f>
        <v>رفض </v>
      </c>
      <c r="F2054" s="133" t="str">
        <f>IFERROR(__xludf.DUMMYFUNCTION("""COMPUTED_VALUE"""),"Applaws tuna fillet with mackerel in jelly 70g")</f>
        <v>Applaws tuna fillet with mackerel in jelly 70g</v>
      </c>
      <c r="G2054" s="133" t="str">
        <f>IFERROR(__xludf.DUMMYFUNCTION("""COMPUTED_VALUE"""),"أبلاوز فيليه تونة مع بالماكريل في الجيلي 70 غ")</f>
        <v>أبلاوز فيليه تونة مع بالماكريل في الجيلي 70 غ</v>
      </c>
      <c r="H2054" s="133"/>
      <c r="I2054" s="133"/>
      <c r="J2054" s="133"/>
      <c r="K2054" s="133" t="str">
        <f>IFERROR(__xludf.DUMMYFUNCTION("""COMPUTED_VALUE"""),"أم بي أم برودكتس ليمتد")</f>
        <v>أم بي أم برودكتس ليمتد</v>
      </c>
      <c r="L2054" s="133"/>
      <c r="M2054" s="133"/>
      <c r="N2054" s="133"/>
      <c r="O2054" s="133"/>
      <c r="P2054" s="133"/>
      <c r="Q2054" s="133"/>
      <c r="R2054" s="133"/>
      <c r="S2054" s="133"/>
      <c r="T2054" s="133"/>
      <c r="U2054" s="133"/>
      <c r="V2054" s="133"/>
      <c r="W2054" s="133"/>
      <c r="X2054" s="133"/>
      <c r="Y2054" s="133"/>
      <c r="Z2054" s="133"/>
    </row>
    <row r="2055">
      <c r="A2055" s="133"/>
      <c r="B2055" s="133"/>
      <c r="C2055" s="133" t="str">
        <f>IFERROR(__xludf.DUMMYFUNCTION("""COMPUTED_VALUE"""),"P-1-N-140824-5092")</f>
        <v>P-1-N-140824-5092</v>
      </c>
      <c r="D2055" s="133"/>
      <c r="E2055" s="133" t="str">
        <f>IFERROR(__xludf.DUMMYFUNCTION("""COMPUTED_VALUE"""),"رفض ")</f>
        <v>رفض </v>
      </c>
      <c r="F2055" s="133" t="str">
        <f>IFERROR(__xludf.DUMMYFUNCTION("""COMPUTED_VALUE"""),"Applaws tuna fillet with salmon in jelly 70g")</f>
        <v>Applaws tuna fillet with salmon in jelly 70g</v>
      </c>
      <c r="G2055" s="133" t="str">
        <f>IFERROR(__xludf.DUMMYFUNCTION("""COMPUTED_VALUE"""),"أبلاوز فيليه تونة مع سمك السلمون في الجيلي 70 غ")</f>
        <v>أبلاوز فيليه تونة مع سمك السلمون في الجيلي 70 غ</v>
      </c>
      <c r="H2055" s="133"/>
      <c r="I2055" s="133"/>
      <c r="J2055" s="133"/>
      <c r="K2055" s="133" t="str">
        <f>IFERROR(__xludf.DUMMYFUNCTION("""COMPUTED_VALUE"""),"أم بي أم برودكتس ليمتد")</f>
        <v>أم بي أم برودكتس ليمتد</v>
      </c>
      <c r="L2055" s="133"/>
      <c r="M2055" s="133"/>
      <c r="N2055" s="133"/>
      <c r="O2055" s="133"/>
      <c r="P2055" s="133"/>
      <c r="Q2055" s="133"/>
      <c r="R2055" s="133"/>
      <c r="S2055" s="133"/>
      <c r="T2055" s="133"/>
      <c r="U2055" s="133"/>
      <c r="V2055" s="133"/>
      <c r="W2055" s="133"/>
      <c r="X2055" s="133"/>
      <c r="Y2055" s="133"/>
      <c r="Z2055" s="133"/>
    </row>
    <row r="2056">
      <c r="A2056" s="133"/>
      <c r="B2056" s="133"/>
      <c r="C2056" s="133" t="str">
        <f>IFERROR(__xludf.DUMMYFUNCTION("""COMPUTED_VALUE"""),"P-1-N-150824-5116")</f>
        <v>P-1-N-150824-5116</v>
      </c>
      <c r="D2056" s="133" t="str">
        <f>IFERROR(__xludf.DUMMYFUNCTION("""COMPUTED_VALUE"""),"FEP-2024-80887
")</f>
        <v>FEP-2024-80887
</v>
      </c>
      <c r="E2056" s="133" t="str">
        <f>IFERROR(__xludf.DUMMYFUNCTION("""COMPUTED_VALUE"""),"مكتمل")</f>
        <v>مكتمل</v>
      </c>
      <c r="F2056" s="133" t="str">
        <f>IFERROR(__xludf.DUMMYFUNCTION("""COMPUTED_VALUE"""),"SOLID GOLD NB WEE BIT BISON 1.7KG")</f>
        <v>SOLID GOLD NB WEE BIT BISON 1.7KG</v>
      </c>
      <c r="G2056" s="133" t="str">
        <f>IFERROR(__xludf.DUMMYFUNCTION("""COMPUTED_VALUE"""),"سولید جولد ان بي وي بیت بایسون 1.7كغ")</f>
        <v>سولید جولد ان بي وي بیت بایسون 1.7كغ</v>
      </c>
      <c r="H2056" s="133" t="str">
        <f>IFERROR(__xludf.DUMMYFUNCTION("""COMPUTED_VALUE"""),"FOM-2024-0902-FEP-2024-80887-C-22548-0695")</f>
        <v>FOM-2024-0902-FEP-2024-80887-C-22548-0695</v>
      </c>
      <c r="I2056" s="133"/>
      <c r="J2056" s="133"/>
      <c r="K2056" s="133" t="str">
        <f>IFERROR(__xludf.DUMMYFUNCTION("""COMPUTED_VALUE"""),"شركة سوليد جولد بيت المحدودة المسؤولية")</f>
        <v>شركة سوليد جولد بيت المحدودة المسؤولية</v>
      </c>
      <c r="L2056" s="133"/>
      <c r="M2056" s="144">
        <f>IFERROR(__xludf.DUMMYFUNCTION("""COMPUTED_VALUE"""),47308.0)</f>
        <v>47308</v>
      </c>
      <c r="N2056" s="133"/>
      <c r="O2056" s="133"/>
      <c r="P2056" s="133"/>
      <c r="Q2056" s="133"/>
      <c r="R2056" s="133"/>
      <c r="S2056" s="133"/>
      <c r="T2056" s="133"/>
      <c r="U2056" s="133"/>
      <c r="V2056" s="133"/>
      <c r="W2056" s="133"/>
      <c r="X2056" s="133"/>
      <c r="Y2056" s="133"/>
      <c r="Z2056" s="133"/>
    </row>
    <row r="2057">
      <c r="A2057" s="133"/>
      <c r="B2057" s="133"/>
      <c r="C2057" s="133" t="str">
        <f>IFERROR(__xludf.DUMMYFUNCTION("""COMPUTED_VALUE"""),"P-1-N-150824-5117")</f>
        <v>P-1-N-150824-5117</v>
      </c>
      <c r="D2057" s="133" t="str">
        <f>IFERROR(__xludf.DUMMYFUNCTION("""COMPUTED_VALUE"""),"FEP-2024-80889
")</f>
        <v>FEP-2024-80889
</v>
      </c>
      <c r="E2057" s="133" t="str">
        <f>IFERROR(__xludf.DUMMYFUNCTION("""COMPUTED_VALUE"""),"مكتمل")</f>
        <v>مكتمل</v>
      </c>
      <c r="F2057" s="133" t="str">
        <f>IFERROR(__xludf.DUMMYFUNCTION("""COMPUTED_VALUE"""),"SOLID GOLD NB WEE BIT BISON 9.98KG")</f>
        <v>SOLID GOLD NB WEE BIT BISON 9.98KG</v>
      </c>
      <c r="G2057" s="133" t="str">
        <f>IFERROR(__xludf.DUMMYFUNCTION("""COMPUTED_VALUE"""),"سوليد جولد ان بي وي بيت بايسون 9.98كغ")</f>
        <v>سوليد جولد ان بي وي بيت بايسون 9.98كغ</v>
      </c>
      <c r="H2057" s="133" t="str">
        <f>IFERROR(__xludf.DUMMYFUNCTION("""COMPUTED_VALUE"""),"FOM-2024-0902-FEP-2024-80889-C-22548-0697")</f>
        <v>FOM-2024-0902-FEP-2024-80889-C-22548-0697</v>
      </c>
      <c r="I2057" s="133"/>
      <c r="J2057" s="133"/>
      <c r="K2057" s="133" t="str">
        <f>IFERROR(__xludf.DUMMYFUNCTION("""COMPUTED_VALUE"""),"شركة سوليد جولد بيت المحدودة المسؤولية")</f>
        <v>شركة سوليد جولد بيت المحدودة المسؤولية</v>
      </c>
      <c r="L2057" s="133"/>
      <c r="M2057" s="144">
        <f>IFERROR(__xludf.DUMMYFUNCTION("""COMPUTED_VALUE"""),47308.0)</f>
        <v>47308</v>
      </c>
      <c r="N2057" s="133"/>
      <c r="O2057" s="133"/>
      <c r="P2057" s="133"/>
      <c r="Q2057" s="133"/>
      <c r="R2057" s="133"/>
      <c r="S2057" s="133"/>
      <c r="T2057" s="133"/>
      <c r="U2057" s="133"/>
      <c r="V2057" s="133"/>
      <c r="W2057" s="133"/>
      <c r="X2057" s="133"/>
      <c r="Y2057" s="133"/>
      <c r="Z2057" s="133"/>
    </row>
    <row r="2058">
      <c r="A2058" s="133"/>
      <c r="B2058" s="133"/>
      <c r="C2058" s="133"/>
      <c r="D2058" s="133" t="str">
        <f>IFERROR(__xludf.DUMMYFUNCTION("""COMPUTED_VALUE"""),"FEP-2024-80849
")</f>
        <v>FEP-2024-80849
</v>
      </c>
      <c r="E2058" s="133" t="str">
        <f>IFERROR(__xludf.DUMMYFUNCTION("""COMPUTED_VALUE"""),"مكتمل")</f>
        <v>مكتمل</v>
      </c>
      <c r="F2058" s="133" t="str">
        <f>IFERROR(__xludf.DUMMYFUNCTION("""COMPUTED_VALUE"""),"SOLID GOLD NB HUND N FLOCKEN LAMB 1.7KG")</f>
        <v>SOLID GOLD NB HUND N FLOCKEN LAMB 1.7KG</v>
      </c>
      <c r="G2058" s="133" t="str">
        <f>IFERROR(__xludf.DUMMYFUNCTION("""COMPUTED_VALUE"""),"سولید جولد ان بي ھند ان فلوكین بلحم الضأن 1.7كغ")</f>
        <v>سولید جولد ان بي ھند ان فلوكین بلحم الضأن 1.7كغ</v>
      </c>
      <c r="H2058" s="133" t="str">
        <f>IFERROR(__xludf.DUMMYFUNCTION("""COMPUTED_VALUE"""),"FOM-2024-5981-FEP-2024-80849-C-22548-0686")</f>
        <v>FOM-2024-5981-FEP-2024-80849-C-22548-0686</v>
      </c>
      <c r="I2058" s="133" t="str">
        <f>IFERROR(__xludf.DUMMYFUNCTION("""COMPUTED_VALUE"""),"FOM-2024-0902-FEP-2024-80890-C-22548-0698")</f>
        <v>FOM-2024-0902-FEP-2024-80890-C-22548-0698</v>
      </c>
      <c r="J2058" s="133"/>
      <c r="K2058" s="133" t="str">
        <f>IFERROR(__xludf.DUMMYFUNCTION("""COMPUTED_VALUE"""),"شركة سوليد جولد بيت المحدودة المسؤولية")</f>
        <v>شركة سوليد جولد بيت المحدودة المسؤولية</v>
      </c>
      <c r="L2058" s="133"/>
      <c r="M2058" s="133">
        <f>IFERROR(__xludf.DUMMYFUNCTION("""COMPUTED_VALUE"""),47308.0)</f>
        <v>47308</v>
      </c>
      <c r="N2058" s="133"/>
      <c r="O2058" s="133"/>
      <c r="P2058" s="133"/>
      <c r="Q2058" s="133"/>
      <c r="R2058" s="133"/>
      <c r="S2058" s="133"/>
      <c r="T2058" s="133"/>
      <c r="U2058" s="133"/>
      <c r="V2058" s="133"/>
      <c r="W2058" s="133"/>
      <c r="X2058" s="133"/>
      <c r="Y2058" s="133"/>
      <c r="Z2058" s="133"/>
    </row>
    <row r="2059">
      <c r="A2059" s="133"/>
      <c r="B2059" s="133"/>
      <c r="C2059" s="133" t="str">
        <f>IFERROR(__xludf.DUMMYFUNCTION("""COMPUTED_VALUE"""),"P-1-N-150824-5119")</f>
        <v>P-1-N-150824-5119</v>
      </c>
      <c r="D2059" s="133" t="str">
        <f>IFERROR(__xludf.DUMMYFUNCTION("""COMPUTED_VALUE"""),"FEP-2024-80890")</f>
        <v>FEP-2024-80890</v>
      </c>
      <c r="E2059" s="133" t="str">
        <f>IFERROR(__xludf.DUMMYFUNCTION("""COMPUTED_VALUE"""),"مكتمل")</f>
        <v>مكتمل</v>
      </c>
      <c r="F2059" s="133" t="str">
        <f>IFERROR(__xludf.DUMMYFUNCTION("""COMPUTED_VALUE"""),"SOLID GOLD NB HUND N FLOCKEN LAMB 9.98KG")</f>
        <v>SOLID GOLD NB HUND N FLOCKEN LAMB 9.98KG</v>
      </c>
      <c r="G2059" s="133" t="str">
        <f>IFERROR(__xludf.DUMMYFUNCTION("""COMPUTED_VALUE"""),"سولید جولد ان بي ھند ان فلوكین بلحم الضأن 9.98كغ")</f>
        <v>سولید جولد ان بي ھند ان فلوكین بلحم الضأن 9.98كغ</v>
      </c>
      <c r="H2059" s="133" t="str">
        <f>IFERROR(__xludf.DUMMYFUNCTION("""COMPUTED_VALUE"""),"FOM-2024-0902-FEP-2024-80891-C-22548-0699")</f>
        <v>FOM-2024-0902-FEP-2024-80891-C-22548-0699</v>
      </c>
      <c r="I2059" s="133"/>
      <c r="J2059" s="133"/>
      <c r="K2059" s="133" t="str">
        <f>IFERROR(__xludf.DUMMYFUNCTION("""COMPUTED_VALUE"""),"شركة سوليد جولد بيت المحدودة المسؤولية")</f>
        <v>شركة سوليد جولد بيت المحدودة المسؤولية</v>
      </c>
      <c r="L2059" s="133"/>
      <c r="M2059" s="133">
        <f>IFERROR(__xludf.DUMMYFUNCTION("""COMPUTED_VALUE"""),47308.0)</f>
        <v>47308</v>
      </c>
      <c r="N2059" s="133"/>
      <c r="O2059" s="133"/>
      <c r="P2059" s="133"/>
      <c r="Q2059" s="133"/>
      <c r="R2059" s="133"/>
      <c r="S2059" s="133"/>
      <c r="T2059" s="133"/>
      <c r="U2059" s="133"/>
      <c r="V2059" s="133"/>
      <c r="W2059" s="133"/>
      <c r="X2059" s="133"/>
      <c r="Y2059" s="133"/>
      <c r="Z2059" s="133"/>
    </row>
    <row r="2060">
      <c r="A2060" s="133"/>
      <c r="B2060" s="133"/>
      <c r="C2060" s="133" t="str">
        <f>IFERROR(__xludf.DUMMYFUNCTION("""COMPUTED_VALUE"""),"P-1-N-190824-5182")</f>
        <v>P-1-N-190824-5182</v>
      </c>
      <c r="D2060" s="133"/>
      <c r="E2060" s="133" t="str">
        <f>IFERROR(__xludf.DUMMYFUNCTION("""COMPUTED_VALUE"""),"رفض ")</f>
        <v>رفض </v>
      </c>
      <c r="F2060" s="133" t="str">
        <f>IFERROR(__xludf.DUMMYFUNCTION("""COMPUTED_VALUE"""),"Yowup Yogurt SKIN AND HAIR DOG 115g")</f>
        <v>Yowup Yogurt SKIN AND HAIR DOG 115g</v>
      </c>
      <c r="G2060" s="133"/>
      <c r="H2060" s="133"/>
      <c r="I2060" s="133"/>
      <c r="J2060" s="133"/>
      <c r="K2060" s="133"/>
      <c r="L2060" s="133"/>
      <c r="M2060" s="133"/>
      <c r="N2060" s="133"/>
      <c r="O2060" s="133"/>
      <c r="P2060" s="133"/>
      <c r="Q2060" s="133"/>
      <c r="R2060" s="133"/>
      <c r="S2060" s="133"/>
      <c r="T2060" s="133"/>
      <c r="U2060" s="133"/>
      <c r="V2060" s="133"/>
      <c r="W2060" s="133"/>
      <c r="X2060" s="133"/>
      <c r="Y2060" s="133"/>
      <c r="Z2060" s="133"/>
    </row>
    <row r="2061">
      <c r="A2061" s="133"/>
      <c r="B2061" s="133"/>
      <c r="C2061" s="133" t="str">
        <f>IFERROR(__xludf.DUMMYFUNCTION("""COMPUTED_VALUE"""),"P-1-N-190824-5183")</f>
        <v>P-1-N-190824-5183</v>
      </c>
      <c r="D2061" s="133"/>
      <c r="E2061" s="133" t="str">
        <f>IFERROR(__xludf.DUMMYFUNCTION("""COMPUTED_VALUE"""),"رفض ")</f>
        <v>رفض </v>
      </c>
      <c r="F2061" s="133" t="str">
        <f>IFERROR(__xludf.DUMMYFUNCTION("""COMPUTED_VALUE"""),"Yowup Yogurt ARTICULAR DOG 115g")</f>
        <v>Yowup Yogurt ARTICULAR DOG 115g</v>
      </c>
      <c r="G2061" s="133"/>
      <c r="H2061" s="133"/>
      <c r="I2061" s="133"/>
      <c r="J2061" s="133"/>
      <c r="K2061" s="133"/>
      <c r="L2061" s="133"/>
      <c r="M2061" s="133"/>
      <c r="N2061" s="133"/>
      <c r="O2061" s="133"/>
      <c r="P2061" s="133"/>
      <c r="Q2061" s="133"/>
      <c r="R2061" s="133"/>
      <c r="S2061" s="133"/>
      <c r="T2061" s="133"/>
      <c r="U2061" s="133"/>
      <c r="V2061" s="133"/>
      <c r="W2061" s="133"/>
      <c r="X2061" s="133"/>
      <c r="Y2061" s="133"/>
      <c r="Z2061" s="133"/>
    </row>
    <row r="2062">
      <c r="A2062" s="133"/>
      <c r="B2062" s="133"/>
      <c r="C2062" s="133" t="str">
        <f>IFERROR(__xludf.DUMMYFUNCTION("""COMPUTED_VALUE"""),"P-1-N-190824-5184")</f>
        <v>P-1-N-190824-5184</v>
      </c>
      <c r="D2062" s="133"/>
      <c r="E2062" s="133" t="str">
        <f>IFERROR(__xludf.DUMMYFUNCTION("""COMPUTED_VALUE"""),"رفض ")</f>
        <v>رفض </v>
      </c>
      <c r="F2062" s="133" t="str">
        <f>IFERROR(__xludf.DUMMYFUNCTION("""COMPUTED_VALUE"""),"Yowup Yogurt SKIN AND HAIR CAT 85g")</f>
        <v>Yowup Yogurt SKIN AND HAIR CAT 85g</v>
      </c>
      <c r="G2062" s="133"/>
      <c r="H2062" s="133"/>
      <c r="I2062" s="133"/>
      <c r="J2062" s="133"/>
      <c r="K2062" s="133"/>
      <c r="L2062" s="133"/>
      <c r="M2062" s="133"/>
      <c r="N2062" s="133"/>
      <c r="O2062" s="133"/>
      <c r="P2062" s="133"/>
      <c r="Q2062" s="133"/>
      <c r="R2062" s="133"/>
      <c r="S2062" s="133"/>
      <c r="T2062" s="133"/>
      <c r="U2062" s="133"/>
      <c r="V2062" s="133"/>
      <c r="W2062" s="133"/>
      <c r="X2062" s="133"/>
      <c r="Y2062" s="133"/>
      <c r="Z2062" s="133"/>
    </row>
    <row r="2063">
      <c r="A2063" s="133"/>
      <c r="B2063" s="133"/>
      <c r="C2063" s="133" t="str">
        <f>IFERROR(__xludf.DUMMYFUNCTION("""COMPUTED_VALUE"""),"P-1-N-190824-5187")</f>
        <v>P-1-N-190824-5187</v>
      </c>
      <c r="D2063" s="133"/>
      <c r="E2063" s="133" t="str">
        <f>IFERROR(__xludf.DUMMYFUNCTION("""COMPUTED_VALUE"""),"رفض ")</f>
        <v>رفض </v>
      </c>
      <c r="F2063" s="133" t="str">
        <f>IFERROR(__xludf.DUMMYFUNCTION("""COMPUTED_VALUE"""),"Applaws Tuna Fillet with Anchovy &amp; Seaweed in broth 70g")</f>
        <v>Applaws Tuna Fillet with Anchovy &amp; Seaweed in broth 70g</v>
      </c>
      <c r="G2063" s="133"/>
      <c r="H2063" s="133"/>
      <c r="I2063" s="133"/>
      <c r="J2063" s="133"/>
      <c r="K2063" s="133"/>
      <c r="L2063" s="133"/>
      <c r="M2063" s="133"/>
      <c r="N2063" s="133"/>
      <c r="O2063" s="133"/>
      <c r="P2063" s="133"/>
      <c r="Q2063" s="133"/>
      <c r="R2063" s="133"/>
      <c r="S2063" s="133"/>
      <c r="T2063" s="133"/>
      <c r="U2063" s="133"/>
      <c r="V2063" s="133"/>
      <c r="W2063" s="133"/>
      <c r="X2063" s="133"/>
      <c r="Y2063" s="133"/>
      <c r="Z2063" s="133"/>
    </row>
    <row r="2064">
      <c r="A2064" s="133"/>
      <c r="B2064" s="133"/>
      <c r="C2064" s="133" t="str">
        <f>IFERROR(__xludf.DUMMYFUNCTION("""COMPUTED_VALUE"""),"P-1-N-190824-5190")</f>
        <v>P-1-N-190824-5190</v>
      </c>
      <c r="D2064" s="133"/>
      <c r="E2064" s="133" t="str">
        <f>IFERROR(__xludf.DUMMYFUNCTION("""COMPUTED_VALUE"""),"رفض ")</f>
        <v>رفض </v>
      </c>
      <c r="F2064" s="133" t="str">
        <f>IFERROR(__xludf.DUMMYFUNCTION("""COMPUTED_VALUE"""),"Applaws Tuna Fillet with sea bream in broth 70G")</f>
        <v>Applaws Tuna Fillet with sea bream in broth 70G</v>
      </c>
      <c r="G2064" s="133" t="str">
        <f>IFERROR(__xludf.DUMMYFUNCTION("""COMPUTED_VALUE"""),"أبلاوز فيليه تونة مع سمك الدنيس في المرق 70 غ")</f>
        <v>أبلاوز فيليه تونة مع سمك الدنيس في المرق 70 غ</v>
      </c>
      <c r="H2064" s="133"/>
      <c r="I2064" s="133"/>
      <c r="J2064" s="133"/>
      <c r="K2064" s="133"/>
      <c r="L2064" s="133"/>
      <c r="M2064" s="133"/>
      <c r="N2064" s="133"/>
      <c r="O2064" s="133"/>
      <c r="P2064" s="133"/>
      <c r="Q2064" s="133"/>
      <c r="R2064" s="133"/>
      <c r="S2064" s="133"/>
      <c r="T2064" s="133"/>
      <c r="U2064" s="133"/>
      <c r="V2064" s="133"/>
      <c r="W2064" s="133"/>
      <c r="X2064" s="133"/>
      <c r="Y2064" s="133"/>
      <c r="Z2064" s="133"/>
    </row>
    <row r="2065">
      <c r="A2065" s="133"/>
      <c r="B2065" s="133"/>
      <c r="C2065" s="133" t="str">
        <f>IFERROR(__xludf.DUMMYFUNCTION("""COMPUTED_VALUE"""),"P-1-N-200824-5196")</f>
        <v>P-1-N-200824-5196</v>
      </c>
      <c r="D2065" s="133"/>
      <c r="E2065" s="133" t="str">
        <f>IFERROR(__xludf.DUMMYFUNCTION("""COMPUTED_VALUE"""),"رفض ")</f>
        <v>رفض </v>
      </c>
      <c r="F2065" s="133" t="str">
        <f>IFERROR(__xludf.DUMMYFUNCTION("""COMPUTED_VALUE"""),"Immune Cat Paste 100ml")</f>
        <v>Immune Cat Paste 100ml</v>
      </c>
      <c r="G2065" s="133" t="str">
        <f>IFERROR(__xludf.DUMMYFUNCTION("""COMPUTED_VALUE"""),"اميون كات بايست 100 مل")</f>
        <v>اميون كات بايست 100 مل</v>
      </c>
      <c r="H2065" s="133"/>
      <c r="I2065" s="133"/>
      <c r="J2065" s="133"/>
      <c r="K2065" s="133"/>
      <c r="L2065" s="133"/>
      <c r="M2065" s="133"/>
      <c r="N2065" s="133"/>
      <c r="O2065" s="133"/>
      <c r="P2065" s="133"/>
      <c r="Q2065" s="133"/>
      <c r="R2065" s="133"/>
      <c r="S2065" s="133"/>
      <c r="T2065" s="133"/>
      <c r="U2065" s="133"/>
      <c r="V2065" s="133"/>
      <c r="W2065" s="133"/>
      <c r="X2065" s="133"/>
      <c r="Y2065" s="133"/>
      <c r="Z2065" s="133"/>
    </row>
    <row r="2066">
      <c r="A2066" s="133"/>
      <c r="B2066" s="133"/>
      <c r="C2066" s="133" t="str">
        <f>IFERROR(__xludf.DUMMYFUNCTION("""COMPUTED_VALUE"""),"P-1-N-200824-5197")</f>
        <v>P-1-N-200824-5197</v>
      </c>
      <c r="D2066" s="133"/>
      <c r="E2066" s="133" t="str">
        <f>IFERROR(__xludf.DUMMYFUNCTION("""COMPUTED_VALUE"""),"رفض ")</f>
        <v>رفض </v>
      </c>
      <c r="F2066" s="133" t="str">
        <f>IFERROR(__xludf.DUMMYFUNCTION("""COMPUTED_VALUE"""),"Hairball Control 45g")</f>
        <v>Hairball Control 45g</v>
      </c>
      <c r="G2066" s="133" t="str">
        <f>IFERROR(__xludf.DUMMYFUNCTION("""COMPUTED_VALUE"""),"هيربول كونترول 45 جم")</f>
        <v>هيربول كونترول 45 جم</v>
      </c>
      <c r="H2066" s="133"/>
      <c r="I2066" s="133"/>
      <c r="J2066" s="133"/>
      <c r="K2066" s="133"/>
      <c r="L2066" s="133"/>
      <c r="M2066" s="133"/>
      <c r="N2066" s="133"/>
      <c r="O2066" s="133"/>
      <c r="P2066" s="133"/>
      <c r="Q2066" s="133"/>
      <c r="R2066" s="133"/>
      <c r="S2066" s="133"/>
      <c r="T2066" s="133"/>
      <c r="U2066" s="133"/>
      <c r="V2066" s="133"/>
      <c r="W2066" s="133"/>
      <c r="X2066" s="133"/>
      <c r="Y2066" s="133"/>
      <c r="Z2066" s="133"/>
    </row>
    <row r="2067">
      <c r="A2067" s="133"/>
      <c r="B2067" s="133"/>
      <c r="C2067" s="133" t="str">
        <f>IFERROR(__xludf.DUMMYFUNCTION("""COMPUTED_VALUE"""),"P-1-N-200824-5208")</f>
        <v>P-1-N-200824-5208</v>
      </c>
      <c r="D2067" s="133"/>
      <c r="E2067" s="133" t="str">
        <f>IFERROR(__xludf.DUMMYFUNCTION("""COMPUTED_VALUE"""),"رفض ")</f>
        <v>رفض </v>
      </c>
      <c r="F2067" s="133" t="str">
        <f>IFERROR(__xludf.DUMMYFUNCTION("""COMPUTED_VALUE"""),"Natural Code Chicken and vegetables 85g")</f>
        <v>Natural Code Chicken and vegetables 85g</v>
      </c>
      <c r="G2067" s="133" t="str">
        <f>IFERROR(__xludf.DUMMYFUNCTION("""COMPUTED_VALUE"""),"ناتشرال كود الدجاج والخضروات 85 غ")</f>
        <v>ناتشرال كود الدجاج والخضروات 85 غ</v>
      </c>
      <c r="H2067" s="133"/>
      <c r="I2067" s="133"/>
      <c r="J2067" s="133"/>
      <c r="K2067" s="133"/>
      <c r="L2067" s="133"/>
      <c r="M2067" s="133"/>
      <c r="N2067" s="133"/>
      <c r="O2067" s="133"/>
      <c r="P2067" s="133"/>
      <c r="Q2067" s="133"/>
      <c r="R2067" s="133"/>
      <c r="S2067" s="133"/>
      <c r="T2067" s="133"/>
      <c r="U2067" s="133"/>
      <c r="V2067" s="133"/>
      <c r="W2067" s="133"/>
      <c r="X2067" s="133"/>
      <c r="Y2067" s="133"/>
      <c r="Z2067" s="133"/>
    </row>
    <row r="2068">
      <c r="A2068" s="133"/>
      <c r="B2068" s="133"/>
      <c r="C2068" s="133" t="str">
        <f>IFERROR(__xludf.DUMMYFUNCTION("""COMPUTED_VALUE"""),"P-1-N-200824-5207")</f>
        <v>P-1-N-200824-5207</v>
      </c>
      <c r="D2068" s="133"/>
      <c r="E2068" s="133" t="str">
        <f>IFERROR(__xludf.DUMMYFUNCTION("""COMPUTED_VALUE"""),"رفض ")</f>
        <v>رفض </v>
      </c>
      <c r="F2068" s="133" t="str">
        <f>IFERROR(__xludf.DUMMYFUNCTION("""COMPUTED_VALUE"""),"Natural Code Chicken with beef 85g")</f>
        <v>Natural Code Chicken with beef 85g</v>
      </c>
      <c r="G2068" s="133" t="str">
        <f>IFERROR(__xludf.DUMMYFUNCTION("""COMPUTED_VALUE"""),"ناتشرال كود الدجاج واللحم البقري 85 غ")</f>
        <v>ناتشرال كود الدجاج واللحم البقري 85 غ</v>
      </c>
      <c r="H2068" s="133"/>
      <c r="I2068" s="133"/>
      <c r="J2068" s="133"/>
      <c r="K2068" s="133"/>
      <c r="L2068" s="133"/>
      <c r="M2068" s="133"/>
      <c r="N2068" s="133"/>
      <c r="O2068" s="133"/>
      <c r="P2068" s="133"/>
      <c r="Q2068" s="133"/>
      <c r="R2068" s="133"/>
      <c r="S2068" s="133"/>
      <c r="T2068" s="133"/>
      <c r="U2068" s="133"/>
      <c r="V2068" s="133"/>
      <c r="W2068" s="133"/>
      <c r="X2068" s="133"/>
      <c r="Y2068" s="133"/>
      <c r="Z2068" s="133"/>
    </row>
    <row r="2069">
      <c r="A2069" s="133"/>
      <c r="B2069" s="133"/>
      <c r="C2069" s="133" t="str">
        <f>IFERROR(__xludf.DUMMYFUNCTION("""COMPUTED_VALUE"""),"P-1-N-200824-5210")</f>
        <v>P-1-N-200824-5210</v>
      </c>
      <c r="D2069" s="133"/>
      <c r="E2069" s="133" t="str">
        <f>IFERROR(__xludf.DUMMYFUNCTION("""COMPUTED_VALUE"""),"رفض ")</f>
        <v>رفض </v>
      </c>
      <c r="F2069" s="133" t="str">
        <f>IFERROR(__xludf.DUMMYFUNCTION("""COMPUTED_VALUE"""),"Natural code tuna slices 85g")</f>
        <v>Natural code tuna slices 85g</v>
      </c>
      <c r="G2069" s="133" t="str">
        <f>IFERROR(__xludf.DUMMYFUNCTION("""COMPUTED_VALUE"""),"ناتشرال كود شرائح التونة 85 غ")</f>
        <v>ناتشرال كود شرائح التونة 85 غ</v>
      </c>
      <c r="H2069" s="133"/>
      <c r="I2069" s="133"/>
      <c r="J2069" s="133"/>
      <c r="K2069" s="133"/>
      <c r="L2069" s="133"/>
      <c r="M2069" s="133"/>
      <c r="N2069" s="133"/>
      <c r="O2069" s="133"/>
      <c r="P2069" s="133"/>
      <c r="Q2069" s="133"/>
      <c r="R2069" s="133"/>
      <c r="S2069" s="133"/>
      <c r="T2069" s="133"/>
      <c r="U2069" s="133"/>
      <c r="V2069" s="133"/>
      <c r="W2069" s="133"/>
      <c r="X2069" s="133"/>
      <c r="Y2069" s="133"/>
      <c r="Z2069" s="133"/>
    </row>
    <row r="2070">
      <c r="A2070" s="133"/>
      <c r="B2070" s="133"/>
      <c r="C2070" s="133" t="str">
        <f>IFERROR(__xludf.DUMMYFUNCTION("""COMPUTED_VALUE"""),"P-1-N-200824-5206")</f>
        <v>P-1-N-200824-5206</v>
      </c>
      <c r="D2070" s="133"/>
      <c r="E2070" s="133" t="str">
        <f>IFERROR(__xludf.DUMMYFUNCTION("""COMPUTED_VALUE"""),"رفض ")</f>
        <v>رفض </v>
      </c>
      <c r="F2070" s="133" t="str">
        <f>IFERROR(__xludf.DUMMYFUNCTION("""COMPUTED_VALUE"""),"Natural Code Chicken with Tuna 85g")</f>
        <v>Natural Code Chicken with Tuna 85g</v>
      </c>
      <c r="G2070" s="133" t="str">
        <f>IFERROR(__xludf.DUMMYFUNCTION("""COMPUTED_VALUE"""),"ناتشرال كود الدجاج والتونا 85 غ")</f>
        <v>ناتشرال كود الدجاج والتونا 85 غ</v>
      </c>
      <c r="H2070" s="133"/>
      <c r="I2070" s="133"/>
      <c r="J2070" s="133"/>
      <c r="K2070" s="133"/>
      <c r="L2070" s="133"/>
      <c r="M2070" s="133"/>
      <c r="N2070" s="133"/>
      <c r="O2070" s="133"/>
      <c r="P2070" s="133"/>
      <c r="Q2070" s="133"/>
      <c r="R2070" s="133"/>
      <c r="S2070" s="133"/>
      <c r="T2070" s="133"/>
      <c r="U2070" s="133"/>
      <c r="V2070" s="133"/>
      <c r="W2070" s="133"/>
      <c r="X2070" s="133"/>
      <c r="Y2070" s="133"/>
      <c r="Z2070" s="133"/>
    </row>
    <row r="2071">
      <c r="A2071" s="133"/>
      <c r="B2071" s="133"/>
      <c r="C2071" s="133" t="str">
        <f>IFERROR(__xludf.DUMMYFUNCTION("""COMPUTED_VALUE"""),"P-1-N-200824-5205")</f>
        <v>P-1-N-200824-5205</v>
      </c>
      <c r="D2071" s="133"/>
      <c r="E2071" s="133" t="str">
        <f>IFERROR(__xludf.DUMMYFUNCTION("""COMPUTED_VALUE"""),"رفض ")</f>
        <v>رفض </v>
      </c>
      <c r="F2071" s="133" t="str">
        <f>IFERROR(__xludf.DUMMYFUNCTION("""COMPUTED_VALUE"""),"Natural Code Chicken with Shrimps 85g")</f>
        <v>Natural Code Chicken with Shrimps 85g</v>
      </c>
      <c r="G2071" s="133" t="str">
        <f>IFERROR(__xludf.DUMMYFUNCTION("""COMPUTED_VALUE"""),"ناتشرال كود الدجاج والجمبري 85 غ")</f>
        <v>ناتشرال كود الدجاج والجمبري 85 غ</v>
      </c>
      <c r="H2071" s="133"/>
      <c r="I2071" s="133"/>
      <c r="J2071" s="133"/>
      <c r="K2071" s="133"/>
      <c r="L2071" s="133"/>
      <c r="M2071" s="133"/>
      <c r="N2071" s="133"/>
      <c r="O2071" s="133"/>
      <c r="P2071" s="133"/>
      <c r="Q2071" s="133"/>
      <c r="R2071" s="133"/>
      <c r="S2071" s="133"/>
      <c r="T2071" s="133"/>
      <c r="U2071" s="133"/>
      <c r="V2071" s="133"/>
      <c r="W2071" s="133"/>
      <c r="X2071" s="133"/>
      <c r="Y2071" s="133"/>
      <c r="Z2071" s="133"/>
    </row>
    <row r="2072">
      <c r="A2072" s="133"/>
      <c r="B2072" s="133"/>
      <c r="C2072" s="133" t="str">
        <f>IFERROR(__xludf.DUMMYFUNCTION("""COMPUTED_VALUE"""),"P-1-N-200824-5204")</f>
        <v>P-1-N-200824-5204</v>
      </c>
      <c r="D2072" s="133"/>
      <c r="E2072" s="133" t="str">
        <f>IFERROR(__xludf.DUMMYFUNCTION("""COMPUTED_VALUE"""),"رفض ")</f>
        <v>رفض </v>
      </c>
      <c r="F2072" s="133" t="str">
        <f>IFERROR(__xludf.DUMMYFUNCTION("""COMPUTED_VALUE"""),"Natural Code Chicken and Salmon 85g")</f>
        <v>Natural Code Chicken and Salmon 85g</v>
      </c>
      <c r="G2072" s="133" t="str">
        <f>IFERROR(__xludf.DUMMYFUNCTION("""COMPUTED_VALUE"""),"ناتشرال كود الدجاج والسالمون 85 غ")</f>
        <v>ناتشرال كود الدجاج والسالمون 85 غ</v>
      </c>
      <c r="H2072" s="133"/>
      <c r="I2072" s="133"/>
      <c r="J2072" s="133"/>
      <c r="K2072" s="133"/>
      <c r="L2072" s="133"/>
      <c r="M2072" s="133"/>
      <c r="N2072" s="133"/>
      <c r="O2072" s="133"/>
      <c r="P2072" s="133"/>
      <c r="Q2072" s="133"/>
      <c r="R2072" s="133"/>
      <c r="S2072" s="133"/>
      <c r="T2072" s="133"/>
      <c r="U2072" s="133"/>
      <c r="V2072" s="133"/>
      <c r="W2072" s="133"/>
      <c r="X2072" s="133"/>
      <c r="Y2072" s="133"/>
      <c r="Z2072" s="133"/>
    </row>
    <row r="2073">
      <c r="A2073" s="133"/>
      <c r="B2073" s="133"/>
      <c r="C2073" s="133" t="str">
        <f>IFERROR(__xludf.DUMMYFUNCTION("""COMPUTED_VALUE"""),"P-1-N-200824-5203")</f>
        <v>P-1-N-200824-5203</v>
      </c>
      <c r="D2073" s="133"/>
      <c r="E2073" s="133" t="str">
        <f>IFERROR(__xludf.DUMMYFUNCTION("""COMPUTED_VALUE"""),"رفض ")</f>
        <v>رفض </v>
      </c>
      <c r="F2073" s="133" t="str">
        <f>IFERROR(__xludf.DUMMYFUNCTION("""COMPUTED_VALUE"""),"Natural Code chicken fillets 85g")</f>
        <v>Natural Code chicken fillets 85g</v>
      </c>
      <c r="G2073" s="133" t="str">
        <f>IFERROR(__xludf.DUMMYFUNCTION("""COMPUTED_VALUE"""),"ناتشرال كود فيليه الدجاج 85 غ")</f>
        <v>ناتشرال كود فيليه الدجاج 85 غ</v>
      </c>
      <c r="H2073" s="133"/>
      <c r="I2073" s="133"/>
      <c r="J2073" s="133"/>
      <c r="K2073" s="133"/>
      <c r="L2073" s="133"/>
      <c r="M2073" s="133"/>
      <c r="N2073" s="133"/>
      <c r="O2073" s="133"/>
      <c r="P2073" s="133"/>
      <c r="Q2073" s="133"/>
      <c r="R2073" s="133"/>
      <c r="S2073" s="133"/>
      <c r="T2073" s="133"/>
      <c r="U2073" s="133"/>
      <c r="V2073" s="133"/>
      <c r="W2073" s="133"/>
      <c r="X2073" s="133"/>
      <c r="Y2073" s="133"/>
      <c r="Z2073" s="133"/>
    </row>
    <row r="2074">
      <c r="A2074" s="133"/>
      <c r="B2074" s="133"/>
      <c r="C2074" s="133" t="str">
        <f>IFERROR(__xludf.DUMMYFUNCTION("""COMPUTED_VALUE"""),"P-1-N-200824-5209")</f>
        <v>P-1-N-200824-5209</v>
      </c>
      <c r="D2074" s="133"/>
      <c r="E2074" s="133" t="str">
        <f>IFERROR(__xludf.DUMMYFUNCTION("""COMPUTED_VALUE"""),"رفض ")</f>
        <v>رفض </v>
      </c>
      <c r="F2074" s="133" t="str">
        <f>IFERROR(__xludf.DUMMYFUNCTION("""COMPUTED_VALUE"""),"Natural Code Chicken with beef and vegetables 90g")</f>
        <v>Natural Code Chicken with beef and vegetables 90g</v>
      </c>
      <c r="G2074" s="133" t="str">
        <f>IFERROR(__xludf.DUMMYFUNCTION("""COMPUTED_VALUE"""),"ناتشرال كود– دجاج ولحم البقر و الخضراوات 90 غ")</f>
        <v>ناتشرال كود– دجاج ولحم البقر و الخضراوات 90 غ</v>
      </c>
      <c r="H2074" s="133"/>
      <c r="I2074" s="133"/>
      <c r="J2074" s="133"/>
      <c r="K2074" s="133"/>
      <c r="L2074" s="133"/>
      <c r="M2074" s="133"/>
      <c r="N2074" s="133"/>
      <c r="O2074" s="133"/>
      <c r="P2074" s="133"/>
      <c r="Q2074" s="133"/>
      <c r="R2074" s="133"/>
      <c r="S2074" s="133"/>
      <c r="T2074" s="133"/>
      <c r="U2074" s="133"/>
      <c r="V2074" s="133"/>
      <c r="W2074" s="133"/>
      <c r="X2074" s="133"/>
      <c r="Y2074" s="133"/>
      <c r="Z2074" s="133"/>
    </row>
    <row r="2075">
      <c r="A2075" s="133"/>
      <c r="B2075" s="133"/>
      <c r="C2075" s="133" t="str">
        <f>IFERROR(__xludf.DUMMYFUNCTION("""COMPUTED_VALUE"""),"P-1-N-200824-5211")</f>
        <v>P-1-N-200824-5211</v>
      </c>
      <c r="D2075" s="133"/>
      <c r="E2075" s="133" t="str">
        <f>IFERROR(__xludf.DUMMYFUNCTION("""COMPUTED_VALUE"""),"رفض ")</f>
        <v>رفض </v>
      </c>
      <c r="F2075" s="133" t="str">
        <f>IFERROR(__xludf.DUMMYFUNCTION("""COMPUTED_VALUE"""),"Natural code tuna with beef liver in jelly 85g")</f>
        <v>Natural code tuna with beef liver in jelly 85g</v>
      </c>
      <c r="G2075" s="133" t="str">
        <f>IFERROR(__xludf.DUMMYFUNCTION("""COMPUTED_VALUE"""),"ناتشرال كود سوفت جيلي تونة وكبد البقر 85غ")</f>
        <v>ناتشرال كود سوفت جيلي تونة وكبد البقر 85غ</v>
      </c>
      <c r="H2075" s="133"/>
      <c r="I2075" s="133"/>
      <c r="J2075" s="133"/>
      <c r="K2075" s="133"/>
      <c r="L2075" s="133"/>
      <c r="M2075" s="133"/>
      <c r="N2075" s="133"/>
      <c r="O2075" s="133"/>
      <c r="P2075" s="133"/>
      <c r="Q2075" s="133"/>
      <c r="R2075" s="133"/>
      <c r="S2075" s="133"/>
      <c r="T2075" s="133"/>
      <c r="U2075" s="133"/>
      <c r="V2075" s="133"/>
      <c r="W2075" s="133"/>
      <c r="X2075" s="133"/>
      <c r="Y2075" s="133"/>
      <c r="Z2075" s="133"/>
    </row>
    <row r="2076">
      <c r="A2076" s="133"/>
      <c r="B2076" s="133"/>
      <c r="C2076" s="133" t="str">
        <f>IFERROR(__xludf.DUMMYFUNCTION("""COMPUTED_VALUE"""),"P-1-N-210824-5232")</f>
        <v>P-1-N-210824-5232</v>
      </c>
      <c r="D2076" s="133" t="str">
        <f>IFERROR(__xludf.DUMMYFUNCTION("""COMPUTED_VALUE"""),"1008SRE-A")</f>
        <v>1008SRE-A</v>
      </c>
      <c r="E2076" s="133" t="str">
        <f>IFERROR(__xludf.DUMMYFUNCTION("""COMPUTED_VALUE"""),"رفض ")</f>
        <v>رفض </v>
      </c>
      <c r="F2076" s="133" t="str">
        <f>IFERROR(__xludf.DUMMYFUNCTION("""COMPUTED_VALUE"""),"Applaws Tuna fillet with prawn in broth 70g")</f>
        <v>Applaws Tuna fillet with prawn in broth 70g</v>
      </c>
      <c r="G2076" s="133" t="str">
        <f>IFERROR(__xludf.DUMMYFUNCTION("""COMPUTED_VALUE"""),"أبلاوز فيليه تونة مع الربيان في المرق 70 غ")</f>
        <v>أبلاوز فيليه تونة مع الربيان في المرق 70 غ</v>
      </c>
      <c r="H2076" s="133"/>
      <c r="I2076" s="133"/>
      <c r="J2076" s="133"/>
      <c r="K2076" s="133"/>
      <c r="L2076" s="133"/>
      <c r="M2076" s="133"/>
      <c r="N2076" s="133"/>
      <c r="O2076" s="133"/>
      <c r="P2076" s="133"/>
      <c r="Q2076" s="133"/>
      <c r="R2076" s="133"/>
      <c r="S2076" s="133"/>
      <c r="T2076" s="133"/>
      <c r="U2076" s="133"/>
      <c r="V2076" s="133"/>
      <c r="W2076" s="133"/>
      <c r="X2076" s="133"/>
      <c r="Y2076" s="133"/>
      <c r="Z2076" s="133"/>
    </row>
    <row r="2077">
      <c r="A2077" s="133"/>
      <c r="B2077" s="133"/>
      <c r="C2077" s="133" t="str">
        <f>IFERROR(__xludf.DUMMYFUNCTION("""COMPUTED_VALUE"""),"2024-251203
")</f>
        <v>2024-251203
</v>
      </c>
      <c r="D2077" s="133" t="str">
        <f>IFERROR(__xludf.DUMMYFUNCTION("""COMPUTED_VALUE"""),"YOWUP112")</f>
        <v>YOWUP112</v>
      </c>
      <c r="E2077" s="133" t="str">
        <f>IFERROR(__xludf.DUMMYFUNCTION("""COMPUTED_VALUE"""),"مكتمل")</f>
        <v>مكتمل</v>
      </c>
      <c r="F2077" s="133" t="str">
        <f>IFERROR(__xludf.DUMMYFUNCTION("""COMPUTED_VALUE"""),"Yowup Yogurt ARTICULAR DOG 115g")</f>
        <v>Yowup Yogurt ARTICULAR DOG 115g</v>
      </c>
      <c r="G2077" s="133" t="str">
        <f>IFERROR(__xludf.DUMMYFUNCTION("""COMPUTED_VALUE"""),"ﻳﻮ اب زﺑﺎدي ارﺗﻴﻜﻮﻻر  ﻟﻠﻜﻼب 115غ
")</f>
        <v>ﻳﻮ اب زﺑﺎدي ارﺗﻴﻜﻮﻻر  ﻟﻠﻜﻼب 115غ
</v>
      </c>
      <c r="H2077" s="133" t="str">
        <f>IFERROR(__xludf.DUMMYFUNCTION("""COMPUTED_VALUE"""),"FEM-2024-7656-FEP-2024-80659-C-22548-0552")</f>
        <v>FEM-2024-7656-FEP-2024-80659-C-22548-0552</v>
      </c>
      <c r="I2077" s="133"/>
      <c r="J2077" s="133"/>
      <c r="K2077" s="133" t="str">
        <f>IFERROR(__xludf.DUMMYFUNCTION("""COMPUTED_VALUE"""),".أﻟﻤﻴﻨﺘﺎﺳﻴﻮن واي ﻧﻮﺗﺮﻳﺴﻴﻮن ﻓﺎﻣﻴﻠﻴﺎر اس ال")</f>
        <v>.أﻟﻤﻴﻨﺘﺎﺳﻴﻮن واي ﻧﻮﺗﺮﻳﺴﻴﻮن ﻓﺎﻣﻴﻠﻴﺎر اس ال</v>
      </c>
      <c r="L2077" s="133"/>
      <c r="M2077" s="133" t="str">
        <f>IFERROR(__xludf.DUMMYFUNCTION("""COMPUTED_VALUE"""),"28/8/2029")</f>
        <v>28/8/2029</v>
      </c>
      <c r="N2077" s="133"/>
      <c r="O2077" s="133"/>
      <c r="P2077" s="133"/>
      <c r="Q2077" s="133"/>
      <c r="R2077" s="133"/>
      <c r="S2077" s="133"/>
      <c r="T2077" s="133"/>
      <c r="U2077" s="133"/>
      <c r="V2077" s="133"/>
      <c r="W2077" s="133"/>
      <c r="X2077" s="133"/>
      <c r="Y2077" s="133"/>
      <c r="Z2077" s="133"/>
    </row>
    <row r="2078">
      <c r="A2078" s="133"/>
      <c r="B2078" s="133"/>
      <c r="C2078" s="133" t="str">
        <f>IFERROR(__xludf.DUMMYFUNCTION("""COMPUTED_VALUE"""),"2024-251073")</f>
        <v>2024-251073</v>
      </c>
      <c r="D2078" s="133" t="str">
        <f>IFERROR(__xludf.DUMMYFUNCTION("""COMPUTED_VALUE"""),"YOWUP111")</f>
        <v>YOWUP111</v>
      </c>
      <c r="E2078" s="133" t="str">
        <f>IFERROR(__xludf.DUMMYFUNCTION("""COMPUTED_VALUE"""),"مكتمل")</f>
        <v>مكتمل</v>
      </c>
      <c r="F2078" s="133" t="str">
        <f>IFERROR(__xludf.DUMMYFUNCTION("""COMPUTED_VALUE"""),"Yowup Yogurt SKIN AND HAIR DOG 115g")</f>
        <v>Yowup Yogurt SKIN AND HAIR DOG 115g</v>
      </c>
      <c r="G2078" s="133" t="str">
        <f>IFERROR(__xludf.DUMMYFUNCTION("""COMPUTED_VALUE"""),"يو اب زبادي للجلد و الشعر للكلاب 115غ")</f>
        <v>يو اب زبادي للجلد و الشعر للكلاب 115غ</v>
      </c>
      <c r="H2078" s="133" t="str">
        <f>IFERROR(__xludf.DUMMYFUNCTION("""COMPUTED_VALUE"""),"FEM-2024-7654-FEP-2024-80658-C-22548-0553")</f>
        <v>FEM-2024-7654-FEP-2024-80658-C-22548-0553</v>
      </c>
      <c r="I2078" s="133"/>
      <c r="J2078" s="133"/>
      <c r="K2078" s="133" t="str">
        <f>IFERROR(__xludf.DUMMYFUNCTION("""COMPUTED_VALUE"""),"ألمينتاسيون واي نوتريسيون فاميليار اس ال.")</f>
        <v>ألمينتاسيون واي نوتريسيون فاميليار اس ال.</v>
      </c>
      <c r="L2078" s="133"/>
      <c r="M2078" s="133" t="str">
        <f>IFERROR(__xludf.DUMMYFUNCTION("""COMPUTED_VALUE"""),"28/8/2029")</f>
        <v>28/8/2029</v>
      </c>
      <c r="N2078" s="133"/>
      <c r="O2078" s="133"/>
      <c r="P2078" s="133"/>
      <c r="Q2078" s="133"/>
      <c r="R2078" s="133"/>
      <c r="S2078" s="133"/>
      <c r="T2078" s="133"/>
      <c r="U2078" s="133"/>
      <c r="V2078" s="133"/>
      <c r="W2078" s="133"/>
      <c r="X2078" s="133"/>
      <c r="Y2078" s="133"/>
      <c r="Z2078" s="133"/>
    </row>
    <row r="2079">
      <c r="A2079" s="133"/>
      <c r="B2079" s="133"/>
      <c r="C2079" s="133" t="str">
        <f>IFERROR(__xludf.DUMMYFUNCTION("""COMPUTED_VALUE"""),"2024-253261")</f>
        <v>2024-253261</v>
      </c>
      <c r="D2079" s="133" t="str">
        <f>IFERROR(__xludf.DUMMYFUNCTION("""COMPUTED_VALUE"""),"YOWUP211")</f>
        <v>YOWUP211</v>
      </c>
      <c r="E2079" s="133" t="str">
        <f>IFERROR(__xludf.DUMMYFUNCTION("""COMPUTED_VALUE"""),"مكتمل")</f>
        <v>مكتمل</v>
      </c>
      <c r="F2079" s="133" t="str">
        <f>IFERROR(__xludf.DUMMYFUNCTION("""COMPUTED_VALUE"""),"Yowup Yogurt SKIN AND HAIR CAT ")</f>
        <v>Yowup Yogurt SKIN AND HAIR CAT </v>
      </c>
      <c r="G2079" s="133" t="str">
        <f>IFERROR(__xludf.DUMMYFUNCTION("""COMPUTED_VALUE"""),"يو اب زبادي للجلد و الشعر للقطط")</f>
        <v>يو اب زبادي للجلد و الشعر للقطط</v>
      </c>
      <c r="H2079" s="133"/>
      <c r="I2079" s="133"/>
      <c r="J2079" s="133"/>
      <c r="K2079" s="133"/>
      <c r="L2079" s="133"/>
      <c r="M2079" s="133"/>
      <c r="N2079" s="133"/>
      <c r="O2079" s="133"/>
      <c r="P2079" s="133"/>
      <c r="Q2079" s="133"/>
      <c r="R2079" s="133"/>
      <c r="S2079" s="133"/>
      <c r="T2079" s="133"/>
      <c r="U2079" s="133"/>
      <c r="V2079" s="133"/>
      <c r="W2079" s="133"/>
      <c r="X2079" s="133"/>
      <c r="Y2079" s="133"/>
      <c r="Z2079" s="133"/>
    </row>
    <row r="2080">
      <c r="A2080" s="133"/>
      <c r="B2080" s="133"/>
      <c r="C2080" s="133" t="str">
        <f>IFERROR(__xludf.DUMMYFUNCTION("""COMPUTED_VALUE"""),"2024-253384")</f>
        <v>2024-253384</v>
      </c>
      <c r="D2080" s="133"/>
      <c r="E2080" s="133" t="str">
        <f>IFERROR(__xludf.DUMMYFUNCTION("""COMPUTED_VALUE"""),"مكتمل")</f>
        <v>مكتمل</v>
      </c>
      <c r="F2080" s="133" t="str">
        <f>IFERROR(__xludf.DUMMYFUNCTION("""COMPUTED_VALUE"""),"Applaws Chicken Breast with Tuna Roe 60g")</f>
        <v>Applaws Chicken Breast with Tuna Roe 60g</v>
      </c>
      <c r="G2080" s="133" t="str">
        <f>IFERROR(__xludf.DUMMYFUNCTION("""COMPUTED_VALUE"""),"أبلاوز صدر دجاج مع تونة رو 60 جم")</f>
        <v>أبلاوز صدر دجاج مع تونة رو 60 جم</v>
      </c>
      <c r="H2080" s="133" t="str">
        <f>IFERROR(__xludf.DUMMYFUNCTION("""COMPUTED_VALUE"""),"FOM-2024-1642-FEP-2024-80748-C-22548-0586")</f>
        <v>FOM-2024-1642-FEP-2024-80748-C-22548-0586</v>
      </c>
      <c r="I2080" s="133"/>
      <c r="J2080" s="133"/>
      <c r="K2080" s="133"/>
      <c r="L2080" s="133"/>
      <c r="M2080" s="133">
        <f>IFERROR(__xludf.DUMMYFUNCTION("""COMPUTED_VALUE"""),47127.0)</f>
        <v>47127</v>
      </c>
      <c r="N2080" s="133"/>
      <c r="O2080" s="133"/>
      <c r="P2080" s="133"/>
      <c r="Q2080" s="133"/>
      <c r="R2080" s="133"/>
      <c r="S2080" s="133"/>
      <c r="T2080" s="133"/>
      <c r="U2080" s="133"/>
      <c r="V2080" s="133"/>
      <c r="W2080" s="133"/>
      <c r="X2080" s="133"/>
      <c r="Y2080" s="133"/>
      <c r="Z2080" s="133"/>
    </row>
    <row r="2081">
      <c r="A2081" s="133"/>
      <c r="B2081" s="133"/>
      <c r="C2081" s="133" t="str">
        <f>IFERROR(__xludf.DUMMYFUNCTION("""COMPUTED_VALUE"""),"2024-253397")</f>
        <v>2024-253397</v>
      </c>
      <c r="D2081" s="133"/>
      <c r="E2081" s="133" t="str">
        <f>IFERROR(__xludf.DUMMYFUNCTION("""COMPUTED_VALUE"""),"مكتمل")</f>
        <v>مكتمل</v>
      </c>
      <c r="F2081" s="133" t="str">
        <f>IFERROR(__xludf.DUMMYFUNCTION("""COMPUTED_VALUE"""),"Applaws Sardine with Mackerel 60g")</f>
        <v>Applaws Sardine with Mackerel 60g</v>
      </c>
      <c r="G2081" s="133" t="str">
        <f>IFERROR(__xludf.DUMMYFUNCTION("""COMPUTED_VALUE"""),"أبلاوز سردين مع الماكريل 60 جم")</f>
        <v>أبلاوز سردين مع الماكريل 60 جم</v>
      </c>
      <c r="H2081" s="133" t="str">
        <f>IFERROR(__xludf.DUMMYFUNCTION("""COMPUTED_VALUE"""),"FOM-2024-1642-FEP-2024-80752-C-22548-0593")</f>
        <v>FOM-2024-1642-FEP-2024-80752-C-22548-0593</v>
      </c>
      <c r="I2081" s="133"/>
      <c r="J2081" s="133"/>
      <c r="K2081" s="133"/>
      <c r="L2081" s="133"/>
      <c r="M2081" s="133">
        <f>IFERROR(__xludf.DUMMYFUNCTION("""COMPUTED_VALUE"""),47127.0)</f>
        <v>47127</v>
      </c>
      <c r="N2081" s="133"/>
      <c r="O2081" s="133"/>
      <c r="P2081" s="133"/>
      <c r="Q2081" s="133"/>
      <c r="R2081" s="133"/>
      <c r="S2081" s="133"/>
      <c r="T2081" s="133"/>
      <c r="U2081" s="133"/>
      <c r="V2081" s="133"/>
      <c r="W2081" s="133"/>
      <c r="X2081" s="133"/>
      <c r="Y2081" s="133"/>
      <c r="Z2081" s="133"/>
    </row>
    <row r="2082">
      <c r="A2082" s="133"/>
      <c r="B2082" s="133"/>
      <c r="C2082" s="133" t="str">
        <f>IFERROR(__xludf.DUMMYFUNCTION("""COMPUTED_VALUE"""),"2024-253410")</f>
        <v>2024-253410</v>
      </c>
      <c r="D2082" s="133"/>
      <c r="E2082" s="133" t="str">
        <f>IFERROR(__xludf.DUMMYFUNCTION("""COMPUTED_VALUE"""),"مكتمل")</f>
        <v>مكتمل</v>
      </c>
      <c r="F2082" s="133" t="str">
        <f>IFERROR(__xludf.DUMMYFUNCTION("""COMPUTED_VALUE"""),"Applaws chicken with Duck 60 gram")</f>
        <v>Applaws chicken with Duck 60 gram</v>
      </c>
      <c r="G2082" s="133" t="str">
        <f>IFERROR(__xludf.DUMMYFUNCTION("""COMPUTED_VALUE"""),"ابلاوز صدور الدجاج مع البط 60 جرام")</f>
        <v>ابلاوز صدور الدجاج مع البط 60 جرام</v>
      </c>
      <c r="H2082" s="133" t="str">
        <f>IFERROR(__xludf.DUMMYFUNCTION("""COMPUTED_VALUE"""),"FOM-2024-1642-FEP-2024-80758-C-22548-0599")</f>
        <v>FOM-2024-1642-FEP-2024-80758-C-22548-0599</v>
      </c>
      <c r="I2082" s="133"/>
      <c r="J2082" s="133"/>
      <c r="K2082" s="133"/>
      <c r="L2082" s="133"/>
      <c r="M2082" s="133">
        <f>IFERROR(__xludf.DUMMYFUNCTION("""COMPUTED_VALUE"""),47127.0)</f>
        <v>47127</v>
      </c>
      <c r="N2082" s="133"/>
      <c r="O2082" s="133"/>
      <c r="P2082" s="133"/>
      <c r="Q2082" s="133"/>
      <c r="R2082" s="133"/>
      <c r="S2082" s="133"/>
      <c r="T2082" s="133"/>
      <c r="U2082" s="133"/>
      <c r="V2082" s="133"/>
      <c r="W2082" s="133"/>
      <c r="X2082" s="133"/>
      <c r="Y2082" s="133"/>
      <c r="Z2082" s="133"/>
    </row>
    <row r="2083">
      <c r="A2083" s="133"/>
      <c r="B2083" s="133" t="str">
        <f>IFERROR(__xludf.DUMMYFUNCTION("""COMPUTED_VALUE"""),"إرفاق شهادة بيان مكونات للمنتج موضح به التحليل و المكونات")</f>
        <v>إرفاق شهادة بيان مكونات للمنتج موضح به التحليل و المكونات</v>
      </c>
      <c r="C2083" s="133" t="str">
        <f>IFERROR(__xludf.DUMMYFUNCTION("""COMPUTED_VALUE"""),"2024-255074")</f>
        <v>2024-255074</v>
      </c>
      <c r="D2083" s="133"/>
      <c r="E2083" s="133" t="str">
        <f>IFERROR(__xludf.DUMMYFUNCTION("""COMPUTED_VALUE"""),"عاد الي مقدم الطلب ")</f>
        <v>عاد الي مقدم الطلب </v>
      </c>
      <c r="F2083" s="133" t="str">
        <f>IFERROR(__xludf.DUMMYFUNCTION("""COMPUTED_VALUE"""),"Applaws chicken breast freeze dried treats 10g")</f>
        <v>Applaws chicken breast freeze dried treats 10g</v>
      </c>
      <c r="G2083" s="133" t="str">
        <f>IFERROR(__xludf.DUMMYFUNCTION("""COMPUTED_VALUE"""),"أبلاوز صدور الدجاج مجففة مجمدة 10 غ")</f>
        <v>أبلاوز صدور الدجاج مجففة مجمدة 10 غ</v>
      </c>
      <c r="H2083" s="133"/>
      <c r="I2083" s="133"/>
      <c r="J2083" s="133"/>
      <c r="K2083" s="133"/>
      <c r="L2083" s="142" t="str">
        <f>IFERROR(__xludf.DUMMYFUNCTION("""COMPUTED_VALUE"""),"إرفاق شهادة بيان مكونات للمنتج موضح به التحليل و المكونات")</f>
        <v>إرفاق شهادة بيان مكونات للمنتج موضح به التحليل و المكونات</v>
      </c>
      <c r="M2083" s="133"/>
      <c r="N2083" s="133"/>
      <c r="O2083" s="133"/>
      <c r="P2083" s="133"/>
      <c r="Q2083" s="133"/>
      <c r="R2083" s="133"/>
      <c r="S2083" s="133"/>
      <c r="T2083" s="133"/>
      <c r="U2083" s="133"/>
      <c r="V2083" s="133"/>
      <c r="W2083" s="133"/>
      <c r="X2083" s="133"/>
      <c r="Y2083" s="133"/>
      <c r="Z2083" s="133"/>
    </row>
    <row r="2084">
      <c r="A2084" s="133"/>
      <c r="B2084" s="133" t="str">
        <f>IFERROR(__xludf.DUMMYFUNCTION("""COMPUTED_VALUE"""),"إرفاق شهادة بيان مكونات للمنتج موضح به التحليل و المكونات")</f>
        <v>إرفاق شهادة بيان مكونات للمنتج موضح به التحليل و المكونات</v>
      </c>
      <c r="C2084" s="133" t="str">
        <f>IFERROR(__xludf.DUMMYFUNCTION("""COMPUTED_VALUE"""),"2024-255102")</f>
        <v>2024-255102</v>
      </c>
      <c r="D2084" s="133"/>
      <c r="E2084" s="133" t="str">
        <f>IFERROR(__xludf.DUMMYFUNCTION("""COMPUTED_VALUE"""),"عاد الي مقدم الطلب ")</f>
        <v>عاد الي مقدم الطلب </v>
      </c>
      <c r="F2084" s="133" t="str">
        <f>IFERROR(__xludf.DUMMYFUNCTION("""COMPUTED_VALUE"""),"Applaws tuna fillet freeze dried treats 10g")</f>
        <v>Applaws tuna fillet freeze dried treats 10g</v>
      </c>
      <c r="G2084" s="133" t="str">
        <f>IFERROR(__xludf.DUMMYFUNCTION("""COMPUTED_VALUE"""),"أبلاوز فيليه التونا مجففة مجمدة 10 غ")</f>
        <v>أبلاوز فيليه التونا مجففة مجمدة 10 غ</v>
      </c>
      <c r="H2084" s="133"/>
      <c r="I2084" s="133"/>
      <c r="J2084" s="133"/>
      <c r="K2084" s="133"/>
      <c r="L2084" s="142" t="str">
        <f>IFERROR(__xludf.DUMMYFUNCTION("""COMPUTED_VALUE"""),"إرفاق شهادة بيان مكونات للمنتج موضح به التحليل و المكونات")</f>
        <v>إرفاق شهادة بيان مكونات للمنتج موضح به التحليل و المكونات</v>
      </c>
      <c r="M2084" s="133"/>
      <c r="N2084" s="133"/>
      <c r="O2084" s="133"/>
      <c r="P2084" s="133"/>
      <c r="Q2084" s="133"/>
      <c r="R2084" s="133"/>
      <c r="S2084" s="133"/>
      <c r="T2084" s="133"/>
      <c r="U2084" s="133"/>
      <c r="V2084" s="133"/>
      <c r="W2084" s="133"/>
      <c r="X2084" s="133"/>
      <c r="Y2084" s="133"/>
      <c r="Z2084" s="133"/>
    </row>
    <row r="2085">
      <c r="A2085" s="133"/>
      <c r="B2085" s="133" t="str">
        <f>IFERROR(__xludf.DUMMYFUNCTION("""COMPUTED_VALUE"""),"جب إرفاق بطاقة المنتج بشكل صحيح كما هو موضح في دليل تسجيل المنتجات العلفية ")</f>
        <v>جب إرفاق بطاقة المنتج بشكل صحيح كما هو موضح في دليل تسجيل المنتجات العلفية </v>
      </c>
      <c r="C2085" s="133" t="str">
        <f>IFERROR(__xludf.DUMMYFUNCTION("""COMPUTED_VALUE"""),"2024-255120")</f>
        <v>2024-255120</v>
      </c>
      <c r="D2085" s="133"/>
      <c r="E2085" s="133" t="str">
        <f>IFERROR(__xludf.DUMMYFUNCTION("""COMPUTED_VALUE"""),"عاد الي مقدم الطلب ")</f>
        <v>عاد الي مقدم الطلب </v>
      </c>
      <c r="F2085" s="133" t="str">
        <f>IFERROR(__xludf.DUMMYFUNCTION("""COMPUTED_VALUE"""),"Applaws kitten chicken 70g")</f>
        <v>Applaws kitten chicken 70g</v>
      </c>
      <c r="G2085" s="133" t="str">
        <f>IFERROR(__xludf.DUMMYFUNCTION("""COMPUTED_VALUE"""),"أبلاوز دجاج للقطط الصغيرة في الجيلي 70غ")</f>
        <v>أبلاوز دجاج للقطط الصغيرة في الجيلي 70غ</v>
      </c>
      <c r="H2085" s="133"/>
      <c r="I2085" s="133"/>
      <c r="J2085" s="133"/>
      <c r="K2085" s="133"/>
      <c r="L2085" s="142" t="str">
        <f>IFERROR(__xludf.DUMMYFUNCTION("""COMPUTED_VALUE"""),"جب إرفاق بطاقة المنتج بشكل صحيح كما هو موضح في دليل تسجيل المنتجات العلفية ")</f>
        <v>جب إرفاق بطاقة المنتج بشكل صحيح كما هو موضح في دليل تسجيل المنتجات العلفية </v>
      </c>
      <c r="M2085" s="133"/>
      <c r="N2085" s="133"/>
      <c r="O2085" s="133"/>
      <c r="P2085" s="133"/>
      <c r="Q2085" s="133"/>
      <c r="R2085" s="133"/>
      <c r="S2085" s="133"/>
      <c r="T2085" s="133"/>
      <c r="U2085" s="133"/>
      <c r="V2085" s="133"/>
      <c r="W2085" s="133"/>
      <c r="X2085" s="133"/>
      <c r="Y2085" s="133"/>
      <c r="Z2085" s="133"/>
    </row>
    <row r="2086">
      <c r="A2086" s="133"/>
      <c r="B2086" s="133" t="str">
        <f>IFERROR(__xludf.DUMMYFUNCTION("""COMPUTED_VALUE"""),"جب إرفاق بطاقة المنتج بشكل صحيح كما هو موضح في دليل تسجيل المنتجات العلفية ")</f>
        <v>جب إرفاق بطاقة المنتج بشكل صحيح كما هو موضح في دليل تسجيل المنتجات العلفية </v>
      </c>
      <c r="C2086" s="133" t="str">
        <f>IFERROR(__xludf.DUMMYFUNCTION("""COMPUTED_VALUE"""),"2024-255136")</f>
        <v>2024-255136</v>
      </c>
      <c r="D2086" s="133"/>
      <c r="E2086" s="133" t="str">
        <f>IFERROR(__xludf.DUMMYFUNCTION("""COMPUTED_VALUE"""),"عاد الي مقدم الطلب ")</f>
        <v>عاد الي مقدم الطلب </v>
      </c>
      <c r="F2086" s="133" t="str">
        <f>IFERROR(__xludf.DUMMYFUNCTION("""COMPUTED_VALUE"""),"Applaws kitten Tuna 70g")</f>
        <v>Applaws kitten Tuna 70g</v>
      </c>
      <c r="G2086" s="133" t="str">
        <f>IFERROR(__xludf.DUMMYFUNCTION("""COMPUTED_VALUE"""),"أبلاوز فيليه التونة للقطط الصغيرة في الجيلي 70غ")</f>
        <v>أبلاوز فيليه التونة للقطط الصغيرة في الجيلي 70غ</v>
      </c>
      <c r="H2086" s="133"/>
      <c r="I2086" s="133"/>
      <c r="J2086" s="133"/>
      <c r="K2086" s="133"/>
      <c r="L2086" s="142" t="str">
        <f>IFERROR(__xludf.DUMMYFUNCTION("""COMPUTED_VALUE"""),"جب إرفاق بطاقة المنتج بشكل صحيح كما هو موضح في دليل تسجيل المنتجات العلفية ")</f>
        <v>جب إرفاق بطاقة المنتج بشكل صحيح كما هو موضح في دليل تسجيل المنتجات العلفية </v>
      </c>
      <c r="M2086" s="133"/>
      <c r="N2086" s="133"/>
      <c r="O2086" s="133"/>
      <c r="P2086" s="133"/>
      <c r="Q2086" s="133"/>
      <c r="R2086" s="133"/>
      <c r="S2086" s="133"/>
      <c r="T2086" s="133"/>
      <c r="U2086" s="133"/>
      <c r="V2086" s="133"/>
      <c r="W2086" s="133"/>
      <c r="X2086" s="133"/>
      <c r="Y2086" s="133"/>
      <c r="Z2086" s="133"/>
    </row>
    <row r="2087">
      <c r="A2087" s="133"/>
      <c r="B2087" s="133"/>
      <c r="C2087" s="133" t="str">
        <f>IFERROR(__xludf.DUMMYFUNCTION("""COMPUTED_VALUE"""),"2024-257277")</f>
        <v>2024-257277</v>
      </c>
      <c r="D2087" s="133" t="str">
        <f>IFERROR(__xludf.DUMMYFUNCTION("""COMPUTED_VALUE"""),"1003SRE-A")</f>
        <v>1003SRE-A</v>
      </c>
      <c r="E2087" s="133" t="str">
        <f>IFERROR(__xludf.DUMMYFUNCTION("""COMPUTED_VALUE"""),"مكتمل")</f>
        <v>مكتمل</v>
      </c>
      <c r="F2087" s="133" t="str">
        <f>IFERROR(__xludf.DUMMYFUNCTION("""COMPUTED_VALUE"""),"Applaws Tuna Fillet in Broth 70g")</f>
        <v>Applaws Tuna Fillet in Broth 70g</v>
      </c>
      <c r="G2087" s="133" t="str">
        <f>IFERROR(__xludf.DUMMYFUNCTION("""COMPUTED_VALUE"""),"أبلاوز فيليه التونة في المرق 70 غ")</f>
        <v>أبلاوز فيليه التونة في المرق 70 غ</v>
      </c>
      <c r="H2087" s="133"/>
      <c r="I2087" s="133"/>
      <c r="J2087" s="133"/>
      <c r="K2087" s="133"/>
      <c r="L2087" s="133"/>
      <c r="M2087" s="133"/>
      <c r="N2087" s="133"/>
      <c r="O2087" s="133"/>
      <c r="P2087" s="133"/>
      <c r="Q2087" s="133"/>
      <c r="R2087" s="133"/>
      <c r="S2087" s="133"/>
      <c r="T2087" s="133"/>
      <c r="U2087" s="133"/>
      <c r="V2087" s="133"/>
      <c r="W2087" s="133"/>
      <c r="X2087" s="133"/>
      <c r="Y2087" s="133"/>
      <c r="Z2087" s="133"/>
    </row>
    <row r="2088">
      <c r="A2088" s="133"/>
      <c r="B2088" s="133"/>
      <c r="C2088" s="133" t="str">
        <f>IFERROR(__xludf.DUMMYFUNCTION("""COMPUTED_VALUE"""),"2024-257302")</f>
        <v>2024-257302</v>
      </c>
      <c r="D2088" s="133" t="str">
        <f>IFERROR(__xludf.DUMMYFUNCTION("""COMPUTED_VALUE"""),"1002SRE-A")</f>
        <v>1002SRE-A</v>
      </c>
      <c r="E2088" s="133" t="str">
        <f>IFERROR(__xludf.DUMMYFUNCTION("""COMPUTED_VALUE"""),"مكتمل ")</f>
        <v>مكتمل </v>
      </c>
      <c r="F2088" s="133" t="str">
        <f>IFERROR(__xludf.DUMMYFUNCTION("""COMPUTED_VALUE"""),"Applaws Chicken breast in broth 70g")</f>
        <v>Applaws Chicken breast in broth 70g</v>
      </c>
      <c r="G2088" s="133" t="str">
        <f>IFERROR(__xludf.DUMMYFUNCTION("""COMPUTED_VALUE"""),"أبلاوز صدور الدجاج في المرق 70 غ")</f>
        <v>أبلاوز صدور الدجاج في المرق 70 غ</v>
      </c>
      <c r="H2088" s="133"/>
      <c r="I2088" s="133"/>
      <c r="J2088" s="133"/>
      <c r="K2088" s="133"/>
      <c r="L2088" s="133"/>
      <c r="M2088" s="133"/>
      <c r="N2088" s="133"/>
      <c r="O2088" s="133"/>
      <c r="P2088" s="133"/>
      <c r="Q2088" s="133"/>
      <c r="R2088" s="133"/>
      <c r="S2088" s="133"/>
      <c r="T2088" s="133"/>
      <c r="U2088" s="133"/>
      <c r="V2088" s="133"/>
      <c r="W2088" s="133"/>
      <c r="X2088" s="133"/>
      <c r="Y2088" s="133"/>
      <c r="Z2088" s="133"/>
    </row>
    <row r="2089">
      <c r="A2089" s="133"/>
      <c r="B2089" s="133"/>
      <c r="C2089" s="133" t="str">
        <f>IFERROR(__xludf.DUMMYFUNCTION("""COMPUTED_VALUE"""),"2024-257328")</f>
        <v>2024-257328</v>
      </c>
      <c r="D2089" s="133"/>
      <c r="E2089" s="133" t="str">
        <f>IFERROR(__xludf.DUMMYFUNCTION("""COMPUTED_VALUE"""),"مكتمل ")</f>
        <v>مكتمل </v>
      </c>
      <c r="F2089" s="133" t="str">
        <f>IFERROR(__xludf.DUMMYFUNCTION("""COMPUTED_VALUE"""),"Applaws Chicken Breast with Tuna fillet in broth 70g")</f>
        <v>Applaws Chicken Breast with Tuna fillet in broth 70g</v>
      </c>
      <c r="G2089" s="133" t="str">
        <f>IFERROR(__xludf.DUMMYFUNCTION("""COMPUTED_VALUE"""),"أبلاوز صدر دجاج مع فيليه تونة في المرق 70 غ")</f>
        <v>أبلاوز صدر دجاج مع فيليه تونة في المرق 70 غ</v>
      </c>
      <c r="H2089" s="133"/>
      <c r="I2089" s="133"/>
      <c r="J2089" s="133"/>
      <c r="K2089" s="133"/>
      <c r="L2089" s="133"/>
      <c r="M2089" s="133"/>
      <c r="N2089" s="133"/>
      <c r="O2089" s="133"/>
      <c r="P2089" s="133"/>
      <c r="Q2089" s="133"/>
      <c r="R2089" s="133"/>
      <c r="S2089" s="133"/>
      <c r="T2089" s="133"/>
      <c r="U2089" s="133"/>
      <c r="V2089" s="133"/>
      <c r="W2089" s="133"/>
      <c r="X2089" s="133"/>
      <c r="Y2089" s="133"/>
      <c r="Z2089" s="133"/>
    </row>
    <row r="2090">
      <c r="A2090" s="133"/>
      <c r="B2090" s="133" t="str">
        <f>IFERROR(__xludf.DUMMYFUNCTION("""COMPUTED_VALUE"""),"يجب إرفاق بيان مكونات المنتج")</f>
        <v>يجب إرفاق بيان مكونات المنتج</v>
      </c>
      <c r="C2090" s="133" t="str">
        <f>IFERROR(__xludf.DUMMYFUNCTION("""COMPUTED_VALUE"""),"2024-257436")</f>
        <v>2024-257436</v>
      </c>
      <c r="D2090" s="133"/>
      <c r="E2090" s="133" t="str">
        <f>IFERROR(__xludf.DUMMYFUNCTION("""COMPUTED_VALUE"""),"عاد الي مقدم الطلب ")</f>
        <v>عاد الي مقدم الطلب </v>
      </c>
      <c r="F2090" s="133" t="str">
        <f>IFERROR(__xludf.DUMMYFUNCTION("""COMPUTED_VALUE"""),"Applaws Chicken breast in broth 60g")</f>
        <v>Applaws Chicken breast in broth 60g</v>
      </c>
      <c r="G2090" s="133" t="str">
        <f>IFERROR(__xludf.DUMMYFUNCTION("""COMPUTED_VALUE"""),"أبلاوز صدور الدجاج في المرق 60 غ")</f>
        <v>أبلاوز صدور الدجاج في المرق 60 غ</v>
      </c>
      <c r="H2090" s="133"/>
      <c r="I2090" s="133"/>
      <c r="J2090" s="133"/>
      <c r="K2090" s="133"/>
      <c r="L2090" s="142" t="str">
        <f>IFERROR(__xludf.DUMMYFUNCTION("""COMPUTED_VALUE"""),"يجب إرفاق بيان مكونات المنتج")</f>
        <v>يجب إرفاق بيان مكونات المنتج</v>
      </c>
      <c r="M2090" s="133"/>
      <c r="N2090" s="133"/>
      <c r="O2090" s="133"/>
      <c r="P2090" s="133"/>
      <c r="Q2090" s="133"/>
      <c r="R2090" s="133"/>
      <c r="S2090" s="133"/>
      <c r="T2090" s="133"/>
      <c r="U2090" s="133"/>
      <c r="V2090" s="133"/>
      <c r="W2090" s="133"/>
      <c r="X2090" s="133"/>
      <c r="Y2090" s="133"/>
      <c r="Z2090" s="133"/>
    </row>
    <row r="2091">
      <c r="A2091" s="133"/>
      <c r="B2091" s="133" t="str">
        <f>IFERROR(__xludf.DUMMYFUNCTION("""COMPUTED_VALUE"""),"يجب إرفاق بطاقة التعبئة بشكل كامل")</f>
        <v>يجب إرفاق بطاقة التعبئة بشكل كامل</v>
      </c>
      <c r="C2091" s="133" t="str">
        <f>IFERROR(__xludf.DUMMYFUNCTION("""COMPUTED_VALUE"""),"2024-257467")</f>
        <v>2024-257467</v>
      </c>
      <c r="D2091" s="133"/>
      <c r="E2091" s="133" t="str">
        <f>IFERROR(__xludf.DUMMYFUNCTION("""COMPUTED_VALUE"""),"عاد الي مقدم الطلب ")</f>
        <v>عاد الي مقدم الطلب </v>
      </c>
      <c r="F2091" s="133" t="str">
        <f>IFERROR(__xludf.DUMMYFUNCTION("""COMPUTED_VALUE"""),"Applaws Tuna with crab in broth 70g")</f>
        <v>Applaws Tuna with crab in broth 70g</v>
      </c>
      <c r="G2091" s="133" t="str">
        <f>IFERROR(__xludf.DUMMYFUNCTION("""COMPUTED_VALUE"""),"ابلاوز تونة مع السلطعون البحري في المرق 70 جرام")</f>
        <v>ابلاوز تونة مع السلطعون البحري في المرق 70 جرام</v>
      </c>
      <c r="H2091" s="133"/>
      <c r="I2091" s="133"/>
      <c r="J2091" s="133"/>
      <c r="K2091" s="133"/>
      <c r="L2091" s="142" t="str">
        <f>IFERROR(__xludf.DUMMYFUNCTION("""COMPUTED_VALUE"""),"يجب إرفاق بطاقة التعبئة بشكل كامل")</f>
        <v>يجب إرفاق بطاقة التعبئة بشكل كامل</v>
      </c>
      <c r="M2091" s="133"/>
      <c r="N2091" s="133"/>
      <c r="O2091" s="133"/>
      <c r="P2091" s="133"/>
      <c r="Q2091" s="133"/>
      <c r="R2091" s="133"/>
      <c r="S2091" s="133"/>
      <c r="T2091" s="133"/>
      <c r="U2091" s="133"/>
      <c r="V2091" s="133"/>
      <c r="W2091" s="133"/>
      <c r="X2091" s="133"/>
      <c r="Y2091" s="133"/>
      <c r="Z2091" s="133"/>
    </row>
    <row r="2092">
      <c r="A2092" s="133"/>
      <c r="B2092" s="133"/>
      <c r="C2092" s="133" t="str">
        <f>IFERROR(__xludf.DUMMYFUNCTION("""COMPUTED_VALUE"""),"2024-257476")</f>
        <v>2024-257476</v>
      </c>
      <c r="D2092" s="133" t="str">
        <f>IFERROR(__xludf.DUMMYFUNCTION("""COMPUTED_VALUE"""),"1010SRE-A")</f>
        <v>1010SRE-A</v>
      </c>
      <c r="E2092" s="133" t="str">
        <f>IFERROR(__xludf.DUMMYFUNCTION("""COMPUTED_VALUE"""),"مكتمل")</f>
        <v>مكتمل</v>
      </c>
      <c r="F2092" s="133" t="str">
        <f>IFERROR(__xludf.DUMMYFUNCTION("""COMPUTED_VALUE"""),"Applaws Chicken Breast with Pumpkin 70G")</f>
        <v>Applaws Chicken Breast with Pumpkin 70G</v>
      </c>
      <c r="G2092" s="133" t="str">
        <f>IFERROR(__xludf.DUMMYFUNCTION("""COMPUTED_VALUE"""),"ابلاوز صدور الدجاج مع القرع في المرق 70 جرام")</f>
        <v>ابلاوز صدور الدجاج مع القرع في المرق 70 جرام</v>
      </c>
      <c r="H2092" s="133" t="str">
        <f>IFERROR(__xludf.DUMMYFUNCTION("""COMPUTED_VALUE"""),"FOM-2024-1642-FEP-2024-80892-C-22548-0700")</f>
        <v>FOM-2024-1642-FEP-2024-80892-C-22548-0700</v>
      </c>
      <c r="I2092" s="133"/>
      <c r="J2092" s="133"/>
      <c r="K2092" s="133" t="str">
        <f>IFERROR(__xludf.DUMMYFUNCTION("""COMPUTED_VALUE"""),"أم بي أم برودكتس ليمتد")</f>
        <v>أم بي أم برودكتس ليمتد</v>
      </c>
      <c r="L2092" s="133"/>
      <c r="M2092" s="133">
        <f>IFERROR(__xludf.DUMMYFUNCTION("""COMPUTED_VALUE"""),47308.0)</f>
        <v>47308</v>
      </c>
      <c r="N2092" s="133"/>
      <c r="O2092" s="133"/>
      <c r="P2092" s="133"/>
      <c r="Q2092" s="133"/>
      <c r="R2092" s="133"/>
      <c r="S2092" s="133"/>
      <c r="T2092" s="133"/>
      <c r="U2092" s="133"/>
      <c r="V2092" s="133"/>
      <c r="W2092" s="133"/>
      <c r="X2092" s="133"/>
      <c r="Y2092" s="133"/>
      <c r="Z2092" s="133"/>
    </row>
    <row r="2093">
      <c r="A2093" s="133"/>
      <c r="B2093" s="133" t="str">
        <f>IFERROR(__xludf.DUMMYFUNCTION("""COMPUTED_VALUE"""),"اسم المنتج في النظام الالكتروني و البطاقة مختلف عن اسم المنتج في شهادة حرية البيع ")</f>
        <v>اسم المنتج في النظام الالكتروني و البطاقة مختلف عن اسم المنتج في شهادة حرية البيع </v>
      </c>
      <c r="C2093" s="133" t="str">
        <f>IFERROR(__xludf.DUMMYFUNCTION("""COMPUTED_VALUE"""),"2024-257493")</f>
        <v>2024-257493</v>
      </c>
      <c r="D2093" s="133"/>
      <c r="E2093" s="133" t="str">
        <f>IFERROR(__xludf.DUMMYFUNCTION("""COMPUTED_VALUE"""),"عاد الي مقدم الطلب ")</f>
        <v>عاد الي مقدم الطلب </v>
      </c>
      <c r="F2093" s="133" t="str">
        <f>IFERROR(__xludf.DUMMYFUNCTION("""COMPUTED_VALUE"""),"Applaws Tuna Fillet with sea bream in broth 70G")</f>
        <v>Applaws Tuna Fillet with sea bream in broth 70G</v>
      </c>
      <c r="G2093" s="133" t="str">
        <f>IFERROR(__xludf.DUMMYFUNCTION("""COMPUTED_VALUE"""),"أبلاوز فيليه تونة مع سمك الدنيس في المرق 70 غ")</f>
        <v>أبلاوز فيليه تونة مع سمك الدنيس في المرق 70 غ</v>
      </c>
      <c r="H2093" s="133"/>
      <c r="I2093" s="133"/>
      <c r="J2093" s="133"/>
      <c r="K2093" s="133"/>
      <c r="L2093" s="142" t="str">
        <f>IFERROR(__xludf.DUMMYFUNCTION("""COMPUTED_VALUE"""),"اسم المنتج في النظام الالكتروني و البطاقة مختلف عن اسم المنتج في شهادة حرية البيع ")</f>
        <v>اسم المنتج في النظام الالكتروني و البطاقة مختلف عن اسم المنتج في شهادة حرية البيع </v>
      </c>
      <c r="M2093" s="133"/>
      <c r="N2093" s="133"/>
      <c r="O2093" s="133"/>
      <c r="P2093" s="133"/>
      <c r="Q2093" s="133"/>
      <c r="R2093" s="133"/>
      <c r="S2093" s="133"/>
      <c r="T2093" s="133"/>
      <c r="U2093" s="133"/>
      <c r="V2093" s="133"/>
      <c r="W2093" s="133"/>
      <c r="X2093" s="133"/>
      <c r="Y2093" s="133"/>
      <c r="Z2093" s="133"/>
    </row>
    <row r="2094">
      <c r="A2094" s="133"/>
      <c r="B2094" s="133" t="str">
        <f>IFERROR(__xludf.DUMMYFUNCTION("""COMPUTED_VALUE"""),"اسم المنتج في النظام الالكتروني و البطاقة مختلف عن اسم المنتج في شهادة حرية البيع")</f>
        <v>اسم المنتج في النظام الالكتروني و البطاقة مختلف عن اسم المنتج في شهادة حرية البيع</v>
      </c>
      <c r="C2094" s="133" t="str">
        <f>IFERROR(__xludf.DUMMYFUNCTION("""COMPUTED_VALUE"""),"2024-257501")</f>
        <v>2024-257501</v>
      </c>
      <c r="D2094" s="133"/>
      <c r="E2094" s="133" t="str">
        <f>IFERROR(__xludf.DUMMYFUNCTION("""COMPUTED_VALUE"""),"عاد الي مقدم الطلب ")</f>
        <v>عاد الي مقدم الطلب </v>
      </c>
      <c r="F2094" s="133" t="str">
        <f>IFERROR(__xludf.DUMMYFUNCTION("""COMPUTED_VALUE"""),"Applaws Tuna Fillet with Anchovy &amp; Seaweed in broth 70g")</f>
        <v>Applaws Tuna Fillet with Anchovy &amp; Seaweed in broth 70g</v>
      </c>
      <c r="G2094" s="133" t="str">
        <f>IFERROR(__xludf.DUMMYFUNCTION("""COMPUTED_VALUE"""),"أبلاوز فيليه تونة مع عشب البحر وسمك الانشوفة في المرق 70غ")</f>
        <v>أبلاوز فيليه تونة مع عشب البحر وسمك الانشوفة في المرق 70غ</v>
      </c>
      <c r="H2094" s="133"/>
      <c r="I2094" s="133"/>
      <c r="J2094" s="133"/>
      <c r="K2094" s="133"/>
      <c r="L2094" s="142" t="str">
        <f>IFERROR(__xludf.DUMMYFUNCTION("""COMPUTED_VALUE"""),"اسم المنتج في النظام الالكتروني و البطاقة مختلف عن اسم المنتج في شهادة حرية البيع")</f>
        <v>اسم المنتج في النظام الالكتروني و البطاقة مختلف عن اسم المنتج في شهادة حرية البيع</v>
      </c>
      <c r="M2094" s="133"/>
      <c r="N2094" s="133"/>
      <c r="O2094" s="133"/>
      <c r="P2094" s="133"/>
      <c r="Q2094" s="133"/>
      <c r="R2094" s="133"/>
      <c r="S2094" s="133"/>
      <c r="T2094" s="133"/>
      <c r="U2094" s="133"/>
      <c r="V2094" s="133"/>
      <c r="W2094" s="133"/>
      <c r="X2094" s="133"/>
      <c r="Y2094" s="133"/>
      <c r="Z2094" s="133"/>
    </row>
    <row r="2095">
      <c r="A2095" s="133"/>
      <c r="B2095" s="133"/>
      <c r="C2095" s="133" t="str">
        <f>IFERROR(__xludf.DUMMYFUNCTION("""COMPUTED_VALUE"""),"2024-257512")</f>
        <v>2024-257512</v>
      </c>
      <c r="D2095" s="133" t="str">
        <f>IFERROR(__xludf.DUMMYFUNCTION("""COMPUTED_VALUE"""),"8251SML-A")</f>
        <v>8251SML-A</v>
      </c>
      <c r="E2095" s="133" t="str">
        <f>IFERROR(__xludf.DUMMYFUNCTION("""COMPUTED_VALUE"""),"مكتمل ")</f>
        <v>مكتمل </v>
      </c>
      <c r="F2095" s="133" t="str">
        <f>IFERROR(__xludf.DUMMYFUNCTION("""COMPUTED_VALUE"""),"Applaws chicken breast with chicken liver in jelly 70g")</f>
        <v>Applaws chicken breast with chicken liver in jelly 70g</v>
      </c>
      <c r="G2095" s="133" t="str">
        <f>IFERROR(__xludf.DUMMYFUNCTION("""COMPUTED_VALUE"""),"أبلاوز صدور الدجاج مع الكبد في الجيلي 70 غ")</f>
        <v>أبلاوز صدور الدجاج مع الكبد في الجيلي 70 غ</v>
      </c>
      <c r="H2095" s="133"/>
      <c r="I2095" s="133"/>
      <c r="J2095" s="133"/>
      <c r="K2095" s="133"/>
      <c r="L2095" s="133"/>
      <c r="M2095" s="133"/>
      <c r="N2095" s="133"/>
      <c r="O2095" s="133"/>
      <c r="P2095" s="133"/>
      <c r="Q2095" s="133"/>
      <c r="R2095" s="133"/>
      <c r="S2095" s="133"/>
      <c r="T2095" s="133"/>
      <c r="U2095" s="133"/>
      <c r="V2095" s="133"/>
      <c r="W2095" s="133"/>
      <c r="X2095" s="133"/>
      <c r="Y2095" s="133"/>
      <c r="Z2095" s="133"/>
    </row>
    <row r="2096">
      <c r="A2096" s="133"/>
      <c r="B2096" s="133"/>
      <c r="C2096" s="133" t="str">
        <f>IFERROR(__xludf.DUMMYFUNCTION("""COMPUTED_VALUE"""),"2024-257527")</f>
        <v>2024-257527</v>
      </c>
      <c r="D2096" s="133"/>
      <c r="E2096" s="133" t="str">
        <f>IFERROR(__xludf.DUMMYFUNCTION("""COMPUTED_VALUE"""),"مكتمل")</f>
        <v>مكتمل</v>
      </c>
      <c r="F2096" s="133" t="str">
        <f>IFERROR(__xludf.DUMMYFUNCTION("""COMPUTED_VALUE"""),"Applaws chicken breast with beef In jelly 70g")</f>
        <v>Applaws chicken breast with beef In jelly 70g</v>
      </c>
      <c r="G2096" s="133" t="str">
        <f>IFERROR(__xludf.DUMMYFUNCTION("""COMPUTED_VALUE"""),"أبلاوز صدر دجاج مع لحم بقري في الجيلي 70 غ")</f>
        <v>أبلاوز صدر دجاج مع لحم بقري في الجيلي 70 غ</v>
      </c>
      <c r="H2096" s="133" t="str">
        <f>IFERROR(__xludf.DUMMYFUNCTION("""COMPUTED_VALUE"""),"FOM-2024-1642-FEP-2024-80898-C-22548-0707")</f>
        <v>FOM-2024-1642-FEP-2024-80898-C-22548-0707</v>
      </c>
      <c r="I2096" s="133"/>
      <c r="J2096" s="133"/>
      <c r="K2096" s="133" t="str">
        <f>IFERROR(__xludf.DUMMYFUNCTION("""COMPUTED_VALUE"""),"أم بي أم برودكتس ليمتد")</f>
        <v>أم بي أم برودكتس ليمتد</v>
      </c>
      <c r="L2096" s="133"/>
      <c r="M2096" s="133">
        <f>IFERROR(__xludf.DUMMYFUNCTION("""COMPUTED_VALUE"""),47308.0)</f>
        <v>47308</v>
      </c>
      <c r="N2096" s="133"/>
      <c r="O2096" s="133"/>
      <c r="P2096" s="133"/>
      <c r="Q2096" s="133"/>
      <c r="R2096" s="133"/>
      <c r="S2096" s="133"/>
      <c r="T2096" s="133"/>
      <c r="U2096" s="133"/>
      <c r="V2096" s="133"/>
      <c r="W2096" s="133"/>
      <c r="X2096" s="133"/>
      <c r="Y2096" s="133"/>
      <c r="Z2096" s="133"/>
    </row>
    <row r="2097">
      <c r="A2097" s="133"/>
      <c r="B2097" s="133"/>
      <c r="C2097" s="133"/>
      <c r="D2097" s="133"/>
      <c r="E2097" s="133" t="str">
        <f>IFERROR(__xludf.DUMMYFUNCTION("""COMPUTED_VALUE"""),"مكتمل")</f>
        <v>مكتمل</v>
      </c>
      <c r="F2097" s="133" t="str">
        <f>IFERROR(__xludf.DUMMYFUNCTION("""COMPUTED_VALUE"""),"SOLID GOLD FIT AS A FIDDLE POLLOCK GRAIN FREE 3Kg,")</f>
        <v>SOLID GOLD FIT AS A FIDDLE POLLOCK GRAIN FREE 3Kg,</v>
      </c>
      <c r="G2097" s="133" t="str">
        <f>IFERROR(__xludf.DUMMYFUNCTION("""COMPUTED_VALUE"""),"سولید جولد فیت از ا فیدل بسمك البلوق خالي من الحبوب 3 كغ")</f>
        <v>سولید جولد فیت از ا فیدل بسمك البلوق خالي من الحبوب 3 كغ</v>
      </c>
      <c r="H2097" s="133" t="str">
        <f>IFERROR(__xludf.DUMMYFUNCTION("""COMPUTED_VALUE"""),"FOM-2024-0902-FEP-2024-80798-C-22548-0607")</f>
        <v>FOM-2024-0902-FEP-2024-80798-C-22548-0607</v>
      </c>
      <c r="I2097" s="133"/>
      <c r="J2097" s="133"/>
      <c r="K2097" s="133" t="str">
        <f>IFERROR(__xludf.DUMMYFUNCTION("""COMPUTED_VALUE"""),"شركة سوليد جولد بيت المحدودة المسؤولية")</f>
        <v>شركة سوليد جولد بيت المحدودة المسؤولية</v>
      </c>
      <c r="L2097" s="133"/>
      <c r="M2097" s="133">
        <f>IFERROR(__xludf.DUMMYFUNCTION("""COMPUTED_VALUE"""),47186.0)</f>
        <v>47186</v>
      </c>
      <c r="N2097" s="133"/>
      <c r="O2097" s="133"/>
      <c r="P2097" s="133"/>
      <c r="Q2097" s="133"/>
      <c r="R2097" s="133"/>
      <c r="S2097" s="133"/>
      <c r="T2097" s="133"/>
      <c r="U2097" s="133"/>
      <c r="V2097" s="133"/>
      <c r="W2097" s="133"/>
      <c r="X2097" s="133"/>
      <c r="Y2097" s="133"/>
      <c r="Z2097" s="133"/>
    </row>
    <row r="2098">
      <c r="A2098" s="133"/>
      <c r="B2098" s="133"/>
      <c r="C2098" s="133"/>
      <c r="D2098" s="133"/>
      <c r="E2098" s="133" t="str">
        <f>IFERROR(__xludf.DUMMYFUNCTION("""COMPUTED_VALUE"""),"مكتمل")</f>
        <v>مكتمل</v>
      </c>
      <c r="F2098" s="133" t="str">
        <f>IFERROR(__xludf.DUMMYFUNCTION("""COMPUTED_VALUE"""),"SOLID GOLD FIT AND FABULOUS CHICKEN GRAIN FREE 374G")</f>
        <v>SOLID GOLD FIT AND FABULOUS CHICKEN GRAIN FREE 374G</v>
      </c>
      <c r="G2098" s="133" t="str">
        <f>IFERROR(__xludf.DUMMYFUNCTION("""COMPUTED_VALUE"""),"سولید جولد فیت اند فابیلس بالدجاج خالي من الحبوب 374 غ")</f>
        <v>سولید جولد فیت اند فابیلس بالدجاج خالي من الحبوب 374 غ</v>
      </c>
      <c r="H2098" s="133" t="str">
        <f>IFERROR(__xludf.DUMMYFUNCTION("""COMPUTED_VALUE"""),"FOM-2024-0902-FEP-2024-80797-C-22548-0608")</f>
        <v>FOM-2024-0902-FEP-2024-80797-C-22548-0608</v>
      </c>
      <c r="I2098" s="133"/>
      <c r="J2098" s="133"/>
      <c r="K2098" s="133" t="str">
        <f>IFERROR(__xludf.DUMMYFUNCTION("""COMPUTED_VALUE"""),"شركة سوليد جولد بيت المحدودة المسؤولية")</f>
        <v>شركة سوليد جولد بيت المحدودة المسؤولية</v>
      </c>
      <c r="L2098" s="133"/>
      <c r="M2098" s="133">
        <f>IFERROR(__xludf.DUMMYFUNCTION("""COMPUTED_VALUE"""),47186.0)</f>
        <v>47186</v>
      </c>
      <c r="N2098" s="133"/>
      <c r="O2098" s="133"/>
      <c r="P2098" s="133"/>
      <c r="Q2098" s="133"/>
      <c r="R2098" s="133"/>
      <c r="S2098" s="133"/>
      <c r="T2098" s="133"/>
      <c r="U2098" s="133"/>
      <c r="V2098" s="133"/>
      <c r="W2098" s="133"/>
      <c r="X2098" s="133"/>
      <c r="Y2098" s="133"/>
      <c r="Z2098" s="133"/>
    </row>
    <row r="2099">
      <c r="A2099" s="133"/>
      <c r="B2099" s="133"/>
      <c r="C2099" s="133" t="str">
        <f>IFERROR(__xludf.DUMMYFUNCTION("""COMPUTED_VALUE"""),"2024-252386")</f>
        <v>2024-252386</v>
      </c>
      <c r="D2099" s="133"/>
      <c r="E2099" s="133" t="str">
        <f>IFERROR(__xludf.DUMMYFUNCTION("""COMPUTED_VALUE"""),"مكتمل")</f>
        <v>مكتمل</v>
      </c>
      <c r="F2099" s="133" t="str">
        <f>IFERROR(__xludf.DUMMYFUNCTION("""COMPUTED_VALUE"""),"Vitalicat 75g")</f>
        <v>Vitalicat 75g</v>
      </c>
      <c r="G2099" s="133" t="str">
        <f>IFERROR(__xludf.DUMMYFUNCTION("""COMPUTED_VALUE"""),"فيتاليكات 75غ")</f>
        <v>فيتاليكات 75غ</v>
      </c>
      <c r="H2099" s="133" t="str">
        <f>IFERROR(__xludf.DUMMYFUNCTION("""COMPUTED_VALUE"""),"FOM-2024-7301-FEP-2024-80696-C-22548-0558")</f>
        <v>FOM-2024-7301-FEP-2024-80696-C-22548-0558</v>
      </c>
      <c r="I2099" s="133"/>
      <c r="J2099" s="133"/>
      <c r="K2099" s="133"/>
      <c r="L2099" s="133"/>
      <c r="M2099" s="133" t="str">
        <f>IFERROR(__xludf.DUMMYFUNCTION("""COMPUTED_VALUE"""),"31/08/29")</f>
        <v>31/08/29</v>
      </c>
      <c r="N2099" s="133"/>
      <c r="O2099" s="133"/>
      <c r="P2099" s="133"/>
      <c r="Q2099" s="133"/>
      <c r="R2099" s="133"/>
      <c r="S2099" s="133"/>
      <c r="T2099" s="133"/>
      <c r="U2099" s="133"/>
      <c r="V2099" s="133"/>
      <c r="W2099" s="133"/>
      <c r="X2099" s="133"/>
      <c r="Y2099" s="133"/>
      <c r="Z2099" s="133"/>
    </row>
    <row r="2100">
      <c r="A2100" s="133"/>
      <c r="B2100" s="133"/>
      <c r="C2100" s="133" t="str">
        <f>IFERROR(__xludf.DUMMYFUNCTION("""COMPUTED_VALUE"""),"2024-252389")</f>
        <v>2024-252389</v>
      </c>
      <c r="D2100" s="133"/>
      <c r="E2100" s="133" t="str">
        <f>IFERROR(__xludf.DUMMYFUNCTION("""COMPUTED_VALUE"""),"مكتمل")</f>
        <v>مكتمل</v>
      </c>
      <c r="F2100" s="133" t="str">
        <f>IFERROR(__xludf.DUMMYFUNCTION("""COMPUTED_VALUE"""),"Dermacat 0.3 23g")</f>
        <v>Dermacat 0.3 23g</v>
      </c>
      <c r="G2100" s="133" t="str">
        <f>IFERROR(__xludf.DUMMYFUNCTION("""COMPUTED_VALUE""")," 23 غ ديرماكات 0.3")</f>
        <v> 23 غ ديرماكات 0.3</v>
      </c>
      <c r="H2100" s="133" t="str">
        <f>IFERROR(__xludf.DUMMYFUNCTION("""COMPUTED_VALUE"""),"FOM-2024-7301-FEP-2024-80699-C-22548-0559")</f>
        <v>FOM-2024-7301-FEP-2024-80699-C-22548-0559</v>
      </c>
      <c r="I2100" s="133"/>
      <c r="J2100" s="133"/>
      <c r="K2100" s="133"/>
      <c r="L2100" s="133"/>
      <c r="M2100" s="133" t="str">
        <f>IFERROR(__xludf.DUMMYFUNCTION("""COMPUTED_VALUE"""),"31/08/29")</f>
        <v>31/08/29</v>
      </c>
      <c r="N2100" s="133"/>
      <c r="O2100" s="133"/>
      <c r="P2100" s="133"/>
      <c r="Q2100" s="133"/>
      <c r="R2100" s="133"/>
      <c r="S2100" s="133"/>
      <c r="T2100" s="133"/>
      <c r="U2100" s="133"/>
      <c r="V2100" s="133"/>
      <c r="W2100" s="133"/>
      <c r="X2100" s="133"/>
      <c r="Y2100" s="133"/>
      <c r="Z2100" s="133"/>
    </row>
    <row r="2101">
      <c r="A2101" s="133"/>
      <c r="B2101" s="133"/>
      <c r="C2101" s="133" t="str">
        <f>IFERROR(__xludf.DUMMYFUNCTION("""COMPUTED_VALUE"""),"2024-252403")</f>
        <v>2024-252403</v>
      </c>
      <c r="D2101" s="133"/>
      <c r="E2101" s="133" t="str">
        <f>IFERROR(__xludf.DUMMYFUNCTION("""COMPUTED_VALUE"""),"مكتمل")</f>
        <v>مكتمل</v>
      </c>
      <c r="F2101" s="133" t="str">
        <f>IFERROR(__xludf.DUMMYFUNCTION("""COMPUTED_VALUE"""),"Biodermcat 30g")</f>
        <v>Biodermcat 30g</v>
      </c>
      <c r="G2101" s="133" t="str">
        <f>IFERROR(__xludf.DUMMYFUNCTION("""COMPUTED_VALUE"""),"بيوديرمكات 30غ")</f>
        <v>بيوديرمكات 30غ</v>
      </c>
      <c r="H2101" s="133" t="str">
        <f>IFERROR(__xludf.DUMMYFUNCTION("""COMPUTED_VALUE"""),"FOM-2024-7301-FEP-2024-80700-C-22548-0560")</f>
        <v>FOM-2024-7301-FEP-2024-80700-C-22548-0560</v>
      </c>
      <c r="I2101" s="133"/>
      <c r="J2101" s="133"/>
      <c r="K2101" s="133" t="str">
        <f>IFERROR(__xludf.DUMMYFUNCTION("""COMPUTED_VALUE"""),"مار كيميا فيت المحدودة")</f>
        <v>مار كيميا فيت المحدودة</v>
      </c>
      <c r="L2101" s="133"/>
      <c r="M2101" s="133" t="str">
        <f>IFERROR(__xludf.DUMMYFUNCTION("""COMPUTED_VALUE"""),"31/08/29")</f>
        <v>31/08/29</v>
      </c>
      <c r="N2101" s="133"/>
      <c r="O2101" s="133"/>
      <c r="P2101" s="133"/>
      <c r="Q2101" s="133"/>
      <c r="R2101" s="133"/>
      <c r="S2101" s="133"/>
      <c r="T2101" s="133"/>
      <c r="U2101" s="133"/>
      <c r="V2101" s="133"/>
      <c r="W2101" s="133"/>
      <c r="X2101" s="133"/>
      <c r="Y2101" s="133"/>
      <c r="Z2101" s="133"/>
    </row>
    <row r="2102">
      <c r="A2102" s="133"/>
      <c r="B2102" s="133"/>
      <c r="C2102" s="133" t="str">
        <f>IFERROR(__xludf.DUMMYFUNCTION("""COMPUTED_VALUE"""),"2024-253329")</f>
        <v>2024-253329</v>
      </c>
      <c r="D2102" s="133"/>
      <c r="E2102" s="133" t="str">
        <f>IFERROR(__xludf.DUMMYFUNCTION("""COMPUTED_VALUE"""),"مكتمل")</f>
        <v>مكتمل</v>
      </c>
      <c r="F2102" s="133" t="str">
        <f>IFERROR(__xludf.DUMMYFUNCTION("""COMPUTED_VALUE"""),"Vitalidog Paste 100Ml
")</f>
        <v>Vitalidog Paste 100Ml
</v>
      </c>
      <c r="G2102" s="133" t="str">
        <f>IFERROR(__xludf.DUMMYFUNCTION("""COMPUTED_VALUE"""),"فيتاليدوج بايست 100مل")</f>
        <v>فيتاليدوج بايست 100مل</v>
      </c>
      <c r="H2102" s="133" t="str">
        <f>IFERROR(__xludf.DUMMYFUNCTION("""COMPUTED_VALUE"""),"FOM-2024-7301-FEP-2024-80730-C-22548-0562")</f>
        <v>FOM-2024-7301-FEP-2024-80730-C-22548-0562</v>
      </c>
      <c r="I2102" s="133"/>
      <c r="J2102" s="133"/>
      <c r="K2102" s="133"/>
      <c r="L2102" s="133"/>
      <c r="M2102" s="133" t="str">
        <f>IFERROR(__xludf.DUMMYFUNCTION("""COMPUTED_VALUE"""),"31/08/29")</f>
        <v>31/08/29</v>
      </c>
      <c r="N2102" s="133"/>
      <c r="O2102" s="133"/>
      <c r="P2102" s="133"/>
      <c r="Q2102" s="133"/>
      <c r="R2102" s="133"/>
      <c r="S2102" s="133"/>
      <c r="T2102" s="133"/>
      <c r="U2102" s="133"/>
      <c r="V2102" s="133"/>
      <c r="W2102" s="133"/>
      <c r="X2102" s="133"/>
      <c r="Y2102" s="133"/>
      <c r="Z2102" s="133"/>
    </row>
    <row r="2103">
      <c r="A2103" s="133"/>
      <c r="B2103" s="133"/>
      <c r="C2103" s="133" t="str">
        <f>IFERROR(__xludf.DUMMYFUNCTION("""COMPUTED_VALUE"""),"2024-253316")</f>
        <v>2024-253316</v>
      </c>
      <c r="D2103" s="133"/>
      <c r="E2103" s="133" t="str">
        <f>IFERROR(__xludf.DUMMYFUNCTION("""COMPUTED_VALUE"""),"مكتمل")</f>
        <v>مكتمل</v>
      </c>
      <c r="F2103" s="133" t="str">
        <f>IFERROR(__xludf.DUMMYFUNCTION("""COMPUTED_VALUE"""),"Vitalicat Paste 100Ml")</f>
        <v>Vitalicat Paste 100Ml</v>
      </c>
      <c r="G2103" s="133" t="str">
        <f>IFERROR(__xludf.DUMMYFUNCTION("""COMPUTED_VALUE"""),"فيتاليكات بايست 100مل")</f>
        <v>فيتاليكات بايست 100مل</v>
      </c>
      <c r="H2103" s="133" t="str">
        <f>IFERROR(__xludf.DUMMYFUNCTION("""COMPUTED_VALUE"""),"FOM-2024-7301-FEP-2024-80729-C-22548-0563")</f>
        <v>FOM-2024-7301-FEP-2024-80729-C-22548-0563</v>
      </c>
      <c r="I2103" s="133"/>
      <c r="J2103" s="133"/>
      <c r="K2103" s="133"/>
      <c r="L2103" s="133"/>
      <c r="M2103" s="133" t="str">
        <f>IFERROR(__xludf.DUMMYFUNCTION("""COMPUTED_VALUE"""),"31/08/29")</f>
        <v>31/08/29</v>
      </c>
      <c r="N2103" s="133"/>
      <c r="O2103" s="133"/>
      <c r="P2103" s="133"/>
      <c r="Q2103" s="133"/>
      <c r="R2103" s="133"/>
      <c r="S2103" s="133"/>
      <c r="T2103" s="133"/>
      <c r="U2103" s="133"/>
      <c r="V2103" s="133"/>
      <c r="W2103" s="133"/>
      <c r="X2103" s="133"/>
      <c r="Y2103" s="133"/>
      <c r="Z2103" s="133"/>
    </row>
    <row r="2104">
      <c r="A2104" s="133"/>
      <c r="B2104" s="133"/>
      <c r="C2104" s="133" t="str">
        <f>IFERROR(__xludf.DUMMYFUNCTION("""COMPUTED_VALUE"""),"2024-253333")</f>
        <v>2024-253333</v>
      </c>
      <c r="D2104" s="133"/>
      <c r="E2104" s="133" t="str">
        <f>IFERROR(__xludf.DUMMYFUNCTION("""COMPUTED_VALUE"""),"مكتمل")</f>
        <v>مكتمل</v>
      </c>
      <c r="F2104" s="133" t="str">
        <f>IFERROR(__xludf.DUMMYFUNCTION("""COMPUTED_VALUE"""),"Vitalidog Junior Paste 100ml")</f>
        <v>Vitalidog Junior Paste 100ml</v>
      </c>
      <c r="G2104" s="133" t="str">
        <f>IFERROR(__xludf.DUMMYFUNCTION("""COMPUTED_VALUE"""),"فيتاليدوج جونيوربايست 100مل")</f>
        <v>فيتاليدوج جونيوربايست 100مل</v>
      </c>
      <c r="H2104" s="133" t="str">
        <f>IFERROR(__xludf.DUMMYFUNCTION("""COMPUTED_VALUE"""),"FOM-2024-7301-FEP-2024-80731-C-22548-0564")</f>
        <v>FOM-2024-7301-FEP-2024-80731-C-22548-0564</v>
      </c>
      <c r="I2104" s="133"/>
      <c r="J2104" s="133"/>
      <c r="K2104" s="133"/>
      <c r="L2104" s="133"/>
      <c r="M2104" s="133" t="str">
        <f>IFERROR(__xludf.DUMMYFUNCTION("""COMPUTED_VALUE"""),"31/08/29")</f>
        <v>31/08/29</v>
      </c>
      <c r="N2104" s="133"/>
      <c r="O2104" s="133"/>
      <c r="P2104" s="133"/>
      <c r="Q2104" s="133"/>
      <c r="R2104" s="133"/>
      <c r="S2104" s="133"/>
      <c r="T2104" s="133"/>
      <c r="U2104" s="133"/>
      <c r="V2104" s="133"/>
      <c r="W2104" s="133"/>
      <c r="X2104" s="133"/>
      <c r="Y2104" s="133"/>
      <c r="Z2104" s="133"/>
    </row>
    <row r="2105">
      <c r="A2105" s="133"/>
      <c r="B2105" s="133"/>
      <c r="C2105" s="133" t="str">
        <f>IFERROR(__xludf.DUMMYFUNCTION("""COMPUTED_VALUE"""),"2024-253335")</f>
        <v>2024-253335</v>
      </c>
      <c r="D2105" s="133"/>
      <c r="E2105" s="133" t="str">
        <f>IFERROR(__xludf.DUMMYFUNCTION("""COMPUTED_VALUE"""),"مكتمل")</f>
        <v>مكتمل</v>
      </c>
      <c r="F2105" s="133" t="str">
        <f>IFERROR(__xludf.DUMMYFUNCTION("""COMPUTED_VALUE"""),"Dermadog 1.5 75G")</f>
        <v>Dermadog 1.5 75G</v>
      </c>
      <c r="G2105" s="133" t="str">
        <f>IFERROR(__xludf.DUMMYFUNCTION("""COMPUTED_VALUE"""),"ديرمادوج 1.5 75غ")</f>
        <v>ديرمادوج 1.5 75غ</v>
      </c>
      <c r="H2105" s="133" t="str">
        <f>IFERROR(__xludf.DUMMYFUNCTION("""COMPUTED_VALUE"""),"FOM-2024-7301-FEP-2024-80733-C-22548-0565")</f>
        <v>FOM-2024-7301-FEP-2024-80733-C-22548-0565</v>
      </c>
      <c r="I2105" s="133"/>
      <c r="J2105" s="133"/>
      <c r="K2105" s="133"/>
      <c r="L2105" s="133"/>
      <c r="M2105" s="133" t="str">
        <f>IFERROR(__xludf.DUMMYFUNCTION("""COMPUTED_VALUE"""),"31/08/29")</f>
        <v>31/08/29</v>
      </c>
      <c r="N2105" s="133"/>
      <c r="O2105" s="133"/>
      <c r="P2105" s="133"/>
      <c r="Q2105" s="133"/>
      <c r="R2105" s="133"/>
      <c r="S2105" s="133"/>
      <c r="T2105" s="133"/>
      <c r="U2105" s="133"/>
      <c r="V2105" s="133"/>
      <c r="W2105" s="133"/>
      <c r="X2105" s="133"/>
      <c r="Y2105" s="133"/>
      <c r="Z2105" s="133"/>
    </row>
    <row r="2106">
      <c r="A2106" s="133"/>
      <c r="B2106" s="133"/>
      <c r="C2106" s="133" t="str">
        <f>IFERROR(__xludf.DUMMYFUNCTION("""COMPUTED_VALUE"""),"2024-253341")</f>
        <v>2024-253341</v>
      </c>
      <c r="D2106" s="133" t="str">
        <f>IFERROR(__xludf.DUMMYFUNCTION("""COMPUTED_VALUE"""),"FEP-2024-80734")</f>
        <v>FEP-2024-80734</v>
      </c>
      <c r="E2106" s="133" t="str">
        <f>IFERROR(__xludf.DUMMYFUNCTION("""COMPUTED_VALUE"""),"مكتمل")</f>
        <v>مكتمل</v>
      </c>
      <c r="F2106" s="133" t="str">
        <f>IFERROR(__xludf.DUMMYFUNCTION("""COMPUTED_VALUE"""),"Dermadog 0,5 Small Breed 30G")</f>
        <v>Dermadog 0,5 Small Breed 30G</v>
      </c>
      <c r="G2106" s="133" t="str">
        <f>IFERROR(__xludf.DUMMYFUNCTION("""COMPUTED_VALUE"""),"ديرمادوج 0,5 سلالة صغيرة 30غ")</f>
        <v>ديرمادوج 0,5 سلالة صغيرة 30غ</v>
      </c>
      <c r="H2106" s="133" t="str">
        <f>IFERROR(__xludf.DUMMYFUNCTION("""COMPUTED_VALUE"""),"FOM-2024-7301-FEP-2024-80734-C-22548-0571")</f>
        <v>FOM-2024-7301-FEP-2024-80734-C-22548-0571</v>
      </c>
      <c r="I2106" s="133"/>
      <c r="J2106" s="133"/>
      <c r="K2106" s="133"/>
      <c r="L2106" s="133"/>
      <c r="M2106" s="133" t="str">
        <f>IFERROR(__xludf.DUMMYFUNCTION("""COMPUTED_VALUE"""),"31/08/29")</f>
        <v>31/08/29</v>
      </c>
      <c r="N2106" s="133"/>
      <c r="O2106" s="133"/>
      <c r="P2106" s="133"/>
      <c r="Q2106" s="133"/>
      <c r="R2106" s="133"/>
      <c r="S2106" s="133"/>
      <c r="T2106" s="133"/>
      <c r="U2106" s="133"/>
      <c r="V2106" s="133"/>
      <c r="W2106" s="133"/>
      <c r="X2106" s="133"/>
      <c r="Y2106" s="133"/>
      <c r="Z2106" s="133"/>
    </row>
    <row r="2107">
      <c r="A2107" s="133"/>
      <c r="B2107" s="133"/>
      <c r="C2107" s="133" t="str">
        <f>IFERROR(__xludf.DUMMYFUNCTION("""COMPUTED_VALUE"""),"2024-252383")</f>
        <v>2024-252383</v>
      </c>
      <c r="D2107" s="133" t="str">
        <f>IFERROR(__xludf.DUMMYFUNCTION("""COMPUTED_VALUE"""),"FEP-2024-80695")</f>
        <v>FEP-2024-80695</v>
      </c>
      <c r="E2107" s="133" t="str">
        <f>IFERROR(__xludf.DUMMYFUNCTION("""COMPUTED_VALUE"""),"مكتمل")</f>
        <v>مكتمل</v>
      </c>
      <c r="F2107" s="133" t="str">
        <f>IFERROR(__xludf.DUMMYFUNCTION("""COMPUTED_VALUE"""),"Vitalicat 30G")</f>
        <v>Vitalicat 30G</v>
      </c>
      <c r="G2107" s="133" t="str">
        <f>IFERROR(__xludf.DUMMYFUNCTION("""COMPUTED_VALUE"""),"فيتاليكات 30غ")</f>
        <v>فيتاليكات 30غ</v>
      </c>
      <c r="H2107" s="133" t="str">
        <f>IFERROR(__xludf.DUMMYFUNCTION("""COMPUTED_VALUE"""),"FOM-2024-7301-FEP-2024-80695-C-22548-0572")</f>
        <v>FOM-2024-7301-FEP-2024-80695-C-22548-0572</v>
      </c>
      <c r="I2107" s="133"/>
      <c r="J2107" s="133"/>
      <c r="K2107" s="133"/>
      <c r="L2107" s="133"/>
      <c r="M2107" s="133" t="str">
        <f>IFERROR(__xludf.DUMMYFUNCTION("""COMPUTED_VALUE"""),"31/08/29")</f>
        <v>31/08/29</v>
      </c>
      <c r="N2107" s="133"/>
      <c r="O2107" s="133"/>
      <c r="P2107" s="133"/>
      <c r="Q2107" s="133"/>
      <c r="R2107" s="133"/>
      <c r="S2107" s="133"/>
      <c r="T2107" s="133"/>
      <c r="U2107" s="133"/>
      <c r="V2107" s="133"/>
      <c r="W2107" s="133"/>
      <c r="X2107" s="133"/>
      <c r="Y2107" s="133"/>
      <c r="Z2107" s="133"/>
    </row>
    <row r="2108">
      <c r="A2108" s="133"/>
      <c r="B2108" s="133"/>
      <c r="C2108" s="133" t="str">
        <f>IFERROR(__xludf.DUMMYFUNCTION("""COMPUTED_VALUE"""),"2024-253413")</f>
        <v>2024-253413</v>
      </c>
      <c r="D2108" s="133" t="str">
        <f>IFERROR(__xludf.DUMMYFUNCTION("""COMPUTED_VALUE"""),"FEP-2024-80757")</f>
        <v>FEP-2024-80757</v>
      </c>
      <c r="E2108" s="133" t="str">
        <f>IFERROR(__xludf.DUMMYFUNCTION("""COMPUTED_VALUE"""),"مكتمل")</f>
        <v>مكتمل</v>
      </c>
      <c r="F2108" s="133" t="str">
        <f>IFERROR(__xludf.DUMMYFUNCTION("""COMPUTED_VALUE"""),"Synbioflora Tab for Small Breed Dogs 30G")</f>
        <v>Synbioflora Tab for Small Breed Dogs 30G</v>
      </c>
      <c r="G2108" s="133" t="str">
        <f>IFERROR(__xludf.DUMMYFUNCTION("""COMPUTED_VALUE"""),"سينبيوفلورا تاب للكلاب من السلالات الصغيرة 30غ")</f>
        <v>سينبيوفلورا تاب للكلاب من السلالات الصغيرة 30غ</v>
      </c>
      <c r="H2108" s="133" t="str">
        <f>IFERROR(__xludf.DUMMYFUNCTION("""COMPUTED_VALUE"""),"FOM-2024-7301-FEP-2024-80757-C-22548-0601")</f>
        <v>FOM-2024-7301-FEP-2024-80757-C-22548-0601</v>
      </c>
      <c r="I2108" s="133"/>
      <c r="J2108" s="133"/>
      <c r="K2108" s="133"/>
      <c r="L2108" s="133"/>
      <c r="M2108" s="133">
        <f>IFERROR(__xludf.DUMMYFUNCTION("""COMPUTED_VALUE"""),47158.0)</f>
        <v>47158</v>
      </c>
      <c r="N2108" s="133"/>
      <c r="O2108" s="133"/>
      <c r="P2108" s="133"/>
      <c r="Q2108" s="133"/>
      <c r="R2108" s="133"/>
      <c r="S2108" s="133"/>
      <c r="T2108" s="133"/>
      <c r="U2108" s="133"/>
      <c r="V2108" s="133"/>
      <c r="W2108" s="133"/>
      <c r="X2108" s="133"/>
      <c r="Y2108" s="133"/>
      <c r="Z2108" s="133"/>
    </row>
    <row r="2109">
      <c r="A2109" s="133"/>
      <c r="B2109" s="133"/>
      <c r="C2109" s="133" t="str">
        <f>IFERROR(__xludf.DUMMYFUNCTION("""COMPUTED_VALUE"""),"2024-253409")</f>
        <v>2024-253409</v>
      </c>
      <c r="D2109" s="133" t="str">
        <f>IFERROR(__xludf.DUMMYFUNCTION("""COMPUTED_VALUE"""),"FEP-2024-80755")</f>
        <v>FEP-2024-80755</v>
      </c>
      <c r="E2109" s="133" t="str">
        <f>IFERROR(__xludf.DUMMYFUNCTION("""COMPUTED_VALUE"""),"مكتمل")</f>
        <v>مكتمل</v>
      </c>
      <c r="F2109" s="133" t="str">
        <f>IFERROR(__xludf.DUMMYFUNCTION("""COMPUTED_VALUE"""),"Synbioflora Tab for Cats 30G")</f>
        <v>Synbioflora Tab for Cats 30G</v>
      </c>
      <c r="G2109" s="133" t="str">
        <f>IFERROR(__xludf.DUMMYFUNCTION("""COMPUTED_VALUE"""),"سينبيوفلورا تاب للقطط 30غ")</f>
        <v>سينبيوفلورا تاب للقطط 30غ</v>
      </c>
      <c r="H2109" s="133" t="str">
        <f>IFERROR(__xludf.DUMMYFUNCTION("""COMPUTED_VALUE"""),"FOM-2024-7301-FEP-2024-80755-C-22548-0602")</f>
        <v>FOM-2024-7301-FEP-2024-80755-C-22548-0602</v>
      </c>
      <c r="I2109" s="133"/>
      <c r="J2109" s="133"/>
      <c r="K2109" s="133"/>
      <c r="L2109" s="133"/>
      <c r="M2109" s="133">
        <f>IFERROR(__xludf.DUMMYFUNCTION("""COMPUTED_VALUE"""),47158.0)</f>
        <v>47158</v>
      </c>
      <c r="N2109" s="133"/>
      <c r="O2109" s="133"/>
      <c r="P2109" s="133"/>
      <c r="Q2109" s="133"/>
      <c r="R2109" s="133"/>
      <c r="S2109" s="133"/>
      <c r="T2109" s="133"/>
      <c r="U2109" s="133"/>
      <c r="V2109" s="133"/>
      <c r="W2109" s="133"/>
      <c r="X2109" s="133"/>
      <c r="Y2109" s="133"/>
      <c r="Z2109" s="133"/>
    </row>
    <row r="2110">
      <c r="A2110" s="133"/>
      <c r="B2110" s="133"/>
      <c r="C2110" s="133" t="str">
        <f>IFERROR(__xludf.DUMMYFUNCTION("""COMPUTED_VALUE"""),"2024-253359")</f>
        <v>2024-253359</v>
      </c>
      <c r="D2110" s="133" t="str">
        <f>IFERROR(__xludf.DUMMYFUNCTION("""COMPUTED_VALUE"""),"FEP-2024-80739")</f>
        <v>FEP-2024-80739</v>
      </c>
      <c r="E2110" s="133" t="str">
        <f>IFERROR(__xludf.DUMMYFUNCTION("""COMPUTED_VALUE"""),"مكتمل")</f>
        <v>مكتمل</v>
      </c>
      <c r="F2110" s="133" t="str">
        <f>IFERROR(__xludf.DUMMYFUNCTION("""COMPUTED_VALUE"""),"Silycumin 50G")</f>
        <v>Silycumin 50G</v>
      </c>
      <c r="G2110" s="133" t="str">
        <f>IFERROR(__xludf.DUMMYFUNCTION("""COMPUTED_VALUE"""),"سيليكومين 50غ")</f>
        <v>سيليكومين 50غ</v>
      </c>
      <c r="H2110" s="133" t="str">
        <f>IFERROR(__xludf.DUMMYFUNCTION("""COMPUTED_VALUE"""),"FOM-2024-7301-FEP-2024-80739-C-22548-0619")</f>
        <v>FOM-2024-7301-FEP-2024-80739-C-22548-0619</v>
      </c>
      <c r="I2110" s="133"/>
      <c r="J2110" s="133"/>
      <c r="K2110" s="133"/>
      <c r="L2110" s="133"/>
      <c r="M2110" s="133">
        <f>IFERROR(__xludf.DUMMYFUNCTION("""COMPUTED_VALUE"""),47186.0)</f>
        <v>47186</v>
      </c>
      <c r="N2110" s="133"/>
      <c r="O2110" s="133"/>
      <c r="P2110" s="133"/>
      <c r="Q2110" s="133"/>
      <c r="R2110" s="133"/>
      <c r="S2110" s="133"/>
      <c r="T2110" s="133"/>
      <c r="U2110" s="133"/>
      <c r="V2110" s="133"/>
      <c r="W2110" s="133"/>
      <c r="X2110" s="133"/>
      <c r="Y2110" s="133"/>
      <c r="Z2110" s="133"/>
    </row>
    <row r="2111">
      <c r="A2111" s="133"/>
      <c r="B2111" s="133"/>
      <c r="C2111" s="133" t="str">
        <f>IFERROR(__xludf.DUMMYFUNCTION("""COMPUTED_VALUE"""),"2024-253408")</f>
        <v>2024-253408</v>
      </c>
      <c r="D2111" s="133" t="str">
        <f>IFERROR(__xludf.DUMMYFUNCTION("""COMPUTED_VALUE"""),"FEP-2024-80754")</f>
        <v>FEP-2024-80754</v>
      </c>
      <c r="E2111" s="133" t="str">
        <f>IFERROR(__xludf.DUMMYFUNCTION("""COMPUTED_VALUE"""),"مكتمل")</f>
        <v>مكتمل</v>
      </c>
      <c r="F2111" s="133" t="str">
        <f>IFERROR(__xludf.DUMMYFUNCTION("""COMPUTED_VALUE"""),"Hairball Control 45G")</f>
        <v>Hairball Control 45G</v>
      </c>
      <c r="G2111" s="133" t="str">
        <f>IFERROR(__xludf.DUMMYFUNCTION("""COMPUTED_VALUE"""),"هيربول كونترول 45غ")</f>
        <v>هيربول كونترول 45غ</v>
      </c>
      <c r="H2111" s="133" t="str">
        <f>IFERROR(__xludf.DUMMYFUNCTION("""COMPUTED_VALUE"""),"FOM-2024-7301-FEP-2024-80754-C-22548-0620")</f>
        <v>FOM-2024-7301-FEP-2024-80754-C-22548-0620</v>
      </c>
      <c r="I2111" s="133"/>
      <c r="J2111" s="133"/>
      <c r="K2111" s="133"/>
      <c r="L2111" s="133"/>
      <c r="M2111" s="133">
        <f>IFERROR(__xludf.DUMMYFUNCTION("""COMPUTED_VALUE"""),47186.0)</f>
        <v>47186</v>
      </c>
      <c r="N2111" s="133"/>
      <c r="O2111" s="133"/>
      <c r="P2111" s="133"/>
      <c r="Q2111" s="133"/>
      <c r="R2111" s="133"/>
      <c r="S2111" s="133"/>
      <c r="T2111" s="133"/>
      <c r="U2111" s="133"/>
      <c r="V2111" s="133"/>
      <c r="W2111" s="133"/>
      <c r="X2111" s="133"/>
      <c r="Y2111" s="133"/>
      <c r="Z2111" s="133"/>
    </row>
    <row r="2112">
      <c r="A2112" s="133"/>
      <c r="B2112" s="133"/>
      <c r="C2112" s="133" t="str">
        <f>IFERROR(__xludf.DUMMYFUNCTION("""COMPUTED_VALUE"""),"2024-253405")</f>
        <v>2024-253405</v>
      </c>
      <c r="D2112" s="133" t="str">
        <f>IFERROR(__xludf.DUMMYFUNCTION("""COMPUTED_VALUE"""),"FEP-2024-80753")</f>
        <v>FEP-2024-80753</v>
      </c>
      <c r="E2112" s="133" t="str">
        <f>IFERROR(__xludf.DUMMYFUNCTION("""COMPUTED_VALUE"""),"مكتمل")</f>
        <v>مكتمل</v>
      </c>
      <c r="F2112" s="133" t="str">
        <f>IFERROR(__xludf.DUMMYFUNCTION("""COMPUTED_VALUE"""),"Immune Cat Paste 100Ml
 ")</f>
        <v>Immune Cat Paste 100Ml
 </v>
      </c>
      <c r="G2112" s="133" t="str">
        <f>IFERROR(__xludf.DUMMYFUNCTION("""COMPUTED_VALUE"""),"اميون كات بايست 100 مل")</f>
        <v>اميون كات بايست 100 مل</v>
      </c>
      <c r="H2112" s="133" t="str">
        <f>IFERROR(__xludf.DUMMYFUNCTION("""COMPUTED_VALUE"""),"FOM-2024-7301-FEP-2024-80753-C-22548-0621")</f>
        <v>FOM-2024-7301-FEP-2024-80753-C-22548-0621</v>
      </c>
      <c r="I2112" s="133"/>
      <c r="J2112" s="133"/>
      <c r="K2112" s="133"/>
      <c r="L2112" s="133"/>
      <c r="M2112" s="133">
        <f>IFERROR(__xludf.DUMMYFUNCTION("""COMPUTED_VALUE"""),47186.0)</f>
        <v>47186</v>
      </c>
      <c r="N2112" s="133"/>
      <c r="O2112" s="133"/>
      <c r="P2112" s="133"/>
      <c r="Q2112" s="133"/>
      <c r="R2112" s="133"/>
      <c r="S2112" s="133"/>
      <c r="T2112" s="133"/>
      <c r="U2112" s="133"/>
      <c r="V2112" s="133"/>
      <c r="W2112" s="133"/>
      <c r="X2112" s="133"/>
      <c r="Y2112" s="133"/>
      <c r="Z2112" s="133"/>
    </row>
    <row r="2113">
      <c r="A2113" s="133"/>
      <c r="B2113" s="133"/>
      <c r="C2113" s="133" t="str">
        <f>IFERROR(__xludf.DUMMYFUNCTION("""COMPUTED_VALUE"""),"2024-253364")</f>
        <v>2024-253364</v>
      </c>
      <c r="D2113" s="133" t="str">
        <f>IFERROR(__xludf.DUMMYFUNCTION("""COMPUTED_VALUE"""),"FEP-2024-80741")</f>
        <v>FEP-2024-80741</v>
      </c>
      <c r="E2113" s="133" t="str">
        <f>IFERROR(__xludf.DUMMYFUNCTION("""COMPUTED_VALUE"""),"مكتمل")</f>
        <v>مكتمل</v>
      </c>
      <c r="F2113" s="133" t="str">
        <f>IFERROR(__xludf.DUMMYFUNCTION("""COMPUTED_VALUE"""),"Silycumin 68G")</f>
        <v>Silycumin 68G</v>
      </c>
      <c r="G2113" s="133" t="str">
        <f>IFERROR(__xludf.DUMMYFUNCTION("""COMPUTED_VALUE"""),"سيليكومين 68غ")</f>
        <v>سيليكومين 68غ</v>
      </c>
      <c r="H2113" s="133" t="str">
        <f>IFERROR(__xludf.DUMMYFUNCTION("""COMPUTED_VALUE"""),"FOM-2024-7301-FEP-2024-80741-C-22548-0623")</f>
        <v>FOM-2024-7301-FEP-2024-80741-C-22548-0623</v>
      </c>
      <c r="I2113" s="133"/>
      <c r="J2113" s="133"/>
      <c r="K2113" s="133"/>
      <c r="L2113" s="133"/>
      <c r="M2113" s="133">
        <f>IFERROR(__xludf.DUMMYFUNCTION("""COMPUTED_VALUE"""),47186.0)</f>
        <v>47186</v>
      </c>
      <c r="N2113" s="133"/>
      <c r="O2113" s="133"/>
      <c r="P2113" s="133"/>
      <c r="Q2113" s="133"/>
      <c r="R2113" s="133"/>
      <c r="S2113" s="133"/>
      <c r="T2113" s="133"/>
      <c r="U2113" s="133"/>
      <c r="V2113" s="133"/>
      <c r="W2113" s="133"/>
      <c r="X2113" s="133"/>
      <c r="Y2113" s="133"/>
      <c r="Z2113" s="133"/>
    </row>
    <row r="2114">
      <c r="A2114" s="133"/>
      <c r="B2114" s="133"/>
      <c r="C2114" s="133" t="str">
        <f>IFERROR(__xludf.DUMMYFUNCTION("""COMPUTED_VALUE"""),"2024-253401")</f>
        <v>2024-253401</v>
      </c>
      <c r="D2114" s="133" t="str">
        <f>IFERROR(__xludf.DUMMYFUNCTION("""COMPUTED_VALUE"""),"FEP-2024-80751")</f>
        <v>FEP-2024-80751</v>
      </c>
      <c r="E2114" s="133" t="str">
        <f>IFERROR(__xludf.DUMMYFUNCTION("""COMPUTED_VALUE"""),"مكتمل")</f>
        <v>مكتمل</v>
      </c>
      <c r="F2114" s="133" t="str">
        <f>IFERROR(__xludf.DUMMYFUNCTION("""COMPUTED_VALUE"""),"Dermacat Paste 100Ml")</f>
        <v>Dermacat Paste 100Ml</v>
      </c>
      <c r="G2114" s="133" t="str">
        <f>IFERROR(__xludf.DUMMYFUNCTION("""COMPUTED_VALUE"""),"ديرماكات بايست 100مل")</f>
        <v>ديرماكات بايست 100مل</v>
      </c>
      <c r="H2114" s="133" t="str">
        <f>IFERROR(__xludf.DUMMYFUNCTION("""COMPUTED_VALUE"""),"FOM-2024-7301-FEP-2024-80751-C-22548-0624")</f>
        <v>FOM-2024-7301-FEP-2024-80751-C-22548-0624</v>
      </c>
      <c r="I2114" s="133"/>
      <c r="J2114" s="133"/>
      <c r="K2114" s="133"/>
      <c r="L2114" s="133"/>
      <c r="M2114" s="133">
        <f>IFERROR(__xludf.DUMMYFUNCTION("""COMPUTED_VALUE"""),47186.0)</f>
        <v>47186</v>
      </c>
      <c r="N2114" s="133"/>
      <c r="O2114" s="133"/>
      <c r="P2114" s="133"/>
      <c r="Q2114" s="133"/>
      <c r="R2114" s="133"/>
      <c r="S2114" s="133"/>
      <c r="T2114" s="133"/>
      <c r="U2114" s="133"/>
      <c r="V2114" s="133"/>
      <c r="W2114" s="133"/>
      <c r="X2114" s="133"/>
      <c r="Y2114" s="133"/>
      <c r="Z2114" s="133"/>
    </row>
    <row r="2115">
      <c r="A2115" s="133"/>
      <c r="B2115" s="133"/>
      <c r="C2115" s="133" t="str">
        <f>IFERROR(__xludf.DUMMYFUNCTION("""COMPUTED_VALUE"""),"2024-253394")</f>
        <v>2024-253394</v>
      </c>
      <c r="D2115" s="133" t="str">
        <f>IFERROR(__xludf.DUMMYFUNCTION("""COMPUTED_VALUE"""),"FEP-2024-80749")</f>
        <v>FEP-2024-80749</v>
      </c>
      <c r="E2115" s="133" t="str">
        <f>IFERROR(__xludf.DUMMYFUNCTION("""COMPUTED_VALUE"""),"مكتمل")</f>
        <v>مكتمل</v>
      </c>
      <c r="F2115" s="133" t="str">
        <f>IFERROR(__xludf.DUMMYFUNCTION("""COMPUTED_VALUE"""),"Bio Kitten 200G")</f>
        <v>Bio Kitten 200G</v>
      </c>
      <c r="G2115" s="133" t="str">
        <f>IFERROR(__xludf.DUMMYFUNCTION("""COMPUTED_VALUE"""),"بيو كيتن 200غ")</f>
        <v>بيو كيتن 200غ</v>
      </c>
      <c r="H2115" s="133" t="str">
        <f>IFERROR(__xludf.DUMMYFUNCTION("""COMPUTED_VALUE"""),"FOM-2024-7301-FEP-2024-80749-C-22548-0625")</f>
        <v>FOM-2024-7301-FEP-2024-80749-C-22548-0625</v>
      </c>
      <c r="I2115" s="133"/>
      <c r="J2115" s="133"/>
      <c r="K2115" s="133"/>
      <c r="L2115" s="133"/>
      <c r="M2115" s="133">
        <f>IFERROR(__xludf.DUMMYFUNCTION("""COMPUTED_VALUE"""),47186.0)</f>
        <v>47186</v>
      </c>
      <c r="N2115" s="133"/>
      <c r="O2115" s="133"/>
      <c r="P2115" s="133"/>
      <c r="Q2115" s="133"/>
      <c r="R2115" s="133"/>
      <c r="S2115" s="133"/>
      <c r="T2115" s="133"/>
      <c r="U2115" s="133"/>
      <c r="V2115" s="133"/>
      <c r="W2115" s="133"/>
      <c r="X2115" s="133"/>
      <c r="Y2115" s="133"/>
      <c r="Z2115" s="133"/>
    </row>
    <row r="2116">
      <c r="A2116" s="133"/>
      <c r="B2116" s="133"/>
      <c r="C2116" s="133" t="str">
        <f>IFERROR(__xludf.DUMMYFUNCTION("""COMPUTED_VALUE"""),"2024-253375")</f>
        <v>2024-253375</v>
      </c>
      <c r="D2116" s="133" t="str">
        <f>IFERROR(__xludf.DUMMYFUNCTION("""COMPUTED_VALUE"""),"FEP-2024-80744")</f>
        <v>FEP-2024-80744</v>
      </c>
      <c r="E2116" s="133" t="str">
        <f>IFERROR(__xludf.DUMMYFUNCTION("""COMPUTED_VALUE"""),"مكتمل")</f>
        <v>مكتمل</v>
      </c>
      <c r="F2116" s="133" t="str">
        <f>IFERROR(__xludf.DUMMYFUNCTION("""COMPUTED_VALUE"""),"Calming Cat Paste 100Ml")</f>
        <v>Calming Cat Paste 100Ml</v>
      </c>
      <c r="G2116" s="133" t="str">
        <f>IFERROR(__xludf.DUMMYFUNCTION("""COMPUTED_VALUE"""),"كالمينج كات بايست 100مل")</f>
        <v>كالمينج كات بايست 100مل</v>
      </c>
      <c r="H2116" s="133" t="str">
        <f>IFERROR(__xludf.DUMMYFUNCTION("""COMPUTED_VALUE"""),"FOM-2024-7301-FEP-2024-80744-C-22548-0627")</f>
        <v>FOM-2024-7301-FEP-2024-80744-C-22548-0627</v>
      </c>
      <c r="I2116" s="133"/>
      <c r="J2116" s="133"/>
      <c r="K2116" s="133"/>
      <c r="L2116" s="133"/>
      <c r="M2116" s="133">
        <f>IFERROR(__xludf.DUMMYFUNCTION("""COMPUTED_VALUE"""),47186.0)</f>
        <v>47186</v>
      </c>
      <c r="N2116" s="133"/>
      <c r="O2116" s="133"/>
      <c r="P2116" s="133"/>
      <c r="Q2116" s="133"/>
      <c r="R2116" s="133"/>
      <c r="S2116" s="133"/>
      <c r="T2116" s="133"/>
      <c r="U2116" s="133"/>
      <c r="V2116" s="133"/>
      <c r="W2116" s="133"/>
      <c r="X2116" s="133"/>
      <c r="Y2116" s="133"/>
      <c r="Z2116" s="133"/>
    </row>
    <row r="2117">
      <c r="A2117" s="133"/>
      <c r="B2117" s="133"/>
      <c r="C2117" s="133" t="str">
        <f>IFERROR(__xludf.DUMMYFUNCTION("""COMPUTED_VALUE"""),"2024-253379")</f>
        <v>2024-253379</v>
      </c>
      <c r="D2117" s="133" t="str">
        <f>IFERROR(__xludf.DUMMYFUNCTION("""COMPUTED_VALUE"""),"FEP-2024-80844")</f>
        <v>FEP-2024-80844</v>
      </c>
      <c r="E2117" s="133" t="str">
        <f>IFERROR(__xludf.DUMMYFUNCTION("""COMPUTED_VALUE"""),"مكتمل")</f>
        <v>مكتمل</v>
      </c>
      <c r="F2117" s="133" t="str">
        <f>IFERROR(__xludf.DUMMYFUNCTION("""COMPUTED_VALUE"""),"Catimalt Plus Soft Paste 25g")</f>
        <v>Catimalt Plus Soft Paste 25g</v>
      </c>
      <c r="G2117" s="133" t="str">
        <f>IFERROR(__xludf.DUMMYFUNCTION("""COMPUTED_VALUE"""),"كاتيمالت بلس سوفت بايست 25غ")</f>
        <v>كاتيمالت بلس سوفت بايست 25غ</v>
      </c>
      <c r="H2117" s="133" t="str">
        <f>IFERROR(__xludf.DUMMYFUNCTION("""COMPUTED_VALUE"""),"FOM-2024-7301-FEP-2024-80844-C-22548-0628")</f>
        <v>FOM-2024-7301-FEP-2024-80844-C-22548-0628</v>
      </c>
      <c r="I2117" s="133"/>
      <c r="J2117" s="133"/>
      <c r="K2117" s="133"/>
      <c r="L2117" s="133"/>
      <c r="M2117" s="133">
        <f>IFERROR(__xludf.DUMMYFUNCTION("""COMPUTED_VALUE"""),47186.0)</f>
        <v>47186</v>
      </c>
      <c r="N2117" s="133"/>
      <c r="O2117" s="133"/>
      <c r="P2117" s="133"/>
      <c r="Q2117" s="133"/>
      <c r="R2117" s="133"/>
      <c r="S2117" s="133"/>
      <c r="T2117" s="133"/>
      <c r="U2117" s="133"/>
      <c r="V2117" s="133"/>
      <c r="W2117" s="133"/>
      <c r="X2117" s="133"/>
      <c r="Y2117" s="133"/>
      <c r="Z2117" s="133"/>
    </row>
    <row r="2118">
      <c r="A2118" s="133"/>
      <c r="B2118" s="133"/>
      <c r="C2118" s="133" t="str">
        <f>IFERROR(__xludf.DUMMYFUNCTION("""COMPUTED_VALUE"""),"2024-253349")</f>
        <v>2024-253349</v>
      </c>
      <c r="D2118" s="133" t="str">
        <f>IFERROR(__xludf.DUMMYFUNCTION("""COMPUTED_VALUE"""),"FEP-2024-80735")</f>
        <v>FEP-2024-80735</v>
      </c>
      <c r="E2118" s="133" t="str">
        <f>IFERROR(__xludf.DUMMYFUNCTION("""COMPUTED_VALUE"""),"مكتمل")</f>
        <v>مكتمل</v>
      </c>
      <c r="F2118" s="133" t="str">
        <f>IFERROR(__xludf.DUMMYFUNCTION("""COMPUTED_VALUE"""),"Biodermdog 38g")</f>
        <v>Biodermdog 38g</v>
      </c>
      <c r="G2118" s="133" t="str">
        <f>IFERROR(__xludf.DUMMYFUNCTION("""COMPUTED_VALUE"""),"بيوديرمدوج 38غ")</f>
        <v>بيوديرمدوج 38غ</v>
      </c>
      <c r="H2118" s="133" t="str">
        <f>IFERROR(__xludf.DUMMYFUNCTION("""COMPUTED_VALUE"""),"FOM-2024-7301-FEP-2024-80735-C-22548-0629")</f>
        <v>FOM-2024-7301-FEP-2024-80735-C-22548-0629</v>
      </c>
      <c r="I2118" s="133"/>
      <c r="J2118" s="133"/>
      <c r="K2118" s="133"/>
      <c r="L2118" s="133"/>
      <c r="M2118" s="133">
        <f>IFERROR(__xludf.DUMMYFUNCTION("""COMPUTED_VALUE"""),47186.0)</f>
        <v>47186</v>
      </c>
      <c r="N2118" s="133"/>
      <c r="O2118" s="133"/>
      <c r="P2118" s="133"/>
      <c r="Q2118" s="133"/>
      <c r="R2118" s="133"/>
      <c r="S2118" s="133"/>
      <c r="T2118" s="133"/>
      <c r="U2118" s="133"/>
      <c r="V2118" s="133"/>
      <c r="W2118" s="133"/>
      <c r="X2118" s="133"/>
      <c r="Y2118" s="133"/>
      <c r="Z2118" s="133"/>
    </row>
    <row r="2119">
      <c r="A2119" s="133"/>
      <c r="B2119" s="133"/>
      <c r="C2119" s="133" t="str">
        <f>IFERROR(__xludf.DUMMYFUNCTION("""COMPUTED_VALUE"""),"2024-253368")</f>
        <v>2024-253368</v>
      </c>
      <c r="D2119" s="133" t="str">
        <f>IFERROR(__xludf.DUMMYFUNCTION("""COMPUTED_VALUE"""),"FEP-2024-80742")</f>
        <v>FEP-2024-80742</v>
      </c>
      <c r="E2119" s="133" t="str">
        <f>IFERROR(__xludf.DUMMYFUNCTION("""COMPUTED_VALUE"""),"مكتمل")</f>
        <v>مكتمل</v>
      </c>
      <c r="F2119" s="133" t="str">
        <f>IFERROR(__xludf.DUMMYFUNCTION("""COMPUTED_VALUE"""),"Vitalicat Junior Paste 100ml")</f>
        <v>Vitalicat Junior Paste 100ml</v>
      </c>
      <c r="G2119" s="133" t="str">
        <f>IFERROR(__xludf.DUMMYFUNCTION("""COMPUTED_VALUE"""),"فيتاليكات جونيور بايست 100مل")</f>
        <v>فيتاليكات جونيور بايست 100مل</v>
      </c>
      <c r="H2119" s="133" t="str">
        <f>IFERROR(__xludf.DUMMYFUNCTION("""COMPUTED_VALUE"""),"FOM-2024-0796-FEP-2024-80742-C-22548-0630")</f>
        <v>FOM-2024-0796-FEP-2024-80742-C-22548-0630</v>
      </c>
      <c r="I2119" s="133"/>
      <c r="J2119" s="133"/>
      <c r="K2119" s="133"/>
      <c r="L2119" s="133"/>
      <c r="M2119" s="133">
        <f>IFERROR(__xludf.DUMMYFUNCTION("""COMPUTED_VALUE"""),47186.0)</f>
        <v>47186</v>
      </c>
      <c r="N2119" s="133"/>
      <c r="O2119" s="133"/>
      <c r="P2119" s="133"/>
      <c r="Q2119" s="133"/>
      <c r="R2119" s="133"/>
      <c r="S2119" s="133"/>
      <c r="T2119" s="133"/>
      <c r="U2119" s="133"/>
      <c r="V2119" s="133"/>
      <c r="W2119" s="133"/>
      <c r="X2119" s="133"/>
      <c r="Y2119" s="133"/>
      <c r="Z2119" s="133"/>
    </row>
    <row r="2120">
      <c r="A2120" s="133"/>
      <c r="B2120" s="133"/>
      <c r="C2120" s="133" t="str">
        <f>IFERROR(__xludf.DUMMYFUNCTION("""COMPUTED_VALUE"""),"2024-253390")</f>
        <v>2024-253390</v>
      </c>
      <c r="D2120" s="133" t="str">
        <f>IFERROR(__xludf.DUMMYFUNCTION("""COMPUTED_VALUE"""),"FEP-2024-80747")</f>
        <v>FEP-2024-80747</v>
      </c>
      <c r="E2120" s="133" t="str">
        <f>IFERROR(__xludf.DUMMYFUNCTION("""COMPUTED_VALUE"""),"مكتمل")</f>
        <v>مكتمل</v>
      </c>
      <c r="F2120" s="133" t="str">
        <f>IFERROR(__xludf.DUMMYFUNCTION("""COMPUTED_VALUE"""),"Vitalidog Small Breed 30g")</f>
        <v>Vitalidog Small Breed 30g</v>
      </c>
      <c r="G2120" s="133" t="str">
        <f>IFERROR(__xludf.DUMMYFUNCTION("""COMPUTED_VALUE"""),"فيتاليدوج سلالة صغيرة 30غ")</f>
        <v>فيتاليدوج سلالة صغيرة 30غ</v>
      </c>
      <c r="H2120" s="133" t="str">
        <f>IFERROR(__xludf.DUMMYFUNCTION("""COMPUTED_VALUE"""),"FOM-2024-7301-FEP-2024-80747-C-22548-0626")</f>
        <v>FOM-2024-7301-FEP-2024-80747-C-22548-0626</v>
      </c>
      <c r="I2120" s="133"/>
      <c r="J2120" s="133"/>
      <c r="K2120" s="133"/>
      <c r="L2120" s="133"/>
      <c r="M2120" s="133">
        <f>IFERROR(__xludf.DUMMYFUNCTION("""COMPUTED_VALUE"""),47186.0)</f>
        <v>47186</v>
      </c>
      <c r="N2120" s="133"/>
      <c r="O2120" s="133"/>
      <c r="P2120" s="133"/>
      <c r="Q2120" s="133"/>
      <c r="R2120" s="133"/>
      <c r="S2120" s="133"/>
      <c r="T2120" s="133"/>
      <c r="U2120" s="133"/>
      <c r="V2120" s="133"/>
      <c r="W2120" s="133"/>
      <c r="X2120" s="133"/>
      <c r="Y2120" s="133"/>
      <c r="Z2120" s="133"/>
    </row>
    <row r="2121">
      <c r="A2121" s="133"/>
      <c r="B2121" s="133"/>
      <c r="C2121" s="133" t="str">
        <f>IFERROR(__xludf.DUMMYFUNCTION("""COMPUTED_VALUE"""),"2024-261401")</f>
        <v>2024-261401</v>
      </c>
      <c r="D2121" s="133"/>
      <c r="E2121" s="133" t="str">
        <f>IFERROR(__xludf.DUMMYFUNCTION("""COMPUTED_VALUE"""),"مكتمل")</f>
        <v>مكتمل</v>
      </c>
      <c r="F2121" s="133" t="str">
        <f>IFERROR(__xludf.DUMMYFUNCTION("""COMPUTED_VALUE"""),"Natural Code Chicken with beef and vegetables 90g")</f>
        <v>Natural Code Chicken with beef and vegetables 90g</v>
      </c>
      <c r="G2121" s="133" t="str">
        <f>IFERROR(__xludf.DUMMYFUNCTION("""COMPUTED_VALUE"""),"ناتشرال كود دجاج ولحم البقر و الخضراوات 90 غ")</f>
        <v>ناتشرال كود دجاج ولحم البقر و الخضراوات 90 غ</v>
      </c>
      <c r="H2121" s="133"/>
      <c r="I2121" s="133"/>
      <c r="J2121" s="133"/>
      <c r="K2121" s="133"/>
      <c r="L2121" s="133"/>
      <c r="M2121" s="133"/>
      <c r="N2121" s="133"/>
      <c r="O2121" s="133"/>
      <c r="P2121" s="133"/>
      <c r="Q2121" s="133"/>
      <c r="R2121" s="133"/>
      <c r="S2121" s="133"/>
      <c r="T2121" s="133"/>
      <c r="U2121" s="133"/>
      <c r="V2121" s="133"/>
      <c r="W2121" s="133"/>
      <c r="X2121" s="133"/>
      <c r="Y2121" s="133"/>
      <c r="Z2121" s="133"/>
    </row>
    <row r="2122">
      <c r="A2122" s="133"/>
      <c r="B2122" s="133"/>
      <c r="C2122" s="133" t="str">
        <f>IFERROR(__xludf.DUMMYFUNCTION("""COMPUTED_VALUE"""),"2024-266683")</f>
        <v>2024-266683</v>
      </c>
      <c r="D2122" s="133"/>
      <c r="E2122" s="133" t="str">
        <f>IFERROR(__xludf.DUMMYFUNCTION("""COMPUTED_VALUE"""),"مكتمل")</f>
        <v>مكتمل</v>
      </c>
      <c r="F2122" s="133" t="str">
        <f>IFERROR(__xludf.DUMMYFUNCTION("""COMPUTED_VALUE"""),"Natural Code Chicken and vegetables 85g")</f>
        <v>Natural Code Chicken and vegetables 85g</v>
      </c>
      <c r="G2122" s="133" t="str">
        <f>IFERROR(__xludf.DUMMYFUNCTION("""COMPUTED_VALUE"""),"ناتشرال كود الدجاج والخضروات 85 غ")</f>
        <v>ناتشرال كود الدجاج والخضروات 85 غ</v>
      </c>
      <c r="H2122" s="133" t="str">
        <f>IFERROR(__xludf.DUMMYFUNCTION("""COMPUTED_VALUE"""),"FOM-2024-0466-FEP-2024-81100-C-22548-0754
")</f>
        <v>FOM-2024-0466-FEP-2024-81100-C-22548-0754
</v>
      </c>
      <c r="I2122" s="133"/>
      <c r="J2122" s="133"/>
      <c r="K2122" s="133"/>
      <c r="L2122" s="133"/>
      <c r="M2122" s="133"/>
      <c r="N2122" s="133"/>
      <c r="O2122" s="133"/>
      <c r="P2122" s="133"/>
      <c r="Q2122" s="133"/>
      <c r="R2122" s="133"/>
      <c r="S2122" s="133"/>
      <c r="T2122" s="133"/>
      <c r="U2122" s="133"/>
      <c r="V2122" s="133"/>
      <c r="W2122" s="133"/>
      <c r="X2122" s="133"/>
      <c r="Y2122" s="133"/>
      <c r="Z2122" s="133"/>
    </row>
    <row r="2123">
      <c r="A2123" s="133"/>
      <c r="B2123" s="133"/>
      <c r="C2123" s="133" t="str">
        <f>IFERROR(__xludf.DUMMYFUNCTION("""COMPUTED_VALUE"""),"2024-261546")</f>
        <v>2024-261546</v>
      </c>
      <c r="D2123" s="133"/>
      <c r="E2123" s="133" t="str">
        <f>IFERROR(__xludf.DUMMYFUNCTION("""COMPUTED_VALUE"""),"مكتمل")</f>
        <v>مكتمل</v>
      </c>
      <c r="F2123" s="133" t="str">
        <f>IFERROR(__xludf.DUMMYFUNCTION("""COMPUTED_VALUE"""),"Natural Code Chicken with beef 85g")</f>
        <v>Natural Code Chicken with beef 85g</v>
      </c>
      <c r="G2123" s="133" t="str">
        <f>IFERROR(__xludf.DUMMYFUNCTION("""COMPUTED_VALUE"""),"ناتشرال كود الدجاج واللحم البقري 85 غ")</f>
        <v>ناتشرال كود الدجاج واللحم البقري 85 غ</v>
      </c>
      <c r="H2123" s="133" t="str">
        <f>IFERROR(__xludf.DUMMYFUNCTION("""COMPUTED_VALUE"""),"FOM-2024-0466-FEP-2024-80997-C-22548-0748")</f>
        <v>FOM-2024-0466-FEP-2024-80997-C-22548-0748</v>
      </c>
      <c r="I2123" s="133"/>
      <c r="J2123" s="133"/>
      <c r="K2123" s="133" t="str">
        <f>IFERROR(__xludf.DUMMYFUNCTION("""COMPUTED_VALUE"""),"شركة يونيكورد العامة المحدودة")</f>
        <v>شركة يونيكورد العامة المحدودة</v>
      </c>
      <c r="L2123" s="133"/>
      <c r="M2123" s="133">
        <f>IFERROR(__xludf.DUMMYFUNCTION("""COMPUTED_VALUE"""),47431.0)</f>
        <v>47431</v>
      </c>
      <c r="N2123" s="133"/>
      <c r="O2123" s="133"/>
      <c r="P2123" s="133"/>
      <c r="Q2123" s="133"/>
      <c r="R2123" s="133"/>
      <c r="S2123" s="133"/>
      <c r="T2123" s="133"/>
      <c r="U2123" s="133"/>
      <c r="V2123" s="133"/>
      <c r="W2123" s="133"/>
      <c r="X2123" s="133"/>
      <c r="Y2123" s="133"/>
      <c r="Z2123" s="133"/>
    </row>
    <row r="2124">
      <c r="A2124" s="133"/>
      <c r="B2124" s="133"/>
      <c r="C2124" s="133" t="str">
        <f>IFERROR(__xludf.DUMMYFUNCTION("""COMPUTED_VALUE"""),"2024-261559")</f>
        <v>2024-261559</v>
      </c>
      <c r="D2124" s="133"/>
      <c r="E2124" s="133" t="str">
        <f>IFERROR(__xludf.DUMMYFUNCTION("""COMPUTED_VALUE"""),"مكتمل")</f>
        <v>مكتمل</v>
      </c>
      <c r="F2124" s="133" t="str">
        <f>IFERROR(__xludf.DUMMYFUNCTION("""COMPUTED_VALUE"""),"Natural code tuna slices 85g")</f>
        <v>Natural code tuna slices 85g</v>
      </c>
      <c r="G2124" s="133" t="str">
        <f>IFERROR(__xludf.DUMMYFUNCTION("""COMPUTED_VALUE"""),"ناتشرال كود شرائح التونة 85 غ")</f>
        <v>ناتشرال كود شرائح التونة 85 غ</v>
      </c>
      <c r="H2124" s="133" t="str">
        <f>IFERROR(__xludf.DUMMYFUNCTION("""COMPUTED_VALUE"""),"FOM-2024-0466-FEP-2024-80998-C-22548-0753")</f>
        <v>FOM-2024-0466-FEP-2024-80998-C-22548-0753</v>
      </c>
      <c r="I2124" s="133"/>
      <c r="J2124" s="133"/>
      <c r="K2124" s="133" t="str">
        <f>IFERROR(__xludf.DUMMYFUNCTION("""COMPUTED_VALUE"""),"شركة يونيكورد العامة المحدودة")</f>
        <v>شركة يونيكورد العامة المحدودة</v>
      </c>
      <c r="L2124" s="133"/>
      <c r="M2124" s="133">
        <f>IFERROR(__xludf.DUMMYFUNCTION("""COMPUTED_VALUE"""),47431.0)</f>
        <v>47431</v>
      </c>
      <c r="N2124" s="133"/>
      <c r="O2124" s="133"/>
      <c r="P2124" s="133"/>
      <c r="Q2124" s="133"/>
      <c r="R2124" s="133"/>
      <c r="S2124" s="133"/>
      <c r="T2124" s="133"/>
      <c r="U2124" s="133"/>
      <c r="V2124" s="133"/>
      <c r="W2124" s="133"/>
      <c r="X2124" s="133"/>
      <c r="Y2124" s="133"/>
      <c r="Z2124" s="133"/>
    </row>
    <row r="2125">
      <c r="A2125" s="133"/>
      <c r="B2125" s="133"/>
      <c r="C2125" s="133" t="str">
        <f>IFERROR(__xludf.DUMMYFUNCTION("""COMPUTED_VALUE"""),"2024-261573")</f>
        <v>2024-261573</v>
      </c>
      <c r="D2125" s="133"/>
      <c r="E2125" s="133" t="str">
        <f>IFERROR(__xludf.DUMMYFUNCTION("""COMPUTED_VALUE"""),"مكتمل")</f>
        <v>مكتمل</v>
      </c>
      <c r="F2125" s="133" t="str">
        <f>IFERROR(__xludf.DUMMYFUNCTION("""COMPUTED_VALUE"""),"Natural Code Chicken with Tuna 85g")</f>
        <v>Natural Code Chicken with Tuna 85g</v>
      </c>
      <c r="G2125" s="133" t="str">
        <f>IFERROR(__xludf.DUMMYFUNCTION("""COMPUTED_VALUE"""),"ناتشرال كود الدجاج والتونا 85 غ")</f>
        <v>ناتشرال كود الدجاج والتونا 85 غ</v>
      </c>
      <c r="H2125" s="133" t="str">
        <f>IFERROR(__xludf.DUMMYFUNCTION("""COMPUTED_VALUE"""),"FOM-2024-0466-FEP-2024-80999-C-22548-0749")</f>
        <v>FOM-2024-0466-FEP-2024-80999-C-22548-0749</v>
      </c>
      <c r="I2125" s="133"/>
      <c r="J2125" s="133"/>
      <c r="K2125" s="133" t="str">
        <f>IFERROR(__xludf.DUMMYFUNCTION("""COMPUTED_VALUE"""),"شركة يونيكورد العامة المحدودة")</f>
        <v>شركة يونيكورد العامة المحدودة</v>
      </c>
      <c r="L2125" s="133"/>
      <c r="M2125" s="133">
        <f>IFERROR(__xludf.DUMMYFUNCTION("""COMPUTED_VALUE"""),47431.0)</f>
        <v>47431</v>
      </c>
      <c r="N2125" s="133"/>
      <c r="O2125" s="133"/>
      <c r="P2125" s="133"/>
      <c r="Q2125" s="133"/>
      <c r="R2125" s="133"/>
      <c r="S2125" s="133"/>
      <c r="T2125" s="133"/>
      <c r="U2125" s="133"/>
      <c r="V2125" s="133"/>
      <c r="W2125" s="133"/>
      <c r="X2125" s="133"/>
      <c r="Y2125" s="133"/>
      <c r="Z2125" s="133"/>
    </row>
    <row r="2126">
      <c r="A2126" s="133"/>
      <c r="B2126" s="133"/>
      <c r="C2126" s="133" t="str">
        <f>IFERROR(__xludf.DUMMYFUNCTION("""COMPUTED_VALUE"""),"2024-264574")</f>
        <v>2024-264574</v>
      </c>
      <c r="D2126" s="133"/>
      <c r="E2126" s="133" t="str">
        <f>IFERROR(__xludf.DUMMYFUNCTION("""COMPUTED_VALUE"""),"مكتمل")</f>
        <v>مكتمل</v>
      </c>
      <c r="F2126" s="133" t="str">
        <f>IFERROR(__xludf.DUMMYFUNCTION("""COMPUTED_VALUE"""),"Natural Code Chicken with Shrimps 85g")</f>
        <v>Natural Code Chicken with Shrimps 85g</v>
      </c>
      <c r="G2126" s="133" t="str">
        <f>IFERROR(__xludf.DUMMYFUNCTION("""COMPUTED_VALUE"""),"ناتشرال كود الدجاج والجمبري 85 غ")</f>
        <v>ناتشرال كود الدجاج والجمبري 85 غ</v>
      </c>
      <c r="H2126" s="133" t="str">
        <f>IFERROR(__xludf.DUMMYFUNCTION("""COMPUTED_VALUE"""),"FOM-2024-0466-FEP-2024-81096-C-22548-0752")</f>
        <v>FOM-2024-0466-FEP-2024-81096-C-22548-0752</v>
      </c>
      <c r="I2126" s="133"/>
      <c r="J2126" s="133"/>
      <c r="K2126" s="133" t="str">
        <f>IFERROR(__xludf.DUMMYFUNCTION("""COMPUTED_VALUE"""),"شركة يونيكورد العامة المحدودة")</f>
        <v>شركة يونيكورد العامة المحدودة</v>
      </c>
      <c r="L2126" s="133"/>
      <c r="M2126" s="133">
        <f>IFERROR(__xludf.DUMMYFUNCTION("""COMPUTED_VALUE"""),47431.0)</f>
        <v>47431</v>
      </c>
      <c r="N2126" s="133"/>
      <c r="O2126" s="133"/>
      <c r="P2126" s="133"/>
      <c r="Q2126" s="133"/>
      <c r="R2126" s="133"/>
      <c r="S2126" s="133"/>
      <c r="T2126" s="133"/>
      <c r="U2126" s="133"/>
      <c r="V2126" s="133"/>
      <c r="W2126" s="133"/>
      <c r="X2126" s="133"/>
      <c r="Y2126" s="133"/>
      <c r="Z2126" s="133"/>
    </row>
    <row r="2127">
      <c r="A2127" s="133"/>
      <c r="B2127" s="133"/>
      <c r="C2127" s="133" t="str">
        <f>IFERROR(__xludf.DUMMYFUNCTION("""COMPUTED_VALUE"""),"2024-266645")</f>
        <v>2024-266645</v>
      </c>
      <c r="D2127" s="133"/>
      <c r="E2127" s="133" t="str">
        <f>IFERROR(__xludf.DUMMYFUNCTION("""COMPUTED_VALUE"""),"مكتمل")</f>
        <v>مكتمل</v>
      </c>
      <c r="F2127" s="133" t="str">
        <f>IFERROR(__xludf.DUMMYFUNCTION("""COMPUTED_VALUE"""),"Natural Code Chicken and Salmon 85g")</f>
        <v>Natural Code Chicken and Salmon 85g</v>
      </c>
      <c r="G2127" s="133" t="str">
        <f>IFERROR(__xludf.DUMMYFUNCTION("""COMPUTED_VALUE"""),"ناتشرال كود الدجاج والسالمون 85 غ")</f>
        <v>ناتشرال كود الدجاج والسالمون 85 غ</v>
      </c>
      <c r="H2127" s="133" t="str">
        <f>IFERROR(__xludf.DUMMYFUNCTION("""COMPUTED_VALUE"""),"FOM-2024-0466-FEP-2024-81098-C-22548-0750")</f>
        <v>FOM-2024-0466-FEP-2024-81098-C-22548-0750</v>
      </c>
      <c r="I2127" s="133"/>
      <c r="J2127" s="133"/>
      <c r="K2127" s="133" t="str">
        <f>IFERROR(__xludf.DUMMYFUNCTION("""COMPUTED_VALUE"""),"شركة يونيكورد العامة المحدودة")</f>
        <v>شركة يونيكورد العامة المحدودة</v>
      </c>
      <c r="L2127" s="133"/>
      <c r="M2127" s="133">
        <f>IFERROR(__xludf.DUMMYFUNCTION("""COMPUTED_VALUE"""),47431.0)</f>
        <v>47431</v>
      </c>
      <c r="N2127" s="133"/>
      <c r="O2127" s="133"/>
      <c r="P2127" s="133"/>
      <c r="Q2127" s="133"/>
      <c r="R2127" s="133"/>
      <c r="S2127" s="133"/>
      <c r="T2127" s="133"/>
      <c r="U2127" s="133"/>
      <c r="V2127" s="133"/>
      <c r="W2127" s="133"/>
      <c r="X2127" s="133"/>
      <c r="Y2127" s="133"/>
      <c r="Z2127" s="133"/>
    </row>
    <row r="2128">
      <c r="A2128" s="133"/>
      <c r="B2128" s="133"/>
      <c r="C2128" s="133" t="str">
        <f>IFERROR(__xludf.DUMMYFUNCTION("""COMPUTED_VALUE"""),"2024-266664")</f>
        <v>2024-266664</v>
      </c>
      <c r="D2128" s="133"/>
      <c r="E2128" s="133" t="str">
        <f>IFERROR(__xludf.DUMMYFUNCTION("""COMPUTED_VALUE"""),"مكتمل")</f>
        <v>مكتمل</v>
      </c>
      <c r="F2128" s="133" t="str">
        <f>IFERROR(__xludf.DUMMYFUNCTION("""COMPUTED_VALUE"""),"Natural Code chicken fillets 85g")</f>
        <v>Natural Code chicken fillets 85g</v>
      </c>
      <c r="G2128" s="133" t="str">
        <f>IFERROR(__xludf.DUMMYFUNCTION("""COMPUTED_VALUE"""),"ناتشرال كود فيليه الدجاج 85 غ")</f>
        <v>ناتشرال كود فيليه الدجاج 85 غ</v>
      </c>
      <c r="H2128" s="133" t="str">
        <f>IFERROR(__xludf.DUMMYFUNCTION("""COMPUTED_VALUE"""),"FOM-2024-0466-FEP-2024-81099-C-22548-0751")</f>
        <v>FOM-2024-0466-FEP-2024-81099-C-22548-0751</v>
      </c>
      <c r="I2128" s="133"/>
      <c r="J2128" s="133"/>
      <c r="K2128" s="133"/>
      <c r="L2128" s="133"/>
      <c r="M2128" s="133"/>
      <c r="N2128" s="133"/>
      <c r="O2128" s="133"/>
      <c r="P2128" s="133"/>
      <c r="Q2128" s="133"/>
      <c r="R2128" s="133"/>
      <c r="S2128" s="133"/>
      <c r="T2128" s="133"/>
      <c r="U2128" s="133"/>
      <c r="V2128" s="133"/>
      <c r="W2128" s="133"/>
      <c r="X2128" s="133"/>
      <c r="Y2128" s="133"/>
      <c r="Z2128" s="133"/>
    </row>
    <row r="2129">
      <c r="A2129" s="133"/>
      <c r="B2129" s="133" t="str">
        <f>IFERROR(__xludf.DUMMYFUNCTION("""COMPUTED_VALUE"""),"المنتج يحتوى على ادعاءات غير تغذوية")</f>
        <v>المنتج يحتوى على ادعاءات غير تغذوية</v>
      </c>
      <c r="C2129" s="133" t="str">
        <f>IFERROR(__xludf.DUMMYFUNCTION("""COMPUTED_VALUE"""),"2024-276961")</f>
        <v>2024-276961</v>
      </c>
      <c r="D2129" s="133"/>
      <c r="E2129" s="133" t="str">
        <f>IFERROR(__xludf.DUMMYFUNCTION("""COMPUTED_VALUE"""),"مرفوض ")</f>
        <v>مرفوض </v>
      </c>
      <c r="F2129" s="133" t="str">
        <f>IFERROR(__xludf.DUMMYFUNCTION("""COMPUTED_VALUE"""),"D-Kaltabs (Calcium Tablets for Dogs and Cats) 84 Tabs")</f>
        <v>D-Kaltabs (Calcium Tablets for Dogs and Cats) 84 Tabs</v>
      </c>
      <c r="G2129" s="133"/>
      <c r="H2129" s="133"/>
      <c r="I2129" s="133"/>
      <c r="J2129" s="133"/>
      <c r="K2129" s="133"/>
      <c r="L2129" s="142" t="str">
        <f>IFERROR(__xludf.DUMMYFUNCTION("""COMPUTED_VALUE"""),"المنتج يحتوى على ادعاءات غير تغذوية")</f>
        <v>المنتج يحتوى على ادعاءات غير تغذوية</v>
      </c>
      <c r="M2129" s="133"/>
      <c r="N2129" s="133"/>
      <c r="O2129" s="133"/>
      <c r="P2129" s="133"/>
      <c r="Q2129" s="133"/>
      <c r="R2129" s="133"/>
      <c r="S2129" s="133"/>
      <c r="T2129" s="133"/>
      <c r="U2129" s="133"/>
      <c r="V2129" s="133"/>
      <c r="W2129" s="133"/>
      <c r="X2129" s="133"/>
      <c r="Y2129" s="133"/>
      <c r="Z2129" s="133"/>
    </row>
    <row r="2130">
      <c r="A2130" s="133"/>
      <c r="B2130" s="133" t="str">
        <f>IFERROR(__xludf.DUMMYFUNCTION("""COMPUTED_VALUE"""),"المنتج يحتوى على ادعاءات غير تغذوية")</f>
        <v>المنتج يحتوى على ادعاءات غير تغذوية</v>
      </c>
      <c r="C2130" s="133" t="str">
        <f>IFERROR(__xludf.DUMMYFUNCTION("""COMPUTED_VALUE"""),"2024-276961")</f>
        <v>2024-276961</v>
      </c>
      <c r="D2130" s="133"/>
      <c r="E2130" s="133" t="str">
        <f>IFERROR(__xludf.DUMMYFUNCTION("""COMPUTED_VALUE"""),"مرفوض ")</f>
        <v>مرفوض </v>
      </c>
      <c r="F2130" s="133" t="str">
        <f>IFERROR(__xludf.DUMMYFUNCTION("""COMPUTED_VALUE"""),"D-Kaltabs Cat (Calcium Tablets for Cats) 60 Tabs")</f>
        <v>D-Kaltabs Cat (Calcium Tablets for Cats) 60 Tabs</v>
      </c>
      <c r="G2130" s="133"/>
      <c r="H2130" s="133"/>
      <c r="I2130" s="133"/>
      <c r="J2130" s="133"/>
      <c r="K2130" s="133"/>
      <c r="L2130" s="142" t="str">
        <f>IFERROR(__xludf.DUMMYFUNCTION("""COMPUTED_VALUE"""),"المنتج يحتوى على ادعاءات غير تغذوية")</f>
        <v>المنتج يحتوى على ادعاءات غير تغذوية</v>
      </c>
      <c r="M2130" s="133"/>
      <c r="N2130" s="133"/>
      <c r="O2130" s="133"/>
      <c r="P2130" s="133"/>
      <c r="Q2130" s="133"/>
      <c r="R2130" s="133"/>
      <c r="S2130" s="133"/>
      <c r="T2130" s="133"/>
      <c r="U2130" s="133"/>
      <c r="V2130" s="133"/>
      <c r="W2130" s="133"/>
      <c r="X2130" s="133"/>
      <c r="Y2130" s="133"/>
      <c r="Z2130" s="133"/>
    </row>
    <row r="2131">
      <c r="A2131" s="133"/>
      <c r="B2131" s="133" t="str">
        <f>IFERROR(__xludf.DUMMYFUNCTION("""COMPUTED_VALUE""")," المنتج يحتوى على ادعاءات غير تغذوية")</f>
        <v> المنتج يحتوى على ادعاءات غير تغذوية</v>
      </c>
      <c r="C2131" s="133" t="str">
        <f>IFERROR(__xludf.DUMMYFUNCTION("""COMPUTED_VALUE"""),"2024-277760")</f>
        <v>2024-277760</v>
      </c>
      <c r="D2131" s="133"/>
      <c r="E2131" s="133" t="str">
        <f>IFERROR(__xludf.DUMMYFUNCTION("""COMPUTED_VALUE"""),"عاد الي مقدم الطلب ")</f>
        <v>عاد الي مقدم الطلب </v>
      </c>
      <c r="F2131" s="133" t="str">
        <f>IFERROR(__xludf.DUMMYFUNCTION("""COMPUTED_VALUE"""),"Felilysine (L-Lysine Tablet for Cats) 90 Tabs")</f>
        <v>Felilysine (L-Lysine Tablet for Cats) 90 Tabs</v>
      </c>
      <c r="G2131" s="133" t="str">
        <f>IFERROR(__xludf.DUMMYFUNCTION("""COMPUTED_VALUE"""),"فيليليسين (اقراص ال- ليسين للقطط)")</f>
        <v>فيليليسين (اقراص ال- ليسين للقطط)</v>
      </c>
      <c r="H2131" s="133"/>
      <c r="I2131" s="133"/>
      <c r="J2131" s="133"/>
      <c r="K2131" s="133"/>
      <c r="L2131" s="142" t="str">
        <f>IFERROR(__xludf.DUMMYFUNCTION("""COMPUTED_VALUE""")," المنتج يحتوى على ادعاءات غير تغذوية")</f>
        <v> المنتج يحتوى على ادعاءات غير تغذوية</v>
      </c>
      <c r="M2131" s="133"/>
      <c r="N2131" s="133"/>
      <c r="O2131" s="133"/>
      <c r="P2131" s="133"/>
      <c r="Q2131" s="133"/>
      <c r="R2131" s="133"/>
      <c r="S2131" s="133"/>
      <c r="T2131" s="133"/>
      <c r="U2131" s="133"/>
      <c r="V2131" s="133"/>
      <c r="W2131" s="133"/>
      <c r="X2131" s="133"/>
      <c r="Y2131" s="133"/>
      <c r="Z2131" s="133"/>
    </row>
    <row r="2132">
      <c r="A2132" s="133"/>
      <c r="B2132" s="133"/>
      <c r="C2132" s="133" t="str">
        <f>IFERROR(__xludf.DUMMYFUNCTION("""COMPUTED_VALUE"""),"2024-278742")</f>
        <v>2024-278742</v>
      </c>
      <c r="D2132" s="133"/>
      <c r="E2132" s="133" t="str">
        <f>IFERROR(__xludf.DUMMYFUNCTION("""COMPUTED_VALUE"""),"مكتمل ")</f>
        <v>مكتمل </v>
      </c>
      <c r="F2132" s="133" t="str">
        <f>IFERROR(__xludf.DUMMYFUNCTION("""COMPUTED_VALUE"""),"Bio Urinamin 40 Tabs (Urinary Tract Health Support)")</f>
        <v>Bio Urinamin 40 Tabs (Urinary Tract Health Support)</v>
      </c>
      <c r="G2132" s="133" t="str">
        <f>IFERROR(__xludf.DUMMYFUNCTION("""COMPUTED_VALUE"""),"بيو-يورينامين")</f>
        <v>بيو-يورينامين</v>
      </c>
      <c r="H2132" s="133" t="str">
        <f>IFERROR(__xludf.DUMMYFUNCTION("""COMPUTED_VALUE"""),"FEM-2024-9783-FEP-2024-81322-C-22548-0972")</f>
        <v>FEM-2024-9783-FEP-2024-81322-C-22548-0972</v>
      </c>
      <c r="I2132" s="133"/>
      <c r="J2132" s="133"/>
      <c r="K2132" s="133" t="str">
        <f>IFERROR(__xludf.DUMMYFUNCTION("""COMPUTED_VALUE"""),"مار كيميا فيت المحدودة")</f>
        <v>مار كيميا فيت المحدودة</v>
      </c>
      <c r="L2132" s="133"/>
      <c r="M2132" s="133" t="str">
        <f>IFERROR(__xludf.DUMMYFUNCTION("""COMPUTED_VALUE"""),"25/9/2029")</f>
        <v>25/9/2029</v>
      </c>
      <c r="N2132" s="133"/>
      <c r="O2132" s="133"/>
      <c r="P2132" s="133"/>
      <c r="Q2132" s="133"/>
      <c r="R2132" s="133"/>
      <c r="S2132" s="133"/>
      <c r="T2132" s="133"/>
      <c r="U2132" s="133"/>
      <c r="V2132" s="133"/>
      <c r="W2132" s="133"/>
      <c r="X2132" s="133"/>
      <c r="Y2132" s="133"/>
      <c r="Z2132" s="133"/>
    </row>
    <row r="2133">
      <c r="A2133" s="133"/>
      <c r="B2133" s="133" t="str">
        <f>IFERROR(__xludf.DUMMYFUNCTION("""COMPUTED_VALUE"""),"تصحيح الاخطاء الاملائية في البطاقة واعادة الصياغة لتكون مفهمومة و واضحة ### كتابة درجة حرارة التخزين رقما على البطاقة ")</f>
        <v>تصحيح الاخطاء الاملائية في البطاقة واعادة الصياغة لتكون مفهمومة و واضحة ### كتابة درجة حرارة التخزين رقما على البطاقة </v>
      </c>
      <c r="C2133" s="133" t="str">
        <f>IFERROR(__xludf.DUMMYFUNCTION("""COMPUTED_VALUE"""),"2024-253396")</f>
        <v>2024-253396</v>
      </c>
      <c r="D2133" s="133"/>
      <c r="E2133" s="133" t="str">
        <f>IFERROR(__xludf.DUMMYFUNCTION("""COMPUTED_VALUE"""),"عاد الي مقدم الطلب ")</f>
        <v>عاد الي مقدم الطلب </v>
      </c>
      <c r="F2133" s="133" t="str">
        <f>IFERROR(__xludf.DUMMYFUNCTION("""COMPUTED_VALUE"""),"Bio Puppy (Puppy Milk Replacer) 200 g")</f>
        <v>Bio Puppy (Puppy Milk Replacer) 200 g</v>
      </c>
      <c r="G2133" s="133" t="str">
        <f>IFERROR(__xludf.DUMMYFUNCTION("""COMPUTED_VALUE"""),"بايو بوبي")</f>
        <v>بايو بوبي</v>
      </c>
      <c r="H2133" s="133"/>
      <c r="I2133" s="133"/>
      <c r="J2133" s="133"/>
      <c r="K2133" s="133"/>
      <c r="L2133" s="142" t="str">
        <f>IFERROR(__xludf.DUMMYFUNCTION("""COMPUTED_VALUE"""),"تصحيح الاخطاء الاملائية في البطاقة واعادة الصياغة لتكون مفهمومة و واضحة ### كتابة درجة حرارة التخزين رقما على البطاقة ")</f>
        <v>تصحيح الاخطاء الاملائية في البطاقة واعادة الصياغة لتكون مفهمومة و واضحة ### كتابة درجة حرارة التخزين رقما على البطاقة </v>
      </c>
      <c r="M2133" s="133"/>
      <c r="N2133" s="133"/>
      <c r="O2133" s="133"/>
      <c r="P2133" s="133"/>
      <c r="Q2133" s="133"/>
      <c r="R2133" s="133"/>
      <c r="S2133" s="133"/>
      <c r="T2133" s="133"/>
      <c r="U2133" s="133"/>
      <c r="V2133" s="133"/>
      <c r="W2133" s="133"/>
      <c r="X2133" s="133"/>
      <c r="Y2133" s="133"/>
      <c r="Z2133" s="133"/>
    </row>
    <row r="2134">
      <c r="A2134" s="133"/>
      <c r="B2134" s="133"/>
      <c r="C2134" s="133" t="str">
        <f>IFERROR(__xludf.DUMMYFUNCTION("""COMPUTED_VALUE"""),"2024-277818")</f>
        <v>2024-277818</v>
      </c>
      <c r="D2134" s="133"/>
      <c r="E2134" s="133" t="str">
        <f>IFERROR(__xludf.DUMMYFUNCTION("""COMPUTED_VALUE"""),"مكتمل ")</f>
        <v>مكتمل </v>
      </c>
      <c r="F2134" s="133" t="str">
        <f>IFERROR(__xludf.DUMMYFUNCTION("""COMPUTED_VALUE"""),"Felilysine Gel (L-Lysine Gel for Cats)")</f>
        <v>Felilysine Gel (L-Lysine Gel for Cats)</v>
      </c>
      <c r="G2134" s="133" t="str">
        <f>IFERROR(__xludf.DUMMYFUNCTION("""COMPUTED_VALUE"""),"فيليليسين (جيل ال- ليسين للقطط)")</f>
        <v>فيليليسين (جيل ال- ليسين للقطط)</v>
      </c>
      <c r="H2134" s="133" t="str">
        <f>IFERROR(__xludf.DUMMYFUNCTION("""COMPUTED_VALUE"""),"FEM-2024-9718-FEP-2024-81304-C-22548-0970")</f>
        <v>FEM-2024-9718-FEP-2024-81304-C-22548-0970</v>
      </c>
      <c r="I2134" s="133"/>
      <c r="J2134" s="133"/>
      <c r="K2134" s="133" t="str">
        <f>IFERROR(__xludf.DUMMYFUNCTION("""COMPUTED_VALUE"""),"مار كيميا فيت المحدودة")</f>
        <v>مار كيميا فيت المحدودة</v>
      </c>
      <c r="L2134" s="133"/>
      <c r="M2134" s="133" t="str">
        <f>IFERROR(__xludf.DUMMYFUNCTION("""COMPUTED_VALUE"""),"25/9/2029")</f>
        <v>25/9/2029</v>
      </c>
      <c r="N2134" s="133"/>
      <c r="O2134" s="133"/>
      <c r="P2134" s="133"/>
      <c r="Q2134" s="133"/>
      <c r="R2134" s="133"/>
      <c r="S2134" s="133"/>
      <c r="T2134" s="133"/>
      <c r="U2134" s="133"/>
      <c r="V2134" s="133"/>
      <c r="W2134" s="133"/>
      <c r="X2134" s="133"/>
      <c r="Y2134" s="133"/>
      <c r="Z2134" s="133"/>
    </row>
    <row r="2135">
      <c r="A2135" s="133"/>
      <c r="B2135" s="133" t="str">
        <f>IFERROR(__xludf.DUMMYFUNCTION("""COMPUTED_VALUE"""),"ارفاق بطاقة المنتج في بلد الانتاج وخطاب من الشركة من المنتجة يفيد ان المنتج ليس دواء ")</f>
        <v>ارفاق بطاقة المنتج في بلد الانتاج وخطاب من الشركة من المنتجة يفيد ان المنتج ليس دواء </v>
      </c>
      <c r="C2135" s="133" t="str">
        <f>IFERROR(__xludf.DUMMYFUNCTION("""COMPUTED_VALUE"""),"2024-278010")</f>
        <v>2024-278010</v>
      </c>
      <c r="D2135" s="133"/>
      <c r="E2135" s="133" t="str">
        <f>IFERROR(__xludf.DUMMYFUNCTION("""COMPUTED_VALUE"""),"تحت الاجراء ")</f>
        <v>تحت الاجراء </v>
      </c>
      <c r="F2135" s="133" t="str">
        <f>IFERROR(__xludf.DUMMYFUNCTION("""COMPUTED_VALUE"""),"CatiMalt Plus (Hairball Control for Cats) 100 ml")</f>
        <v>CatiMalt Plus (Hairball Control for Cats) 100 ml</v>
      </c>
      <c r="G2135" s="133" t="str">
        <f>IFERROR(__xludf.DUMMYFUNCTION("""COMPUTED_VALUE"""),"كاتي ميلت بلس")</f>
        <v>كاتي ميلت بلس</v>
      </c>
      <c r="H2135" s="133"/>
      <c r="I2135" s="133"/>
      <c r="J2135" s="133"/>
      <c r="K2135" s="133"/>
      <c r="L2135" s="142" t="str">
        <f>IFERROR(__xludf.DUMMYFUNCTION("""COMPUTED_VALUE"""),"ارفاق بطاقة المنتج في بلد الانتاج وخطاب من الشركة من المنتجة يفيد ان المنتج ليس دواء ")</f>
        <v>ارفاق بطاقة المنتج في بلد الانتاج وخطاب من الشركة من المنتجة يفيد ان المنتج ليس دواء </v>
      </c>
      <c r="M2135" s="133"/>
      <c r="N2135" s="133"/>
      <c r="O2135" s="133"/>
      <c r="P2135" s="133"/>
      <c r="Q2135" s="133"/>
      <c r="R2135" s="133"/>
      <c r="S2135" s="133"/>
      <c r="T2135" s="133"/>
      <c r="U2135" s="133"/>
      <c r="V2135" s="133"/>
      <c r="W2135" s="133"/>
      <c r="X2135" s="133"/>
      <c r="Y2135" s="133"/>
      <c r="Z2135" s="133"/>
    </row>
    <row r="2136">
      <c r="A2136" s="133"/>
      <c r="B2136" s="133"/>
      <c r="C2136" s="133" t="str">
        <f>IFERROR(__xludf.DUMMYFUNCTION("""COMPUTED_VALUE"""),"2024-278099")</f>
        <v>2024-278099</v>
      </c>
      <c r="D2136" s="133"/>
      <c r="E2136" s="133" t="str">
        <f>IFERROR(__xludf.DUMMYFUNCTION("""COMPUTED_VALUE"""),"مكتمل ")</f>
        <v>مكتمل </v>
      </c>
      <c r="F2136" s="133" t="str">
        <f>IFERROR(__xludf.DUMMYFUNCTION("""COMPUTED_VALUE"""),"Multimix (vitamin and mineral mix powder) 50 g")</f>
        <v>Multimix (vitamin and mineral mix powder) 50 g</v>
      </c>
      <c r="G2136" s="133" t="str">
        <f>IFERROR(__xludf.DUMMYFUNCTION("""COMPUTED_VALUE"""),"مالتي ميكس")</f>
        <v>مالتي ميكس</v>
      </c>
      <c r="H2136" s="133" t="str">
        <f>IFERROR(__xludf.DUMMYFUNCTION("""COMPUTED_VALUE"""),"FEM-2024-9748-FEP-2024-81313-C-22548-0971")</f>
        <v>FEM-2024-9748-FEP-2024-81313-C-22548-0971</v>
      </c>
      <c r="I2136" s="133"/>
      <c r="J2136" s="133"/>
      <c r="K2136" s="133" t="str">
        <f>IFERROR(__xludf.DUMMYFUNCTION("""COMPUTED_VALUE"""),"مار كيميا فيت المحدودة")</f>
        <v>مار كيميا فيت المحدودة</v>
      </c>
      <c r="L2136" s="133"/>
      <c r="M2136" s="133" t="str">
        <f>IFERROR(__xludf.DUMMYFUNCTION("""COMPUTED_VALUE"""),"25/9/2029")</f>
        <v>25/9/2029</v>
      </c>
      <c r="N2136" s="133"/>
      <c r="O2136" s="133"/>
      <c r="P2136" s="133"/>
      <c r="Q2136" s="133"/>
      <c r="R2136" s="133"/>
      <c r="S2136" s="133"/>
      <c r="T2136" s="133"/>
      <c r="U2136" s="133"/>
      <c r="V2136" s="133"/>
      <c r="W2136" s="133"/>
      <c r="X2136" s="133"/>
      <c r="Y2136" s="133"/>
      <c r="Z2136" s="133"/>
    </row>
    <row r="2137">
      <c r="A2137" s="133"/>
      <c r="B2137" s="133"/>
      <c r="C2137" s="133" t="str">
        <f>IFERROR(__xludf.DUMMYFUNCTION("""COMPUTED_VALUE"""),"2024-278760")</f>
        <v>2024-278760</v>
      </c>
      <c r="D2137" s="133"/>
      <c r="E2137" s="133" t="str">
        <f>IFERROR(__xludf.DUMMYFUNCTION("""COMPUTED_VALUE"""),"مكتمل ")</f>
        <v>مكتمل </v>
      </c>
      <c r="F2137" s="133" t="str">
        <f>IFERROR(__xludf.DUMMYFUNCTION("""COMPUTED_VALUE"""),"Breed Vit E")</f>
        <v>Breed Vit E</v>
      </c>
      <c r="G2137" s="133" t="str">
        <f>IFERROR(__xludf.DUMMYFUNCTION("""COMPUTED_VALUE"""),"برید فیت ھ")</f>
        <v>برید فیت ھ</v>
      </c>
      <c r="H2137" s="133" t="str">
        <f>IFERROR(__xludf.DUMMYFUNCTION("""COMPUTED_VALUE"""),"FOM-2024-7301-FEP-2024-81324-C-22548-0915")</f>
        <v>FOM-2024-7301-FEP-2024-81324-C-22548-0915</v>
      </c>
      <c r="I2137" s="133"/>
      <c r="J2137" s="133"/>
      <c r="K2137" s="133" t="str">
        <f>IFERROR(__xludf.DUMMYFUNCTION("""COMPUTED_VALUE"""),"مار كيميا فيت المحدودة")</f>
        <v>مار كيميا فيت المحدودة</v>
      </c>
      <c r="L2137" s="133"/>
      <c r="M2137" s="133" t="str">
        <f>IFERROR(__xludf.DUMMYFUNCTION("""COMPUTED_VALUE"""),"23/9/2029")</f>
        <v>23/9/2029</v>
      </c>
      <c r="N2137" s="133"/>
      <c r="O2137" s="133"/>
      <c r="P2137" s="133"/>
      <c r="Q2137" s="133"/>
      <c r="R2137" s="133"/>
      <c r="S2137" s="133"/>
      <c r="T2137" s="133"/>
      <c r="U2137" s="133"/>
      <c r="V2137" s="133"/>
      <c r="W2137" s="133"/>
      <c r="X2137" s="133"/>
      <c r="Y2137" s="133"/>
      <c r="Z2137" s="133"/>
    </row>
    <row r="2138">
      <c r="A2138" s="133"/>
      <c r="B2138" s="133"/>
      <c r="C2138" s="133" t="str">
        <f>IFERROR(__xludf.DUMMYFUNCTION("""COMPUTED_VALUE"""),"2024-278776")</f>
        <v>2024-278776</v>
      </c>
      <c r="D2138" s="133"/>
      <c r="E2138" s="133" t="str">
        <f>IFERROR(__xludf.DUMMYFUNCTION("""COMPUTED_VALUE"""),"مكتمل ")</f>
        <v>مكتمل </v>
      </c>
      <c r="F2138" s="133" t="str">
        <f>IFERROR(__xludf.DUMMYFUNCTION("""COMPUTED_VALUE"""),"Bird Vita Fix")</f>
        <v>Bird Vita Fix</v>
      </c>
      <c r="G2138" s="133"/>
      <c r="H2138" s="133" t="str">
        <f>IFERROR(__xludf.DUMMYFUNCTION("""COMPUTED_VALUE"""),"FEM-2024-9784-FEP-2024-81325-C-22548-0914")</f>
        <v>FEM-2024-9784-FEP-2024-81325-C-22548-0914</v>
      </c>
      <c r="I2138" s="133"/>
      <c r="J2138" s="133"/>
      <c r="K2138" s="133" t="str">
        <f>IFERROR(__xludf.DUMMYFUNCTION("""COMPUTED_VALUE"""),"مار كيميا فيت المحدودة")</f>
        <v>مار كيميا فيت المحدودة</v>
      </c>
      <c r="L2138" s="133"/>
      <c r="M2138" s="133" t="str">
        <f>IFERROR(__xludf.DUMMYFUNCTION("""COMPUTED_VALUE"""),"23/9/2029")</f>
        <v>23/9/2029</v>
      </c>
      <c r="N2138" s="133"/>
      <c r="O2138" s="133"/>
      <c r="P2138" s="133"/>
      <c r="Q2138" s="133"/>
      <c r="R2138" s="133"/>
      <c r="S2138" s="133"/>
      <c r="T2138" s="133"/>
      <c r="U2138" s="133"/>
      <c r="V2138" s="133"/>
      <c r="W2138" s="133"/>
      <c r="X2138" s="133"/>
      <c r="Y2138" s="133"/>
      <c r="Z2138" s="133"/>
    </row>
    <row r="2139">
      <c r="A2139" s="133"/>
      <c r="B2139" s="133"/>
      <c r="C2139" s="133" t="str">
        <f>IFERROR(__xludf.DUMMYFUNCTION("""COMPUTED_VALUE"""),"2024-278799")</f>
        <v>2024-278799</v>
      </c>
      <c r="D2139" s="133"/>
      <c r="E2139" s="133" t="str">
        <f>IFERROR(__xludf.DUMMYFUNCTION("""COMPUTED_VALUE"""),"مكتمل ")</f>
        <v>مكتمل </v>
      </c>
      <c r="F2139" s="133" t="str">
        <f>IFERROR(__xludf.DUMMYFUNCTION("""COMPUTED_VALUE"""),"Yeast Stock")</f>
        <v>Yeast Stock</v>
      </c>
      <c r="G2139" s="133"/>
      <c r="H2139" s="133" t="str">
        <f>IFERROR(__xludf.DUMMYFUNCTION("""COMPUTED_VALUE"""),"FEM-2024-9785-FEP-2024-81326-C-22548-0913")</f>
        <v>FEM-2024-9785-FEP-2024-81326-C-22548-0913</v>
      </c>
      <c r="I2139" s="133"/>
      <c r="J2139" s="133"/>
      <c r="K2139" s="133" t="str">
        <f>IFERROR(__xludf.DUMMYFUNCTION("""COMPUTED_VALUE"""),"مار كيميا فيت المحدودة")</f>
        <v>مار كيميا فيت المحدودة</v>
      </c>
      <c r="L2139" s="133"/>
      <c r="M2139" s="133" t="str">
        <f>IFERROR(__xludf.DUMMYFUNCTION("""COMPUTED_VALUE"""),"23/9/2029")</f>
        <v>23/9/2029</v>
      </c>
      <c r="N2139" s="133"/>
      <c r="O2139" s="133"/>
      <c r="P2139" s="133"/>
      <c r="Q2139" s="133"/>
      <c r="R2139" s="133"/>
      <c r="S2139" s="133"/>
      <c r="T2139" s="133"/>
      <c r="U2139" s="133"/>
      <c r="V2139" s="133"/>
      <c r="W2139" s="133"/>
      <c r="X2139" s="133"/>
      <c r="Y2139" s="133"/>
      <c r="Z2139" s="133"/>
    </row>
    <row r="2140">
      <c r="A2140" s="133"/>
      <c r="B2140" s="133"/>
      <c r="C2140" s="133" t="str">
        <f>IFERROR(__xludf.DUMMYFUNCTION("""COMPUTED_VALUE"""),"2024-287738")</f>
        <v>2024-287738</v>
      </c>
      <c r="D2140" s="133"/>
      <c r="E2140" s="133" t="str">
        <f>IFERROR(__xludf.DUMMYFUNCTION("""COMPUTED_VALUE"""),"مكتمل")</f>
        <v>مكتمل</v>
      </c>
      <c r="F2140" s="133" t="str">
        <f>IFERROR(__xludf.DUMMYFUNCTION("""COMPUTED_VALUE"""),"Flora Control")</f>
        <v>Flora Control</v>
      </c>
      <c r="G2140" s="133" t="str">
        <f>IFERROR(__xludf.DUMMYFUNCTION("""COMPUTED_VALUE"""),"فلورا كونترول")</f>
        <v>فلورا كونترول</v>
      </c>
      <c r="H2140" s="133" t="str">
        <f>IFERROR(__xludf.DUMMYFUNCTION("""COMPUTED_VALUE"""),"FEM-2024-10143-FEP-2024-81476-C-22548-1087
")</f>
        <v>FEM-2024-10143-FEP-2024-81476-C-22548-1087
</v>
      </c>
      <c r="I2140" s="133"/>
      <c r="J2140" s="133"/>
      <c r="K2140" s="133" t="str">
        <f>IFERROR(__xludf.DUMMYFUNCTION("""COMPUTED_VALUE"""),"مار كيميا فيت المحدودة")</f>
        <v>مار كيميا فيت المحدودة</v>
      </c>
      <c r="L2140" s="133"/>
      <c r="M2140" s="133">
        <f>IFERROR(__xludf.DUMMYFUNCTION("""COMPUTED_VALUE"""),47248.0)</f>
        <v>47248</v>
      </c>
      <c r="N2140" s="133"/>
      <c r="O2140" s="133"/>
      <c r="P2140" s="133"/>
      <c r="Q2140" s="133"/>
      <c r="R2140" s="133"/>
      <c r="S2140" s="133"/>
      <c r="T2140" s="133"/>
      <c r="U2140" s="133"/>
      <c r="V2140" s="133"/>
      <c r="W2140" s="133"/>
      <c r="X2140" s="133"/>
      <c r="Y2140" s="133"/>
      <c r="Z2140" s="133"/>
    </row>
    <row r="2141">
      <c r="A2141" s="133"/>
      <c r="B2141" s="133"/>
      <c r="C2141" s="133" t="str">
        <f>IFERROR(__xludf.DUMMYFUNCTION("""COMPUTED_VALUE"""),"2024-278812")</f>
        <v>2024-278812</v>
      </c>
      <c r="D2141" s="133"/>
      <c r="E2141" s="133" t="str">
        <f>IFERROR(__xludf.DUMMYFUNCTION("""COMPUTED_VALUE"""),"مكتمل ")</f>
        <v>مكتمل </v>
      </c>
      <c r="F2141" s="133" t="str">
        <f>IFERROR(__xludf.DUMMYFUNCTION("""COMPUTED_VALUE"""),"Calsi Bird")</f>
        <v>Calsi Bird</v>
      </c>
      <c r="G2141" s="133" t="str">
        <f>IFERROR(__xludf.DUMMYFUNCTION("""COMPUTED_VALUE"""),"كالسى بیرد")</f>
        <v>كالسى بیرد</v>
      </c>
      <c r="H2141" s="133" t="str">
        <f>IFERROR(__xludf.DUMMYFUNCTION("""COMPUTED_VALUE"""),"FEM-2024-9788-FEP-2024-81328-C-22548-0911")</f>
        <v>FEM-2024-9788-FEP-2024-81328-C-22548-0911</v>
      </c>
      <c r="I2141" s="133"/>
      <c r="J2141" s="133"/>
      <c r="K2141" s="133" t="str">
        <f>IFERROR(__xludf.DUMMYFUNCTION("""COMPUTED_VALUE"""),"مار كيميا فيت المحدودة")</f>
        <v>مار كيميا فيت المحدودة</v>
      </c>
      <c r="L2141" s="133"/>
      <c r="M2141" s="133" t="str">
        <f>IFERROR(__xludf.DUMMYFUNCTION("""COMPUTED_VALUE"""),"23/9/2029")</f>
        <v>23/9/2029</v>
      </c>
      <c r="N2141" s="133"/>
      <c r="O2141" s="133"/>
      <c r="P2141" s="133"/>
      <c r="Q2141" s="133"/>
      <c r="R2141" s="133"/>
      <c r="S2141" s="133"/>
      <c r="T2141" s="133"/>
      <c r="U2141" s="133"/>
      <c r="V2141" s="133"/>
      <c r="W2141" s="133"/>
      <c r="X2141" s="133"/>
      <c r="Y2141" s="133"/>
      <c r="Z2141" s="133"/>
    </row>
    <row r="2142">
      <c r="A2142" s="133"/>
      <c r="B2142" s="133"/>
      <c r="C2142" s="133"/>
      <c r="D2142" s="133"/>
      <c r="E2142" s="133"/>
      <c r="F2142" s="133" t="str">
        <f>IFERROR(__xludf.DUMMYFUNCTION("""COMPUTED_VALUE"""),"Bio Avivitaminasol")</f>
        <v>Bio Avivitaminasol</v>
      </c>
      <c r="G2142" s="133" t="str">
        <f>IFERROR(__xludf.DUMMYFUNCTION("""COMPUTED_VALUE"""),"بيو أفيفيتاميناسول")</f>
        <v>بيو أفيفيتاميناسول</v>
      </c>
      <c r="H2142" s="133"/>
      <c r="I2142" s="133"/>
      <c r="J2142" s="133"/>
      <c r="K2142" s="133"/>
      <c r="L2142" s="133"/>
      <c r="M2142" s="133"/>
      <c r="N2142" s="133"/>
      <c r="O2142" s="133"/>
      <c r="P2142" s="133"/>
      <c r="Q2142" s="133"/>
      <c r="R2142" s="133"/>
      <c r="S2142" s="133"/>
      <c r="T2142" s="133"/>
      <c r="U2142" s="133"/>
      <c r="V2142" s="133"/>
      <c r="W2142" s="133"/>
      <c r="X2142" s="133"/>
      <c r="Y2142" s="133"/>
      <c r="Z2142" s="133"/>
    </row>
    <row r="2143">
      <c r="A2143" s="133"/>
      <c r="B2143" s="133"/>
      <c r="C2143" s="133" t="str">
        <f>IFERROR(__xludf.DUMMYFUNCTION("""COMPUTED_VALUE"""),"2024-293243")</f>
        <v>2024-293243</v>
      </c>
      <c r="D2143" s="133"/>
      <c r="E2143" s="133" t="str">
        <f>IFERROR(__xludf.DUMMYFUNCTION("""COMPUTED_VALUE"""),"تحت الاجراء ")</f>
        <v>تحت الاجراء </v>
      </c>
      <c r="F2143" s="133" t="str">
        <f>IFERROR(__xludf.DUMMYFUNCTION("""COMPUTED_VALUE"""),"D-Kaltabs Cat")</f>
        <v>D-Kaltabs Cat</v>
      </c>
      <c r="G2143" s="133" t="str">
        <f>IFERROR(__xludf.DUMMYFUNCTION("""COMPUTED_VALUE"""),"د/كالتس للقطط ")</f>
        <v>د/كالتس للقطط </v>
      </c>
      <c r="H2143" s="133"/>
      <c r="I2143" s="133"/>
      <c r="J2143" s="133"/>
      <c r="K2143" s="133"/>
      <c r="L2143" s="133"/>
      <c r="M2143" s="133"/>
      <c r="N2143" s="133"/>
      <c r="O2143" s="133"/>
      <c r="P2143" s="133"/>
      <c r="Q2143" s="133"/>
      <c r="R2143" s="133"/>
      <c r="S2143" s="133"/>
      <c r="T2143" s="133"/>
      <c r="U2143" s="133"/>
      <c r="V2143" s="133"/>
      <c r="W2143" s="133"/>
      <c r="X2143" s="133"/>
      <c r="Y2143" s="133"/>
      <c r="Z2143" s="133"/>
    </row>
    <row r="2144">
      <c r="A2144" s="133"/>
      <c r="B2144" s="133"/>
      <c r="C2144" s="133" t="str">
        <f>IFERROR(__xludf.DUMMYFUNCTION("""COMPUTED_VALUE"""),"2024-293366")</f>
        <v>2024-293366</v>
      </c>
      <c r="D2144" s="133"/>
      <c r="E2144" s="133" t="str">
        <f>IFERROR(__xludf.DUMMYFUNCTION("""COMPUTED_VALUE"""),"مكتمل")</f>
        <v>مكتمل</v>
      </c>
      <c r="F2144" s="133" t="str">
        <f>IFERROR(__xludf.DUMMYFUNCTION("""COMPUTED_VALUE"""),"D-Kaltabs")</f>
        <v>D-Kaltabs</v>
      </c>
      <c r="G2144" s="133" t="str">
        <f>IFERROR(__xludf.DUMMYFUNCTION("""COMPUTED_VALUE"""),"د/كالتبس ")</f>
        <v>د/كالتبس </v>
      </c>
      <c r="H2144" s="133"/>
      <c r="I2144" s="133"/>
      <c r="J2144" s="133"/>
      <c r="K2144" s="133" t="str">
        <f>IFERROR(__xludf.DUMMYFUNCTION("""COMPUTED_VALUE"""),"مار كيميا فيت المحدودة")</f>
        <v>مار كيميا فيت المحدودة</v>
      </c>
      <c r="L2144" s="133"/>
      <c r="M2144" s="133" t="str">
        <f>IFERROR(__xludf.DUMMYFUNCTION("""COMPUTED_VALUE"""),"14/10/2029")</f>
        <v>14/10/2029</v>
      </c>
      <c r="N2144" s="133"/>
      <c r="O2144" s="133"/>
      <c r="P2144" s="133"/>
      <c r="Q2144" s="133"/>
      <c r="R2144" s="133"/>
      <c r="S2144" s="133"/>
      <c r="T2144" s="133"/>
      <c r="U2144" s="133"/>
      <c r="V2144" s="133"/>
      <c r="W2144" s="133"/>
      <c r="X2144" s="133"/>
      <c r="Y2144" s="133"/>
      <c r="Z2144" s="133"/>
    </row>
    <row r="2145">
      <c r="A2145" s="133"/>
      <c r="B2145" s="133"/>
      <c r="C2145" s="133" t="str">
        <f>IFERROR(__xludf.DUMMYFUNCTION("""COMPUTED_VALUE"""),"2024-293415")</f>
        <v>2024-293415</v>
      </c>
      <c r="D2145" s="133"/>
      <c r="E2145" s="133" t="str">
        <f>IFERROR(__xludf.DUMMYFUNCTION("""COMPUTED_VALUE"""),"مكتمل")</f>
        <v>مكتمل</v>
      </c>
      <c r="F2145" s="133" t="str">
        <f>IFERROR(__xludf.DUMMYFUNCTION("""COMPUTED_VALUE"""),"Felilysine")</f>
        <v>Felilysine</v>
      </c>
      <c r="G2145" s="133" t="str">
        <f>IFERROR(__xludf.DUMMYFUNCTION("""COMPUTED_VALUE"""),"فيليليسين")</f>
        <v>فيليليسين</v>
      </c>
      <c r="H2145" s="133" t="str">
        <f>IFERROR(__xludf.DUMMYFUNCTION("""COMPUTED_VALUE"""),"FEM-2024-10313-FEP-2024-81610-C-22548-1270")</f>
        <v>FEM-2024-10313-FEP-2024-81610-C-22548-1270</v>
      </c>
      <c r="I2145" s="133"/>
      <c r="J2145" s="133"/>
      <c r="K2145" s="133" t="str">
        <f>IFERROR(__xludf.DUMMYFUNCTION("""COMPUTED_VALUE"""),"مار كيميا فيت المحدودة")</f>
        <v>مار كيميا فيت المحدودة</v>
      </c>
      <c r="L2145" s="133"/>
      <c r="M2145" s="133" t="str">
        <f>IFERROR(__xludf.DUMMYFUNCTION("""COMPUTED_VALUE"""),"14/10/2029")</f>
        <v>14/10/2029</v>
      </c>
      <c r="N2145" s="133"/>
      <c r="O2145" s="133"/>
      <c r="P2145" s="133"/>
      <c r="Q2145" s="133"/>
      <c r="R2145" s="133"/>
      <c r="S2145" s="133"/>
      <c r="T2145" s="133"/>
      <c r="U2145" s="133"/>
      <c r="V2145" s="133"/>
      <c r="W2145" s="133"/>
      <c r="X2145" s="133"/>
      <c r="Y2145" s="133"/>
      <c r="Z2145" s="133"/>
    </row>
    <row r="2146">
      <c r="A2146" s="133"/>
      <c r="B2146" s="133" t="str">
        <f>IFERROR(__xludf.DUMMYFUNCTION("""COMPUTED_VALUE"""),"FSC not clear ")</f>
        <v>FSC not clear </v>
      </c>
      <c r="C2146" s="133"/>
      <c r="D2146" s="133"/>
      <c r="E2146" s="133"/>
      <c r="F2146" s="133" t="str">
        <f>IFERROR(__xludf.DUMMYFUNCTION("""COMPUTED_VALUE"""),"Butcher's Delicious Dinners meat in jelly")</f>
        <v>Butcher's Delicious Dinners meat in jelly</v>
      </c>
      <c r="G2146" s="133"/>
      <c r="H2146" s="133"/>
      <c r="I2146" s="133"/>
      <c r="J2146" s="133"/>
      <c r="K2146" s="133"/>
      <c r="L2146" s="142" t="str">
        <f>IFERROR(__xludf.DUMMYFUNCTION("""COMPUTED_VALUE"""),"FSC not clear ")</f>
        <v>FSC not clear </v>
      </c>
      <c r="M2146" s="133"/>
      <c r="N2146" s="133"/>
      <c r="O2146" s="133"/>
      <c r="P2146" s="133"/>
      <c r="Q2146" s="133"/>
      <c r="R2146" s="133"/>
      <c r="S2146" s="133"/>
      <c r="T2146" s="133"/>
      <c r="U2146" s="133"/>
      <c r="V2146" s="133"/>
      <c r="W2146" s="133"/>
      <c r="X2146" s="133"/>
      <c r="Y2146" s="133"/>
      <c r="Z2146" s="133"/>
    </row>
    <row r="2147">
      <c r="A2147" s="133"/>
      <c r="B2147" s="133" t="str">
        <f>IFERROR(__xludf.DUMMYFUNCTION("""COMPUTED_VALUE"""),"FSC not clear ")</f>
        <v>FSC not clear </v>
      </c>
      <c r="C2147" s="133"/>
      <c r="D2147" s="133"/>
      <c r="E2147" s="133"/>
      <c r="F2147" s="133" t="str">
        <f>IFERROR(__xludf.DUMMYFUNCTION("""COMPUTED_VALUE"""),"Butcher's Delicious Dinners fish in jelly")</f>
        <v>Butcher's Delicious Dinners fish in jelly</v>
      </c>
      <c r="G2147" s="133"/>
      <c r="H2147" s="133"/>
      <c r="I2147" s="133"/>
      <c r="J2147" s="133"/>
      <c r="K2147" s="133"/>
      <c r="L2147" s="142" t="str">
        <f>IFERROR(__xludf.DUMMYFUNCTION("""COMPUTED_VALUE"""),"FSC not clear ")</f>
        <v>FSC not clear </v>
      </c>
      <c r="M2147" s="133"/>
      <c r="N2147" s="133"/>
      <c r="O2147" s="133"/>
      <c r="P2147" s="133"/>
      <c r="Q2147" s="133"/>
      <c r="R2147" s="133"/>
      <c r="S2147" s="133"/>
      <c r="T2147" s="133"/>
      <c r="U2147" s="133"/>
      <c r="V2147" s="133"/>
      <c r="W2147" s="133"/>
      <c r="X2147" s="133"/>
      <c r="Y2147" s="133"/>
      <c r="Z2147" s="133"/>
    </row>
    <row r="2148">
      <c r="A2148" s="133"/>
      <c r="B2148" s="133"/>
      <c r="C2148" s="133" t="str">
        <f>IFERROR(__xludf.DUMMYFUNCTION("""COMPUTED_VALUE"""),"2024-306569")</f>
        <v>2024-306569</v>
      </c>
      <c r="D2148" s="133"/>
      <c r="E2148" s="133" t="str">
        <f>IFERROR(__xludf.DUMMYFUNCTION("""COMPUTED_VALUE"""),"مكتمل")</f>
        <v>مكتمل</v>
      </c>
      <c r="F2148" s="133" t="str">
        <f>IFERROR(__xludf.DUMMYFUNCTION("""COMPUTED_VALUE"""),"ACANA Adult Dog Food 2kg")</f>
        <v>ACANA Adult Dog Food 2kg</v>
      </c>
      <c r="G2148" s="133"/>
      <c r="H2148" s="133" t="str">
        <f>IFERROR(__xludf.DUMMYFUNCTION("""COMPUTED_VALUE"""),"FEM-2024-10775-FEP-2024-81928-C-22548-1327")</f>
        <v>FEM-2024-10775-FEP-2024-81928-C-22548-1327</v>
      </c>
      <c r="I2148" s="133"/>
      <c r="J2148" s="133"/>
      <c r="K2148" s="133" t="str">
        <f>IFERROR(__xludf.DUMMYFUNCTION("""COMPUTED_VALUE"""),"تشامبيون بيت فود هولدينق لنس")</f>
        <v>تشامبيون بيت فود هولدينق لنس</v>
      </c>
      <c r="L2148" s="133"/>
      <c r="M2148" s="133" t="str">
        <f>IFERROR(__xludf.DUMMYFUNCTION("""COMPUTED_VALUE"""),"19/10/2029")</f>
        <v>19/10/2029</v>
      </c>
      <c r="N2148" s="133"/>
      <c r="O2148" s="133"/>
      <c r="P2148" s="133"/>
      <c r="Q2148" s="133"/>
      <c r="R2148" s="133"/>
      <c r="S2148" s="133"/>
      <c r="T2148" s="133"/>
      <c r="U2148" s="133"/>
      <c r="V2148" s="133"/>
      <c r="W2148" s="133"/>
      <c r="X2148" s="133"/>
      <c r="Y2148" s="133"/>
      <c r="Z2148" s="133"/>
    </row>
    <row r="2149">
      <c r="A2149" s="133"/>
      <c r="B2149" s="133"/>
      <c r="C2149" s="133" t="str">
        <f>IFERROR(__xludf.DUMMYFUNCTION("""COMPUTED_VALUE"""),"2024-306624")</f>
        <v>2024-306624</v>
      </c>
      <c r="D2149" s="133"/>
      <c r="E2149" s="133" t="str">
        <f>IFERROR(__xludf.DUMMYFUNCTION("""COMPUTED_VALUE"""),"مكتمل")</f>
        <v>مكتمل</v>
      </c>
      <c r="F2149" s="133" t="str">
        <f>IFERROR(__xludf.DUMMYFUNCTION("""COMPUTED_VALUE"""),"ACANA Adult Large Breed Dog Food")</f>
        <v>ACANA Adult Large Breed Dog Food</v>
      </c>
      <c r="G2149" s="133" t="str">
        <f>IFERROR(__xludf.DUMMYFUNCTION("""COMPUTED_VALUE"""),"اكانا ادولت دوق ريسبي للكلاب")</f>
        <v>اكانا ادولت دوق ريسبي للكلاب</v>
      </c>
      <c r="H2149" s="133" t="str">
        <f>IFERROR(__xludf.DUMMYFUNCTION("""COMPUTED_VALUE"""),"FEM-2024-10776-FEP-2024-82188-C-22548-1354")</f>
        <v>FEM-2024-10776-FEP-2024-82188-C-22548-1354</v>
      </c>
      <c r="I2149" s="133"/>
      <c r="J2149" s="133"/>
      <c r="K2149" s="133" t="str">
        <f>IFERROR(__xludf.DUMMYFUNCTION("""COMPUTED_VALUE"""),"تشامبيون بيت فود هولدينق لنس")</f>
        <v>تشامبيون بيت فود هولدينق لنس</v>
      </c>
      <c r="L2149" s="133"/>
      <c r="M2149" s="133" t="str">
        <f>IFERROR(__xludf.DUMMYFUNCTION("""COMPUTED_VALUE"""),"19/10/2029")</f>
        <v>19/10/2029</v>
      </c>
      <c r="N2149" s="133"/>
      <c r="O2149" s="133"/>
      <c r="P2149" s="133"/>
      <c r="Q2149" s="133"/>
      <c r="R2149" s="133"/>
      <c r="S2149" s="133"/>
      <c r="T2149" s="133"/>
      <c r="U2149" s="133"/>
      <c r="V2149" s="133"/>
      <c r="W2149" s="133"/>
      <c r="X2149" s="133"/>
      <c r="Y2149" s="133"/>
      <c r="Z2149" s="133"/>
    </row>
    <row r="2150">
      <c r="A2150" s="133"/>
      <c r="B2150" s="133"/>
      <c r="C2150" s="133" t="str">
        <f>IFERROR(__xludf.DUMMYFUNCTION("""COMPUTED_VALUE"""),"2024-306641")</f>
        <v>2024-306641</v>
      </c>
      <c r="D2150" s="133"/>
      <c r="E2150" s="133" t="str">
        <f>IFERROR(__xludf.DUMMYFUNCTION("""COMPUTED_VALUE"""),"مكتمل")</f>
        <v>مكتمل</v>
      </c>
      <c r="F2150" s="133" t="str">
        <f>IFERROR(__xludf.DUMMYFUNCTION("""COMPUTED_VALUE"""),"ACANA Adult Small Breed Dog Food 2kg")</f>
        <v>ACANA Adult Small Breed Dog Food 2kg</v>
      </c>
      <c r="G2150" s="133" t="str">
        <f>IFERROR(__xludf.DUMMYFUNCTION("""COMPUTED_VALUE"""),"اكانا ادولت لارج برييد ريسبي للكلاب")</f>
        <v>اكانا ادولت لارج برييد ريسبي للكلاب</v>
      </c>
      <c r="H2150" s="133" t="str">
        <f>IFERROR(__xludf.DUMMYFUNCTION("""COMPUTED_VALUE"""),"FEM-2024-10779-FEP-2024-81932-C-22548-1328")</f>
        <v>FEM-2024-10779-FEP-2024-81932-C-22548-1328</v>
      </c>
      <c r="I2150" s="133"/>
      <c r="J2150" s="133"/>
      <c r="K2150" s="133" t="str">
        <f>IFERROR(__xludf.DUMMYFUNCTION("""COMPUTED_VALUE"""),"تشامبيون بيت فود هولدينق لنس")</f>
        <v>تشامبيون بيت فود هولدينق لنس</v>
      </c>
      <c r="L2150" s="133"/>
      <c r="M2150" s="133" t="str">
        <f>IFERROR(__xludf.DUMMYFUNCTION("""COMPUTED_VALUE"""),"19/10/2029")</f>
        <v>19/10/2029</v>
      </c>
      <c r="N2150" s="133"/>
      <c r="O2150" s="133"/>
      <c r="P2150" s="133"/>
      <c r="Q2150" s="133"/>
      <c r="R2150" s="133"/>
      <c r="S2150" s="133"/>
      <c r="T2150" s="133"/>
      <c r="U2150" s="133"/>
      <c r="V2150" s="133"/>
      <c r="W2150" s="133"/>
      <c r="X2150" s="133"/>
      <c r="Y2150" s="133"/>
      <c r="Z2150" s="133"/>
    </row>
    <row r="2151">
      <c r="A2151" s="133"/>
      <c r="B2151" s="133"/>
      <c r="C2151" s="133" t="str">
        <f>IFERROR(__xludf.DUMMYFUNCTION("""COMPUTED_VALUE"""),"2024-306654")</f>
        <v>2024-306654</v>
      </c>
      <c r="D2151" s="133"/>
      <c r="E2151" s="133" t="str">
        <f>IFERROR(__xludf.DUMMYFUNCTION("""COMPUTED_VALUE"""),"مكتمل")</f>
        <v>مكتمل</v>
      </c>
      <c r="F2151" s="133" t="str">
        <f>IFERROR(__xludf.DUMMYFUNCTION("""COMPUTED_VALUE"""),"ACANA Bountiful Catch Cat Food 1.8 kg")</f>
        <v>ACANA Bountiful Catch Cat Food 1.8 kg</v>
      </c>
      <c r="G2151" s="133" t="str">
        <f>IFERROR(__xludf.DUMMYFUNCTION("""COMPUTED_VALUE"""),"اكانا ادولت سمول برييد ريسبي للكلاب")</f>
        <v>اكانا ادولت سمول برييد ريسبي للكلاب</v>
      </c>
      <c r="H2151" s="133" t="str">
        <f>IFERROR(__xludf.DUMMYFUNCTION("""COMPUTED_VALUE"""),"FEM-2024-10780-FEP-2024-81933-C-22548-1321")</f>
        <v>FEM-2024-10780-FEP-2024-81933-C-22548-1321</v>
      </c>
      <c r="I2151" s="133"/>
      <c r="J2151" s="133"/>
      <c r="K2151" s="133" t="str">
        <f>IFERROR(__xludf.DUMMYFUNCTION("""COMPUTED_VALUE"""),"تشامبيون بيت فود هولدينق لنس")</f>
        <v>تشامبيون بيت فود هولدينق لنس</v>
      </c>
      <c r="L2151" s="133"/>
      <c r="M2151" s="133" t="str">
        <f>IFERROR(__xludf.DUMMYFUNCTION("""COMPUTED_VALUE"""),"19/10/2029")</f>
        <v>19/10/2029</v>
      </c>
      <c r="N2151" s="133"/>
      <c r="O2151" s="133"/>
      <c r="P2151" s="133"/>
      <c r="Q2151" s="133"/>
      <c r="R2151" s="133"/>
      <c r="S2151" s="133"/>
      <c r="T2151" s="133"/>
      <c r="U2151" s="133"/>
      <c r="V2151" s="133"/>
      <c r="W2151" s="133"/>
      <c r="X2151" s="133"/>
      <c r="Y2151" s="133"/>
      <c r="Z2151" s="133"/>
    </row>
    <row r="2152">
      <c r="A2152" s="133"/>
      <c r="B2152" s="133"/>
      <c r="C2152" s="133" t="str">
        <f>IFERROR(__xludf.DUMMYFUNCTION("""COMPUTED_VALUE"""),"2024-306660")</f>
        <v>2024-306660</v>
      </c>
      <c r="D2152" s="133"/>
      <c r="E2152" s="133" t="str">
        <f>IFERROR(__xludf.DUMMYFUNCTION("""COMPUTED_VALUE"""),"مكتمل")</f>
        <v>مكتمل</v>
      </c>
      <c r="F2152" s="133" t="str">
        <f>IFERROR(__xludf.DUMMYFUNCTION("""COMPUTED_VALUE"""),"ACANA Classics Prairie Poultry Recipe Dog Food")</f>
        <v>ACANA Classics Prairie Poultry Recipe Dog Food</v>
      </c>
      <c r="G2152" s="133" t="str">
        <f>IFERROR(__xludf.DUMMYFUNCTION("""COMPUTED_VALUE"""),"اكانا بونتيفول كاتش للقطط")</f>
        <v>اكانا بونتيفول كاتش للقطط</v>
      </c>
      <c r="H2152" s="133" t="str">
        <f>IFERROR(__xludf.DUMMYFUNCTION("""COMPUTED_VALUE"""),"FEM-2024-10781-FEP-2024-81934-C-22548-1326")</f>
        <v>FEM-2024-10781-FEP-2024-81934-C-22548-1326</v>
      </c>
      <c r="I2152" s="133"/>
      <c r="J2152" s="133"/>
      <c r="K2152" s="133" t="str">
        <f>IFERROR(__xludf.DUMMYFUNCTION("""COMPUTED_VALUE"""),"تشامبيون بيت فود هولدينق لنس")</f>
        <v>تشامبيون بيت فود هولدينق لنس</v>
      </c>
      <c r="L2152" s="133"/>
      <c r="M2152" s="133" t="str">
        <f>IFERROR(__xludf.DUMMYFUNCTION("""COMPUTED_VALUE"""),"19/10/2029")</f>
        <v>19/10/2029</v>
      </c>
      <c r="N2152" s="133"/>
      <c r="O2152" s="133"/>
      <c r="P2152" s="133"/>
      <c r="Q2152" s="133"/>
      <c r="R2152" s="133"/>
      <c r="S2152" s="133"/>
      <c r="T2152" s="133"/>
      <c r="U2152" s="133"/>
      <c r="V2152" s="133"/>
      <c r="W2152" s="133"/>
      <c r="X2152" s="133"/>
      <c r="Y2152" s="133"/>
      <c r="Z2152" s="133"/>
    </row>
    <row r="2153">
      <c r="A2153" s="133"/>
      <c r="B2153" s="133" t="str">
        <f>IFERROR(__xludf.DUMMYFUNCTION("""COMPUTED_VALUE"""),"no coa ,no Free sale")</f>
        <v>no coa ,no Free sale</v>
      </c>
      <c r="C2153" s="133"/>
      <c r="D2153" s="133"/>
      <c r="E2153" s="133" t="str">
        <f>IFERROR(__xludf.DUMMYFUNCTION("""COMPUTED_VALUE"""),"تحت الاجراء ")</f>
        <v>تحت الاجراء </v>
      </c>
      <c r="F2153" s="133" t="str">
        <f>IFERROR(__xludf.DUMMYFUNCTION("""COMPUTED_VALUE"""),"ACANA Classics Wild Coast Recipe Dog Food")</f>
        <v>ACANA Classics Wild Coast Recipe Dog Food</v>
      </c>
      <c r="G2153" s="133" t="str">
        <f>IFERROR(__xludf.DUMMYFUNCTION("""COMPUTED_VALUE"""),"اكانا برايوري بولتري ريسبي للكلاب")</f>
        <v>اكانا برايوري بولتري ريسبي للكلاب</v>
      </c>
      <c r="H2153" s="133"/>
      <c r="I2153" s="133"/>
      <c r="J2153" s="133"/>
      <c r="K2153" s="133"/>
      <c r="L2153" s="142" t="str">
        <f>IFERROR(__xludf.DUMMYFUNCTION("""COMPUTED_VALUE"""),"no coa ,no Free sale")</f>
        <v>no coa ,no Free sale</v>
      </c>
      <c r="M2153" s="133"/>
      <c r="N2153" s="133"/>
      <c r="O2153" s="133"/>
      <c r="P2153" s="133"/>
      <c r="Q2153" s="133"/>
      <c r="R2153" s="133"/>
      <c r="S2153" s="133"/>
      <c r="T2153" s="133"/>
      <c r="U2153" s="133"/>
      <c r="V2153" s="133"/>
      <c r="W2153" s="133"/>
      <c r="X2153" s="133"/>
      <c r="Y2153" s="133"/>
      <c r="Z2153" s="133"/>
    </row>
    <row r="2154">
      <c r="A2154" s="133"/>
      <c r="B2154" s="133"/>
      <c r="C2154" s="133" t="str">
        <f>IFERROR(__xludf.DUMMYFUNCTION("""COMPUTED_VALUE"""),"2024-306709")</f>
        <v>2024-306709</v>
      </c>
      <c r="D2154" s="133"/>
      <c r="E2154" s="133" t="str">
        <f>IFERROR(__xludf.DUMMYFUNCTION("""COMPUTED_VALUE"""),"مكتمل")</f>
        <v>مكتمل</v>
      </c>
      <c r="F2154" s="133" t="str">
        <f>IFERROR(__xludf.DUMMYFUNCTION("""COMPUTED_VALUE"""),"ACANA Free-Run Duck Dog Food")</f>
        <v>ACANA Free-Run Duck Dog Food</v>
      </c>
      <c r="G2154" s="133" t="str">
        <f>IFERROR(__xludf.DUMMYFUNCTION("""COMPUTED_VALUE"""),"اكانا سنقل فري – رن داك ريسبي للكلاب")</f>
        <v>اكانا سنقل فري – رن داك ريسبي للكلاب</v>
      </c>
      <c r="H2154" s="133" t="str">
        <f>IFERROR(__xludf.DUMMYFUNCTION("""COMPUTED_VALUE"""),"FEM-2024-10785-FEP-2024-81938-C-22548-1322
")</f>
        <v>FEM-2024-10785-FEP-2024-81938-C-22548-1322
</v>
      </c>
      <c r="I2154" s="133"/>
      <c r="J2154" s="133"/>
      <c r="K2154" s="133"/>
      <c r="L2154" s="133"/>
      <c r="M2154" s="133"/>
      <c r="N2154" s="133"/>
      <c r="O2154" s="133"/>
      <c r="P2154" s="133"/>
      <c r="Q2154" s="133"/>
      <c r="R2154" s="133"/>
      <c r="S2154" s="133"/>
      <c r="T2154" s="133"/>
      <c r="U2154" s="133"/>
      <c r="V2154" s="133"/>
      <c r="W2154" s="133"/>
      <c r="X2154" s="133"/>
      <c r="Y2154" s="133"/>
      <c r="Z2154" s="133"/>
    </row>
    <row r="2155">
      <c r="A2155" s="133"/>
      <c r="B2155" s="133"/>
      <c r="C2155" s="133" t="str">
        <f>IFERROR(__xludf.DUMMYFUNCTION("""COMPUTED_VALUE"""),"2024-306725")</f>
        <v>2024-306725</v>
      </c>
      <c r="D2155" s="133"/>
      <c r="E2155" s="133" t="str">
        <f>IFERROR(__xludf.DUMMYFUNCTION("""COMPUTED_VALUE"""),"مكتمل")</f>
        <v>مكتمل</v>
      </c>
      <c r="F2155" s="133" t="str">
        <f>IFERROR(__xludf.DUMMYFUNCTION("""COMPUTED_VALUE"""),"ACANA GRASS-FED LAMB DOG Food")</f>
        <v>ACANA GRASS-FED LAMB DOG Food</v>
      </c>
      <c r="G2155" s="133" t="str">
        <f>IFERROR(__xludf.DUMMYFUNCTION("""COMPUTED_VALUE"""),"اكانا سنقل فري – رن داك ريسبي للكلاب")</f>
        <v>اكانا سنقل فري – رن داك ريسبي للكلاب</v>
      </c>
      <c r="H2155" s="133" t="str">
        <f>IFERROR(__xludf.DUMMYFUNCTION("""COMPUTED_VALUE"""),"FEM-2024-10786-FEP-2024-81939-C-22548-1355")</f>
        <v>FEM-2024-10786-FEP-2024-81939-C-22548-1355</v>
      </c>
      <c r="I2155" s="133"/>
      <c r="J2155" s="133"/>
      <c r="K2155" s="133" t="str">
        <f>IFERROR(__xludf.DUMMYFUNCTION("""COMPUTED_VALUE"""),"تشامبيون بيت فود هولدينق لنس")</f>
        <v>تشامبيون بيت فود هولدينق لنس</v>
      </c>
      <c r="L2155" s="133"/>
      <c r="M2155" s="133" t="str">
        <f>IFERROR(__xludf.DUMMYFUNCTION("""COMPUTED_VALUE"""),"19/10/2029")</f>
        <v>19/10/2029</v>
      </c>
      <c r="N2155" s="133"/>
      <c r="O2155" s="133"/>
      <c r="P2155" s="133"/>
      <c r="Q2155" s="133"/>
      <c r="R2155" s="133"/>
      <c r="S2155" s="133"/>
      <c r="T2155" s="133"/>
      <c r="U2155" s="133"/>
      <c r="V2155" s="133"/>
      <c r="W2155" s="133"/>
      <c r="X2155" s="133"/>
      <c r="Y2155" s="133"/>
      <c r="Z2155" s="133"/>
    </row>
    <row r="2156">
      <c r="A2156" s="133"/>
      <c r="B2156" s="133"/>
      <c r="C2156" s="133" t="str">
        <f>IFERROR(__xludf.DUMMYFUNCTION("""COMPUTED_VALUE"""),"2024-306749")</f>
        <v>2024-306749</v>
      </c>
      <c r="D2156" s="133"/>
      <c r="E2156" s="133" t="str">
        <f>IFERROR(__xludf.DUMMYFUNCTION("""COMPUTED_VALUE"""),"مكتمل")</f>
        <v>مكتمل</v>
      </c>
      <c r="F2156" s="133" t="str">
        <f>IFERROR(__xludf.DUMMYFUNCTION("""COMPUTED_VALUE"""),"ACANA Highest Protein Grasslands Cat Food 1.8 kg")</f>
        <v>ACANA Highest Protein Grasslands Cat Food 1.8 kg</v>
      </c>
      <c r="G2156" s="133" t="str">
        <f>IFERROR(__xludf.DUMMYFUNCTION("""COMPUTED_VALUE"""),"اكانا سنقل قراس- فيد لامب ريسبي للكلاب")</f>
        <v>اكانا سنقل قراس- فيد لامب ريسبي للكلاب</v>
      </c>
      <c r="H2156" s="133" t="str">
        <f>IFERROR(__xludf.DUMMYFUNCTION("""COMPUTED_VALUE"""),"FEM-2024-10787-FEP-2024-81940-C-22548-1323")</f>
        <v>FEM-2024-10787-FEP-2024-81940-C-22548-1323</v>
      </c>
      <c r="I2156" s="133"/>
      <c r="J2156" s="133"/>
      <c r="K2156" s="133" t="str">
        <f>IFERROR(__xludf.DUMMYFUNCTION("""COMPUTED_VALUE"""),"تشامبيون بيت فود هولدينق لنس")</f>
        <v>تشامبيون بيت فود هولدينق لنس</v>
      </c>
      <c r="L2156" s="133"/>
      <c r="M2156" s="133" t="str">
        <f>IFERROR(__xludf.DUMMYFUNCTION("""COMPUTED_VALUE"""),"19/10/2029")</f>
        <v>19/10/2029</v>
      </c>
      <c r="N2156" s="133"/>
      <c r="O2156" s="133"/>
      <c r="P2156" s="133"/>
      <c r="Q2156" s="133"/>
      <c r="R2156" s="133"/>
      <c r="S2156" s="133"/>
      <c r="T2156" s="133"/>
      <c r="U2156" s="133"/>
      <c r="V2156" s="133"/>
      <c r="W2156" s="133"/>
      <c r="X2156" s="133"/>
      <c r="Y2156" s="133"/>
      <c r="Z2156" s="133"/>
    </row>
    <row r="2157">
      <c r="A2157" s="133"/>
      <c r="B2157" s="133"/>
      <c r="C2157" s="133" t="str">
        <f>IFERROR(__xludf.DUMMYFUNCTION("""COMPUTED_VALUE"""),"2024-306770")</f>
        <v>2024-306770</v>
      </c>
      <c r="D2157" s="133"/>
      <c r="E2157" s="133" t="str">
        <f>IFERROR(__xludf.DUMMYFUNCTION("""COMPUTED_VALUE"""),"مكتمل")</f>
        <v>مكتمل</v>
      </c>
      <c r="F2157" s="133" t="str">
        <f>IFERROR(__xludf.DUMMYFUNCTION("""COMPUTED_VALUE"""),"ACANA Highest Protein Grasslands Dog Food")</f>
        <v>ACANA Highest Protein Grasslands Dog Food</v>
      </c>
      <c r="G2157" s="133" t="str">
        <f>IFERROR(__xludf.DUMMYFUNCTION("""COMPUTED_VALUE"""),"اكانا هايست بروتين قراسلاندس للقطط")</f>
        <v>اكانا هايست بروتين قراسلاندس للقطط</v>
      </c>
      <c r="H2157" s="133" t="str">
        <f>IFERROR(__xludf.DUMMYFUNCTION("""COMPUTED_VALUE"""),"FEM-2024-10791-FEP-2024-81943-C-22548-1324
")</f>
        <v>FEM-2024-10791-FEP-2024-81943-C-22548-1324
</v>
      </c>
      <c r="I2157" s="133"/>
      <c r="J2157" s="133"/>
      <c r="K2157" s="133" t="str">
        <f>IFERROR(__xludf.DUMMYFUNCTION("""COMPUTED_VALUE"""),"تشامبيون بيت فود هولدينق لنس")</f>
        <v>تشامبيون بيت فود هولدينق لنس</v>
      </c>
      <c r="L2157" s="133"/>
      <c r="M2157" s="133" t="str">
        <f>IFERROR(__xludf.DUMMYFUNCTION("""COMPUTED_VALUE"""),"19/10/2029")</f>
        <v>19/10/2029</v>
      </c>
      <c r="N2157" s="133"/>
      <c r="O2157" s="133"/>
      <c r="P2157" s="133"/>
      <c r="Q2157" s="133"/>
      <c r="R2157" s="133"/>
      <c r="S2157" s="133"/>
      <c r="T2157" s="133"/>
      <c r="U2157" s="133"/>
      <c r="V2157" s="133"/>
      <c r="W2157" s="133"/>
      <c r="X2157" s="133"/>
      <c r="Y2157" s="133"/>
      <c r="Z2157" s="133"/>
    </row>
    <row r="2158">
      <c r="A2158" s="133"/>
      <c r="B2158" s="133"/>
      <c r="C2158" s="133" t="str">
        <f>IFERROR(__xludf.DUMMYFUNCTION("""COMPUTED_VALUE"""),"2024-306775")</f>
        <v>2024-306775</v>
      </c>
      <c r="D2158" s="133"/>
      <c r="E2158" s="133" t="str">
        <f>IFERROR(__xludf.DUMMYFUNCTION("""COMPUTED_VALUE"""),"مكتمل")</f>
        <v>مكتمل</v>
      </c>
      <c r="F2158" s="133" t="str">
        <f>IFERROR(__xludf.DUMMYFUNCTION("""COMPUTED_VALUE"""),"ACANA Highest Protein Indoor Cat Food 1.8 kg")</f>
        <v>ACANA Highest Protein Indoor Cat Food 1.8 kg</v>
      </c>
      <c r="G2158" s="133" t="str">
        <f>IFERROR(__xludf.DUMMYFUNCTION("""COMPUTED_VALUE"""),"اكانا هايست بروتين قراسلاندس ريسبي للكلاب")</f>
        <v>اكانا هايست بروتين قراسلاندس ريسبي للكلاب</v>
      </c>
      <c r="H2158" s="133" t="str">
        <f>IFERROR(__xludf.DUMMYFUNCTION("""COMPUTED_VALUE"""),"FEM-2024-10792-FEP-2024-81945-C-22548-1325")</f>
        <v>FEM-2024-10792-FEP-2024-81945-C-22548-1325</v>
      </c>
      <c r="I2158" s="133"/>
      <c r="J2158" s="133"/>
      <c r="K2158" s="133" t="str">
        <f>IFERROR(__xludf.DUMMYFUNCTION("""COMPUTED_VALUE"""),"تشامبيون بيت فود هولدينق لنس")</f>
        <v>تشامبيون بيت فود هولدينق لنس</v>
      </c>
      <c r="L2158" s="133"/>
      <c r="M2158" s="133" t="str">
        <f>IFERROR(__xludf.DUMMYFUNCTION("""COMPUTED_VALUE"""),"19/10/2029")</f>
        <v>19/10/2029</v>
      </c>
      <c r="N2158" s="133"/>
      <c r="O2158" s="133"/>
      <c r="P2158" s="133"/>
      <c r="Q2158" s="133"/>
      <c r="R2158" s="133"/>
      <c r="S2158" s="133"/>
      <c r="T2158" s="133"/>
      <c r="U2158" s="133"/>
      <c r="V2158" s="133"/>
      <c r="W2158" s="133"/>
      <c r="X2158" s="133"/>
      <c r="Y2158" s="133"/>
      <c r="Z2158" s="133"/>
    </row>
    <row r="2159">
      <c r="A2159" s="133"/>
      <c r="B2159" s="133"/>
      <c r="C2159" s="133" t="str">
        <f>IFERROR(__xludf.DUMMYFUNCTION("""COMPUTED_VALUE"""),"2024-306797")</f>
        <v>2024-306797</v>
      </c>
      <c r="D2159" s="133"/>
      <c r="E2159" s="133" t="str">
        <f>IFERROR(__xludf.DUMMYFUNCTION("""COMPUTED_VALUE"""),"مكتمل")</f>
        <v>مكتمل</v>
      </c>
      <c r="F2159" s="133" t="str">
        <f>IFERROR(__xludf.DUMMYFUNCTION("""COMPUTED_VALUE"""),"ACANA Highest Protein Kitten Cat Food")</f>
        <v>ACANA Highest Protein Kitten Cat Food</v>
      </c>
      <c r="G2159" s="133" t="str">
        <f>IFERROR(__xludf.DUMMYFUNCTION("""COMPUTED_VALUE"""),"اكانا هايست بروتين اندور كات للقطط")</f>
        <v>اكانا هايست بروتين اندور كات للقطط</v>
      </c>
      <c r="H2159" s="133" t="str">
        <f>IFERROR(__xludf.DUMMYFUNCTION("""COMPUTED_VALUE"""),"FEM-2024-10793-FEP-2024-81946-C-22548-1349")</f>
        <v>FEM-2024-10793-FEP-2024-81946-C-22548-1349</v>
      </c>
      <c r="I2159" s="133"/>
      <c r="J2159" s="133"/>
      <c r="K2159" s="133" t="str">
        <f>IFERROR(__xludf.DUMMYFUNCTION("""COMPUTED_VALUE"""),"تشامبيون بيت فود هولدينق لنس")</f>
        <v>تشامبيون بيت فود هولدينق لنس</v>
      </c>
      <c r="L2159" s="133"/>
      <c r="M2159" s="133" t="str">
        <f>IFERROR(__xludf.DUMMYFUNCTION("""COMPUTED_VALUE"""),"19/10/2029")</f>
        <v>19/10/2029</v>
      </c>
      <c r="N2159" s="133"/>
      <c r="O2159" s="133"/>
      <c r="P2159" s="133"/>
      <c r="Q2159" s="133"/>
      <c r="R2159" s="133"/>
      <c r="S2159" s="133"/>
      <c r="T2159" s="133"/>
      <c r="U2159" s="133"/>
      <c r="V2159" s="133"/>
      <c r="W2159" s="133"/>
      <c r="X2159" s="133"/>
      <c r="Y2159" s="133"/>
      <c r="Z2159" s="133"/>
    </row>
    <row r="2160">
      <c r="A2160" s="133"/>
      <c r="B2160" s="133"/>
      <c r="C2160" s="133" t="str">
        <f>IFERROR(__xludf.DUMMYFUNCTION("""COMPUTED_VALUE"""),"2024-306802")</f>
        <v>2024-306802</v>
      </c>
      <c r="D2160" s="133"/>
      <c r="E2160" s="133" t="str">
        <f>IFERROR(__xludf.DUMMYFUNCTION("""COMPUTED_VALUE"""),"مكتمل")</f>
        <v>مكتمل</v>
      </c>
      <c r="F2160" s="133" t="str">
        <f>IFERROR(__xludf.DUMMYFUNCTION("""COMPUTED_VALUE"""),"ACANA Highest Protein Pacifica Cat Food 1.8 kg")</f>
        <v>ACANA Highest Protein Pacifica Cat Food 1.8 kg</v>
      </c>
      <c r="G2160" s="133" t="str">
        <f>IFERROR(__xludf.DUMMYFUNCTION("""COMPUTED_VALUE"""),"اكانا هايست بروتين كيتن للقطط")</f>
        <v>اكانا هايست بروتين كيتن للقطط</v>
      </c>
      <c r="H2160" s="133" t="str">
        <f>IFERROR(__xludf.DUMMYFUNCTION("""COMPUTED_VALUE"""),"FEM-2024-10794-FEP-2024-81947-C-22548-1329")</f>
        <v>FEM-2024-10794-FEP-2024-81947-C-22548-1329</v>
      </c>
      <c r="I2160" s="133"/>
      <c r="J2160" s="133"/>
      <c r="K2160" s="133" t="str">
        <f>IFERROR(__xludf.DUMMYFUNCTION("""COMPUTED_VALUE"""),"تشامبيون بيت فود هولدينق لنس")</f>
        <v>تشامبيون بيت فود هولدينق لنس</v>
      </c>
      <c r="L2160" s="133"/>
      <c r="M2160" s="133" t="str">
        <f>IFERROR(__xludf.DUMMYFUNCTION("""COMPUTED_VALUE"""),"19/10/2029")</f>
        <v>19/10/2029</v>
      </c>
      <c r="N2160" s="133"/>
      <c r="O2160" s="133"/>
      <c r="P2160" s="133"/>
      <c r="Q2160" s="133"/>
      <c r="R2160" s="133"/>
      <c r="S2160" s="133"/>
      <c r="T2160" s="133"/>
      <c r="U2160" s="133"/>
      <c r="V2160" s="133"/>
      <c r="W2160" s="133"/>
      <c r="X2160" s="133"/>
      <c r="Y2160" s="133"/>
      <c r="Z2160" s="133"/>
    </row>
    <row r="2161">
      <c r="A2161" s="133"/>
      <c r="B2161" s="133"/>
      <c r="C2161" s="133" t="str">
        <f>IFERROR(__xludf.DUMMYFUNCTION("""COMPUTED_VALUE"""),"2024-306815")</f>
        <v>2024-306815</v>
      </c>
      <c r="D2161" s="133"/>
      <c r="E2161" s="133" t="str">
        <f>IFERROR(__xludf.DUMMYFUNCTION("""COMPUTED_VALUE"""),"مكتمل")</f>
        <v>مكتمل</v>
      </c>
      <c r="F2161" s="133" t="str">
        <f>IFERROR(__xludf.DUMMYFUNCTION("""COMPUTED_VALUE"""),"ACANA Highest Protein Pacifica Dog Food")</f>
        <v>ACANA Highest Protein Pacifica Dog Food</v>
      </c>
      <c r="G2161" s="133" t="str">
        <f>IFERROR(__xludf.DUMMYFUNCTION("""COMPUTED_VALUE"""),"اكانا هايست بروتين باسيفك ريسبي للقطط")</f>
        <v>اكانا هايست بروتين باسيفك ريسبي للقطط</v>
      </c>
      <c r="H2161" s="133" t="str">
        <f>IFERROR(__xludf.DUMMYFUNCTION("""COMPUTED_VALUE"""),"FEM-2024-10796-FEP-2024-81948-C-22548-1330")</f>
        <v>FEM-2024-10796-FEP-2024-81948-C-22548-1330</v>
      </c>
      <c r="I2161" s="133"/>
      <c r="J2161" s="133"/>
      <c r="K2161" s="133" t="str">
        <f>IFERROR(__xludf.DUMMYFUNCTION("""COMPUTED_VALUE"""),"تشامبيون بيت فود هولدينق لنس")</f>
        <v>تشامبيون بيت فود هولدينق لنس</v>
      </c>
      <c r="L2161" s="133"/>
      <c r="M2161" s="133" t="str">
        <f>IFERROR(__xludf.DUMMYFUNCTION("""COMPUTED_VALUE"""),"19/10/2029")</f>
        <v>19/10/2029</v>
      </c>
      <c r="N2161" s="133"/>
      <c r="O2161" s="133"/>
      <c r="P2161" s="133"/>
      <c r="Q2161" s="133"/>
      <c r="R2161" s="133"/>
      <c r="S2161" s="133"/>
      <c r="T2161" s="133"/>
      <c r="U2161" s="133"/>
      <c r="V2161" s="133"/>
      <c r="W2161" s="133"/>
      <c r="X2161" s="133"/>
      <c r="Y2161" s="133"/>
      <c r="Z2161" s="133"/>
    </row>
    <row r="2162">
      <c r="A2162" s="133"/>
      <c r="B2162" s="133"/>
      <c r="C2162" s="133" t="str">
        <f>IFERROR(__xludf.DUMMYFUNCTION("""COMPUTED_VALUE"""),"2024-306828")</f>
        <v>2024-306828</v>
      </c>
      <c r="D2162" s="133"/>
      <c r="E2162" s="133" t="str">
        <f>IFERROR(__xludf.DUMMYFUNCTION("""COMPUTED_VALUE"""),"مكتمل")</f>
        <v>مكتمل</v>
      </c>
      <c r="F2162" s="133" t="str">
        <f>IFERROR(__xludf.DUMMYFUNCTION("""COMPUTED_VALUE"""),"ACANA Highest Protein Wild Prairie Cat Food 1.8 kg")</f>
        <v>ACANA Highest Protein Wild Prairie Cat Food 1.8 kg</v>
      </c>
      <c r="G2162" s="133" t="str">
        <f>IFERROR(__xludf.DUMMYFUNCTION("""COMPUTED_VALUE"""),"اكانا هايست بروتين باسيفك للقطط")</f>
        <v>اكانا هايست بروتين باسيفك للقطط</v>
      </c>
      <c r="H2162" s="133" t="str">
        <f>IFERROR(__xludf.DUMMYFUNCTION("""COMPUTED_VALUE"""),"FEM-2024-10797-FEP-2024-81949-C-22548-1331")</f>
        <v>FEM-2024-10797-FEP-2024-81949-C-22548-1331</v>
      </c>
      <c r="I2162" s="133"/>
      <c r="J2162" s="133"/>
      <c r="K2162" s="133" t="str">
        <f>IFERROR(__xludf.DUMMYFUNCTION("""COMPUTED_VALUE"""),"تشامبيون بيت فود هولدينق لنس")</f>
        <v>تشامبيون بيت فود هولدينق لنس</v>
      </c>
      <c r="L2162" s="133"/>
      <c r="M2162" s="133"/>
      <c r="N2162" s="133"/>
      <c r="O2162" s="133"/>
      <c r="P2162" s="133"/>
      <c r="Q2162" s="133"/>
      <c r="R2162" s="133"/>
      <c r="S2162" s="133"/>
      <c r="T2162" s="133"/>
      <c r="U2162" s="133"/>
      <c r="V2162" s="133"/>
      <c r="W2162" s="133"/>
      <c r="X2162" s="133"/>
      <c r="Y2162" s="133"/>
      <c r="Z2162" s="133"/>
    </row>
    <row r="2163">
      <c r="A2163" s="133"/>
      <c r="B2163" s="133"/>
      <c r="C2163" s="133" t="str">
        <f>IFERROR(__xludf.DUMMYFUNCTION("""COMPUTED_VALUE"""),"2024-306840")</f>
        <v>2024-306840</v>
      </c>
      <c r="D2163" s="133"/>
      <c r="E2163" s="133" t="str">
        <f>IFERROR(__xludf.DUMMYFUNCTION("""COMPUTED_VALUE"""),"مكتمل")</f>
        <v>مكتمل</v>
      </c>
      <c r="F2163" s="133" t="str">
        <f>IFERROR(__xludf.DUMMYFUNCTION("""COMPUTED_VALUE"""),"ACANA Highest Protein Wild Prairie Dog Food")</f>
        <v>ACANA Highest Protein Wild Prairie Dog Food</v>
      </c>
      <c r="G2163" s="133" t="str">
        <f>IFERROR(__xludf.DUMMYFUNCTION("""COMPUTED_VALUE"""),"اكانا هايست بروتين وايلد بريري  للكلاب ")</f>
        <v>اكانا هايست بروتين وايلد بريري  للكلاب </v>
      </c>
      <c r="H2163" s="133" t="str">
        <f>IFERROR(__xludf.DUMMYFUNCTION("""COMPUTED_VALUE"""),"FEM-2024-10799-FEP-2024-81950-C-22548-1332")</f>
        <v>FEM-2024-10799-FEP-2024-81950-C-22548-1332</v>
      </c>
      <c r="I2163" s="133"/>
      <c r="J2163" s="133"/>
      <c r="K2163" s="133" t="str">
        <f>IFERROR(__xludf.DUMMYFUNCTION("""COMPUTED_VALUE"""),"تشامبيون بيت فود هولدينق لنس")</f>
        <v>تشامبيون بيت فود هولدينق لنس</v>
      </c>
      <c r="L2163" s="133"/>
      <c r="M2163" s="133"/>
      <c r="N2163" s="133"/>
      <c r="O2163" s="133"/>
      <c r="P2163" s="133"/>
      <c r="Q2163" s="133"/>
      <c r="R2163" s="133"/>
      <c r="S2163" s="133"/>
      <c r="T2163" s="133"/>
      <c r="U2163" s="133"/>
      <c r="V2163" s="133"/>
      <c r="W2163" s="133"/>
      <c r="X2163" s="133"/>
      <c r="Y2163" s="133"/>
      <c r="Z2163" s="133"/>
    </row>
    <row r="2164">
      <c r="A2164" s="133"/>
      <c r="B2164" s="133"/>
      <c r="C2164" s="133" t="str">
        <f>IFERROR(__xludf.DUMMYFUNCTION("""COMPUTED_VALUE"""),"2024-306884")</f>
        <v>2024-306884</v>
      </c>
      <c r="D2164" s="133"/>
      <c r="E2164" s="133" t="str">
        <f>IFERROR(__xludf.DUMMYFUNCTION("""COMPUTED_VALUE"""),"مكتمل")</f>
        <v>مكتمل</v>
      </c>
      <c r="F2164" s="133" t="str">
        <f>IFERROR(__xludf.DUMMYFUNCTION("""COMPUTED_VALUE"""),"ACANA Homestead Harvest Cat Food 1.8 kg")</f>
        <v>ACANA Homestead Harvest Cat Food 1.8 kg</v>
      </c>
      <c r="G2164" s="133" t="str">
        <f>IFERROR(__xludf.DUMMYFUNCTION("""COMPUTED_VALUE"""),"اكانا هايست بروتين وايلد بريري ريسبي للكلاب")</f>
        <v>اكانا هايست بروتين وايلد بريري ريسبي للكلاب</v>
      </c>
      <c r="H2164" s="133" t="str">
        <f>IFERROR(__xludf.DUMMYFUNCTION("""COMPUTED_VALUE"""),"FEM-2024-10803-FEP-2024-81954-C-22548-1333
")</f>
        <v>FEM-2024-10803-FEP-2024-81954-C-22548-1333
</v>
      </c>
      <c r="I2164" s="133"/>
      <c r="J2164" s="133"/>
      <c r="K2164" s="133" t="str">
        <f>IFERROR(__xludf.DUMMYFUNCTION("""COMPUTED_VALUE"""),"تشامبيون بيت فود هولدينق لنس")</f>
        <v>تشامبيون بيت فود هولدينق لنس</v>
      </c>
      <c r="L2164" s="133"/>
      <c r="M2164" s="133"/>
      <c r="N2164" s="133"/>
      <c r="O2164" s="133"/>
      <c r="P2164" s="133"/>
      <c r="Q2164" s="133"/>
      <c r="R2164" s="133"/>
      <c r="S2164" s="133"/>
      <c r="T2164" s="133"/>
      <c r="U2164" s="133"/>
      <c r="V2164" s="133"/>
      <c r="W2164" s="133"/>
      <c r="X2164" s="133"/>
      <c r="Y2164" s="133"/>
      <c r="Z2164" s="133"/>
    </row>
    <row r="2165">
      <c r="A2165" s="133"/>
      <c r="B2165" s="133"/>
      <c r="C2165" s="133" t="str">
        <f>IFERROR(__xludf.DUMMYFUNCTION("""COMPUTED_VALUE"""),"2024-306924")</f>
        <v>2024-306924</v>
      </c>
      <c r="D2165" s="133"/>
      <c r="E2165" s="133" t="str">
        <f>IFERROR(__xludf.DUMMYFUNCTION("""COMPUTED_VALUE"""),"مكتمل")</f>
        <v>مكتمل</v>
      </c>
      <c r="F2165" s="133" t="str">
        <f>IFERROR(__xludf.DUMMYFUNCTION("""COMPUTED_VALUE"""),"ACANA Kitten First Feast Cat Food 1.8")</f>
        <v>ACANA Kitten First Feast Cat Food 1.8</v>
      </c>
      <c r="G2165" s="133" t="str">
        <f>IFERROR(__xludf.DUMMYFUNCTION("""COMPUTED_VALUE"""),"اكانا هومستد هارفس للقطط")</f>
        <v>اكانا هومستد هارفس للقطط</v>
      </c>
      <c r="H2165" s="133" t="str">
        <f>IFERROR(__xludf.DUMMYFUNCTION("""COMPUTED_VALUE"""),"FEM-2024-10807-FEP-2024-81959-C-22548-1677
")</f>
        <v>FEM-2024-10807-FEP-2024-81959-C-22548-1677
</v>
      </c>
      <c r="I2165" s="133"/>
      <c r="J2165" s="133"/>
      <c r="K2165" s="133"/>
      <c r="L2165" s="133"/>
      <c r="M2165" s="133"/>
      <c r="N2165" s="133"/>
      <c r="O2165" s="133"/>
      <c r="P2165" s="133"/>
      <c r="Q2165" s="133"/>
      <c r="R2165" s="133"/>
      <c r="S2165" s="133"/>
      <c r="T2165" s="133"/>
      <c r="U2165" s="133"/>
      <c r="V2165" s="133"/>
      <c r="W2165" s="133"/>
      <c r="X2165" s="133"/>
      <c r="Y2165" s="133"/>
      <c r="Z2165" s="133"/>
    </row>
    <row r="2166">
      <c r="A2166" s="133"/>
      <c r="B2166" s="133"/>
      <c r="C2166" s="133" t="str">
        <f>IFERROR(__xludf.DUMMYFUNCTION("""COMPUTED_VALUE"""),"2024-306941")</f>
        <v>2024-306941</v>
      </c>
      <c r="D2166" s="133"/>
      <c r="E2166" s="133" t="str">
        <f>IFERROR(__xludf.DUMMYFUNCTION("""COMPUTED_VALUE"""),"مكتمل")</f>
        <v>مكتمل</v>
      </c>
      <c r="F2166" s="133" t="str">
        <f>IFERROR(__xludf.DUMMYFUNCTION("""COMPUTED_VALUE"""),"ACANA Light Fit Dog Food 2 kg")</f>
        <v>ACANA Light Fit Dog Food 2 kg</v>
      </c>
      <c r="G2166" s="133" t="str">
        <f>IFERROR(__xludf.DUMMYFUNCTION("""COMPUTED_VALUE"""),"اكانا فيرست فاست كيتن للقطط")</f>
        <v>اكانا فيرست فاست كيتن للقطط</v>
      </c>
      <c r="H2166" s="133" t="str">
        <f>IFERROR(__xludf.DUMMYFUNCTION("""COMPUTED_VALUE"""),"FEM-2024-10808-FEP-2024-81963-C-22548-1336")</f>
        <v>FEM-2024-10808-FEP-2024-81963-C-22548-1336</v>
      </c>
      <c r="I2166" s="133"/>
      <c r="J2166" s="133"/>
      <c r="K2166" s="133" t="str">
        <f>IFERROR(__xludf.DUMMYFUNCTION("""COMPUTED_VALUE"""),"تشامبيون بيت فود هولدينق لنس")</f>
        <v>تشامبيون بيت فود هولدينق لنس</v>
      </c>
      <c r="L2166" s="133"/>
      <c r="M2166" s="133"/>
      <c r="N2166" s="133"/>
      <c r="O2166" s="133"/>
      <c r="P2166" s="133"/>
      <c r="Q2166" s="133"/>
      <c r="R2166" s="133"/>
      <c r="S2166" s="133"/>
      <c r="T2166" s="133"/>
      <c r="U2166" s="133"/>
      <c r="V2166" s="133"/>
      <c r="W2166" s="133"/>
      <c r="X2166" s="133"/>
      <c r="Y2166" s="133"/>
      <c r="Z2166" s="133"/>
    </row>
    <row r="2167">
      <c r="A2167" s="133"/>
      <c r="B2167" s="133"/>
      <c r="C2167" s="133" t="str">
        <f>IFERROR(__xludf.DUMMYFUNCTION("""COMPUTED_VALUE"""),"2024-306980")</f>
        <v>2024-306980</v>
      </c>
      <c r="D2167" s="133"/>
      <c r="E2167" s="133" t="str">
        <f>IFERROR(__xludf.DUMMYFUNCTION("""COMPUTED_VALUE"""),"مكتمل")</f>
        <v>مكتمل</v>
      </c>
      <c r="F2167" s="133" t="str">
        <f>IFERROR(__xludf.DUMMYFUNCTION("""COMPUTED_VALUE"""),"ACANA Puppy Dog Food 11.4 kg")</f>
        <v>ACANA Puppy Dog Food 11.4 kg</v>
      </c>
      <c r="G2167" s="133" t="str">
        <f>IFERROR(__xludf.DUMMYFUNCTION("""COMPUTED_VALUE"""),"اكانا لايت فيت ريسبي للكلاب")</f>
        <v>اكانا لايت فيت ريسبي للكلاب</v>
      </c>
      <c r="H2167" s="133" t="str">
        <f>IFERROR(__xludf.DUMMYFUNCTION("""COMPUTED_VALUE"""),"FEM-2024-10809-FEP-2024-82184-C-22548-1348")</f>
        <v>FEM-2024-10809-FEP-2024-82184-C-22548-1348</v>
      </c>
      <c r="I2167" s="133"/>
      <c r="J2167" s="133"/>
      <c r="K2167" s="133" t="str">
        <f>IFERROR(__xludf.DUMMYFUNCTION("""COMPUTED_VALUE"""),"تشامبيون بيت فود هولدينق لنس")</f>
        <v>تشامبيون بيت فود هولدينق لنس</v>
      </c>
      <c r="L2167" s="133"/>
      <c r="M2167" s="133"/>
      <c r="N2167" s="133"/>
      <c r="O2167" s="133"/>
      <c r="P2167" s="133"/>
      <c r="Q2167" s="133"/>
      <c r="R2167" s="133"/>
      <c r="S2167" s="133"/>
      <c r="T2167" s="133"/>
      <c r="U2167" s="133"/>
      <c r="V2167" s="133"/>
      <c r="W2167" s="133"/>
      <c r="X2167" s="133"/>
      <c r="Y2167" s="133"/>
      <c r="Z2167" s="133"/>
    </row>
    <row r="2168">
      <c r="A2168" s="133"/>
      <c r="B2168" s="133"/>
      <c r="C2168" s="133" t="str">
        <f>IFERROR(__xludf.DUMMYFUNCTION("""COMPUTED_VALUE"""),"2024-306988")</f>
        <v>2024-306988</v>
      </c>
      <c r="D2168" s="133"/>
      <c r="E2168" s="133" t="str">
        <f>IFERROR(__xludf.DUMMYFUNCTION("""COMPUTED_VALUE"""),"مكتمل")</f>
        <v>مكتمل</v>
      </c>
      <c r="F2168" s="133" t="str">
        <f>IFERROR(__xludf.DUMMYFUNCTION("""COMPUTED_VALUE"""),"ACANA Puppy Large Breed Dog Food")</f>
        <v>ACANA Puppy Large Breed Dog Food</v>
      </c>
      <c r="G2168" s="133" t="str">
        <f>IFERROR(__xludf.DUMMYFUNCTION("""COMPUTED_VALUE"""),"اكانا بابي ريسبي للكلاب")</f>
        <v>اكانا بابي ريسبي للكلاب</v>
      </c>
      <c r="H2168" s="133" t="str">
        <f>IFERROR(__xludf.DUMMYFUNCTION("""COMPUTED_VALUE"""),"FEM-2024-10810-FEP-2024-82183-C-22548-1347")</f>
        <v>FEM-2024-10810-FEP-2024-82183-C-22548-1347</v>
      </c>
      <c r="I2168" s="133"/>
      <c r="J2168" s="133"/>
      <c r="K2168" s="133" t="str">
        <f>IFERROR(__xludf.DUMMYFUNCTION("""COMPUTED_VALUE"""),"تشامبيون بيت فود هولدينق لنس")</f>
        <v>تشامبيون بيت فود هولدينق لنس</v>
      </c>
      <c r="L2168" s="133"/>
      <c r="M2168" s="133"/>
      <c r="N2168" s="133"/>
      <c r="O2168" s="133"/>
      <c r="P2168" s="133"/>
      <c r="Q2168" s="133"/>
      <c r="R2168" s="133"/>
      <c r="S2168" s="133"/>
      <c r="T2168" s="133"/>
      <c r="U2168" s="133"/>
      <c r="V2168" s="133"/>
      <c r="W2168" s="133"/>
      <c r="X2168" s="133"/>
      <c r="Y2168" s="133"/>
      <c r="Z2168" s="133"/>
    </row>
    <row r="2169">
      <c r="A2169" s="133"/>
      <c r="B2169" s="133"/>
      <c r="C2169" s="133" t="str">
        <f>IFERROR(__xludf.DUMMYFUNCTION("""COMPUTED_VALUE"""),"2024-307000")</f>
        <v>2024-307000</v>
      </c>
      <c r="D2169" s="133"/>
      <c r="E2169" s="133" t="str">
        <f>IFERROR(__xludf.DUMMYFUNCTION("""COMPUTED_VALUE"""),"مكتمل")</f>
        <v>مكتمل</v>
      </c>
      <c r="F2169" s="133" t="str">
        <f>IFERROR(__xludf.DUMMYFUNCTION("""COMPUTED_VALUE"""),"ACANA Puppy Small Breed Food 6 kg")</f>
        <v>ACANA Puppy Small Breed Food 6 kg</v>
      </c>
      <c r="G2169" s="133" t="str">
        <f>IFERROR(__xludf.DUMMYFUNCTION("""COMPUTED_VALUE"""),"اكانا بابي لارج برييد ريسبي للكلاب")</f>
        <v>اكانا بابي لارج برييد ريسبي للكلاب</v>
      </c>
      <c r="H2169" s="133" t="str">
        <f>IFERROR(__xludf.DUMMYFUNCTION("""COMPUTED_VALUE"""),"FEM-2024-10811-FEP-2024-81966-C-22548-1335")</f>
        <v>FEM-2024-10811-FEP-2024-81966-C-22548-1335</v>
      </c>
      <c r="I2169" s="133"/>
      <c r="J2169" s="133"/>
      <c r="K2169" s="133" t="str">
        <f>IFERROR(__xludf.DUMMYFUNCTION("""COMPUTED_VALUE"""),"تشامبيون بيت فود هولدينق لنس")</f>
        <v>تشامبيون بيت فود هولدينق لنس</v>
      </c>
      <c r="L2169" s="133"/>
      <c r="M2169" s="133"/>
      <c r="N2169" s="133"/>
      <c r="O2169" s="133"/>
      <c r="P2169" s="133"/>
      <c r="Q2169" s="133"/>
      <c r="R2169" s="133"/>
      <c r="S2169" s="133"/>
      <c r="T2169" s="133"/>
      <c r="U2169" s="133"/>
      <c r="V2169" s="133"/>
      <c r="W2169" s="133"/>
      <c r="X2169" s="133"/>
      <c r="Y2169" s="133"/>
      <c r="Z2169" s="133"/>
    </row>
    <row r="2170">
      <c r="A2170" s="133"/>
      <c r="B2170" s="133"/>
      <c r="C2170" s="133" t="str">
        <f>IFERROR(__xludf.DUMMYFUNCTION("""COMPUTED_VALUE"""),"2024-308863")</f>
        <v>2024-308863</v>
      </c>
      <c r="D2170" s="133"/>
      <c r="E2170" s="133" t="str">
        <f>IFERROR(__xludf.DUMMYFUNCTION("""COMPUTED_VALUE"""),"مكتمل")</f>
        <v>مكتمل</v>
      </c>
      <c r="F2170" s="133" t="str">
        <f>IFERROR(__xludf.DUMMYFUNCTION("""COMPUTED_VALUE"""),"ACANA Senior Dog Food 2 kg")</f>
        <v>ACANA Senior Dog Food 2 kg</v>
      </c>
      <c r="G2170" s="133" t="str">
        <f>IFERROR(__xludf.DUMMYFUNCTION("""COMPUTED_VALUE"""),"اكانا سينيور ريسبي للكلاب")</f>
        <v>اكانا سينيور ريسبي للكلاب</v>
      </c>
      <c r="H2170" s="133" t="str">
        <f>IFERROR(__xludf.DUMMYFUNCTION("""COMPUTED_VALUE"""),"FEM-2024-10834-FEP-2024-82001-C-22548-1344")</f>
        <v>FEM-2024-10834-FEP-2024-82001-C-22548-1344</v>
      </c>
      <c r="I2170" s="133"/>
      <c r="J2170" s="133"/>
      <c r="K2170" s="133" t="str">
        <f>IFERROR(__xludf.DUMMYFUNCTION("""COMPUTED_VALUE"""),"تشامبيون بيت فود هولدينق لنس")</f>
        <v>تشامبيون بيت فود هولدينق لنس</v>
      </c>
      <c r="L2170" s="133"/>
      <c r="M2170" s="133"/>
      <c r="N2170" s="133"/>
      <c r="O2170" s="133"/>
      <c r="P2170" s="133"/>
      <c r="Q2170" s="133"/>
      <c r="R2170" s="133"/>
      <c r="S2170" s="133"/>
      <c r="T2170" s="133"/>
      <c r="U2170" s="133"/>
      <c r="V2170" s="133"/>
      <c r="W2170" s="133"/>
      <c r="X2170" s="133"/>
      <c r="Y2170" s="133"/>
      <c r="Z2170" s="133"/>
    </row>
    <row r="2171">
      <c r="A2171" s="133"/>
      <c r="B2171" s="133"/>
      <c r="C2171" s="133" t="str">
        <f>IFERROR(__xludf.DUMMYFUNCTION("""COMPUTED_VALUE"""),"2024-309241")</f>
        <v>2024-309241</v>
      </c>
      <c r="D2171" s="133"/>
      <c r="E2171" s="133" t="str">
        <f>IFERROR(__xludf.DUMMYFUNCTION("""COMPUTED_VALUE"""),"مكتمل")</f>
        <v>مكتمل</v>
      </c>
      <c r="F2171" s="133" t="str">
        <f>IFERROR(__xludf.DUMMYFUNCTION("""COMPUTED_VALUE"""),"ACANA Singles Grass-Fed Lamb Recipe Dog Food")</f>
        <v>ACANA Singles Grass-Fed Lamb Recipe Dog Food</v>
      </c>
      <c r="G2171" s="133" t="str">
        <f>IFERROR(__xludf.DUMMYFUNCTION("""COMPUTED_VALUE"""),"اكانا سنقل قراس- فيد لامب ريسبي للكلاب")</f>
        <v>اكانا سنقل قراس- فيد لامب ريسبي للكلاب</v>
      </c>
      <c r="H2171" s="133" t="str">
        <f>IFERROR(__xludf.DUMMYFUNCTION("""COMPUTED_VALUE"""),"FEM-2024-10857-FEP-2024-82024-C-22548-1366")</f>
        <v>FEM-2024-10857-FEP-2024-82024-C-22548-1366</v>
      </c>
      <c r="I2171" s="133"/>
      <c r="J2171" s="133"/>
      <c r="K2171" s="133" t="str">
        <f>IFERROR(__xludf.DUMMYFUNCTION("""COMPUTED_VALUE"""),"تشامبيون بيت فود هولدينق لنس")</f>
        <v>تشامبيون بيت فود هولدينق لنس</v>
      </c>
      <c r="L2171" s="133"/>
      <c r="M2171" s="133"/>
      <c r="N2171" s="133"/>
      <c r="O2171" s="133"/>
      <c r="P2171" s="133"/>
      <c r="Q2171" s="133"/>
      <c r="R2171" s="133"/>
      <c r="S2171" s="133"/>
      <c r="T2171" s="133"/>
      <c r="U2171" s="133"/>
      <c r="V2171" s="133"/>
      <c r="W2171" s="133"/>
      <c r="X2171" s="133"/>
      <c r="Y2171" s="133"/>
      <c r="Z2171" s="133"/>
    </row>
    <row r="2172">
      <c r="A2172" s="133"/>
      <c r="B2172" s="133"/>
      <c r="C2172" s="133" t="str">
        <f>IFERROR(__xludf.DUMMYFUNCTION("""COMPUTED_VALUE"""),"2024-308891")</f>
        <v>2024-308891</v>
      </c>
      <c r="D2172" s="133"/>
      <c r="E2172" s="133" t="str">
        <f>IFERROR(__xludf.DUMMYFUNCTION("""COMPUTED_VALUE"""),"مكتمل")</f>
        <v>مكتمل</v>
      </c>
      <c r="F2172" s="133" t="str">
        <f>IFERROR(__xludf.DUMMYFUNCTION("""COMPUTED_VALUE"""),"ACANA Sport &amp; Agility Dog Food 11.4 kg")</f>
        <v>ACANA Sport &amp; Agility Dog Food 11.4 kg</v>
      </c>
      <c r="G2172" s="133" t="str">
        <f>IFERROR(__xludf.DUMMYFUNCTION("""COMPUTED_VALUE"""),"اكانا سبورت اند اجيليتي ريسبي للكلاب")</f>
        <v>اكانا سبورت اند اجيليتي ريسبي للكلاب</v>
      </c>
      <c r="H2172" s="133" t="str">
        <f>IFERROR(__xludf.DUMMYFUNCTION("""COMPUTED_VALUE"""),"FEM-2024-10835-FEP-2024-82004-C-22548-1367")</f>
        <v>FEM-2024-10835-FEP-2024-82004-C-22548-1367</v>
      </c>
      <c r="I2172" s="133"/>
      <c r="J2172" s="133"/>
      <c r="K2172" s="133" t="str">
        <f>IFERROR(__xludf.DUMMYFUNCTION("""COMPUTED_VALUE"""),"تشامبيون بيت فود هولدينق لنس")</f>
        <v>تشامبيون بيت فود هولدينق لنس</v>
      </c>
      <c r="L2172" s="133"/>
      <c r="M2172" s="133"/>
      <c r="N2172" s="133"/>
      <c r="O2172" s="133"/>
      <c r="P2172" s="133"/>
      <c r="Q2172" s="133"/>
      <c r="R2172" s="133"/>
      <c r="S2172" s="133"/>
      <c r="T2172" s="133"/>
      <c r="U2172" s="133"/>
      <c r="V2172" s="133"/>
      <c r="W2172" s="133"/>
      <c r="X2172" s="133"/>
      <c r="Y2172" s="133"/>
      <c r="Z2172" s="133"/>
    </row>
    <row r="2173">
      <c r="A2173" s="133"/>
      <c r="B2173" s="133"/>
      <c r="C2173" s="133" t="str">
        <f>IFERROR(__xludf.DUMMYFUNCTION("""COMPUTED_VALUE"""),"2024-308910")</f>
        <v>2024-308910</v>
      </c>
      <c r="D2173" s="133"/>
      <c r="E2173" s="133" t="str">
        <f>IFERROR(__xludf.DUMMYFUNCTION("""COMPUTED_VALUE"""),"مكتمل")</f>
        <v>مكتمل</v>
      </c>
      <c r="F2173" s="133" t="str">
        <f>IFERROR(__xludf.DUMMYFUNCTION("""COMPUTED_VALUE"""),"INTL ACANA Indoor Entree Cat 1.8 kg")</f>
        <v>INTL ACANA Indoor Entree Cat 1.8 kg</v>
      </c>
      <c r="G2173" s="133" t="str">
        <f>IFERROR(__xludf.DUMMYFUNCTION("""COMPUTED_VALUE"""),"اكانا اندور انتري للقطط")</f>
        <v>اكانا اندور انتري للقطط</v>
      </c>
      <c r="H2173" s="133" t="str">
        <f>IFERROR(__xludf.DUMMYFUNCTION("""COMPUTED_VALUE"""),"FEM-2024-10836-FEP-2024-82005-C-22548-1361")</f>
        <v>FEM-2024-10836-FEP-2024-82005-C-22548-1361</v>
      </c>
      <c r="I2173" s="133"/>
      <c r="J2173" s="133"/>
      <c r="K2173" s="133" t="str">
        <f>IFERROR(__xludf.DUMMYFUNCTION("""COMPUTED_VALUE"""),"تشامبيون بيت فود هولدينق لنس")</f>
        <v>تشامبيون بيت فود هولدينق لنس</v>
      </c>
      <c r="L2173" s="133"/>
      <c r="M2173" s="133"/>
      <c r="N2173" s="133"/>
      <c r="O2173" s="133"/>
      <c r="P2173" s="133"/>
      <c r="Q2173" s="133"/>
      <c r="R2173" s="133"/>
      <c r="S2173" s="133"/>
      <c r="T2173" s="133"/>
      <c r="U2173" s="133"/>
      <c r="V2173" s="133"/>
      <c r="W2173" s="133"/>
      <c r="X2173" s="133"/>
      <c r="Y2173" s="133"/>
      <c r="Z2173" s="133"/>
    </row>
    <row r="2174">
      <c r="A2174" s="133"/>
      <c r="B2174" s="133"/>
      <c r="C2174" s="133" t="str">
        <f>IFERROR(__xludf.DUMMYFUNCTION("""COMPUTED_VALUE"""),"2024-308924")</f>
        <v>2024-308924</v>
      </c>
      <c r="D2174" s="133"/>
      <c r="E2174" s="133" t="str">
        <f>IFERROR(__xludf.DUMMYFUNCTION("""COMPUTED_VALUE"""),"مكتمل")</f>
        <v>مكتمل</v>
      </c>
      <c r="F2174" s="133" t="str">
        <f>IFERROR(__xludf.DUMMYFUNCTION("""COMPUTED_VALUE"""),"ORIJEN Fit &amp; Trim Cat Food 1 kg")</f>
        <v>ORIJEN Fit &amp; Trim Cat Food 1 kg</v>
      </c>
      <c r="G2174" s="133" t="str">
        <f>IFERROR(__xludf.DUMMYFUNCTION("""COMPUTED_VALUE"""),"اوريجن فت اند ترم للقطط")</f>
        <v>اوريجن فت اند ترم للقطط</v>
      </c>
      <c r="H2174" s="133" t="str">
        <f>IFERROR(__xludf.DUMMYFUNCTION("""COMPUTED_VALUE"""),"FEM-2024-10837-FEP-2024-82006-C-22548-1405")</f>
        <v>FEM-2024-10837-FEP-2024-82006-C-22548-1405</v>
      </c>
      <c r="I2174" s="133"/>
      <c r="J2174" s="133"/>
      <c r="K2174" s="133" t="str">
        <f>IFERROR(__xludf.DUMMYFUNCTION("""COMPUTED_VALUE"""),"تشامبيون بيت فود هولدينق لنس")</f>
        <v>تشامبيون بيت فود هولدينق لنس</v>
      </c>
      <c r="L2174" s="133"/>
      <c r="M2174" s="133" t="str">
        <f>IFERROR(__xludf.DUMMYFUNCTION("""COMPUTED_VALUE"""),"20-10-2029")</f>
        <v>20-10-2029</v>
      </c>
      <c r="N2174" s="133"/>
      <c r="O2174" s="133"/>
      <c r="P2174" s="133"/>
      <c r="Q2174" s="133"/>
      <c r="R2174" s="133"/>
      <c r="S2174" s="133"/>
      <c r="T2174" s="133"/>
      <c r="U2174" s="133"/>
      <c r="V2174" s="133"/>
      <c r="W2174" s="133"/>
      <c r="X2174" s="133"/>
      <c r="Y2174" s="133"/>
      <c r="Z2174" s="133"/>
    </row>
    <row r="2175">
      <c r="A2175" s="133"/>
      <c r="B2175" s="133"/>
      <c r="C2175" s="133" t="str">
        <f>IFERROR(__xludf.DUMMYFUNCTION("""COMPUTED_VALUE"""),"2024-308941")</f>
        <v>2024-308941</v>
      </c>
      <c r="D2175" s="133"/>
      <c r="E2175" s="133" t="str">
        <f>IFERROR(__xludf.DUMMYFUNCTION("""COMPUTED_VALUE"""),"مكتمل")</f>
        <v>مكتمل</v>
      </c>
      <c r="F2175" s="133" t="str">
        <f>IFERROR(__xludf.DUMMYFUNCTION("""COMPUTED_VALUE"""),"ORIJEN Fit &amp; Trim Dog Food 2 kg")</f>
        <v>ORIJEN Fit &amp; Trim Dog Food 2 kg</v>
      </c>
      <c r="G2175" s="133" t="str">
        <f>IFERROR(__xludf.DUMMYFUNCTION("""COMPUTED_VALUE"""),"اوريجن فت اند ترم للكلاب")</f>
        <v>اوريجن فت اند ترم للكلاب</v>
      </c>
      <c r="H2175" s="133" t="str">
        <f>IFERROR(__xludf.DUMMYFUNCTION("""COMPUTED_VALUE"""),"FEM-2024-10838-FEP-2024-82007-C-22548-1403")</f>
        <v>FEM-2024-10838-FEP-2024-82007-C-22548-1403</v>
      </c>
      <c r="I2175" s="133"/>
      <c r="J2175" s="133"/>
      <c r="K2175" s="133" t="str">
        <f>IFERROR(__xludf.DUMMYFUNCTION("""COMPUTED_VALUE"""),"تشامبيون بيت فود هولدينق لنس")</f>
        <v>تشامبيون بيت فود هولدينق لنس</v>
      </c>
      <c r="L2175" s="133"/>
      <c r="M2175" s="133" t="str">
        <f>IFERROR(__xludf.DUMMYFUNCTION("""COMPUTED_VALUE"""),"20-10-2029")</f>
        <v>20-10-2029</v>
      </c>
      <c r="N2175" s="133"/>
      <c r="O2175" s="133"/>
      <c r="P2175" s="133"/>
      <c r="Q2175" s="133"/>
      <c r="R2175" s="133"/>
      <c r="S2175" s="133"/>
      <c r="T2175" s="133"/>
      <c r="U2175" s="133"/>
      <c r="V2175" s="133"/>
      <c r="W2175" s="133"/>
      <c r="X2175" s="133"/>
      <c r="Y2175" s="133"/>
      <c r="Z2175" s="133"/>
    </row>
    <row r="2176">
      <c r="A2176" s="133"/>
      <c r="B2176" s="133"/>
      <c r="C2176" s="133" t="str">
        <f>IFERROR(__xludf.DUMMYFUNCTION("""COMPUTED_VALUE"""),"2024-308947")</f>
        <v>2024-308947</v>
      </c>
      <c r="D2176" s="133"/>
      <c r="E2176" s="133" t="str">
        <f>IFERROR(__xludf.DUMMYFUNCTION("""COMPUTED_VALUE"""),"مكتمل")</f>
        <v>مكتمل</v>
      </c>
      <c r="F2176" s="133" t="str">
        <f>IFERROR(__xludf.DUMMYFUNCTION("""COMPUTED_VALUE"""),"ORIJEN Guardian 8 Cat Food 1.8kg")</f>
        <v>ORIJEN Guardian 8 Cat Food 1.8kg</v>
      </c>
      <c r="G2176" s="133" t="str">
        <f>IFERROR(__xludf.DUMMYFUNCTION("""COMPUTED_VALUE"""),"اوريجن قاردين 8 للقطط")</f>
        <v>اوريجن قاردين 8 للقطط</v>
      </c>
      <c r="H2176" s="133" t="str">
        <f>IFERROR(__xludf.DUMMYFUNCTION("""COMPUTED_VALUE"""),"FEM-2024-10839-FEP-2024-82008-C-22548-1401")</f>
        <v>FEM-2024-10839-FEP-2024-82008-C-22548-1401</v>
      </c>
      <c r="I2176" s="133"/>
      <c r="J2176" s="133"/>
      <c r="K2176" s="133" t="str">
        <f>IFERROR(__xludf.DUMMYFUNCTION("""COMPUTED_VALUE"""),"تشامبيون بيت فود هولدينق لنس")</f>
        <v>تشامبيون بيت فود هولدينق لنس</v>
      </c>
      <c r="L2176" s="133"/>
      <c r="M2176" s="133" t="str">
        <f>IFERROR(__xludf.DUMMYFUNCTION("""COMPUTED_VALUE"""),"20-10-2029")</f>
        <v>20-10-2029</v>
      </c>
      <c r="N2176" s="133"/>
      <c r="O2176" s="133"/>
      <c r="P2176" s="133"/>
      <c r="Q2176" s="133"/>
      <c r="R2176" s="133"/>
      <c r="S2176" s="133"/>
      <c r="T2176" s="133"/>
      <c r="U2176" s="133"/>
      <c r="V2176" s="133"/>
      <c r="W2176" s="133"/>
      <c r="X2176" s="133"/>
      <c r="Y2176" s="133"/>
      <c r="Z2176" s="133"/>
    </row>
    <row r="2177">
      <c r="A2177" s="133"/>
      <c r="B2177" s="133"/>
      <c r="C2177" s="133" t="str">
        <f>IFERROR(__xludf.DUMMYFUNCTION("""COMPUTED_VALUE"""),"2024-308992")</f>
        <v>2024-308992</v>
      </c>
      <c r="D2177" s="133"/>
      <c r="E2177" s="133" t="str">
        <f>IFERROR(__xludf.DUMMYFUNCTION("""COMPUTED_VALUE"""),"مكتمل")</f>
        <v>مكتمل</v>
      </c>
      <c r="F2177" s="133" t="str">
        <f>IFERROR(__xludf.DUMMYFUNCTION("""COMPUTED_VALUE"""),"ORIJEN Kitten Cat Food 1.8 kg")</f>
        <v>ORIJEN Kitten Cat Food 1.8 kg</v>
      </c>
      <c r="G2177" s="133" t="str">
        <f>IFERROR(__xludf.DUMMYFUNCTION("""COMPUTED_VALUE"""),"اوريجن كيتن للقطط")</f>
        <v>اوريجن كيتن للقطط</v>
      </c>
      <c r="H2177" s="133" t="str">
        <f>IFERROR(__xludf.DUMMYFUNCTION("""COMPUTED_VALUE"""),"FEM-2024-10840-FEP-2024-82009-C-22548-1598
")</f>
        <v>FEM-2024-10840-FEP-2024-82009-C-22548-1598
</v>
      </c>
      <c r="I2177" s="133"/>
      <c r="J2177" s="133"/>
      <c r="K2177" s="133"/>
      <c r="L2177" s="133"/>
      <c r="M2177" s="133"/>
      <c r="N2177" s="133"/>
      <c r="O2177" s="133"/>
      <c r="P2177" s="133"/>
      <c r="Q2177" s="133"/>
      <c r="R2177" s="133"/>
      <c r="S2177" s="133"/>
      <c r="T2177" s="133"/>
      <c r="U2177" s="133"/>
      <c r="V2177" s="133"/>
      <c r="W2177" s="133"/>
      <c r="X2177" s="133"/>
      <c r="Y2177" s="133"/>
      <c r="Z2177" s="133"/>
    </row>
    <row r="2178">
      <c r="A2178" s="133"/>
      <c r="B2178" s="133"/>
      <c r="C2178" s="133" t="str">
        <f>IFERROR(__xludf.DUMMYFUNCTION("""COMPUTED_VALUE"""),"2024-309010")</f>
        <v>2024-309010</v>
      </c>
      <c r="D2178" s="133"/>
      <c r="E2178" s="133" t="str">
        <f>IFERROR(__xludf.DUMMYFUNCTION("""COMPUTED_VALUE"""),"مكتمل")</f>
        <v>مكتمل</v>
      </c>
      <c r="F2178" s="133" t="str">
        <f>IFERROR(__xludf.DUMMYFUNCTION("""COMPUTED_VALUE"""),"ORIJEN Large Breed Adult Dog Food")</f>
        <v>ORIJEN Large Breed Adult Dog Food</v>
      </c>
      <c r="G2178" s="133" t="str">
        <f>IFERROR(__xludf.DUMMYFUNCTION("""COMPUTED_VALUE"""),"اوريجن لارج برييد ادولت للكلاب")</f>
        <v>اوريجن لارج برييد ادولت للكلاب</v>
      </c>
      <c r="H2178" s="133" t="str">
        <f>IFERROR(__xludf.DUMMYFUNCTION("""COMPUTED_VALUE"""),"FEM-2024-10841-FEP-2024-82010-C-22548-1362")</f>
        <v>FEM-2024-10841-FEP-2024-82010-C-22548-1362</v>
      </c>
      <c r="I2178" s="133"/>
      <c r="J2178" s="133"/>
      <c r="K2178" s="133" t="str">
        <f>IFERROR(__xludf.DUMMYFUNCTION("""COMPUTED_VALUE"""),"تشامبيون بيت فود هولدينق انس
")</f>
        <v>تشامبيون بيت فود هولدينق انس
</v>
      </c>
      <c r="L2178" s="133"/>
      <c r="M2178" s="133" t="str">
        <f>IFERROR(__xludf.DUMMYFUNCTION("""COMPUTED_VALUE"""),"20-10-2029")</f>
        <v>20-10-2029</v>
      </c>
      <c r="N2178" s="133"/>
      <c r="O2178" s="133"/>
      <c r="P2178" s="133"/>
      <c r="Q2178" s="133"/>
      <c r="R2178" s="133"/>
      <c r="S2178" s="133"/>
      <c r="T2178" s="133"/>
      <c r="U2178" s="133"/>
      <c r="V2178" s="133"/>
      <c r="W2178" s="133"/>
      <c r="X2178" s="133"/>
      <c r="Y2178" s="133"/>
      <c r="Z2178" s="133"/>
    </row>
    <row r="2179">
      <c r="A2179" s="133"/>
      <c r="B2179" s="133"/>
      <c r="C2179" s="133" t="str">
        <f>IFERROR(__xludf.DUMMYFUNCTION("""COMPUTED_VALUE"""),"2024-309022")</f>
        <v>2024-309022</v>
      </c>
      <c r="D2179" s="133"/>
      <c r="E2179" s="133" t="str">
        <f>IFERROR(__xludf.DUMMYFUNCTION("""COMPUTED_VALUE"""),"مكتمل")</f>
        <v>مكتمل</v>
      </c>
      <c r="F2179" s="133" t="str">
        <f>IFERROR(__xludf.DUMMYFUNCTION("""COMPUTED_VALUE"""),"ORIJEN Original Cat Food 1.8 kg")</f>
        <v>ORIJEN Original Cat Food 1.8 kg</v>
      </c>
      <c r="G2179" s="133" t="str">
        <f>IFERROR(__xludf.DUMMYFUNCTION("""COMPUTED_VALUE"""),"اوريجن اوريجنال للقطط")</f>
        <v>اوريجن اوريجنال للقطط</v>
      </c>
      <c r="H2179" s="133" t="str">
        <f>IFERROR(__xludf.DUMMYFUNCTION("""COMPUTED_VALUE"""),"FEM-2024-10842-FEP-2024-82011-C-22548-1396")</f>
        <v>FEM-2024-10842-FEP-2024-82011-C-22548-1396</v>
      </c>
      <c r="I2179" s="133"/>
      <c r="J2179" s="133"/>
      <c r="K2179" s="133" t="str">
        <f>IFERROR(__xludf.DUMMYFUNCTION("""COMPUTED_VALUE"""),"تشامبيون بيت فود هولدينق انس
")</f>
        <v>تشامبيون بيت فود هولدينق انس
</v>
      </c>
      <c r="L2179" s="133"/>
      <c r="M2179" s="133" t="str">
        <f>IFERROR(__xludf.DUMMYFUNCTION("""COMPUTED_VALUE"""),"20-10-2029")</f>
        <v>20-10-2029</v>
      </c>
      <c r="N2179" s="133"/>
      <c r="O2179" s="133"/>
      <c r="P2179" s="133"/>
      <c r="Q2179" s="133"/>
      <c r="R2179" s="133"/>
      <c r="S2179" s="133"/>
      <c r="T2179" s="133"/>
      <c r="U2179" s="133"/>
      <c r="V2179" s="133"/>
      <c r="W2179" s="133"/>
      <c r="X2179" s="133"/>
      <c r="Y2179" s="133"/>
      <c r="Z2179" s="133"/>
    </row>
    <row r="2180">
      <c r="A2180" s="133"/>
      <c r="B2180" s="133"/>
      <c r="C2180" s="133" t="str">
        <f>IFERROR(__xludf.DUMMYFUNCTION("""COMPUTED_VALUE"""),"2024-309064")</f>
        <v>2024-309064</v>
      </c>
      <c r="D2180" s="133"/>
      <c r="E2180" s="133" t="str">
        <f>IFERROR(__xludf.DUMMYFUNCTION("""COMPUTED_VALUE"""),"مكتمل")</f>
        <v>مكتمل</v>
      </c>
      <c r="F2180" s="133" t="str">
        <f>IFERROR(__xludf.DUMMYFUNCTION("""COMPUTED_VALUE"""),"ORIJEN Original Dog Food 2 kg")</f>
        <v>ORIJEN Original Dog Food 2 kg</v>
      </c>
      <c r="G2180" s="133" t="str">
        <f>IFERROR(__xludf.DUMMYFUNCTION("""COMPUTED_VALUE"""),"اوريجن اوريجنال للكلاب")</f>
        <v>اوريجن اوريجنال للكلاب</v>
      </c>
      <c r="H2180" s="133" t="str">
        <f>IFERROR(__xludf.DUMMYFUNCTION("""COMPUTED_VALUE"""),"FEM-2024-10843-FEP-2024-82012-C-22548-1398")</f>
        <v>FEM-2024-10843-FEP-2024-82012-C-22548-1398</v>
      </c>
      <c r="I2180" s="133"/>
      <c r="J2180" s="133"/>
      <c r="K2180" s="133" t="str">
        <f>IFERROR(__xludf.DUMMYFUNCTION("""COMPUTED_VALUE"""),"تشامبيون بيت فود هولدينق انس
")</f>
        <v>تشامبيون بيت فود هولدينق انس
</v>
      </c>
      <c r="L2180" s="133"/>
      <c r="M2180" s="133" t="str">
        <f>IFERROR(__xludf.DUMMYFUNCTION("""COMPUTED_VALUE"""),"20-10-2029")</f>
        <v>20-10-2029</v>
      </c>
      <c r="N2180" s="133"/>
      <c r="O2180" s="133"/>
      <c r="P2180" s="133"/>
      <c r="Q2180" s="133"/>
      <c r="R2180" s="133"/>
      <c r="S2180" s="133"/>
      <c r="T2180" s="133"/>
      <c r="U2180" s="133"/>
      <c r="V2180" s="133"/>
      <c r="W2180" s="133"/>
      <c r="X2180" s="133"/>
      <c r="Y2180" s="133"/>
      <c r="Z2180" s="133"/>
    </row>
    <row r="2181">
      <c r="A2181" s="133"/>
      <c r="B2181" s="133"/>
      <c r="C2181" s="133" t="str">
        <f>IFERROR(__xludf.DUMMYFUNCTION("""COMPUTED_VALUE"""),"2024-309078")</f>
        <v>2024-309078</v>
      </c>
      <c r="D2181" s="133"/>
      <c r="E2181" s="133" t="str">
        <f>IFERROR(__xludf.DUMMYFUNCTION("""COMPUTED_VALUE"""),"مكتمل")</f>
        <v>مكتمل</v>
      </c>
      <c r="F2181" s="133" t="str">
        <f>IFERROR(__xludf.DUMMYFUNCTION("""COMPUTED_VALUE"""),"ORIJEN Puppy Dog Food 2 kg")</f>
        <v>ORIJEN Puppy Dog Food 2 kg</v>
      </c>
      <c r="G2181" s="133" t="str">
        <f>IFERROR(__xludf.DUMMYFUNCTION("""COMPUTED_VALUE"""),"اوريجن بابي للكلاب")</f>
        <v>اوريجن بابي للكلاب</v>
      </c>
      <c r="H2181" s="133" t="str">
        <f>IFERROR(__xludf.DUMMYFUNCTION("""COMPUTED_VALUE"""),"FEM-2024-10845-FEP-2024-82014-C-22548-1390")</f>
        <v>FEM-2024-10845-FEP-2024-82014-C-22548-1390</v>
      </c>
      <c r="I2181" s="133"/>
      <c r="J2181" s="133"/>
      <c r="K2181" s="133" t="str">
        <f>IFERROR(__xludf.DUMMYFUNCTION("""COMPUTED_VALUE"""),"تشامبيون بيت فود هولدينق انس
")</f>
        <v>تشامبيون بيت فود هولدينق انس
</v>
      </c>
      <c r="L2181" s="133"/>
      <c r="M2181" s="133" t="str">
        <f>IFERROR(__xludf.DUMMYFUNCTION("""COMPUTED_VALUE"""),"20-10-2029")</f>
        <v>20-10-2029</v>
      </c>
      <c r="N2181" s="133"/>
      <c r="O2181" s="133"/>
      <c r="P2181" s="133"/>
      <c r="Q2181" s="133"/>
      <c r="R2181" s="133"/>
      <c r="S2181" s="133"/>
      <c r="T2181" s="133"/>
      <c r="U2181" s="133"/>
      <c r="V2181" s="133"/>
      <c r="W2181" s="133"/>
      <c r="X2181" s="133"/>
      <c r="Y2181" s="133"/>
      <c r="Z2181" s="133"/>
    </row>
    <row r="2182">
      <c r="A2182" s="133"/>
      <c r="B2182" s="133"/>
      <c r="C2182" s="133" t="str">
        <f>IFERROR(__xludf.DUMMYFUNCTION("""COMPUTED_VALUE"""),"2024-309084")</f>
        <v>2024-309084</v>
      </c>
      <c r="D2182" s="133"/>
      <c r="E2182" s="133" t="str">
        <f>IFERROR(__xludf.DUMMYFUNCTION("""COMPUTED_VALUE"""),"مكتمل")</f>
        <v>مكتمل</v>
      </c>
      <c r="F2182" s="133" t="str">
        <f>IFERROR(__xludf.DUMMYFUNCTION("""COMPUTED_VALUE"""),"ORIJEN Puppy Large Dog Food 6 kg")</f>
        <v>ORIJEN Puppy Large Dog Food 6 kg</v>
      </c>
      <c r="G2182" s="133" t="str">
        <f>IFERROR(__xludf.DUMMYFUNCTION("""COMPUTED_VALUE"""),"اوريجن بابي لارج للكلاب")</f>
        <v>اوريجن بابي لارج للكلاب</v>
      </c>
      <c r="H2182" s="133" t="str">
        <f>IFERROR(__xludf.DUMMYFUNCTION("""COMPUTED_VALUE"""),"FEM-2024-10848-FEP-2024-82017-C-22548-1404")</f>
        <v>FEM-2024-10848-FEP-2024-82017-C-22548-1404</v>
      </c>
      <c r="I2182" s="133"/>
      <c r="J2182" s="133"/>
      <c r="K2182" s="133" t="str">
        <f>IFERROR(__xludf.DUMMYFUNCTION("""COMPUTED_VALUE"""),"تشامبيون بيت فود هولدينق انس
")</f>
        <v>تشامبيون بيت فود هولدينق انس
</v>
      </c>
      <c r="L2182" s="133"/>
      <c r="M2182" s="133" t="str">
        <f>IFERROR(__xludf.DUMMYFUNCTION("""COMPUTED_VALUE"""),"20-10-2029")</f>
        <v>20-10-2029</v>
      </c>
      <c r="N2182" s="133"/>
      <c r="O2182" s="133"/>
      <c r="P2182" s="133"/>
      <c r="Q2182" s="133"/>
      <c r="R2182" s="133"/>
      <c r="S2182" s="133"/>
      <c r="T2182" s="133"/>
      <c r="U2182" s="133"/>
      <c r="V2182" s="133"/>
      <c r="W2182" s="133"/>
      <c r="X2182" s="133"/>
      <c r="Y2182" s="133"/>
      <c r="Z2182" s="133"/>
    </row>
    <row r="2183">
      <c r="A2183" s="133"/>
      <c r="B2183" s="133"/>
      <c r="C2183" s="133" t="str">
        <f>IFERROR(__xludf.DUMMYFUNCTION("""COMPUTED_VALUE"""),"2024-309090")</f>
        <v>2024-309090</v>
      </c>
      <c r="D2183" s="133"/>
      <c r="E2183" s="133" t="str">
        <f>IFERROR(__xludf.DUMMYFUNCTION("""COMPUTED_VALUE"""),"مكتمل")</f>
        <v>مكتمل</v>
      </c>
      <c r="F2183" s="133" t="str">
        <f>IFERROR(__xludf.DUMMYFUNCTION("""COMPUTED_VALUE"""),"ORIJEN Senior Dog Food2 kg")</f>
        <v>ORIJEN Senior Dog Food2 kg</v>
      </c>
      <c r="G2183" s="133" t="str">
        <f>IFERROR(__xludf.DUMMYFUNCTION("""COMPUTED_VALUE"""),"اوريجن سينيور للكلاب")</f>
        <v>اوريجن سينيور للكلاب</v>
      </c>
      <c r="H2183" s="133" t="str">
        <f>IFERROR(__xludf.DUMMYFUNCTION("""COMPUTED_VALUE"""),"FEM-2024-10849-FEP-2024-82018-C-22548-1399")</f>
        <v>FEM-2024-10849-FEP-2024-82018-C-22548-1399</v>
      </c>
      <c r="I2183" s="133"/>
      <c r="J2183" s="133"/>
      <c r="K2183" s="133" t="str">
        <f>IFERROR(__xludf.DUMMYFUNCTION("""COMPUTED_VALUE"""),"تشامبيون بيت فود هولدينق انس
")</f>
        <v>تشامبيون بيت فود هولدينق انس
</v>
      </c>
      <c r="L2183" s="133"/>
      <c r="M2183" s="133" t="str">
        <f>IFERROR(__xludf.DUMMYFUNCTION("""COMPUTED_VALUE"""),"20-10-2029")</f>
        <v>20-10-2029</v>
      </c>
      <c r="N2183" s="133"/>
      <c r="O2183" s="133"/>
      <c r="P2183" s="133"/>
      <c r="Q2183" s="133"/>
      <c r="R2183" s="133"/>
      <c r="S2183" s="133"/>
      <c r="T2183" s="133"/>
      <c r="U2183" s="133"/>
      <c r="V2183" s="133"/>
      <c r="W2183" s="133"/>
      <c r="X2183" s="133"/>
      <c r="Y2183" s="133"/>
      <c r="Z2183" s="133"/>
    </row>
    <row r="2184">
      <c r="A2184" s="133"/>
      <c r="B2184" s="133"/>
      <c r="C2184" s="133" t="str">
        <f>IFERROR(__xludf.DUMMYFUNCTION("""COMPUTED_VALUE"""),"2024-309095")</f>
        <v>2024-309095</v>
      </c>
      <c r="D2184" s="133"/>
      <c r="E2184" s="133" t="str">
        <f>IFERROR(__xludf.DUMMYFUNCTION("""COMPUTED_VALUE"""),"مكتمل")</f>
        <v>مكتمل</v>
      </c>
      <c r="F2184" s="133" t="str">
        <f>IFERROR(__xludf.DUMMYFUNCTION("""COMPUTED_VALUE"""),"ORIJEN Six Fish Cat Food 1.8 kg")</f>
        <v>ORIJEN Six Fish Cat Food 1.8 kg</v>
      </c>
      <c r="G2184" s="133" t="str">
        <f>IFERROR(__xludf.DUMMYFUNCTION("""COMPUTED_VALUE"""),"اوريجن سيكس فيش للقطط")</f>
        <v>اوريجن سيكس فيش للقطط</v>
      </c>
      <c r="H2184" s="133" t="str">
        <f>IFERROR(__xludf.DUMMYFUNCTION("""COMPUTED_VALUE"""),"FEM-2024-10850-FEP-2024-82019-C-22548-1388")</f>
        <v>FEM-2024-10850-FEP-2024-82019-C-22548-1388</v>
      </c>
      <c r="I2184" s="133"/>
      <c r="J2184" s="133"/>
      <c r="K2184" s="133" t="str">
        <f>IFERROR(__xludf.DUMMYFUNCTION("""COMPUTED_VALUE"""),"تشامبيون بيت فود هولدينق انس
")</f>
        <v>تشامبيون بيت فود هولدينق انس
</v>
      </c>
      <c r="L2184" s="133"/>
      <c r="M2184" s="133" t="str">
        <f>IFERROR(__xludf.DUMMYFUNCTION("""COMPUTED_VALUE"""),"20-10-2029")</f>
        <v>20-10-2029</v>
      </c>
      <c r="N2184" s="133"/>
      <c r="O2184" s="133"/>
      <c r="P2184" s="133"/>
      <c r="Q2184" s="133"/>
      <c r="R2184" s="133"/>
      <c r="S2184" s="133"/>
      <c r="T2184" s="133"/>
      <c r="U2184" s="133"/>
      <c r="V2184" s="133"/>
      <c r="W2184" s="133"/>
      <c r="X2184" s="133"/>
      <c r="Y2184" s="133"/>
      <c r="Z2184" s="133"/>
    </row>
    <row r="2185">
      <c r="A2185" s="133"/>
      <c r="B2185" s="133"/>
      <c r="C2185" s="133" t="str">
        <f>IFERROR(__xludf.DUMMYFUNCTION("""COMPUTED_VALUE"""),"2024-309108")</f>
        <v>2024-309108</v>
      </c>
      <c r="D2185" s="133"/>
      <c r="E2185" s="133" t="str">
        <f>IFERROR(__xludf.DUMMYFUNCTION("""COMPUTED_VALUE"""),"مكتمل")</f>
        <v>مكتمل</v>
      </c>
      <c r="F2185" s="133" t="str">
        <f>IFERROR(__xludf.DUMMYFUNCTION("""COMPUTED_VALUE"""),"ORIJEN Six Fish Dog Food 2 kg")</f>
        <v>ORIJEN Six Fish Dog Food 2 kg</v>
      </c>
      <c r="G2185" s="133" t="str">
        <f>IFERROR(__xludf.DUMMYFUNCTION("""COMPUTED_VALUE"""),"اوريجن سيكس فيش للكلاب")</f>
        <v>اوريجن سيكس فيش للكلاب</v>
      </c>
      <c r="H2185" s="133" t="str">
        <f>IFERROR(__xludf.DUMMYFUNCTION("""COMPUTED_VALUE"""),"FEM-2024-10851-FEP-2024-82020-C-22548-1394")</f>
        <v>FEM-2024-10851-FEP-2024-82020-C-22548-1394</v>
      </c>
      <c r="I2185" s="133"/>
      <c r="J2185" s="133"/>
      <c r="K2185" s="133"/>
      <c r="L2185" s="133"/>
      <c r="M2185" s="133"/>
      <c r="N2185" s="133"/>
      <c r="O2185" s="133"/>
      <c r="P2185" s="133"/>
      <c r="Q2185" s="133"/>
      <c r="R2185" s="133"/>
      <c r="S2185" s="133"/>
      <c r="T2185" s="133"/>
      <c r="U2185" s="133"/>
      <c r="V2185" s="133"/>
      <c r="W2185" s="133"/>
      <c r="X2185" s="133"/>
      <c r="Y2185" s="133"/>
      <c r="Z2185" s="133"/>
    </row>
    <row r="2186">
      <c r="A2186" s="133"/>
      <c r="B2186" s="133"/>
      <c r="C2186" s="133" t="str">
        <f>IFERROR(__xludf.DUMMYFUNCTION("""COMPUTED_VALUE"""),"2024-309201")</f>
        <v>2024-309201</v>
      </c>
      <c r="D2186" s="133"/>
      <c r="E2186" s="133" t="str">
        <f>IFERROR(__xludf.DUMMYFUNCTION("""COMPUTED_VALUE"""),"مكتمل")</f>
        <v>مكتمل</v>
      </c>
      <c r="F2186" s="133" t="str">
        <f>IFERROR(__xludf.DUMMYFUNCTION("""COMPUTED_VALUE"""),"ORIJEN Small Breed Dog Food 1.8 kg")</f>
        <v>ORIJEN Small Breed Dog Food 1.8 kg</v>
      </c>
      <c r="G2186" s="133" t="str">
        <f>IFERROR(__xludf.DUMMYFUNCTION("""COMPUTED_VALUE"""),"اوريجن سمول برييد للكلاب")</f>
        <v>اوريجن سمول برييد للكلاب</v>
      </c>
      <c r="H2186" s="133" t="str">
        <f>IFERROR(__xludf.DUMMYFUNCTION("""COMPUTED_VALUE"""),"FEM-2024-10854-FEP-2024-82021-C-22548-1397
")</f>
        <v>FEM-2024-10854-FEP-2024-82021-C-22548-1397
</v>
      </c>
      <c r="I2186" s="133"/>
      <c r="J2186" s="133"/>
      <c r="K2186" s="133"/>
      <c r="L2186" s="133"/>
      <c r="M2186" s="133"/>
      <c r="N2186" s="133"/>
      <c r="O2186" s="133"/>
      <c r="P2186" s="133"/>
      <c r="Q2186" s="133"/>
      <c r="R2186" s="133"/>
      <c r="S2186" s="133"/>
      <c r="T2186" s="133"/>
      <c r="U2186" s="133"/>
      <c r="V2186" s="133"/>
      <c r="W2186" s="133"/>
      <c r="X2186" s="133"/>
      <c r="Y2186" s="133"/>
      <c r="Z2186" s="133"/>
    </row>
    <row r="2187">
      <c r="A2187" s="133"/>
      <c r="B2187" s="133"/>
      <c r="C2187" s="133" t="str">
        <f>IFERROR(__xludf.DUMMYFUNCTION("""COMPUTED_VALUE"""),"2024-309212")</f>
        <v>2024-309212</v>
      </c>
      <c r="D2187" s="133"/>
      <c r="E2187" s="133" t="str">
        <f>IFERROR(__xludf.DUMMYFUNCTION("""COMPUTED_VALUE"""),"مكتمل")</f>
        <v>مكتمل</v>
      </c>
      <c r="F2187" s="133" t="str">
        <f>IFERROR(__xludf.DUMMYFUNCTION("""COMPUTED_VALUE"""),"ORIJEN Small Breed Marine Fish Dog Food 1.8 kg")</f>
        <v>ORIJEN Small Breed Marine Fish Dog Food 1.8 kg</v>
      </c>
      <c r="G2187" s="133" t="str">
        <f>IFERROR(__xludf.DUMMYFUNCTION("""COMPUTED_VALUE"""),"اوريجن سمول برييد ادولت مارين فيش")</f>
        <v>اوريجن سمول برييد ادولت مارين فيش</v>
      </c>
      <c r="H2187" s="133" t="str">
        <f>IFERROR(__xludf.DUMMYFUNCTION("""COMPUTED_VALUE"""),"FEM-2024-10855-FEP-2024-82022-C-22548-1406")</f>
        <v>FEM-2024-10855-FEP-2024-82022-C-22548-1406</v>
      </c>
      <c r="I2187" s="133"/>
      <c r="J2187" s="133"/>
      <c r="K2187" s="133"/>
      <c r="L2187" s="133"/>
      <c r="M2187" s="133"/>
      <c r="N2187" s="133"/>
      <c r="O2187" s="133"/>
      <c r="P2187" s="133"/>
      <c r="Q2187" s="133"/>
      <c r="R2187" s="133"/>
      <c r="S2187" s="133"/>
      <c r="T2187" s="133"/>
      <c r="U2187" s="133"/>
      <c r="V2187" s="133"/>
      <c r="W2187" s="133"/>
      <c r="X2187" s="133"/>
      <c r="Y2187" s="133"/>
      <c r="Z2187" s="133"/>
    </row>
    <row r="2188">
      <c r="A2188" s="133"/>
      <c r="B2188" s="133"/>
      <c r="C2188" s="133" t="str">
        <f>IFERROR(__xludf.DUMMYFUNCTION("""COMPUTED_VALUE"""),"2024-309222")</f>
        <v>2024-309222</v>
      </c>
      <c r="D2188" s="133"/>
      <c r="E2188" s="133" t="str">
        <f>IFERROR(__xludf.DUMMYFUNCTION("""COMPUTED_VALUE"""),"مكتمل")</f>
        <v>مكتمل</v>
      </c>
      <c r="F2188" s="133" t="str">
        <f>IFERROR(__xludf.DUMMYFUNCTION("""COMPUTED_VALUE"""),"ORIJEN Small Breed Puppy Dog Food 4.5 kg")</f>
        <v>ORIJEN Small Breed Puppy Dog Food 4.5 kg</v>
      </c>
      <c r="G2188" s="133" t="str">
        <f>IFERROR(__xludf.DUMMYFUNCTION("""COMPUTED_VALUE"""),"اوريجن بابي سمول برييد للكلاب")</f>
        <v>اوريجن بابي سمول برييد للكلاب</v>
      </c>
      <c r="H2188" s="133" t="str">
        <f>IFERROR(__xludf.DUMMYFUNCTION("""COMPUTED_VALUE"""),"FEM-2024-10856-FEP-2024-82023-C-22548-1407")</f>
        <v>FEM-2024-10856-FEP-2024-82023-C-22548-1407</v>
      </c>
      <c r="I2188" s="133"/>
      <c r="J2188" s="133"/>
      <c r="K2188" s="133"/>
      <c r="L2188" s="133"/>
      <c r="M2188" s="133"/>
      <c r="N2188" s="133"/>
      <c r="O2188" s="133"/>
      <c r="P2188" s="133"/>
      <c r="Q2188" s="133"/>
      <c r="R2188" s="133"/>
      <c r="S2188" s="133"/>
      <c r="T2188" s="133"/>
      <c r="U2188" s="133"/>
      <c r="V2188" s="133"/>
      <c r="W2188" s="133"/>
      <c r="X2188" s="133"/>
      <c r="Y2188" s="133"/>
      <c r="Z2188" s="133"/>
    </row>
    <row r="2189">
      <c r="A2189" s="133"/>
      <c r="B2189" s="133"/>
      <c r="C2189" s="133" t="str">
        <f>IFERROR(__xludf.DUMMYFUNCTION("""COMPUTED_VALUE"""),"2024-312067")</f>
        <v>2024-312067</v>
      </c>
      <c r="D2189" s="133"/>
      <c r="E2189" s="133" t="str">
        <f>IFERROR(__xludf.DUMMYFUNCTION("""COMPUTED_VALUE"""),"مكتمل")</f>
        <v>مكتمل</v>
      </c>
      <c r="F2189" s="133" t="str">
        <f>IFERROR(__xludf.DUMMYFUNCTION("""COMPUTED_VALUE"""),"Dr.Clauder's Trainee snack deer 80g")</f>
        <v>Dr.Clauder's Trainee snack deer 80g</v>
      </c>
      <c r="G2189" s="133" t="str">
        <f>IFERROR(__xludf.DUMMYFUNCTION("""COMPUTED_VALUE"""),"د. كلاودر تريني سناك لحم الغزال")</f>
        <v>د. كلاودر تريني سناك لحم الغزال</v>
      </c>
      <c r="H2189" s="133" t="str">
        <f>IFERROR(__xludf.DUMMYFUNCTION("""COMPUTED_VALUE"""),"FOM-2024-0474-FEP-2024-82092-C-22548-1365")</f>
        <v>FOM-2024-0474-FEP-2024-82092-C-22548-1365</v>
      </c>
      <c r="I2189" s="133"/>
      <c r="J2189" s="133"/>
      <c r="K2189" s="133"/>
      <c r="L2189" s="133"/>
      <c r="M2189" s="133"/>
      <c r="N2189" s="133"/>
      <c r="O2189" s="133"/>
      <c r="P2189" s="133"/>
      <c r="Q2189" s="133"/>
      <c r="R2189" s="133"/>
      <c r="S2189" s="133"/>
      <c r="T2189" s="133"/>
      <c r="U2189" s="133"/>
      <c r="V2189" s="133"/>
      <c r="W2189" s="133"/>
      <c r="X2189" s="133"/>
      <c r="Y2189" s="133"/>
      <c r="Z2189" s="133"/>
    </row>
    <row r="2190">
      <c r="A2190" s="133"/>
      <c r="B2190" s="133"/>
      <c r="C2190" s="133" t="str">
        <f>IFERROR(__xludf.DUMMYFUNCTION("""COMPUTED_VALUE"""),"2024-312087")</f>
        <v>2024-312087</v>
      </c>
      <c r="D2190" s="133"/>
      <c r="E2190" s="133" t="str">
        <f>IFERROR(__xludf.DUMMYFUNCTION("""COMPUTED_VALUE"""),"مكتمل")</f>
        <v>مكتمل</v>
      </c>
      <c r="F2190" s="133" t="str">
        <f>IFERROR(__xludf.DUMMYFUNCTION("""COMPUTED_VALUE"""),"Dr.Clauder's Trainee snack horse 80g")</f>
        <v>Dr.Clauder's Trainee snack horse 80g</v>
      </c>
      <c r="G2190" s="133" t="str">
        <f>IFERROR(__xludf.DUMMYFUNCTION("""COMPUTED_VALUE"""),"د. كلاودر تريني سناك لحم الحصان")</f>
        <v>د. كلاودر تريني سناك لحم الحصان</v>
      </c>
      <c r="H2190" s="133" t="str">
        <f>IFERROR(__xludf.DUMMYFUNCTION("""COMPUTED_VALUE"""),"FOM-2024-0474-FEP-2024-82094-C-22548-1360")</f>
        <v>FOM-2024-0474-FEP-2024-82094-C-22548-1360</v>
      </c>
      <c r="I2190" s="133"/>
      <c r="J2190" s="133"/>
      <c r="K2190" s="133"/>
      <c r="L2190" s="133"/>
      <c r="M2190" s="133"/>
      <c r="N2190" s="133"/>
      <c r="O2190" s="133"/>
      <c r="P2190" s="133"/>
      <c r="Q2190" s="133"/>
      <c r="R2190" s="133"/>
      <c r="S2190" s="133"/>
      <c r="T2190" s="133"/>
      <c r="U2190" s="133"/>
      <c r="V2190" s="133"/>
      <c r="W2190" s="133"/>
      <c r="X2190" s="133"/>
      <c r="Y2190" s="133"/>
      <c r="Z2190" s="133"/>
    </row>
    <row r="2191">
      <c r="A2191" s="133"/>
      <c r="B2191" s="133"/>
      <c r="C2191" s="133" t="str">
        <f>IFERROR(__xludf.DUMMYFUNCTION("""COMPUTED_VALUE"""),"2024-312099")</f>
        <v>2024-312099</v>
      </c>
      <c r="D2191" s="133"/>
      <c r="E2191" s="133" t="str">
        <f>IFERROR(__xludf.DUMMYFUNCTION("""COMPUTED_VALUE"""),"مكتمل")</f>
        <v>مكتمل</v>
      </c>
      <c r="F2191" s="133" t="str">
        <f>IFERROR(__xludf.DUMMYFUNCTION("""COMPUTED_VALUE"""),"Dr.Clauder's Trainee snack duck 80g")</f>
        <v>Dr.Clauder's Trainee snack duck 80g</v>
      </c>
      <c r="G2191" s="133" t="str">
        <f>IFERROR(__xludf.DUMMYFUNCTION("""COMPUTED_VALUE"""),"د. كلاودر تريني سناك لحم البط")</f>
        <v>د. كلاودر تريني سناك لحم البط</v>
      </c>
      <c r="H2191" s="133" t="str">
        <f>IFERROR(__xludf.DUMMYFUNCTION("""COMPUTED_VALUE"""),"FOM-2024-0474-FEP-2024-82096-C-22548-1363")</f>
        <v>FOM-2024-0474-FEP-2024-82096-C-22548-1363</v>
      </c>
      <c r="I2191" s="133"/>
      <c r="J2191" s="133"/>
      <c r="K2191" s="133"/>
      <c r="L2191" s="133"/>
      <c r="M2191" s="133"/>
      <c r="N2191" s="133"/>
      <c r="O2191" s="133"/>
      <c r="P2191" s="133"/>
      <c r="Q2191" s="133"/>
      <c r="R2191" s="133"/>
      <c r="S2191" s="133"/>
      <c r="T2191" s="133"/>
      <c r="U2191" s="133"/>
      <c r="V2191" s="133"/>
      <c r="W2191" s="133"/>
      <c r="X2191" s="133"/>
      <c r="Y2191" s="133"/>
      <c r="Z2191" s="133"/>
    </row>
    <row r="2192">
      <c r="A2192" s="133"/>
      <c r="B2192" s="133"/>
      <c r="C2192" s="133" t="str">
        <f>IFERROR(__xludf.DUMMYFUNCTION("""COMPUTED_VALUE"""),"2024-312104")</f>
        <v>2024-312104</v>
      </c>
      <c r="D2192" s="133"/>
      <c r="E2192" s="133" t="str">
        <f>IFERROR(__xludf.DUMMYFUNCTION("""COMPUTED_VALUE"""),"مكتمل")</f>
        <v>مكتمل</v>
      </c>
      <c r="F2192" s="133" t="str">
        <f>IFERROR(__xludf.DUMMYFUNCTION("""COMPUTED_VALUE"""),"Dr.Clauder's Trainee snack rabbit 80g")</f>
        <v>Dr.Clauder's Trainee snack rabbit 80g</v>
      </c>
      <c r="G2192" s="133" t="str">
        <f>IFERROR(__xludf.DUMMYFUNCTION("""COMPUTED_VALUE"""),"د. كلاودر تريني سناك لحم الارانب")</f>
        <v>د. كلاودر تريني سناك لحم الارانب</v>
      </c>
      <c r="H2192" s="133" t="str">
        <f>IFERROR(__xludf.DUMMYFUNCTION("""COMPUTED_VALUE"""),"FOM-2024-0474-FEP-2024-82097-C-22548-1364")</f>
        <v>FOM-2024-0474-FEP-2024-82097-C-22548-1364</v>
      </c>
      <c r="I2192" s="133"/>
      <c r="J2192" s="133"/>
      <c r="K2192" s="133"/>
      <c r="L2192" s="133"/>
      <c r="M2192" s="133"/>
      <c r="N2192" s="133"/>
      <c r="O2192" s="133"/>
      <c r="P2192" s="133"/>
      <c r="Q2192" s="133"/>
      <c r="R2192" s="133"/>
      <c r="S2192" s="133"/>
      <c r="T2192" s="133"/>
      <c r="U2192" s="133"/>
      <c r="V2192" s="133"/>
      <c r="W2192" s="133"/>
      <c r="X2192" s="133"/>
      <c r="Y2192" s="133"/>
      <c r="Z2192" s="133"/>
    </row>
    <row r="2193">
      <c r="A2193" s="133"/>
      <c r="B2193" s="133"/>
      <c r="C2193" s="133" t="str">
        <f>IFERROR(__xludf.DUMMYFUNCTION("""COMPUTED_VALUE"""),"2024-312109")</f>
        <v>2024-312109</v>
      </c>
      <c r="D2193" s="133"/>
      <c r="E2193" s="133" t="str">
        <f>IFERROR(__xludf.DUMMYFUNCTION("""COMPUTED_VALUE"""),"مكتمل")</f>
        <v>مكتمل</v>
      </c>
      <c r="F2193" s="133" t="str">
        <f>IFERROR(__xludf.DUMMYFUNCTION("""COMPUTED_VALUE"""),"Dr.Clauder's Trainee snack cheese 80g")</f>
        <v>Dr.Clauder's Trainee snack cheese 80g</v>
      </c>
      <c r="G2193" s="133" t="str">
        <f>IFERROR(__xludf.DUMMYFUNCTION("""COMPUTED_VALUE"""),"د. كلاودر تريني سناك جبن")</f>
        <v>د. كلاودر تريني سناك جبن</v>
      </c>
      <c r="H2193" s="133" t="str">
        <f>IFERROR(__xludf.DUMMYFUNCTION("""COMPUTED_VALUE"""),"FOM-2024-0474-FEP-2024-82098-C-22548-1370")</f>
        <v>FOM-2024-0474-FEP-2024-82098-C-22548-1370</v>
      </c>
      <c r="I2193" s="133"/>
      <c r="J2193" s="133"/>
      <c r="K2193" s="133"/>
      <c r="L2193" s="133"/>
      <c r="M2193" s="133"/>
      <c r="N2193" s="133"/>
      <c r="O2193" s="133"/>
      <c r="P2193" s="133"/>
      <c r="Q2193" s="133"/>
      <c r="R2193" s="133"/>
      <c r="S2193" s="133"/>
      <c r="T2193" s="133"/>
      <c r="U2193" s="133"/>
      <c r="V2193" s="133"/>
      <c r="W2193" s="133"/>
      <c r="X2193" s="133"/>
      <c r="Y2193" s="133"/>
      <c r="Z2193" s="133"/>
    </row>
    <row r="2194">
      <c r="A2194" s="133"/>
      <c r="B2194" s="133"/>
      <c r="C2194" s="133" t="str">
        <f>IFERROR(__xludf.DUMMYFUNCTION("""COMPUTED_VALUE"""),"2024-312112")</f>
        <v>2024-312112</v>
      </c>
      <c r="D2194" s="133"/>
      <c r="E2194" s="133" t="str">
        <f>IFERROR(__xludf.DUMMYFUNCTION("""COMPUTED_VALUE"""),"مكتمل")</f>
        <v>مكتمل</v>
      </c>
      <c r="F2194" s="133" t="str">
        <f>IFERROR(__xludf.DUMMYFUNCTION("""COMPUTED_VALUE"""),"Dr.Clauder's Trainee snack Goat 80g")</f>
        <v>Dr.Clauder's Trainee snack Goat 80g</v>
      </c>
      <c r="G2194" s="133" t="str">
        <f>IFERROR(__xludf.DUMMYFUNCTION("""COMPUTED_VALUE"""),"د. كلاودر تريني سناك لحم الماعز")</f>
        <v>د. كلاودر تريني سناك لحم الماعز</v>
      </c>
      <c r="H2194" s="133" t="str">
        <f>IFERROR(__xludf.DUMMYFUNCTION("""COMPUTED_VALUE"""),"FOM-2024-0474-FEP-2024-82099-C-22548-1369")</f>
        <v>FOM-2024-0474-FEP-2024-82099-C-22548-1369</v>
      </c>
      <c r="I2194" s="133"/>
      <c r="J2194" s="133"/>
      <c r="K2194" s="133"/>
      <c r="L2194" s="133"/>
      <c r="M2194" s="133"/>
      <c r="N2194" s="133"/>
      <c r="O2194" s="133"/>
      <c r="P2194" s="133"/>
      <c r="Q2194" s="133"/>
      <c r="R2194" s="133"/>
      <c r="S2194" s="133"/>
      <c r="T2194" s="133"/>
      <c r="U2194" s="133"/>
      <c r="V2194" s="133"/>
      <c r="W2194" s="133"/>
      <c r="X2194" s="133"/>
      <c r="Y2194" s="133"/>
      <c r="Z2194" s="133"/>
    </row>
    <row r="2195">
      <c r="A2195" s="133"/>
      <c r="B2195" s="133"/>
      <c r="C2195" s="133" t="str">
        <f>IFERROR(__xludf.DUMMYFUNCTION("""COMPUTED_VALUE"""),"2024-312585")</f>
        <v>2024-312585</v>
      </c>
      <c r="D2195" s="133"/>
      <c r="E2195" s="133" t="str">
        <f>IFERROR(__xludf.DUMMYFUNCTION("""COMPUTED_VALUE"""),"مكتمل")</f>
        <v>مكتمل</v>
      </c>
      <c r="F2195" s="133" t="str">
        <f>IFERROR(__xludf.DUMMYFUNCTION("""COMPUTED_VALUE"""),"INABA CUP DASHI DELIGHTS CHICKEN WITH TUNA RECIPE (USA-861)")</f>
        <v>INABA CUP DASHI DELIGHTS CHICKEN WITH TUNA RECIPE (USA-861)</v>
      </c>
      <c r="G2195" s="133" t="str">
        <f>IFERROR(__xludf.DUMMYFUNCTION("""COMPUTED_VALUE"""),"اينابا كاب ديش ديلايت دجاج مع التونة ريسبي")</f>
        <v>اينابا كاب ديش ديلايت دجاج مع التونة ريسبي</v>
      </c>
      <c r="H2195" s="133" t="str">
        <f>IFERROR(__xludf.DUMMYFUNCTION("""COMPUTED_VALUE"""),"FEM-2024-11026-FEP-2024-82228-C-22548-1440")</f>
        <v>FEM-2024-11026-FEP-2024-82228-C-22548-1440</v>
      </c>
      <c r="I2195" s="133"/>
      <c r="J2195" s="133"/>
      <c r="K2195" s="133" t="str">
        <f>IFERROR(__xludf.DUMMYFUNCTION("""COMPUTED_VALUE"""),"شركة تاي اينابا للأغذية المحدودة
")</f>
        <v>شركة تاي اينابا للأغذية المحدودة
</v>
      </c>
      <c r="L2195" s="133"/>
      <c r="M2195" s="133" t="str">
        <f>IFERROR(__xludf.DUMMYFUNCTION("""COMPUTED_VALUE"""),"21-10-2029")</f>
        <v>21-10-2029</v>
      </c>
      <c r="N2195" s="133"/>
      <c r="O2195" s="133"/>
      <c r="P2195" s="133"/>
      <c r="Q2195" s="133"/>
      <c r="R2195" s="133"/>
      <c r="S2195" s="133"/>
      <c r="T2195" s="133"/>
      <c r="U2195" s="133"/>
      <c r="V2195" s="133"/>
      <c r="W2195" s="133"/>
      <c r="X2195" s="133"/>
      <c r="Y2195" s="133"/>
      <c r="Z2195" s="133"/>
    </row>
    <row r="2196">
      <c r="A2196" s="133"/>
      <c r="B2196" s="133"/>
      <c r="C2196" s="133" t="str">
        <f>IFERROR(__xludf.DUMMYFUNCTION("""COMPUTED_VALUE"""),"2024-312605")</f>
        <v>2024-312605</v>
      </c>
      <c r="D2196" s="133"/>
      <c r="E2196" s="133" t="str">
        <f>IFERROR(__xludf.DUMMYFUNCTION("""COMPUTED_VALUE"""),"مكتمل")</f>
        <v>مكتمل</v>
      </c>
      <c r="F2196" s="133" t="str">
        <f>IFERROR(__xludf.DUMMYFUNCTION("""COMPUTED_VALUE"""),"INABA CUP DASHI DELIGHTS CHICKEN WITH TUNA SALMON RECIPE (USA-862)")</f>
        <v>INABA CUP DASHI DELIGHTS CHICKEN WITH TUNA SALMON RECIPE (USA-862)</v>
      </c>
      <c r="G2196" s="133" t="str">
        <f>IFERROR(__xludf.DUMMYFUNCTION("""COMPUTED_VALUE"""),"اينابا كاب ديش ديلايت دجاج مع التونة ولسالمون ريسبي")</f>
        <v>اينابا كاب ديش ديلايت دجاج مع التونة ولسالمون ريسبي</v>
      </c>
      <c r="H2196" s="133" t="str">
        <f>IFERROR(__xludf.DUMMYFUNCTION("""COMPUTED_VALUE"""),"FEM-2024-11027-FEP-2024-82227-C-22548-1425")</f>
        <v>FEM-2024-11027-FEP-2024-82227-C-22548-1425</v>
      </c>
      <c r="I2196" s="133"/>
      <c r="J2196" s="133"/>
      <c r="K2196" s="133"/>
      <c r="L2196" s="133"/>
      <c r="M2196" s="133"/>
      <c r="N2196" s="133"/>
      <c r="O2196" s="133"/>
      <c r="P2196" s="133"/>
      <c r="Q2196" s="133"/>
      <c r="R2196" s="133"/>
      <c r="S2196" s="133"/>
      <c r="T2196" s="133"/>
      <c r="U2196" s="133"/>
      <c r="V2196" s="133"/>
      <c r="W2196" s="133"/>
      <c r="X2196" s="133"/>
      <c r="Y2196" s="133"/>
      <c r="Z2196" s="133"/>
    </row>
    <row r="2197">
      <c r="A2197" s="133"/>
      <c r="B2197" s="133"/>
      <c r="C2197" s="133" t="str">
        <f>IFERROR(__xludf.DUMMYFUNCTION("""COMPUTED_VALUE"""),"2024-312617")</f>
        <v>2024-312617</v>
      </c>
      <c r="D2197" s="133"/>
      <c r="E2197" s="133" t="str">
        <f>IFERROR(__xludf.DUMMYFUNCTION("""COMPUTED_VALUE"""),"مكتمل")</f>
        <v>مكتمل</v>
      </c>
      <c r="F2197" s="133" t="str">
        <f>IFERROR(__xludf.DUMMYFUNCTION("""COMPUTED_VALUE"""),"INABA CUP DASHI DELIGHTS CHICKEN WITH TUNA &amp; SCALLOP
 RECIPE (USA-863)")</f>
        <v>INABA CUP DASHI DELIGHTS CHICKEN WITH TUNA &amp; SCALLOP
 RECIPE (USA-863)</v>
      </c>
      <c r="G2197" s="133" t="str">
        <f>IFERROR(__xludf.DUMMYFUNCTION("""COMPUTED_VALUE"""),"اينابا كاب ديش ديلايت دجاج مع التونة والاسكالوب ريسبي")</f>
        <v>اينابا كاب ديش ديلايت دجاج مع التونة والاسكالوب ريسبي</v>
      </c>
      <c r="H2197" s="133" t="str">
        <f>IFERROR(__xludf.DUMMYFUNCTION("""COMPUTED_VALUE"""),"FEM-2024-11029-FEP-2024-82226-C-22548-1424")</f>
        <v>FEM-2024-11029-FEP-2024-82226-C-22548-1424</v>
      </c>
      <c r="I2197" s="133"/>
      <c r="J2197" s="133"/>
      <c r="K2197" s="133"/>
      <c r="L2197" s="133"/>
      <c r="M2197" s="133"/>
      <c r="N2197" s="133"/>
      <c r="O2197" s="133"/>
      <c r="P2197" s="133"/>
      <c r="Q2197" s="133"/>
      <c r="R2197" s="133"/>
      <c r="S2197" s="133"/>
      <c r="T2197" s="133"/>
      <c r="U2197" s="133"/>
      <c r="V2197" s="133"/>
      <c r="W2197" s="133"/>
      <c r="X2197" s="133"/>
      <c r="Y2197" s="133"/>
      <c r="Z2197" s="133"/>
    </row>
    <row r="2198">
      <c r="A2198" s="133"/>
      <c r="B2198" s="133"/>
      <c r="C2198" s="133" t="str">
        <f>IFERROR(__xludf.DUMMYFUNCTION("""COMPUTED_VALUE"""),"2024-312626")</f>
        <v>2024-312626</v>
      </c>
      <c r="D2198" s="133"/>
      <c r="E2198" s="133" t="str">
        <f>IFERROR(__xludf.DUMMYFUNCTION("""COMPUTED_VALUE"""),"مكتمل")</f>
        <v>مكتمل</v>
      </c>
      <c r="F2198" s="133" t="str">
        <f>IFERROR(__xludf.DUMMYFUNCTION("""COMPUTED_VALUE"""),"INABA CUP DASHI DELIGHTS CHICKEN RECIPE (USA-864)")</f>
        <v>INABA CUP DASHI DELIGHTS CHICKEN RECIPE (USA-864)</v>
      </c>
      <c r="G2198" s="133" t="str">
        <f>IFERROR(__xludf.DUMMYFUNCTION("""COMPUTED_VALUE"""),"اينابا كاب ديش ديلايت دجاج ريسبي")</f>
        <v>اينابا كاب ديش ديلايت دجاج ريسبي</v>
      </c>
      <c r="H2198" s="133" t="str">
        <f>IFERROR(__xludf.DUMMYFUNCTION("""COMPUTED_VALUE"""),"FEM-2024-11030-FEP-2024-82225-C-22548-1423")</f>
        <v>FEM-2024-11030-FEP-2024-82225-C-22548-1423</v>
      </c>
      <c r="I2198" s="133"/>
      <c r="J2198" s="133"/>
      <c r="K2198" s="133"/>
      <c r="L2198" s="133"/>
      <c r="M2198" s="133"/>
      <c r="N2198" s="133"/>
      <c r="O2198" s="133"/>
      <c r="P2198" s="133"/>
      <c r="Q2198" s="133"/>
      <c r="R2198" s="133"/>
      <c r="S2198" s="133"/>
      <c r="T2198" s="133"/>
      <c r="U2198" s="133"/>
      <c r="V2198" s="133"/>
      <c r="W2198" s="133"/>
      <c r="X2198" s="133"/>
      <c r="Y2198" s="133"/>
      <c r="Z2198" s="133"/>
    </row>
    <row r="2199">
      <c r="A2199" s="133"/>
      <c r="B2199" s="133"/>
      <c r="C2199" s="133" t="str">
        <f>IFERROR(__xludf.DUMMYFUNCTION("""COMPUTED_VALUE"""),"2024-312633")</f>
        <v>2024-312633</v>
      </c>
      <c r="D2199" s="133"/>
      <c r="E2199" s="133" t="str">
        <f>IFERROR(__xludf.DUMMYFUNCTION("""COMPUTED_VALUE"""),"مكتمل")</f>
        <v>مكتمل</v>
      </c>
      <c r="F2199" s="133" t="str">
        <f>IFERROR(__xludf.DUMMYFUNCTION("""COMPUTED_VALUE"""),"INABA CUP DASHI DELIGHTS CHICKEN WITH SCALLOP
 RECIPE (USA-865)")</f>
        <v>INABA CUP DASHI DELIGHTS CHICKEN WITH SCALLOP
 RECIPE (USA-865)</v>
      </c>
      <c r="G2199" s="133" t="str">
        <f>IFERROR(__xludf.DUMMYFUNCTION("""COMPUTED_VALUE"""),"اينابا كاب ديش ديلايت دجاج مع الاسكالوب ريسبي")</f>
        <v>اينابا كاب ديش ديلايت دجاج مع الاسكالوب ريسبي</v>
      </c>
      <c r="H2199" s="133" t="str">
        <f>IFERROR(__xludf.DUMMYFUNCTION("""COMPUTED_VALUE"""),"FEM-2024-11031-FEP-2024-82224-C-22548-1422")</f>
        <v>FEM-2024-11031-FEP-2024-82224-C-22548-1422</v>
      </c>
      <c r="I2199" s="133"/>
      <c r="J2199" s="133"/>
      <c r="K2199" s="133"/>
      <c r="L2199" s="133"/>
      <c r="M2199" s="133"/>
      <c r="N2199" s="133"/>
      <c r="O2199" s="133"/>
      <c r="P2199" s="133"/>
      <c r="Q2199" s="133"/>
      <c r="R2199" s="133"/>
      <c r="S2199" s="133"/>
      <c r="T2199" s="133"/>
      <c r="U2199" s="133"/>
      <c r="V2199" s="133"/>
      <c r="W2199" s="133"/>
      <c r="X2199" s="133"/>
      <c r="Y2199" s="133"/>
      <c r="Z2199" s="133"/>
    </row>
    <row r="2200">
      <c r="A2200" s="133"/>
      <c r="B2200" s="133"/>
      <c r="C2200" s="133" t="str">
        <f>IFERROR(__xludf.DUMMYFUNCTION("""COMPUTED_VALUE"""),"2024-312643")</f>
        <v>2024-312643</v>
      </c>
      <c r="D2200" s="133"/>
      <c r="E2200" s="133" t="str">
        <f>IFERROR(__xludf.DUMMYFUNCTION("""COMPUTED_VALUE"""),"مكتمل")</f>
        <v>مكتمل</v>
      </c>
      <c r="F2200" s="133" t="str">
        <f>IFERROR(__xludf.DUMMYFUNCTION("""COMPUTED_VALUE"""),"INABA CUP DASHI DELIGHTS CHICKEN W ITH CHEESE RECIPE
 (USA-866)")</f>
        <v>INABA CUP DASHI DELIGHTS CHICKEN W ITH CHEESE RECIPE
 (USA-866)</v>
      </c>
      <c r="G2200" s="133" t="str">
        <f>IFERROR(__xludf.DUMMYFUNCTION("""COMPUTED_VALUE"""),"اينابا كاب ديش ديلايت دجاج مع الجبن ريسبي")</f>
        <v>اينابا كاب ديش ديلايت دجاج مع الجبن ريسبي</v>
      </c>
      <c r="H2200" s="133" t="str">
        <f>IFERROR(__xludf.DUMMYFUNCTION("""COMPUTED_VALUE"""),"FEM-2024-11032-FEP-2024-82223-C-22548-1421")</f>
        <v>FEM-2024-11032-FEP-2024-82223-C-22548-1421</v>
      </c>
      <c r="I2200" s="133"/>
      <c r="J2200" s="133"/>
      <c r="K2200" s="133"/>
      <c r="L2200" s="133"/>
      <c r="M2200" s="133"/>
      <c r="N2200" s="133"/>
      <c r="O2200" s="133"/>
      <c r="P2200" s="133"/>
      <c r="Q2200" s="133"/>
      <c r="R2200" s="133"/>
      <c r="S2200" s="133"/>
      <c r="T2200" s="133"/>
      <c r="U2200" s="133"/>
      <c r="V2200" s="133"/>
      <c r="W2200" s="133"/>
      <c r="X2200" s="133"/>
      <c r="Y2200" s="133"/>
      <c r="Z2200" s="133"/>
    </row>
    <row r="2201">
      <c r="A2201" s="133"/>
      <c r="B2201" s="133"/>
      <c r="C2201" s="133" t="str">
        <f>IFERROR(__xludf.DUMMYFUNCTION("""COMPUTED_VALUE"""),"2024-312647")</f>
        <v>2024-312647</v>
      </c>
      <c r="D2201" s="133"/>
      <c r="E2201" s="133" t="str">
        <f>IFERROR(__xludf.DUMMYFUNCTION("""COMPUTED_VALUE"""),"مكتمل")</f>
        <v>مكتمل</v>
      </c>
      <c r="F2201" s="133" t="str">
        <f>IFERROR(__xludf.DUMMYFUNCTION("""COMPUTED_VALUE"""),"INABA CUP DASHI DELIGHT S CHICKEN WITH BONITO FLAKES
 RECIPE (USA-867)")</f>
        <v>INABA CUP DASHI DELIGHT S CHICKEN WITH BONITO FLAKES
 RECIPE (USA-867)</v>
      </c>
      <c r="G2201" s="133" t="str">
        <f>IFERROR(__xludf.DUMMYFUNCTION("""COMPUTED_VALUE"""),"اينابا كاب ديش ديلايت دجاج مع بونيتو فليكس ريسبي")</f>
        <v>اينابا كاب ديش ديلايت دجاج مع بونيتو فليكس ريسبي</v>
      </c>
      <c r="H2201" s="133" t="str">
        <f>IFERROR(__xludf.DUMMYFUNCTION("""COMPUTED_VALUE"""),"FEM-2024-11033-FEP-2024-82222-C-22548-1420")</f>
        <v>FEM-2024-11033-FEP-2024-82222-C-22548-1420</v>
      </c>
      <c r="I2201" s="133"/>
      <c r="J2201" s="133"/>
      <c r="K2201" s="133"/>
      <c r="L2201" s="133"/>
      <c r="M2201" s="133"/>
      <c r="N2201" s="133"/>
      <c r="O2201" s="133"/>
      <c r="P2201" s="133"/>
      <c r="Q2201" s="133"/>
      <c r="R2201" s="133"/>
      <c r="S2201" s="133"/>
      <c r="T2201" s="133"/>
      <c r="U2201" s="133"/>
      <c r="V2201" s="133"/>
      <c r="W2201" s="133"/>
      <c r="X2201" s="133"/>
      <c r="Y2201" s="133"/>
      <c r="Z2201" s="133"/>
    </row>
    <row r="2202">
      <c r="A2202" s="133"/>
      <c r="B2202" s="133"/>
      <c r="C2202" s="133" t="str">
        <f>IFERROR(__xludf.DUMMYFUNCTION("""COMPUTED_VALUE"""),"2024-312651")</f>
        <v>2024-312651</v>
      </c>
      <c r="D2202" s="133"/>
      <c r="E2202" s="133" t="str">
        <f>IFERROR(__xludf.DUMMYFUNCTION("""COMPUTED_VALUE"""),"مكتمل")</f>
        <v>مكتمل</v>
      </c>
      <c r="F2202" s="133" t="str">
        <f>IFERROR(__xludf.DUMMYFUNCTION("""COMPUTED_VALUE"""),"INABA CUP DASHI DELIGHTS CHICKEN WITH SALMON RECIPE (USA-868)")</f>
        <v>INABA CUP DASHI DELIGHTS CHICKEN WITH SALMON RECIPE (USA-868)</v>
      </c>
      <c r="G2202" s="133" t="str">
        <f>IFERROR(__xludf.DUMMYFUNCTION("""COMPUTED_VALUE"""),"اينابا كاب ديش ديلايت دجاج مع السالمون ريسبي")</f>
        <v>اينابا كاب ديش ديلايت دجاج مع السالمون ريسبي</v>
      </c>
      <c r="H2202" s="133" t="str">
        <f>IFERROR(__xludf.DUMMYFUNCTION("""COMPUTED_VALUE"""),"FEM-2024-11034-FEP-2024-82221-C-22548-1419")</f>
        <v>FEM-2024-11034-FEP-2024-82221-C-22548-1419</v>
      </c>
      <c r="I2202" s="133"/>
      <c r="J2202" s="133"/>
      <c r="K2202" s="133"/>
      <c r="L2202" s="133"/>
      <c r="M2202" s="133"/>
      <c r="N2202" s="133"/>
      <c r="O2202" s="133"/>
      <c r="P2202" s="133"/>
      <c r="Q2202" s="133"/>
      <c r="R2202" s="133"/>
      <c r="S2202" s="133"/>
      <c r="T2202" s="133"/>
      <c r="U2202" s="133"/>
      <c r="V2202" s="133"/>
      <c r="W2202" s="133"/>
      <c r="X2202" s="133"/>
      <c r="Y2202" s="133"/>
      <c r="Z2202" s="133"/>
    </row>
    <row r="2203">
      <c r="A2203" s="133"/>
      <c r="B2203" s="133"/>
      <c r="C2203" s="133" t="str">
        <f>IFERROR(__xludf.DUMMYFUNCTION("""COMPUTED_VALUE"""),"2024-330246")</f>
        <v>2024-330246</v>
      </c>
      <c r="D2203" s="133"/>
      <c r="E2203" s="133" t="str">
        <f>IFERROR(__xludf.DUMMYFUNCTION("""COMPUTED_VALUE"""),"مكتمل ")</f>
        <v>مكتمل </v>
      </c>
      <c r="F2203" s="133" t="str">
        <f>IFERROR(__xludf.DUMMYFUNCTION("""COMPUTED_VALUE"""),"WEL WD CORE 95 Turkey with Kale ")</f>
        <v>WEL WD CORE 95 Turkey with Kale </v>
      </c>
      <c r="G2203" s="133" t="str">
        <f>IFERROR(__xludf.DUMMYFUNCTION("""COMPUTED_VALUE"""),"ويلنس كور 95% ديك رومي مع كالي")</f>
        <v>ويلنس كور 95% ديك رومي مع كالي</v>
      </c>
      <c r="H2203" s="133" t="str">
        <f>IFERROR(__xludf.DUMMYFUNCTION("""COMPUTED_VALUE"""),"FEM-2024-14516-FEP-2024-82534-C-22548-1633")</f>
        <v>FEM-2024-14516-FEP-2024-82534-C-22548-1633</v>
      </c>
      <c r="I2203" s="133"/>
      <c r="J2203" s="133"/>
      <c r="K2203" s="133" t="str">
        <f>IFERROR(__xludf.DUMMYFUNCTION("""COMPUTED_VALUE"""),"ولبت بلجيكا بي في
")</f>
        <v>ولبت بلجيكا بي في
</v>
      </c>
      <c r="L2203" s="133"/>
      <c r="M2203" s="133">
        <f>IFERROR(__xludf.DUMMYFUNCTION("""COMPUTED_VALUE"""),47219.0)</f>
        <v>47219</v>
      </c>
      <c r="N2203" s="133"/>
      <c r="O2203" s="133"/>
      <c r="P2203" s="133"/>
      <c r="Q2203" s="133"/>
      <c r="R2203" s="133"/>
      <c r="S2203" s="133"/>
      <c r="T2203" s="133"/>
      <c r="U2203" s="133"/>
      <c r="V2203" s="133"/>
      <c r="W2203" s="133"/>
      <c r="X2203" s="133"/>
      <c r="Y2203" s="133"/>
      <c r="Z2203" s="133"/>
    </row>
    <row r="2204">
      <c r="A2204" s="133"/>
      <c r="B2204" s="133"/>
      <c r="C2204" s="133" t="str">
        <f>IFERROR(__xludf.DUMMYFUNCTION("""COMPUTED_VALUE"""),"2024-330277")</f>
        <v>2024-330277</v>
      </c>
      <c r="D2204" s="133"/>
      <c r="E2204" s="133" t="str">
        <f>IFERROR(__xludf.DUMMYFUNCTION("""COMPUTED_VALUE"""),"مكتمل")</f>
        <v>مكتمل</v>
      </c>
      <c r="F2204" s="133" t="str">
        <f>IFERROR(__xludf.DUMMYFUNCTION("""COMPUTED_VALUE"""),"WEL WD CORE 95 Lamb With Pumpkin ")</f>
        <v>WEL WD CORE 95 Lamb With Pumpkin </v>
      </c>
      <c r="G2204" s="133" t="str">
        <f>IFERROR(__xludf.DUMMYFUNCTION("""COMPUTED_VALUE"""),"ويلنس كور 95% لحم الضأن مع القرع")</f>
        <v>ويلنس كور 95% لحم الضأن مع القرع</v>
      </c>
      <c r="H2204" s="133" t="str">
        <f>IFERROR(__xludf.DUMMYFUNCTION("""COMPUTED_VALUE"""),"FEM-2024-14517-FEP-2024-82535-C-22548-2007
")</f>
        <v>FEM-2024-14517-FEP-2024-82535-C-22548-2007
</v>
      </c>
      <c r="I2204" s="133"/>
      <c r="J2204" s="133"/>
      <c r="K2204" s="133"/>
      <c r="L2204" s="133"/>
      <c r="M2204" s="133"/>
      <c r="N2204" s="133"/>
      <c r="O2204" s="133"/>
      <c r="P2204" s="133"/>
      <c r="Q2204" s="133"/>
      <c r="R2204" s="133"/>
      <c r="S2204" s="133"/>
      <c r="T2204" s="133"/>
      <c r="U2204" s="133"/>
      <c r="V2204" s="133"/>
      <c r="W2204" s="133"/>
      <c r="X2204" s="133"/>
      <c r="Y2204" s="133"/>
      <c r="Z2204" s="133"/>
    </row>
    <row r="2205">
      <c r="A2205" s="133"/>
      <c r="B2205" s="133"/>
      <c r="C2205" s="133" t="str">
        <f>IFERROR(__xludf.DUMMYFUNCTION("""COMPUTED_VALUE"""),"2024-330299")</f>
        <v>2024-330299</v>
      </c>
      <c r="D2205" s="133"/>
      <c r="E2205" s="133" t="str">
        <f>IFERROR(__xludf.DUMMYFUNCTION("""COMPUTED_VALUE"""),"مكتمل ")</f>
        <v>مكتمل </v>
      </c>
      <c r="F2205" s="133" t="str">
        <f>IFERROR(__xludf.DUMMYFUNCTION("""COMPUTED_VALUE"""),"WEL WD CORE 95 Beef with Broccoli ")</f>
        <v>WEL WD CORE 95 Beef with Broccoli </v>
      </c>
      <c r="G2205" s="133" t="str">
        <f>IFERROR(__xludf.DUMMYFUNCTION("""COMPUTED_VALUE"""),"ويلنس كور 95% لحم بقري مع بروكلي")</f>
        <v>ويلنس كور 95% لحم بقري مع بروكلي</v>
      </c>
      <c r="H2205" s="133" t="str">
        <f>IFERROR(__xludf.DUMMYFUNCTION("""COMPUTED_VALUE"""),"FEM-2024-14519-FEP-2024-82537-C-22548-2008
")</f>
        <v>FEM-2024-14519-FEP-2024-82537-C-22548-2008
</v>
      </c>
      <c r="I2205" s="133"/>
      <c r="J2205" s="133"/>
      <c r="K2205" s="133"/>
      <c r="L2205" s="133"/>
      <c r="M2205" s="133"/>
      <c r="N2205" s="133"/>
      <c r="O2205" s="133"/>
      <c r="P2205" s="133"/>
      <c r="Q2205" s="133"/>
      <c r="R2205" s="133"/>
      <c r="S2205" s="133"/>
      <c r="T2205" s="133"/>
      <c r="U2205" s="133"/>
      <c r="V2205" s="133"/>
      <c r="W2205" s="133"/>
      <c r="X2205" s="133"/>
      <c r="Y2205" s="133"/>
      <c r="Z2205" s="133"/>
    </row>
    <row r="2206">
      <c r="A2206" s="133"/>
      <c r="B2206" s="133"/>
      <c r="C2206" s="133" t="str">
        <f>IFERROR(__xludf.DUMMYFUNCTION("""COMPUTED_VALUE"""),"2024-330316")</f>
        <v>2024-330316</v>
      </c>
      <c r="D2206" s="133"/>
      <c r="E2206" s="133" t="str">
        <f>IFERROR(__xludf.DUMMYFUNCTION("""COMPUTED_VALUE"""),"مكتمل ")</f>
        <v>مكتمل </v>
      </c>
      <c r="F2206" s="133" t="str">
        <f>IFERROR(__xludf.DUMMYFUNCTION("""COMPUTED_VALUE"""),"WEL WD CORE 95 Turkey with Goat ")</f>
        <v>WEL WD CORE 95 Turkey with Goat </v>
      </c>
      <c r="G2206" s="133" t="str">
        <f>IFERROR(__xludf.DUMMYFUNCTION("""COMPUTED_VALUE"""),"ويلنس كور 95% ديك رومي مع لحم الماعز")</f>
        <v>ويلنس كور 95% ديك رومي مع لحم الماعز</v>
      </c>
      <c r="H2206" s="133" t="str">
        <f>IFERROR(__xludf.DUMMYFUNCTION("""COMPUTED_VALUE"""),"FEM-2024-14521-FEP-2024-82776-C-22548-2009")</f>
        <v>FEM-2024-14521-FEP-2024-82776-C-22548-2009</v>
      </c>
      <c r="I2206" s="133"/>
      <c r="J2206" s="133"/>
      <c r="K2206" s="133"/>
      <c r="L2206" s="133"/>
      <c r="M2206" s="133"/>
      <c r="N2206" s="133"/>
      <c r="O2206" s="133"/>
      <c r="P2206" s="133"/>
      <c r="Q2206" s="133"/>
      <c r="R2206" s="133"/>
      <c r="S2206" s="133"/>
      <c r="T2206" s="133"/>
      <c r="U2206" s="133"/>
      <c r="V2206" s="133"/>
      <c r="W2206" s="133"/>
      <c r="X2206" s="133"/>
      <c r="Y2206" s="133"/>
      <c r="Z2206" s="133"/>
    </row>
    <row r="2207">
      <c r="A2207" s="133"/>
      <c r="B2207" s="133"/>
      <c r="C2207" s="133" t="str">
        <f>IFERROR(__xludf.DUMMYFUNCTION("""COMPUTED_VALUE"""),"2024-330324")</f>
        <v>2024-330324</v>
      </c>
      <c r="D2207" s="133"/>
      <c r="E2207" s="133" t="str">
        <f>IFERROR(__xludf.DUMMYFUNCTION("""COMPUTED_VALUE"""),"مكتمل")</f>
        <v>مكتمل</v>
      </c>
      <c r="F2207" s="133" t="str">
        <f>IFERROR(__xludf.DUMMYFUNCTION("""COMPUTED_VALUE"""),"WEL WD CORE 95 Chicken with Duck with carrots ")</f>
        <v>WEL WD CORE 95 Chicken with Duck with carrots </v>
      </c>
      <c r="G2207" s="133" t="str">
        <f>IFERROR(__xludf.DUMMYFUNCTION("""COMPUTED_VALUE"""),"ويلنس كور 95% دجاج وبط مع الجزر")</f>
        <v>ويلنس كور 95% دجاج وبط مع الجزر</v>
      </c>
      <c r="H2207" s="133" t="str">
        <f>IFERROR(__xludf.DUMMYFUNCTION("""COMPUTED_VALUE"""),"FEM-2024-14522-FEP-2024-82540-C-22548-2010
")</f>
        <v>FEM-2024-14522-FEP-2024-82540-C-22548-2010
</v>
      </c>
      <c r="I2207" s="133"/>
      <c r="J2207" s="133"/>
      <c r="K2207" s="133"/>
      <c r="L2207" s="133"/>
      <c r="M2207" s="133"/>
      <c r="N2207" s="133"/>
      <c r="O2207" s="133"/>
      <c r="P2207" s="133"/>
      <c r="Q2207" s="133"/>
      <c r="R2207" s="133"/>
      <c r="S2207" s="133"/>
      <c r="T2207" s="133"/>
      <c r="U2207" s="133"/>
      <c r="V2207" s="133"/>
      <c r="W2207" s="133"/>
      <c r="X2207" s="133"/>
      <c r="Y2207" s="133"/>
      <c r="Z2207" s="133"/>
    </row>
    <row r="2208">
      <c r="A2208" s="133"/>
      <c r="B2208" s="133"/>
      <c r="C2208" s="133" t="str">
        <f>IFERROR(__xludf.DUMMYFUNCTION("""COMPUTED_VALUE"""),"2024-330334")</f>
        <v>2024-330334</v>
      </c>
      <c r="D2208" s="133"/>
      <c r="E2208" s="133" t="str">
        <f>IFERROR(__xludf.DUMMYFUNCTION("""COMPUTED_VALUE"""),"مكتمل ")</f>
        <v>مكتمل </v>
      </c>
      <c r="F2208" s="133" t="str">
        <f>IFERROR(__xludf.DUMMYFUNCTION("""COMPUTED_VALUE"""),"WEL WD CORE 95 Puppy original ")</f>
        <v>WEL WD CORE 95 Puppy original </v>
      </c>
      <c r="G2208" s="133" t="str">
        <f>IFERROR(__xludf.DUMMYFUNCTION("""COMPUTED_VALUE"""),"ويلنس كور 95% بابي اورجنال")</f>
        <v>ويلنس كور 95% بابي اورجنال</v>
      </c>
      <c r="H2208" s="133"/>
      <c r="I2208" s="133"/>
      <c r="J2208" s="133"/>
      <c r="K2208" s="133"/>
      <c r="L2208" s="133"/>
      <c r="M2208" s="133"/>
      <c r="N2208" s="133"/>
      <c r="O2208" s="133"/>
      <c r="P2208" s="133"/>
      <c r="Q2208" s="133"/>
      <c r="R2208" s="133"/>
      <c r="S2208" s="133"/>
      <c r="T2208" s="133"/>
      <c r="U2208" s="133"/>
      <c r="V2208" s="133"/>
      <c r="W2208" s="133"/>
      <c r="X2208" s="133"/>
      <c r="Y2208" s="133"/>
      <c r="Z2208" s="133"/>
    </row>
    <row r="2209">
      <c r="A2209" s="133"/>
      <c r="B2209" s="133"/>
      <c r="C2209" s="133" t="str">
        <f>IFERROR(__xludf.DUMMYFUNCTION("""COMPUTED_VALUE"""),"2024-346683")</f>
        <v>2024-346683</v>
      </c>
      <c r="D2209" s="133"/>
      <c r="E2209" s="133" t="str">
        <f>IFERROR(__xludf.DUMMYFUNCTION("""COMPUTED_VALUE"""),"مكتمل ")</f>
        <v>مكتمل </v>
      </c>
      <c r="F2209" s="133" t="str">
        <f>IFERROR(__xludf.DUMMYFUNCTION("""COMPUTED_VALUE"""),"WEL WC CORE 98% Beef Recipe 12/85g")</f>
        <v>WEL WC CORE 98% Beef Recipe 12/85g</v>
      </c>
      <c r="G2209" s="133" t="str">
        <f>IFERROR(__xludf.DUMMYFUNCTION("""COMPUTED_VALUE"""),"ويلنس كور 98 % لحم بقري")</f>
        <v>ويلنس كور 98 % لحم بقري</v>
      </c>
      <c r="H2209" s="133" t="str">
        <f>IFERROR(__xludf.DUMMYFUNCTION("""COMPUTED_VALUE"""),"FEM-2024-15178-FEP-2024-82877-C-22548-1842
")</f>
        <v>FEM-2024-15178-FEP-2024-82877-C-22548-1842
</v>
      </c>
      <c r="I2209" s="133"/>
      <c r="J2209" s="133"/>
      <c r="K2209" s="133"/>
      <c r="L2209" s="133"/>
      <c r="M2209" s="133"/>
      <c r="N2209" s="133"/>
      <c r="O2209" s="133"/>
      <c r="P2209" s="133"/>
      <c r="Q2209" s="133"/>
      <c r="R2209" s="133"/>
      <c r="S2209" s="133"/>
      <c r="T2209" s="133"/>
      <c r="U2209" s="133"/>
      <c r="V2209" s="133"/>
      <c r="W2209" s="133"/>
      <c r="X2209" s="133"/>
      <c r="Y2209" s="133"/>
      <c r="Z2209" s="133"/>
    </row>
    <row r="2210">
      <c r="A2210" s="133"/>
      <c r="B2210" s="133"/>
      <c r="C2210" s="133" t="str">
        <f>IFERROR(__xludf.DUMMYFUNCTION("""COMPUTED_VALUE"""),"2024-346711")</f>
        <v>2024-346711</v>
      </c>
      <c r="D2210" s="133"/>
      <c r="E2210" s="133" t="str">
        <f>IFERROR(__xludf.DUMMYFUNCTION("""COMPUTED_VALUE"""),"مكتمل ")</f>
        <v>مكتمل </v>
      </c>
      <c r="F2210" s="133" t="str">
        <f>IFERROR(__xludf.DUMMYFUNCTION("""COMPUTED_VALUE"""),"WEL WC CORE 98% Turkey Recipe12/85g")</f>
        <v>WEL WC CORE 98% Turkey Recipe12/85g</v>
      </c>
      <c r="G2210" s="133" t="str">
        <f>IFERROR(__xludf.DUMMYFUNCTION("""COMPUTED_VALUE"""),"ويلنس كور 98 % ديك الرومي")</f>
        <v>ويلنس كور 98 % ديك الرومي</v>
      </c>
      <c r="H2210" s="133" t="str">
        <f>IFERROR(__xludf.DUMMYFUNCTION("""COMPUTED_VALUE"""),"FEM-2024-15179-FEP-2024-82879-C-22548-1845")</f>
        <v>FEM-2024-15179-FEP-2024-82879-C-22548-1845</v>
      </c>
      <c r="I2210" s="133"/>
      <c r="J2210" s="133"/>
      <c r="K2210" s="133"/>
      <c r="L2210" s="133"/>
      <c r="M2210" s="133"/>
      <c r="N2210" s="133"/>
      <c r="O2210" s="133"/>
      <c r="P2210" s="133"/>
      <c r="Q2210" s="133"/>
      <c r="R2210" s="133"/>
      <c r="S2210" s="133"/>
      <c r="T2210" s="133"/>
      <c r="U2210" s="133"/>
      <c r="V2210" s="133"/>
      <c r="W2210" s="133"/>
      <c r="X2210" s="133"/>
      <c r="Y2210" s="133"/>
      <c r="Z2210" s="133"/>
    </row>
    <row r="2211">
      <c r="A2211" s="133"/>
      <c r="B2211" s="133"/>
      <c r="C2211" s="133" t="str">
        <f>IFERROR(__xludf.DUMMYFUNCTION("""COMPUTED_VALUE"""),"2024-346720")</f>
        <v>2024-346720</v>
      </c>
      <c r="D2211" s="133"/>
      <c r="E2211" s="133" t="str">
        <f>IFERROR(__xludf.DUMMYFUNCTION("""COMPUTED_VALUE"""),"مكتمل ")</f>
        <v>مكتمل </v>
      </c>
      <c r="F2211" s="133" t="str">
        <f>IFERROR(__xludf.DUMMYFUNCTION("""COMPUTED_VALUE"""),"WEL WC CORE 98% Ckn/SalmRecip12/85g")</f>
        <v>WEL WC CORE 98% Ckn/SalmRecip12/85g</v>
      </c>
      <c r="G2211" s="133" t="str">
        <f>IFERROR(__xludf.DUMMYFUNCTION("""COMPUTED_VALUE"""),"ويلنس كور 98 % دجاج مع السالمون")</f>
        <v>ويلنس كور 98 % دجاج مع السالمون</v>
      </c>
      <c r="H2211" s="133" t="str">
        <f>IFERROR(__xludf.DUMMYFUNCTION("""COMPUTED_VALUE"""),"FEM-2024-15183-FEP-2024-82882-C-22548-1847")</f>
        <v>FEM-2024-15183-FEP-2024-82882-C-22548-1847</v>
      </c>
      <c r="I2211" s="133"/>
      <c r="J2211" s="133"/>
      <c r="K2211" s="133"/>
      <c r="L2211" s="133"/>
      <c r="M2211" s="133"/>
      <c r="N2211" s="133"/>
      <c r="O2211" s="133"/>
      <c r="P2211" s="133"/>
      <c r="Q2211" s="133"/>
      <c r="R2211" s="133"/>
      <c r="S2211" s="133"/>
      <c r="T2211" s="133"/>
      <c r="U2211" s="133"/>
      <c r="V2211" s="133"/>
      <c r="W2211" s="133"/>
      <c r="X2211" s="133"/>
      <c r="Y2211" s="133"/>
      <c r="Z2211" s="133"/>
    </row>
    <row r="2212">
      <c r="A2212" s="133"/>
      <c r="B2212" s="133" t="str">
        <f>IFERROR(__xludf.DUMMYFUNCTION("""COMPUTED_VALUE"""),"يحتوي علي الخنزير ")</f>
        <v>يحتوي علي الخنزير </v>
      </c>
      <c r="C2212" s="133" t="str">
        <f>IFERROR(__xludf.DUMMYFUNCTION("""COMPUTED_VALUE"""),"2024-346733")</f>
        <v>2024-346733</v>
      </c>
      <c r="D2212" s="133"/>
      <c r="E2212" s="133" t="str">
        <f>IFERROR(__xludf.DUMMYFUNCTION("""COMPUTED_VALUE"""),"مرفوض ")</f>
        <v>مرفوض </v>
      </c>
      <c r="F2212" s="133" t="str">
        <f>IFERROR(__xludf.DUMMYFUNCTION("""COMPUTED_VALUE"""),"WEL WC CORE 98% Ckn/Wild Boar12/85g")</f>
        <v>WEL WC CORE 98% Ckn/Wild Boar12/85g</v>
      </c>
      <c r="G2212" s="133" t="str">
        <f>IFERROR(__xludf.DUMMYFUNCTION("""COMPUTED_VALUE"""),"ويلنس كور 98 % دجاج مع الخنزير البري")</f>
        <v>ويلنس كور 98 % دجاج مع الخنزير البري</v>
      </c>
      <c r="H2212" s="133"/>
      <c r="I2212" s="133"/>
      <c r="J2212" s="133"/>
      <c r="K2212" s="133"/>
      <c r="L2212" s="142" t="str">
        <f>IFERROR(__xludf.DUMMYFUNCTION("""COMPUTED_VALUE"""),"يحتوي علي الخنزير ")</f>
        <v>يحتوي علي الخنزير </v>
      </c>
      <c r="M2212" s="133"/>
      <c r="N2212" s="133"/>
      <c r="O2212" s="133"/>
      <c r="P2212" s="133"/>
      <c r="Q2212" s="133"/>
      <c r="R2212" s="133"/>
      <c r="S2212" s="133"/>
      <c r="T2212" s="133"/>
      <c r="U2212" s="133"/>
      <c r="V2212" s="133"/>
      <c r="W2212" s="133"/>
      <c r="X2212" s="133"/>
      <c r="Y2212" s="133"/>
      <c r="Z2212" s="133"/>
    </row>
    <row r="2213">
      <c r="A2213" s="133"/>
      <c r="B2213" s="133"/>
      <c r="C2213" s="133" t="str">
        <f>IFERROR(__xludf.DUMMYFUNCTION("""COMPUTED_VALUE"""),"2024-346809")</f>
        <v>2024-346809</v>
      </c>
      <c r="D2213" s="133"/>
      <c r="E2213" s="133" t="str">
        <f>IFERROR(__xludf.DUMMYFUNCTION("""COMPUTED_VALUE"""),"مكتمل")</f>
        <v>مكتمل</v>
      </c>
      <c r="F2213" s="133" t="str">
        <f>IFERROR(__xludf.DUMMYFUNCTION("""COMPUTED_VALUE"""),"Wellness core purely pate adult chicken")</f>
        <v>Wellness core purely pate adult chicken</v>
      </c>
      <c r="G2213" s="133" t="str">
        <f>IFERROR(__xludf.DUMMYFUNCTION("""COMPUTED_VALUE"""),"ويلنس كور بيرلي باتيه وصفة الدجاج")</f>
        <v>ويلنس كور بيرلي باتيه وصفة الدجاج</v>
      </c>
      <c r="H2213" s="133" t="str">
        <f>IFERROR(__xludf.DUMMYFUNCTION("""COMPUTED_VALUE"""),"FEM-2024-15196-FEP-2024-82888-C-22548-1846
")</f>
        <v>FEM-2024-15196-FEP-2024-82888-C-22548-1846
</v>
      </c>
      <c r="I2213" s="133"/>
      <c r="J2213" s="133"/>
      <c r="K2213" s="133" t="str">
        <f>IFERROR(__xludf.DUMMYFUNCTION("""COMPUTED_VALUE"""),"يونيكورد بابليك كمبني ليميتيد")</f>
        <v>يونيكورد بابليك كمبني ليميتيد</v>
      </c>
      <c r="L2213" s="133"/>
      <c r="M2213" s="133" t="str">
        <f>IFERROR(__xludf.DUMMYFUNCTION("""COMPUTED_VALUE"""),"23/11/2029
")</f>
        <v>23/11/2029
</v>
      </c>
      <c r="N2213" s="133"/>
      <c r="O2213" s="133"/>
      <c r="P2213" s="133"/>
      <c r="Q2213" s="133"/>
      <c r="R2213" s="133"/>
      <c r="S2213" s="133"/>
      <c r="T2213" s="133"/>
      <c r="U2213" s="133"/>
      <c r="V2213" s="133"/>
      <c r="W2213" s="133"/>
      <c r="X2213" s="133"/>
      <c r="Y2213" s="133"/>
      <c r="Z2213" s="133"/>
    </row>
    <row r="2214">
      <c r="A2214" s="133"/>
      <c r="B2214" s="133"/>
      <c r="C2214" s="133" t="str">
        <f>IFERROR(__xludf.DUMMYFUNCTION("""COMPUTED_VALUE"""),"2024-346825")</f>
        <v>2024-346825</v>
      </c>
      <c r="D2214" s="133"/>
      <c r="E2214" s="133" t="str">
        <f>IFERROR(__xludf.DUMMYFUNCTION("""COMPUTED_VALUE"""),"مكتمل")</f>
        <v>مكتمل</v>
      </c>
      <c r="F2214" s="133" t="str">
        <f>IFERROR(__xludf.DUMMYFUNCTION("""COMPUTED_VALUE"""),"Wellness core purely pate adult chicken &amp; turkey")</f>
        <v>Wellness core purely pate adult chicken &amp; turkey</v>
      </c>
      <c r="G2214" s="133" t="str">
        <f>IFERROR(__xludf.DUMMYFUNCTION("""COMPUTED_VALUE"""),"ويلنس كور بيرلي باتيه وصفة الدجاج مع الديك الرومي")</f>
        <v>ويلنس كور بيرلي باتيه وصفة الدجاج مع الديك الرومي</v>
      </c>
      <c r="H2214" s="133" t="str">
        <f>IFERROR(__xludf.DUMMYFUNCTION("""COMPUTED_VALUE"""),"FEM-2024-15197-FEP-2024-82889-C-22548-1848")</f>
        <v>FEM-2024-15197-FEP-2024-82889-C-22548-1848</v>
      </c>
      <c r="I2214" s="133"/>
      <c r="J2214" s="133"/>
      <c r="K2214" s="133" t="str">
        <f>IFERROR(__xludf.DUMMYFUNCTION("""COMPUTED_VALUE"""),"يونيكورد بابليك كمبني ليميتيد")</f>
        <v>يونيكورد بابليك كمبني ليميتيد</v>
      </c>
      <c r="L2214" s="133"/>
      <c r="M2214" s="133" t="str">
        <f>IFERROR(__xludf.DUMMYFUNCTION("""COMPUTED_VALUE"""),"23/11/2029
")</f>
        <v>23/11/2029
</v>
      </c>
      <c r="N2214" s="133"/>
      <c r="O2214" s="133"/>
      <c r="P2214" s="133"/>
      <c r="Q2214" s="133"/>
      <c r="R2214" s="133"/>
      <c r="S2214" s="133"/>
      <c r="T2214" s="133"/>
      <c r="U2214" s="133"/>
      <c r="V2214" s="133"/>
      <c r="W2214" s="133"/>
      <c r="X2214" s="133"/>
      <c r="Y2214" s="133"/>
      <c r="Z2214" s="133"/>
    </row>
    <row r="2215">
      <c r="A2215" s="133"/>
      <c r="B2215" s="133"/>
      <c r="C2215" s="133" t="str">
        <f>IFERROR(__xludf.DUMMYFUNCTION("""COMPUTED_VALUE"""),"2024-346831")</f>
        <v>2024-346831</v>
      </c>
      <c r="D2215" s="133"/>
      <c r="E2215" s="133" t="str">
        <f>IFERROR(__xludf.DUMMYFUNCTION("""COMPUTED_VALUE"""),"مكتمل")</f>
        <v>مكتمل</v>
      </c>
      <c r="F2215" s="133" t="str">
        <f>IFERROR(__xludf.DUMMYFUNCTION("""COMPUTED_VALUE"""),"Wellness core purely pate adult chicken &amp; beef")</f>
        <v>Wellness core purely pate adult chicken &amp; beef</v>
      </c>
      <c r="G2215" s="133" t="str">
        <f>IFERROR(__xludf.DUMMYFUNCTION("""COMPUTED_VALUE"""),"ويلنس كور بيرلي باتيه وصفة الدجاج مع اللحم البقري")</f>
        <v>ويلنس كور بيرلي باتيه وصفة الدجاج مع اللحم البقري</v>
      </c>
      <c r="H2215" s="133" t="str">
        <f>IFERROR(__xludf.DUMMYFUNCTION("""COMPUTED_VALUE"""),"FEM-2024-15198-FEP-2024-82890-C-22548-1855
")</f>
        <v>FEM-2024-15198-FEP-2024-82890-C-22548-1855
</v>
      </c>
      <c r="I2215" s="133"/>
      <c r="J2215" s="133"/>
      <c r="K2215" s="133" t="str">
        <f>IFERROR(__xludf.DUMMYFUNCTION("""COMPUTED_VALUE"""),"يونيكورد بابليك كمبني ليميتيد")</f>
        <v>يونيكورد بابليك كمبني ليميتيد</v>
      </c>
      <c r="L2215" s="133"/>
      <c r="M2215" s="133" t="str">
        <f>IFERROR(__xludf.DUMMYFUNCTION("""COMPUTED_VALUE"""),"23/11/2029
")</f>
        <v>23/11/2029
</v>
      </c>
      <c r="N2215" s="133"/>
      <c r="O2215" s="133"/>
      <c r="P2215" s="133"/>
      <c r="Q2215" s="133"/>
      <c r="R2215" s="133"/>
      <c r="S2215" s="133"/>
      <c r="T2215" s="133"/>
      <c r="U2215" s="133"/>
      <c r="V2215" s="133"/>
      <c r="W2215" s="133"/>
      <c r="X2215" s="133"/>
      <c r="Y2215" s="133"/>
      <c r="Z2215" s="133"/>
    </row>
    <row r="2216">
      <c r="A2216" s="133"/>
      <c r="B2216" s="133"/>
      <c r="C2216" s="133" t="str">
        <f>IFERROR(__xludf.DUMMYFUNCTION("""COMPUTED_VALUE"""),"2024-346837")</f>
        <v>2024-346837</v>
      </c>
      <c r="D2216" s="133"/>
      <c r="E2216" s="133" t="str">
        <f>IFERROR(__xludf.DUMMYFUNCTION("""COMPUTED_VALUE"""),"مكتمل")</f>
        <v>مكتمل</v>
      </c>
      <c r="F2216" s="133" t="str">
        <f>IFERROR(__xludf.DUMMYFUNCTION("""COMPUTED_VALUE"""),"Wellness core purely pate adult Duck &amp; Chicken")</f>
        <v>Wellness core purely pate adult Duck &amp; Chicken</v>
      </c>
      <c r="G2216" s="133" t="str">
        <f>IFERROR(__xludf.DUMMYFUNCTION("""COMPUTED_VALUE"""),"ويلنس كور بيرلي باتيه البط مع الدجاج")</f>
        <v>ويلنس كور بيرلي باتيه البط مع الدجاج</v>
      </c>
      <c r="H2216" s="133" t="str">
        <f>IFERROR(__xludf.DUMMYFUNCTION("""COMPUTED_VALUE"""),"FEM-2024-15199-FEP-2024-82891-C-22548-1854")</f>
        <v>FEM-2024-15199-FEP-2024-82891-C-22548-1854</v>
      </c>
      <c r="I2216" s="133"/>
      <c r="J2216" s="133"/>
      <c r="K2216" s="133" t="str">
        <f>IFERROR(__xludf.DUMMYFUNCTION("""COMPUTED_VALUE"""),"يونيكورد بابليك كمبني ليميتيد")</f>
        <v>يونيكورد بابليك كمبني ليميتيد</v>
      </c>
      <c r="L2216" s="133"/>
      <c r="M2216" s="133" t="str">
        <f>IFERROR(__xludf.DUMMYFUNCTION("""COMPUTED_VALUE"""),"23/11/2029
")</f>
        <v>23/11/2029
</v>
      </c>
      <c r="N2216" s="133"/>
      <c r="O2216" s="133"/>
      <c r="P2216" s="133"/>
      <c r="Q2216" s="133"/>
      <c r="R2216" s="133"/>
      <c r="S2216" s="133"/>
      <c r="T2216" s="133"/>
      <c r="U2216" s="133"/>
      <c r="V2216" s="133"/>
      <c r="W2216" s="133"/>
      <c r="X2216" s="133"/>
      <c r="Y2216" s="133"/>
      <c r="Z2216" s="133"/>
    </row>
    <row r="2217">
      <c r="A2217" s="133"/>
      <c r="B2217" s="133"/>
      <c r="C2217" s="133" t="str">
        <f>IFERROR(__xludf.DUMMYFUNCTION("""COMPUTED_VALUE"""),"2024-346845")</f>
        <v>2024-346845</v>
      </c>
      <c r="D2217" s="133"/>
      <c r="E2217" s="133" t="str">
        <f>IFERROR(__xludf.DUMMYFUNCTION("""COMPUTED_VALUE"""),"مكتمل")</f>
        <v>مكتمل</v>
      </c>
      <c r="F2217" s="133" t="str">
        <f>IFERROR(__xludf.DUMMYFUNCTION("""COMPUTED_VALUE"""),"Wellness core purely pate kitten chicken &amp; Tuna")</f>
        <v>Wellness core purely pate kitten chicken &amp; Tuna</v>
      </c>
      <c r="G2217" s="133" t="str">
        <f>IFERROR(__xludf.DUMMYFUNCTION("""COMPUTED_VALUE"""),"ويلنس كور بيرلي باتيه دجاج مع التونة للقطط الصغيرة")</f>
        <v>ويلنس كور بيرلي باتيه دجاج مع التونة للقطط الصغيرة</v>
      </c>
      <c r="H2217" s="133" t="str">
        <f>IFERROR(__xludf.DUMMYFUNCTION("""COMPUTED_VALUE"""),"FEM-2024-15200-FEP-2024-82892-C-22548-1853")</f>
        <v>FEM-2024-15200-FEP-2024-82892-C-22548-1853</v>
      </c>
      <c r="I2217" s="133"/>
      <c r="J2217" s="133"/>
      <c r="K2217" s="133" t="str">
        <f>IFERROR(__xludf.DUMMYFUNCTION("""COMPUTED_VALUE"""),"يونيكورد بابليك كمبني ليميتيد")</f>
        <v>يونيكورد بابليك كمبني ليميتيد</v>
      </c>
      <c r="L2217" s="133"/>
      <c r="M2217" s="133" t="str">
        <f>IFERROR(__xludf.DUMMYFUNCTION("""COMPUTED_VALUE"""),"23/11/2029
")</f>
        <v>23/11/2029
</v>
      </c>
      <c r="N2217" s="133"/>
      <c r="O2217" s="133"/>
      <c r="P2217" s="133"/>
      <c r="Q2217" s="133"/>
      <c r="R2217" s="133"/>
      <c r="S2217" s="133"/>
      <c r="T2217" s="133"/>
      <c r="U2217" s="133"/>
      <c r="V2217" s="133"/>
      <c r="W2217" s="133"/>
      <c r="X2217" s="133"/>
      <c r="Y2217" s="133"/>
      <c r="Z2217" s="133"/>
    </row>
    <row r="2218">
      <c r="A2218" s="133"/>
      <c r="B2218" s="133"/>
      <c r="C2218" s="133" t="str">
        <f>IFERROR(__xludf.DUMMYFUNCTION("""COMPUTED_VALUE"""),"2024-330334")</f>
        <v>2024-330334</v>
      </c>
      <c r="D2218" s="133"/>
      <c r="E2218" s="133" t="str">
        <f>IFERROR(__xludf.DUMMYFUNCTION("""COMPUTED_VALUE"""),"مكتمل")</f>
        <v>مكتمل</v>
      </c>
      <c r="F2218" s="133" t="str">
        <f>IFERROR(__xludf.DUMMYFUNCTION("""COMPUTED_VALUE"""),"WEL WD CORE 95 Puppy original ")</f>
        <v>WEL WD CORE 95 Puppy original </v>
      </c>
      <c r="G2218" s="133" t="str">
        <f>IFERROR(__xludf.DUMMYFUNCTION("""COMPUTED_VALUE"""),"ويلنس كور 95% بابي اورجنال")</f>
        <v>ويلنس كور 95% بابي اورجنال</v>
      </c>
      <c r="H2218" s="133"/>
      <c r="I2218" s="133"/>
      <c r="J2218" s="133"/>
      <c r="K2218" s="133"/>
      <c r="L2218" s="133"/>
      <c r="M2218" s="133"/>
      <c r="N2218" s="133"/>
      <c r="O2218" s="133"/>
      <c r="P2218" s="133"/>
      <c r="Q2218" s="133"/>
      <c r="R2218" s="133"/>
      <c r="S2218" s="133"/>
      <c r="T2218" s="133"/>
      <c r="U2218" s="133"/>
      <c r="V2218" s="133"/>
      <c r="W2218" s="133"/>
      <c r="X2218" s="133"/>
      <c r="Y2218" s="133"/>
      <c r="Z2218" s="133"/>
    </row>
    <row r="2219">
      <c r="A2219" s="133"/>
      <c r="B2219" s="133"/>
      <c r="C2219" s="133" t="str">
        <f>IFERROR(__xludf.DUMMYFUNCTION("""COMPUTED_VALUE"""),"2024-341003")</f>
        <v>2024-341003</v>
      </c>
      <c r="D2219" s="133"/>
      <c r="E2219" s="133" t="str">
        <f>IFERROR(__xludf.DUMMYFUNCTION("""COMPUTED_VALUE"""),"مكتمل")</f>
        <v>مكتمل</v>
      </c>
      <c r="F2219" s="133" t="str">
        <f>IFERROR(__xludf.DUMMYFUNCTION("""COMPUTED_VALUE"""),"Wellness CORE Tender Cuts with Tuna in Savoury Gravy")</f>
        <v>Wellness CORE Tender Cuts with Tuna in Savoury Gravy</v>
      </c>
      <c r="G2219" s="133" t="str">
        <f>IFERROR(__xludf.DUMMYFUNCTION("""COMPUTED_VALUE"""),"ويلنس كور تندر كاتس مع التونة في المرق")</f>
        <v>ويلنس كور تندر كاتس مع التونة في المرق</v>
      </c>
      <c r="H2219" s="133" t="str">
        <f>IFERROR(__xludf.DUMMYFUNCTION("""COMPUTED_VALUE"""),"FEM-2024-14927-FEP-2024-82797-C-22548-1802
")</f>
        <v>FEM-2024-14927-FEP-2024-82797-C-22548-1802
</v>
      </c>
      <c r="I2219" s="133"/>
      <c r="J2219" s="133"/>
      <c r="K2219" s="133" t="str">
        <f>IFERROR(__xludf.DUMMYFUNCTION("""COMPUTED_VALUE"""),"سي باك")</f>
        <v>سي باك</v>
      </c>
      <c r="L2219" s="133"/>
      <c r="M2219" s="133" t="str">
        <f>IFERROR(__xludf.DUMMYFUNCTION("""COMPUTED_VALUE"""),"19-11-2029")</f>
        <v>19-11-2029</v>
      </c>
      <c r="N2219" s="133"/>
      <c r="O2219" s="133"/>
      <c r="P2219" s="133"/>
      <c r="Q2219" s="133"/>
      <c r="R2219" s="133"/>
      <c r="S2219" s="133"/>
      <c r="T2219" s="133"/>
      <c r="U2219" s="133"/>
      <c r="V2219" s="133"/>
      <c r="W2219" s="133"/>
      <c r="X2219" s="133"/>
      <c r="Y2219" s="133"/>
      <c r="Z2219" s="133"/>
    </row>
    <row r="2220">
      <c r="A2220" s="133"/>
      <c r="B2220" s="133"/>
      <c r="C2220" s="133" t="str">
        <f>IFERROR(__xludf.DUMMYFUNCTION("""COMPUTED_VALUE"""),"2024-339892")</f>
        <v>2024-339892</v>
      </c>
      <c r="D2220" s="133"/>
      <c r="E2220" s="133" t="str">
        <f>IFERROR(__xludf.DUMMYFUNCTION("""COMPUTED_VALUE"""),"مكتمل")</f>
        <v>مكتمل</v>
      </c>
      <c r="F2220" s="133" t="str">
        <f>IFERROR(__xludf.DUMMYFUNCTION("""COMPUTED_VALUE"""),"Wellness CORE Signature Selects Chunky Entree Flavoured with Beef &amp; Boneless Chicken in Sauce")</f>
        <v>Wellness CORE Signature Selects Chunky Entree Flavoured with Beef &amp; Boneless Chicken in Sauce</v>
      </c>
      <c r="G2220" s="133" t="str">
        <f>IFERROR(__xludf.DUMMYFUNCTION("""COMPUTED_VALUE"""),"ويلنس كور سيغنتشر سيليكتس اللحم البقري و الدجاج في الصوص")</f>
        <v>ويلنس كور سيغنتشر سيليكتس اللحم البقري و الدجاج في الصوص</v>
      </c>
      <c r="H2220" s="133" t="str">
        <f>IFERROR(__xludf.DUMMYFUNCTION("""COMPUTED_VALUE"""),"FEM-2024-14879-FEP-2024-82724-C-22548-1762")</f>
        <v>FEM-2024-14879-FEP-2024-82724-C-22548-1762</v>
      </c>
      <c r="I2220" s="133"/>
      <c r="J2220" s="133"/>
      <c r="K2220" s="133" t="str">
        <f>IFERROR(__xludf.DUMMYFUNCTION("""COMPUTED_VALUE"""),"سي باك")</f>
        <v>سي باك</v>
      </c>
      <c r="L2220" s="133"/>
      <c r="M2220" s="133" t="str">
        <f>IFERROR(__xludf.DUMMYFUNCTION("""COMPUTED_VALUE"""),"19-11-2029")</f>
        <v>19-11-2029</v>
      </c>
      <c r="N2220" s="133"/>
      <c r="O2220" s="133"/>
      <c r="P2220" s="133"/>
      <c r="Q2220" s="133"/>
      <c r="R2220" s="133"/>
      <c r="S2220" s="133"/>
      <c r="T2220" s="133"/>
      <c r="U2220" s="133"/>
      <c r="V2220" s="133"/>
      <c r="W2220" s="133"/>
      <c r="X2220" s="133"/>
      <c r="Y2220" s="133"/>
      <c r="Z2220" s="133"/>
    </row>
    <row r="2221">
      <c r="A2221" s="133"/>
      <c r="B2221" s="133"/>
      <c r="C2221" s="133" t="str">
        <f>IFERROR(__xludf.DUMMYFUNCTION("""COMPUTED_VALUE"""),"2024-339955")</f>
        <v>2024-339955</v>
      </c>
      <c r="D2221" s="133"/>
      <c r="E2221" s="133" t="str">
        <f>IFERROR(__xludf.DUMMYFUNCTION("""COMPUTED_VALUE"""),"مكتمل")</f>
        <v>مكتمل</v>
      </c>
      <c r="F2221" s="133" t="str">
        <f>IFERROR(__xludf.DUMMYFUNCTION("""COMPUTED_VALUE"""),"Wellness CORE Signature Selects Flaked Skipjack Tuna with Shrimp Entree in Broth")</f>
        <v>Wellness CORE Signature Selects Flaked Skipjack Tuna with Shrimp Entree in Broth</v>
      </c>
      <c r="G2221" s="133" t="str">
        <f>IFERROR(__xludf.DUMMYFUNCTION("""COMPUTED_VALUE"""),"ويلنس كور سيغنتشر سيليكتس التونة مع الجمبري في المرق")</f>
        <v>ويلنس كور سيغنتشر سيليكتس التونة مع الجمبري في المرق</v>
      </c>
      <c r="H2221" s="133" t="str">
        <f>IFERROR(__xludf.DUMMYFUNCTION("""COMPUTED_VALUE"""),"FEM-2024-14883-FEP-2024-82729-C-22548-1761")</f>
        <v>FEM-2024-14883-FEP-2024-82729-C-22548-1761</v>
      </c>
      <c r="I2221" s="133"/>
      <c r="J2221" s="133"/>
      <c r="K2221" s="133" t="str">
        <f>IFERROR(__xludf.DUMMYFUNCTION("""COMPUTED_VALUE"""),"سي باك")</f>
        <v>سي باك</v>
      </c>
      <c r="L2221" s="133"/>
      <c r="M2221" s="133" t="str">
        <f>IFERROR(__xludf.DUMMYFUNCTION("""COMPUTED_VALUE"""),"19-11-2029")</f>
        <v>19-11-2029</v>
      </c>
      <c r="N2221" s="133"/>
      <c r="O2221" s="133"/>
      <c r="P2221" s="133"/>
      <c r="Q2221" s="133"/>
      <c r="R2221" s="133"/>
      <c r="S2221" s="133"/>
      <c r="T2221" s="133"/>
      <c r="U2221" s="133"/>
      <c r="V2221" s="133"/>
      <c r="W2221" s="133"/>
      <c r="X2221" s="133"/>
      <c r="Y2221" s="133"/>
      <c r="Z2221" s="133"/>
    </row>
    <row r="2222">
      <c r="A2222" s="133"/>
      <c r="B2222" s="133"/>
      <c r="C2222" s="133" t="str">
        <f>IFERROR(__xludf.DUMMYFUNCTION("""COMPUTED_VALUE"""),"2024-341489")</f>
        <v>2024-341489</v>
      </c>
      <c r="D2222" s="133"/>
      <c r="E2222" s="133" t="str">
        <f>IFERROR(__xludf.DUMMYFUNCTION("""COMPUTED_VALUE"""),"مكتمل")</f>
        <v>مكتمل</v>
      </c>
      <c r="F2222" s="133" t="str">
        <f>IFERROR(__xludf.DUMMYFUNCTION("""COMPUTED_VALUE"""),"Wellness CORE Tender Cuts with Chicken &amp; Salmon in Savoury Gravy")</f>
        <v>Wellness CORE Tender Cuts with Chicken &amp; Salmon in Savoury Gravy</v>
      </c>
      <c r="G2222" s="133" t="str">
        <f>IFERROR(__xludf.DUMMYFUNCTION("""COMPUTED_VALUE"""),"ويلنس كور تندر كاتس مع الدجاج و السلمون في المرق")</f>
        <v>ويلنس كور تندر كاتس مع الدجاج و السلمون في المرق</v>
      </c>
      <c r="H2222" s="133" t="str">
        <f>IFERROR(__xludf.DUMMYFUNCTION("""COMPUTED_VALUE"""),"FEM-2024-14959-FEP-2024-82798-C-22548-1801")</f>
        <v>FEM-2024-14959-FEP-2024-82798-C-22548-1801</v>
      </c>
      <c r="I2222" s="133"/>
      <c r="J2222" s="133"/>
      <c r="K2222" s="133" t="str">
        <f>IFERROR(__xludf.DUMMYFUNCTION("""COMPUTED_VALUE"""),"سي باك")</f>
        <v>سي باك</v>
      </c>
      <c r="L2222" s="133"/>
      <c r="M2222" s="133" t="str">
        <f>IFERROR(__xludf.DUMMYFUNCTION("""COMPUTED_VALUE"""),"19-11-2029")</f>
        <v>19-11-2029</v>
      </c>
      <c r="N2222" s="133"/>
      <c r="O2222" s="133"/>
      <c r="P2222" s="133"/>
      <c r="Q2222" s="133"/>
      <c r="R2222" s="133"/>
      <c r="S2222" s="133"/>
      <c r="T2222" s="133"/>
      <c r="U2222" s="133"/>
      <c r="V2222" s="133"/>
      <c r="W2222" s="133"/>
      <c r="X2222" s="133"/>
      <c r="Y2222" s="133"/>
      <c r="Z2222" s="133"/>
    </row>
    <row r="2223">
      <c r="A2223" s="133"/>
      <c r="B2223" s="133"/>
      <c r="C2223" s="133" t="str">
        <f>IFERROR(__xludf.DUMMYFUNCTION("""COMPUTED_VALUE"""),"2024-341501")</f>
        <v>2024-341501</v>
      </c>
      <c r="D2223" s="133"/>
      <c r="E2223" s="133" t="str">
        <f>IFERROR(__xludf.DUMMYFUNCTION("""COMPUTED_VALUE"""),"مكتمل")</f>
        <v>مكتمل</v>
      </c>
      <c r="F2223" s="133" t="str">
        <f>IFERROR(__xludf.DUMMYFUNCTION("""COMPUTED_VALUE"""),"Wellness CORE Tender Cuts with Turkey &amp; Duck in Savoury Gravy")</f>
        <v>Wellness CORE Tender Cuts with Turkey &amp; Duck in Savoury Gravy</v>
      </c>
      <c r="G2223" s="133" t="str">
        <f>IFERROR(__xludf.DUMMYFUNCTION("""COMPUTED_VALUE"""),"ويلنس كور تندر كاتس مع الديك الرومي و البط في المرق")</f>
        <v>ويلنس كور تندر كاتس مع الديك الرومي و البط في المرق</v>
      </c>
      <c r="H2223" s="133" t="str">
        <f>IFERROR(__xludf.DUMMYFUNCTION("""COMPUTED_VALUE"""),"FEM-2024-14962-FEP-2024-82800-C-22548-1826")</f>
        <v>FEM-2024-14962-FEP-2024-82800-C-22548-1826</v>
      </c>
      <c r="I2223" s="133"/>
      <c r="J2223" s="133"/>
      <c r="K2223" s="133" t="str">
        <f>IFERROR(__xludf.DUMMYFUNCTION("""COMPUTED_VALUE"""),"سي باك")</f>
        <v>سي باك</v>
      </c>
      <c r="L2223" s="133"/>
      <c r="M2223" s="133" t="str">
        <f>IFERROR(__xludf.DUMMYFUNCTION("""COMPUTED_VALUE"""),"23-11-2029")</f>
        <v>23-11-2029</v>
      </c>
      <c r="N2223" s="133"/>
      <c r="O2223" s="133"/>
      <c r="P2223" s="133"/>
      <c r="Q2223" s="133"/>
      <c r="R2223" s="133"/>
      <c r="S2223" s="133"/>
      <c r="T2223" s="133"/>
      <c r="U2223" s="133"/>
      <c r="V2223" s="133"/>
      <c r="W2223" s="133"/>
      <c r="X2223" s="133"/>
      <c r="Y2223" s="133"/>
      <c r="Z2223" s="133"/>
    </row>
    <row r="2224">
      <c r="A2224" s="133"/>
      <c r="B2224" s="133"/>
      <c r="C2224" s="133" t="str">
        <f>IFERROR(__xludf.DUMMYFUNCTION("""COMPUTED_VALUE"""),"2024-341523")</f>
        <v>2024-341523</v>
      </c>
      <c r="D2224" s="133"/>
      <c r="E2224" s="133" t="str">
        <f>IFERROR(__xludf.DUMMYFUNCTION("""COMPUTED_VALUE"""),"مكتمل")</f>
        <v>مكتمل</v>
      </c>
      <c r="F2224" s="133" t="str">
        <f>IFERROR(__xludf.DUMMYFUNCTION("""COMPUTED_VALUE"""),"Wellness CORE Tender Cuts with Chicken &amp; Chicken Liver in Savoury Gravy")</f>
        <v>Wellness CORE Tender Cuts with Chicken &amp; Chicken Liver in Savoury Gravy</v>
      </c>
      <c r="G2224" s="133" t="str">
        <f>IFERROR(__xludf.DUMMYFUNCTION("""COMPUTED_VALUE"""),"ويلنس كور تندر كاتس مع الدجاج و كبد الدجاج في المرق")</f>
        <v>ويلنس كور تندر كاتس مع الدجاج و كبد الدجاج في المرق</v>
      </c>
      <c r="H2224" s="133" t="str">
        <f>IFERROR(__xludf.DUMMYFUNCTION("""COMPUTED_VALUE"""),"FEM-2024-14965-FEP-2024-82801-C-22548-1800
")</f>
        <v>FEM-2024-14965-FEP-2024-82801-C-22548-1800
</v>
      </c>
      <c r="I2224" s="133"/>
      <c r="J2224" s="133"/>
      <c r="K2224" s="133" t="str">
        <f>IFERROR(__xludf.DUMMYFUNCTION("""COMPUTED_VALUE"""),"سي باك")</f>
        <v>سي باك</v>
      </c>
      <c r="L2224" s="133"/>
      <c r="M2224" s="133" t="str">
        <f>IFERROR(__xludf.DUMMYFUNCTION("""COMPUTED_VALUE"""),"19-11-2029")</f>
        <v>19-11-2029</v>
      </c>
      <c r="N2224" s="133"/>
      <c r="O2224" s="133"/>
      <c r="P2224" s="133"/>
      <c r="Q2224" s="133"/>
      <c r="R2224" s="133"/>
      <c r="S2224" s="133"/>
      <c r="T2224" s="133"/>
      <c r="U2224" s="133"/>
      <c r="V2224" s="133"/>
      <c r="W2224" s="133"/>
      <c r="X2224" s="133"/>
      <c r="Y2224" s="133"/>
      <c r="Z2224" s="133"/>
    </row>
    <row r="2225">
      <c r="A2225" s="133"/>
      <c r="B2225" s="133"/>
      <c r="C2225" s="133" t="str">
        <f>IFERROR(__xludf.DUMMYFUNCTION("""COMPUTED_VALUE"""),"2024-343330")</f>
        <v>2024-343330</v>
      </c>
      <c r="D2225" s="133"/>
      <c r="E2225" s="133" t="str">
        <f>IFERROR(__xludf.DUMMYFUNCTION("""COMPUTED_VALUE"""),"مكتمل")</f>
        <v>مكتمل</v>
      </c>
      <c r="F2225" s="133" t="str">
        <f>IFERROR(__xludf.DUMMYFUNCTION("""COMPUTED_VALUE"""),"Wellness CORE Small Breed Savoury Medleys Flavoured with Roasted Chicken, Duck, Peas &amp; Carrot")</f>
        <v>Wellness CORE Small Breed Savoury Medleys Flavoured with Roasted Chicken, Duck, Peas &amp; Carrot</v>
      </c>
      <c r="G2225" s="133" t="str">
        <f>IFERROR(__xludf.DUMMYFUNCTION("""COMPUTED_VALUE"""),"ويلنس كور سمول برييد سافوري ميدليز بنكهة الدجاج، البط، البازلاء والجزر ")</f>
        <v>ويلنس كور سمول برييد سافوري ميدليز بنكهة الدجاج، البط، البازلاء والجزر </v>
      </c>
      <c r="H2225" s="133" t="str">
        <f>IFERROR(__xludf.DUMMYFUNCTION("""COMPUTED_VALUE"""),"FEM-2024-15022-FEP-2024-82807-C-22548-1815")</f>
        <v>FEM-2024-15022-FEP-2024-82807-C-22548-1815</v>
      </c>
      <c r="I2225" s="133"/>
      <c r="J2225" s="133"/>
      <c r="K2225" s="133" t="str">
        <f>IFERROR(__xludf.DUMMYFUNCTION("""COMPUTED_VALUE"""),"سي باك")</f>
        <v>سي باك</v>
      </c>
      <c r="L2225" s="133"/>
      <c r="M2225" s="133" t="str">
        <f>IFERROR(__xludf.DUMMYFUNCTION("""COMPUTED_VALUE"""),"19-11-2029")</f>
        <v>19-11-2029</v>
      </c>
      <c r="N2225" s="133"/>
      <c r="O2225" s="133"/>
      <c r="P2225" s="133"/>
      <c r="Q2225" s="133"/>
      <c r="R2225" s="133"/>
      <c r="S2225" s="133"/>
      <c r="T2225" s="133"/>
      <c r="U2225" s="133"/>
      <c r="V2225" s="133"/>
      <c r="W2225" s="133"/>
      <c r="X2225" s="133"/>
      <c r="Y2225" s="133"/>
      <c r="Z2225" s="133"/>
    </row>
    <row r="2226">
      <c r="A2226" s="133"/>
      <c r="B2226" s="133"/>
      <c r="C2226" s="133" t="str">
        <f>IFERROR(__xludf.DUMMYFUNCTION("""COMPUTED_VALUE"""),"2024-343359")</f>
        <v>2024-343359</v>
      </c>
      <c r="D2226" s="133"/>
      <c r="E2226" s="133" t="str">
        <f>IFERROR(__xludf.DUMMYFUNCTION("""COMPUTED_VALUE"""),"مكتمل")</f>
        <v>مكتمل</v>
      </c>
      <c r="F2226" s="133" t="str">
        <f>IFERROR(__xludf.DUMMYFUNCTION("""COMPUTED_VALUE"""),"Wellness CORE Small Breed Savoury Medleys Flavoured with Tender Chicken, Turkey, Carrots &amp; Green Beans")</f>
        <v>Wellness CORE Small Breed Savoury Medleys Flavoured with Tender Chicken, Turkey, Carrots &amp; Green Beans</v>
      </c>
      <c r="G2226" s="133" t="str">
        <f>IFERROR(__xludf.DUMMYFUNCTION("""COMPUTED_VALUE"""),"ويلنس كور سمول برييد سافوري ميدليز بنكهة الدجاج، الديك الرومي، الجزر والفاصولياء الخضراء")</f>
        <v>ويلنس كور سمول برييد سافوري ميدليز بنكهة الدجاج، الديك الرومي، الجزر والفاصولياء الخضراء</v>
      </c>
      <c r="H2226" s="133" t="str">
        <f>IFERROR(__xludf.DUMMYFUNCTION("""COMPUTED_VALUE"""),"FEM-2024-15023-FEP-2024-82808-C-22548-1814")</f>
        <v>FEM-2024-15023-FEP-2024-82808-C-22548-1814</v>
      </c>
      <c r="I2226" s="133"/>
      <c r="J2226" s="133"/>
      <c r="K2226" s="133" t="str">
        <f>IFERROR(__xludf.DUMMYFUNCTION("""COMPUTED_VALUE"""),"سي باك")</f>
        <v>سي باك</v>
      </c>
      <c r="L2226" s="133"/>
      <c r="M2226" s="133" t="str">
        <f>IFERROR(__xludf.DUMMYFUNCTION("""COMPUTED_VALUE"""),"19-11-2029")</f>
        <v>19-11-2029</v>
      </c>
      <c r="N2226" s="133"/>
      <c r="O2226" s="133"/>
      <c r="P2226" s="133"/>
      <c r="Q2226" s="133"/>
      <c r="R2226" s="133"/>
      <c r="S2226" s="133"/>
      <c r="T2226" s="133"/>
      <c r="U2226" s="133"/>
      <c r="V2226" s="133"/>
      <c r="W2226" s="133"/>
      <c r="X2226" s="133"/>
      <c r="Y2226" s="133"/>
      <c r="Z2226" s="133"/>
    </row>
    <row r="2227">
      <c r="A2227" s="133"/>
      <c r="B2227" s="133"/>
      <c r="C2227" s="133" t="str">
        <f>IFERROR(__xludf.DUMMYFUNCTION("""COMPUTED_VALUE"""),"2024-343379")</f>
        <v>2024-343379</v>
      </c>
      <c r="D2227" s="133"/>
      <c r="E2227" s="133" t="str">
        <f>IFERROR(__xludf.DUMMYFUNCTION("""COMPUTED_VALUE"""),"مكتمل")</f>
        <v>مكتمل</v>
      </c>
      <c r="F2227" s="133" t="str">
        <f>IFERROR(__xludf.DUMMYFUNCTION("""COMPUTED_VALUE"""),"Wellness CORE Small Breed Savoury Medleys Flavoured with Braised Lamb, Venison, White Sweet Potatoes &amp; CatTots")</f>
        <v>Wellness CORE Small Breed Savoury Medleys Flavoured with Braised Lamb, Venison, White Sweet Potatoes &amp; CatTots</v>
      </c>
      <c r="G2227" s="133" t="str">
        <f>IFERROR(__xludf.DUMMYFUNCTION("""COMPUTED_VALUE"""),"ويلنس كور سمول برييد سافوري ميدليز بنكهة لحم الضأن والغزال والبطاطا الحلوة البيضاء والجزر")</f>
        <v>ويلنس كور سمول برييد سافوري ميدليز بنكهة لحم الضأن والغزال والبطاطا الحلوة البيضاء والجزر</v>
      </c>
      <c r="H2227" s="133" t="str">
        <f>IFERROR(__xludf.DUMMYFUNCTION("""COMPUTED_VALUE"""),"FEM-2024-15025-FEP-2024-82809-C-22548-1813")</f>
        <v>FEM-2024-15025-FEP-2024-82809-C-22548-1813</v>
      </c>
      <c r="I2227" s="133"/>
      <c r="J2227" s="133"/>
      <c r="K2227" s="133" t="str">
        <f>IFERROR(__xludf.DUMMYFUNCTION("""COMPUTED_VALUE"""),"سي باك")</f>
        <v>سي باك</v>
      </c>
      <c r="L2227" s="133"/>
      <c r="M2227" s="133" t="str">
        <f>IFERROR(__xludf.DUMMYFUNCTION("""COMPUTED_VALUE"""),"19-11-2030")</f>
        <v>19-11-2030</v>
      </c>
      <c r="N2227" s="133"/>
      <c r="O2227" s="133"/>
      <c r="P2227" s="133"/>
      <c r="Q2227" s="133"/>
      <c r="R2227" s="133"/>
      <c r="S2227" s="133"/>
      <c r="T2227" s="133"/>
      <c r="U2227" s="133"/>
      <c r="V2227" s="133"/>
      <c r="W2227" s="133"/>
      <c r="X2227" s="133"/>
      <c r="Y2227" s="133"/>
      <c r="Z2227" s="133"/>
    </row>
    <row r="2228">
      <c r="A2228" s="133"/>
      <c r="B2228" s="133"/>
      <c r="C2228" s="133" t="str">
        <f>IFERROR(__xludf.DUMMYFUNCTION("""COMPUTED_VALUE"""),"2024-343410")</f>
        <v>2024-343410</v>
      </c>
      <c r="D2228" s="133"/>
      <c r="E2228" s="133" t="str">
        <f>IFERROR(__xludf.DUMMYFUNCTION("""COMPUTED_VALUE"""),"مكتمل")</f>
        <v>مكتمل</v>
      </c>
      <c r="F2228" s="133" t="str">
        <f>IFERROR(__xludf.DUMMYFUNCTION("""COMPUTED_VALUE"""),"Wellness CORE Small Breed Savoury Medleys Flavoured with Roasted Chicken, Beef, Green Beans &amp; Red Peppers")</f>
        <v>Wellness CORE Small Breed Savoury Medleys Flavoured with Roasted Chicken, Beef, Green Beans &amp; Red Peppers</v>
      </c>
      <c r="G2228" s="133" t="str">
        <f>IFERROR(__xludf.DUMMYFUNCTION("""COMPUTED_VALUE"""),"ويلنس كور سمول برييد سافوري ميدليز بنكهة الدجاج، اللحم البقري، الفاصولياء الخضراء والفلفل الأحمر")</f>
        <v>ويلنس كور سمول برييد سافوري ميدليز بنكهة الدجاج، اللحم البقري، الفاصولياء الخضراء والفلفل الأحمر</v>
      </c>
      <c r="H2228" s="133" t="str">
        <f>IFERROR(__xludf.DUMMYFUNCTION("""COMPUTED_VALUE"""),"FEM-2024-15027-FEP-2024-82811-C-22548-1812")</f>
        <v>FEM-2024-15027-FEP-2024-82811-C-22548-1812</v>
      </c>
      <c r="I2228" s="133"/>
      <c r="J2228" s="133"/>
      <c r="K2228" s="133" t="str">
        <f>IFERROR(__xludf.DUMMYFUNCTION("""COMPUTED_VALUE"""),"سي باك")</f>
        <v>سي باك</v>
      </c>
      <c r="L2228" s="133"/>
      <c r="M2228" s="133" t="str">
        <f>IFERROR(__xludf.DUMMYFUNCTION("""COMPUTED_VALUE"""),"19-11-2031")</f>
        <v>19-11-2031</v>
      </c>
      <c r="N2228" s="133"/>
      <c r="O2228" s="133"/>
      <c r="P2228" s="133"/>
      <c r="Q2228" s="133"/>
      <c r="R2228" s="133"/>
      <c r="S2228" s="133"/>
      <c r="T2228" s="133"/>
      <c r="U2228" s="133"/>
      <c r="V2228" s="133"/>
      <c r="W2228" s="133"/>
      <c r="X2228" s="133"/>
      <c r="Y2228" s="133"/>
      <c r="Z2228" s="133"/>
    </row>
    <row r="2229">
      <c r="A2229" s="133"/>
      <c r="B2229" s="133"/>
      <c r="C2229" s="133" t="str">
        <f>IFERROR(__xludf.DUMMYFUNCTION("""COMPUTED_VALUE"""),"2024-339974")</f>
        <v>2024-339974</v>
      </c>
      <c r="D2229" s="133"/>
      <c r="E2229" s="133" t="str">
        <f>IFERROR(__xludf.DUMMYFUNCTION("""COMPUTED_VALUE"""),"مكتمل")</f>
        <v>مكتمل</v>
      </c>
      <c r="F2229" s="133" t="str">
        <f>IFERROR(__xludf.DUMMYFUNCTION("""COMPUTED_VALUE"""),"Wellness CORE Signature Selects Shredded Boneless Chicken Entree Flavoured with Chicken Liver in Sauce")</f>
        <v>Wellness CORE Signature Selects Shredded Boneless Chicken Entree Flavoured with Chicken Liver in Sauce</v>
      </c>
      <c r="G2229" s="133" t="str">
        <f>IFERROR(__xludf.DUMMYFUNCTION("""COMPUTED_VALUE"""),"ويلنس كور سيغنتشر سيليكتس الدجاج المبشور مع كبد الدجاج في الصوص")</f>
        <v>ويلنس كور سيغنتشر سيليكتس الدجاج المبشور مع كبد الدجاج في الصوص</v>
      </c>
      <c r="H2229" s="133" t="str">
        <f>IFERROR(__xludf.DUMMYFUNCTION("""COMPUTED_VALUE"""),"FEM-2024-14887-FEP-2024-82730-C-22548-1859")</f>
        <v>FEM-2024-14887-FEP-2024-82730-C-22548-1859</v>
      </c>
      <c r="I2229" s="133"/>
      <c r="J2229" s="133"/>
      <c r="K2229" s="133" t="str">
        <f>IFERROR(__xludf.DUMMYFUNCTION("""COMPUTED_VALUE"""),"سي باك")</f>
        <v>سي باك</v>
      </c>
      <c r="L2229" s="133"/>
      <c r="M2229" s="133" t="str">
        <f>IFERROR(__xludf.DUMMYFUNCTION("""COMPUTED_VALUE"""),"19-11-2032")</f>
        <v>19-11-2032</v>
      </c>
      <c r="N2229" s="133"/>
      <c r="O2229" s="133"/>
      <c r="P2229" s="133"/>
      <c r="Q2229" s="133"/>
      <c r="R2229" s="133"/>
      <c r="S2229" s="133"/>
      <c r="T2229" s="133"/>
      <c r="U2229" s="133"/>
      <c r="V2229" s="133"/>
      <c r="W2229" s="133"/>
      <c r="X2229" s="133"/>
      <c r="Y2229" s="133"/>
      <c r="Z2229" s="133"/>
    </row>
    <row r="2230">
      <c r="A2230" s="133"/>
      <c r="B2230" s="133"/>
      <c r="C2230" s="133" t="str">
        <f>IFERROR(__xludf.DUMMYFUNCTION("""COMPUTED_VALUE"""),"2024-340000")</f>
        <v>2024-340000</v>
      </c>
      <c r="D2230" s="133"/>
      <c r="E2230" s="133" t="str">
        <f>IFERROR(__xludf.DUMMYFUNCTION("""COMPUTED_VALUE"""),"مكتمل")</f>
        <v>مكتمل</v>
      </c>
      <c r="F2230" s="133" t="str">
        <f>IFERROR(__xludf.DUMMYFUNCTION("""COMPUTED_VALUE"""),"Wellness CORE Signature Selects Shredded Boneless Chicken Entree Flavoured with Turkey in Sauce")</f>
        <v>Wellness CORE Signature Selects Shredded Boneless Chicken Entree Flavoured with Turkey in Sauce</v>
      </c>
      <c r="G2230" s="133" t="str">
        <f>IFERROR(__xludf.DUMMYFUNCTION("""COMPUTED_VALUE"""),"ويلنس كور سيغنتشر سيليكتس الدجاج المبشور مع الديك الرومي في الصوص")</f>
        <v>ويلنس كور سيغنتشر سيليكتس الدجاج المبشور مع الديك الرومي في الصوص</v>
      </c>
      <c r="H2230" s="133" t="str">
        <f>IFERROR(__xludf.DUMMYFUNCTION("""COMPUTED_VALUE"""),"FEM-2024-14894-FEP-2024-82733-C-22548-1858")</f>
        <v>FEM-2024-14894-FEP-2024-82733-C-22548-1858</v>
      </c>
      <c r="I2230" s="133"/>
      <c r="J2230" s="133"/>
      <c r="K2230" s="133" t="str">
        <f>IFERROR(__xludf.DUMMYFUNCTION("""COMPUTED_VALUE"""),"سي باك")</f>
        <v>سي باك</v>
      </c>
      <c r="L2230" s="133"/>
      <c r="M2230" s="133" t="str">
        <f>IFERROR(__xludf.DUMMYFUNCTION("""COMPUTED_VALUE"""),"19-11-2032")</f>
        <v>19-11-2032</v>
      </c>
      <c r="N2230" s="133"/>
      <c r="O2230" s="133"/>
      <c r="P2230" s="133"/>
      <c r="Q2230" s="133"/>
      <c r="R2230" s="133"/>
      <c r="S2230" s="133"/>
      <c r="T2230" s="133"/>
      <c r="U2230" s="133"/>
      <c r="V2230" s="133"/>
      <c r="W2230" s="133"/>
      <c r="X2230" s="133"/>
      <c r="Y2230" s="133"/>
      <c r="Z2230" s="133"/>
    </row>
    <row r="2231">
      <c r="A2231" s="133"/>
      <c r="B2231" s="133"/>
      <c r="C2231" s="133" t="str">
        <f>IFERROR(__xludf.DUMMYFUNCTION("""COMPUTED_VALUE"""),"2024-341532")</f>
        <v>2024-341532</v>
      </c>
      <c r="D2231" s="133"/>
      <c r="E2231" s="133" t="str">
        <f>IFERROR(__xludf.DUMMYFUNCTION("""COMPUTED_VALUE"""),"مكتمل")</f>
        <v>مكتمل</v>
      </c>
      <c r="F2231" s="133" t="str">
        <f>IFERROR(__xludf.DUMMYFUNCTION("""COMPUTED_VALUE"""),"Wellness CORE Tender Cuts with Chicken &amp; Turkey in Savoury Gravy")</f>
        <v>Wellness CORE Tender Cuts with Chicken &amp; Turkey in Savoury Gravy</v>
      </c>
      <c r="G2231" s="133" t="str">
        <f>IFERROR(__xludf.DUMMYFUNCTION("""COMPUTED_VALUE"""),"ويلنس كور تندر كاتس مع الدجاج والديك الرومي في المرق")</f>
        <v>ويلنس كور تندر كاتس مع الدجاج والديك الرومي في المرق</v>
      </c>
      <c r="H2231" s="133" t="str">
        <f>IFERROR(__xludf.DUMMYFUNCTION("""COMPUTED_VALUE"""),"FEM-2024-14966-FEP-2024-82802-C-22548-1799
")</f>
        <v>FEM-2024-14966-FEP-2024-82802-C-22548-1799
</v>
      </c>
      <c r="I2231" s="133"/>
      <c r="J2231" s="133"/>
      <c r="K2231" s="133" t="str">
        <f>IFERROR(__xludf.DUMMYFUNCTION("""COMPUTED_VALUE"""),"سي باك")</f>
        <v>سي باك</v>
      </c>
      <c r="L2231" s="133"/>
      <c r="M2231" s="133" t="str">
        <f>IFERROR(__xludf.DUMMYFUNCTION("""COMPUTED_VALUE"""),"19-11-2032")</f>
        <v>19-11-2032</v>
      </c>
      <c r="N2231" s="133"/>
      <c r="O2231" s="133"/>
      <c r="P2231" s="133"/>
      <c r="Q2231" s="133"/>
      <c r="R2231" s="133"/>
      <c r="S2231" s="133"/>
      <c r="T2231" s="133"/>
      <c r="U2231" s="133"/>
      <c r="V2231" s="133"/>
      <c r="W2231" s="133"/>
      <c r="X2231" s="133"/>
      <c r="Y2231" s="133"/>
      <c r="Z2231" s="133"/>
    </row>
    <row r="2232">
      <c r="A2232" s="133"/>
      <c r="B2232" s="133"/>
      <c r="C2232" s="133" t="str">
        <f>IFERROR(__xludf.DUMMYFUNCTION("""COMPUTED_VALUE"""),"2024-341544")</f>
        <v>2024-341544</v>
      </c>
      <c r="D2232" s="133"/>
      <c r="E2232" s="133" t="str">
        <f>IFERROR(__xludf.DUMMYFUNCTION("""COMPUTED_VALUE"""),"مكتمل")</f>
        <v>مكتمل</v>
      </c>
      <c r="F2232" s="133" t="str">
        <f>IFERROR(__xludf.DUMMYFUNCTION("""COMPUTED_VALUE"""),"Wellness CORE Tender Cuts with Salmon &amp; Tuna in Savoury Gravy")</f>
        <v>Wellness CORE Tender Cuts with Salmon &amp; Tuna in Savoury Gravy</v>
      </c>
      <c r="G2232" s="133" t="str">
        <f>IFERROR(__xludf.DUMMYFUNCTION("""COMPUTED_VALUE"""),"ويلنس كور تندر كاتس مع السلمون و التونة في المرق")</f>
        <v>ويلنس كور تندر كاتس مع السلمون و التونة في المرق</v>
      </c>
      <c r="H2232" s="133" t="str">
        <f>IFERROR(__xludf.DUMMYFUNCTION("""COMPUTED_VALUE"""),"FEM-2024-14967-FEP-2024-82803-C-22548-1797
")</f>
        <v>FEM-2024-14967-FEP-2024-82803-C-22548-1797
</v>
      </c>
      <c r="I2232" s="133"/>
      <c r="J2232" s="133"/>
      <c r="K2232" s="133" t="str">
        <f>IFERROR(__xludf.DUMMYFUNCTION("""COMPUTED_VALUE"""),"سي باك")</f>
        <v>سي باك</v>
      </c>
      <c r="L2232" s="133"/>
      <c r="M2232" s="133" t="str">
        <f>IFERROR(__xludf.DUMMYFUNCTION("""COMPUTED_VALUE"""),"19-11-2032")</f>
        <v>19-11-2032</v>
      </c>
      <c r="N2232" s="133"/>
      <c r="O2232" s="133"/>
      <c r="P2232" s="133"/>
      <c r="Q2232" s="133"/>
      <c r="R2232" s="133"/>
      <c r="S2232" s="133"/>
      <c r="T2232" s="133"/>
      <c r="U2232" s="133"/>
      <c r="V2232" s="133"/>
      <c r="W2232" s="133"/>
      <c r="X2232" s="133"/>
      <c r="Y2232" s="133"/>
      <c r="Z2232" s="133"/>
    </row>
    <row r="2233">
      <c r="A2233" s="133"/>
      <c r="B2233" s="133"/>
      <c r="C2233" s="133"/>
      <c r="D2233" s="133"/>
      <c r="E2233" s="133" t="str">
        <f>IFERROR(__xludf.DUMMYFUNCTION("""COMPUTED_VALUE"""),"مكتمل")</f>
        <v>مكتمل</v>
      </c>
      <c r="F2233" s="133" t="str">
        <f>IFERROR(__xludf.DUMMYFUNCTION("""COMPUTED_VALUE"""),"JosiDog Agilo Sport")</f>
        <v>JosiDog Agilo Sport</v>
      </c>
      <c r="G2233" s="133" t="str">
        <f>IFERROR(__xludf.DUMMYFUNCTION("""COMPUTED_VALUE"""),"جوسي دوج اجيلو سبورت ")</f>
        <v>جوسي دوج اجيلو سبورت </v>
      </c>
      <c r="H2233" s="133" t="str">
        <f>IFERROR(__xludf.DUMMYFUNCTION("""COMPUTED_VALUE"""),"FOM-2024-6397-FEB-2024-49516 -C-0041-70313
")</f>
        <v>FOM-2024-6397-FEB-2024-49516 -C-0041-70313
</v>
      </c>
      <c r="I2233" s="133"/>
      <c r="J2233" s="143">
        <f>IFERROR(__xludf.DUMMYFUNCTION("""COMPUTED_VALUE"""),46018.0)</f>
        <v>46018</v>
      </c>
      <c r="K2233" s="133"/>
      <c r="L2233" s="133"/>
      <c r="M2233" s="133"/>
      <c r="N2233" s="133"/>
      <c r="O2233" s="133"/>
      <c r="P2233" s="133"/>
      <c r="Q2233" s="133"/>
      <c r="R2233" s="133"/>
      <c r="S2233" s="133"/>
      <c r="T2233" s="133"/>
      <c r="U2233" s="133"/>
      <c r="V2233" s="133"/>
      <c r="W2233" s="133"/>
      <c r="X2233" s="133"/>
      <c r="Y2233" s="133"/>
      <c r="Z2233" s="133"/>
    </row>
    <row r="2234">
      <c r="A2234" s="133"/>
      <c r="B2234" s="133"/>
      <c r="C2234" s="133"/>
      <c r="D2234" s="133"/>
      <c r="E2234" s="133" t="str">
        <f>IFERROR(__xludf.DUMMYFUNCTION("""COMPUTED_VALUE"""),"مكتمل")</f>
        <v>مكتمل</v>
      </c>
      <c r="F2234" s="133" t="str">
        <f>IFERROR(__xludf.DUMMYFUNCTION("""COMPUTED_VALUE"""),"JosiDog Active")</f>
        <v>JosiDog Active</v>
      </c>
      <c r="G2234" s="133" t="str">
        <f>IFERROR(__xludf.DUMMYFUNCTION("""COMPUTED_VALUE"""),"جوزيدوج اكتيف")</f>
        <v>جوزيدوج اكتيف</v>
      </c>
      <c r="H2234" s="133" t="str">
        <f>IFERROR(__xludf.DUMMYFUNCTION("""COMPUTED_VALUE"""),"FOM-2024-6397-FEB-2024-49500 -C-0041-70297")</f>
        <v>FOM-2024-6397-FEB-2024-49500 -C-0041-70297</v>
      </c>
      <c r="I2234" s="133"/>
      <c r="J2234" s="133"/>
      <c r="K2234" s="133"/>
      <c r="L2234" s="133"/>
      <c r="M2234" s="133"/>
      <c r="N2234" s="133"/>
      <c r="O2234" s="133"/>
      <c r="P2234" s="133"/>
      <c r="Q2234" s="133"/>
      <c r="R2234" s="133"/>
      <c r="S2234" s="133"/>
      <c r="T2234" s="133"/>
      <c r="U2234" s="133"/>
      <c r="V2234" s="133"/>
      <c r="W2234" s="133"/>
      <c r="X2234" s="133"/>
      <c r="Y2234" s="133"/>
      <c r="Z2234" s="133"/>
    </row>
    <row r="2235">
      <c r="A2235" s="133"/>
      <c r="B2235" s="133"/>
      <c r="C2235" s="133" t="str">
        <f>IFERROR(__xludf.DUMMYFUNCTION("""COMPUTED_VALUE"""),"2024-356398")</f>
        <v>2024-356398</v>
      </c>
      <c r="D2235" s="133"/>
      <c r="E2235" s="133" t="str">
        <f>IFERROR(__xludf.DUMMYFUNCTION("""COMPUTED_VALUE"""),"مكتمل ")</f>
        <v>مكتمل </v>
      </c>
      <c r="F2235" s="133" t="str">
        <f>IFERROR(__xludf.DUMMYFUNCTION("""COMPUTED_VALUE"""),"ZOLUX CHICKEN WINGS 100G")</f>
        <v>ZOLUX CHICKEN WINGS 100G</v>
      </c>
      <c r="G2235" s="133" t="str">
        <f>IFERROR(__xludf.DUMMYFUNCTION("""COMPUTED_VALUE"""),"زولكس اجنحة الدجاج")</f>
        <v>زولكس اجنحة الدجاج</v>
      </c>
      <c r="H2235" s="133"/>
      <c r="I2235" s="133"/>
      <c r="J2235" s="133"/>
      <c r="K2235" s="133"/>
      <c r="L2235" s="133"/>
      <c r="M2235" s="133"/>
      <c r="N2235" s="133"/>
      <c r="O2235" s="133"/>
      <c r="P2235" s="133"/>
      <c r="Q2235" s="133"/>
      <c r="R2235" s="133"/>
      <c r="S2235" s="133"/>
      <c r="T2235" s="133"/>
      <c r="U2235" s="133"/>
      <c r="V2235" s="133"/>
      <c r="W2235" s="133"/>
      <c r="X2235" s="133"/>
      <c r="Y2235" s="133"/>
      <c r="Z2235" s="133"/>
    </row>
    <row r="2236">
      <c r="A2236" s="133"/>
      <c r="B2236" s="133"/>
      <c r="C2236" s="133" t="str">
        <f>IFERROR(__xludf.DUMMYFUNCTION("""COMPUTED_VALUE"""),"2024-360361")</f>
        <v>2024-360361</v>
      </c>
      <c r="D2236" s="133"/>
      <c r="E2236" s="133" t="str">
        <f>IFERROR(__xludf.DUMMYFUNCTION("""COMPUTED_VALUE"""),"مكتمل")</f>
        <v>مكتمل</v>
      </c>
      <c r="F2236" s="133" t="str">
        <f>IFERROR(__xludf.DUMMYFUNCTION("""COMPUTED_VALUE"""),"DASHI DELIGHTS SILKY BROTH CHICKEN RECIPE")</f>
        <v>DASHI DELIGHTS SILKY BROTH CHICKEN RECIPE</v>
      </c>
      <c r="G2236" s="133" t="str">
        <f>IFERROR(__xludf.DUMMYFUNCTION("""COMPUTED_VALUE"""),"اينابا ديش ديلايت سيلكي بروث دجاج ريسبي")</f>
        <v>اينابا ديش ديلايت سيلكي بروث دجاج ريسبي</v>
      </c>
      <c r="H2236" s="133" t="str">
        <f>IFERROR(__xludf.DUMMYFUNCTION("""COMPUTED_VALUE"""),"FEM-2024-15741-FEP-2024-83146-C-22548-2041")</f>
        <v>FEM-2024-15741-FEP-2024-83146-C-22548-2041</v>
      </c>
      <c r="I2236" s="133"/>
      <c r="J2236" s="133"/>
      <c r="K2236" s="133" t="str">
        <f>IFERROR(__xludf.DUMMYFUNCTION("""COMPUTED_VALUE"""),"شركة تاي اينابا للأغذية المحدودة")</f>
        <v>شركة تاي اينابا للأغذية المحدودة</v>
      </c>
      <c r="L2236" s="133"/>
      <c r="M2236" s="133">
        <f>IFERROR(__xludf.DUMMYFUNCTION("""COMPUTED_VALUE"""),47130.0)</f>
        <v>47130</v>
      </c>
      <c r="N2236" s="133"/>
      <c r="O2236" s="133"/>
      <c r="P2236" s="133"/>
      <c r="Q2236" s="133"/>
      <c r="R2236" s="133"/>
      <c r="S2236" s="133"/>
      <c r="T2236" s="133"/>
      <c r="U2236" s="133"/>
      <c r="V2236" s="133"/>
      <c r="W2236" s="133"/>
      <c r="X2236" s="133"/>
      <c r="Y2236" s="133"/>
      <c r="Z2236" s="133"/>
    </row>
    <row r="2237">
      <c r="A2237" s="133"/>
      <c r="B2237" s="133"/>
      <c r="C2237" s="133" t="str">
        <f>IFERROR(__xludf.DUMMYFUNCTION("""COMPUTED_VALUE"""),"2024-360401")</f>
        <v>2024-360401</v>
      </c>
      <c r="D2237" s="133"/>
      <c r="E2237" s="133" t="str">
        <f>IFERROR(__xludf.DUMMYFUNCTION("""COMPUTED_VALUE"""),"مكتمل")</f>
        <v>مكتمل</v>
      </c>
      <c r="F2237" s="133" t="str">
        <f>IFERROR(__xludf.DUMMYFUNCTION("""COMPUTED_VALUE"""),"DASHI DELIGHTS SILKY BROTH CHICKEN WITH CHEESE RECIPE")</f>
        <v>DASHI DELIGHTS SILKY BROTH CHICKEN WITH CHEESE RECIPE</v>
      </c>
      <c r="G2237" s="133" t="str">
        <f>IFERROR(__xludf.DUMMYFUNCTION("""COMPUTED_VALUE"""),"اينابا ديش ديلايت سيلكي بروث دجاج مع الجبن ريسبي")</f>
        <v>اينابا ديش ديلايت سيلكي بروث دجاج مع الجبن ريسبي</v>
      </c>
      <c r="H2237" s="133" t="str">
        <f>IFERROR(__xludf.DUMMYFUNCTION("""COMPUTED_VALUE"""),"FEM-2024-15745-FEP-2024-83147-C-22548-2040")</f>
        <v>FEM-2024-15745-FEP-2024-83147-C-22548-2040</v>
      </c>
      <c r="I2237" s="133"/>
      <c r="J2237" s="133"/>
      <c r="K2237" s="133" t="str">
        <f>IFERROR(__xludf.DUMMYFUNCTION("""COMPUTED_VALUE"""),"شركة تاي اينابا للأغذية المحدودة")</f>
        <v>شركة تاي اينابا للأغذية المحدودة</v>
      </c>
      <c r="L2237" s="133"/>
      <c r="M2237" s="133">
        <f>IFERROR(__xludf.DUMMYFUNCTION("""COMPUTED_VALUE"""),47130.0)</f>
        <v>47130</v>
      </c>
      <c r="N2237" s="133"/>
      <c r="O2237" s="133"/>
      <c r="P2237" s="133"/>
      <c r="Q2237" s="133"/>
      <c r="R2237" s="133"/>
      <c r="S2237" s="133"/>
      <c r="T2237" s="133"/>
      <c r="U2237" s="133"/>
      <c r="V2237" s="133"/>
      <c r="W2237" s="133"/>
      <c r="X2237" s="133"/>
      <c r="Y2237" s="133"/>
      <c r="Z2237" s="133"/>
    </row>
    <row r="2238">
      <c r="A2238" s="133"/>
      <c r="B2238" s="133"/>
      <c r="C2238" s="133" t="str">
        <f>IFERROR(__xludf.DUMMYFUNCTION("""COMPUTED_VALUE"""),"2024-360412")</f>
        <v>2024-360412</v>
      </c>
      <c r="D2238" s="133"/>
      <c r="E2238" s="133" t="str">
        <f>IFERROR(__xludf.DUMMYFUNCTION("""COMPUTED_VALUE"""),"مكتمل")</f>
        <v>مكتمل</v>
      </c>
      <c r="F2238" s="133" t="str">
        <f>IFERROR(__xludf.DUMMYFUNCTION("""COMPUTED_VALUE"""),"DASHI DELIGHTS SILKY BROTH CHICKEN WITH SALMON RECIPE")</f>
        <v>DASHI DELIGHTS SILKY BROTH CHICKEN WITH SALMON RECIPE</v>
      </c>
      <c r="G2238" s="133" t="str">
        <f>IFERROR(__xludf.DUMMYFUNCTION("""COMPUTED_VALUE"""),"اينابا ديش ديلايت سيلكي بروث دجاج مع السالمون ريسبي")</f>
        <v>اينابا ديش ديلايت سيلكي بروث دجاج مع السالمون ريسبي</v>
      </c>
      <c r="H2238" s="133" t="str">
        <f>IFERROR(__xludf.DUMMYFUNCTION("""COMPUTED_VALUE"""),"FEM-2024-15746-FEP-2024-83148-C-22548-2039")</f>
        <v>FEM-2024-15746-FEP-2024-83148-C-22548-2039</v>
      </c>
      <c r="I2238" s="133"/>
      <c r="J2238" s="133"/>
      <c r="K2238" s="133" t="str">
        <f>IFERROR(__xludf.DUMMYFUNCTION("""COMPUTED_VALUE"""),"شركة تاي اينابا للأغذية المحدودة")</f>
        <v>شركة تاي اينابا للأغذية المحدودة</v>
      </c>
      <c r="L2238" s="133"/>
      <c r="M2238" s="133">
        <f>IFERROR(__xludf.DUMMYFUNCTION("""COMPUTED_VALUE"""),47130.0)</f>
        <v>47130</v>
      </c>
      <c r="N2238" s="133"/>
      <c r="O2238" s="133"/>
      <c r="P2238" s="133"/>
      <c r="Q2238" s="133"/>
      <c r="R2238" s="133"/>
      <c r="S2238" s="133"/>
      <c r="T2238" s="133"/>
      <c r="U2238" s="133"/>
      <c r="V2238" s="133"/>
      <c r="W2238" s="133"/>
      <c r="X2238" s="133"/>
      <c r="Y2238" s="133"/>
      <c r="Z2238" s="133"/>
    </row>
    <row r="2239">
      <c r="A2239" s="133"/>
      <c r="B2239" s="133"/>
      <c r="C2239" s="133" t="str">
        <f>IFERROR(__xludf.DUMMYFUNCTION("""COMPUTED_VALUE"""),"2024-360561")</f>
        <v>2024-360561</v>
      </c>
      <c r="D2239" s="133"/>
      <c r="E2239" s="133" t="str">
        <f>IFERROR(__xludf.DUMMYFUNCTION("""COMPUTED_VALUE"""),"مكتمل")</f>
        <v>مكتمل</v>
      </c>
      <c r="F2239" s="133" t="str">
        <f>IFERROR(__xludf.DUMMYFUNCTION("""COMPUTED_VALUE"""),"DASHI DELIGHTS DELICATE FLAKES CHICKEN WITH SALMON RECIPE")</f>
        <v>DASHI DELIGHTS DELICATE FLAKES CHICKEN WITH SALMON RECIPE</v>
      </c>
      <c r="G2239" s="133" t="str">
        <f>IFERROR(__xludf.DUMMYFUNCTION("""COMPUTED_VALUE"""),"اينابا ديش ديلايت ديليكيت فليكس دجاج وسالمون ريسبي")</f>
        <v>اينابا ديش ديلايت ديليكيت فليكس دجاج وسالمون ريسبي</v>
      </c>
      <c r="H2239" s="133" t="str">
        <f>IFERROR(__xludf.DUMMYFUNCTION("""COMPUTED_VALUE"""),"FEM-2024-15753-FEP-2024-83153-C-22548-2043")</f>
        <v>FEM-2024-15753-FEP-2024-83153-C-22548-2043</v>
      </c>
      <c r="I2239" s="133"/>
      <c r="J2239" s="133"/>
      <c r="K2239" s="133" t="str">
        <f>IFERROR(__xludf.DUMMYFUNCTION("""COMPUTED_VALUE"""),"شركة تاي اينابا للأغذية المحدودة")</f>
        <v>شركة تاي اينابا للأغذية المحدودة</v>
      </c>
      <c r="L2239" s="133"/>
      <c r="M2239" s="133">
        <f>IFERROR(__xludf.DUMMYFUNCTION("""COMPUTED_VALUE"""),47130.0)</f>
        <v>47130</v>
      </c>
      <c r="N2239" s="133"/>
      <c r="O2239" s="133"/>
      <c r="P2239" s="133"/>
      <c r="Q2239" s="133"/>
      <c r="R2239" s="133"/>
      <c r="S2239" s="133"/>
      <c r="T2239" s="133"/>
      <c r="U2239" s="133"/>
      <c r="V2239" s="133"/>
      <c r="W2239" s="133"/>
      <c r="X2239" s="133"/>
      <c r="Y2239" s="133"/>
      <c r="Z2239" s="133"/>
    </row>
    <row r="2240">
      <c r="A2240" s="133"/>
      <c r="B2240" s="133"/>
      <c r="C2240" s="133" t="str">
        <f>IFERROR(__xludf.DUMMYFUNCTION("""COMPUTED_VALUE"""),"2024-360581")</f>
        <v>2024-360581</v>
      </c>
      <c r="D2240" s="133"/>
      <c r="E2240" s="133" t="str">
        <f>IFERROR(__xludf.DUMMYFUNCTION("""COMPUTED_VALUE"""),"مكتمل")</f>
        <v>مكتمل</v>
      </c>
      <c r="F2240" s="133" t="str">
        <f>IFERROR(__xludf.DUMMYFUNCTION("""COMPUTED_VALUE"""),"DASHI DELIGHTS DELICATE FLAKES CHICKEN WITH CHEESE RECIPE")</f>
        <v>DASHI DELIGHTS DELICATE FLAKES CHICKEN WITH CHEESE RECIPE</v>
      </c>
      <c r="G2240" s="133" t="str">
        <f>IFERROR(__xludf.DUMMYFUNCTION("""COMPUTED_VALUE"""),"اينابا ديش ديلايت ديليكيت فليكس دجاج وجبن ريسبي")</f>
        <v>اينابا ديش ديلايت ديليكيت فليكس دجاج وجبن ريسبي</v>
      </c>
      <c r="H2240" s="133" t="str">
        <f>IFERROR(__xludf.DUMMYFUNCTION("""COMPUTED_VALUE"""),"FEM-2024-15754-FEP-2024-83154-C-22548-2028")</f>
        <v>FEM-2024-15754-FEP-2024-83154-C-22548-2028</v>
      </c>
      <c r="I2240" s="133"/>
      <c r="J2240" s="133"/>
      <c r="K2240" s="133" t="str">
        <f>IFERROR(__xludf.DUMMYFUNCTION("""COMPUTED_VALUE"""),"شركة تاي اينابا للأغذية المحدودة")</f>
        <v>شركة تاي اينابا للأغذية المحدودة</v>
      </c>
      <c r="L2240" s="133"/>
      <c r="M2240" s="133">
        <f>IFERROR(__xludf.DUMMYFUNCTION("""COMPUTED_VALUE"""),47130.0)</f>
        <v>47130</v>
      </c>
      <c r="N2240" s="133"/>
      <c r="O2240" s="133"/>
      <c r="P2240" s="133"/>
      <c r="Q2240" s="133"/>
      <c r="R2240" s="133"/>
      <c r="S2240" s="133"/>
      <c r="T2240" s="133"/>
      <c r="U2240" s="133"/>
      <c r="V2240" s="133"/>
      <c r="W2240" s="133"/>
      <c r="X2240" s="133"/>
      <c r="Y2240" s="133"/>
      <c r="Z2240" s="133"/>
    </row>
    <row r="2241">
      <c r="A2241" s="133"/>
      <c r="B2241" s="133"/>
      <c r="C2241" s="133" t="str">
        <f>IFERROR(__xludf.DUMMYFUNCTION("""COMPUTED_VALUE"""),"2024-360592")</f>
        <v>2024-360592</v>
      </c>
      <c r="D2241" s="133"/>
      <c r="E2241" s="133" t="str">
        <f>IFERROR(__xludf.DUMMYFUNCTION("""COMPUTED_VALUE"""),"مكتمل")</f>
        <v>مكتمل</v>
      </c>
      <c r="F2241" s="133" t="str">
        <f>IFERROR(__xludf.DUMMYFUNCTION("""COMPUTED_VALUE"""),"DASHI DELIGHTS DELICATE FLAKES CHICKEN WITH TUNA RECIPE")</f>
        <v>DASHI DELIGHTS DELICATE FLAKES CHICKEN WITH TUNA RECIPE</v>
      </c>
      <c r="G2241" s="133" t="str">
        <f>IFERROR(__xludf.DUMMYFUNCTION("""COMPUTED_VALUE"""),"اينابا ديش ديلايت ديليكيت فليكس دجاج والتونة ريسبي")</f>
        <v>اينابا ديش ديلايت ديليكيت فليكس دجاج والتونة ريسبي</v>
      </c>
      <c r="H2241" s="133" t="str">
        <f>IFERROR(__xludf.DUMMYFUNCTION("""COMPUTED_VALUE"""),"FEM-2024-15755-FEP-2024-83155-C-22548-2026")</f>
        <v>FEM-2024-15755-FEP-2024-83155-C-22548-2026</v>
      </c>
      <c r="I2241" s="133"/>
      <c r="J2241" s="133"/>
      <c r="K2241" s="133" t="str">
        <f>IFERROR(__xludf.DUMMYFUNCTION("""COMPUTED_VALUE"""),"شركة تاي اينابا للأغذية المحدودة")</f>
        <v>شركة تاي اينابا للأغذية المحدودة</v>
      </c>
      <c r="L2241" s="133"/>
      <c r="M2241" s="133">
        <f>IFERROR(__xludf.DUMMYFUNCTION("""COMPUTED_VALUE"""),47130.0)</f>
        <v>47130</v>
      </c>
      <c r="N2241" s="133"/>
      <c r="O2241" s="133"/>
      <c r="P2241" s="133"/>
      <c r="Q2241" s="133"/>
      <c r="R2241" s="133"/>
      <c r="S2241" s="133"/>
      <c r="T2241" s="133"/>
      <c r="U2241" s="133"/>
      <c r="V2241" s="133"/>
      <c r="W2241" s="133"/>
      <c r="X2241" s="133"/>
      <c r="Y2241" s="133"/>
      <c r="Z2241" s="133"/>
    </row>
    <row r="2242">
      <c r="A2242" s="133"/>
      <c r="B2242" s="133"/>
      <c r="C2242" s="133" t="str">
        <f>IFERROR(__xludf.DUMMYFUNCTION("""COMPUTED_VALUE"""),"2024-360604")</f>
        <v>2024-360604</v>
      </c>
      <c r="D2242" s="133"/>
      <c r="E2242" s="133" t="str">
        <f>IFERROR(__xludf.DUMMYFUNCTION("""COMPUTED_VALUE"""),"مكتمل")</f>
        <v>مكتمل</v>
      </c>
      <c r="F2242" s="133" t="str">
        <f>IFERROR(__xludf.DUMMYFUNCTION("""COMPUTED_VALUE"""),"DASHI DELIGHTS DELICATE FLAKES CHICKEN RECIPE")</f>
        <v>DASHI DELIGHTS DELICATE FLAKES CHICKEN RECIPE</v>
      </c>
      <c r="G2242" s="133" t="str">
        <f>IFERROR(__xludf.DUMMYFUNCTION("""COMPUTED_VALUE"""),"اينابا ديش ديلايت ديليكيت فليكس دجاج ريسبي")</f>
        <v>اينابا ديش ديلايت ديليكيت فليكس دجاج ريسبي</v>
      </c>
      <c r="H2242" s="133" t="str">
        <f>IFERROR(__xludf.DUMMYFUNCTION("""COMPUTED_VALUE"""),"FEM-2024-15756-FEP-2024-83156-C-22548-2030")</f>
        <v>FEM-2024-15756-FEP-2024-83156-C-22548-2030</v>
      </c>
      <c r="I2242" s="133"/>
      <c r="J2242" s="133"/>
      <c r="K2242" s="133" t="str">
        <f>IFERROR(__xludf.DUMMYFUNCTION("""COMPUTED_VALUE"""),"شركة تاي اينابا للأغذية المحدودة")</f>
        <v>شركة تاي اينابا للأغذية المحدودة</v>
      </c>
      <c r="L2242" s="133"/>
      <c r="M2242" s="133">
        <f>IFERROR(__xludf.DUMMYFUNCTION("""COMPUTED_VALUE"""),47130.0)</f>
        <v>47130</v>
      </c>
      <c r="N2242" s="133"/>
      <c r="O2242" s="133"/>
      <c r="P2242" s="133"/>
      <c r="Q2242" s="133"/>
      <c r="R2242" s="133"/>
      <c r="S2242" s="133"/>
      <c r="T2242" s="133"/>
      <c r="U2242" s="133"/>
      <c r="V2242" s="133"/>
      <c r="W2242" s="133"/>
      <c r="X2242" s="133"/>
      <c r="Y2242" s="133"/>
      <c r="Z2242" s="133"/>
    </row>
    <row r="2243">
      <c r="A2243" s="133"/>
      <c r="B2243" s="133"/>
      <c r="C2243" s="133" t="str">
        <f>IFERROR(__xludf.DUMMYFUNCTION("""COMPUTED_VALUE"""),"2024-360481")</f>
        <v>2024-360481</v>
      </c>
      <c r="D2243" s="133"/>
      <c r="E2243" s="133" t="str">
        <f>IFERROR(__xludf.DUMMYFUNCTION("""COMPUTED_VALUE"""),"مكتمل")</f>
        <v>مكتمل</v>
      </c>
      <c r="F2243" s="133" t="str">
        <f>IFERROR(__xludf.DUMMYFUNCTION("""COMPUTED_VALUE"""),"DASHI DELIGHTS SILKY BROTH CHICKEN WITH TUNA RECIPE")</f>
        <v>DASHI DELIGHTS SILKY BROTH CHICKEN WITH TUNA RECIPE</v>
      </c>
      <c r="G2243" s="133" t="str">
        <f>IFERROR(__xludf.DUMMYFUNCTION("""COMPUTED_VALUE"""),"اينابا ديش ديلايت سيلكي بروث دجاج مع تونة ريسبي")</f>
        <v>اينابا ديش ديلايت سيلكي بروث دجاج مع تونة ريسبي</v>
      </c>
      <c r="H2243" s="133" t="str">
        <f>IFERROR(__xludf.DUMMYFUNCTION("""COMPUTED_VALUE"""),"FEM-2024-15749-FEP-2024-83152-C-22548-2029")</f>
        <v>FEM-2024-15749-FEP-2024-83152-C-22548-2029</v>
      </c>
      <c r="I2243" s="133"/>
      <c r="J2243" s="133"/>
      <c r="K2243" s="133" t="str">
        <f>IFERROR(__xludf.DUMMYFUNCTION("""COMPUTED_VALUE"""),"شركة تاي اينابا للأغذية المحدودة")</f>
        <v>شركة تاي اينابا للأغذية المحدودة</v>
      </c>
      <c r="L2243" s="133"/>
      <c r="M2243" s="133">
        <f>IFERROR(__xludf.DUMMYFUNCTION("""COMPUTED_VALUE"""),47130.0)</f>
        <v>47130</v>
      </c>
      <c r="N2243" s="133"/>
      <c r="O2243" s="133"/>
      <c r="P2243" s="133"/>
      <c r="Q2243" s="133"/>
      <c r="R2243" s="133"/>
      <c r="S2243" s="133"/>
      <c r="T2243" s="133"/>
      <c r="U2243" s="133"/>
      <c r="V2243" s="133"/>
      <c r="W2243" s="133"/>
      <c r="X2243" s="133"/>
      <c r="Y2243" s="133"/>
      <c r="Z2243" s="133"/>
    </row>
    <row r="2244">
      <c r="A2244" s="133"/>
      <c r="B2244" s="133"/>
      <c r="C2244" s="133" t="str">
        <f>IFERROR(__xludf.DUMMYFUNCTION("""COMPUTED_VALUE"""),"2024-360613")</f>
        <v>2024-360613</v>
      </c>
      <c r="D2244" s="133"/>
      <c r="E2244" s="133" t="str">
        <f>IFERROR(__xludf.DUMMYFUNCTION("""COMPUTED_VALUE"""),"مكتمل")</f>
        <v>مكتمل</v>
      </c>
      <c r="F2244" s="133" t="str">
        <f>IFERROR(__xludf.DUMMYFUNCTION("""COMPUTED_VALUE"""),"DASHI DELIGHTS DELICATE FLAKES CHICKEN WITH TUNA &amp; SALMON RECIPE")</f>
        <v>DASHI DELIGHTS DELICATE FLAKES CHICKEN WITH TUNA &amp; SALMON RECIPE</v>
      </c>
      <c r="G2244" s="133" t="str">
        <f>IFERROR(__xludf.DUMMYFUNCTION("""COMPUTED_VALUE"""),"اينابا ديش ديلايت ديليكيت فليكس دجاج وتونة وسالمون ريسبي")</f>
        <v>اينابا ديش ديلايت ديليكيت فليكس دجاج وتونة وسالمون ريسبي</v>
      </c>
      <c r="H2244" s="133" t="str">
        <f>IFERROR(__xludf.DUMMYFUNCTION("""COMPUTED_VALUE"""),"FEM-2024-15757-FEP-2024-83157-C-22548-2037")</f>
        <v>FEM-2024-15757-FEP-2024-83157-C-22548-2037</v>
      </c>
      <c r="I2244" s="133"/>
      <c r="J2244" s="133"/>
      <c r="K2244" s="133" t="str">
        <f>IFERROR(__xludf.DUMMYFUNCTION("""COMPUTED_VALUE"""),"شركة تاي اينابا للأغذية المحدودة")</f>
        <v>شركة تاي اينابا للأغذية المحدودة</v>
      </c>
      <c r="L2244" s="133"/>
      <c r="M2244" s="133">
        <f>IFERROR(__xludf.DUMMYFUNCTION("""COMPUTED_VALUE"""),47130.0)</f>
        <v>47130</v>
      </c>
      <c r="N2244" s="133"/>
      <c r="O2244" s="133"/>
      <c r="P2244" s="133"/>
      <c r="Q2244" s="133"/>
      <c r="R2244" s="133"/>
      <c r="S2244" s="133"/>
      <c r="T2244" s="133"/>
      <c r="U2244" s="133"/>
      <c r="V2244" s="133"/>
      <c r="W2244" s="133"/>
      <c r="X2244" s="133"/>
      <c r="Y2244" s="133"/>
      <c r="Z2244" s="133"/>
    </row>
    <row r="2245">
      <c r="A2245" s="133"/>
      <c r="B2245" s="133"/>
      <c r="C2245" s="133" t="str">
        <f>IFERROR(__xludf.DUMMYFUNCTION("""COMPUTED_VALUE"""),"2024-360630")</f>
        <v>2024-360630</v>
      </c>
      <c r="D2245" s="133"/>
      <c r="E2245" s="133" t="str">
        <f>IFERROR(__xludf.DUMMYFUNCTION("""COMPUTED_VALUE"""),"مكتمل")</f>
        <v>مكتمل</v>
      </c>
      <c r="F2245" s="133" t="str">
        <f>IFERROR(__xludf.DUMMYFUNCTION("""COMPUTED_VALUE"""),"DASHI DELIGHTS DELICATE FLAKES CHICKEN WITH TUNA &amp; SCALLOP RECIPE")</f>
        <v>DASHI DELIGHTS DELICATE FLAKES CHICKEN WITH TUNA &amp; SCALLOP RECIPE</v>
      </c>
      <c r="G2245" s="133" t="str">
        <f>IFERROR(__xludf.DUMMYFUNCTION("""COMPUTED_VALUE"""),"اينابا ديش ديلايت ديليكيت فليكس دجاج وتونة و إسكالوب ريسبي")</f>
        <v>اينابا ديش ديلايت ديليكيت فليكس دجاج وتونة و إسكالوب ريسبي</v>
      </c>
      <c r="H2245" s="133" t="str">
        <f>IFERROR(__xludf.DUMMYFUNCTION("""COMPUTED_VALUE"""),"FEM-2024-15758-FEP-2024-83158-C-22548-2042")</f>
        <v>FEM-2024-15758-FEP-2024-83158-C-22548-2042</v>
      </c>
      <c r="I2245" s="133"/>
      <c r="J2245" s="133"/>
      <c r="K2245" s="133" t="str">
        <f>IFERROR(__xludf.DUMMYFUNCTION("""COMPUTED_VALUE"""),"شركة تاي اينابا للأغذية المحدودة")</f>
        <v>شركة تاي اينابا للأغذية المحدودة</v>
      </c>
      <c r="L2245" s="133"/>
      <c r="M2245" s="133">
        <f>IFERROR(__xludf.DUMMYFUNCTION("""COMPUTED_VALUE"""),47130.0)</f>
        <v>47130</v>
      </c>
      <c r="N2245" s="133"/>
      <c r="O2245" s="133"/>
      <c r="P2245" s="133"/>
      <c r="Q2245" s="133"/>
      <c r="R2245" s="133"/>
      <c r="S2245" s="133"/>
      <c r="T2245" s="133"/>
      <c r="U2245" s="133"/>
      <c r="V2245" s="133"/>
      <c r="W2245" s="133"/>
      <c r="X2245" s="133"/>
      <c r="Y2245" s="133"/>
      <c r="Z2245" s="133"/>
    </row>
    <row r="2246">
      <c r="A2246" s="133"/>
      <c r="B2246" s="133"/>
      <c r="C2246" s="133" t="str">
        <f>IFERROR(__xludf.DUMMYFUNCTION("""COMPUTED_VALUE"""),"2024-360428")</f>
        <v>2024-360428</v>
      </c>
      <c r="D2246" s="133"/>
      <c r="E2246" s="133" t="str">
        <f>IFERROR(__xludf.DUMMYFUNCTION("""COMPUTED_VALUE"""),"مكتمل ")</f>
        <v>مكتمل </v>
      </c>
      <c r="F2246" s="133" t="str">
        <f>IFERROR(__xludf.DUMMYFUNCTION("""COMPUTED_VALUE"""),"DASHI DELIGHTS SILKY BROTH CHICKEN WITH TUNA &amp; SALMON RECIPE")</f>
        <v>DASHI DELIGHTS SILKY BROTH CHICKEN WITH TUNA &amp; SALMON RECIPE</v>
      </c>
      <c r="G2246" s="133" t="str">
        <f>IFERROR(__xludf.DUMMYFUNCTION("""COMPUTED_VALUE"""),"اينابا ديش ديلايت سيلكي بروث دجاج مع التونة والسالمون ريسبي")</f>
        <v>اينابا ديش ديلايت سيلكي بروث دجاج مع التونة والسالمون ريسبي</v>
      </c>
      <c r="H2246" s="133" t="str">
        <f>IFERROR(__xludf.DUMMYFUNCTION("""COMPUTED_VALUE"""),"FEM-2024-15747-FEP-2024-83149-C-22548-2036")</f>
        <v>FEM-2024-15747-FEP-2024-83149-C-22548-2036</v>
      </c>
      <c r="I2246" s="133"/>
      <c r="J2246" s="133"/>
      <c r="K2246" s="133" t="str">
        <f>IFERROR(__xludf.DUMMYFUNCTION("""COMPUTED_VALUE"""),"شركة تاي اينابا للأغذية المحدودة")</f>
        <v>شركة تاي اينابا للأغذية المحدودة</v>
      </c>
      <c r="L2246" s="133"/>
      <c r="M2246" s="133">
        <f>IFERROR(__xludf.DUMMYFUNCTION("""COMPUTED_VALUE"""),47130.0)</f>
        <v>47130</v>
      </c>
      <c r="N2246" s="133"/>
      <c r="O2246" s="133"/>
      <c r="P2246" s="133"/>
      <c r="Q2246" s="133"/>
      <c r="R2246" s="133"/>
      <c r="S2246" s="133"/>
      <c r="T2246" s="133"/>
      <c r="U2246" s="133"/>
      <c r="V2246" s="133"/>
      <c r="W2246" s="133"/>
      <c r="X2246" s="133"/>
      <c r="Y2246" s="133"/>
      <c r="Z2246" s="133"/>
    </row>
    <row r="2247">
      <c r="A2247" s="133"/>
      <c r="B2247" s="133"/>
      <c r="C2247" s="133" t="str">
        <f>IFERROR(__xludf.DUMMYFUNCTION("""COMPUTED_VALUE"""),"2024-360468")</f>
        <v>2024-360468</v>
      </c>
      <c r="D2247" s="133"/>
      <c r="E2247" s="133" t="str">
        <f>IFERROR(__xludf.DUMMYFUNCTION("""COMPUTED_VALUE"""),"مكتمل")</f>
        <v>مكتمل</v>
      </c>
      <c r="F2247" s="133" t="str">
        <f>IFERROR(__xludf.DUMMYFUNCTION("""COMPUTED_VALUE"""),"DASHI DELIGHTS SILKY BROTH CHICKEN WITH TUNA &amp; SCALLOP RECIPE")</f>
        <v>DASHI DELIGHTS SILKY BROTH CHICKEN WITH TUNA &amp; SCALLOP RECIPE</v>
      </c>
      <c r="G2247" s="133" t="str">
        <f>IFERROR(__xludf.DUMMYFUNCTION("""COMPUTED_VALUE"""),"اينابا ديش ديلايت سيلكي بروث دجاج مع التونة و إسكالوب ريسبي")</f>
        <v>اينابا ديش ديلايت سيلكي بروث دجاج مع التونة و إسكالوب ريسبي</v>
      </c>
      <c r="H2247" s="133" t="str">
        <f>IFERROR(__xludf.DUMMYFUNCTION("""COMPUTED_VALUE"""),"FEM-2024-15748-FEP-2024-83151-C-22548-2033")</f>
        <v>FEM-2024-15748-FEP-2024-83151-C-22548-2033</v>
      </c>
      <c r="I2247" s="133"/>
      <c r="J2247" s="133"/>
      <c r="K2247" s="133" t="str">
        <f>IFERROR(__xludf.DUMMYFUNCTION("""COMPUTED_VALUE"""),"شركة تاي اينابا للأغذية المحدودة")</f>
        <v>شركة تاي اينابا للأغذية المحدودة</v>
      </c>
      <c r="L2247" s="133"/>
      <c r="M2247" s="133">
        <f>IFERROR(__xludf.DUMMYFUNCTION("""COMPUTED_VALUE"""),47130.0)</f>
        <v>47130</v>
      </c>
      <c r="N2247" s="133"/>
      <c r="O2247" s="133"/>
      <c r="P2247" s="133"/>
      <c r="Q2247" s="133"/>
      <c r="R2247" s="133"/>
      <c r="S2247" s="133"/>
      <c r="T2247" s="133"/>
      <c r="U2247" s="133"/>
      <c r="V2247" s="133"/>
      <c r="W2247" s="133"/>
      <c r="X2247" s="133"/>
      <c r="Y2247" s="133"/>
      <c r="Z2247" s="133"/>
    </row>
    <row r="2248">
      <c r="A2248" s="133"/>
      <c r="B2248" s="133"/>
      <c r="C2248" s="133" t="str">
        <f>IFERROR(__xludf.DUMMYFUNCTION("""COMPUTED_VALUE"""),"2024-370596")</f>
        <v>2024-370596</v>
      </c>
      <c r="D2248" s="133"/>
      <c r="E2248" s="133" t="str">
        <f>IFERROR(__xludf.DUMMYFUNCTION("""COMPUTED_VALUE"""),"مكتمل")</f>
        <v>مكتمل</v>
      </c>
      <c r="F2248" s="133" t="str">
        <f>IFERROR(__xludf.DUMMYFUNCTION("""COMPUTED_VALUE"""),"Kit Cat Savoury Soup Chicken")</f>
        <v>Kit Cat Savoury Soup Chicken</v>
      </c>
      <c r="G2248" s="133" t="str">
        <f>IFERROR(__xludf.DUMMYFUNCTION("""COMPUTED_VALUE"""),"كيت كات ساڤوري سوب دجاج 50 جم")</f>
        <v>كيت كات ساڤوري سوب دجاج 50 جم</v>
      </c>
      <c r="H2248" s="133" t="str">
        <f>IFERROR(__xludf.DUMMYFUNCTION("""COMPUTED_VALUE"""),"FEM-2024-16082-FEP-2024-83395-C-22548-2103")</f>
        <v>FEM-2024-16082-FEP-2024-83395-C-22548-2103</v>
      </c>
      <c r="I2248" s="133"/>
      <c r="J2248" s="133"/>
      <c r="K2248" s="133" t="str">
        <f>IFERROR(__xludf.DUMMYFUNCTION("""COMPUTED_VALUE"""),"شركة سيام للأغذية العالمية المحدودة")</f>
        <v>شركة سيام للأغذية العالمية المحدودة</v>
      </c>
      <c r="L2248" s="133"/>
      <c r="M2248" s="133">
        <f>IFERROR(__xludf.DUMMYFUNCTION("""COMPUTED_VALUE"""),47189.0)</f>
        <v>47189</v>
      </c>
      <c r="N2248" s="133"/>
      <c r="O2248" s="133"/>
      <c r="P2248" s="133"/>
      <c r="Q2248" s="133"/>
      <c r="R2248" s="133"/>
      <c r="S2248" s="133"/>
      <c r="T2248" s="133"/>
      <c r="U2248" s="133"/>
      <c r="V2248" s="133"/>
      <c r="W2248" s="133"/>
      <c r="X2248" s="133"/>
      <c r="Y2248" s="133"/>
      <c r="Z2248" s="133"/>
    </row>
    <row r="2249">
      <c r="A2249" s="133"/>
      <c r="B2249" s="133"/>
      <c r="C2249" s="133" t="str">
        <f>IFERROR(__xludf.DUMMYFUNCTION("""COMPUTED_VALUE"""),"2024-370608")</f>
        <v>2024-370608</v>
      </c>
      <c r="D2249" s="133"/>
      <c r="E2249" s="133" t="str">
        <f>IFERROR(__xludf.DUMMYFUNCTION("""COMPUTED_VALUE"""),"مكتمل")</f>
        <v>مكتمل</v>
      </c>
      <c r="F2249" s="133" t="str">
        <f>IFERROR(__xludf.DUMMYFUNCTION("""COMPUTED_VALUE"""),"Kit Cat Savoury Soup Tuna")</f>
        <v>Kit Cat Savoury Soup Tuna</v>
      </c>
      <c r="G2249" s="133" t="str">
        <f>IFERROR(__xludf.DUMMYFUNCTION("""COMPUTED_VALUE"""),"كيت كات ساڤوري سوب تونة 50 جم")</f>
        <v>كيت كات ساڤوري سوب تونة 50 جم</v>
      </c>
      <c r="H2249" s="133" t="str">
        <f>IFERROR(__xludf.DUMMYFUNCTION("""COMPUTED_VALUE"""),"FEM-2024-16083-FEP-2024-83396-C-22548-2105")</f>
        <v>FEM-2024-16083-FEP-2024-83396-C-22548-2105</v>
      </c>
      <c r="I2249" s="133"/>
      <c r="J2249" s="133"/>
      <c r="K2249" s="133" t="str">
        <f>IFERROR(__xludf.DUMMYFUNCTION("""COMPUTED_VALUE"""),"شركة سيام للأغذية العالمية المحدودة")</f>
        <v>شركة سيام للأغذية العالمية المحدودة</v>
      </c>
      <c r="L2249" s="133"/>
      <c r="M2249" s="133">
        <f>IFERROR(__xludf.DUMMYFUNCTION("""COMPUTED_VALUE"""),47189.0)</f>
        <v>47189</v>
      </c>
      <c r="N2249" s="133"/>
      <c r="O2249" s="133"/>
      <c r="P2249" s="133"/>
      <c r="Q2249" s="133"/>
      <c r="R2249" s="133"/>
      <c r="S2249" s="133"/>
      <c r="T2249" s="133"/>
      <c r="U2249" s="133"/>
      <c r="V2249" s="133"/>
      <c r="W2249" s="133"/>
      <c r="X2249" s="133"/>
      <c r="Y2249" s="133"/>
      <c r="Z2249" s="133"/>
    </row>
    <row r="2250">
      <c r="A2250" s="133"/>
      <c r="B2250" s="133"/>
      <c r="C2250" s="133" t="str">
        <f>IFERROR(__xludf.DUMMYFUNCTION("""COMPUTED_VALUE"""),"2024-370618")</f>
        <v>2024-370618</v>
      </c>
      <c r="D2250" s="133"/>
      <c r="E2250" s="133" t="str">
        <f>IFERROR(__xludf.DUMMYFUNCTION("""COMPUTED_VALUE"""),"مكتمل")</f>
        <v>مكتمل</v>
      </c>
      <c r="F2250" s="133" t="str">
        <f>IFERROR(__xludf.DUMMYFUNCTION("""COMPUTED_VALUE"""),"Kit Cat Savoury Soup Salmon")</f>
        <v>Kit Cat Savoury Soup Salmon</v>
      </c>
      <c r="G2250" s="133" t="str">
        <f>IFERROR(__xludf.DUMMYFUNCTION("""COMPUTED_VALUE"""),"كيت كات ساڤوري سوب سالمون 50 جم")</f>
        <v>كيت كات ساڤوري سوب سالمون 50 جم</v>
      </c>
      <c r="H2250" s="133" t="str">
        <f>IFERROR(__xludf.DUMMYFUNCTION("""COMPUTED_VALUE"""),"FEM-2024-16086-FEP-2024-83398-C-22548-2106")</f>
        <v>FEM-2024-16086-FEP-2024-83398-C-22548-2106</v>
      </c>
      <c r="I2250" s="133"/>
      <c r="J2250" s="133"/>
      <c r="K2250" s="133" t="str">
        <f>IFERROR(__xludf.DUMMYFUNCTION("""COMPUTED_VALUE"""),"شركة سيام للأغذية العالمية المحدودة")</f>
        <v>شركة سيام للأغذية العالمية المحدودة</v>
      </c>
      <c r="L2250" s="133"/>
      <c r="M2250" s="133">
        <f>IFERROR(__xludf.DUMMYFUNCTION("""COMPUTED_VALUE"""),47189.0)</f>
        <v>47189</v>
      </c>
      <c r="N2250" s="133"/>
      <c r="O2250" s="133"/>
      <c r="P2250" s="133"/>
      <c r="Q2250" s="133"/>
      <c r="R2250" s="133"/>
      <c r="S2250" s="133"/>
      <c r="T2250" s="133"/>
      <c r="U2250" s="133"/>
      <c r="V2250" s="133"/>
      <c r="W2250" s="133"/>
      <c r="X2250" s="133"/>
      <c r="Y2250" s="133"/>
      <c r="Z2250" s="133"/>
    </row>
    <row r="2251">
      <c r="A2251" s="133"/>
      <c r="B2251" s="133"/>
      <c r="C2251" s="133" t="str">
        <f>IFERROR(__xludf.DUMMYFUNCTION("""COMPUTED_VALUE"""),"2024-370630")</f>
        <v>2024-370630</v>
      </c>
      <c r="D2251" s="133"/>
      <c r="E2251" s="133" t="str">
        <f>IFERROR(__xludf.DUMMYFUNCTION("""COMPUTED_VALUE"""),"مكتمل")</f>
        <v>مكتمل</v>
      </c>
      <c r="F2251" s="133" t="str">
        <f>IFERROR(__xludf.DUMMYFUNCTION("""COMPUTED_VALUE"""),"Kit Cat Savoury Soup Seafood")</f>
        <v>Kit Cat Savoury Soup Seafood</v>
      </c>
      <c r="G2251" s="133" t="str">
        <f>IFERROR(__xludf.DUMMYFUNCTION("""COMPUTED_VALUE"""),"كيت كات ساڤوري سوب ماكولات بحرية 50 جم")</f>
        <v>كيت كات ساڤوري سوب ماكولات بحرية 50 جم</v>
      </c>
      <c r="H2251" s="133" t="str">
        <f>IFERROR(__xludf.DUMMYFUNCTION("""COMPUTED_VALUE"""),"FEM-2024-16088-FEP-2024-83402-C-22548-2108")</f>
        <v>FEM-2024-16088-FEP-2024-83402-C-22548-2108</v>
      </c>
      <c r="I2251" s="133"/>
      <c r="J2251" s="133"/>
      <c r="K2251" s="133" t="str">
        <f>IFERROR(__xludf.DUMMYFUNCTION("""COMPUTED_VALUE"""),"شركة سيام للأغذية العالمية المحدودة")</f>
        <v>شركة سيام للأغذية العالمية المحدودة</v>
      </c>
      <c r="L2251" s="133"/>
      <c r="M2251" s="133">
        <f>IFERROR(__xludf.DUMMYFUNCTION("""COMPUTED_VALUE"""),47189.0)</f>
        <v>47189</v>
      </c>
      <c r="N2251" s="133"/>
      <c r="O2251" s="133"/>
      <c r="P2251" s="133"/>
      <c r="Q2251" s="133"/>
      <c r="R2251" s="133"/>
      <c r="S2251" s="133"/>
      <c r="T2251" s="133"/>
      <c r="U2251" s="133"/>
      <c r="V2251" s="133"/>
      <c r="W2251" s="133"/>
      <c r="X2251" s="133"/>
      <c r="Y2251" s="133"/>
      <c r="Z2251" s="133"/>
    </row>
    <row r="2252">
      <c r="A2252" s="133"/>
      <c r="B2252" s="133"/>
      <c r="C2252" s="133" t="str">
        <f>IFERROR(__xludf.DUMMYFUNCTION("""COMPUTED_VALUE"""),"2024-370636")</f>
        <v>2024-370636</v>
      </c>
      <c r="D2252" s="133"/>
      <c r="E2252" s="133" t="str">
        <f>IFERROR(__xludf.DUMMYFUNCTION("""COMPUTED_VALUE"""),"مكتمل")</f>
        <v>مكتمل</v>
      </c>
      <c r="F2252" s="133" t="str">
        <f>IFERROR(__xludf.DUMMYFUNCTION("""COMPUTED_VALUE"""),"Kit Cat Goatmilk Cat")</f>
        <v>Kit Cat Goatmilk Cat</v>
      </c>
      <c r="G2252" s="133" t="str">
        <f>IFERROR(__xludf.DUMMYFUNCTION("""COMPUTED_VALUE"""),"كيت كات قوت ميلك 50 جم")</f>
        <v>كيت كات قوت ميلك 50 جم</v>
      </c>
      <c r="H2252" s="133" t="str">
        <f>IFERROR(__xludf.DUMMYFUNCTION("""COMPUTED_VALUE"""),"FEM-2024-16089-FEP-2024-83405-C-22548-2107")</f>
        <v>FEM-2024-16089-FEP-2024-83405-C-22548-2107</v>
      </c>
      <c r="I2252" s="133"/>
      <c r="J2252" s="133"/>
      <c r="K2252" s="133" t="str">
        <f>IFERROR(__xludf.DUMMYFUNCTION("""COMPUTED_VALUE"""),"شركة سيام للأغذية العالمية المحدودة")</f>
        <v>شركة سيام للأغذية العالمية المحدودة</v>
      </c>
      <c r="L2252" s="133"/>
      <c r="M2252" s="133"/>
      <c r="N2252" s="133"/>
      <c r="O2252" s="133"/>
      <c r="P2252" s="133"/>
      <c r="Q2252" s="133"/>
      <c r="R2252" s="133"/>
      <c r="S2252" s="133"/>
      <c r="T2252" s="133"/>
      <c r="U2252" s="133"/>
      <c r="V2252" s="133"/>
      <c r="W2252" s="133"/>
      <c r="X2252" s="133"/>
      <c r="Y2252" s="133"/>
      <c r="Z2252" s="133"/>
    </row>
    <row r="2253">
      <c r="A2253" s="133"/>
      <c r="B2253" s="133"/>
      <c r="C2253" s="133" t="str">
        <f>IFERROR(__xludf.DUMMYFUNCTION("""COMPUTED_VALUE"""),"2024-370699")</f>
        <v>2024-370699</v>
      </c>
      <c r="D2253" s="133"/>
      <c r="E2253" s="133" t="str">
        <f>IFERROR(__xludf.DUMMYFUNCTION("""COMPUTED_VALUE"""),"تحت الاجراء ")</f>
        <v>تحت الاجراء </v>
      </c>
      <c r="F2253" s="133" t="str">
        <f>IFERROR(__xludf.DUMMYFUNCTION("""COMPUTED_VALUE"""),"Kit Cat Goatmilk Kitten")</f>
        <v>Kit Cat Goatmilk Kitten</v>
      </c>
      <c r="G2253" s="133" t="str">
        <f>IFERROR(__xludf.DUMMYFUNCTION("""COMPUTED_VALUE"""),"كيت كات كتن قوت ميلك 50 جم")</f>
        <v>كيت كات كتن قوت ميلك 50 جم</v>
      </c>
      <c r="H2253" s="133"/>
      <c r="I2253" s="133"/>
      <c r="J2253" s="133"/>
      <c r="K2253" s="133"/>
      <c r="L2253" s="133"/>
      <c r="M2253" s="133"/>
      <c r="N2253" s="133"/>
      <c r="O2253" s="133"/>
      <c r="P2253" s="133"/>
      <c r="Q2253" s="133"/>
      <c r="R2253" s="133"/>
      <c r="S2253" s="133"/>
      <c r="T2253" s="133"/>
      <c r="U2253" s="133"/>
      <c r="V2253" s="133"/>
      <c r="W2253" s="133"/>
      <c r="X2253" s="133"/>
      <c r="Y2253" s="133"/>
      <c r="Z2253" s="133"/>
    </row>
    <row r="2254">
      <c r="A2254" s="133"/>
      <c r="B2254" s="133"/>
      <c r="C2254" s="133" t="str">
        <f>IFERROR(__xludf.DUMMYFUNCTION("""COMPUTED_VALUE"""),"2024-371365")</f>
        <v>2024-371365</v>
      </c>
      <c r="D2254" s="133"/>
      <c r="E2254" s="133" t="str">
        <f>IFERROR(__xludf.DUMMYFUNCTION("""COMPUTED_VALUE"""),"مكتمل")</f>
        <v>مكتمل</v>
      </c>
      <c r="F2254" s="133" t="str">
        <f>IFERROR(__xludf.DUMMYFUNCTION("""COMPUTED_VALUE"""),"Whimzees Ricebone 540g")</f>
        <v>Whimzees Ricebone 540g</v>
      </c>
      <c r="G2254" s="133" t="str">
        <f>IFERROR(__xludf.DUMMYFUNCTION("""COMPUTED_VALUE"""),"ويمزيز رايس بون")</f>
        <v>ويمزيز رايس بون</v>
      </c>
      <c r="H2254" s="133" t="str">
        <f>IFERROR(__xludf.DUMMYFUNCTION("""COMPUTED_VALUE"""),"FEM-2024-16103-FEP-2024-83426-C-22548-2224")</f>
        <v>FEM-2024-16103-FEP-2024-83426-C-22548-2224</v>
      </c>
      <c r="I2254" s="133"/>
      <c r="J2254" s="133"/>
      <c r="K2254" s="133" t="str">
        <f>IFERROR(__xludf.DUMMYFUNCTION("""COMPUTED_VALUE"""),"ويلنس بيت كومبني نل")</f>
        <v>ويلنس بيت كومبني نل</v>
      </c>
      <c r="L2254" s="133"/>
      <c r="M2254" s="133">
        <f>IFERROR(__xludf.DUMMYFUNCTION("""COMPUTED_VALUE"""),47311.0)</f>
        <v>47311</v>
      </c>
      <c r="N2254" s="133"/>
      <c r="O2254" s="133"/>
      <c r="P2254" s="133"/>
      <c r="Q2254" s="133"/>
      <c r="R2254" s="133"/>
      <c r="S2254" s="133"/>
      <c r="T2254" s="133"/>
      <c r="U2254" s="133"/>
      <c r="V2254" s="133"/>
      <c r="W2254" s="133"/>
      <c r="X2254" s="133"/>
      <c r="Y2254" s="133"/>
      <c r="Z2254" s="133"/>
    </row>
    <row r="2255">
      <c r="A2255" s="133"/>
      <c r="B2255" s="133"/>
      <c r="C2255" s="133" t="str">
        <f>IFERROR(__xludf.DUMMYFUNCTION("""COMPUTED_VALUE"""),"2024-371592")</f>
        <v>2024-371592</v>
      </c>
      <c r="D2255" s="133"/>
      <c r="E2255" s="133" t="str">
        <f>IFERROR(__xludf.DUMMYFUNCTION("""COMPUTED_VALUE"""),"مكتمل")</f>
        <v>مكتمل</v>
      </c>
      <c r="F2255" s="133" t="str">
        <f>IFERROR(__xludf.DUMMYFUNCTION("""COMPUTED_VALUE"""),"Whimzees Stix S 420g")</f>
        <v>Whimzees Stix S 420g</v>
      </c>
      <c r="G2255" s="133" t="str">
        <f>IFERROR(__xludf.DUMMYFUNCTION("""COMPUTED_VALUE"""),"ويمزيز ستيكس - صغير")</f>
        <v>ويمزيز ستيكس - صغير</v>
      </c>
      <c r="H2255" s="133"/>
      <c r="I2255" s="133"/>
      <c r="J2255" s="133"/>
      <c r="K2255" s="133"/>
      <c r="L2255" s="133"/>
      <c r="M2255" s="133"/>
      <c r="N2255" s="133"/>
      <c r="O2255" s="133"/>
      <c r="P2255" s="133"/>
      <c r="Q2255" s="133"/>
      <c r="R2255" s="133"/>
      <c r="S2255" s="133"/>
      <c r="T2255" s="133"/>
      <c r="U2255" s="133"/>
      <c r="V2255" s="133"/>
      <c r="W2255" s="133"/>
      <c r="X2255" s="133"/>
      <c r="Y2255" s="133"/>
      <c r="Z2255" s="133"/>
    </row>
    <row r="2256">
      <c r="A2256" s="133"/>
      <c r="B2256" s="133"/>
      <c r="C2256" s="133" t="str">
        <f>IFERROR(__xludf.DUMMYFUNCTION("""COMPUTED_VALUE"""),"2024-371619")</f>
        <v>2024-371619</v>
      </c>
      <c r="D2256" s="133"/>
      <c r="E2256" s="133" t="str">
        <f>IFERROR(__xludf.DUMMYFUNCTION("""COMPUTED_VALUE"""),"مكتمل")</f>
        <v>مكتمل</v>
      </c>
      <c r="F2256" s="133" t="str">
        <f>IFERROR(__xludf.DUMMYFUNCTION("""COMPUTED_VALUE"""),"Whimzees Stix M 420g")</f>
        <v>Whimzees Stix M 420g</v>
      </c>
      <c r="G2256" s="133" t="str">
        <f>IFERROR(__xludf.DUMMYFUNCTION("""COMPUTED_VALUE"""),"ويمزيز ستيكس - متوسط")</f>
        <v>ويمزيز ستيكس - متوسط</v>
      </c>
      <c r="H2256" s="133" t="str">
        <f>IFERROR(__xludf.DUMMYFUNCTION("""COMPUTED_VALUE"""),"FEM-2024-16108-FEP-2024-83430-C-22548-2215
")</f>
        <v>FEM-2024-16108-FEP-2024-83430-C-22548-2215
</v>
      </c>
      <c r="I2256" s="133"/>
      <c r="J2256" s="133"/>
      <c r="K2256" s="133" t="str">
        <f>IFERROR(__xludf.DUMMYFUNCTION("""COMPUTED_VALUE"""),"ويلنس بيت كومبني نل")</f>
        <v>ويلنس بيت كومبني نل</v>
      </c>
      <c r="L2256" s="133"/>
      <c r="M2256" s="133">
        <f>IFERROR(__xludf.DUMMYFUNCTION("""COMPUTED_VALUE"""),47311.0)</f>
        <v>47311</v>
      </c>
      <c r="N2256" s="133"/>
      <c r="O2256" s="133"/>
      <c r="P2256" s="133"/>
      <c r="Q2256" s="133"/>
      <c r="R2256" s="133"/>
      <c r="S2256" s="133"/>
      <c r="T2256" s="133"/>
      <c r="U2256" s="133"/>
      <c r="V2256" s="133"/>
      <c r="W2256" s="133"/>
      <c r="X2256" s="133"/>
      <c r="Y2256" s="133"/>
      <c r="Z2256" s="133"/>
    </row>
    <row r="2257">
      <c r="A2257" s="133"/>
      <c r="B2257" s="133"/>
      <c r="C2257" s="133" t="str">
        <f>IFERROR(__xludf.DUMMYFUNCTION("""COMPUTED_VALUE"""),"2024-371642")</f>
        <v>2024-371642</v>
      </c>
      <c r="D2257" s="133"/>
      <c r="E2257" s="133" t="str">
        <f>IFERROR(__xludf.DUMMYFUNCTION("""COMPUTED_VALUE"""),"مكتمل")</f>
        <v>مكتمل</v>
      </c>
      <c r="F2257" s="133" t="str">
        <f>IFERROR(__xludf.DUMMYFUNCTION("""COMPUTED_VALUE"""),"Whimzees Stix L 420g")</f>
        <v>Whimzees Stix L 420g</v>
      </c>
      <c r="G2257" s="133" t="str">
        <f>IFERROR(__xludf.DUMMYFUNCTION("""COMPUTED_VALUE"""),"ويمزيز ستيكس - كبير")</f>
        <v>ويمزيز ستيكس - كبير</v>
      </c>
      <c r="H2257" s="133" t="str">
        <f>IFERROR(__xludf.DUMMYFUNCTION("""COMPUTED_VALUE"""),"FEM-2024-16109-FEP-2024-83431-C-22548-2216
")</f>
        <v>FEM-2024-16109-FEP-2024-83431-C-22548-2216
</v>
      </c>
      <c r="I2257" s="133"/>
      <c r="J2257" s="133"/>
      <c r="K2257" s="133" t="str">
        <f>IFERROR(__xludf.DUMMYFUNCTION("""COMPUTED_VALUE"""),"ويلنس بيت كومبني نل")</f>
        <v>ويلنس بيت كومبني نل</v>
      </c>
      <c r="L2257" s="133"/>
      <c r="M2257" s="133">
        <f>IFERROR(__xludf.DUMMYFUNCTION("""COMPUTED_VALUE"""),47311.0)</f>
        <v>47311</v>
      </c>
      <c r="N2257" s="133"/>
      <c r="O2257" s="133"/>
      <c r="P2257" s="133"/>
      <c r="Q2257" s="133"/>
      <c r="R2257" s="133"/>
      <c r="S2257" s="133"/>
      <c r="T2257" s="133"/>
      <c r="U2257" s="133"/>
      <c r="V2257" s="133"/>
      <c r="W2257" s="133"/>
      <c r="X2257" s="133"/>
      <c r="Y2257" s="133"/>
      <c r="Z2257" s="133"/>
    </row>
    <row r="2258">
      <c r="A2258" s="133"/>
      <c r="B2258" s="133"/>
      <c r="C2258" s="133" t="str">
        <f>IFERROR(__xludf.DUMMYFUNCTION("""COMPUTED_VALUE"""),"2024-371662")</f>
        <v>2024-371662</v>
      </c>
      <c r="D2258" s="133"/>
      <c r="E2258" s="133" t="str">
        <f>IFERROR(__xludf.DUMMYFUNCTION("""COMPUTED_VALUE"""),"مكتمل")</f>
        <v>مكتمل</v>
      </c>
      <c r="F2258" s="133" t="str">
        <f>IFERROR(__xludf.DUMMYFUNCTION("""COMPUTED_VALUE"""),"Whimzees Alligator M 360g")</f>
        <v>Whimzees Alligator M 360g</v>
      </c>
      <c r="G2258" s="133" t="str">
        <f>IFERROR(__xludf.DUMMYFUNCTION("""COMPUTED_VALUE"""),"ويمزيز أليغيتور( متوسط )")</f>
        <v>ويمزيز أليغيتور( متوسط )</v>
      </c>
      <c r="H2258" s="133" t="str">
        <f>IFERROR(__xludf.DUMMYFUNCTION("""COMPUTED_VALUE"""),"FEM-2024-16110-FEP-2024-83432-C-22548-2217")</f>
        <v>FEM-2024-16110-FEP-2024-83432-C-22548-2217</v>
      </c>
      <c r="I2258" s="133"/>
      <c r="J2258" s="133"/>
      <c r="K2258" s="133" t="str">
        <f>IFERROR(__xludf.DUMMYFUNCTION("""COMPUTED_VALUE"""),"ويلنس بيت كومبني نل")</f>
        <v>ويلنس بيت كومبني نل</v>
      </c>
      <c r="L2258" s="133"/>
      <c r="M2258" s="133">
        <f>IFERROR(__xludf.DUMMYFUNCTION("""COMPUTED_VALUE"""),47311.0)</f>
        <v>47311</v>
      </c>
      <c r="N2258" s="133"/>
      <c r="O2258" s="133"/>
      <c r="P2258" s="133"/>
      <c r="Q2258" s="133"/>
      <c r="R2258" s="133"/>
      <c r="S2258" s="133"/>
      <c r="T2258" s="133"/>
      <c r="U2258" s="133"/>
      <c r="V2258" s="133"/>
      <c r="W2258" s="133"/>
      <c r="X2258" s="133"/>
      <c r="Y2258" s="133"/>
      <c r="Z2258" s="133"/>
    </row>
    <row r="2259">
      <c r="A2259" s="133"/>
      <c r="B2259" s="133"/>
      <c r="C2259" s="133" t="str">
        <f>IFERROR(__xludf.DUMMYFUNCTION("""COMPUTED_VALUE"""),"2024-371672")</f>
        <v>2024-371672</v>
      </c>
      <c r="D2259" s="133"/>
      <c r="E2259" s="133" t="str">
        <f>IFERROR(__xludf.DUMMYFUNCTION("""COMPUTED_VALUE"""),"مكتمل")</f>
        <v>مكتمل</v>
      </c>
      <c r="F2259" s="133" t="str">
        <f>IFERROR(__xludf.DUMMYFUNCTION("""COMPUTED_VALUE"""),"Whimzees Alligator S 360g")</f>
        <v>Whimzees Alligator S 360g</v>
      </c>
      <c r="G2259" s="133" t="str">
        <f>IFERROR(__xludf.DUMMYFUNCTION("""COMPUTED_VALUE"""),"ويمزيز أليغيتور- صغير 360 غ")</f>
        <v>ويمزيز أليغيتور- صغير 360 غ</v>
      </c>
      <c r="H2259" s="133" t="str">
        <f>IFERROR(__xludf.DUMMYFUNCTION("""COMPUTED_VALUE"""),"FEM-2024-16111-FEP-2024-83433-C-22548-2218
")</f>
        <v>FEM-2024-16111-FEP-2024-83433-C-22548-2218
</v>
      </c>
      <c r="I2259" s="133"/>
      <c r="J2259" s="133"/>
      <c r="K2259" s="133" t="str">
        <f>IFERROR(__xludf.DUMMYFUNCTION("""COMPUTED_VALUE"""),"ويلنس بيت كومبني نل")</f>
        <v>ويلنس بيت كومبني نل</v>
      </c>
      <c r="L2259" s="133"/>
      <c r="M2259" s="133">
        <f>IFERROR(__xludf.DUMMYFUNCTION("""COMPUTED_VALUE"""),47311.0)</f>
        <v>47311</v>
      </c>
      <c r="N2259" s="133"/>
      <c r="O2259" s="133"/>
      <c r="P2259" s="133"/>
      <c r="Q2259" s="133"/>
      <c r="R2259" s="133"/>
      <c r="S2259" s="133"/>
      <c r="T2259" s="133"/>
      <c r="U2259" s="133"/>
      <c r="V2259" s="133"/>
      <c r="W2259" s="133"/>
      <c r="X2259" s="133"/>
      <c r="Y2259" s="133"/>
      <c r="Z2259" s="133"/>
    </row>
    <row r="2260">
      <c r="A2260" s="133"/>
      <c r="B2260" s="133"/>
      <c r="C2260" s="133" t="str">
        <f>IFERROR(__xludf.DUMMYFUNCTION("""COMPUTED_VALUE"""),"2024-371685")</f>
        <v>2024-371685</v>
      </c>
      <c r="D2260" s="133"/>
      <c r="E2260" s="133" t="str">
        <f>IFERROR(__xludf.DUMMYFUNCTION("""COMPUTED_VALUE"""),"مكتمل")</f>
        <v>مكتمل</v>
      </c>
      <c r="F2260" s="133" t="str">
        <f>IFERROR(__xludf.DUMMYFUNCTION("""COMPUTED_VALUE"""),"Whimzees Stix XS 420g")</f>
        <v>Whimzees Stix XS 420g</v>
      </c>
      <c r="G2260" s="133" t="str">
        <f>IFERROR(__xludf.DUMMYFUNCTION("""COMPUTED_VALUE"""),"ويمزيز ستيكس - صغير جدا")</f>
        <v>ويمزيز ستيكس - صغير جدا</v>
      </c>
      <c r="H2260" s="133" t="str">
        <f>IFERROR(__xludf.DUMMYFUNCTION("""COMPUTED_VALUE"""),"FEM-2024-16112-FEP-2024-83434-C-22548-2225")</f>
        <v>FEM-2024-16112-FEP-2024-83434-C-22548-2225</v>
      </c>
      <c r="I2260" s="133"/>
      <c r="J2260" s="133"/>
      <c r="K2260" s="133" t="str">
        <f>IFERROR(__xludf.DUMMYFUNCTION("""COMPUTED_VALUE"""),"ويلنس بيت كومبني نل")</f>
        <v>ويلنس بيت كومبني نل</v>
      </c>
      <c r="L2260" s="133"/>
      <c r="M2260" s="133">
        <f>IFERROR(__xludf.DUMMYFUNCTION("""COMPUTED_VALUE"""),47311.0)</f>
        <v>47311</v>
      </c>
      <c r="N2260" s="133"/>
      <c r="O2260" s="133"/>
      <c r="P2260" s="133"/>
      <c r="Q2260" s="133"/>
      <c r="R2260" s="133"/>
      <c r="S2260" s="133"/>
      <c r="T2260" s="133"/>
      <c r="U2260" s="133"/>
      <c r="V2260" s="133"/>
      <c r="W2260" s="133"/>
      <c r="X2260" s="133"/>
      <c r="Y2260" s="133"/>
      <c r="Z2260" s="133"/>
    </row>
    <row r="2261">
      <c r="A2261" s="133"/>
      <c r="B2261" s="133"/>
      <c r="C2261" s="133" t="str">
        <f>IFERROR(__xludf.DUMMYFUNCTION("""COMPUTED_VALUE"""),"2024-371710")</f>
        <v>2024-371710</v>
      </c>
      <c r="D2261" s="133"/>
      <c r="E2261" s="133" t="str">
        <f>IFERROR(__xludf.DUMMYFUNCTION("""COMPUTED_VALUE"""),"مكتمل")</f>
        <v>مكتمل</v>
      </c>
      <c r="F2261" s="133" t="str">
        <f>IFERROR(__xludf.DUMMYFUNCTION("""COMPUTED_VALUE"""),"Whimzees Toothbrush Star XS 360g")</f>
        <v>Whimzees Toothbrush Star XS 360g</v>
      </c>
      <c r="G2261" s="133" t="str">
        <f>IFERROR(__xludf.DUMMYFUNCTION("""COMPUTED_VALUE"""),"ويمزيز توثبروش- صغير جدا")</f>
        <v>ويمزيز توثبروش- صغير جدا</v>
      </c>
      <c r="H2261" s="133" t="str">
        <f>IFERROR(__xludf.DUMMYFUNCTION("""COMPUTED_VALUE"""),"FEM-2024-16113-FEP-2024-83435-C-22548-2219")</f>
        <v>FEM-2024-16113-FEP-2024-83435-C-22548-2219</v>
      </c>
      <c r="I2261" s="133"/>
      <c r="J2261" s="133"/>
      <c r="K2261" s="133" t="str">
        <f>IFERROR(__xludf.DUMMYFUNCTION("""COMPUTED_VALUE"""),"ويلنس بيت كومبني نل")</f>
        <v>ويلنس بيت كومبني نل</v>
      </c>
      <c r="L2261" s="133"/>
      <c r="M2261" s="133">
        <f>IFERROR(__xludf.DUMMYFUNCTION("""COMPUTED_VALUE"""),47311.0)</f>
        <v>47311</v>
      </c>
      <c r="N2261" s="133"/>
      <c r="O2261" s="133"/>
      <c r="P2261" s="133"/>
      <c r="Q2261" s="133"/>
      <c r="R2261" s="133"/>
      <c r="S2261" s="133"/>
      <c r="T2261" s="133"/>
      <c r="U2261" s="133"/>
      <c r="V2261" s="133"/>
      <c r="W2261" s="133"/>
      <c r="X2261" s="133"/>
      <c r="Y2261" s="133"/>
      <c r="Z2261" s="133"/>
    </row>
    <row r="2262">
      <c r="A2262" s="133"/>
      <c r="B2262" s="133"/>
      <c r="C2262" s="133" t="str">
        <f>IFERROR(__xludf.DUMMYFUNCTION("""COMPUTED_VALUE"""),"2024-371728")</f>
        <v>2024-371728</v>
      </c>
      <c r="D2262" s="133"/>
      <c r="E2262" s="133" t="str">
        <f>IFERROR(__xludf.DUMMYFUNCTION("""COMPUTED_VALUE"""),"مكتمل")</f>
        <v>مكتمل</v>
      </c>
      <c r="F2262" s="133" t="str">
        <f>IFERROR(__xludf.DUMMYFUNCTION("""COMPUTED_VALUE"""),"Whimzees Toothbrush Star S 360g")</f>
        <v>Whimzees Toothbrush Star S 360g</v>
      </c>
      <c r="G2262" s="133" t="str">
        <f>IFERROR(__xludf.DUMMYFUNCTION("""COMPUTED_VALUE"""),"ويمزيز توثبروش- صغير")</f>
        <v>ويمزيز توثبروش- صغير</v>
      </c>
      <c r="H2262" s="133" t="str">
        <f>IFERROR(__xludf.DUMMYFUNCTION("""COMPUTED_VALUE"""),"FEM-2024-16114-FEP-2024-83436-C-22548-2220
")</f>
        <v>FEM-2024-16114-FEP-2024-83436-C-22548-2220
</v>
      </c>
      <c r="I2262" s="133"/>
      <c r="J2262" s="133"/>
      <c r="K2262" s="133" t="str">
        <f>IFERROR(__xludf.DUMMYFUNCTION("""COMPUTED_VALUE"""),"ويلنس بيت كومبني نل")</f>
        <v>ويلنس بيت كومبني نل</v>
      </c>
      <c r="L2262" s="133"/>
      <c r="M2262" s="133">
        <f>IFERROR(__xludf.DUMMYFUNCTION("""COMPUTED_VALUE"""),47311.0)</f>
        <v>47311</v>
      </c>
      <c r="N2262" s="133"/>
      <c r="O2262" s="133"/>
      <c r="P2262" s="133"/>
      <c r="Q2262" s="133"/>
      <c r="R2262" s="133"/>
      <c r="S2262" s="133"/>
      <c r="T2262" s="133"/>
      <c r="U2262" s="133"/>
      <c r="V2262" s="133"/>
      <c r="W2262" s="133"/>
      <c r="X2262" s="133"/>
      <c r="Y2262" s="133"/>
      <c r="Z2262" s="133"/>
    </row>
    <row r="2263">
      <c r="A2263" s="133"/>
      <c r="B2263" s="133"/>
      <c r="C2263" s="133" t="str">
        <f>IFERROR(__xludf.DUMMYFUNCTION("""COMPUTED_VALUE"""),"2024-371738")</f>
        <v>2024-371738</v>
      </c>
      <c r="D2263" s="133"/>
      <c r="E2263" s="133" t="str">
        <f>IFERROR(__xludf.DUMMYFUNCTION("""COMPUTED_VALUE"""),"مكتمل")</f>
        <v>مكتمل</v>
      </c>
      <c r="F2263" s="133" t="str">
        <f>IFERROR(__xludf.DUMMYFUNCTION("""COMPUTED_VALUE"""),"Whimzees Toothbrush Star M 360g")</f>
        <v>Whimzees Toothbrush Star M 360g</v>
      </c>
      <c r="G2263" s="133" t="str">
        <f>IFERROR(__xludf.DUMMYFUNCTION("""COMPUTED_VALUE"""),"ويمزيز توثبروش- متوسط")</f>
        <v>ويمزيز توثبروش- متوسط</v>
      </c>
      <c r="H2263" s="133" t="str">
        <f>IFERROR(__xludf.DUMMYFUNCTION("""COMPUTED_VALUE"""),"FEM-2024-16115-FEP-2024-83437-C-22548-2222")</f>
        <v>FEM-2024-16115-FEP-2024-83437-C-22548-2222</v>
      </c>
      <c r="I2263" s="133"/>
      <c r="J2263" s="133"/>
      <c r="K2263" s="133" t="str">
        <f>IFERROR(__xludf.DUMMYFUNCTION("""COMPUTED_VALUE"""),"ويلنس بيت كومبني نل")</f>
        <v>ويلنس بيت كومبني نل</v>
      </c>
      <c r="L2263" s="133"/>
      <c r="M2263" s="133">
        <f>IFERROR(__xludf.DUMMYFUNCTION("""COMPUTED_VALUE"""),47311.0)</f>
        <v>47311</v>
      </c>
      <c r="N2263" s="133"/>
      <c r="O2263" s="133"/>
      <c r="P2263" s="133"/>
      <c r="Q2263" s="133"/>
      <c r="R2263" s="133"/>
      <c r="S2263" s="133"/>
      <c r="T2263" s="133"/>
      <c r="U2263" s="133"/>
      <c r="V2263" s="133"/>
      <c r="W2263" s="133"/>
      <c r="X2263" s="133"/>
      <c r="Y2263" s="133"/>
      <c r="Z2263" s="133"/>
    </row>
    <row r="2264">
      <c r="A2264" s="133"/>
      <c r="B2264" s="133"/>
      <c r="C2264" s="133" t="str">
        <f>IFERROR(__xludf.DUMMYFUNCTION("""COMPUTED_VALUE"""),"2024-371751")</f>
        <v>2024-371751</v>
      </c>
      <c r="D2264" s="133"/>
      <c r="E2264" s="133" t="str">
        <f>IFERROR(__xludf.DUMMYFUNCTION("""COMPUTED_VALUE"""),"مكتمل")</f>
        <v>مكتمل</v>
      </c>
      <c r="F2264" s="133" t="str">
        <f>IFERROR(__xludf.DUMMYFUNCTION("""COMPUTED_VALUE"""),"Whimzees Toothbrush Star L 360g")</f>
        <v>Whimzees Toothbrush Star L 360g</v>
      </c>
      <c r="G2264" s="133" t="str">
        <f>IFERROR(__xludf.DUMMYFUNCTION("""COMPUTED_VALUE"""),"ويمزيز توثبروش- كبير")</f>
        <v>ويمزيز توثبروش- كبير</v>
      </c>
      <c r="H2264" s="133" t="str">
        <f>IFERROR(__xludf.DUMMYFUNCTION("""COMPUTED_VALUE"""),"FEM-2024-16116-FEP-2024-83438-C-22548-2223")</f>
        <v>FEM-2024-16116-FEP-2024-83438-C-22548-2223</v>
      </c>
      <c r="I2264" s="133"/>
      <c r="J2264" s="133"/>
      <c r="K2264" s="133" t="str">
        <f>IFERROR(__xludf.DUMMYFUNCTION("""COMPUTED_VALUE"""),"ويلنس بيت كومبني نل")</f>
        <v>ويلنس بيت كومبني نل</v>
      </c>
      <c r="L2264" s="133"/>
      <c r="M2264" s="133">
        <f>IFERROR(__xludf.DUMMYFUNCTION("""COMPUTED_VALUE"""),47311.0)</f>
        <v>47311</v>
      </c>
      <c r="N2264" s="133"/>
      <c r="O2264" s="133"/>
      <c r="P2264" s="133"/>
      <c r="Q2264" s="133"/>
      <c r="R2264" s="133"/>
      <c r="S2264" s="133"/>
      <c r="T2264" s="133"/>
      <c r="U2264" s="133"/>
      <c r="V2264" s="133"/>
      <c r="W2264" s="133"/>
      <c r="X2264" s="133"/>
      <c r="Y2264" s="133"/>
      <c r="Z2264" s="133"/>
    </row>
    <row r="2265">
      <c r="A2265" s="133"/>
      <c r="B2265" s="133"/>
      <c r="C2265" s="133" t="str">
        <f>IFERROR(__xludf.DUMMYFUNCTION("""COMPUTED_VALUE"""),"2024-372268")</f>
        <v>2024-372268</v>
      </c>
      <c r="D2265" s="133"/>
      <c r="E2265" s="133" t="str">
        <f>IFERROR(__xludf.DUMMYFUNCTION("""COMPUTED_VALUE"""),"مكتمل")</f>
        <v>مكتمل</v>
      </c>
      <c r="F2265" s="133" t="str">
        <f>IFERROR(__xludf.DUMMYFUNCTION("""COMPUTED_VALUE"""),"Sanal Dog Dental Sticks Medium 140g")</f>
        <v>Sanal Dog Dental Sticks Medium 140g</v>
      </c>
      <c r="G2265" s="133" t="str">
        <f>IFERROR(__xludf.DUMMYFUNCTION("""COMPUTED_VALUE"""),"سنال دوغ دينتال ستيكس – متوسط")</f>
        <v>سنال دوغ دينتال ستيكس – متوسط</v>
      </c>
      <c r="H2265" s="133" t="str">
        <f>IFERROR(__xludf.DUMMYFUNCTION("""COMPUTED_VALUE"""),"FEM-24-16125-FEP-2024-83444-C-22548-2207")</f>
        <v>FEM-24-16125-FEP-2024-83444-C-22548-2207</v>
      </c>
      <c r="I2265" s="133"/>
      <c r="J2265" s="133"/>
      <c r="K2265" s="133" t="str">
        <f>IFERROR(__xludf.DUMMYFUNCTION("""COMPUTED_VALUE"""),"نيدرما بي في")</f>
        <v>نيدرما بي في</v>
      </c>
      <c r="L2265" s="133"/>
      <c r="M2265" s="133">
        <f>IFERROR(__xludf.DUMMYFUNCTION("""COMPUTED_VALUE"""),47311.0)</f>
        <v>47311</v>
      </c>
      <c r="N2265" s="133"/>
      <c r="O2265" s="133"/>
      <c r="P2265" s="133"/>
      <c r="Q2265" s="133"/>
      <c r="R2265" s="133"/>
      <c r="S2265" s="133"/>
      <c r="T2265" s="133"/>
      <c r="U2265" s="133"/>
      <c r="V2265" s="133"/>
      <c r="W2265" s="133"/>
      <c r="X2265" s="133"/>
      <c r="Y2265" s="133"/>
      <c r="Z2265" s="133"/>
    </row>
    <row r="2266">
      <c r="A2266" s="133"/>
      <c r="B2266" s="133"/>
      <c r="C2266" s="133" t="str">
        <f>IFERROR(__xludf.DUMMYFUNCTION("""COMPUTED_VALUE"""),"2024-372287")</f>
        <v>2024-372287</v>
      </c>
      <c r="D2266" s="133"/>
      <c r="E2266" s="133" t="str">
        <f>IFERROR(__xludf.DUMMYFUNCTION("""COMPUTED_VALUE"""),"مكتمل")</f>
        <v>مكتمل</v>
      </c>
      <c r="F2266" s="133" t="str">
        <f>IFERROR(__xludf.DUMMYFUNCTION("""COMPUTED_VALUE"""),"Sanal Dog Dental Sticks Small 105g")</f>
        <v>Sanal Dog Dental Sticks Small 105g</v>
      </c>
      <c r="G2266" s="133" t="str">
        <f>IFERROR(__xludf.DUMMYFUNCTION("""COMPUTED_VALUE"""),"سنال دوغ دينتال ستيكس – صغير")</f>
        <v>سنال دوغ دينتال ستيكس – صغير</v>
      </c>
      <c r="H2266" s="133" t="str">
        <f>IFERROR(__xludf.DUMMYFUNCTION("""COMPUTED_VALUE"""),"FEM-24-16126-FEP-2024-83445-C-22548-2201")</f>
        <v>FEM-24-16126-FEP-2024-83445-C-22548-2201</v>
      </c>
      <c r="I2266" s="133"/>
      <c r="J2266" s="133"/>
      <c r="K2266" s="133" t="str">
        <f>IFERROR(__xludf.DUMMYFUNCTION("""COMPUTED_VALUE"""),"نيدرما بي في")</f>
        <v>نيدرما بي في</v>
      </c>
      <c r="L2266" s="133"/>
      <c r="M2266" s="133">
        <f>IFERROR(__xludf.DUMMYFUNCTION("""COMPUTED_VALUE"""),47311.0)</f>
        <v>47311</v>
      </c>
      <c r="N2266" s="133"/>
      <c r="O2266" s="133"/>
      <c r="P2266" s="133"/>
      <c r="Q2266" s="133"/>
      <c r="R2266" s="133"/>
      <c r="S2266" s="133"/>
      <c r="T2266" s="133"/>
      <c r="U2266" s="133"/>
      <c r="V2266" s="133"/>
      <c r="W2266" s="133"/>
      <c r="X2266" s="133"/>
      <c r="Y2266" s="133"/>
      <c r="Z2266" s="133"/>
    </row>
    <row r="2267">
      <c r="A2267" s="133"/>
      <c r="B2267" s="133"/>
      <c r="C2267" s="133" t="str">
        <f>IFERROR(__xludf.DUMMYFUNCTION("""COMPUTED_VALUE"""),"2024-372303")</f>
        <v>2024-372303</v>
      </c>
      <c r="D2267" s="133"/>
      <c r="E2267" s="133" t="str">
        <f>IFERROR(__xludf.DUMMYFUNCTION("""COMPUTED_VALUE"""),"مكتمل")</f>
        <v>مكتمل</v>
      </c>
      <c r="F2267" s="133" t="str">
        <f>IFERROR(__xludf.DUMMYFUNCTION("""COMPUTED_VALUE"""),"Sanal Dog Mini Hearts 100g")</f>
        <v>Sanal Dog Mini Hearts 100g</v>
      </c>
      <c r="G2267" s="133" t="str">
        <f>IFERROR(__xludf.DUMMYFUNCTION("""COMPUTED_VALUE"""),"سنال دوج ميني هارتس")</f>
        <v>سنال دوج ميني هارتس</v>
      </c>
      <c r="H2267" s="133" t="str">
        <f>IFERROR(__xludf.DUMMYFUNCTION("""COMPUTED_VALUE"""),"FEM-24-16127-FEP-2024-83446-C-22548-2178")</f>
        <v>FEM-24-16127-FEP-2024-83446-C-22548-2178</v>
      </c>
      <c r="I2267" s="133"/>
      <c r="J2267" s="133"/>
      <c r="K2267" s="133" t="str">
        <f>IFERROR(__xludf.DUMMYFUNCTION("""COMPUTED_VALUE"""),"نيدرما بي في")</f>
        <v>نيدرما بي في</v>
      </c>
      <c r="L2267" s="133"/>
      <c r="M2267" s="133">
        <f>IFERROR(__xludf.DUMMYFUNCTION("""COMPUTED_VALUE"""),47311.0)</f>
        <v>47311</v>
      </c>
      <c r="N2267" s="133"/>
      <c r="O2267" s="133"/>
      <c r="P2267" s="133"/>
      <c r="Q2267" s="133"/>
      <c r="R2267" s="133"/>
      <c r="S2267" s="133"/>
      <c r="T2267" s="133"/>
      <c r="U2267" s="133"/>
      <c r="V2267" s="133"/>
      <c r="W2267" s="133"/>
      <c r="X2267" s="133"/>
      <c r="Y2267" s="133"/>
      <c r="Z2267" s="133"/>
    </row>
    <row r="2268">
      <c r="A2268" s="133"/>
      <c r="B2268" s="133"/>
      <c r="C2268" s="133" t="str">
        <f>IFERROR(__xludf.DUMMYFUNCTION("""COMPUTED_VALUE"""),"2024-372322")</f>
        <v>2024-372322</v>
      </c>
      <c r="D2268" s="133"/>
      <c r="E2268" s="133" t="str">
        <f>IFERROR(__xludf.DUMMYFUNCTION("""COMPUTED_VALUE"""),"مكتمل")</f>
        <v>مكتمل</v>
      </c>
      <c r="F2268" s="133" t="str">
        <f>IFERROR(__xludf.DUMMYFUNCTION("""COMPUTED_VALUE"""),"Sanal Dog Trainers Duo Hearts 300g")</f>
        <v>Sanal Dog Trainers Duo Hearts 300g</v>
      </c>
      <c r="G2268" s="133" t="str">
        <f>IFERROR(__xludf.DUMMYFUNCTION("""COMPUTED_VALUE"""),"سنال دوج ترينرز ديو هارتس")</f>
        <v>سنال دوج ترينرز ديو هارتس</v>
      </c>
      <c r="H2268" s="133" t="str">
        <f>IFERROR(__xludf.DUMMYFUNCTION("""COMPUTED_VALUE"""),"FEM-24-16129-FEP-2024-83447-C-22548-2175")</f>
        <v>FEM-24-16129-FEP-2024-83447-C-22548-2175</v>
      </c>
      <c r="I2268" s="133"/>
      <c r="J2268" s="133"/>
      <c r="K2268" s="133" t="str">
        <f>IFERROR(__xludf.DUMMYFUNCTION("""COMPUTED_VALUE"""),"نيدرما بي في")</f>
        <v>نيدرما بي في</v>
      </c>
      <c r="L2268" s="133"/>
      <c r="M2268" s="133">
        <f>IFERROR(__xludf.DUMMYFUNCTION("""COMPUTED_VALUE"""),47311.0)</f>
        <v>47311</v>
      </c>
      <c r="N2268" s="133"/>
      <c r="O2268" s="133"/>
      <c r="P2268" s="133"/>
      <c r="Q2268" s="133"/>
      <c r="R2268" s="133"/>
      <c r="S2268" s="133"/>
      <c r="T2268" s="133"/>
      <c r="U2268" s="133"/>
      <c r="V2268" s="133"/>
      <c r="W2268" s="133"/>
      <c r="X2268" s="133"/>
      <c r="Y2268" s="133"/>
      <c r="Z2268" s="133"/>
    </row>
    <row r="2269">
      <c r="A2269" s="133"/>
      <c r="B2269" s="133" t="str">
        <f>IFERROR(__xludf.DUMMYFUNCTION("""COMPUTED_VALUE"""),"2024-413482")</f>
        <v>2024-413482</v>
      </c>
      <c r="C2269" s="133" t="str">
        <f>IFERROR(__xludf.DUMMYFUNCTION("""COMPUTED_VALUE"""),"2024-376027")</f>
        <v>2024-376027</v>
      </c>
      <c r="D2269" s="133"/>
      <c r="E2269" s="133" t="str">
        <f>IFERROR(__xludf.DUMMYFUNCTION("""COMPUTED_VALUE"""),"مكتمل")</f>
        <v>مكتمل</v>
      </c>
      <c r="F2269" s="133" t="str">
        <f>IFERROR(__xludf.DUMMYFUNCTION("""COMPUTED_VALUE"""),"Kit Cat Daily Supplement Gel - Hairball 120g")</f>
        <v>Kit Cat Daily Supplement Gel - Hairball 120g</v>
      </c>
      <c r="G2269" s="133" t="str">
        <f>IFERROR(__xludf.DUMMYFUNCTION("""COMPUTED_VALUE"""),"كيت كات ديلي سابليمنت جل - هيربول")</f>
        <v>كيت كات ديلي سابليمنت جل - هيربول</v>
      </c>
      <c r="H2269" s="133" t="str">
        <f>IFERROR(__xludf.DUMMYFUNCTION("""COMPUTED_VALUE"""),"FEM-24-17209-FEP-2024-84304-C-22548-2654
")</f>
        <v>FEM-24-17209-FEP-2024-84304-C-22548-2654
</v>
      </c>
      <c r="I2269" s="133"/>
      <c r="J2269" s="133"/>
      <c r="K2269" s="133"/>
      <c r="L2269" s="142" t="str">
        <f>IFERROR(__xludf.DUMMYFUNCTION("""COMPUTED_VALUE"""),"2024-413482")</f>
        <v>2024-413482</v>
      </c>
      <c r="M2269" s="133"/>
      <c r="N2269" s="133"/>
      <c r="O2269" s="133"/>
      <c r="P2269" s="133"/>
      <c r="Q2269" s="133"/>
      <c r="R2269" s="133"/>
      <c r="S2269" s="133"/>
      <c r="T2269" s="133"/>
      <c r="U2269" s="133"/>
      <c r="V2269" s="133"/>
      <c r="W2269" s="133"/>
      <c r="X2269" s="133"/>
      <c r="Y2269" s="133"/>
      <c r="Z2269" s="133"/>
    </row>
    <row r="2270">
      <c r="A2270" s="133"/>
      <c r="B2270" s="133"/>
      <c r="C2270" s="133" t="str">
        <f>IFERROR(__xludf.DUMMYFUNCTION("""COMPUTED_VALUE"""),"2024-376081")</f>
        <v>2024-376081</v>
      </c>
      <c r="D2270" s="133"/>
      <c r="E2270" s="133" t="str">
        <f>IFERROR(__xludf.DUMMYFUNCTION("""COMPUTED_VALUE"""),"مكتمل ")</f>
        <v>مكتمل </v>
      </c>
      <c r="F2270" s="133" t="str">
        <f>IFERROR(__xludf.DUMMYFUNCTION("""COMPUTED_VALUE"""),"Kit Cat Daily Supplement Gel - Multi Vitamin 120g")</f>
        <v>Kit Cat Daily Supplement Gel - Multi Vitamin 120g</v>
      </c>
      <c r="G2270" s="133" t="str">
        <f>IFERROR(__xludf.DUMMYFUNCTION("""COMPUTED_VALUE"""),"كيت كات ديلي سابليمنت جل - مالتي فيتامين")</f>
        <v>كيت كات ديلي سابليمنت جل - مالتي فيتامين</v>
      </c>
      <c r="H2270" s="133" t="str">
        <f>IFERROR(__xludf.DUMMYFUNCTION("""COMPUTED_VALUE"""),"FEM-24-16261-FEP-2024-83588-C-22548-2243
")</f>
        <v>FEM-24-16261-FEP-2024-83588-C-22548-2243
</v>
      </c>
      <c r="I2270" s="133"/>
      <c r="J2270" s="133"/>
      <c r="K2270" s="133"/>
      <c r="L2270" s="133"/>
      <c r="M2270" s="133"/>
      <c r="N2270" s="133"/>
      <c r="O2270" s="133"/>
      <c r="P2270" s="133"/>
      <c r="Q2270" s="133"/>
      <c r="R2270" s="133"/>
      <c r="S2270" s="133"/>
      <c r="T2270" s="133"/>
      <c r="U2270" s="133"/>
      <c r="V2270" s="133"/>
      <c r="W2270" s="133"/>
      <c r="X2270" s="133"/>
      <c r="Y2270" s="133"/>
      <c r="Z2270" s="133"/>
    </row>
    <row r="2271">
      <c r="A2271" s="133"/>
      <c r="B2271" s="133" t="str">
        <f>IFERROR(__xludf.DUMMYFUNCTION("""COMPUTED_VALUE"""),"ITEM NAME IN FSC NOT MATCHING ")</f>
        <v>ITEM NAME IN FSC NOT MATCHING </v>
      </c>
      <c r="C2271" s="133" t="str">
        <f>IFERROR(__xludf.DUMMYFUNCTION("""COMPUTED_VALUE"""),"2024-376105")</f>
        <v>2024-376105</v>
      </c>
      <c r="D2271" s="133"/>
      <c r="E2271" s="133" t="str">
        <f>IFERROR(__xludf.DUMMYFUNCTION("""COMPUTED_VALUE"""),"مكتمل")</f>
        <v>مكتمل</v>
      </c>
      <c r="F2271" s="133" t="str">
        <f>IFERROR(__xludf.DUMMYFUNCTION("""COMPUTED_VALUE"""),"Kit Cat Daily Supplement Gel - Skin &amp; Coat 120g")</f>
        <v>Kit Cat Daily Supplement Gel - Skin &amp; Coat 120g</v>
      </c>
      <c r="G2271" s="133" t="str">
        <f>IFERROR(__xludf.DUMMYFUNCTION("""COMPUTED_VALUE"""),"كيت كات ديلي سابليمنت جل - سكين آند كوت")</f>
        <v>كيت كات ديلي سابليمنت جل - سكين آند كوت</v>
      </c>
      <c r="H2271" s="133" t="str">
        <f>IFERROR(__xludf.DUMMYFUNCTION("""COMPUTED_VALUE"""),"FEM-24-16262-FEP-2024-83589-C-22548-0040
")</f>
        <v>FEM-24-16262-FEP-2024-83589-C-22548-0040
</v>
      </c>
      <c r="I2271" s="133"/>
      <c r="J2271" s="133"/>
      <c r="K2271" s="133"/>
      <c r="L2271" s="133" t="str">
        <f>IFERROR(__xludf.DUMMYFUNCTION("""COMPUTED_VALUE"""),"ITEM NAME IN FSC NOT MATCHING ")</f>
        <v>ITEM NAME IN FSC NOT MATCHING </v>
      </c>
      <c r="M2271" s="133"/>
      <c r="N2271" s="133"/>
      <c r="O2271" s="133"/>
      <c r="P2271" s="133"/>
      <c r="Q2271" s="133"/>
      <c r="R2271" s="133"/>
      <c r="S2271" s="133"/>
      <c r="T2271" s="133"/>
      <c r="U2271" s="133"/>
      <c r="V2271" s="133"/>
      <c r="W2271" s="133"/>
      <c r="X2271" s="133"/>
      <c r="Y2271" s="133"/>
      <c r="Z2271" s="133"/>
    </row>
    <row r="2272">
      <c r="A2272" s="133"/>
      <c r="B2272" s="133"/>
      <c r="C2272" s="133" t="str">
        <f>IFERROR(__xludf.DUMMYFUNCTION("""COMPUTED_VALUE"""),"2024-376121")</f>
        <v>2024-376121</v>
      </c>
      <c r="D2272" s="133"/>
      <c r="E2272" s="133" t="str">
        <f>IFERROR(__xludf.DUMMYFUNCTION("""COMPUTED_VALUE"""),"مكتمل ")</f>
        <v>مكتمل </v>
      </c>
      <c r="F2272" s="133" t="str">
        <f>IFERROR(__xludf.DUMMYFUNCTION("""COMPUTED_VALUE"""),"Kit Cat Daily Supplement Gel -urinaru care")</f>
        <v>Kit Cat Daily Supplement Gel -urinaru care</v>
      </c>
      <c r="G2272" s="133" t="str">
        <f>IFERROR(__xludf.DUMMYFUNCTION("""COMPUTED_VALUE"""),"كيت كات ديلي سابليمنت جل - يوريناري كير")</f>
        <v>كيت كات ديلي سابليمنت جل - يوريناري كير</v>
      </c>
      <c r="H2272" s="133" t="str">
        <f>IFERROR(__xludf.DUMMYFUNCTION("""COMPUTED_VALUE"""),"FEM-24-16263-FEP-2024-83590-C-22548-2244")</f>
        <v>FEM-24-16263-FEP-2024-83590-C-22548-2244</v>
      </c>
      <c r="I2272" s="133"/>
      <c r="J2272" s="133"/>
      <c r="K2272" s="133"/>
      <c r="L2272" s="133"/>
      <c r="M2272" s="133"/>
      <c r="N2272" s="133"/>
      <c r="O2272" s="133"/>
      <c r="P2272" s="133"/>
      <c r="Q2272" s="133"/>
      <c r="R2272" s="133"/>
      <c r="S2272" s="133"/>
      <c r="T2272" s="133"/>
      <c r="U2272" s="133"/>
      <c r="V2272" s="133"/>
      <c r="W2272" s="133"/>
      <c r="X2272" s="133"/>
      <c r="Y2272" s="133"/>
      <c r="Z2272" s="133"/>
    </row>
    <row r="2273">
      <c r="A2273" s="133"/>
      <c r="B2273" s="133" t="str">
        <f>IFERROR(__xludf.DUMMYFUNCTION("""COMPUTED_VALUE"""),"ITEM NAME IN FSC NOT MATCHING ")</f>
        <v>ITEM NAME IN FSC NOT MATCHING </v>
      </c>
      <c r="C2273" s="133" t="str">
        <f>IFERROR(__xludf.DUMMYFUNCTION("""COMPUTED_VALUE"""),"2024-376139")</f>
        <v>2024-376139</v>
      </c>
      <c r="D2273" s="133"/>
      <c r="E2273" s="133" t="str">
        <f>IFERROR(__xludf.DUMMYFUNCTION("""COMPUTED_VALUE"""),"مكتمل")</f>
        <v>مكتمل</v>
      </c>
      <c r="F2273" s="133" t="str">
        <f>IFERROR(__xludf.DUMMYFUNCTION("""COMPUTED_VALUE"""),"Kit Cat Daily Supplement Gel - Weight Gain")</f>
        <v>Kit Cat Daily Supplement Gel - Weight Gain</v>
      </c>
      <c r="G2273" s="133" t="str">
        <f>IFERROR(__xludf.DUMMYFUNCTION("""COMPUTED_VALUE"""),"كيت كات ديلي سابليمنت جل - وييت جين")</f>
        <v>كيت كات ديلي سابليمنت جل - وييت جين</v>
      </c>
      <c r="H2273" s="133" t="str">
        <f>IFERROR(__xludf.DUMMYFUNCTION("""COMPUTED_VALUE"""),"FEM-24-16264-FEP-2024-83591-C-22548-0039
")</f>
        <v>FEM-24-16264-FEP-2024-83591-C-22548-0039
</v>
      </c>
      <c r="I2273" s="133"/>
      <c r="J2273" s="133"/>
      <c r="K2273" s="133"/>
      <c r="L2273" s="133" t="str">
        <f>IFERROR(__xludf.DUMMYFUNCTION("""COMPUTED_VALUE"""),"ITEM NAME IN FSC NOT MATCHING ")</f>
        <v>ITEM NAME IN FSC NOT MATCHING </v>
      </c>
      <c r="M2273" s="133"/>
      <c r="N2273" s="133"/>
      <c r="O2273" s="133"/>
      <c r="P2273" s="133"/>
      <c r="Q2273" s="133"/>
      <c r="R2273" s="133"/>
      <c r="S2273" s="133"/>
      <c r="T2273" s="133"/>
      <c r="U2273" s="133"/>
      <c r="V2273" s="133"/>
      <c r="W2273" s="133"/>
      <c r="X2273" s="133"/>
      <c r="Y2273" s="133"/>
      <c r="Z2273" s="133"/>
    </row>
    <row r="2274">
      <c r="A2274" s="133"/>
      <c r="B2274" s="133"/>
      <c r="C2274" s="133" t="str">
        <f>IFERROR(__xludf.DUMMYFUNCTION("""COMPUTED_VALUE"""),"2024-376170")</f>
        <v>2024-376170</v>
      </c>
      <c r="D2274" s="133"/>
      <c r="E2274" s="133" t="str">
        <f>IFERROR(__xludf.DUMMYFUNCTION("""COMPUTED_VALUE"""),"مكتمل ")</f>
        <v>مكتمل </v>
      </c>
      <c r="F2274" s="133" t="str">
        <f>IFERROR(__xludf.DUMMYFUNCTION("""COMPUTED_VALUE"""),"Kit Cat Kitten Milk Replacer 200g")</f>
        <v>Kit Cat Kitten Milk Replacer 200g</v>
      </c>
      <c r="G2274" s="133" t="str">
        <f>IFERROR(__xludf.DUMMYFUNCTION("""COMPUTED_VALUE"""),"كيت كات كيتن ميلك ريبلايسر")</f>
        <v>كيت كات كيتن ميلك ريبلايسر</v>
      </c>
      <c r="H2274" s="133" t="str">
        <f>IFERROR(__xludf.DUMMYFUNCTION("""COMPUTED_VALUE"""),"FEM-24-16265-FEP-2024-83593-C-22548-2241
")</f>
        <v>FEM-24-16265-FEP-2024-83593-C-22548-2241
</v>
      </c>
      <c r="I2274" s="133"/>
      <c r="J2274" s="133"/>
      <c r="K2274" s="133"/>
      <c r="L2274" s="133"/>
      <c r="M2274" s="133"/>
      <c r="N2274" s="133"/>
      <c r="O2274" s="133"/>
      <c r="P2274" s="133"/>
      <c r="Q2274" s="133"/>
      <c r="R2274" s="133"/>
      <c r="S2274" s="133"/>
      <c r="T2274" s="133"/>
      <c r="U2274" s="133"/>
      <c r="V2274" s="133"/>
      <c r="W2274" s="133"/>
      <c r="X2274" s="133"/>
      <c r="Y2274" s="133"/>
      <c r="Z2274" s="133"/>
    </row>
    <row r="2275">
      <c r="A2275" s="133"/>
      <c r="B2275" s="133" t="str">
        <f>IFERROR(__xludf.DUMMYFUNCTION("""COMPUTED_VALUE"""),"تعليق الموظف:  المكون(yeast)ذكر نوع الخميرة مع الرقم المرجعي لها حسب اللوائح والمواصفات الخاصة بالاعلاف.## المكون( extracted linseed)نامل تزويدنا بالملف العلمي والرقم المرجعي حسب اللوائح والمواصفات الخاصة بالاعلاف")</f>
        <v>تعليق الموظف:  المكون(yeast)ذكر نوع الخميرة مع الرقم المرجعي لها حسب اللوائح والمواصفات الخاصة بالاعلاف.## المكون( extracted linseed)نامل تزويدنا بالملف العلمي والرقم المرجعي حسب اللوائح والمواصفات الخاصة بالاعلاف</v>
      </c>
      <c r="C2275" s="133" t="str">
        <f>IFERROR(__xludf.DUMMYFUNCTION("""COMPUTED_VALUE"""),"2024-393876")</f>
        <v>2024-393876</v>
      </c>
      <c r="D2275" s="133"/>
      <c r="E2275" s="133" t="str">
        <f>IFERROR(__xludf.DUMMYFUNCTION("""COMPUTED_VALUE"""),"رفض الطلب ")</f>
        <v>رفض الطلب </v>
      </c>
      <c r="F2275" s="133" t="str">
        <f>IFERROR(__xludf.DUMMYFUNCTION("""COMPUTED_VALUE"""),"Josera Fohlen &amp; Stute 20kg")</f>
        <v>Josera Fohlen &amp; Stute 20kg</v>
      </c>
      <c r="G2275" s="133" t="str">
        <f>IFERROR(__xludf.DUMMYFUNCTION("""COMPUTED_VALUE"""),"جوسيرا فوهلن وستوتي")</f>
        <v>جوسيرا فوهلن وستوتي</v>
      </c>
      <c r="H2275" s="133"/>
      <c r="I2275" s="133"/>
      <c r="J2275" s="133"/>
      <c r="K2275" s="133"/>
      <c r="L2275" s="142" t="str">
        <f>IFERROR(__xludf.DUMMYFUNCTION("""COMPUTED_VALUE"""),"تعليق الموظف:  المكون(yeast)ذكر نوع الخميرة مع الرقم المرجعي لها حسب اللوائح والمواصفات الخاصة بالاعلاف.## المكون( extracted linseed)نامل تزويدنا بالملف العلمي والرقم المرجعي حسب اللوائح والمواصفات الخاصة بالاعلاف")</f>
        <v>تعليق الموظف:  المكون(yeast)ذكر نوع الخميرة مع الرقم المرجعي لها حسب اللوائح والمواصفات الخاصة بالاعلاف.## المكون( extracted linseed)نامل تزويدنا بالملف العلمي والرقم المرجعي حسب اللوائح والمواصفات الخاصة بالاعلاف</v>
      </c>
      <c r="M2275" s="133"/>
      <c r="N2275" s="133"/>
      <c r="O2275" s="133"/>
      <c r="P2275" s="133"/>
      <c r="Q2275" s="133"/>
      <c r="R2275" s="133"/>
      <c r="S2275" s="133"/>
      <c r="T2275" s="133"/>
      <c r="U2275" s="133"/>
      <c r="V2275" s="133"/>
      <c r="W2275" s="133"/>
      <c r="X2275" s="133"/>
      <c r="Y2275" s="133"/>
      <c r="Z2275" s="133"/>
    </row>
    <row r="2276">
      <c r="A2276" s="133"/>
      <c r="B2276" s="133"/>
      <c r="C2276" s="133" t="str">
        <f>IFERROR(__xludf.DUMMYFUNCTION("""COMPUTED_VALUE"""),"2024-393918")</f>
        <v>2024-393918</v>
      </c>
      <c r="D2276" s="133"/>
      <c r="E2276" s="133" t="str">
        <f>IFERROR(__xludf.DUMMYFUNCTION("""COMPUTED_VALUE"""),"مكتمل ")</f>
        <v>مكتمل </v>
      </c>
      <c r="F2276" s="133" t="str">
        <f>IFERROR(__xludf.DUMMYFUNCTION("""COMPUTED_VALUE"""),"Josera Joker-Mineral 15kg")</f>
        <v>Josera Joker-Mineral 15kg</v>
      </c>
      <c r="G2276" s="133" t="str">
        <f>IFERROR(__xludf.DUMMYFUNCTION("""COMPUTED_VALUE"""),"جوسيرا جوكر- مينيرال")</f>
        <v>جوسيرا جوكر- مينيرال</v>
      </c>
      <c r="H2276" s="133" t="str">
        <f>IFERROR(__xludf.DUMMYFUNCTION("""COMPUTED_VALUE"""),"FEM-24-16624-FEP-2024-83887-C-22548-2457")</f>
        <v>FEM-24-16624-FEP-2024-83887-C-22548-2457</v>
      </c>
      <c r="I2276" s="133"/>
      <c r="J2276" s="133"/>
      <c r="K2276" s="133"/>
      <c r="L2276" s="133"/>
      <c r="M2276" s="133"/>
      <c r="N2276" s="133"/>
      <c r="O2276" s="133"/>
      <c r="P2276" s="133"/>
      <c r="Q2276" s="133"/>
      <c r="R2276" s="133"/>
      <c r="S2276" s="133"/>
      <c r="T2276" s="133"/>
      <c r="U2276" s="133"/>
      <c r="V2276" s="133"/>
      <c r="W2276" s="133"/>
      <c r="X2276" s="133"/>
      <c r="Y2276" s="133"/>
      <c r="Z2276" s="133"/>
    </row>
    <row r="2277">
      <c r="A2277" s="133"/>
      <c r="B2277" s="133"/>
      <c r="C2277" s="133" t="str">
        <f>IFERROR(__xludf.DUMMYFUNCTION("""COMPUTED_VALUE"""),"2025-12303")</f>
        <v>2025-12303</v>
      </c>
      <c r="D2277" s="133"/>
      <c r="E2277" s="133" t="str">
        <f>IFERROR(__xludf.DUMMYFUNCTION("""COMPUTED_VALUE"""),"مكتمل ")</f>
        <v>مكتمل </v>
      </c>
      <c r="F2277" s="133" t="str">
        <f>IFERROR(__xludf.DUMMYFUNCTION("""COMPUTED_VALUE"""),"Josera Joker-Mineral 4kg")</f>
        <v>Josera Joker-Mineral 4kg</v>
      </c>
      <c r="G2277" s="133" t="str">
        <f>IFERROR(__xludf.DUMMYFUNCTION("""COMPUTED_VALUE"""),"جوسيرا جوكر- مينيرال ")</f>
        <v>جوسيرا جوكر- مينيرال </v>
      </c>
      <c r="H2277" s="133" t="str">
        <f>IFERROR(__xludf.DUMMYFUNCTION("""COMPUTED_VALUE"""),"FEM-25-0224-FEP-2025-0241-C-22548-0242")</f>
        <v>FEM-25-0224-FEP-2025-0241-C-22548-0242</v>
      </c>
      <c r="I2277" s="133"/>
      <c r="J2277" s="133"/>
      <c r="K2277" s="133"/>
      <c r="L2277" s="133"/>
      <c r="M2277" s="133"/>
      <c r="N2277" s="133"/>
      <c r="O2277" s="133"/>
      <c r="P2277" s="133"/>
      <c r="Q2277" s="133"/>
      <c r="R2277" s="133"/>
      <c r="S2277" s="133"/>
      <c r="T2277" s="133"/>
      <c r="U2277" s="133"/>
      <c r="V2277" s="133"/>
      <c r="W2277" s="133"/>
      <c r="X2277" s="133"/>
      <c r="Y2277" s="133"/>
      <c r="Z2277" s="133"/>
    </row>
    <row r="2278">
      <c r="A2278" s="133"/>
      <c r="B2278" s="133"/>
      <c r="C2278" s="133" t="str">
        <f>IFERROR(__xludf.DUMMYFUNCTION("""COMPUTED_VALUE"""),"2025-12323")</f>
        <v>2025-12323</v>
      </c>
      <c r="D2278" s="133"/>
      <c r="E2278" s="133" t="str">
        <f>IFERROR(__xludf.DUMMYFUNCTION("""COMPUTED_VALUE"""),"مكتمل ")</f>
        <v>مكتمل </v>
      </c>
      <c r="F2278" s="133" t="str">
        <f>IFERROR(__xludf.DUMMYFUNCTION("""COMPUTED_VALUE"""),"Josera Kraut &amp; Ruben Mineral 4kg")</f>
        <v>Josera Kraut &amp; Ruben Mineral 4kg</v>
      </c>
      <c r="G2278" s="133"/>
      <c r="H2278" s="133" t="str">
        <f>IFERROR(__xludf.DUMMYFUNCTION("""COMPUTED_VALUE"""),"FEM-25-0225-FEP-2025-0242-C-22548-0241")</f>
        <v>FEM-25-0225-FEP-2025-0242-C-22548-0241</v>
      </c>
      <c r="I2278" s="133"/>
      <c r="J2278" s="133"/>
      <c r="K2278" s="133"/>
      <c r="L2278" s="133"/>
      <c r="M2278" s="133"/>
      <c r="N2278" s="133"/>
      <c r="O2278" s="133"/>
      <c r="P2278" s="133"/>
      <c r="Q2278" s="133"/>
      <c r="R2278" s="133"/>
      <c r="S2278" s="133"/>
      <c r="T2278" s="133"/>
      <c r="U2278" s="133"/>
      <c r="V2278" s="133"/>
      <c r="W2278" s="133"/>
      <c r="X2278" s="133"/>
      <c r="Y2278" s="133"/>
      <c r="Z2278" s="133"/>
    </row>
    <row r="2279">
      <c r="A2279" s="133"/>
      <c r="B2279" s="133" t="str">
        <f>IFERROR(__xludf.DUMMYFUNCTION("""COMPUTED_VALUE"""),"  ")</f>
        <v>  </v>
      </c>
      <c r="C2279" s="133" t="str">
        <f>IFERROR(__xludf.DUMMYFUNCTION("""COMPUTED_VALUE"""),"2024-393939")</f>
        <v>2024-393939</v>
      </c>
      <c r="D2279" s="133"/>
      <c r="E2279" s="133" t="str">
        <f>IFERROR(__xludf.DUMMYFUNCTION("""COMPUTED_VALUE"""),"مكتمل ")</f>
        <v>مكتمل </v>
      </c>
      <c r="F2279" s="133" t="str">
        <f>IFERROR(__xludf.DUMMYFUNCTION("""COMPUTED_VALUE"""),"Josera Kraut &amp; Ruben Mash 15kg")</f>
        <v>Josera Kraut &amp; Ruben Mash 15kg</v>
      </c>
      <c r="G2279" s="133" t="str">
        <f>IFERROR(__xludf.DUMMYFUNCTION("""COMPUTED_VALUE"""),"جوسيرا كراوت وروبن ماش")</f>
        <v>جوسيرا كراوت وروبن ماش</v>
      </c>
      <c r="H2279" s="133"/>
      <c r="I2279" s="133"/>
      <c r="J2279" s="133"/>
      <c r="K2279" s="133"/>
      <c r="L2279" s="142" t="str">
        <f>IFERROR(__xludf.DUMMYFUNCTION("""COMPUTED_VALUE"""),"  ")</f>
        <v>  </v>
      </c>
      <c r="M2279" s="133"/>
      <c r="N2279" s="133"/>
      <c r="O2279" s="133"/>
      <c r="P2279" s="133"/>
      <c r="Q2279" s="133"/>
      <c r="R2279" s="133"/>
      <c r="S2279" s="133"/>
      <c r="T2279" s="133"/>
      <c r="U2279" s="133"/>
      <c r="V2279" s="133"/>
      <c r="W2279" s="133"/>
      <c r="X2279" s="133"/>
      <c r="Y2279" s="133"/>
      <c r="Z2279" s="133"/>
    </row>
    <row r="2280">
      <c r="A2280" s="133"/>
      <c r="B2280" s="133"/>
      <c r="C2280" s="133" t="str">
        <f>IFERROR(__xludf.DUMMYFUNCTION("""COMPUTED_VALUE"""),"2025-12338")</f>
        <v>2025-12338</v>
      </c>
      <c r="D2280" s="133"/>
      <c r="E2280" s="133" t="str">
        <f>IFERROR(__xludf.DUMMYFUNCTION("""COMPUTED_VALUE"""),"مكتمل ")</f>
        <v>مكتمل </v>
      </c>
      <c r="F2280" s="133" t="str">
        <f>IFERROR(__xludf.DUMMYFUNCTION("""COMPUTED_VALUE"""),"Josera Kraut &amp; Ruben Mash 2kg")</f>
        <v>Josera Kraut &amp; Ruben Mash 2kg</v>
      </c>
      <c r="G2280" s="133"/>
      <c r="H2280" s="133" t="str">
        <f>IFERROR(__xludf.DUMMYFUNCTION("""COMPUTED_VALUE"""),"FEM-25-0226-FEP-2025-0243-C-22548-0240")</f>
        <v>FEM-25-0226-FEP-2025-0243-C-22548-0240</v>
      </c>
      <c r="I2280" s="133"/>
      <c r="J2280" s="133"/>
      <c r="K2280" s="133"/>
      <c r="L2280" s="133"/>
      <c r="M2280" s="133"/>
      <c r="N2280" s="133"/>
      <c r="O2280" s="133"/>
      <c r="P2280" s="133"/>
      <c r="Q2280" s="133"/>
      <c r="R2280" s="133"/>
      <c r="S2280" s="133"/>
      <c r="T2280" s="133"/>
      <c r="U2280" s="133"/>
      <c r="V2280" s="133"/>
      <c r="W2280" s="133"/>
      <c r="X2280" s="133"/>
      <c r="Y2280" s="133"/>
      <c r="Z2280" s="133"/>
    </row>
    <row r="2281">
      <c r="A2281" s="133"/>
      <c r="B2281" s="133"/>
      <c r="C2281" s="133" t="str">
        <f>IFERROR(__xludf.DUMMYFUNCTION("""COMPUTED_VALUE"""),"2024-393954")</f>
        <v>2024-393954</v>
      </c>
      <c r="D2281" s="133"/>
      <c r="E2281" s="133" t="str">
        <f>IFERROR(__xludf.DUMMYFUNCTION("""COMPUTED_VALUE"""),"مكتمل ")</f>
        <v>مكتمل </v>
      </c>
      <c r="F2281" s="133" t="str">
        <f>IFERROR(__xludf.DUMMYFUNCTION("""COMPUTED_VALUE"""),"Josera Kraut &amp; Ruben Mineral 15kg")</f>
        <v>Josera Kraut &amp; Ruben Mineral 15kg</v>
      </c>
      <c r="G2281" s="133" t="str">
        <f>IFERROR(__xludf.DUMMYFUNCTION("""COMPUTED_VALUE"""),"جوسيرا كراوت وروبن إينرجي")</f>
        <v>جوسيرا كراوت وروبن إينرجي</v>
      </c>
      <c r="H2281" s="133" t="str">
        <f>IFERROR(__xludf.DUMMYFUNCTION("""COMPUTED_VALUE"""),"FEM-24-16893-FEP-2024-84051-C-22548-2557")</f>
        <v>FEM-24-16893-FEP-2024-84051-C-22548-2557</v>
      </c>
      <c r="I2281" s="133"/>
      <c r="J2281" s="133"/>
      <c r="K2281" s="133"/>
      <c r="L2281" s="133"/>
      <c r="M2281" s="133"/>
      <c r="N2281" s="133"/>
      <c r="O2281" s="133"/>
      <c r="P2281" s="133"/>
      <c r="Q2281" s="133"/>
      <c r="R2281" s="133"/>
      <c r="S2281" s="133"/>
      <c r="T2281" s="133"/>
      <c r="U2281" s="133"/>
      <c r="V2281" s="133"/>
      <c r="W2281" s="133"/>
      <c r="X2281" s="133"/>
      <c r="Y2281" s="133"/>
      <c r="Z2281" s="133"/>
    </row>
    <row r="2282">
      <c r="A2282" s="133"/>
      <c r="B2282" s="133"/>
      <c r="C2282" s="133" t="str">
        <f>IFERROR(__xludf.DUMMYFUNCTION("""COMPUTED_VALUE"""),"2024-402113")</f>
        <v>2024-402113</v>
      </c>
      <c r="D2282" s="133"/>
      <c r="E2282" s="133" t="str">
        <f>IFERROR(__xludf.DUMMYFUNCTION("""COMPUTED_VALUE"""),"مكتمل ")</f>
        <v>مكتمل </v>
      </c>
      <c r="F2282" s="133" t="str">
        <f>IFERROR(__xludf.DUMMYFUNCTION("""COMPUTED_VALUE"""),"Josera Kraut &amp; Ruben Mineral")</f>
        <v>Josera Kraut &amp; Ruben Mineral</v>
      </c>
      <c r="G2282" s="133" t="str">
        <f>IFERROR(__xludf.DUMMYFUNCTION("""COMPUTED_VALUE"""),"جوسيرا كراوت وروبن مينيرال")</f>
        <v>جوسيرا كراوت وروبن مينيرال</v>
      </c>
      <c r="H2282" s="133" t="str">
        <f>IFERROR(__xludf.DUMMYFUNCTION("""COMPUTED_VALUE"""),"FEM-25-0225-FEP-2025-0242-C-22548-0241")</f>
        <v>FEM-25-0225-FEP-2025-0242-C-22548-0241</v>
      </c>
      <c r="I2282" s="133"/>
      <c r="J2282" s="133"/>
      <c r="K2282" s="133"/>
      <c r="L2282" s="133"/>
      <c r="M2282" s="133"/>
      <c r="N2282" s="133"/>
      <c r="O2282" s="133"/>
      <c r="P2282" s="133"/>
      <c r="Q2282" s="133"/>
      <c r="R2282" s="133"/>
      <c r="S2282" s="133"/>
      <c r="T2282" s="133"/>
      <c r="U2282" s="133"/>
      <c r="V2282" s="133"/>
      <c r="W2282" s="133"/>
      <c r="X2282" s="133"/>
      <c r="Y2282" s="133"/>
      <c r="Z2282" s="133"/>
    </row>
    <row r="2283">
      <c r="A2283" s="133"/>
      <c r="B2283" s="133"/>
      <c r="C2283" s="133" t="str">
        <f>IFERROR(__xludf.DUMMYFUNCTION("""COMPUTED_VALUE"""),"2024-402170")</f>
        <v>2024-402170</v>
      </c>
      <c r="D2283" s="133"/>
      <c r="E2283" s="133" t="str">
        <f>IFERROR(__xludf.DUMMYFUNCTION("""COMPUTED_VALUE"""),"مكتمل ")</f>
        <v>مكتمل </v>
      </c>
      <c r="F2283" s="133" t="str">
        <f>IFERROR(__xludf.DUMMYFUNCTION("""COMPUTED_VALUE"""),"Josera Wald &amp; Wiese 15kg")</f>
        <v>Josera Wald &amp; Wiese 15kg</v>
      </c>
      <c r="G2283" s="133" t="str">
        <f>IFERROR(__xludf.DUMMYFUNCTION("""COMPUTED_VALUE"""),"جوسيرا وولد ويس")</f>
        <v>جوسيرا وولد ويس</v>
      </c>
      <c r="H2283" s="133" t="str">
        <f>IFERROR(__xludf.DUMMYFUNCTION("""COMPUTED_VALUE"""),"FEM-24-16894-FEP-2024-84053-C-22548-2533")</f>
        <v>FEM-24-16894-FEP-2024-84053-C-22548-2533</v>
      </c>
      <c r="I2283" s="133"/>
      <c r="J2283" s="133"/>
      <c r="K2283" s="133"/>
      <c r="L2283" s="133"/>
      <c r="M2283" s="133"/>
      <c r="N2283" s="133"/>
      <c r="O2283" s="133"/>
      <c r="P2283" s="133"/>
      <c r="Q2283" s="133"/>
      <c r="R2283" s="133"/>
      <c r="S2283" s="133"/>
      <c r="T2283" s="133"/>
      <c r="U2283" s="133"/>
      <c r="V2283" s="133"/>
      <c r="W2283" s="133"/>
      <c r="X2283" s="133"/>
      <c r="Y2283" s="133"/>
      <c r="Z2283" s="133"/>
    </row>
    <row r="2284">
      <c r="A2284" s="133"/>
      <c r="B2284" s="133"/>
      <c r="C2284" s="133" t="str">
        <f>IFERROR(__xludf.DUMMYFUNCTION("""COMPUTED_VALUE"""),"2024-402286")</f>
        <v>2024-402286</v>
      </c>
      <c r="D2284" s="133"/>
      <c r="E2284" s="133" t="str">
        <f>IFERROR(__xludf.DUMMYFUNCTION("""COMPUTED_VALUE"""),"مكتمل ")</f>
        <v>مكتمل </v>
      </c>
      <c r="F2284" s="133" t="str">
        <f>IFERROR(__xludf.DUMMYFUNCTION("""COMPUTED_VALUE"""),"Josera Help MvoGast Struktur 15kg")</f>
        <v>Josera Help MvoGast Struktur 15kg</v>
      </c>
      <c r="G2284" s="133" t="str">
        <f>IFERROR(__xludf.DUMMYFUNCTION("""COMPUTED_VALUE"""),"جوسيرا هيلب إم في أو غاست ستركتور")</f>
        <v>جوسيرا هيلب إم في أو غاست ستركتور</v>
      </c>
      <c r="H2284" s="133" t="str">
        <f>IFERROR(__xludf.DUMMYFUNCTION("""COMPUTED_VALUE"""),"FEM-24-16900-FEP-2024-84059-C-22548-2558
")</f>
        <v>FEM-24-16900-FEP-2024-84059-C-22548-2558
</v>
      </c>
      <c r="I2284" s="133"/>
      <c r="J2284" s="133"/>
      <c r="K2284" s="133"/>
      <c r="L2284" s="133"/>
      <c r="M2284" s="133"/>
      <c r="N2284" s="133"/>
      <c r="O2284" s="133"/>
      <c r="P2284" s="133"/>
      <c r="Q2284" s="133"/>
      <c r="R2284" s="133"/>
      <c r="S2284" s="133"/>
      <c r="T2284" s="133"/>
      <c r="U2284" s="133"/>
      <c r="V2284" s="133"/>
      <c r="W2284" s="133"/>
      <c r="X2284" s="133"/>
      <c r="Y2284" s="133"/>
      <c r="Z2284" s="133"/>
    </row>
    <row r="2285">
      <c r="A2285" s="133"/>
      <c r="B2285" s="133" t="str">
        <f>IFERROR(__xludf.DUMMYFUNCTION("""COMPUTED_VALUE"""),"تعليق الموظف:  المكونات( products from
 processing fruits (apple, grape))،(locust bean meal)،( magnesium fumarate)نامل  تزويدنا بالملف العلمي والرقم المرجعي حسب اللوائح والمواصفات الخاصة بالاعلاف")</f>
        <v>تعليق الموظف:  المكونات( products from
 processing fruits (apple, grape))،(locust bean meal)،( magnesium fumarate)نامل  تزويدنا بالملف العلمي والرقم المرجعي حسب اللوائح والمواصفات الخاصة بالاعلاف</v>
      </c>
      <c r="C2285" s="133" t="str">
        <f>IFERROR(__xludf.DUMMYFUNCTION("""COMPUTED_VALUE"""),"2024-402314")</f>
        <v>2024-402314</v>
      </c>
      <c r="D2285" s="133"/>
      <c r="E2285" s="133" t="str">
        <f>IFERROR(__xludf.DUMMYFUNCTION("""COMPUTED_VALUE"""),"رفض الطلب ")</f>
        <v>رفض الطلب </v>
      </c>
      <c r="F2285" s="133" t="str">
        <f>IFERROR(__xludf.DUMMYFUNCTION("""COMPUTED_VALUE"""),"Josera Help AminoBalancer 4kg")</f>
        <v>Josera Help AminoBalancer 4kg</v>
      </c>
      <c r="G2285" s="133" t="str">
        <f>IFERROR(__xludf.DUMMYFUNCTION("""COMPUTED_VALUE"""),"جوسيرا هيلب أمينو بالانسير")</f>
        <v>جوسيرا هيلب أمينو بالانسير</v>
      </c>
      <c r="H2285" s="133"/>
      <c r="I2285" s="133"/>
      <c r="J2285" s="133"/>
      <c r="K2285" s="133"/>
      <c r="L2285" s="142" t="str">
        <f>IFERROR(__xludf.DUMMYFUNCTION("""COMPUTED_VALUE"""),"تعليق الموظف:  المكونات( products from
 processing fruits (apple, grape))،(locust bean meal)،( magnesium fumarate)نامل  تزويدنا بالملف العلمي والرقم المرجعي حسب اللوائح والمواصفات الخاصة بالاعلاف")</f>
        <v>تعليق الموظف:  المكونات( products from
 processing fruits (apple, grape))،(locust bean meal)،( magnesium fumarate)نامل  تزويدنا بالملف العلمي والرقم المرجعي حسب اللوائح والمواصفات الخاصة بالاعلاف</v>
      </c>
      <c r="M2285" s="133"/>
      <c r="N2285" s="133"/>
      <c r="O2285" s="133"/>
      <c r="P2285" s="133"/>
      <c r="Q2285" s="133"/>
      <c r="R2285" s="133"/>
      <c r="S2285" s="133"/>
      <c r="T2285" s="133"/>
      <c r="U2285" s="133"/>
      <c r="V2285" s="133"/>
      <c r="W2285" s="133"/>
      <c r="X2285" s="133"/>
      <c r="Y2285" s="133"/>
      <c r="Z2285" s="133"/>
    </row>
    <row r="2286">
      <c r="A2286" s="133"/>
      <c r="B2286" s="133"/>
      <c r="C2286" s="133" t="str">
        <f>IFERROR(__xludf.DUMMYFUNCTION("""COMPUTED_VALUE"""),"2024-402592")</f>
        <v>2024-402592</v>
      </c>
      <c r="D2286" s="133"/>
      <c r="E2286" s="133" t="str">
        <f>IFERROR(__xludf.DUMMYFUNCTION("""COMPUTED_VALUE"""),"مكتمل ")</f>
        <v>مكتمل </v>
      </c>
      <c r="F2286" s="133" t="str">
        <f>IFERROR(__xludf.DUMMYFUNCTION("""COMPUTED_VALUE"""),"CéDé Complete Handrearing food Protein+ P21-800g")</f>
        <v>CéDé Complete Handrearing food Protein+ P21-800g</v>
      </c>
      <c r="G2286" s="133" t="str">
        <f>IFERROR(__xludf.DUMMYFUNCTION("""COMPUTED_VALUE"""),"سي دي كامل هاند ريرينج فود بروتين بلس بي 21")</f>
        <v>سي دي كامل هاند ريرينج فود بروتين بلس بي 21</v>
      </c>
      <c r="H2286" s="133" t="str">
        <f>IFERROR(__xludf.DUMMYFUNCTION("""COMPUTED_VALUE"""),"FEM-24-16917-FEP-2024-84355-C-22548-2565
")</f>
        <v>FEM-24-16917-FEP-2024-84355-C-22548-2565
</v>
      </c>
      <c r="I2286" s="133"/>
      <c r="J2286" s="133"/>
      <c r="K2286" s="133"/>
      <c r="L2286" s="133"/>
      <c r="M2286" s="133"/>
      <c r="N2286" s="133"/>
      <c r="O2286" s="133"/>
      <c r="P2286" s="133"/>
      <c r="Q2286" s="133"/>
      <c r="R2286" s="133"/>
      <c r="S2286" s="133"/>
      <c r="T2286" s="133"/>
      <c r="U2286" s="133"/>
      <c r="V2286" s="133"/>
      <c r="W2286" s="133"/>
      <c r="X2286" s="133"/>
      <c r="Y2286" s="133"/>
      <c r="Z2286" s="133"/>
    </row>
    <row r="2287">
      <c r="A2287" s="133"/>
      <c r="B2287" s="133"/>
      <c r="C2287" s="133"/>
      <c r="D2287" s="133"/>
      <c r="E2287" s="133" t="str">
        <f>IFERROR(__xludf.DUMMYFUNCTION("""COMPUTED_VALUE"""),"مكتمل ")</f>
        <v>مكتمل </v>
      </c>
      <c r="F2287" s="133" t="str">
        <f>IFERROR(__xludf.DUMMYFUNCTION("""COMPUTED_VALUE"""),"CéDé Complete Handrearing food Protein+ P21-200g")</f>
        <v>CéDé Complete Handrearing food Protein+ P21-200g</v>
      </c>
      <c r="G2287" s="133" t="str">
        <f>IFERROR(__xludf.DUMMYFUNCTION("""COMPUTED_VALUE"""),"سي دي كامل هاند ريرينج فود بروتين بلس بي 21")</f>
        <v>سي دي كامل هاند ريرينج فود بروتين بلس بي 21</v>
      </c>
      <c r="H2287" s="133" t="str">
        <f>IFERROR(__xludf.DUMMYFUNCTION("""COMPUTED_VALUE"""),"FEM-24-16917-FEP-2024-84355-C-22548-2565
")</f>
        <v>FEM-24-16917-FEP-2024-84355-C-22548-2565
</v>
      </c>
      <c r="I2287" s="133"/>
      <c r="J2287" s="133"/>
      <c r="K2287" s="133"/>
      <c r="L2287" s="133"/>
      <c r="M2287" s="133"/>
      <c r="N2287" s="133"/>
      <c r="O2287" s="133"/>
      <c r="P2287" s="133"/>
      <c r="Q2287" s="133"/>
      <c r="R2287" s="133"/>
      <c r="S2287" s="133"/>
      <c r="T2287" s="133"/>
      <c r="U2287" s="133"/>
      <c r="V2287" s="133"/>
      <c r="W2287" s="133"/>
      <c r="X2287" s="133"/>
      <c r="Y2287" s="133"/>
      <c r="Z2287" s="133"/>
    </row>
    <row r="2288">
      <c r="A2288" s="133"/>
      <c r="B2288" s="133"/>
      <c r="C2288" s="133" t="str">
        <f>IFERROR(__xludf.DUMMYFUNCTION("""COMPUTED_VALUE"""),"2024-402637")</f>
        <v>2024-402637</v>
      </c>
      <c r="D2288" s="133"/>
      <c r="E2288" s="133" t="str">
        <f>IFERROR(__xludf.DUMMYFUNCTION("""COMPUTED_VALUE"""),"مكتمل ")</f>
        <v>مكتمل </v>
      </c>
      <c r="F2288" s="133" t="str">
        <f>IFERROR(__xludf.DUMMYFUNCTION("""COMPUTED_VALUE"""),"CéDé Complete Handrearing food Energy+ P19 - 800g")</f>
        <v>CéDé Complete Handrearing food Energy+ P19 - 800g</v>
      </c>
      <c r="G2288" s="133" t="str">
        <f>IFERROR(__xludf.DUMMYFUNCTION("""COMPUTED_VALUE"""),"سي دي كامل هاند ريرينج فود إنيرجي بلس بي 19")</f>
        <v>سي دي كامل هاند ريرينج فود إنيرجي بلس بي 19</v>
      </c>
      <c r="H2288" s="133" t="str">
        <f>IFERROR(__xludf.DUMMYFUNCTION("""COMPUTED_VALUE"""),"FEM-24-16920-FEP-2024-84354-C-22548-2566
")</f>
        <v>FEM-24-16920-FEP-2024-84354-C-22548-2566
</v>
      </c>
      <c r="I2288" s="133"/>
      <c r="J2288" s="133"/>
      <c r="K2288" s="133"/>
      <c r="L2288" s="133"/>
      <c r="M2288" s="133"/>
      <c r="N2288" s="133"/>
      <c r="O2288" s="133"/>
      <c r="P2288" s="133"/>
      <c r="Q2288" s="133"/>
      <c r="R2288" s="133"/>
      <c r="S2288" s="133"/>
      <c r="T2288" s="133"/>
      <c r="U2288" s="133"/>
      <c r="V2288" s="133"/>
      <c r="W2288" s="133"/>
      <c r="X2288" s="133"/>
      <c r="Y2288" s="133"/>
      <c r="Z2288" s="133"/>
    </row>
    <row r="2289">
      <c r="A2289" s="133"/>
      <c r="B2289" s="133"/>
      <c r="C2289" s="133"/>
      <c r="D2289" s="133"/>
      <c r="E2289" s="133" t="str">
        <f>IFERROR(__xludf.DUMMYFUNCTION("""COMPUTED_VALUE"""),"مكتمل ")</f>
        <v>مكتمل </v>
      </c>
      <c r="F2289" s="133" t="str">
        <f>IFERROR(__xludf.DUMMYFUNCTION("""COMPUTED_VALUE"""),"CéDé Complete Handrearing food Energy+ P19 - 200g")</f>
        <v>CéDé Complete Handrearing food Energy+ P19 - 200g</v>
      </c>
      <c r="G2289" s="133" t="str">
        <f>IFERROR(__xludf.DUMMYFUNCTION("""COMPUTED_VALUE"""),"سي دي كامل هاند ريرينج فود إنيرجي بلس بي 19")</f>
        <v>سي دي كامل هاند ريرينج فود إنيرجي بلس بي 19</v>
      </c>
      <c r="H2289" s="133" t="str">
        <f>IFERROR(__xludf.DUMMYFUNCTION("""COMPUTED_VALUE"""),"FEM-24-16920-FEP-2024-84354-C-22548-2566
")</f>
        <v>FEM-24-16920-FEP-2024-84354-C-22548-2566
</v>
      </c>
      <c r="I2289" s="133"/>
      <c r="J2289" s="133"/>
      <c r="K2289" s="133"/>
      <c r="L2289" s="133"/>
      <c r="M2289" s="133"/>
      <c r="N2289" s="133"/>
      <c r="O2289" s="133"/>
      <c r="P2289" s="133"/>
      <c r="Q2289" s="133"/>
      <c r="R2289" s="133"/>
      <c r="S2289" s="133"/>
      <c r="T2289" s="133"/>
      <c r="U2289" s="133"/>
      <c r="V2289" s="133"/>
      <c r="W2289" s="133"/>
      <c r="X2289" s="133"/>
      <c r="Y2289" s="133"/>
      <c r="Z2289" s="133"/>
    </row>
    <row r="2290">
      <c r="A2290" s="133"/>
      <c r="B2290" s="133"/>
      <c r="C2290" s="133" t="str">
        <f>IFERROR(__xludf.DUMMYFUNCTION("""COMPUTED_VALUE"""),"2024-415807")</f>
        <v>2024-415807</v>
      </c>
      <c r="D2290" s="133"/>
      <c r="E2290" s="133" t="str">
        <f>IFERROR(__xludf.DUMMYFUNCTION("""COMPUTED_VALUE"""),"مكتمل ")</f>
        <v>مكتمل </v>
      </c>
      <c r="F2290" s="133" t="str">
        <f>IFERROR(__xludf.DUMMYFUNCTION("""COMPUTED_VALUE"""),"DC Stripes Beef Snack Small 80g")</f>
        <v>DC Stripes Beef Snack Small 80g</v>
      </c>
      <c r="G2290" s="133" t="str">
        <f>IFERROR(__xludf.DUMMYFUNCTION("""COMPUTED_VALUE"""),"دكتور كلاودر ستريبس سناك لحم البقر سمول")</f>
        <v>دكتور كلاودر ستريبس سناك لحم البقر سمول</v>
      </c>
      <c r="H2290" s="133" t="str">
        <f>IFERROR(__xludf.DUMMYFUNCTION("""COMPUTED_VALUE"""),"FEM-24-17244-FEP-2024-84332-C-22548-2651
")</f>
        <v>FEM-24-17244-FEP-2024-84332-C-22548-2651
</v>
      </c>
      <c r="I2290" s="133"/>
      <c r="J2290" s="133"/>
      <c r="K2290" s="133"/>
      <c r="L2290" s="133"/>
      <c r="M2290" s="133"/>
      <c r="N2290" s="133"/>
      <c r="O2290" s="133"/>
      <c r="P2290" s="133"/>
      <c r="Q2290" s="133"/>
      <c r="R2290" s="133"/>
      <c r="S2290" s="133"/>
      <c r="T2290" s="133"/>
      <c r="U2290" s="133"/>
      <c r="V2290" s="133"/>
      <c r="W2290" s="133"/>
      <c r="X2290" s="133"/>
      <c r="Y2290" s="133"/>
      <c r="Z2290" s="133"/>
    </row>
    <row r="2291">
      <c r="A2291" s="133"/>
      <c r="B2291" s="133"/>
      <c r="C2291" s="133" t="str">
        <f>IFERROR(__xludf.DUMMYFUNCTION("""COMPUTED_VALUE"""),"2024-415821")</f>
        <v>2024-415821</v>
      </c>
      <c r="D2291" s="133"/>
      <c r="E2291" s="133" t="str">
        <f>IFERROR(__xludf.DUMMYFUNCTION("""COMPUTED_VALUE"""),"مكتمل ")</f>
        <v>مكتمل </v>
      </c>
      <c r="F2291" s="133" t="str">
        <f>IFERROR(__xludf.DUMMYFUNCTION("""COMPUTED_VALUE"""),"DC Stripes Chicken Snack Small 80g")</f>
        <v>DC Stripes Chicken Snack Small 80g</v>
      </c>
      <c r="G2291" s="133" t="str">
        <f>IFERROR(__xludf.DUMMYFUNCTION("""COMPUTED_VALUE"""),"دكتور كلاودر ستريبس سناك الدجاج سمول")</f>
        <v>دكتور كلاودر ستريبس سناك الدجاج سمول</v>
      </c>
      <c r="H2291" s="133" t="str">
        <f>IFERROR(__xludf.DUMMYFUNCTION("""COMPUTED_VALUE"""),"FEM-24-17245-FEP-2024-84333-C-22548-2649
")</f>
        <v>FEM-24-17245-FEP-2024-84333-C-22548-2649
</v>
      </c>
      <c r="I2291" s="133"/>
      <c r="J2291" s="133"/>
      <c r="K2291" s="133"/>
      <c r="L2291" s="133"/>
      <c r="M2291" s="133"/>
      <c r="N2291" s="133"/>
      <c r="O2291" s="133"/>
      <c r="P2291" s="133"/>
      <c r="Q2291" s="133"/>
      <c r="R2291" s="133"/>
      <c r="S2291" s="133"/>
      <c r="T2291" s="133"/>
      <c r="U2291" s="133"/>
      <c r="V2291" s="133"/>
      <c r="W2291" s="133"/>
      <c r="X2291" s="133"/>
      <c r="Y2291" s="133"/>
      <c r="Z2291" s="133"/>
    </row>
    <row r="2292">
      <c r="A2292" s="133"/>
      <c r="B2292" s="133"/>
      <c r="C2292" s="133" t="str">
        <f>IFERROR(__xludf.DUMMYFUNCTION("""COMPUTED_VALUE"""),"2024-415828")</f>
        <v>2024-415828</v>
      </c>
      <c r="D2292" s="133"/>
      <c r="E2292" s="133" t="str">
        <f>IFERROR(__xludf.DUMMYFUNCTION("""COMPUTED_VALUE"""),"مكتمل ")</f>
        <v>مكتمل </v>
      </c>
      <c r="F2292" s="133" t="str">
        <f>IFERROR(__xludf.DUMMYFUNCTION("""COMPUTED_VALUE"""),"DC Stripes Duck Snack Small 80g")</f>
        <v>DC Stripes Duck Snack Small 80g</v>
      </c>
      <c r="G2292" s="133" t="str">
        <f>IFERROR(__xludf.DUMMYFUNCTION("""COMPUTED_VALUE"""),"دكتور كلاودر ستريبس سناك بالبط سمول")</f>
        <v>دكتور كلاودر ستريبس سناك بالبط سمول</v>
      </c>
      <c r="H2292" s="133" t="str">
        <f>IFERROR(__xludf.DUMMYFUNCTION("""COMPUTED_VALUE"""),"FEM-24-17246-FEP-2024-84334-C-22548-2647
")</f>
        <v>FEM-24-17246-FEP-2024-84334-C-22548-2647
</v>
      </c>
      <c r="I2292" s="133"/>
      <c r="J2292" s="133"/>
      <c r="K2292" s="133"/>
      <c r="L2292" s="133"/>
      <c r="M2292" s="133"/>
      <c r="N2292" s="133"/>
      <c r="O2292" s="133"/>
      <c r="P2292" s="133"/>
      <c r="Q2292" s="133"/>
      <c r="R2292" s="133"/>
      <c r="S2292" s="133"/>
      <c r="T2292" s="133"/>
      <c r="U2292" s="133"/>
      <c r="V2292" s="133"/>
      <c r="W2292" s="133"/>
      <c r="X2292" s="133"/>
      <c r="Y2292" s="133"/>
      <c r="Z2292" s="133"/>
    </row>
    <row r="2293">
      <c r="A2293" s="133"/>
      <c r="B2293" s="133"/>
      <c r="C2293" s="133" t="str">
        <f>IFERROR(__xludf.DUMMYFUNCTION("""COMPUTED_VALUE"""),"2024-415839")</f>
        <v>2024-415839</v>
      </c>
      <c r="D2293" s="133"/>
      <c r="E2293" s="133" t="str">
        <f>IFERROR(__xludf.DUMMYFUNCTION("""COMPUTED_VALUE"""),"مكتمل")</f>
        <v>مكتمل</v>
      </c>
      <c r="F2293" s="133" t="str">
        <f>IFERROR(__xludf.DUMMYFUNCTION("""COMPUTED_VALUE"""),"DC Stripes Lamb Snack Small 80g")</f>
        <v>DC Stripes Lamb Snack Small 80g</v>
      </c>
      <c r="G2293" s="133" t="str">
        <f>IFERROR(__xludf.DUMMYFUNCTION("""COMPUTED_VALUE"""),"دكتور كلاودر ستريبس سناك لحم الضأن سمول")</f>
        <v>دكتور كلاودر ستريبس سناك لحم الضأن سمول</v>
      </c>
      <c r="H2293" s="133" t="str">
        <f>IFERROR(__xludf.DUMMYFUNCTION("""COMPUTED_VALUE"""),"FEM-24-17247-FEP-2024-84335-C-22548-2646
")</f>
        <v>FEM-24-17247-FEP-2024-84335-C-22548-2646
</v>
      </c>
      <c r="I2293" s="133"/>
      <c r="J2293" s="133"/>
      <c r="K2293" s="133"/>
      <c r="L2293" s="133"/>
      <c r="M2293" s="133"/>
      <c r="N2293" s="133"/>
      <c r="O2293" s="133"/>
      <c r="P2293" s="133"/>
      <c r="Q2293" s="133"/>
      <c r="R2293" s="133"/>
      <c r="S2293" s="133"/>
      <c r="T2293" s="133"/>
      <c r="U2293" s="133"/>
      <c r="V2293" s="133"/>
      <c r="W2293" s="133"/>
      <c r="X2293" s="133"/>
      <c r="Y2293" s="133"/>
      <c r="Z2293" s="133"/>
    </row>
    <row r="2294">
      <c r="A2294" s="133"/>
      <c r="B2294" s="133"/>
      <c r="C2294" s="133" t="str">
        <f>IFERROR(__xludf.DUMMYFUNCTION("""COMPUTED_VALUE"""),"2024-415845")</f>
        <v>2024-415845</v>
      </c>
      <c r="D2294" s="133"/>
      <c r="E2294" s="133" t="str">
        <f>IFERROR(__xludf.DUMMYFUNCTION("""COMPUTED_VALUE"""),"عاد لمقدم الطلب ")</f>
        <v>عاد لمقدم الطلب </v>
      </c>
      <c r="F2294" s="133" t="str">
        <f>IFERROR(__xludf.DUMMYFUNCTION("""COMPUTED_VALUE"""),"DC F&amp;C Mother &amp; Puppy Emulsion 150g")</f>
        <v>DC F&amp;C Mother &amp; Puppy Emulsion 150g</v>
      </c>
      <c r="G2294" s="133" t="str">
        <f>IFERROR(__xludf.DUMMYFUNCTION("""COMPUTED_VALUE"""),"دكتور كلاودر برو لايف – إمولشن بِتش آند باپي")</f>
        <v>دكتور كلاودر برو لايف – إمولشن بِتش آند باپي</v>
      </c>
      <c r="H2294" s="133"/>
      <c r="I2294" s="133"/>
      <c r="J2294" s="133"/>
      <c r="K2294" s="133"/>
      <c r="L2294" s="133"/>
      <c r="M2294" s="133"/>
      <c r="N2294" s="133"/>
      <c r="O2294" s="133"/>
      <c r="P2294" s="133"/>
      <c r="Q2294" s="133"/>
      <c r="R2294" s="133"/>
      <c r="S2294" s="133"/>
      <c r="T2294" s="133"/>
      <c r="U2294" s="133"/>
      <c r="V2294" s="133"/>
      <c r="W2294" s="133"/>
      <c r="X2294" s="133"/>
      <c r="Y2294" s="133"/>
      <c r="Z2294" s="133"/>
    </row>
    <row r="2295">
      <c r="A2295" s="133"/>
      <c r="B2295" s="133" t="str">
        <f>IFERROR(__xludf.DUMMYFUNCTION("""COMPUTED_VALUE"""),"المكون (linseed) ليس من المدخلات العلفية ,
")</f>
        <v>المكون (linseed) ليس من المدخلات العلفية ,
</v>
      </c>
      <c r="C2295" s="133" t="str">
        <f>IFERROR(__xludf.DUMMYFUNCTION("""COMPUTED_VALUE"""),"2024-415851")</f>
        <v>2024-415851</v>
      </c>
      <c r="D2295" s="133"/>
      <c r="E2295" s="133" t="str">
        <f>IFERROR(__xludf.DUMMYFUNCTION("""COMPUTED_VALUE"""),"مرفوض ")</f>
        <v>مرفوض </v>
      </c>
      <c r="F2295" s="133" t="str">
        <f>IFERROR(__xludf.DUMMYFUNCTION("""COMPUTED_VALUE"""),"DC High Premium Indoor 1.5kg")</f>
        <v>DC High Premium Indoor 1.5kg</v>
      </c>
      <c r="G2295" s="133" t="str">
        <f>IFERROR(__xludf.DUMMYFUNCTION("""COMPUTED_VALUE"""),"دكتور كلاودر هاي برميوم اندور")</f>
        <v>دكتور كلاودر هاي برميوم اندور</v>
      </c>
      <c r="H2295" s="133"/>
      <c r="I2295" s="133"/>
      <c r="J2295" s="133"/>
      <c r="K2295" s="133"/>
      <c r="L2295" s="142" t="str">
        <f>IFERROR(__xludf.DUMMYFUNCTION("""COMPUTED_VALUE"""),"المكون (linseed) ليس من المدخلات العلفية ,
")</f>
        <v>المكون (linseed) ليس من المدخلات العلفية ,
</v>
      </c>
      <c r="M2295" s="133"/>
      <c r="N2295" s="133"/>
      <c r="O2295" s="133"/>
      <c r="P2295" s="133"/>
      <c r="Q2295" s="133"/>
      <c r="R2295" s="133"/>
      <c r="S2295" s="133"/>
      <c r="T2295" s="133"/>
      <c r="U2295" s="133"/>
      <c r="V2295" s="133"/>
      <c r="W2295" s="133"/>
      <c r="X2295" s="133"/>
      <c r="Y2295" s="133"/>
      <c r="Z2295" s="133"/>
    </row>
    <row r="2296">
      <c r="A2296" s="133"/>
      <c r="B2296" s="133"/>
      <c r="C2296" s="133" t="str">
        <f>IFERROR(__xludf.DUMMYFUNCTION("""COMPUTED_VALUE"""),"2024-406431")</f>
        <v>2024-406431</v>
      </c>
      <c r="D2296" s="133"/>
      <c r="E2296" s="133" t="str">
        <f>IFERROR(__xludf.DUMMYFUNCTION("""COMPUTED_VALUE"""),"مكتمل")</f>
        <v>مكتمل</v>
      </c>
      <c r="F2296" s="133" t="str">
        <f>IFERROR(__xludf.DUMMYFUNCTION("""COMPUTED_VALUE"""),"Josera Meat Bars Beef 40g")</f>
        <v>Josera Meat Bars Beef 40g</v>
      </c>
      <c r="G2296" s="133" t="str">
        <f>IFERROR(__xludf.DUMMYFUNCTION("""COMPUTED_VALUE"""),"جوسيرا ميت بارز باللحم البقري")</f>
        <v>جوسيرا ميت بارز باللحم البقري</v>
      </c>
      <c r="H2296" s="133" t="str">
        <f>IFERROR(__xludf.DUMMYFUNCTION("""COMPUTED_VALUE"""),"FEM-24-17046-FEP-2024-84169-C-22548-2567
")</f>
        <v>FEM-24-17046-FEP-2024-84169-C-22548-2567
</v>
      </c>
      <c r="I2296" s="133"/>
      <c r="J2296" s="133"/>
      <c r="K2296" s="133"/>
      <c r="L2296" s="133"/>
      <c r="M2296" s="133"/>
      <c r="N2296" s="133"/>
      <c r="O2296" s="133"/>
      <c r="P2296" s="133"/>
      <c r="Q2296" s="133"/>
      <c r="R2296" s="133"/>
      <c r="S2296" s="133"/>
      <c r="T2296" s="133"/>
      <c r="U2296" s="133"/>
      <c r="V2296" s="133"/>
      <c r="W2296" s="133"/>
      <c r="X2296" s="133"/>
      <c r="Y2296" s="133"/>
      <c r="Z2296" s="133"/>
    </row>
    <row r="2297">
      <c r="A2297" s="133"/>
      <c r="B2297" s="133"/>
      <c r="C2297" s="133" t="str">
        <f>IFERROR(__xludf.DUMMYFUNCTION("""COMPUTED_VALUE"""),"2024-406441")</f>
        <v>2024-406441</v>
      </c>
      <c r="D2297" s="133"/>
      <c r="E2297" s="133" t="str">
        <f>IFERROR(__xludf.DUMMYFUNCTION("""COMPUTED_VALUE"""),"مكتمل")</f>
        <v>مكتمل</v>
      </c>
      <c r="F2297" s="133" t="str">
        <f>IFERROR(__xludf.DUMMYFUNCTION("""COMPUTED_VALUE"""),"Josera Meat Bars Chicken 40g")</f>
        <v>Josera Meat Bars Chicken 40g</v>
      </c>
      <c r="G2297" s="133" t="str">
        <f>IFERROR(__xludf.DUMMYFUNCTION("""COMPUTED_VALUE"""),"جوسيرا ميت بارز بالدجاج")</f>
        <v>جوسيرا ميت بارز بالدجاج</v>
      </c>
      <c r="H2297" s="133" t="str">
        <f>IFERROR(__xludf.DUMMYFUNCTION("""COMPUTED_VALUE"""),"FEM-24-17047-FEP-2024-84170-C-22548-2582
")</f>
        <v>FEM-24-17047-FEP-2024-84170-C-22548-2582
</v>
      </c>
      <c r="I2297" s="133"/>
      <c r="J2297" s="133"/>
      <c r="K2297" s="133"/>
      <c r="L2297" s="133"/>
      <c r="M2297" s="133"/>
      <c r="N2297" s="133"/>
      <c r="O2297" s="133"/>
      <c r="P2297" s="133"/>
      <c r="Q2297" s="133"/>
      <c r="R2297" s="133"/>
      <c r="S2297" s="133"/>
      <c r="T2297" s="133"/>
      <c r="U2297" s="133"/>
      <c r="V2297" s="133"/>
      <c r="W2297" s="133"/>
      <c r="X2297" s="133"/>
      <c r="Y2297" s="133"/>
      <c r="Z2297" s="133"/>
    </row>
    <row r="2298">
      <c r="A2298" s="133"/>
      <c r="B2298" s="133"/>
      <c r="C2298" s="133" t="str">
        <f>IFERROR(__xludf.DUMMYFUNCTION("""COMPUTED_VALUE"""),"2024-406464")</f>
        <v>2024-406464</v>
      </c>
      <c r="D2298" s="133"/>
      <c r="E2298" s="133" t="str">
        <f>IFERROR(__xludf.DUMMYFUNCTION("""COMPUTED_VALUE"""),"مكتمل")</f>
        <v>مكتمل</v>
      </c>
      <c r="F2298" s="133" t="str">
        <f>IFERROR(__xludf.DUMMYFUNCTION("""COMPUTED_VALUE"""),".Josera Meat Bars Turkey 40g")</f>
        <v>.Josera Meat Bars Turkey 40g</v>
      </c>
      <c r="G2298" s="133" t="str">
        <f>IFERROR(__xludf.DUMMYFUNCTION("""COMPUTED_VALUE"""),"جوسيرا ميت بارز ديك رومي")</f>
        <v>جوسيرا ميت بارز ديك رومي</v>
      </c>
      <c r="H2298" s="133" t="str">
        <f>IFERROR(__xludf.DUMMYFUNCTION("""COMPUTED_VALUE"""),"FEM-24-17049-FEP-2024-84171-C-22548-2581
")</f>
        <v>FEM-24-17049-FEP-2024-84171-C-22548-2581
</v>
      </c>
      <c r="I2298" s="133"/>
      <c r="J2298" s="133"/>
      <c r="K2298" s="133"/>
      <c r="L2298" s="133"/>
      <c r="M2298" s="133"/>
      <c r="N2298" s="133"/>
      <c r="O2298" s="133"/>
      <c r="P2298" s="133"/>
      <c r="Q2298" s="133"/>
      <c r="R2298" s="133"/>
      <c r="S2298" s="133"/>
      <c r="T2298" s="133"/>
      <c r="U2298" s="133"/>
      <c r="V2298" s="133"/>
      <c r="W2298" s="133"/>
      <c r="X2298" s="133"/>
      <c r="Y2298" s="133"/>
      <c r="Z2298" s="133"/>
    </row>
    <row r="2299">
      <c r="A2299" s="133"/>
      <c r="B2299" s="133"/>
      <c r="C2299" s="133" t="str">
        <f>IFERROR(__xludf.DUMMYFUNCTION("""COMPUTED_VALUE"""),"2024-406474")</f>
        <v>2024-406474</v>
      </c>
      <c r="D2299" s="133"/>
      <c r="E2299" s="133" t="str">
        <f>IFERROR(__xludf.DUMMYFUNCTION("""COMPUTED_VALUE"""),"مكتمل")</f>
        <v>مكتمل</v>
      </c>
      <c r="F2299" s="133" t="str">
        <f>IFERROR(__xludf.DUMMYFUNCTION("""COMPUTED_VALUE"""),"Josera Meat Chunks Beef 70g")</f>
        <v>Josera Meat Chunks Beef 70g</v>
      </c>
      <c r="G2299" s="133" t="str">
        <f>IFERROR(__xludf.DUMMYFUNCTION("""COMPUTED_VALUE"""),"جوسيرا ميت تشانكس لحم بقري")</f>
        <v>جوسيرا ميت تشانكس لحم بقري</v>
      </c>
      <c r="H2299" s="133" t="str">
        <f>IFERROR(__xludf.DUMMYFUNCTION("""COMPUTED_VALUE"""),"FEM-24-17050-FEP-2024-84172-C-22548-2580
")</f>
        <v>FEM-24-17050-FEP-2024-84172-C-22548-2580
</v>
      </c>
      <c r="I2299" s="133"/>
      <c r="J2299" s="133"/>
      <c r="K2299" s="133"/>
      <c r="L2299" s="133"/>
      <c r="M2299" s="133"/>
      <c r="N2299" s="133"/>
      <c r="O2299" s="133"/>
      <c r="P2299" s="133"/>
      <c r="Q2299" s="133"/>
      <c r="R2299" s="133"/>
      <c r="S2299" s="133"/>
      <c r="T2299" s="133"/>
      <c r="U2299" s="133"/>
      <c r="V2299" s="133"/>
      <c r="W2299" s="133"/>
      <c r="X2299" s="133"/>
      <c r="Y2299" s="133"/>
      <c r="Z2299" s="133"/>
    </row>
    <row r="2300">
      <c r="A2300" s="133"/>
      <c r="B2300" s="133"/>
      <c r="C2300" s="133" t="str">
        <f>IFERROR(__xludf.DUMMYFUNCTION("""COMPUTED_VALUE"""),"2024-406491")</f>
        <v>2024-406491</v>
      </c>
      <c r="D2300" s="133"/>
      <c r="E2300" s="133" t="str">
        <f>IFERROR(__xludf.DUMMYFUNCTION("""COMPUTED_VALUE"""),"مكتمل")</f>
        <v>مكتمل</v>
      </c>
      <c r="F2300" s="133" t="str">
        <f>IFERROR(__xludf.DUMMYFUNCTION("""COMPUTED_VALUE"""),"Josera Meat Chunks Chicken 70g")</f>
        <v>Josera Meat Chunks Chicken 70g</v>
      </c>
      <c r="G2300" s="133" t="str">
        <f>IFERROR(__xludf.DUMMYFUNCTION("""COMPUTED_VALUE"""),"جوسيرا ميت تشانكس دجاج")</f>
        <v>جوسيرا ميت تشانكس دجاج</v>
      </c>
      <c r="H2300" s="133" t="str">
        <f>IFERROR(__xludf.DUMMYFUNCTION("""COMPUTED_VALUE"""),"FEM-24-17052-FEP-2024-84173-C-22548-2579
")</f>
        <v>FEM-24-17052-FEP-2024-84173-C-22548-2579
</v>
      </c>
      <c r="I2300" s="133"/>
      <c r="J2300" s="133"/>
      <c r="K2300" s="133"/>
      <c r="L2300" s="133"/>
      <c r="M2300" s="133"/>
      <c r="N2300" s="133"/>
      <c r="O2300" s="133"/>
      <c r="P2300" s="133"/>
      <c r="Q2300" s="133"/>
      <c r="R2300" s="133"/>
      <c r="S2300" s="133"/>
      <c r="T2300" s="133"/>
      <c r="U2300" s="133"/>
      <c r="V2300" s="133"/>
      <c r="W2300" s="133"/>
      <c r="X2300" s="133"/>
      <c r="Y2300" s="133"/>
      <c r="Z2300" s="133"/>
    </row>
    <row r="2301">
      <c r="A2301" s="133"/>
      <c r="B2301" s="133"/>
      <c r="C2301" s="133" t="str">
        <f>IFERROR(__xludf.DUMMYFUNCTION("""COMPUTED_VALUE"""),"2024-406497")</f>
        <v>2024-406497</v>
      </c>
      <c r="D2301" s="133"/>
      <c r="E2301" s="133" t="str">
        <f>IFERROR(__xludf.DUMMYFUNCTION("""COMPUTED_VALUE"""),"مكتمل")</f>
        <v>مكتمل</v>
      </c>
      <c r="F2301" s="133" t="str">
        <f>IFERROR(__xludf.DUMMYFUNCTION("""COMPUTED_VALUE"""),"Josera Meat Chunks Turkey 70g")</f>
        <v>Josera Meat Chunks Turkey 70g</v>
      </c>
      <c r="G2301" s="133" t="str">
        <f>IFERROR(__xludf.DUMMYFUNCTION("""COMPUTED_VALUE"""),"جوسيرا ميت تشانكس ديك رومي")</f>
        <v>جوسيرا ميت تشانكس ديك رومي</v>
      </c>
      <c r="H2301" s="133" t="str">
        <f>IFERROR(__xludf.DUMMYFUNCTION("""COMPUTED_VALUE"""),"FEM-24-17053-FEP-2024-84174-C-22548-2578
")</f>
        <v>FEM-24-17053-FEP-2024-84174-C-22548-2578
</v>
      </c>
      <c r="I2301" s="133"/>
      <c r="J2301" s="133"/>
      <c r="K2301" s="133"/>
      <c r="L2301" s="133"/>
      <c r="M2301" s="133"/>
      <c r="N2301" s="133"/>
      <c r="O2301" s="133"/>
      <c r="P2301" s="133"/>
      <c r="Q2301" s="133"/>
      <c r="R2301" s="133"/>
      <c r="S2301" s="133"/>
      <c r="T2301" s="133"/>
      <c r="U2301" s="133"/>
      <c r="V2301" s="133"/>
      <c r="W2301" s="133"/>
      <c r="X2301" s="133"/>
      <c r="Y2301" s="133"/>
      <c r="Z2301" s="133"/>
    </row>
    <row r="2302">
      <c r="A2302" s="133"/>
      <c r="B2302" s="133"/>
      <c r="C2302" s="133" t="str">
        <f>IFERROR(__xludf.DUMMYFUNCTION("""COMPUTED_VALUE"""),"2024-406508")</f>
        <v>2024-406508</v>
      </c>
      <c r="D2302" s="133"/>
      <c r="E2302" s="133" t="str">
        <f>IFERROR(__xludf.DUMMYFUNCTION("""COMPUTED_VALUE"""),"مكتمل")</f>
        <v>مكتمل</v>
      </c>
      <c r="F2302" s="133" t="str">
        <f>IFERROR(__xludf.DUMMYFUNCTION("""COMPUTED_VALUE"""),"Josera Meat Bites Mini Beef 70g")</f>
        <v>Josera Meat Bites Mini Beef 70g</v>
      </c>
      <c r="G2302" s="133" t="str">
        <f>IFERROR(__xludf.DUMMYFUNCTION("""COMPUTED_VALUE"""),"جوسيرا ميت بايتس ميني لحم بقري")</f>
        <v>جوسيرا ميت بايتس ميني لحم بقري</v>
      </c>
      <c r="H2302" s="133" t="str">
        <f>IFERROR(__xludf.DUMMYFUNCTION("""COMPUTED_VALUE"""),"FEM-24-17054-FEP-2024-84176-C-22548-2577
")</f>
        <v>FEM-24-17054-FEP-2024-84176-C-22548-2577
</v>
      </c>
      <c r="I2302" s="133"/>
      <c r="J2302" s="133"/>
      <c r="K2302" s="133"/>
      <c r="L2302" s="133"/>
      <c r="M2302" s="133"/>
      <c r="N2302" s="133"/>
      <c r="O2302" s="133"/>
      <c r="P2302" s="133"/>
      <c r="Q2302" s="133"/>
      <c r="R2302" s="133"/>
      <c r="S2302" s="133"/>
      <c r="T2302" s="133"/>
      <c r="U2302" s="133"/>
      <c r="V2302" s="133"/>
      <c r="W2302" s="133"/>
      <c r="X2302" s="133"/>
      <c r="Y2302" s="133"/>
      <c r="Z2302" s="133"/>
    </row>
    <row r="2303">
      <c r="A2303" s="133"/>
      <c r="B2303" s="133"/>
      <c r="C2303" s="133" t="str">
        <f>IFERROR(__xludf.DUMMYFUNCTION("""COMPUTED_VALUE"""),"2024-406529")</f>
        <v>2024-406529</v>
      </c>
      <c r="D2303" s="133"/>
      <c r="E2303" s="133" t="str">
        <f>IFERROR(__xludf.DUMMYFUNCTION("""COMPUTED_VALUE"""),"مكتمل")</f>
        <v>مكتمل</v>
      </c>
      <c r="F2303" s="133" t="str">
        <f>IFERROR(__xludf.DUMMYFUNCTION("""COMPUTED_VALUE"""),"Josera Meat Bites Mini Chicken 70g")</f>
        <v>Josera Meat Bites Mini Chicken 70g</v>
      </c>
      <c r="G2303" s="133" t="str">
        <f>IFERROR(__xludf.DUMMYFUNCTION("""COMPUTED_VALUE"""),"جوسيرا ميت بايتس ميني دجاج")</f>
        <v>جوسيرا ميت بايتس ميني دجاج</v>
      </c>
      <c r="H2303" s="133" t="str">
        <f>IFERROR(__xludf.DUMMYFUNCTION("""COMPUTED_VALUE"""),"FEM-24-17055-FEP-2024-84177-C-22548-2576
")</f>
        <v>FEM-24-17055-FEP-2024-84177-C-22548-2576
</v>
      </c>
      <c r="I2303" s="133"/>
      <c r="J2303" s="133"/>
      <c r="K2303" s="133"/>
      <c r="L2303" s="133"/>
      <c r="M2303" s="133"/>
      <c r="N2303" s="133"/>
      <c r="O2303" s="133"/>
      <c r="P2303" s="133"/>
      <c r="Q2303" s="133"/>
      <c r="R2303" s="133"/>
      <c r="S2303" s="133"/>
      <c r="T2303" s="133"/>
      <c r="U2303" s="133"/>
      <c r="V2303" s="133"/>
      <c r="W2303" s="133"/>
      <c r="X2303" s="133"/>
      <c r="Y2303" s="133"/>
      <c r="Z2303" s="133"/>
    </row>
    <row r="2304">
      <c r="A2304" s="133"/>
      <c r="B2304" s="133"/>
      <c r="C2304" s="133" t="str">
        <f>IFERROR(__xludf.DUMMYFUNCTION("""COMPUTED_VALUE"""),"2024-406563")</f>
        <v>2024-406563</v>
      </c>
      <c r="D2304" s="133"/>
      <c r="E2304" s="133" t="str">
        <f>IFERROR(__xludf.DUMMYFUNCTION("""COMPUTED_VALUE"""),"مكتمل")</f>
        <v>مكتمل</v>
      </c>
      <c r="F2304" s="133" t="str">
        <f>IFERROR(__xludf.DUMMYFUNCTION("""COMPUTED_VALUE"""),"Josera Meat Bites Mini Turkey 70g")</f>
        <v>Josera Meat Bites Mini Turkey 70g</v>
      </c>
      <c r="G2304" s="133" t="str">
        <f>IFERROR(__xludf.DUMMYFUNCTION("""COMPUTED_VALUE"""),"جوسيرا ميت بايتس ميني ديك رومي")</f>
        <v>جوسيرا ميت بايتس ميني ديك رومي</v>
      </c>
      <c r="H2304" s="133" t="str">
        <f>IFERROR(__xludf.DUMMYFUNCTION("""COMPUTED_VALUE"""),"FEM-24-17056-FEP-2024-84179-C-22548-2573
")</f>
        <v>FEM-24-17056-FEP-2024-84179-C-22548-2573
</v>
      </c>
      <c r="I2304" s="133"/>
      <c r="J2304" s="133"/>
      <c r="K2304" s="133"/>
      <c r="L2304" s="133"/>
      <c r="M2304" s="133"/>
      <c r="N2304" s="133"/>
      <c r="O2304" s="133"/>
      <c r="P2304" s="133"/>
      <c r="Q2304" s="133"/>
      <c r="R2304" s="133"/>
      <c r="S2304" s="133"/>
      <c r="T2304" s="133"/>
      <c r="U2304" s="133"/>
      <c r="V2304" s="133"/>
      <c r="W2304" s="133"/>
      <c r="X2304" s="133"/>
      <c r="Y2304" s="133"/>
      <c r="Z2304" s="133"/>
    </row>
    <row r="2305">
      <c r="A2305" s="133"/>
      <c r="B2305" s="133"/>
      <c r="C2305" s="133" t="str">
        <f>IFERROR(__xludf.DUMMYFUNCTION("""COMPUTED_VALUE"""),"2024-406575")</f>
        <v>2024-406575</v>
      </c>
      <c r="D2305" s="133"/>
      <c r="E2305" s="133" t="str">
        <f>IFERROR(__xludf.DUMMYFUNCTION("""COMPUTED_VALUE"""),"مكتمل")</f>
        <v>مكتمل</v>
      </c>
      <c r="F2305" s="133" t="str">
        <f>IFERROR(__xludf.DUMMYFUNCTION("""COMPUTED_VALUE"""),"Josera Meat Hearts Beef 70g")</f>
        <v>Josera Meat Hearts Beef 70g</v>
      </c>
      <c r="G2305" s="133" t="str">
        <f>IFERROR(__xludf.DUMMYFUNCTION("""COMPUTED_VALUE"""),"جوسيرا ميت هارتس لحم بقري")</f>
        <v>جوسيرا ميت هارتس لحم بقري</v>
      </c>
      <c r="H2305" s="133" t="str">
        <f>IFERROR(__xludf.DUMMYFUNCTION("""COMPUTED_VALUE"""),"FEM-24-17057-FEP-2024-84180-C-22548-2572
")</f>
        <v>FEM-24-17057-FEP-2024-84180-C-22548-2572
</v>
      </c>
      <c r="I2305" s="133"/>
      <c r="J2305" s="133"/>
      <c r="K2305" s="133"/>
      <c r="L2305" s="133"/>
      <c r="M2305" s="133"/>
      <c r="N2305" s="133"/>
      <c r="O2305" s="133"/>
      <c r="P2305" s="133"/>
      <c r="Q2305" s="133"/>
      <c r="R2305" s="133"/>
      <c r="S2305" s="133"/>
      <c r="T2305" s="133"/>
      <c r="U2305" s="133"/>
      <c r="V2305" s="133"/>
      <c r="W2305" s="133"/>
      <c r="X2305" s="133"/>
      <c r="Y2305" s="133"/>
      <c r="Z2305" s="133"/>
    </row>
    <row r="2306">
      <c r="A2306" s="133"/>
      <c r="B2306" s="133"/>
      <c r="C2306" s="133" t="str">
        <f>IFERROR(__xludf.DUMMYFUNCTION("""COMPUTED_VALUE"""),"2024-406600")</f>
        <v>2024-406600</v>
      </c>
      <c r="D2306" s="133"/>
      <c r="E2306" s="133" t="str">
        <f>IFERROR(__xludf.DUMMYFUNCTION("""COMPUTED_VALUE"""),"مكتمل")</f>
        <v>مكتمل</v>
      </c>
      <c r="F2306" s="133" t="str">
        <f>IFERROR(__xludf.DUMMYFUNCTION("""COMPUTED_VALUE"""),"Josera Meat Hearts Chicken 70g")</f>
        <v>Josera Meat Hearts Chicken 70g</v>
      </c>
      <c r="G2306" s="133" t="str">
        <f>IFERROR(__xludf.DUMMYFUNCTION("""COMPUTED_VALUE"""),"جوسيرا ميت هارتس دجاج")</f>
        <v>جوسيرا ميت هارتس دجاج</v>
      </c>
      <c r="H2306" s="133" t="str">
        <f>IFERROR(__xludf.DUMMYFUNCTION("""COMPUTED_VALUE"""),"FEM-24-17058-FEP-2024-84181-C-22548-2569
")</f>
        <v>FEM-24-17058-FEP-2024-84181-C-22548-2569
</v>
      </c>
      <c r="I2306" s="133"/>
      <c r="J2306" s="133"/>
      <c r="K2306" s="133"/>
      <c r="L2306" s="133"/>
      <c r="M2306" s="133"/>
      <c r="N2306" s="133"/>
      <c r="O2306" s="133"/>
      <c r="P2306" s="133"/>
      <c r="Q2306" s="133"/>
      <c r="R2306" s="133"/>
      <c r="S2306" s="133"/>
      <c r="T2306" s="133"/>
      <c r="U2306" s="133"/>
      <c r="V2306" s="133"/>
      <c r="W2306" s="133"/>
      <c r="X2306" s="133"/>
      <c r="Y2306" s="133"/>
      <c r="Z2306" s="133"/>
    </row>
    <row r="2307">
      <c r="A2307" s="133"/>
      <c r="B2307" s="133"/>
      <c r="C2307" s="133" t="str">
        <f>IFERROR(__xludf.DUMMYFUNCTION("""COMPUTED_VALUE"""),"2024-406611")</f>
        <v>2024-406611</v>
      </c>
      <c r="D2307" s="133"/>
      <c r="E2307" s="133" t="str">
        <f>IFERROR(__xludf.DUMMYFUNCTION("""COMPUTED_VALUE"""),"مكتمل")</f>
        <v>مكتمل</v>
      </c>
      <c r="F2307" s="133" t="str">
        <f>IFERROR(__xludf.DUMMYFUNCTION("""COMPUTED_VALUE"""),"Josera Meat Hearts Turkey 70g")</f>
        <v>Josera Meat Hearts Turkey 70g</v>
      </c>
      <c r="G2307" s="133" t="str">
        <f>IFERROR(__xludf.DUMMYFUNCTION("""COMPUTED_VALUE"""),"جوسيرا ميت هارتس الديك الرومي")</f>
        <v>جوسيرا ميت هارتس الديك الرومي</v>
      </c>
      <c r="H2307" s="133" t="str">
        <f>IFERROR(__xludf.DUMMYFUNCTION("""COMPUTED_VALUE"""),"FEM-24-17059-FEP-2024-84184-C-22548-2571
")</f>
        <v>FEM-24-17059-FEP-2024-84184-C-22548-2571
</v>
      </c>
      <c r="I2307" s="133"/>
      <c r="J2307" s="133"/>
      <c r="K2307" s="133"/>
      <c r="L2307" s="133"/>
      <c r="M2307" s="133"/>
      <c r="N2307" s="133"/>
      <c r="O2307" s="133"/>
      <c r="P2307" s="133"/>
      <c r="Q2307" s="133"/>
      <c r="R2307" s="133"/>
      <c r="S2307" s="133"/>
      <c r="T2307" s="133"/>
      <c r="U2307" s="133"/>
      <c r="V2307" s="133"/>
      <c r="W2307" s="133"/>
      <c r="X2307" s="133"/>
      <c r="Y2307" s="133"/>
      <c r="Z2307" s="133"/>
    </row>
    <row r="2308">
      <c r="A2308" s="133"/>
      <c r="B2308" s="133"/>
      <c r="C2308" s="133" t="str">
        <f>IFERROR(__xludf.DUMMYFUNCTION("""COMPUTED_VALUE"""),"2024-404647")</f>
        <v>2024-404647</v>
      </c>
      <c r="D2308" s="133"/>
      <c r="E2308" s="133" t="str">
        <f>IFERROR(__xludf.DUMMYFUNCTION("""COMPUTED_VALUE"""),"مكتمل")</f>
        <v>مكتمل</v>
      </c>
      <c r="F2308" s="133" t="str">
        <f>IFERROR(__xludf.DUMMYFUNCTION("""COMPUTED_VALUE"""),"JosiCat Meat Sticks Beef Lamb 20 x 35 g")</f>
        <v>JosiCat Meat Sticks Beef Lamb 20 x 35 g</v>
      </c>
      <c r="G2308" s="133" t="str">
        <f>IFERROR(__xludf.DUMMYFUNCTION("""COMPUTED_VALUE"""),"جوسي كات ميت ستيكس مع لحم البقر والضأن")</f>
        <v>جوسي كات ميت ستيكس مع لحم البقر والضأن</v>
      </c>
      <c r="H2308" s="133" t="str">
        <f>IFERROR(__xludf.DUMMYFUNCTION("""COMPUTED_VALUE"""),"FEM-24-17011-FEP-2024-84115-C-22548-2549
")</f>
        <v>FEM-24-17011-FEP-2024-84115-C-22548-2549
</v>
      </c>
      <c r="I2308" s="133"/>
      <c r="J2308" s="133"/>
      <c r="K2308" s="133"/>
      <c r="L2308" s="133"/>
      <c r="M2308" s="133"/>
      <c r="N2308" s="133"/>
      <c r="O2308" s="133"/>
      <c r="P2308" s="133"/>
      <c r="Q2308" s="133"/>
      <c r="R2308" s="133"/>
      <c r="S2308" s="133"/>
      <c r="T2308" s="133"/>
      <c r="U2308" s="133"/>
      <c r="V2308" s="133"/>
      <c r="W2308" s="133"/>
      <c r="X2308" s="133"/>
      <c r="Y2308" s="133"/>
      <c r="Z2308" s="133"/>
    </row>
    <row r="2309">
      <c r="A2309" s="133"/>
      <c r="B2309" s="133"/>
      <c r="C2309" s="133" t="str">
        <f>IFERROR(__xludf.DUMMYFUNCTION("""COMPUTED_VALUE"""),"2024-404683")</f>
        <v>2024-404683</v>
      </c>
      <c r="D2309" s="133"/>
      <c r="E2309" s="133" t="str">
        <f>IFERROR(__xludf.DUMMYFUNCTION("""COMPUTED_VALUE"""),"مكتمل")</f>
        <v>مكتمل</v>
      </c>
      <c r="F2309" s="133" t="str">
        <f>IFERROR(__xludf.DUMMYFUNCTION("""COMPUTED_VALUE"""),"JosiCat Meat Sticks Chicken &amp; Duck 20 x 35 g")</f>
        <v>JosiCat Meat Sticks Chicken &amp; Duck 20 x 35 g</v>
      </c>
      <c r="G2309" s="133" t="str">
        <f>IFERROR(__xludf.DUMMYFUNCTION("""COMPUTED_VALUE"""),"جوسي كات ميت ستيكس مع دجاج والبط")</f>
        <v>جوسي كات ميت ستيكس مع دجاج والبط</v>
      </c>
      <c r="H2309" s="133" t="str">
        <f>IFERROR(__xludf.DUMMYFUNCTION("""COMPUTED_VALUE"""),"FEM-24-17012-FEP-2024-84117-C-22548-2548
")</f>
        <v>FEM-24-17012-FEP-2024-84117-C-22548-2548
</v>
      </c>
      <c r="I2309" s="133"/>
      <c r="J2309" s="133"/>
      <c r="K2309" s="133"/>
      <c r="L2309" s="133"/>
      <c r="M2309" s="133"/>
      <c r="N2309" s="133"/>
      <c r="O2309" s="133"/>
      <c r="P2309" s="133"/>
      <c r="Q2309" s="133"/>
      <c r="R2309" s="133"/>
      <c r="S2309" s="133"/>
      <c r="T2309" s="133"/>
      <c r="U2309" s="133"/>
      <c r="V2309" s="133"/>
      <c r="W2309" s="133"/>
      <c r="X2309" s="133"/>
      <c r="Y2309" s="133"/>
      <c r="Z2309" s="133"/>
    </row>
    <row r="2310">
      <c r="A2310" s="133"/>
      <c r="B2310" s="133"/>
      <c r="C2310" s="133" t="str">
        <f>IFERROR(__xludf.DUMMYFUNCTION("""COMPUTED_VALUE"""),"2024-404692")</f>
        <v>2024-404692</v>
      </c>
      <c r="D2310" s="133"/>
      <c r="E2310" s="133" t="str">
        <f>IFERROR(__xludf.DUMMYFUNCTION("""COMPUTED_VALUE"""),"مكتمل")</f>
        <v>مكتمل</v>
      </c>
      <c r="F2310" s="133" t="str">
        <f>IFERROR(__xludf.DUMMYFUNCTION("""COMPUTED_VALUE"""),"JosiCat Meat Sticks Salmon &amp; Trout 20 x 35 g")</f>
        <v>JosiCat Meat Sticks Salmon &amp; Trout 20 x 35 g</v>
      </c>
      <c r="G2310" s="133" t="str">
        <f>IFERROR(__xludf.DUMMYFUNCTION("""COMPUTED_VALUE"""),"جوسي كات ميت ستيكس مع سلمون والسمك المرقط")</f>
        <v>جوسي كات ميت ستيكس مع سلمون والسمك المرقط</v>
      </c>
      <c r="H2310" s="133" t="str">
        <f>IFERROR(__xludf.DUMMYFUNCTION("""COMPUTED_VALUE"""),"FEM-24-17013-FEP-2024-84118-C-22548-2544
")</f>
        <v>FEM-24-17013-FEP-2024-84118-C-22548-2544
</v>
      </c>
      <c r="I2310" s="133"/>
      <c r="J2310" s="133"/>
      <c r="K2310" s="133"/>
      <c r="L2310" s="133"/>
      <c r="M2310" s="133"/>
      <c r="N2310" s="133"/>
      <c r="O2310" s="133"/>
      <c r="P2310" s="133"/>
      <c r="Q2310" s="133"/>
      <c r="R2310" s="133"/>
      <c r="S2310" s="133"/>
      <c r="T2310" s="133"/>
      <c r="U2310" s="133"/>
      <c r="V2310" s="133"/>
      <c r="W2310" s="133"/>
      <c r="X2310" s="133"/>
      <c r="Y2310" s="133"/>
      <c r="Z2310" s="133"/>
    </row>
    <row r="2311">
      <c r="A2311" s="133"/>
      <c r="B2311" s="133"/>
      <c r="C2311" s="133" t="str">
        <f>IFERROR(__xludf.DUMMYFUNCTION("""COMPUTED_VALUE"""),"2024-404707")</f>
        <v>2024-404707</v>
      </c>
      <c r="D2311" s="133"/>
      <c r="E2311" s="133" t="str">
        <f>IFERROR(__xludf.DUMMYFUNCTION("""COMPUTED_VALUE"""),"مكتمل")</f>
        <v>مكتمل</v>
      </c>
      <c r="F2311" s="133" t="str">
        <f>IFERROR(__xludf.DUMMYFUNCTION("""COMPUTED_VALUE"""),"JosiDog Meat Sticks Beef20 x 33 g")</f>
        <v>JosiDog Meat Sticks Beef20 x 33 g</v>
      </c>
      <c r="G2311" s="133" t="str">
        <f>IFERROR(__xludf.DUMMYFUNCTION("""COMPUTED_VALUE"""),"جوسي دوج ميت ستيكس مع اللحم البقري")</f>
        <v>جوسي دوج ميت ستيكس مع اللحم البقري</v>
      </c>
      <c r="H2311" s="133" t="str">
        <f>IFERROR(__xludf.DUMMYFUNCTION("""COMPUTED_VALUE"""),"FEM-24-17014-FEP-2024-84119-C-22548-2545
")</f>
        <v>FEM-24-17014-FEP-2024-84119-C-22548-2545
</v>
      </c>
      <c r="I2311" s="133"/>
      <c r="J2311" s="133"/>
      <c r="K2311" s="133"/>
      <c r="L2311" s="133"/>
      <c r="M2311" s="133"/>
      <c r="N2311" s="133"/>
      <c r="O2311" s="133"/>
      <c r="P2311" s="133"/>
      <c r="Q2311" s="133"/>
      <c r="R2311" s="133"/>
      <c r="S2311" s="133"/>
      <c r="T2311" s="133"/>
      <c r="U2311" s="133"/>
      <c r="V2311" s="133"/>
      <c r="W2311" s="133"/>
      <c r="X2311" s="133"/>
      <c r="Y2311" s="133"/>
      <c r="Z2311" s="133"/>
    </row>
    <row r="2312">
      <c r="A2312" s="133"/>
      <c r="B2312" s="133"/>
      <c r="C2312" s="133" t="str">
        <f>IFERROR(__xludf.DUMMYFUNCTION("""COMPUTED_VALUE"""),"2024-404720")</f>
        <v>2024-404720</v>
      </c>
      <c r="D2312" s="133"/>
      <c r="E2312" s="133" t="str">
        <f>IFERROR(__xludf.DUMMYFUNCTION("""COMPUTED_VALUE"""),"مكتمل")</f>
        <v>مكتمل</v>
      </c>
      <c r="F2312" s="133" t="str">
        <f>IFERROR(__xludf.DUMMYFUNCTION("""COMPUTED_VALUE"""),"JosiDog Meat Sticks lamb")</f>
        <v>JosiDog Meat Sticks lamb</v>
      </c>
      <c r="G2312" s="133" t="str">
        <f>IFERROR(__xludf.DUMMYFUNCTION("""COMPUTED_VALUE"""),"جوسي دوج ميت ستيكس مع الحم الضأن")</f>
        <v>جوسي دوج ميت ستيكس مع الحم الضأن</v>
      </c>
      <c r="H2312" s="133" t="str">
        <f>IFERROR(__xludf.DUMMYFUNCTION("""COMPUTED_VALUE"""),"FEM-24-17015-FEP-2024-84356-C-22548-2611
")</f>
        <v>FEM-24-17015-FEP-2024-84356-C-22548-2611
</v>
      </c>
      <c r="I2312" s="133"/>
      <c r="J2312" s="133"/>
      <c r="K2312" s="133"/>
      <c r="L2312" s="133"/>
      <c r="M2312" s="133"/>
      <c r="N2312" s="133"/>
      <c r="O2312" s="133"/>
      <c r="P2312" s="133"/>
      <c r="Q2312" s="133"/>
      <c r="R2312" s="133"/>
      <c r="S2312" s="133"/>
      <c r="T2312" s="133"/>
      <c r="U2312" s="133"/>
      <c r="V2312" s="133"/>
      <c r="W2312" s="133"/>
      <c r="X2312" s="133"/>
      <c r="Y2312" s="133"/>
      <c r="Z2312" s="133"/>
    </row>
    <row r="2313">
      <c r="A2313" s="133"/>
      <c r="B2313" s="133"/>
      <c r="C2313" s="133" t="str">
        <f>IFERROR(__xludf.DUMMYFUNCTION("""COMPUTED_VALUE"""),"2024-404728")</f>
        <v>2024-404728</v>
      </c>
      <c r="D2313" s="133"/>
      <c r="E2313" s="133" t="str">
        <f>IFERROR(__xludf.DUMMYFUNCTION("""COMPUTED_VALUE"""),"مكتمل")</f>
        <v>مكتمل</v>
      </c>
      <c r="F2313" s="133" t="str">
        <f>IFERROR(__xludf.DUMMYFUNCTION("""COMPUTED_VALUE"""),"JosiDog Meat Sticks Chicken 20 x 33 g")</f>
        <v>JosiDog Meat Sticks Chicken 20 x 33 g</v>
      </c>
      <c r="G2313" s="133" t="str">
        <f>IFERROR(__xludf.DUMMYFUNCTION("""COMPUTED_VALUE"""),"جوسي دوج ميت ستيكس مع الدجاج")</f>
        <v>جوسي دوج ميت ستيكس مع الدجاج</v>
      </c>
      <c r="H2313" s="133" t="str">
        <f>IFERROR(__xludf.DUMMYFUNCTION("""COMPUTED_VALUE"""),"FEM-24-17017-FEP-2024-84123-C-22548-2540
")</f>
        <v>FEM-24-17017-FEP-2024-84123-C-22548-2540
</v>
      </c>
      <c r="I2313" s="133"/>
      <c r="J2313" s="133"/>
      <c r="K2313" s="133"/>
      <c r="L2313" s="133"/>
      <c r="M2313" s="133"/>
      <c r="N2313" s="133"/>
      <c r="O2313" s="133"/>
      <c r="P2313" s="133"/>
      <c r="Q2313" s="133"/>
      <c r="R2313" s="133"/>
      <c r="S2313" s="133"/>
      <c r="T2313" s="133"/>
      <c r="U2313" s="133"/>
      <c r="V2313" s="133"/>
      <c r="W2313" s="133"/>
      <c r="X2313" s="133"/>
      <c r="Y2313" s="133"/>
      <c r="Z2313" s="133"/>
    </row>
    <row r="2314">
      <c r="A2314" s="133"/>
      <c r="B2314" s="133"/>
      <c r="C2314" s="133" t="str">
        <f>IFERROR(__xludf.DUMMYFUNCTION("""COMPUTED_VALUE"""),"2025-5525")</f>
        <v>2025-5525</v>
      </c>
      <c r="D2314" s="133"/>
      <c r="E2314" s="133" t="str">
        <f>IFERROR(__xludf.DUMMYFUNCTION("""COMPUTED_VALUE"""),"رفض")</f>
        <v>رفض</v>
      </c>
      <c r="F2314" s="133" t="str">
        <f>IFERROR(__xludf.DUMMYFUNCTION("""COMPUTED_VALUE"""),"WEL DD CORE SB 1.5 (3 items) hlthy ocean original  ")</f>
        <v>WEL DD CORE SB 1.5 (3 items) hlthy ocean original  </v>
      </c>
      <c r="G2314" s="133"/>
      <c r="H2314" s="133"/>
      <c r="I2314" s="133"/>
      <c r="J2314" s="133"/>
      <c r="K2314" s="133"/>
      <c r="L2314" s="133"/>
      <c r="M2314" s="133"/>
      <c r="N2314" s="133"/>
      <c r="O2314" s="133"/>
      <c r="P2314" s="133"/>
      <c r="Q2314" s="133"/>
      <c r="R2314" s="133"/>
      <c r="S2314" s="133"/>
      <c r="T2314" s="133"/>
      <c r="U2314" s="133"/>
      <c r="V2314" s="133"/>
      <c r="W2314" s="133"/>
      <c r="X2314" s="133"/>
      <c r="Y2314" s="133"/>
      <c r="Z2314" s="133"/>
    </row>
    <row r="2315">
      <c r="A2315" s="133"/>
      <c r="B2315" s="133"/>
      <c r="C2315" s="133"/>
      <c r="D2315" s="133"/>
      <c r="E2315" s="133"/>
      <c r="F2315" s="133" t="str">
        <f>IFERROR(__xludf.DUMMYFUNCTION("""COMPUTED_VALUE"""),"WEL DD CORE SB 5 ( 3 items) adult original , adult ocean , low fat ")</f>
        <v>WEL DD CORE SB 5 ( 3 items) adult original , adult ocean , low fat </v>
      </c>
      <c r="G2315" s="133"/>
      <c r="H2315" s="133"/>
      <c r="I2315" s="133"/>
      <c r="J2315" s="133"/>
      <c r="K2315" s="133"/>
      <c r="L2315" s="133"/>
      <c r="M2315" s="133"/>
      <c r="N2315" s="133"/>
      <c r="O2315" s="133"/>
      <c r="P2315" s="133"/>
      <c r="Q2315" s="133"/>
      <c r="R2315" s="133"/>
      <c r="S2315" s="133"/>
      <c r="T2315" s="133"/>
      <c r="U2315" s="133"/>
      <c r="V2315" s="133"/>
      <c r="W2315" s="133"/>
      <c r="X2315" s="133"/>
      <c r="Y2315" s="133"/>
      <c r="Z2315" s="133"/>
    </row>
    <row r="2316">
      <c r="A2316" s="133"/>
      <c r="B2316" s="133"/>
      <c r="C2316" s="133" t="str">
        <f>IFERROR(__xludf.DUMMYFUNCTION("""COMPUTED_VALUE"""),"2025-5708")</f>
        <v>2025-5708</v>
      </c>
      <c r="D2316" s="133"/>
      <c r="E2316" s="133" t="str">
        <f>IFERROR(__xludf.DUMMYFUNCTION("""COMPUTED_VALUE"""),"رفض")</f>
        <v>رفض</v>
      </c>
      <c r="F2316" s="133" t="str">
        <f>IFERROR(__xludf.DUMMYFUNCTION("""COMPUTED_VALUE"""),"WEL DD CORE LB 2.75 10kg 10 kg puppy , puppy , original")</f>
        <v>WEL DD CORE LB 2.75 10kg 10 kg puppy , puppy , original</v>
      </c>
      <c r="G2316" s="133"/>
      <c r="H2316" s="133"/>
      <c r="I2316" s="133"/>
      <c r="J2316" s="133"/>
      <c r="K2316" s="133"/>
      <c r="L2316" s="133"/>
      <c r="M2316" s="133"/>
      <c r="N2316" s="133"/>
      <c r="O2316" s="133"/>
      <c r="P2316" s="133"/>
      <c r="Q2316" s="133"/>
      <c r="R2316" s="133"/>
      <c r="S2316" s="133"/>
      <c r="T2316" s="133"/>
      <c r="U2316" s="133"/>
      <c r="V2316" s="133"/>
      <c r="W2316" s="133"/>
      <c r="X2316" s="133"/>
      <c r="Y2316" s="133"/>
      <c r="Z2316" s="133"/>
    </row>
    <row r="2317">
      <c r="A2317" s="133"/>
      <c r="B2317" s="133"/>
      <c r="C2317" s="133"/>
      <c r="D2317" s="133"/>
      <c r="E2317" s="133"/>
      <c r="F2317" s="133"/>
      <c r="G2317" s="133"/>
      <c r="H2317" s="133"/>
      <c r="I2317" s="133"/>
      <c r="J2317" s="133"/>
      <c r="K2317" s="133"/>
      <c r="L2317" s="133"/>
      <c r="M2317" s="133"/>
      <c r="N2317" s="133"/>
      <c r="O2317" s="133"/>
      <c r="P2317" s="133"/>
      <c r="Q2317" s="133"/>
      <c r="R2317" s="133"/>
      <c r="S2317" s="133"/>
      <c r="T2317" s="133"/>
      <c r="U2317" s="133"/>
      <c r="V2317" s="133"/>
      <c r="W2317" s="133"/>
      <c r="X2317" s="133"/>
      <c r="Y2317" s="133"/>
      <c r="Z2317" s="133"/>
    </row>
    <row r="2318">
      <c r="A2318" s="133"/>
      <c r="B2318" s="133"/>
      <c r="C2318" s="133"/>
      <c r="D2318" s="133"/>
      <c r="E2318" s="133"/>
      <c r="F2318" s="133"/>
      <c r="G2318" s="133"/>
      <c r="H2318" s="133"/>
      <c r="I2318" s="133"/>
      <c r="J2318" s="133"/>
      <c r="K2318" s="133"/>
      <c r="L2318" s="133"/>
      <c r="M2318" s="133"/>
      <c r="N2318" s="133"/>
      <c r="O2318" s="133"/>
      <c r="P2318" s="133"/>
      <c r="Q2318" s="133"/>
      <c r="R2318" s="133"/>
      <c r="S2318" s="133"/>
      <c r="T2318" s="133"/>
      <c r="U2318" s="133"/>
      <c r="V2318" s="133"/>
      <c r="W2318" s="133"/>
      <c r="X2318" s="133"/>
      <c r="Y2318" s="133"/>
      <c r="Z2318" s="133"/>
    </row>
    <row r="2319">
      <c r="A2319" s="133"/>
      <c r="B2319" s="133"/>
      <c r="C2319" s="133" t="str">
        <f>IFERROR(__xludf.DUMMYFUNCTION("""COMPUTED_VALUE"""),"2025-5747")</f>
        <v>2025-5747</v>
      </c>
      <c r="D2319" s="133"/>
      <c r="E2319" s="133" t="str">
        <f>IFERROR(__xludf.DUMMYFUNCTION("""COMPUTED_VALUE"""),"مكتمل ")</f>
        <v>مكتمل </v>
      </c>
      <c r="F2319" s="133" t="str">
        <f>IFERROR(__xludf.DUMMYFUNCTION("""COMPUTED_VALUE"""),"WEL DD CORE PUPPY 1.5 KG 10 KG")</f>
        <v>WEL DD CORE PUPPY 1.5 KG 10 KG</v>
      </c>
      <c r="G2319" s="133"/>
      <c r="H2319" s="133" t="str">
        <f>IFERROR(__xludf.DUMMYFUNCTION("""COMPUTED_VALUE"""),"FEM-25-0107-FEP-2025-0116-C-22548-0172")</f>
        <v>FEM-25-0107-FEP-2025-0116-C-22548-0172</v>
      </c>
      <c r="I2319" s="133"/>
      <c r="J2319" s="133"/>
      <c r="K2319" s="133"/>
      <c r="L2319" s="133"/>
      <c r="M2319" s="133"/>
      <c r="N2319" s="133"/>
      <c r="O2319" s="133"/>
      <c r="P2319" s="133"/>
      <c r="Q2319" s="133"/>
      <c r="R2319" s="133"/>
      <c r="S2319" s="133"/>
      <c r="T2319" s="133"/>
      <c r="U2319" s="133"/>
      <c r="V2319" s="133"/>
      <c r="W2319" s="133"/>
      <c r="X2319" s="133"/>
      <c r="Y2319" s="133"/>
      <c r="Z2319" s="133"/>
    </row>
    <row r="2320">
      <c r="A2320" s="133"/>
      <c r="B2320" s="133"/>
      <c r="C2320" s="133"/>
      <c r="D2320" s="133"/>
      <c r="E2320" s="133"/>
      <c r="F2320" s="133"/>
      <c r="G2320" s="133"/>
      <c r="H2320" s="133" t="str">
        <f>IFERROR(__xludf.DUMMYFUNCTION("""COMPUTED_VALUE"""),"FEM-25-0107-FEP-2025-0116-C-22548-0172")</f>
        <v>FEM-25-0107-FEP-2025-0116-C-22548-0172</v>
      </c>
      <c r="I2320" s="133"/>
      <c r="J2320" s="133"/>
      <c r="K2320" s="133"/>
      <c r="L2320" s="133"/>
      <c r="M2320" s="133"/>
      <c r="N2320" s="133"/>
      <c r="O2320" s="133"/>
      <c r="P2320" s="133"/>
      <c r="Q2320" s="133"/>
      <c r="R2320" s="133"/>
      <c r="S2320" s="133"/>
      <c r="T2320" s="133"/>
      <c r="U2320" s="133"/>
      <c r="V2320" s="133"/>
      <c r="W2320" s="133"/>
      <c r="X2320" s="133"/>
      <c r="Y2320" s="133"/>
      <c r="Z2320" s="133"/>
    </row>
    <row r="2321">
      <c r="A2321" s="133"/>
      <c r="B2321" s="133"/>
      <c r="C2321" s="133" t="str">
        <f>IFERROR(__xludf.DUMMYFUNCTION("""COMPUTED_VALUE"""),"2025-5766")</f>
        <v>2025-5766</v>
      </c>
      <c r="D2321" s="133"/>
      <c r="E2321" s="133" t="str">
        <f>IFERROR(__xludf.DUMMYFUNCTION("""COMPUTED_VALUE"""),"مكتمل ")</f>
        <v>مكتمل </v>
      </c>
      <c r="F2321" s="133" t="str">
        <f>IFERROR(__xludf.DUMMYFUNCTION("""COMPUTED_VALUE"""),"WEL DD CORE OCEAN 1.8 &amp; 10 KG")</f>
        <v>WEL DD CORE OCEAN 1.8 &amp; 10 KG</v>
      </c>
      <c r="G2321" s="133"/>
      <c r="H2321" s="133" t="str">
        <f>IFERROR(__xludf.DUMMYFUNCTION("""COMPUTED_VALUE"""),"FEM-25-0108-FEP-2025-0117-C-22548-0169")</f>
        <v>FEM-25-0108-FEP-2025-0117-C-22548-0169</v>
      </c>
      <c r="I2321" s="133"/>
      <c r="J2321" s="133"/>
      <c r="K2321" s="133"/>
      <c r="L2321" s="133"/>
      <c r="M2321" s="133"/>
      <c r="N2321" s="133"/>
      <c r="O2321" s="133"/>
      <c r="P2321" s="133"/>
      <c r="Q2321" s="133"/>
      <c r="R2321" s="133"/>
      <c r="S2321" s="133"/>
      <c r="T2321" s="133"/>
      <c r="U2321" s="133"/>
      <c r="V2321" s="133"/>
      <c r="W2321" s="133"/>
      <c r="X2321" s="133"/>
      <c r="Y2321" s="133"/>
      <c r="Z2321" s="133"/>
    </row>
    <row r="2322">
      <c r="A2322" s="133"/>
      <c r="B2322" s="133"/>
      <c r="C2322" s="133"/>
      <c r="D2322" s="133"/>
      <c r="E2322" s="133"/>
      <c r="F2322" s="133"/>
      <c r="G2322" s="133"/>
      <c r="H2322" s="133" t="str">
        <f>IFERROR(__xludf.DUMMYFUNCTION("""COMPUTED_VALUE"""),"FEM-25-0108-FEP-2025-0117-C-22548-0169")</f>
        <v>FEM-25-0108-FEP-2025-0117-C-22548-0169</v>
      </c>
      <c r="I2322" s="133"/>
      <c r="J2322" s="133"/>
      <c r="K2322" s="133"/>
      <c r="L2322" s="133"/>
      <c r="M2322" s="133"/>
      <c r="N2322" s="133"/>
      <c r="O2322" s="133"/>
      <c r="P2322" s="133"/>
      <c r="Q2322" s="133"/>
      <c r="R2322" s="133"/>
      <c r="S2322" s="133"/>
      <c r="T2322" s="133"/>
      <c r="U2322" s="133"/>
      <c r="V2322" s="133"/>
      <c r="W2322" s="133"/>
      <c r="X2322" s="133"/>
      <c r="Y2322" s="133"/>
      <c r="Z2322" s="133"/>
    </row>
    <row r="2323">
      <c r="A2323" s="133"/>
      <c r="B2323" s="133"/>
      <c r="C2323" s="133" t="str">
        <f>IFERROR(__xludf.DUMMYFUNCTION("""COMPUTED_VALUE"""),"2025-5811")</f>
        <v>2025-5811</v>
      </c>
      <c r="D2323" s="133"/>
      <c r="E2323" s="133" t="str">
        <f>IFERROR(__xludf.DUMMYFUNCTION("""COMPUTED_VALUE"""),"مكتمل ")</f>
        <v>مكتمل </v>
      </c>
      <c r="F2323" s="133" t="str">
        <f>IFERROR(__xludf.DUMMYFUNCTION("""COMPUTED_VALUE"""),"WEL DD CORE SENIOR ORIGINAL 1.8 &amp; 10KG")</f>
        <v>WEL DD CORE SENIOR ORIGINAL 1.8 &amp; 10KG</v>
      </c>
      <c r="G2323" s="133"/>
      <c r="H2323" s="133" t="str">
        <f>IFERROR(__xludf.DUMMYFUNCTION("""COMPUTED_VALUE"""),"FEM-25-0109-FEP-2025-0118-C-22548-0170")</f>
        <v>FEM-25-0109-FEP-2025-0118-C-22548-0170</v>
      </c>
      <c r="I2323" s="133"/>
      <c r="J2323" s="133"/>
      <c r="K2323" s="133"/>
      <c r="L2323" s="133"/>
      <c r="M2323" s="133"/>
      <c r="N2323" s="133"/>
      <c r="O2323" s="133"/>
      <c r="P2323" s="133"/>
      <c r="Q2323" s="133"/>
      <c r="R2323" s="133"/>
      <c r="S2323" s="133"/>
      <c r="T2323" s="133"/>
      <c r="U2323" s="133"/>
      <c r="V2323" s="133"/>
      <c r="W2323" s="133"/>
      <c r="X2323" s="133"/>
      <c r="Y2323" s="133"/>
      <c r="Z2323" s="133"/>
    </row>
    <row r="2324">
      <c r="A2324" s="133"/>
      <c r="B2324" s="133"/>
      <c r="C2324" s="133"/>
      <c r="D2324" s="133"/>
      <c r="E2324" s="133"/>
      <c r="F2324" s="133"/>
      <c r="G2324" s="133"/>
      <c r="H2324" s="133" t="str">
        <f>IFERROR(__xludf.DUMMYFUNCTION("""COMPUTED_VALUE"""),"FEM-25-0109-FEP-2025-0118-C-22548-0170")</f>
        <v>FEM-25-0109-FEP-2025-0118-C-22548-0170</v>
      </c>
      <c r="I2324" s="133"/>
      <c r="J2324" s="133"/>
      <c r="K2324" s="133"/>
      <c r="L2324" s="133"/>
      <c r="M2324" s="133"/>
      <c r="N2324" s="133"/>
      <c r="O2324" s="133"/>
      <c r="P2324" s="133"/>
      <c r="Q2324" s="133"/>
      <c r="R2324" s="133"/>
      <c r="S2324" s="133"/>
      <c r="T2324" s="133"/>
      <c r="U2324" s="133"/>
      <c r="V2324" s="133"/>
      <c r="W2324" s="133"/>
      <c r="X2324" s="133"/>
      <c r="Y2324" s="133"/>
      <c r="Z2324" s="133"/>
    </row>
    <row r="2325">
      <c r="A2325" s="133"/>
      <c r="B2325" s="133"/>
      <c r="C2325" s="133" t="str">
        <f>IFERROR(__xludf.DUMMYFUNCTION("""COMPUTED_VALUE"""),"2025-6358")</f>
        <v>2025-6358</v>
      </c>
      <c r="D2325" s="133"/>
      <c r="E2325" s="133" t="str">
        <f>IFERROR(__xludf.DUMMYFUNCTION("""COMPUTED_VALUE"""),"مكتمل ")</f>
        <v>مكتمل </v>
      </c>
      <c r="F2325" s="133" t="str">
        <f>IFERROR(__xludf.DUMMYFUNCTION("""COMPUTED_VALUE"""),"WEL DD CORE healthy weight 1.8 &amp; 10 KG")</f>
        <v>WEL DD CORE healthy weight 1.8 &amp; 10 KG</v>
      </c>
      <c r="G2325" s="133"/>
      <c r="H2325" s="133"/>
      <c r="I2325" s="133"/>
      <c r="J2325" s="133"/>
      <c r="K2325" s="133"/>
      <c r="L2325" s="133"/>
      <c r="M2325" s="133"/>
      <c r="N2325" s="133"/>
      <c r="O2325" s="133"/>
      <c r="P2325" s="133"/>
      <c r="Q2325" s="133"/>
      <c r="R2325" s="133"/>
      <c r="S2325" s="133"/>
      <c r="T2325" s="133"/>
      <c r="U2325" s="133"/>
      <c r="V2325" s="133"/>
      <c r="W2325" s="133"/>
      <c r="X2325" s="133"/>
      <c r="Y2325" s="133"/>
      <c r="Z2325" s="133"/>
    </row>
    <row r="2326">
      <c r="A2326" s="133"/>
      <c r="B2326" s="133"/>
      <c r="C2326" s="133"/>
      <c r="D2326" s="133"/>
      <c r="E2326" s="133"/>
      <c r="F2326" s="133"/>
      <c r="G2326" s="133"/>
      <c r="H2326" s="133"/>
      <c r="I2326" s="133"/>
      <c r="J2326" s="133"/>
      <c r="K2326" s="133"/>
      <c r="L2326" s="133"/>
      <c r="M2326" s="133"/>
      <c r="N2326" s="133"/>
      <c r="O2326" s="133"/>
      <c r="P2326" s="133"/>
      <c r="Q2326" s="133"/>
      <c r="R2326" s="133"/>
      <c r="S2326" s="133"/>
      <c r="T2326" s="133"/>
      <c r="U2326" s="133"/>
      <c r="V2326" s="133"/>
      <c r="W2326" s="133"/>
      <c r="X2326" s="133"/>
      <c r="Y2326" s="133"/>
      <c r="Z2326" s="133"/>
    </row>
    <row r="2327">
      <c r="A2327" s="133"/>
      <c r="B2327" s="133"/>
      <c r="C2327" s="133" t="str">
        <f>IFERROR(__xludf.DUMMYFUNCTION("""COMPUTED_VALUE"""),"2025-6385")</f>
        <v>2025-6385</v>
      </c>
      <c r="D2327" s="133"/>
      <c r="E2327" s="133" t="str">
        <f>IFERROR(__xludf.DUMMYFUNCTION("""COMPUTED_VALUE"""),"مكتمل")</f>
        <v>مكتمل</v>
      </c>
      <c r="F2327" s="133" t="str">
        <f>IFERROR(__xludf.DUMMYFUNCTION("""COMPUTED_VALUE"""),"WEL DD ACTIVE LIFE 10KG")</f>
        <v>WEL DD ACTIVE LIFE 10KG</v>
      </c>
      <c r="G2327" s="133"/>
      <c r="H2327" s="133" t="str">
        <f>IFERROR(__xludf.DUMMYFUNCTION("""COMPUTED_VALUE"""),"FEM-25-0119-FEP-2025-0132-C-22548-0195
")</f>
        <v>FEM-25-0119-FEP-2025-0132-C-22548-0195
</v>
      </c>
      <c r="I2327" s="133"/>
      <c r="J2327" s="133"/>
      <c r="K2327" s="133"/>
      <c r="L2327" s="133"/>
      <c r="M2327" s="133"/>
      <c r="N2327" s="133"/>
      <c r="O2327" s="133"/>
      <c r="P2327" s="133"/>
      <c r="Q2327" s="133"/>
      <c r="R2327" s="133"/>
      <c r="S2327" s="133"/>
      <c r="T2327" s="133"/>
      <c r="U2327" s="133"/>
      <c r="V2327" s="133"/>
      <c r="W2327" s="133"/>
      <c r="X2327" s="133"/>
      <c r="Y2327" s="133"/>
      <c r="Z2327" s="133"/>
    </row>
    <row r="2328">
      <c r="A2328" s="133"/>
      <c r="B2328" s="133"/>
      <c r="C2328" s="133" t="str">
        <f>IFERROR(__xludf.DUMMYFUNCTION("""COMPUTED_VALUE"""),"2025-8163")</f>
        <v>2025-8163</v>
      </c>
      <c r="D2328" s="133"/>
      <c r="E2328" s="133" t="str">
        <f>IFERROR(__xludf.DUMMYFUNCTION("""COMPUTED_VALUE"""),"رفض")</f>
        <v>رفض</v>
      </c>
      <c r="F2328" s="133" t="str">
        <f>IFERROR(__xludf.DUMMYFUNCTION("""COMPUTED_VALUE"""),"WEL DC CORE Sterilised ( original + ocean + origina; + ocean ) 300g 1.75kg 1.75kg 4 kg")</f>
        <v>WEL DC CORE Sterilised ( original + ocean + origina; + ocean ) 300g 1.75kg 1.75kg 4 kg</v>
      </c>
      <c r="G2328" s="133"/>
      <c r="H2328" s="133"/>
      <c r="I2328" s="133"/>
      <c r="J2328" s="133"/>
      <c r="K2328" s="133"/>
      <c r="L2328" s="133"/>
      <c r="M2328" s="133"/>
      <c r="N2328" s="133"/>
      <c r="O2328" s="133"/>
      <c r="P2328" s="133"/>
      <c r="Q2328" s="133"/>
      <c r="R2328" s="133"/>
      <c r="S2328" s="133"/>
      <c r="T2328" s="133"/>
      <c r="U2328" s="133"/>
      <c r="V2328" s="133"/>
      <c r="W2328" s="133"/>
      <c r="X2328" s="133"/>
      <c r="Y2328" s="133"/>
      <c r="Z2328" s="133"/>
    </row>
    <row r="2329">
      <c r="A2329" s="133"/>
      <c r="B2329" s="133"/>
      <c r="C2329" s="133" t="str">
        <f>IFERROR(__xludf.DUMMYFUNCTION("""COMPUTED_VALUE"""),"2025-116684")</f>
        <v>2025-116684</v>
      </c>
      <c r="D2329" s="133"/>
      <c r="E2329" s="133" t="str">
        <f>IFERROR(__xludf.DUMMYFUNCTION("""COMPUTED_VALUE"""),"مكتمل")</f>
        <v>مكتمل</v>
      </c>
      <c r="F2329" s="133" t="str">
        <f>IFERROR(__xludf.DUMMYFUNCTION("""COMPUTED_VALUE"""),"WEL DC CORE Sterilised ocean 300g/ 1.75kg ")</f>
        <v>WEL DC CORE Sterilised ocean 300g/ 1.75kg </v>
      </c>
      <c r="G2329" s="133"/>
      <c r="H2329" s="133"/>
      <c r="I2329" s="133"/>
      <c r="J2329" s="133"/>
      <c r="K2329" s="133"/>
      <c r="L2329" s="133"/>
      <c r="M2329" s="133"/>
      <c r="N2329" s="133"/>
      <c r="O2329" s="133"/>
      <c r="P2329" s="133"/>
      <c r="Q2329" s="133"/>
      <c r="R2329" s="133"/>
      <c r="S2329" s="133"/>
      <c r="T2329" s="133"/>
      <c r="U2329" s="133"/>
      <c r="V2329" s="133"/>
      <c r="W2329" s="133"/>
      <c r="X2329" s="133"/>
      <c r="Y2329" s="133"/>
      <c r="Z2329" s="133"/>
    </row>
    <row r="2330">
      <c r="A2330" s="133"/>
      <c r="B2330" s="133"/>
      <c r="C2330" s="133" t="str">
        <f>IFERROR(__xludf.DUMMYFUNCTION("""COMPUTED_VALUE"""),"2025-116850")</f>
        <v>2025-116850</v>
      </c>
      <c r="D2330" s="133"/>
      <c r="E2330" s="133" t="str">
        <f>IFERROR(__xludf.DUMMYFUNCTION("""COMPUTED_VALUE"""),"مكتمل")</f>
        <v>مكتمل</v>
      </c>
      <c r="F2330" s="133" t="str">
        <f>IFERROR(__xludf.DUMMYFUNCTION("""COMPUTED_VALUE"""),"WEL DC CORE Sterilised")</f>
        <v>WEL DC CORE Sterilised</v>
      </c>
      <c r="G2330" s="133"/>
      <c r="H2330" s="133"/>
      <c r="I2330" s="133"/>
      <c r="J2330" s="133"/>
      <c r="K2330" s="133"/>
      <c r="L2330" s="133"/>
      <c r="M2330" s="133"/>
      <c r="N2330" s="133"/>
      <c r="O2330" s="133"/>
      <c r="P2330" s="133"/>
      <c r="Q2330" s="133"/>
      <c r="R2330" s="133"/>
      <c r="S2330" s="133"/>
      <c r="T2330" s="133"/>
      <c r="U2330" s="133"/>
      <c r="V2330" s="133"/>
      <c r="W2330" s="133"/>
      <c r="X2330" s="133"/>
      <c r="Y2330" s="133"/>
      <c r="Z2330" s="133"/>
    </row>
    <row r="2331">
      <c r="A2331" s="133"/>
      <c r="B2331" s="133"/>
      <c r="C2331" s="133" t="str">
        <f>IFERROR(__xludf.DUMMYFUNCTION("""COMPUTED_VALUE"""),"2025-116961")</f>
        <v>2025-116961</v>
      </c>
      <c r="D2331" s="133"/>
      <c r="E2331" s="133" t="str">
        <f>IFERROR(__xludf.DUMMYFUNCTION("""COMPUTED_VALUE"""),"مكتمل")</f>
        <v>مكتمل</v>
      </c>
      <c r="F2331" s="133" t="str">
        <f>IFERROR(__xludf.DUMMYFUNCTION("""COMPUTED_VALUE"""),"WEL DC CORE original Sterilised")</f>
        <v>WEL DC CORE original Sterilised</v>
      </c>
      <c r="G2331" s="133"/>
      <c r="H2331" s="133"/>
      <c r="I2331" s="133"/>
      <c r="J2331" s="133"/>
      <c r="K2331" s="133"/>
      <c r="L2331" s="133"/>
      <c r="M2331" s="133"/>
      <c r="N2331" s="133"/>
      <c r="O2331" s="133"/>
      <c r="P2331" s="133"/>
      <c r="Q2331" s="133"/>
      <c r="R2331" s="133"/>
      <c r="S2331" s="133"/>
      <c r="T2331" s="133"/>
      <c r="U2331" s="133"/>
      <c r="V2331" s="133"/>
      <c r="W2331" s="133"/>
      <c r="X2331" s="133"/>
      <c r="Y2331" s="133"/>
      <c r="Z2331" s="133"/>
    </row>
    <row r="2332">
      <c r="A2332" s="133"/>
      <c r="B2332" s="133"/>
      <c r="C2332" s="133" t="str">
        <f>IFERROR(__xludf.DUMMYFUNCTION("""COMPUTED_VALUE"""),"2025-117932")</f>
        <v>2025-117932</v>
      </c>
      <c r="D2332" s="133"/>
      <c r="E2332" s="133" t="str">
        <f>IFERROR(__xludf.DUMMYFUNCTION("""COMPUTED_VALUE"""),"مكتمل")</f>
        <v>مكتمل</v>
      </c>
      <c r="F2332" s="133" t="str">
        <f>IFERROR(__xludf.DUMMYFUNCTION("""COMPUTED_VALUE"""),"WEL DC CORE  lamb 1.8kg , 10kg ")</f>
        <v>WEL DC CORE  lamb 1.8kg , 10kg </v>
      </c>
      <c r="G2332" s="133"/>
      <c r="H2332" s="133"/>
      <c r="I2332" s="133"/>
      <c r="J2332" s="133"/>
      <c r="K2332" s="133"/>
      <c r="L2332" s="133"/>
      <c r="M2332" s="133"/>
      <c r="N2332" s="133"/>
      <c r="O2332" s="133"/>
      <c r="P2332" s="133"/>
      <c r="Q2332" s="133"/>
      <c r="R2332" s="133"/>
      <c r="S2332" s="133"/>
      <c r="T2332" s="133"/>
      <c r="U2332" s="133"/>
      <c r="V2332" s="133"/>
      <c r="W2332" s="133"/>
      <c r="X2332" s="133"/>
      <c r="Y2332" s="133"/>
      <c r="Z2332" s="133"/>
    </row>
    <row r="2333">
      <c r="A2333" s="133"/>
      <c r="B2333" s="133"/>
      <c r="C2333" s="133" t="str">
        <f>IFERROR(__xludf.DUMMYFUNCTION("""COMPUTED_VALUE"""),"2025-8224")</f>
        <v>2025-8224</v>
      </c>
      <c r="D2333" s="133"/>
      <c r="E2333" s="133" t="str">
        <f>IFERROR(__xludf.DUMMYFUNCTION("""COMPUTED_VALUE"""),"مكتمل ")</f>
        <v>مكتمل </v>
      </c>
      <c r="F2333" s="133" t="str">
        <f>IFERROR(__xludf.DUMMYFUNCTION("""COMPUTED_VALUE"""),"WEL DC CORE Ocean 6/300g")</f>
        <v>WEL DC CORE Ocean 6/300g</v>
      </c>
      <c r="G2333" s="133"/>
      <c r="H2333" s="133" t="str">
        <f>IFERROR(__xludf.DUMMYFUNCTION("""COMPUTED_VALUE"""),"FEM-25-0153-FEP-2025-0147-C-22548-0232")</f>
        <v>FEM-25-0153-FEP-2025-0147-C-22548-0232</v>
      </c>
      <c r="I2333" s="133"/>
      <c r="J2333" s="133"/>
      <c r="K2333" s="133"/>
      <c r="L2333" s="133"/>
      <c r="M2333" s="133"/>
      <c r="N2333" s="133"/>
      <c r="O2333" s="133"/>
      <c r="P2333" s="133"/>
      <c r="Q2333" s="133"/>
      <c r="R2333" s="133"/>
      <c r="S2333" s="133"/>
      <c r="T2333" s="133"/>
      <c r="U2333" s="133"/>
      <c r="V2333" s="133"/>
      <c r="W2333" s="133"/>
      <c r="X2333" s="133"/>
      <c r="Y2333" s="133"/>
      <c r="Z2333" s="133"/>
    </row>
    <row r="2334">
      <c r="A2334" s="133"/>
      <c r="B2334" s="133"/>
      <c r="C2334" s="133" t="str">
        <f>IFERROR(__xludf.DUMMYFUNCTION("""COMPUTED_VALUE"""),"2025-8235")</f>
        <v>2025-8235</v>
      </c>
      <c r="D2334" s="133"/>
      <c r="E2334" s="133" t="str">
        <f>IFERROR(__xludf.DUMMYFUNCTION("""COMPUTED_VALUE"""),"مكتمل ")</f>
        <v>مكتمل </v>
      </c>
      <c r="F2334" s="133" t="str">
        <f>IFERROR(__xludf.DUMMYFUNCTION("""COMPUTED_VALUE"""),"WEL DC CORE Original 6/300g")</f>
        <v>WEL DC CORE Original 6/300g</v>
      </c>
      <c r="G2334" s="133"/>
      <c r="H2334" s="133" t="str">
        <f>IFERROR(__xludf.DUMMYFUNCTION("""COMPUTED_VALUE"""),"FEM-25-0154-FEP-2025-0149-C-22548-0215
")</f>
        <v>FEM-25-0154-FEP-2025-0149-C-22548-0215
</v>
      </c>
      <c r="I2334" s="133"/>
      <c r="J2334" s="133"/>
      <c r="K2334" s="133"/>
      <c r="L2334" s="133"/>
      <c r="M2334" s="133"/>
      <c r="N2334" s="133"/>
      <c r="O2334" s="133"/>
      <c r="P2334" s="133"/>
      <c r="Q2334" s="133"/>
      <c r="R2334" s="133"/>
      <c r="S2334" s="133"/>
      <c r="T2334" s="133"/>
      <c r="U2334" s="133"/>
      <c r="V2334" s="133"/>
      <c r="W2334" s="133"/>
      <c r="X2334" s="133"/>
      <c r="Y2334" s="133"/>
      <c r="Z2334" s="133"/>
    </row>
    <row r="2335">
      <c r="A2335" s="133"/>
      <c r="B2335" s="133"/>
      <c r="C2335" s="133" t="str">
        <f>IFERROR(__xludf.DUMMYFUNCTION("""COMPUTED_VALUE"""),"2025-8266")</f>
        <v>2025-8266</v>
      </c>
      <c r="D2335" s="133"/>
      <c r="E2335" s="133" t="str">
        <f>IFERROR(__xludf.DUMMYFUNCTION("""COMPUTED_VALUE"""),"مكتمل ")</f>
        <v>مكتمل </v>
      </c>
      <c r="F2335" s="133" t="str">
        <f>IFERROR(__xludf.DUMMYFUNCTION("""COMPUTED_VALUE"""),"WEL DC CORE Kitten 6/300g")</f>
        <v>WEL DC CORE Kitten 6/300g</v>
      </c>
      <c r="G2335" s="133"/>
      <c r="H2335" s="133" t="str">
        <f>IFERROR(__xludf.DUMMYFUNCTION("""COMPUTED_VALUE"""),"FEM-25-0157-FEP-2025-0151-C-22548-0214
")</f>
        <v>FEM-25-0157-FEP-2025-0151-C-22548-0214
</v>
      </c>
      <c r="I2335" s="133"/>
      <c r="J2335" s="133"/>
      <c r="K2335" s="133"/>
      <c r="L2335" s="133"/>
      <c r="M2335" s="133"/>
      <c r="N2335" s="133"/>
      <c r="O2335" s="133"/>
      <c r="P2335" s="133"/>
      <c r="Q2335" s="133"/>
      <c r="R2335" s="133"/>
      <c r="S2335" s="133"/>
      <c r="T2335" s="133"/>
      <c r="U2335" s="133"/>
      <c r="V2335" s="133"/>
      <c r="W2335" s="133"/>
      <c r="X2335" s="133"/>
      <c r="Y2335" s="133"/>
      <c r="Z2335" s="133"/>
    </row>
    <row r="2336">
      <c r="A2336" s="133"/>
      <c r="B2336" s="133"/>
      <c r="C2336" s="133" t="str">
        <f>IFERROR(__xludf.DUMMYFUNCTION("""COMPUTED_VALUE"""),"2025-8321")</f>
        <v>2025-8321</v>
      </c>
      <c r="D2336" s="133"/>
      <c r="E2336" s="133" t="str">
        <f>IFERROR(__xludf.DUMMYFUNCTION("""COMPUTED_VALUE"""),"مكتمل ")</f>
        <v>مكتمل </v>
      </c>
      <c r="F2336" s="133" t="str">
        <f>IFERROR(__xludf.DUMMYFUNCTION("""COMPUTED_VALUE"""),"WEL DC CORE Adult OriginaL (1.75KG +4 KG )")</f>
        <v>WEL DC CORE Adult OriginaL (1.75KG +4 KG )</v>
      </c>
      <c r="G2336" s="133"/>
      <c r="H2336" s="133" t="str">
        <f>IFERROR(__xludf.DUMMYFUNCTION("""COMPUTED_VALUE"""),"FEM-25-0158-FEP-2025-0153-C-22548-0213")</f>
        <v>FEM-25-0158-FEP-2025-0153-C-22548-0213</v>
      </c>
      <c r="I2336" s="133"/>
      <c r="J2336" s="133"/>
      <c r="K2336" s="133"/>
      <c r="L2336" s="133"/>
      <c r="M2336" s="133"/>
      <c r="N2336" s="133"/>
      <c r="O2336" s="133"/>
      <c r="P2336" s="133"/>
      <c r="Q2336" s="133"/>
      <c r="R2336" s="133"/>
      <c r="S2336" s="133"/>
      <c r="T2336" s="133"/>
      <c r="U2336" s="133"/>
      <c r="V2336" s="133"/>
      <c r="W2336" s="133"/>
      <c r="X2336" s="133"/>
      <c r="Y2336" s="133"/>
      <c r="Z2336" s="133"/>
    </row>
    <row r="2337">
      <c r="A2337" s="133"/>
      <c r="B2337" s="133"/>
      <c r="C2337" s="133" t="str">
        <f>IFERROR(__xludf.DUMMYFUNCTION("""COMPUTED_VALUE"""),"2025-8367")</f>
        <v>2025-8367</v>
      </c>
      <c r="D2337" s="133"/>
      <c r="E2337" s="133" t="str">
        <f>IFERROR(__xludf.DUMMYFUNCTION("""COMPUTED_VALUE"""),"مكتمل ")</f>
        <v>مكتمل </v>
      </c>
      <c r="F2337" s="133" t="str">
        <f>IFERROR(__xludf.DUMMYFUNCTION("""COMPUTED_VALUE"""),"WEL DC CORE OCEAN (1.75KG +4 KG )")</f>
        <v>WEL DC CORE OCEAN (1.75KG +4 KG )</v>
      </c>
      <c r="G2337" s="133"/>
      <c r="H2337" s="133" t="str">
        <f>IFERROR(__xludf.DUMMYFUNCTION("""COMPUTED_VALUE"""),"FEM-25-0159-FEP-2025-0154-C-22548-0216")</f>
        <v>FEM-25-0159-FEP-2025-0154-C-22548-0216</v>
      </c>
      <c r="I2337" s="133"/>
      <c r="J2337" s="133"/>
      <c r="K2337" s="133"/>
      <c r="L2337" s="133"/>
      <c r="M2337" s="133"/>
      <c r="N2337" s="133"/>
      <c r="O2337" s="133"/>
      <c r="P2337" s="133"/>
      <c r="Q2337" s="133"/>
      <c r="R2337" s="133"/>
      <c r="S2337" s="133"/>
      <c r="T2337" s="133"/>
      <c r="U2337" s="133"/>
      <c r="V2337" s="133"/>
      <c r="W2337" s="133"/>
      <c r="X2337" s="133"/>
      <c r="Y2337" s="133"/>
      <c r="Z2337" s="133"/>
    </row>
    <row r="2338">
      <c r="A2338" s="133"/>
      <c r="B2338" s="133"/>
      <c r="C2338" s="133" t="str">
        <f>IFERROR(__xludf.DUMMYFUNCTION("""COMPUTED_VALUE"""),"2025-18532")</f>
        <v>2025-18532</v>
      </c>
      <c r="D2338" s="133"/>
      <c r="E2338" s="133" t="str">
        <f>IFERROR(__xludf.DUMMYFUNCTION("""COMPUTED_VALUE"""),"مكتمل")</f>
        <v>مكتمل</v>
      </c>
      <c r="F2338" s="133" t="str">
        <f>IFERROR(__xludf.DUMMYFUNCTION("""COMPUTED_VALUE"""),"WEL DD CORE SB Hlthy Wt 1.5kg")</f>
        <v>WEL DD CORE SB Hlthy Wt 1.5kg</v>
      </c>
      <c r="G2338" s="133"/>
      <c r="H2338" s="133" t="str">
        <f>IFERROR(__xludf.DUMMYFUNCTION("""COMPUTED_VALUE"""),"FEM-25-0407-FEP-2025-0401-C-22548-0318
")</f>
        <v>FEM-25-0407-FEP-2025-0401-C-22548-0318
</v>
      </c>
      <c r="I2338" s="133"/>
      <c r="J2338" s="133"/>
      <c r="K2338" s="133"/>
      <c r="L2338" s="133"/>
      <c r="M2338" s="133"/>
      <c r="N2338" s="133"/>
      <c r="O2338" s="133"/>
      <c r="P2338" s="133"/>
      <c r="Q2338" s="133"/>
      <c r="R2338" s="133"/>
      <c r="S2338" s="133"/>
      <c r="T2338" s="133"/>
      <c r="U2338" s="133"/>
      <c r="V2338" s="133"/>
      <c r="W2338" s="133"/>
      <c r="X2338" s="133"/>
      <c r="Y2338" s="133"/>
      <c r="Z2338" s="133"/>
    </row>
    <row r="2339">
      <c r="A2339" s="133"/>
      <c r="B2339" s="133"/>
      <c r="C2339" s="133" t="str">
        <f>IFERROR(__xludf.DUMMYFUNCTION("""COMPUTED_VALUE"""),"2025-18473")</f>
        <v>2025-18473</v>
      </c>
      <c r="D2339" s="133"/>
      <c r="E2339" s="133" t="str">
        <f>IFERROR(__xludf.DUMMYFUNCTION("""COMPUTED_VALUE"""),"مكتمل")</f>
        <v>مكتمل</v>
      </c>
      <c r="F2339" s="133" t="str">
        <f>IFERROR(__xludf.DUMMYFUNCTION("""COMPUTED_VALUE"""),"WEL DD CORE SB Adult Ocean 1.5kg 5kg")</f>
        <v>WEL DD CORE SB Adult Ocean 1.5kg 5kg</v>
      </c>
      <c r="G2339" s="133"/>
      <c r="H2339" s="133" t="str">
        <f>IFERROR(__xludf.DUMMYFUNCTION("""COMPUTED_VALUE"""),"FEM-25-0404-FEP-2025-0398-C-22548-0315
")</f>
        <v>FEM-25-0404-FEP-2025-0398-C-22548-0315
</v>
      </c>
      <c r="I2339" s="133"/>
      <c r="J2339" s="133"/>
      <c r="K2339" s="133"/>
      <c r="L2339" s="133"/>
      <c r="M2339" s="133"/>
      <c r="N2339" s="133"/>
      <c r="O2339" s="133"/>
      <c r="P2339" s="133"/>
      <c r="Q2339" s="133"/>
      <c r="R2339" s="133"/>
      <c r="S2339" s="133"/>
      <c r="T2339" s="133"/>
      <c r="U2339" s="133"/>
      <c r="V2339" s="133"/>
      <c r="W2339" s="133"/>
      <c r="X2339" s="133"/>
      <c r="Y2339" s="133"/>
      <c r="Z2339" s="133"/>
    </row>
    <row r="2340">
      <c r="A2340" s="133"/>
      <c r="B2340" s="133"/>
      <c r="C2340" s="133" t="str">
        <f>IFERROR(__xludf.DUMMYFUNCTION("""COMPUTED_VALUE"""),"2025-18511")</f>
        <v>2025-18511</v>
      </c>
      <c r="D2340" s="133"/>
      <c r="E2340" s="133" t="str">
        <f>IFERROR(__xludf.DUMMYFUNCTION("""COMPUTED_VALUE"""),"مكتمل")</f>
        <v>مكتمل</v>
      </c>
      <c r="F2340" s="133" t="str">
        <f>IFERROR(__xludf.DUMMYFUNCTION("""COMPUTED_VALUE"""),"WEL DD CORE SB Original 1.5kg")</f>
        <v>WEL DD CORE SB Original 1.5kg</v>
      </c>
      <c r="G2340" s="133"/>
      <c r="H2340" s="133" t="str">
        <f>IFERROR(__xludf.DUMMYFUNCTION("""COMPUTED_VALUE"""),"FEM-25-0405-FEP-2025-0399-C-22548-0316
")</f>
        <v>FEM-25-0405-FEP-2025-0399-C-22548-0316
</v>
      </c>
      <c r="I2340" s="133"/>
      <c r="J2340" s="133"/>
      <c r="K2340" s="133"/>
      <c r="L2340" s="133"/>
      <c r="M2340" s="133"/>
      <c r="N2340" s="133"/>
      <c r="O2340" s="133"/>
      <c r="P2340" s="133"/>
      <c r="Q2340" s="133"/>
      <c r="R2340" s="133"/>
      <c r="S2340" s="133"/>
      <c r="T2340" s="133"/>
      <c r="U2340" s="133"/>
      <c r="V2340" s="133"/>
      <c r="W2340" s="133"/>
      <c r="X2340" s="133"/>
      <c r="Y2340" s="133"/>
      <c r="Z2340" s="133"/>
    </row>
    <row r="2341">
      <c r="A2341" s="133"/>
      <c r="B2341" s="133"/>
      <c r="C2341" s="133" t="str">
        <f>IFERROR(__xludf.DUMMYFUNCTION("""COMPUTED_VALUE"""),"2025-18517")</f>
        <v>2025-18517</v>
      </c>
      <c r="D2341" s="133"/>
      <c r="E2341" s="133" t="str">
        <f>IFERROR(__xludf.DUMMYFUNCTION("""COMPUTED_VALUE"""),"مكتمل")</f>
        <v>مكتمل</v>
      </c>
      <c r="F2341" s="133" t="str">
        <f>IFERROR(__xludf.DUMMYFUNCTION("""COMPUTED_VALUE"""),"WEL DD CORE SB adult Original 5kg")</f>
        <v>WEL DD CORE SB adult Original 5kg</v>
      </c>
      <c r="G2341" s="133"/>
      <c r="H2341" s="133" t="str">
        <f>IFERROR(__xludf.DUMMYFUNCTION("""COMPUTED_VALUE"""),"FEM-25-0406-FEP-2025-0400-C-22548-0317")</f>
        <v>FEM-25-0406-FEP-2025-0400-C-22548-0317</v>
      </c>
      <c r="I2341" s="133"/>
      <c r="J2341" s="133"/>
      <c r="K2341" s="133"/>
      <c r="L2341" s="133"/>
      <c r="M2341" s="133"/>
      <c r="N2341" s="133"/>
      <c r="O2341" s="133"/>
      <c r="P2341" s="133"/>
      <c r="Q2341" s="133"/>
      <c r="R2341" s="133"/>
      <c r="S2341" s="133"/>
      <c r="T2341" s="133"/>
      <c r="U2341" s="133"/>
      <c r="V2341" s="133"/>
      <c r="W2341" s="133"/>
      <c r="X2341" s="133"/>
      <c r="Y2341" s="133"/>
      <c r="Z2341" s="133"/>
    </row>
    <row r="2342">
      <c r="A2342" s="133"/>
      <c r="B2342" s="133"/>
      <c r="C2342" s="133" t="str">
        <f>IFERROR(__xludf.DUMMYFUNCTION("""COMPUTED_VALUE"""),"2025-18561")</f>
        <v>2025-18561</v>
      </c>
      <c r="D2342" s="133"/>
      <c r="E2342" s="133" t="str">
        <f>IFERROR(__xludf.DUMMYFUNCTION("""COMPUTED_VALUE"""),"مكتمل")</f>
        <v>مكتمل</v>
      </c>
      <c r="F2342" s="133" t="str">
        <f>IFERROR(__xludf.DUMMYFUNCTION("""COMPUTED_VALUE"""),"WEL DD CORE LB Puppy 2.75kg 10kg ")</f>
        <v>WEL DD CORE LB Puppy 2.75kg 10kg </v>
      </c>
      <c r="G2342" s="133"/>
      <c r="H2342" s="133" t="str">
        <f>IFERROR(__xludf.DUMMYFUNCTION("""COMPUTED_VALUE"""),"FEM-25-0409-FEP-2025-0403-C-22548-0320
")</f>
        <v>FEM-25-0409-FEP-2025-0403-C-22548-0320
</v>
      </c>
      <c r="I2342" s="133"/>
      <c r="J2342" s="133"/>
      <c r="K2342" s="133"/>
      <c r="L2342" s="133"/>
      <c r="M2342" s="133"/>
      <c r="N2342" s="133"/>
      <c r="O2342" s="133"/>
      <c r="P2342" s="133"/>
      <c r="Q2342" s="133"/>
      <c r="R2342" s="133"/>
      <c r="S2342" s="133"/>
      <c r="T2342" s="133"/>
      <c r="U2342" s="133"/>
      <c r="V2342" s="133"/>
      <c r="W2342" s="133"/>
      <c r="X2342" s="133"/>
      <c r="Y2342" s="133"/>
      <c r="Z2342" s="133"/>
    </row>
    <row r="2343">
      <c r="A2343" s="133"/>
      <c r="B2343" s="133"/>
      <c r="C2343" s="133" t="str">
        <f>IFERROR(__xludf.DUMMYFUNCTION("""COMPUTED_VALUE"""),"2025-18539")</f>
        <v>2025-18539</v>
      </c>
      <c r="D2343" s="133"/>
      <c r="E2343" s="133" t="str">
        <f>IFERROR(__xludf.DUMMYFUNCTION("""COMPUTED_VALUE"""),"مكتمل")</f>
        <v>مكتمل</v>
      </c>
      <c r="F2343" s="133" t="str">
        <f>IFERROR(__xludf.DUMMYFUNCTION("""COMPUTED_VALUE"""),"WEL DD CORE SB Adult Low Fat 5kg")</f>
        <v>WEL DD CORE SB Adult Low Fat 5kg</v>
      </c>
      <c r="G2343" s="133"/>
      <c r="H2343" s="133" t="str">
        <f>IFERROR(__xludf.DUMMYFUNCTION("""COMPUTED_VALUE"""),"FEM-25-0408-FEP-2025-0402-C-22548-0319
")</f>
        <v>FEM-25-0408-FEP-2025-0402-C-22548-0319
</v>
      </c>
      <c r="I2343" s="133"/>
      <c r="J2343" s="133"/>
      <c r="K2343" s="133"/>
      <c r="L2343" s="133"/>
      <c r="M2343" s="133"/>
      <c r="N2343" s="133"/>
      <c r="O2343" s="133"/>
      <c r="P2343" s="133"/>
      <c r="Q2343" s="133"/>
      <c r="R2343" s="133"/>
      <c r="S2343" s="133"/>
      <c r="T2343" s="133"/>
      <c r="U2343" s="133"/>
      <c r="V2343" s="133"/>
      <c r="W2343" s="133"/>
      <c r="X2343" s="133"/>
      <c r="Y2343" s="133"/>
      <c r="Z2343" s="133"/>
    </row>
    <row r="2344">
      <c r="A2344" s="133"/>
      <c r="B2344" s="133"/>
      <c r="C2344" s="133" t="str">
        <f>IFERROR(__xludf.DUMMYFUNCTION("""COMPUTED_VALUE"""),"2025-20431")</f>
        <v>2025-20431</v>
      </c>
      <c r="D2344" s="133"/>
      <c r="E2344" s="133" t="str">
        <f>IFERROR(__xludf.DUMMYFUNCTION("""COMPUTED_VALUE"""),"مكتمل")</f>
        <v>مكتمل</v>
      </c>
      <c r="F2344" s="133" t="str">
        <f>IFERROR(__xludf.DUMMYFUNCTION("""COMPUTED_VALUE"""),"WEL DD CORE LB Original 10kg")</f>
        <v>WEL DD CORE LB Original 10kg</v>
      </c>
      <c r="G2344" s="133"/>
      <c r="H2344" s="133" t="str">
        <f>IFERROR(__xludf.DUMMYFUNCTION("""COMPUTED_VALUE"""),"FEM-25-0470-FEP-2025-0458-C-22548-0364
")</f>
        <v>FEM-25-0470-FEP-2025-0458-C-22548-0364
</v>
      </c>
      <c r="I2344" s="133"/>
      <c r="J2344" s="133"/>
      <c r="K2344" s="133"/>
      <c r="L2344" s="133"/>
      <c r="M2344" s="133"/>
      <c r="N2344" s="133"/>
      <c r="O2344" s="133"/>
      <c r="P2344" s="133"/>
      <c r="Q2344" s="133"/>
      <c r="R2344" s="133"/>
      <c r="S2344" s="133"/>
      <c r="T2344" s="133"/>
      <c r="U2344" s="133"/>
      <c r="V2344" s="133"/>
      <c r="W2344" s="133"/>
      <c r="X2344" s="133"/>
      <c r="Y2344" s="133"/>
      <c r="Z2344" s="133"/>
    </row>
    <row r="2345">
      <c r="A2345" s="133"/>
      <c r="B2345" s="133"/>
      <c r="C2345" s="133" t="str">
        <f>IFERROR(__xludf.DUMMYFUNCTION("""COMPUTED_VALUE"""),"2024-257407")</f>
        <v>2024-257407</v>
      </c>
      <c r="D2345" s="133"/>
      <c r="E2345" s="133" t="str">
        <f>IFERROR(__xludf.DUMMYFUNCTION("""COMPUTED_VALUE"""),"مكتمل ")</f>
        <v>مكتمل </v>
      </c>
      <c r="F2345" s="133" t="str">
        <f>IFERROR(__xludf.DUMMYFUNCTION("""COMPUTED_VALUE"""),"Solid Gold NUTRIENT BOOST KATZ N FLOCKEN LAMB 4.98kg")</f>
        <v>Solid Gold NUTRIENT BOOST KATZ N FLOCKEN LAMB 4.98kg</v>
      </c>
      <c r="G2345" s="133"/>
      <c r="H2345" s="133" t="str">
        <f>IFERROR(__xludf.DUMMYFUNCTION("""COMPUTED_VALUE"""),"FOM-2024-0902-FEP-2024-80877-C-22548-0689")</f>
        <v>FOM-2024-0902-FEP-2024-80877-C-22548-0689</v>
      </c>
      <c r="I2345" s="133"/>
      <c r="J2345" s="133"/>
      <c r="K2345" s="133"/>
      <c r="L2345" s="133"/>
      <c r="M2345" s="133"/>
      <c r="N2345" s="133"/>
      <c r="O2345" s="133"/>
      <c r="P2345" s="133"/>
      <c r="Q2345" s="133"/>
      <c r="R2345" s="133"/>
      <c r="S2345" s="133"/>
      <c r="T2345" s="133"/>
      <c r="U2345" s="133"/>
      <c r="V2345" s="133"/>
      <c r="W2345" s="133"/>
      <c r="X2345" s="133"/>
      <c r="Y2345" s="133"/>
      <c r="Z2345" s="133"/>
    </row>
    <row r="2346">
      <c r="A2346" s="133"/>
      <c r="B2346" s="133"/>
      <c r="C2346" s="133" t="str">
        <f>IFERROR(__xludf.DUMMYFUNCTION("""COMPUTED_VALUE"""),"2024-257490")</f>
        <v>2024-257490</v>
      </c>
      <c r="D2346" s="133"/>
      <c r="E2346" s="133" t="str">
        <f>IFERROR(__xludf.DUMMYFUNCTION("""COMPUTED_VALUE"""),"مكتمل ")</f>
        <v>مكتمل </v>
      </c>
      <c r="F2346" s="133" t="str">
        <f>IFERROR(__xludf.DUMMYFUNCTION("""COMPUTED_VALUE"""),"SOLID GOLD LEAPNIG WATERS SALMON LOAF")</f>
        <v>SOLID GOLD LEAPNIG WATERS SALMON LOAF</v>
      </c>
      <c r="G2346" s="133"/>
      <c r="H2346" s="133" t="str">
        <f>IFERROR(__xludf.DUMMYFUNCTION("""COMPUTED_VALUE"""),"FOM-2024-0902-FEP-2024-80893-C-22548-0701")</f>
        <v>FOM-2024-0902-FEP-2024-80893-C-22548-0701</v>
      </c>
      <c r="I2346" s="133"/>
      <c r="J2346" s="133"/>
      <c r="K2346" s="133"/>
      <c r="L2346" s="133"/>
      <c r="M2346" s="133"/>
      <c r="N2346" s="133"/>
      <c r="O2346" s="133"/>
      <c r="P2346" s="133"/>
      <c r="Q2346" s="133"/>
      <c r="R2346" s="133"/>
      <c r="S2346" s="133"/>
      <c r="T2346" s="133"/>
      <c r="U2346" s="133"/>
      <c r="V2346" s="133"/>
      <c r="W2346" s="133"/>
      <c r="X2346" s="133"/>
      <c r="Y2346" s="133"/>
      <c r="Z2346" s="133"/>
    </row>
    <row r="2347">
      <c r="A2347" s="133"/>
      <c r="B2347" s="133"/>
      <c r="C2347" s="133" t="str">
        <f>IFERROR(__xludf.DUMMYFUNCTION("""COMPUTED_VALUE"""),"2024-257381")</f>
        <v>2024-257381</v>
      </c>
      <c r="D2347" s="133"/>
      <c r="E2347" s="133" t="str">
        <f>IFERROR(__xludf.DUMMYFUNCTION("""COMPUTED_VALUE"""),"مكتمل ")</f>
        <v>مكتمل </v>
      </c>
      <c r="F2347" s="133" t="str">
        <f>IFERROR(__xludf.DUMMYFUNCTION("""COMPUTED_VALUE"""),"SOLID GOLD NB KATZ N FLOCKEN LAMB")</f>
        <v>SOLID GOLD NB KATZ N FLOCKEN LAMB</v>
      </c>
      <c r="G2347" s="133"/>
      <c r="H2347" s="133" t="str">
        <f>IFERROR(__xludf.DUMMYFUNCTION("""COMPUTED_VALUE"""),"FOM-2024-0902-FEP-2024-80876-C-22548-0688")</f>
        <v>FOM-2024-0902-FEP-2024-80876-C-22548-0688</v>
      </c>
      <c r="I2347" s="133"/>
      <c r="J2347" s="133"/>
      <c r="K2347" s="133"/>
      <c r="L2347" s="133"/>
      <c r="M2347" s="133"/>
      <c r="N2347" s="133"/>
      <c r="O2347" s="133"/>
      <c r="P2347" s="133"/>
      <c r="Q2347" s="133"/>
      <c r="R2347" s="133"/>
      <c r="S2347" s="133"/>
      <c r="T2347" s="133"/>
      <c r="U2347" s="133"/>
      <c r="V2347" s="133"/>
      <c r="W2347" s="133"/>
      <c r="X2347" s="133"/>
      <c r="Y2347" s="133"/>
      <c r="Z2347" s="133"/>
    </row>
    <row r="2348">
      <c r="A2348" s="133"/>
      <c r="B2348" s="133"/>
      <c r="C2348" s="133" t="str">
        <f>IFERROR(__xludf.DUMMYFUNCTION("""COMPUTED_VALUE"""),"2025-44881")</f>
        <v>2025-44881</v>
      </c>
      <c r="D2348" s="133" t="str">
        <f>IFERROR(__xludf.DUMMYFUNCTION("""COMPUTED_VALUE"""),"ENC1002")</f>
        <v>ENC1002</v>
      </c>
      <c r="E2348" s="133" t="str">
        <f>IFERROR(__xludf.DUMMYFUNCTION("""COMPUTED_VALUE"""),"مكتمل ")</f>
        <v>مكتمل </v>
      </c>
      <c r="F2348" s="133" t="str">
        <f>IFERROR(__xludf.DUMMYFUNCTION("""COMPUTED_VALUE"""),"Encore Cat Chicken Breast in Broth 70g")</f>
        <v>Encore Cat Chicken Breast in Broth 70g</v>
      </c>
      <c r="G2348" s="133"/>
      <c r="H2348" s="133" t="str">
        <f>IFERROR(__xludf.DUMMYFUNCTION("""COMPUTED_VALUE"""),"FEM-25-1086-FEP-2025-1113-C-22548-0815
")</f>
        <v>FEM-25-1086-FEP-2025-1113-C-22548-0815
</v>
      </c>
      <c r="I2348" s="133"/>
      <c r="J2348" s="133"/>
      <c r="K2348" s="133"/>
      <c r="L2348" s="133"/>
      <c r="M2348" s="133"/>
      <c r="N2348" s="133"/>
      <c r="O2348" s="133"/>
      <c r="P2348" s="133"/>
      <c r="Q2348" s="133"/>
      <c r="R2348" s="133"/>
      <c r="S2348" s="133"/>
      <c r="T2348" s="133"/>
      <c r="U2348" s="133"/>
      <c r="V2348" s="133"/>
      <c r="W2348" s="133"/>
      <c r="X2348" s="133"/>
      <c r="Y2348" s="133"/>
      <c r="Z2348" s="133"/>
    </row>
    <row r="2349">
      <c r="A2349" s="133"/>
      <c r="B2349" s="133"/>
      <c r="C2349" s="133" t="str">
        <f>IFERROR(__xludf.DUMMYFUNCTION("""COMPUTED_VALUE"""),"2025-44899")</f>
        <v>2025-44899</v>
      </c>
      <c r="D2349" s="133" t="str">
        <f>IFERROR(__xludf.DUMMYFUNCTION("""COMPUTED_VALUE"""),"ENC1003")</f>
        <v>ENC1003</v>
      </c>
      <c r="E2349" s="133" t="str">
        <f>IFERROR(__xludf.DUMMYFUNCTION("""COMPUTED_VALUE"""),"مكتمل ")</f>
        <v>مكتمل </v>
      </c>
      <c r="F2349" s="133" t="str">
        <f>IFERROR(__xludf.DUMMYFUNCTION("""COMPUTED_VALUE"""),"Encore Cat Tuna Fillet in Broth 70g")</f>
        <v>Encore Cat Tuna Fillet in Broth 70g</v>
      </c>
      <c r="G2349" s="133"/>
      <c r="H2349" s="133" t="str">
        <f>IFERROR(__xludf.DUMMYFUNCTION("""COMPUTED_VALUE"""),"FEM-25-1087-FEP-2025-1114-C-22548-0814
")</f>
        <v>FEM-25-1087-FEP-2025-1114-C-22548-0814
</v>
      </c>
      <c r="I2349" s="133"/>
      <c r="J2349" s="133"/>
      <c r="K2349" s="133"/>
      <c r="L2349" s="133"/>
      <c r="M2349" s="133"/>
      <c r="N2349" s="133"/>
      <c r="O2349" s="133"/>
      <c r="P2349" s="133"/>
      <c r="Q2349" s="133"/>
      <c r="R2349" s="133"/>
      <c r="S2349" s="133"/>
      <c r="T2349" s="133"/>
      <c r="U2349" s="133"/>
      <c r="V2349" s="133"/>
      <c r="W2349" s="133"/>
      <c r="X2349" s="133"/>
      <c r="Y2349" s="133"/>
      <c r="Z2349" s="133"/>
    </row>
    <row r="2350">
      <c r="A2350" s="133"/>
      <c r="B2350" s="133"/>
      <c r="C2350" s="133" t="str">
        <f>IFERROR(__xludf.DUMMYFUNCTION("""COMPUTED_VALUE"""),"2025-128620")</f>
        <v>2025-128620</v>
      </c>
      <c r="D2350" s="133" t="str">
        <f>IFERROR(__xludf.DUMMYFUNCTION("""COMPUTED_VALUE"""),"ENC1008")</f>
        <v>ENC1008</v>
      </c>
      <c r="E2350" s="133" t="str">
        <f>IFERROR(__xludf.DUMMYFUNCTION("""COMPUTED_VALUE"""),"مكتمل")</f>
        <v>مكتمل</v>
      </c>
      <c r="F2350" s="133" t="str">
        <f>IFERROR(__xludf.DUMMYFUNCTION("""COMPUTED_VALUE"""),"Encore Cat Tuna Fillet with Shrimp in Broth 70g")</f>
        <v>Encore Cat Tuna Fillet with Shrimp in Broth 70g</v>
      </c>
      <c r="G2350" s="133"/>
      <c r="H2350" s="133"/>
      <c r="I2350" s="133"/>
      <c r="J2350" s="133"/>
      <c r="K2350" s="133"/>
      <c r="L2350" s="133"/>
      <c r="M2350" s="133"/>
      <c r="N2350" s="133"/>
      <c r="O2350" s="133"/>
      <c r="P2350" s="133"/>
      <c r="Q2350" s="133"/>
      <c r="R2350" s="133"/>
      <c r="S2350" s="133"/>
      <c r="T2350" s="133"/>
      <c r="U2350" s="133"/>
      <c r="V2350" s="133"/>
      <c r="W2350" s="133"/>
      <c r="X2350" s="133"/>
      <c r="Y2350" s="133"/>
      <c r="Z2350" s="133"/>
    </row>
    <row r="2351">
      <c r="A2351" s="133"/>
      <c r="B2351" s="133"/>
      <c r="C2351" s="133" t="str">
        <f>IFERROR(__xludf.DUMMYFUNCTION("""COMPUTED_VALUE"""),"2025-128651")</f>
        <v>2025-128651</v>
      </c>
      <c r="D2351" s="133" t="str">
        <f>IFERROR(__xludf.DUMMYFUNCTION("""COMPUTED_VALUE"""),"ENC1028")</f>
        <v>ENC1028</v>
      </c>
      <c r="E2351" s="133" t="str">
        <f>IFERROR(__xludf.DUMMYFUNCTION("""COMPUTED_VALUE"""),"مكتمل")</f>
        <v>مكتمل</v>
      </c>
      <c r="F2351" s="133" t="str">
        <f>IFERROR(__xludf.DUMMYFUNCTION("""COMPUTED_VALUE"""),"Encore Cat Tuna Fillet with Salmon in Broth 70غ")</f>
        <v>Encore Cat Tuna Fillet with Salmon in Broth 70غ</v>
      </c>
      <c r="G2351" s="133"/>
      <c r="H2351" s="133"/>
      <c r="I2351" s="133"/>
      <c r="J2351" s="133"/>
      <c r="K2351" s="133"/>
      <c r="L2351" s="133"/>
      <c r="M2351" s="133"/>
      <c r="N2351" s="133"/>
      <c r="O2351" s="133"/>
      <c r="P2351" s="133"/>
      <c r="Q2351" s="133"/>
      <c r="R2351" s="133"/>
      <c r="S2351" s="133"/>
      <c r="T2351" s="133"/>
      <c r="U2351" s="133"/>
      <c r="V2351" s="133"/>
      <c r="W2351" s="133"/>
      <c r="X2351" s="133"/>
      <c r="Y2351" s="133"/>
      <c r="Z2351" s="133"/>
    </row>
    <row r="2352">
      <c r="A2352" s="133"/>
      <c r="B2352" s="133"/>
      <c r="C2352" s="133" t="str">
        <f>IFERROR(__xludf.DUMMYFUNCTION("""COMPUTED_VALUE"""),"2025-44943")</f>
        <v>2025-44943</v>
      </c>
      <c r="D2352" s="133" t="str">
        <f>IFERROR(__xludf.DUMMYFUNCTION("""COMPUTED_VALUE"""),"ENC8101")</f>
        <v>ENC8101</v>
      </c>
      <c r="E2352" s="133" t="str">
        <f>IFERROR(__xludf.DUMMYFUNCTION("""COMPUTED_VALUE"""),"مكتمل")</f>
        <v>مكتمل</v>
      </c>
      <c r="F2352" s="133" t="str">
        <f>IFERROR(__xludf.DUMMYFUNCTION("""COMPUTED_VALUE"""),"Encore Cat Chicken Breast with Brown Rice in Broth 70g")</f>
        <v>Encore Cat Chicken Breast with Brown Rice in Broth 70g</v>
      </c>
      <c r="G2352" s="133"/>
      <c r="H2352" s="133" t="str">
        <f>IFERROR(__xludf.DUMMYFUNCTION("""COMPUTED_VALUE"""),"FEM-25-1089-FEP-2025-1116-C-22548-0818
")</f>
        <v>FEM-25-1089-FEP-2025-1116-C-22548-0818
</v>
      </c>
      <c r="I2352" s="133"/>
      <c r="J2352" s="133"/>
      <c r="K2352" s="133"/>
      <c r="L2352" s="133"/>
      <c r="M2352" s="133"/>
      <c r="N2352" s="133"/>
      <c r="O2352" s="133"/>
      <c r="P2352" s="133"/>
      <c r="Q2352" s="133"/>
      <c r="R2352" s="133"/>
      <c r="S2352" s="133"/>
      <c r="T2352" s="133"/>
      <c r="U2352" s="133"/>
      <c r="V2352" s="133"/>
      <c r="W2352" s="133"/>
      <c r="X2352" s="133"/>
      <c r="Y2352" s="133"/>
      <c r="Z2352" s="133"/>
    </row>
    <row r="2353">
      <c r="A2353" s="133"/>
      <c r="B2353" s="133"/>
      <c r="C2353" s="133" t="str">
        <f>IFERROR(__xludf.DUMMYFUNCTION("""COMPUTED_VALUE"""),"2025-44919")</f>
        <v>2025-44919</v>
      </c>
      <c r="D2353" s="133" t="str">
        <f>IFERROR(__xludf.DUMMYFUNCTION("""COMPUTED_VALUE"""),"ENC8108")</f>
        <v>ENC8108</v>
      </c>
      <c r="E2353" s="133" t="str">
        <f>IFERROR(__xludf.DUMMYFUNCTION("""COMPUTED_VALUE"""),"مكتمل")</f>
        <v>مكتمل</v>
      </c>
      <c r="F2353" s="133" t="str">
        <f>IFERROR(__xludf.DUMMYFUNCTION("""COMPUTED_VALUE"""),"Encore Cat Tuna Fillet with Prawn in Broth 70g")</f>
        <v>Encore Cat Tuna Fillet with Prawn in Broth 70g</v>
      </c>
      <c r="G2353" s="133"/>
      <c r="H2353" s="133" t="str">
        <f>IFERROR(__xludf.DUMMYFUNCTION("""COMPUTED_VALUE"""),"FEM-25-1088-FEP-2025-1115-C-22548-0813
")</f>
        <v>FEM-25-1088-FEP-2025-1115-C-22548-0813
</v>
      </c>
      <c r="I2353" s="133"/>
      <c r="J2353" s="133"/>
      <c r="K2353" s="133"/>
      <c r="L2353" s="133"/>
      <c r="M2353" s="133"/>
      <c r="N2353" s="133"/>
      <c r="O2353" s="133"/>
      <c r="P2353" s="133"/>
      <c r="Q2353" s="133"/>
      <c r="R2353" s="133"/>
      <c r="S2353" s="133"/>
      <c r="T2353" s="133"/>
      <c r="U2353" s="133"/>
      <c r="V2353" s="133"/>
      <c r="W2353" s="133"/>
      <c r="X2353" s="133"/>
      <c r="Y2353" s="133"/>
      <c r="Z2353" s="133"/>
    </row>
    <row r="2354">
      <c r="A2354" s="133"/>
      <c r="B2354" s="133"/>
      <c r="C2354" s="133"/>
      <c r="D2354" s="133"/>
      <c r="E2354" s="133" t="str">
        <f>IFERROR(__xludf.DUMMYFUNCTION("""COMPUTED_VALUE"""),"artwork missing ")</f>
        <v>artwork missing </v>
      </c>
      <c r="F2354" s="133" t="str">
        <f>IFERROR(__xludf.DUMMYFUNCTION("""COMPUTED_VALUE"""),"Encore Cat Tuna in Jelly 50g")</f>
        <v>Encore Cat Tuna in Jelly 50g</v>
      </c>
      <c r="G2354" s="133"/>
      <c r="H2354" s="133"/>
      <c r="I2354" s="133"/>
      <c r="J2354" s="133"/>
      <c r="K2354" s="133"/>
      <c r="L2354" s="133"/>
      <c r="M2354" s="133"/>
      <c r="N2354" s="133"/>
      <c r="O2354" s="133"/>
      <c r="P2354" s="133"/>
      <c r="Q2354" s="133"/>
      <c r="R2354" s="133"/>
      <c r="S2354" s="133"/>
      <c r="T2354" s="133"/>
      <c r="U2354" s="133"/>
      <c r="V2354" s="133"/>
      <c r="W2354" s="133"/>
      <c r="X2354" s="133"/>
      <c r="Y2354" s="133"/>
      <c r="Z2354" s="133"/>
    </row>
    <row r="2355">
      <c r="A2355" s="133"/>
      <c r="B2355" s="133"/>
      <c r="C2355" s="133"/>
      <c r="D2355" s="133"/>
      <c r="E2355" s="133" t="str">
        <f>IFERROR(__xludf.DUMMYFUNCTION("""COMPUTED_VALUE"""),"artwork missing ")</f>
        <v>artwork missing </v>
      </c>
      <c r="F2355" s="133" t="str">
        <f>IFERROR(__xludf.DUMMYFUNCTION("""COMPUTED_VALUE"""),"Encore Cat Tuna with Mackerel in Jelly 50g")</f>
        <v>Encore Cat Tuna with Mackerel in Jelly 50g</v>
      </c>
      <c r="G2355" s="133"/>
      <c r="H2355" s="133"/>
      <c r="I2355" s="133"/>
      <c r="J2355" s="133"/>
      <c r="K2355" s="133"/>
      <c r="L2355" s="133"/>
      <c r="M2355" s="133"/>
      <c r="N2355" s="133"/>
      <c r="O2355" s="133"/>
      <c r="P2355" s="133"/>
      <c r="Q2355" s="133"/>
      <c r="R2355" s="133"/>
      <c r="S2355" s="133"/>
      <c r="T2355" s="133"/>
      <c r="U2355" s="133"/>
      <c r="V2355" s="133"/>
      <c r="W2355" s="133"/>
      <c r="X2355" s="133"/>
      <c r="Y2355" s="133"/>
      <c r="Z2355" s="133"/>
    </row>
    <row r="2356">
      <c r="A2356" s="133"/>
      <c r="B2356" s="133"/>
      <c r="C2356" s="133"/>
      <c r="D2356" s="133"/>
      <c r="E2356" s="133" t="str">
        <f>IFERROR(__xludf.DUMMYFUNCTION("""COMPUTED_VALUE"""),"artwork missing ")</f>
        <v>artwork missing </v>
      </c>
      <c r="F2356" s="133" t="str">
        <f>IFERROR(__xludf.DUMMYFUNCTION("""COMPUTED_VALUE"""),"Encore Cat Tuna with Salmon in Jelly 50g")</f>
        <v>Encore Cat Tuna with Salmon in Jelly 50g</v>
      </c>
      <c r="G2356" s="133"/>
      <c r="H2356" s="133"/>
      <c r="I2356" s="133"/>
      <c r="J2356" s="133"/>
      <c r="K2356" s="133"/>
      <c r="L2356" s="133"/>
      <c r="M2356" s="133"/>
      <c r="N2356" s="133"/>
      <c r="O2356" s="133"/>
      <c r="P2356" s="133"/>
      <c r="Q2356" s="133"/>
      <c r="R2356" s="133"/>
      <c r="S2356" s="133"/>
      <c r="T2356" s="133"/>
      <c r="U2356" s="133"/>
      <c r="V2356" s="133"/>
      <c r="W2356" s="133"/>
      <c r="X2356" s="133"/>
      <c r="Y2356" s="133"/>
      <c r="Z2356" s="133"/>
    </row>
    <row r="2357">
      <c r="A2357" s="133"/>
      <c r="B2357" s="133"/>
      <c r="C2357" s="133"/>
      <c r="D2357" s="133"/>
      <c r="E2357" s="133" t="str">
        <f>IFERROR(__xludf.DUMMYFUNCTION("""COMPUTED_VALUE"""),"مكتمل ")</f>
        <v>مكتمل </v>
      </c>
      <c r="F2357" s="133" t="str">
        <f>IFERROR(__xludf.DUMMYFUNCTION("""COMPUTED_VALUE"""),"Princess Plus Kitten Complete Cat Food")</f>
        <v>Princess Plus Kitten Complete Cat Food</v>
      </c>
      <c r="G2357" s="133" t="str">
        <f>IFERROR(__xludf.DUMMYFUNCTION("""COMPUTED_VALUE"""),"برينسيس بلس بريميوم كيتن طعام كامل للقطط 
")</f>
        <v>برينسيس بلس بريميوم كيتن طعام كامل للقطط 
</v>
      </c>
      <c r="H2357" s="133"/>
      <c r="I2357" s="133"/>
      <c r="J2357" s="133"/>
      <c r="K2357" s="133"/>
      <c r="L2357" s="133"/>
      <c r="M2357" s="133"/>
      <c r="N2357" s="133"/>
      <c r="O2357" s="133"/>
      <c r="P2357" s="133"/>
      <c r="Q2357" s="133"/>
      <c r="R2357" s="133"/>
      <c r="S2357" s="133"/>
      <c r="T2357" s="133"/>
      <c r="U2357" s="133"/>
      <c r="V2357" s="133"/>
      <c r="W2357" s="133"/>
      <c r="X2357" s="133"/>
      <c r="Y2357" s="133"/>
      <c r="Z2357" s="133"/>
    </row>
    <row r="2358">
      <c r="A2358" s="133"/>
      <c r="B2358" s="133"/>
      <c r="C2358" s="133" t="str">
        <f>IFERROR(__xludf.DUMMYFUNCTION("""COMPUTED_VALUE"""),"2025-51211")</f>
        <v>2025-51211</v>
      </c>
      <c r="D2358" s="133"/>
      <c r="E2358" s="133" t="str">
        <f>IFERROR(__xludf.DUMMYFUNCTION("""COMPUTED_VALUE"""),"مكتمل ")</f>
        <v>مكتمل </v>
      </c>
      <c r="F2358" s="133" t="str">
        <f>IFERROR(__xludf.DUMMYFUNCTION("""COMPUTED_VALUE"""),"Princess Plus Maintenance Complete Cat Food")</f>
        <v>Princess Plus Maintenance Complete Cat Food</v>
      </c>
      <c r="G2358" s="133" t="str">
        <f>IFERROR(__xludf.DUMMYFUNCTION("""COMPUTED_VALUE"""),"برينسيس بلس مينتينانس طعام كامل للقطط 
")</f>
        <v>برينسيس بلس مينتينانس طعام كامل للقطط 
</v>
      </c>
      <c r="H2358" s="133" t="str">
        <f>IFERROR(__xludf.DUMMYFUNCTION("""COMPUTED_VALUE"""),"FEM-25-1217-FEP-2025-1223-C-22548-0888
")</f>
        <v>FEM-25-1217-FEP-2025-1223-C-22548-0888
</v>
      </c>
      <c r="I2358" s="133"/>
      <c r="J2358" s="133"/>
      <c r="K2358" s="133"/>
      <c r="L2358" s="133"/>
      <c r="M2358" s="133"/>
      <c r="N2358" s="133"/>
      <c r="O2358" s="133"/>
      <c r="P2358" s="133"/>
      <c r="Q2358" s="133"/>
      <c r="R2358" s="133"/>
      <c r="S2358" s="133"/>
      <c r="T2358" s="133"/>
      <c r="U2358" s="133"/>
      <c r="V2358" s="133"/>
      <c r="W2358" s="133"/>
      <c r="X2358" s="133"/>
      <c r="Y2358" s="133"/>
      <c r="Z2358" s="133"/>
    </row>
    <row r="2359">
      <c r="A2359" s="133"/>
      <c r="B2359" s="133"/>
      <c r="C2359" s="133" t="str">
        <f>IFERROR(__xludf.DUMMYFUNCTION("""COMPUTED_VALUE"""),"2025-64459")</f>
        <v>2025-64459</v>
      </c>
      <c r="D2359" s="133"/>
      <c r="E2359" s="133" t="str">
        <f>IFERROR(__xludf.DUMMYFUNCTION("""COMPUTED_VALUE"""),"مكتمل")</f>
        <v>مكتمل</v>
      </c>
      <c r="F2359" s="133" t="str">
        <f>IFERROR(__xludf.DUMMYFUNCTION("""COMPUTED_VALUE"""),"CeDe eivoer kanarie 1kg")</f>
        <v>CeDe eivoer kanarie 1kg</v>
      </c>
      <c r="G2359" s="133" t="str">
        <f>IFERROR(__xludf.DUMMYFUNCTION("""COMPUTED_VALUE"""),"سي دي إيغفود كناري")</f>
        <v>سي دي إيغفود كناري</v>
      </c>
      <c r="H2359" s="133" t="str">
        <f>IFERROR(__xludf.DUMMYFUNCTION("""COMPUTED_VALUE"""),"FEM-25-1472-FEP-2025-1466-C-22548-1265
")</f>
        <v>FEM-25-1472-FEP-2025-1466-C-22548-1265
</v>
      </c>
      <c r="I2359" s="133"/>
      <c r="J2359" s="133"/>
      <c r="K2359" s="133"/>
      <c r="L2359" s="133"/>
      <c r="M2359" s="133"/>
      <c r="N2359" s="133"/>
      <c r="O2359" s="133"/>
      <c r="P2359" s="133"/>
      <c r="Q2359" s="133"/>
      <c r="R2359" s="133"/>
      <c r="S2359" s="133"/>
      <c r="T2359" s="133"/>
      <c r="U2359" s="133"/>
      <c r="V2359" s="133"/>
      <c r="W2359" s="133"/>
      <c r="X2359" s="133"/>
      <c r="Y2359" s="133"/>
      <c r="Z2359" s="133"/>
    </row>
    <row r="2360">
      <c r="A2360" s="133"/>
      <c r="B2360" s="133"/>
      <c r="C2360" s="133" t="str">
        <f>IFERROR(__xludf.DUMMYFUNCTION("""COMPUTED_VALUE"""),"2025-64402")</f>
        <v>2025-64402</v>
      </c>
      <c r="D2360" s="133"/>
      <c r="E2360" s="133" t="str">
        <f>IFERROR(__xludf.DUMMYFUNCTION("""COMPUTED_VALUE"""),"مكتمل ")</f>
        <v>مكتمل </v>
      </c>
      <c r="F2360" s="133" t="str">
        <f>IFERROR(__xludf.DUMMYFUNCTION("""COMPUTED_VALUE"""),"CeDe opfokvoer Bianco 1kg")</f>
        <v>CeDe opfokvoer Bianco 1kg</v>
      </c>
      <c r="G2360" s="133" t="str">
        <f>IFERROR(__xludf.DUMMYFUNCTION("""COMPUTED_VALUE"""),"سي دي ريارينق فود بيانكو")</f>
        <v>سي دي ريارينق فود بيانكو</v>
      </c>
      <c r="H2360" s="133" t="str">
        <f>IFERROR(__xludf.DUMMYFUNCTION("""COMPUTED_VALUE"""),"FEM-25-1469-FEP-2025-1460-C-22548-1047
")</f>
        <v>FEM-25-1469-FEP-2025-1460-C-22548-1047
</v>
      </c>
      <c r="I2360" s="133"/>
      <c r="J2360" s="133"/>
      <c r="K2360" s="133"/>
      <c r="L2360" s="133"/>
      <c r="M2360" s="133"/>
      <c r="N2360" s="133"/>
      <c r="O2360" s="133"/>
      <c r="P2360" s="133"/>
      <c r="Q2360" s="133"/>
      <c r="R2360" s="133"/>
      <c r="S2360" s="133"/>
      <c r="T2360" s="133"/>
      <c r="U2360" s="133"/>
      <c r="V2360" s="133"/>
      <c r="W2360" s="133"/>
      <c r="X2360" s="133"/>
      <c r="Y2360" s="133"/>
      <c r="Z2360" s="133"/>
    </row>
    <row r="2361">
      <c r="A2361" s="133"/>
      <c r="B2361" s="133"/>
      <c r="C2361" s="133" t="str">
        <f>IFERROR(__xludf.DUMMYFUNCTION("""COMPUTED_VALUE"""),"2025-64493")</f>
        <v>2025-64493</v>
      </c>
      <c r="D2361" s="133"/>
      <c r="E2361" s="133" t="str">
        <f>IFERROR(__xludf.DUMMYFUNCTION("""COMPUTED_VALUE"""),"مكتمل ")</f>
        <v>مكتمل </v>
      </c>
      <c r="F2361" s="133" t="str">
        <f>IFERROR(__xludf.DUMMYFUNCTION("""COMPUTED_VALUE"""),"CeDe eivoer grasparkiet 1kg")</f>
        <v>CeDe eivoer grasparkiet 1kg</v>
      </c>
      <c r="G2361" s="133" t="str">
        <f>IFERROR(__xludf.DUMMYFUNCTION("""COMPUTED_VALUE"""),"سي دي إيـﭭوير جروتي باركيت وباجي")</f>
        <v>سي دي إيـﭭوير جروتي باركيت وباجي</v>
      </c>
      <c r="H2361" s="133" t="str">
        <f>IFERROR(__xludf.DUMMYFUNCTION("""COMPUTED_VALUE"""),"FEM-25-1474-FEP-2025-1468-C-22548-1049
")</f>
        <v>FEM-25-1474-FEP-2025-1468-C-22548-1049
</v>
      </c>
      <c r="I2361" s="133"/>
      <c r="J2361" s="133"/>
      <c r="K2361" s="133"/>
      <c r="L2361" s="133"/>
      <c r="M2361" s="133"/>
      <c r="N2361" s="133"/>
      <c r="O2361" s="133"/>
      <c r="P2361" s="133"/>
      <c r="Q2361" s="133"/>
      <c r="R2361" s="133"/>
      <c r="S2361" s="133"/>
      <c r="T2361" s="133"/>
      <c r="U2361" s="133"/>
      <c r="V2361" s="133"/>
      <c r="W2361" s="133"/>
      <c r="X2361" s="133"/>
      <c r="Y2361" s="133"/>
      <c r="Z2361" s="133"/>
    </row>
    <row r="2362">
      <c r="A2362" s="133"/>
      <c r="B2362" s="133"/>
      <c r="C2362" s="133" t="str">
        <f>IFERROR(__xludf.DUMMYFUNCTION("""COMPUTED_VALUE"""),"2025-64383")</f>
        <v>2025-64383</v>
      </c>
      <c r="D2362" s="133"/>
      <c r="E2362" s="133" t="str">
        <f>IFERROR(__xludf.DUMMYFUNCTION("""COMPUTED_VALUE"""),"مكتمل")</f>
        <v>مكتمل</v>
      </c>
      <c r="F2362" s="133" t="str">
        <f>IFERROR(__xludf.DUMMYFUNCTION("""COMPUTED_VALUE"""),"CéDé egg food tropical finches 1kg")</f>
        <v>CéDé egg food tropical finches 1kg</v>
      </c>
      <c r="G2362" s="133"/>
      <c r="H2362" s="133" t="str">
        <f>IFERROR(__xludf.DUMMYFUNCTION("""COMPUTED_VALUE"""),"FEM-25-1468-FEP-2025-2154-C-22548-1252
")</f>
        <v>FEM-25-1468-FEP-2025-2154-C-22548-1252
</v>
      </c>
      <c r="I2362" s="133"/>
      <c r="J2362" s="133"/>
      <c r="K2362" s="133"/>
      <c r="L2362" s="133"/>
      <c r="M2362" s="133"/>
      <c r="N2362" s="133"/>
      <c r="O2362" s="133"/>
      <c r="P2362" s="133"/>
      <c r="Q2362" s="133"/>
      <c r="R2362" s="133"/>
      <c r="S2362" s="133"/>
      <c r="T2362" s="133"/>
      <c r="U2362" s="133"/>
      <c r="V2362" s="133"/>
      <c r="W2362" s="133"/>
      <c r="X2362" s="133"/>
      <c r="Y2362" s="133"/>
      <c r="Z2362" s="133"/>
    </row>
    <row r="2363">
      <c r="A2363" s="133"/>
      <c r="B2363" s="133"/>
      <c r="C2363" s="133" t="str">
        <f>IFERROR(__xludf.DUMMYFUNCTION("""COMPUTED_VALUE"""),"2025-64420")</f>
        <v>2025-64420</v>
      </c>
      <c r="D2363" s="133"/>
      <c r="E2363" s="133" t="str">
        <f>IFERROR(__xludf.DUMMYFUNCTION("""COMPUTED_VALUE"""),"مكتمل")</f>
        <v>مكتمل</v>
      </c>
      <c r="F2363" s="133" t="str">
        <f>IFERROR(__xludf.DUMMYFUNCTION("""COMPUTED_VALUE"""),"CeDe eivoer grate parkiet &amp; papegaai 1kg")</f>
        <v>CeDe eivoer grate parkiet &amp; papegaai 1kg</v>
      </c>
      <c r="G2363" s="133"/>
      <c r="H2363" s="133" t="str">
        <f>IFERROR(__xludf.DUMMYFUNCTION("""COMPUTED_VALUE"""),"FEM-25-1470-FEP-2025-1462-C-22548-1048
")</f>
        <v>FEM-25-1470-FEP-2025-1462-C-22548-1048
</v>
      </c>
      <c r="I2363" s="133"/>
      <c r="J2363" s="133"/>
      <c r="K2363" s="133"/>
      <c r="L2363" s="133"/>
      <c r="M2363" s="133"/>
      <c r="N2363" s="133"/>
      <c r="O2363" s="133"/>
      <c r="P2363" s="133"/>
      <c r="Q2363" s="133"/>
      <c r="R2363" s="133"/>
      <c r="S2363" s="133"/>
      <c r="T2363" s="133"/>
      <c r="U2363" s="133"/>
      <c r="V2363" s="133"/>
      <c r="W2363" s="133"/>
      <c r="X2363" s="133"/>
      <c r="Y2363" s="133"/>
      <c r="Z2363" s="133"/>
    </row>
    <row r="2364">
      <c r="A2364" s="133"/>
      <c r="B2364" s="133"/>
      <c r="C2364" s="133" t="str">
        <f>IFERROR(__xludf.DUMMYFUNCTION("""COMPUTED_VALUE"""),"2025-63169")</f>
        <v>2025-63169</v>
      </c>
      <c r="D2364" s="133"/>
      <c r="E2364" s="133" t="str">
        <f>IFERROR(__xludf.DUMMYFUNCTION("""COMPUTED_VALUE"""),"مكتمل")</f>
        <v>مكتمل</v>
      </c>
      <c r="F2364" s="133" t="str">
        <f>IFERROR(__xludf.DUMMYFUNCTION("""COMPUTED_VALUE"""),"CeDe onderhoudsvoer Allround 1kg")</f>
        <v>CeDe onderhoudsvoer Allround 1kg</v>
      </c>
      <c r="G2364" s="133"/>
      <c r="H2364" s="133" t="str">
        <f>IFERROR(__xludf.DUMMYFUNCTION("""COMPUTED_VALUE"""),"FEM-25-1424-FEP-2025-1438-C-22548-1039
")</f>
        <v>FEM-25-1424-FEP-2025-1438-C-22548-1039
</v>
      </c>
      <c r="I2364" s="133"/>
      <c r="J2364" s="133"/>
      <c r="K2364" s="133"/>
      <c r="L2364" s="133"/>
      <c r="M2364" s="133"/>
      <c r="N2364" s="133"/>
      <c r="O2364" s="133"/>
      <c r="P2364" s="133"/>
      <c r="Q2364" s="133"/>
      <c r="R2364" s="133"/>
      <c r="S2364" s="133"/>
      <c r="T2364" s="133"/>
      <c r="U2364" s="133"/>
      <c r="V2364" s="133"/>
      <c r="W2364" s="133"/>
      <c r="X2364" s="133"/>
      <c r="Y2364" s="133"/>
      <c r="Z2364" s="133"/>
    </row>
    <row r="2365">
      <c r="A2365" s="133"/>
      <c r="B2365" s="133"/>
      <c r="C2365" s="133" t="str">
        <f>IFERROR(__xludf.DUMMYFUNCTION("""COMPUTED_VALUE"""),"2025-64438")</f>
        <v>2025-64438</v>
      </c>
      <c r="D2365" s="133"/>
      <c r="E2365" s="133" t="str">
        <f>IFERROR(__xludf.DUMMYFUNCTION("""COMPUTED_VALUE"""),"مكتمل ")</f>
        <v>مكتمل </v>
      </c>
      <c r="F2365" s="133" t="str">
        <f>IFERROR(__xludf.DUMMYFUNCTION("""COMPUTED_VALUE"""),"CeDe prote""ine mix 1kg")</f>
        <v>CeDe prote"ine mix 1kg</v>
      </c>
      <c r="G2365" s="133"/>
      <c r="H2365" s="133" t="str">
        <f>IFERROR(__xludf.DUMMYFUNCTION("""COMPUTED_VALUE"""),"FEM-25-1471-FEP-2025-2152-C-22548-1250
")</f>
        <v>FEM-25-1471-FEP-2025-2152-C-22548-1250
</v>
      </c>
      <c r="I2365" s="133"/>
      <c r="J2365" s="133"/>
      <c r="K2365" s="133"/>
      <c r="L2365" s="133"/>
      <c r="M2365" s="133"/>
      <c r="N2365" s="133"/>
      <c r="O2365" s="133"/>
      <c r="P2365" s="133"/>
      <c r="Q2365" s="133"/>
      <c r="R2365" s="133"/>
      <c r="S2365" s="133"/>
      <c r="T2365" s="133"/>
      <c r="U2365" s="133"/>
      <c r="V2365" s="133"/>
      <c r="W2365" s="133"/>
      <c r="X2365" s="133"/>
      <c r="Y2365" s="133"/>
      <c r="Z2365" s="133"/>
    </row>
    <row r="2366">
      <c r="A2366" s="133"/>
      <c r="B2366" s="133"/>
      <c r="C2366" s="133" t="str">
        <f>IFERROR(__xludf.DUMMYFUNCTION("""COMPUTED_VALUE"""),"2025-63137")</f>
        <v>2025-63137</v>
      </c>
      <c r="D2366" s="133"/>
      <c r="E2366" s="133" t="str">
        <f>IFERROR(__xludf.DUMMYFUNCTION("""COMPUTED_VALUE"""),"مكتمل")</f>
        <v>مكتمل</v>
      </c>
      <c r="F2366" s="133" t="str">
        <f>IFERROR(__xludf.DUMMYFUNCTION("""COMPUTED_VALUE"""),"CeDe eivoer rul Allround 1kg 200g")</f>
        <v>CeDe eivoer rul Allround 1kg 200g</v>
      </c>
      <c r="G2366" s="133"/>
      <c r="H2366" s="133" t="str">
        <f>IFERROR(__xludf.DUMMYFUNCTION("""COMPUTED_VALUE"""),"FEM-25-1423-FEP-2025-1437-C-22548-1037
")</f>
        <v>FEM-25-1423-FEP-2025-1437-C-22548-1037
</v>
      </c>
      <c r="I2366" s="133"/>
      <c r="J2366" s="133"/>
      <c r="K2366" s="133"/>
      <c r="L2366" s="133"/>
      <c r="M2366" s="133"/>
      <c r="N2366" s="133"/>
      <c r="O2366" s="133"/>
      <c r="P2366" s="133"/>
      <c r="Q2366" s="133"/>
      <c r="R2366" s="133"/>
      <c r="S2366" s="133"/>
      <c r="T2366" s="133"/>
      <c r="U2366" s="133"/>
      <c r="V2366" s="133"/>
      <c r="W2366" s="133"/>
      <c r="X2366" s="133"/>
      <c r="Y2366" s="133"/>
      <c r="Z2366" s="133"/>
    </row>
    <row r="2367">
      <c r="A2367" s="133"/>
      <c r="B2367" s="133"/>
      <c r="C2367" s="133"/>
      <c r="D2367" s="133"/>
      <c r="E2367" s="133"/>
      <c r="F2367" s="133"/>
      <c r="G2367" s="133"/>
      <c r="H2367" s="133" t="str">
        <f>IFERROR(__xludf.DUMMYFUNCTION("""COMPUTED_VALUE"""),"FEM-25-1423-FEP-2025-1437-C-22548-1037
")</f>
        <v>FEM-25-1423-FEP-2025-1437-C-22548-1037
</v>
      </c>
      <c r="I2367" s="133"/>
      <c r="J2367" s="133"/>
      <c r="K2367" s="133"/>
      <c r="L2367" s="133"/>
      <c r="M2367" s="133"/>
      <c r="N2367" s="133"/>
      <c r="O2367" s="133"/>
      <c r="P2367" s="133"/>
      <c r="Q2367" s="133"/>
      <c r="R2367" s="133"/>
      <c r="S2367" s="133"/>
      <c r="T2367" s="133"/>
      <c r="U2367" s="133"/>
      <c r="V2367" s="133"/>
      <c r="W2367" s="133"/>
      <c r="X2367" s="133"/>
      <c r="Y2367" s="133"/>
      <c r="Z2367" s="133"/>
    </row>
    <row r="2368">
      <c r="A2368" s="133"/>
      <c r="B2368" s="133"/>
      <c r="C2368" s="133" t="str">
        <f>IFERROR(__xludf.DUMMYFUNCTION("""COMPUTED_VALUE"""),"2025-63178")</f>
        <v>2025-63178</v>
      </c>
      <c r="D2368" s="133"/>
      <c r="E2368" s="133" t="str">
        <f>IFERROR(__xludf.DUMMYFUNCTION("""COMPUTED_VALUE"""),"مكتمل")</f>
        <v>مكتمل</v>
      </c>
      <c r="F2368" s="133" t="str">
        <f>IFERROR(__xludf.DUMMYFUNCTION("""COMPUTED_VALUE"""),"CeDe eivoer rul All round tropisch fruit 200g")</f>
        <v>CeDe eivoer rul All round tropisch fruit 200g</v>
      </c>
      <c r="G2368" s="133"/>
      <c r="H2368" s="133" t="str">
        <f>IFERROR(__xludf.DUMMYFUNCTION("""COMPUTED_VALUE"""),"FEM-25-1425-FEP-2025-2155-C-22548-1251
")</f>
        <v>FEM-25-1425-FEP-2025-2155-C-22548-1251
</v>
      </c>
      <c r="I2368" s="133"/>
      <c r="J2368" s="133"/>
      <c r="K2368" s="133"/>
      <c r="L2368" s="133"/>
      <c r="M2368" s="133"/>
      <c r="N2368" s="133"/>
      <c r="O2368" s="133"/>
      <c r="P2368" s="133"/>
      <c r="Q2368" s="133"/>
      <c r="R2368" s="133"/>
      <c r="S2368" s="133"/>
      <c r="T2368" s="133"/>
      <c r="U2368" s="133"/>
      <c r="V2368" s="133"/>
      <c r="W2368" s="133"/>
      <c r="X2368" s="133"/>
      <c r="Y2368" s="133"/>
      <c r="Z2368" s="133"/>
    </row>
    <row r="2369">
      <c r="A2369" s="133"/>
      <c r="B2369" s="133"/>
      <c r="C2369" s="133" t="str">
        <f>IFERROR(__xludf.DUMMYFUNCTION("""COMPUTED_VALUE"""),"2025-63216")</f>
        <v>2025-63216</v>
      </c>
      <c r="D2369" s="133"/>
      <c r="E2369" s="133" t="str">
        <f>IFERROR(__xludf.DUMMYFUNCTION("""COMPUTED_VALUE"""),"مكتمل")</f>
        <v>مكتمل</v>
      </c>
      <c r="F2369" s="133" t="str">
        <f>IFERROR(__xludf.DUMMYFUNCTION("""COMPUTED_VALUE"""),"CeDe eivoer rul Allround kruiden &amp; appel 200g")</f>
        <v>CeDe eivoer rul Allround kruiden &amp; appel 200g</v>
      </c>
      <c r="G2369" s="133"/>
      <c r="H2369" s="133" t="str">
        <f>IFERROR(__xludf.DUMMYFUNCTION("""COMPUTED_VALUE"""),"FEM-25-1426-FEP-2025-1441-C-22548-1038
")</f>
        <v>FEM-25-1426-FEP-2025-1441-C-22548-1038
</v>
      </c>
      <c r="I2369" s="133"/>
      <c r="J2369" s="133"/>
      <c r="K2369" s="133"/>
      <c r="L2369" s="133"/>
      <c r="M2369" s="133"/>
      <c r="N2369" s="133"/>
      <c r="O2369" s="133"/>
      <c r="P2369" s="133"/>
      <c r="Q2369" s="133"/>
      <c r="R2369" s="133"/>
      <c r="S2369" s="133"/>
      <c r="T2369" s="133"/>
      <c r="U2369" s="133"/>
      <c r="V2369" s="133"/>
      <c r="W2369" s="133"/>
      <c r="X2369" s="133"/>
      <c r="Y2369" s="133"/>
      <c r="Z2369" s="133"/>
    </row>
    <row r="2370">
      <c r="A2370" s="133"/>
      <c r="B2370" s="133"/>
      <c r="C2370" s="133" t="str">
        <f>IFERROR(__xludf.DUMMYFUNCTION("""COMPUTED_VALUE"""),"2025-63233")</f>
        <v>2025-63233</v>
      </c>
      <c r="D2370" s="133"/>
      <c r="E2370" s="133" t="str">
        <f>IFERROR(__xludf.DUMMYFUNCTION("""COMPUTED_VALUE"""),"مكتمل")</f>
        <v>مكتمل</v>
      </c>
      <c r="F2370" s="133" t="str">
        <f>IFERROR(__xludf.DUMMYFUNCTION("""COMPUTED_VALUE"""),"CeDe eivoer rul All round noten &amp; fruit grof 200g")</f>
        <v>CeDe eivoer rul All round noten &amp; fruit grof 200g</v>
      </c>
      <c r="G2370" s="133"/>
      <c r="H2370" s="133" t="str">
        <f>IFERROR(__xludf.DUMMYFUNCTION("""COMPUTED_VALUE"""),"FEM-25-1427-FEP-2025-1442-C-22548-1036
")</f>
        <v>FEM-25-1427-FEP-2025-1442-C-22548-1036
</v>
      </c>
      <c r="I2370" s="133"/>
      <c r="J2370" s="133"/>
      <c r="K2370" s="133"/>
      <c r="L2370" s="133"/>
      <c r="M2370" s="133"/>
      <c r="N2370" s="133"/>
      <c r="O2370" s="133"/>
      <c r="P2370" s="133"/>
      <c r="Q2370" s="133"/>
      <c r="R2370" s="133"/>
      <c r="S2370" s="133"/>
      <c r="T2370" s="133"/>
      <c r="U2370" s="133"/>
      <c r="V2370" s="133"/>
      <c r="W2370" s="133"/>
      <c r="X2370" s="133"/>
      <c r="Y2370" s="133"/>
      <c r="Z2370" s="133"/>
    </row>
    <row r="2371">
      <c r="A2371" s="133"/>
      <c r="B2371" s="133"/>
      <c r="C2371" s="133" t="str">
        <f>IFERROR(__xludf.DUMMYFUNCTION("""COMPUTED_VALUE"""),"2025-63285")</f>
        <v>2025-63285</v>
      </c>
      <c r="D2371" s="133"/>
      <c r="E2371" s="133" t="str">
        <f>IFERROR(__xludf.DUMMYFUNCTION("""COMPUTED_VALUE"""),"مكتمل")</f>
        <v>مكتمل</v>
      </c>
      <c r="F2371" s="133" t="str">
        <f>IFERROR(__xludf.DUMMYFUNCTION("""COMPUTED_VALUE"""),"CeDe eivoer Allround 100% eicake 120g")</f>
        <v>CeDe eivoer Allround 100% eicake 120g</v>
      </c>
      <c r="G2371" s="133"/>
      <c r="H2371" s="133" t="str">
        <f>IFERROR(__xludf.DUMMYFUNCTION("""COMPUTED_VALUE"""),"FEM-25-1431-FEP-2025-1444-C-22548-1040
")</f>
        <v>FEM-25-1431-FEP-2025-1444-C-22548-1040
</v>
      </c>
      <c r="I2371" s="133"/>
      <c r="J2371" s="133"/>
      <c r="K2371" s="133"/>
      <c r="L2371" s="133"/>
      <c r="M2371" s="133"/>
      <c r="N2371" s="133"/>
      <c r="O2371" s="133"/>
      <c r="P2371" s="133"/>
      <c r="Q2371" s="133"/>
      <c r="R2371" s="133"/>
      <c r="S2371" s="133"/>
      <c r="T2371" s="133"/>
      <c r="U2371" s="133"/>
      <c r="V2371" s="133"/>
      <c r="W2371" s="133"/>
      <c r="X2371" s="133"/>
      <c r="Y2371" s="133"/>
      <c r="Z2371" s="133"/>
    </row>
    <row r="2372">
      <c r="A2372" s="133"/>
      <c r="B2372" s="133"/>
      <c r="C2372" s="133" t="str">
        <f>IFERROR(__xludf.DUMMYFUNCTION("""COMPUTED_VALUE"""),"2025-34214")</f>
        <v>2025-34214</v>
      </c>
      <c r="D2372" s="133"/>
      <c r="E2372" s="133" t="str">
        <f>IFERROR(__xludf.DUMMYFUNCTION("""COMPUTED_VALUE"""),"مكتمل")</f>
        <v>مكتمل</v>
      </c>
      <c r="F2372" s="133" t="str">
        <f>IFERROR(__xludf.DUMMYFUNCTION("""COMPUTED_VALUE"""),"ECHO Mini/Toy 1,5kg")</f>
        <v>ECHO Mini/Toy 1,5kg</v>
      </c>
      <c r="G2372" s="133"/>
      <c r="H2372" s="133" t="str">
        <f>IFERROR(__xludf.DUMMYFUNCTION("""COMPUTED_VALUE"""),"FEM-25-0847-FEP-2025-0879-C-22548-0621
")</f>
        <v>FEM-25-0847-FEP-2025-0879-C-22548-0621
</v>
      </c>
      <c r="I2372" s="133"/>
      <c r="J2372" s="133"/>
      <c r="K2372" s="133"/>
      <c r="L2372" s="133"/>
      <c r="M2372" s="133"/>
      <c r="N2372" s="133"/>
      <c r="O2372" s="133"/>
      <c r="P2372" s="133"/>
      <c r="Q2372" s="133"/>
      <c r="R2372" s="133"/>
      <c r="S2372" s="133"/>
      <c r="T2372" s="133"/>
      <c r="U2372" s="133"/>
      <c r="V2372" s="133"/>
      <c r="W2372" s="133"/>
      <c r="X2372" s="133"/>
      <c r="Y2372" s="133"/>
      <c r="Z2372" s="133"/>
    </row>
    <row r="2373">
      <c r="A2373" s="133"/>
      <c r="B2373" s="133"/>
      <c r="C2373" s="133" t="str">
        <f>IFERROR(__xludf.DUMMYFUNCTION("""COMPUTED_VALUE"""),"2025-34253")</f>
        <v>2025-34253</v>
      </c>
      <c r="D2373" s="133"/>
      <c r="E2373" s="133" t="str">
        <f>IFERROR(__xludf.DUMMYFUNCTION("""COMPUTED_VALUE"""),"مكتمل")</f>
        <v>مكتمل</v>
      </c>
      <c r="F2373" s="133" t="str">
        <f>IFERROR(__xludf.DUMMYFUNCTION("""COMPUTED_VALUE"""),"DERMO Mini/Toy 1,5kg")</f>
        <v>DERMO Mini/Toy 1,5kg</v>
      </c>
      <c r="G2373" s="133"/>
      <c r="H2373" s="133" t="str">
        <f>IFERROR(__xludf.DUMMYFUNCTION("""COMPUTED_VALUE"""),"FEM-25-0848-FEP-2025-0880-C-22548-0623
")</f>
        <v>FEM-25-0848-FEP-2025-0880-C-22548-0623
</v>
      </c>
      <c r="I2373" s="133"/>
      <c r="J2373" s="133"/>
      <c r="K2373" s="133"/>
      <c r="L2373" s="133"/>
      <c r="M2373" s="133"/>
      <c r="N2373" s="133"/>
      <c r="O2373" s="133"/>
      <c r="P2373" s="133"/>
      <c r="Q2373" s="133"/>
      <c r="R2373" s="133"/>
      <c r="S2373" s="133"/>
      <c r="T2373" s="133"/>
      <c r="U2373" s="133"/>
      <c r="V2373" s="133"/>
      <c r="W2373" s="133"/>
      <c r="X2373" s="133"/>
      <c r="Y2373" s="133"/>
      <c r="Z2373" s="133"/>
    </row>
    <row r="2374">
      <c r="A2374" s="133"/>
      <c r="B2374" s="133"/>
      <c r="C2374" s="133" t="str">
        <f>IFERROR(__xludf.DUMMYFUNCTION("""COMPUTED_VALUE"""),"2025-34301")</f>
        <v>2025-34301</v>
      </c>
      <c r="D2374" s="133"/>
      <c r="E2374" s="133" t="str">
        <f>IFERROR(__xludf.DUMMYFUNCTION("""COMPUTED_VALUE"""),"مكتمل")</f>
        <v>مكتمل</v>
      </c>
      <c r="F2374" s="133" t="str">
        <f>IFERROR(__xludf.DUMMYFUNCTION("""COMPUTED_VALUE"""),"INTESTINAL Mini/Toy 1 ,5kg ")</f>
        <v>INTESTINAL Mini/Toy 1 ,5kg </v>
      </c>
      <c r="G2374" s="133"/>
      <c r="H2374" s="133" t="str">
        <f>IFERROR(__xludf.DUMMYFUNCTION("""COMPUTED_VALUE"""),"FEM-25-0849-FEP-2025-0881-C-22548-0622
")</f>
        <v>FEM-25-0849-FEP-2025-0881-C-22548-0622
</v>
      </c>
      <c r="I2374" s="133"/>
      <c r="J2374" s="133"/>
      <c r="K2374" s="133"/>
      <c r="L2374" s="133"/>
      <c r="M2374" s="133"/>
      <c r="N2374" s="133"/>
      <c r="O2374" s="133"/>
      <c r="P2374" s="133"/>
      <c r="Q2374" s="133"/>
      <c r="R2374" s="133"/>
      <c r="S2374" s="133"/>
      <c r="T2374" s="133"/>
      <c r="U2374" s="133"/>
      <c r="V2374" s="133"/>
      <c r="W2374" s="133"/>
      <c r="X2374" s="133"/>
      <c r="Y2374" s="133"/>
      <c r="Z2374" s="133"/>
    </row>
    <row r="2375">
      <c r="A2375" s="133"/>
      <c r="B2375" s="133"/>
      <c r="C2375" s="133"/>
      <c r="D2375" s="133"/>
      <c r="E2375" s="133" t="str">
        <f>IFERROR(__xludf.DUMMYFUNCTION("""COMPUTED_VALUE"""),"مكتمل")</f>
        <v>مكتمل</v>
      </c>
      <c r="F2375" s="133" t="str">
        <f>IFERROR(__xludf.DUMMYFUNCTION("""COMPUTED_VALUE"""),"Salmon Oil 430ml")</f>
        <v>Salmon Oil 430ml</v>
      </c>
      <c r="G2375" s="133"/>
      <c r="H2375" s="133" t="str">
        <f>IFERROR(__xludf.DUMMYFUNCTION("""COMPUTED_VALUE"""),"FOM-2024-5932-FEB-2024-44195 -C-0041-64992")</f>
        <v>FOM-2024-5932-FEB-2024-44195 -C-0041-64992</v>
      </c>
      <c r="I2375" s="133"/>
      <c r="J2375" s="133"/>
      <c r="K2375" s="133"/>
      <c r="L2375" s="133"/>
      <c r="M2375" s="133"/>
      <c r="N2375" s="133"/>
      <c r="O2375" s="133"/>
      <c r="P2375" s="133"/>
      <c r="Q2375" s="133"/>
      <c r="R2375" s="133"/>
      <c r="S2375" s="133"/>
      <c r="T2375" s="133"/>
      <c r="U2375" s="133"/>
      <c r="V2375" s="133"/>
      <c r="W2375" s="133"/>
      <c r="X2375" s="133"/>
      <c r="Y2375" s="133"/>
      <c r="Z2375" s="133"/>
    </row>
    <row r="2376">
      <c r="A2376" s="133"/>
      <c r="B2376" s="133"/>
      <c r="C2376" s="133" t="str">
        <f>IFERROR(__xludf.DUMMYFUNCTION("""COMPUTED_VALUE"""),"2025-73675")</f>
        <v>2025-73675</v>
      </c>
      <c r="D2376" s="133"/>
      <c r="E2376" s="133" t="str">
        <f>IFERROR(__xludf.DUMMYFUNCTION("""COMPUTED_VALUE"""),"مكتمل")</f>
        <v>مكتمل</v>
      </c>
      <c r="F2376" s="133" t="str">
        <f>IFERROR(__xludf.DUMMYFUNCTION("""COMPUTED_VALUE"""),"Felyngo Salmon in gravy 75g")</f>
        <v>Felyngo Salmon in gravy 75g</v>
      </c>
      <c r="G2376" s="133" t="str">
        <f>IFERROR(__xludf.DUMMYFUNCTION("""COMPUTED_VALUE"""),"سمك السلمون بمرق الصلصة")</f>
        <v>سمك السلمون بمرق الصلصة</v>
      </c>
      <c r="H2376" s="133" t="str">
        <f>IFERROR(__xludf.DUMMYFUNCTION("""COMPUTED_VALUE"""),"FEM-25-1659-FEP-2025-1683-C-22548-1178
")</f>
        <v>FEM-25-1659-FEP-2025-1683-C-22548-1178
</v>
      </c>
      <c r="I2376" s="133"/>
      <c r="J2376" s="133"/>
      <c r="K2376" s="133"/>
      <c r="L2376" s="133"/>
      <c r="M2376" s="133"/>
      <c r="N2376" s="133"/>
      <c r="O2376" s="133"/>
      <c r="P2376" s="133"/>
      <c r="Q2376" s="133"/>
      <c r="R2376" s="133"/>
      <c r="S2376" s="133"/>
      <c r="T2376" s="133"/>
      <c r="U2376" s="133"/>
      <c r="V2376" s="133"/>
      <c r="W2376" s="133"/>
      <c r="X2376" s="133"/>
      <c r="Y2376" s="133"/>
      <c r="Z2376" s="133"/>
    </row>
    <row r="2377">
      <c r="A2377" s="133"/>
      <c r="B2377" s="133"/>
      <c r="C2377" s="133" t="str">
        <f>IFERROR(__xludf.DUMMYFUNCTION("""COMPUTED_VALUE"""),"2025-75574")</f>
        <v>2025-75574</v>
      </c>
      <c r="D2377" s="133"/>
      <c r="E2377" s="133" t="str">
        <f>IFERROR(__xludf.DUMMYFUNCTION("""COMPUTED_VALUE"""),"مكتمل ")</f>
        <v>مكتمل </v>
      </c>
      <c r="F2377" s="133" t="str">
        <f>IFERROR(__xludf.DUMMYFUNCTION("""COMPUTED_VALUE"""),"Felyn Go C&amp;B Cans Tuna in Gravy 75g")</f>
        <v>Felyn Go C&amp;B Cans Tuna in Gravy 75g</v>
      </c>
      <c r="G2377" s="133" t="str">
        <f>IFERROR(__xludf.DUMMYFUNCTION("""COMPUTED_VALUE"""),"لحم التونة الأبيض بمرق الصلصة")</f>
        <v>لحم التونة الأبيض بمرق الصلصة</v>
      </c>
      <c r="H2377" s="133" t="str">
        <f>IFERROR(__xludf.DUMMYFUNCTION("""COMPUTED_VALUE"""),"FEM-25-2443-FEP-2025-2358-C-22548-1930
")</f>
        <v>FEM-25-2443-FEP-2025-2358-C-22548-1930
</v>
      </c>
      <c r="I2377" s="133"/>
      <c r="J2377" s="133"/>
      <c r="K2377" s="133"/>
      <c r="L2377" s="133"/>
      <c r="M2377" s="133"/>
      <c r="N2377" s="133"/>
      <c r="O2377" s="133"/>
      <c r="P2377" s="133"/>
      <c r="Q2377" s="133"/>
      <c r="R2377" s="133"/>
      <c r="S2377" s="133"/>
      <c r="T2377" s="133"/>
      <c r="U2377" s="133"/>
      <c r="V2377" s="133"/>
      <c r="W2377" s="133"/>
      <c r="X2377" s="133"/>
      <c r="Y2377" s="133"/>
      <c r="Z2377" s="133"/>
    </row>
    <row r="2378">
      <c r="A2378" s="133"/>
      <c r="B2378" s="133"/>
      <c r="C2378" s="133" t="str">
        <f>IFERROR(__xludf.DUMMYFUNCTION("""COMPUTED_VALUE"""),"2025-73702")</f>
        <v>2025-73702</v>
      </c>
      <c r="D2378" s="133"/>
      <c r="E2378" s="133" t="str">
        <f>IFERROR(__xludf.DUMMYFUNCTION("""COMPUTED_VALUE"""),"مكتمل ")</f>
        <v>مكتمل </v>
      </c>
      <c r="F2378" s="133" t="str">
        <f>IFERROR(__xludf.DUMMYFUNCTION("""COMPUTED_VALUE"""),"Felyn Go C&amp;B Cans Mackerel with Pumpkin in Jelly 75g")</f>
        <v>Felyn Go C&amp;B Cans Mackerel with Pumpkin in Jelly 75g</v>
      </c>
      <c r="G2378" s="133" t="str">
        <f>IFERROR(__xludf.DUMMYFUNCTION("""COMPUTED_VALUE"""),"رقائق الماكريل و الياقطين في الجيلي")</f>
        <v>رقائق الماكريل و الياقطين في الجيلي</v>
      </c>
      <c r="H2378" s="133" t="str">
        <f>IFERROR(__xludf.DUMMYFUNCTION("""COMPUTED_VALUE"""),"FEM-25-1660-FEP-2025-2359-C-22548-1412
")</f>
        <v>FEM-25-1660-FEP-2025-2359-C-22548-1412
</v>
      </c>
      <c r="I2378" s="133"/>
      <c r="J2378" s="133"/>
      <c r="K2378" s="133"/>
      <c r="L2378" s="133"/>
      <c r="M2378" s="133"/>
      <c r="N2378" s="133"/>
      <c r="O2378" s="133"/>
      <c r="P2378" s="133"/>
      <c r="Q2378" s="133"/>
      <c r="R2378" s="133"/>
      <c r="S2378" s="133"/>
      <c r="T2378" s="133"/>
      <c r="U2378" s="133"/>
      <c r="V2378" s="133"/>
      <c r="W2378" s="133"/>
      <c r="X2378" s="133"/>
      <c r="Y2378" s="133"/>
      <c r="Z2378" s="133"/>
    </row>
    <row r="2379">
      <c r="A2379" s="133"/>
      <c r="B2379" s="133"/>
      <c r="C2379" s="133" t="str">
        <f>IFERROR(__xludf.DUMMYFUNCTION("""COMPUTED_VALUE"""),"2025-75587")</f>
        <v>2025-75587</v>
      </c>
      <c r="D2379" s="133"/>
      <c r="E2379" s="133" t="str">
        <f>IFERROR(__xludf.DUMMYFUNCTION("""COMPUTED_VALUE"""),"مكتمل ")</f>
        <v>مكتمل </v>
      </c>
      <c r="F2379" s="133" t="str">
        <f>IFERROR(__xludf.DUMMYFUNCTION("""COMPUTED_VALUE"""),"Felyn Go C&amp;B Cans Chicken in Gravy 75g")</f>
        <v>Felyn Go C&amp;B Cans Chicken in Gravy 75g</v>
      </c>
      <c r="G2379" s="133" t="str">
        <f>IFERROR(__xludf.DUMMYFUNCTION("""COMPUTED_VALUE"""),"دجاج بمرق الصلصة")</f>
        <v>دجاج بمرق الصلصة</v>
      </c>
      <c r="H2379" s="133" t="str">
        <f>IFERROR(__xludf.DUMMYFUNCTION("""COMPUTED_VALUE"""),"FEM-25-1737-FEP-2025-1754-C-22548-1179
")</f>
        <v>FEM-25-1737-FEP-2025-1754-C-22548-1179
</v>
      </c>
      <c r="I2379" s="133"/>
      <c r="J2379" s="133"/>
      <c r="K2379" s="133"/>
      <c r="L2379" s="133"/>
      <c r="M2379" s="133"/>
      <c r="N2379" s="133"/>
      <c r="O2379" s="133"/>
      <c r="P2379" s="133"/>
      <c r="Q2379" s="133"/>
      <c r="R2379" s="133"/>
      <c r="S2379" s="133"/>
      <c r="T2379" s="133"/>
      <c r="U2379" s="133"/>
      <c r="V2379" s="133"/>
      <c r="W2379" s="133"/>
      <c r="X2379" s="133"/>
      <c r="Y2379" s="133"/>
      <c r="Z2379" s="133"/>
    </row>
    <row r="2380">
      <c r="A2380" s="133"/>
      <c r="B2380" s="133"/>
      <c r="C2380" s="133" t="str">
        <f>IFERROR(__xludf.DUMMYFUNCTION("""COMPUTED_VALUE"""),"2025-73750")</f>
        <v>2025-73750</v>
      </c>
      <c r="D2380" s="133"/>
      <c r="E2380" s="133" t="str">
        <f>IFERROR(__xludf.DUMMYFUNCTION("""COMPUTED_VALUE"""),"مكتمل ")</f>
        <v>مكتمل </v>
      </c>
      <c r="F2380" s="133" t="str">
        <f>IFERROR(__xludf.DUMMYFUNCTION("""COMPUTED_VALUE"""),"Felyn Go C&amp;B Cans Chicken with Pumpkin &amp; Vegetables in Gravy 75g")</f>
        <v>Felyn Go C&amp;B Cans Chicken with Pumpkin &amp; Vegetables in Gravy 75g</v>
      </c>
      <c r="G2380" s="133" t="str">
        <f>IFERROR(__xludf.DUMMYFUNCTION("""COMPUTED_VALUE"""),"حساء الدجاج و اليقطين مع الخضار")</f>
        <v>حساء الدجاج و اليقطين مع الخضار</v>
      </c>
      <c r="H2380" s="133" t="str">
        <f>IFERROR(__xludf.DUMMYFUNCTION("""COMPUTED_VALUE"""),"FEM-25-1664-FEP-2025-2360-C-22548-1413
")</f>
        <v>FEM-25-1664-FEP-2025-2360-C-22548-1413
</v>
      </c>
      <c r="I2380" s="133"/>
      <c r="J2380" s="133"/>
      <c r="K2380" s="133"/>
      <c r="L2380" s="133"/>
      <c r="M2380" s="133"/>
      <c r="N2380" s="133"/>
      <c r="O2380" s="133"/>
      <c r="P2380" s="133"/>
      <c r="Q2380" s="133"/>
      <c r="R2380" s="133"/>
      <c r="S2380" s="133"/>
      <c r="T2380" s="133"/>
      <c r="U2380" s="133"/>
      <c r="V2380" s="133"/>
      <c r="W2380" s="133"/>
      <c r="X2380" s="133"/>
      <c r="Y2380" s="133"/>
      <c r="Z2380" s="133"/>
    </row>
    <row r="2381">
      <c r="A2381" s="133"/>
      <c r="B2381" s="133"/>
      <c r="C2381" s="133" t="str">
        <f>IFERROR(__xludf.DUMMYFUNCTION("""COMPUTED_VALUE"""),"2025-75597")</f>
        <v>2025-75597</v>
      </c>
      <c r="D2381" s="133"/>
      <c r="E2381" s="133" t="str">
        <f>IFERROR(__xludf.DUMMYFUNCTION("""COMPUTED_VALUE"""),"مكتمل ")</f>
        <v>مكتمل </v>
      </c>
      <c r="F2381" s="133" t="str">
        <f>IFERROR(__xludf.DUMMYFUNCTION("""COMPUTED_VALUE"""),"Felyn Go C&amp;B Cans Tuna with Pumpkin in Gravy 75g")</f>
        <v>Felyn Go C&amp;B Cans Tuna with Pumpkin in Gravy 75g</v>
      </c>
      <c r="G2381" s="133" t="str">
        <f>IFERROR(__xludf.DUMMYFUNCTION("""COMPUTED_VALUE"""),"حساء التونة مع اليقطين")</f>
        <v>حساء التونة مع اليقطين</v>
      </c>
      <c r="H2381" s="133" t="str">
        <f>IFERROR(__xludf.DUMMYFUNCTION("""COMPUTED_VALUE"""),"FEM-25-2442-FEP-2025-2357-C-22548-1409
")</f>
        <v>FEM-25-2442-FEP-2025-2357-C-22548-1409
</v>
      </c>
      <c r="I2381" s="133"/>
      <c r="J2381" s="133"/>
      <c r="K2381" s="133"/>
      <c r="L2381" s="133"/>
      <c r="M2381" s="133"/>
      <c r="N2381" s="133"/>
      <c r="O2381" s="133"/>
      <c r="P2381" s="133"/>
      <c r="Q2381" s="133"/>
      <c r="R2381" s="133"/>
      <c r="S2381" s="133"/>
      <c r="T2381" s="133"/>
      <c r="U2381" s="133"/>
      <c r="V2381" s="133"/>
      <c r="W2381" s="133"/>
      <c r="X2381" s="133"/>
      <c r="Y2381" s="133"/>
      <c r="Z2381" s="133"/>
    </row>
    <row r="2382">
      <c r="A2382" s="133"/>
      <c r="B2382" s="133"/>
      <c r="C2382" s="133" t="str">
        <f>IFERROR(__xludf.DUMMYFUNCTION("""COMPUTED_VALUE"""),"2025-75606")</f>
        <v>2025-75606</v>
      </c>
      <c r="D2382" s="133"/>
      <c r="E2382" s="133" t="str">
        <f>IFERROR(__xludf.DUMMYFUNCTION("""COMPUTED_VALUE"""),"مكتمل ")</f>
        <v>مكتمل </v>
      </c>
      <c r="F2382" s="133" t="str">
        <f>IFERROR(__xludf.DUMMYFUNCTION("""COMPUTED_VALUE"""),"Felyn Go C&amp;B Cans Tuna with Rice in Jelly 75g")</f>
        <v>Felyn Go C&amp;B Cans Tuna with Rice in Jelly 75g</v>
      </c>
      <c r="G2382" s="133" t="str">
        <f>IFERROR(__xludf.DUMMYFUNCTION("""COMPUTED_VALUE"""),"تونة مع الأرز بالجيلي")</f>
        <v>تونة مع الأرز بالجيلي</v>
      </c>
      <c r="H2382" s="133" t="str">
        <f>IFERROR(__xludf.DUMMYFUNCTION("""COMPUTED_VALUE"""),"FEM-25-1739-FEP-2025-1756-C-22548-1177
")</f>
        <v>FEM-25-1739-FEP-2025-1756-C-22548-1177
</v>
      </c>
      <c r="I2382" s="133"/>
      <c r="J2382" s="133"/>
      <c r="K2382" s="133"/>
      <c r="L2382" s="133"/>
      <c r="M2382" s="133"/>
      <c r="N2382" s="133"/>
      <c r="O2382" s="133"/>
      <c r="P2382" s="133"/>
      <c r="Q2382" s="133"/>
      <c r="R2382" s="133"/>
      <c r="S2382" s="133"/>
      <c r="T2382" s="133"/>
      <c r="U2382" s="133"/>
      <c r="V2382" s="133"/>
      <c r="W2382" s="133"/>
      <c r="X2382" s="133"/>
      <c r="Y2382" s="133"/>
      <c r="Z2382" s="133"/>
    </row>
    <row r="2383">
      <c r="A2383" s="133"/>
      <c r="B2383" s="133"/>
      <c r="C2383" s="133" t="str">
        <f>IFERROR(__xludf.DUMMYFUNCTION("""COMPUTED_VALUE"""),"missing artwork")</f>
        <v>missing artwork</v>
      </c>
      <c r="D2383" s="133"/>
      <c r="E2383" s="133"/>
      <c r="F2383" s="133" t="str">
        <f>IFERROR(__xludf.DUMMYFUNCTION("""COMPUTED_VALUE"""),"Tuna white meat and Rice with Pumpkin in Broth")</f>
        <v>Tuna white meat and Rice with Pumpkin in Broth</v>
      </c>
      <c r="G2383" s="133"/>
      <c r="H2383" s="133"/>
      <c r="I2383" s="133"/>
      <c r="J2383" s="133"/>
      <c r="K2383" s="133"/>
      <c r="L2383" s="133"/>
      <c r="M2383" s="133"/>
      <c r="N2383" s="133"/>
      <c r="O2383" s="133"/>
      <c r="P2383" s="133"/>
      <c r="Q2383" s="133"/>
      <c r="R2383" s="133"/>
      <c r="S2383" s="133"/>
      <c r="T2383" s="133"/>
      <c r="U2383" s="133"/>
      <c r="V2383" s="133"/>
      <c r="W2383" s="133"/>
      <c r="X2383" s="133"/>
      <c r="Y2383" s="133"/>
      <c r="Z2383" s="133"/>
    </row>
    <row r="2384">
      <c r="A2384" s="133"/>
      <c r="B2384" s="133"/>
      <c r="C2384" s="133" t="str">
        <f>IFERROR(__xludf.DUMMYFUNCTION("""COMPUTED_VALUE"""),"missing artwork")</f>
        <v>missing artwork</v>
      </c>
      <c r="D2384" s="133"/>
      <c r="E2384" s="133"/>
      <c r="F2384" s="133" t="str">
        <f>IFERROR(__xludf.DUMMYFUNCTION("""COMPUTED_VALUE"""),"Tuna white meat and Rice in Fish broth")</f>
        <v>Tuna white meat and Rice in Fish broth</v>
      </c>
      <c r="G2384" s="133"/>
      <c r="H2384" s="133"/>
      <c r="I2384" s="133"/>
      <c r="J2384" s="133"/>
      <c r="K2384" s="133"/>
      <c r="L2384" s="133"/>
      <c r="M2384" s="133"/>
      <c r="N2384" s="133"/>
      <c r="O2384" s="133"/>
      <c r="P2384" s="133"/>
      <c r="Q2384" s="133"/>
      <c r="R2384" s="133"/>
      <c r="S2384" s="133"/>
      <c r="T2384" s="133"/>
      <c r="U2384" s="133"/>
      <c r="V2384" s="133"/>
      <c r="W2384" s="133"/>
      <c r="X2384" s="133"/>
      <c r="Y2384" s="133"/>
      <c r="Z2384" s="133"/>
    </row>
    <row r="2385">
      <c r="A2385" s="133"/>
      <c r="B2385" s="133"/>
      <c r="C2385" s="133" t="str">
        <f>IFERROR(__xludf.DUMMYFUNCTION("""COMPUTED_VALUE"""),"missing artwork")</f>
        <v>missing artwork</v>
      </c>
      <c r="D2385" s="133"/>
      <c r="E2385" s="133"/>
      <c r="F2385" s="133" t="str">
        <f>IFERROR(__xludf.DUMMYFUNCTION("""COMPUTED_VALUE"""),"Tuna white meat, Seabream and Rice in Fish broth")</f>
        <v>Tuna white meat, Seabream and Rice in Fish broth</v>
      </c>
      <c r="G2385" s="133"/>
      <c r="H2385" s="133"/>
      <c r="I2385" s="133"/>
      <c r="J2385" s="133"/>
      <c r="K2385" s="133"/>
      <c r="L2385" s="133"/>
      <c r="M2385" s="133"/>
      <c r="N2385" s="133"/>
      <c r="O2385" s="133"/>
      <c r="P2385" s="133"/>
      <c r="Q2385" s="133"/>
      <c r="R2385" s="133"/>
      <c r="S2385" s="133"/>
      <c r="T2385" s="133"/>
      <c r="U2385" s="133"/>
      <c r="V2385" s="133"/>
      <c r="W2385" s="133"/>
      <c r="X2385" s="133"/>
      <c r="Y2385" s="133"/>
      <c r="Z2385" s="133"/>
    </row>
    <row r="2386">
      <c r="A2386" s="133"/>
      <c r="B2386" s="133"/>
      <c r="C2386" s="133" t="str">
        <f>IFERROR(__xludf.DUMMYFUNCTION("""COMPUTED_VALUE"""),"missing artwork")</f>
        <v>missing artwork</v>
      </c>
      <c r="D2386" s="133"/>
      <c r="E2386" s="133"/>
      <c r="F2386" s="133" t="str">
        <f>IFERROR(__xludf.DUMMYFUNCTION("""COMPUTED_VALUE"""),"Chicken with Seabream and Rice in Chicken broth")</f>
        <v>Chicken with Seabream and Rice in Chicken broth</v>
      </c>
      <c r="G2386" s="133"/>
      <c r="H2386" s="133"/>
      <c r="I2386" s="133"/>
      <c r="J2386" s="133"/>
      <c r="K2386" s="133"/>
      <c r="L2386" s="133"/>
      <c r="M2386" s="133"/>
      <c r="N2386" s="133"/>
      <c r="O2386" s="133"/>
      <c r="P2386" s="133"/>
      <c r="Q2386" s="133"/>
      <c r="R2386" s="133"/>
      <c r="S2386" s="133"/>
      <c r="T2386" s="133"/>
      <c r="U2386" s="133"/>
      <c r="V2386" s="133"/>
      <c r="W2386" s="133"/>
      <c r="X2386" s="133"/>
      <c r="Y2386" s="133"/>
      <c r="Z2386" s="133"/>
    </row>
    <row r="2387">
      <c r="A2387" s="133"/>
      <c r="B2387" s="133"/>
      <c r="C2387" s="133" t="str">
        <f>IFERROR(__xludf.DUMMYFUNCTION("""COMPUTED_VALUE"""),"2025-73720")</f>
        <v>2025-73720</v>
      </c>
      <c r="D2387" s="133"/>
      <c r="E2387" s="133" t="str">
        <f>IFERROR(__xludf.DUMMYFUNCTION("""COMPUTED_VALUE"""),"مرفوض ")</f>
        <v>مرفوض </v>
      </c>
      <c r="F2387" s="133" t="str">
        <f>IFERROR(__xludf.DUMMYFUNCTION("""COMPUTED_VALUE"""),"Felyngo Chicken and Rice with Spinach in Jelly")</f>
        <v>Felyngo Chicken and Rice with Spinach in Jelly</v>
      </c>
      <c r="G2387" s="133" t="str">
        <f>IFERROR(__xludf.DUMMYFUNCTION("""COMPUTED_VALUE"""),"الدجاج والأرز مع السبانخ بالجيلي")</f>
        <v>الدجاج والأرز مع السبانخ بالجيلي</v>
      </c>
      <c r="H2387" s="133"/>
      <c r="I2387" s="133"/>
      <c r="J2387" s="133"/>
      <c r="K2387" s="133"/>
      <c r="L2387" s="133"/>
      <c r="M2387" s="133"/>
      <c r="N2387" s="133"/>
      <c r="O2387" s="133"/>
      <c r="P2387" s="133"/>
      <c r="Q2387" s="133"/>
      <c r="R2387" s="133"/>
      <c r="S2387" s="133"/>
      <c r="T2387" s="133"/>
      <c r="U2387" s="133"/>
      <c r="V2387" s="133"/>
      <c r="W2387" s="133"/>
      <c r="X2387" s="133"/>
      <c r="Y2387" s="133"/>
      <c r="Z2387" s="133"/>
    </row>
    <row r="2388">
      <c r="A2388" s="133"/>
      <c r="B2388" s="133"/>
      <c r="C2388" s="133" t="str">
        <f>IFERROR(__xludf.DUMMYFUNCTION("""COMPUTED_VALUE"""),"2025-74007")</f>
        <v>2025-74007</v>
      </c>
      <c r="D2388" s="133"/>
      <c r="E2388" s="133" t="str">
        <f>IFERROR(__xludf.DUMMYFUNCTION("""COMPUTED_VALUE"""),"مكتمل ")</f>
        <v>مكتمل </v>
      </c>
      <c r="F2388" s="133" t="str">
        <f>IFERROR(__xludf.DUMMYFUNCTION("""COMPUTED_VALUE"""),"Felyn Go C&amp;B Cans Chicken with Beef in Jelly 75g")</f>
        <v>Felyn Go C&amp;B Cans Chicken with Beef in Jelly 75g</v>
      </c>
      <c r="G2388" s="133" t="str">
        <f>IFERROR(__xludf.DUMMYFUNCTION("""COMPUTED_VALUE"""),"الدجاج مع لحم البقر بالجيلي")</f>
        <v>الدجاج مع لحم البقر بالجيلي</v>
      </c>
      <c r="H2388" s="133" t="str">
        <f>IFERROR(__xludf.DUMMYFUNCTION("""COMPUTED_VALUE"""),"FEM-25-1668-FEP-2025-1691-C-22548-1142
")</f>
        <v>FEM-25-1668-FEP-2025-1691-C-22548-1142
</v>
      </c>
      <c r="I2388" s="133"/>
      <c r="J2388" s="133"/>
      <c r="K2388" s="133"/>
      <c r="L2388" s="133"/>
      <c r="M2388" s="133"/>
      <c r="N2388" s="133"/>
      <c r="O2388" s="133"/>
      <c r="P2388" s="133"/>
      <c r="Q2388" s="133"/>
      <c r="R2388" s="133"/>
      <c r="S2388" s="133"/>
      <c r="T2388" s="133"/>
      <c r="U2388" s="133"/>
      <c r="V2388" s="133"/>
      <c r="W2388" s="133"/>
      <c r="X2388" s="133"/>
      <c r="Y2388" s="133"/>
      <c r="Z2388" s="133"/>
    </row>
    <row r="2389">
      <c r="A2389" s="133"/>
      <c r="B2389" s="133"/>
      <c r="C2389" s="133" t="str">
        <f>IFERROR(__xludf.DUMMYFUNCTION("""COMPUTED_VALUE"""),"2025-74030")</f>
        <v>2025-74030</v>
      </c>
      <c r="D2389" s="133"/>
      <c r="E2389" s="133" t="str">
        <f>IFERROR(__xludf.DUMMYFUNCTION("""COMPUTED_VALUE"""),"مكتمل ")</f>
        <v>مكتمل </v>
      </c>
      <c r="F2389" s="133" t="str">
        <f>IFERROR(__xludf.DUMMYFUNCTION("""COMPUTED_VALUE"""),"Felyn Go C&amp;B Cans Chicken with Pumpkin &amp; Rice in Jelly 75g")</f>
        <v>Felyn Go C&amp;B Cans Chicken with Pumpkin &amp; Rice in Jelly 75g</v>
      </c>
      <c r="G2389" s="133" t="str">
        <f>IFERROR(__xludf.DUMMYFUNCTION("""COMPUTED_VALUE"""),"الدجاج وارز مع اليقطين بالجيلي")</f>
        <v>الدجاج وارز مع اليقطين بالجيلي</v>
      </c>
      <c r="H2389" s="133" t="str">
        <f>IFERROR(__xludf.DUMMYFUNCTION("""COMPUTED_VALUE"""),"FEM-25-2440-FEP-2025-2355-C-22548-1411
")</f>
        <v>FEM-25-2440-FEP-2025-2355-C-22548-1411
</v>
      </c>
      <c r="I2389" s="133"/>
      <c r="J2389" s="133"/>
      <c r="K2389" s="133"/>
      <c r="L2389" s="133"/>
      <c r="M2389" s="133"/>
      <c r="N2389" s="133"/>
      <c r="O2389" s="133"/>
      <c r="P2389" s="133"/>
      <c r="Q2389" s="133"/>
      <c r="R2389" s="133"/>
      <c r="S2389" s="133"/>
      <c r="T2389" s="133"/>
      <c r="U2389" s="133"/>
      <c r="V2389" s="133"/>
      <c r="W2389" s="133"/>
      <c r="X2389" s="133"/>
      <c r="Y2389" s="133"/>
      <c r="Z2389" s="133"/>
    </row>
    <row r="2390">
      <c r="A2390" s="133"/>
      <c r="B2390" s="133"/>
      <c r="C2390" s="133" t="str">
        <f>IFERROR(__xludf.DUMMYFUNCTION("""COMPUTED_VALUE"""),"2025-74056")</f>
        <v>2025-74056</v>
      </c>
      <c r="D2390" s="133"/>
      <c r="E2390" s="133" t="str">
        <f>IFERROR(__xludf.DUMMYFUNCTION("""COMPUTED_VALUE"""),"مكتمل ")</f>
        <v>مكتمل </v>
      </c>
      <c r="F2390" s="133" t="str">
        <f>IFERROR(__xludf.DUMMYFUNCTION("""COMPUTED_VALUE"""),"Felyn Go C&amp;B Cans Chicken with Green Peas &amp; Rice in Jelly 75g")</f>
        <v>Felyn Go C&amp;B Cans Chicken with Green Peas &amp; Rice in Jelly 75g</v>
      </c>
      <c r="G2390" s="133" t="str">
        <f>IFERROR(__xludf.DUMMYFUNCTION("""COMPUTED_VALUE"""),"الدجاج والأرز مع البسلة الخضراء بالجيلي")</f>
        <v>الدجاج والأرز مع البسلة الخضراء بالجيلي</v>
      </c>
      <c r="H2390" s="133" t="str">
        <f>IFERROR(__xludf.DUMMYFUNCTION("""COMPUTED_VALUE"""),"FEM-25-2438-FEP-2025-2354-C-22548-1410
")</f>
        <v>FEM-25-2438-FEP-2025-2354-C-22548-1410
</v>
      </c>
      <c r="I2390" s="133"/>
      <c r="J2390" s="133"/>
      <c r="K2390" s="133"/>
      <c r="L2390" s="133"/>
      <c r="M2390" s="133"/>
      <c r="N2390" s="133"/>
      <c r="O2390" s="133"/>
      <c r="P2390" s="133"/>
      <c r="Q2390" s="133"/>
      <c r="R2390" s="133"/>
      <c r="S2390" s="133"/>
      <c r="T2390" s="133"/>
      <c r="U2390" s="133"/>
      <c r="V2390" s="133"/>
      <c r="W2390" s="133"/>
      <c r="X2390" s="133"/>
      <c r="Y2390" s="133"/>
      <c r="Z2390" s="133"/>
    </row>
    <row r="2391">
      <c r="A2391" s="133"/>
      <c r="B2391" s="133"/>
      <c r="C2391" s="133" t="str">
        <f>IFERROR(__xludf.DUMMYFUNCTION("""COMPUTED_VALUE"""),"missing artwork")</f>
        <v>missing artwork</v>
      </c>
      <c r="D2391" s="133"/>
      <c r="E2391" s="133"/>
      <c r="F2391" s="133" t="str">
        <f>IFERROR(__xludf.DUMMYFUNCTION("""COMPUTED_VALUE"""),"Salmon and Rice in Solution")</f>
        <v>Salmon and Rice in Solution</v>
      </c>
      <c r="G2391" s="133"/>
      <c r="H2391" s="133"/>
      <c r="I2391" s="133"/>
      <c r="J2391" s="133"/>
      <c r="K2391" s="133"/>
      <c r="L2391" s="133"/>
      <c r="M2391" s="133"/>
      <c r="N2391" s="133"/>
      <c r="O2391" s="133"/>
      <c r="P2391" s="133"/>
      <c r="Q2391" s="133"/>
      <c r="R2391" s="133"/>
      <c r="S2391" s="133"/>
      <c r="T2391" s="133"/>
      <c r="U2391" s="133"/>
      <c r="V2391" s="133"/>
      <c r="W2391" s="133"/>
      <c r="X2391" s="133"/>
      <c r="Y2391" s="133"/>
      <c r="Z2391" s="133"/>
    </row>
    <row r="2392">
      <c r="A2392" s="133"/>
      <c r="B2392" s="133"/>
      <c r="C2392" s="133" t="str">
        <f>IFERROR(__xludf.DUMMYFUNCTION("""COMPUTED_VALUE"""),"2025-74090")</f>
        <v>2025-74090</v>
      </c>
      <c r="D2392" s="133"/>
      <c r="E2392" s="133" t="str">
        <f>IFERROR(__xludf.DUMMYFUNCTION("""COMPUTED_VALUE"""),"مكتمل ")</f>
        <v>مكتمل </v>
      </c>
      <c r="F2392" s="133" t="str">
        <f>IFERROR(__xludf.DUMMYFUNCTION("""COMPUTED_VALUE"""),"Felyn Go C&amp;B Cans Tuna with Surimi in Jelly 75g")</f>
        <v>Felyn Go C&amp;B Cans Tuna with Surimi in Jelly 75g</v>
      </c>
      <c r="G2392" s="133" t="str">
        <f>IFERROR(__xludf.DUMMYFUNCTION("""COMPUTED_VALUE"""),"لحم التونة بالسوريمي بالجيلي")</f>
        <v>لحم التونة بالسوريمي بالجيلي</v>
      </c>
      <c r="H2392" s="133" t="str">
        <f>IFERROR(__xludf.DUMMYFUNCTION("""COMPUTED_VALUE"""),"FEM-25-1675-FEP-2025-1699-C-22548-1163
")</f>
        <v>FEM-25-1675-FEP-2025-1699-C-22548-1163
</v>
      </c>
      <c r="I2392" s="133"/>
      <c r="J2392" s="133"/>
      <c r="K2392" s="133"/>
      <c r="L2392" s="133"/>
      <c r="M2392" s="133"/>
      <c r="N2392" s="133"/>
      <c r="O2392" s="133"/>
      <c r="P2392" s="133"/>
      <c r="Q2392" s="133"/>
      <c r="R2392" s="133"/>
      <c r="S2392" s="133"/>
      <c r="T2392" s="133"/>
      <c r="U2392" s="133"/>
      <c r="V2392" s="133"/>
      <c r="W2392" s="133"/>
      <c r="X2392" s="133"/>
      <c r="Y2392" s="133"/>
      <c r="Z2392" s="133"/>
    </row>
    <row r="2393">
      <c r="A2393" s="133"/>
      <c r="B2393" s="133"/>
      <c r="C2393" s="133" t="str">
        <f>IFERROR(__xludf.DUMMYFUNCTION("""COMPUTED_VALUE"""),"2025-74108")</f>
        <v>2025-74108</v>
      </c>
      <c r="D2393" s="133"/>
      <c r="E2393" s="133" t="str">
        <f>IFERROR(__xludf.DUMMYFUNCTION("""COMPUTED_VALUE"""),"مكتمل ")</f>
        <v>مكتمل </v>
      </c>
      <c r="F2393" s="133" t="str">
        <f>IFERROR(__xludf.DUMMYFUNCTION("""COMPUTED_VALUE"""),"Felyn Go C&amp;B Cans Chicken Breast with Cheese in Gravy 75g")</f>
        <v>Felyn Go C&amp;B Cans Chicken Breast with Cheese in Gravy 75g</v>
      </c>
      <c r="G2393" s="133" t="str">
        <f>IFERROR(__xludf.DUMMYFUNCTION("""COMPUTED_VALUE"""),"صدر الدجاج مع الجبن")</f>
        <v>صدر الدجاج مع الجبن</v>
      </c>
      <c r="H2393" s="133" t="str">
        <f>IFERROR(__xludf.DUMMYFUNCTION("""COMPUTED_VALUE"""),"FEM-25-2444-FEP-2025-2361-C-22548-1442
")</f>
        <v>FEM-25-2444-FEP-2025-2361-C-22548-1442
</v>
      </c>
      <c r="I2393" s="133"/>
      <c r="J2393" s="133"/>
      <c r="K2393" s="133"/>
      <c r="L2393" s="133"/>
      <c r="M2393" s="133"/>
      <c r="N2393" s="133"/>
      <c r="O2393" s="133"/>
      <c r="P2393" s="133"/>
      <c r="Q2393" s="133"/>
      <c r="R2393" s="133"/>
      <c r="S2393" s="133"/>
      <c r="T2393" s="133"/>
      <c r="U2393" s="133"/>
      <c r="V2393" s="133"/>
      <c r="W2393" s="133"/>
      <c r="X2393" s="133"/>
      <c r="Y2393" s="133"/>
      <c r="Z2393" s="133"/>
    </row>
    <row r="2394">
      <c r="A2394" s="133"/>
      <c r="B2394" s="133"/>
      <c r="C2394" s="133" t="str">
        <f>IFERROR(__xludf.DUMMYFUNCTION("""COMPUTED_VALUE"""),"2025-74166")</f>
        <v>2025-74166</v>
      </c>
      <c r="D2394" s="133"/>
      <c r="E2394" s="133" t="str">
        <f>IFERROR(__xludf.DUMMYFUNCTION("""COMPUTED_VALUE"""),"مكتمل ")</f>
        <v>مكتمل </v>
      </c>
      <c r="F2394" s="133" t="str">
        <f>IFERROR(__xludf.DUMMYFUNCTION("""COMPUTED_VALUE"""),"Felyn Go C&amp;B Cans Chicken Fillets in Jelly 75g")</f>
        <v>Felyn Go C&amp;B Cans Chicken Fillets in Jelly 75g</v>
      </c>
      <c r="G2394" s="133" t="str">
        <f>IFERROR(__xludf.DUMMYFUNCTION("""COMPUTED_VALUE"""),"فيليه دجاج")</f>
        <v>فيليه دجاج</v>
      </c>
      <c r="H2394" s="133" t="str">
        <f>IFERROR(__xludf.DUMMYFUNCTION("""COMPUTED_VALUE"""),"FEM-25-2445-FEP-2025-2362-C-22548-1444
")</f>
        <v>FEM-25-2445-FEP-2025-2362-C-22548-1444
</v>
      </c>
      <c r="I2394" s="133"/>
      <c r="J2394" s="133"/>
      <c r="K2394" s="133"/>
      <c r="L2394" s="133"/>
      <c r="M2394" s="133"/>
      <c r="N2394" s="133"/>
      <c r="O2394" s="133"/>
      <c r="P2394" s="133"/>
      <c r="Q2394" s="133"/>
      <c r="R2394" s="133"/>
      <c r="S2394" s="133"/>
      <c r="T2394" s="133"/>
      <c r="U2394" s="133"/>
      <c r="V2394" s="133"/>
      <c r="W2394" s="133"/>
      <c r="X2394" s="133"/>
      <c r="Y2394" s="133"/>
      <c r="Z2394" s="133"/>
    </row>
    <row r="2395">
      <c r="A2395" s="133"/>
      <c r="B2395" s="133"/>
      <c r="C2395" s="133" t="str">
        <f>IFERROR(__xludf.DUMMYFUNCTION("""COMPUTED_VALUE"""),"2025-74176")</f>
        <v>2025-74176</v>
      </c>
      <c r="D2395" s="133"/>
      <c r="E2395" s="133" t="str">
        <f>IFERROR(__xludf.DUMMYFUNCTION("""COMPUTED_VALUE"""),"مكتمل ")</f>
        <v>مكتمل </v>
      </c>
      <c r="F2395" s="133" t="str">
        <f>IFERROR(__xludf.DUMMYFUNCTION("""COMPUTED_VALUE"""),"Felyn Go C&amp;B Cans Tuna &amp; Chicken in Gravy 75g")</f>
        <v>Felyn Go C&amp;B Cans Tuna &amp; Chicken in Gravy 75g</v>
      </c>
      <c r="G2395" s="133" t="str">
        <f>IFERROR(__xludf.DUMMYFUNCTION("""COMPUTED_VALUE"""),"التونة و الدجاج بمرق الصلصة")</f>
        <v>التونة و الدجاج بمرق الصلصة</v>
      </c>
      <c r="H2395" s="133" t="str">
        <f>IFERROR(__xludf.DUMMYFUNCTION("""COMPUTED_VALUE"""),"FEM-25-1679-FEP-2025-2363-C-22548-1443
")</f>
        <v>FEM-25-1679-FEP-2025-2363-C-22548-1443
</v>
      </c>
      <c r="I2395" s="133"/>
      <c r="J2395" s="133"/>
      <c r="K2395" s="133"/>
      <c r="L2395" s="133"/>
      <c r="M2395" s="133"/>
      <c r="N2395" s="133"/>
      <c r="O2395" s="133"/>
      <c r="P2395" s="133"/>
      <c r="Q2395" s="133"/>
      <c r="R2395" s="133"/>
      <c r="S2395" s="133"/>
      <c r="T2395" s="133"/>
      <c r="U2395" s="133"/>
      <c r="V2395" s="133"/>
      <c r="W2395" s="133"/>
      <c r="X2395" s="133"/>
      <c r="Y2395" s="133"/>
      <c r="Z2395" s="133"/>
    </row>
    <row r="2396">
      <c r="A2396" s="133"/>
      <c r="B2396" s="133"/>
      <c r="C2396" s="133" t="str">
        <f>IFERROR(__xludf.DUMMYFUNCTION("""COMPUTED_VALUE"""),"2025-74190")</f>
        <v>2025-74190</v>
      </c>
      <c r="D2396" s="133"/>
      <c r="E2396" s="133" t="str">
        <f>IFERROR(__xludf.DUMMYFUNCTION("""COMPUTED_VALUE"""),"مكتمل ")</f>
        <v>مكتمل </v>
      </c>
      <c r="F2396" s="133" t="str">
        <f>IFERROR(__xludf.DUMMYFUNCTION("""COMPUTED_VALUE"""),"Felyn Go C&amp;B Cans Chicken Breast with Pumpkin in Gravy 75g")</f>
        <v>Felyn Go C&amp;B Cans Chicken Breast with Pumpkin in Gravy 75g</v>
      </c>
      <c r="G2396" s="133" t="str">
        <f>IFERROR(__xludf.DUMMYFUNCTION("""COMPUTED_VALUE"""),"صدر الدجاج مع اليقطين")</f>
        <v>صدر الدجاج مع اليقطين</v>
      </c>
      <c r="H2396" s="133" t="str">
        <f>IFERROR(__xludf.DUMMYFUNCTION("""COMPUTED_VALUE"""),"FEM-25-1680-FEP-2025-2365-C-22548-1445
")</f>
        <v>FEM-25-1680-FEP-2025-2365-C-22548-1445
</v>
      </c>
      <c r="I2396" s="133"/>
      <c r="J2396" s="133"/>
      <c r="K2396" s="133"/>
      <c r="L2396" s="133"/>
      <c r="M2396" s="133"/>
      <c r="N2396" s="133"/>
      <c r="O2396" s="133"/>
      <c r="P2396" s="133"/>
      <c r="Q2396" s="133"/>
      <c r="R2396" s="133"/>
      <c r="S2396" s="133"/>
      <c r="T2396" s="133"/>
      <c r="U2396" s="133"/>
      <c r="V2396" s="133"/>
      <c r="W2396" s="133"/>
      <c r="X2396" s="133"/>
      <c r="Y2396" s="133"/>
      <c r="Z2396" s="133"/>
    </row>
    <row r="2397">
      <c r="A2397" s="133"/>
      <c r="B2397" s="133"/>
      <c r="C2397" s="133" t="str">
        <f>IFERROR(__xludf.DUMMYFUNCTION("""COMPUTED_VALUE"""),"2025-74209")</f>
        <v>2025-74209</v>
      </c>
      <c r="D2397" s="133"/>
      <c r="E2397" s="133" t="str">
        <f>IFERROR(__xludf.DUMMYFUNCTION("""COMPUTED_VALUE"""),"مكتمل ")</f>
        <v>مكتمل </v>
      </c>
      <c r="F2397" s="133" t="str">
        <f>IFERROR(__xludf.DUMMYFUNCTION("""COMPUTED_VALUE"""),"Felyn Go C&amp;B Cans Tuna with Shrimp in Jelly 75g")</f>
        <v>Felyn Go C&amp;B Cans Tuna with Shrimp in Jelly 75g</v>
      </c>
      <c r="G2397" s="133" t="str">
        <f>IFERROR(__xludf.DUMMYFUNCTION("""COMPUTED_VALUE"""),"تونة مع الجمبري")</f>
        <v>تونة مع الجمبري</v>
      </c>
      <c r="H2397" s="133" t="str">
        <f>IFERROR(__xludf.DUMMYFUNCTION("""COMPUTED_VALUE"""),"FEM-25-1681-FEP-2025-2380-C-22548-1466
")</f>
        <v>FEM-25-1681-FEP-2025-2380-C-22548-1466
</v>
      </c>
      <c r="I2397" s="133"/>
      <c r="J2397" s="133"/>
      <c r="K2397" s="133"/>
      <c r="L2397" s="133"/>
      <c r="M2397" s="133"/>
      <c r="N2397" s="133"/>
      <c r="O2397" s="133"/>
      <c r="P2397" s="133"/>
      <c r="Q2397" s="133"/>
      <c r="R2397" s="133"/>
      <c r="S2397" s="133"/>
      <c r="T2397" s="133"/>
      <c r="U2397" s="133"/>
      <c r="V2397" s="133"/>
      <c r="W2397" s="133"/>
      <c r="X2397" s="133"/>
      <c r="Y2397" s="133"/>
      <c r="Z2397" s="133"/>
    </row>
    <row r="2398">
      <c r="A2398" s="133"/>
      <c r="B2398" s="133"/>
      <c r="C2398" s="133" t="str">
        <f>IFERROR(__xludf.DUMMYFUNCTION("""COMPUTED_VALUE"""),"2025-74220")</f>
        <v>2025-74220</v>
      </c>
      <c r="D2398" s="133"/>
      <c r="E2398" s="133" t="str">
        <f>IFERROR(__xludf.DUMMYFUNCTION("""COMPUTED_VALUE"""),"مكتمل ")</f>
        <v>مكتمل </v>
      </c>
      <c r="F2398" s="133" t="str">
        <f>IFERROR(__xludf.DUMMYFUNCTION("""COMPUTED_VALUE"""),"Felyn Go C&amp;B Cans Tuna with Chicken in Jelly 75g")</f>
        <v>Felyn Go C&amp;B Cans Tuna with Chicken in Jelly 75g</v>
      </c>
      <c r="G2398" s="133" t="str">
        <f>IFERROR(__xludf.DUMMYFUNCTION("""COMPUTED_VALUE"""),"تونة و دجاج")</f>
        <v>تونة و دجاج</v>
      </c>
      <c r="H2398" s="133" t="str">
        <f>IFERROR(__xludf.DUMMYFUNCTION("""COMPUTED_VALUE"""),"FEM-25-1682-FEP-2025-2381-C-22548-1467
")</f>
        <v>FEM-25-1682-FEP-2025-2381-C-22548-1467
</v>
      </c>
      <c r="I2398" s="133"/>
      <c r="J2398" s="133"/>
      <c r="K2398" s="133"/>
      <c r="L2398" s="133"/>
      <c r="M2398" s="133"/>
      <c r="N2398" s="133"/>
      <c r="O2398" s="133"/>
      <c r="P2398" s="133"/>
      <c r="Q2398" s="133"/>
      <c r="R2398" s="133"/>
      <c r="S2398" s="133"/>
      <c r="T2398" s="133"/>
      <c r="U2398" s="133"/>
      <c r="V2398" s="133"/>
      <c r="W2398" s="133"/>
      <c r="X2398" s="133"/>
      <c r="Y2398" s="133"/>
      <c r="Z2398" s="133"/>
    </row>
    <row r="2399">
      <c r="A2399" s="133"/>
      <c r="B2399" s="133"/>
      <c r="C2399" s="133" t="str">
        <f>IFERROR(__xludf.DUMMYFUNCTION("""COMPUTED_VALUE"""),"2025-74226")</f>
        <v>2025-74226</v>
      </c>
      <c r="D2399" s="133"/>
      <c r="E2399" s="133" t="str">
        <f>IFERROR(__xludf.DUMMYFUNCTION("""COMPUTED_VALUE"""),"مكتمل ")</f>
        <v>مكتمل </v>
      </c>
      <c r="F2399" s="133" t="str">
        <f>IFERROR(__xludf.DUMMYFUNCTION("""COMPUTED_VALUE"""),"Felyn Go C&amp;B Cans Chicken Fillets with Surimi in Jelly 75g")</f>
        <v>Felyn Go C&amp;B Cans Chicken Fillets with Surimi in Jelly 75g</v>
      </c>
      <c r="G2399" s="133" t="str">
        <f>IFERROR(__xludf.DUMMYFUNCTION("""COMPUTED_VALUE"""),"فيليه الدجاج مع سوريمي")</f>
        <v>فيليه الدجاج مع سوريمي</v>
      </c>
      <c r="H2399" s="133" t="str">
        <f>IFERROR(__xludf.DUMMYFUNCTION("""COMPUTED_VALUE"""),"FEM-25-1683-FEP-2025-2382-C-22548-1468
")</f>
        <v>FEM-25-1683-FEP-2025-2382-C-22548-1468
</v>
      </c>
      <c r="I2399" s="133"/>
      <c r="J2399" s="133"/>
      <c r="K2399" s="133"/>
      <c r="L2399" s="133"/>
      <c r="M2399" s="133"/>
      <c r="N2399" s="133"/>
      <c r="O2399" s="133"/>
      <c r="P2399" s="133"/>
      <c r="Q2399" s="133"/>
      <c r="R2399" s="133"/>
      <c r="S2399" s="133"/>
      <c r="T2399" s="133"/>
      <c r="U2399" s="133"/>
      <c r="V2399" s="133"/>
      <c r="W2399" s="133"/>
      <c r="X2399" s="133"/>
      <c r="Y2399" s="133"/>
      <c r="Z2399" s="133"/>
    </row>
    <row r="2400">
      <c r="A2400" s="133"/>
      <c r="B2400" s="133"/>
      <c r="C2400" s="133" t="str">
        <f>IFERROR(__xludf.DUMMYFUNCTION("""COMPUTED_VALUE"""),"missing artwork")</f>
        <v>missing artwork</v>
      </c>
      <c r="D2400" s="133"/>
      <c r="E2400" s="133"/>
      <c r="F2400" s="133" t="str">
        <f>IFERROR(__xludf.DUMMYFUNCTION("""COMPUTED_VALUE"""),"Chicken Breast with Vegetables")</f>
        <v>Chicken Breast with Vegetables</v>
      </c>
      <c r="G2400" s="133"/>
      <c r="H2400" s="133"/>
      <c r="I2400" s="133"/>
      <c r="J2400" s="133"/>
      <c r="K2400" s="133"/>
      <c r="L2400" s="133"/>
      <c r="M2400" s="133"/>
      <c r="N2400" s="133"/>
      <c r="O2400" s="133"/>
      <c r="P2400" s="133"/>
      <c r="Q2400" s="133"/>
      <c r="R2400" s="133"/>
      <c r="S2400" s="133"/>
      <c r="T2400" s="133"/>
      <c r="U2400" s="133"/>
      <c r="V2400" s="133"/>
      <c r="W2400" s="133"/>
      <c r="X2400" s="133"/>
      <c r="Y2400" s="133"/>
      <c r="Z2400" s="133"/>
    </row>
    <row r="2401">
      <c r="A2401" s="133"/>
      <c r="B2401" s="133"/>
      <c r="C2401" s="133" t="str">
        <f>IFERROR(__xludf.DUMMYFUNCTION("""COMPUTED_VALUE"""),"missing artwork")</f>
        <v>missing artwork</v>
      </c>
      <c r="D2401" s="133"/>
      <c r="E2401" s="133"/>
      <c r="F2401" s="133" t="str">
        <f>IFERROR(__xludf.DUMMYFUNCTION("""COMPUTED_VALUE"""),"Chicken Breast with Salmon and Vegetables")</f>
        <v>Chicken Breast with Salmon and Vegetables</v>
      </c>
      <c r="G2401" s="133"/>
      <c r="H2401" s="133"/>
      <c r="I2401" s="133"/>
      <c r="J2401" s="133"/>
      <c r="K2401" s="133"/>
      <c r="L2401" s="133"/>
      <c r="M2401" s="133"/>
      <c r="N2401" s="133"/>
      <c r="O2401" s="133"/>
      <c r="P2401" s="133"/>
      <c r="Q2401" s="133"/>
      <c r="R2401" s="133"/>
      <c r="S2401" s="133"/>
      <c r="T2401" s="133"/>
      <c r="U2401" s="133"/>
      <c r="V2401" s="133"/>
      <c r="W2401" s="133"/>
      <c r="X2401" s="133"/>
      <c r="Y2401" s="133"/>
      <c r="Z2401" s="133"/>
    </row>
    <row r="2402">
      <c r="A2402" s="133"/>
      <c r="B2402" s="133"/>
      <c r="C2402" s="133" t="str">
        <f>IFERROR(__xludf.DUMMYFUNCTION("""COMPUTED_VALUE"""),"missing artwork")</f>
        <v>missing artwork</v>
      </c>
      <c r="D2402" s="133"/>
      <c r="E2402" s="133"/>
      <c r="F2402" s="133" t="str">
        <f>IFERROR(__xludf.DUMMYFUNCTION("""COMPUTED_VALUE"""),"Chicken Breast with Beef Liver &amp; Vegetables")</f>
        <v>Chicken Breast with Beef Liver &amp; Vegetables</v>
      </c>
      <c r="G2402" s="133"/>
      <c r="H2402" s="133"/>
      <c r="I2402" s="133"/>
      <c r="J2402" s="133"/>
      <c r="K2402" s="133"/>
      <c r="L2402" s="133"/>
      <c r="M2402" s="133"/>
      <c r="N2402" s="133"/>
      <c r="O2402" s="133"/>
      <c r="P2402" s="133"/>
      <c r="Q2402" s="133"/>
      <c r="R2402" s="133"/>
      <c r="S2402" s="133"/>
      <c r="T2402" s="133"/>
      <c r="U2402" s="133"/>
      <c r="V2402" s="133"/>
      <c r="W2402" s="133"/>
      <c r="X2402" s="133"/>
      <c r="Y2402" s="133"/>
      <c r="Z2402" s="133"/>
    </row>
    <row r="2403">
      <c r="A2403" s="133"/>
      <c r="B2403" s="133"/>
      <c r="C2403" s="133" t="str">
        <f>IFERROR(__xludf.DUMMYFUNCTION("""COMPUTED_VALUE"""),"missing artwork")</f>
        <v>missing artwork</v>
      </c>
      <c r="D2403" s="133"/>
      <c r="E2403" s="133"/>
      <c r="F2403" s="133" t="str">
        <f>IFERROR(__xludf.DUMMYFUNCTION("""COMPUTED_VALUE"""),"Chicken &amp; Beef with Baby Corn &amp; Broccoli")</f>
        <v>Chicken &amp; Beef with Baby Corn &amp; Broccoli</v>
      </c>
      <c r="G2403" s="133"/>
      <c r="H2403" s="133"/>
      <c r="I2403" s="133"/>
      <c r="J2403" s="133"/>
      <c r="K2403" s="133"/>
      <c r="L2403" s="133"/>
      <c r="M2403" s="133"/>
      <c r="N2403" s="133"/>
      <c r="O2403" s="133"/>
      <c r="P2403" s="133"/>
      <c r="Q2403" s="133"/>
      <c r="R2403" s="133"/>
      <c r="S2403" s="133"/>
      <c r="T2403" s="133"/>
      <c r="U2403" s="133"/>
      <c r="V2403" s="133"/>
      <c r="W2403" s="133"/>
      <c r="X2403" s="133"/>
      <c r="Y2403" s="133"/>
      <c r="Z2403" s="133"/>
    </row>
    <row r="2404">
      <c r="A2404" s="133"/>
      <c r="B2404" s="133"/>
      <c r="C2404" s="133" t="str">
        <f>IFERROR(__xludf.DUMMYFUNCTION("""COMPUTED_VALUE"""),"missing artwork")</f>
        <v>missing artwork</v>
      </c>
      <c r="D2404" s="133"/>
      <c r="E2404" s="133"/>
      <c r="F2404" s="133" t="str">
        <f>IFERROR(__xludf.DUMMYFUNCTION("""COMPUTED_VALUE"""),"Tuna Fillets with Cheese")</f>
        <v>Tuna Fillets with Cheese</v>
      </c>
      <c r="G2404" s="133"/>
      <c r="H2404" s="133"/>
      <c r="I2404" s="133"/>
      <c r="J2404" s="133"/>
      <c r="K2404" s="133"/>
      <c r="L2404" s="133"/>
      <c r="M2404" s="133"/>
      <c r="N2404" s="133"/>
      <c r="O2404" s="133"/>
      <c r="P2404" s="133"/>
      <c r="Q2404" s="133"/>
      <c r="R2404" s="133"/>
      <c r="S2404" s="133"/>
      <c r="T2404" s="133"/>
      <c r="U2404" s="133"/>
      <c r="V2404" s="133"/>
      <c r="W2404" s="133"/>
      <c r="X2404" s="133"/>
      <c r="Y2404" s="133"/>
      <c r="Z2404" s="133"/>
    </row>
    <row r="2405">
      <c r="A2405" s="133"/>
      <c r="B2405" s="133"/>
      <c r="C2405" s="133" t="str">
        <f>IFERROR(__xludf.DUMMYFUNCTION("""COMPUTED_VALUE"""),"missing artwork")</f>
        <v>missing artwork</v>
      </c>
      <c r="D2405" s="133"/>
      <c r="E2405" s="133"/>
      <c r="F2405" s="133" t="str">
        <f>IFERROR(__xludf.DUMMYFUNCTION("""COMPUTED_VALUE"""),"Tuna Fillets with Prawn")</f>
        <v>Tuna Fillets with Prawn</v>
      </c>
      <c r="G2405" s="133"/>
      <c r="H2405" s="133"/>
      <c r="I2405" s="133"/>
      <c r="J2405" s="133"/>
      <c r="K2405" s="133"/>
      <c r="L2405" s="133"/>
      <c r="M2405" s="133"/>
      <c r="N2405" s="133"/>
      <c r="O2405" s="133"/>
      <c r="P2405" s="133"/>
      <c r="Q2405" s="133"/>
      <c r="R2405" s="133"/>
      <c r="S2405" s="133"/>
      <c r="T2405" s="133"/>
      <c r="U2405" s="133"/>
      <c r="V2405" s="133"/>
      <c r="W2405" s="133"/>
      <c r="X2405" s="133"/>
      <c r="Y2405" s="133"/>
      <c r="Z2405" s="133"/>
    </row>
    <row r="2406">
      <c r="A2406" s="133"/>
      <c r="B2406" s="133"/>
      <c r="C2406" s="133" t="str">
        <f>IFERROR(__xludf.DUMMYFUNCTION("""COMPUTED_VALUE"""),"2025-74246")</f>
        <v>2025-74246</v>
      </c>
      <c r="D2406" s="133"/>
      <c r="E2406" s="133" t="str">
        <f>IFERROR(__xludf.DUMMYFUNCTION("""COMPUTED_VALUE"""),"مكتمل")</f>
        <v>مكتمل</v>
      </c>
      <c r="F2406" s="133" t="str">
        <f>IFERROR(__xludf.DUMMYFUNCTION("""COMPUTED_VALUE"""),"Felyn Go C&amp;B Cans Tuna in Jelly for Kittens 75g")</f>
        <v>Felyn Go C&amp;B Cans Tuna in Jelly for Kittens 75g</v>
      </c>
      <c r="G2406" s="133" t="str">
        <f>IFERROR(__xludf.DUMMYFUNCTION("""COMPUTED_VALUE"""),"سمك التونة للقطط الصغيرة بالجيلي")</f>
        <v>سمك التونة للقطط الصغيرة بالجيلي</v>
      </c>
      <c r="H2406" s="133" t="str">
        <f>IFERROR(__xludf.DUMMYFUNCTION("""COMPUTED_VALUE"""),"FEM-25-1685-FEP-2025-2383-C-22548-1931
")</f>
        <v>FEM-25-1685-FEP-2025-2383-C-22548-1931
</v>
      </c>
      <c r="I2406" s="133"/>
      <c r="J2406" s="133"/>
      <c r="K2406" s="133"/>
      <c r="L2406" s="133"/>
      <c r="M2406" s="133"/>
      <c r="N2406" s="133"/>
      <c r="O2406" s="133"/>
      <c r="P2406" s="133"/>
      <c r="Q2406" s="133"/>
      <c r="R2406" s="133"/>
      <c r="S2406" s="133"/>
      <c r="T2406" s="133"/>
      <c r="U2406" s="133"/>
      <c r="V2406" s="133"/>
      <c r="W2406" s="133"/>
      <c r="X2406" s="133"/>
      <c r="Y2406" s="133"/>
      <c r="Z2406" s="133"/>
    </row>
    <row r="2407">
      <c r="A2407" s="133"/>
      <c r="B2407" s="133"/>
      <c r="C2407" s="133" t="str">
        <f>IFERROR(__xludf.DUMMYFUNCTION("""COMPUTED_VALUE"""),"artwork missing")</f>
        <v>artwork missing</v>
      </c>
      <c r="D2407" s="133"/>
      <c r="E2407" s="133"/>
      <c r="F2407" s="133" t="str">
        <f>IFERROR(__xludf.DUMMYFUNCTION("""COMPUTED_VALUE"""),"Felyngo Kitten Chicken in Jelly")</f>
        <v>Felyngo Kitten Chicken in Jelly</v>
      </c>
      <c r="G2407" s="133"/>
      <c r="H2407" s="133"/>
      <c r="I2407" s="133"/>
      <c r="J2407" s="133"/>
      <c r="K2407" s="133"/>
      <c r="L2407" s="133"/>
      <c r="M2407" s="133"/>
      <c r="N2407" s="133"/>
      <c r="O2407" s="133"/>
      <c r="P2407" s="133"/>
      <c r="Q2407" s="133"/>
      <c r="R2407" s="133"/>
      <c r="S2407" s="133"/>
      <c r="T2407" s="133"/>
      <c r="U2407" s="133"/>
      <c r="V2407" s="133"/>
      <c r="W2407" s="133"/>
      <c r="X2407" s="133"/>
      <c r="Y2407" s="133"/>
      <c r="Z2407" s="133"/>
    </row>
    <row r="2408">
      <c r="A2408" s="133"/>
      <c r="B2408" s="133"/>
      <c r="C2408" s="133" t="str">
        <f>IFERROR(__xludf.DUMMYFUNCTION("""COMPUTED_VALUE"""),"2025-74284")</f>
        <v>2025-74284</v>
      </c>
      <c r="D2408" s="133"/>
      <c r="E2408" s="133" t="str">
        <f>IFERROR(__xludf.DUMMYFUNCTION("""COMPUTED_VALUE"""),"مكتمل")</f>
        <v>مكتمل</v>
      </c>
      <c r="F2408" s="133" t="str">
        <f>IFERROR(__xludf.DUMMYFUNCTION("""COMPUTED_VALUE"""),"Felyngo Tuna with rice in jelly 75g")</f>
        <v>Felyngo Tuna with rice in jelly 75g</v>
      </c>
      <c r="G2408" s="133" t="str">
        <f>IFERROR(__xludf.DUMMYFUNCTION("""COMPUTED_VALUE"""),"تونة مع رز بالجيلي")</f>
        <v>تونة مع رز بالجيلي</v>
      </c>
      <c r="H2408" s="133" t="str">
        <f>IFERROR(__xludf.DUMMYFUNCTION("""COMPUTED_VALUE"""),"FEM-25-1686-FEP-2025-1710-C-22548-1164
")</f>
        <v>FEM-25-1686-FEP-2025-1710-C-22548-1164
</v>
      </c>
      <c r="I2408" s="133"/>
      <c r="J2408" s="133"/>
      <c r="K2408" s="133"/>
      <c r="L2408" s="133"/>
      <c r="M2408" s="133"/>
      <c r="N2408" s="133"/>
      <c r="O2408" s="133"/>
      <c r="P2408" s="133"/>
      <c r="Q2408" s="133"/>
      <c r="R2408" s="133"/>
      <c r="S2408" s="133"/>
      <c r="T2408" s="133"/>
      <c r="U2408" s="133"/>
      <c r="V2408" s="133"/>
      <c r="W2408" s="133"/>
      <c r="X2408" s="133"/>
      <c r="Y2408" s="133"/>
      <c r="Z2408" s="133"/>
    </row>
    <row r="2409">
      <c r="A2409" s="133"/>
      <c r="B2409" s="133"/>
      <c r="C2409" s="133" t="str">
        <f>IFERROR(__xludf.DUMMYFUNCTION("""COMPUTED_VALUE"""),"2025-74293")</f>
        <v>2025-74293</v>
      </c>
      <c r="D2409" s="133"/>
      <c r="E2409" s="133" t="str">
        <f>IFERROR(__xludf.DUMMYFUNCTION("""COMPUTED_VALUE"""),"مرفوض")</f>
        <v>مرفوض</v>
      </c>
      <c r="F2409" s="133" t="str">
        <f>IFERROR(__xludf.DUMMYFUNCTION("""COMPUTED_VALUE"""),"Felyngo Tuna soup with papaya")</f>
        <v>Felyngo Tuna soup with papaya</v>
      </c>
      <c r="G2409" s="133" t="str">
        <f>IFERROR(__xludf.DUMMYFUNCTION("""COMPUTED_VALUE"""),"حساء التونة مع البابايا")</f>
        <v>حساء التونة مع البابايا</v>
      </c>
      <c r="H2409" s="133"/>
      <c r="I2409" s="133"/>
      <c r="J2409" s="133"/>
      <c r="K2409" s="133"/>
      <c r="L2409" s="133"/>
      <c r="M2409" s="133"/>
      <c r="N2409" s="133"/>
      <c r="O2409" s="133"/>
      <c r="P2409" s="133"/>
      <c r="Q2409" s="133"/>
      <c r="R2409" s="133"/>
      <c r="S2409" s="133"/>
      <c r="T2409" s="133"/>
      <c r="U2409" s="133"/>
      <c r="V2409" s="133"/>
      <c r="W2409" s="133"/>
      <c r="X2409" s="133"/>
      <c r="Y2409" s="133"/>
      <c r="Z2409" s="133"/>
    </row>
    <row r="2410">
      <c r="A2410" s="133"/>
      <c r="B2410" s="133"/>
      <c r="C2410" s="133" t="str">
        <f>IFERROR(__xludf.DUMMYFUNCTION("""COMPUTED_VALUE"""),"artwork missing")</f>
        <v>artwork missing</v>
      </c>
      <c r="D2410" s="133"/>
      <c r="E2410" s="133"/>
      <c r="F2410" s="133" t="str">
        <f>IFERROR(__xludf.DUMMYFUNCTION("""COMPUTED_VALUE"""),"Kit Cat Tuna &amp; Chicken 80g")</f>
        <v>Kit Cat Tuna &amp; Chicken 80g</v>
      </c>
      <c r="G2410" s="133" t="str">
        <f>IFERROR(__xludf.DUMMYFUNCTION("""COMPUTED_VALUE"""),"كت كات تونا مع الدجاج")</f>
        <v>كت كات تونا مع الدجاج</v>
      </c>
      <c r="H2410" s="133" t="str">
        <f>IFERROR(__xludf.DUMMYFUNCTION("""COMPUTED_VALUE"""),"FEM-25-1915-FEP-2025-1888-C-22548-1303
")</f>
        <v>FEM-25-1915-FEP-2025-1888-C-22548-1303
</v>
      </c>
      <c r="I2410" s="133"/>
      <c r="J2410" s="133"/>
      <c r="K2410" s="133"/>
      <c r="L2410" s="133"/>
      <c r="M2410" s="133"/>
      <c r="N2410" s="133"/>
      <c r="O2410" s="133"/>
      <c r="P2410" s="133"/>
      <c r="Q2410" s="133"/>
      <c r="R2410" s="133"/>
      <c r="S2410" s="133"/>
      <c r="T2410" s="133"/>
      <c r="U2410" s="133"/>
      <c r="V2410" s="133"/>
      <c r="W2410" s="133"/>
      <c r="X2410" s="133"/>
      <c r="Y2410" s="133"/>
      <c r="Z2410" s="133"/>
    </row>
    <row r="2411">
      <c r="A2411" s="133"/>
      <c r="B2411" s="133"/>
      <c r="C2411" s="133" t="str">
        <f>IFERROR(__xludf.DUMMYFUNCTION("""COMPUTED_VALUE"""),"artwork missing")</f>
        <v>artwork missing</v>
      </c>
      <c r="D2411" s="133"/>
      <c r="E2411" s="133"/>
      <c r="F2411" s="133" t="str">
        <f>IFERROR(__xludf.DUMMYFUNCTION("""COMPUTED_VALUE"""),"Kit Cat Classic Tuna 80g")</f>
        <v>Kit Cat Classic Tuna 80g</v>
      </c>
      <c r="G2411" s="133" t="str">
        <f>IFERROR(__xludf.DUMMYFUNCTION("""COMPUTED_VALUE"""),"كت كات كلاسيك تونا")</f>
        <v>كت كات كلاسيك تونا</v>
      </c>
      <c r="H2411" s="133"/>
      <c r="I2411" s="133"/>
      <c r="J2411" s="133"/>
      <c r="K2411" s="133"/>
      <c r="L2411" s="133"/>
      <c r="M2411" s="133"/>
      <c r="N2411" s="133"/>
      <c r="O2411" s="133"/>
      <c r="P2411" s="133"/>
      <c r="Q2411" s="133"/>
      <c r="R2411" s="133"/>
      <c r="S2411" s="133"/>
      <c r="T2411" s="133"/>
      <c r="U2411" s="133"/>
      <c r="V2411" s="133"/>
      <c r="W2411" s="133"/>
      <c r="X2411" s="133"/>
      <c r="Y2411" s="133"/>
      <c r="Z2411" s="133"/>
    </row>
    <row r="2412">
      <c r="A2412" s="133"/>
      <c r="B2412" s="133"/>
      <c r="C2412" s="133" t="str">
        <f>IFERROR(__xludf.DUMMYFUNCTION("""COMPUTED_VALUE"""),"artwork missing")</f>
        <v>artwork missing</v>
      </c>
      <c r="D2412" s="133"/>
      <c r="E2412" s="133"/>
      <c r="F2412" s="133" t="str">
        <f>IFERROR(__xludf.DUMMYFUNCTION("""COMPUTED_VALUE"""),"Kit Cat Tuna &amp; Salmon 80g")</f>
        <v>Kit Cat Tuna &amp; Salmon 80g</v>
      </c>
      <c r="G2412" s="133" t="str">
        <f>IFERROR(__xludf.DUMMYFUNCTION("""COMPUTED_VALUE"""),"كت كات دجاج مع السالمون")</f>
        <v>كت كات دجاج مع السالمون</v>
      </c>
      <c r="H2412" s="133"/>
      <c r="I2412" s="133"/>
      <c r="J2412" s="133"/>
      <c r="K2412" s="133"/>
      <c r="L2412" s="133"/>
      <c r="M2412" s="133"/>
      <c r="N2412" s="133"/>
      <c r="O2412" s="133"/>
      <c r="P2412" s="133"/>
      <c r="Q2412" s="133"/>
      <c r="R2412" s="133"/>
      <c r="S2412" s="133"/>
      <c r="T2412" s="133"/>
      <c r="U2412" s="133"/>
      <c r="V2412" s="133"/>
      <c r="W2412" s="133"/>
      <c r="X2412" s="133"/>
      <c r="Y2412" s="133"/>
      <c r="Z2412" s="133"/>
    </row>
    <row r="2413">
      <c r="A2413" s="133"/>
      <c r="B2413" s="133"/>
      <c r="C2413" s="133" t="str">
        <f>IFERROR(__xludf.DUMMYFUNCTION("""COMPUTED_VALUE"""),"2025-84453")</f>
        <v>2025-84453</v>
      </c>
      <c r="D2413" s="133"/>
      <c r="E2413" s="133" t="str">
        <f>IFERROR(__xludf.DUMMYFUNCTION("""COMPUTED_VALUE"""),"مكتمل")</f>
        <v>مكتمل</v>
      </c>
      <c r="F2413" s="133" t="str">
        <f>IFERROR(__xludf.DUMMYFUNCTION("""COMPUTED_VALUE"""),"Kit Cat Tuna &amp; Egg Yolk 80g")</f>
        <v>Kit Cat Tuna &amp; Egg Yolk 80g</v>
      </c>
      <c r="G2413" s="133" t="str">
        <f>IFERROR(__xludf.DUMMYFUNCTION("""COMPUTED_VALUE"""),"كت كات تونا مع صفار البيض")</f>
        <v>كت كات تونا مع صفار البيض</v>
      </c>
      <c r="H2413" s="133" t="str">
        <f>IFERROR(__xludf.DUMMYFUNCTION("""COMPUTED_VALUE"""),"FEM-25-1912-FEP-2025-1886-C-22548-1336
")</f>
        <v>FEM-25-1912-FEP-2025-1886-C-22548-1336
</v>
      </c>
      <c r="I2413" s="133"/>
      <c r="J2413" s="133"/>
      <c r="K2413" s="133"/>
      <c r="L2413" s="133"/>
      <c r="M2413" s="133"/>
      <c r="N2413" s="133"/>
      <c r="O2413" s="133"/>
      <c r="P2413" s="133"/>
      <c r="Q2413" s="133"/>
      <c r="R2413" s="133"/>
      <c r="S2413" s="133"/>
      <c r="T2413" s="133"/>
      <c r="U2413" s="133"/>
      <c r="V2413" s="133"/>
      <c r="W2413" s="133"/>
      <c r="X2413" s="133"/>
      <c r="Y2413" s="133"/>
      <c r="Z2413" s="133"/>
    </row>
    <row r="2414">
      <c r="A2414" s="133"/>
      <c r="B2414" s="133"/>
      <c r="C2414" s="133" t="str">
        <f>IFERROR(__xludf.DUMMYFUNCTION("""COMPUTED_VALUE"""),"2025-84527")</f>
        <v>2025-84527</v>
      </c>
      <c r="D2414" s="133"/>
      <c r="E2414" s="133" t="str">
        <f>IFERROR(__xludf.DUMMYFUNCTION("""COMPUTED_VALUE"""),"مكتمل")</f>
        <v>مكتمل</v>
      </c>
      <c r="F2414" s="133" t="str">
        <f>IFERROR(__xludf.DUMMYFUNCTION("""COMPUTED_VALUE"""),"Kit Cat Tuna &amp; Chicken Heart 80g")</f>
        <v>Kit Cat Tuna &amp; Chicken Heart 80g</v>
      </c>
      <c r="G2414" s="133" t="str">
        <f>IFERROR(__xludf.DUMMYFUNCTION("""COMPUTED_VALUE"""),"كت كات تونا مع قلب الدجاج")</f>
        <v>كت كات تونا مع قلب الدجاج</v>
      </c>
      <c r="H2414" s="133" t="str">
        <f>IFERROR(__xludf.DUMMYFUNCTION("""COMPUTED_VALUE"""),"FEM-25-1915-FEP-2025-1888-C-22548-1303
")</f>
        <v>FEM-25-1915-FEP-2025-1888-C-22548-1303
</v>
      </c>
      <c r="I2414" s="133"/>
      <c r="J2414" s="133"/>
      <c r="K2414" s="133"/>
      <c r="L2414" s="133"/>
      <c r="M2414" s="133"/>
      <c r="N2414" s="133"/>
      <c r="O2414" s="133"/>
      <c r="P2414" s="133"/>
      <c r="Q2414" s="133"/>
      <c r="R2414" s="133"/>
      <c r="S2414" s="133"/>
      <c r="T2414" s="133"/>
      <c r="U2414" s="133"/>
      <c r="V2414" s="133"/>
      <c r="W2414" s="133"/>
      <c r="X2414" s="133"/>
      <c r="Y2414" s="133"/>
      <c r="Z2414" s="133"/>
    </row>
    <row r="2415">
      <c r="A2415" s="133"/>
      <c r="B2415" s="133"/>
      <c r="C2415" s="133" t="str">
        <f>IFERROR(__xludf.DUMMYFUNCTION("""COMPUTED_VALUE"""),"artwork missing")</f>
        <v>artwork missing</v>
      </c>
      <c r="D2415" s="133"/>
      <c r="E2415" s="133"/>
      <c r="F2415" s="133" t="str">
        <f>IFERROR(__xludf.DUMMYFUNCTION("""COMPUTED_VALUE"""),"Kit Cat Classic Chicken 80g")</f>
        <v>Kit Cat Classic Chicken 80g</v>
      </c>
      <c r="G2415" s="133" t="str">
        <f>IFERROR(__xludf.DUMMYFUNCTION("""COMPUTED_VALUE"""),"كت كات دجاج كلاسيك")</f>
        <v>كت كات دجاج كلاسيك</v>
      </c>
      <c r="H2415" s="133"/>
      <c r="I2415" s="133"/>
      <c r="J2415" s="133"/>
      <c r="K2415" s="133"/>
      <c r="L2415" s="133"/>
      <c r="M2415" s="133"/>
      <c r="N2415" s="133"/>
      <c r="O2415" s="133"/>
      <c r="P2415" s="133"/>
      <c r="Q2415" s="133"/>
      <c r="R2415" s="133"/>
      <c r="S2415" s="133"/>
      <c r="T2415" s="133"/>
      <c r="U2415" s="133"/>
      <c r="V2415" s="133"/>
      <c r="W2415" s="133"/>
      <c r="X2415" s="133"/>
      <c r="Y2415" s="133"/>
      <c r="Z2415" s="133"/>
    </row>
    <row r="2416">
      <c r="A2416" s="133"/>
      <c r="B2416" s="133"/>
      <c r="C2416" s="133" t="str">
        <f>IFERROR(__xludf.DUMMYFUNCTION("""COMPUTED_VALUE"""),"2025-84561")</f>
        <v>2025-84561</v>
      </c>
      <c r="D2416" s="133"/>
      <c r="E2416" s="133" t="str">
        <f>IFERROR(__xludf.DUMMYFUNCTION("""COMPUTED_VALUE"""),"مكتمل")</f>
        <v>مكتمل</v>
      </c>
      <c r="F2416" s="133" t="str">
        <f>IFERROR(__xludf.DUMMYFUNCTION("""COMPUTED_VALUE"""),"Kit Cat Chicken &amp; Egg Yolk 80g")</f>
        <v>Kit Cat Chicken &amp; Egg Yolk 80g</v>
      </c>
      <c r="G2416" s="133" t="str">
        <f>IFERROR(__xludf.DUMMYFUNCTION("""COMPUTED_VALUE"""),"كت كات دجاج مع صفار البيض")</f>
        <v>كت كات دجاج مع صفار البيض</v>
      </c>
      <c r="H2416" s="133" t="str">
        <f>IFERROR(__xludf.DUMMYFUNCTION("""COMPUTED_VALUE"""),"FEM-25-1917-FEP-2025-1893-C-22548-1302
")</f>
        <v>FEM-25-1917-FEP-2025-1893-C-22548-1302
</v>
      </c>
      <c r="I2416" s="133"/>
      <c r="J2416" s="133"/>
      <c r="K2416" s="133"/>
      <c r="L2416" s="133"/>
      <c r="M2416" s="133"/>
      <c r="N2416" s="133"/>
      <c r="O2416" s="133"/>
      <c r="P2416" s="133"/>
      <c r="Q2416" s="133"/>
      <c r="R2416" s="133"/>
      <c r="S2416" s="133"/>
      <c r="T2416" s="133"/>
      <c r="U2416" s="133"/>
      <c r="V2416" s="133"/>
      <c r="W2416" s="133"/>
      <c r="X2416" s="133"/>
      <c r="Y2416" s="133"/>
      <c r="Z2416" s="133"/>
    </row>
    <row r="2417">
      <c r="A2417" s="133"/>
      <c r="B2417" s="133"/>
      <c r="C2417" s="133" t="str">
        <f>IFERROR(__xludf.DUMMYFUNCTION("""COMPUTED_VALUE"""),"2025-86054")</f>
        <v>2025-86054</v>
      </c>
      <c r="D2417" s="133"/>
      <c r="E2417" s="133" t="str">
        <f>IFERROR(__xludf.DUMMYFUNCTION("""COMPUTED_VALUE"""),"مكتمل")</f>
        <v>مكتمل</v>
      </c>
      <c r="F2417" s="133" t="str">
        <f>IFERROR(__xludf.DUMMYFUNCTION("""COMPUTED_VALUE"""),"Kit Cat Chicken &amp; Chicken Heart 80g")</f>
        <v>Kit Cat Chicken &amp; Chicken Heart 80g</v>
      </c>
      <c r="G2417" s="133" t="str">
        <f>IFERROR(__xludf.DUMMYFUNCTION("""COMPUTED_VALUE"""),"كت كات دجاج مع قلب الدجاج")</f>
        <v>كت كات دجاج مع قلب الدجاج</v>
      </c>
      <c r="H2417" s="133" t="str">
        <f>IFERROR(__xludf.DUMMYFUNCTION("""COMPUTED_VALUE"""),"FEM-25-1954-FEP-2025-1930-C-22548-1475
")</f>
        <v>FEM-25-1954-FEP-2025-1930-C-22548-1475
</v>
      </c>
      <c r="I2417" s="133"/>
      <c r="J2417" s="133"/>
      <c r="K2417" s="133"/>
      <c r="L2417" s="133"/>
      <c r="M2417" s="133"/>
      <c r="N2417" s="133"/>
      <c r="O2417" s="133"/>
      <c r="P2417" s="133"/>
      <c r="Q2417" s="133"/>
      <c r="R2417" s="133"/>
      <c r="S2417" s="133"/>
      <c r="T2417" s="133"/>
      <c r="U2417" s="133"/>
      <c r="V2417" s="133"/>
      <c r="W2417" s="133"/>
      <c r="X2417" s="133"/>
      <c r="Y2417" s="133"/>
      <c r="Z2417" s="133"/>
    </row>
    <row r="2418">
      <c r="A2418" s="133"/>
      <c r="B2418" s="133"/>
      <c r="C2418" s="133" t="str">
        <f>IFERROR(__xludf.DUMMYFUNCTION("""COMPUTED_VALUE"""),"artwork missing")</f>
        <v>artwork missing</v>
      </c>
      <c r="D2418" s="133"/>
      <c r="E2418" s="133"/>
      <c r="F2418" s="133" t="str">
        <f>IFERROR(__xludf.DUMMYFUNCTION("""COMPUTED_VALUE"""),"Kit Cat Chicken &amp; Whitebait 80g")</f>
        <v>Kit Cat Chicken &amp; Whitebait 80g</v>
      </c>
      <c r="G2418" s="133" t="str">
        <f>IFERROR(__xludf.DUMMYFUNCTION("""COMPUTED_VALUE"""),"كت كات دجاج مع ووايتبيت")</f>
        <v>كت كات دجاج مع ووايتبيت</v>
      </c>
      <c r="H2418" s="133"/>
      <c r="I2418" s="133"/>
      <c r="J2418" s="133"/>
      <c r="K2418" s="133"/>
      <c r="L2418" s="133"/>
      <c r="M2418" s="133"/>
      <c r="N2418" s="133"/>
      <c r="O2418" s="133"/>
      <c r="P2418" s="133"/>
      <c r="Q2418" s="133"/>
      <c r="R2418" s="133"/>
      <c r="S2418" s="133"/>
      <c r="T2418" s="133"/>
      <c r="U2418" s="133"/>
      <c r="V2418" s="133"/>
      <c r="W2418" s="133"/>
      <c r="X2418" s="133"/>
      <c r="Y2418" s="133"/>
      <c r="Z2418" s="133"/>
    </row>
    <row r="2419">
      <c r="A2419" s="133"/>
      <c r="B2419" s="133"/>
      <c r="C2419" s="133" t="str">
        <f>IFERROR(__xludf.DUMMYFUNCTION("""COMPUTED_VALUE"""),"artwork missing")</f>
        <v>artwork missing</v>
      </c>
      <c r="D2419" s="133"/>
      <c r="E2419" s="133"/>
      <c r="F2419" s="133" t="str">
        <f>IFERROR(__xludf.DUMMYFUNCTION("""COMPUTED_VALUE"""),"Kit Cat Chicken &amp; Salmon 80g")</f>
        <v>Kit Cat Chicken &amp; Salmon 80g</v>
      </c>
      <c r="G2419" s="133" t="str">
        <f>IFERROR(__xludf.DUMMYFUNCTION("""COMPUTED_VALUE"""),"كت كات دجاج مع السالمون")</f>
        <v>كت كات دجاج مع السالمون</v>
      </c>
      <c r="H2419" s="133"/>
      <c r="I2419" s="133"/>
      <c r="J2419" s="133"/>
      <c r="K2419" s="133"/>
      <c r="L2419" s="133"/>
      <c r="M2419" s="133"/>
      <c r="N2419" s="133"/>
      <c r="O2419" s="133"/>
      <c r="P2419" s="133"/>
      <c r="Q2419" s="133"/>
      <c r="R2419" s="133"/>
      <c r="S2419" s="133"/>
      <c r="T2419" s="133"/>
      <c r="U2419" s="133"/>
      <c r="V2419" s="133"/>
      <c r="W2419" s="133"/>
      <c r="X2419" s="133"/>
      <c r="Y2419" s="133"/>
      <c r="Z2419" s="133"/>
    </row>
    <row r="2420">
      <c r="A2420" s="133"/>
      <c r="B2420" s="133"/>
      <c r="C2420" s="133" t="str">
        <f>IFERROR(__xludf.DUMMYFUNCTION("""COMPUTED_VALUE"""),"2025-84600")</f>
        <v>2025-84600</v>
      </c>
      <c r="D2420" s="133"/>
      <c r="E2420" s="133" t="str">
        <f>IFERROR(__xludf.DUMMYFUNCTION("""COMPUTED_VALUE"""),"مكتمل")</f>
        <v>مكتمل</v>
      </c>
      <c r="F2420" s="133" t="str">
        <f>IFERROR(__xludf.DUMMYFUNCTION("""COMPUTED_VALUE"""),"Kit Cat Purrpuree Salmon Mix 900g")</f>
        <v>Kit Cat Purrpuree Salmon Mix 900g</v>
      </c>
      <c r="G2420" s="133" t="str">
        <f>IFERROR(__xludf.DUMMYFUNCTION("""COMPUTED_VALUE"""),"كت كات بور بوري سالمون ميكس")</f>
        <v>كت كات بور بوري سالمون ميكس</v>
      </c>
      <c r="H2420" s="133" t="str">
        <f>IFERROR(__xludf.DUMMYFUNCTION("""COMPUTED_VALUE"""),"FEM-25-1918-FEP-2025-1894-C-22548-1335
")</f>
        <v>FEM-25-1918-FEP-2025-1894-C-22548-1335
</v>
      </c>
      <c r="I2420" s="133"/>
      <c r="J2420" s="133"/>
      <c r="K2420" s="133"/>
      <c r="L2420" s="133"/>
      <c r="M2420" s="133"/>
      <c r="N2420" s="133"/>
      <c r="O2420" s="133"/>
      <c r="P2420" s="133"/>
      <c r="Q2420" s="133"/>
      <c r="R2420" s="133"/>
      <c r="S2420" s="133"/>
      <c r="T2420" s="133"/>
      <c r="U2420" s="133"/>
      <c r="V2420" s="133"/>
      <c r="W2420" s="133"/>
      <c r="X2420" s="133"/>
      <c r="Y2420" s="133"/>
      <c r="Z2420" s="133"/>
    </row>
    <row r="2421">
      <c r="A2421" s="133"/>
      <c r="B2421" s="133"/>
      <c r="C2421" s="133" t="str">
        <f>IFERROR(__xludf.DUMMYFUNCTION("""COMPUTED_VALUE"""),"2025-84613")</f>
        <v>2025-84613</v>
      </c>
      <c r="D2421" s="133"/>
      <c r="E2421" s="133" t="str">
        <f>IFERROR(__xludf.DUMMYFUNCTION("""COMPUTED_VALUE"""),"مكتمل")</f>
        <v>مكتمل</v>
      </c>
      <c r="F2421" s="133" t="str">
        <f>IFERROR(__xludf.DUMMYFUNCTION("""COMPUTED_VALUE"""),"Kit Cat Purrpuree Tuna Mix 900g")</f>
        <v>Kit Cat Purrpuree Tuna Mix 900g</v>
      </c>
      <c r="G2421" s="133" t="str">
        <f>IFERROR(__xludf.DUMMYFUNCTION("""COMPUTED_VALUE"""),"كت كات بور بوري تونا ميكس")</f>
        <v>كت كات بور بوري تونا ميكس</v>
      </c>
      <c r="H2421" s="133" t="str">
        <f>IFERROR(__xludf.DUMMYFUNCTION("""COMPUTED_VALUE"""),"FEM-25-1921-FEP-2025-1897-C-22548-1334
")</f>
        <v>FEM-25-1921-FEP-2025-1897-C-22548-1334
</v>
      </c>
      <c r="I2421" s="133"/>
      <c r="J2421" s="133"/>
      <c r="K2421" s="133"/>
      <c r="L2421" s="133"/>
      <c r="M2421" s="133"/>
      <c r="N2421" s="133"/>
      <c r="O2421" s="133"/>
      <c r="P2421" s="133"/>
      <c r="Q2421" s="133"/>
      <c r="R2421" s="133"/>
      <c r="S2421" s="133"/>
      <c r="T2421" s="133"/>
      <c r="U2421" s="133"/>
      <c r="V2421" s="133"/>
      <c r="W2421" s="133"/>
      <c r="X2421" s="133"/>
      <c r="Y2421" s="133"/>
      <c r="Z2421" s="133"/>
    </row>
    <row r="2422">
      <c r="A2422" s="133"/>
      <c r="B2422" s="133"/>
      <c r="C2422" s="133" t="str">
        <f>IFERROR(__xludf.DUMMYFUNCTION("""COMPUTED_VALUE"""),"2025-84636")</f>
        <v>2025-84636</v>
      </c>
      <c r="D2422" s="133"/>
      <c r="E2422" s="133" t="str">
        <f>IFERROR(__xludf.DUMMYFUNCTION("""COMPUTED_VALUE"""),"مكتمل")</f>
        <v>مكتمل</v>
      </c>
      <c r="F2422" s="133" t="str">
        <f>IFERROR(__xludf.DUMMYFUNCTION("""COMPUTED_VALUE"""),"Kit Cat Purrpuree Egg Yolk Mix 900g")</f>
        <v>Kit Cat Purrpuree Egg Yolk Mix 900g</v>
      </c>
      <c r="G2422" s="133" t="str">
        <f>IFERROR(__xludf.DUMMYFUNCTION("""COMPUTED_VALUE"""),"كت كات بور بوري صفار البيض ميكس")</f>
        <v>كت كات بور بوري صفار البيض ميكس</v>
      </c>
      <c r="H2422" s="133" t="str">
        <f>IFERROR(__xludf.DUMMYFUNCTION("""COMPUTED_VALUE"""),"FEM-25-1923-FEP-2025-1899-C-22548-1322
")</f>
        <v>FEM-25-1923-FEP-2025-1899-C-22548-1322
</v>
      </c>
      <c r="I2422" s="133"/>
      <c r="J2422" s="133"/>
      <c r="K2422" s="133"/>
      <c r="L2422" s="133"/>
      <c r="M2422" s="133"/>
      <c r="N2422" s="133"/>
      <c r="O2422" s="133"/>
      <c r="P2422" s="133"/>
      <c r="Q2422" s="133"/>
      <c r="R2422" s="133"/>
      <c r="S2422" s="133"/>
      <c r="T2422" s="133"/>
      <c r="U2422" s="133"/>
      <c r="V2422" s="133"/>
      <c r="W2422" s="133"/>
      <c r="X2422" s="133"/>
      <c r="Y2422" s="133"/>
      <c r="Z2422" s="133"/>
    </row>
    <row r="2423">
      <c r="A2423" s="133"/>
      <c r="B2423" s="133"/>
      <c r="C2423" s="133" t="str">
        <f>IFERROR(__xludf.DUMMYFUNCTION("""COMPUTED_VALUE"""),"2025-84644")</f>
        <v>2025-84644</v>
      </c>
      <c r="D2423" s="133"/>
      <c r="E2423" s="133" t="str">
        <f>IFERROR(__xludf.DUMMYFUNCTION("""COMPUTED_VALUE"""),"مكتمل")</f>
        <v>مكتمل</v>
      </c>
      <c r="F2423" s="133" t="str">
        <f>IFERROR(__xludf.DUMMYFUNCTION("""COMPUTED_VALUE"""),"Kit Cat Purrpuree Goat Milk Mix 900g")</f>
        <v>Kit Cat Purrpuree Goat Milk Mix 900g</v>
      </c>
      <c r="G2423" s="133" t="str">
        <f>IFERROR(__xludf.DUMMYFUNCTION("""COMPUTED_VALUE"""),"كت كات بور بوري حليب الماعز ميكس")</f>
        <v>كت كات بور بوري حليب الماعز ميكس</v>
      </c>
      <c r="H2423" s="133" t="str">
        <f>IFERROR(__xludf.DUMMYFUNCTION("""COMPUTED_VALUE"""),"FEM-25-1925-FEP-2025-1901-C-22548-1321
")</f>
        <v>FEM-25-1925-FEP-2025-1901-C-22548-1321
</v>
      </c>
      <c r="I2423" s="133"/>
      <c r="J2423" s="133"/>
      <c r="K2423" s="133"/>
      <c r="L2423" s="133"/>
      <c r="M2423" s="133"/>
      <c r="N2423" s="133"/>
      <c r="O2423" s="133"/>
      <c r="P2423" s="133"/>
      <c r="Q2423" s="133"/>
      <c r="R2423" s="133"/>
      <c r="S2423" s="133"/>
      <c r="T2423" s="133"/>
      <c r="U2423" s="133"/>
      <c r="V2423" s="133"/>
      <c r="W2423" s="133"/>
      <c r="X2423" s="133"/>
      <c r="Y2423" s="133"/>
      <c r="Z2423" s="133"/>
    </row>
    <row r="2424">
      <c r="A2424" s="133"/>
      <c r="B2424" s="133"/>
      <c r="C2424" s="133" t="str">
        <f>IFERROR(__xludf.DUMMYFUNCTION("""COMPUTED_VALUE"""),"2025-84650")</f>
        <v>2025-84650</v>
      </c>
      <c r="D2424" s="133"/>
      <c r="E2424" s="133" t="str">
        <f>IFERROR(__xludf.DUMMYFUNCTION("""COMPUTED_VALUE"""),"مكتمل")</f>
        <v>مكتمل</v>
      </c>
      <c r="F2424" s="133" t="str">
        <f>IFERROR(__xludf.DUMMYFUNCTION("""COMPUTED_VALUE"""),"Kit Cat Purrpuree Chicken Mix 900g")</f>
        <v>Kit Cat Purrpuree Chicken Mix 900g</v>
      </c>
      <c r="G2424" s="133" t="str">
        <f>IFERROR(__xludf.DUMMYFUNCTION("""COMPUTED_VALUE"""),"كت كات بور بوري الدجاج ميكس")</f>
        <v>كت كات بور بوري الدجاج ميكس</v>
      </c>
      <c r="H2424" s="133" t="str">
        <f>IFERROR(__xludf.DUMMYFUNCTION("""COMPUTED_VALUE"""),"FEM-25-1926-FEP-2025-1902-C-22548-1318
")</f>
        <v>FEM-25-1926-FEP-2025-1902-C-22548-1318
</v>
      </c>
      <c r="I2424" s="133"/>
      <c r="J2424" s="133"/>
      <c r="K2424" s="133"/>
      <c r="L2424" s="133"/>
      <c r="M2424" s="133"/>
      <c r="N2424" s="133"/>
      <c r="O2424" s="133"/>
      <c r="P2424" s="133"/>
      <c r="Q2424" s="133"/>
      <c r="R2424" s="133"/>
      <c r="S2424" s="133"/>
      <c r="T2424" s="133"/>
      <c r="U2424" s="133"/>
      <c r="V2424" s="133"/>
      <c r="W2424" s="133"/>
      <c r="X2424" s="133"/>
      <c r="Y2424" s="133"/>
      <c r="Z2424" s="133"/>
    </row>
    <row r="2425">
      <c r="A2425" s="133"/>
      <c r="B2425" s="133"/>
      <c r="C2425" s="133" t="str">
        <f>IFERROR(__xludf.DUMMYFUNCTION("""COMPUTED_VALUE"""),"2025-84667")</f>
        <v>2025-84667</v>
      </c>
      <c r="D2425" s="133"/>
      <c r="E2425" s="133" t="str">
        <f>IFERROR(__xludf.DUMMYFUNCTION("""COMPUTED_VALUE"""),"مكتمل")</f>
        <v>مكتمل</v>
      </c>
      <c r="F2425" s="133" t="str">
        <f>IFERROR(__xludf.DUMMYFUNCTION("""COMPUTED_VALUE"""),"Kit Cat Purrpuree Variety Mix 900g")</f>
        <v>Kit Cat Purrpuree Variety Mix 900g</v>
      </c>
      <c r="G2425" s="133" t="str">
        <f>IFERROR(__xludf.DUMMYFUNCTION("""COMPUTED_VALUE"""),"كت كات بور بوري متنوع ميكس")</f>
        <v>كت كات بور بوري متنوع ميكس</v>
      </c>
      <c r="H2425" s="133" t="str">
        <f>IFERROR(__xludf.DUMMYFUNCTION("""COMPUTED_VALUE"""),"FEM-25-1927-FEP-2025-1903-C-22548-1319
")</f>
        <v>FEM-25-1927-FEP-2025-1903-C-22548-1319
</v>
      </c>
      <c r="I2425" s="133"/>
      <c r="J2425" s="133"/>
      <c r="K2425" s="133"/>
      <c r="L2425" s="133"/>
      <c r="M2425" s="133"/>
      <c r="N2425" s="133"/>
      <c r="O2425" s="133"/>
      <c r="P2425" s="133"/>
      <c r="Q2425" s="133"/>
      <c r="R2425" s="133"/>
      <c r="S2425" s="133"/>
      <c r="T2425" s="133"/>
      <c r="U2425" s="133"/>
      <c r="V2425" s="133"/>
      <c r="W2425" s="133"/>
      <c r="X2425" s="133"/>
      <c r="Y2425" s="133"/>
      <c r="Z2425" s="133"/>
    </row>
    <row r="2426">
      <c r="A2426" s="133"/>
      <c r="B2426" s="133"/>
      <c r="C2426" s="133" t="str">
        <f>IFERROR(__xludf.DUMMYFUNCTION("""COMPUTED_VALUE"""),"2025-84672")</f>
        <v>2025-84672</v>
      </c>
      <c r="D2426" s="133"/>
      <c r="E2426" s="133" t="str">
        <f>IFERROR(__xludf.DUMMYFUNCTION("""COMPUTED_VALUE"""),"مكتمل")</f>
        <v>مكتمل</v>
      </c>
      <c r="F2426" s="133" t="str">
        <f>IFERROR(__xludf.DUMMYFUNCTION("""COMPUTED_VALUE"""),"Kit Cat Purrpuree Tuna &amp; Fiber ( Hairball ) 75g")</f>
        <v>Kit Cat Purrpuree Tuna &amp; Fiber ( Hairball ) 75g</v>
      </c>
      <c r="G2426" s="133" t="str">
        <f>IFERROR(__xludf.DUMMYFUNCTION("""COMPUTED_VALUE"""),"كت كات بور بوري تونا و فايبر ( هيربول )")</f>
        <v>كت كات بور بوري تونا و فايبر ( هيربول )</v>
      </c>
      <c r="H2426" s="133" t="str">
        <f>IFERROR(__xludf.DUMMYFUNCTION("""COMPUTED_VALUE"""),"FEM-25-1929-FEP-2025-1904-C-22548-1315
")</f>
        <v>FEM-25-1929-FEP-2025-1904-C-22548-1315
</v>
      </c>
      <c r="I2426" s="133"/>
      <c r="J2426" s="133"/>
      <c r="K2426" s="133"/>
      <c r="L2426" s="133"/>
      <c r="M2426" s="133"/>
      <c r="N2426" s="133"/>
      <c r="O2426" s="133"/>
      <c r="P2426" s="133"/>
      <c r="Q2426" s="133"/>
      <c r="R2426" s="133"/>
      <c r="S2426" s="133"/>
      <c r="T2426" s="133"/>
      <c r="U2426" s="133"/>
      <c r="V2426" s="133"/>
      <c r="W2426" s="133"/>
      <c r="X2426" s="133"/>
      <c r="Y2426" s="133"/>
      <c r="Z2426" s="133"/>
    </row>
    <row r="2427">
      <c r="A2427" s="133"/>
      <c r="B2427" s="133"/>
      <c r="C2427" s="133" t="str">
        <f>IFERROR(__xludf.DUMMYFUNCTION("""COMPUTED_VALUE"""),"2025-84682")</f>
        <v>2025-84682</v>
      </c>
      <c r="D2427" s="133"/>
      <c r="E2427" s="133" t="str">
        <f>IFERROR(__xludf.DUMMYFUNCTION("""COMPUTED_VALUE"""),"مكتمل")</f>
        <v>مكتمل</v>
      </c>
      <c r="F2427" s="133" t="str">
        <f>IFERROR(__xludf.DUMMYFUNCTION("""COMPUTED_VALUE"""),"Kit Cat Purrpuree Tuna &amp; Goat Milk 75g")</f>
        <v>Kit Cat Purrpuree Tuna &amp; Goat Milk 75g</v>
      </c>
      <c r="G2427" s="133" t="str">
        <f>IFERROR(__xludf.DUMMYFUNCTION("""COMPUTED_VALUE"""),"كت كات بور بوري تونا مع حليب الماعز")</f>
        <v>كت كات بور بوري تونا مع حليب الماعز</v>
      </c>
      <c r="H2427" s="133" t="str">
        <f>IFERROR(__xludf.DUMMYFUNCTION("""COMPUTED_VALUE"""),"FEM-25-1930-FEP-2025-1905-C-22548-1314
")</f>
        <v>FEM-25-1930-FEP-2025-1905-C-22548-1314
</v>
      </c>
      <c r="I2427" s="133"/>
      <c r="J2427" s="133"/>
      <c r="K2427" s="133"/>
      <c r="L2427" s="133"/>
      <c r="M2427" s="133"/>
      <c r="N2427" s="133"/>
      <c r="O2427" s="133"/>
      <c r="P2427" s="133"/>
      <c r="Q2427" s="133"/>
      <c r="R2427" s="133"/>
      <c r="S2427" s="133"/>
      <c r="T2427" s="133"/>
      <c r="U2427" s="133"/>
      <c r="V2427" s="133"/>
      <c r="W2427" s="133"/>
      <c r="X2427" s="133"/>
      <c r="Y2427" s="133"/>
      <c r="Z2427" s="133"/>
    </row>
    <row r="2428">
      <c r="A2428" s="133"/>
      <c r="B2428" s="133"/>
      <c r="C2428" s="133" t="str">
        <f>IFERROR(__xludf.DUMMYFUNCTION("""COMPUTED_VALUE"""),"2025-84696")</f>
        <v>2025-84696</v>
      </c>
      <c r="D2428" s="133"/>
      <c r="E2428" s="133" t="str">
        <f>IFERROR(__xludf.DUMMYFUNCTION("""COMPUTED_VALUE"""),"مكتمل")</f>
        <v>مكتمل</v>
      </c>
      <c r="F2428" s="133" t="str">
        <f>IFERROR(__xludf.DUMMYFUNCTION("""COMPUTED_VALUE"""),"Kit Cat Purrpuree Chicken &amp; Salmon 75g")</f>
        <v>Kit Cat Purrpuree Chicken &amp; Salmon 75g</v>
      </c>
      <c r="G2428" s="133" t="str">
        <f>IFERROR(__xludf.DUMMYFUNCTION("""COMPUTED_VALUE"""),"كت كات بور بوري دجاج و السالمون")</f>
        <v>كت كات بور بوري دجاج و السالمون</v>
      </c>
      <c r="H2428" s="133" t="str">
        <f>IFERROR(__xludf.DUMMYFUNCTION("""COMPUTED_VALUE"""),"FEM-25-1932-FEP-2025-1906-C-22548-1313
")</f>
        <v>FEM-25-1932-FEP-2025-1906-C-22548-1313
</v>
      </c>
      <c r="I2428" s="133"/>
      <c r="J2428" s="133"/>
      <c r="K2428" s="133"/>
      <c r="L2428" s="133"/>
      <c r="M2428" s="133"/>
      <c r="N2428" s="133"/>
      <c r="O2428" s="133"/>
      <c r="P2428" s="133"/>
      <c r="Q2428" s="133"/>
      <c r="R2428" s="133"/>
      <c r="S2428" s="133"/>
      <c r="T2428" s="133"/>
      <c r="U2428" s="133"/>
      <c r="V2428" s="133"/>
      <c r="W2428" s="133"/>
      <c r="X2428" s="133"/>
      <c r="Y2428" s="133"/>
      <c r="Z2428" s="133"/>
    </row>
    <row r="2429">
      <c r="A2429" s="133"/>
      <c r="B2429" s="133"/>
      <c r="C2429" s="133" t="str">
        <f>IFERROR(__xludf.DUMMYFUNCTION("""COMPUTED_VALUE"""),"2025-84709")</f>
        <v>2025-84709</v>
      </c>
      <c r="D2429" s="133"/>
      <c r="E2429" s="133" t="str">
        <f>IFERROR(__xludf.DUMMYFUNCTION("""COMPUTED_VALUE"""),"مكتمل")</f>
        <v>مكتمل</v>
      </c>
      <c r="F2429" s="133" t="str">
        <f>IFERROR(__xludf.DUMMYFUNCTION("""COMPUTED_VALUE"""),"Kit Cat Purrpuree Chicken &amp; Goat Milk 75g")</f>
        <v>Kit Cat Purrpuree Chicken &amp; Goat Milk 75g</v>
      </c>
      <c r="G2429" s="133" t="str">
        <f>IFERROR(__xludf.DUMMYFUNCTION("""COMPUTED_VALUE"""),"كت كات بور بوري دجاج و حليب الماعز")</f>
        <v>كت كات بور بوري دجاج و حليب الماعز</v>
      </c>
      <c r="H2429" s="133" t="str">
        <f>IFERROR(__xludf.DUMMYFUNCTION("""COMPUTED_VALUE"""),"FEM-25-1934-FEP-2025-1907-C-22548-1309
")</f>
        <v>FEM-25-1934-FEP-2025-1907-C-22548-1309
</v>
      </c>
      <c r="I2429" s="133"/>
      <c r="J2429" s="133"/>
      <c r="K2429" s="133"/>
      <c r="L2429" s="133"/>
      <c r="M2429" s="133"/>
      <c r="N2429" s="133"/>
      <c r="O2429" s="133"/>
      <c r="P2429" s="133"/>
      <c r="Q2429" s="133"/>
      <c r="R2429" s="133"/>
      <c r="S2429" s="133"/>
      <c r="T2429" s="133"/>
      <c r="U2429" s="133"/>
      <c r="V2429" s="133"/>
      <c r="W2429" s="133"/>
      <c r="X2429" s="133"/>
      <c r="Y2429" s="133"/>
      <c r="Z2429" s="133"/>
    </row>
    <row r="2430">
      <c r="A2430" s="133"/>
      <c r="B2430" s="133"/>
      <c r="C2430" s="133" t="str">
        <f>IFERROR(__xludf.DUMMYFUNCTION("""COMPUTED_VALUE"""),"2025-84722")</f>
        <v>2025-84722</v>
      </c>
      <c r="D2430" s="133"/>
      <c r="E2430" s="133" t="str">
        <f>IFERROR(__xludf.DUMMYFUNCTION("""COMPUTED_VALUE"""),"مكتمل")</f>
        <v>مكتمل</v>
      </c>
      <c r="F2430" s="133" t="str">
        <f>IFERROR(__xludf.DUMMYFUNCTION("""COMPUTED_VALUE"""),"Kit Cat Purrpuree Tuna &amp; Egg Yolk 75g")</f>
        <v>Kit Cat Purrpuree Tuna &amp; Egg Yolk 75g</v>
      </c>
      <c r="G2430" s="133" t="str">
        <f>IFERROR(__xludf.DUMMYFUNCTION("""COMPUTED_VALUE"""),"كت كات بور بوري تونا وصفار البيض")</f>
        <v>كت كات بور بوري تونا وصفار البيض</v>
      </c>
      <c r="H2430" s="133" t="str">
        <f>IFERROR(__xludf.DUMMYFUNCTION("""COMPUTED_VALUE"""),"FEM-25-1935-FEP-2025-1908-C-22548-1306
")</f>
        <v>FEM-25-1935-FEP-2025-1908-C-22548-1306
</v>
      </c>
      <c r="I2430" s="133"/>
      <c r="J2430" s="133"/>
      <c r="K2430" s="133"/>
      <c r="L2430" s="133"/>
      <c r="M2430" s="133"/>
      <c r="N2430" s="133"/>
      <c r="O2430" s="133"/>
      <c r="P2430" s="133"/>
      <c r="Q2430" s="133"/>
      <c r="R2430" s="133"/>
      <c r="S2430" s="133"/>
      <c r="T2430" s="133"/>
      <c r="U2430" s="133"/>
      <c r="V2430" s="133"/>
      <c r="W2430" s="133"/>
      <c r="X2430" s="133"/>
      <c r="Y2430" s="133"/>
      <c r="Z2430" s="133"/>
    </row>
    <row r="2431">
      <c r="A2431" s="133"/>
      <c r="B2431" s="133"/>
      <c r="C2431" s="133" t="str">
        <f>IFERROR(__xludf.DUMMYFUNCTION("""COMPUTED_VALUE"""),"2025-84730")</f>
        <v>2025-84730</v>
      </c>
      <c r="D2431" s="133"/>
      <c r="E2431" s="133" t="str">
        <f>IFERROR(__xludf.DUMMYFUNCTION("""COMPUTED_VALUE"""),"مكتمل")</f>
        <v>مكتمل</v>
      </c>
      <c r="F2431" s="133" t="str">
        <f>IFERROR(__xludf.DUMMYFUNCTION("""COMPUTED_VALUE"""),"Kit Cat Purrpuree Chicken &amp; Egg Yolk 75g")</f>
        <v>Kit Cat Purrpuree Chicken &amp; Egg Yolk 75g</v>
      </c>
      <c r="G2431" s="133" t="str">
        <f>IFERROR(__xludf.DUMMYFUNCTION("""COMPUTED_VALUE"""),"كت كات بور بوري دجاج وصفار البيض")</f>
        <v>كت كات بور بوري دجاج وصفار البيض</v>
      </c>
      <c r="H2431" s="133" t="str">
        <f>IFERROR(__xludf.DUMMYFUNCTION("""COMPUTED_VALUE"""),"FEM-25-1936-FEP-2025-1910-C-22548-1308
")</f>
        <v>FEM-25-1936-FEP-2025-1910-C-22548-1308
</v>
      </c>
      <c r="I2431" s="133"/>
      <c r="J2431" s="133"/>
      <c r="K2431" s="133"/>
      <c r="L2431" s="133"/>
      <c r="M2431" s="133"/>
      <c r="N2431" s="133"/>
      <c r="O2431" s="133"/>
      <c r="P2431" s="133"/>
      <c r="Q2431" s="133"/>
      <c r="R2431" s="133"/>
      <c r="S2431" s="133"/>
      <c r="T2431" s="133"/>
      <c r="U2431" s="133"/>
      <c r="V2431" s="133"/>
      <c r="W2431" s="133"/>
      <c r="X2431" s="133"/>
      <c r="Y2431" s="133"/>
      <c r="Z2431" s="133"/>
    </row>
    <row r="2432">
      <c r="A2432" s="133"/>
      <c r="B2432" s="133"/>
      <c r="C2432" s="133" t="str">
        <f>IFERROR(__xludf.DUMMYFUNCTION("""COMPUTED_VALUE"""),"2025-84738")</f>
        <v>2025-84738</v>
      </c>
      <c r="D2432" s="133"/>
      <c r="E2432" s="133" t="str">
        <f>IFERROR(__xludf.DUMMYFUNCTION("""COMPUTED_VALUE"""),"مكتمل")</f>
        <v>مكتمل</v>
      </c>
      <c r="F2432" s="133" t="str">
        <f>IFERROR(__xludf.DUMMYFUNCTION("""COMPUTED_VALUE"""),"Kit Cat Purrpuree Tuna &amp; Salmon 75g")</f>
        <v>Kit Cat Purrpuree Tuna &amp; Salmon 75g</v>
      </c>
      <c r="G2432" s="133" t="str">
        <f>IFERROR(__xludf.DUMMYFUNCTION("""COMPUTED_VALUE"""),"كت كات بور بوري تونا وسالمون")</f>
        <v>كت كات بور بوري تونا وسالمون</v>
      </c>
      <c r="H2432" s="133" t="str">
        <f>IFERROR(__xludf.DUMMYFUNCTION("""COMPUTED_VALUE"""),"FEM-25-1937-FEP-2025-1911-C-22548-1337
")</f>
        <v>FEM-25-1937-FEP-2025-1911-C-22548-1337
</v>
      </c>
      <c r="I2432" s="133"/>
      <c r="J2432" s="133"/>
      <c r="K2432" s="133"/>
      <c r="L2432" s="133"/>
      <c r="M2432" s="133"/>
      <c r="N2432" s="133"/>
      <c r="O2432" s="133"/>
      <c r="P2432" s="133"/>
      <c r="Q2432" s="133"/>
      <c r="R2432" s="133"/>
      <c r="S2432" s="133"/>
      <c r="T2432" s="133"/>
      <c r="U2432" s="133"/>
      <c r="V2432" s="133"/>
      <c r="W2432" s="133"/>
      <c r="X2432" s="133"/>
      <c r="Y2432" s="133"/>
      <c r="Z2432" s="133"/>
    </row>
    <row r="2433">
      <c r="A2433" s="133"/>
      <c r="B2433" s="133"/>
      <c r="C2433" s="133" t="str">
        <f>IFERROR(__xludf.DUMMYFUNCTION("""COMPUTED_VALUE"""),"2025-84751")</f>
        <v>2025-84751</v>
      </c>
      <c r="D2433" s="133"/>
      <c r="E2433" s="133" t="str">
        <f>IFERROR(__xludf.DUMMYFUNCTION("""COMPUTED_VALUE"""),"مكتمل")</f>
        <v>مكتمل</v>
      </c>
      <c r="F2433" s="133" t="str">
        <f>IFERROR(__xludf.DUMMYFUNCTION("""COMPUTED_VALUE"""),"Kit Cat Purrpuree Salmon 75g")</f>
        <v>Kit Cat Purrpuree Salmon 75g</v>
      </c>
      <c r="G2433" s="133" t="str">
        <f>IFERROR(__xludf.DUMMYFUNCTION("""COMPUTED_VALUE"""),"كت كات بور بوري سالمون")</f>
        <v>كت كات بور بوري سالمون</v>
      </c>
      <c r="H2433" s="133" t="str">
        <f>IFERROR(__xludf.DUMMYFUNCTION("""COMPUTED_VALUE"""),"FEM-25-1938-FEP-2025-1912-C-22548-1307
")</f>
        <v>FEM-25-1938-FEP-2025-1912-C-22548-1307
</v>
      </c>
      <c r="I2433" s="133"/>
      <c r="J2433" s="133"/>
      <c r="K2433" s="133"/>
      <c r="L2433" s="133"/>
      <c r="M2433" s="133"/>
      <c r="N2433" s="133"/>
      <c r="O2433" s="133"/>
      <c r="P2433" s="133"/>
      <c r="Q2433" s="133"/>
      <c r="R2433" s="133"/>
      <c r="S2433" s="133"/>
      <c r="T2433" s="133"/>
      <c r="U2433" s="133"/>
      <c r="V2433" s="133"/>
      <c r="W2433" s="133"/>
      <c r="X2433" s="133"/>
      <c r="Y2433" s="133"/>
      <c r="Z2433" s="133"/>
    </row>
    <row r="2434">
      <c r="A2434" s="133"/>
      <c r="B2434" s="133"/>
      <c r="C2434" s="133" t="str">
        <f>IFERROR(__xludf.DUMMYFUNCTION("""COMPUTED_VALUE"""),"2025-84822")</f>
        <v>2025-84822</v>
      </c>
      <c r="D2434" s="133"/>
      <c r="E2434" s="133" t="str">
        <f>IFERROR(__xludf.DUMMYFUNCTION("""COMPUTED_VALUE"""),"مكتمل")</f>
        <v>مكتمل</v>
      </c>
      <c r="F2434" s="133" t="str">
        <f>IFERROR(__xludf.DUMMYFUNCTION("""COMPUTED_VALUE"""),"Kit Cat Purrpuree Salmon &amp; Fiber ( Hairball) 75g")</f>
        <v>Kit Cat Purrpuree Salmon &amp; Fiber ( Hairball) 75g</v>
      </c>
      <c r="G2434" s="133" t="str">
        <f>IFERROR(__xludf.DUMMYFUNCTION("""COMPUTED_VALUE"""),"كت كات بور بوري سالمون و فايبر ( هيربول )")</f>
        <v>كت كات بور بوري سالمون و فايبر ( هيربول )</v>
      </c>
      <c r="H2434" s="133" t="str">
        <f>IFERROR(__xludf.DUMMYFUNCTION("""COMPUTED_VALUE"""),"FEM-25-1939-FEP-2025-1914-C-22548-1310
")</f>
        <v>FEM-25-1939-FEP-2025-1914-C-22548-1310
</v>
      </c>
      <c r="I2434" s="133"/>
      <c r="J2434" s="133"/>
      <c r="K2434" s="133"/>
      <c r="L2434" s="133"/>
      <c r="M2434" s="133"/>
      <c r="N2434" s="133"/>
      <c r="O2434" s="133"/>
      <c r="P2434" s="133"/>
      <c r="Q2434" s="133"/>
      <c r="R2434" s="133"/>
      <c r="S2434" s="133"/>
      <c r="T2434" s="133"/>
      <c r="U2434" s="133"/>
      <c r="V2434" s="133"/>
      <c r="W2434" s="133"/>
      <c r="X2434" s="133"/>
      <c r="Y2434" s="133"/>
      <c r="Z2434" s="133"/>
    </row>
    <row r="2435">
      <c r="A2435" s="133"/>
      <c r="B2435" s="133"/>
      <c r="C2435" s="133" t="str">
        <f>IFERROR(__xludf.DUMMYFUNCTION("""COMPUTED_VALUE"""),"2025-84830")</f>
        <v>2025-84830</v>
      </c>
      <c r="D2435" s="133"/>
      <c r="E2435" s="133" t="str">
        <f>IFERROR(__xludf.DUMMYFUNCTION("""COMPUTED_VALUE"""),"مكتمل")</f>
        <v>مكتمل</v>
      </c>
      <c r="F2435" s="133" t="str">
        <f>IFERROR(__xludf.DUMMYFUNCTION("""COMPUTED_VALUE"""),"Kit Cat Purrpuree Salmon &amp; Goat Milk 75g")</f>
        <v>Kit Cat Purrpuree Salmon &amp; Goat Milk 75g</v>
      </c>
      <c r="G2435" s="133" t="str">
        <f>IFERROR(__xludf.DUMMYFUNCTION("""COMPUTED_VALUE"""),"كت كات بور بوري سالمون و حليب الماعز")</f>
        <v>كت كات بور بوري سالمون و حليب الماعز</v>
      </c>
      <c r="H2435" s="133" t="str">
        <f>IFERROR(__xludf.DUMMYFUNCTION("""COMPUTED_VALUE"""),"FEM-25-1940-FEP-2025-1915-C-22548-1305
")</f>
        <v>FEM-25-1940-FEP-2025-1915-C-22548-1305
</v>
      </c>
      <c r="I2435" s="133"/>
      <c r="J2435" s="133"/>
      <c r="K2435" s="133"/>
      <c r="L2435" s="133"/>
      <c r="M2435" s="133"/>
      <c r="N2435" s="133"/>
      <c r="O2435" s="133"/>
      <c r="P2435" s="133"/>
      <c r="Q2435" s="133"/>
      <c r="R2435" s="133"/>
      <c r="S2435" s="133"/>
      <c r="T2435" s="133"/>
      <c r="U2435" s="133"/>
      <c r="V2435" s="133"/>
      <c r="W2435" s="133"/>
      <c r="X2435" s="133"/>
      <c r="Y2435" s="133"/>
      <c r="Z2435" s="133"/>
    </row>
    <row r="2436">
      <c r="A2436" s="133"/>
      <c r="B2436" s="133"/>
      <c r="C2436" s="133" t="str">
        <f>IFERROR(__xludf.DUMMYFUNCTION("""COMPUTED_VALUE"""),"2025-84836")</f>
        <v>2025-84836</v>
      </c>
      <c r="D2436" s="133"/>
      <c r="E2436" s="133" t="str">
        <f>IFERROR(__xludf.DUMMYFUNCTION("""COMPUTED_VALUE"""),"مكتمل")</f>
        <v>مكتمل</v>
      </c>
      <c r="F2436" s="133" t="str">
        <f>IFERROR(__xludf.DUMMYFUNCTION("""COMPUTED_VALUE"""),"Kit Cat Purrpuree Salmon &amp; Egg Yolk 75g")</f>
        <v>Kit Cat Purrpuree Salmon &amp; Egg Yolk 75g</v>
      </c>
      <c r="G2436" s="133" t="str">
        <f>IFERROR(__xludf.DUMMYFUNCTION("""COMPUTED_VALUE"""),"كت كات بور بوري سالمون و صفار البيض")</f>
        <v>كت كات بور بوري سالمون و صفار البيض</v>
      </c>
      <c r="H2436" s="133" t="str">
        <f>IFERROR(__xludf.DUMMYFUNCTION("""COMPUTED_VALUE"""),"FEM-25-1941-FEP-2025-1916-C-22548-1304
")</f>
        <v>FEM-25-1941-FEP-2025-1916-C-22548-1304
</v>
      </c>
      <c r="I2436" s="133"/>
      <c r="J2436" s="133"/>
      <c r="K2436" s="133"/>
      <c r="L2436" s="133"/>
      <c r="M2436" s="133"/>
      <c r="N2436" s="133"/>
      <c r="O2436" s="133"/>
      <c r="P2436" s="133"/>
      <c r="Q2436" s="133"/>
      <c r="R2436" s="133"/>
      <c r="S2436" s="133"/>
      <c r="T2436" s="133"/>
      <c r="U2436" s="133"/>
      <c r="V2436" s="133"/>
      <c r="W2436" s="133"/>
      <c r="X2436" s="133"/>
      <c r="Y2436" s="133"/>
      <c r="Z2436" s="133"/>
    </row>
    <row r="2437">
      <c r="A2437" s="133"/>
      <c r="B2437" s="133"/>
      <c r="C2437" s="133" t="str">
        <f>IFERROR(__xludf.DUMMYFUNCTION("""COMPUTED_VALUE"""),"2025-89400")</f>
        <v>2025-89400</v>
      </c>
      <c r="D2437" s="133" t="str">
        <f>IFERROR(__xludf.DUMMYFUNCTION("""COMPUTED_VALUE"""),"F2F235421W00085")</f>
        <v>F2F235421W00085</v>
      </c>
      <c r="E2437" s="133" t="str">
        <f>IFERROR(__xludf.DUMMYFUNCTION("""COMPUTED_VALUE"""),"مكتمل")</f>
        <v>مكتمل</v>
      </c>
      <c r="F2437" s="133" t="str">
        <f>IFERROR(__xludf.DUMMYFUNCTION("""COMPUTED_VALUE"""),"ACANA Premium Pate Beef for adult cats 85g")</f>
        <v>ACANA Premium Pate Beef for adult cats 85g</v>
      </c>
      <c r="G2437" s="133" t="str">
        <f>IFERROR(__xludf.DUMMYFUNCTION("""COMPUTED_VALUE"""),"اكانا بريميوم باتيه لحم بقر")</f>
        <v>اكانا بريميوم باتيه لحم بقر</v>
      </c>
      <c r="H2437" s="133" t="str">
        <f>IFERROR(__xludf.DUMMYFUNCTION("""COMPUTED_VALUE"""),"FEM-25-2059-FEP-2025-1997-C-22548-1401
")</f>
        <v>FEM-25-2059-FEP-2025-1997-C-22548-1401
</v>
      </c>
      <c r="I2437" s="133"/>
      <c r="J2437" s="133"/>
      <c r="K2437" s="133"/>
      <c r="L2437" s="133"/>
      <c r="M2437" s="133"/>
      <c r="N2437" s="133"/>
      <c r="O2437" s="133"/>
      <c r="P2437" s="133"/>
      <c r="Q2437" s="133"/>
      <c r="R2437" s="133"/>
      <c r="S2437" s="133"/>
      <c r="T2437" s="133"/>
      <c r="U2437" s="133"/>
      <c r="V2437" s="133"/>
      <c r="W2437" s="133"/>
      <c r="X2437" s="133"/>
      <c r="Y2437" s="133"/>
      <c r="Z2437" s="133"/>
    </row>
    <row r="2438">
      <c r="A2438" s="133"/>
      <c r="B2438" s="133"/>
      <c r="C2438" s="133" t="str">
        <f>IFERROR(__xludf.DUMMYFUNCTION("""COMPUTED_VALUE"""),"2025-89420")</f>
        <v>2025-89420</v>
      </c>
      <c r="D2438" s="133" t="str">
        <f>IFERROR(__xludf.DUMMYFUNCTION("""COMPUTED_VALUE"""),"F2F235521W00085")</f>
        <v>F2F235521W00085</v>
      </c>
      <c r="E2438" s="133" t="str">
        <f>IFERROR(__xludf.DUMMYFUNCTION("""COMPUTED_VALUE"""),"مكتمل")</f>
        <v>مكتمل</v>
      </c>
      <c r="F2438" s="133" t="str">
        <f>IFERROR(__xludf.DUMMYFUNCTION("""COMPUTED_VALUE"""),"ACANA Premium Pate Chicken for adult cats")</f>
        <v>ACANA Premium Pate Chicken for adult cats</v>
      </c>
      <c r="G2438" s="133" t="str">
        <f>IFERROR(__xludf.DUMMYFUNCTION("""COMPUTED_VALUE"""),"اكانا بريميوم باتيه الدجاج")</f>
        <v>اكانا بريميوم باتيه الدجاج</v>
      </c>
      <c r="H2438" s="133" t="str">
        <f>IFERROR(__xludf.DUMMYFUNCTION("""COMPUTED_VALUE"""),"FEM-25-2060-FEP-2025-2000-C-22548-1400
")</f>
        <v>FEM-25-2060-FEP-2025-2000-C-22548-1400
</v>
      </c>
      <c r="I2438" s="133"/>
      <c r="J2438" s="133"/>
      <c r="K2438" s="133"/>
      <c r="L2438" s="133"/>
      <c r="M2438" s="133"/>
      <c r="N2438" s="133"/>
      <c r="O2438" s="133"/>
      <c r="P2438" s="133"/>
      <c r="Q2438" s="133"/>
      <c r="R2438" s="133"/>
      <c r="S2438" s="133"/>
      <c r="T2438" s="133"/>
      <c r="U2438" s="133"/>
      <c r="V2438" s="133"/>
      <c r="W2438" s="133"/>
      <c r="X2438" s="133"/>
      <c r="Y2438" s="133"/>
      <c r="Z2438" s="133"/>
    </row>
    <row r="2439">
      <c r="A2439" s="133"/>
      <c r="B2439" s="133"/>
      <c r="C2439" s="133" t="str">
        <f>IFERROR(__xludf.DUMMYFUNCTION("""COMPUTED_VALUE"""),"2025-89429")</f>
        <v>2025-89429</v>
      </c>
      <c r="D2439" s="133" t="str">
        <f>IFERROR(__xludf.DUMMYFUNCTION("""COMPUTED_VALUE"""),"F2F235021W00085")</f>
        <v>F2F235021W00085</v>
      </c>
      <c r="E2439" s="133" t="str">
        <f>IFERROR(__xludf.DUMMYFUNCTION("""COMPUTED_VALUE"""),"مكتمل")</f>
        <v>مكتمل</v>
      </c>
      <c r="F2439" s="133" t="str">
        <f>IFERROR(__xludf.DUMMYFUNCTION("""COMPUTED_VALUE"""),"ACANA Premium Pate Chicken with Fish for kittens")</f>
        <v>ACANA Premium Pate Chicken with Fish for kittens</v>
      </c>
      <c r="G2439" s="133" t="str">
        <f>IFERROR(__xludf.DUMMYFUNCTION("""COMPUTED_VALUE"""),"اكانا بريميوم باتيه الدجاج مع السمك للكيتن")</f>
        <v>اكانا بريميوم باتيه الدجاج مع السمك للكيتن</v>
      </c>
      <c r="H2439" s="133" t="str">
        <f>IFERROR(__xludf.DUMMYFUNCTION("""COMPUTED_VALUE"""),"FEM-25-2063-FEP-2025-2002-C-22548-1399
")</f>
        <v>FEM-25-2063-FEP-2025-2002-C-22548-1399
</v>
      </c>
      <c r="I2439" s="133"/>
      <c r="J2439" s="133"/>
      <c r="K2439" s="133"/>
      <c r="L2439" s="133"/>
      <c r="M2439" s="133"/>
      <c r="N2439" s="133"/>
      <c r="O2439" s="133"/>
      <c r="P2439" s="133"/>
      <c r="Q2439" s="133"/>
      <c r="R2439" s="133"/>
      <c r="S2439" s="133"/>
      <c r="T2439" s="133"/>
      <c r="U2439" s="133"/>
      <c r="V2439" s="133"/>
      <c r="W2439" s="133"/>
      <c r="X2439" s="133"/>
      <c r="Y2439" s="133"/>
      <c r="Z2439" s="133"/>
    </row>
    <row r="2440">
      <c r="A2440" s="133"/>
      <c r="B2440" s="133"/>
      <c r="C2440" s="133" t="str">
        <f>IFERROR(__xludf.DUMMYFUNCTION("""COMPUTED_VALUE"""),"2025-89453")</f>
        <v>2025-89453</v>
      </c>
      <c r="D2440" s="133" t="str">
        <f>IFERROR(__xludf.DUMMYFUNCTION("""COMPUTED_VALUE"""),"F2F235121W00085")</f>
        <v>F2F235121W00085</v>
      </c>
      <c r="E2440" s="133" t="str">
        <f>IFERROR(__xludf.DUMMYFUNCTION("""COMPUTED_VALUE"""),"مكتمل ")</f>
        <v>مكتمل </v>
      </c>
      <c r="F2440" s="133" t="str">
        <f>IFERROR(__xludf.DUMMYFUNCTION("""COMPUTED_VALUE"""),"ACANA Premium Pate Lamb for adult cats")</f>
        <v>ACANA Premium Pate Lamb for adult cats</v>
      </c>
      <c r="G2440" s="133" t="str">
        <f>IFERROR(__xludf.DUMMYFUNCTION("""COMPUTED_VALUE"""),"اكانا بريميوم باتيه لحم الضأن")</f>
        <v>اكانا بريميوم باتيه لحم الضأن</v>
      </c>
      <c r="H2440" s="133" t="str">
        <f>IFERROR(__xludf.DUMMYFUNCTION("""COMPUTED_VALUE"""),"FEM-25-2066-FEP-2025-2005-C-22548-1398")</f>
        <v>FEM-25-2066-FEP-2025-2005-C-22548-1398</v>
      </c>
      <c r="I2440" s="133"/>
      <c r="J2440" s="133"/>
      <c r="K2440" s="133"/>
      <c r="L2440" s="133"/>
      <c r="M2440" s="133"/>
      <c r="N2440" s="133"/>
      <c r="O2440" s="133"/>
      <c r="P2440" s="133"/>
      <c r="Q2440" s="133"/>
      <c r="R2440" s="133"/>
      <c r="S2440" s="133"/>
      <c r="T2440" s="133"/>
      <c r="U2440" s="133"/>
      <c r="V2440" s="133"/>
      <c r="W2440" s="133"/>
      <c r="X2440" s="133"/>
      <c r="Y2440" s="133"/>
      <c r="Z2440" s="133"/>
    </row>
    <row r="2441">
      <c r="A2441" s="133"/>
      <c r="B2441" s="133"/>
      <c r="C2441" s="133" t="str">
        <f>IFERROR(__xludf.DUMMYFUNCTION("""COMPUTED_VALUE"""),"2025-89465")</f>
        <v>2025-89465</v>
      </c>
      <c r="D2441" s="133" t="str">
        <f>IFERROR(__xludf.DUMMYFUNCTION("""COMPUTED_VALUE"""),"F2F235321W00085")</f>
        <v>F2F235321W00085</v>
      </c>
      <c r="E2441" s="133" t="str">
        <f>IFERROR(__xludf.DUMMYFUNCTION("""COMPUTED_VALUE"""),"مكتمل ")</f>
        <v>مكتمل </v>
      </c>
      <c r="F2441" s="133" t="str">
        <f>IFERROR(__xludf.DUMMYFUNCTION("""COMPUTED_VALUE"""),"ACANA Premium Pate Salmon with Chicken for adult cats")</f>
        <v>ACANA Premium Pate Salmon with Chicken for adult cats</v>
      </c>
      <c r="G2441" s="133" t="str">
        <f>IFERROR(__xludf.DUMMYFUNCTION("""COMPUTED_VALUE"""),"كانا بريميوم باتيه سالمون مع الدجاج")</f>
        <v>كانا بريميوم باتيه سالمون مع الدجاج</v>
      </c>
      <c r="H2441" s="133" t="str">
        <f>IFERROR(__xludf.DUMMYFUNCTION("""COMPUTED_VALUE"""),"FEM-25-2068-FEP-2025-2007-C-22548-1616
")</f>
        <v>FEM-25-2068-FEP-2025-2007-C-22548-1616
</v>
      </c>
      <c r="I2441" s="133"/>
      <c r="J2441" s="133"/>
      <c r="K2441" s="133"/>
      <c r="L2441" s="133"/>
      <c r="M2441" s="133"/>
      <c r="N2441" s="133"/>
      <c r="O2441" s="133"/>
      <c r="P2441" s="133"/>
      <c r="Q2441" s="133"/>
      <c r="R2441" s="133"/>
      <c r="S2441" s="133"/>
      <c r="T2441" s="133"/>
      <c r="U2441" s="133"/>
      <c r="V2441" s="133"/>
      <c r="W2441" s="133"/>
      <c r="X2441" s="133"/>
      <c r="Y2441" s="133"/>
      <c r="Z2441" s="133"/>
    </row>
    <row r="2442">
      <c r="A2442" s="133"/>
      <c r="B2442" s="133"/>
      <c r="C2442" s="133" t="str">
        <f>IFERROR(__xludf.DUMMYFUNCTION("""COMPUTED_VALUE"""),"2025-89482")</f>
        <v>2025-89482</v>
      </c>
      <c r="D2442" s="133" t="str">
        <f>IFERROR(__xludf.DUMMYFUNCTION("""COMPUTED_VALUE"""),"F2F235221W00085")</f>
        <v>F2F235221W00085</v>
      </c>
      <c r="E2442" s="133" t="str">
        <f>IFERROR(__xludf.DUMMYFUNCTION("""COMPUTED_VALUE"""),"مكتمل")</f>
        <v>مكتمل</v>
      </c>
      <c r="F2442" s="133" t="str">
        <f>IFERROR(__xludf.DUMMYFUNCTION("""COMPUTED_VALUE"""),"ACANA Premium Pate Tuna with Chicken for adult cats")</f>
        <v>ACANA Premium Pate Tuna with Chicken for adult cats</v>
      </c>
      <c r="G2442" s="133" t="str">
        <f>IFERROR(__xludf.DUMMYFUNCTION("""COMPUTED_VALUE"""),"اكانا بريميوم باتيه تونة مع الدجاج")</f>
        <v>اكانا بريميوم باتيه تونة مع الدجاج</v>
      </c>
      <c r="H2442" s="133" t="str">
        <f>IFERROR(__xludf.DUMMYFUNCTION("""COMPUTED_VALUE"""),"FEM-25-2071-FEP-2025-2009-C-22548-1438
")</f>
        <v>FEM-25-2071-FEP-2025-2009-C-22548-1438
</v>
      </c>
      <c r="I2442" s="133"/>
      <c r="J2442" s="133"/>
      <c r="K2442" s="133"/>
      <c r="L2442" s="133"/>
      <c r="M2442" s="133"/>
      <c r="N2442" s="133"/>
      <c r="O2442" s="133"/>
      <c r="P2442" s="133"/>
      <c r="Q2442" s="133"/>
      <c r="R2442" s="133"/>
      <c r="S2442" s="133"/>
      <c r="T2442" s="133"/>
      <c r="U2442" s="133"/>
      <c r="V2442" s="133"/>
      <c r="W2442" s="133"/>
      <c r="X2442" s="133"/>
      <c r="Y2442" s="133"/>
      <c r="Z2442" s="133"/>
    </row>
    <row r="2443">
      <c r="A2443" s="133"/>
      <c r="B2443" s="133"/>
      <c r="C2443" s="133" t="str">
        <f>IFERROR(__xludf.DUMMYFUNCTION("""COMPUTED_VALUE"""),"2025-104929")</f>
        <v>2025-104929</v>
      </c>
      <c r="D2443" s="133"/>
      <c r="E2443" s="133" t="str">
        <f>IFERROR(__xludf.DUMMYFUNCTION("""COMPUTED_VALUE"""),"اعادة الطلب ")</f>
        <v>اعادة الطلب </v>
      </c>
      <c r="F2443" s="133" t="str">
        <f>IFERROR(__xludf.DUMMYFUNCTION("""COMPUTED_VALUE"""),"Garden Bites veggie buddies S - 6cm 270g")</f>
        <v>Garden Bites veggie buddies S - 6cm 270g</v>
      </c>
      <c r="G2443" s="133" t="str">
        <f>IFERROR(__xludf.DUMMYFUNCTION("""COMPUTED_VALUE"""),"جاردن بايتس فيجي باديز سمول")</f>
        <v>جاردن بايتس فيجي باديز سمول</v>
      </c>
      <c r="H2443" s="133" t="str">
        <f>IFERROR(__xludf.DUMMYFUNCTION("""COMPUTED_VALUE"""),"FEM-25-2419-FEP-2025-3077-C-22548-1733
")</f>
        <v>FEM-25-2419-FEP-2025-3077-C-22548-1733
</v>
      </c>
      <c r="I2443" s="133"/>
      <c r="J2443" s="133"/>
      <c r="K2443" s="133"/>
      <c r="L2443" s="133"/>
      <c r="M2443" s="133"/>
      <c r="N2443" s="133"/>
      <c r="O2443" s="133"/>
      <c r="P2443" s="133"/>
      <c r="Q2443" s="133"/>
      <c r="R2443" s="133"/>
      <c r="S2443" s="133"/>
      <c r="T2443" s="133"/>
      <c r="U2443" s="133"/>
      <c r="V2443" s="133"/>
      <c r="W2443" s="133"/>
      <c r="X2443" s="133"/>
      <c r="Y2443" s="133"/>
      <c r="Z2443" s="133"/>
    </row>
    <row r="2444">
      <c r="A2444" s="133"/>
      <c r="B2444" s="133"/>
      <c r="C2444" s="133" t="str">
        <f>IFERROR(__xludf.DUMMYFUNCTION("""COMPUTED_VALUE"""),"2025-105199")</f>
        <v>2025-105199</v>
      </c>
      <c r="D2444" s="133"/>
      <c r="E2444" s="133" t="str">
        <f>IFERROR(__xludf.DUMMYFUNCTION("""COMPUTED_VALUE"""),"مكتمل")</f>
        <v>مكتمل</v>
      </c>
      <c r="F2444" s="133" t="str">
        <f>IFERROR(__xludf.DUMMYFUNCTION("""COMPUTED_VALUE"""),"Garden Bites veggie buddies M 270g")</f>
        <v>Garden Bites veggie buddies M 270g</v>
      </c>
      <c r="G2444" s="133" t="str">
        <f>IFERROR(__xludf.DUMMYFUNCTION("""COMPUTED_VALUE"""),"جاردن بايتس فيجي باديز ميديم")</f>
        <v>جاردن بايتس فيجي باديز ميديم</v>
      </c>
      <c r="H2444" s="133" t="str">
        <f>IFERROR(__xludf.DUMMYFUNCTION("""COMPUTED_VALUE"""),"FEM-25-2421-FEP-2025-2337-C-22548-1574
")</f>
        <v>FEM-25-2421-FEP-2025-2337-C-22548-1574
</v>
      </c>
      <c r="I2444" s="133"/>
      <c r="J2444" s="133"/>
      <c r="K2444" s="133"/>
      <c r="L2444" s="133"/>
      <c r="M2444" s="133"/>
      <c r="N2444" s="133"/>
      <c r="O2444" s="133"/>
      <c r="P2444" s="133"/>
      <c r="Q2444" s="133"/>
      <c r="R2444" s="133"/>
      <c r="S2444" s="133"/>
      <c r="T2444" s="133"/>
      <c r="U2444" s="133"/>
      <c r="V2444" s="133"/>
      <c r="W2444" s="133"/>
      <c r="X2444" s="133"/>
      <c r="Y2444" s="133"/>
      <c r="Z2444" s="133"/>
    </row>
    <row r="2445">
      <c r="A2445" s="133"/>
      <c r="B2445" s="133"/>
      <c r="C2445" s="133" t="str">
        <f>IFERROR(__xludf.DUMMYFUNCTION("""COMPUTED_VALUE"""),"2025-105224")</f>
        <v>2025-105224</v>
      </c>
      <c r="D2445" s="133"/>
      <c r="E2445" s="133" t="str">
        <f>IFERROR(__xludf.DUMMYFUNCTION("""COMPUTED_VALUE"""),"اعادة الطلب ")</f>
        <v>اعادة الطلب </v>
      </c>
      <c r="F2445" s="133" t="str">
        <f>IFERROR(__xludf.DUMMYFUNCTION("""COMPUTED_VALUE"""),"Garden Bites triple vegan sticks S - 13cm - 20pcs multicolour 300g")</f>
        <v>Garden Bites triple vegan sticks S - 13cm - 20pcs multicolour 300g</v>
      </c>
      <c r="G2445" s="133" t="str">
        <f>IFERROR(__xludf.DUMMYFUNCTION("""COMPUTED_VALUE"""),"جاردن بايتس تريبل فيجن ستيكس سمول")</f>
        <v>جاردن بايتس تريبل فيجن ستيكس سمول</v>
      </c>
      <c r="H2445" s="133" t="str">
        <f>IFERROR(__xludf.DUMMYFUNCTION("""COMPUTED_VALUE"""),"FEM-25-2425-FEP-2025-3076-C-22548-1734
")</f>
        <v>FEM-25-2425-FEP-2025-3076-C-22548-1734
</v>
      </c>
      <c r="I2445" s="133"/>
      <c r="J2445" s="133"/>
      <c r="K2445" s="133"/>
      <c r="L2445" s="133"/>
      <c r="M2445" s="133"/>
      <c r="N2445" s="133"/>
      <c r="O2445" s="133"/>
      <c r="P2445" s="133"/>
      <c r="Q2445" s="133"/>
      <c r="R2445" s="133"/>
      <c r="S2445" s="133"/>
      <c r="T2445" s="133"/>
      <c r="U2445" s="133"/>
      <c r="V2445" s="133"/>
      <c r="W2445" s="133"/>
      <c r="X2445" s="133"/>
      <c r="Y2445" s="133"/>
      <c r="Z2445" s="133"/>
    </row>
    <row r="2446">
      <c r="A2446" s="133"/>
      <c r="B2446" s="133"/>
      <c r="C2446" s="133" t="str">
        <f>IFERROR(__xludf.DUMMYFUNCTION("""COMPUTED_VALUE"""),"2025-105240")</f>
        <v>2025-105240</v>
      </c>
      <c r="D2446" s="133"/>
      <c r="E2446" s="133" t="str">
        <f>IFERROR(__xludf.DUMMYFUNCTION("""COMPUTED_VALUE"""),"مكتمل ")</f>
        <v>مكتمل </v>
      </c>
      <c r="F2446" s="133" t="str">
        <f>IFERROR(__xludf.DUMMYFUNCTION("""COMPUTED_VALUE"""),"Garden Bites triple vegan sticks M - 15cm - 300g")</f>
        <v>Garden Bites triple vegan sticks M - 15cm - 300g</v>
      </c>
      <c r="G2446" s="133" t="str">
        <f>IFERROR(__xludf.DUMMYFUNCTION("""COMPUTED_VALUE"""),"جاردن بايتس تريبل فيغان ستيكس ميديم")</f>
        <v>جاردن بايتس تريبل فيغان ستيكس ميديم</v>
      </c>
      <c r="H2446" s="133" t="str">
        <f>IFERROR(__xludf.DUMMYFUNCTION("""COMPUTED_VALUE"""),"FEM-25-2426-FEP-2025-2339-C-22548-1573
")</f>
        <v>FEM-25-2426-FEP-2025-2339-C-22548-1573
</v>
      </c>
      <c r="I2446" s="133"/>
      <c r="J2446" s="133"/>
      <c r="K2446" s="133"/>
      <c r="L2446" s="133"/>
      <c r="M2446" s="133"/>
      <c r="N2446" s="133"/>
      <c r="O2446" s="133"/>
      <c r="P2446" s="133"/>
      <c r="Q2446" s="133"/>
      <c r="R2446" s="133"/>
      <c r="S2446" s="133"/>
      <c r="T2446" s="133"/>
      <c r="U2446" s="133"/>
      <c r="V2446" s="133"/>
      <c r="W2446" s="133"/>
      <c r="X2446" s="133"/>
      <c r="Y2446" s="133"/>
      <c r="Z2446" s="133"/>
    </row>
    <row r="2447">
      <c r="A2447" s="133"/>
      <c r="B2447" s="133"/>
      <c r="C2447" s="133" t="str">
        <f>IFERROR(__xludf.DUMMYFUNCTION("""COMPUTED_VALUE"""),"2025-105261")</f>
        <v>2025-105261</v>
      </c>
      <c r="D2447" s="133"/>
      <c r="E2447" s="133" t="str">
        <f>IFERROR(__xludf.DUMMYFUNCTION("""COMPUTED_VALUE"""),"مكتمل ")</f>
        <v>مكتمل </v>
      </c>
      <c r="F2447" s="133" t="str">
        <f>IFERROR(__xludf.DUMMYFUNCTION("""COMPUTED_VALUE"""),"Garden Bites triple vegan sticks XL - 25cm - 3pcs multicolour 120g")</f>
        <v>Garden Bites triple vegan sticks XL - 25cm - 3pcs multicolour 120g</v>
      </c>
      <c r="G2447" s="133" t="str">
        <f>IFERROR(__xludf.DUMMYFUNCTION("""COMPUTED_VALUE"""),"جاردن بايتس تريبل فيغان ستيكس اكس لارج")</f>
        <v>جاردن بايتس تريبل فيغان ستيكس اكس لارج</v>
      </c>
      <c r="H2447" s="133" t="str">
        <f>IFERROR(__xludf.DUMMYFUNCTION("""COMPUTED_VALUE"""),"FEM-25-2427-FEP-2025-2340-C-22548-1572
")</f>
        <v>FEM-25-2427-FEP-2025-2340-C-22548-1572
</v>
      </c>
      <c r="I2447" s="133"/>
      <c r="J2447" s="133"/>
      <c r="K2447" s="133"/>
      <c r="L2447" s="133"/>
      <c r="M2447" s="133"/>
      <c r="N2447" s="133"/>
      <c r="O2447" s="133"/>
      <c r="P2447" s="133"/>
      <c r="Q2447" s="133"/>
      <c r="R2447" s="133"/>
      <c r="S2447" s="133"/>
      <c r="T2447" s="133"/>
      <c r="U2447" s="133"/>
      <c r="V2447" s="133"/>
      <c r="W2447" s="133"/>
      <c r="X2447" s="133"/>
      <c r="Y2447" s="133"/>
      <c r="Z2447" s="133"/>
    </row>
    <row r="2448">
      <c r="A2448" s="133"/>
      <c r="B2448" s="133"/>
      <c r="C2448" s="133" t="str">
        <f>IFERROR(__xludf.DUMMYFUNCTION("""COMPUTED_VALUE"""),"2025-105291")</f>
        <v>2025-105291</v>
      </c>
      <c r="D2448" s="133"/>
      <c r="E2448" s="133" t="str">
        <f>IFERROR(__xludf.DUMMYFUNCTION("""COMPUTED_VALUE"""),"مكتمل ")</f>
        <v>مكتمل </v>
      </c>
      <c r="F2448" s="133" t="str">
        <f>IFERROR(__xludf.DUMMYFUNCTION("""COMPUTED_VALUE"""),"Garden Bites veggie buddies S - 6cm - 15g  2.7kg - display mixed colors")</f>
        <v>Garden Bites veggie buddies S - 6cm - 15g  2.7kg - display mixed colors</v>
      </c>
      <c r="G2448" s="133" t="str">
        <f>IFERROR(__xludf.DUMMYFUNCTION("""COMPUTED_VALUE"""),"جاردن بايتس فيجي بديز سمول ديسبلاي")</f>
        <v>جاردن بايتس فيجي بديز سمول ديسبلاي</v>
      </c>
      <c r="H2448" s="133" t="str">
        <f>IFERROR(__xludf.DUMMYFUNCTION("""COMPUTED_VALUE"""),"FEM-25-2429-FEP-2025-2342-C-22548-1575
")</f>
        <v>FEM-25-2429-FEP-2025-2342-C-22548-1575
</v>
      </c>
      <c r="I2448" s="133"/>
      <c r="J2448" s="133"/>
      <c r="K2448" s="133"/>
      <c r="L2448" s="133"/>
      <c r="M2448" s="133"/>
      <c r="N2448" s="133"/>
      <c r="O2448" s="133"/>
      <c r="P2448" s="133"/>
      <c r="Q2448" s="133"/>
      <c r="R2448" s="133"/>
      <c r="S2448" s="133"/>
      <c r="T2448" s="133"/>
      <c r="U2448" s="133"/>
      <c r="V2448" s="133"/>
      <c r="W2448" s="133"/>
      <c r="X2448" s="133"/>
      <c r="Y2448" s="133"/>
      <c r="Z2448" s="133"/>
    </row>
    <row r="2449">
      <c r="A2449" s="133"/>
      <c r="B2449" s="133"/>
      <c r="C2449" s="133" t="str">
        <f>IFERROR(__xludf.DUMMYFUNCTION("""COMPUTED_VALUE"""),"2025-105313")</f>
        <v>2025-105313</v>
      </c>
      <c r="D2449" s="133"/>
      <c r="E2449" s="133" t="str">
        <f>IFERROR(__xludf.DUMMYFUNCTION("""COMPUTED_VALUE"""),"مكتمل ")</f>
        <v>مكتمل </v>
      </c>
      <c r="F2449" s="133" t="str">
        <f>IFERROR(__xludf.DUMMYFUNCTION("""COMPUTED_VALUE"""),"Garden Bites veggie buddies M - 8,5cm - 45g 2.7kg display mixed colors")</f>
        <v>Garden Bites veggie buddies M - 8,5cm - 45g 2.7kg display mixed colors</v>
      </c>
      <c r="G2449" s="133" t="str">
        <f>IFERROR(__xludf.DUMMYFUNCTION("""COMPUTED_VALUE"""),"جاردن بايتس فيجي بديز ميديم ديسبلاي")</f>
        <v>جاردن بايتس فيجي بديز ميديم ديسبلاي</v>
      </c>
      <c r="H2449" s="133" t="str">
        <f>IFERROR(__xludf.DUMMYFUNCTION("""COMPUTED_VALUE"""),"FEM-25-2430-FEP-2025-2347-C-22548-1577
")</f>
        <v>FEM-25-2430-FEP-2025-2347-C-22548-1577
</v>
      </c>
      <c r="I2449" s="133"/>
      <c r="J2449" s="133"/>
      <c r="K2449" s="133"/>
      <c r="L2449" s="133"/>
      <c r="M2449" s="133"/>
      <c r="N2449" s="133"/>
      <c r="O2449" s="133"/>
      <c r="P2449" s="133"/>
      <c r="Q2449" s="133"/>
      <c r="R2449" s="133"/>
      <c r="S2449" s="133"/>
      <c r="T2449" s="133"/>
      <c r="U2449" s="133"/>
      <c r="V2449" s="133"/>
      <c r="W2449" s="133"/>
      <c r="X2449" s="133"/>
      <c r="Y2449" s="133"/>
      <c r="Z2449" s="133"/>
    </row>
    <row r="2450">
      <c r="A2450" s="133"/>
      <c r="B2450" s="133"/>
      <c r="C2450" s="133" t="str">
        <f>IFERROR(__xludf.DUMMYFUNCTION("""COMPUTED_VALUE"""),"2025-105322")</f>
        <v>2025-105322</v>
      </c>
      <c r="D2450" s="133"/>
      <c r="E2450" s="133" t="str">
        <f>IFERROR(__xludf.DUMMYFUNCTION("""COMPUTED_VALUE"""),"مكتمل ")</f>
        <v>مكتمل </v>
      </c>
      <c r="F2450" s="133" t="str">
        <f>IFERROR(__xludf.DUMMYFUNCTION("""COMPUTED_VALUE"""),"Garden Bites veggie buddies L - 11cm - 90g - display mixed colors")</f>
        <v>Garden Bites veggie buddies L - 11cm - 90g - display mixed colors</v>
      </c>
      <c r="G2450" s="133" t="str">
        <f>IFERROR(__xludf.DUMMYFUNCTION("""COMPUTED_VALUE"""),"جاردن بايتس فيجي بديز لارج ديسبلاي")</f>
        <v>جاردن بايتس فيجي بديز لارج ديسبلاي</v>
      </c>
      <c r="H2450" s="133" t="str">
        <f>IFERROR(__xludf.DUMMYFUNCTION("""COMPUTED_VALUE"""),"FEM-25-2431-FEP-2025-2344-C-22548-1576
")</f>
        <v>FEM-25-2431-FEP-2025-2344-C-22548-1576
</v>
      </c>
      <c r="I2450" s="133"/>
      <c r="J2450" s="133"/>
      <c r="K2450" s="133"/>
      <c r="L2450" s="133"/>
      <c r="M2450" s="133"/>
      <c r="N2450" s="133"/>
      <c r="O2450" s="133"/>
      <c r="P2450" s="133"/>
      <c r="Q2450" s="133"/>
      <c r="R2450" s="133"/>
      <c r="S2450" s="133"/>
      <c r="T2450" s="133"/>
      <c r="U2450" s="133"/>
      <c r="V2450" s="133"/>
      <c r="W2450" s="133"/>
      <c r="X2450" s="133"/>
      <c r="Y2450" s="133"/>
      <c r="Z2450" s="133"/>
    </row>
    <row r="2451">
      <c r="A2451" s="133"/>
      <c r="B2451" s="133"/>
      <c r="C2451" s="133" t="str">
        <f>IFERROR(__xludf.DUMMYFUNCTION("""COMPUTED_VALUE"""),"2025-105620")</f>
        <v>2025-105620</v>
      </c>
      <c r="D2451" s="133"/>
      <c r="E2451" s="133" t="str">
        <f>IFERROR(__xludf.DUMMYFUNCTION("""COMPUTED_VALUE"""),"مكتمل ")</f>
        <v>مكتمل </v>
      </c>
      <c r="F2451" s="133" t="str">
        <f>IFERROR(__xludf.DUMMYFUNCTION("""COMPUTED_VALUE"""),"Garden Bites triple vegan sticks ( 3.15kg , 2.7kg , 3.24kg )")</f>
        <v>Garden Bites triple vegan sticks ( 3.15kg , 2.7kg , 3.24kg )</v>
      </c>
      <c r="G2451" s="133" t="str">
        <f>IFERROR(__xludf.DUMMYFUNCTION("""COMPUTED_VALUE"""),"جاردن بايتس تريبل فيغان ستيكس - ديسبلاي")</f>
        <v>جاردن بايتس تريبل فيغان ستيكس - ديسبلاي</v>
      </c>
      <c r="H2451" s="133"/>
      <c r="I2451" s="133"/>
      <c r="J2451" s="133"/>
      <c r="K2451" s="133"/>
      <c r="L2451" s="133"/>
      <c r="M2451" s="133"/>
      <c r="N2451" s="133"/>
      <c r="O2451" s="133"/>
      <c r="P2451" s="133"/>
      <c r="Q2451" s="133"/>
      <c r="R2451" s="133"/>
      <c r="S2451" s="133"/>
      <c r="T2451" s="133"/>
      <c r="U2451" s="133"/>
      <c r="V2451" s="133"/>
      <c r="W2451" s="133"/>
      <c r="X2451" s="133"/>
      <c r="Y2451" s="133"/>
      <c r="Z2451" s="133"/>
    </row>
    <row r="2452">
      <c r="A2452" s="133"/>
      <c r="B2452" s="133"/>
      <c r="C2452" s="133"/>
      <c r="D2452" s="133"/>
      <c r="E2452" s="133" t="str">
        <f>IFERROR(__xludf.DUMMYFUNCTION("""COMPUTED_VALUE"""),"مكتمل ")</f>
        <v>مكتمل </v>
      </c>
      <c r="F2452" s="133"/>
      <c r="G2452" s="133"/>
      <c r="H2452" s="133" t="str">
        <f>IFERROR(__xludf.DUMMYFUNCTION("""COMPUTED_VALUE"""),"FEM-25-2434-FEP-2025-2349-C-22548-1586
")</f>
        <v>FEM-25-2434-FEP-2025-2349-C-22548-1586
</v>
      </c>
      <c r="I2452" s="133"/>
      <c r="J2452" s="133"/>
      <c r="K2452" s="133"/>
      <c r="L2452" s="133"/>
      <c r="M2452" s="133"/>
      <c r="N2452" s="133"/>
      <c r="O2452" s="133"/>
      <c r="P2452" s="133"/>
      <c r="Q2452" s="133"/>
      <c r="R2452" s="133"/>
      <c r="S2452" s="133"/>
      <c r="T2452" s="133"/>
      <c r="U2452" s="133"/>
      <c r="V2452" s="133"/>
      <c r="W2452" s="133"/>
      <c r="X2452" s="133"/>
      <c r="Y2452" s="133"/>
      <c r="Z2452" s="133"/>
    </row>
    <row r="2453">
      <c r="A2453" s="133"/>
      <c r="B2453" s="133"/>
      <c r="C2453" s="133"/>
      <c r="D2453" s="133"/>
      <c r="E2453" s="133" t="str">
        <f>IFERROR(__xludf.DUMMYFUNCTION("""COMPUTED_VALUE"""),"مكتمل ")</f>
        <v>مكتمل </v>
      </c>
      <c r="F2453" s="133"/>
      <c r="G2453" s="133"/>
      <c r="H2453" s="133"/>
      <c r="I2453" s="133"/>
      <c r="J2453" s="133"/>
      <c r="K2453" s="133"/>
      <c r="L2453" s="133"/>
      <c r="M2453" s="133"/>
      <c r="N2453" s="133"/>
      <c r="O2453" s="133"/>
      <c r="P2453" s="133"/>
      <c r="Q2453" s="133"/>
      <c r="R2453" s="133"/>
      <c r="S2453" s="133"/>
      <c r="T2453" s="133"/>
      <c r="U2453" s="133"/>
      <c r="V2453" s="133"/>
      <c r="W2453" s="133"/>
      <c r="X2453" s="133"/>
      <c r="Y2453" s="133"/>
      <c r="Z2453" s="133"/>
    </row>
    <row r="2454">
      <c r="A2454" s="133"/>
      <c r="B2454" s="133"/>
      <c r="C2454" s="133" t="str">
        <f>IFERROR(__xludf.DUMMYFUNCTION("""COMPUTED_VALUE"""),"2025-106631")</f>
        <v>2025-106631</v>
      </c>
      <c r="D2454" s="133"/>
      <c r="E2454" s="133" t="str">
        <f>IFERROR(__xludf.DUMMYFUNCTION("""COMPUTED_VALUE"""),"مكتمل")</f>
        <v>مكتمل</v>
      </c>
      <c r="F2454" s="133" t="str">
        <f>IFERROR(__xludf.DUMMYFUNCTION("""COMPUTED_VALUE"""),"Garden Bites Fruity friends M ( 270g &amp; 2.7kg)")</f>
        <v>Garden Bites Fruity friends M ( 270g &amp; 2.7kg)</v>
      </c>
      <c r="G2454" s="133" t="str">
        <f>IFERROR(__xludf.DUMMYFUNCTION("""COMPUTED_VALUE"""),"جاردن بايتس فروتي فريندز ميديم")</f>
        <v>جاردن بايتس فروتي فريندز ميديم</v>
      </c>
      <c r="H2454" s="133"/>
      <c r="I2454" s="133"/>
      <c r="J2454" s="133"/>
      <c r="K2454" s="133"/>
      <c r="L2454" s="133"/>
      <c r="M2454" s="133"/>
      <c r="N2454" s="133"/>
      <c r="O2454" s="133"/>
      <c r="P2454" s="133"/>
      <c r="Q2454" s="133"/>
      <c r="R2454" s="133"/>
      <c r="S2454" s="133"/>
      <c r="T2454" s="133"/>
      <c r="U2454" s="133"/>
      <c r="V2454" s="133"/>
      <c r="W2454" s="133"/>
      <c r="X2454" s="133"/>
      <c r="Y2454" s="133"/>
      <c r="Z2454" s="133"/>
    </row>
    <row r="2455">
      <c r="A2455" s="133"/>
      <c r="B2455" s="133"/>
      <c r="C2455" s="133"/>
      <c r="D2455" s="133"/>
      <c r="E2455" s="133"/>
      <c r="F2455" s="133"/>
      <c r="G2455" s="133"/>
      <c r="H2455" s="133" t="str">
        <f>IFERROR(__xludf.DUMMYFUNCTION("""COMPUTED_VALUE"""),"FEM-25-2465-FEP-2025-2378-C-22548-1609
")</f>
        <v>FEM-25-2465-FEP-2025-2378-C-22548-1609
</v>
      </c>
      <c r="I2455" s="133"/>
      <c r="J2455" s="143">
        <f>IFERROR(__xludf.DUMMYFUNCTION("""COMPUTED_VALUE"""),47564.0)</f>
        <v>47564</v>
      </c>
      <c r="K2455" s="133"/>
      <c r="L2455" s="133"/>
      <c r="M2455" s="133"/>
      <c r="N2455" s="133"/>
      <c r="O2455" s="133"/>
      <c r="P2455" s="133"/>
      <c r="Q2455" s="133"/>
      <c r="R2455" s="133"/>
      <c r="S2455" s="133"/>
      <c r="T2455" s="133"/>
      <c r="U2455" s="133"/>
      <c r="V2455" s="133"/>
      <c r="W2455" s="133"/>
      <c r="X2455" s="133"/>
      <c r="Y2455" s="133"/>
      <c r="Z2455" s="133"/>
    </row>
    <row r="2456">
      <c r="A2456" s="133"/>
      <c r="B2456" s="133"/>
      <c r="C2456" s="133" t="str">
        <f>IFERROR(__xludf.DUMMYFUNCTION("""COMPUTED_VALUE"""),"2025-106603")</f>
        <v>2025-106603</v>
      </c>
      <c r="D2456" s="133"/>
      <c r="E2456" s="133" t="str">
        <f>IFERROR(__xludf.DUMMYFUNCTION("""COMPUTED_VALUE"""),"مكتمل")</f>
        <v>مكتمل</v>
      </c>
      <c r="F2456" s="133" t="str">
        <f>IFERROR(__xludf.DUMMYFUNCTION("""COMPUTED_VALUE"""),"Garden Bites dental twisters XL 120g/ 3.24kg")</f>
        <v>Garden Bites dental twisters XL 120g/ 3.24kg</v>
      </c>
      <c r="G2456" s="133" t="str">
        <f>IFERROR(__xludf.DUMMYFUNCTION("""COMPUTED_VALUE"""),"جاردن بايتس دنتال تويسترس إكس لارج")</f>
        <v>جاردن بايتس دنتال تويسترس إكس لارج</v>
      </c>
      <c r="H2456" s="133" t="str">
        <f>IFERROR(__xludf.DUMMYFUNCTION("""COMPUTED_VALUE"""),"FEM-25-2519-FEP-2025-2414-C-22548-1610
")</f>
        <v>FEM-25-2519-FEP-2025-2414-C-22548-1610
</v>
      </c>
      <c r="I2456" s="133"/>
      <c r="J2456" s="133"/>
      <c r="K2456" s="133"/>
      <c r="L2456" s="133"/>
      <c r="M2456" s="133"/>
      <c r="N2456" s="133"/>
      <c r="O2456" s="133"/>
      <c r="P2456" s="133"/>
      <c r="Q2456" s="133"/>
      <c r="R2456" s="133"/>
      <c r="S2456" s="133"/>
      <c r="T2456" s="133"/>
      <c r="U2456" s="133"/>
      <c r="V2456" s="133"/>
      <c r="W2456" s="133"/>
      <c r="X2456" s="133"/>
      <c r="Y2456" s="133"/>
      <c r="Z2456" s="133"/>
    </row>
    <row r="2457">
      <c r="A2457" s="133"/>
      <c r="B2457" s="133"/>
      <c r="C2457" s="133"/>
      <c r="D2457" s="133"/>
      <c r="E2457" s="133"/>
      <c r="F2457" s="133"/>
      <c r="G2457" s="133"/>
      <c r="H2457" s="133"/>
      <c r="I2457" s="133"/>
      <c r="J2457" s="133"/>
      <c r="K2457" s="133"/>
      <c r="L2457" s="133"/>
      <c r="M2457" s="133"/>
      <c r="N2457" s="133"/>
      <c r="O2457" s="133"/>
      <c r="P2457" s="133"/>
      <c r="Q2457" s="133"/>
      <c r="R2457" s="133"/>
      <c r="S2457" s="133"/>
      <c r="T2457" s="133"/>
      <c r="U2457" s="133"/>
      <c r="V2457" s="133"/>
      <c r="W2457" s="133"/>
      <c r="X2457" s="133"/>
      <c r="Y2457" s="133"/>
      <c r="Z2457" s="133"/>
    </row>
    <row r="2458">
      <c r="A2458" s="133"/>
      <c r="B2458" s="133"/>
      <c r="C2458" s="133" t="str">
        <f>IFERROR(__xludf.DUMMYFUNCTION("""COMPUTED_VALUE"""),"2025-108366")</f>
        <v>2025-108366</v>
      </c>
      <c r="D2458" s="133"/>
      <c r="E2458" s="133" t="str">
        <f>IFERROR(__xludf.DUMMYFUNCTION("""COMPUTED_VALUE"""),"مكتمل")</f>
        <v>مكتمل</v>
      </c>
      <c r="F2458" s="133" t="str">
        <f>IFERROR(__xludf.DUMMYFUNCTION("""COMPUTED_VALUE"""),"Garden Bites dental sticks XL 120g &amp; 3.24kg")</f>
        <v>Garden Bites dental sticks XL 120g &amp; 3.24kg</v>
      </c>
      <c r="G2458" s="133" t="str">
        <f>IFERROR(__xludf.DUMMYFUNCTION("""COMPUTED_VALUE"""),"جاردن بايتس دنتال ستيكس إكس")</f>
        <v>جاردن بايتس دنتال ستيكس إكس</v>
      </c>
      <c r="H2458" s="133"/>
      <c r="I2458" s="133"/>
      <c r="J2458" s="133"/>
      <c r="K2458" s="133"/>
      <c r="L2458" s="133"/>
      <c r="M2458" s="133"/>
      <c r="N2458" s="133"/>
      <c r="O2458" s="133"/>
      <c r="P2458" s="133"/>
      <c r="Q2458" s="133"/>
      <c r="R2458" s="133"/>
      <c r="S2458" s="133"/>
      <c r="T2458" s="133"/>
      <c r="U2458" s="133"/>
      <c r="V2458" s="133"/>
      <c r="W2458" s="133"/>
      <c r="X2458" s="133"/>
      <c r="Y2458" s="133"/>
      <c r="Z2458" s="133"/>
    </row>
    <row r="2459">
      <c r="A2459" s="133"/>
      <c r="B2459" s="133"/>
      <c r="C2459" s="133"/>
      <c r="D2459" s="133"/>
      <c r="E2459" s="133" t="str">
        <f>IFERROR(__xludf.DUMMYFUNCTION("""COMPUTED_VALUE"""),"مكتمل")</f>
        <v>مكتمل</v>
      </c>
      <c r="F2459" s="133"/>
      <c r="G2459" s="133"/>
      <c r="H2459" s="133" t="str">
        <f>IFERROR(__xludf.DUMMYFUNCTION("""COMPUTED_VALUE"""),"FEM-25-2521-FEP-2025-2415-C-22548-1587
")</f>
        <v>FEM-25-2521-FEP-2025-2415-C-22548-1587
</v>
      </c>
      <c r="I2459" s="133"/>
      <c r="J2459" s="143">
        <f>IFERROR(__xludf.DUMMYFUNCTION("""COMPUTED_VALUE"""),47560.0)</f>
        <v>47560</v>
      </c>
      <c r="K2459" s="133"/>
      <c r="L2459" s="133"/>
      <c r="M2459" s="133"/>
      <c r="N2459" s="133"/>
      <c r="O2459" s="133"/>
      <c r="P2459" s="133"/>
      <c r="Q2459" s="133"/>
      <c r="R2459" s="133"/>
      <c r="S2459" s="133"/>
      <c r="T2459" s="133"/>
      <c r="U2459" s="133"/>
      <c r="V2459" s="133"/>
      <c r="W2459" s="133"/>
      <c r="X2459" s="133"/>
      <c r="Y2459" s="133"/>
      <c r="Z2459" s="133"/>
    </row>
    <row r="2460">
      <c r="A2460" s="133"/>
      <c r="B2460" s="133"/>
      <c r="C2460" s="133" t="str">
        <f>IFERROR(__xludf.DUMMYFUNCTION("""COMPUTED_VALUE"""),"2025-119841")</f>
        <v>2025-119841</v>
      </c>
      <c r="D2460" s="133"/>
      <c r="E2460" s="133" t="str">
        <f>IFERROR(__xludf.DUMMYFUNCTION("""COMPUTED_VALUE"""),"مكتمل")</f>
        <v>مكتمل</v>
      </c>
      <c r="F2460" s="133" t="str">
        <f>IFERROR(__xludf.DUMMYFUNCTION("""COMPUTED_VALUE"""),"Wellness CORE Reward + calming duck recipe")</f>
        <v>Wellness CORE Reward + calming duck recipe</v>
      </c>
      <c r="G2460" s="133" t="str">
        <f>IFERROR(__xludf.DUMMYFUNCTION("""COMPUTED_VALUE"""),"ويلنيس كور ريوارد بلس كالمينج دك ريسيبي")</f>
        <v>ويلنيس كور ريوارد بلس كالمينج دك ريسيبي</v>
      </c>
      <c r="H2460" s="133" t="str">
        <f>IFERROR(__xludf.DUMMYFUNCTION("""COMPUTED_VALUE"""),"FEM-25-2792-FEP-2025-2689-C-22548-1797
")</f>
        <v>FEM-25-2792-FEP-2025-2689-C-22548-1797
</v>
      </c>
      <c r="I2460" s="133"/>
      <c r="J2460" s="133"/>
      <c r="K2460" s="133"/>
      <c r="L2460" s="133"/>
      <c r="M2460" s="133"/>
      <c r="N2460" s="133"/>
      <c r="O2460" s="133"/>
      <c r="P2460" s="133"/>
      <c r="Q2460" s="133"/>
      <c r="R2460" s="133"/>
      <c r="S2460" s="133"/>
      <c r="T2460" s="133"/>
      <c r="U2460" s="133"/>
      <c r="V2460" s="133"/>
      <c r="W2460" s="133"/>
      <c r="X2460" s="133"/>
      <c r="Y2460" s="133"/>
      <c r="Z2460" s="133"/>
    </row>
    <row r="2461">
      <c r="A2461" s="133"/>
      <c r="B2461" s="133"/>
      <c r="C2461" s="133" t="str">
        <f>IFERROR(__xludf.DUMMYFUNCTION("""COMPUTED_VALUE"""),"2025-119865")</f>
        <v>2025-119865</v>
      </c>
      <c r="D2461" s="133"/>
      <c r="E2461" s="133" t="str">
        <f>IFERROR(__xludf.DUMMYFUNCTION("""COMPUTED_VALUE"""),"مكتمل")</f>
        <v>مكتمل</v>
      </c>
      <c r="F2461" s="133" t="str">
        <f>IFERROR(__xludf.DUMMYFUNCTION("""COMPUTED_VALUE"""),"Wellness CORE Reward + digestion krill recipe")</f>
        <v>Wellness CORE Reward + digestion krill recipe</v>
      </c>
      <c r="G2461" s="133" t="str">
        <f>IFERROR(__xludf.DUMMYFUNCTION("""COMPUTED_VALUE"""),"ويلنيس كور ريوارد بلس دايجستشن سبورت كريل ريسيبي")</f>
        <v>ويلنيس كور ريوارد بلس دايجستشن سبورت كريل ريسيبي</v>
      </c>
      <c r="H2461" s="133" t="str">
        <f>IFERROR(__xludf.DUMMYFUNCTION("""COMPUTED_VALUE"""),"FEM-25-2793-FEP-2025-2690-C-22548-1798
")</f>
        <v>FEM-25-2793-FEP-2025-2690-C-22548-1798
</v>
      </c>
      <c r="I2461" s="133"/>
      <c r="J2461" s="133"/>
      <c r="K2461" s="133"/>
      <c r="L2461" s="133"/>
      <c r="M2461" s="133"/>
      <c r="N2461" s="133"/>
      <c r="O2461" s="133"/>
      <c r="P2461" s="133"/>
      <c r="Q2461" s="133"/>
      <c r="R2461" s="133"/>
      <c r="S2461" s="133"/>
      <c r="T2461" s="133"/>
      <c r="U2461" s="133"/>
      <c r="V2461" s="133"/>
      <c r="W2461" s="133"/>
      <c r="X2461" s="133"/>
      <c r="Y2461" s="133"/>
      <c r="Z2461" s="133"/>
    </row>
    <row r="2462">
      <c r="A2462" s="133"/>
      <c r="B2462" s="133"/>
      <c r="C2462" s="133" t="str">
        <f>IFERROR(__xludf.DUMMYFUNCTION("""COMPUTED_VALUE"""),"2025-119886")</f>
        <v>2025-119886</v>
      </c>
      <c r="D2462" s="133"/>
      <c r="E2462" s="133" t="str">
        <f>IFERROR(__xludf.DUMMYFUNCTION("""COMPUTED_VALUE"""),"مكتمل")</f>
        <v>مكتمل</v>
      </c>
      <c r="F2462" s="133" t="str">
        <f>IFERROR(__xludf.DUMMYFUNCTION("""COMPUTED_VALUE"""),"Wellness CORE Reward + mobility sport recipe")</f>
        <v>Wellness CORE Reward + mobility sport recipe</v>
      </c>
      <c r="G2462" s="133" t="str">
        <f>IFERROR(__xludf.DUMMYFUNCTION("""COMPUTED_VALUE"""),"ويلنيس كور ريوارد بلس موبيليتي سبورت تركي ريسيبي")</f>
        <v>ويلنيس كور ريوارد بلس موبيليتي سبورت تركي ريسيبي</v>
      </c>
      <c r="H2462" s="133" t="str">
        <f>IFERROR(__xludf.DUMMYFUNCTION("""COMPUTED_VALUE"""),"FEM-25-2794-FEP-2025-2691-C-22548-1820
")</f>
        <v>FEM-25-2794-FEP-2025-2691-C-22548-1820
</v>
      </c>
      <c r="I2462" s="133"/>
      <c r="J2462" s="133"/>
      <c r="K2462" s="133"/>
      <c r="L2462" s="133"/>
      <c r="M2462" s="133"/>
      <c r="N2462" s="133"/>
      <c r="O2462" s="133"/>
      <c r="P2462" s="133"/>
      <c r="Q2462" s="133"/>
      <c r="R2462" s="133"/>
      <c r="S2462" s="133"/>
      <c r="T2462" s="133"/>
      <c r="U2462" s="133"/>
      <c r="V2462" s="133"/>
      <c r="W2462" s="133"/>
      <c r="X2462" s="133"/>
      <c r="Y2462" s="133"/>
      <c r="Z2462" s="133"/>
    </row>
    <row r="2463">
      <c r="A2463" s="133"/>
      <c r="B2463" s="133"/>
      <c r="C2463" s="133" t="str">
        <f>IFERROR(__xludf.DUMMYFUNCTION("""COMPUTED_VALUE"""),"2025-119894")</f>
        <v>2025-119894</v>
      </c>
      <c r="D2463" s="133"/>
      <c r="E2463" s="133" t="str">
        <f>IFERROR(__xludf.DUMMYFUNCTION("""COMPUTED_VALUE"""),"مكتمل")</f>
        <v>مكتمل</v>
      </c>
      <c r="F2463" s="133" t="str">
        <f>IFERROR(__xludf.DUMMYFUNCTION("""COMPUTED_VALUE"""),"Wellness Core Reward + Skin &amp; Coat salmon sport recipe")</f>
        <v>Wellness Core Reward + Skin &amp; Coat salmon sport recipe</v>
      </c>
      <c r="G2463" s="133" t="str">
        <f>IFERROR(__xludf.DUMMYFUNCTION("""COMPUTED_VALUE"""),"ويلنيس كور ريوارد بلس سكين أند كوت سبورت سالمون ريسيبي")</f>
        <v>ويلنيس كور ريوارد بلس سكين أند كوت سبورت سالمون ريسيبي</v>
      </c>
      <c r="H2463" s="133" t="str">
        <f>IFERROR(__xludf.DUMMYFUNCTION("""COMPUTED_VALUE"""),"FEM-25-2795-FEP-2025-2692-C-22548-1819
")</f>
        <v>FEM-25-2795-FEP-2025-2692-C-22548-1819
</v>
      </c>
      <c r="I2463" s="133"/>
      <c r="J2463" s="133"/>
      <c r="K2463" s="133"/>
      <c r="L2463" s="133"/>
      <c r="M2463" s="133"/>
      <c r="N2463" s="133"/>
      <c r="O2463" s="133"/>
      <c r="P2463" s="133"/>
      <c r="Q2463" s="133"/>
      <c r="R2463" s="133"/>
      <c r="S2463" s="133"/>
      <c r="T2463" s="133"/>
      <c r="U2463" s="133"/>
      <c r="V2463" s="133"/>
      <c r="W2463" s="133"/>
      <c r="X2463" s="133"/>
      <c r="Y2463" s="133"/>
      <c r="Z2463" s="133"/>
    </row>
    <row r="2464">
      <c r="A2464" s="133"/>
      <c r="B2464" s="133"/>
      <c r="C2464" s="133" t="str">
        <f>IFERROR(__xludf.DUMMYFUNCTION("""COMPUTED_VALUE"""),"2025-119905")</f>
        <v>2025-119905</v>
      </c>
      <c r="D2464" s="133"/>
      <c r="E2464" s="133" t="str">
        <f>IFERROR(__xludf.DUMMYFUNCTION("""COMPUTED_VALUE"""),"مكتمل")</f>
        <v>مكتمل</v>
      </c>
      <c r="F2464" s="133" t="str">
        <f>IFERROR(__xludf.DUMMYFUNCTION("""COMPUTED_VALUE"""),"Wellness Core training treats chicken recipe flavored with berries")</f>
        <v>Wellness Core training treats chicken recipe flavored with berries</v>
      </c>
      <c r="G2464" s="133" t="str">
        <f>IFERROR(__xludf.DUMMYFUNCTION("""COMPUTED_VALUE"""),"ويلنيس كور تراينينج تريتس تشيكن ريسيبي فلافورد وذ بيريز")</f>
        <v>ويلنيس كور تراينينج تريتس تشيكن ريسيبي فلافورد وذ بيريز</v>
      </c>
      <c r="H2464" s="133" t="str">
        <f>IFERROR(__xludf.DUMMYFUNCTION("""COMPUTED_VALUE"""),"FEM-25-2796-FEP-2025-2693-C-22548-1818
")</f>
        <v>FEM-25-2796-FEP-2025-2693-C-22548-1818
</v>
      </c>
      <c r="I2464" s="133"/>
      <c r="J2464" s="133"/>
      <c r="K2464" s="133"/>
      <c r="L2464" s="133"/>
      <c r="M2464" s="133"/>
      <c r="N2464" s="133"/>
      <c r="O2464" s="133"/>
      <c r="P2464" s="133"/>
      <c r="Q2464" s="133"/>
      <c r="R2464" s="133"/>
      <c r="S2464" s="133"/>
      <c r="T2464" s="133"/>
      <c r="U2464" s="133"/>
      <c r="V2464" s="133"/>
      <c r="W2464" s="133"/>
      <c r="X2464" s="133"/>
      <c r="Y2464" s="133"/>
      <c r="Z2464" s="133"/>
    </row>
    <row r="2465">
      <c r="A2465" s="133"/>
      <c r="B2465" s="133"/>
      <c r="C2465" s="133" t="str">
        <f>IFERROR(__xludf.DUMMYFUNCTION("""COMPUTED_VALUE"""),"2025-119925")</f>
        <v>2025-119925</v>
      </c>
      <c r="D2465" s="133"/>
      <c r="E2465" s="133" t="str">
        <f>IFERROR(__xludf.DUMMYFUNCTION("""COMPUTED_VALUE"""),"مكتمل")</f>
        <v>مكتمل</v>
      </c>
      <c r="F2465" s="133" t="str">
        <f>IFERROR(__xludf.DUMMYFUNCTION("""COMPUTED_VALUE"""),"Wellness Core puppy trainers chicken recipe with carrots")</f>
        <v>Wellness Core puppy trainers chicken recipe with carrots</v>
      </c>
      <c r="G2465" s="133" t="str">
        <f>IFERROR(__xludf.DUMMYFUNCTION("""COMPUTED_VALUE"""),"ويلنيس كور بوبي ترينرز تشيكن ريسيبي وذ كاروّتس")</f>
        <v>ويلنيس كور بوبي ترينرز تشيكن ريسيبي وذ كاروّتس</v>
      </c>
      <c r="H2465" s="133" t="str">
        <f>IFERROR(__xludf.DUMMYFUNCTION("""COMPUTED_VALUE"""),"FEM-25-2797-FEP-2025-2694-C-22548-1817
")</f>
        <v>FEM-25-2797-FEP-2025-2694-C-22548-1817
</v>
      </c>
      <c r="I2465" s="133"/>
      <c r="J2465" s="133"/>
      <c r="K2465" s="133"/>
      <c r="L2465" s="133"/>
      <c r="M2465" s="133"/>
      <c r="N2465" s="133"/>
      <c r="O2465" s="133"/>
      <c r="P2465" s="133"/>
      <c r="Q2465" s="133"/>
      <c r="R2465" s="133"/>
      <c r="S2465" s="133"/>
      <c r="T2465" s="133"/>
      <c r="U2465" s="133"/>
      <c r="V2465" s="133"/>
      <c r="W2465" s="133"/>
      <c r="X2465" s="133"/>
      <c r="Y2465" s="133"/>
      <c r="Z2465" s="133"/>
    </row>
    <row r="2466">
      <c r="A2466" s="133"/>
      <c r="B2466" s="133"/>
      <c r="C2466" s="133" t="str">
        <f>IFERROR(__xludf.DUMMYFUNCTION("""COMPUTED_VALUE"""),"2025-119943")</f>
        <v>2025-119943</v>
      </c>
      <c r="D2466" s="133"/>
      <c r="E2466" s="133" t="str">
        <f>IFERROR(__xludf.DUMMYFUNCTION("""COMPUTED_VALUE"""),"مكتمل")</f>
        <v>مكتمل</v>
      </c>
      <c r="F2466" s="133" t="str">
        <f>IFERROR(__xludf.DUMMYFUNCTION("""COMPUTED_VALUE"""),"Wellness Core training treats lamb reipe flavored with apples")</f>
        <v>Wellness Core training treats lamb reipe flavored with apples</v>
      </c>
      <c r="G2466" s="133" t="str">
        <f>IFERROR(__xludf.DUMMYFUNCTION("""COMPUTED_VALUE"""),"ويلنيس كور تراينينج تريتس لامب ريسيبي فلافورد وذ أبلز")</f>
        <v>ويلنيس كور تراينينج تريتس لامب ريسيبي فلافورد وذ أبلز</v>
      </c>
      <c r="H2466" s="133" t="str">
        <f>IFERROR(__xludf.DUMMYFUNCTION("""COMPUTED_VALUE"""),"FEM-25-2798-FEP-2025-2695-C-22548-1816
")</f>
        <v>FEM-25-2798-FEP-2025-2695-C-22548-1816
</v>
      </c>
      <c r="I2466" s="133"/>
      <c r="J2466" s="133"/>
      <c r="K2466" s="133"/>
      <c r="L2466" s="133"/>
      <c r="M2466" s="133"/>
      <c r="N2466" s="133"/>
      <c r="O2466" s="133"/>
      <c r="P2466" s="133"/>
      <c r="Q2466" s="133"/>
      <c r="R2466" s="133"/>
      <c r="S2466" s="133"/>
      <c r="T2466" s="133"/>
      <c r="U2466" s="133"/>
      <c r="V2466" s="133"/>
      <c r="W2466" s="133"/>
      <c r="X2466" s="133"/>
      <c r="Y2466" s="133"/>
      <c r="Z2466" s="133"/>
    </row>
    <row r="2467">
      <c r="A2467" s="133"/>
      <c r="B2467" s="133"/>
      <c r="C2467" s="133" t="str">
        <f>IFERROR(__xludf.DUMMYFUNCTION("""COMPUTED_VALUE"""),"2025-129713")</f>
        <v>2025-129713</v>
      </c>
      <c r="D2467" s="133"/>
      <c r="E2467" s="133" t="str">
        <f>IFERROR(__xludf.DUMMYFUNCTION("""COMPUTED_VALUE"""),"مكتمل")</f>
        <v>مكتمل</v>
      </c>
      <c r="F2467" s="133" t="str">
        <f>IFERROR(__xludf.DUMMYFUNCTION("""COMPUTED_VALUE"""),"Applaws Cat Tin Tuna Fillet with Seaweed ( 70g &amp; 156g)")</f>
        <v>Applaws Cat Tin Tuna Fillet with Seaweed ( 70g &amp; 156g)</v>
      </c>
      <c r="G2467" s="133" t="str">
        <f>IFERROR(__xludf.DUMMYFUNCTION("""COMPUTED_VALUE"""),"أبلاوز فيليه التونة مع الأعشاب البحرية في المرق")</f>
        <v>أبلاوز فيليه التونة مع الأعشاب البحرية في المرق</v>
      </c>
      <c r="H2467" s="133" t="str">
        <f>IFERROR(__xludf.DUMMYFUNCTION("""COMPUTED_VALUE"""),"FEM-25-3044-FEP-2025-2924-C-22548-2068
")</f>
        <v>FEM-25-3044-FEP-2025-2924-C-22548-2068
</v>
      </c>
      <c r="I2467" s="133"/>
      <c r="J2467" s="133"/>
      <c r="K2467" s="133"/>
      <c r="L2467" s="133"/>
      <c r="M2467" s="133"/>
      <c r="N2467" s="133"/>
      <c r="O2467" s="133"/>
      <c r="P2467" s="133"/>
      <c r="Q2467" s="133"/>
      <c r="R2467" s="133"/>
      <c r="S2467" s="133"/>
      <c r="T2467" s="133"/>
      <c r="U2467" s="133"/>
      <c r="V2467" s="133"/>
      <c r="W2467" s="133"/>
      <c r="X2467" s="133"/>
      <c r="Y2467" s="133"/>
      <c r="Z2467" s="133"/>
    </row>
    <row r="2468">
      <c r="A2468" s="133"/>
      <c r="B2468" s="133"/>
      <c r="C2468" s="133" t="str">
        <f>IFERROR(__xludf.DUMMYFUNCTION("""COMPUTED_VALUE"""),"2025-131126")</f>
        <v>2025-131126</v>
      </c>
      <c r="D2468" s="133"/>
      <c r="E2468" s="133" t="str">
        <f>IFERROR(__xludf.DUMMYFUNCTION("""COMPUTED_VALUE"""),"مكتمل")</f>
        <v>مكتمل</v>
      </c>
      <c r="F2468" s="133" t="str">
        <f>IFERROR(__xludf.DUMMYFUNCTION("""COMPUTED_VALUE"""),"Applaws Cat Chicken Breast 156g")</f>
        <v>Applaws Cat Chicken Breast 156g</v>
      </c>
      <c r="G2468" s="133" t="str">
        <f>IFERROR(__xludf.DUMMYFUNCTION("""COMPUTED_VALUE"""),"أبلاوز صدور الدجاج في المرق")</f>
        <v>أبلاوز صدور الدجاج في المرق</v>
      </c>
      <c r="H2468" s="133" t="str">
        <f>IFERROR(__xludf.DUMMYFUNCTION("""COMPUTED_VALUE"""),"FOM-2024-1642-FEP-2024-80862-C-22548-0681
")</f>
        <v>FOM-2024-1642-FEP-2024-80862-C-22548-0681
</v>
      </c>
      <c r="I2468" s="133"/>
      <c r="J2468" s="133"/>
      <c r="K2468" s="133"/>
      <c r="L2468" s="133"/>
      <c r="M2468" s="133"/>
      <c r="N2468" s="133"/>
      <c r="O2468" s="133"/>
      <c r="P2468" s="133"/>
      <c r="Q2468" s="133"/>
      <c r="R2468" s="133"/>
      <c r="S2468" s="133"/>
      <c r="T2468" s="133"/>
      <c r="U2468" s="133"/>
      <c r="V2468" s="133"/>
      <c r="W2468" s="133"/>
      <c r="X2468" s="133"/>
      <c r="Y2468" s="133"/>
      <c r="Z2468" s="133"/>
    </row>
    <row r="2469">
      <c r="A2469" s="133"/>
      <c r="B2469" s="133"/>
      <c r="C2469" s="133" t="str">
        <f>IFERROR(__xludf.DUMMYFUNCTION("""COMPUTED_VALUE"""),"2025-131131")</f>
        <v>2025-131131</v>
      </c>
      <c r="D2469" s="133"/>
      <c r="E2469" s="133" t="str">
        <f>IFERROR(__xludf.DUMMYFUNCTION("""COMPUTED_VALUE"""),"مكتمل")</f>
        <v>مكتمل</v>
      </c>
      <c r="F2469" s="133" t="str">
        <f>IFERROR(__xludf.DUMMYFUNCTION("""COMPUTED_VALUE"""),"Applaws Cat Tuna Fillet 156g")</f>
        <v>Applaws Cat Tuna Fillet 156g</v>
      </c>
      <c r="G2469" s="133" t="str">
        <f>IFERROR(__xludf.DUMMYFUNCTION("""COMPUTED_VALUE"""),"أبلاوز فيليه التونة")</f>
        <v>أبلاوز فيليه التونة</v>
      </c>
      <c r="H2469" s="133" t="str">
        <f>IFERROR(__xludf.DUMMYFUNCTION("""COMPUTED_VALUE"""),"FEM-25-3059-FEP-2025-3600-C-22548-2038
")</f>
        <v>FEM-25-3059-FEP-2025-3600-C-22548-2038
</v>
      </c>
      <c r="I2469" s="133"/>
      <c r="J2469" s="133"/>
      <c r="K2469" s="133"/>
      <c r="L2469" s="133"/>
      <c r="M2469" s="133"/>
      <c r="N2469" s="133"/>
      <c r="O2469" s="133"/>
      <c r="P2469" s="133"/>
      <c r="Q2469" s="133"/>
      <c r="R2469" s="133"/>
      <c r="S2469" s="133"/>
      <c r="T2469" s="133"/>
      <c r="U2469" s="133"/>
      <c r="V2469" s="133"/>
      <c r="W2469" s="133"/>
      <c r="X2469" s="133"/>
      <c r="Y2469" s="133"/>
      <c r="Z2469" s="133"/>
    </row>
    <row r="2470">
      <c r="A2470" s="133"/>
      <c r="B2470" s="133"/>
      <c r="C2470" s="133" t="str">
        <f>IFERROR(__xludf.DUMMYFUNCTION("""COMPUTED_VALUE"""),"2025-131137")</f>
        <v>2025-131137</v>
      </c>
      <c r="D2470" s="133"/>
      <c r="E2470" s="133" t="str">
        <f>IFERROR(__xludf.DUMMYFUNCTION("""COMPUTED_VALUE"""),"مكتمل")</f>
        <v>مكتمل</v>
      </c>
      <c r="F2470" s="133" t="str">
        <f>IFERROR(__xludf.DUMMYFUNCTION("""COMPUTED_VALUE"""),"Applaws Cat Ocean Fish in broth 156g")</f>
        <v>Applaws Cat Ocean Fish in broth 156g</v>
      </c>
      <c r="G2470" s="133" t="str">
        <f>IFERROR(__xludf.DUMMYFUNCTION("""COMPUTED_VALUE"""),"أبلاوز سمك البحر في المرق")</f>
        <v>أبلاوز سمك البحر في المرق</v>
      </c>
      <c r="H2470" s="133" t="str">
        <f>IFERROR(__xludf.DUMMYFUNCTION("""COMPUTED_VALUE"""),"FEM-25-3060-FEP-2025-2933-C-22548-1903
")</f>
        <v>FEM-25-3060-FEP-2025-2933-C-22548-1903
</v>
      </c>
      <c r="I2470" s="133"/>
      <c r="J2470" s="133"/>
      <c r="K2470" s="133"/>
      <c r="L2470" s="133"/>
      <c r="M2470" s="133"/>
      <c r="N2470" s="133"/>
      <c r="O2470" s="133"/>
      <c r="P2470" s="133"/>
      <c r="Q2470" s="133"/>
      <c r="R2470" s="133"/>
      <c r="S2470" s="133"/>
      <c r="T2470" s="133"/>
      <c r="U2470" s="133"/>
      <c r="V2470" s="133"/>
      <c r="W2470" s="133"/>
      <c r="X2470" s="133"/>
      <c r="Y2470" s="133"/>
      <c r="Z2470" s="133"/>
    </row>
    <row r="2471">
      <c r="A2471" s="133"/>
      <c r="B2471" s="133"/>
      <c r="C2471" s="133" t="str">
        <f>IFERROR(__xludf.DUMMYFUNCTION("""COMPUTED_VALUE"""),"2025-131142")</f>
        <v>2025-131142</v>
      </c>
      <c r="D2471" s="133"/>
      <c r="E2471" s="133" t="str">
        <f>IFERROR(__xludf.DUMMYFUNCTION("""COMPUTED_VALUE"""),"مكتمل")</f>
        <v>مكتمل</v>
      </c>
      <c r="F2471" s="133" t="str">
        <f>IFERROR(__xludf.DUMMYFUNCTION("""COMPUTED_VALUE"""),"Applaws Cat Tuna Fillet with Cheese in broth 156g")</f>
        <v>Applaws Cat Tuna Fillet with Cheese in broth 156g</v>
      </c>
      <c r="G2471" s="133" t="str">
        <f>IFERROR(__xludf.DUMMYFUNCTION("""COMPUTED_VALUE"""),"أبلاوز فيليه التونة مع الجبن في المرق")</f>
        <v>أبلاوز فيليه التونة مع الجبن في المرق</v>
      </c>
      <c r="H2471" s="133" t="str">
        <f>IFERROR(__xludf.DUMMYFUNCTION("""COMPUTED_VALUE"""),"FEM-25-3674-FEP-2025-2934-C-22548-2036
")</f>
        <v>FEM-25-3674-FEP-2025-2934-C-22548-2036
</v>
      </c>
      <c r="I2471" s="133"/>
      <c r="J2471" s="133"/>
      <c r="K2471" s="133"/>
      <c r="L2471" s="133"/>
      <c r="M2471" s="133"/>
      <c r="N2471" s="133"/>
      <c r="O2471" s="133"/>
      <c r="P2471" s="133"/>
      <c r="Q2471" s="133"/>
      <c r="R2471" s="133"/>
      <c r="S2471" s="133"/>
      <c r="T2471" s="133"/>
      <c r="U2471" s="133"/>
      <c r="V2471" s="133"/>
      <c r="W2471" s="133"/>
      <c r="X2471" s="133"/>
      <c r="Y2471" s="133"/>
      <c r="Z2471" s="133"/>
    </row>
    <row r="2472">
      <c r="A2472" s="133"/>
      <c r="B2472" s="133"/>
      <c r="C2472" s="133" t="str">
        <f>IFERROR(__xludf.DUMMYFUNCTION("""COMPUTED_VALUE"""),"2025-131154")</f>
        <v>2025-131154</v>
      </c>
      <c r="D2472" s="133"/>
      <c r="E2472" s="133" t="str">
        <f>IFERROR(__xludf.DUMMYFUNCTION("""COMPUTED_VALUE"""),"مكتمل")</f>
        <v>مكتمل</v>
      </c>
      <c r="F2472" s="133" t="str">
        <f>IFERROR(__xludf.DUMMYFUNCTION("""COMPUTED_VALUE"""),"Applaws Cat Chicken Breast with Duck 156g")</f>
        <v>Applaws Cat Chicken Breast with Duck 156g</v>
      </c>
      <c r="G2472" s="133" t="str">
        <f>IFERROR(__xludf.DUMMYFUNCTION("""COMPUTED_VALUE"""),"أبلاوز صدور الدجاج مع البط في المرق")</f>
        <v>أبلاوز صدور الدجاج مع البط في المرق</v>
      </c>
      <c r="H2472" s="133" t="str">
        <f>IFERROR(__xludf.DUMMYFUNCTION("""COMPUTED_VALUE"""),"FEM-25-3062-FEP-2025-2935-C-22548-1904
")</f>
        <v>FEM-25-3062-FEP-2025-2935-C-22548-1904
</v>
      </c>
      <c r="I2472" s="133"/>
      <c r="J2472" s="133"/>
      <c r="K2472" s="133"/>
      <c r="L2472" s="133"/>
      <c r="M2472" s="133"/>
      <c r="N2472" s="133"/>
      <c r="O2472" s="133"/>
      <c r="P2472" s="133"/>
      <c r="Q2472" s="133"/>
      <c r="R2472" s="133"/>
      <c r="S2472" s="133"/>
      <c r="T2472" s="133"/>
      <c r="U2472" s="133"/>
      <c r="V2472" s="133"/>
      <c r="W2472" s="133"/>
      <c r="X2472" s="133"/>
      <c r="Y2472" s="133"/>
      <c r="Z2472" s="133"/>
    </row>
    <row r="2473">
      <c r="A2473" s="133"/>
      <c r="B2473" s="133"/>
      <c r="C2473" s="133" t="str">
        <f>IFERROR(__xludf.DUMMYFUNCTION("""COMPUTED_VALUE"""),"2025-141883")</f>
        <v>2025-141883</v>
      </c>
      <c r="D2473" s="133"/>
      <c r="E2473" s="133" t="str">
        <f>IFERROR(__xludf.DUMMYFUNCTION("""COMPUTED_VALUE"""),"مكتمل")</f>
        <v>مكتمل</v>
      </c>
      <c r="F2473" s="133" t="str">
        <f>IFERROR(__xludf.DUMMYFUNCTION("""COMPUTED_VALUE"""),"Applaws Treat Tuna Loin 30g")</f>
        <v>Applaws Treat Tuna Loin 30g</v>
      </c>
      <c r="G2473" s="133" t="str">
        <f>IFERROR(__xludf.DUMMYFUNCTION("""COMPUTED_VALUE"""),"أبلاوز تريت تونة لوين")</f>
        <v>أبلاوز تريت تونة لوين</v>
      </c>
      <c r="H2473" s="133" t="str">
        <f>IFERROR(__xludf.DUMMYFUNCTION("""COMPUTED_VALUE"""),"FEM-25-3192-FEP-2025-3094-C-22548-1975
")</f>
        <v>FEM-25-3192-FEP-2025-3094-C-22548-1975
</v>
      </c>
      <c r="I2473" s="133"/>
      <c r="J2473" s="133"/>
      <c r="K2473" s="133"/>
      <c r="L2473" s="133"/>
      <c r="M2473" s="133"/>
      <c r="N2473" s="133"/>
      <c r="O2473" s="133"/>
      <c r="P2473" s="133"/>
      <c r="Q2473" s="133"/>
      <c r="R2473" s="133"/>
      <c r="S2473" s="133"/>
      <c r="T2473" s="133"/>
      <c r="U2473" s="133"/>
      <c r="V2473" s="133"/>
      <c r="W2473" s="133"/>
      <c r="X2473" s="133"/>
      <c r="Y2473" s="133"/>
      <c r="Z2473" s="133"/>
    </row>
    <row r="2474">
      <c r="A2474" s="133"/>
      <c r="B2474" s="133"/>
      <c r="C2474" s="133" t="str">
        <f>IFERROR(__xludf.DUMMYFUNCTION("""COMPUTED_VALUE"""),"2025-142378")</f>
        <v>2025-142378</v>
      </c>
      <c r="D2474" s="133"/>
      <c r="E2474" s="133" t="str">
        <f>IFERROR(__xludf.DUMMYFUNCTION("""COMPUTED_VALUE"""),"مكتمل")</f>
        <v>مكتمل</v>
      </c>
      <c r="F2474" s="133" t="str">
        <f>IFERROR(__xludf.DUMMYFUNCTION("""COMPUTED_VALUE"""),"Applaws Treat Mackerel Loin 30g")</f>
        <v>Applaws Treat Mackerel Loin 30g</v>
      </c>
      <c r="G2474" s="133" t="str">
        <f>IFERROR(__xludf.DUMMYFUNCTION("""COMPUTED_VALUE"""),"أبلاوز تريت ماكريل لوين")</f>
        <v>أبلاوز تريت ماكريل لوين</v>
      </c>
      <c r="H2474" s="133" t="str">
        <f>IFERROR(__xludf.DUMMYFUNCTION("""COMPUTED_VALUE"""),"FEM-25-3198-FEP-2025-3103-C-22548-1974
")</f>
        <v>FEM-25-3198-FEP-2025-3103-C-22548-1974
</v>
      </c>
      <c r="I2474" s="133"/>
      <c r="J2474" s="133"/>
      <c r="K2474" s="133"/>
      <c r="L2474" s="133"/>
      <c r="M2474" s="133"/>
      <c r="N2474" s="133"/>
      <c r="O2474" s="133"/>
      <c r="P2474" s="133"/>
      <c r="Q2474" s="133"/>
      <c r="R2474" s="133"/>
      <c r="S2474" s="133"/>
      <c r="T2474" s="133"/>
      <c r="U2474" s="133"/>
      <c r="V2474" s="133"/>
      <c r="W2474" s="133"/>
      <c r="X2474" s="133"/>
      <c r="Y2474" s="133"/>
      <c r="Z2474" s="133"/>
    </row>
    <row r="2475">
      <c r="A2475" s="133"/>
      <c r="B2475" s="133"/>
      <c r="C2475" s="133" t="str">
        <f>IFERROR(__xludf.DUMMYFUNCTION("""COMPUTED_VALUE"""),"2025-142399")</f>
        <v>2025-142399</v>
      </c>
      <c r="D2475" s="133"/>
      <c r="E2475" s="133" t="str">
        <f>IFERROR(__xludf.DUMMYFUNCTION("""COMPUTED_VALUE"""),"مكتمل")</f>
        <v>مكتمل</v>
      </c>
      <c r="F2475" s="133" t="str">
        <f>IFERROR(__xludf.DUMMYFUNCTION("""COMPUTED_VALUE"""),"Applaws Treat Salmon Loin 30g")</f>
        <v>Applaws Treat Salmon Loin 30g</v>
      </c>
      <c r="G2475" s="133" t="str">
        <f>IFERROR(__xludf.DUMMYFUNCTION("""COMPUTED_VALUE"""),"أبلاوز تريت سالمون لوين")</f>
        <v>أبلاوز تريت سالمون لوين</v>
      </c>
      <c r="H2475" s="133" t="str">
        <f>IFERROR(__xludf.DUMMYFUNCTION("""COMPUTED_VALUE"""),"FEM-25-3200-FEP-2025-3104-C-22548-1994
")</f>
        <v>FEM-25-3200-FEP-2025-3104-C-22548-1994
</v>
      </c>
      <c r="I2475" s="133"/>
      <c r="J2475" s="133"/>
      <c r="K2475" s="133"/>
      <c r="L2475" s="133"/>
      <c r="M2475" s="133"/>
      <c r="N2475" s="133"/>
      <c r="O2475" s="133"/>
      <c r="P2475" s="133"/>
      <c r="Q2475" s="133"/>
      <c r="R2475" s="133"/>
      <c r="S2475" s="133"/>
      <c r="T2475" s="133"/>
      <c r="U2475" s="133"/>
      <c r="V2475" s="133"/>
      <c r="W2475" s="133"/>
      <c r="X2475" s="133"/>
      <c r="Y2475" s="133"/>
      <c r="Z2475" s="133"/>
    </row>
    <row r="2476">
      <c r="A2476" s="133"/>
      <c r="B2476" s="133"/>
      <c r="C2476" s="133" t="str">
        <f>IFERROR(__xludf.DUMMYFUNCTION("""COMPUTED_VALUE"""),"2024-306802")</f>
        <v>2024-306802</v>
      </c>
      <c r="D2476" s="133"/>
      <c r="E2476" s="133" t="str">
        <f>IFERROR(__xludf.DUMMYFUNCTION("""COMPUTED_VALUE"""),"مكتمل")</f>
        <v>مكتمل</v>
      </c>
      <c r="F2476" s="133" t="str">
        <f>IFERROR(__xludf.DUMMYFUNCTION("""COMPUTED_VALUE"""),"ACANA Highest Protein Pacifica Recipe")</f>
        <v>ACANA Highest Protein Pacifica Recipe</v>
      </c>
      <c r="G2476" s="133"/>
      <c r="H2476" s="133" t="str">
        <f>IFERROR(__xludf.DUMMYFUNCTION("""COMPUTED_VALUE"""),"FEM-2024-10794-FEP-2024-81947-C-22548-1329
")</f>
        <v>FEM-2024-10794-FEP-2024-81947-C-22548-1329
</v>
      </c>
      <c r="I2476" s="133"/>
      <c r="J2476" s="133"/>
      <c r="K2476" s="133"/>
      <c r="L2476" s="133"/>
      <c r="M2476" s="133"/>
      <c r="N2476" s="133"/>
      <c r="O2476" s="133"/>
      <c r="P2476" s="133"/>
      <c r="Q2476" s="133"/>
      <c r="R2476" s="133"/>
      <c r="S2476" s="133"/>
      <c r="T2476" s="133"/>
      <c r="U2476" s="133"/>
      <c r="V2476" s="133"/>
      <c r="W2476" s="133"/>
      <c r="X2476" s="133"/>
      <c r="Y2476" s="133"/>
      <c r="Z2476" s="133"/>
    </row>
    <row r="2477">
      <c r="A2477" s="133"/>
      <c r="B2477" s="133"/>
      <c r="C2477" s="133" t="str">
        <f>IFERROR(__xludf.DUMMYFUNCTION("""COMPUTED_VALUE"""),"2024-306840")</f>
        <v>2024-306840</v>
      </c>
      <c r="D2477" s="133"/>
      <c r="E2477" s="133" t="str">
        <f>IFERROR(__xludf.DUMMYFUNCTION("""COMPUTED_VALUE"""),"مكتمل")</f>
        <v>مكتمل</v>
      </c>
      <c r="F2477" s="133" t="str">
        <f>IFERROR(__xludf.DUMMYFUNCTION("""COMPUTED_VALUE"""),"ACANA Highest Protein Wild Prairie Recipe Dog Food")</f>
        <v>ACANA Highest Protein Wild Prairie Recipe Dog Food</v>
      </c>
      <c r="G2477" s="133"/>
      <c r="H2477" s="133" t="str">
        <f>IFERROR(__xludf.DUMMYFUNCTION("""COMPUTED_VALUE"""),"FEM-2024-10799-FEP-2024-81950-C-22548-1332
")</f>
        <v>FEM-2024-10799-FEP-2024-81950-C-22548-1332
</v>
      </c>
      <c r="I2477" s="133"/>
      <c r="J2477" s="133"/>
      <c r="K2477" s="133"/>
      <c r="L2477" s="133"/>
      <c r="M2477" s="133"/>
      <c r="N2477" s="133"/>
      <c r="O2477" s="133"/>
      <c r="P2477" s="133"/>
      <c r="Q2477" s="133"/>
      <c r="R2477" s="133"/>
      <c r="S2477" s="133"/>
      <c r="T2477" s="133"/>
      <c r="U2477" s="133"/>
      <c r="V2477" s="133"/>
      <c r="W2477" s="133"/>
      <c r="X2477" s="133"/>
      <c r="Y2477" s="133"/>
      <c r="Z2477" s="133"/>
    </row>
    <row r="2478">
      <c r="A2478" s="133"/>
      <c r="B2478" s="133"/>
      <c r="C2478" s="133" t="str">
        <f>IFERROR(__xludf.DUMMYFUNCTION("""COMPUTED_VALUE"""),"2024-306770")</f>
        <v>2024-306770</v>
      </c>
      <c r="D2478" s="133"/>
      <c r="E2478" s="133" t="str">
        <f>IFERROR(__xludf.DUMMYFUNCTION("""COMPUTED_VALUE"""),"مكتمل")</f>
        <v>مكتمل</v>
      </c>
      <c r="F2478" s="133" t="str">
        <f>IFERROR(__xludf.DUMMYFUNCTION("""COMPUTED_VALUE"""),"ACANA Highest Protein Grasslands Recipe Dog Food")</f>
        <v>ACANA Highest Protein Grasslands Recipe Dog Food</v>
      </c>
      <c r="G2478" s="133"/>
      <c r="H2478" s="133" t="str">
        <f>IFERROR(__xludf.DUMMYFUNCTION("""COMPUTED_VALUE"""),"FEM-2024-10791-FEP-2024-81943-C-22548-1324
")</f>
        <v>FEM-2024-10791-FEP-2024-81943-C-22548-1324
</v>
      </c>
      <c r="I2478" s="133"/>
      <c r="J2478" s="133"/>
      <c r="K2478" s="133"/>
      <c r="L2478" s="133"/>
      <c r="M2478" s="133"/>
      <c r="N2478" s="133"/>
      <c r="O2478" s="133"/>
      <c r="P2478" s="133"/>
      <c r="Q2478" s="133"/>
      <c r="R2478" s="133"/>
      <c r="S2478" s="133"/>
      <c r="T2478" s="133"/>
      <c r="U2478" s="133"/>
      <c r="V2478" s="133"/>
      <c r="W2478" s="133"/>
      <c r="X2478" s="133"/>
      <c r="Y2478" s="133"/>
      <c r="Z2478" s="133"/>
    </row>
    <row r="2479">
      <c r="A2479" s="133"/>
      <c r="B2479" s="133"/>
      <c r="C2479" s="133" t="str">
        <f>IFERROR(__xludf.DUMMYFUNCTION("""COMPUTED_VALUE"""),"2025-143225")</f>
        <v>2025-143225</v>
      </c>
      <c r="D2479" s="133" t="str">
        <f>IFERROR(__xludf.DUMMYFUNCTION("""COMPUTED_VALUE"""),"ENC8125")</f>
        <v>ENC8125</v>
      </c>
      <c r="E2479" s="133" t="str">
        <f>IFERROR(__xludf.DUMMYFUNCTION("""COMPUTED_VALUE"""),"مكتمل")</f>
        <v>مكتمل</v>
      </c>
      <c r="F2479" s="133" t="str">
        <f>IFERROR(__xludf.DUMMYFUNCTION("""COMPUTED_VALUE"""),"Encore Cat Chicken breast with Duck 50g")</f>
        <v>Encore Cat Chicken breast with Duck 50g</v>
      </c>
      <c r="G2479" s="133" t="str">
        <f>IFERROR(__xludf.DUMMYFUNCTION("""COMPUTED_VALUE"""),"إنكور صدر الدجاج مع البط")</f>
        <v>إنكور صدر الدجاج مع البط</v>
      </c>
      <c r="H2479" s="133" t="str">
        <f>IFERROR(__xludf.DUMMYFUNCTION("""COMPUTED_VALUE"""),"FEM-25-3204-FEP-2025-3107-C-22548-1993
")</f>
        <v>FEM-25-3204-FEP-2025-3107-C-22548-1993
</v>
      </c>
      <c r="I2479" s="133"/>
      <c r="J2479" s="133"/>
      <c r="K2479" s="133"/>
      <c r="L2479" s="133"/>
      <c r="M2479" s="133"/>
      <c r="N2479" s="133"/>
      <c r="O2479" s="133"/>
      <c r="P2479" s="133"/>
      <c r="Q2479" s="133"/>
      <c r="R2479" s="133"/>
      <c r="S2479" s="133"/>
      <c r="T2479" s="133"/>
      <c r="U2479" s="133"/>
      <c r="V2479" s="133"/>
      <c r="W2479" s="133"/>
      <c r="X2479" s="133"/>
      <c r="Y2479" s="133"/>
      <c r="Z2479" s="133"/>
    </row>
    <row r="2480">
      <c r="A2480" s="133"/>
      <c r="B2480" s="133"/>
      <c r="C2480" s="133" t="str">
        <f>IFERROR(__xludf.DUMMYFUNCTION("""COMPUTED_VALUE"""),"2025-143235")</f>
        <v>2025-143235</v>
      </c>
      <c r="D2480" s="133" t="str">
        <f>IFERROR(__xludf.DUMMYFUNCTION("""COMPUTED_VALUE"""),"ENC1005")</f>
        <v>ENC1005</v>
      </c>
      <c r="E2480" s="133" t="str">
        <f>IFERROR(__xludf.DUMMYFUNCTION("""COMPUTED_VALUE"""),"مكتمل")</f>
        <v>مكتمل</v>
      </c>
      <c r="F2480" s="133" t="str">
        <f>IFERROR(__xludf.DUMMYFUNCTION("""COMPUTED_VALUE"""),"Encore Chicken breast with ocean fish 50g")</f>
        <v>Encore Chicken breast with ocean fish 50g</v>
      </c>
      <c r="G2480" s="133" t="str">
        <f>IFERROR(__xludf.DUMMYFUNCTION("""COMPUTED_VALUE"""),"إنكور صدر الدجاج مع سمك المحيط")</f>
        <v>إنكور صدر الدجاج مع سمك المحيط</v>
      </c>
      <c r="H2480" s="133" t="str">
        <f>IFERROR(__xludf.DUMMYFUNCTION("""COMPUTED_VALUE"""),"FEM-25-3205-FEP-2025-3601-C-22548-2035
")</f>
        <v>FEM-25-3205-FEP-2025-3601-C-22548-2035
</v>
      </c>
      <c r="I2480" s="133"/>
      <c r="J2480" s="133"/>
      <c r="K2480" s="133"/>
      <c r="L2480" s="133"/>
      <c r="M2480" s="133"/>
      <c r="N2480" s="133"/>
      <c r="O2480" s="133"/>
      <c r="P2480" s="133"/>
      <c r="Q2480" s="133"/>
      <c r="R2480" s="133"/>
      <c r="S2480" s="133"/>
      <c r="T2480" s="133"/>
      <c r="U2480" s="133"/>
      <c r="V2480" s="133"/>
      <c r="W2480" s="133"/>
      <c r="X2480" s="133"/>
      <c r="Y2480" s="133"/>
      <c r="Z2480" s="133"/>
    </row>
    <row r="2481">
      <c r="A2481" s="133"/>
      <c r="B2481" s="133"/>
      <c r="C2481" s="133"/>
      <c r="D2481" s="133"/>
      <c r="E2481" s="133" t="str">
        <f>IFERROR(__xludf.DUMMYFUNCTION("""COMPUTED_VALUE"""),"مكتمل")</f>
        <v>مكتمل</v>
      </c>
      <c r="F2481" s="133" t="str">
        <f>IFERROR(__xludf.DUMMYFUNCTION("""COMPUTED_VALUE"""),"Natural Code Chicken with beef")</f>
        <v>Natural Code Chicken with beef</v>
      </c>
      <c r="G2481" s="133" t="str">
        <f>IFERROR(__xludf.DUMMYFUNCTION("""COMPUTED_VALUE"""),"ناتشرال كود الدجاج واللحم البقري
")</f>
        <v>ناتشرال كود الدجاج واللحم البقري
</v>
      </c>
      <c r="H2481" s="133" t="str">
        <f>IFERROR(__xludf.DUMMYFUNCTION("""COMPUTED_VALUE"""),"FOM-2024-0466-FEP-2024-80997-C-22548-0748
")</f>
        <v>FOM-2024-0466-FEP-2024-80997-C-22548-0748
</v>
      </c>
      <c r="I2481" s="133"/>
      <c r="J2481" s="133"/>
      <c r="K2481" s="133"/>
      <c r="L2481" s="133"/>
      <c r="M2481" s="133"/>
      <c r="N2481" s="133"/>
      <c r="O2481" s="133"/>
      <c r="P2481" s="133"/>
      <c r="Q2481" s="133"/>
      <c r="R2481" s="133"/>
      <c r="S2481" s="133"/>
      <c r="T2481" s="133"/>
      <c r="U2481" s="133"/>
      <c r="V2481" s="133"/>
      <c r="W2481" s="133"/>
      <c r="X2481" s="133"/>
      <c r="Y2481" s="133"/>
      <c r="Z2481" s="133"/>
    </row>
    <row r="2482">
      <c r="A2482" s="133"/>
      <c r="B2482" s="133"/>
      <c r="C2482" s="133"/>
      <c r="D2482" s="133"/>
      <c r="E2482" s="133" t="str">
        <f>IFERROR(__xludf.DUMMYFUNCTION("""COMPUTED_VALUE"""),"مكتمل")</f>
        <v>مكتمل</v>
      </c>
      <c r="F2482" s="133" t="str">
        <f>IFERROR(__xludf.DUMMYFUNCTION("""COMPUTED_VALUE"""),"Natural Code Chicken with Tuna
")</f>
        <v>Natural Code Chicken with Tuna
</v>
      </c>
      <c r="G2482" s="133" t="str">
        <f>IFERROR(__xludf.DUMMYFUNCTION("""COMPUTED_VALUE"""),"ناتشرال كود الدجاج والتونا
")</f>
        <v>ناتشرال كود الدجاج والتونا
</v>
      </c>
      <c r="H2482" s="133" t="str">
        <f>IFERROR(__xludf.DUMMYFUNCTION("""COMPUTED_VALUE"""),"FOM-2024-0466-FEP-2024-80999-C-22548-0749
")</f>
        <v>FOM-2024-0466-FEP-2024-80999-C-22548-0749
</v>
      </c>
      <c r="I2482" s="133"/>
      <c r="J2482" s="133"/>
      <c r="K2482" s="133"/>
      <c r="L2482" s="133"/>
      <c r="M2482" s="133"/>
      <c r="N2482" s="133"/>
      <c r="O2482" s="133"/>
      <c r="P2482" s="133"/>
      <c r="Q2482" s="133"/>
      <c r="R2482" s="133"/>
      <c r="S2482" s="133"/>
      <c r="T2482" s="133"/>
      <c r="U2482" s="133"/>
      <c r="V2482" s="133"/>
      <c r="W2482" s="133"/>
      <c r="X2482" s="133"/>
      <c r="Y2482" s="133"/>
      <c r="Z2482" s="133"/>
    </row>
    <row r="2483">
      <c r="A2483" s="133"/>
      <c r="B2483" s="133"/>
      <c r="C2483" s="133"/>
      <c r="D2483" s="133"/>
      <c r="E2483" s="133" t="str">
        <f>IFERROR(__xludf.DUMMYFUNCTION("""COMPUTED_VALUE"""),"مكتمل")</f>
        <v>مكتمل</v>
      </c>
      <c r="F2483" s="133" t="str">
        <f>IFERROR(__xludf.DUMMYFUNCTION("""COMPUTED_VALUE"""),"Natural Code Chicken and Salmon
")</f>
        <v>Natural Code Chicken and Salmon
</v>
      </c>
      <c r="G2483" s="133" t="str">
        <f>IFERROR(__xludf.DUMMYFUNCTION("""COMPUTED_VALUE"""),"ناتشرال كود الدجاج والسالمون
")</f>
        <v>ناتشرال كود الدجاج والسالمون
</v>
      </c>
      <c r="H2483" s="133" t="str">
        <f>IFERROR(__xludf.DUMMYFUNCTION("""COMPUTED_VALUE"""),"FOM-2024-0466-FEP-2024-81098-C-22548-0750
")</f>
        <v>FOM-2024-0466-FEP-2024-81098-C-22548-0750
</v>
      </c>
      <c r="I2483" s="133"/>
      <c r="J2483" s="133"/>
      <c r="K2483" s="133"/>
      <c r="L2483" s="133"/>
      <c r="M2483" s="133"/>
      <c r="N2483" s="133"/>
      <c r="O2483" s="133"/>
      <c r="P2483" s="133"/>
      <c r="Q2483" s="133"/>
      <c r="R2483" s="133"/>
      <c r="S2483" s="133"/>
      <c r="T2483" s="133"/>
      <c r="U2483" s="133"/>
      <c r="V2483" s="133"/>
      <c r="W2483" s="133"/>
      <c r="X2483" s="133"/>
      <c r="Y2483" s="133"/>
      <c r="Z2483" s="133"/>
    </row>
    <row r="2484">
      <c r="A2484" s="133"/>
      <c r="B2484" s="133"/>
      <c r="C2484" s="133"/>
      <c r="D2484" s="133"/>
      <c r="E2484" s="133" t="str">
        <f>IFERROR(__xludf.DUMMYFUNCTION("""COMPUTED_VALUE"""),"مكتمل")</f>
        <v>مكتمل</v>
      </c>
      <c r="F2484" s="133" t="str">
        <f>IFERROR(__xludf.DUMMYFUNCTION("""COMPUTED_VALUE"""),"Natural Code chicken fillets
")</f>
        <v>Natural Code chicken fillets
</v>
      </c>
      <c r="G2484" s="133" t="str">
        <f>IFERROR(__xludf.DUMMYFUNCTION("""COMPUTED_VALUE"""),"ناتشرال كود فيليه الدجاج
")</f>
        <v>ناتشرال كود فيليه الدجاج
</v>
      </c>
      <c r="H2484" s="133" t="str">
        <f>IFERROR(__xludf.DUMMYFUNCTION("""COMPUTED_VALUE"""),"FOM-2024-0466-FEP-2024-81099-C-22548-0751")</f>
        <v>FOM-2024-0466-FEP-2024-81099-C-22548-0751</v>
      </c>
      <c r="I2484" s="133"/>
      <c r="J2484" s="133"/>
      <c r="K2484" s="133"/>
      <c r="L2484" s="133"/>
      <c r="M2484" s="133"/>
      <c r="N2484" s="133"/>
      <c r="O2484" s="133"/>
      <c r="P2484" s="133"/>
      <c r="Q2484" s="133"/>
      <c r="R2484" s="133"/>
      <c r="S2484" s="133"/>
      <c r="T2484" s="133"/>
      <c r="U2484" s="133"/>
      <c r="V2484" s="133"/>
      <c r="W2484" s="133"/>
      <c r="X2484" s="133"/>
      <c r="Y2484" s="133"/>
      <c r="Z2484" s="133"/>
    </row>
    <row r="2485">
      <c r="A2485" s="133"/>
      <c r="B2485" s="133"/>
      <c r="C2485" s="133"/>
      <c r="D2485" s="133"/>
      <c r="E2485" s="133" t="str">
        <f>IFERROR(__xludf.DUMMYFUNCTION("""COMPUTED_VALUE"""),"مكتمل")</f>
        <v>مكتمل</v>
      </c>
      <c r="F2485" s="133" t="str">
        <f>IFERROR(__xludf.DUMMYFUNCTION("""COMPUTED_VALUE"""),"Natural Code Chicken with Shrimps
")</f>
        <v>Natural Code Chicken with Shrimps
</v>
      </c>
      <c r="G2485" s="133" t="str">
        <f>IFERROR(__xludf.DUMMYFUNCTION("""COMPUTED_VALUE"""),"ناتشرال كود الدجاج والجمبري
")</f>
        <v>ناتشرال كود الدجاج والجمبري
</v>
      </c>
      <c r="H2485" s="133" t="str">
        <f>IFERROR(__xludf.DUMMYFUNCTION("""COMPUTED_VALUE"""),"FOM-2024-0466-FEP-2024-81096-C-22548-0752
")</f>
        <v>FOM-2024-0466-FEP-2024-81096-C-22548-0752
</v>
      </c>
      <c r="I2485" s="133"/>
      <c r="J2485" s="133"/>
      <c r="K2485" s="133"/>
      <c r="L2485" s="133"/>
      <c r="M2485" s="133"/>
      <c r="N2485" s="133"/>
      <c r="O2485" s="133"/>
      <c r="P2485" s="133"/>
      <c r="Q2485" s="133"/>
      <c r="R2485" s="133"/>
      <c r="S2485" s="133"/>
      <c r="T2485" s="133"/>
      <c r="U2485" s="133"/>
      <c r="V2485" s="133"/>
      <c r="W2485" s="133"/>
      <c r="X2485" s="133"/>
      <c r="Y2485" s="133"/>
      <c r="Z2485" s="133"/>
    </row>
    <row r="2486">
      <c r="A2486" s="133"/>
      <c r="B2486" s="133"/>
      <c r="C2486" s="133"/>
      <c r="D2486" s="133"/>
      <c r="E2486" s="133" t="str">
        <f>IFERROR(__xludf.DUMMYFUNCTION("""COMPUTED_VALUE"""),"مكتمل")</f>
        <v>مكتمل</v>
      </c>
      <c r="F2486" s="133" t="str">
        <f>IFERROR(__xludf.DUMMYFUNCTION("""COMPUTED_VALUE"""),"Natural Code Chicken and vegetables
")</f>
        <v>Natural Code Chicken and vegetables
</v>
      </c>
      <c r="G2486" s="133" t="str">
        <f>IFERROR(__xludf.DUMMYFUNCTION("""COMPUTED_VALUE"""),"ناتشرال كود الدجاج والخضروات
")</f>
        <v>ناتشرال كود الدجاج والخضروات
</v>
      </c>
      <c r="H2486" s="133" t="str">
        <f>IFERROR(__xludf.DUMMYFUNCTION("""COMPUTED_VALUE"""),"FOM-2024-0466-FEP-2024-81100-C-22548-0754
")</f>
        <v>FOM-2024-0466-FEP-2024-81100-C-22548-0754
</v>
      </c>
      <c r="I2486" s="133"/>
      <c r="J2486" s="133"/>
      <c r="K2486" s="133"/>
      <c r="L2486" s="133"/>
      <c r="M2486" s="133"/>
      <c r="N2486" s="133"/>
      <c r="O2486" s="133"/>
      <c r="P2486" s="133"/>
      <c r="Q2486" s="133"/>
      <c r="R2486" s="133"/>
      <c r="S2486" s="133"/>
      <c r="T2486" s="133"/>
      <c r="U2486" s="133"/>
      <c r="V2486" s="133"/>
      <c r="W2486" s="133"/>
      <c r="X2486" s="133"/>
      <c r="Y2486" s="133"/>
      <c r="Z2486" s="133"/>
    </row>
    <row r="2487">
      <c r="A2487" s="133"/>
      <c r="B2487" s="133"/>
      <c r="C2487" s="133"/>
      <c r="D2487" s="133"/>
      <c r="E2487" s="133" t="str">
        <f>IFERROR(__xludf.DUMMYFUNCTION("""COMPUTED_VALUE"""),"مكتمل")</f>
        <v>مكتمل</v>
      </c>
      <c r="F2487" s="133" t="str">
        <f>IFERROR(__xludf.DUMMYFUNCTION("""COMPUTED_VALUE"""),"NATURAL CODE TURKEY AND POTATOES")</f>
        <v>NATURAL CODE TURKEY AND POTATOES</v>
      </c>
      <c r="G2487" s="133" t="str">
        <f>IFERROR(__xludf.DUMMYFUNCTION("""COMPUTED_VALUE"""),"ناتشرال كود - الديك الرومي والبطاطا
")</f>
        <v>ناتشرال كود - الديك الرومي والبطاطا
</v>
      </c>
      <c r="H2487" s="133" t="str">
        <f>IFERROR(__xludf.DUMMYFUNCTION("""COMPUTED_VALUE"""),"FEM-25-0345-FEP-2025-0741-C-22548-0312
")</f>
        <v>FEM-25-0345-FEP-2025-0741-C-22548-0312
</v>
      </c>
      <c r="I2487" s="133"/>
      <c r="J2487" s="133"/>
      <c r="K2487" s="133"/>
      <c r="L2487" s="133"/>
      <c r="M2487" s="133"/>
      <c r="N2487" s="133"/>
      <c r="O2487" s="133"/>
      <c r="P2487" s="133"/>
      <c r="Q2487" s="133"/>
      <c r="R2487" s="133"/>
      <c r="S2487" s="133"/>
      <c r="T2487" s="133"/>
      <c r="U2487" s="133"/>
      <c r="V2487" s="133"/>
      <c r="W2487" s="133"/>
      <c r="X2487" s="133"/>
      <c r="Y2487" s="133"/>
      <c r="Z2487" s="133"/>
    </row>
    <row r="2488">
      <c r="A2488" s="133"/>
      <c r="B2488" s="133"/>
      <c r="C2488" s="133"/>
      <c r="D2488" s="133"/>
      <c r="E2488" s="133" t="str">
        <f>IFERROR(__xludf.DUMMYFUNCTION("""COMPUTED_VALUE"""),"مكتمل")</f>
        <v>مكتمل</v>
      </c>
      <c r="F2488" s="133" t="str">
        <f>IFERROR(__xludf.DUMMYFUNCTION("""COMPUTED_VALUE"""),"FEM-25-0346-FEP-2025-0740-C-22548-0314
")</f>
        <v>FEM-25-0346-FEP-2025-0740-C-22548-0314
</v>
      </c>
      <c r="G2488" s="133" t="str">
        <f>IFERROR(__xludf.DUMMYFUNCTION("""COMPUTED_VALUE"""),"ناتشرال كود دجاج ولحم البقر و الخضراوات
")</f>
        <v>ناتشرال كود دجاج ولحم البقر و الخضراوات
</v>
      </c>
      <c r="H2488" s="133" t="str">
        <f>IFERROR(__xludf.DUMMYFUNCTION("""COMPUTED_VALUE"""),"FEM-25-0346-FEP-2025-0740-C-22548-0314
")</f>
        <v>FEM-25-0346-FEP-2025-0740-C-22548-0314
</v>
      </c>
      <c r="I2488" s="133"/>
      <c r="J2488" s="133"/>
      <c r="K2488" s="133"/>
      <c r="L2488" s="133"/>
      <c r="M2488" s="133"/>
      <c r="N2488" s="133"/>
      <c r="O2488" s="133"/>
      <c r="P2488" s="133"/>
      <c r="Q2488" s="133"/>
      <c r="R2488" s="133"/>
      <c r="S2488" s="133"/>
      <c r="T2488" s="133"/>
      <c r="U2488" s="133"/>
      <c r="V2488" s="133"/>
      <c r="W2488" s="133"/>
      <c r="X2488" s="133"/>
      <c r="Y2488" s="133"/>
      <c r="Z2488" s="133"/>
    </row>
    <row r="2489">
      <c r="A2489" s="133"/>
      <c r="B2489" s="133"/>
      <c r="C2489" s="133"/>
      <c r="D2489" s="133"/>
      <c r="E2489" s="133" t="str">
        <f>IFERROR(__xludf.DUMMYFUNCTION("""COMPUTED_VALUE"""),"مكتمل")</f>
        <v>مكتمل</v>
      </c>
      <c r="F2489" s="133" t="str">
        <f>IFERROR(__xludf.DUMMYFUNCTION("""COMPUTED_VALUE"""),"NATURAL CODE CHICKEN WITH TUNA
")</f>
        <v>NATURAL CODE CHICKEN WITH TUNA
</v>
      </c>
      <c r="G2489" s="133" t="str">
        <f>IFERROR(__xludf.DUMMYFUNCTION("""COMPUTED_VALUE"""),"ناتشرال كود الدجاج والتونا
")</f>
        <v>ناتشرال كود الدجاج والتونا
</v>
      </c>
      <c r="H2489" s="133" t="str">
        <f>IFERROR(__xludf.DUMMYFUNCTION("""COMPUTED_VALUE"""),"FEM-25-0315-FEP-2025-0348-C-22548-0321
")</f>
        <v>FEM-25-0315-FEP-2025-0348-C-22548-0321
</v>
      </c>
      <c r="I2489" s="133"/>
      <c r="J2489" s="133"/>
      <c r="K2489" s="133"/>
      <c r="L2489" s="133"/>
      <c r="M2489" s="133"/>
      <c r="N2489" s="133"/>
      <c r="O2489" s="133"/>
      <c r="P2489" s="133"/>
      <c r="Q2489" s="133"/>
      <c r="R2489" s="133"/>
      <c r="S2489" s="133"/>
      <c r="T2489" s="133"/>
      <c r="U2489" s="133"/>
      <c r="V2489" s="133"/>
      <c r="W2489" s="133"/>
      <c r="X2489" s="133"/>
      <c r="Y2489" s="133"/>
      <c r="Z2489" s="133"/>
    </row>
    <row r="2490">
      <c r="A2490" s="133"/>
      <c r="B2490" s="133"/>
      <c r="C2490" s="133"/>
      <c r="D2490" s="133"/>
      <c r="E2490" s="133" t="str">
        <f>IFERROR(__xludf.DUMMYFUNCTION("""COMPUTED_VALUE"""),"مكتمل")</f>
        <v>مكتمل</v>
      </c>
      <c r="F2490" s="133" t="str">
        <f>IFERROR(__xludf.DUMMYFUNCTION("""COMPUTED_VALUE"""),"NATURAL CODE CHICKEN WITH BEEF")</f>
        <v>NATURAL CODE CHICKEN WITH BEEF</v>
      </c>
      <c r="G2490" s="133" t="str">
        <f>IFERROR(__xludf.DUMMYFUNCTION("""COMPUTED_VALUE"""),"ناتشرال كود الدجاج واللحم البقري
")</f>
        <v>ناتشرال كود الدجاج واللحم البقري
</v>
      </c>
      <c r="H2490" s="133" t="str">
        <f>IFERROR(__xludf.DUMMYFUNCTION("""COMPUTED_VALUE"""),"FEM-25-0316-FEP-2025-0349-C-22548-0322
")</f>
        <v>FEM-25-0316-FEP-2025-0349-C-22548-0322
</v>
      </c>
      <c r="I2490" s="133"/>
      <c r="J2490" s="133"/>
      <c r="K2490" s="133"/>
      <c r="L2490" s="133"/>
      <c r="M2490" s="133"/>
      <c r="N2490" s="133"/>
      <c r="O2490" s="133"/>
      <c r="P2490" s="133"/>
      <c r="Q2490" s="133"/>
      <c r="R2490" s="133"/>
      <c r="S2490" s="133"/>
      <c r="T2490" s="133"/>
      <c r="U2490" s="133"/>
      <c r="V2490" s="133"/>
      <c r="W2490" s="133"/>
      <c r="X2490" s="133"/>
      <c r="Y2490" s="133"/>
      <c r="Z2490" s="133"/>
    </row>
    <row r="2491">
      <c r="A2491" s="133"/>
      <c r="B2491" s="133"/>
      <c r="C2491" s="133"/>
      <c r="D2491" s="133"/>
      <c r="E2491" s="133" t="str">
        <f>IFERROR(__xludf.DUMMYFUNCTION("""COMPUTED_VALUE"""),"مكتمل")</f>
        <v>مكتمل</v>
      </c>
      <c r="F2491" s="133" t="str">
        <f>IFERROR(__xludf.DUMMYFUNCTION("""COMPUTED_VALUE"""),"NATURAL CODE TUNA SLICES
")</f>
        <v>NATURAL CODE TUNA SLICES
</v>
      </c>
      <c r="G2491" s="133" t="str">
        <f>IFERROR(__xludf.DUMMYFUNCTION("""COMPUTED_VALUE"""),"ناتشرال كود شرائح التونة
")</f>
        <v>ناتشرال كود شرائح التونة
</v>
      </c>
      <c r="H2491" s="133" t="str">
        <f>IFERROR(__xludf.DUMMYFUNCTION("""COMPUTED_VALUE"""),"FEM-25-0317-FEP-2025-0350-C-22548-0323
")</f>
        <v>FEM-25-0317-FEP-2025-0350-C-22548-0323
</v>
      </c>
      <c r="I2491" s="133"/>
      <c r="J2491" s="133"/>
      <c r="K2491" s="133"/>
      <c r="L2491" s="133"/>
      <c r="M2491" s="133"/>
      <c r="N2491" s="133"/>
      <c r="O2491" s="133"/>
      <c r="P2491" s="133"/>
      <c r="Q2491" s="133"/>
      <c r="R2491" s="133"/>
      <c r="S2491" s="133"/>
      <c r="T2491" s="133"/>
      <c r="U2491" s="133"/>
      <c r="V2491" s="133"/>
      <c r="W2491" s="133"/>
      <c r="X2491" s="133"/>
      <c r="Y2491" s="133"/>
      <c r="Z2491" s="133"/>
    </row>
    <row r="2492">
      <c r="A2492" s="133"/>
      <c r="B2492" s="133"/>
      <c r="C2492" s="133"/>
      <c r="D2492" s="133"/>
      <c r="E2492" s="133" t="str">
        <f>IFERROR(__xludf.DUMMYFUNCTION("""COMPUTED_VALUE"""),"مكتمل")</f>
        <v>مكتمل</v>
      </c>
      <c r="F2492" s="133" t="str">
        <f>IFERROR(__xludf.DUMMYFUNCTION("""COMPUTED_VALUE"""),"FEM-25-0803-FEP-2025-0818-C-22548-0626
")</f>
        <v>FEM-25-0803-FEP-2025-0818-C-22548-0626
</v>
      </c>
      <c r="G2492" s="133" t="str">
        <f>IFERROR(__xludf.DUMMYFUNCTION("""COMPUTED_VALUE"""),"ناتشرال كود ستيريل 01 تونة وكوسة
")</f>
        <v>ناتشرال كود ستيريل 01 تونة وكوسة
</v>
      </c>
      <c r="H2492" s="133" t="str">
        <f>IFERROR(__xludf.DUMMYFUNCTION("""COMPUTED_VALUE"""),"FEM-25-0339-FEP-2025-0354-C-22548-0324
")</f>
        <v>FEM-25-0339-FEP-2025-0354-C-22548-0324
</v>
      </c>
      <c r="I2492" s="133"/>
      <c r="J2492" s="133"/>
      <c r="K2492" s="133"/>
      <c r="L2492" s="133"/>
      <c r="M2492" s="133"/>
      <c r="N2492" s="133"/>
      <c r="O2492" s="133"/>
      <c r="P2492" s="133"/>
      <c r="Q2492" s="133"/>
      <c r="R2492" s="133"/>
      <c r="S2492" s="133"/>
      <c r="T2492" s="133"/>
      <c r="U2492" s="133"/>
      <c r="V2492" s="133"/>
      <c r="W2492" s="133"/>
      <c r="X2492" s="133"/>
      <c r="Y2492" s="133"/>
      <c r="Z2492" s="133"/>
    </row>
    <row r="2493">
      <c r="A2493" s="133"/>
      <c r="B2493" s="133"/>
      <c r="C2493" s="133"/>
      <c r="D2493" s="133"/>
      <c r="E2493" s="133" t="str">
        <f>IFERROR(__xludf.DUMMYFUNCTION("""COMPUTED_VALUE"""),"مكتمل")</f>
        <v>مكتمل</v>
      </c>
      <c r="F2493" s="133" t="str">
        <f>IFERROR(__xludf.DUMMYFUNCTION("""COMPUTED_VALUE"""),"NATURAL CODE CHICKEN WIT H LAMB AND POT AT OES")</f>
        <v>NATURAL CODE CHICKEN WIT H LAMB AND POT AT OES</v>
      </c>
      <c r="G2493" s="133" t="str">
        <f>IFERROR(__xludf.DUMMYFUNCTION("""COMPUTED_VALUE"""),"ناتشرال كود دجاج بطاطس وضأن
")</f>
        <v>ناتشرال كود دجاج بطاطس وضأن
</v>
      </c>
      <c r="H2493" s="133" t="str">
        <f>IFERROR(__xludf.DUMMYFUNCTION("""COMPUTED_VALUE"""),"FEM-25-0318-FEP-2025-0351-C-22548-0325
")</f>
        <v>FEM-25-0318-FEP-2025-0351-C-22548-0325
</v>
      </c>
      <c r="I2493" s="133"/>
      <c r="J2493" s="133"/>
      <c r="K2493" s="133"/>
      <c r="L2493" s="133"/>
      <c r="M2493" s="133"/>
      <c r="N2493" s="133"/>
      <c r="O2493" s="133"/>
      <c r="P2493" s="133"/>
      <c r="Q2493" s="133"/>
      <c r="R2493" s="133"/>
      <c r="S2493" s="133"/>
      <c r="T2493" s="133"/>
      <c r="U2493" s="133"/>
      <c r="V2493" s="133"/>
      <c r="W2493" s="133"/>
      <c r="X2493" s="133"/>
      <c r="Y2493" s="133"/>
      <c r="Z2493" s="133"/>
    </row>
    <row r="2494">
      <c r="A2494" s="133"/>
      <c r="B2494" s="133"/>
      <c r="C2494" s="133"/>
      <c r="D2494" s="133"/>
      <c r="E2494" s="133" t="str">
        <f>IFERROR(__xludf.DUMMYFUNCTION("""COMPUTED_VALUE"""),"مكتمل")</f>
        <v>مكتمل</v>
      </c>
      <c r="F2494" s="133" t="str">
        <f>IFERROR(__xludf.DUMMYFUNCTION("""COMPUTED_VALUE"""),"NATURAL CODE CHICKEN WITH BEEF AND VEGETABLES
")</f>
        <v>NATURAL CODE CHICKEN WITH BEEF AND VEGETABLES
</v>
      </c>
      <c r="G2494" s="133" t="str">
        <f>IFERROR(__xludf.DUMMYFUNCTION("""COMPUTED_VALUE"""),"ناتشرال كود دجاج لحم بقري وخضار
")</f>
        <v>ناتشرال كود دجاج لحم بقري وخضار
</v>
      </c>
      <c r="H2494" s="133" t="str">
        <f>IFERROR(__xludf.DUMMYFUNCTION("""COMPUTED_VALUE"""),"FEM-25-0319-FEP-2025-0352-C-22548-0326
")</f>
        <v>FEM-25-0319-FEP-2025-0352-C-22548-0326
</v>
      </c>
      <c r="I2494" s="133"/>
      <c r="J2494" s="133"/>
      <c r="K2494" s="133"/>
      <c r="L2494" s="133"/>
      <c r="M2494" s="133"/>
      <c r="N2494" s="133"/>
      <c r="O2494" s="133"/>
      <c r="P2494" s="133"/>
      <c r="Q2494" s="133"/>
      <c r="R2494" s="133"/>
      <c r="S2494" s="133"/>
      <c r="T2494" s="133"/>
      <c r="U2494" s="133"/>
      <c r="V2494" s="133"/>
      <c r="W2494" s="133"/>
      <c r="X2494" s="133"/>
      <c r="Y2494" s="133"/>
      <c r="Z2494" s="133"/>
    </row>
    <row r="2495">
      <c r="A2495" s="133"/>
      <c r="B2495" s="133"/>
      <c r="C2495" s="133"/>
      <c r="D2495" s="133"/>
      <c r="E2495" s="133" t="str">
        <f>IFERROR(__xludf.DUMMYFUNCTION("""COMPUTED_VALUE"""),"مكتمل")</f>
        <v>مكتمل</v>
      </c>
      <c r="F2495" s="133" t="str">
        <f>IFERROR(__xludf.DUMMYFUNCTION("""COMPUTED_VALUE"""),"NATURAL CODE TUNA WITH PUMPKIN
")</f>
        <v>NATURAL CODE TUNA WITH PUMPKIN
</v>
      </c>
      <c r="G2495" s="133" t="str">
        <f>IFERROR(__xludf.DUMMYFUNCTION("""COMPUTED_VALUE"""),"ناتشرال كود تونا ويقطين
")</f>
        <v>ناتشرال كود تونا ويقطين
</v>
      </c>
      <c r="H2495" s="133" t="str">
        <f>IFERROR(__xludf.DUMMYFUNCTION("""COMPUTED_VALUE"""),"FEM-25-0334-FEP-2025-0353-C-22548-0327
")</f>
        <v>FEM-25-0334-FEP-2025-0353-C-22548-0327
</v>
      </c>
      <c r="I2495" s="133"/>
      <c r="J2495" s="133"/>
      <c r="K2495" s="133"/>
      <c r="L2495" s="133"/>
      <c r="M2495" s="133"/>
      <c r="N2495" s="133"/>
      <c r="O2495" s="133"/>
      <c r="P2495" s="133"/>
      <c r="Q2495" s="133"/>
      <c r="R2495" s="133"/>
      <c r="S2495" s="133"/>
      <c r="T2495" s="133"/>
      <c r="U2495" s="133"/>
      <c r="V2495" s="133"/>
      <c r="W2495" s="133"/>
      <c r="X2495" s="133"/>
      <c r="Y2495" s="133"/>
      <c r="Z2495" s="133"/>
    </row>
    <row r="2496">
      <c r="A2496" s="133"/>
      <c r="B2496" s="133"/>
      <c r="C2496" s="133"/>
      <c r="D2496" s="133"/>
      <c r="E2496" s="133" t="str">
        <f>IFERROR(__xludf.DUMMYFUNCTION("""COMPUTED_VALUE"""),"مكتمل")</f>
        <v>مكتمل</v>
      </c>
      <c r="F2496" s="133" t="str">
        <f>IFERROR(__xludf.DUMMYFUNCTION("""COMPUTED_VALUE"""),"NATURAL CODE STERIL 02 TUNA AND AMARANTH")</f>
        <v>NATURAL CODE STERIL 02 TUNA AND AMARANTH</v>
      </c>
      <c r="G2496" s="133" t="str">
        <f>IFERROR(__xludf.DUMMYFUNCTION("""COMPUTED_VALUE"""),"ناتشرال كود ستيريل 02 تونة ونبتة القطيفة
")</f>
        <v>ناتشرال كود ستيريل 02 تونة ونبتة القطيفة
</v>
      </c>
      <c r="H2496" s="133" t="str">
        <f>IFERROR(__xludf.DUMMYFUNCTION("""COMPUTED_VALUE"""),"FEM-25-0338-FEP-2025-0355-C-22548-0328
")</f>
        <v>FEM-25-0338-FEP-2025-0355-C-22548-0328
</v>
      </c>
      <c r="I2496" s="133"/>
      <c r="J2496" s="133"/>
      <c r="K2496" s="133"/>
      <c r="L2496" s="133"/>
      <c r="M2496" s="133"/>
      <c r="N2496" s="133"/>
      <c r="O2496" s="133"/>
      <c r="P2496" s="133"/>
      <c r="Q2496" s="133"/>
      <c r="R2496" s="133"/>
      <c r="S2496" s="133"/>
      <c r="T2496" s="133"/>
      <c r="U2496" s="133"/>
      <c r="V2496" s="133"/>
      <c r="W2496" s="133"/>
      <c r="X2496" s="133"/>
      <c r="Y2496" s="133"/>
      <c r="Z2496" s="133"/>
    </row>
    <row r="2497">
      <c r="A2497" s="133"/>
      <c r="B2497" s="133"/>
      <c r="C2497" s="133"/>
      <c r="D2497" s="133"/>
      <c r="E2497" s="133" t="str">
        <f>IFERROR(__xludf.DUMMYFUNCTION("""COMPUTED_VALUE"""),"مكتمل")</f>
        <v>مكتمل</v>
      </c>
      <c r="F2497" s="133" t="str">
        <f>IFERROR(__xludf.DUMMYFUNCTION("""COMPUTED_VALUE"""),"NATURAL CODE ST ERIL 03 T UNA AND SEAWEEDS")</f>
        <v>NATURAL CODE ST ERIL 03 T UNA AND SEAWEEDS</v>
      </c>
      <c r="G2497" s="133" t="str">
        <f>IFERROR(__xludf.DUMMYFUNCTION("""COMPUTED_VALUE"""),"ناتشرال كود ستيريل 03 تونة و طحالب
")</f>
        <v>ناتشرال كود ستيريل 03 تونة و طحالب
</v>
      </c>
      <c r="H2497" s="133" t="str">
        <f>IFERROR(__xludf.DUMMYFUNCTION("""COMPUTED_VALUE"""),"FEM-25-0337-FEP-2025-0356-C-22548-0329
")</f>
        <v>FEM-25-0337-FEP-2025-0356-C-22548-0329
</v>
      </c>
      <c r="I2497" s="133"/>
      <c r="J2497" s="133"/>
      <c r="K2497" s="133"/>
      <c r="L2497" s="133"/>
      <c r="M2497" s="133"/>
      <c r="N2497" s="133"/>
      <c r="O2497" s="133"/>
      <c r="P2497" s="133"/>
      <c r="Q2497" s="133"/>
      <c r="R2497" s="133"/>
      <c r="S2497" s="133"/>
      <c r="T2497" s="133"/>
      <c r="U2497" s="133"/>
      <c r="V2497" s="133"/>
      <c r="W2497" s="133"/>
      <c r="X2497" s="133"/>
      <c r="Y2497" s="133"/>
      <c r="Z2497" s="133"/>
    </row>
    <row r="2498">
      <c r="A2498" s="133"/>
      <c r="B2498" s="133"/>
      <c r="C2498" s="133"/>
      <c r="D2498" s="133"/>
      <c r="E2498" s="133" t="str">
        <f>IFERROR(__xludf.DUMMYFUNCTION("""COMPUTED_VALUE"""),"مكتمل")</f>
        <v>مكتمل</v>
      </c>
      <c r="F2498" s="133" t="str">
        <f>IFERROR(__xludf.DUMMYFUNCTION("""COMPUTED_VALUE"""),"NATURAL CODE STERIL 04 TUNA AND ANCHOVIES")</f>
        <v>NATURAL CODE STERIL 04 TUNA AND ANCHOVIES</v>
      </c>
      <c r="G2498" s="133" t="str">
        <f>IFERROR(__xludf.DUMMYFUNCTION("""COMPUTED_VALUE"""),"ناتشرال كود ستيريل 04 تونة و طحالب
")</f>
        <v>ناتشرال كود ستيريل 04 تونة و طحالب
</v>
      </c>
      <c r="H2498" s="133" t="str">
        <f>IFERROR(__xludf.DUMMYFUNCTION("""COMPUTED_VALUE"""),"FEM-25-0336-FEP-2025-0357-C-22548-0332
")</f>
        <v>FEM-25-0336-FEP-2025-0357-C-22548-0332
</v>
      </c>
      <c r="I2498" s="133"/>
      <c r="J2498" s="133"/>
      <c r="K2498" s="133"/>
      <c r="L2498" s="133"/>
      <c r="M2498" s="133"/>
      <c r="N2498" s="133"/>
      <c r="O2498" s="133"/>
      <c r="P2498" s="133"/>
      <c r="Q2498" s="133"/>
      <c r="R2498" s="133"/>
      <c r="S2498" s="133"/>
      <c r="T2498" s="133"/>
      <c r="U2498" s="133"/>
      <c r="V2498" s="133"/>
      <c r="W2498" s="133"/>
      <c r="X2498" s="133"/>
      <c r="Y2498" s="133"/>
      <c r="Z2498" s="133"/>
    </row>
    <row r="2499">
      <c r="A2499" s="133"/>
      <c r="B2499" s="133"/>
      <c r="C2499" s="133" t="str">
        <f>IFERROR(__xludf.DUMMYFUNCTION("""COMPUTED_VALUE"""),"2025-152873")</f>
        <v>2025-152873</v>
      </c>
      <c r="D2499" s="133"/>
      <c r="E2499" s="133" t="str">
        <f>IFERROR(__xludf.DUMMYFUNCTION("""COMPUTED_VALUE"""),"مكتمل")</f>
        <v>مكتمل</v>
      </c>
      <c r="F2499" s="133" t="str">
        <f>IFERROR(__xludf.DUMMYFUNCTION("""COMPUTED_VALUE"""),"Dr clauder Best Selection Adult No 1 85g 200g ")</f>
        <v>Dr clauder Best Selection Adult No 1 85g 200g </v>
      </c>
      <c r="G2499" s="133"/>
      <c r="H2499" s="133" t="str">
        <f>IFERROR(__xludf.DUMMYFUNCTION("""COMPUTED_VALUE"""),"FEM-25-3873-FEP-2025-3833-C-22548-2207
")</f>
        <v>FEM-25-3873-FEP-2025-3833-C-22548-2207
</v>
      </c>
      <c r="I2499" s="133"/>
      <c r="J2499" s="133"/>
      <c r="K2499" s="133"/>
      <c r="L2499" s="133"/>
      <c r="M2499" s="133"/>
      <c r="N2499" s="133"/>
      <c r="O2499" s="133"/>
      <c r="P2499" s="133"/>
      <c r="Q2499" s="133"/>
      <c r="R2499" s="133"/>
      <c r="S2499" s="133"/>
      <c r="T2499" s="133"/>
      <c r="U2499" s="133"/>
      <c r="V2499" s="133"/>
      <c r="W2499" s="133"/>
      <c r="X2499" s="133"/>
      <c r="Y2499" s="133"/>
      <c r="Z2499" s="133"/>
    </row>
    <row r="2500">
      <c r="A2500" s="133"/>
      <c r="B2500" s="133"/>
      <c r="C2500" s="133" t="str">
        <f>IFERROR(__xludf.DUMMYFUNCTION("""COMPUTED_VALUE"""),"2025-152818")</f>
        <v>2025-152818</v>
      </c>
      <c r="D2500" s="133"/>
      <c r="E2500" s="133" t="str">
        <f>IFERROR(__xludf.DUMMYFUNCTION("""COMPUTED_VALUE"""),"مكتمل")</f>
        <v>مكتمل</v>
      </c>
      <c r="F2500" s="133" t="str">
        <f>IFERROR(__xludf.DUMMYFUNCTION("""COMPUTED_VALUE"""),"Dr clauder Best Selection Kitten 85g")</f>
        <v>Dr clauder Best Selection Kitten 85g</v>
      </c>
      <c r="G2500" s="133"/>
      <c r="H2500" s="133" t="str">
        <f>IFERROR(__xludf.DUMMYFUNCTION("""COMPUTED_VALUE"""),"FEM-25-3408-FEP-2025-3310-C-22548-2189
")</f>
        <v>FEM-25-3408-FEP-2025-3310-C-22548-2189
</v>
      </c>
      <c r="I2500" s="133"/>
      <c r="J2500" s="133"/>
      <c r="K2500" s="133"/>
      <c r="L2500" s="133"/>
      <c r="M2500" s="133"/>
      <c r="N2500" s="133"/>
      <c r="O2500" s="133"/>
      <c r="P2500" s="133"/>
      <c r="Q2500" s="133"/>
      <c r="R2500" s="133"/>
      <c r="S2500" s="133"/>
      <c r="T2500" s="133"/>
      <c r="U2500" s="133"/>
      <c r="V2500" s="133"/>
      <c r="W2500" s="133"/>
      <c r="X2500" s="133"/>
      <c r="Y2500" s="133"/>
      <c r="Z2500" s="133"/>
    </row>
    <row r="2501">
      <c r="A2501" s="133"/>
      <c r="B2501" s="133"/>
      <c r="C2501" s="133" t="str">
        <f>IFERROR(__xludf.DUMMYFUNCTION("""COMPUTED_VALUE"""),"2025-152890")</f>
        <v>2025-152890</v>
      </c>
      <c r="D2501" s="133"/>
      <c r="E2501" s="133" t="str">
        <f>IFERROR(__xludf.DUMMYFUNCTION("""COMPUTED_VALUE"""),"مكتمل")</f>
        <v>مكتمل</v>
      </c>
      <c r="F2501" s="133" t="str">
        <f>IFERROR(__xludf.DUMMYFUNCTION("""COMPUTED_VALUE"""),"Dr clauder Best Selection Adult No 2 85g 200g ")</f>
        <v>Dr clauder Best Selection Adult No 2 85g 200g </v>
      </c>
      <c r="G2501" s="133"/>
      <c r="H2501" s="133" t="str">
        <f>IFERROR(__xludf.DUMMYFUNCTION("""COMPUTED_VALUE"""),"
FEM-25-3876-FEP-2025-3839-C-22548-2206")</f>
        <v>
FEM-25-3876-FEP-2025-3839-C-22548-2206</v>
      </c>
      <c r="I2501" s="133"/>
      <c r="J2501" s="133"/>
      <c r="K2501" s="133"/>
      <c r="L2501" s="133"/>
      <c r="M2501" s="133"/>
      <c r="N2501" s="133"/>
      <c r="O2501" s="133"/>
      <c r="P2501" s="133"/>
      <c r="Q2501" s="133"/>
      <c r="R2501" s="133"/>
      <c r="S2501" s="133"/>
      <c r="T2501" s="133"/>
      <c r="U2501" s="133"/>
      <c r="V2501" s="133"/>
      <c r="W2501" s="133"/>
      <c r="X2501" s="133"/>
      <c r="Y2501" s="133"/>
      <c r="Z2501" s="133"/>
    </row>
    <row r="2502">
      <c r="A2502" s="133"/>
      <c r="B2502" s="133"/>
      <c r="C2502" s="133" t="str">
        <f>IFERROR(__xludf.DUMMYFUNCTION("""COMPUTED_VALUE"""),"2025-152922")</f>
        <v>2025-152922</v>
      </c>
      <c r="D2502" s="133"/>
      <c r="E2502" s="133" t="str">
        <f>IFERROR(__xludf.DUMMYFUNCTION("""COMPUTED_VALUE"""),"مكتمل ")</f>
        <v>مكتمل </v>
      </c>
      <c r="F2502" s="133" t="str">
        <f>IFERROR(__xludf.DUMMYFUNCTION("""COMPUTED_VALUE"""),"Dr clauder Best Selection Adult No 3 85g 200g")</f>
        <v>Dr clauder Best Selection Adult No 3 85g 200g</v>
      </c>
      <c r="G2502" s="133"/>
      <c r="H2502" s="133" t="str">
        <f>IFERROR(__xludf.DUMMYFUNCTION("""COMPUTED_VALUE"""),"
FEM-25-3875-FEP-2025-3838-C-22548-2205")</f>
        <v>
FEM-25-3875-FEP-2025-3838-C-22548-2205</v>
      </c>
      <c r="I2502" s="133"/>
      <c r="J2502" s="133"/>
      <c r="K2502" s="133"/>
      <c r="L2502" s="133"/>
      <c r="M2502" s="133"/>
      <c r="N2502" s="133"/>
      <c r="O2502" s="133"/>
      <c r="P2502" s="133"/>
      <c r="Q2502" s="133"/>
      <c r="R2502" s="133"/>
      <c r="S2502" s="133"/>
      <c r="T2502" s="133"/>
      <c r="U2502" s="133"/>
      <c r="V2502" s="133"/>
      <c r="W2502" s="133"/>
      <c r="X2502" s="133"/>
      <c r="Y2502" s="133"/>
      <c r="Z2502" s="133"/>
    </row>
    <row r="2503">
      <c r="A2503" s="133"/>
      <c r="B2503" s="133"/>
      <c r="C2503" s="133" t="str">
        <f>IFERROR(__xludf.DUMMYFUNCTION("""COMPUTED_VALUE"""),"2025-152946")</f>
        <v>2025-152946</v>
      </c>
      <c r="D2503" s="133"/>
      <c r="E2503" s="133" t="str">
        <f>IFERROR(__xludf.DUMMYFUNCTION("""COMPUTED_VALUE"""),"مكتمل ")</f>
        <v>مكتمل </v>
      </c>
      <c r="F2503" s="133" t="str">
        <f>IFERROR(__xludf.DUMMYFUNCTION("""COMPUTED_VALUE"""),"Dr clauder Best Selection Adult No 4 85g 200g")</f>
        <v>Dr clauder Best Selection Adult No 4 85g 200g</v>
      </c>
      <c r="G2503" s="133"/>
      <c r="H2503" s="133" t="str">
        <f>IFERROR(__xludf.DUMMYFUNCTION("""COMPUTED_VALUE"""),"FEM-25-3874-FEP-2025-3837-C-22548-2204")</f>
        <v>FEM-25-3874-FEP-2025-3837-C-22548-2204</v>
      </c>
      <c r="I2503" s="133"/>
      <c r="J2503" s="133"/>
      <c r="K2503" s="133"/>
      <c r="L2503" s="133"/>
      <c r="M2503" s="133"/>
      <c r="N2503" s="133"/>
      <c r="O2503" s="133"/>
      <c r="P2503" s="133"/>
      <c r="Q2503" s="133"/>
      <c r="R2503" s="133"/>
      <c r="S2503" s="133"/>
      <c r="T2503" s="133"/>
      <c r="U2503" s="133"/>
      <c r="V2503" s="133"/>
      <c r="W2503" s="133"/>
      <c r="X2503" s="133"/>
      <c r="Y2503" s="133"/>
      <c r="Z2503" s="133"/>
    </row>
    <row r="2504">
      <c r="A2504" s="133"/>
      <c r="B2504" s="133"/>
      <c r="C2504" s="133" t="str">
        <f>IFERROR(__xludf.DUMMYFUNCTION("""COMPUTED_VALUE"""),"2025-152959")</f>
        <v>2025-152959</v>
      </c>
      <c r="D2504" s="133"/>
      <c r="E2504" s="133" t="str">
        <f>IFERROR(__xludf.DUMMYFUNCTION("""COMPUTED_VALUE"""),"مكتمل")</f>
        <v>مكتمل</v>
      </c>
      <c r="F2504" s="133" t="str">
        <f>IFERROR(__xludf.DUMMYFUNCTION("""COMPUTED_VALUE"""),"Dr clauder Best Selection Adult No 5 85g 200g")</f>
        <v>Dr clauder Best Selection Adult No 5 85g 200g</v>
      </c>
      <c r="G2504" s="133"/>
      <c r="H2504" s="133" t="str">
        <f>IFERROR(__xludf.DUMMYFUNCTION("""COMPUTED_VALUE"""),"
FEM-25-3414-FEP-2025-3317-C-22548-2190")</f>
        <v>
FEM-25-3414-FEP-2025-3317-C-22548-2190</v>
      </c>
      <c r="I2504" s="133"/>
      <c r="J2504" s="133"/>
      <c r="K2504" s="133"/>
      <c r="L2504" s="133"/>
      <c r="M2504" s="133"/>
      <c r="N2504" s="133"/>
      <c r="O2504" s="133"/>
      <c r="P2504" s="133"/>
      <c r="Q2504" s="133"/>
      <c r="R2504" s="133"/>
      <c r="S2504" s="133"/>
      <c r="T2504" s="133"/>
      <c r="U2504" s="133"/>
      <c r="V2504" s="133"/>
      <c r="W2504" s="133"/>
      <c r="X2504" s="133"/>
      <c r="Y2504" s="133"/>
      <c r="Z2504" s="133"/>
    </row>
    <row r="2505">
      <c r="A2505" s="133"/>
      <c r="B2505" s="133"/>
      <c r="C2505" s="133" t="str">
        <f>IFERROR(__xludf.DUMMYFUNCTION("""COMPUTED_VALUE"""),"2025-153115")</f>
        <v>2025-153115</v>
      </c>
      <c r="D2505" s="133"/>
      <c r="E2505" s="133" t="str">
        <f>IFERROR(__xludf.DUMMYFUNCTION("""COMPUTED_VALUE"""),"مكتمل")</f>
        <v>مكتمل</v>
      </c>
      <c r="F2505" s="133" t="str">
        <f>IFERROR(__xludf.DUMMYFUNCTION("""COMPUTED_VALUE"""),"Dr clauder Best Selection Adult No 10 85g 200g")</f>
        <v>Dr clauder Best Selection Adult No 10 85g 200g</v>
      </c>
      <c r="G2505" s="133"/>
      <c r="H2505" s="133" t="str">
        <f>IFERROR(__xludf.DUMMYFUNCTION("""COMPUTED_VALUE"""),"FEM-25-3421-FEP-2025-3326-C-22548-2191")</f>
        <v>FEM-25-3421-FEP-2025-3326-C-22548-2191</v>
      </c>
      <c r="I2505" s="133"/>
      <c r="J2505" s="133"/>
      <c r="K2505" s="133"/>
      <c r="L2505" s="133"/>
      <c r="M2505" s="133"/>
      <c r="N2505" s="133"/>
      <c r="O2505" s="133"/>
      <c r="P2505" s="133"/>
      <c r="Q2505" s="133"/>
      <c r="R2505" s="133"/>
      <c r="S2505" s="133"/>
      <c r="T2505" s="133"/>
      <c r="U2505" s="133"/>
      <c r="V2505" s="133"/>
      <c r="W2505" s="133"/>
      <c r="X2505" s="133"/>
      <c r="Y2505" s="133"/>
      <c r="Z2505" s="133"/>
    </row>
    <row r="2506">
      <c r="A2506" s="133"/>
      <c r="B2506" s="133"/>
      <c r="C2506" s="133" t="str">
        <f>IFERROR(__xludf.DUMMYFUNCTION("""COMPUTED_VALUE"""),"2025-153126")</f>
        <v>2025-153126</v>
      </c>
      <c r="D2506" s="133"/>
      <c r="E2506" s="133" t="str">
        <f>IFERROR(__xludf.DUMMYFUNCTION("""COMPUTED_VALUE"""),"مكتمل")</f>
        <v>مكتمل</v>
      </c>
      <c r="F2506" s="133" t="str">
        <f>IFERROR(__xludf.DUMMYFUNCTION("""COMPUTED_VALUE"""),"Dr clauder Best Selection Sterilised No 30 85g")</f>
        <v>Dr clauder Best Selection Sterilised No 30 85g</v>
      </c>
      <c r="G2506" s="133"/>
      <c r="H2506" s="133" t="str">
        <f>IFERROR(__xludf.DUMMYFUNCTION("""COMPUTED_VALUE"""),"FEM-25-3424-FEP-2025-3327-C-22548-2193")</f>
        <v>FEM-25-3424-FEP-2025-3327-C-22548-2193</v>
      </c>
      <c r="I2506" s="133"/>
      <c r="J2506" s="133"/>
      <c r="K2506" s="133"/>
      <c r="L2506" s="133"/>
      <c r="M2506" s="133"/>
      <c r="N2506" s="133"/>
      <c r="O2506" s="133"/>
      <c r="P2506" s="133"/>
      <c r="Q2506" s="133"/>
      <c r="R2506" s="133"/>
      <c r="S2506" s="133"/>
      <c r="T2506" s="133"/>
      <c r="U2506" s="133"/>
      <c r="V2506" s="133"/>
      <c r="W2506" s="133"/>
      <c r="X2506" s="133"/>
      <c r="Y2506" s="133"/>
      <c r="Z2506" s="133"/>
    </row>
    <row r="2507">
      <c r="A2507" s="133"/>
      <c r="B2507" s="133"/>
      <c r="C2507" s="133" t="str">
        <f>IFERROR(__xludf.DUMMYFUNCTION("""COMPUTED_VALUE"""),"2025-153151")</f>
        <v>2025-153151</v>
      </c>
      <c r="D2507" s="133"/>
      <c r="E2507" s="133" t="str">
        <f>IFERROR(__xludf.DUMMYFUNCTION("""COMPUTED_VALUE"""),"مكتمل")</f>
        <v>مكتمل</v>
      </c>
      <c r="F2507" s="133" t="str">
        <f>IFERROR(__xludf.DUMMYFUNCTION("""COMPUTED_VALUE"""),"Dr clauder Best Selection Sterilised No 31 85g")</f>
        <v>Dr clauder Best Selection Sterilised No 31 85g</v>
      </c>
      <c r="G2507" s="133"/>
      <c r="H2507" s="133" t="str">
        <f>IFERROR(__xludf.DUMMYFUNCTION("""COMPUTED_VALUE"""),"FEM-25-3425-FEP-2025-3330-C-22548-2194")</f>
        <v>FEM-25-3425-FEP-2025-3330-C-22548-2194</v>
      </c>
      <c r="I2507" s="133"/>
      <c r="J2507" s="133"/>
      <c r="K2507" s="133"/>
      <c r="L2507" s="133"/>
      <c r="M2507" s="133"/>
      <c r="N2507" s="133"/>
      <c r="O2507" s="133"/>
      <c r="P2507" s="133"/>
      <c r="Q2507" s="133"/>
      <c r="R2507" s="133"/>
      <c r="S2507" s="133"/>
      <c r="T2507" s="133"/>
      <c r="U2507" s="133"/>
      <c r="V2507" s="133"/>
      <c r="W2507" s="133"/>
      <c r="X2507" s="133"/>
      <c r="Y2507" s="133"/>
      <c r="Z2507" s="133"/>
    </row>
    <row r="2508">
      <c r="A2508" s="133"/>
      <c r="B2508" s="133"/>
      <c r="C2508" s="133" t="str">
        <f>IFERROR(__xludf.DUMMYFUNCTION("""COMPUTED_VALUE"""),"2025-153168")</f>
        <v>2025-153168</v>
      </c>
      <c r="D2508" s="133"/>
      <c r="E2508" s="133" t="str">
        <f>IFERROR(__xludf.DUMMYFUNCTION("""COMPUTED_VALUE"""),"مكتمل")</f>
        <v>مكتمل</v>
      </c>
      <c r="F2508" s="133" t="str">
        <f>IFERROR(__xludf.DUMMYFUNCTION("""COMPUTED_VALUE"""),"Dr clauder Best Selection Sterilised No 32 85g")</f>
        <v>Dr clauder Best Selection Sterilised No 32 85g</v>
      </c>
      <c r="G2508" s="133"/>
      <c r="H2508" s="133" t="str">
        <f>IFERROR(__xludf.DUMMYFUNCTION("""COMPUTED_VALUE"""),"FEM-25-3426-FEP-2025-3331-C-22548-2192")</f>
        <v>FEM-25-3426-FEP-2025-3331-C-22548-2192</v>
      </c>
      <c r="I2508" s="133"/>
      <c r="J2508" s="133"/>
      <c r="K2508" s="133"/>
      <c r="L2508" s="133"/>
      <c r="M2508" s="133"/>
      <c r="N2508" s="133"/>
      <c r="O2508" s="133"/>
      <c r="P2508" s="133"/>
      <c r="Q2508" s="133"/>
      <c r="R2508" s="133"/>
      <c r="S2508" s="133"/>
      <c r="T2508" s="133"/>
      <c r="U2508" s="133"/>
      <c r="V2508" s="133"/>
      <c r="W2508" s="133"/>
      <c r="X2508" s="133"/>
      <c r="Y2508" s="133"/>
      <c r="Z2508" s="133"/>
    </row>
    <row r="2509">
      <c r="A2509" s="133"/>
      <c r="B2509" s="133"/>
      <c r="C2509" s="133" t="str">
        <f>IFERROR(__xludf.DUMMYFUNCTION("""COMPUTED_VALUE"""),"2025-153195")</f>
        <v>2025-153195</v>
      </c>
      <c r="D2509" s="133"/>
      <c r="E2509" s="133" t="str">
        <f>IFERROR(__xludf.DUMMYFUNCTION("""COMPUTED_VALUE"""),"مكتمل")</f>
        <v>مكتمل</v>
      </c>
      <c r="F2509" s="133" t="str">
        <f>IFERROR(__xludf.DUMMYFUNCTION("""COMPUTED_VALUE"""),"Dr clauder Best Selection Sterilised No 33 85g")</f>
        <v>Dr clauder Best Selection Sterilised No 33 85g</v>
      </c>
      <c r="G2509" s="133"/>
      <c r="H2509" s="133" t="str">
        <f>IFERROR(__xludf.DUMMYFUNCTION("""COMPUTED_VALUE"""),"
FEM-25-3427-FEP-2025-3332-C-22548-2069")</f>
        <v>
FEM-25-3427-FEP-2025-3332-C-22548-2069</v>
      </c>
      <c r="I2509" s="133"/>
      <c r="J2509" s="133"/>
      <c r="K2509" s="133"/>
      <c r="L2509" s="133"/>
      <c r="M2509" s="133"/>
      <c r="N2509" s="133"/>
      <c r="O2509" s="133"/>
      <c r="P2509" s="133"/>
      <c r="Q2509" s="133"/>
      <c r="R2509" s="133"/>
      <c r="S2509" s="133"/>
      <c r="T2509" s="133"/>
      <c r="U2509" s="133"/>
      <c r="V2509" s="133"/>
      <c r="W2509" s="133"/>
      <c r="X2509" s="133"/>
      <c r="Y2509" s="133"/>
      <c r="Z2509" s="133"/>
    </row>
    <row r="2510">
      <c r="A2510" s="133"/>
      <c r="B2510" s="133"/>
      <c r="C2510" s="133" t="str">
        <f>IFERROR(__xludf.DUMMYFUNCTION("""COMPUTED_VALUE"""),"2025-153210")</f>
        <v>2025-153210</v>
      </c>
      <c r="D2510" s="133"/>
      <c r="E2510" s="133" t="str">
        <f>IFERROR(__xludf.DUMMYFUNCTION("""COMPUTED_VALUE"""),"مكتمل")</f>
        <v>مكتمل</v>
      </c>
      <c r="F2510" s="133" t="str">
        <f>IFERROR(__xludf.DUMMYFUNCTION("""COMPUTED_VALUE"""),"Dr clauder Best Selection Sterilised No 34 85g")</f>
        <v>Dr clauder Best Selection Sterilised No 34 85g</v>
      </c>
      <c r="G2510" s="133"/>
      <c r="H2510" s="133" t="str">
        <f>IFERROR(__xludf.DUMMYFUNCTION("""COMPUTED_VALUE"""),"FEM-25-3429-FEP-2025-3333-C-22548-1887")</f>
        <v>FEM-25-3429-FEP-2025-3333-C-22548-1887</v>
      </c>
      <c r="I2510" s="133"/>
      <c r="J2510" s="133"/>
      <c r="K2510" s="133"/>
      <c r="L2510" s="133"/>
      <c r="M2510" s="133"/>
      <c r="N2510" s="133"/>
      <c r="O2510" s="133"/>
      <c r="P2510" s="133"/>
      <c r="Q2510" s="133"/>
      <c r="R2510" s="133"/>
      <c r="S2510" s="133"/>
      <c r="T2510" s="133"/>
      <c r="U2510" s="133"/>
      <c r="V2510" s="133"/>
      <c r="W2510" s="133"/>
      <c r="X2510" s="133"/>
      <c r="Y2510" s="133"/>
      <c r="Z2510" s="133"/>
    </row>
    <row r="2511">
      <c r="A2511" s="133"/>
      <c r="B2511" s="133"/>
      <c r="C2511" s="133" t="str">
        <f>IFERROR(__xludf.DUMMYFUNCTION("""COMPUTED_VALUE"""),"2025-157883")</f>
        <v>2025-157883</v>
      </c>
      <c r="D2511" s="133"/>
      <c r="E2511" s="133" t="str">
        <f>IFERROR(__xludf.DUMMYFUNCTION("""COMPUTED_VALUE"""),"مكتمل")</f>
        <v>مكتمل</v>
      </c>
      <c r="F2511" s="133" t="str">
        <f>IFERROR(__xludf.DUMMYFUNCTION("""COMPUTED_VALUE"""),"Dr clauder Selected Meat Poultry 100g")</f>
        <v>Dr clauder Selected Meat Poultry 100g</v>
      </c>
      <c r="G2511" s="133"/>
      <c r="H2511" s="133" t="str">
        <f>IFERROR(__xludf.DUMMYFUNCTION("""COMPUTED_VALUE"""),"FEM-25-3534-FEP-2025-3443-C-22548-2960")</f>
        <v>FEM-25-3534-FEP-2025-3443-C-22548-2960</v>
      </c>
      <c r="I2511" s="133"/>
      <c r="J2511" s="133"/>
      <c r="K2511" s="133"/>
      <c r="L2511" s="133"/>
      <c r="M2511" s="133"/>
      <c r="N2511" s="133"/>
      <c r="O2511" s="133"/>
      <c r="P2511" s="133"/>
      <c r="Q2511" s="133"/>
      <c r="R2511" s="133"/>
      <c r="S2511" s="133"/>
      <c r="T2511" s="133"/>
      <c r="U2511" s="133"/>
      <c r="V2511" s="133"/>
      <c r="W2511" s="133"/>
      <c r="X2511" s="133"/>
      <c r="Y2511" s="133"/>
      <c r="Z2511" s="133"/>
    </row>
    <row r="2512">
      <c r="A2512" s="133"/>
      <c r="B2512" s="133"/>
      <c r="C2512" s="133" t="str">
        <f>IFERROR(__xludf.DUMMYFUNCTION("""COMPUTED_VALUE"""),"2025-157942")</f>
        <v>2025-157942</v>
      </c>
      <c r="D2512" s="133"/>
      <c r="E2512" s="133" t="str">
        <f>IFERROR(__xludf.DUMMYFUNCTION("""COMPUTED_VALUE"""),"مكتمل")</f>
        <v>مكتمل</v>
      </c>
      <c r="F2512" s="133" t="str">
        <f>IFERROR(__xludf.DUMMYFUNCTION("""COMPUTED_VALUE"""),"Dr clauder Selected Meat Salmon &amp; Rice 100g")</f>
        <v>Dr clauder Selected Meat Salmon &amp; Rice 100g</v>
      </c>
      <c r="G2512" s="133"/>
      <c r="H2512" s="133" t="str">
        <f>IFERROR(__xludf.DUMMYFUNCTION("""COMPUTED_VALUE"""),"FEM-25-3536-FEP-2025-3445-C-22548-2959
")</f>
        <v>FEM-25-3536-FEP-2025-3445-C-22548-2959
</v>
      </c>
      <c r="I2512" s="133"/>
      <c r="J2512" s="133"/>
      <c r="K2512" s="133"/>
      <c r="L2512" s="133"/>
      <c r="M2512" s="133"/>
      <c r="N2512" s="133"/>
      <c r="O2512" s="133"/>
      <c r="P2512" s="133"/>
      <c r="Q2512" s="133"/>
      <c r="R2512" s="133"/>
      <c r="S2512" s="133"/>
      <c r="T2512" s="133"/>
      <c r="U2512" s="133"/>
      <c r="V2512" s="133"/>
      <c r="W2512" s="133"/>
      <c r="X2512" s="133"/>
      <c r="Y2512" s="133"/>
      <c r="Z2512" s="133"/>
    </row>
    <row r="2513">
      <c r="A2513" s="133"/>
      <c r="B2513" s="133"/>
      <c r="C2513" s="133" t="str">
        <f>IFERROR(__xludf.DUMMYFUNCTION("""COMPUTED_VALUE"""),"2025-157949")</f>
        <v>2025-157949</v>
      </c>
      <c r="D2513" s="133"/>
      <c r="E2513" s="133" t="str">
        <f>IFERROR(__xludf.DUMMYFUNCTION("""COMPUTED_VALUE"""),"مكتمل")</f>
        <v>مكتمل</v>
      </c>
      <c r="F2513" s="133" t="str">
        <f>IFERROR(__xludf.DUMMYFUNCTION("""COMPUTED_VALUE"""),"Dr clauder BARF Salmonoil traditional 250ml")</f>
        <v>Dr clauder BARF Salmonoil traditional 250ml</v>
      </c>
      <c r="G2513" s="133"/>
      <c r="H2513" s="133" t="str">
        <f>IFERROR(__xludf.DUMMYFUNCTION("""COMPUTED_VALUE"""),"FEM-25-3538-FEP-2025-3447-C-22548-2958")</f>
        <v>FEM-25-3538-FEP-2025-3447-C-22548-2958</v>
      </c>
      <c r="I2513" s="133"/>
      <c r="J2513" s="133"/>
      <c r="K2513" s="133"/>
      <c r="L2513" s="133"/>
      <c r="M2513" s="133"/>
      <c r="N2513" s="133"/>
      <c r="O2513" s="133"/>
      <c r="P2513" s="133"/>
      <c r="Q2513" s="133"/>
      <c r="R2513" s="133"/>
      <c r="S2513" s="133"/>
      <c r="T2513" s="133"/>
      <c r="U2513" s="133"/>
      <c r="V2513" s="133"/>
      <c r="W2513" s="133"/>
      <c r="X2513" s="133"/>
      <c r="Y2513" s="133"/>
      <c r="Z2513" s="133"/>
    </row>
    <row r="2514">
      <c r="A2514" s="133"/>
      <c r="B2514" s="133"/>
      <c r="C2514" s="133" t="str">
        <f>IFERROR(__xludf.DUMMYFUNCTION("""COMPUTED_VALUE"""),"2025-158117")</f>
        <v>2025-158117</v>
      </c>
      <c r="D2514" s="133"/>
      <c r="E2514" s="133" t="str">
        <f>IFERROR(__xludf.DUMMYFUNCTION("""COMPUTED_VALUE"""),"مكتمل")</f>
        <v>مكتمل</v>
      </c>
      <c r="F2514" s="133" t="str">
        <f>IFERROR(__xludf.DUMMYFUNCTION("""COMPUTED_VALUE"""),"Dr clauder Selected Meat Beef 200g")</f>
        <v>Dr clauder Selected Meat Beef 200g</v>
      </c>
      <c r="G2514" s="133"/>
      <c r="H2514" s="133" t="str">
        <f>IFERROR(__xludf.DUMMYFUNCTION("""COMPUTED_VALUE"""),"FEM-25-3545-FEP-2025-3455-C-22548-2957
")</f>
        <v>FEM-25-3545-FEP-2025-3455-C-22548-2957
</v>
      </c>
      <c r="I2514" s="133"/>
      <c r="J2514" s="133"/>
      <c r="K2514" s="133"/>
      <c r="L2514" s="133"/>
      <c r="M2514" s="133"/>
      <c r="N2514" s="133"/>
      <c r="O2514" s="133"/>
      <c r="P2514" s="133"/>
      <c r="Q2514" s="133"/>
      <c r="R2514" s="133"/>
      <c r="S2514" s="133"/>
      <c r="T2514" s="133"/>
      <c r="U2514" s="133"/>
      <c r="V2514" s="133"/>
      <c r="W2514" s="133"/>
      <c r="X2514" s="133"/>
      <c r="Y2514" s="133"/>
      <c r="Z2514" s="133"/>
    </row>
    <row r="2515">
      <c r="A2515" s="133"/>
      <c r="B2515" s="133"/>
      <c r="C2515" s="133" t="str">
        <f>IFERROR(__xludf.DUMMYFUNCTION("""COMPUTED_VALUE"""),"2025-158130")</f>
        <v>2025-158130</v>
      </c>
      <c r="D2515" s="133"/>
      <c r="E2515" s="133" t="str">
        <f>IFERROR(__xludf.DUMMYFUNCTION("""COMPUTED_VALUE"""),"مكتمل ")</f>
        <v>مكتمل </v>
      </c>
      <c r="F2515" s="133" t="str">
        <f>IFERROR(__xludf.DUMMYFUNCTION("""COMPUTED_VALUE"""),"Dr clauder Selected Meat Lamb &amp; Apple 200g")</f>
        <v>Dr clauder Selected Meat Lamb &amp; Apple 200g</v>
      </c>
      <c r="G2515" s="133"/>
      <c r="H2515" s="133" t="str">
        <f>IFERROR(__xludf.DUMMYFUNCTION("""COMPUTED_VALUE"""),"FEM-25-3546-FEP-2025-3457-C-22548-4792
")</f>
        <v>FEM-25-3546-FEP-2025-3457-C-22548-4792
</v>
      </c>
      <c r="I2515" s="133"/>
      <c r="J2515" s="133"/>
      <c r="K2515" s="133"/>
      <c r="L2515" s="133"/>
      <c r="M2515" s="133"/>
      <c r="N2515" s="133"/>
      <c r="O2515" s="133"/>
      <c r="P2515" s="133"/>
      <c r="Q2515" s="133"/>
      <c r="R2515" s="133"/>
      <c r="S2515" s="133"/>
      <c r="T2515" s="133"/>
      <c r="U2515" s="133"/>
      <c r="V2515" s="133"/>
      <c r="W2515" s="133"/>
      <c r="X2515" s="133"/>
      <c r="Y2515" s="133"/>
      <c r="Z2515" s="133"/>
    </row>
    <row r="2516">
      <c r="A2516" s="133"/>
      <c r="B2516" s="133"/>
      <c r="C2516" s="133" t="str">
        <f>IFERROR(__xludf.DUMMYFUNCTION("""COMPUTED_VALUE"""),"2025-158143")</f>
        <v>2025-158143</v>
      </c>
      <c r="D2516" s="133"/>
      <c r="E2516" s="133" t="str">
        <f>IFERROR(__xludf.DUMMYFUNCTION("""COMPUTED_VALUE"""),"مكتمل")</f>
        <v>مكتمل</v>
      </c>
      <c r="F2516" s="133" t="str">
        <f>IFERROR(__xludf.DUMMYFUNCTION("""COMPUTED_VALUE"""),"Dr clauder Diet FSD Fur &amp; Skin 200g")</f>
        <v>Dr clauder Diet FSD Fur &amp; Skin 200g</v>
      </c>
      <c r="G2516" s="133"/>
      <c r="H2516" s="133" t="str">
        <f>IFERROR(__xludf.DUMMYFUNCTION("""COMPUTED_VALUE"""),"FEM-25-3547-FEP-2025-3458-C-22548-2956
")</f>
        <v>FEM-25-3547-FEP-2025-3458-C-22548-2956
</v>
      </c>
      <c r="I2516" s="133"/>
      <c r="J2516" s="133"/>
      <c r="K2516" s="133"/>
      <c r="L2516" s="133"/>
      <c r="M2516" s="133"/>
      <c r="N2516" s="133"/>
      <c r="O2516" s="133"/>
      <c r="P2516" s="133"/>
      <c r="Q2516" s="133"/>
      <c r="R2516" s="133"/>
      <c r="S2516" s="133"/>
      <c r="T2516" s="133"/>
      <c r="U2516" s="133"/>
      <c r="V2516" s="133"/>
      <c r="W2516" s="133"/>
      <c r="X2516" s="133"/>
      <c r="Y2516" s="133"/>
      <c r="Z2516" s="133"/>
    </row>
    <row r="2517">
      <c r="A2517" s="133"/>
      <c r="B2517" s="133"/>
      <c r="C2517" s="133" t="str">
        <f>IFERROR(__xludf.DUMMYFUNCTION("""COMPUTED_VALUE"""),"2025-158160")</f>
        <v>2025-158160</v>
      </c>
      <c r="D2517" s="133"/>
      <c r="E2517" s="133" t="str">
        <f>IFERROR(__xludf.DUMMYFUNCTION("""COMPUTED_VALUE"""),"مكتمل")</f>
        <v>مكتمل</v>
      </c>
      <c r="F2517" s="133" t="str">
        <f>IFERROR(__xludf.DUMMYFUNCTION("""COMPUTED_VALUE"""),"Dr clauder BARF Calcium / Phosphor 450g")</f>
        <v>Dr clauder BARF Calcium / Phosphor 450g</v>
      </c>
      <c r="G2517" s="133"/>
      <c r="H2517" s="133" t="str">
        <f>IFERROR(__xludf.DUMMYFUNCTION("""COMPUTED_VALUE"""),"FEM-25-3550-FEP-2025-3460-C-22548-2955
")</f>
        <v>FEM-25-3550-FEP-2025-3460-C-22548-2955
</v>
      </c>
      <c r="I2517" s="133"/>
      <c r="J2517" s="133"/>
      <c r="K2517" s="133"/>
      <c r="L2517" s="133"/>
      <c r="M2517" s="133"/>
      <c r="N2517" s="133"/>
      <c r="O2517" s="133"/>
      <c r="P2517" s="133"/>
      <c r="Q2517" s="133"/>
      <c r="R2517" s="133"/>
      <c r="S2517" s="133"/>
      <c r="T2517" s="133"/>
      <c r="U2517" s="133"/>
      <c r="V2517" s="133"/>
      <c r="W2517" s="133"/>
      <c r="X2517" s="133"/>
      <c r="Y2517" s="133"/>
      <c r="Z2517" s="133"/>
    </row>
    <row r="2518">
      <c r="A2518" s="133"/>
      <c r="B2518" s="133"/>
      <c r="C2518" s="133" t="str">
        <f>IFERROR(__xludf.DUMMYFUNCTION("""COMPUTED_VALUE"""),"2025-159083")</f>
        <v>2025-159083</v>
      </c>
      <c r="D2518" s="133"/>
      <c r="E2518" s="133" t="str">
        <f>IFERROR(__xludf.DUMMYFUNCTION("""COMPUTED_VALUE"""),"مكتمل")</f>
        <v>مكتمل</v>
      </c>
      <c r="F2518" s="133" t="str">
        <f>IFERROR(__xludf.DUMMYFUNCTION("""COMPUTED_VALUE"""),"Dr clauder Trainee Snack Cheese 80g")</f>
        <v>Dr clauder Trainee Snack Cheese 80g</v>
      </c>
      <c r="G2518" s="133"/>
      <c r="H2518" s="133" t="str">
        <f>IFERROR(__xludf.DUMMYFUNCTION("""COMPUTED_VALUE"""),"FEM-25-3575-FEP-2025-3488-C-22548-2311
")</f>
        <v>FEM-25-3575-FEP-2025-3488-C-22548-2311
</v>
      </c>
      <c r="I2518" s="133"/>
      <c r="J2518" s="133"/>
      <c r="K2518" s="133"/>
      <c r="L2518" s="133"/>
      <c r="M2518" s="133"/>
      <c r="N2518" s="133"/>
      <c r="O2518" s="133"/>
      <c r="P2518" s="133"/>
      <c r="Q2518" s="133"/>
      <c r="R2518" s="133"/>
      <c r="S2518" s="133"/>
      <c r="T2518" s="133"/>
      <c r="U2518" s="133"/>
      <c r="V2518" s="133"/>
      <c r="W2518" s="133"/>
      <c r="X2518" s="133"/>
      <c r="Y2518" s="133"/>
      <c r="Z2518" s="133"/>
    </row>
    <row r="2519">
      <c r="A2519" s="133"/>
      <c r="B2519" s="133"/>
      <c r="C2519" s="133" t="str">
        <f>IFERROR(__xludf.DUMMYFUNCTION("""COMPUTED_VALUE"""),"2025-159103")</f>
        <v>2025-159103</v>
      </c>
      <c r="D2519" s="133"/>
      <c r="E2519" s="133" t="str">
        <f>IFERROR(__xludf.DUMMYFUNCTION("""COMPUTED_VALUE"""),"مكتمل")</f>
        <v>مكتمل</v>
      </c>
      <c r="F2519" s="133" t="str">
        <f>IFERROR(__xludf.DUMMYFUNCTION("""COMPUTED_VALUE"""),"Dr clauder Basic Nature Vollcost Croc 20kg")</f>
        <v>Dr clauder Basic Nature Vollcost Croc 20kg</v>
      </c>
      <c r="G2519" s="133"/>
      <c r="H2519" s="133" t="str">
        <f>IFERROR(__xludf.DUMMYFUNCTION("""COMPUTED_VALUE"""),"FEM-25-3576-FEP-2025-3489-C-22548-2310
")</f>
        <v>FEM-25-3576-FEP-2025-3489-C-22548-2310
</v>
      </c>
      <c r="I2519" s="133"/>
      <c r="J2519" s="133"/>
      <c r="K2519" s="133"/>
      <c r="L2519" s="133"/>
      <c r="M2519" s="133"/>
      <c r="N2519" s="133"/>
      <c r="O2519" s="133"/>
      <c r="P2519" s="133"/>
      <c r="Q2519" s="133"/>
      <c r="R2519" s="133"/>
      <c r="S2519" s="133"/>
      <c r="T2519" s="133"/>
      <c r="U2519" s="133"/>
      <c r="V2519" s="133"/>
      <c r="W2519" s="133"/>
      <c r="X2519" s="133"/>
      <c r="Y2519" s="133"/>
      <c r="Z2519" s="133"/>
    </row>
    <row r="2520">
      <c r="A2520" s="133"/>
      <c r="B2520" s="133"/>
      <c r="C2520" s="133" t="str">
        <f>IFERROR(__xludf.DUMMYFUNCTION("""COMPUTED_VALUE"""),"2025-159163")</f>
        <v>2025-159163</v>
      </c>
      <c r="D2520" s="133"/>
      <c r="E2520" s="133" t="str">
        <f>IFERROR(__xludf.DUMMYFUNCTION("""COMPUTED_VALUE"""),"مكتمل")</f>
        <v>مكتمل</v>
      </c>
      <c r="F2520" s="133" t="str">
        <f>IFERROR(__xludf.DUMMYFUNCTION("""COMPUTED_VALUE"""),"Dr clauder Basic Nature Energy 20kg")</f>
        <v>Dr clauder Basic Nature Energy 20kg</v>
      </c>
      <c r="G2520" s="133"/>
      <c r="H2520" s="133" t="str">
        <f>IFERROR(__xludf.DUMMYFUNCTION("""COMPUTED_VALUE"""),"FEM-25-3578-FEP-2025-3491-C-22548-2309
")</f>
        <v>FEM-25-3578-FEP-2025-3491-C-22548-2309
</v>
      </c>
      <c r="I2520" s="133"/>
      <c r="J2520" s="133"/>
      <c r="K2520" s="133"/>
      <c r="L2520" s="133"/>
      <c r="M2520" s="133"/>
      <c r="N2520" s="133"/>
      <c r="O2520" s="133"/>
      <c r="P2520" s="133"/>
      <c r="Q2520" s="133"/>
      <c r="R2520" s="133"/>
      <c r="S2520" s="133"/>
      <c r="T2520" s="133"/>
      <c r="U2520" s="133"/>
      <c r="V2520" s="133"/>
      <c r="W2520" s="133"/>
      <c r="X2520" s="133"/>
      <c r="Y2520" s="133"/>
      <c r="Z2520" s="133"/>
    </row>
    <row r="2521">
      <c r="A2521" s="133"/>
      <c r="B2521" s="133"/>
      <c r="C2521" s="133" t="str">
        <f>IFERROR(__xludf.DUMMYFUNCTION("""COMPUTED_VALUE"""),"2025-159185")</f>
        <v>2025-159185</v>
      </c>
      <c r="D2521" s="133"/>
      <c r="E2521" s="133" t="str">
        <f>IFERROR(__xludf.DUMMYFUNCTION("""COMPUTED_VALUE"""),"مكتمل")</f>
        <v>مكتمل</v>
      </c>
      <c r="F2521" s="133" t="str">
        <f>IFERROR(__xludf.DUMMYFUNCTION("""COMPUTED_VALUE"""),"Dr clauder Snack IT Multivitamin Creme 100g")</f>
        <v>Dr clauder Snack IT Multivitamin Creme 100g</v>
      </c>
      <c r="G2521" s="133"/>
      <c r="H2521" s="133" t="str">
        <f>IFERROR(__xludf.DUMMYFUNCTION("""COMPUTED_VALUE"""),"FEM-25-3579-FEP-2025-3492-C-22548-2308
")</f>
        <v>FEM-25-3579-FEP-2025-3492-C-22548-2308
</v>
      </c>
      <c r="I2521" s="133"/>
      <c r="J2521" s="133"/>
      <c r="K2521" s="133"/>
      <c r="L2521" s="133"/>
      <c r="M2521" s="133"/>
      <c r="N2521" s="133"/>
      <c r="O2521" s="133"/>
      <c r="P2521" s="133"/>
      <c r="Q2521" s="133"/>
      <c r="R2521" s="133"/>
      <c r="S2521" s="133"/>
      <c r="T2521" s="133"/>
      <c r="U2521" s="133"/>
      <c r="V2521" s="133"/>
      <c r="W2521" s="133"/>
      <c r="X2521" s="133"/>
      <c r="Y2521" s="133"/>
      <c r="Z2521" s="133"/>
    </row>
    <row r="2522">
      <c r="A2522" s="133"/>
      <c r="B2522" s="133"/>
      <c r="C2522" s="133" t="str">
        <f>IFERROR(__xludf.DUMMYFUNCTION("""COMPUTED_VALUE"""),"2025-159217")</f>
        <v>2025-159217</v>
      </c>
      <c r="D2522" s="133"/>
      <c r="E2522" s="133" t="str">
        <f>IFERROR(__xludf.DUMMYFUNCTION("""COMPUTED_VALUE"""),"مكتمل")</f>
        <v>مكتمل</v>
      </c>
      <c r="F2522" s="133" t="str">
        <f>IFERROR(__xludf.DUMMYFUNCTION("""COMPUTED_VALUE"""),"Dr clauder Snack IT Cheese Creme 100g")</f>
        <v>Dr clauder Snack IT Cheese Creme 100g</v>
      </c>
      <c r="G2522" s="133"/>
      <c r="H2522" s="133" t="str">
        <f>IFERROR(__xludf.DUMMYFUNCTION("""COMPUTED_VALUE"""),"FEM-25-3580-FEP-2025-3493-C-22548-2307
")</f>
        <v>FEM-25-3580-FEP-2025-3493-C-22548-2307
</v>
      </c>
      <c r="I2522" s="133"/>
      <c r="J2522" s="133"/>
      <c r="K2522" s="133"/>
      <c r="L2522" s="133"/>
      <c r="M2522" s="133"/>
      <c r="N2522" s="133"/>
      <c r="O2522" s="133"/>
      <c r="P2522" s="133"/>
      <c r="Q2522" s="133"/>
      <c r="R2522" s="133"/>
      <c r="S2522" s="133"/>
      <c r="T2522" s="133"/>
      <c r="U2522" s="133"/>
      <c r="V2522" s="133"/>
      <c r="W2522" s="133"/>
      <c r="X2522" s="133"/>
      <c r="Y2522" s="133"/>
      <c r="Z2522" s="133"/>
    </row>
    <row r="2523">
      <c r="A2523" s="133"/>
      <c r="B2523" s="133"/>
      <c r="C2523" s="133" t="str">
        <f>IFERROR(__xludf.DUMMYFUNCTION("""COMPUTED_VALUE"""),"2025-159273")</f>
        <v>2025-159273</v>
      </c>
      <c r="D2523" s="133"/>
      <c r="E2523" s="133" t="str">
        <f>IFERROR(__xludf.DUMMYFUNCTION("""COMPUTED_VALUE"""),"مكتمل")</f>
        <v>مكتمل</v>
      </c>
      <c r="F2523" s="133" t="str">
        <f>IFERROR(__xludf.DUMMYFUNCTION("""COMPUTED_VALUE"""),"Dr clauder Snack IT Salmon Creme 100g")</f>
        <v>Dr clauder Snack IT Salmon Creme 100g</v>
      </c>
      <c r="G2523" s="133"/>
      <c r="H2523" s="133" t="str">
        <f>IFERROR(__xludf.DUMMYFUNCTION("""COMPUTED_VALUE"""),"FEM-25-3582-FEP-2025-3495-C-22548-2312
")</f>
        <v>FEM-25-3582-FEP-2025-3495-C-22548-2312
</v>
      </c>
      <c r="I2523" s="133"/>
      <c r="J2523" s="133"/>
      <c r="K2523" s="133"/>
      <c r="L2523" s="133"/>
      <c r="M2523" s="133"/>
      <c r="N2523" s="133"/>
      <c r="O2523" s="133"/>
      <c r="P2523" s="133"/>
      <c r="Q2523" s="133"/>
      <c r="R2523" s="133"/>
      <c r="S2523" s="133"/>
      <c r="T2523" s="133"/>
      <c r="U2523" s="133"/>
      <c r="V2523" s="133"/>
      <c r="W2523" s="133"/>
      <c r="X2523" s="133"/>
      <c r="Y2523" s="133"/>
      <c r="Z2523" s="133"/>
    </row>
    <row r="2524">
      <c r="A2524" s="133"/>
      <c r="B2524" s="133"/>
      <c r="C2524" s="133" t="str">
        <f>IFERROR(__xludf.DUMMYFUNCTION("""COMPUTED_VALUE"""),"2025-16429
")</f>
        <v>2025-16429
</v>
      </c>
      <c r="D2524" s="133"/>
      <c r="E2524" s="133" t="str">
        <f>IFERROR(__xludf.DUMMYFUNCTION("""COMPUTED_VALUE"""),"مكتمل")</f>
        <v>مكتمل</v>
      </c>
      <c r="F2524" s="133" t="str">
        <f>IFERROR(__xludf.DUMMYFUNCTION("""COMPUTED_VALUE"""),"NATURAL CODE ST ERIL 05 T UNA AND SEA BASS")</f>
        <v>NATURAL CODE ST ERIL 05 T UNA AND SEA BASS</v>
      </c>
      <c r="G2524" s="133" t="str">
        <f>IFERROR(__xludf.DUMMYFUNCTION("""COMPUTED_VALUE"""),"ناتشرال كود ستيريل 05 تونة و سمك القاروص
")</f>
        <v>ناتشرال كود ستيريل 05 تونة و سمك القاروص
</v>
      </c>
      <c r="H2524" s="133" t="str">
        <f>IFERROR(__xludf.DUMMYFUNCTION("""COMPUTED_VALUE"""),"FEM-25-0335-FEP-2025-0358-C-22548-0333
")</f>
        <v>FEM-25-0335-FEP-2025-0358-C-22548-0333
</v>
      </c>
      <c r="I2524" s="133"/>
      <c r="J2524" s="133"/>
      <c r="K2524" s="133"/>
      <c r="L2524" s="133"/>
      <c r="M2524" s="133"/>
      <c r="N2524" s="133"/>
      <c r="O2524" s="133"/>
      <c r="P2524" s="133"/>
      <c r="Q2524" s="133"/>
      <c r="R2524" s="133"/>
      <c r="S2524" s="133"/>
      <c r="T2524" s="133"/>
      <c r="U2524" s="133"/>
      <c r="V2524" s="133"/>
      <c r="W2524" s="133"/>
      <c r="X2524" s="133"/>
      <c r="Y2524" s="133"/>
      <c r="Z2524" s="133"/>
    </row>
    <row r="2525">
      <c r="A2525" s="133"/>
      <c r="B2525" s="133"/>
      <c r="C2525" s="133" t="str">
        <f>IFERROR(__xludf.DUMMYFUNCTION("""COMPUTED_VALUE"""),"2025-16481
")</f>
        <v>2025-16481
</v>
      </c>
      <c r="D2525" s="133"/>
      <c r="E2525" s="133" t="str">
        <f>IFERROR(__xludf.DUMMYFUNCTION("""COMPUTED_VALUE"""),"مكتمل")</f>
        <v>مكتمل</v>
      </c>
      <c r="F2525" s="133" t="str">
        <f>IFERROR(__xludf.DUMMYFUNCTION("""COMPUTED_VALUE"""),"NATURAL CODE LAMB AND POTATOES")</f>
        <v>NATURAL CODE LAMB AND POTATOES</v>
      </c>
      <c r="G2525" s="133" t="str">
        <f>IFERROR(__xludf.DUMMYFUNCTION("""COMPUTED_VALUE"""),"ناتشرال كود - لحم الضأن والبطاطا
")</f>
        <v>ناتشرال كود - لحم الضأن والبطاطا
</v>
      </c>
      <c r="H2525" s="133" t="str">
        <f>IFERROR(__xludf.DUMMYFUNCTION("""COMPUTED_VALUE"""),"FEM-25-0343-FEP-2025-0404-C-22548-0334
")</f>
        <v>FEM-25-0343-FEP-2025-0404-C-22548-0334
</v>
      </c>
      <c r="I2525" s="133"/>
      <c r="J2525" s="133"/>
      <c r="K2525" s="133"/>
      <c r="L2525" s="133"/>
      <c r="M2525" s="133"/>
      <c r="N2525" s="133"/>
      <c r="O2525" s="133"/>
      <c r="P2525" s="133"/>
      <c r="Q2525" s="133"/>
      <c r="R2525" s="133"/>
      <c r="S2525" s="133"/>
      <c r="T2525" s="133"/>
      <c r="U2525" s="133"/>
      <c r="V2525" s="133"/>
      <c r="W2525" s="133"/>
      <c r="X2525" s="133"/>
      <c r="Y2525" s="133"/>
      <c r="Z2525" s="133"/>
    </row>
    <row r="2526">
      <c r="A2526" s="133"/>
      <c r="B2526" s="133"/>
      <c r="C2526" s="133" t="str">
        <f>IFERROR(__xludf.DUMMYFUNCTION("""COMPUTED_VALUE"""),"2025-16485
")</f>
        <v>2025-16485
</v>
      </c>
      <c r="D2526" s="133"/>
      <c r="E2526" s="133" t="str">
        <f>IFERROR(__xludf.DUMMYFUNCTION("""COMPUTED_VALUE"""),"مكتمل")</f>
        <v>مكتمل</v>
      </c>
      <c r="F2526" s="133" t="str">
        <f>IFERROR(__xludf.DUMMYFUNCTION("""COMPUTED_VALUE"""),"NATURAL CODE BEEF AND VEGETABLES
")</f>
        <v>NATURAL CODE BEEF AND VEGETABLES
</v>
      </c>
      <c r="G2526" s="133" t="str">
        <f>IFERROR(__xludf.DUMMYFUNCTION("""COMPUTED_VALUE"""),"ناتشرال كود - لحم البقر و الخضراوات
")</f>
        <v>ناتشرال كود - لحم البقر و الخضراوات
</v>
      </c>
      <c r="H2526" s="133" t="str">
        <f>IFERROR(__xludf.DUMMYFUNCTION("""COMPUTED_VALUE"""),"FEM-25-0344-FEP-2025-0405-C-22548-0335
")</f>
        <v>FEM-25-0344-FEP-2025-0405-C-22548-0335
</v>
      </c>
      <c r="I2526" s="133"/>
      <c r="J2526" s="133"/>
      <c r="K2526" s="133"/>
      <c r="L2526" s="133"/>
      <c r="M2526" s="133"/>
      <c r="N2526" s="133"/>
      <c r="O2526" s="133"/>
      <c r="P2526" s="133"/>
      <c r="Q2526" s="133"/>
      <c r="R2526" s="133"/>
      <c r="S2526" s="133"/>
      <c r="T2526" s="133"/>
      <c r="U2526" s="133"/>
      <c r="V2526" s="133"/>
      <c r="W2526" s="133"/>
      <c r="X2526" s="133"/>
      <c r="Y2526" s="133"/>
      <c r="Z2526" s="133"/>
    </row>
    <row r="2527">
      <c r="A2527" s="133"/>
      <c r="B2527" s="133"/>
      <c r="C2527" s="133" t="str">
        <f>IFERROR(__xludf.DUMMYFUNCTION("""COMPUTED_VALUE"""),"2025-16494
")</f>
        <v>2025-16494
</v>
      </c>
      <c r="D2527" s="133"/>
      <c r="E2527" s="133" t="str">
        <f>IFERROR(__xludf.DUMMYFUNCTION("""COMPUTED_VALUE"""),"مكتمل")</f>
        <v>مكتمل</v>
      </c>
      <c r="F2527" s="133" t="str">
        <f>IFERROR(__xludf.DUMMYFUNCTION("""COMPUTED_VALUE"""),"NATURAL CODE CHICKEN AND ASPARAGUSES")</f>
        <v>NATURAL CODE CHICKEN AND ASPARAGUSES</v>
      </c>
      <c r="G2527" s="133" t="str">
        <f>IFERROR(__xludf.DUMMYFUNCTION("""COMPUTED_VALUE"""),"ناتشرال كود دجاج وهليون
")</f>
        <v>ناتشرال كود دجاج وهليون
</v>
      </c>
      <c r="H2527" s="133" t="str">
        <f>IFERROR(__xludf.DUMMYFUNCTION("""COMPUTED_VALUE"""),"FEM-25-0347-FEP-2025-0444-C-22548-0336
")</f>
        <v>FEM-25-0347-FEP-2025-0444-C-22548-0336
</v>
      </c>
      <c r="I2527" s="133"/>
      <c r="J2527" s="133"/>
      <c r="K2527" s="133"/>
      <c r="L2527" s="133"/>
      <c r="M2527" s="133"/>
      <c r="N2527" s="133"/>
      <c r="O2527" s="133"/>
      <c r="P2527" s="133"/>
      <c r="Q2527" s="133"/>
      <c r="R2527" s="133"/>
      <c r="S2527" s="133"/>
      <c r="T2527" s="133"/>
      <c r="U2527" s="133"/>
      <c r="V2527" s="133"/>
      <c r="W2527" s="133"/>
      <c r="X2527" s="133"/>
      <c r="Y2527" s="133"/>
      <c r="Z2527" s="133"/>
    </row>
    <row r="2528">
      <c r="A2528" s="133"/>
      <c r="B2528" s="133"/>
      <c r="C2528" s="133" t="str">
        <f>IFERROR(__xludf.DUMMYFUNCTION("""COMPUTED_VALUE"""),"2025-20146
")</f>
        <v>2025-20146
</v>
      </c>
      <c r="D2528" s="133"/>
      <c r="E2528" s="133" t="str">
        <f>IFERROR(__xludf.DUMMYFUNCTION("""COMPUTED_VALUE"""),"مكتمل")</f>
        <v>مكتمل</v>
      </c>
      <c r="F2528" s="133" t="str">
        <f>IFERROR(__xludf.DUMMYFUNCTION("""COMPUTED_VALUE"""),"NATURAL CODE CHICKEN AND VEGET ABLES")</f>
        <v>NATURAL CODE CHICKEN AND VEGET ABLES</v>
      </c>
      <c r="G2528" s="133" t="str">
        <f>IFERROR(__xludf.DUMMYFUNCTION("""COMPUTED_VALUE"""),"ناتشرال كود الدجاج والخضروات
")</f>
        <v>ناتشرال كود الدجاج والخضروات
</v>
      </c>
      <c r="H2528" s="133" t="str">
        <f>IFERROR(__xludf.DUMMYFUNCTION("""COMPUTED_VALUE"""),"FEM-25-0459-FEP-2025-0440-C-22548-0373
")</f>
        <v>FEM-25-0459-FEP-2025-0440-C-22548-0373
</v>
      </c>
      <c r="I2528" s="133"/>
      <c r="J2528" s="133"/>
      <c r="K2528" s="133"/>
      <c r="L2528" s="133"/>
      <c r="M2528" s="133"/>
      <c r="N2528" s="133"/>
      <c r="O2528" s="133"/>
      <c r="P2528" s="133"/>
      <c r="Q2528" s="133"/>
      <c r="R2528" s="133"/>
      <c r="S2528" s="133"/>
      <c r="T2528" s="133"/>
      <c r="U2528" s="133"/>
      <c r="V2528" s="133"/>
      <c r="W2528" s="133"/>
      <c r="X2528" s="133"/>
      <c r="Y2528" s="133"/>
      <c r="Z2528" s="133"/>
    </row>
    <row r="2529">
      <c r="A2529" s="133"/>
      <c r="B2529" s="133"/>
      <c r="C2529" s="133" t="str">
        <f>IFERROR(__xludf.DUMMYFUNCTION("""COMPUTED_VALUE"""),"2025-20143
")</f>
        <v>2025-20143
</v>
      </c>
      <c r="D2529" s="133"/>
      <c r="E2529" s="133" t="str">
        <f>IFERROR(__xludf.DUMMYFUNCTION("""COMPUTED_VALUE"""),"مكتمل")</f>
        <v>مكتمل</v>
      </c>
      <c r="F2529" s="133" t="str">
        <f>IFERROR(__xludf.DUMMYFUNCTION("""COMPUTED_VALUE"""),"FEM-25-0459-FEP-2025-0440-C-22548-0373
")</f>
        <v>FEM-25-0459-FEP-2025-0440-C-22548-0373
</v>
      </c>
      <c r="G2529" s="133" t="str">
        <f>IFERROR(__xludf.DUMMYFUNCTION("""COMPUTED_VALUE"""),"  ناتشرال كود التونة والجمبري
")</f>
        <v>  ناتشرال كود التونة والجمبري
</v>
      </c>
      <c r="H2529" s="133" t="str">
        <f>IFERROR(__xludf.DUMMYFUNCTION("""COMPUTED_VALUE"""),"FEM-25-0458-FEP-2025-0442-C-22548-0374
")</f>
        <v>FEM-25-0458-FEP-2025-0442-C-22548-0374
</v>
      </c>
      <c r="I2529" s="133"/>
      <c r="J2529" s="133"/>
      <c r="K2529" s="133"/>
      <c r="L2529" s="133"/>
      <c r="M2529" s="133"/>
      <c r="N2529" s="133"/>
      <c r="O2529" s="133"/>
      <c r="P2529" s="133"/>
      <c r="Q2529" s="133"/>
      <c r="R2529" s="133"/>
      <c r="S2529" s="133"/>
      <c r="T2529" s="133"/>
      <c r="U2529" s="133"/>
      <c r="V2529" s="133"/>
      <c r="W2529" s="133"/>
      <c r="X2529" s="133"/>
      <c r="Y2529" s="133"/>
      <c r="Z2529" s="133"/>
    </row>
    <row r="2530">
      <c r="A2530" s="133"/>
      <c r="B2530" s="133"/>
      <c r="C2530" s="133" t="str">
        <f>IFERROR(__xludf.DUMMYFUNCTION("""COMPUTED_VALUE"""),"2025-20139
")</f>
        <v>2025-20139
</v>
      </c>
      <c r="D2530" s="133"/>
      <c r="E2530" s="133" t="str">
        <f>IFERROR(__xludf.DUMMYFUNCTION("""COMPUTED_VALUE"""),"مكتمل")</f>
        <v>مكتمل</v>
      </c>
      <c r="F2530" s="133" t="str">
        <f>IFERROR(__xludf.DUMMYFUNCTION("""COMPUTED_VALUE"""),"NATURAL CODE TUNA AND BEEF
")</f>
        <v>NATURAL CODE TUNA AND BEEF
</v>
      </c>
      <c r="G2530" s="133" t="str">
        <f>IFERROR(__xludf.DUMMYFUNCTION("""COMPUTED_VALUE"""),"ناتشرال كود تونة ولحم بقري
")</f>
        <v>ناتشرال كود تونة ولحم بقري
</v>
      </c>
      <c r="H2530" s="133" t="str">
        <f>IFERROR(__xludf.DUMMYFUNCTION("""COMPUTED_VALUE"""),"FEM-25-0457-FEP-2025-0842-C-22548-0381
")</f>
        <v>FEM-25-0457-FEP-2025-0842-C-22548-0381
</v>
      </c>
      <c r="I2530" s="133"/>
      <c r="J2530" s="133"/>
      <c r="K2530" s="133"/>
      <c r="L2530" s="133"/>
      <c r="M2530" s="133"/>
      <c r="N2530" s="133"/>
      <c r="O2530" s="133"/>
      <c r="P2530" s="133"/>
      <c r="Q2530" s="133"/>
      <c r="R2530" s="133"/>
      <c r="S2530" s="133"/>
      <c r="T2530" s="133"/>
      <c r="U2530" s="133"/>
      <c r="V2530" s="133"/>
      <c r="W2530" s="133"/>
      <c r="X2530" s="133"/>
      <c r="Y2530" s="133"/>
      <c r="Z2530" s="133"/>
    </row>
    <row r="2531">
      <c r="A2531" s="133"/>
      <c r="B2531" s="133"/>
      <c r="C2531" s="133" t="str">
        <f>IFERROR(__xludf.DUMMYFUNCTION("""COMPUTED_VALUE"""),"2025-25778
")</f>
        <v>2025-25778
</v>
      </c>
      <c r="D2531" s="133"/>
      <c r="E2531" s="133" t="str">
        <f>IFERROR(__xludf.DUMMYFUNCTION("""COMPUTED_VALUE"""),"مكتمل")</f>
        <v>مكتمل</v>
      </c>
      <c r="F2531" s="133" t="str">
        <f>IFERROR(__xludf.DUMMYFUNCTION("""COMPUTED_VALUE"""),"NATURAL CODE CHICKEN FILLETS
")</f>
        <v>NATURAL CODE CHICKEN FILLETS
</v>
      </c>
      <c r="G2531" s="133" t="str">
        <f>IFERROR(__xludf.DUMMYFUNCTION("""COMPUTED_VALUE"""),"ناتشرال كود فيليه الدجاج
")</f>
        <v>ناتشرال كود فيليه الدجاج
</v>
      </c>
      <c r="H2531" s="133" t="str">
        <f>IFERROR(__xludf.DUMMYFUNCTION("""COMPUTED_VALUE"""),"FEM-25-0657-FEP-2025-0680-C-22548-0494
")</f>
        <v>FEM-25-0657-FEP-2025-0680-C-22548-0494
</v>
      </c>
      <c r="I2531" s="133"/>
      <c r="J2531" s="133"/>
      <c r="K2531" s="133"/>
      <c r="L2531" s="133"/>
      <c r="M2531" s="133"/>
      <c r="N2531" s="133"/>
      <c r="O2531" s="133"/>
      <c r="P2531" s="133"/>
      <c r="Q2531" s="133"/>
      <c r="R2531" s="133"/>
      <c r="S2531" s="133"/>
      <c r="T2531" s="133"/>
      <c r="U2531" s="133"/>
      <c r="V2531" s="133"/>
      <c r="W2531" s="133"/>
      <c r="X2531" s="133"/>
      <c r="Y2531" s="133"/>
      <c r="Z2531" s="133"/>
    </row>
    <row r="2532">
      <c r="A2532" s="133"/>
      <c r="B2532" s="133"/>
      <c r="C2532" s="133" t="str">
        <f>IFERROR(__xludf.DUMMYFUNCTION("""COMPUTED_VALUE"""),"2025-25781
")</f>
        <v>2025-25781
</v>
      </c>
      <c r="D2532" s="133"/>
      <c r="E2532" s="133" t="str">
        <f>IFERROR(__xludf.DUMMYFUNCTION("""COMPUTED_VALUE"""),"مكتمل")</f>
        <v>مكتمل</v>
      </c>
      <c r="F2532" s="133" t="str">
        <f>IFERROR(__xludf.DUMMYFUNCTION("""COMPUTED_VALUE"""),"NATURAL CODE CHICKEN WITH SHRIMPS
")</f>
        <v>NATURAL CODE CHICKEN WITH SHRIMPS
</v>
      </c>
      <c r="G2532" s="133" t="str">
        <f>IFERROR(__xludf.DUMMYFUNCTION("""COMPUTED_VALUE"""),"ناتشرال كود الدجاج والجمبري
")</f>
        <v>ناتشرال كود الدجاج والجمبري
</v>
      </c>
      <c r="H2532" s="133" t="str">
        <f>IFERROR(__xludf.DUMMYFUNCTION("""COMPUTED_VALUE"""),"FEM-25-0658-FEP-2025-0681-C-22548-0497
")</f>
        <v>FEM-25-0658-FEP-2025-0681-C-22548-0497
</v>
      </c>
      <c r="I2532" s="133"/>
      <c r="J2532" s="133"/>
      <c r="K2532" s="133"/>
      <c r="L2532" s="133"/>
      <c r="M2532" s="133"/>
      <c r="N2532" s="133"/>
      <c r="O2532" s="133"/>
      <c r="P2532" s="133"/>
      <c r="Q2532" s="133"/>
      <c r="R2532" s="133"/>
      <c r="S2532" s="133"/>
      <c r="T2532" s="133"/>
      <c r="U2532" s="133"/>
      <c r="V2532" s="133"/>
      <c r="W2532" s="133"/>
      <c r="X2532" s="133"/>
      <c r="Y2532" s="133"/>
      <c r="Z2532" s="133"/>
    </row>
    <row r="2533">
      <c r="A2533" s="133"/>
      <c r="B2533" s="133"/>
      <c r="C2533" s="133" t="str">
        <f>IFERROR(__xludf.DUMMYFUNCTION("""COMPUTED_VALUE"""),"2025-25783
")</f>
        <v>2025-25783
</v>
      </c>
      <c r="D2533" s="133"/>
      <c r="E2533" s="133" t="str">
        <f>IFERROR(__xludf.DUMMYFUNCTION("""COMPUTED_VALUE"""),"مكتمل")</f>
        <v>مكتمل</v>
      </c>
      <c r="F2533" s="133" t="str">
        <f>IFERROR(__xludf.DUMMYFUNCTION("""COMPUTED_VALUE"""),"NATURAL CODE CHICKEN AND SALMON
")</f>
        <v>NATURAL CODE CHICKEN AND SALMON
</v>
      </c>
      <c r="G2533" s="133" t="str">
        <f>IFERROR(__xludf.DUMMYFUNCTION("""COMPUTED_VALUE"""),"ناتشرال كود الدجاج والسالمون
")</f>
        <v>ناتشرال كود الدجاج والسالمون
</v>
      </c>
      <c r="H2533" s="133" t="str">
        <f>IFERROR(__xludf.DUMMYFUNCTION("""COMPUTED_VALUE"""),"FEM-25-0659-FEP-2025-0682-C-22548-0498
")</f>
        <v>FEM-25-0659-FEP-2025-0682-C-22548-0498
</v>
      </c>
      <c r="I2533" s="133"/>
      <c r="J2533" s="133"/>
      <c r="K2533" s="133"/>
      <c r="L2533" s="133"/>
      <c r="M2533" s="133"/>
      <c r="N2533" s="133"/>
      <c r="O2533" s="133"/>
      <c r="P2533" s="133"/>
      <c r="Q2533" s="133"/>
      <c r="R2533" s="133"/>
      <c r="S2533" s="133"/>
      <c r="T2533" s="133"/>
      <c r="U2533" s="133"/>
      <c r="V2533" s="133"/>
      <c r="W2533" s="133"/>
      <c r="X2533" s="133"/>
      <c r="Y2533" s="133"/>
      <c r="Z2533" s="133"/>
    </row>
    <row r="2534">
      <c r="A2534" s="133"/>
      <c r="B2534" s="133"/>
      <c r="C2534" s="133" t="str">
        <f>IFERROR(__xludf.DUMMYFUNCTION("""COMPUTED_VALUE"""),"2025-25784
")</f>
        <v>2025-25784
</v>
      </c>
      <c r="D2534" s="133"/>
      <c r="E2534" s="133" t="str">
        <f>IFERROR(__xludf.DUMMYFUNCTION("""COMPUTED_VALUE"""),"مكتمل")</f>
        <v>مكتمل</v>
      </c>
      <c r="F2534" s="133" t="str">
        <f>IFERROR(__xludf.DUMMYFUNCTION("""COMPUTED_VALUE"""),"NATURAL CODE CHICKEN
")</f>
        <v>NATURAL CODE CHICKEN
</v>
      </c>
      <c r="G2534" s="133" t="str">
        <f>IFERROR(__xludf.DUMMYFUNCTION("""COMPUTED_VALUE"""),"ناتشرال كود دجاج
")</f>
        <v>ناتشرال كود دجاج
</v>
      </c>
      <c r="H2534" s="133" t="str">
        <f>IFERROR(__xludf.DUMMYFUNCTION("""COMPUTED_VALUE"""),"FEM-25-0660-FEP-2025-0685-C-22548-0499
")</f>
        <v>FEM-25-0660-FEP-2025-0685-C-22548-0499
</v>
      </c>
      <c r="I2534" s="133"/>
      <c r="J2534" s="133"/>
      <c r="K2534" s="133"/>
      <c r="L2534" s="133"/>
      <c r="M2534" s="133"/>
      <c r="N2534" s="133"/>
      <c r="O2534" s="133"/>
      <c r="P2534" s="133"/>
      <c r="Q2534" s="133"/>
      <c r="R2534" s="133"/>
      <c r="S2534" s="133"/>
      <c r="T2534" s="133"/>
      <c r="U2534" s="133"/>
      <c r="V2534" s="133"/>
      <c r="W2534" s="133"/>
      <c r="X2534" s="133"/>
      <c r="Y2534" s="133"/>
      <c r="Z2534" s="133"/>
    </row>
    <row r="2535">
      <c r="A2535" s="133"/>
      <c r="B2535" s="133"/>
      <c r="C2535" s="133" t="str">
        <f>IFERROR(__xludf.DUMMYFUNCTION("""COMPUTED_VALUE"""),"2025-25785
")</f>
        <v>2025-25785
</v>
      </c>
      <c r="D2535" s="133"/>
      <c r="E2535" s="133" t="str">
        <f>IFERROR(__xludf.DUMMYFUNCTION("""COMPUTED_VALUE"""),"مكتمل")</f>
        <v>مكتمل</v>
      </c>
      <c r="F2535" s="133" t="str">
        <f>IFERROR(__xludf.DUMMYFUNCTION("""COMPUTED_VALUE"""),"NATURAL CODE TUNA WITH PUMPKIN
")</f>
        <v>NATURAL CODE TUNA WITH PUMPKIN
</v>
      </c>
      <c r="G2535" s="133" t="str">
        <f>IFERROR(__xludf.DUMMYFUNCTION("""COMPUTED_VALUE"""),"ناتشرال كود تونا ويقطين
")</f>
        <v>ناتشرال كود تونا ويقطين
</v>
      </c>
      <c r="H2535" s="133" t="str">
        <f>IFERROR(__xludf.DUMMYFUNCTION("""COMPUTED_VALUE"""),"FEM-25-0662-FEP-2025-0687-C-22548-0500
")</f>
        <v>FEM-25-0662-FEP-2025-0687-C-22548-0500
</v>
      </c>
      <c r="I2535" s="133"/>
      <c r="J2535" s="133"/>
      <c r="K2535" s="133"/>
      <c r="L2535" s="133"/>
      <c r="M2535" s="133"/>
      <c r="N2535" s="133"/>
      <c r="O2535" s="133"/>
      <c r="P2535" s="133"/>
      <c r="Q2535" s="133"/>
      <c r="R2535" s="133"/>
      <c r="S2535" s="133"/>
      <c r="T2535" s="133"/>
      <c r="U2535" s="133"/>
      <c r="V2535" s="133"/>
      <c r="W2535" s="133"/>
      <c r="X2535" s="133"/>
      <c r="Y2535" s="133"/>
      <c r="Z2535" s="133"/>
    </row>
    <row r="2536">
      <c r="A2536" s="133"/>
      <c r="B2536" s="133"/>
      <c r="C2536" s="133" t="str">
        <f>IFERROR(__xludf.DUMMYFUNCTION("""COMPUTED_VALUE"""),"2025-25273
")</f>
        <v>2025-25273
</v>
      </c>
      <c r="D2536" s="133"/>
      <c r="E2536" s="133" t="str">
        <f>IFERROR(__xludf.DUMMYFUNCTION("""COMPUTED_VALUE"""),"مكتمل")</f>
        <v>مكتمل</v>
      </c>
      <c r="F2536" s="133" t="str">
        <f>IFERROR(__xludf.DUMMYFUNCTION("""COMPUTED_VALUE"""),"NATURAL CODE TUNA AND KIWI IN JELLY
")</f>
        <v>NATURAL CODE TUNA AND KIWI IN JELLY
</v>
      </c>
      <c r="G2536" s="133" t="str">
        <f>IFERROR(__xludf.DUMMYFUNCTION("""COMPUTED_VALUE"""),"ناتشرال كود التونة والكيوي في الجيلي
")</f>
        <v>ناتشرال كود التونة والكيوي في الجيلي
</v>
      </c>
      <c r="H2536" s="133" t="str">
        <f>IFERROR(__xludf.DUMMYFUNCTION("""COMPUTED_VALUE"""),"FEM-25-0629-FEP-2025-0643-C-22548-0526
")</f>
        <v>FEM-25-0629-FEP-2025-0643-C-22548-0526
</v>
      </c>
      <c r="I2536" s="133"/>
      <c r="J2536" s="133"/>
      <c r="K2536" s="133"/>
      <c r="L2536" s="133"/>
      <c r="M2536" s="133"/>
      <c r="N2536" s="133"/>
      <c r="O2536" s="133"/>
      <c r="P2536" s="133"/>
      <c r="Q2536" s="133"/>
      <c r="R2536" s="133"/>
      <c r="S2536" s="133"/>
      <c r="T2536" s="133"/>
      <c r="U2536" s="133"/>
      <c r="V2536" s="133"/>
      <c r="W2536" s="133"/>
      <c r="X2536" s="133"/>
      <c r="Y2536" s="133"/>
      <c r="Z2536" s="133"/>
    </row>
    <row r="2537">
      <c r="A2537" s="133"/>
      <c r="B2537" s="133"/>
      <c r="C2537" s="133" t="str">
        <f>IFERROR(__xludf.DUMMYFUNCTION("""COMPUTED_VALUE"""),"2025-25269
")</f>
        <v>2025-25269
</v>
      </c>
      <c r="D2537" s="133"/>
      <c r="E2537" s="133" t="str">
        <f>IFERROR(__xludf.DUMMYFUNCTION("""COMPUTED_VALUE"""),"مكتمل")</f>
        <v>مكتمل</v>
      </c>
      <c r="F2537" s="133" t="str">
        <f>IFERROR(__xludf.DUMMYFUNCTION("""COMPUTED_VALUE"""),"NATURAL CODE CHICKEN AND SARDINES IN JELLY
")</f>
        <v>NATURAL CODE CHICKEN AND SARDINES IN JELLY
</v>
      </c>
      <c r="G2537" s="133" t="str">
        <f>IFERROR(__xludf.DUMMYFUNCTION("""COMPUTED_VALUE"""),"ناتشرال كود الدجاج والسردين في الجيلي
")</f>
        <v>ناتشرال كود الدجاج والسردين في الجيلي
</v>
      </c>
      <c r="H2537" s="133" t="str">
        <f>IFERROR(__xludf.DUMMYFUNCTION("""COMPUTED_VALUE"""),"FEM-25-0627-FEP-2025-0645-C-22548-0527
")</f>
        <v>FEM-25-0627-FEP-2025-0645-C-22548-0527
</v>
      </c>
      <c r="I2537" s="133"/>
      <c r="J2537" s="133"/>
      <c r="K2537" s="133"/>
      <c r="L2537" s="133"/>
      <c r="M2537" s="133"/>
      <c r="N2537" s="133"/>
      <c r="O2537" s="133"/>
      <c r="P2537" s="133"/>
      <c r="Q2537" s="133"/>
      <c r="R2537" s="133"/>
      <c r="S2537" s="133"/>
      <c r="T2537" s="133"/>
      <c r="U2537" s="133"/>
      <c r="V2537" s="133"/>
      <c r="W2537" s="133"/>
      <c r="X2537" s="133"/>
      <c r="Y2537" s="133"/>
      <c r="Z2537" s="133"/>
    </row>
    <row r="2538">
      <c r="A2538" s="133"/>
      <c r="B2538" s="133"/>
      <c r="C2538" s="133" t="str">
        <f>IFERROR(__xludf.DUMMYFUNCTION("""COMPUTED_VALUE"""),"2025-27001
")</f>
        <v>2025-27001
</v>
      </c>
      <c r="D2538" s="133"/>
      <c r="E2538" s="133" t="str">
        <f>IFERROR(__xludf.DUMMYFUNCTION("""COMPUTED_VALUE"""),"مكتمل")</f>
        <v>مكتمل</v>
      </c>
      <c r="F2538" s="133" t="str">
        <f>IFERROR(__xludf.DUMMYFUNCTION("""COMPUTED_VALUE"""),"NATURAL CODE TUNA AND ALOE
")</f>
        <v>NATURAL CODE TUNA AND ALOE
</v>
      </c>
      <c r="G2538" s="133" t="str">
        <f>IFERROR(__xludf.DUMMYFUNCTION("""COMPUTED_VALUE"""),"ناتشرال كود تونة الألوة فيرا
")</f>
        <v>ناتشرال كود تونة الألوة فيرا
</v>
      </c>
      <c r="H2538" s="133" t="str">
        <f>IFERROR(__xludf.DUMMYFUNCTION("""COMPUTED_VALUE"""),"FEM-25-0691-FEP-2025-0709-C-22548-0528
")</f>
        <v>FEM-25-0691-FEP-2025-0709-C-22548-0528
</v>
      </c>
      <c r="I2538" s="133"/>
      <c r="J2538" s="133"/>
      <c r="K2538" s="133"/>
      <c r="L2538" s="133"/>
      <c r="M2538" s="133"/>
      <c r="N2538" s="133"/>
      <c r="O2538" s="133"/>
      <c r="P2538" s="133"/>
      <c r="Q2538" s="133"/>
      <c r="R2538" s="133"/>
      <c r="S2538" s="133"/>
      <c r="T2538" s="133"/>
      <c r="U2538" s="133"/>
      <c r="V2538" s="133"/>
      <c r="W2538" s="133"/>
      <c r="X2538" s="133"/>
      <c r="Y2538" s="133"/>
      <c r="Z2538" s="133"/>
    </row>
    <row r="2539">
      <c r="A2539" s="133"/>
      <c r="B2539" s="133"/>
      <c r="C2539" s="133" t="str">
        <f>IFERROR(__xludf.DUMMYFUNCTION("""COMPUTED_VALUE"""),"2025-27002
")</f>
        <v>2025-27002
</v>
      </c>
      <c r="D2539" s="133"/>
      <c r="E2539" s="133" t="str">
        <f>IFERROR(__xludf.DUMMYFUNCTION("""COMPUTED_VALUE"""),"مكتمل")</f>
        <v>مكتمل</v>
      </c>
      <c r="F2539" s="133" t="str">
        <f>IFERROR(__xludf.DUMMYFUNCTION("""COMPUTED_VALUE"""),"NATURAL CODE TUNA AND SALMON
")</f>
        <v>NATURAL CODE TUNA AND SALMON
</v>
      </c>
      <c r="G2539" s="133" t="str">
        <f>IFERROR(__xludf.DUMMYFUNCTION("""COMPUTED_VALUE"""),"ناتشرال كود تونة وسالمون
")</f>
        <v>ناتشرال كود تونة وسالمون
</v>
      </c>
      <c r="H2539" s="133" t="str">
        <f>IFERROR(__xludf.DUMMYFUNCTION("""COMPUTED_VALUE"""),"FEM-25-0692-FEP-2025-0710-C-22548-0529
")</f>
        <v>FEM-25-0692-FEP-2025-0710-C-22548-0529
</v>
      </c>
      <c r="I2539" s="133"/>
      <c r="J2539" s="133"/>
      <c r="K2539" s="133"/>
      <c r="L2539" s="133"/>
      <c r="M2539" s="133"/>
      <c r="N2539" s="133"/>
      <c r="O2539" s="133"/>
      <c r="P2539" s="133"/>
      <c r="Q2539" s="133"/>
      <c r="R2539" s="133"/>
      <c r="S2539" s="133"/>
      <c r="T2539" s="133"/>
      <c r="U2539" s="133"/>
      <c r="V2539" s="133"/>
      <c r="W2539" s="133"/>
      <c r="X2539" s="133"/>
      <c r="Y2539" s="133"/>
      <c r="Z2539" s="133"/>
    </row>
    <row r="2540">
      <c r="A2540" s="133"/>
      <c r="B2540" s="133"/>
      <c r="C2540" s="133" t="str">
        <f>IFERROR(__xludf.DUMMYFUNCTION("""COMPUTED_VALUE"""),"2025-27003
")</f>
        <v>2025-27003
</v>
      </c>
      <c r="D2540" s="133"/>
      <c r="E2540" s="133" t="str">
        <f>IFERROR(__xludf.DUMMYFUNCTION("""COMPUTED_VALUE"""),"مكتمل")</f>
        <v>مكتمل</v>
      </c>
      <c r="F2540" s="133" t="str">
        <f>IFERROR(__xludf.DUMMYFUNCTION("""COMPUTED_VALUE"""),"NATURAL CODE TUNA AND WHITEBAIT
")</f>
        <v>NATURAL CODE TUNA AND WHITEBAIT
</v>
      </c>
      <c r="G2540" s="133" t="str">
        <f>IFERROR(__xludf.DUMMYFUNCTION("""COMPUTED_VALUE"""),"ناتشرال كود تونة وسمك صغير
")</f>
        <v>ناتشرال كود تونة وسمك صغير
</v>
      </c>
      <c r="H2540" s="133" t="str">
        <f>IFERROR(__xludf.DUMMYFUNCTION("""COMPUTED_VALUE"""),"FEM-25-0693-FEP-2025-0711-C-22548-0530
")</f>
        <v>FEM-25-0693-FEP-2025-0711-C-22548-0530
</v>
      </c>
      <c r="I2540" s="133"/>
      <c r="J2540" s="133"/>
      <c r="K2540" s="133"/>
      <c r="L2540" s="133"/>
      <c r="M2540" s="133"/>
      <c r="N2540" s="133"/>
      <c r="O2540" s="133"/>
      <c r="P2540" s="133"/>
      <c r="Q2540" s="133"/>
      <c r="R2540" s="133"/>
      <c r="S2540" s="133"/>
      <c r="T2540" s="133"/>
      <c r="U2540" s="133"/>
      <c r="V2540" s="133"/>
      <c r="W2540" s="133"/>
      <c r="X2540" s="133"/>
      <c r="Y2540" s="133"/>
      <c r="Z2540" s="133"/>
    </row>
    <row r="2541">
      <c r="A2541" s="133"/>
      <c r="B2541" s="133"/>
      <c r="C2541" s="133" t="str">
        <f>IFERROR(__xludf.DUMMYFUNCTION("""COMPUTED_VALUE"""),"2025-25271
")</f>
        <v>2025-25271
</v>
      </c>
      <c r="D2541" s="133"/>
      <c r="E2541" s="133" t="str">
        <f>IFERROR(__xludf.DUMMYFUNCTION("""COMPUTED_VALUE"""),"مكتمل")</f>
        <v>مكتمل</v>
      </c>
      <c r="F2541" s="133" t="str">
        <f>IFERROR(__xludf.DUMMYFUNCTION("""COMPUTED_VALUE"""),"NATURAL CODE TUNA AND PAPAYA IN JELLY
")</f>
        <v>NATURAL CODE TUNA AND PAPAYA IN JELLY
</v>
      </c>
      <c r="G2541" s="133" t="str">
        <f>IFERROR(__xludf.DUMMYFUNCTION("""COMPUTED_VALUE"""),"ناتشرال كود التونة والبابايا في الجيلي
")</f>
        <v>ناتشرال كود التونة والبابايا في الجيلي
</v>
      </c>
      <c r="H2541" s="133" t="str">
        <f>IFERROR(__xludf.DUMMYFUNCTION("""COMPUTED_VALUE"""),"FEM-25-0628-FEP-2025-0644-C-22548-0532
")</f>
        <v>FEM-25-0628-FEP-2025-0644-C-22548-0532
</v>
      </c>
      <c r="I2541" s="133"/>
      <c r="J2541" s="133"/>
      <c r="K2541" s="133"/>
      <c r="L2541" s="133"/>
      <c r="M2541" s="133"/>
      <c r="N2541" s="133"/>
      <c r="O2541" s="133"/>
      <c r="P2541" s="133"/>
      <c r="Q2541" s="133"/>
      <c r="R2541" s="133"/>
      <c r="S2541" s="133"/>
      <c r="T2541" s="133"/>
      <c r="U2541" s="133"/>
      <c r="V2541" s="133"/>
      <c r="W2541" s="133"/>
      <c r="X2541" s="133"/>
      <c r="Y2541" s="133"/>
      <c r="Z2541" s="133"/>
    </row>
    <row r="2542">
      <c r="A2542" s="133"/>
      <c r="B2542" s="133"/>
      <c r="C2542" s="133" t="str">
        <f>IFERROR(__xludf.DUMMYFUNCTION("""COMPUTED_VALUE"""),"2025-25264
")</f>
        <v>2025-25264
</v>
      </c>
      <c r="D2542" s="133"/>
      <c r="E2542" s="133" t="str">
        <f>IFERROR(__xludf.DUMMYFUNCTION("""COMPUTED_VALUE"""),"مكتمل")</f>
        <v>مكتمل</v>
      </c>
      <c r="F2542" s="133" t="str">
        <f>IFERROR(__xludf.DUMMYFUNCTION("""COMPUTED_VALUE"""),"NATURAL CODE TUNA AND SURIMI IN JELLY
")</f>
        <v>NATURAL CODE TUNA AND SURIMI IN JELLY
</v>
      </c>
      <c r="G2542" s="133" t="str">
        <f>IFERROR(__xludf.DUMMYFUNCTION("""COMPUTED_VALUE"""),"ناتشرال كود التونة والسوريمي في الجيلي
")</f>
        <v>ناتشرال كود التونة والسوريمي في الجيلي
</v>
      </c>
      <c r="H2542" s="133" t="str">
        <f>IFERROR(__xludf.DUMMYFUNCTION("""COMPUTED_VALUE"""),"FEM-25-0626-FEP-2025-0647-C-22548-0533
")</f>
        <v>FEM-25-0626-FEP-2025-0647-C-22548-0533
</v>
      </c>
      <c r="I2542" s="133"/>
      <c r="J2542" s="133"/>
      <c r="K2542" s="133"/>
      <c r="L2542" s="133"/>
      <c r="M2542" s="133"/>
      <c r="N2542" s="133"/>
      <c r="O2542" s="133"/>
      <c r="P2542" s="133"/>
      <c r="Q2542" s="133"/>
      <c r="R2542" s="133"/>
      <c r="S2542" s="133"/>
      <c r="T2542" s="133"/>
      <c r="U2542" s="133"/>
      <c r="V2542" s="133"/>
      <c r="W2542" s="133"/>
      <c r="X2542" s="133"/>
      <c r="Y2542" s="133"/>
      <c r="Z2542" s="133"/>
    </row>
    <row r="2543">
      <c r="A2543" s="133"/>
      <c r="B2543" s="133"/>
      <c r="C2543" s="133" t="str">
        <f>IFERROR(__xludf.DUMMYFUNCTION("""COMPUTED_VALUE"""),"2025-31519
")</f>
        <v>2025-31519
</v>
      </c>
      <c r="D2543" s="133"/>
      <c r="E2543" s="133" t="str">
        <f>IFERROR(__xludf.DUMMYFUNCTION("""COMPUTED_VALUE"""),"مكتمل")</f>
        <v>مكتمل</v>
      </c>
      <c r="F2543" s="133" t="str">
        <f>IFERROR(__xludf.DUMMYFUNCTION("""COMPUTED_VALUE"""),"NATURAL CODE KIT TEN BABY TUNA AND CHICKEN
")</f>
        <v>NATURAL CODE KIT TEN BABY TUNA AND CHICKEN
</v>
      </c>
      <c r="G2543" s="133" t="str">
        <f>IFERROR(__xludf.DUMMYFUNCTION("""COMPUTED_VALUE"""),"ناتشرال كود تونا ودجاج بايبي كتن
")</f>
        <v>ناتشرال كود تونا ودجاج بايبي كتن
</v>
      </c>
      <c r="H2543" s="133" t="str">
        <f>IFERROR(__xludf.DUMMYFUNCTION("""COMPUTED_VALUE"""),"FEM-25-0803-FEP-2025-0818-C-22548-0626
")</f>
        <v>FEM-25-0803-FEP-2025-0818-C-22548-0626
</v>
      </c>
      <c r="I2543" s="133"/>
      <c r="J2543" s="133"/>
      <c r="K2543" s="133"/>
      <c r="L2543" s="133"/>
      <c r="M2543" s="133"/>
      <c r="N2543" s="133"/>
      <c r="O2543" s="133"/>
      <c r="P2543" s="133"/>
      <c r="Q2543" s="133"/>
      <c r="R2543" s="133"/>
      <c r="S2543" s="133"/>
      <c r="T2543" s="133"/>
      <c r="U2543" s="133"/>
      <c r="V2543" s="133"/>
      <c r="W2543" s="133"/>
      <c r="X2543" s="133"/>
      <c r="Y2543" s="133"/>
      <c r="Z2543" s="133"/>
    </row>
    <row r="2544">
      <c r="A2544" s="133"/>
      <c r="B2544" s="133"/>
      <c r="C2544" s="133" t="str">
        <f>IFERROR(__xludf.DUMMYFUNCTION("""COMPUTED_VALUE"""),"2025-31521
")</f>
        <v>2025-31521
</v>
      </c>
      <c r="D2544" s="133"/>
      <c r="E2544" s="133" t="str">
        <f>IFERROR(__xludf.DUMMYFUNCTION("""COMPUTED_VALUE"""),"مكتمل")</f>
        <v>مكتمل</v>
      </c>
      <c r="F2544" s="133" t="str">
        <f>IFERROR(__xludf.DUMMYFUNCTION("""COMPUTED_VALUE"""),"NATURAL CODE TUNA FOR KIT TEN
")</f>
        <v>NATURAL CODE TUNA FOR KIT TEN
</v>
      </c>
      <c r="G2544" s="133" t="str">
        <f>IFERROR(__xludf.DUMMYFUNCTION("""COMPUTED_VALUE"""),"ناتشرال كود تونا كتن
")</f>
        <v>ناتشرال كود تونا كتن
</v>
      </c>
      <c r="H2544" s="133" t="str">
        <f>IFERROR(__xludf.DUMMYFUNCTION("""COMPUTED_VALUE"""),"FEM-25-0804-FEP-2025-0819-C-22548-0631
")</f>
        <v>FEM-25-0804-FEP-2025-0819-C-22548-0631
</v>
      </c>
      <c r="I2544" s="133"/>
      <c r="J2544" s="133"/>
      <c r="K2544" s="133"/>
      <c r="L2544" s="133"/>
      <c r="M2544" s="133"/>
      <c r="N2544" s="133"/>
      <c r="O2544" s="133"/>
      <c r="P2544" s="133"/>
      <c r="Q2544" s="133"/>
      <c r="R2544" s="133"/>
      <c r="S2544" s="133"/>
      <c r="T2544" s="133"/>
      <c r="U2544" s="133"/>
      <c r="V2544" s="133"/>
      <c r="W2544" s="133"/>
      <c r="X2544" s="133"/>
      <c r="Y2544" s="133"/>
      <c r="Z2544" s="133"/>
    </row>
    <row r="2545">
      <c r="A2545" s="133"/>
      <c r="B2545" s="133"/>
      <c r="C2545" s="133" t="str">
        <f>IFERROR(__xludf.DUMMYFUNCTION("""COMPUTED_VALUE"""),"2025-31522
")</f>
        <v>2025-31522
</v>
      </c>
      <c r="D2545" s="133"/>
      <c r="E2545" s="133" t="str">
        <f>IFERROR(__xludf.DUMMYFUNCTION("""COMPUTED_VALUE"""),"مكتمل")</f>
        <v>مكتمل</v>
      </c>
      <c r="F2545" s="133" t="str">
        <f>IFERROR(__xludf.DUMMYFUNCTION("""COMPUTED_VALUE"""),"NATURAL CODE CHICKEN FOR KIT TEN
")</f>
        <v>NATURAL CODE CHICKEN FOR KIT TEN
</v>
      </c>
      <c r="G2545" s="133" t="str">
        <f>IFERROR(__xludf.DUMMYFUNCTION("""COMPUTED_VALUE"""),"ناتشرال كود دجاج كتن
")</f>
        <v>ناتشرال كود دجاج كتن
</v>
      </c>
      <c r="H2545" s="133" t="str">
        <f>IFERROR(__xludf.DUMMYFUNCTION("""COMPUTED_VALUE"""),"FEM-25-0805-FEP-2025-0820-C-22548-0633
")</f>
        <v>FEM-25-0805-FEP-2025-0820-C-22548-0633
</v>
      </c>
      <c r="I2545" s="133"/>
      <c r="J2545" s="133"/>
      <c r="K2545" s="133"/>
      <c r="L2545" s="133"/>
      <c r="M2545" s="133"/>
      <c r="N2545" s="133"/>
      <c r="O2545" s="133"/>
      <c r="P2545" s="133"/>
      <c r="Q2545" s="133"/>
      <c r="R2545" s="133"/>
      <c r="S2545" s="133"/>
      <c r="T2545" s="133"/>
      <c r="U2545" s="133"/>
      <c r="V2545" s="133"/>
      <c r="W2545" s="133"/>
      <c r="X2545" s="133"/>
      <c r="Y2545" s="133"/>
      <c r="Z2545" s="133"/>
    </row>
    <row r="2546">
      <c r="A2546" s="133"/>
      <c r="B2546" s="133"/>
      <c r="C2546" s="133" t="str">
        <f>IFERROR(__xludf.DUMMYFUNCTION("""COMPUTED_VALUE"""),"2025-31595
")</f>
        <v>2025-31595
</v>
      </c>
      <c r="D2546" s="133"/>
      <c r="E2546" s="133" t="str">
        <f>IFERROR(__xludf.DUMMYFUNCTION("""COMPUTED_VALUE"""),"مكتمل")</f>
        <v>مكتمل</v>
      </c>
      <c r="F2546" s="133" t="str">
        <f>IFERROR(__xludf.DUMMYFUNCTION("""COMPUTED_VALUE"""),"NATURAL CODE TUNA WITH SARDINES
")</f>
        <v>NATURAL CODE TUNA WITH SARDINES
</v>
      </c>
      <c r="G2546" s="133" t="str">
        <f>IFERROR(__xludf.DUMMYFUNCTION("""COMPUTED_VALUE"""),"ناتشرال كود تونا وسردين
")</f>
        <v>ناتشرال كود تونا وسردين
</v>
      </c>
      <c r="H2546" s="133" t="str">
        <f>IFERROR(__xludf.DUMMYFUNCTION("""COMPUTED_VALUE"""),"FEM-25-0810-FEP-2025-0825-C-22548-0637
")</f>
        <v>FEM-25-0810-FEP-2025-0825-C-22548-0637
</v>
      </c>
      <c r="I2546" s="133"/>
      <c r="J2546" s="133"/>
      <c r="K2546" s="133"/>
      <c r="L2546" s="133"/>
      <c r="M2546" s="133"/>
      <c r="N2546" s="133"/>
      <c r="O2546" s="133"/>
      <c r="P2546" s="133"/>
      <c r="Q2546" s="133"/>
      <c r="R2546" s="133"/>
      <c r="S2546" s="133"/>
      <c r="T2546" s="133"/>
      <c r="U2546" s="133"/>
      <c r="V2546" s="133"/>
      <c r="W2546" s="133"/>
      <c r="X2546" s="133"/>
      <c r="Y2546" s="133"/>
      <c r="Z2546" s="133"/>
    </row>
    <row r="2547">
      <c r="A2547" s="133"/>
      <c r="B2547" s="133"/>
      <c r="C2547" s="133" t="str">
        <f>IFERROR(__xludf.DUMMYFUNCTION("""COMPUTED_VALUE"""),"2025-31530
")</f>
        <v>2025-31530
</v>
      </c>
      <c r="D2547" s="133"/>
      <c r="E2547" s="133" t="str">
        <f>IFERROR(__xludf.DUMMYFUNCTION("""COMPUTED_VALUE"""),"مكتمل")</f>
        <v>مكتمل</v>
      </c>
      <c r="F2547" s="133" t="str">
        <f>IFERROR(__xludf.DUMMYFUNCTION("""COMPUTED_VALUE"""),"NATURAL CODE TUNA WITH BEEF LIVER IN JELLY
")</f>
        <v>NATURAL CODE TUNA WITH BEEF LIVER IN JELLY
</v>
      </c>
      <c r="G2547" s="133" t="str">
        <f>IFERROR(__xludf.DUMMYFUNCTION("""COMPUTED_VALUE"""),"ناتشرال كود تونة وكبد البقر في الجيلي
")</f>
        <v>ناتشرال كود تونة وكبد البقر في الجيلي
</v>
      </c>
      <c r="H2547" s="133" t="str">
        <f>IFERROR(__xludf.DUMMYFUNCTION("""COMPUTED_VALUE"""),"FEM-25-0808-FEP-2025-0823-C-22548-0638
")</f>
        <v>FEM-25-0808-FEP-2025-0823-C-22548-0638
</v>
      </c>
      <c r="I2547" s="133"/>
      <c r="J2547" s="133"/>
      <c r="K2547" s="133"/>
      <c r="L2547" s="133"/>
      <c r="M2547" s="133"/>
      <c r="N2547" s="133"/>
      <c r="O2547" s="133"/>
      <c r="P2547" s="133"/>
      <c r="Q2547" s="133"/>
      <c r="R2547" s="133"/>
      <c r="S2547" s="133"/>
      <c r="T2547" s="133"/>
      <c r="U2547" s="133"/>
      <c r="V2547" s="133"/>
      <c r="W2547" s="133"/>
      <c r="X2547" s="133"/>
      <c r="Y2547" s="133"/>
      <c r="Z2547" s="133"/>
    </row>
    <row r="2548">
      <c r="A2548" s="133"/>
      <c r="B2548" s="133"/>
      <c r="C2548" s="133" t="str">
        <f>IFERROR(__xludf.DUMMYFUNCTION("""COMPUTED_VALUE"""),"2025-31527
")</f>
        <v>2025-31527
</v>
      </c>
      <c r="D2548" s="133"/>
      <c r="E2548" s="133" t="str">
        <f>IFERROR(__xludf.DUMMYFUNCTION("""COMPUTED_VALUE"""),"مكتمل")</f>
        <v>مكتمل</v>
      </c>
      <c r="F2548" s="133" t="str">
        <f>IFERROR(__xludf.DUMMYFUNCTION("""COMPUTED_VALUE"""),"NATURAL CODE TUNA WITH LAMB AND POTATOES IN JELLY
")</f>
        <v>NATURAL CODE TUNA WITH LAMB AND POTATOES IN JELLY
</v>
      </c>
      <c r="G2548" s="133" t="str">
        <f>IFERROR(__xludf.DUMMYFUNCTION("""COMPUTED_VALUE"""),"ناتشرال كود تونة ولحم الضأن والبطاطس في الجيلي
")</f>
        <v>ناتشرال كود تونة ولحم الضأن والبطاطس في الجيلي
</v>
      </c>
      <c r="H2548" s="133" t="str">
        <f>IFERROR(__xludf.DUMMYFUNCTION("""COMPUTED_VALUE"""),"FEM-25-0807-FEP-2025-0822-C-22548-0639
")</f>
        <v>FEM-25-0807-FEP-2025-0822-C-22548-0639
</v>
      </c>
      <c r="I2548" s="133"/>
      <c r="J2548" s="133"/>
      <c r="K2548" s="133"/>
      <c r="L2548" s="133"/>
      <c r="M2548" s="133"/>
      <c r="N2548" s="133"/>
      <c r="O2548" s="133"/>
      <c r="P2548" s="133"/>
      <c r="Q2548" s="133"/>
      <c r="R2548" s="133"/>
      <c r="S2548" s="133"/>
      <c r="T2548" s="133"/>
      <c r="U2548" s="133"/>
      <c r="V2548" s="133"/>
      <c r="W2548" s="133"/>
      <c r="X2548" s="133"/>
      <c r="Y2548" s="133"/>
      <c r="Z2548" s="133"/>
    </row>
    <row r="2549">
      <c r="A2549" s="133"/>
      <c r="B2549" s="133"/>
      <c r="C2549" s="133" t="str">
        <f>IFERROR(__xludf.DUMMYFUNCTION("""COMPUTED_VALUE"""),"2025-31524
")</f>
        <v>2025-31524
</v>
      </c>
      <c r="D2549" s="133"/>
      <c r="E2549" s="133" t="str">
        <f>IFERROR(__xludf.DUMMYFUNCTION("""COMPUTED_VALUE"""),"مكتمل")</f>
        <v>مكتمل</v>
      </c>
      <c r="F2549" s="133" t="str">
        <f>IFERROR(__xludf.DUMMYFUNCTION("""COMPUTED_VALUE"""),"NATURAL CODE TUNA FOR KIT TEN
")</f>
        <v>NATURAL CODE TUNA FOR KIT TEN
</v>
      </c>
      <c r="G2549" s="133" t="str">
        <f>IFERROR(__xludf.DUMMYFUNCTION("""COMPUTED_VALUE"""),"ناتشرال كود تونا كتن
")</f>
        <v>ناتشرال كود تونا كتن
</v>
      </c>
      <c r="H2549" s="133" t="str">
        <f>IFERROR(__xludf.DUMMYFUNCTION("""COMPUTED_VALUE"""),"FEM-25-0806-FEP-2025-0821-C-22548-0640
")</f>
        <v>FEM-25-0806-FEP-2025-0821-C-22548-0640
</v>
      </c>
      <c r="I2549" s="133"/>
      <c r="J2549" s="133"/>
      <c r="K2549" s="133"/>
      <c r="L2549" s="133"/>
      <c r="M2549" s="133"/>
      <c r="N2549" s="133"/>
      <c r="O2549" s="133"/>
      <c r="P2549" s="133"/>
      <c r="Q2549" s="133"/>
      <c r="R2549" s="133"/>
      <c r="S2549" s="133"/>
      <c r="T2549" s="133"/>
      <c r="U2549" s="133"/>
      <c r="V2549" s="133"/>
      <c r="W2549" s="133"/>
      <c r="X2549" s="133"/>
      <c r="Y2549" s="133"/>
      <c r="Z2549" s="133"/>
    </row>
    <row r="2550">
      <c r="A2550" s="133"/>
      <c r="B2550" s="133"/>
      <c r="C2550" s="133" t="str">
        <f>IFERROR(__xludf.DUMMYFUNCTION("""COMPUTED_VALUE"""),"2025-25913
")</f>
        <v>2025-25913
</v>
      </c>
      <c r="D2550" s="133"/>
      <c r="E2550" s="133" t="str">
        <f>IFERROR(__xludf.DUMMYFUNCTION("""COMPUTED_VALUE"""),"مكتمل")</f>
        <v>مكتمل</v>
      </c>
      <c r="F2550" s="133" t="str">
        <f>IFERROR(__xludf.DUMMYFUNCTION("""COMPUTED_VALUE"""),"NATURAL CODE TUNA AND ALOE
")</f>
        <v>NATURAL CODE TUNA AND ALOE
</v>
      </c>
      <c r="G2550" s="133" t="str">
        <f>IFERROR(__xludf.DUMMYFUNCTION("""COMPUTED_VALUE"""),"ناتشرال كود التونة والألوة فيرا
")</f>
        <v>ناتشرال كود التونة والألوة فيرا
</v>
      </c>
      <c r="H2550" s="133" t="str">
        <f>IFERROR(__xludf.DUMMYFUNCTION("""COMPUTED_VALUE"""),"FEM-25-0669-FEP-2025-1162-C-22548-0713
")</f>
        <v>FEM-25-0669-FEP-2025-1162-C-22548-0713
</v>
      </c>
      <c r="I2550" s="133"/>
      <c r="J2550" s="133"/>
      <c r="K2550" s="133"/>
      <c r="L2550" s="133"/>
      <c r="M2550" s="133"/>
      <c r="N2550" s="133"/>
      <c r="O2550" s="133"/>
      <c r="P2550" s="133"/>
      <c r="Q2550" s="133"/>
      <c r="R2550" s="133"/>
      <c r="S2550" s="133"/>
      <c r="T2550" s="133"/>
      <c r="U2550" s="133"/>
      <c r="V2550" s="133"/>
      <c r="W2550" s="133"/>
      <c r="X2550" s="133"/>
      <c r="Y2550" s="133"/>
      <c r="Z2550" s="133"/>
    </row>
    <row r="2551">
      <c r="A2551" s="133"/>
      <c r="B2551" s="133"/>
      <c r="C2551" s="133" t="str">
        <f>IFERROR(__xludf.DUMMYFUNCTION("""COMPUTED_VALUE"""),"2025-25977
")</f>
        <v>2025-25977
</v>
      </c>
      <c r="D2551" s="133"/>
      <c r="E2551" s="133" t="str">
        <f>IFERROR(__xludf.DUMMYFUNCTION("""COMPUTED_VALUE"""),"مكتمل")</f>
        <v>مكتمل</v>
      </c>
      <c r="F2551" s="133" t="str">
        <f>IFERROR(__xludf.DUMMYFUNCTION("""COMPUTED_VALUE"""),"NATURAL CODE TUNA AND WHITEBAIT
")</f>
        <v>NATURAL CODE TUNA AND WHITEBAIT
</v>
      </c>
      <c r="G2551" s="133" t="str">
        <f>IFERROR(__xludf.DUMMYFUNCTION("""COMPUTED_VALUE"""),"ناتشرال كود التونة والسمك الصغير
")</f>
        <v>ناتشرال كود التونة والسمك الصغير
</v>
      </c>
      <c r="H2551" s="133" t="str">
        <f>IFERROR(__xludf.DUMMYFUNCTION("""COMPUTED_VALUE"""),"FEM-25-0671-FEP-2025-1161-C-22548-0714
")</f>
        <v>FEM-25-0671-FEP-2025-1161-C-22548-0714
</v>
      </c>
      <c r="I2551" s="133"/>
      <c r="J2551" s="133"/>
      <c r="K2551" s="133"/>
      <c r="L2551" s="133"/>
      <c r="M2551" s="133"/>
      <c r="N2551" s="133"/>
      <c r="O2551" s="133"/>
      <c r="P2551" s="133"/>
      <c r="Q2551" s="133"/>
      <c r="R2551" s="133"/>
      <c r="S2551" s="133"/>
      <c r="T2551" s="133"/>
      <c r="U2551" s="133"/>
      <c r="V2551" s="133"/>
      <c r="W2551" s="133"/>
      <c r="X2551" s="133"/>
      <c r="Y2551" s="133"/>
      <c r="Z2551" s="133"/>
    </row>
    <row r="2552">
      <c r="A2552" s="133"/>
      <c r="B2552" s="133"/>
      <c r="C2552" s="133" t="str">
        <f>IFERROR(__xludf.DUMMYFUNCTION("""COMPUTED_VALUE"""),"2025-25262
")</f>
        <v>2025-25262
</v>
      </c>
      <c r="D2552" s="133"/>
      <c r="E2552" s="133" t="str">
        <f>IFERROR(__xludf.DUMMYFUNCTION("""COMPUTED_VALUE"""),"مكتمل")</f>
        <v>مكتمل</v>
      </c>
      <c r="F2552" s="133" t="str">
        <f>IFERROR(__xludf.DUMMYFUNCTION("""COMPUTED_VALUE"""),"NATURAL CODE CHICKEN AND TURKEY IN JELLY
")</f>
        <v>NATURAL CODE CHICKEN AND TURKEY IN JELLY
</v>
      </c>
      <c r="G2552" s="133" t="str">
        <f>IFERROR(__xludf.DUMMYFUNCTION("""COMPUTED_VALUE"""),"ناتشرال كود الدجاج والديك الرومي في الجيلي
")</f>
        <v>ناتشرال كود الدجاج والديك الرومي في الجيلي
</v>
      </c>
      <c r="H2552" s="133" t="str">
        <f>IFERROR(__xludf.DUMMYFUNCTION("""COMPUTED_VALUE"""),"FEM-25-0625-FEP-2025-0648-C-22548-0750
")</f>
        <v>FEM-25-0625-FEP-2025-0648-C-22548-0750
</v>
      </c>
      <c r="I2552" s="133"/>
      <c r="J2552" s="133"/>
      <c r="K2552" s="133"/>
      <c r="L2552" s="133"/>
      <c r="M2552" s="133"/>
      <c r="N2552" s="133"/>
      <c r="O2552" s="133"/>
      <c r="P2552" s="133"/>
      <c r="Q2552" s="133"/>
      <c r="R2552" s="133"/>
      <c r="S2552" s="133"/>
      <c r="T2552" s="133"/>
      <c r="U2552" s="133"/>
      <c r="V2552" s="133"/>
      <c r="W2552" s="133"/>
      <c r="X2552" s="133"/>
      <c r="Y2552" s="133"/>
      <c r="Z2552" s="133"/>
    </row>
    <row r="2553">
      <c r="A2553" s="133"/>
      <c r="B2553" s="133"/>
      <c r="C2553" s="133" t="str">
        <f>IFERROR(__xludf.DUMMYFUNCTION("""COMPUTED_VALUE"""),"2025-72066
")</f>
        <v>2025-72066
</v>
      </c>
      <c r="D2553" s="133"/>
      <c r="E2553" s="133" t="str">
        <f>IFERROR(__xludf.DUMMYFUNCTION("""COMPUTED_VALUE"""),"مكتمل")</f>
        <v>مكتمل</v>
      </c>
      <c r="F2553" s="133" t="str">
        <f>IFERROR(__xludf.DUMMYFUNCTION("""COMPUTED_VALUE"""),"NATURAL CODE POUCH TUNA
")</f>
        <v>NATURAL CODE POUCH TUNA
</v>
      </c>
      <c r="G2553" s="133" t="str">
        <f>IFERROR(__xludf.DUMMYFUNCTION("""COMPUTED_VALUE"""),"ناتشرال كود تونة
")</f>
        <v>ناتشرال كود تونة
</v>
      </c>
      <c r="H2553" s="133" t="str">
        <f>IFERROR(__xludf.DUMMYFUNCTION("""COMPUTED_VALUE"""),"FEM-25-1629-FEP-2025-1809-C-22548-1084
")</f>
        <v>FEM-25-1629-FEP-2025-1809-C-22548-1084
</v>
      </c>
      <c r="I2553" s="133"/>
      <c r="J2553" s="133"/>
      <c r="K2553" s="133"/>
      <c r="L2553" s="133"/>
      <c r="M2553" s="133"/>
      <c r="N2553" s="133"/>
      <c r="O2553" s="133"/>
      <c r="P2553" s="133"/>
      <c r="Q2553" s="133"/>
      <c r="R2553" s="133"/>
      <c r="S2553" s="133"/>
      <c r="T2553" s="133"/>
      <c r="U2553" s="133"/>
      <c r="V2553" s="133"/>
      <c r="W2553" s="133"/>
      <c r="X2553" s="133"/>
      <c r="Y2553" s="133"/>
      <c r="Z2553" s="133"/>
    </row>
    <row r="2554">
      <c r="A2554" s="133"/>
      <c r="B2554" s="133"/>
      <c r="C2554" s="133" t="str">
        <f>IFERROR(__xludf.DUMMYFUNCTION("""COMPUTED_VALUE"""),"2025-72072
")</f>
        <v>2025-72072
</v>
      </c>
      <c r="D2554" s="133"/>
      <c r="E2554" s="133" t="str">
        <f>IFERROR(__xludf.DUMMYFUNCTION("""COMPUTED_VALUE"""),"مكتمل")</f>
        <v>مكتمل</v>
      </c>
      <c r="F2554" s="133" t="str">
        <f>IFERROR(__xludf.DUMMYFUNCTION("""COMPUTED_VALUE"""),"NATURAL CODE POUCH SEA BREAM WITH VEGETABLES
")</f>
        <v>NATURAL CODE POUCH SEA BREAM WITH VEGETABLES
</v>
      </c>
      <c r="G2554" s="133" t="str">
        <f>IFERROR(__xludf.DUMMYFUNCTION("""COMPUTED_VALUE"""),"ناتشرال كود سمك الدنيس وخضار
")</f>
        <v>ناتشرال كود سمك الدنيس وخضار
</v>
      </c>
      <c r="H2554" s="133" t="str">
        <f>IFERROR(__xludf.DUMMYFUNCTION("""COMPUTED_VALUE"""),"FEM-25-1630-FEP-2025-1808-C-22548-1085
")</f>
        <v>FEM-25-1630-FEP-2025-1808-C-22548-1085
</v>
      </c>
      <c r="I2554" s="133"/>
      <c r="J2554" s="133"/>
      <c r="K2554" s="133"/>
      <c r="L2554" s="133"/>
      <c r="M2554" s="133"/>
      <c r="N2554" s="133"/>
      <c r="O2554" s="133"/>
      <c r="P2554" s="133"/>
      <c r="Q2554" s="133"/>
      <c r="R2554" s="133"/>
      <c r="S2554" s="133"/>
      <c r="T2554" s="133"/>
      <c r="U2554" s="133"/>
      <c r="V2554" s="133"/>
      <c r="W2554" s="133"/>
      <c r="X2554" s="133"/>
      <c r="Y2554" s="133"/>
      <c r="Z2554" s="133"/>
    </row>
    <row r="2555">
      <c r="A2555" s="133"/>
      <c r="B2555" s="133"/>
      <c r="C2555" s="133" t="str">
        <f>IFERROR(__xludf.DUMMYFUNCTION("""COMPUTED_VALUE"""),"2025-72073
")</f>
        <v>2025-72073
</v>
      </c>
      <c r="D2555" s="133"/>
      <c r="E2555" s="133" t="str">
        <f>IFERROR(__xludf.DUMMYFUNCTION("""COMPUTED_VALUE"""),"مكتمل")</f>
        <v>مكتمل</v>
      </c>
      <c r="F2555" s="133" t="str">
        <f>IFERROR(__xludf.DUMMYFUNCTION("""COMPUTED_VALUE"""),"NATURAL CODE POUCH TUNA WITH SEA BREAM
")</f>
        <v>NATURAL CODE POUCH TUNA WITH SEA BREAM
</v>
      </c>
      <c r="G2555" s="133" t="str">
        <f>IFERROR(__xludf.DUMMYFUNCTION("""COMPUTED_VALUE"""),"ناتشرال كود تونة وسمك الدنيس
")</f>
        <v>ناتشرال كود تونة وسمك الدنيس
</v>
      </c>
      <c r="H2555" s="133" t="str">
        <f>IFERROR(__xludf.DUMMYFUNCTION("""COMPUTED_VALUE"""),"FEM-25-1631-FEP-2025-1629-C-22548-1086
")</f>
        <v>FEM-25-1631-FEP-2025-1629-C-22548-1086
</v>
      </c>
      <c r="I2555" s="133"/>
      <c r="J2555" s="133"/>
      <c r="K2555" s="133"/>
      <c r="L2555" s="133"/>
      <c r="M2555" s="133"/>
      <c r="N2555" s="133"/>
      <c r="O2555" s="133"/>
      <c r="P2555" s="133"/>
      <c r="Q2555" s="133"/>
      <c r="R2555" s="133"/>
      <c r="S2555" s="133"/>
      <c r="T2555" s="133"/>
      <c r="U2555" s="133"/>
      <c r="V2555" s="133"/>
      <c r="W2555" s="133"/>
      <c r="X2555" s="133"/>
      <c r="Y2555" s="133"/>
      <c r="Z2555" s="133"/>
    </row>
    <row r="2556">
      <c r="A2556" s="133"/>
      <c r="B2556" s="133"/>
      <c r="C2556" s="133" t="str">
        <f>IFERROR(__xludf.DUMMYFUNCTION("""COMPUTED_VALUE"""),"2025-86648
")</f>
        <v>2025-86648
</v>
      </c>
      <c r="D2556" s="133"/>
      <c r="E2556" s="133" t="str">
        <f>IFERROR(__xludf.DUMMYFUNCTION("""COMPUTED_VALUE"""),"مكتمل")</f>
        <v>مكتمل</v>
      </c>
      <c r="F2556" s="133" t="str">
        <f>IFERROR(__xludf.DUMMYFUNCTION("""COMPUTED_VALUE"""),"NATURAL CODE CHICKEN, AMARANTH AND CARROTS IN JE.
")</f>
        <v>NATURAL CODE CHICKEN, AMARANTH AND CARROTS IN JE.
</v>
      </c>
      <c r="G2556" s="133" t="str">
        <f>IFERROR(__xludf.DUMMYFUNCTION("""COMPUTED_VALUE"""),"ناتشرال كود دجاج وامارانث وجزر في الجيلي
")</f>
        <v>ناتشرال كود دجاج وامارانث وجزر في الجيلي
</v>
      </c>
      <c r="H2556" s="133" t="str">
        <f>IFERROR(__xludf.DUMMYFUNCTION("""COMPUTED_VALUE"""),"FEM-25-1962-FEP-2025-1947-C-22548-1358
")</f>
        <v>FEM-25-1962-FEP-2025-1947-C-22548-1358
</v>
      </c>
      <c r="I2556" s="133"/>
      <c r="J2556" s="133"/>
      <c r="K2556" s="133"/>
      <c r="L2556" s="133"/>
      <c r="M2556" s="133"/>
      <c r="N2556" s="133"/>
      <c r="O2556" s="133"/>
      <c r="P2556" s="133"/>
      <c r="Q2556" s="133"/>
      <c r="R2556" s="133"/>
      <c r="S2556" s="133"/>
      <c r="T2556" s="133"/>
      <c r="U2556" s="133"/>
      <c r="V2556" s="133"/>
      <c r="W2556" s="133"/>
      <c r="X2556" s="133"/>
      <c r="Y2556" s="133"/>
      <c r="Z2556" s="133"/>
    </row>
    <row r="2557">
      <c r="A2557" s="133"/>
      <c r="B2557" s="133"/>
      <c r="C2557" s="133" t="str">
        <f>IFERROR(__xludf.DUMMYFUNCTION("""COMPUTED_VALUE"""),"2025-86651
")</f>
        <v>2025-86651
</v>
      </c>
      <c r="D2557" s="133"/>
      <c r="E2557" s="133" t="str">
        <f>IFERROR(__xludf.DUMMYFUNCTION("""COMPUTED_VALUE"""),"مكتمل")</f>
        <v>مكتمل</v>
      </c>
      <c r="F2557" s="133" t="str">
        <f>IFERROR(__xludf.DUMMYFUNCTION("""COMPUTED_VALUE"""),"NATURAL CODE POUCH TUNA WITH SALMON
")</f>
        <v>NATURAL CODE POUCH TUNA WITH SALMON
</v>
      </c>
      <c r="G2557" s="133" t="str">
        <f>IFERROR(__xludf.DUMMYFUNCTION("""COMPUTED_VALUE"""),"ناتشرال كود تونة وسالمون
")</f>
        <v>ناتشرال كود تونة وسالمون
</v>
      </c>
      <c r="H2557" s="133" t="str">
        <f>IFERROR(__xludf.DUMMYFUNCTION("""COMPUTED_VALUE"""),"FEM-25-1963-FEP-2025-1948-C-22548-1359
")</f>
        <v>FEM-25-1963-FEP-2025-1948-C-22548-1359
</v>
      </c>
      <c r="I2557" s="133"/>
      <c r="J2557" s="133"/>
      <c r="K2557" s="133"/>
      <c r="L2557" s="133"/>
      <c r="M2557" s="133"/>
      <c r="N2557" s="133"/>
      <c r="O2557" s="133"/>
      <c r="P2557" s="133"/>
      <c r="Q2557" s="133"/>
      <c r="R2557" s="133"/>
      <c r="S2557" s="133"/>
      <c r="T2557" s="133"/>
      <c r="U2557" s="133"/>
      <c r="V2557" s="133"/>
      <c r="W2557" s="133"/>
      <c r="X2557" s="133"/>
      <c r="Y2557" s="133"/>
      <c r="Z2557" s="133"/>
    </row>
    <row r="2558">
      <c r="A2558" s="133"/>
      <c r="B2558" s="133"/>
      <c r="C2558" s="133" t="str">
        <f>IFERROR(__xludf.DUMMYFUNCTION("""COMPUTED_VALUE"""),"2025-86656
")</f>
        <v>2025-86656
</v>
      </c>
      <c r="D2558" s="133"/>
      <c r="E2558" s="133" t="str">
        <f>IFERROR(__xludf.DUMMYFUNCTION("""COMPUTED_VALUE"""),"مكتمل")</f>
        <v>مكتمل</v>
      </c>
      <c r="F2558" s="133" t="str">
        <f>IFERROR(__xludf.DUMMYFUNCTION("""COMPUTED_VALUE"""),"FEM-25-1964-FEP-2025-1949-C-22548-1361
")</f>
        <v>FEM-25-1964-FEP-2025-1949-C-22548-1361
</v>
      </c>
      <c r="G2558" s="133" t="str">
        <f>IFERROR(__xludf.DUMMYFUNCTION("""COMPUTED_VALUE"""),"ناتشرال كود تونة مع التوت الازرق والارز البني
")</f>
        <v>ناتشرال كود تونة مع التوت الازرق والارز البني
</v>
      </c>
      <c r="H2558" s="133" t="str">
        <f>IFERROR(__xludf.DUMMYFUNCTION("""COMPUTED_VALUE"""),"FEM-25-1965-FEP-2025-1950-C-22548-1362
")</f>
        <v>FEM-25-1965-FEP-2025-1950-C-22548-1362
</v>
      </c>
      <c r="I2558" s="133"/>
      <c r="J2558" s="133"/>
      <c r="K2558" s="133"/>
      <c r="L2558" s="133"/>
      <c r="M2558" s="133"/>
      <c r="N2558" s="133"/>
      <c r="O2558" s="133"/>
      <c r="P2558" s="133"/>
      <c r="Q2558" s="133"/>
      <c r="R2558" s="133"/>
      <c r="S2558" s="133"/>
      <c r="T2558" s="133"/>
      <c r="U2558" s="133"/>
      <c r="V2558" s="133"/>
      <c r="W2558" s="133"/>
      <c r="X2558" s="133"/>
      <c r="Y2558" s="133"/>
      <c r="Z2558" s="133"/>
    </row>
    <row r="2559">
      <c r="A2559" s="133"/>
      <c r="B2559" s="133"/>
      <c r="C2559" s="133" t="str">
        <f>IFERROR(__xludf.DUMMYFUNCTION("""COMPUTED_VALUE"""),"2025-86653
")</f>
        <v>2025-86653
</v>
      </c>
      <c r="D2559" s="133"/>
      <c r="E2559" s="133" t="str">
        <f>IFERROR(__xludf.DUMMYFUNCTION("""COMPUTED_VALUE"""),"مكتمل")</f>
        <v>مكتمل</v>
      </c>
      <c r="F2559" s="133" t="str">
        <f>IFERROR(__xludf.DUMMYFUNCTION("""COMPUTED_VALUE"""),"NATURAL CODE STERILCAT TUNA WITH FLAXSEED AND BROWN RICE
")</f>
        <v>NATURAL CODE STERILCAT TUNA WITH FLAXSEED AND BROWN RICE
</v>
      </c>
      <c r="G2559" s="133" t="str">
        <f>IFERROR(__xludf.DUMMYFUNCTION("""COMPUTED_VALUE"""),"ناتشرال كود تونة مع بذور الكتان والارز البني
")</f>
        <v>ناتشرال كود تونة مع بذور الكتان والارز البني
</v>
      </c>
      <c r="H2559" s="133" t="str">
        <f>IFERROR(__xludf.DUMMYFUNCTION("""COMPUTED_VALUE"""),"FEM-25-1964-FEP-2025-1949-C-22548-1361
")</f>
        <v>FEM-25-1964-FEP-2025-1949-C-22548-1361
</v>
      </c>
      <c r="I2559" s="133"/>
      <c r="J2559" s="133"/>
      <c r="K2559" s="133"/>
      <c r="L2559" s="133"/>
      <c r="M2559" s="133"/>
      <c r="N2559" s="133"/>
      <c r="O2559" s="133"/>
      <c r="P2559" s="133"/>
      <c r="Q2559" s="133"/>
      <c r="R2559" s="133"/>
      <c r="S2559" s="133"/>
      <c r="T2559" s="133"/>
      <c r="U2559" s="133"/>
      <c r="V2559" s="133"/>
      <c r="W2559" s="133"/>
      <c r="X2559" s="133"/>
      <c r="Y2559" s="133"/>
      <c r="Z2559" s="133"/>
    </row>
    <row r="2560">
      <c r="A2560" s="133"/>
      <c r="B2560" s="133"/>
      <c r="C2560" s="133" t="str">
        <f>IFERROR(__xludf.DUMMYFUNCTION("""COMPUTED_VALUE"""),"2025-86660
")</f>
        <v>2025-86660
</v>
      </c>
      <c r="D2560" s="133"/>
      <c r="E2560" s="133" t="str">
        <f>IFERROR(__xludf.DUMMYFUNCTION("""COMPUTED_VALUE"""),"مكتمل")</f>
        <v>مكتمل</v>
      </c>
      <c r="F2560" s="133" t="str">
        <f>IFERROR(__xludf.DUMMYFUNCTION("""COMPUTED_VALUE"""),"NATURAL CODE STERILCAT TUNA WITH QUINOA AND BROWN RICE
")</f>
        <v>NATURAL CODE STERILCAT TUNA WITH QUINOA AND BROWN RICE
</v>
      </c>
      <c r="G2560" s="133" t="str">
        <f>IFERROR(__xludf.DUMMYFUNCTION("""COMPUTED_VALUE"""),"ناتشرال كود تونة مع الكينوا والارز البني
")</f>
        <v>ناتشرال كود تونة مع الكينوا والارز البني
</v>
      </c>
      <c r="H2560" s="133" t="str">
        <f>IFERROR(__xludf.DUMMYFUNCTION("""COMPUTED_VALUE"""),"FEM-25-1966-FEP-2025-1951-C-22548-1363
")</f>
        <v>FEM-25-1966-FEP-2025-1951-C-22548-1363
</v>
      </c>
      <c r="I2560" s="133"/>
      <c r="J2560" s="133"/>
      <c r="K2560" s="133"/>
      <c r="L2560" s="133"/>
      <c r="M2560" s="133"/>
      <c r="N2560" s="133"/>
      <c r="O2560" s="133"/>
      <c r="P2560" s="133"/>
      <c r="Q2560" s="133"/>
      <c r="R2560" s="133"/>
      <c r="S2560" s="133"/>
      <c r="T2560" s="133"/>
      <c r="U2560" s="133"/>
      <c r="V2560" s="133"/>
      <c r="W2560" s="133"/>
      <c r="X2560" s="133"/>
      <c r="Y2560" s="133"/>
      <c r="Z2560" s="133"/>
    </row>
    <row r="2561">
      <c r="A2561" s="133"/>
      <c r="B2561" s="133"/>
      <c r="C2561" s="133" t="str">
        <f>IFERROR(__xludf.DUMMYFUNCTION("""COMPUTED_VALUE"""),"2025-86662
")</f>
        <v>2025-86662
</v>
      </c>
      <c r="D2561" s="133"/>
      <c r="E2561" s="133" t="str">
        <f>IFERROR(__xludf.DUMMYFUNCTION("""COMPUTED_VALUE"""),"مكتمل")</f>
        <v>مكتمل</v>
      </c>
      <c r="F2561" s="133" t="str">
        <f>IFERROR(__xludf.DUMMYFUNCTION("""COMPUTED_VALUE"""),"NAT URAL CODE ST ERILCAT T UNA WIT H PUMPKIN AND BROWN RICE")</f>
        <v>NAT URAL CODE ST ERILCAT T UNA WIT H PUMPKIN AND BROWN RICE</v>
      </c>
      <c r="G2561" s="133" t="str">
        <f>IFERROR(__xludf.DUMMYFUNCTION("""COMPUTED_VALUE"""),"ناتشرال كود تونة مع اليقطين والأرز البني")</f>
        <v>ناتشرال كود تونة مع اليقطين والأرز البني</v>
      </c>
      <c r="H2561" s="133" t="str">
        <f>IFERROR(__xludf.DUMMYFUNCTION("""COMPUTED_VALUE"""),"FEM-25-1967-FEP-2025-1985-C-22548-1364")</f>
        <v>FEM-25-1967-FEP-2025-1985-C-22548-1364</v>
      </c>
      <c r="I2561" s="133"/>
      <c r="J2561" s="133"/>
      <c r="K2561" s="133"/>
      <c r="L2561" s="133"/>
      <c r="M2561" s="133"/>
      <c r="N2561" s="133"/>
      <c r="O2561" s="133"/>
      <c r="P2561" s="133"/>
      <c r="Q2561" s="133"/>
      <c r="R2561" s="133"/>
      <c r="S2561" s="133"/>
      <c r="T2561" s="133"/>
      <c r="U2561" s="133"/>
      <c r="V2561" s="133"/>
      <c r="W2561" s="133"/>
      <c r="X2561" s="133"/>
      <c r="Y2561" s="133"/>
      <c r="Z2561" s="133"/>
    </row>
    <row r="2562">
      <c r="A2562" s="133"/>
      <c r="B2562" s="133"/>
      <c r="C2562" s="133" t="str">
        <f>IFERROR(__xludf.DUMMYFUNCTION("""COMPUTED_VALUE"""),"2025-169078")</f>
        <v>2025-169078</v>
      </c>
      <c r="D2562" s="133"/>
      <c r="E2562" s="133" t="str">
        <f>IFERROR(__xludf.DUMMYFUNCTION("""COMPUTED_VALUE"""),"مكتمل ")</f>
        <v>مكتمل </v>
      </c>
      <c r="F2562" s="133" t="str">
        <f>IFERROR(__xludf.DUMMYFUNCTION("""COMPUTED_VALUE"""),"Felyn Go C&amp;B Cans Chicken with Spinach &amp; Rice in Jelly 75g")</f>
        <v>Felyn Go C&amp;B Cans Chicken with Spinach &amp; Rice in Jelly 75g</v>
      </c>
      <c r="G2562" s="133" t="str">
        <f>IFERROR(__xludf.DUMMYFUNCTION("""COMPUTED_VALUE"""),"فيلان جو الدجاج والأرز مع السبانخ بالجيلي")</f>
        <v>فيلان جو الدجاج والأرز مع السبانخ بالجيلي</v>
      </c>
      <c r="H2562" s="133" t="str">
        <f>IFERROR(__xludf.DUMMYFUNCTION("""COMPUTED_VALUE"""),"FEM-25-3728-FEP-2025-3681-C-22548-2611
")</f>
        <v>FEM-25-3728-FEP-2025-3681-C-22548-2611
</v>
      </c>
      <c r="I2562" s="133"/>
      <c r="J2562" s="133"/>
      <c r="K2562" s="133"/>
      <c r="L2562" s="133"/>
      <c r="M2562" s="133"/>
      <c r="N2562" s="133"/>
      <c r="O2562" s="133"/>
      <c r="P2562" s="133"/>
      <c r="Q2562" s="133"/>
      <c r="R2562" s="133"/>
      <c r="S2562" s="133"/>
      <c r="T2562" s="133"/>
      <c r="U2562" s="133"/>
      <c r="V2562" s="133"/>
      <c r="W2562" s="133"/>
      <c r="X2562" s="133"/>
      <c r="Y2562" s="133"/>
      <c r="Z2562" s="133"/>
    </row>
    <row r="2563">
      <c r="A2563" s="133"/>
      <c r="B2563" s="133"/>
      <c r="C2563" s="133" t="str">
        <f>IFERROR(__xludf.DUMMYFUNCTION("""COMPUTED_VALUE"""),"2025-169104")</f>
        <v>2025-169104</v>
      </c>
      <c r="D2563" s="133"/>
      <c r="E2563" s="133" t="str">
        <f>IFERROR(__xludf.DUMMYFUNCTION("""COMPUTED_VALUE"""),"مكتمل ")</f>
        <v>مكتمل </v>
      </c>
      <c r="F2563" s="133" t="str">
        <f>IFERROR(__xludf.DUMMYFUNCTION("""COMPUTED_VALUE"""),"Felyn Go C&amp;B Cans Tuna with Papaya in Gravy 75g")</f>
        <v>Felyn Go C&amp;B Cans Tuna with Papaya in Gravy 75g</v>
      </c>
      <c r="G2563" s="133" t="str">
        <f>IFERROR(__xludf.DUMMYFUNCTION("""COMPUTED_VALUE"""),"فيلان جو حساء التونة مع البابايا")</f>
        <v>فيلان جو حساء التونة مع البابايا</v>
      </c>
      <c r="H2563" s="133" t="str">
        <f>IFERROR(__xludf.DUMMYFUNCTION("""COMPUTED_VALUE"""),"FEM-25-3729-FEP-2025-3682-C-22548-2610
")</f>
        <v>FEM-25-3729-FEP-2025-3682-C-22548-2610
</v>
      </c>
      <c r="I2563" s="133"/>
      <c r="J2563" s="133"/>
      <c r="K2563" s="133"/>
      <c r="L2563" s="133"/>
      <c r="M2563" s="133"/>
      <c r="N2563" s="133"/>
      <c r="O2563" s="133"/>
      <c r="P2563" s="133"/>
      <c r="Q2563" s="133"/>
      <c r="R2563" s="133"/>
      <c r="S2563" s="133"/>
      <c r="T2563" s="133"/>
      <c r="U2563" s="133"/>
      <c r="V2563" s="133"/>
      <c r="W2563" s="133"/>
      <c r="X2563" s="133"/>
      <c r="Y2563" s="133"/>
      <c r="Z2563" s="133"/>
    </row>
    <row r="2564">
      <c r="A2564" s="133"/>
      <c r="B2564" s="133"/>
      <c r="C2564" s="133" t="str">
        <f>IFERROR(__xludf.DUMMYFUNCTION("""COMPUTED_VALUE"""),"2025-169113")</f>
        <v>2025-169113</v>
      </c>
      <c r="D2564" s="133"/>
      <c r="E2564" s="133" t="str">
        <f>IFERROR(__xludf.DUMMYFUNCTION("""COMPUTED_VALUE"""),"مكتمل ")</f>
        <v>مكتمل </v>
      </c>
      <c r="F2564" s="133" t="str">
        <f>IFERROR(__xludf.DUMMYFUNCTION("""COMPUTED_VALUE"""),"Felyn Go C&amp;B Cans Chicken in Jelly for Kittens 75g")</f>
        <v>Felyn Go C&amp;B Cans Chicken in Jelly for Kittens 75g</v>
      </c>
      <c r="G2564" s="133" t="str">
        <f>IFERROR(__xludf.DUMMYFUNCTION("""COMPUTED_VALUE"""),"فيلان جو صدر الدجاج للقطط الصغيرة")</f>
        <v>فيلان جو صدر الدجاج للقطط الصغيرة</v>
      </c>
      <c r="H2564" s="133" t="str">
        <f>IFERROR(__xludf.DUMMYFUNCTION("""COMPUTED_VALUE"""),"FEM-25-3731-FEP-2025-3684-C-22548-2609
")</f>
        <v>FEM-25-3731-FEP-2025-3684-C-22548-2609
</v>
      </c>
      <c r="I2564" s="133"/>
      <c r="J2564" s="133"/>
      <c r="K2564" s="133"/>
      <c r="L2564" s="133"/>
      <c r="M2564" s="133"/>
      <c r="N2564" s="133"/>
      <c r="O2564" s="133"/>
      <c r="P2564" s="133"/>
      <c r="Q2564" s="133"/>
      <c r="R2564" s="133"/>
      <c r="S2564" s="133"/>
      <c r="T2564" s="133"/>
      <c r="U2564" s="133"/>
      <c r="V2564" s="133"/>
      <c r="W2564" s="133"/>
      <c r="X2564" s="133"/>
      <c r="Y2564" s="133"/>
      <c r="Z2564" s="133"/>
    </row>
    <row r="2565">
      <c r="A2565" s="133"/>
      <c r="B2565" s="133"/>
      <c r="C2565" s="133" t="str">
        <f>IFERROR(__xludf.DUMMYFUNCTION("""COMPUTED_VALUE"""),"2025-171831")</f>
        <v>2025-171831</v>
      </c>
      <c r="D2565" s="133"/>
      <c r="E2565" s="133" t="str">
        <f>IFERROR(__xludf.DUMMYFUNCTION("""COMPUTED_VALUE"""),"مكتمل ")</f>
        <v>مكتمل </v>
      </c>
      <c r="F2565" s="133" t="str">
        <f>IFERROR(__xludf.DUMMYFUNCTION("""COMPUTED_VALUE"""),"CéDé hand rearing food Energy+ P19 200g 800g 3kg")</f>
        <v>CéDé hand rearing food Energy+ P19 200g 800g 3kg</v>
      </c>
      <c r="G2565" s="133"/>
      <c r="H2565" s="133" t="str">
        <f>IFERROR(__xludf.DUMMYFUNCTION("""COMPUTED_VALUE"""),"FOM-2024-1423-FEP-2025-3732-C-22548-2358
")</f>
        <v>FOM-2024-1423-FEP-2025-3732-C-22548-2358
</v>
      </c>
      <c r="I2565" s="133"/>
      <c r="J2565" s="133"/>
      <c r="K2565" s="133"/>
      <c r="L2565" s="133"/>
      <c r="M2565" s="133"/>
      <c r="N2565" s="133"/>
      <c r="O2565" s="133"/>
      <c r="P2565" s="133"/>
      <c r="Q2565" s="133"/>
      <c r="R2565" s="133"/>
      <c r="S2565" s="133"/>
      <c r="T2565" s="133"/>
      <c r="U2565" s="133"/>
      <c r="V2565" s="133"/>
      <c r="W2565" s="133"/>
      <c r="X2565" s="133"/>
      <c r="Y2565" s="133"/>
      <c r="Z2565" s="133"/>
    </row>
    <row r="2566">
      <c r="A2566" s="133"/>
      <c r="B2566" s="133"/>
      <c r="C2566" s="133" t="str">
        <f>IFERROR(__xludf.DUMMYFUNCTION("""COMPUTED_VALUE"""),"2025-172960")</f>
        <v>2025-172960</v>
      </c>
      <c r="D2566" s="133"/>
      <c r="E2566" s="133" t="str">
        <f>IFERROR(__xludf.DUMMYFUNCTION("""COMPUTED_VALUE"""),"مكتمل ")</f>
        <v>مكتمل </v>
      </c>
      <c r="F2566" s="133" t="str">
        <f>IFERROR(__xludf.DUMMYFUNCTION("""COMPUTED_VALUE"""),"CéDé hand rearing food Protein+ P21-F9 200g 800g 3kg")</f>
        <v>CéDé hand rearing food Protein+ P21-F9 200g 800g 3kg</v>
      </c>
      <c r="G2566" s="133"/>
      <c r="H2566" s="133" t="str">
        <f>IFERROR(__xludf.DUMMYFUNCTION("""COMPUTED_VALUE"""),"FEM-25-3800-FEP-2025-3741-C-22548-2359
")</f>
        <v>FEM-25-3800-FEP-2025-3741-C-22548-2359
</v>
      </c>
      <c r="I2566" s="133"/>
      <c r="J2566" s="133"/>
      <c r="K2566" s="133"/>
      <c r="L2566" s="133"/>
      <c r="M2566" s="133"/>
      <c r="N2566" s="133"/>
      <c r="O2566" s="133"/>
      <c r="P2566" s="133"/>
      <c r="Q2566" s="133"/>
      <c r="R2566" s="133"/>
      <c r="S2566" s="133"/>
      <c r="T2566" s="133"/>
      <c r="U2566" s="133"/>
      <c r="V2566" s="133"/>
      <c r="W2566" s="133"/>
      <c r="X2566" s="133"/>
      <c r="Y2566" s="133"/>
      <c r="Z2566" s="133"/>
    </row>
    <row r="2567">
      <c r="A2567" s="133"/>
      <c r="B2567" s="133"/>
      <c r="C2567" s="133"/>
      <c r="D2567" s="133"/>
      <c r="E2567" s="133" t="str">
        <f>IFERROR(__xludf.DUMMYFUNCTION("""COMPUTED_VALUE"""),"مكتمل")</f>
        <v>مكتمل</v>
      </c>
      <c r="F2567" s="133" t="str">
        <f>IFERROR(__xludf.DUMMYFUNCTION("""COMPUTED_VALUE"""),"Prestige Parrots Fruit Mega 15kg")</f>
        <v>Prestige Parrots Fruit Mega 15kg</v>
      </c>
      <c r="G2567" s="133" t="str">
        <f>IFERROR(__xludf.DUMMYFUNCTION("""COMPUTED_VALUE"""),"برستيج ببغاء فواكه ميجا 15 كجم
")</f>
        <v>برستيج ببغاء فواكه ميجا 15 كجم
</v>
      </c>
      <c r="H2567" s="133" t="str">
        <f>IFERROR(__xludf.DUMMYFUNCTION("""COMPUTED_VALUE"""),"FOM-2024-7202-FEB-2024-40121 -C-0041-60918
")</f>
        <v>FOM-2024-7202-FEB-2024-40121 -C-0041-60918
</v>
      </c>
      <c r="I2567" s="133"/>
      <c r="J2567" s="133"/>
      <c r="K2567" s="133"/>
      <c r="L2567" s="133"/>
      <c r="M2567" s="133"/>
      <c r="N2567" s="133"/>
      <c r="O2567" s="133"/>
      <c r="P2567" s="133"/>
      <c r="Q2567" s="133"/>
      <c r="R2567" s="133"/>
      <c r="S2567" s="133"/>
      <c r="T2567" s="133"/>
      <c r="U2567" s="133"/>
      <c r="V2567" s="133"/>
      <c r="W2567" s="133"/>
      <c r="X2567" s="133"/>
      <c r="Y2567" s="133"/>
      <c r="Z2567" s="133"/>
    </row>
    <row r="2568">
      <c r="A2568" s="133"/>
      <c r="B2568" s="133"/>
      <c r="C2568" s="133" t="str">
        <f>IFERROR(__xludf.DUMMYFUNCTION("""COMPUTED_VALUE"""),"2025-179775")</f>
        <v>2025-179775</v>
      </c>
      <c r="D2568" s="133"/>
      <c r="E2568" s="133" t="str">
        <f>IFERROR(__xludf.DUMMYFUNCTION("""COMPUTED_VALUE"""),"عاد لمقدم الطلب ")</f>
        <v>عاد لمقدم الطلب </v>
      </c>
      <c r="F2568" s="133" t="str">
        <f>IFERROR(__xludf.DUMMYFUNCTION("""COMPUTED_VALUE"""),"ZOLUX YUMMIES DOG SOFT TREATS LAMB 15g")</f>
        <v>ZOLUX YUMMIES DOG SOFT TREATS LAMB 15g</v>
      </c>
      <c r="G2568" s="133" t="str">
        <f>IFERROR(__xludf.DUMMYFUNCTION("""COMPUTED_VALUE"""),"زولكس يوميز مكافآت طرية للقطط بنكهة لحم الضأن")</f>
        <v>زولكس يوميز مكافآت طرية للقطط بنكهة لحم الضأن</v>
      </c>
      <c r="H2568" s="133"/>
      <c r="I2568" s="133"/>
      <c r="J2568" s="133"/>
      <c r="K2568" s="133"/>
      <c r="L2568" s="133"/>
      <c r="M2568" s="133"/>
      <c r="N2568" s="133"/>
      <c r="O2568" s="133"/>
      <c r="P2568" s="133"/>
      <c r="Q2568" s="133"/>
      <c r="R2568" s="133"/>
      <c r="S2568" s="133"/>
      <c r="T2568" s="133"/>
      <c r="U2568" s="133"/>
      <c r="V2568" s="133"/>
      <c r="W2568" s="133"/>
      <c r="X2568" s="133"/>
      <c r="Y2568" s="133"/>
      <c r="Z2568" s="133"/>
    </row>
    <row r="2569">
      <c r="A2569" s="133"/>
      <c r="B2569" s="133"/>
      <c r="C2569" s="133" t="str">
        <f>IFERROR(__xludf.DUMMYFUNCTION("""COMPUTED_VALUE"""),"2025-179837")</f>
        <v>2025-179837</v>
      </c>
      <c r="D2569" s="133"/>
      <c r="E2569" s="133" t="str">
        <f>IFERROR(__xludf.DUMMYFUNCTION("""COMPUTED_VALUE"""),"عاد لمقدم الطلب ")</f>
        <v>عاد لمقدم الطلب </v>
      </c>
      <c r="F2569" s="133" t="str">
        <f>IFERROR(__xludf.DUMMYFUNCTION("""COMPUTED_VALUE"""),"ZOLUX YUMMIES CAT SOFT STICKS TURKEY &amp; LIVER 15g")</f>
        <v>ZOLUX YUMMIES CAT SOFT STICKS TURKEY &amp; LIVER 15g</v>
      </c>
      <c r="G2569" s="133" t="str">
        <f>IFERROR(__xludf.DUMMYFUNCTION("""COMPUTED_VALUE"""),"زولكس يوميز مكافآت طرية للقطط بنكهة الديك الرومي مع الكبدة")</f>
        <v>زولكس يوميز مكافآت طرية للقطط بنكهة الديك الرومي مع الكبدة</v>
      </c>
      <c r="H2569" s="133"/>
      <c r="I2569" s="133"/>
      <c r="J2569" s="133"/>
      <c r="K2569" s="133"/>
      <c r="L2569" s="133"/>
      <c r="M2569" s="133"/>
      <c r="N2569" s="133"/>
      <c r="O2569" s="133"/>
      <c r="P2569" s="133"/>
      <c r="Q2569" s="133"/>
      <c r="R2569" s="133"/>
      <c r="S2569" s="133"/>
      <c r="T2569" s="133"/>
      <c r="U2569" s="133"/>
      <c r="V2569" s="133"/>
      <c r="W2569" s="133"/>
      <c r="X2569" s="133"/>
      <c r="Y2569" s="133"/>
      <c r="Z2569" s="133"/>
    </row>
    <row r="2570">
      <c r="A2570" s="133"/>
      <c r="B2570" s="133"/>
      <c r="C2570" s="133" t="str">
        <f>IFERROR(__xludf.DUMMYFUNCTION("""COMPUTED_VALUE"""),"2025-179850")</f>
        <v>2025-179850</v>
      </c>
      <c r="D2570" s="133"/>
      <c r="E2570" s="133" t="str">
        <f>IFERROR(__xludf.DUMMYFUNCTION("""COMPUTED_VALUE"""),"مكتمل ")</f>
        <v>مكتمل </v>
      </c>
      <c r="F2570" s="133" t="str">
        <f>IFERROR(__xludf.DUMMYFUNCTION("""COMPUTED_VALUE"""),"ZOLUX YUMMIES DOG SOFT TREATS CHICKEN 12g")</f>
        <v>ZOLUX YUMMIES DOG SOFT TREATS CHICKEN 12g</v>
      </c>
      <c r="G2570" s="133" t="str">
        <f>IFERROR(__xludf.DUMMYFUNCTION("""COMPUTED_VALUE"""),"زولكس يوميز مكافآت طرية للكلاب بنكهة الدجاج")</f>
        <v>زولكس يوميز مكافآت طرية للكلاب بنكهة الدجاج</v>
      </c>
      <c r="H2570" s="133" t="str">
        <f>IFERROR(__xludf.DUMMYFUNCTION("""COMPUTED_VALUE"""),"FEM-25-3892-FEP-2025-3867-C-22548-2503
")</f>
        <v>FEM-25-3892-FEP-2025-3867-C-22548-2503
</v>
      </c>
      <c r="I2570" s="133"/>
      <c r="J2570" s="133"/>
      <c r="K2570" s="133"/>
      <c r="L2570" s="133"/>
      <c r="M2570" s="133"/>
      <c r="N2570" s="133"/>
      <c r="O2570" s="133"/>
      <c r="P2570" s="133"/>
      <c r="Q2570" s="133"/>
      <c r="R2570" s="133"/>
      <c r="S2570" s="133"/>
      <c r="T2570" s="133"/>
      <c r="U2570" s="133"/>
      <c r="V2570" s="133"/>
      <c r="W2570" s="133"/>
      <c r="X2570" s="133"/>
      <c r="Y2570" s="133"/>
      <c r="Z2570" s="133"/>
    </row>
    <row r="2571">
      <c r="A2571" s="133"/>
      <c r="B2571" s="133"/>
      <c r="C2571" s="133" t="str">
        <f>IFERROR(__xludf.DUMMYFUNCTION("""COMPUTED_VALUE"""),"2025-179878")</f>
        <v>2025-179878</v>
      </c>
      <c r="D2571" s="133"/>
      <c r="E2571" s="133" t="str">
        <f>IFERROR(__xludf.DUMMYFUNCTION("""COMPUTED_VALUE"""),"مكتمل ")</f>
        <v>مكتمل </v>
      </c>
      <c r="F2571" s="133" t="str">
        <f>IFERROR(__xludf.DUMMYFUNCTION("""COMPUTED_VALUE"""),"ZOLUX YUMMIES CAT SOFT STICKS SALMON TROUT 15g")</f>
        <v>ZOLUX YUMMIES CAT SOFT STICKS SALMON TROUT 15g</v>
      </c>
      <c r="G2571" s="133" t="str">
        <f>IFERROR(__xludf.DUMMYFUNCTION("""COMPUTED_VALUE"""),"زولكس يوميز مكافآت طرية للقطط بنكهة السلمون المرقط")</f>
        <v>زولكس يوميز مكافآت طرية للقطط بنكهة السلمون المرقط</v>
      </c>
      <c r="H2571" s="133" t="str">
        <f>IFERROR(__xludf.DUMMYFUNCTION("""COMPUTED_VALUE"""),"FEM-25-3894-FEP-2025-3870-C-22548-2993
")</f>
        <v>FEM-25-3894-FEP-2025-3870-C-22548-2993
</v>
      </c>
      <c r="I2571" s="133"/>
      <c r="J2571" s="133"/>
      <c r="K2571" s="133"/>
      <c r="L2571" s="133"/>
      <c r="M2571" s="133"/>
      <c r="N2571" s="133"/>
      <c r="O2571" s="133"/>
      <c r="P2571" s="133"/>
      <c r="Q2571" s="133"/>
      <c r="R2571" s="133"/>
      <c r="S2571" s="133"/>
      <c r="T2571" s="133"/>
      <c r="U2571" s="133"/>
      <c r="V2571" s="133"/>
      <c r="W2571" s="133"/>
      <c r="X2571" s="133"/>
      <c r="Y2571" s="133"/>
      <c r="Z2571" s="133"/>
    </row>
    <row r="2572">
      <c r="A2572" s="133"/>
      <c r="B2572" s="133"/>
      <c r="C2572" s="133" t="str">
        <f>IFERROR(__xludf.DUMMYFUNCTION("""COMPUTED_VALUE"""),"2025-179890")</f>
        <v>2025-179890</v>
      </c>
      <c r="D2572" s="133"/>
      <c r="E2572" s="133" t="str">
        <f>IFERROR(__xludf.DUMMYFUNCTION("""COMPUTED_VALUE"""),"مكتمل ")</f>
        <v>مكتمل </v>
      </c>
      <c r="F2572" s="133" t="str">
        <f>IFERROR(__xludf.DUMMYFUNCTION("""COMPUTED_VALUE"""),"ZOLUX YUMMIES CAT SOFT STICKS LAMB 12g")</f>
        <v>ZOLUX YUMMIES CAT SOFT STICKS LAMB 12g</v>
      </c>
      <c r="G2572" s="133" t="str">
        <f>IFERROR(__xludf.DUMMYFUNCTION("""COMPUTED_VALUE"""),"زولكس يوميز مكافآت طرية للكلاب بنكهة لحم الضأن")</f>
        <v>زولكس يوميز مكافآت طرية للكلاب بنكهة لحم الضأن</v>
      </c>
      <c r="H2572" s="133" t="str">
        <f>IFERROR(__xludf.DUMMYFUNCTION("""COMPUTED_VALUE"""),"FEM-25-3895-FEP-2025-3871-C-22548-2502
")</f>
        <v>FEM-25-3895-FEP-2025-3871-C-22548-2502
</v>
      </c>
      <c r="I2572" s="133"/>
      <c r="J2572" s="133"/>
      <c r="K2572" s="133"/>
      <c r="L2572" s="133"/>
      <c r="M2572" s="133"/>
      <c r="N2572" s="133"/>
      <c r="O2572" s="133"/>
      <c r="P2572" s="133"/>
      <c r="Q2572" s="133"/>
      <c r="R2572" s="133"/>
      <c r="S2572" s="133"/>
      <c r="T2572" s="133"/>
      <c r="U2572" s="133"/>
      <c r="V2572" s="133"/>
      <c r="W2572" s="133"/>
      <c r="X2572" s="133"/>
      <c r="Y2572" s="133"/>
      <c r="Z2572" s="133"/>
    </row>
    <row r="2573">
      <c r="A2573" s="133"/>
      <c r="B2573" s="133"/>
      <c r="C2573" s="133" t="str">
        <f>IFERROR(__xludf.DUMMYFUNCTION("""COMPUTED_VALUE"""),"2025-179903")</f>
        <v>2025-179903</v>
      </c>
      <c r="D2573" s="133"/>
      <c r="E2573" s="133" t="str">
        <f>IFERROR(__xludf.DUMMYFUNCTION("""COMPUTED_VALUE"""),"مكتمل ")</f>
        <v>مكتمل </v>
      </c>
      <c r="F2573" s="133" t="str">
        <f>IFERROR(__xludf.DUMMYFUNCTION("""COMPUTED_VALUE"""),"ZOLUX YUMMIES DOG SOFT TREATS BEEF 12g")</f>
        <v>ZOLUX YUMMIES DOG SOFT TREATS BEEF 12g</v>
      </c>
      <c r="G2573" s="133" t="str">
        <f>IFERROR(__xludf.DUMMYFUNCTION("""COMPUTED_VALUE"""),"زولكس يوميز مكافآت طرية للكلاب بنكهة اللحم البقري")</f>
        <v>زولكس يوميز مكافآت طرية للكلاب بنكهة اللحم البقري</v>
      </c>
      <c r="H2573" s="133" t="str">
        <f>IFERROR(__xludf.DUMMYFUNCTION("""COMPUTED_VALUE"""),"FEM-25-3897-FEP-2025-3873-C-22548-2501
")</f>
        <v>FEM-25-3897-FEP-2025-3873-C-22548-2501
</v>
      </c>
      <c r="I2573" s="133"/>
      <c r="J2573" s="133"/>
      <c r="K2573" s="133"/>
      <c r="L2573" s="133"/>
      <c r="M2573" s="133"/>
      <c r="N2573" s="133"/>
      <c r="O2573" s="133"/>
      <c r="P2573" s="133"/>
      <c r="Q2573" s="133"/>
      <c r="R2573" s="133"/>
      <c r="S2573" s="133"/>
      <c r="T2573" s="133"/>
      <c r="U2573" s="133"/>
      <c r="V2573" s="133"/>
      <c r="W2573" s="133"/>
      <c r="X2573" s="133"/>
      <c r="Y2573" s="133"/>
      <c r="Z2573" s="133"/>
    </row>
    <row r="2574">
      <c r="A2574" s="133"/>
      <c r="B2574" s="133"/>
      <c r="C2574" s="133" t="str">
        <f>IFERROR(__xludf.DUMMYFUNCTION("""COMPUTED_VALUE"""),"2025-199033")</f>
        <v>2025-199033</v>
      </c>
      <c r="D2574" s="133"/>
      <c r="E2574" s="133" t="str">
        <f>IFERROR(__xludf.DUMMYFUNCTION("""COMPUTED_VALUE"""),"مكتمل ")</f>
        <v>مكتمل </v>
      </c>
      <c r="F2574" s="133" t="str">
        <f>IFERROR(__xludf.DUMMYFUNCTION("""COMPUTED_VALUE"""),"Kit Cat Deboned Kitten Chicken Toppers 6x50g")</f>
        <v>Kit Cat Deboned Kitten Chicken Toppers 6x50g</v>
      </c>
      <c r="G2574" s="133" t="str">
        <f>IFERROR(__xludf.DUMMYFUNCTION("""COMPUTED_VALUE"""),"كت كات معلبات دجاج كتن في الجيلي")</f>
        <v>كت كات معلبات دجاج كتن في الجيلي</v>
      </c>
      <c r="H2574" s="133" t="str">
        <f>IFERROR(__xludf.DUMMYFUNCTION("""COMPUTED_VALUE"""),"FEM-25-4255-FEP-2025-4237-C-22548-2732
")</f>
        <v>FEM-25-4255-FEP-2025-4237-C-22548-2732
</v>
      </c>
      <c r="I2574" s="133"/>
      <c r="J2574" s="133"/>
      <c r="K2574" s="133"/>
      <c r="L2574" s="133"/>
      <c r="M2574" s="133"/>
      <c r="N2574" s="133"/>
      <c r="O2574" s="133"/>
      <c r="P2574" s="133"/>
      <c r="Q2574" s="133"/>
      <c r="R2574" s="133"/>
      <c r="S2574" s="133"/>
      <c r="T2574" s="133"/>
      <c r="U2574" s="133"/>
      <c r="V2574" s="133"/>
      <c r="W2574" s="133"/>
      <c r="X2574" s="133"/>
      <c r="Y2574" s="133"/>
      <c r="Z2574" s="133"/>
    </row>
    <row r="2575">
      <c r="A2575" s="133"/>
      <c r="B2575" s="133"/>
      <c r="C2575" s="133" t="str">
        <f>IFERROR(__xludf.DUMMYFUNCTION("""COMPUTED_VALUE"""),"2025-199067")</f>
        <v>2025-199067</v>
      </c>
      <c r="D2575" s="133"/>
      <c r="E2575" s="133" t="str">
        <f>IFERROR(__xludf.DUMMYFUNCTION("""COMPUTED_VALUE"""),"مكتمل ")</f>
        <v>مكتمل </v>
      </c>
      <c r="F2575" s="133" t="str">
        <f>IFERROR(__xludf.DUMMYFUNCTION("""COMPUTED_VALUE"""),"Kit Cat Deboned Kitten Tuna Toppers 6x50g")</f>
        <v>Kit Cat Deboned Kitten Tuna Toppers 6x50g</v>
      </c>
      <c r="G2575" s="133" t="str">
        <f>IFERROR(__xludf.DUMMYFUNCTION("""COMPUTED_VALUE"""),"كت كات معلبات تونا كتن في الجيلي")</f>
        <v>كت كات معلبات تونا كتن في الجيلي</v>
      </c>
      <c r="H2575" s="133" t="str">
        <f>IFERROR(__xludf.DUMMYFUNCTION("""COMPUTED_VALUE"""),"FEM-25-4257-FEP-2025-4239-C-22548-2855
")</f>
        <v>FEM-25-4257-FEP-2025-4239-C-22548-2855
</v>
      </c>
      <c r="I2575" s="133"/>
      <c r="J2575" s="133"/>
      <c r="K2575" s="133"/>
      <c r="L2575" s="133"/>
      <c r="M2575" s="133"/>
      <c r="N2575" s="133"/>
      <c r="O2575" s="133"/>
      <c r="P2575" s="133"/>
      <c r="Q2575" s="133"/>
      <c r="R2575" s="133"/>
      <c r="S2575" s="133"/>
      <c r="T2575" s="133"/>
      <c r="U2575" s="133"/>
      <c r="V2575" s="133"/>
      <c r="W2575" s="133"/>
      <c r="X2575" s="133"/>
      <c r="Y2575" s="133"/>
      <c r="Z2575" s="133"/>
    </row>
    <row r="2576">
      <c r="A2576" s="133"/>
      <c r="B2576" s="133"/>
      <c r="C2576" s="133" t="str">
        <f>IFERROR(__xludf.DUMMYFUNCTION("""COMPUTED_VALUE"""),"2025-199084")</f>
        <v>2025-199084</v>
      </c>
      <c r="D2576" s="133"/>
      <c r="E2576" s="133" t="str">
        <f>IFERROR(__xludf.DUMMYFUNCTION("""COMPUTED_VALUE"""),"مكتمل ")</f>
        <v>مكتمل </v>
      </c>
      <c r="F2576" s="133" t="str">
        <f>IFERROR(__xludf.DUMMYFUNCTION("""COMPUTED_VALUE"""),"Kit Cat Deboned Chicken &amp; Beef Toppers 6x50g")</f>
        <v>Kit Cat Deboned Chicken &amp; Beef Toppers 6x50g</v>
      </c>
      <c r="G2576" s="133" t="str">
        <f>IFERROR(__xludf.DUMMYFUNCTION("""COMPUTED_VALUE"""),"كت كات دجاج منزوع العظم و لحم بقري")</f>
        <v>كت كات دجاج منزوع العظم و لحم بقري</v>
      </c>
      <c r="H2576" s="133" t="str">
        <f>IFERROR(__xludf.DUMMYFUNCTION("""COMPUTED_VALUE"""),"FEM-25-4258-FEP-2025-4240-C-22548-2983
")</f>
        <v>FEM-25-4258-FEP-2025-4240-C-22548-2983
</v>
      </c>
      <c r="I2576" s="133"/>
      <c r="J2576" s="133"/>
      <c r="K2576" s="133"/>
      <c r="L2576" s="133"/>
      <c r="M2576" s="133"/>
      <c r="N2576" s="133"/>
      <c r="O2576" s="133"/>
      <c r="P2576" s="133"/>
      <c r="Q2576" s="133"/>
      <c r="R2576" s="133"/>
      <c r="S2576" s="133"/>
      <c r="T2576" s="133"/>
      <c r="U2576" s="133"/>
      <c r="V2576" s="133"/>
      <c r="W2576" s="133"/>
      <c r="X2576" s="133"/>
      <c r="Y2576" s="133"/>
      <c r="Z2576" s="133"/>
    </row>
    <row r="2577">
      <c r="A2577" s="133"/>
      <c r="B2577" s="133"/>
      <c r="C2577" s="133" t="str">
        <f>IFERROR(__xludf.DUMMYFUNCTION("""COMPUTED_VALUE"""),"2025-199117")</f>
        <v>2025-199117</v>
      </c>
      <c r="D2577" s="133"/>
      <c r="E2577" s="133" t="str">
        <f>IFERROR(__xludf.DUMMYFUNCTION("""COMPUTED_VALUE"""),"مكتمل ")</f>
        <v>مكتمل </v>
      </c>
      <c r="F2577" s="133" t="str">
        <f>IFERROR(__xludf.DUMMYFUNCTION("""COMPUTED_VALUE"""),"Kit Cat Deboned Classic Chicken Toppers 6x50g")</f>
        <v>Kit Cat Deboned Classic Chicken Toppers 6x50g</v>
      </c>
      <c r="G2577" s="133" t="str">
        <f>IFERROR(__xludf.DUMMYFUNCTION("""COMPUTED_VALUE"""),"كت كات دجاج كلاسيكي منزوع العظم")</f>
        <v>كت كات دجاج كلاسيكي منزوع العظم</v>
      </c>
      <c r="H2577" s="133" t="str">
        <f>IFERROR(__xludf.DUMMYFUNCTION("""COMPUTED_VALUE"""),"FEM-25-4260-FEP-2025-4243-C-22548-2984
")</f>
        <v>FEM-25-4260-FEP-2025-4243-C-22548-2984
</v>
      </c>
      <c r="I2577" s="133"/>
      <c r="J2577" s="133"/>
      <c r="K2577" s="133"/>
      <c r="L2577" s="133"/>
      <c r="M2577" s="133"/>
      <c r="N2577" s="133"/>
      <c r="O2577" s="133"/>
      <c r="P2577" s="133"/>
      <c r="Q2577" s="133"/>
      <c r="R2577" s="133"/>
      <c r="S2577" s="133"/>
      <c r="T2577" s="133"/>
      <c r="U2577" s="133"/>
      <c r="V2577" s="133"/>
      <c r="W2577" s="133"/>
      <c r="X2577" s="133"/>
      <c r="Y2577" s="133"/>
      <c r="Z2577" s="133"/>
    </row>
    <row r="2578">
      <c r="A2578" s="133"/>
      <c r="B2578" s="133"/>
      <c r="C2578" s="133" t="str">
        <f>IFERROR(__xludf.DUMMYFUNCTION("""COMPUTED_VALUE"""),"2025-199151")</f>
        <v>2025-199151</v>
      </c>
      <c r="D2578" s="133"/>
      <c r="E2578" s="133" t="str">
        <f>IFERROR(__xludf.DUMMYFUNCTION("""COMPUTED_VALUE"""),"مكتمل ")</f>
        <v>مكتمل </v>
      </c>
      <c r="F2578" s="133" t="str">
        <f>IFERROR(__xludf.DUMMYFUNCTION("""COMPUTED_VALUE"""),"Kit Cat Deboned Classic Tuna Toppers 6x50g")</f>
        <v>Kit Cat Deboned Classic Tuna Toppers 6x50g</v>
      </c>
      <c r="G2578" s="133" t="str">
        <f>IFERROR(__xludf.DUMMYFUNCTION("""COMPUTED_VALUE"""),"كت كات تونا كلاسيك منزوع العظم")</f>
        <v>كت كات تونا كلاسيك منزوع العظم</v>
      </c>
      <c r="H2578" s="133" t="str">
        <f>IFERROR(__xludf.DUMMYFUNCTION("""COMPUTED_VALUE"""),"FEM-25-4261-FEP-2025-4244-C-22548-2994
")</f>
        <v>FEM-25-4261-FEP-2025-4244-C-22548-2994
</v>
      </c>
      <c r="I2578" s="133"/>
      <c r="J2578" s="133"/>
      <c r="K2578" s="133"/>
      <c r="L2578" s="133"/>
      <c r="M2578" s="133"/>
      <c r="N2578" s="133"/>
      <c r="O2578" s="133"/>
      <c r="P2578" s="133"/>
      <c r="Q2578" s="133"/>
      <c r="R2578" s="133"/>
      <c r="S2578" s="133"/>
      <c r="T2578" s="133"/>
      <c r="U2578" s="133"/>
      <c r="V2578" s="133"/>
      <c r="W2578" s="133"/>
      <c r="X2578" s="133"/>
      <c r="Y2578" s="133"/>
      <c r="Z2578" s="133"/>
    </row>
    <row r="2579">
      <c r="A2579" s="133"/>
      <c r="B2579" s="133"/>
      <c r="C2579" s="133" t="str">
        <f>IFERROR(__xludf.DUMMYFUNCTION("""COMPUTED_VALUE"""),"2025-199189")</f>
        <v>2025-199189</v>
      </c>
      <c r="D2579" s="133"/>
      <c r="E2579" s="133" t="str">
        <f>IFERROR(__xludf.DUMMYFUNCTION("""COMPUTED_VALUE"""),"مكتمل ")</f>
        <v>مكتمل </v>
      </c>
      <c r="F2579" s="133" t="str">
        <f>IFERROR(__xludf.DUMMYFUNCTION("""COMPUTED_VALUE"""),"Kit Cat Deboned Chicken &amp; Salmon Toppers 6x50g")</f>
        <v>Kit Cat Deboned Chicken &amp; Salmon Toppers 6x50g</v>
      </c>
      <c r="G2579" s="133" t="str">
        <f>IFERROR(__xludf.DUMMYFUNCTION("""COMPUTED_VALUE"""),"كت كات دجاج منزوع العظم و السلمون")</f>
        <v>كت كات دجاج منزوع العظم و السلمون</v>
      </c>
      <c r="H2579" s="133" t="str">
        <f>IFERROR(__xludf.DUMMYFUNCTION("""COMPUTED_VALUE"""),"FEM-25-4263-FEP-2025-4245-C-22548-3004
")</f>
        <v>FEM-25-4263-FEP-2025-4245-C-22548-3004
</v>
      </c>
      <c r="I2579" s="133"/>
      <c r="J2579" s="133"/>
      <c r="K2579" s="133"/>
      <c r="L2579" s="133"/>
      <c r="M2579" s="133"/>
      <c r="N2579" s="133"/>
      <c r="O2579" s="133"/>
      <c r="P2579" s="133"/>
      <c r="Q2579" s="133"/>
      <c r="R2579" s="133"/>
      <c r="S2579" s="133"/>
      <c r="T2579" s="133"/>
      <c r="U2579" s="133"/>
      <c r="V2579" s="133"/>
      <c r="W2579" s="133"/>
      <c r="X2579" s="133"/>
      <c r="Y2579" s="133"/>
      <c r="Z2579" s="133"/>
    </row>
    <row r="2580">
      <c r="A2580" s="133"/>
      <c r="B2580" s="133"/>
      <c r="C2580" s="133" t="str">
        <f>IFERROR(__xludf.DUMMYFUNCTION("""COMPUTED_VALUE"""),"2025-199197")</f>
        <v>2025-199197</v>
      </c>
      <c r="D2580" s="133"/>
      <c r="E2580" s="133" t="str">
        <f>IFERROR(__xludf.DUMMYFUNCTION("""COMPUTED_VALUE"""),"مكتمل ")</f>
        <v>مكتمل </v>
      </c>
      <c r="F2580" s="133" t="str">
        <f>IFERROR(__xludf.DUMMYFUNCTION("""COMPUTED_VALUE"""),"Kit Cat Deboned Tuna &amp; Chicken Toppers 6x50g")</f>
        <v>Kit Cat Deboned Tuna &amp; Chicken Toppers 6x50g</v>
      </c>
      <c r="G2580" s="133" t="str">
        <f>IFERROR(__xludf.DUMMYFUNCTION("""COMPUTED_VALUE"""),"كت كات تونا منزوع العظم و دجاج")</f>
        <v>كت كات تونا منزوع العظم و دجاج</v>
      </c>
      <c r="H2580" s="133" t="str">
        <f>IFERROR(__xludf.DUMMYFUNCTION("""COMPUTED_VALUE"""),"FEM-25-4264-FEP-2025-4246-C-22548-2886
")</f>
        <v>FEM-25-4264-FEP-2025-4246-C-22548-2886
</v>
      </c>
      <c r="I2580" s="133"/>
      <c r="J2580" s="133"/>
      <c r="K2580" s="133"/>
      <c r="L2580" s="133"/>
      <c r="M2580" s="133"/>
      <c r="N2580" s="133"/>
      <c r="O2580" s="133"/>
      <c r="P2580" s="133"/>
      <c r="Q2580" s="133"/>
      <c r="R2580" s="133"/>
      <c r="S2580" s="133"/>
      <c r="T2580" s="133"/>
      <c r="U2580" s="133"/>
      <c r="V2580" s="133"/>
      <c r="W2580" s="133"/>
      <c r="X2580" s="133"/>
      <c r="Y2580" s="133"/>
      <c r="Z2580" s="133"/>
    </row>
    <row r="2581">
      <c r="A2581" s="133"/>
      <c r="B2581" s="133"/>
      <c r="C2581" s="133" t="str">
        <f>IFERROR(__xludf.DUMMYFUNCTION("""COMPUTED_VALUE"""),"2025-580226")</f>
        <v>2025-580226</v>
      </c>
      <c r="D2581" s="133"/>
      <c r="E2581" s="133" t="str">
        <f>IFERROR(__xludf.DUMMYFUNCTION("""COMPUTED_VALUE"""),"مكتمل ")</f>
        <v>مكتمل </v>
      </c>
      <c r="F2581" s="133" t="str">
        <f>IFERROR(__xludf.DUMMYFUNCTION("""COMPUTED_VALUE"""),"Kit Cat Deboned Tuna &amp; Salmon Toppers 6x50g")</f>
        <v>Kit Cat Deboned Tuna &amp; Salmon Toppers 6x50g</v>
      </c>
      <c r="G2581" s="133" t="str">
        <f>IFERROR(__xludf.DUMMYFUNCTION("""COMPUTED_VALUE"""),"كت كات تونا منزوع العظم و سالمون")</f>
        <v>كت كات تونا منزوع العظم و سالمون</v>
      </c>
      <c r="H2581" s="133"/>
      <c r="I2581" s="133"/>
      <c r="J2581" s="133"/>
      <c r="K2581" s="133"/>
      <c r="L2581" s="133"/>
      <c r="M2581" s="133"/>
      <c r="N2581" s="133"/>
      <c r="O2581" s="133"/>
      <c r="P2581" s="133"/>
      <c r="Q2581" s="133"/>
      <c r="R2581" s="133"/>
      <c r="S2581" s="133"/>
      <c r="T2581" s="133"/>
      <c r="U2581" s="133"/>
      <c r="V2581" s="133"/>
      <c r="W2581" s="133"/>
      <c r="X2581" s="133"/>
      <c r="Y2581" s="133"/>
      <c r="Z2581" s="133"/>
    </row>
    <row r="2582">
      <c r="A2582" s="133"/>
      <c r="B2582" s="133"/>
      <c r="C2582" s="133" t="str">
        <f>IFERROR(__xludf.DUMMYFUNCTION("""COMPUTED_VALUE"""),"2025-580270")</f>
        <v>2025-580270</v>
      </c>
      <c r="D2582" s="133"/>
      <c r="E2582" s="133" t="str">
        <f>IFERROR(__xludf.DUMMYFUNCTION("""COMPUTED_VALUE"""),"مكتمل ")</f>
        <v>مكتمل </v>
      </c>
      <c r="F2582" s="133" t="str">
        <f>IFERROR(__xludf.DUMMYFUNCTION("""COMPUTED_VALUE"""),"Kit Cat Deboned Tuna &amp; Shrimp Toppers 6x50g")</f>
        <v>Kit Cat Deboned Tuna &amp; Shrimp Toppers 6x50g</v>
      </c>
      <c r="G2582" s="133" t="str">
        <f>IFERROR(__xludf.DUMMYFUNCTION("""COMPUTED_VALUE"""),"كت كات تونا منزوع العظم و جمبري")</f>
        <v>كت كات تونا منزوع العظم و جمبري</v>
      </c>
      <c r="H2582" s="133"/>
      <c r="I2582" s="133"/>
      <c r="J2582" s="133"/>
      <c r="K2582" s="133"/>
      <c r="L2582" s="133"/>
      <c r="M2582" s="133"/>
      <c r="N2582" s="133"/>
      <c r="O2582" s="133"/>
      <c r="P2582" s="133"/>
      <c r="Q2582" s="133"/>
      <c r="R2582" s="133"/>
      <c r="S2582" s="133"/>
      <c r="T2582" s="133"/>
      <c r="U2582" s="133"/>
      <c r="V2582" s="133"/>
      <c r="W2582" s="133"/>
      <c r="X2582" s="133"/>
      <c r="Y2582" s="133"/>
      <c r="Z2582" s="133"/>
    </row>
    <row r="2583">
      <c r="A2583" s="133"/>
      <c r="B2583" s="133"/>
      <c r="C2583" s="133" t="str">
        <f>IFERROR(__xludf.DUMMYFUNCTION("""COMPUTED_VALUE"""),"2025-199279")</f>
        <v>2025-199279</v>
      </c>
      <c r="D2583" s="133"/>
      <c r="E2583" s="133" t="str">
        <f>IFERROR(__xludf.DUMMYFUNCTION("""COMPUTED_VALUE"""),"مكتمل ")</f>
        <v>مكتمل </v>
      </c>
      <c r="F2583" s="133" t="str">
        <f>IFERROR(__xludf.DUMMYFUNCTION("""COMPUTED_VALUE"""),"Kit Cat Deboned Tuna &amp; Whitebait Toppers 6x50g")</f>
        <v>Kit Cat Deboned Tuna &amp; Whitebait Toppers 6x50g</v>
      </c>
      <c r="G2583" s="133" t="str">
        <f>IFERROR(__xludf.DUMMYFUNCTION("""COMPUTED_VALUE"""),"كت كات تونا منزوع العظم وصغار السمك")</f>
        <v>كت كات تونا منزوع العظم وصغار السمك</v>
      </c>
      <c r="H2583" s="133" t="str">
        <f>IFERROR(__xludf.DUMMYFUNCTION("""COMPUTED_VALUE"""),"FEM-25-4267-FEP-2025-4250-C-22548-2852
")</f>
        <v>FEM-25-4267-FEP-2025-4250-C-22548-2852
</v>
      </c>
      <c r="I2583" s="133"/>
      <c r="J2583" s="133"/>
      <c r="K2583" s="133"/>
      <c r="L2583" s="133"/>
      <c r="M2583" s="133"/>
      <c r="N2583" s="133"/>
      <c r="O2583" s="133"/>
      <c r="P2583" s="133"/>
      <c r="Q2583" s="133"/>
      <c r="R2583" s="133"/>
      <c r="S2583" s="133"/>
      <c r="T2583" s="133"/>
      <c r="U2583" s="133"/>
      <c r="V2583" s="133"/>
      <c r="W2583" s="133"/>
      <c r="X2583" s="133"/>
      <c r="Y2583" s="133"/>
      <c r="Z2583" s="133"/>
    </row>
    <row r="2584">
      <c r="A2584" s="133"/>
      <c r="B2584" s="133"/>
      <c r="C2584" s="133" t="str">
        <f>IFERROR(__xludf.DUMMYFUNCTION("""COMPUTED_VALUE"""),"2025-206287")</f>
        <v>2025-206287</v>
      </c>
      <c r="D2584" s="133"/>
      <c r="E2584" s="133" t="str">
        <f>IFERROR(__xludf.DUMMYFUNCTION("""COMPUTED_VALUE"""),"مكتمل ")</f>
        <v>مكتمل </v>
      </c>
      <c r="F2584" s="133" t="str">
        <f>IFERROR(__xludf.DUMMYFUNCTION("""COMPUTED_VALUE"""),"ACANA Adult Dog Food 6 17 kg")</f>
        <v>ACANA Adult Dog Food 6 17 kg</v>
      </c>
      <c r="G2584" s="133"/>
      <c r="H2584" s="133" t="str">
        <f>IFERROR(__xludf.DUMMYFUNCTION("""COMPUTED_VALUE"""),"FEM-25-4417-FEP-2025-4423-C-22548-2995
")</f>
        <v>FEM-25-4417-FEP-2025-4423-C-22548-2995
</v>
      </c>
      <c r="I2584" s="133"/>
      <c r="J2584" s="133"/>
      <c r="K2584" s="133"/>
      <c r="L2584" s="133"/>
      <c r="M2584" s="133"/>
      <c r="N2584" s="133"/>
      <c r="O2584" s="133"/>
      <c r="P2584" s="133"/>
      <c r="Q2584" s="133"/>
      <c r="R2584" s="133"/>
      <c r="S2584" s="133"/>
      <c r="T2584" s="133"/>
      <c r="U2584" s="133"/>
      <c r="V2584" s="133"/>
      <c r="W2584" s="133"/>
      <c r="X2584" s="133"/>
      <c r="Y2584" s="133"/>
      <c r="Z2584" s="133"/>
    </row>
    <row r="2585">
      <c r="A2585" s="133"/>
      <c r="B2585" s="133"/>
      <c r="C2585" s="133" t="str">
        <f>IFERROR(__xludf.DUMMYFUNCTION("""COMPUTED_VALUE"""),"2025-206451")</f>
        <v>2025-206451</v>
      </c>
      <c r="D2585" s="133"/>
      <c r="E2585" s="133" t="str">
        <f>IFERROR(__xludf.DUMMYFUNCTION("""COMPUTED_VALUE"""),"مكتمل ")</f>
        <v>مكتمل </v>
      </c>
      <c r="F2585" s="133" t="str">
        <f>IFERROR(__xludf.DUMMYFUNCTION("""COMPUTED_VALUE"""),"ACANA Adult Small Breed Dog Food 340g 6kg")</f>
        <v>ACANA Adult Small Breed Dog Food 340g 6kg</v>
      </c>
      <c r="G2585" s="133"/>
      <c r="H2585" s="133" t="str">
        <f>IFERROR(__xludf.DUMMYFUNCTION("""COMPUTED_VALUE"""),"FEM-25-4429-FEP-2025-4433-C-22548-3000
")</f>
        <v>FEM-25-4429-FEP-2025-4433-C-22548-3000
</v>
      </c>
      <c r="I2585" s="133"/>
      <c r="J2585" s="133"/>
      <c r="K2585" s="133"/>
      <c r="L2585" s="133"/>
      <c r="M2585" s="133"/>
      <c r="N2585" s="133"/>
      <c r="O2585" s="133"/>
      <c r="P2585" s="133"/>
      <c r="Q2585" s="133"/>
      <c r="R2585" s="133"/>
      <c r="S2585" s="133"/>
      <c r="T2585" s="133"/>
      <c r="U2585" s="133"/>
      <c r="V2585" s="133"/>
      <c r="W2585" s="133"/>
      <c r="X2585" s="133"/>
      <c r="Y2585" s="133"/>
      <c r="Z2585" s="133"/>
    </row>
    <row r="2586">
      <c r="A2586" s="133"/>
      <c r="B2586" s="133"/>
      <c r="C2586" s="133" t="str">
        <f>IFERROR(__xludf.DUMMYFUNCTION("""COMPUTED_VALUE"""),"2025-206672")</f>
        <v>2025-206672</v>
      </c>
      <c r="D2586" s="133"/>
      <c r="E2586" s="133" t="str">
        <f>IFERROR(__xludf.DUMMYFUNCTION("""COMPUTED_VALUE"""),"مكتمل ")</f>
        <v>مكتمل </v>
      </c>
      <c r="F2586" s="133" t="str">
        <f>IFERROR(__xludf.DUMMYFUNCTION("""COMPUTED_VALUE"""),"ACANA Light Fit Dog Food 6kg 11kg")</f>
        <v>ACANA Light Fit Dog Food 6kg 11kg</v>
      </c>
      <c r="G2586" s="133"/>
      <c r="H2586" s="133" t="str">
        <f>IFERROR(__xludf.DUMMYFUNCTION("""COMPUTED_VALUE"""),"FEM-25-4430-FEP-2025-4436-C-22548-2992
")</f>
        <v>FEM-25-4430-FEP-2025-4436-C-22548-2992
</v>
      </c>
      <c r="I2586" s="133"/>
      <c r="J2586" s="133"/>
      <c r="K2586" s="133"/>
      <c r="L2586" s="133"/>
      <c r="M2586" s="133"/>
      <c r="N2586" s="133"/>
      <c r="O2586" s="133"/>
      <c r="P2586" s="133"/>
      <c r="Q2586" s="133"/>
      <c r="R2586" s="133"/>
      <c r="S2586" s="133"/>
      <c r="T2586" s="133"/>
      <c r="U2586" s="133"/>
      <c r="V2586" s="133"/>
      <c r="W2586" s="133"/>
      <c r="X2586" s="133"/>
      <c r="Y2586" s="133"/>
      <c r="Z2586" s="133"/>
    </row>
    <row r="2587">
      <c r="A2587" s="133"/>
      <c r="B2587" s="133"/>
      <c r="C2587" s="133" t="str">
        <f>IFERROR(__xludf.DUMMYFUNCTION("""COMPUTED_VALUE"""),"2025-206725")</f>
        <v>2025-206725</v>
      </c>
      <c r="D2587" s="133"/>
      <c r="E2587" s="133" t="str">
        <f>IFERROR(__xludf.DUMMYFUNCTION("""COMPUTED_VALUE"""),"مكتمل ")</f>
        <v>مكتمل </v>
      </c>
      <c r="F2587" s="133" t="str">
        <f>IFERROR(__xludf.DUMMYFUNCTION("""COMPUTED_VALUE"""),"ACANA Puppy Dog Food 2kg 6 kg")</f>
        <v>ACANA Puppy Dog Food 2kg 6 kg</v>
      </c>
      <c r="G2587" s="133"/>
      <c r="H2587" s="133" t="str">
        <f>IFERROR(__xludf.DUMMYFUNCTION("""COMPUTED_VALUE"""),"FEM-25-4434-FEP-2025-4439-C-22548-3001
")</f>
        <v>FEM-25-4434-FEP-2025-4439-C-22548-3001
</v>
      </c>
      <c r="I2587" s="133"/>
      <c r="J2587" s="133"/>
      <c r="K2587" s="133"/>
      <c r="L2587" s="133"/>
      <c r="M2587" s="133"/>
      <c r="N2587" s="133"/>
      <c r="O2587" s="133"/>
      <c r="P2587" s="133"/>
      <c r="Q2587" s="133"/>
      <c r="R2587" s="133"/>
      <c r="S2587" s="133"/>
      <c r="T2587" s="133"/>
      <c r="U2587" s="133"/>
      <c r="V2587" s="133"/>
      <c r="W2587" s="133"/>
      <c r="X2587" s="133"/>
      <c r="Y2587" s="133"/>
      <c r="Z2587" s="133"/>
    </row>
    <row r="2588">
      <c r="A2588" s="133"/>
      <c r="B2588" s="133"/>
      <c r="C2588" s="133" t="str">
        <f>IFERROR(__xludf.DUMMYFUNCTION("""COMPUTED_VALUE"""),"2025-206755")</f>
        <v>2025-206755</v>
      </c>
      <c r="D2588" s="133"/>
      <c r="E2588" s="133" t="str">
        <f>IFERROR(__xludf.DUMMYFUNCTION("""COMPUTED_VALUE"""),"مكتمل ")</f>
        <v>مكتمل </v>
      </c>
      <c r="F2588" s="133" t="str">
        <f>IFERROR(__xludf.DUMMYFUNCTION("""COMPUTED_VALUE"""),"ACANA Puppy Small Breed Food 2kg")</f>
        <v>ACANA Puppy Small Breed Food 2kg</v>
      </c>
      <c r="G2588" s="133"/>
      <c r="H2588" s="133" t="str">
        <f>IFERROR(__xludf.DUMMYFUNCTION("""COMPUTED_VALUE"""),"FEM-25-4435-FEP-2025-4441-C-22548-3002
")</f>
        <v>FEM-25-4435-FEP-2025-4441-C-22548-3002
</v>
      </c>
      <c r="I2588" s="133"/>
      <c r="J2588" s="133"/>
      <c r="K2588" s="133"/>
      <c r="L2588" s="133"/>
      <c r="M2588" s="133"/>
      <c r="N2588" s="133"/>
      <c r="O2588" s="133"/>
      <c r="P2588" s="133"/>
      <c r="Q2588" s="133"/>
      <c r="R2588" s="133"/>
      <c r="S2588" s="133"/>
      <c r="T2588" s="133"/>
      <c r="U2588" s="133"/>
      <c r="V2588" s="133"/>
      <c r="W2588" s="133"/>
      <c r="X2588" s="133"/>
      <c r="Y2588" s="133"/>
      <c r="Z2588" s="133"/>
    </row>
    <row r="2589">
      <c r="A2589" s="133"/>
      <c r="B2589" s="133"/>
      <c r="C2589" s="133" t="str">
        <f>IFERROR(__xludf.DUMMYFUNCTION("""COMPUTED_VALUE"""),"2025-206811")</f>
        <v>2025-206811</v>
      </c>
      <c r="D2589" s="133"/>
      <c r="E2589" s="133" t="str">
        <f>IFERROR(__xludf.DUMMYFUNCTION("""COMPUTED_VALUE"""),"مكتمل ")</f>
        <v>مكتمل </v>
      </c>
      <c r="F2589" s="133" t="str">
        <f>IFERROR(__xludf.DUMMYFUNCTION("""COMPUTED_VALUE"""),"ACANA Senior Dog Food 6kg 11kg")</f>
        <v>ACANA Senior Dog Food 6kg 11kg</v>
      </c>
      <c r="G2589" s="133"/>
      <c r="H2589" s="133" t="str">
        <f>IFERROR(__xludf.DUMMYFUNCTION("""COMPUTED_VALUE"""),"FEM-25-4436-FEP-2025-4442-C-22548-2854
")</f>
        <v>FEM-25-4436-FEP-2025-4442-C-22548-2854
</v>
      </c>
      <c r="I2589" s="133"/>
      <c r="J2589" s="133"/>
      <c r="K2589" s="133"/>
      <c r="L2589" s="133"/>
      <c r="M2589" s="133"/>
      <c r="N2589" s="133"/>
      <c r="O2589" s="133"/>
      <c r="P2589" s="133"/>
      <c r="Q2589" s="133"/>
      <c r="R2589" s="133"/>
      <c r="S2589" s="133"/>
      <c r="T2589" s="133"/>
      <c r="U2589" s="133"/>
      <c r="V2589" s="133"/>
      <c r="W2589" s="133"/>
      <c r="X2589" s="133"/>
      <c r="Y2589" s="133"/>
      <c r="Z2589" s="133"/>
    </row>
    <row r="2590">
      <c r="A2590" s="133"/>
      <c r="B2590" s="133"/>
      <c r="C2590" s="133" t="str">
        <f>IFERROR(__xludf.DUMMYFUNCTION("""COMPUTED_VALUE"""),"2024-306924")</f>
        <v>2024-306924</v>
      </c>
      <c r="D2590" s="133"/>
      <c r="E2590" s="133" t="str">
        <f>IFERROR(__xludf.DUMMYFUNCTION("""COMPUTED_VALUE"""),"مكتمل ")</f>
        <v>مكتمل </v>
      </c>
      <c r="F2590" s="133" t="str">
        <f>IFERROR(__xludf.DUMMYFUNCTION("""COMPUTED_VALUE"""),"ACANA Kitten First Feast Cat Food 1.8kg")</f>
        <v>ACANA Kitten First Feast Cat Food 1.8kg</v>
      </c>
      <c r="G2590" s="133"/>
      <c r="H2590" s="133" t="str">
        <f>IFERROR(__xludf.DUMMYFUNCTION("""COMPUTED_VALUE"""),"FEM-2024-10807-FEP-2024-81959-C-22548-1677")</f>
        <v>FEM-2024-10807-FEP-2024-81959-C-22548-1677</v>
      </c>
      <c r="I2590" s="133"/>
      <c r="J2590" s="133"/>
      <c r="K2590" s="133"/>
      <c r="L2590" s="133"/>
      <c r="M2590" s="133"/>
      <c r="N2590" s="133"/>
      <c r="O2590" s="133"/>
      <c r="P2590" s="133"/>
      <c r="Q2590" s="133"/>
      <c r="R2590" s="133"/>
      <c r="S2590" s="133"/>
      <c r="T2590" s="133"/>
      <c r="U2590" s="133"/>
      <c r="V2590" s="133"/>
      <c r="W2590" s="133"/>
      <c r="X2590" s="133"/>
      <c r="Y2590" s="133"/>
      <c r="Z2590" s="133"/>
    </row>
    <row r="2591">
      <c r="A2591" s="133"/>
      <c r="B2591" s="133"/>
      <c r="C2591" s="133" t="str">
        <f>IFERROR(__xludf.DUMMYFUNCTION("""COMPUTED_VALUE"""),"2025-206866")</f>
        <v>2025-206866</v>
      </c>
      <c r="D2591" s="133"/>
      <c r="E2591" s="133" t="str">
        <f>IFERROR(__xludf.DUMMYFUNCTION("""COMPUTED_VALUE"""),"مكتمل ")</f>
        <v>مكتمل </v>
      </c>
      <c r="F2591" s="133" t="str">
        <f>IFERROR(__xludf.DUMMYFUNCTION("""COMPUTED_VALUE"""),"ACANA Kitten First Feast Cat Food 340g")</f>
        <v>ACANA Kitten First Feast Cat Food 340g</v>
      </c>
      <c r="G2591" s="133"/>
      <c r="H2591" s="133"/>
      <c r="I2591" s="133"/>
      <c r="J2591" s="133"/>
      <c r="K2591" s="133"/>
      <c r="L2591" s="133"/>
      <c r="M2591" s="133"/>
      <c r="N2591" s="133"/>
      <c r="O2591" s="133"/>
      <c r="P2591" s="133"/>
      <c r="Q2591" s="133"/>
      <c r="R2591" s="133"/>
      <c r="S2591" s="133"/>
      <c r="T2591" s="133"/>
      <c r="U2591" s="133"/>
      <c r="V2591" s="133"/>
      <c r="W2591" s="133"/>
      <c r="X2591" s="133"/>
      <c r="Y2591" s="133"/>
      <c r="Z2591" s="133"/>
    </row>
    <row r="2592">
      <c r="A2592" s="133"/>
      <c r="B2592" s="133"/>
      <c r="C2592" s="133" t="str">
        <f>IFERROR(__xludf.DUMMYFUNCTION("""COMPUTED_VALUE"""),"2025-208803")</f>
        <v>2025-208803</v>
      </c>
      <c r="D2592" s="133"/>
      <c r="E2592" s="133" t="str">
        <f>IFERROR(__xludf.DUMMYFUNCTION("""COMPUTED_VALUE"""),"مكتمل ")</f>
        <v>مكتمل </v>
      </c>
      <c r="F2592" s="133" t="str">
        <f>IFERROR(__xludf.DUMMYFUNCTION("""COMPUTED_VALUE"""),"ACANA Highest Protein Grasslands Cat Food 340g")</f>
        <v>ACANA Highest Protein Grasslands Cat Food 340g</v>
      </c>
      <c r="G2592" s="133"/>
      <c r="H2592" s="133" t="str">
        <f>IFERROR(__xludf.DUMMYFUNCTION("""COMPUTED_VALUE"""),"FEM-25-4449-FEP-2025-4458-C-22548-2841
")</f>
        <v>FEM-25-4449-FEP-2025-4458-C-22548-2841
</v>
      </c>
      <c r="I2592" s="133"/>
      <c r="J2592" s="133"/>
      <c r="K2592" s="133"/>
      <c r="L2592" s="133"/>
      <c r="M2592" s="133"/>
      <c r="N2592" s="133"/>
      <c r="O2592" s="133"/>
      <c r="P2592" s="133"/>
      <c r="Q2592" s="133"/>
      <c r="R2592" s="133"/>
      <c r="S2592" s="133"/>
      <c r="T2592" s="133"/>
      <c r="U2592" s="133"/>
      <c r="V2592" s="133"/>
      <c r="W2592" s="133"/>
      <c r="X2592" s="133"/>
      <c r="Y2592" s="133"/>
      <c r="Z2592" s="133"/>
    </row>
    <row r="2593">
      <c r="A2593" s="133"/>
      <c r="B2593" s="133"/>
      <c r="C2593" s="133" t="str">
        <f>IFERROR(__xludf.DUMMYFUNCTION("""COMPUTED_VALUE"""),"2025-208947")</f>
        <v>2025-208947</v>
      </c>
      <c r="D2593" s="133"/>
      <c r="E2593" s="133" t="str">
        <f>IFERROR(__xludf.DUMMYFUNCTION("""COMPUTED_VALUE"""),"مكتمل ")</f>
        <v>مكتمل </v>
      </c>
      <c r="F2593" s="133" t="str">
        <f>IFERROR(__xludf.DUMMYFUNCTION("""COMPUTED_VALUE"""),"ACANA Highest Protein Indoor Cat Food 4.5 kg")</f>
        <v>ACANA Highest Protein Indoor Cat Food 4.5 kg</v>
      </c>
      <c r="G2593" s="133"/>
      <c r="H2593" s="133" t="str">
        <f>IFERROR(__xludf.DUMMYFUNCTION("""COMPUTED_VALUE"""),"FEM-25-4452-FEP-2025-4461-C-22548-2880
")</f>
        <v>FEM-25-4452-FEP-2025-4461-C-22548-2880
</v>
      </c>
      <c r="I2593" s="133"/>
      <c r="J2593" s="133"/>
      <c r="K2593" s="133"/>
      <c r="L2593" s="133"/>
      <c r="M2593" s="133"/>
      <c r="N2593" s="133"/>
      <c r="O2593" s="133"/>
      <c r="P2593" s="133"/>
      <c r="Q2593" s="133"/>
      <c r="R2593" s="133"/>
      <c r="S2593" s="133"/>
      <c r="T2593" s="133"/>
      <c r="U2593" s="133"/>
      <c r="V2593" s="133"/>
      <c r="W2593" s="133"/>
      <c r="X2593" s="133"/>
      <c r="Y2593" s="133"/>
      <c r="Z2593" s="133"/>
    </row>
    <row r="2594">
      <c r="A2594" s="133"/>
      <c r="B2594" s="133"/>
      <c r="C2594" s="133" t="str">
        <f>IFERROR(__xludf.DUMMYFUNCTION("""COMPUTED_VALUE"""),"2025-209000")</f>
        <v>2025-209000</v>
      </c>
      <c r="D2594" s="133"/>
      <c r="E2594" s="133" t="str">
        <f>IFERROR(__xludf.DUMMYFUNCTION("""COMPUTED_VALUE"""),"مكتمل ")</f>
        <v>مكتمل </v>
      </c>
      <c r="F2594" s="133" t="str">
        <f>IFERROR(__xludf.DUMMYFUNCTION("""COMPUTED_VALUE"""),"ACANA Highest Protein Pacifica Cat Food 340g")</f>
        <v>ACANA Highest Protein Pacifica Cat Food 340g</v>
      </c>
      <c r="G2594" s="133"/>
      <c r="H2594" s="133" t="str">
        <f>IFERROR(__xludf.DUMMYFUNCTION("""COMPUTED_VALUE"""),"FEM-25-4453-FEP-2025-4462-C-22548-2840
")</f>
        <v>FEM-25-4453-FEP-2025-4462-C-22548-2840
</v>
      </c>
      <c r="I2594" s="133"/>
      <c r="J2594" s="133"/>
      <c r="K2594" s="133"/>
      <c r="L2594" s="133"/>
      <c r="M2594" s="133"/>
      <c r="N2594" s="133"/>
      <c r="O2594" s="133"/>
      <c r="P2594" s="133"/>
      <c r="Q2594" s="133"/>
      <c r="R2594" s="133"/>
      <c r="S2594" s="133"/>
      <c r="T2594" s="133"/>
      <c r="U2594" s="133"/>
      <c r="V2594" s="133"/>
      <c r="W2594" s="133"/>
      <c r="X2594" s="133"/>
      <c r="Y2594" s="133"/>
      <c r="Z2594" s="133"/>
    </row>
    <row r="2595">
      <c r="A2595" s="133"/>
      <c r="B2595" s="133"/>
      <c r="C2595" s="133" t="str">
        <f>IFERROR(__xludf.DUMMYFUNCTION("""COMPUTED_VALUE"""),"2025-209121")</f>
        <v>2025-209121</v>
      </c>
      <c r="D2595" s="133"/>
      <c r="E2595" s="133" t="str">
        <f>IFERROR(__xludf.DUMMYFUNCTION("""COMPUTED_VALUE"""),"مكتمل ")</f>
        <v>مكتمل </v>
      </c>
      <c r="F2595" s="133" t="str">
        <f>IFERROR(__xludf.DUMMYFUNCTION("""COMPUTED_VALUE"""),"ACANA Highest Protein Wild Prairie Cat Food 340g")</f>
        <v>ACANA Highest Protein Wild Prairie Cat Food 340g</v>
      </c>
      <c r="G2595" s="133"/>
      <c r="H2595" s="133" t="str">
        <f>IFERROR(__xludf.DUMMYFUNCTION("""COMPUTED_VALUE"""),"FEM-25-4455-FEP-2025-4912-C-22548-2853
")</f>
        <v>FEM-25-4455-FEP-2025-4912-C-22548-2853
</v>
      </c>
      <c r="I2595" s="133"/>
      <c r="J2595" s="133"/>
      <c r="K2595" s="133"/>
      <c r="L2595" s="133"/>
      <c r="M2595" s="133"/>
      <c r="N2595" s="133"/>
      <c r="O2595" s="133"/>
      <c r="P2595" s="133"/>
      <c r="Q2595" s="133"/>
      <c r="R2595" s="133"/>
      <c r="S2595" s="133"/>
      <c r="T2595" s="133"/>
      <c r="U2595" s="133"/>
      <c r="V2595" s="133"/>
      <c r="W2595" s="133"/>
      <c r="X2595" s="133"/>
      <c r="Y2595" s="133"/>
      <c r="Z2595" s="133"/>
    </row>
    <row r="2596">
      <c r="A2596" s="133"/>
      <c r="B2596" s="133"/>
      <c r="C2596" s="133" t="str">
        <f>IFERROR(__xludf.DUMMYFUNCTION("""COMPUTED_VALUE"""),"2025-209143")</f>
        <v>2025-209143</v>
      </c>
      <c r="D2596" s="133"/>
      <c r="E2596" s="133" t="str">
        <f>IFERROR(__xludf.DUMMYFUNCTION("""COMPUTED_VALUE"""),"مكتمل ")</f>
        <v>مكتمل </v>
      </c>
      <c r="F2596" s="133" t="str">
        <f>IFERROR(__xludf.DUMMYFUNCTION("""COMPUTED_VALUE"""),"ACANA Bountiful Catch Cat Food 4.5kg")</f>
        <v>ACANA Bountiful Catch Cat Food 4.5kg</v>
      </c>
      <c r="G2596" s="133"/>
      <c r="H2596" s="133" t="str">
        <f>IFERROR(__xludf.DUMMYFUNCTION("""COMPUTED_VALUE"""),"FEM-25-4457-FEP-2025-4467-C-22548-2842
")</f>
        <v>FEM-25-4457-FEP-2025-4467-C-22548-2842
</v>
      </c>
      <c r="I2596" s="133"/>
      <c r="J2596" s="133"/>
      <c r="K2596" s="133"/>
      <c r="L2596" s="133"/>
      <c r="M2596" s="133"/>
      <c r="N2596" s="133"/>
      <c r="O2596" s="133"/>
      <c r="P2596" s="133"/>
      <c r="Q2596" s="133"/>
      <c r="R2596" s="133"/>
      <c r="S2596" s="133"/>
      <c r="T2596" s="133"/>
      <c r="U2596" s="133"/>
      <c r="V2596" s="133"/>
      <c r="W2596" s="133"/>
      <c r="X2596" s="133"/>
      <c r="Y2596" s="133"/>
      <c r="Z2596" s="133"/>
    </row>
    <row r="2597">
      <c r="A2597" s="133"/>
      <c r="B2597" s="133"/>
      <c r="C2597" s="133" t="str">
        <f>IFERROR(__xludf.DUMMYFUNCTION("""COMPUTED_VALUE"""),"2025-209163")</f>
        <v>2025-209163</v>
      </c>
      <c r="D2597" s="133"/>
      <c r="E2597" s="133" t="str">
        <f>IFERROR(__xludf.DUMMYFUNCTION("""COMPUTED_VALUE"""),"مكتمل ")</f>
        <v>مكتمل </v>
      </c>
      <c r="F2597" s="133" t="str">
        <f>IFERROR(__xludf.DUMMYFUNCTION("""COMPUTED_VALUE"""),"ACANA Homestead Harvest Cat Food 4.5kg 340g")</f>
        <v>ACANA Homestead Harvest Cat Food 4.5kg 340g</v>
      </c>
      <c r="G2597" s="133"/>
      <c r="H2597" s="133" t="str">
        <f>IFERROR(__xludf.DUMMYFUNCTION("""COMPUTED_VALUE"""),"FEM-25-4461-FEP-2025-4472-C-22548-2843
")</f>
        <v>FEM-25-4461-FEP-2025-4472-C-22548-2843
</v>
      </c>
      <c r="I2597" s="133"/>
      <c r="J2597" s="133"/>
      <c r="K2597" s="133"/>
      <c r="L2597" s="133"/>
      <c r="M2597" s="133"/>
      <c r="N2597" s="133"/>
      <c r="O2597" s="133"/>
      <c r="P2597" s="133"/>
      <c r="Q2597" s="133"/>
      <c r="R2597" s="133"/>
      <c r="S2597" s="133"/>
      <c r="T2597" s="133"/>
      <c r="U2597" s="133"/>
      <c r="V2597" s="133"/>
      <c r="W2597" s="133"/>
      <c r="X2597" s="133"/>
      <c r="Y2597" s="133"/>
      <c r="Z2597" s="133"/>
    </row>
    <row r="2598">
      <c r="A2598" s="133"/>
      <c r="B2598" s="133"/>
      <c r="C2598" s="133" t="str">
        <f>IFERROR(__xludf.DUMMYFUNCTION("""COMPUTED_VALUE"""),"2025-209204")</f>
        <v>2025-209204</v>
      </c>
      <c r="D2598" s="133"/>
      <c r="E2598" s="133" t="str">
        <f>IFERROR(__xludf.DUMMYFUNCTION("""COMPUTED_VALUE"""),"مكتمل ")</f>
        <v>مكتمل </v>
      </c>
      <c r="F2598" s="133" t="str">
        <f>IFERROR(__xludf.DUMMYFUNCTION("""COMPUTED_VALUE"""),"INTL ACANA Indoor Entree Cat 4.5kg 340g")</f>
        <v>INTL ACANA Indoor Entree Cat 4.5kg 340g</v>
      </c>
      <c r="G2598" s="133"/>
      <c r="H2598" s="133" t="str">
        <f>IFERROR(__xludf.DUMMYFUNCTION("""COMPUTED_VALUE"""),"FEM-25-4462-FEP-2025-4474-C-22548-3003
")</f>
        <v>FEM-25-4462-FEP-2025-4474-C-22548-3003
</v>
      </c>
      <c r="I2598" s="133"/>
      <c r="J2598" s="133"/>
      <c r="K2598" s="133"/>
      <c r="L2598" s="133"/>
      <c r="M2598" s="133"/>
      <c r="N2598" s="133"/>
      <c r="O2598" s="133"/>
      <c r="P2598" s="133"/>
      <c r="Q2598" s="133"/>
      <c r="R2598" s="133"/>
      <c r="S2598" s="133"/>
      <c r="T2598" s="133"/>
      <c r="U2598" s="133"/>
      <c r="V2598" s="133"/>
      <c r="W2598" s="133"/>
      <c r="X2598" s="133"/>
      <c r="Y2598" s="133"/>
      <c r="Z2598" s="133"/>
    </row>
    <row r="2599">
      <c r="A2599" s="133"/>
      <c r="B2599" s="133"/>
      <c r="C2599" s="133" t="str">
        <f>IFERROR(__xludf.DUMMYFUNCTION("""COMPUTED_VALUE"""),"2025-212305")</f>
        <v>2025-212305</v>
      </c>
      <c r="D2599" s="133"/>
      <c r="E2599" s="133" t="str">
        <f>IFERROR(__xludf.DUMMYFUNCTION("""COMPUTED_VALUE"""),"مكتمل ")</f>
        <v>مكتمل </v>
      </c>
      <c r="F2599" s="133" t="str">
        <f>IFERROR(__xludf.DUMMYFUNCTION("""COMPUTED_VALUE"""),"ORIJEN Fit &amp; Trim Dog Food 11.4 kg")</f>
        <v>ORIJEN Fit &amp; Trim Dog Food 11.4 kg</v>
      </c>
      <c r="G2599" s="133"/>
      <c r="H2599" s="133" t="str">
        <f>IFERROR(__xludf.DUMMYFUNCTION("""COMPUTED_VALUE"""),"FEM-25-4535-FEP-2025-4543-C-22548-2865
")</f>
        <v>FEM-25-4535-FEP-2025-4543-C-22548-2865
</v>
      </c>
      <c r="I2599" s="133"/>
      <c r="J2599" s="133"/>
      <c r="K2599" s="133"/>
      <c r="L2599" s="133"/>
      <c r="M2599" s="133"/>
      <c r="N2599" s="133"/>
      <c r="O2599" s="133"/>
      <c r="P2599" s="133"/>
      <c r="Q2599" s="133"/>
      <c r="R2599" s="133"/>
      <c r="S2599" s="133"/>
      <c r="T2599" s="133"/>
      <c r="U2599" s="133"/>
      <c r="V2599" s="133"/>
      <c r="W2599" s="133"/>
      <c r="X2599" s="133"/>
      <c r="Y2599" s="133"/>
      <c r="Z2599" s="133"/>
    </row>
    <row r="2600">
      <c r="A2600" s="133"/>
      <c r="B2600" s="133"/>
      <c r="C2600" s="133" t="str">
        <f>IFERROR(__xludf.DUMMYFUNCTION("""COMPUTED_VALUE"""),"2025-212309")</f>
        <v>2025-212309</v>
      </c>
      <c r="D2600" s="133"/>
      <c r="E2600" s="133" t="str">
        <f>IFERROR(__xludf.DUMMYFUNCTION("""COMPUTED_VALUE"""),"مكتمل ")</f>
        <v>مكتمل </v>
      </c>
      <c r="F2600" s="133" t="str">
        <f>IFERROR(__xludf.DUMMYFUNCTION("""COMPUTED_VALUE"""),"ORIJEN Guardian 8 Cat Food 340g")</f>
        <v>ORIJEN Guardian 8 Cat Food 340g</v>
      </c>
      <c r="G2600" s="133"/>
      <c r="H2600" s="133"/>
      <c r="I2600" s="133"/>
      <c r="J2600" s="133"/>
      <c r="K2600" s="133"/>
      <c r="L2600" s="133"/>
      <c r="M2600" s="133"/>
      <c r="N2600" s="133"/>
      <c r="O2600" s="133"/>
      <c r="P2600" s="133"/>
      <c r="Q2600" s="133"/>
      <c r="R2600" s="133"/>
      <c r="S2600" s="133"/>
      <c r="T2600" s="133"/>
      <c r="U2600" s="133"/>
      <c r="V2600" s="133"/>
      <c r="W2600" s="133"/>
      <c r="X2600" s="133"/>
      <c r="Y2600" s="133"/>
      <c r="Z2600" s="133"/>
    </row>
    <row r="2601">
      <c r="A2601" s="133"/>
      <c r="B2601" s="133"/>
      <c r="C2601" s="133" t="str">
        <f>IFERROR(__xludf.DUMMYFUNCTION("""COMPUTED_VALUE"""),"2025-212316")</f>
        <v>2025-212316</v>
      </c>
      <c r="D2601" s="133"/>
      <c r="E2601" s="133" t="str">
        <f>IFERROR(__xludf.DUMMYFUNCTION("""COMPUTED_VALUE"""),"مكتمل ")</f>
        <v>مكتمل </v>
      </c>
      <c r="F2601" s="133" t="str">
        <f>IFERROR(__xludf.DUMMYFUNCTION("""COMPUTED_VALUE"""),"ORIJEN Kitten Cat Food 340g")</f>
        <v>ORIJEN Kitten Cat Food 340g</v>
      </c>
      <c r="G2601" s="133"/>
      <c r="H2601" s="133" t="str">
        <f>IFERROR(__xludf.DUMMYFUNCTION("""COMPUTED_VALUE"""),"FEM-25-4537-FEP-2025-4545-C-22548-2991
")</f>
        <v>FEM-25-4537-FEP-2025-4545-C-22548-2991
</v>
      </c>
      <c r="I2601" s="133"/>
      <c r="J2601" s="133"/>
      <c r="K2601" s="133"/>
      <c r="L2601" s="133"/>
      <c r="M2601" s="133"/>
      <c r="N2601" s="133"/>
      <c r="O2601" s="133"/>
      <c r="P2601" s="133"/>
      <c r="Q2601" s="133"/>
      <c r="R2601" s="133"/>
      <c r="S2601" s="133"/>
      <c r="T2601" s="133"/>
      <c r="U2601" s="133"/>
      <c r="V2601" s="133"/>
      <c r="W2601" s="133"/>
      <c r="X2601" s="133"/>
      <c r="Y2601" s="133"/>
      <c r="Z2601" s="133"/>
    </row>
    <row r="2602">
      <c r="A2602" s="133"/>
      <c r="B2602" s="133"/>
      <c r="C2602" s="133" t="str">
        <f>IFERROR(__xludf.DUMMYFUNCTION("""COMPUTED_VALUE"""),"2025-212320")</f>
        <v>2025-212320</v>
      </c>
      <c r="D2602" s="133"/>
      <c r="E2602" s="133" t="str">
        <f>IFERROR(__xludf.DUMMYFUNCTION("""COMPUTED_VALUE"""),"مكتمل ")</f>
        <v>مكتمل </v>
      </c>
      <c r="F2602" s="133" t="str">
        <f>IFERROR(__xludf.DUMMYFUNCTION("""COMPUTED_VALUE"""),"ORIJEN Original Cat Food 340g")</f>
        <v>ORIJEN Original Cat Food 340g</v>
      </c>
      <c r="G2602" s="133"/>
      <c r="H2602" s="133" t="str">
        <f>IFERROR(__xludf.DUMMYFUNCTION("""COMPUTED_VALUE"""),"FEM-25-4538-FEP-2024-82011-C-22548-2887
")</f>
        <v>FEM-25-4538-FEP-2024-82011-C-22548-2887
</v>
      </c>
      <c r="I2602" s="133"/>
      <c r="J2602" s="133"/>
      <c r="K2602" s="133"/>
      <c r="L2602" s="133"/>
      <c r="M2602" s="133"/>
      <c r="N2602" s="133"/>
      <c r="O2602" s="133"/>
      <c r="P2602" s="133"/>
      <c r="Q2602" s="133"/>
      <c r="R2602" s="133"/>
      <c r="S2602" s="133"/>
      <c r="T2602" s="133"/>
      <c r="U2602" s="133"/>
      <c r="V2602" s="133"/>
      <c r="W2602" s="133"/>
      <c r="X2602" s="133"/>
      <c r="Y2602" s="133"/>
      <c r="Z2602" s="133"/>
    </row>
    <row r="2603">
      <c r="A2603" s="133"/>
      <c r="B2603" s="133"/>
      <c r="C2603" s="133" t="str">
        <f>IFERROR(__xludf.DUMMYFUNCTION("""COMPUTED_VALUE"""),"2025-212323")</f>
        <v>2025-212323</v>
      </c>
      <c r="D2603" s="133"/>
      <c r="E2603" s="133" t="str">
        <f>IFERROR(__xludf.DUMMYFUNCTION("""COMPUTED_VALUE"""),"مكتمل ")</f>
        <v>مكتمل </v>
      </c>
      <c r="F2603" s="133" t="str">
        <f>IFERROR(__xludf.DUMMYFUNCTION("""COMPUTED_VALUE"""),"ORIJEN Original Dog Food 6kg")</f>
        <v>ORIJEN Original Dog Food 6kg</v>
      </c>
      <c r="G2603" s="133"/>
      <c r="H2603" s="133" t="str">
        <f>IFERROR(__xludf.DUMMYFUNCTION("""COMPUTED_VALUE"""),"FEM-25-4539-FEP-2025-4546-C-22548-2859
")</f>
        <v>FEM-25-4539-FEP-2025-4546-C-22548-2859
</v>
      </c>
      <c r="I2603" s="133"/>
      <c r="J2603" s="133"/>
      <c r="K2603" s="133"/>
      <c r="L2603" s="133"/>
      <c r="M2603" s="133"/>
      <c r="N2603" s="133"/>
      <c r="O2603" s="133"/>
      <c r="P2603" s="133"/>
      <c r="Q2603" s="133"/>
      <c r="R2603" s="133"/>
      <c r="S2603" s="133"/>
      <c r="T2603" s="133"/>
      <c r="U2603" s="133"/>
      <c r="V2603" s="133"/>
      <c r="W2603" s="133"/>
      <c r="X2603" s="133"/>
      <c r="Y2603" s="133"/>
      <c r="Z2603" s="133"/>
    </row>
    <row r="2604">
      <c r="A2604" s="133"/>
      <c r="B2604" s="133"/>
      <c r="C2604" s="133" t="str">
        <f>IFERROR(__xludf.DUMMYFUNCTION("""COMPUTED_VALUE"""),"2025-212324")</f>
        <v>2025-212324</v>
      </c>
      <c r="D2604" s="133"/>
      <c r="E2604" s="133" t="str">
        <f>IFERROR(__xludf.DUMMYFUNCTION("""COMPUTED_VALUE"""),"مكتمل ")</f>
        <v>مكتمل </v>
      </c>
      <c r="F2604" s="133" t="str">
        <f>IFERROR(__xludf.DUMMYFUNCTION("""COMPUTED_VALUE"""),"ORIJEN Puppy Dog Food 11.4kg")</f>
        <v>ORIJEN Puppy Dog Food 11.4kg</v>
      </c>
      <c r="G2604" s="133"/>
      <c r="H2604" s="133" t="str">
        <f>IFERROR(__xludf.DUMMYFUNCTION("""COMPUTED_VALUE"""),"FEM-25-4540-FEP-2025-4547-C-22548-2872
")</f>
        <v>FEM-25-4540-FEP-2025-4547-C-22548-2872
</v>
      </c>
      <c r="I2604" s="133"/>
      <c r="J2604" s="133"/>
      <c r="K2604" s="133"/>
      <c r="L2604" s="133"/>
      <c r="M2604" s="133"/>
      <c r="N2604" s="133"/>
      <c r="O2604" s="133"/>
      <c r="P2604" s="133"/>
      <c r="Q2604" s="133"/>
      <c r="R2604" s="133"/>
      <c r="S2604" s="133"/>
      <c r="T2604" s="133"/>
      <c r="U2604" s="133"/>
      <c r="V2604" s="133"/>
      <c r="W2604" s="133"/>
      <c r="X2604" s="133"/>
      <c r="Y2604" s="133"/>
      <c r="Z2604" s="133"/>
    </row>
    <row r="2605">
      <c r="A2605" s="133"/>
      <c r="B2605" s="133"/>
      <c r="C2605" s="133" t="str">
        <f>IFERROR(__xludf.DUMMYFUNCTION("""COMPUTED_VALUE"""),"2025-212329")</f>
        <v>2025-212329</v>
      </c>
      <c r="D2605" s="133"/>
      <c r="E2605" s="133" t="str">
        <f>IFERROR(__xludf.DUMMYFUNCTION("""COMPUTED_VALUE"""),"مكتمل ")</f>
        <v>مكتمل </v>
      </c>
      <c r="F2605" s="133" t="str">
        <f>IFERROR(__xludf.DUMMYFUNCTION("""COMPUTED_VALUE"""),"ORIJEN Senior Dog Food 6kg")</f>
        <v>ORIJEN Senior Dog Food 6kg</v>
      </c>
      <c r="G2605" s="133"/>
      <c r="H2605" s="133" t="str">
        <f>IFERROR(__xludf.DUMMYFUNCTION("""COMPUTED_VALUE"""),"FEM-25-4541-FEP-2025-4549-C-22548-2882
")</f>
        <v>FEM-25-4541-FEP-2025-4549-C-22548-2882
</v>
      </c>
      <c r="I2605" s="133"/>
      <c r="J2605" s="133"/>
      <c r="K2605" s="133"/>
      <c r="L2605" s="133"/>
      <c r="M2605" s="133"/>
      <c r="N2605" s="133"/>
      <c r="O2605" s="133"/>
      <c r="P2605" s="133"/>
      <c r="Q2605" s="133"/>
      <c r="R2605" s="133"/>
      <c r="S2605" s="133"/>
      <c r="T2605" s="133"/>
      <c r="U2605" s="133"/>
      <c r="V2605" s="133"/>
      <c r="W2605" s="133"/>
      <c r="X2605" s="133"/>
      <c r="Y2605" s="133"/>
      <c r="Z2605" s="133"/>
    </row>
    <row r="2606">
      <c r="A2606" s="133"/>
      <c r="B2606" s="133"/>
      <c r="C2606" s="133" t="str">
        <f>IFERROR(__xludf.DUMMYFUNCTION("""COMPUTED_VALUE"""),"2025-215196")</f>
        <v>2025-215196</v>
      </c>
      <c r="D2606" s="133"/>
      <c r="E2606" s="133" t="str">
        <f>IFERROR(__xludf.DUMMYFUNCTION("""COMPUTED_VALUE"""),"مكتمل ")</f>
        <v>مكتمل </v>
      </c>
      <c r="F2606" s="133" t="str">
        <f>IFERROR(__xludf.DUMMYFUNCTION("""COMPUTED_VALUE"""),"ORIJEN Six Fish Cat Food 340g")</f>
        <v>ORIJEN Six Fish Cat Food 340g</v>
      </c>
      <c r="G2606" s="133"/>
      <c r="H2606" s="133" t="str">
        <f>IFERROR(__xludf.DUMMYFUNCTION("""COMPUTED_VALUE"""),"FEM-25-4599-FEP-2025-4599-C-22548-2939
")</f>
        <v>FEM-25-4599-FEP-2025-4599-C-22548-2939
</v>
      </c>
      <c r="I2606" s="133"/>
      <c r="J2606" s="133"/>
      <c r="K2606" s="133"/>
      <c r="L2606" s="133"/>
      <c r="M2606" s="133"/>
      <c r="N2606" s="133"/>
      <c r="O2606" s="133"/>
      <c r="P2606" s="133"/>
      <c r="Q2606" s="133"/>
      <c r="R2606" s="133"/>
      <c r="S2606" s="133"/>
      <c r="T2606" s="133"/>
      <c r="U2606" s="133"/>
      <c r="V2606" s="133"/>
      <c r="W2606" s="133"/>
      <c r="X2606" s="133"/>
      <c r="Y2606" s="133"/>
      <c r="Z2606" s="133"/>
    </row>
    <row r="2607">
      <c r="A2607" s="133"/>
      <c r="B2607" s="133"/>
      <c r="C2607" s="133" t="str">
        <f>IFERROR(__xludf.DUMMYFUNCTION("""COMPUTED_VALUE"""),"2025-215227")</f>
        <v>2025-215227</v>
      </c>
      <c r="D2607" s="133"/>
      <c r="E2607" s="133" t="str">
        <f>IFERROR(__xludf.DUMMYFUNCTION("""COMPUTED_VALUE"""),"مكتمل ")</f>
        <v>مكتمل </v>
      </c>
      <c r="F2607" s="133" t="str">
        <f>IFERROR(__xludf.DUMMYFUNCTION("""COMPUTED_VALUE"""),"ORIJEN Six Fish Dog Food 6kg 11.4kg")</f>
        <v>ORIJEN Six Fish Dog Food 6kg 11.4kg</v>
      </c>
      <c r="G2607" s="133"/>
      <c r="H2607" s="133" t="str">
        <f>IFERROR(__xludf.DUMMYFUNCTION("""COMPUTED_VALUE"""),"FEM-25-4600-FEP-2025-4602-C-22548-2940
")</f>
        <v>FEM-25-4600-FEP-2025-4602-C-22548-2940
</v>
      </c>
      <c r="I2607" s="133"/>
      <c r="J2607" s="133"/>
      <c r="K2607" s="133"/>
      <c r="L2607" s="133"/>
      <c r="M2607" s="133"/>
      <c r="N2607" s="133"/>
      <c r="O2607" s="133"/>
      <c r="P2607" s="133"/>
      <c r="Q2607" s="133"/>
      <c r="R2607" s="133"/>
      <c r="S2607" s="133"/>
      <c r="T2607" s="133"/>
      <c r="U2607" s="133"/>
      <c r="V2607" s="133"/>
      <c r="W2607" s="133"/>
      <c r="X2607" s="133"/>
      <c r="Y2607" s="133"/>
      <c r="Z2607" s="133"/>
    </row>
    <row r="2608">
      <c r="A2608" s="133"/>
      <c r="B2608" s="133"/>
      <c r="C2608" s="133" t="str">
        <f>IFERROR(__xludf.DUMMYFUNCTION("""COMPUTED_VALUE"""),"2025-215257")</f>
        <v>2025-215257</v>
      </c>
      <c r="D2608" s="133"/>
      <c r="E2608" s="133" t="str">
        <f>IFERROR(__xludf.DUMMYFUNCTION("""COMPUTED_VALUE"""),"مكتمل ")</f>
        <v>مكتمل </v>
      </c>
      <c r="F2608" s="133" t="str">
        <f>IFERROR(__xludf.DUMMYFUNCTION("""COMPUTED_VALUE"""),"ORIJEN Small Breed Puppy Dog Food 1.8kg")</f>
        <v>ORIJEN Small Breed Puppy Dog Food 1.8kg</v>
      </c>
      <c r="G2608" s="133"/>
      <c r="H2608" s="133" t="str">
        <f>IFERROR(__xludf.DUMMYFUNCTION("""COMPUTED_VALUE"""),"FEM-25-4601-FEP-2025-4603-C-22548-2941
")</f>
        <v>FEM-25-4601-FEP-2025-4603-C-22548-2941
</v>
      </c>
      <c r="I2608" s="133"/>
      <c r="J2608" s="133"/>
      <c r="K2608" s="133"/>
      <c r="L2608" s="133"/>
      <c r="M2608" s="133"/>
      <c r="N2608" s="133"/>
      <c r="O2608" s="133"/>
      <c r="P2608" s="133"/>
      <c r="Q2608" s="133"/>
      <c r="R2608" s="133"/>
      <c r="S2608" s="133"/>
      <c r="T2608" s="133"/>
      <c r="U2608" s="133"/>
      <c r="V2608" s="133"/>
      <c r="W2608" s="133"/>
      <c r="X2608" s="133"/>
      <c r="Y2608" s="133"/>
      <c r="Z2608" s="133"/>
    </row>
    <row r="2609">
      <c r="A2609" s="133"/>
      <c r="B2609" s="133"/>
      <c r="C2609" s="133" t="str">
        <f>IFERROR(__xludf.DUMMYFUNCTION("""COMPUTED_VALUE"""),"2025-225960")</f>
        <v>2025-225960</v>
      </c>
      <c r="D2609" s="133"/>
      <c r="E2609" s="133" t="str">
        <f>IFERROR(__xludf.DUMMYFUNCTION("""COMPUTED_VALUE"""),"مكتمل ")</f>
        <v>مكتمل </v>
      </c>
      <c r="F2609" s="133" t="str">
        <f>IFERROR(__xludf.DUMMYFUNCTION("""COMPUTED_VALUE"""),"Felyn Go C&amp;B Chunks in Gravy Beef Pouch 85g")</f>
        <v>Felyn Go C&amp;B Chunks in Gravy Beef Pouch 85g</v>
      </c>
      <c r="G2609" s="133"/>
      <c r="H2609" s="133" t="str">
        <f>IFERROR(__xludf.DUMMYFUNCTION("""COMPUTED_VALUE"""),"FEM-25-4775-FEP-2025-4730-C-22548-3086
")</f>
        <v>FEM-25-4775-FEP-2025-4730-C-22548-3086
</v>
      </c>
      <c r="I2609" s="133"/>
      <c r="J2609" s="133"/>
      <c r="K2609" s="133"/>
      <c r="L2609" s="133"/>
      <c r="M2609" s="133"/>
      <c r="N2609" s="133"/>
      <c r="O2609" s="133"/>
      <c r="P2609" s="133"/>
      <c r="Q2609" s="133"/>
      <c r="R2609" s="133"/>
      <c r="S2609" s="133"/>
      <c r="T2609" s="133"/>
      <c r="U2609" s="133"/>
      <c r="V2609" s="133"/>
      <c r="W2609" s="133"/>
      <c r="X2609" s="133"/>
      <c r="Y2609" s="133"/>
      <c r="Z2609" s="133"/>
    </row>
    <row r="2610">
      <c r="A2610" s="133"/>
      <c r="B2610" s="133"/>
      <c r="C2610" s="133" t="str">
        <f>IFERROR(__xludf.DUMMYFUNCTION("""COMPUTED_VALUE"""),"2025-226322")</f>
        <v>2025-226322</v>
      </c>
      <c r="D2610" s="133"/>
      <c r="E2610" s="133" t="str">
        <f>IFERROR(__xludf.DUMMYFUNCTION("""COMPUTED_VALUE"""),"مكتمل ")</f>
        <v>مكتمل </v>
      </c>
      <c r="F2610" s="133" t="str">
        <f>IFERROR(__xludf.DUMMYFUNCTION("""COMPUTED_VALUE"""),"Felyn Go C&amp;B Chunks in Gravy Chicken Pouch 85g")</f>
        <v>Felyn Go C&amp;B Chunks in Gravy Chicken Pouch 85g</v>
      </c>
      <c r="G2610" s="133"/>
      <c r="H2610" s="133" t="str">
        <f>IFERROR(__xludf.DUMMYFUNCTION("""COMPUTED_VALUE"""),"FEM-25-4782-FEP-2025-4734-C-22548-3082
")</f>
        <v>FEM-25-4782-FEP-2025-4734-C-22548-3082
</v>
      </c>
      <c r="I2610" s="133"/>
      <c r="J2610" s="133"/>
      <c r="K2610" s="133"/>
      <c r="L2610" s="133"/>
      <c r="M2610" s="133"/>
      <c r="N2610" s="133"/>
      <c r="O2610" s="133"/>
      <c r="P2610" s="133"/>
      <c r="Q2610" s="133"/>
      <c r="R2610" s="133"/>
      <c r="S2610" s="133"/>
      <c r="T2610" s="133"/>
      <c r="U2610" s="133"/>
      <c r="V2610" s="133"/>
      <c r="W2610" s="133"/>
      <c r="X2610" s="133"/>
      <c r="Y2610" s="133"/>
      <c r="Z2610" s="133"/>
    </row>
    <row r="2611">
      <c r="A2611" s="133"/>
      <c r="B2611" s="133"/>
      <c r="C2611" s="133" t="str">
        <f>IFERROR(__xludf.DUMMYFUNCTION("""COMPUTED_VALUE"""),"2025-226624")</f>
        <v>2025-226624</v>
      </c>
      <c r="D2611" s="133"/>
      <c r="E2611" s="133" t="str">
        <f>IFERROR(__xludf.DUMMYFUNCTION("""COMPUTED_VALUE"""),"مكتمل ")</f>
        <v>مكتمل </v>
      </c>
      <c r="F2611" s="133" t="str">
        <f>IFERROR(__xludf.DUMMYFUNCTION("""COMPUTED_VALUE"""),"Felyn Go C&amp;B Chunks in Gravy Salmon Pouch 85g")</f>
        <v>Felyn Go C&amp;B Chunks in Gravy Salmon Pouch 85g</v>
      </c>
      <c r="G2611" s="133"/>
      <c r="H2611" s="133" t="str">
        <f>IFERROR(__xludf.DUMMYFUNCTION("""COMPUTED_VALUE"""),"FEM-25-4793-FEP-2025-4740-C-22548-3084
")</f>
        <v>FEM-25-4793-FEP-2025-4740-C-22548-3084
</v>
      </c>
      <c r="I2611" s="133"/>
      <c r="J2611" s="133"/>
      <c r="K2611" s="133"/>
      <c r="L2611" s="133"/>
      <c r="M2611" s="133"/>
      <c r="N2611" s="133"/>
      <c r="O2611" s="133"/>
      <c r="P2611" s="133"/>
      <c r="Q2611" s="133"/>
      <c r="R2611" s="133"/>
      <c r="S2611" s="133"/>
      <c r="T2611" s="133"/>
      <c r="U2611" s="133"/>
      <c r="V2611" s="133"/>
      <c r="W2611" s="133"/>
      <c r="X2611" s="133"/>
      <c r="Y2611" s="133"/>
      <c r="Z2611" s="133"/>
    </row>
    <row r="2612">
      <c r="A2612" s="133"/>
      <c r="B2612" s="133"/>
      <c r="C2612" s="133" t="str">
        <f>IFERROR(__xludf.DUMMYFUNCTION("""COMPUTED_VALUE"""),"2025-226930")</f>
        <v>2025-226930</v>
      </c>
      <c r="D2612" s="133"/>
      <c r="E2612" s="133" t="str">
        <f>IFERROR(__xludf.DUMMYFUNCTION("""COMPUTED_VALUE"""),"مكتمل ")</f>
        <v>مكتمل </v>
      </c>
      <c r="F2612" s="133" t="str">
        <f>IFERROR(__xludf.DUMMYFUNCTION("""COMPUTED_VALUE"""),"Felyn Go C&amp;B Chunks in Gravy Tuna Pouch 85g
")</f>
        <v>Felyn Go C&amp;B Chunks in Gravy Tuna Pouch 85g
</v>
      </c>
      <c r="G2612" s="133"/>
      <c r="H2612" s="133" t="str">
        <f>IFERROR(__xludf.DUMMYFUNCTION("""COMPUTED_VALUE"""),"FEM-25-4811-FEP-2025-4742-C-22548-3083
")</f>
        <v>FEM-25-4811-FEP-2025-4742-C-22548-3083
</v>
      </c>
      <c r="I2612" s="133"/>
      <c r="J2612" s="133"/>
      <c r="K2612" s="133"/>
      <c r="L2612" s="133"/>
      <c r="M2612" s="133"/>
      <c r="N2612" s="133"/>
      <c r="O2612" s="133"/>
      <c r="P2612" s="133"/>
      <c r="Q2612" s="133"/>
      <c r="R2612" s="133"/>
      <c r="S2612" s="133"/>
      <c r="T2612" s="133"/>
      <c r="U2612" s="133"/>
      <c r="V2612" s="133"/>
      <c r="W2612" s="133"/>
      <c r="X2612" s="133"/>
      <c r="Y2612" s="133"/>
      <c r="Z2612" s="133"/>
    </row>
    <row r="2613">
      <c r="A2613" s="133"/>
      <c r="B2613" s="133"/>
      <c r="C2613" s="133" t="str">
        <f>IFERROR(__xludf.DUMMYFUNCTION("""COMPUTED_VALUE"""),"2025-227505")</f>
        <v>2025-227505</v>
      </c>
      <c r="D2613" s="133"/>
      <c r="E2613" s="133" t="str">
        <f>IFERROR(__xludf.DUMMYFUNCTION("""COMPUTED_VALUE"""),"مكتمل ")</f>
        <v>مكتمل </v>
      </c>
      <c r="F2613" s="133" t="str">
        <f>IFERROR(__xludf.DUMMYFUNCTION("""COMPUTED_VALUE"""),"Felyn Go Creamy Lickable Cat Treats Beef 15g")</f>
        <v>Felyn Go Creamy Lickable Cat Treats Beef 15g</v>
      </c>
      <c r="G2613" s="133"/>
      <c r="H2613" s="133" t="str">
        <f>IFERROR(__xludf.DUMMYFUNCTION("""COMPUTED_VALUE"""),"FEM-25-4835-FEP-2025-4750-C-22548-3085
")</f>
        <v>FEM-25-4835-FEP-2025-4750-C-22548-3085
</v>
      </c>
      <c r="I2613" s="133"/>
      <c r="J2613" s="133"/>
      <c r="K2613" s="133"/>
      <c r="L2613" s="133"/>
      <c r="M2613" s="133"/>
      <c r="N2613" s="133"/>
      <c r="O2613" s="133"/>
      <c r="P2613" s="133"/>
      <c r="Q2613" s="133"/>
      <c r="R2613" s="133"/>
      <c r="S2613" s="133"/>
      <c r="T2613" s="133"/>
      <c r="U2613" s="133"/>
      <c r="V2613" s="133"/>
      <c r="W2613" s="133"/>
      <c r="X2613" s="133"/>
      <c r="Y2613" s="133"/>
      <c r="Z2613" s="133"/>
    </row>
    <row r="2614">
      <c r="A2614" s="133"/>
      <c r="B2614" s="133"/>
      <c r="C2614" s="133" t="str">
        <f>IFERROR(__xludf.DUMMYFUNCTION("""COMPUTED_VALUE"""),"2025-227530")</f>
        <v>2025-227530</v>
      </c>
      <c r="D2614" s="133"/>
      <c r="E2614" s="133" t="str">
        <f>IFERROR(__xludf.DUMMYFUNCTION("""COMPUTED_VALUE"""),"مكتمل ")</f>
        <v>مكتمل </v>
      </c>
      <c r="F2614" s="133" t="str">
        <f>IFERROR(__xludf.DUMMYFUNCTION("""COMPUTED_VALUE"""),"Felyn Go Creamy Lickable Cat Treats Catnip 15g")</f>
        <v>Felyn Go Creamy Lickable Cat Treats Catnip 15g</v>
      </c>
      <c r="G2614" s="133"/>
      <c r="H2614" s="133" t="str">
        <f>IFERROR(__xludf.DUMMYFUNCTION("""COMPUTED_VALUE"""),"FEM-25-4837-FEP-2025-4752-C-22548-3087
")</f>
        <v>FEM-25-4837-FEP-2025-4752-C-22548-3087
</v>
      </c>
      <c r="I2614" s="133"/>
      <c r="J2614" s="133"/>
      <c r="K2614" s="133"/>
      <c r="L2614" s="133"/>
      <c r="M2614" s="133"/>
      <c r="N2614" s="133"/>
      <c r="O2614" s="133"/>
      <c r="P2614" s="133"/>
      <c r="Q2614" s="133"/>
      <c r="R2614" s="133"/>
      <c r="S2614" s="133"/>
      <c r="T2614" s="133"/>
      <c r="U2614" s="133"/>
      <c r="V2614" s="133"/>
      <c r="W2614" s="133"/>
      <c r="X2614" s="133"/>
      <c r="Y2614" s="133"/>
      <c r="Z2614" s="133"/>
    </row>
    <row r="2615">
      <c r="A2615" s="133"/>
      <c r="B2615" s="133"/>
      <c r="C2615" s="133" t="str">
        <f>IFERROR(__xludf.DUMMYFUNCTION("""COMPUTED_VALUE"""),"2025-227565")</f>
        <v>2025-227565</v>
      </c>
      <c r="D2615" s="133"/>
      <c r="E2615" s="133" t="str">
        <f>IFERROR(__xludf.DUMMYFUNCTION("""COMPUTED_VALUE"""),"مكتمل ")</f>
        <v>مكتمل </v>
      </c>
      <c r="F2615" s="133" t="str">
        <f>IFERROR(__xludf.DUMMYFUNCTION("""COMPUTED_VALUE"""),"Felyn Go Creamy Lickable Cat Treats Chicken 15g")</f>
        <v>Felyn Go Creamy Lickable Cat Treats Chicken 15g</v>
      </c>
      <c r="G2615" s="133"/>
      <c r="H2615" s="133" t="str">
        <f>IFERROR(__xludf.DUMMYFUNCTION("""COMPUTED_VALUE"""),"FEM-25-4839-FEP-2025-4754-C-22548-3088
")</f>
        <v>FEM-25-4839-FEP-2025-4754-C-22548-3088
</v>
      </c>
      <c r="I2615" s="133"/>
      <c r="J2615" s="133"/>
      <c r="K2615" s="133"/>
      <c r="L2615" s="133"/>
      <c r="M2615" s="133"/>
      <c r="N2615" s="133"/>
      <c r="O2615" s="133"/>
      <c r="P2615" s="133"/>
      <c r="Q2615" s="133"/>
      <c r="R2615" s="133"/>
      <c r="S2615" s="133"/>
      <c r="T2615" s="133"/>
      <c r="U2615" s="133"/>
      <c r="V2615" s="133"/>
      <c r="W2615" s="133"/>
      <c r="X2615" s="133"/>
      <c r="Y2615" s="133"/>
      <c r="Z2615" s="133"/>
    </row>
    <row r="2616">
      <c r="A2616" s="133"/>
      <c r="B2616" s="133"/>
      <c r="C2616" s="133" t="str">
        <f>IFERROR(__xludf.DUMMYFUNCTION("""COMPUTED_VALUE"""),"2025-227594")</f>
        <v>2025-227594</v>
      </c>
      <c r="D2616" s="133"/>
      <c r="E2616" s="133" t="str">
        <f>IFERROR(__xludf.DUMMYFUNCTION("""COMPUTED_VALUE"""),"مكتمل ")</f>
        <v>مكتمل </v>
      </c>
      <c r="F2616" s="133" t="str">
        <f>IFERROR(__xludf.DUMMYFUNCTION("""COMPUTED_VALUE"""),"Felyn Go Creamy Lickable Cat Treats Duck 15g")</f>
        <v>Felyn Go Creamy Lickable Cat Treats Duck 15g</v>
      </c>
      <c r="G2616" s="133"/>
      <c r="H2616" s="133" t="str">
        <f>IFERROR(__xludf.DUMMYFUNCTION("""COMPUTED_VALUE"""),"FEM-25-4840-FEP-2025-4755-C-22548-3763
")</f>
        <v>FEM-25-4840-FEP-2025-4755-C-22548-3763
</v>
      </c>
      <c r="I2616" s="133"/>
      <c r="J2616" s="133"/>
      <c r="K2616" s="133"/>
      <c r="L2616" s="133"/>
      <c r="M2616" s="133"/>
      <c r="N2616" s="133"/>
      <c r="O2616" s="133"/>
      <c r="P2616" s="133"/>
      <c r="Q2616" s="133"/>
      <c r="R2616" s="133"/>
      <c r="S2616" s="133"/>
      <c r="T2616" s="133"/>
      <c r="U2616" s="133"/>
      <c r="V2616" s="133"/>
      <c r="W2616" s="133"/>
      <c r="X2616" s="133"/>
      <c r="Y2616" s="133"/>
      <c r="Z2616" s="133"/>
    </row>
    <row r="2617">
      <c r="A2617" s="133"/>
      <c r="B2617" s="133"/>
      <c r="C2617" s="133" t="str">
        <f>IFERROR(__xludf.DUMMYFUNCTION("""COMPUTED_VALUE"""),"2025-227608")</f>
        <v>2025-227608</v>
      </c>
      <c r="D2617" s="133"/>
      <c r="E2617" s="133" t="str">
        <f>IFERROR(__xludf.DUMMYFUNCTION("""COMPUTED_VALUE"""),"مكتمل ")</f>
        <v>مكتمل </v>
      </c>
      <c r="F2617" s="133" t="str">
        <f>IFERROR(__xludf.DUMMYFUNCTION("""COMPUTED_VALUE"""),"Felyn Go Creamy Lickable Cat Treats Duck &amp; Liver 15g")</f>
        <v>Felyn Go Creamy Lickable Cat Treats Duck &amp; Liver 15g</v>
      </c>
      <c r="G2617" s="133"/>
      <c r="H2617" s="133" t="str">
        <f>IFERROR(__xludf.DUMMYFUNCTION("""COMPUTED_VALUE"""),"FEM-25-4841-FEP-2025-4756-C-22548-3089
")</f>
        <v>FEM-25-4841-FEP-2025-4756-C-22548-3089
</v>
      </c>
      <c r="I2617" s="133"/>
      <c r="J2617" s="133"/>
      <c r="K2617" s="133"/>
      <c r="L2617" s="133"/>
      <c r="M2617" s="133"/>
      <c r="N2617" s="133"/>
      <c r="O2617" s="133"/>
      <c r="P2617" s="133"/>
      <c r="Q2617" s="133"/>
      <c r="R2617" s="133"/>
      <c r="S2617" s="133"/>
      <c r="T2617" s="133"/>
      <c r="U2617" s="133"/>
      <c r="V2617" s="133"/>
      <c r="W2617" s="133"/>
      <c r="X2617" s="133"/>
      <c r="Y2617" s="133"/>
      <c r="Z2617" s="133"/>
    </row>
    <row r="2618">
      <c r="A2618" s="133"/>
      <c r="B2618" s="133"/>
      <c r="C2618" s="133" t="str">
        <f>IFERROR(__xludf.DUMMYFUNCTION("""COMPUTED_VALUE"""),"2025-227622")</f>
        <v>2025-227622</v>
      </c>
      <c r="D2618" s="133"/>
      <c r="E2618" s="133" t="str">
        <f>IFERROR(__xludf.DUMMYFUNCTION("""COMPUTED_VALUE"""),"مكتمل ")</f>
        <v>مكتمل </v>
      </c>
      <c r="F2618" s="133" t="str">
        <f>IFERROR(__xludf.DUMMYFUNCTION("""COMPUTED_VALUE"""),"Felyn Go Creamy Lickable Cat Treats Rabbit 15g")</f>
        <v>Felyn Go Creamy Lickable Cat Treats Rabbit 15g</v>
      </c>
      <c r="G2618" s="133"/>
      <c r="H2618" s="133" t="str">
        <f>IFERROR(__xludf.DUMMYFUNCTION("""COMPUTED_VALUE"""),"FEM-25-4842-FEP-2025-4757-C-22548-3090
")</f>
        <v>FEM-25-4842-FEP-2025-4757-C-22548-3090
</v>
      </c>
      <c r="I2618" s="133"/>
      <c r="J2618" s="133"/>
      <c r="K2618" s="133"/>
      <c r="L2618" s="133"/>
      <c r="M2618" s="133"/>
      <c r="N2618" s="133"/>
      <c r="O2618" s="133"/>
      <c r="P2618" s="133"/>
      <c r="Q2618" s="133"/>
      <c r="R2618" s="133"/>
      <c r="S2618" s="133"/>
      <c r="T2618" s="133"/>
      <c r="U2618" s="133"/>
      <c r="V2618" s="133"/>
      <c r="W2618" s="133"/>
      <c r="X2618" s="133"/>
      <c r="Y2618" s="133"/>
      <c r="Z2618" s="133"/>
    </row>
    <row r="2619">
      <c r="A2619" s="133"/>
      <c r="B2619" s="133"/>
      <c r="C2619" s="133" t="str">
        <f>IFERROR(__xludf.DUMMYFUNCTION("""COMPUTED_VALUE"""),"2025-227628")</f>
        <v>2025-227628</v>
      </c>
      <c r="D2619" s="133"/>
      <c r="E2619" s="133" t="str">
        <f>IFERROR(__xludf.DUMMYFUNCTION("""COMPUTED_VALUE"""),"مكتمل ")</f>
        <v>مكتمل </v>
      </c>
      <c r="F2619" s="133" t="str">
        <f>IFERROR(__xludf.DUMMYFUNCTION("""COMPUTED_VALUE"""),"Felyn Go Creamy Lickable Cat Treats Salmon 15g")</f>
        <v>Felyn Go Creamy Lickable Cat Treats Salmon 15g</v>
      </c>
      <c r="G2619" s="133"/>
      <c r="H2619" s="133" t="str">
        <f>IFERROR(__xludf.DUMMYFUNCTION("""COMPUTED_VALUE"""),"FEM-25-4843-FEP-2025-4758-C-22548-3776
")</f>
        <v>FEM-25-4843-FEP-2025-4758-C-22548-3776
</v>
      </c>
      <c r="I2619" s="133"/>
      <c r="J2619" s="133"/>
      <c r="K2619" s="133"/>
      <c r="L2619" s="133"/>
      <c r="M2619" s="133"/>
      <c r="N2619" s="133"/>
      <c r="O2619" s="133"/>
      <c r="P2619" s="133"/>
      <c r="Q2619" s="133"/>
      <c r="R2619" s="133"/>
      <c r="S2619" s="133"/>
      <c r="T2619" s="133"/>
      <c r="U2619" s="133"/>
      <c r="V2619" s="133"/>
      <c r="W2619" s="133"/>
      <c r="X2619" s="133"/>
      <c r="Y2619" s="133"/>
      <c r="Z2619" s="133"/>
    </row>
    <row r="2620">
      <c r="A2620" s="133"/>
      <c r="B2620" s="133"/>
      <c r="C2620" s="133" t="str">
        <f>IFERROR(__xludf.DUMMYFUNCTION("""COMPUTED_VALUE"""),"2025-227646")</f>
        <v>2025-227646</v>
      </c>
      <c r="D2620" s="133"/>
      <c r="E2620" s="133" t="str">
        <f>IFERROR(__xludf.DUMMYFUNCTION("""COMPUTED_VALUE"""),"مكتمل ")</f>
        <v>مكتمل </v>
      </c>
      <c r="F2620" s="133" t="str">
        <f>IFERROR(__xludf.DUMMYFUNCTION("""COMPUTED_VALUE"""),"Felyn Go Creamy Lickable Cat Treats Tuna 15g")</f>
        <v>Felyn Go Creamy Lickable Cat Treats Tuna 15g</v>
      </c>
      <c r="G2620" s="133"/>
      <c r="H2620" s="133" t="str">
        <f>IFERROR(__xludf.DUMMYFUNCTION("""COMPUTED_VALUE"""),"FEM-25-4844-FEP-2025-4759-C-22548-3081
")</f>
        <v>FEM-25-4844-FEP-2025-4759-C-22548-3081
</v>
      </c>
      <c r="I2620" s="133"/>
      <c r="J2620" s="133"/>
      <c r="K2620" s="133"/>
      <c r="L2620" s="133"/>
      <c r="M2620" s="133"/>
      <c r="N2620" s="133"/>
      <c r="O2620" s="133"/>
      <c r="P2620" s="133"/>
      <c r="Q2620" s="133"/>
      <c r="R2620" s="133"/>
      <c r="S2620" s="133"/>
      <c r="T2620" s="133"/>
      <c r="U2620" s="133"/>
      <c r="V2620" s="133"/>
      <c r="W2620" s="133"/>
      <c r="X2620" s="133"/>
      <c r="Y2620" s="133"/>
      <c r="Z2620" s="133"/>
    </row>
    <row r="2621">
      <c r="A2621" s="133"/>
      <c r="B2621" s="133"/>
      <c r="C2621" s="133" t="str">
        <f>IFERROR(__xludf.DUMMYFUNCTION("""COMPUTED_VALUE"""),"2025-232374")</f>
        <v>2025-232374</v>
      </c>
      <c r="D2621" s="133"/>
      <c r="E2621" s="133" t="str">
        <f>IFERROR(__xludf.DUMMYFUNCTION("""COMPUTED_VALUE"""),"مكتمل ")</f>
        <v>مكتمل </v>
      </c>
      <c r="F2621" s="133" t="str">
        <f>IFERROR(__xludf.DUMMYFUNCTION("""COMPUTED_VALUE"""),"Felyn Go Milk for Cats 200ml")</f>
        <v>Felyn Go Milk for Cats 200ml</v>
      </c>
      <c r="G2621" s="133"/>
      <c r="H2621" s="133" t="str">
        <f>IFERROR(__xludf.DUMMYFUNCTION("""COMPUTED_VALUE"""),"FEM-25-4882-FEP-2025-4795-C-22548-3102")</f>
        <v>FEM-25-4882-FEP-2025-4795-C-22548-3102</v>
      </c>
      <c r="I2621" s="133"/>
      <c r="J2621" s="133"/>
      <c r="K2621" s="133"/>
      <c r="L2621" s="133"/>
      <c r="M2621" s="133"/>
      <c r="N2621" s="133"/>
      <c r="O2621" s="133"/>
      <c r="P2621" s="133"/>
      <c r="Q2621" s="133"/>
      <c r="R2621" s="133"/>
      <c r="S2621" s="133"/>
      <c r="T2621" s="133"/>
      <c r="U2621" s="133"/>
      <c r="V2621" s="133"/>
      <c r="W2621" s="133"/>
      <c r="X2621" s="133"/>
      <c r="Y2621" s="133"/>
      <c r="Z2621" s="133"/>
    </row>
    <row r="2622">
      <c r="A2622" s="133"/>
      <c r="B2622" s="133"/>
      <c r="C2622" s="133" t="str">
        <f>IFERROR(__xludf.DUMMYFUNCTION("""COMPUTED_VALUE"""),"2025-232415")</f>
        <v>2025-232415</v>
      </c>
      <c r="D2622" s="133"/>
      <c r="E2622" s="133" t="str">
        <f>IFERROR(__xludf.DUMMYFUNCTION("""COMPUTED_VALUE"""),"مكتمل ")</f>
        <v>مكتمل </v>
      </c>
      <c r="F2622" s="133" t="str">
        <f>IFERROR(__xludf.DUMMYFUNCTION("""COMPUTED_VALUE"""),"Felyn Go Milk for Kittens 200ml")</f>
        <v>Felyn Go Milk for Kittens 200ml</v>
      </c>
      <c r="G2622" s="133"/>
      <c r="H2622" s="133" t="str">
        <f>IFERROR(__xludf.DUMMYFUNCTION("""COMPUTED_VALUE"""),"FEM-25-4883-FEP-2025-4796-C-22548-3103")</f>
        <v>FEM-25-4883-FEP-2025-4796-C-22548-3103</v>
      </c>
      <c r="I2622" s="133"/>
      <c r="J2622" s="133"/>
      <c r="K2622" s="133"/>
      <c r="L2622" s="133"/>
      <c r="M2622" s="133"/>
      <c r="N2622" s="133"/>
      <c r="O2622" s="133"/>
      <c r="P2622" s="133"/>
      <c r="Q2622" s="133"/>
      <c r="R2622" s="133"/>
      <c r="S2622" s="133"/>
      <c r="T2622" s="133"/>
      <c r="U2622" s="133"/>
      <c r="V2622" s="133"/>
      <c r="W2622" s="133"/>
      <c r="X2622" s="133"/>
      <c r="Y2622" s="133"/>
      <c r="Z2622" s="133"/>
    </row>
    <row r="2623">
      <c r="A2623" s="133"/>
      <c r="B2623" s="133"/>
      <c r="C2623" s="133" t="str">
        <f>IFERROR(__xludf.DUMMYFUNCTION("""COMPUTED_VALUE"""),"2025-235542")</f>
        <v>2025-235542</v>
      </c>
      <c r="D2623" s="133" t="str">
        <f>IFERROR(__xludf.DUMMYFUNCTION("""COMPUTED_VALUE"""),"2025-399822")</f>
        <v>2025-399822</v>
      </c>
      <c r="E2623" s="133" t="str">
        <f>IFERROR(__xludf.DUMMYFUNCTION("""COMPUTED_VALUE"""),"مكتمل ")</f>
        <v>مكتمل </v>
      </c>
      <c r="F2623" s="133" t="str">
        <f>IFERROR(__xludf.DUMMYFUNCTION("""COMPUTED_VALUE"""),"Felyn Go Soft Bite Cat Treats Chicken &amp; Beef 10g")</f>
        <v>Felyn Go Soft Bite Cat Treats Chicken &amp; Beef 10g</v>
      </c>
      <c r="G2623" s="133"/>
      <c r="H2623" s="133"/>
      <c r="I2623" s="133"/>
      <c r="J2623" s="133"/>
      <c r="K2623" s="133"/>
      <c r="L2623" s="133"/>
      <c r="M2623" s="133"/>
      <c r="N2623" s="133"/>
      <c r="O2623" s="133"/>
      <c r="P2623" s="133"/>
      <c r="Q2623" s="133"/>
      <c r="R2623" s="133"/>
      <c r="S2623" s="133"/>
      <c r="T2623" s="133"/>
      <c r="U2623" s="133"/>
      <c r="V2623" s="133"/>
      <c r="W2623" s="133"/>
      <c r="X2623" s="133"/>
      <c r="Y2623" s="133"/>
      <c r="Z2623" s="133"/>
    </row>
    <row r="2624">
      <c r="A2624" s="133"/>
      <c r="B2624" s="133"/>
      <c r="C2624" s="133" t="str">
        <f>IFERROR(__xludf.DUMMYFUNCTION("""COMPUTED_VALUE"""),"2025-235420")</f>
        <v>2025-235420</v>
      </c>
      <c r="D2624" s="133" t="str">
        <f>IFERROR(__xludf.DUMMYFUNCTION("""COMPUTED_VALUE"""),"2025-399920")</f>
        <v>2025-399920</v>
      </c>
      <c r="E2624" s="133" t="str">
        <f>IFERROR(__xludf.DUMMYFUNCTION("""COMPUTED_VALUE"""),"مكتمل ")</f>
        <v>مكتمل </v>
      </c>
      <c r="F2624" s="133" t="str">
        <f>IFERROR(__xludf.DUMMYFUNCTION("""COMPUTED_VALUE"""),"Felyn Go Soft Bite Cat Treats Chicken &amp; Cheese 10g")</f>
        <v>Felyn Go Soft Bite Cat Treats Chicken &amp; Cheese 10g</v>
      </c>
      <c r="G2624" s="133"/>
      <c r="H2624" s="133"/>
      <c r="I2624" s="133"/>
      <c r="J2624" s="133"/>
      <c r="K2624" s="133"/>
      <c r="L2624" s="133"/>
      <c r="M2624" s="133"/>
      <c r="N2624" s="133"/>
      <c r="O2624" s="133"/>
      <c r="P2624" s="133"/>
      <c r="Q2624" s="133"/>
      <c r="R2624" s="133"/>
      <c r="S2624" s="133"/>
      <c r="T2624" s="133"/>
      <c r="U2624" s="133"/>
      <c r="V2624" s="133"/>
      <c r="W2624" s="133"/>
      <c r="X2624" s="133"/>
      <c r="Y2624" s="133"/>
      <c r="Z2624" s="133"/>
    </row>
    <row r="2625">
      <c r="A2625" s="133"/>
      <c r="B2625" s="133" t="str">
        <f>IFERROR(__xludf.DUMMYFUNCTION("""COMPUTED_VALUE"""),"يجب ارفاق شهادة حرية بيع صادرة من الجهة الرقابية في بلد الانتاج مؤرخة ومختومة
")</f>
        <v>يجب ارفاق شهادة حرية بيع صادرة من الجهة الرقابية في بلد الانتاج مؤرخة ومختومة
</v>
      </c>
      <c r="C2625" s="133" t="str">
        <f>IFERROR(__xludf.DUMMYFUNCTION("""COMPUTED_VALUE"""),"2025-235575")</f>
        <v>2025-235575</v>
      </c>
      <c r="D2625" s="133" t="str">
        <f>IFERROR(__xludf.DUMMYFUNCTION("""COMPUTED_VALUE"""),"2025-399882")</f>
        <v>2025-399882</v>
      </c>
      <c r="E2625" s="133" t="str">
        <f>IFERROR(__xludf.DUMMYFUNCTION("""COMPUTED_VALUE"""),"مكتمل ")</f>
        <v>مكتمل </v>
      </c>
      <c r="F2625" s="133" t="str">
        <f>IFERROR(__xludf.DUMMYFUNCTION("""COMPUTED_VALUE"""),"Felyn Go Soft Bite Cat Treats Chicken &amp; Salmon 10g")</f>
        <v>Felyn Go Soft Bite Cat Treats Chicken &amp; Salmon 10g</v>
      </c>
      <c r="G2625" s="133"/>
      <c r="H2625" s="133"/>
      <c r="I2625" s="133"/>
      <c r="J2625" s="133"/>
      <c r="K2625" s="133"/>
      <c r="L2625" s="142" t="str">
        <f>IFERROR(__xludf.DUMMYFUNCTION("""COMPUTED_VALUE"""),"يجب ارفاق شهادة حرية بيع صادرة من الجهة الرقابية في بلد الانتاج مؤرخة ومختومة
")</f>
        <v>يجب ارفاق شهادة حرية بيع صادرة من الجهة الرقابية في بلد الانتاج مؤرخة ومختومة
</v>
      </c>
      <c r="M2625" s="133"/>
      <c r="N2625" s="133"/>
      <c r="O2625" s="133"/>
      <c r="P2625" s="133"/>
      <c r="Q2625" s="133"/>
      <c r="R2625" s="133"/>
      <c r="S2625" s="133"/>
      <c r="T2625" s="133"/>
      <c r="U2625" s="133"/>
      <c r="V2625" s="133"/>
      <c r="W2625" s="133"/>
      <c r="X2625" s="133"/>
      <c r="Y2625" s="133"/>
      <c r="Z2625" s="133"/>
    </row>
    <row r="2626">
      <c r="A2626" s="133"/>
      <c r="B2626" s="133" t="str">
        <f>IFERROR(__xludf.DUMMYFUNCTION("""COMPUTED_VALUE"""),"still under process ")</f>
        <v>still under process </v>
      </c>
      <c r="C2626" s="133" t="str">
        <f>IFERROR(__xludf.DUMMYFUNCTION("""COMPUTED_VALUE"""),"2025-235611")</f>
        <v>2025-235611</v>
      </c>
      <c r="D2626" s="133"/>
      <c r="E2626" s="133" t="str">
        <f>IFERROR(__xludf.DUMMYFUNCTION("""COMPUTED_VALUE"""),"مكتمل ")</f>
        <v>مكتمل </v>
      </c>
      <c r="F2626" s="133" t="str">
        <f>IFERROR(__xludf.DUMMYFUNCTION("""COMPUTED_VALUE"""),"Felyn Go Soft Bite Cat Treats Chicken &amp; Tuna 10g")</f>
        <v>Felyn Go Soft Bite Cat Treats Chicken &amp; Tuna 10g</v>
      </c>
      <c r="G2626" s="133"/>
      <c r="H2626" s="133"/>
      <c r="I2626" s="133"/>
      <c r="J2626" s="133"/>
      <c r="K2626" s="133"/>
      <c r="L2626" s="142" t="str">
        <f>IFERROR(__xludf.DUMMYFUNCTION("""COMPUTED_VALUE"""),"still under process ")</f>
        <v>still under process </v>
      </c>
      <c r="M2626" s="133"/>
      <c r="N2626" s="133"/>
      <c r="O2626" s="133"/>
      <c r="P2626" s="133"/>
      <c r="Q2626" s="133"/>
      <c r="R2626" s="133"/>
      <c r="S2626" s="133"/>
      <c r="T2626" s="133"/>
      <c r="U2626" s="133"/>
      <c r="V2626" s="133"/>
      <c r="W2626" s="133"/>
      <c r="X2626" s="133"/>
      <c r="Y2626" s="133"/>
      <c r="Z2626" s="133"/>
    </row>
    <row r="2627">
      <c r="A2627" s="133"/>
      <c r="B2627" s="133"/>
      <c r="C2627" s="133" t="str">
        <f>IFERROR(__xludf.DUMMYFUNCTION("""COMPUTED_VALUE"""),"2025-235635")</f>
        <v>2025-235635</v>
      </c>
      <c r="D2627" s="133"/>
      <c r="E2627" s="133" t="str">
        <f>IFERROR(__xludf.DUMMYFUNCTION("""COMPUTED_VALUE"""),"مكتمل ")</f>
        <v>مكتمل </v>
      </c>
      <c r="F2627" s="133" t="str">
        <f>IFERROR(__xludf.DUMMYFUNCTION("""COMPUTED_VALUE"""),"Felyn Go Soft Bite Cat Treats Chicken &amp; Yolk 10g")</f>
        <v>Felyn Go Soft Bite Cat Treats Chicken &amp; Yolk 10g</v>
      </c>
      <c r="G2627" s="133"/>
      <c r="H2627" s="133"/>
      <c r="I2627" s="133"/>
      <c r="J2627" s="133"/>
      <c r="K2627" s="133"/>
      <c r="L2627" s="133"/>
      <c r="M2627" s="133"/>
      <c r="N2627" s="133"/>
      <c r="O2627" s="133"/>
      <c r="P2627" s="133"/>
      <c r="Q2627" s="133"/>
      <c r="R2627" s="133"/>
      <c r="S2627" s="133"/>
      <c r="T2627" s="133"/>
      <c r="U2627" s="133"/>
      <c r="V2627" s="133"/>
      <c r="W2627" s="133"/>
      <c r="X2627" s="133"/>
      <c r="Y2627" s="133"/>
      <c r="Z2627" s="133"/>
    </row>
    <row r="2628">
      <c r="A2628" s="133"/>
      <c r="B2628" s="133"/>
      <c r="C2628" s="133" t="str">
        <f>IFERROR(__xludf.DUMMYFUNCTION("""COMPUTED_VALUE"""),"2025-342897")</f>
        <v>2025-342897</v>
      </c>
      <c r="D2628" s="133"/>
      <c r="E2628" s="133" t="str">
        <f>IFERROR(__xludf.DUMMYFUNCTION("""COMPUTED_VALUE"""),"مكتمل ")</f>
        <v>مكتمل </v>
      </c>
      <c r="F2628" s="133" t="str">
        <f>IFERROR(__xludf.DUMMYFUNCTION("""COMPUTED_VALUE"""),"Forza 10 PUPPY CONDRO kg10")</f>
        <v>Forza 10 PUPPY CONDRO kg10</v>
      </c>
      <c r="G2628" s="133"/>
      <c r="H2628" s="133"/>
      <c r="I2628" s="133"/>
      <c r="J2628" s="133"/>
      <c r="K2628" s="133"/>
      <c r="L2628" s="133"/>
      <c r="M2628" s="133"/>
      <c r="N2628" s="133"/>
      <c r="O2628" s="133"/>
      <c r="P2628" s="133"/>
      <c r="Q2628" s="133"/>
      <c r="R2628" s="133"/>
      <c r="S2628" s="133"/>
      <c r="T2628" s="133"/>
      <c r="U2628" s="133"/>
      <c r="V2628" s="133"/>
      <c r="W2628" s="133"/>
      <c r="X2628" s="133"/>
      <c r="Y2628" s="133"/>
      <c r="Z2628" s="133"/>
    </row>
    <row r="2629">
      <c r="A2629" s="133"/>
      <c r="B2629" s="133"/>
      <c r="C2629" s="133" t="str">
        <f>IFERROR(__xludf.DUMMYFUNCTION("""COMPUTED_VALUE"""),"2025-350682")</f>
        <v>2025-350682</v>
      </c>
      <c r="D2629" s="133"/>
      <c r="E2629" s="133" t="str">
        <f>IFERROR(__xludf.DUMMYFUNCTION("""COMPUTED_VALUE"""),"تحت الاجراء ")</f>
        <v>تحت الاجراء </v>
      </c>
      <c r="F2629" s="133" t="str">
        <f>IFERROR(__xludf.DUMMYFUNCTION("""COMPUTED_VALUE"""),"Forza 10 RENAL 4kg 1.5kg ")</f>
        <v>Forza 10 RENAL 4kg 1.5kg </v>
      </c>
      <c r="G2629" s="133"/>
      <c r="H2629" s="133"/>
      <c r="I2629" s="133"/>
      <c r="J2629" s="133"/>
      <c r="K2629" s="133"/>
      <c r="L2629" s="133"/>
      <c r="M2629" s="133"/>
      <c r="N2629" s="133"/>
      <c r="O2629" s="133"/>
      <c r="P2629" s="133"/>
      <c r="Q2629" s="133"/>
      <c r="R2629" s="133"/>
      <c r="S2629" s="133"/>
      <c r="T2629" s="133"/>
      <c r="U2629" s="133"/>
      <c r="V2629" s="133"/>
      <c r="W2629" s="133"/>
      <c r="X2629" s="133"/>
      <c r="Y2629" s="133"/>
      <c r="Z2629" s="133"/>
    </row>
    <row r="2630">
      <c r="A2630" s="133"/>
      <c r="B2630" s="133"/>
      <c r="C2630" s="133" t="str">
        <f>IFERROR(__xludf.DUMMYFUNCTION("""COMPUTED_VALUE"""),"2025-350856")</f>
        <v>2025-350856</v>
      </c>
      <c r="D2630" s="133"/>
      <c r="E2630" s="133" t="str">
        <f>IFERROR(__xludf.DUMMYFUNCTION("""COMPUTED_VALUE"""),"تحت الاجراء ")</f>
        <v>تحت الاجراء </v>
      </c>
      <c r="F2630" s="133" t="str">
        <f>IFERROR(__xludf.DUMMYFUNCTION("""COMPUTED_VALUE"""),"Forza 10 ECHO Mini/Toy 1,5kg")</f>
        <v>Forza 10 ECHO Mini/Toy 1,5kg</v>
      </c>
      <c r="G2630" s="133"/>
      <c r="H2630" s="133"/>
      <c r="I2630" s="133"/>
      <c r="J2630" s="133"/>
      <c r="K2630" s="133"/>
      <c r="L2630" s="133"/>
      <c r="M2630" s="133"/>
      <c r="N2630" s="133"/>
      <c r="O2630" s="133"/>
      <c r="P2630" s="133"/>
      <c r="Q2630" s="133"/>
      <c r="R2630" s="133"/>
      <c r="S2630" s="133"/>
      <c r="T2630" s="133"/>
      <c r="U2630" s="133"/>
      <c r="V2630" s="133"/>
      <c r="W2630" s="133"/>
      <c r="X2630" s="133"/>
      <c r="Y2630" s="133"/>
      <c r="Z2630" s="133"/>
    </row>
    <row r="2631">
      <c r="A2631" s="133"/>
      <c r="B2631" s="133"/>
      <c r="C2631" s="133" t="str">
        <f>IFERROR(__xludf.DUMMYFUNCTION("""COMPUTED_VALUE"""),"2025-350880")</f>
        <v>2025-350880</v>
      </c>
      <c r="D2631" s="133"/>
      <c r="E2631" s="133" t="str">
        <f>IFERROR(__xludf.DUMMYFUNCTION("""COMPUTED_VALUE"""),"تحت الاجراء ")</f>
        <v>تحت الاجراء </v>
      </c>
      <c r="F2631" s="133" t="str">
        <f>IFERROR(__xludf.DUMMYFUNCTION("""COMPUTED_VALUE"""),"Forza 10 ECHO kg4 10kg")</f>
        <v>Forza 10 ECHO kg4 10kg</v>
      </c>
      <c r="G2631" s="133"/>
      <c r="H2631" s="133"/>
      <c r="I2631" s="133"/>
      <c r="J2631" s="133"/>
      <c r="K2631" s="133"/>
      <c r="L2631" s="133"/>
      <c r="M2631" s="133"/>
      <c r="N2631" s="133"/>
      <c r="O2631" s="133"/>
      <c r="P2631" s="133"/>
      <c r="Q2631" s="133"/>
      <c r="R2631" s="133"/>
      <c r="S2631" s="133"/>
      <c r="T2631" s="133"/>
      <c r="U2631" s="133"/>
      <c r="V2631" s="133"/>
      <c r="W2631" s="133"/>
      <c r="X2631" s="133"/>
      <c r="Y2631" s="133"/>
      <c r="Z2631" s="133"/>
    </row>
    <row r="2632">
      <c r="A2632" s="133"/>
      <c r="B2632" s="133"/>
      <c r="C2632" s="133" t="str">
        <f>IFERROR(__xludf.DUMMYFUNCTION("""COMPUTED_VALUE"""),"2025-34253")</f>
        <v>2025-34253</v>
      </c>
      <c r="D2632" s="133"/>
      <c r="E2632" s="133" t="str">
        <f>IFERROR(__xludf.DUMMYFUNCTION("""COMPUTED_VALUE"""),"تحت الاجراء ")</f>
        <v>تحت الاجراء </v>
      </c>
      <c r="F2632" s="133" t="str">
        <f>IFERROR(__xludf.DUMMYFUNCTION("""COMPUTED_VALUE"""),"DERMO Mini/Toy 1,5kg")</f>
        <v>DERMO Mini/Toy 1,5kg</v>
      </c>
      <c r="G2632" s="133"/>
      <c r="H2632" s="133"/>
      <c r="I2632" s="133"/>
      <c r="J2632" s="133"/>
      <c r="K2632" s="133"/>
      <c r="L2632" s="133"/>
      <c r="M2632" s="133"/>
      <c r="N2632" s="133"/>
      <c r="O2632" s="133"/>
      <c r="P2632" s="133"/>
      <c r="Q2632" s="133"/>
      <c r="R2632" s="133"/>
      <c r="S2632" s="133"/>
      <c r="T2632" s="133"/>
      <c r="U2632" s="133"/>
      <c r="V2632" s="133"/>
      <c r="W2632" s="133"/>
      <c r="X2632" s="133"/>
      <c r="Y2632" s="133"/>
      <c r="Z2632" s="133"/>
    </row>
    <row r="2633">
      <c r="A2633" s="133"/>
      <c r="B2633" s="133"/>
      <c r="C2633" s="133" t="str">
        <f>IFERROR(__xludf.DUMMYFUNCTION("""COMPUTED_VALUE"""),"2025-350905")</f>
        <v>2025-350905</v>
      </c>
      <c r="D2633" s="133"/>
      <c r="E2633" s="133" t="str">
        <f>IFERROR(__xludf.DUMMYFUNCTION("""COMPUTED_VALUE"""),"تحت الاجراء ")</f>
        <v>تحت الاجراء </v>
      </c>
      <c r="F2633" s="133" t="str">
        <f>IFERROR(__xludf.DUMMYFUNCTION("""COMPUTED_VALUE"""),"Forza 10 DERMO kg10 4kg")</f>
        <v>Forza 10 DERMO kg10 4kg</v>
      </c>
      <c r="G2633" s="133"/>
      <c r="H2633" s="133"/>
      <c r="I2633" s="133"/>
      <c r="J2633" s="133"/>
      <c r="K2633" s="133"/>
      <c r="L2633" s="133"/>
      <c r="M2633" s="133"/>
      <c r="N2633" s="133"/>
      <c r="O2633" s="133"/>
      <c r="P2633" s="133"/>
      <c r="Q2633" s="133"/>
      <c r="R2633" s="133"/>
      <c r="S2633" s="133"/>
      <c r="T2633" s="133"/>
      <c r="U2633" s="133"/>
      <c r="V2633" s="133"/>
      <c r="W2633" s="133"/>
      <c r="X2633" s="133"/>
      <c r="Y2633" s="133"/>
      <c r="Z2633" s="133"/>
    </row>
    <row r="2634">
      <c r="A2634" s="133"/>
      <c r="B2634" s="133"/>
      <c r="C2634" s="133" t="str">
        <f>IFERROR(__xludf.DUMMYFUNCTION("""COMPUTED_VALUE"""),"2025-350977")</f>
        <v>2025-350977</v>
      </c>
      <c r="D2634" s="133"/>
      <c r="E2634" s="133" t="str">
        <f>IFERROR(__xludf.DUMMYFUNCTION("""COMPUTED_VALUE"""),"تحت الاجراء ")</f>
        <v>تحت الاجراء </v>
      </c>
      <c r="F2634" s="133" t="str">
        <f>IFERROR(__xludf.DUMMYFUNCTION("""COMPUTED_VALUE"""),"Forza 10 ULTRA DERMO 1,5kg 10kg")</f>
        <v>Forza 10 ULTRA DERMO 1,5kg 10kg</v>
      </c>
      <c r="G2634" s="133"/>
      <c r="H2634" s="133"/>
      <c r="I2634" s="133"/>
      <c r="J2634" s="133"/>
      <c r="K2634" s="133"/>
      <c r="L2634" s="133"/>
      <c r="M2634" s="133"/>
      <c r="N2634" s="133"/>
      <c r="O2634" s="133"/>
      <c r="P2634" s="133"/>
      <c r="Q2634" s="133"/>
      <c r="R2634" s="133"/>
      <c r="S2634" s="133"/>
      <c r="T2634" s="133"/>
      <c r="U2634" s="133"/>
      <c r="V2634" s="133"/>
      <c r="W2634" s="133"/>
      <c r="X2634" s="133"/>
      <c r="Y2634" s="133"/>
      <c r="Z2634" s="133"/>
    </row>
    <row r="2635">
      <c r="A2635" s="133"/>
      <c r="B2635" s="133"/>
      <c r="C2635" s="133" t="str">
        <f>IFERROR(__xludf.DUMMYFUNCTION("""COMPUTED_VALUE"""),"2025-351017")</f>
        <v>2025-351017</v>
      </c>
      <c r="D2635" s="133"/>
      <c r="E2635" s="133" t="str">
        <f>IFERROR(__xludf.DUMMYFUNCTION("""COMPUTED_VALUE"""),"تحت الاجراء ")</f>
        <v>تحت الاجراء </v>
      </c>
      <c r="F2635" s="133" t="str">
        <f>IFERROR(__xludf.DUMMYFUNCTION("""COMPUTED_VALUE"""),"Forza 10 INTESTINAL Mini/Toy 1 ,5kg")</f>
        <v>Forza 10 INTESTINAL Mini/Toy 1 ,5kg</v>
      </c>
      <c r="G2635" s="133"/>
      <c r="H2635" s="133"/>
      <c r="I2635" s="133"/>
      <c r="J2635" s="133"/>
      <c r="K2635" s="133"/>
      <c r="L2635" s="133"/>
      <c r="M2635" s="133"/>
      <c r="N2635" s="133"/>
      <c r="O2635" s="133"/>
      <c r="P2635" s="133"/>
      <c r="Q2635" s="133"/>
      <c r="R2635" s="133"/>
      <c r="S2635" s="133"/>
      <c r="T2635" s="133"/>
      <c r="U2635" s="133"/>
      <c r="V2635" s="133"/>
      <c r="W2635" s="133"/>
      <c r="X2635" s="133"/>
      <c r="Y2635" s="133"/>
      <c r="Z2635" s="133"/>
    </row>
    <row r="2636">
      <c r="A2636" s="133"/>
      <c r="B2636" s="133"/>
      <c r="C2636" s="133" t="str">
        <f>IFERROR(__xludf.DUMMYFUNCTION("""COMPUTED_VALUE"""),"2025-351050")</f>
        <v>2025-351050</v>
      </c>
      <c r="D2636" s="133"/>
      <c r="E2636" s="133" t="str">
        <f>IFERROR(__xludf.DUMMYFUNCTION("""COMPUTED_VALUE"""),"تحت الاجراء ")</f>
        <v>تحت الاجراء </v>
      </c>
      <c r="F2636" s="133" t="str">
        <f>IFERROR(__xludf.DUMMYFUNCTION("""COMPUTED_VALUE"""),"Forza 10 INTESTINAL kg1,5 4kg 10kg")</f>
        <v>Forza 10 INTESTINAL kg1,5 4kg 10kg</v>
      </c>
      <c r="G2636" s="133"/>
      <c r="H2636" s="133"/>
      <c r="I2636" s="133"/>
      <c r="J2636" s="133"/>
      <c r="K2636" s="133"/>
      <c r="L2636" s="133"/>
      <c r="M2636" s="133"/>
      <c r="N2636" s="133"/>
      <c r="O2636" s="133"/>
      <c r="P2636" s="133"/>
      <c r="Q2636" s="133"/>
      <c r="R2636" s="133"/>
      <c r="S2636" s="133"/>
      <c r="T2636" s="133"/>
      <c r="U2636" s="133"/>
      <c r="V2636" s="133"/>
      <c r="W2636" s="133"/>
      <c r="X2636" s="133"/>
      <c r="Y2636" s="133"/>
      <c r="Z2636" s="133"/>
    </row>
    <row r="2637">
      <c r="A2637" s="133"/>
      <c r="B2637" s="133"/>
      <c r="C2637" s="133" t="str">
        <f>IFERROR(__xludf.DUMMYFUNCTION("""COMPUTED_VALUE"""),"2025-351212")</f>
        <v>2025-351212</v>
      </c>
      <c r="D2637" s="133"/>
      <c r="E2637" s="133" t="str">
        <f>IFERROR(__xludf.DUMMYFUNCTION("""COMPUTED_VALUE"""),"تحت الاجراء ")</f>
        <v>تحت الاجراء </v>
      </c>
      <c r="F2637" s="133" t="str">
        <f>IFERROR(__xludf.DUMMYFUNCTION("""COMPUTED_VALUE"""),"Forza 10 DEPURA kg10")</f>
        <v>Forza 10 DEPURA kg10</v>
      </c>
      <c r="G2637" s="133"/>
      <c r="H2637" s="133"/>
      <c r="I2637" s="133"/>
      <c r="J2637" s="133"/>
      <c r="K2637" s="133"/>
      <c r="L2637" s="133"/>
      <c r="M2637" s="133"/>
      <c r="N2637" s="133"/>
      <c r="O2637" s="133"/>
      <c r="P2637" s="133"/>
      <c r="Q2637" s="133"/>
      <c r="R2637" s="133"/>
      <c r="S2637" s="133"/>
      <c r="T2637" s="133"/>
      <c r="U2637" s="133"/>
      <c r="V2637" s="133"/>
      <c r="W2637" s="133"/>
      <c r="X2637" s="133"/>
      <c r="Y2637" s="133"/>
      <c r="Z2637" s="133"/>
    </row>
    <row r="2638">
      <c r="A2638" s="133"/>
      <c r="B2638" s="133"/>
      <c r="C2638" s="133" t="str">
        <f>IFERROR(__xludf.DUMMYFUNCTION("""COMPUTED_VALUE"""),"2025-351271")</f>
        <v>2025-351271</v>
      </c>
      <c r="D2638" s="133"/>
      <c r="E2638" s="133" t="str">
        <f>IFERROR(__xludf.DUMMYFUNCTION("""COMPUTED_VALUE"""),"تحت الاجراء ")</f>
        <v>تحت الاجراء </v>
      </c>
      <c r="F2638" s="133" t="str">
        <f>IFERROR(__xludf.DUMMYFUNCTION("""COMPUTED_VALUE"""),"Forza 10 PERIACTION Mini/Toy 1 ,5kg")</f>
        <v>Forza 10 PERIACTION Mini/Toy 1 ,5kg</v>
      </c>
      <c r="G2638" s="133"/>
      <c r="H2638" s="133"/>
      <c r="I2638" s="133"/>
      <c r="J2638" s="133"/>
      <c r="K2638" s="133"/>
      <c r="L2638" s="133"/>
      <c r="M2638" s="133"/>
      <c r="N2638" s="133"/>
      <c r="O2638" s="133"/>
      <c r="P2638" s="133"/>
      <c r="Q2638" s="133"/>
      <c r="R2638" s="133"/>
      <c r="S2638" s="133"/>
      <c r="T2638" s="133"/>
      <c r="U2638" s="133"/>
      <c r="V2638" s="133"/>
      <c r="W2638" s="133"/>
      <c r="X2638" s="133"/>
      <c r="Y2638" s="133"/>
      <c r="Z2638" s="133"/>
    </row>
    <row r="2639">
      <c r="A2639" s="133"/>
      <c r="B2639" s="133"/>
      <c r="C2639" s="133" t="str">
        <f>IFERROR(__xludf.DUMMYFUNCTION("""COMPUTED_VALUE"""),"2025-351241")</f>
        <v>2025-351241</v>
      </c>
      <c r="D2639" s="133"/>
      <c r="E2639" s="133" t="str">
        <f>IFERROR(__xludf.DUMMYFUNCTION("""COMPUTED_VALUE"""),"تحت الاجراء ")</f>
        <v>تحت الاجراء </v>
      </c>
      <c r="F2639" s="133" t="str">
        <f>IFERROR(__xludf.DUMMYFUNCTION("""COMPUTED_VALUE"""),"Forza 10 PERIACTION kg4 10kg")</f>
        <v>Forza 10 PERIACTION kg4 10kg</v>
      </c>
      <c r="G2639" s="133"/>
      <c r="H2639" s="133"/>
      <c r="I2639" s="133"/>
      <c r="J2639" s="133"/>
      <c r="K2639" s="133"/>
      <c r="L2639" s="133"/>
      <c r="M2639" s="133"/>
      <c r="N2639" s="133"/>
      <c r="O2639" s="133"/>
      <c r="P2639" s="133"/>
      <c r="Q2639" s="133"/>
      <c r="R2639" s="133"/>
      <c r="S2639" s="133"/>
      <c r="T2639" s="133"/>
      <c r="U2639" s="133"/>
      <c r="V2639" s="133"/>
      <c r="W2639" s="133"/>
      <c r="X2639" s="133"/>
      <c r="Y2639" s="133"/>
      <c r="Z2639" s="133"/>
    </row>
    <row r="2640">
      <c r="A2640" s="133"/>
      <c r="B2640" s="133"/>
      <c r="C2640" s="133" t="str">
        <f>IFERROR(__xludf.DUMMYFUNCTION("""COMPUTED_VALUE"""),"2025-351310")</f>
        <v>2025-351310</v>
      </c>
      <c r="D2640" s="133"/>
      <c r="E2640" s="133" t="str">
        <f>IFERROR(__xludf.DUMMYFUNCTION("""COMPUTED_VALUE"""),"تحت الاجراء ")</f>
        <v>تحت الاجراء </v>
      </c>
      <c r="F2640" s="133" t="str">
        <f>IFERROR(__xludf.DUMMYFUNCTION("""COMPUTED_VALUE"""),"Forza 10 DEFENSE kg10")</f>
        <v>Forza 10 DEFENSE kg10</v>
      </c>
      <c r="G2640" s="133"/>
      <c r="H2640" s="133"/>
      <c r="I2640" s="133"/>
      <c r="J2640" s="133"/>
      <c r="K2640" s="133"/>
      <c r="L2640" s="133"/>
      <c r="M2640" s="133"/>
      <c r="N2640" s="133"/>
      <c r="O2640" s="133"/>
      <c r="P2640" s="133"/>
      <c r="Q2640" s="133"/>
      <c r="R2640" s="133"/>
      <c r="S2640" s="133"/>
      <c r="T2640" s="133"/>
      <c r="U2640" s="133"/>
      <c r="V2640" s="133"/>
      <c r="W2640" s="133"/>
      <c r="X2640" s="133"/>
      <c r="Y2640" s="133"/>
      <c r="Z2640" s="133"/>
    </row>
    <row r="2641">
      <c r="A2641" s="133"/>
      <c r="B2641" s="133"/>
      <c r="C2641" s="133" t="str">
        <f>IFERROR(__xludf.DUMMYFUNCTION("""COMPUTED_VALUE"""),"2025-351330")</f>
        <v>2025-351330</v>
      </c>
      <c r="D2641" s="133"/>
      <c r="E2641" s="133" t="str">
        <f>IFERROR(__xludf.DUMMYFUNCTION("""COMPUTED_VALUE"""),"تحت الاجراء ")</f>
        <v>تحت الاجراء </v>
      </c>
      <c r="F2641" s="133" t="str">
        <f>IFERROR(__xludf.DUMMYFUNCTION("""COMPUTED_VALUE"""),"Forza 10 GASTROENTERIC kg4 10kg")</f>
        <v>Forza 10 GASTROENTERIC kg4 10kg</v>
      </c>
      <c r="G2641" s="133"/>
      <c r="H2641" s="133"/>
      <c r="I2641" s="133"/>
      <c r="J2641" s="133"/>
      <c r="K2641" s="133"/>
      <c r="L2641" s="133"/>
      <c r="M2641" s="133"/>
      <c r="N2641" s="133"/>
      <c r="O2641" s="133"/>
      <c r="P2641" s="133"/>
      <c r="Q2641" s="133"/>
      <c r="R2641" s="133"/>
      <c r="S2641" s="133"/>
      <c r="T2641" s="133"/>
      <c r="U2641" s="133"/>
      <c r="V2641" s="133"/>
      <c r="W2641" s="133"/>
      <c r="X2641" s="133"/>
      <c r="Y2641" s="133"/>
      <c r="Z2641" s="133"/>
    </row>
    <row r="2642">
      <c r="A2642" s="133"/>
      <c r="B2642" s="133"/>
      <c r="C2642" s="133" t="str">
        <f>IFERROR(__xludf.DUMMYFUNCTION("""COMPUTED_VALUE"""),"2025-362100")</f>
        <v>2025-362100</v>
      </c>
      <c r="D2642" s="133"/>
      <c r="E2642" s="133" t="str">
        <f>IFERROR(__xludf.DUMMYFUNCTION("""COMPUTED_VALUE"""),"مكتمل ")</f>
        <v>مكتمل </v>
      </c>
      <c r="F2642" s="133" t="str">
        <f>IFERROR(__xludf.DUMMYFUNCTION("""COMPUTED_VALUE"""),"CATIDEA Signature Beef")</f>
        <v>CATIDEA Signature Beef</v>
      </c>
      <c r="G2642" s="133" t="str">
        <f>IFERROR(__xludf.DUMMYFUNCTION("""COMPUTED_VALUE"""),"كاتيديا سيجنتشر لحم بقري")</f>
        <v>كاتيديا سيجنتشر لحم بقري</v>
      </c>
      <c r="H2642" s="133"/>
      <c r="I2642" s="133"/>
      <c r="J2642" s="133"/>
      <c r="K2642" s="133"/>
      <c r="L2642" s="133"/>
      <c r="M2642" s="133"/>
      <c r="N2642" s="133"/>
      <c r="O2642" s="133"/>
      <c r="P2642" s="133"/>
      <c r="Q2642" s="133"/>
      <c r="R2642" s="133"/>
      <c r="S2642" s="133"/>
      <c r="T2642" s="133"/>
      <c r="U2642" s="133"/>
      <c r="V2642" s="133"/>
      <c r="W2642" s="133"/>
      <c r="X2642" s="133"/>
      <c r="Y2642" s="133"/>
      <c r="Z2642" s="133"/>
    </row>
    <row r="2643">
      <c r="A2643" s="133"/>
      <c r="B2643" s="133"/>
      <c r="C2643" s="133" t="str">
        <f>IFERROR(__xludf.DUMMYFUNCTION("""COMPUTED_VALUE"""),"2025-362151")</f>
        <v>2025-362151</v>
      </c>
      <c r="D2643" s="133"/>
      <c r="E2643" s="133" t="str">
        <f>IFERROR(__xludf.DUMMYFUNCTION("""COMPUTED_VALUE"""),"مكتمل ")</f>
        <v>مكتمل </v>
      </c>
      <c r="F2643" s="133" t="str">
        <f>IFERROR(__xludf.DUMMYFUNCTION("""COMPUTED_VALUE"""),"CATIDEA Signature Chicken")</f>
        <v>CATIDEA Signature Chicken</v>
      </c>
      <c r="G2643" s="133" t="str">
        <f>IFERROR(__xludf.DUMMYFUNCTION("""COMPUTED_VALUE"""),"كاتيديا سيجنتشر الدجاج")</f>
        <v>كاتيديا سيجنتشر الدجاج</v>
      </c>
      <c r="H2643" s="133"/>
      <c r="I2643" s="133"/>
      <c r="J2643" s="133"/>
      <c r="K2643" s="133"/>
      <c r="L2643" s="133"/>
      <c r="M2643" s="133"/>
      <c r="N2643" s="133"/>
      <c r="O2643" s="133"/>
      <c r="P2643" s="133"/>
      <c r="Q2643" s="133"/>
      <c r="R2643" s="133"/>
      <c r="S2643" s="133"/>
      <c r="T2643" s="133"/>
      <c r="U2643" s="133"/>
      <c r="V2643" s="133"/>
      <c r="W2643" s="133"/>
      <c r="X2643" s="133"/>
      <c r="Y2643" s="133"/>
      <c r="Z2643" s="133"/>
    </row>
    <row r="2644">
      <c r="A2644" s="133"/>
      <c r="B2644" s="133"/>
      <c r="C2644" s="133" t="str">
        <f>IFERROR(__xludf.DUMMYFUNCTION("""COMPUTED_VALUE"""),"2025-362172")</f>
        <v>2025-362172</v>
      </c>
      <c r="D2644" s="133"/>
      <c r="E2644" s="133" t="str">
        <f>IFERROR(__xludf.DUMMYFUNCTION("""COMPUTED_VALUE"""),"مكتمل ")</f>
        <v>مكتمل </v>
      </c>
      <c r="F2644" s="133" t="str">
        <f>IFERROR(__xludf.DUMMYFUNCTION("""COMPUTED_VALUE"""),"CATIDEA Signature Duck")</f>
        <v>CATIDEA Signature Duck</v>
      </c>
      <c r="G2644" s="133" t="str">
        <f>IFERROR(__xludf.DUMMYFUNCTION("""COMPUTED_VALUE"""),"كاتيديا سيجنتشر البط")</f>
        <v>كاتيديا سيجنتشر البط</v>
      </c>
      <c r="H2644" s="133"/>
      <c r="I2644" s="133"/>
      <c r="J2644" s="133"/>
      <c r="K2644" s="133"/>
      <c r="L2644" s="133"/>
      <c r="M2644" s="133"/>
      <c r="N2644" s="133"/>
      <c r="O2644" s="133"/>
      <c r="P2644" s="133"/>
      <c r="Q2644" s="133"/>
      <c r="R2644" s="133"/>
      <c r="S2644" s="133"/>
      <c r="T2644" s="133"/>
      <c r="U2644" s="133"/>
      <c r="V2644" s="133"/>
      <c r="W2644" s="133"/>
      <c r="X2644" s="133"/>
      <c r="Y2644" s="133"/>
      <c r="Z2644" s="133"/>
    </row>
    <row r="2645">
      <c r="A2645" s="133"/>
      <c r="B2645" s="133"/>
      <c r="C2645" s="133" t="str">
        <f>IFERROR(__xludf.DUMMYFUNCTION("""COMPUTED_VALUE"""),"2025-362219")</f>
        <v>2025-362219</v>
      </c>
      <c r="D2645" s="133"/>
      <c r="E2645" s="133" t="str">
        <f>IFERROR(__xludf.DUMMYFUNCTION("""COMPUTED_VALUE"""),"مكتمل ")</f>
        <v>مكتمل </v>
      </c>
      <c r="F2645" s="133" t="str">
        <f>IFERROR(__xludf.DUMMYFUNCTION("""COMPUTED_VALUE"""),"CATIDEA Signature Goat Milk Mother &amp; Baby Cat")</f>
        <v>CATIDEA Signature Goat Milk Mother &amp; Baby Cat</v>
      </c>
      <c r="G2645" s="133" t="str">
        <f>IFERROR(__xludf.DUMMYFUNCTION("""COMPUTED_VALUE"""),"كاتيديا سيجنتشر حليب الماعز للام و القطط الصغيرة")</f>
        <v>كاتيديا سيجنتشر حليب الماعز للام و القطط الصغيرة</v>
      </c>
      <c r="H2645" s="133"/>
      <c r="I2645" s="133"/>
      <c r="J2645" s="133"/>
      <c r="K2645" s="133"/>
      <c r="L2645" s="133"/>
      <c r="M2645" s="133"/>
      <c r="N2645" s="133"/>
      <c r="O2645" s="133"/>
      <c r="P2645" s="133"/>
      <c r="Q2645" s="133"/>
      <c r="R2645" s="133"/>
      <c r="S2645" s="133"/>
      <c r="T2645" s="133"/>
      <c r="U2645" s="133"/>
      <c r="V2645" s="133"/>
      <c r="W2645" s="133"/>
      <c r="X2645" s="133"/>
      <c r="Y2645" s="133"/>
      <c r="Z2645" s="133"/>
    </row>
    <row r="2646">
      <c r="A2646" s="133"/>
      <c r="B2646" s="133"/>
      <c r="C2646" s="133" t="str">
        <f>IFERROR(__xludf.DUMMYFUNCTION("""COMPUTED_VALUE"""),"2025-362249")</f>
        <v>2025-362249</v>
      </c>
      <c r="D2646" s="133"/>
      <c r="E2646" s="133" t="str">
        <f>IFERROR(__xludf.DUMMYFUNCTION("""COMPUTED_VALUE"""),"مكتمل ")</f>
        <v>مكتمل </v>
      </c>
      <c r="F2646" s="133" t="str">
        <f>IFERROR(__xludf.DUMMYFUNCTION("""COMPUTED_VALUE"""),"CATIDEA Signature Lamb")</f>
        <v>CATIDEA Signature Lamb</v>
      </c>
      <c r="G2646" s="133" t="str">
        <f>IFERROR(__xludf.DUMMYFUNCTION("""COMPUTED_VALUE"""),"كاتيديا سيجنتشر لحم الضان")</f>
        <v>كاتيديا سيجنتشر لحم الضان</v>
      </c>
      <c r="H2646" s="133"/>
      <c r="I2646" s="133"/>
      <c r="J2646" s="133"/>
      <c r="K2646" s="133"/>
      <c r="L2646" s="133"/>
      <c r="M2646" s="133"/>
      <c r="N2646" s="133"/>
      <c r="O2646" s="133"/>
      <c r="P2646" s="133"/>
      <c r="Q2646" s="133"/>
      <c r="R2646" s="133"/>
      <c r="S2646" s="133"/>
      <c r="T2646" s="133"/>
      <c r="U2646" s="133"/>
      <c r="V2646" s="133"/>
      <c r="W2646" s="133"/>
      <c r="X2646" s="133"/>
      <c r="Y2646" s="133"/>
      <c r="Z2646" s="133"/>
    </row>
    <row r="2647">
      <c r="A2647" s="133"/>
      <c r="B2647" s="133"/>
      <c r="C2647" s="133" t="str">
        <f>IFERROR(__xludf.DUMMYFUNCTION("""COMPUTED_VALUE"""),"2025-362311")</f>
        <v>2025-362311</v>
      </c>
      <c r="D2647" s="133"/>
      <c r="E2647" s="133" t="str">
        <f>IFERROR(__xludf.DUMMYFUNCTION("""COMPUTED_VALUE"""),"مكتمل ")</f>
        <v>مكتمل </v>
      </c>
      <c r="F2647" s="133" t="str">
        <f>IFERROR(__xludf.DUMMYFUNCTION("""COMPUTED_VALUE"""),"CATIDEA Signature Salmon")</f>
        <v>CATIDEA Signature Salmon</v>
      </c>
      <c r="G2647" s="133" t="str">
        <f>IFERROR(__xludf.DUMMYFUNCTION("""COMPUTED_VALUE"""),"كاتيديا سيجنتشر السالمون")</f>
        <v>كاتيديا سيجنتشر السالمون</v>
      </c>
      <c r="H2647" s="133"/>
      <c r="I2647" s="133"/>
      <c r="J2647" s="133"/>
      <c r="K2647" s="133"/>
      <c r="L2647" s="133"/>
      <c r="M2647" s="133"/>
      <c r="N2647" s="133"/>
      <c r="O2647" s="133"/>
      <c r="P2647" s="133"/>
      <c r="Q2647" s="133"/>
      <c r="R2647" s="133"/>
      <c r="S2647" s="133"/>
      <c r="T2647" s="133"/>
      <c r="U2647" s="133"/>
      <c r="V2647" s="133"/>
      <c r="W2647" s="133"/>
      <c r="X2647" s="133"/>
      <c r="Y2647" s="133"/>
      <c r="Z2647" s="133"/>
    </row>
    <row r="2648">
      <c r="A2648" s="133"/>
      <c r="B2648" s="133"/>
      <c r="C2648" s="133" t="str">
        <f>IFERROR(__xludf.DUMMYFUNCTION("""COMPUTED_VALUE"""),"2025-377435")</f>
        <v>2025-377435</v>
      </c>
      <c r="D2648" s="133"/>
      <c r="E2648" s="133" t="str">
        <f>IFERROR(__xludf.DUMMYFUNCTION("""COMPUTED_VALUE"""),"تحت الاجراء ")</f>
        <v>تحت الاجراء </v>
      </c>
      <c r="F2648" s="133" t="str">
        <f>IFERROR(__xludf.DUMMYFUNCTION("""COMPUTED_VALUE"""),"Kit Cat Urinary Care Supplement Powder 150g")</f>
        <v>Kit Cat Urinary Care Supplement Powder 150g</v>
      </c>
      <c r="G2648" s="133" t="str">
        <f>IFERROR(__xludf.DUMMYFUNCTION("""COMPUTED_VALUE"""),"كيت كات مكمل بودرة العناية البولية")</f>
        <v>كيت كات مكمل بودرة العناية البولية</v>
      </c>
      <c r="H2648" s="133"/>
      <c r="I2648" s="133"/>
      <c r="J2648" s="133"/>
      <c r="K2648" s="133"/>
      <c r="L2648" s="133"/>
      <c r="M2648" s="133"/>
      <c r="N2648" s="133"/>
      <c r="O2648" s="133"/>
      <c r="P2648" s="133"/>
      <c r="Q2648" s="133"/>
      <c r="R2648" s="133"/>
      <c r="S2648" s="133"/>
      <c r="T2648" s="133"/>
      <c r="U2648" s="133"/>
      <c r="V2648" s="133"/>
      <c r="W2648" s="133"/>
      <c r="X2648" s="133"/>
      <c r="Y2648" s="133"/>
      <c r="Z2648" s="133"/>
    </row>
    <row r="2649">
      <c r="A2649" s="133"/>
      <c r="B2649" s="133"/>
      <c r="C2649" s="133" t="str">
        <f>IFERROR(__xludf.DUMMYFUNCTION("""COMPUTED_VALUE"""),"2025-377456")</f>
        <v>2025-377456</v>
      </c>
      <c r="D2649" s="133"/>
      <c r="E2649" s="133" t="str">
        <f>IFERROR(__xludf.DUMMYFUNCTION("""COMPUTED_VALUE"""),"مكتمل ")</f>
        <v>مكتمل </v>
      </c>
      <c r="F2649" s="133" t="str">
        <f>IFERROR(__xludf.DUMMYFUNCTION("""COMPUTED_VALUE"""),"Kit Cat Probiotic Supplement Powder 150g")</f>
        <v>Kit Cat Probiotic Supplement Powder 150g</v>
      </c>
      <c r="G2649" s="133" t="str">
        <f>IFERROR(__xludf.DUMMYFUNCTION("""COMPUTED_VALUE"""),"كيت كات مكمل بودرة بروبيوتيك")</f>
        <v>كيت كات مكمل بودرة بروبيوتيك</v>
      </c>
      <c r="H2649" s="133"/>
      <c r="I2649" s="133"/>
      <c r="J2649" s="133"/>
      <c r="K2649" s="133"/>
      <c r="L2649" s="133"/>
      <c r="M2649" s="133"/>
      <c r="N2649" s="133"/>
      <c r="O2649" s="133"/>
      <c r="P2649" s="133"/>
      <c r="Q2649" s="133"/>
      <c r="R2649" s="133"/>
      <c r="S2649" s="133"/>
      <c r="T2649" s="133"/>
      <c r="U2649" s="133"/>
      <c r="V2649" s="133"/>
      <c r="W2649" s="133"/>
      <c r="X2649" s="133"/>
      <c r="Y2649" s="133"/>
      <c r="Z2649" s="133"/>
    </row>
    <row r="2650">
      <c r="A2650" s="133"/>
      <c r="B2650" s="133"/>
      <c r="C2650" s="133" t="str">
        <f>IFERROR(__xludf.DUMMYFUNCTION("""COMPUTED_VALUE"""),"2025-377472")</f>
        <v>2025-377472</v>
      </c>
      <c r="D2650" s="133"/>
      <c r="E2650" s="133" t="str">
        <f>IFERROR(__xludf.DUMMYFUNCTION("""COMPUTED_VALUE"""),"مكتمل ")</f>
        <v>مكتمل </v>
      </c>
      <c r="F2650" s="133" t="str">
        <f>IFERROR(__xludf.DUMMYFUNCTION("""COMPUTED_VALUE"""),"Kit Cat Taurine Supplement Powder 150g")</f>
        <v>Kit Cat Taurine Supplement Powder 150g</v>
      </c>
      <c r="G2650" s="133" t="str">
        <f>IFERROR(__xludf.DUMMYFUNCTION("""COMPUTED_VALUE"""),"كيت كات مكمل بودرة تورين")</f>
        <v>كيت كات مكمل بودرة تورين</v>
      </c>
      <c r="H2650" s="133"/>
      <c r="I2650" s="133"/>
      <c r="J2650" s="133"/>
      <c r="K2650" s="133"/>
      <c r="L2650" s="133"/>
      <c r="M2650" s="133"/>
      <c r="N2650" s="133"/>
      <c r="O2650" s="133"/>
      <c r="P2650" s="133"/>
      <c r="Q2650" s="133"/>
      <c r="R2650" s="133"/>
      <c r="S2650" s="133"/>
      <c r="T2650" s="133"/>
      <c r="U2650" s="133"/>
      <c r="V2650" s="133"/>
      <c r="W2650" s="133"/>
      <c r="X2650" s="133"/>
      <c r="Y2650" s="133"/>
      <c r="Z2650" s="133"/>
    </row>
    <row r="2651">
      <c r="A2651" s="133"/>
      <c r="B2651" s="133"/>
      <c r="C2651" s="133" t="str">
        <f>IFERROR(__xludf.DUMMYFUNCTION("""COMPUTED_VALUE"""),"2025-377494")</f>
        <v>2025-377494</v>
      </c>
      <c r="D2651" s="133"/>
      <c r="E2651" s="133" t="str">
        <f>IFERROR(__xludf.DUMMYFUNCTION("""COMPUTED_VALUE"""),"مكتمل ")</f>
        <v>مكتمل </v>
      </c>
      <c r="F2651" s="133" t="str">
        <f>IFERROR(__xludf.DUMMYFUNCTION("""COMPUTED_VALUE"""),"Kit Cat L-Lysine Supplement Powder 150g")</f>
        <v>Kit Cat L-Lysine Supplement Powder 150g</v>
      </c>
      <c r="G2651" s="133" t="str">
        <f>IFERROR(__xludf.DUMMYFUNCTION("""COMPUTED_VALUE"""),"كيت كات مكمل بودرة إل-لايسين")</f>
        <v>كيت كات مكمل بودرة إل-لايسين</v>
      </c>
      <c r="H2651" s="133"/>
      <c r="I2651" s="133"/>
      <c r="J2651" s="133"/>
      <c r="K2651" s="133"/>
      <c r="L2651" s="133"/>
      <c r="M2651" s="133"/>
      <c r="N2651" s="133"/>
      <c r="O2651" s="133"/>
      <c r="P2651" s="133"/>
      <c r="Q2651" s="133"/>
      <c r="R2651" s="133"/>
      <c r="S2651" s="133"/>
      <c r="T2651" s="133"/>
      <c r="U2651" s="133"/>
      <c r="V2651" s="133"/>
      <c r="W2651" s="133"/>
      <c r="X2651" s="133"/>
      <c r="Y2651" s="133"/>
      <c r="Z2651" s="133"/>
    </row>
    <row r="2652">
      <c r="A2652" s="133"/>
      <c r="B2652" s="133"/>
      <c r="C2652" s="133" t="str">
        <f>IFERROR(__xludf.DUMMYFUNCTION("""COMPUTED_VALUE"""),"2025-377516")</f>
        <v>2025-377516</v>
      </c>
      <c r="D2652" s="133"/>
      <c r="E2652" s="133" t="str">
        <f>IFERROR(__xludf.DUMMYFUNCTION("""COMPUTED_VALUE"""),"مكتمل ")</f>
        <v>مكتمل </v>
      </c>
      <c r="F2652" s="133" t="str">
        <f>IFERROR(__xludf.DUMMYFUNCTION("""COMPUTED_VALUE"""),"Kit Cat Weight Gain Supplement Powder 150g")</f>
        <v>Kit Cat Weight Gain Supplement Powder 150g</v>
      </c>
      <c r="G2652" s="133" t="str">
        <f>IFERROR(__xludf.DUMMYFUNCTION("""COMPUTED_VALUE"""),"كيت كات مكمل بودرة لزيادة الوزن")</f>
        <v>كيت كات مكمل بودرة لزيادة الوزن</v>
      </c>
      <c r="H2652" s="133"/>
      <c r="I2652" s="133"/>
      <c r="J2652" s="133"/>
      <c r="K2652" s="133"/>
      <c r="L2652" s="133"/>
      <c r="M2652" s="133"/>
      <c r="N2652" s="133"/>
      <c r="O2652" s="133"/>
      <c r="P2652" s="133"/>
      <c r="Q2652" s="133"/>
      <c r="R2652" s="133"/>
      <c r="S2652" s="133"/>
      <c r="T2652" s="133"/>
      <c r="U2652" s="133"/>
      <c r="V2652" s="133"/>
      <c r="W2652" s="133"/>
      <c r="X2652" s="133"/>
      <c r="Y2652" s="133"/>
      <c r="Z2652" s="133"/>
    </row>
    <row r="2653">
      <c r="A2653" s="133"/>
      <c r="B2653" s="133"/>
      <c r="C2653" s="133" t="str">
        <f>IFERROR(__xludf.DUMMYFUNCTION("""COMPUTED_VALUE"""),"2025-377527")</f>
        <v>2025-377527</v>
      </c>
      <c r="D2653" s="133"/>
      <c r="E2653" s="133" t="str">
        <f>IFERROR(__xludf.DUMMYFUNCTION("""COMPUTED_VALUE"""),"مكتمل ")</f>
        <v>مكتمل </v>
      </c>
      <c r="F2653" s="133" t="str">
        <f>IFERROR(__xludf.DUMMYFUNCTION("""COMPUTED_VALUE"""),"Kit Cat Skin &amp; Coat Supplement Powder 150g")</f>
        <v>Kit Cat Skin &amp; Coat Supplement Powder 150g</v>
      </c>
      <c r="G2653" s="133" t="str">
        <f>IFERROR(__xludf.DUMMYFUNCTION("""COMPUTED_VALUE"""),"كيت كات مكمل بودرة لصحة الجلد والفراء")</f>
        <v>كيت كات مكمل بودرة لصحة الجلد والفراء</v>
      </c>
      <c r="H2653" s="133"/>
      <c r="I2653" s="133"/>
      <c r="J2653" s="133"/>
      <c r="K2653" s="133"/>
      <c r="L2653" s="133"/>
      <c r="M2653" s="133"/>
      <c r="N2653" s="133"/>
      <c r="O2653" s="133"/>
      <c r="P2653" s="133"/>
      <c r="Q2653" s="133"/>
      <c r="R2653" s="133"/>
      <c r="S2653" s="133"/>
      <c r="T2653" s="133"/>
      <c r="U2653" s="133"/>
      <c r="V2653" s="133"/>
      <c r="W2653" s="133"/>
      <c r="X2653" s="133"/>
      <c r="Y2653" s="133"/>
      <c r="Z2653" s="133"/>
    </row>
    <row r="2654">
      <c r="A2654" s="133"/>
      <c r="B2654" s="133"/>
      <c r="C2654" s="133" t="str">
        <f>IFERROR(__xludf.DUMMYFUNCTION("""COMPUTED_VALUE"""),"2025-377550")</f>
        <v>2025-377550</v>
      </c>
      <c r="D2654" s="133"/>
      <c r="E2654" s="133" t="str">
        <f>IFERROR(__xludf.DUMMYFUNCTION("""COMPUTED_VALUE"""),"مكتمل ")</f>
        <v>مكتمل </v>
      </c>
      <c r="F2654" s="133" t="str">
        <f>IFERROR(__xludf.DUMMYFUNCTION("""COMPUTED_VALUE"""),"Kit Cat Hairball Supplement Powder 150g")</f>
        <v>Kit Cat Hairball Supplement Powder 150g</v>
      </c>
      <c r="G2654" s="133" t="str">
        <f>IFERROR(__xludf.DUMMYFUNCTION("""COMPUTED_VALUE"""),"كيت كات مكمل بودرة للوقاية من كرات الشعر")</f>
        <v>كيت كات مكمل بودرة للوقاية من كرات الشعر</v>
      </c>
      <c r="H2654" s="133"/>
      <c r="I2654" s="133"/>
      <c r="J2654" s="133"/>
      <c r="K2654" s="133"/>
      <c r="L2654" s="133"/>
      <c r="M2654" s="133"/>
      <c r="N2654" s="133"/>
      <c r="O2654" s="133"/>
      <c r="P2654" s="133"/>
      <c r="Q2654" s="133"/>
      <c r="R2654" s="133"/>
      <c r="S2654" s="133"/>
      <c r="T2654" s="133"/>
      <c r="U2654" s="133"/>
      <c r="V2654" s="133"/>
      <c r="W2654" s="133"/>
      <c r="X2654" s="133"/>
      <c r="Y2654" s="133"/>
      <c r="Z2654" s="133"/>
    </row>
    <row r="2655">
      <c r="A2655" s="133"/>
      <c r="B2655" s="133"/>
      <c r="C2655" s="133" t="str">
        <f>IFERROR(__xludf.DUMMYFUNCTION("""COMPUTED_VALUE"""),"2025-377568")</f>
        <v>2025-377568</v>
      </c>
      <c r="D2655" s="133"/>
      <c r="E2655" s="133" t="str">
        <f>IFERROR(__xludf.DUMMYFUNCTION("""COMPUTED_VALUE"""),"مكتمل ")</f>
        <v>مكتمل </v>
      </c>
      <c r="F2655" s="133" t="str">
        <f>IFERROR(__xludf.DUMMYFUNCTION("""COMPUTED_VALUE"""),"Kit Cat Dental Supplement Powder 150g")</f>
        <v>Kit Cat Dental Supplement Powder 150g</v>
      </c>
      <c r="G2655" s="133" t="str">
        <f>IFERROR(__xludf.DUMMYFUNCTION("""COMPUTED_VALUE"""),"كيت كات مكمل بودرة للعناية بصحة الاسنان")</f>
        <v>كيت كات مكمل بودرة للعناية بصحة الاسنان</v>
      </c>
      <c r="H2655" s="133"/>
      <c r="I2655" s="133"/>
      <c r="J2655" s="133"/>
      <c r="K2655" s="133"/>
      <c r="L2655" s="133"/>
      <c r="M2655" s="133"/>
      <c r="N2655" s="133"/>
      <c r="O2655" s="133"/>
      <c r="P2655" s="133"/>
      <c r="Q2655" s="133"/>
      <c r="R2655" s="133"/>
      <c r="S2655" s="133"/>
      <c r="T2655" s="133"/>
      <c r="U2655" s="133"/>
      <c r="V2655" s="133"/>
      <c r="W2655" s="133"/>
      <c r="X2655" s="133"/>
      <c r="Y2655" s="133"/>
      <c r="Z2655" s="133"/>
    </row>
    <row r="2656">
      <c r="A2656" s="133"/>
      <c r="B2656" s="133"/>
      <c r="C2656" s="133" t="str">
        <f>IFERROR(__xludf.DUMMYFUNCTION("""COMPUTED_VALUE"""),"2025-377584")</f>
        <v>2025-377584</v>
      </c>
      <c r="D2656" s="133"/>
      <c r="E2656" s="133" t="str">
        <f>IFERROR(__xludf.DUMMYFUNCTION("""COMPUTED_VALUE"""),"تحت الاجراء ")</f>
        <v>تحت الاجراء </v>
      </c>
      <c r="F2656" s="133" t="str">
        <f>IFERROR(__xludf.DUMMYFUNCTION("""COMPUTED_VALUE"""),"Kit Cat Tear Stain Supplement Powder 150g")</f>
        <v>Kit Cat Tear Stain Supplement Powder 150g</v>
      </c>
      <c r="G2656" s="133" t="str">
        <f>IFERROR(__xludf.DUMMYFUNCTION("""COMPUTED_VALUE"""),"كيت كات مكمل لإزالة تصبغات الدموع")</f>
        <v>كيت كات مكمل لإزالة تصبغات الدموع</v>
      </c>
      <c r="H2656" s="133"/>
      <c r="I2656" s="133"/>
      <c r="J2656" s="133"/>
      <c r="K2656" s="133"/>
      <c r="L2656" s="133"/>
      <c r="M2656" s="133"/>
      <c r="N2656" s="133"/>
      <c r="O2656" s="133"/>
      <c r="P2656" s="133"/>
      <c r="Q2656" s="133"/>
      <c r="R2656" s="133"/>
      <c r="S2656" s="133"/>
      <c r="T2656" s="133"/>
      <c r="U2656" s="133"/>
      <c r="V2656" s="133"/>
      <c r="W2656" s="133"/>
      <c r="X2656" s="133"/>
      <c r="Y2656" s="133"/>
      <c r="Z2656" s="133"/>
    </row>
    <row r="2657">
      <c r="A2657" s="133"/>
      <c r="B2657" s="133"/>
      <c r="C2657" s="133" t="str">
        <f>IFERROR(__xludf.DUMMYFUNCTION("""COMPUTED_VALUE"""),"2025-568863
")</f>
        <v>2025-568863
</v>
      </c>
      <c r="D2657" s="133"/>
      <c r="E2657" s="133" t="str">
        <f>IFERROR(__xludf.DUMMYFUNCTION("""COMPUTED_VALUE"""),"مكتمل ")</f>
        <v>مكتمل </v>
      </c>
      <c r="F2657" s="133" t="str">
        <f>IFERROR(__xludf.DUMMYFUNCTION("""COMPUTED_VALUE"""),"NUTRIMEAL+ DWARF RABBIT STICK Carrot X 2 115GR")</f>
        <v>NUTRIMEAL+ DWARF RABBIT STICK Carrot X 2 115GR</v>
      </c>
      <c r="G2657" s="133" t="str">
        <f>IFERROR(__xludf.DUMMYFUNCTION("""COMPUTED_VALUE"""),"زولكس نوتريميل عصي للارانب القزمية بالجزر")</f>
        <v>زولكس نوتريميل عصي للارانب القزمية بالجزر</v>
      </c>
      <c r="H2657" s="133" t="str">
        <f>IFERROR(__xludf.DUMMYFUNCTION("""COMPUTED_VALUE"""),"FEM-25-8079-FEP-2025-8360-C-22548-5221
")</f>
        <v>FEM-25-8079-FEP-2025-8360-C-22548-5221
</v>
      </c>
      <c r="I2657" s="133"/>
      <c r="J2657" s="133"/>
      <c r="K2657" s="133"/>
      <c r="L2657" s="142" t="str">
        <f>IFERROR(__xludf.DUMMYFUNCTION("""COMPUTED_VALUE"""),"الرجوع الى دليل تسجيل المنتجات العلفية والالتزام بما ورد به ")</f>
        <v>الرجوع الى دليل تسجيل المنتجات العلفية والالتزام بما ورد به </v>
      </c>
      <c r="M2657" s="133"/>
      <c r="N2657" s="133"/>
      <c r="O2657" s="133"/>
      <c r="P2657" s="133"/>
      <c r="Q2657" s="133"/>
      <c r="R2657" s="133"/>
      <c r="S2657" s="133"/>
      <c r="T2657" s="133"/>
      <c r="U2657" s="133"/>
      <c r="V2657" s="133"/>
      <c r="W2657" s="133"/>
      <c r="X2657" s="133"/>
      <c r="Y2657" s="133"/>
      <c r="Z2657" s="133"/>
    </row>
    <row r="2658">
      <c r="A2658" s="133"/>
      <c r="B2658" s="133"/>
      <c r="C2658" s="133" t="str">
        <f>IFERROR(__xludf.DUMMYFUNCTION("""COMPUTED_VALUE"""),"2025-569644
")</f>
        <v>2025-569644
</v>
      </c>
      <c r="D2658" s="133"/>
      <c r="E2658" s="133" t="str">
        <f>IFERROR(__xludf.DUMMYFUNCTION("""COMPUTED_VALUE"""),"مكتمل ")</f>
        <v>مكتمل </v>
      </c>
      <c r="F2658" s="133" t="str">
        <f>IFERROR(__xludf.DUMMYFUNCTION("""COMPUTED_VALUE"""),"NUTRIMEAL+ DWARF RABBIT STICK beetroot X 2 115GR")</f>
        <v>NUTRIMEAL+ DWARF RABBIT STICK beetroot X 2 115GR</v>
      </c>
      <c r="G2658" s="133" t="str">
        <f>IFERROR(__xludf.DUMMYFUNCTION("""COMPUTED_VALUE"""),"زولكس نوتريميل عصي للارانب القزمية بالشمندر")</f>
        <v>زولكس نوتريميل عصي للارانب القزمية بالشمندر</v>
      </c>
      <c r="H2658" s="133" t="str">
        <f>IFERROR(__xludf.DUMMYFUNCTION("""COMPUTED_VALUE"""),"FOM-2024-0637-FEP-2025-8376-C-22548-5222
")</f>
        <v>FOM-2024-0637-FEP-2025-8376-C-22548-5222
</v>
      </c>
      <c r="I2658" s="133"/>
      <c r="J2658" s="133"/>
      <c r="K2658" s="133"/>
      <c r="L2658" s="142" t="str">
        <f>IFERROR(__xludf.DUMMYFUNCTION("""COMPUTED_VALUE"""),"الغرض من الاستخدام باللغة الانجليزية ادعاء غير تغذوي
")</f>
        <v>الغرض من الاستخدام باللغة الانجليزية ادعاء غير تغذوي
</v>
      </c>
      <c r="M2658" s="133"/>
      <c r="N2658" s="133"/>
      <c r="O2658" s="133"/>
      <c r="P2658" s="133"/>
      <c r="Q2658" s="133"/>
      <c r="R2658" s="133"/>
      <c r="S2658" s="133"/>
      <c r="T2658" s="133"/>
      <c r="U2658" s="133"/>
      <c r="V2658" s="133"/>
      <c r="W2658" s="133"/>
      <c r="X2658" s="133"/>
      <c r="Y2658" s="133"/>
      <c r="Z2658" s="133"/>
    </row>
    <row r="2659">
      <c r="A2659" s="133"/>
      <c r="B2659" s="133"/>
      <c r="C2659" s="133" t="str">
        <f>IFERROR(__xludf.DUMMYFUNCTION("""COMPUTED_VALUE"""),"2025-569705
")</f>
        <v>2025-569705
</v>
      </c>
      <c r="D2659" s="133"/>
      <c r="E2659" s="133" t="str">
        <f>IFERROR(__xludf.DUMMYFUNCTION("""COMPUTED_VALUE"""),"مكتمل ")</f>
        <v>مكتمل </v>
      </c>
      <c r="F2659" s="133" t="str">
        <f>IFERROR(__xludf.DUMMYFUNCTION("""COMPUTED_VALUE"""),"NUTRIMEAL+ DWARF RABBIT STICK vegetables X 2 115GR")</f>
        <v>NUTRIMEAL+ DWARF RABBIT STICK vegetables X 2 115GR</v>
      </c>
      <c r="G2659" s="133" t="str">
        <f>IFERROR(__xludf.DUMMYFUNCTION("""COMPUTED_VALUE"""),"زولكس نوتريميل عصي للارانب القزمية بالخضراوات")</f>
        <v>زولكس نوتريميل عصي للارانب القزمية بالخضراوات</v>
      </c>
      <c r="H2659" s="133" t="str">
        <f>IFERROR(__xludf.DUMMYFUNCTION("""COMPUTED_VALUE"""),"FOM-2024-0637-FEP-2025-8377-C-22548-5226
")</f>
        <v>FOM-2024-0637-FEP-2025-8377-C-22548-5226
</v>
      </c>
      <c r="I2659" s="133"/>
      <c r="J2659" s="133"/>
      <c r="K2659" s="133"/>
      <c r="L2659" s="142" t="str">
        <f>IFERROR(__xludf.DUMMYFUNCTION("""COMPUTED_VALUE"""),"الغرض من الاستخدام باللغة الانجليزية ادعاء غير تغذوي
")</f>
        <v>الغرض من الاستخدام باللغة الانجليزية ادعاء غير تغذوي
</v>
      </c>
      <c r="M2659" s="133"/>
      <c r="N2659" s="133"/>
      <c r="O2659" s="133"/>
      <c r="P2659" s="133"/>
      <c r="Q2659" s="133"/>
      <c r="R2659" s="133"/>
      <c r="S2659" s="133"/>
      <c r="T2659" s="133"/>
      <c r="U2659" s="133"/>
      <c r="V2659" s="133"/>
      <c r="W2659" s="133"/>
      <c r="X2659" s="133"/>
      <c r="Y2659" s="133"/>
      <c r="Z2659" s="133"/>
    </row>
    <row r="2660">
      <c r="A2660" s="133"/>
      <c r="B2660" s="133"/>
      <c r="C2660" s="133" t="str">
        <f>IFERROR(__xludf.DUMMYFUNCTION("""COMPUTED_VALUE"""),"2025-569747
")</f>
        <v>2025-569747
</v>
      </c>
      <c r="D2660" s="133"/>
      <c r="E2660" s="133" t="str">
        <f>IFERROR(__xludf.DUMMYFUNCTION("""COMPUTED_VALUE"""),"مكتمل ")</f>
        <v>مكتمل </v>
      </c>
      <c r="F2660" s="133" t="str">
        <f>IFERROR(__xludf.DUMMYFUNCTION("""COMPUTED_VALUE"""),"NUTRIMEAL+ GUINEA PIG STICKS orange X 2 115GR")</f>
        <v>NUTRIMEAL+ GUINEA PIG STICKS orange X 2 115GR</v>
      </c>
      <c r="G2660" s="133" t="str">
        <f>IFERROR(__xludf.DUMMYFUNCTION("""COMPUTED_VALUE"""),"زولكس نوتريميل عصي للخنزير الغيني برتقال")</f>
        <v>زولكس نوتريميل عصي للخنزير الغيني برتقال</v>
      </c>
      <c r="H2660" s="133" t="str">
        <f>IFERROR(__xludf.DUMMYFUNCTION("""COMPUTED_VALUE"""),"FOM-2024-0637-FEP-2025-8378-C-22548-5227
")</f>
        <v>FOM-2024-0637-FEP-2025-8378-C-22548-5227
</v>
      </c>
      <c r="I2660" s="133"/>
      <c r="J2660" s="133"/>
      <c r="K2660" s="133"/>
      <c r="L2660" s="142" t="str">
        <f>IFERROR(__xludf.DUMMYFUNCTION("""COMPUTED_VALUE"""),"الغرض من الاستخدام باللغة الانجليزية ادعاء غير تغذوي
")</f>
        <v>الغرض من الاستخدام باللغة الانجليزية ادعاء غير تغذوي
</v>
      </c>
      <c r="M2660" s="133"/>
      <c r="N2660" s="133"/>
      <c r="O2660" s="133"/>
      <c r="P2660" s="133"/>
      <c r="Q2660" s="133"/>
      <c r="R2660" s="133"/>
      <c r="S2660" s="133"/>
      <c r="T2660" s="133"/>
      <c r="U2660" s="133"/>
      <c r="V2660" s="133"/>
      <c r="W2660" s="133"/>
      <c r="X2660" s="133"/>
      <c r="Y2660" s="133"/>
      <c r="Z2660" s="133"/>
    </row>
    <row r="2661">
      <c r="A2661" s="133"/>
      <c r="B2661" s="133"/>
      <c r="C2661" s="133" t="str">
        <f>IFERROR(__xludf.DUMMYFUNCTION("""COMPUTED_VALUE"""),"2025-569820
")</f>
        <v>2025-569820
</v>
      </c>
      <c r="D2661" s="133"/>
      <c r="E2661" s="133" t="str">
        <f>IFERROR(__xludf.DUMMYFUNCTION("""COMPUTED_VALUE"""),"مكتمل ")</f>
        <v>مكتمل </v>
      </c>
      <c r="F2661" s="133" t="str">
        <f>IFERROR(__xludf.DUMMYFUNCTION("""COMPUTED_VALUE"""),"NUTRIMEAL+ GUINEA PIC STICKS X slow berry 2 110GR")</f>
        <v>NUTRIMEAL+ GUINEA PIC STICKS X slow berry 2 110GR</v>
      </c>
      <c r="G2661" s="133" t="str">
        <f>IFERROR(__xludf.DUMMYFUNCTION("""COMPUTED_VALUE"""),"زولكس نوتريميل عصي للخنزير الغيني التوت البري")</f>
        <v>زولكس نوتريميل عصي للخنزير الغيني التوت البري</v>
      </c>
      <c r="H2661" s="133" t="str">
        <f>IFERROR(__xludf.DUMMYFUNCTION("""COMPUTED_VALUE"""),"FOM-2024-0637-FEP-2025-9055-C-22548-5272
")</f>
        <v>FOM-2024-0637-FEP-2025-9055-C-22548-5272
</v>
      </c>
      <c r="I2661" s="133"/>
      <c r="J2661" s="133"/>
      <c r="K2661" s="133"/>
      <c r="L2661" s="142" t="str">
        <f>IFERROR(__xludf.DUMMYFUNCTION("""COMPUTED_VALUE"""),"الغرض من الاستخدام باللغة الانجليزية ادعاء غير تغذوي *** ")</f>
        <v>الغرض من الاستخدام باللغة الانجليزية ادعاء غير تغذوي *** </v>
      </c>
      <c r="M2661" s="133"/>
      <c r="N2661" s="133"/>
      <c r="O2661" s="133"/>
      <c r="P2661" s="133"/>
      <c r="Q2661" s="133"/>
      <c r="R2661" s="133"/>
      <c r="S2661" s="133"/>
      <c r="T2661" s="133"/>
      <c r="U2661" s="133"/>
      <c r="V2661" s="133"/>
      <c r="W2661" s="133"/>
      <c r="X2661" s="133"/>
      <c r="Y2661" s="133"/>
      <c r="Z2661" s="133"/>
    </row>
    <row r="2662">
      <c r="A2662" s="133"/>
      <c r="B2662" s="133"/>
      <c r="C2662" s="133" t="str">
        <f>IFERROR(__xludf.DUMMYFUNCTION("""COMPUTED_VALUE"""),"2025-569848")</f>
        <v>2025-569848</v>
      </c>
      <c r="D2662" s="133"/>
      <c r="E2662" s="133" t="str">
        <f>IFERROR(__xludf.DUMMYFUNCTION("""COMPUTED_VALUE"""),"مكتمل ")</f>
        <v>مكتمل </v>
      </c>
      <c r="F2662" s="133" t="str">
        <f>IFERROR(__xludf.DUMMYFUNCTION("""COMPUTED_VALUE"""),"NUTRIMEAL+ HAMSTER/GERBIL STICKS X 2 110GR")</f>
        <v>NUTRIMEAL+ HAMSTER/GERBIL STICKS X 2 110GR</v>
      </c>
      <c r="G2662" s="133" t="str">
        <f>IFERROR(__xludf.DUMMYFUNCTION("""COMPUTED_VALUE"""),"زولكس نوتريميل عصي للهامستر")</f>
        <v>زولكس نوتريميل عصي للهامستر</v>
      </c>
      <c r="H2662" s="133" t="str">
        <f>IFERROR(__xludf.DUMMYFUNCTION("""COMPUTED_VALUE"""),"FOM-2024-0637-FEP-2025-8381-C-22548-5206
")</f>
        <v>FOM-2024-0637-FEP-2025-8381-C-22548-5206
</v>
      </c>
      <c r="I2662" s="133"/>
      <c r="J2662" s="133"/>
      <c r="K2662" s="133"/>
      <c r="L2662" s="142" t="str">
        <f>IFERROR(__xludf.DUMMYFUNCTION("""COMPUTED_VALUE"""),"الغرض من الاستخدام باللغة الانجليزية ادعاء غير تغذوي *** ")</f>
        <v>الغرض من الاستخدام باللغة الانجليزية ادعاء غير تغذوي *** </v>
      </c>
      <c r="M2662" s="133"/>
      <c r="N2662" s="133"/>
      <c r="O2662" s="133"/>
      <c r="P2662" s="133"/>
      <c r="Q2662" s="133"/>
      <c r="R2662" s="133"/>
      <c r="S2662" s="133"/>
      <c r="T2662" s="133"/>
      <c r="U2662" s="133"/>
      <c r="V2662" s="133"/>
      <c r="W2662" s="133"/>
      <c r="X2662" s="133"/>
      <c r="Y2662" s="133"/>
      <c r="Z2662" s="133"/>
    </row>
    <row r="2663">
      <c r="A2663" s="133"/>
      <c r="B2663" s="133"/>
      <c r="C2663" s="133" t="str">
        <f>IFERROR(__xludf.DUMMYFUNCTION("""COMPUTED_VALUE"""),"2025-569880
")</f>
        <v>2025-569880
</v>
      </c>
      <c r="D2663" s="133"/>
      <c r="E2663" s="133" t="str">
        <f>IFERROR(__xludf.DUMMYFUNCTION("""COMPUTED_VALUE"""),"مكتمل ")</f>
        <v>مكتمل </v>
      </c>
      <c r="F2663" s="133" t="str">
        <f>IFERROR(__xludf.DUMMYFUNCTION("""COMPUTED_VALUE"""),"NUTRIMEAL+ RAT/MOUSE STICKS X 2 125GR")</f>
        <v>NUTRIMEAL+ RAT/MOUSE STICKS X 2 125GR</v>
      </c>
      <c r="G2663" s="133" t="str">
        <f>IFERROR(__xludf.DUMMYFUNCTION("""COMPUTED_VALUE"""),"زولكس نوتريميل عصي للقوارض")</f>
        <v>زولكس نوتريميل عصي للقوارض</v>
      </c>
      <c r="H2663" s="133" t="str">
        <f>IFERROR(__xludf.DUMMYFUNCTION("""COMPUTED_VALUE"""),"FOM-2024-0637-FEP-2025-8382-C-22548-5231
")</f>
        <v>FOM-2024-0637-FEP-2025-8382-C-22548-5231
</v>
      </c>
      <c r="I2663" s="133"/>
      <c r="J2663" s="133"/>
      <c r="K2663" s="133"/>
      <c r="L2663" s="133"/>
      <c r="M2663" s="133"/>
      <c r="N2663" s="133"/>
      <c r="O2663" s="133"/>
      <c r="P2663" s="133"/>
      <c r="Q2663" s="133"/>
      <c r="R2663" s="133"/>
      <c r="S2663" s="133"/>
      <c r="T2663" s="133"/>
      <c r="U2663" s="133"/>
      <c r="V2663" s="133"/>
      <c r="W2663" s="133"/>
      <c r="X2663" s="133"/>
      <c r="Y2663" s="133"/>
      <c r="Z2663" s="133"/>
    </row>
    <row r="2664">
      <c r="A2664" s="133"/>
      <c r="B2664" s="133"/>
      <c r="C2664" s="133" t="str">
        <f>IFERROR(__xludf.DUMMYFUNCTION("""COMPUTED_VALUE"""),"2025-572516
")</f>
        <v>2025-572516
</v>
      </c>
      <c r="D2664" s="133"/>
      <c r="E2664" s="133" t="str">
        <f>IFERROR(__xludf.DUMMYFUNCTION("""COMPUTED_VALUE"""),"مكتمل ")</f>
        <v>مكتمل </v>
      </c>
      <c r="F2664" s="133" t="str">
        <f>IFERROR(__xludf.DUMMYFUNCTION("""COMPUTED_VALUE"""),"NUTRIMEAL+ CHINCHILLA STICKS X 2 110GR")</f>
        <v>NUTRIMEAL+ CHINCHILLA STICKS X 2 110GR</v>
      </c>
      <c r="G2664" s="133" t="str">
        <f>IFERROR(__xludf.DUMMYFUNCTION("""COMPUTED_VALUE"""),"زولكس نوتريميل عصي للشنشيلا")</f>
        <v>زولكس نوتريميل عصي للشنشيلا</v>
      </c>
      <c r="H2664" s="133" t="str">
        <f>IFERROR(__xludf.DUMMYFUNCTION("""COMPUTED_VALUE"""),"FOM-2024-0637-FEP-2025-8407-C-22548-5273
")</f>
        <v>FOM-2024-0637-FEP-2025-8407-C-22548-5273
</v>
      </c>
      <c r="I2664" s="133"/>
      <c r="J2664" s="133"/>
      <c r="K2664" s="133"/>
      <c r="L2664" s="133"/>
      <c r="M2664" s="133"/>
      <c r="N2664" s="133"/>
      <c r="O2664" s="133"/>
      <c r="P2664" s="133"/>
      <c r="Q2664" s="133"/>
      <c r="R2664" s="133"/>
      <c r="S2664" s="133"/>
      <c r="T2664" s="133"/>
      <c r="U2664" s="133"/>
      <c r="V2664" s="133"/>
      <c r="W2664" s="133"/>
      <c r="X2664" s="133"/>
      <c r="Y2664" s="133"/>
      <c r="Z2664" s="133"/>
    </row>
    <row r="2665">
      <c r="A2665" s="133"/>
      <c r="B2665" s="133"/>
      <c r="C2665" s="133" t="str">
        <f>IFERROR(__xludf.DUMMYFUNCTION("""COMPUTED_VALUE"""),"2025-389623")</f>
        <v>2025-389623</v>
      </c>
      <c r="D2665" s="133"/>
      <c r="E2665" s="133" t="str">
        <f>IFERROR(__xludf.DUMMYFUNCTION("""COMPUTED_VALUE"""),"مكتمل ")</f>
        <v>مكتمل </v>
      </c>
      <c r="F2665" s="133" t="str">
        <f>IFERROR(__xludf.DUMMYFUNCTION("""COMPUTED_VALUE"""),"NUTRIMEAL+ CANARI STICKS X 2 110GR")</f>
        <v>NUTRIMEAL+ CANARI STICKS X 2 110GR</v>
      </c>
      <c r="G2665" s="133" t="str">
        <f>IFERROR(__xludf.DUMMYFUNCTION("""COMPUTED_VALUE"""),"زولكس نوتريميل عصي للكناري")</f>
        <v>زولكس نوتريميل عصي للكناري</v>
      </c>
      <c r="H2665" s="133" t="str">
        <f>IFERROR(__xludf.DUMMYFUNCTION("""COMPUTED_VALUE"""),"FEM-25-6091-FEP-2025-6058-C-22548-3887
")</f>
        <v>FEM-25-6091-FEP-2025-6058-C-22548-3887
</v>
      </c>
      <c r="I2665" s="133"/>
      <c r="J2665" s="133"/>
      <c r="K2665" s="133"/>
      <c r="L2665" s="133"/>
      <c r="M2665" s="133"/>
      <c r="N2665" s="133"/>
      <c r="O2665" s="133"/>
      <c r="P2665" s="133"/>
      <c r="Q2665" s="133"/>
      <c r="R2665" s="133"/>
      <c r="S2665" s="133"/>
      <c r="T2665" s="133"/>
      <c r="U2665" s="133"/>
      <c r="V2665" s="133"/>
      <c r="W2665" s="133"/>
      <c r="X2665" s="133"/>
      <c r="Y2665" s="133"/>
      <c r="Z2665" s="133"/>
    </row>
    <row r="2666">
      <c r="A2666" s="133"/>
      <c r="B2666" s="133"/>
      <c r="C2666" s="133" t="str">
        <f>IFERROR(__xludf.DUMMYFUNCTION("""COMPUTED_VALUE"""),"2025-572576
")</f>
        <v>2025-572576
</v>
      </c>
      <c r="D2666" s="133"/>
      <c r="E2666" s="133" t="str">
        <f>IFERROR(__xludf.DUMMYFUNCTION("""COMPUTED_VALUE"""),"مكتمل ")</f>
        <v>مكتمل </v>
      </c>
      <c r="F2666" s="133" t="str">
        <f>IFERROR(__xludf.DUMMYFUNCTION("""COMPUTED_VALUE"""),"NUTRIMEAL+ EXOTIC BIRD STICKS X 2 110GR")</f>
        <v>NUTRIMEAL+ EXOTIC BIRD STICKS X 2 110GR</v>
      </c>
      <c r="G2666" s="133" t="str">
        <f>IFERROR(__xludf.DUMMYFUNCTION("""COMPUTED_VALUE"""),"زولكس نوتريميل عصي طيور الزيبرا و الاسوائية")</f>
        <v>زولكس نوتريميل عصي طيور الزيبرا و الاسوائية</v>
      </c>
      <c r="H2666" s="133" t="str">
        <f>IFERROR(__xludf.DUMMYFUNCTION("""COMPUTED_VALUE"""),"FOM-2024-0637-FEP-2025-8410-C-22548-5253
")</f>
        <v>FOM-2024-0637-FEP-2025-8410-C-22548-5253
</v>
      </c>
      <c r="I2666" s="133"/>
      <c r="J2666" s="133"/>
      <c r="K2666" s="133"/>
      <c r="L2666" s="133"/>
      <c r="M2666" s="133"/>
      <c r="N2666" s="133"/>
      <c r="O2666" s="133"/>
      <c r="P2666" s="133"/>
      <c r="Q2666" s="133"/>
      <c r="R2666" s="133"/>
      <c r="S2666" s="133"/>
      <c r="T2666" s="133"/>
      <c r="U2666" s="133"/>
      <c r="V2666" s="133"/>
      <c r="W2666" s="133"/>
      <c r="X2666" s="133"/>
      <c r="Y2666" s="133"/>
      <c r="Z2666" s="133"/>
    </row>
    <row r="2667">
      <c r="A2667" s="133"/>
      <c r="B2667" s="133"/>
      <c r="C2667" s="133" t="str">
        <f>IFERROR(__xludf.DUMMYFUNCTION("""COMPUTED_VALUE"""),"2025-389660")</f>
        <v>2025-389660</v>
      </c>
      <c r="D2667" s="133"/>
      <c r="E2667" s="133" t="str">
        <f>IFERROR(__xludf.DUMMYFUNCTION("""COMPUTED_VALUE"""),"مكتمل ")</f>
        <v>مكتمل </v>
      </c>
      <c r="F2667" s="133" t="str">
        <f>IFERROR(__xludf.DUMMYFUNCTION("""COMPUTED_VALUE"""),"NUTRIMEAL+ PARAKEET STICKS X 2 110GR")</f>
        <v>NUTRIMEAL+ PARAKEET STICKS X 2 110GR</v>
      </c>
      <c r="G2667" s="133" t="str">
        <f>IFERROR(__xludf.DUMMYFUNCTION("""COMPUTED_VALUE"""),"زولكس نوتريميل عصي للبراكيت و الببغاوات")</f>
        <v>زولكس نوتريميل عصي للبراكيت و الببغاوات</v>
      </c>
      <c r="H2667" s="133" t="str">
        <f>IFERROR(__xludf.DUMMYFUNCTION("""COMPUTED_VALUE"""),"FEM-25-6093-FEP-2025-6060-C-22548-3886
")</f>
        <v>FEM-25-6093-FEP-2025-6060-C-22548-3886
</v>
      </c>
      <c r="I2667" s="133"/>
      <c r="J2667" s="133"/>
      <c r="K2667" s="133"/>
      <c r="L2667" s="133"/>
      <c r="M2667" s="133"/>
      <c r="N2667" s="133"/>
      <c r="O2667" s="133"/>
      <c r="P2667" s="133"/>
      <c r="Q2667" s="133"/>
      <c r="R2667" s="133"/>
      <c r="S2667" s="133"/>
      <c r="T2667" s="133"/>
      <c r="U2667" s="133"/>
      <c r="V2667" s="133"/>
      <c r="W2667" s="133"/>
      <c r="X2667" s="133"/>
      <c r="Y2667" s="133"/>
      <c r="Z2667" s="133"/>
    </row>
    <row r="2668">
      <c r="A2668" s="133"/>
      <c r="B2668" s="133"/>
      <c r="C2668" s="133" t="str">
        <f>IFERROR(__xludf.DUMMYFUNCTION("""COMPUTED_VALUE"""),"2025-572805
")</f>
        <v>2025-572805
</v>
      </c>
      <c r="D2668" s="133"/>
      <c r="E2668" s="133" t="str">
        <f>IFERROR(__xludf.DUMMYFUNCTION("""COMPUTED_VALUE"""),"مكتمل ")</f>
        <v>مكتمل </v>
      </c>
      <c r="F2668" s="133" t="str">
        <f>IFERROR(__xludf.DUMMYFUNCTION("""COMPUTED_VALUE"""),"NUTRIMEAL+ LARGE PARAKEET STICKS X 2 110GR")</f>
        <v>NUTRIMEAL+ LARGE PARAKEET STICKS X 2 110GR</v>
      </c>
      <c r="G2668" s="133" t="str">
        <f>IFERROR(__xludf.DUMMYFUNCTION("""COMPUTED_VALUE"""),"زولكس نوتريميل عصي للبراكيت الكبيرة")</f>
        <v>زولكس نوتريميل عصي للبراكيت الكبيرة</v>
      </c>
      <c r="H2668" s="133" t="str">
        <f>IFERROR(__xludf.DUMMYFUNCTION("""COMPUTED_VALUE"""),"FOM-2024-0637-FEP-2025-8415-C-22548-5275
")</f>
        <v>FOM-2024-0637-FEP-2025-8415-C-22548-5275
</v>
      </c>
      <c r="I2668" s="133"/>
      <c r="J2668" s="133"/>
      <c r="K2668" s="133"/>
      <c r="L2668" s="133"/>
      <c r="M2668" s="133"/>
      <c r="N2668" s="133"/>
      <c r="O2668" s="133"/>
      <c r="P2668" s="133"/>
      <c r="Q2668" s="133"/>
      <c r="R2668" s="133"/>
      <c r="S2668" s="133"/>
      <c r="T2668" s="133"/>
      <c r="U2668" s="133"/>
      <c r="V2668" s="133"/>
      <c r="W2668" s="133"/>
      <c r="X2668" s="133"/>
      <c r="Y2668" s="133"/>
      <c r="Z2668" s="133"/>
    </row>
    <row r="2669">
      <c r="A2669" s="133"/>
      <c r="B2669" s="133"/>
      <c r="C2669" s="133" t="str">
        <f>IFERROR(__xludf.DUMMYFUNCTION("""COMPUTED_VALUE"""),"2025-404012")</f>
        <v>2025-404012</v>
      </c>
      <c r="D2669" s="133"/>
      <c r="E2669" s="133" t="str">
        <f>IFERROR(__xludf.DUMMYFUNCTION("""COMPUTED_VALUE"""),"مكتمل ")</f>
        <v>مكتمل </v>
      </c>
      <c r="F2669" s="133" t="str">
        <f>IFERROR(__xludf.DUMMYFUNCTION("""COMPUTED_VALUE"""),"Felyn Go Raw Arctic Char with Broccoli for kittens 90g")</f>
        <v>Felyn Go Raw Arctic Char with Broccoli for kittens 90g</v>
      </c>
      <c r="G2669" s="133"/>
      <c r="H2669" s="133" t="str">
        <f>IFERROR(__xludf.DUMMYFUNCTION("""COMPUTED_VALUE"""),"FEM-25-6193-FEP-2025-6191-C-22548-4025
")</f>
        <v>FEM-25-6193-FEP-2025-6191-C-22548-4025
</v>
      </c>
      <c r="I2669" s="133"/>
      <c r="J2669" s="133"/>
      <c r="K2669" s="133"/>
      <c r="L2669" s="133"/>
      <c r="M2669" s="133"/>
      <c r="N2669" s="133"/>
      <c r="O2669" s="133"/>
      <c r="P2669" s="133"/>
      <c r="Q2669" s="133"/>
      <c r="R2669" s="133"/>
      <c r="S2669" s="133"/>
      <c r="T2669" s="133"/>
      <c r="U2669" s="133"/>
      <c r="V2669" s="133"/>
      <c r="W2669" s="133"/>
      <c r="X2669" s="133"/>
      <c r="Y2669" s="133"/>
      <c r="Z2669" s="133"/>
    </row>
    <row r="2670">
      <c r="A2670" s="133"/>
      <c r="B2670" s="133"/>
      <c r="C2670" s="133" t="str">
        <f>IFERROR(__xludf.DUMMYFUNCTION("""COMPUTED_VALUE"""),"2025-404078")</f>
        <v>2025-404078</v>
      </c>
      <c r="D2670" s="133"/>
      <c r="E2670" s="133" t="str">
        <f>IFERROR(__xludf.DUMMYFUNCTION("""COMPUTED_VALUE"""),"مكتمل ")</f>
        <v>مكتمل </v>
      </c>
      <c r="F2670" s="133" t="str">
        <f>IFERROR(__xludf.DUMMYFUNCTION("""COMPUTED_VALUE"""),"Felyn Go Raw Salmon &amp; Cod Roe with Spinach for kittens 90g")</f>
        <v>Felyn Go Raw Salmon &amp; Cod Roe with Spinach for kittens 90g</v>
      </c>
      <c r="G2670" s="133"/>
      <c r="H2670" s="133" t="str">
        <f>IFERROR(__xludf.DUMMYFUNCTION("""COMPUTED_VALUE"""),"FEM-25-6194-FEP-2025-6193-C-22548-4020
")</f>
        <v>FEM-25-6194-FEP-2025-6193-C-22548-4020
</v>
      </c>
      <c r="I2670" s="133"/>
      <c r="J2670" s="133"/>
      <c r="K2670" s="133"/>
      <c r="L2670" s="133"/>
      <c r="M2670" s="133"/>
      <c r="N2670" s="133"/>
      <c r="O2670" s="133"/>
      <c r="P2670" s="133"/>
      <c r="Q2670" s="133"/>
      <c r="R2670" s="133"/>
      <c r="S2670" s="133"/>
      <c r="T2670" s="133"/>
      <c r="U2670" s="133"/>
      <c r="V2670" s="133"/>
      <c r="W2670" s="133"/>
      <c r="X2670" s="133"/>
      <c r="Y2670" s="133"/>
      <c r="Z2670" s="133"/>
    </row>
    <row r="2671">
      <c r="A2671" s="133"/>
      <c r="B2671" s="133"/>
      <c r="C2671" s="133" t="str">
        <f>IFERROR(__xludf.DUMMYFUNCTION("""COMPUTED_VALUE"""),"2025-404115")</f>
        <v>2025-404115</v>
      </c>
      <c r="D2671" s="133"/>
      <c r="E2671" s="133" t="str">
        <f>IFERROR(__xludf.DUMMYFUNCTION("""COMPUTED_VALUE"""),"مكتمل ")</f>
        <v>مكتمل </v>
      </c>
      <c r="F2671" s="133" t="str">
        <f>IFERROR(__xludf.DUMMYFUNCTION("""COMPUTED_VALUE"""),"Felyn Go Raw Salmon &amp; Cod Roe with Kelp for cats")</f>
        <v>Felyn Go Raw Salmon &amp; Cod Roe with Kelp for cats</v>
      </c>
      <c r="G2671" s="133"/>
      <c r="H2671" s="133" t="str">
        <f>IFERROR(__xludf.DUMMYFUNCTION("""COMPUTED_VALUE"""),"FEM-25-6195-FEP-2025-6194-C-22548-4021
")</f>
        <v>FEM-25-6195-FEP-2025-6194-C-22548-4021
</v>
      </c>
      <c r="I2671" s="133"/>
      <c r="J2671" s="133"/>
      <c r="K2671" s="133"/>
      <c r="L2671" s="133"/>
      <c r="M2671" s="133"/>
      <c r="N2671" s="133"/>
      <c r="O2671" s="133"/>
      <c r="P2671" s="133"/>
      <c r="Q2671" s="133"/>
      <c r="R2671" s="133"/>
      <c r="S2671" s="133"/>
      <c r="T2671" s="133"/>
      <c r="U2671" s="133"/>
      <c r="V2671" s="133"/>
      <c r="W2671" s="133"/>
      <c r="X2671" s="133"/>
      <c r="Y2671" s="133"/>
      <c r="Z2671" s="133"/>
    </row>
    <row r="2672">
      <c r="A2672" s="133"/>
      <c r="B2672" s="133"/>
      <c r="C2672" s="133" t="str">
        <f>IFERROR(__xludf.DUMMYFUNCTION("""COMPUTED_VALUE"""),"2025-404137")</f>
        <v>2025-404137</v>
      </c>
      <c r="D2672" s="133"/>
      <c r="E2672" s="133" t="str">
        <f>IFERROR(__xludf.DUMMYFUNCTION("""COMPUTED_VALUE"""),"مكتمل ")</f>
        <v>مكتمل </v>
      </c>
      <c r="F2672" s="133" t="str">
        <f>IFERROR(__xludf.DUMMYFUNCTION("""COMPUTED_VALUE"""),"Felyn Go Raw Arctic Char &amp; Cod Roe with Cranberries for cats")</f>
        <v>Felyn Go Raw Arctic Char &amp; Cod Roe with Cranberries for cats</v>
      </c>
      <c r="G2672" s="133"/>
      <c r="H2672" s="133" t="str">
        <f>IFERROR(__xludf.DUMMYFUNCTION("""COMPUTED_VALUE"""),"FEM-25-6196-FEP-2025-6196-C-22548-4022
")</f>
        <v>FEM-25-6196-FEP-2025-6196-C-22548-4022
</v>
      </c>
      <c r="I2672" s="133"/>
      <c r="J2672" s="133"/>
      <c r="K2672" s="133"/>
      <c r="L2672" s="133"/>
      <c r="M2672" s="133"/>
      <c r="N2672" s="133"/>
      <c r="O2672" s="133"/>
      <c r="P2672" s="133"/>
      <c r="Q2672" s="133"/>
      <c r="R2672" s="133"/>
      <c r="S2672" s="133"/>
      <c r="T2672" s="133"/>
      <c r="U2672" s="133"/>
      <c r="V2672" s="133"/>
      <c r="W2672" s="133"/>
      <c r="X2672" s="133"/>
      <c r="Y2672" s="133"/>
      <c r="Z2672" s="133"/>
    </row>
    <row r="2673">
      <c r="A2673" s="133"/>
      <c r="B2673" s="133"/>
      <c r="C2673" s="133" t="str">
        <f>IFERROR(__xludf.DUMMYFUNCTION("""COMPUTED_VALUE"""),"2025-404162")</f>
        <v>2025-404162</v>
      </c>
      <c r="D2673" s="133"/>
      <c r="E2673" s="133" t="str">
        <f>IFERROR(__xludf.DUMMYFUNCTION("""COMPUTED_VALUE"""),"مكتمل ")</f>
        <v>مكتمل </v>
      </c>
      <c r="F2673" s="133" t="str">
        <f>IFERROR(__xludf.DUMMYFUNCTION("""COMPUTED_VALUE"""),"Felyn Go Raw Cod &amp; Salmon with Sweet Potatoes for cats")</f>
        <v>Felyn Go Raw Cod &amp; Salmon with Sweet Potatoes for cats</v>
      </c>
      <c r="G2673" s="133"/>
      <c r="H2673" s="133" t="str">
        <f>IFERROR(__xludf.DUMMYFUNCTION("""COMPUTED_VALUE"""),"FEM-25-6197-FEP-2025-6197-C-22548-4023
")</f>
        <v>FEM-25-6197-FEP-2025-6197-C-22548-4023
</v>
      </c>
      <c r="I2673" s="133"/>
      <c r="J2673" s="133"/>
      <c r="K2673" s="133"/>
      <c r="L2673" s="133"/>
      <c r="M2673" s="133"/>
      <c r="N2673" s="133"/>
      <c r="O2673" s="133"/>
      <c r="P2673" s="133"/>
      <c r="Q2673" s="133"/>
      <c r="R2673" s="133"/>
      <c r="S2673" s="133"/>
      <c r="T2673" s="133"/>
      <c r="U2673" s="133"/>
      <c r="V2673" s="133"/>
      <c r="W2673" s="133"/>
      <c r="X2673" s="133"/>
      <c r="Y2673" s="133"/>
      <c r="Z2673" s="133"/>
    </row>
    <row r="2674">
      <c r="A2674" s="133"/>
      <c r="B2674" s="133"/>
      <c r="C2674" s="133" t="str">
        <f>IFERROR(__xludf.DUMMYFUNCTION("""COMPUTED_VALUE"""),"2025-404192")</f>
        <v>2025-404192</v>
      </c>
      <c r="D2674" s="133"/>
      <c r="E2674" s="133" t="str">
        <f>IFERROR(__xludf.DUMMYFUNCTION("""COMPUTED_VALUE"""),"مكتمل ")</f>
        <v>مكتمل </v>
      </c>
      <c r="F2674" s="133" t="str">
        <f>IFERROR(__xludf.DUMMYFUNCTION("""COMPUTED_VALUE"""),"Felyn Go Raw Cod Roe &amp; Capelin with Seaweed for cats")</f>
        <v>Felyn Go Raw Cod Roe &amp; Capelin with Seaweed for cats</v>
      </c>
      <c r="G2674" s="133"/>
      <c r="H2674" s="133" t="str">
        <f>IFERROR(__xludf.DUMMYFUNCTION("""COMPUTED_VALUE"""),"FEM-25-6198-FEP-2025-6198-C-22548-4024
")</f>
        <v>FEM-25-6198-FEP-2025-6198-C-22548-4024
</v>
      </c>
      <c r="I2674" s="133"/>
      <c r="J2674" s="133"/>
      <c r="K2674" s="133"/>
      <c r="L2674" s="133"/>
      <c r="M2674" s="133"/>
      <c r="N2674" s="133"/>
      <c r="O2674" s="133"/>
      <c r="P2674" s="133"/>
      <c r="Q2674" s="133"/>
      <c r="R2674" s="133"/>
      <c r="S2674" s="133"/>
      <c r="T2674" s="133"/>
      <c r="U2674" s="133"/>
      <c r="V2674" s="133"/>
      <c r="W2674" s="133"/>
      <c r="X2674" s="133"/>
      <c r="Y2674" s="133"/>
      <c r="Z2674" s="133"/>
    </row>
    <row r="2675">
      <c r="A2675" s="133"/>
      <c r="B2675" s="133"/>
      <c r="C2675" s="133" t="str">
        <f>IFERROR(__xludf.DUMMYFUNCTION("""COMPUTED_VALUE"""),"2025-450430")</f>
        <v>2025-450430</v>
      </c>
      <c r="D2675" s="133"/>
      <c r="E2675" s="133" t="str">
        <f>IFERROR(__xludf.DUMMYFUNCTION("""COMPUTED_VALUE"""),"مكتمل ")</f>
        <v>مكتمل </v>
      </c>
      <c r="F2675" s="133" t="str">
        <f>IFERROR(__xludf.DUMMYFUNCTION("""COMPUTED_VALUE"""),"Instinct Raw Boost Kibble (Cat) Chicken - 5.0 lb.")</f>
        <v>Instinct Raw Boost Kibble (Cat) Chicken - 5.0 lb.</v>
      </c>
      <c r="G2675" s="133"/>
      <c r="H2675" s="133" t="str">
        <f>IFERROR(__xludf.DUMMYFUNCTION("""COMPUTED_VALUE"""),"FEM-25-6635-FEP-2025-6777-C-22548-4326")</f>
        <v>FEM-25-6635-FEP-2025-6777-C-22548-4326</v>
      </c>
      <c r="I2675" s="133"/>
      <c r="J2675" s="133"/>
      <c r="K2675" s="133"/>
      <c r="L2675" s="133"/>
      <c r="M2675" s="133"/>
      <c r="N2675" s="133"/>
      <c r="O2675" s="133"/>
      <c r="P2675" s="133"/>
      <c r="Q2675" s="133"/>
      <c r="R2675" s="133"/>
      <c r="S2675" s="133"/>
      <c r="T2675" s="133"/>
      <c r="U2675" s="133"/>
      <c r="V2675" s="133"/>
      <c r="W2675" s="133"/>
      <c r="X2675" s="133"/>
      <c r="Y2675" s="133"/>
      <c r="Z2675" s="133"/>
    </row>
    <row r="2676">
      <c r="A2676" s="133"/>
      <c r="B2676" s="133"/>
      <c r="C2676" s="133" t="str">
        <f>IFERROR(__xludf.DUMMYFUNCTION("""COMPUTED_VALUE"""),"2025-451385")</f>
        <v>2025-451385</v>
      </c>
      <c r="D2676" s="133"/>
      <c r="E2676" s="133" t="str">
        <f>IFERROR(__xludf.DUMMYFUNCTION("""COMPUTED_VALUE"""),"مكتمل ")</f>
        <v>مكتمل </v>
      </c>
      <c r="F2676" s="133" t="str">
        <f>IFERROR(__xludf.DUMMYFUNCTION("""COMPUTED_VALUE"""),"Instinct Be Natural Kibble (Dog) Beef - 25 lb.")</f>
        <v>Instinct Be Natural Kibble (Dog) Beef - 25 lb.</v>
      </c>
      <c r="G2676" s="133"/>
      <c r="H2676" s="133" t="str">
        <f>IFERROR(__xludf.DUMMYFUNCTION("""COMPUTED_VALUE"""),"FEM-25-6638-FEP-2025-6780-C-22548-4343
")</f>
        <v>FEM-25-6638-FEP-2025-6780-C-22548-4343
</v>
      </c>
      <c r="I2676" s="133"/>
      <c r="J2676" s="133"/>
      <c r="K2676" s="133"/>
      <c r="L2676" s="133"/>
      <c r="M2676" s="133"/>
      <c r="N2676" s="133"/>
      <c r="O2676" s="133"/>
      <c r="P2676" s="133"/>
      <c r="Q2676" s="133"/>
      <c r="R2676" s="133"/>
      <c r="S2676" s="133"/>
      <c r="T2676" s="133"/>
      <c r="U2676" s="133"/>
      <c r="V2676" s="133"/>
      <c r="W2676" s="133"/>
      <c r="X2676" s="133"/>
      <c r="Y2676" s="133"/>
      <c r="Z2676" s="133"/>
    </row>
    <row r="2677">
      <c r="A2677" s="133"/>
      <c r="B2677" s="133"/>
      <c r="C2677" s="133" t="str">
        <f>IFERROR(__xludf.DUMMYFUNCTION("""COMPUTED_VALUE"""),"2025-451385")</f>
        <v>2025-451385</v>
      </c>
      <c r="D2677" s="133"/>
      <c r="E2677" s="133" t="str">
        <f>IFERROR(__xludf.DUMMYFUNCTION("""COMPUTED_VALUE"""),"مكتمل ")</f>
        <v>مكتمل </v>
      </c>
      <c r="F2677" s="133" t="str">
        <f>IFERROR(__xludf.DUMMYFUNCTION("""COMPUTED_VALUE"""),"Instinct Be Natural Kibble (Dog) Beef - 4.5 lb.")</f>
        <v>Instinct Be Natural Kibble (Dog) Beef - 4.5 lb.</v>
      </c>
      <c r="G2677" s="133"/>
      <c r="H2677" s="133" t="str">
        <f>IFERROR(__xludf.DUMMYFUNCTION("""COMPUTED_VALUE"""),"FEM-25-6638-FEP-2025-6780-C-22548-4343
")</f>
        <v>FEM-25-6638-FEP-2025-6780-C-22548-4343
</v>
      </c>
      <c r="I2677" s="133"/>
      <c r="J2677" s="133"/>
      <c r="K2677" s="133"/>
      <c r="L2677" s="133"/>
      <c r="M2677" s="133"/>
      <c r="N2677" s="133"/>
      <c r="O2677" s="133"/>
      <c r="P2677" s="133"/>
      <c r="Q2677" s="133"/>
      <c r="R2677" s="133"/>
      <c r="S2677" s="133"/>
      <c r="T2677" s="133"/>
      <c r="U2677" s="133"/>
      <c r="V2677" s="133"/>
      <c r="W2677" s="133"/>
      <c r="X2677" s="133"/>
      <c r="Y2677" s="133"/>
      <c r="Z2677" s="133"/>
    </row>
    <row r="2678">
      <c r="A2678" s="133"/>
      <c r="B2678" s="133"/>
      <c r="C2678" s="133" t="str">
        <f>IFERROR(__xludf.DUMMYFUNCTION("""COMPUTED_VALUE"""),"2025-459527")</f>
        <v>2025-459527</v>
      </c>
      <c r="D2678" s="133"/>
      <c r="E2678" s="133" t="str">
        <f>IFERROR(__xludf.DUMMYFUNCTION("""COMPUTED_VALUE"""),"مكتمل ")</f>
        <v>مكتمل </v>
      </c>
      <c r="F2678" s="133" t="str">
        <f>IFERROR(__xludf.DUMMYFUNCTION("""COMPUTED_VALUE"""),"Instinct Be Natural Kibble (Dog) Chicken - 25 lb.")</f>
        <v>Instinct Be Natural Kibble (Dog) Chicken - 25 lb.</v>
      </c>
      <c r="G2678" s="133"/>
      <c r="H2678" s="133" t="str">
        <f>IFERROR(__xludf.DUMMYFUNCTION("""COMPUTED_VALUE"""),"FEM-25-6748-FEP-2025-6914-C-22548-4420
")</f>
        <v>FEM-25-6748-FEP-2025-6914-C-22548-4420
</v>
      </c>
      <c r="I2678" s="133"/>
      <c r="J2678" s="133"/>
      <c r="K2678" s="133"/>
      <c r="L2678" s="133"/>
      <c r="M2678" s="133"/>
      <c r="N2678" s="133"/>
      <c r="O2678" s="133"/>
      <c r="P2678" s="133"/>
      <c r="Q2678" s="133"/>
      <c r="R2678" s="133"/>
      <c r="S2678" s="133"/>
      <c r="T2678" s="133"/>
      <c r="U2678" s="133"/>
      <c r="V2678" s="133"/>
      <c r="W2678" s="133"/>
      <c r="X2678" s="133"/>
      <c r="Y2678" s="133"/>
      <c r="Z2678" s="133"/>
    </row>
    <row r="2679">
      <c r="A2679" s="133"/>
      <c r="B2679" s="133"/>
      <c r="C2679" s="133" t="str">
        <f>IFERROR(__xludf.DUMMYFUNCTION("""COMPUTED_VALUE"""),"2025-459527")</f>
        <v>2025-459527</v>
      </c>
      <c r="D2679" s="133"/>
      <c r="E2679" s="133" t="str">
        <f>IFERROR(__xludf.DUMMYFUNCTION("""COMPUTED_VALUE"""),"مكتمل ")</f>
        <v>مكتمل </v>
      </c>
      <c r="F2679" s="133" t="str">
        <f>IFERROR(__xludf.DUMMYFUNCTION("""COMPUTED_VALUE"""),"Instinct Be Natural Kibble (Dog) Chicken - 4.5 lb.")</f>
        <v>Instinct Be Natural Kibble (Dog) Chicken - 4.5 lb.</v>
      </c>
      <c r="G2679" s="133"/>
      <c r="H2679" s="133" t="str">
        <f>IFERROR(__xludf.DUMMYFUNCTION("""COMPUTED_VALUE"""),"FEM-25-6748-FEP-2025-6914-C-22548-4420
")</f>
        <v>FEM-25-6748-FEP-2025-6914-C-22548-4420
</v>
      </c>
      <c r="I2679" s="133"/>
      <c r="J2679" s="133"/>
      <c r="K2679" s="133"/>
      <c r="L2679" s="133"/>
      <c r="M2679" s="133"/>
      <c r="N2679" s="133"/>
      <c r="O2679" s="133"/>
      <c r="P2679" s="133"/>
      <c r="Q2679" s="133"/>
      <c r="R2679" s="133"/>
      <c r="S2679" s="133"/>
      <c r="T2679" s="133"/>
      <c r="U2679" s="133"/>
      <c r="V2679" s="133"/>
      <c r="W2679" s="133"/>
      <c r="X2679" s="133"/>
      <c r="Y2679" s="133"/>
      <c r="Z2679" s="133"/>
    </row>
    <row r="2680">
      <c r="A2680" s="133"/>
      <c r="B2680" s="133"/>
      <c r="C2680" s="133" t="str">
        <f>IFERROR(__xludf.DUMMYFUNCTION("""COMPUTED_VALUE"""),"2025-465606")</f>
        <v>2025-465606</v>
      </c>
      <c r="D2680" s="133"/>
      <c r="E2680" s="133" t="str">
        <f>IFERROR(__xludf.DUMMYFUNCTION("""COMPUTED_VALUE"""),"مكتمل ")</f>
        <v>مكتمل </v>
      </c>
      <c r="F2680" s="133" t="str">
        <f>IFERROR(__xludf.DUMMYFUNCTION("""COMPUTED_VALUE"""),"Instinct Be Natural Kibble (Dog) Lamb - 24 lb.")</f>
        <v>Instinct Be Natural Kibble (Dog) Lamb - 24 lb.</v>
      </c>
      <c r="G2680" s="133"/>
      <c r="H2680" s="133" t="str">
        <f>IFERROR(__xludf.DUMMYFUNCTION("""COMPUTED_VALUE"""),"FEM-25-6771-FEP-2025-6942-C-22548-4445
")</f>
        <v>FEM-25-6771-FEP-2025-6942-C-22548-4445
</v>
      </c>
      <c r="I2680" s="133"/>
      <c r="J2680" s="133"/>
      <c r="K2680" s="133"/>
      <c r="L2680" s="133"/>
      <c r="M2680" s="133"/>
      <c r="N2680" s="133"/>
      <c r="O2680" s="133"/>
      <c r="P2680" s="133"/>
      <c r="Q2680" s="133"/>
      <c r="R2680" s="133"/>
      <c r="S2680" s="133"/>
      <c r="T2680" s="133"/>
      <c r="U2680" s="133"/>
      <c r="V2680" s="133"/>
      <c r="W2680" s="133"/>
      <c r="X2680" s="133"/>
      <c r="Y2680" s="133"/>
      <c r="Z2680" s="133"/>
    </row>
    <row r="2681">
      <c r="A2681" s="133"/>
      <c r="B2681" s="133"/>
      <c r="C2681" s="133" t="str">
        <f>IFERROR(__xludf.DUMMYFUNCTION("""COMPUTED_VALUE"""),"2025-465606")</f>
        <v>2025-465606</v>
      </c>
      <c r="D2681" s="133"/>
      <c r="E2681" s="133" t="str">
        <f>IFERROR(__xludf.DUMMYFUNCTION("""COMPUTED_VALUE"""),"مكتمل ")</f>
        <v>مكتمل </v>
      </c>
      <c r="F2681" s="133" t="str">
        <f>IFERROR(__xludf.DUMMYFUNCTION("""COMPUTED_VALUE"""),"Instinct Be Natural Kibble (Dog) Lamb - 4.5 lb.")</f>
        <v>Instinct Be Natural Kibble (Dog) Lamb - 4.5 lb.</v>
      </c>
      <c r="G2681" s="133"/>
      <c r="H2681" s="133" t="str">
        <f>IFERROR(__xludf.DUMMYFUNCTION("""COMPUTED_VALUE"""),"FEM-25-6771-FEP-2025-6942-C-22548-4445
")</f>
        <v>FEM-25-6771-FEP-2025-6942-C-22548-4445
</v>
      </c>
      <c r="I2681" s="133"/>
      <c r="J2681" s="133"/>
      <c r="K2681" s="133"/>
      <c r="L2681" s="133"/>
      <c r="M2681" s="133"/>
      <c r="N2681" s="133"/>
      <c r="O2681" s="133"/>
      <c r="P2681" s="133"/>
      <c r="Q2681" s="133"/>
      <c r="R2681" s="133"/>
      <c r="S2681" s="133"/>
      <c r="T2681" s="133"/>
      <c r="U2681" s="133"/>
      <c r="V2681" s="133"/>
      <c r="W2681" s="133"/>
      <c r="X2681" s="133"/>
      <c r="Y2681" s="133"/>
      <c r="Z2681" s="133"/>
    </row>
    <row r="2682">
      <c r="A2682" s="133"/>
      <c r="B2682" s="133"/>
      <c r="C2682" s="133" t="str">
        <f>IFERROR(__xludf.DUMMYFUNCTION("""COMPUTED_VALUE"""),"2025-465914")</f>
        <v>2025-465914</v>
      </c>
      <c r="D2682" s="133"/>
      <c r="E2682" s="133" t="str">
        <f>IFERROR(__xludf.DUMMYFUNCTION("""COMPUTED_VALUE"""),"مكتمل ")</f>
        <v>مكتمل </v>
      </c>
      <c r="F2682" s="133" t="str">
        <f>IFERROR(__xludf.DUMMYFUNCTION("""COMPUTED_VALUE"""),"Instinct Be Natural Kibble (Dog) Salmon - 24 lb.")</f>
        <v>Instinct Be Natural Kibble (Dog) Salmon - 24 lb.</v>
      </c>
      <c r="G2682" s="133"/>
      <c r="H2682" s="133" t="str">
        <f>IFERROR(__xludf.DUMMYFUNCTION("""COMPUTED_VALUE"""),"FEM-25-6777-FEP-2025-6945-C-22548-4435
")</f>
        <v>FEM-25-6777-FEP-2025-6945-C-22548-4435
</v>
      </c>
      <c r="I2682" s="133"/>
      <c r="J2682" s="133"/>
      <c r="K2682" s="133"/>
      <c r="L2682" s="133"/>
      <c r="M2682" s="133"/>
      <c r="N2682" s="133"/>
      <c r="O2682" s="133"/>
      <c r="P2682" s="133"/>
      <c r="Q2682" s="133"/>
      <c r="R2682" s="133"/>
      <c r="S2682" s="133"/>
      <c r="T2682" s="133"/>
      <c r="U2682" s="133"/>
      <c r="V2682" s="133"/>
      <c r="W2682" s="133"/>
      <c r="X2682" s="133"/>
      <c r="Y2682" s="133"/>
      <c r="Z2682" s="133"/>
    </row>
    <row r="2683">
      <c r="A2683" s="133"/>
      <c r="B2683" s="133"/>
      <c r="C2683" s="133" t="str">
        <f>IFERROR(__xludf.DUMMYFUNCTION("""COMPUTED_VALUE"""),"2025-465914")</f>
        <v>2025-465914</v>
      </c>
      <c r="D2683" s="133"/>
      <c r="E2683" s="133" t="str">
        <f>IFERROR(__xludf.DUMMYFUNCTION("""COMPUTED_VALUE"""),"مكتمل ")</f>
        <v>مكتمل </v>
      </c>
      <c r="F2683" s="133" t="str">
        <f>IFERROR(__xludf.DUMMYFUNCTION("""COMPUTED_VALUE"""),"Instinct Be Natural Kibble (Dog) Salmon - 4.5 lb.")</f>
        <v>Instinct Be Natural Kibble (Dog) Salmon - 4.5 lb.</v>
      </c>
      <c r="G2683" s="133"/>
      <c r="H2683" s="133" t="str">
        <f>IFERROR(__xludf.DUMMYFUNCTION("""COMPUTED_VALUE"""),"FEM-25-6777-FEP-2025-6945-C-22548-4435
")</f>
        <v>FEM-25-6777-FEP-2025-6945-C-22548-4435
</v>
      </c>
      <c r="I2683" s="133"/>
      <c r="J2683" s="133"/>
      <c r="K2683" s="133"/>
      <c r="L2683" s="133"/>
      <c r="M2683" s="133"/>
      <c r="N2683" s="133"/>
      <c r="O2683" s="133"/>
      <c r="P2683" s="133"/>
      <c r="Q2683" s="133"/>
      <c r="R2683" s="133"/>
      <c r="S2683" s="133"/>
      <c r="T2683" s="133"/>
      <c r="U2683" s="133"/>
      <c r="V2683" s="133"/>
      <c r="W2683" s="133"/>
      <c r="X2683" s="133"/>
      <c r="Y2683" s="133"/>
      <c r="Z2683" s="133"/>
    </row>
    <row r="2684">
      <c r="A2684" s="133"/>
      <c r="B2684" s="133"/>
      <c r="C2684" s="133" t="str">
        <f>IFERROR(__xludf.DUMMYFUNCTION("""COMPUTED_VALUE"""),"2025-468975")</f>
        <v>2025-468975</v>
      </c>
      <c r="D2684" s="133"/>
      <c r="E2684" s="133" t="str">
        <f>IFERROR(__xludf.DUMMYFUNCTION("""COMPUTED_VALUE"""),"تحت الاجراء ")</f>
        <v>تحت الاجراء </v>
      </c>
      <c r="F2684" s="133" t="str">
        <f>IFERROR(__xludf.DUMMYFUNCTION("""COMPUTED_VALUE"""),"Instinct LID Wet (Cat) Rabbit - 3 oz. Pouches")</f>
        <v>Instinct LID Wet (Cat) Rabbit - 3 oz. Pouches</v>
      </c>
      <c r="G2684" s="133"/>
      <c r="H2684" s="133"/>
      <c r="I2684" s="133"/>
      <c r="J2684" s="133"/>
      <c r="K2684" s="133"/>
      <c r="L2684" s="133"/>
      <c r="M2684" s="133"/>
      <c r="N2684" s="133"/>
      <c r="O2684" s="133"/>
      <c r="P2684" s="133"/>
      <c r="Q2684" s="133"/>
      <c r="R2684" s="133"/>
      <c r="S2684" s="133"/>
      <c r="T2684" s="133"/>
      <c r="U2684" s="133"/>
      <c r="V2684" s="133"/>
      <c r="W2684" s="133"/>
      <c r="X2684" s="133"/>
      <c r="Y2684" s="133"/>
      <c r="Z2684" s="133"/>
    </row>
    <row r="2685">
      <c r="A2685" s="133"/>
      <c r="B2685" s="133"/>
      <c r="C2685" s="133" t="str">
        <f>IFERROR(__xludf.DUMMYFUNCTION("""COMPUTED_VALUE"""),"2025-469376")</f>
        <v>2025-469376</v>
      </c>
      <c r="D2685" s="133"/>
      <c r="E2685" s="133" t="str">
        <f>IFERROR(__xludf.DUMMYFUNCTION("""COMPUTED_VALUE"""),"مكتمل ")</f>
        <v>مكتمل </v>
      </c>
      <c r="F2685" s="133" t="str">
        <f>IFERROR(__xludf.DUMMYFUNCTION("""COMPUTED_VALUE"""),"Instinct LID Wet (Cat) Turkey - CHINA - 5.5 oz. Cans")</f>
        <v>Instinct LID Wet (Cat) Turkey - CHINA - 5.5 oz. Cans</v>
      </c>
      <c r="G2685" s="133"/>
      <c r="H2685" s="133" t="str">
        <f>IFERROR(__xludf.DUMMYFUNCTION("""COMPUTED_VALUE"""),"FEM-25-6810-FEP-2025-8102-C-22548-4619
")</f>
        <v>FEM-25-6810-FEP-2025-8102-C-22548-4619
</v>
      </c>
      <c r="I2685" s="133"/>
      <c r="J2685" s="133"/>
      <c r="K2685" s="133"/>
      <c r="L2685" s="133"/>
      <c r="M2685" s="133"/>
      <c r="N2685" s="133"/>
      <c r="O2685" s="133"/>
      <c r="P2685" s="133"/>
      <c r="Q2685" s="133"/>
      <c r="R2685" s="133"/>
      <c r="S2685" s="133"/>
      <c r="T2685" s="133"/>
      <c r="U2685" s="133"/>
      <c r="V2685" s="133"/>
      <c r="W2685" s="133"/>
      <c r="X2685" s="133"/>
      <c r="Y2685" s="133"/>
      <c r="Z2685" s="133"/>
    </row>
    <row r="2686">
      <c r="A2686" s="133"/>
      <c r="B2686" s="133"/>
      <c r="C2686" s="133" t="str">
        <f>IFERROR(__xludf.DUMMYFUNCTION("""COMPUTED_VALUE"""),"2025-469376")</f>
        <v>2025-469376</v>
      </c>
      <c r="D2686" s="133"/>
      <c r="E2686" s="133" t="str">
        <f>IFERROR(__xludf.DUMMYFUNCTION("""COMPUTED_VALUE"""),"مكتمل ")</f>
        <v>مكتمل </v>
      </c>
      <c r="F2686" s="133" t="str">
        <f>IFERROR(__xludf.DUMMYFUNCTION("""COMPUTED_VALUE"""),"Instinct LID Wet (Cat) Turkey - CHINA - 3 oz. Cans")</f>
        <v>Instinct LID Wet (Cat) Turkey - CHINA - 3 oz. Cans</v>
      </c>
      <c r="G2686" s="133"/>
      <c r="H2686" s="133" t="str">
        <f>IFERROR(__xludf.DUMMYFUNCTION("""COMPUTED_VALUE"""),"FEM-25-6810-FEP-2025-8102-C-22548-4619
")</f>
        <v>FEM-25-6810-FEP-2025-8102-C-22548-4619
</v>
      </c>
      <c r="I2686" s="133"/>
      <c r="J2686" s="133"/>
      <c r="K2686" s="133"/>
      <c r="L2686" s="133"/>
      <c r="M2686" s="133"/>
      <c r="N2686" s="133"/>
      <c r="O2686" s="133"/>
      <c r="P2686" s="133"/>
      <c r="Q2686" s="133"/>
      <c r="R2686" s="133"/>
      <c r="S2686" s="133"/>
      <c r="T2686" s="133"/>
      <c r="U2686" s="133"/>
      <c r="V2686" s="133"/>
      <c r="W2686" s="133"/>
      <c r="X2686" s="133"/>
      <c r="Y2686" s="133"/>
      <c r="Z2686" s="133"/>
    </row>
    <row r="2687">
      <c r="A2687" s="133"/>
      <c r="B2687" s="133"/>
      <c r="C2687" s="133" t="str">
        <f>IFERROR(__xludf.DUMMYFUNCTION("""COMPUTED_VALUE"""),"2025-473188")</f>
        <v>2025-473188</v>
      </c>
      <c r="D2687" s="133"/>
      <c r="E2687" s="133" t="str">
        <f>IFERROR(__xludf.DUMMYFUNCTION("""COMPUTED_VALUE"""),"مكتمل ")</f>
        <v>مكتمل </v>
      </c>
      <c r="F2687" s="133" t="str">
        <f>IFERROR(__xludf.DUMMYFUNCTION("""COMPUTED_VALUE"""),"Instinct Meals Freeze Dried Meals (Dog) Beef - 3 oz.")</f>
        <v>Instinct Meals Freeze Dried Meals (Dog) Beef - 3 oz.</v>
      </c>
      <c r="G2687" s="133"/>
      <c r="H2687" s="133" t="str">
        <f>IFERROR(__xludf.DUMMYFUNCTION("""COMPUTED_VALUE"""),"FEM-25-6847-FEP-2025-8063-C-22548-4593
")</f>
        <v>FEM-25-6847-FEP-2025-8063-C-22548-4593
</v>
      </c>
      <c r="I2687" s="133"/>
      <c r="J2687" s="133"/>
      <c r="K2687" s="133"/>
      <c r="L2687" s="133"/>
      <c r="M2687" s="133"/>
      <c r="N2687" s="133"/>
      <c r="O2687" s="133"/>
      <c r="P2687" s="133"/>
      <c r="Q2687" s="133"/>
      <c r="R2687" s="133"/>
      <c r="S2687" s="133"/>
      <c r="T2687" s="133"/>
      <c r="U2687" s="133"/>
      <c r="V2687" s="133"/>
      <c r="W2687" s="133"/>
      <c r="X2687" s="133"/>
      <c r="Y2687" s="133"/>
      <c r="Z2687" s="133"/>
    </row>
    <row r="2688">
      <c r="A2688" s="133"/>
      <c r="B2688" s="133"/>
      <c r="C2688" s="133" t="str">
        <f>IFERROR(__xludf.DUMMYFUNCTION("""COMPUTED_VALUE"""),"2025-473558")</f>
        <v>2025-473558</v>
      </c>
      <c r="D2688" s="133"/>
      <c r="E2688" s="133" t="str">
        <f>IFERROR(__xludf.DUMMYFUNCTION("""COMPUTED_VALUE"""),"مكتمل ")</f>
        <v>مكتمل </v>
      </c>
      <c r="F2688" s="133" t="str">
        <f>IFERROR(__xludf.DUMMYFUNCTION("""COMPUTED_VALUE"""),"Instinct Meals Freeze Dried Meals (Dog) Lamb - 3 oz.")</f>
        <v>Instinct Meals Freeze Dried Meals (Dog) Lamb - 3 oz.</v>
      </c>
      <c r="G2688" s="133"/>
      <c r="H2688" s="133" t="str">
        <f>IFERROR(__xludf.DUMMYFUNCTION("""COMPUTED_VALUE"""),"FEM-25-6851-FEP-2025-8104-C-22548-4620
")</f>
        <v>FEM-25-6851-FEP-2025-8104-C-22548-4620
</v>
      </c>
      <c r="I2688" s="133"/>
      <c r="J2688" s="133"/>
      <c r="K2688" s="133"/>
      <c r="L2688" s="133"/>
      <c r="M2688" s="133"/>
      <c r="N2688" s="133"/>
      <c r="O2688" s="133"/>
      <c r="P2688" s="133"/>
      <c r="Q2688" s="133"/>
      <c r="R2688" s="133"/>
      <c r="S2688" s="133"/>
      <c r="T2688" s="133"/>
      <c r="U2688" s="133"/>
      <c r="V2688" s="133"/>
      <c r="W2688" s="133"/>
      <c r="X2688" s="133"/>
      <c r="Y2688" s="133"/>
      <c r="Z2688" s="133"/>
    </row>
    <row r="2689">
      <c r="A2689" s="133"/>
      <c r="B2689" s="133"/>
      <c r="C2689" s="133" t="str">
        <f>IFERROR(__xludf.DUMMYFUNCTION("""COMPUTED_VALUE"""),"2025-473871")</f>
        <v>2025-473871</v>
      </c>
      <c r="D2689" s="133"/>
      <c r="E2689" s="133" t="str">
        <f>IFERROR(__xludf.DUMMYFUNCTION("""COMPUTED_VALUE"""),"مكتمل ")</f>
        <v>مكتمل </v>
      </c>
      <c r="F2689" s="133" t="str">
        <f>IFERROR(__xludf.DUMMYFUNCTION("""COMPUTED_VALUE"""),"Instinct Meals Freeze Dried Meals (Dog) Pollock MSC - 3 oz.")</f>
        <v>Instinct Meals Freeze Dried Meals (Dog) Pollock MSC - 3 oz.</v>
      </c>
      <c r="G2689" s="133"/>
      <c r="H2689" s="133" t="str">
        <f>IFERROR(__xludf.DUMMYFUNCTION("""COMPUTED_VALUE"""),"FEM-25-6855-FEP-2025-8064-C-22548-4594
")</f>
        <v>FEM-25-6855-FEP-2025-8064-C-22548-4594
</v>
      </c>
      <c r="I2689" s="133"/>
      <c r="J2689" s="133"/>
      <c r="K2689" s="133"/>
      <c r="L2689" s="133"/>
      <c r="M2689" s="133"/>
      <c r="N2689" s="133"/>
      <c r="O2689" s="133"/>
      <c r="P2689" s="133"/>
      <c r="Q2689" s="133"/>
      <c r="R2689" s="133"/>
      <c r="S2689" s="133"/>
      <c r="T2689" s="133"/>
      <c r="U2689" s="133"/>
      <c r="V2689" s="133"/>
      <c r="W2689" s="133"/>
      <c r="X2689" s="133"/>
      <c r="Y2689" s="133"/>
      <c r="Z2689" s="133"/>
    </row>
    <row r="2690">
      <c r="A2690" s="133"/>
      <c r="B2690" s="133"/>
      <c r="C2690" s="133" t="str">
        <f>IFERROR(__xludf.DUMMYFUNCTION("""COMPUTED_VALUE"""),"2025-473939")</f>
        <v>2025-473939</v>
      </c>
      <c r="D2690" s="133"/>
      <c r="E2690" s="133" t="str">
        <f>IFERROR(__xludf.DUMMYFUNCTION("""COMPUTED_VALUE"""),"مكتمل ")</f>
        <v>مكتمل </v>
      </c>
      <c r="F2690" s="133" t="str">
        <f>IFERROR(__xludf.DUMMYFUNCTION("""COMPUTED_VALUE"""),"Instinct Meals Freeze Dried Meals (Kitten) Chicken 9.5 oz.")</f>
        <v>Instinct Meals Freeze Dried Meals (Kitten) Chicken 9.5 oz.</v>
      </c>
      <c r="G2690" s="133"/>
      <c r="H2690" s="133" t="str">
        <f>IFERROR(__xludf.DUMMYFUNCTION("""COMPUTED_VALUE"""),"FEM-25-6856-FEP-2025-8065-C-22548-4595
")</f>
        <v>FEM-25-6856-FEP-2025-8065-C-22548-4595
</v>
      </c>
      <c r="I2690" s="133"/>
      <c r="J2690" s="133"/>
      <c r="K2690" s="133"/>
      <c r="L2690" s="133"/>
      <c r="M2690" s="133"/>
      <c r="N2690" s="133"/>
      <c r="O2690" s="133"/>
      <c r="P2690" s="133"/>
      <c r="Q2690" s="133"/>
      <c r="R2690" s="133"/>
      <c r="S2690" s="133"/>
      <c r="T2690" s="133"/>
      <c r="U2690" s="133"/>
      <c r="V2690" s="133"/>
      <c r="W2690" s="133"/>
      <c r="X2690" s="133"/>
      <c r="Y2690" s="133"/>
      <c r="Z2690" s="133"/>
    </row>
    <row r="2691">
      <c r="A2691" s="133"/>
      <c r="B2691" s="133"/>
      <c r="C2691" s="133" t="str">
        <f>IFERROR(__xludf.DUMMYFUNCTION("""COMPUTED_VALUE"""),"2025-473999")</f>
        <v>2025-473999</v>
      </c>
      <c r="D2691" s="133"/>
      <c r="E2691" s="133" t="str">
        <f>IFERROR(__xludf.DUMMYFUNCTION("""COMPUTED_VALUE"""),"مكتمل ")</f>
        <v>مكتمل </v>
      </c>
      <c r="F2691" s="133" t="str">
        <f>IFERROR(__xludf.DUMMYFUNCTION("""COMPUTED_VALUE"""),"Instinct Meals Freeze Dried Meals (Puppy) Chicken - 14 oz.")</f>
        <v>Instinct Meals Freeze Dried Meals (Puppy) Chicken - 14 oz.</v>
      </c>
      <c r="G2691" s="133"/>
      <c r="H2691" s="133" t="str">
        <f>IFERROR(__xludf.DUMMYFUNCTION("""COMPUTED_VALUE"""),"FEM-25-6860-FEP-2025-8066-C-22548-4596
")</f>
        <v>FEM-25-6860-FEP-2025-8066-C-22548-4596
</v>
      </c>
      <c r="I2691" s="133"/>
      <c r="J2691" s="133"/>
      <c r="K2691" s="133"/>
      <c r="L2691" s="133"/>
      <c r="M2691" s="133"/>
      <c r="N2691" s="133"/>
      <c r="O2691" s="133"/>
      <c r="P2691" s="133"/>
      <c r="Q2691" s="133"/>
      <c r="R2691" s="133"/>
      <c r="S2691" s="133"/>
      <c r="T2691" s="133"/>
      <c r="U2691" s="133"/>
      <c r="V2691" s="133"/>
      <c r="W2691" s="133"/>
      <c r="X2691" s="133"/>
      <c r="Y2691" s="133"/>
      <c r="Z2691" s="133"/>
    </row>
    <row r="2692">
      <c r="A2692" s="133"/>
      <c r="B2692" s="133"/>
      <c r="C2692" s="133" t="str">
        <f>IFERROR(__xludf.DUMMYFUNCTION("""COMPUTED_VALUE"""),"2025-476574")</f>
        <v>2025-476574</v>
      </c>
      <c r="D2692" s="133"/>
      <c r="E2692" s="133" t="str">
        <f>IFERROR(__xludf.DUMMYFUNCTION("""COMPUTED_VALUE"""),"مكتمل ")</f>
        <v>مكتمل </v>
      </c>
      <c r="F2692" s="133" t="str">
        <f>IFERROR(__xludf.DUMMYFUNCTION("""COMPUTED_VALUE"""),"Instinct Raw Boost Freeze Dried Meals (Cat) Pollock MSC - 9.5oz.")</f>
        <v>Instinct Raw Boost Freeze Dried Meals (Cat) Pollock MSC - 9.5oz.</v>
      </c>
      <c r="G2692" s="133"/>
      <c r="H2692" s="133" t="str">
        <f>IFERROR(__xludf.DUMMYFUNCTION("""COMPUTED_VALUE"""),"FEM-25-6876-FEP-2025-8073-C-22548-4598
")</f>
        <v>FEM-25-6876-FEP-2025-8073-C-22548-4598
</v>
      </c>
      <c r="I2692" s="133"/>
      <c r="J2692" s="133"/>
      <c r="K2692" s="133"/>
      <c r="L2692" s="133"/>
      <c r="M2692" s="133"/>
      <c r="N2692" s="133"/>
      <c r="O2692" s="133"/>
      <c r="P2692" s="133"/>
      <c r="Q2692" s="133"/>
      <c r="R2692" s="133"/>
      <c r="S2692" s="133"/>
      <c r="T2692" s="133"/>
      <c r="U2692" s="133"/>
      <c r="V2692" s="133"/>
      <c r="W2692" s="133"/>
      <c r="X2692" s="133"/>
      <c r="Y2692" s="133"/>
      <c r="Z2692" s="133"/>
    </row>
    <row r="2693">
      <c r="A2693" s="133"/>
      <c r="B2693" s="133"/>
      <c r="C2693" s="133" t="str">
        <f>IFERROR(__xludf.DUMMYFUNCTION("""COMPUTED_VALUE"""),"2025-477755")</f>
        <v>2025-477755</v>
      </c>
      <c r="D2693" s="133"/>
      <c r="E2693" s="133" t="str">
        <f>IFERROR(__xludf.DUMMYFUNCTION("""COMPUTED_VALUE"""),"مكتمل ")</f>
        <v>مكتمل </v>
      </c>
      <c r="F2693" s="133" t="str">
        <f>IFERROR(__xludf.DUMMYFUNCTION("""COMPUTED_VALUE"""),"Instinct Raw Boost Freeze Dried Mixers (Adult Cat) Pollock MSC - 5 oz.")</f>
        <v>Instinct Raw Boost Freeze Dried Mixers (Adult Cat) Pollock MSC - 5 oz.</v>
      </c>
      <c r="G2693" s="133"/>
      <c r="H2693" s="133" t="str">
        <f>IFERROR(__xludf.DUMMYFUNCTION("""COMPUTED_VALUE"""),"FEM-25-6888-FEP-2025-8083-C-22548-4587
")</f>
        <v>FEM-25-6888-FEP-2025-8083-C-22548-4587
</v>
      </c>
      <c r="I2693" s="133"/>
      <c r="J2693" s="133"/>
      <c r="K2693" s="133"/>
      <c r="L2693" s="133"/>
      <c r="M2693" s="133"/>
      <c r="N2693" s="133"/>
      <c r="O2693" s="133"/>
      <c r="P2693" s="133"/>
      <c r="Q2693" s="133"/>
      <c r="R2693" s="133"/>
      <c r="S2693" s="133"/>
      <c r="T2693" s="133"/>
      <c r="U2693" s="133"/>
      <c r="V2693" s="133"/>
      <c r="W2693" s="133"/>
      <c r="X2693" s="133"/>
      <c r="Y2693" s="133"/>
      <c r="Z2693" s="133"/>
    </row>
    <row r="2694">
      <c r="A2694" s="133"/>
      <c r="B2694" s="133"/>
      <c r="C2694" s="133" t="str">
        <f>IFERROR(__xludf.DUMMYFUNCTION("""COMPUTED_VALUE"""),"2025-477861")</f>
        <v>2025-477861</v>
      </c>
      <c r="D2694" s="133"/>
      <c r="E2694" s="133" t="str">
        <f>IFERROR(__xludf.DUMMYFUNCTION("""COMPUTED_VALUE"""),"مكتمل ")</f>
        <v>مكتمل </v>
      </c>
      <c r="F2694" s="133" t="str">
        <f>IFERROR(__xludf.DUMMYFUNCTION("""COMPUTED_VALUE"""),"Instinct Raw Boost Freeze Dried Mixers (Adult Dog) Pollock MSC")</f>
        <v>Instinct Raw Boost Freeze Dried Mixers (Adult Dog) Pollock MSC</v>
      </c>
      <c r="G2694" s="133"/>
      <c r="H2694" s="133" t="str">
        <f>IFERROR(__xludf.DUMMYFUNCTION("""COMPUTED_VALUE"""),"FEM-25-6891-FEP-2025-8067-C-22548-4597
")</f>
        <v>FEM-25-6891-FEP-2025-8067-C-22548-4597
</v>
      </c>
      <c r="I2694" s="133"/>
      <c r="J2694" s="133"/>
      <c r="K2694" s="133"/>
      <c r="L2694" s="133"/>
      <c r="M2694" s="133"/>
      <c r="N2694" s="133"/>
      <c r="O2694" s="133"/>
      <c r="P2694" s="133"/>
      <c r="Q2694" s="133"/>
      <c r="R2694" s="133"/>
      <c r="S2694" s="133"/>
      <c r="T2694" s="133"/>
      <c r="U2694" s="133"/>
      <c r="V2694" s="133"/>
      <c r="W2694" s="133"/>
      <c r="X2694" s="133"/>
      <c r="Y2694" s="133"/>
      <c r="Z2694" s="133"/>
    </row>
    <row r="2695">
      <c r="A2695" s="133"/>
      <c r="B2695" s="133"/>
      <c r="C2695" s="133" t="str">
        <f>IFERROR(__xludf.DUMMYFUNCTION("""COMPUTED_VALUE"""),"2025-477950")</f>
        <v>2025-477950</v>
      </c>
      <c r="D2695" s="133"/>
      <c r="E2695" s="133" t="str">
        <f>IFERROR(__xludf.DUMMYFUNCTION("""COMPUTED_VALUE"""),"مكتمل ")</f>
        <v>مكتمل </v>
      </c>
      <c r="F2695" s="133" t="str">
        <f>IFERROR(__xludf.DUMMYFUNCTION("""COMPUTED_VALUE"""),"Instinct Raw Boost Freeze Dried Original Mixers (Cat) Chicken - 6 oz.")</f>
        <v>Instinct Raw Boost Freeze Dried Original Mixers (Cat) Chicken - 6 oz.</v>
      </c>
      <c r="G2695" s="133"/>
      <c r="H2695" s="133" t="str">
        <f>IFERROR(__xludf.DUMMYFUNCTION("""COMPUTED_VALUE"""),"FEM-25-6895-FEP-2025-8082-C-22548-4588
")</f>
        <v>FEM-25-6895-FEP-2025-8082-C-22548-4588
</v>
      </c>
      <c r="I2695" s="133"/>
      <c r="J2695" s="133"/>
      <c r="K2695" s="133"/>
      <c r="L2695" s="133"/>
      <c r="M2695" s="133"/>
      <c r="N2695" s="133"/>
      <c r="O2695" s="133"/>
      <c r="P2695" s="133"/>
      <c r="Q2695" s="133"/>
      <c r="R2695" s="133"/>
      <c r="S2695" s="133"/>
      <c r="T2695" s="133"/>
      <c r="U2695" s="133"/>
      <c r="V2695" s="133"/>
      <c r="W2695" s="133"/>
      <c r="X2695" s="133"/>
      <c r="Y2695" s="133"/>
      <c r="Z2695" s="133"/>
    </row>
    <row r="2696">
      <c r="A2696" s="133"/>
      <c r="B2696" s="133" t="str">
        <f>IFERROR(__xludf.DUMMYFUNCTION("""COMPUTED_VALUE"""),"ممنوع من الاستخدام الخنزير ومشتقاته كاملة")</f>
        <v>ممنوع من الاستخدام الخنزير ومشتقاته كاملة</v>
      </c>
      <c r="C2696" s="133" t="str">
        <f>IFERROR(__xludf.DUMMYFUNCTION("""COMPUTED_VALUE"""),"2025-480190")</f>
        <v>2025-480190</v>
      </c>
      <c r="D2696" s="133"/>
      <c r="E2696" s="133" t="str">
        <f>IFERROR(__xludf.DUMMYFUNCTION("""COMPUTED_VALUE"""),"مرفوض ")</f>
        <v>مرفوض </v>
      </c>
      <c r="F2696" s="133" t="str">
        <f>IFERROR(__xludf.DUMMYFUNCTION("""COMPUTED_VALUE"""),"Instinct Raw Boost Freeze Dried Original Mixers (Cat) Rabbit - 6 oz.")</f>
        <v>Instinct Raw Boost Freeze Dried Original Mixers (Cat) Rabbit - 6 oz.</v>
      </c>
      <c r="G2696" s="133"/>
      <c r="H2696" s="133"/>
      <c r="I2696" s="133"/>
      <c r="J2696" s="133"/>
      <c r="K2696" s="133"/>
      <c r="L2696" s="142" t="str">
        <f>IFERROR(__xludf.DUMMYFUNCTION("""COMPUTED_VALUE"""),"ممنوع من الاستخدام الخنزير ومشتقاته كاملة")</f>
        <v>ممنوع من الاستخدام الخنزير ومشتقاته كاملة</v>
      </c>
      <c r="M2696" s="133"/>
      <c r="N2696" s="133"/>
      <c r="O2696" s="133"/>
      <c r="P2696" s="133"/>
      <c r="Q2696" s="133"/>
      <c r="R2696" s="133"/>
      <c r="S2696" s="133"/>
      <c r="T2696" s="133"/>
      <c r="U2696" s="133"/>
      <c r="V2696" s="133"/>
      <c r="W2696" s="133"/>
      <c r="X2696" s="133"/>
      <c r="Y2696" s="133"/>
      <c r="Z2696" s="133"/>
    </row>
    <row r="2697">
      <c r="A2697" s="133"/>
      <c r="B2697" s="133"/>
      <c r="C2697" s="133" t="str">
        <f>IFERROR(__xludf.DUMMYFUNCTION("""COMPUTED_VALUE"""),"2025-480342")</f>
        <v>2025-480342</v>
      </c>
      <c r="D2697" s="133"/>
      <c r="E2697" s="133" t="str">
        <f>IFERROR(__xludf.DUMMYFUNCTION("""COMPUTED_VALUE"""),"مكتمل ")</f>
        <v>مكتمل </v>
      </c>
      <c r="F2697" s="133" t="str">
        <f>IFERROR(__xludf.DUMMYFUNCTION("""COMPUTED_VALUE"""),"Instinct Raw Boost Freeze Dried Original Mixers (Dog) Beef - 6 oz.")</f>
        <v>Instinct Raw Boost Freeze Dried Original Mixers (Dog) Beef - 6 oz.</v>
      </c>
      <c r="G2697" s="133"/>
      <c r="H2697" s="133" t="str">
        <f>IFERROR(__xludf.DUMMYFUNCTION("""COMPUTED_VALUE"""),"FEM-25-6916-FEP-2025-8079-C-22548-4591
")</f>
        <v>FEM-25-6916-FEP-2025-8079-C-22548-4591
</v>
      </c>
      <c r="I2697" s="133"/>
      <c r="J2697" s="133"/>
      <c r="K2697" s="133"/>
      <c r="L2697" s="133"/>
      <c r="M2697" s="133"/>
      <c r="N2697" s="133"/>
      <c r="O2697" s="133"/>
      <c r="P2697" s="133"/>
      <c r="Q2697" s="133"/>
      <c r="R2697" s="133"/>
      <c r="S2697" s="133"/>
      <c r="T2697" s="133"/>
      <c r="U2697" s="133"/>
      <c r="V2697" s="133"/>
      <c r="W2697" s="133"/>
      <c r="X2697" s="133"/>
      <c r="Y2697" s="133"/>
      <c r="Z2697" s="133"/>
    </row>
    <row r="2698">
      <c r="A2698" s="133"/>
      <c r="B2698" s="133"/>
      <c r="C2698" s="133" t="str">
        <f>IFERROR(__xludf.DUMMYFUNCTION("""COMPUTED_VALUE"""),"2025-480342")</f>
        <v>2025-480342</v>
      </c>
      <c r="D2698" s="133"/>
      <c r="E2698" s="133" t="str">
        <f>IFERROR(__xludf.DUMMYFUNCTION("""COMPUTED_VALUE"""),"مكتمل ")</f>
        <v>مكتمل </v>
      </c>
      <c r="F2698" s="133" t="str">
        <f>IFERROR(__xludf.DUMMYFUNCTION("""COMPUTED_VALUE"""),"Instinct Raw Boost Freeze Dried Original Mixers (Dog) Beef PP 1 oz.")</f>
        <v>Instinct Raw Boost Freeze Dried Original Mixers (Dog) Beef PP 1 oz.</v>
      </c>
      <c r="G2698" s="133"/>
      <c r="H2698" s="133" t="str">
        <f>IFERROR(__xludf.DUMMYFUNCTION("""COMPUTED_VALUE"""),"FEM-25-6916-FEP-2025-8079-C-22548-4591
")</f>
        <v>FEM-25-6916-FEP-2025-8079-C-22548-4591
</v>
      </c>
      <c r="I2698" s="133"/>
      <c r="J2698" s="133"/>
      <c r="K2698" s="133"/>
      <c r="L2698" s="133"/>
      <c r="M2698" s="133"/>
      <c r="N2698" s="133"/>
      <c r="O2698" s="133"/>
      <c r="P2698" s="133"/>
      <c r="Q2698" s="133"/>
      <c r="R2698" s="133"/>
      <c r="S2698" s="133"/>
      <c r="T2698" s="133"/>
      <c r="U2698" s="133"/>
      <c r="V2698" s="133"/>
      <c r="W2698" s="133"/>
      <c r="X2698" s="133"/>
      <c r="Y2698" s="133"/>
      <c r="Z2698" s="133"/>
    </row>
    <row r="2699">
      <c r="A2699" s="133"/>
      <c r="B2699" s="133"/>
      <c r="C2699" s="133" t="str">
        <f>IFERROR(__xludf.DUMMYFUNCTION("""COMPUTED_VALUE"""),"2025-480563")</f>
        <v>2025-480563</v>
      </c>
      <c r="D2699" s="133"/>
      <c r="E2699" s="133" t="str">
        <f>IFERROR(__xludf.DUMMYFUNCTION("""COMPUTED_VALUE"""),"مكتمل ")</f>
        <v>مكتمل </v>
      </c>
      <c r="F2699" s="133" t="str">
        <f>IFERROR(__xludf.DUMMYFUNCTION("""COMPUTED_VALUE"""),"Instinct Raw Boost Freeze Dried Shaker (Cat) Chicken - 5.5 oz.")</f>
        <v>Instinct Raw Boost Freeze Dried Shaker (Cat) Chicken - 5.5 oz.</v>
      </c>
      <c r="G2699" s="133"/>
      <c r="H2699" s="133" t="str">
        <f>IFERROR(__xludf.DUMMYFUNCTION("""COMPUTED_VALUE"""),"FEM-25-6920-FEP-2025-8061-C-22548-4586
")</f>
        <v>FEM-25-6920-FEP-2025-8061-C-22548-4586
</v>
      </c>
      <c r="I2699" s="133"/>
      <c r="J2699" s="133"/>
      <c r="K2699" s="133"/>
      <c r="L2699" s="133"/>
      <c r="M2699" s="133"/>
      <c r="N2699" s="133"/>
      <c r="O2699" s="133"/>
      <c r="P2699" s="133"/>
      <c r="Q2699" s="133"/>
      <c r="R2699" s="133"/>
      <c r="S2699" s="133"/>
      <c r="T2699" s="133"/>
      <c r="U2699" s="133"/>
      <c r="V2699" s="133"/>
      <c r="W2699" s="133"/>
      <c r="X2699" s="133"/>
      <c r="Y2699" s="133"/>
      <c r="Z2699" s="133"/>
    </row>
    <row r="2700">
      <c r="A2700" s="133"/>
      <c r="B2700" s="133"/>
      <c r="C2700" s="133" t="str">
        <f>IFERROR(__xludf.DUMMYFUNCTION("""COMPUTED_VALUE"""),"2025-480623")</f>
        <v>2025-480623</v>
      </c>
      <c r="D2700" s="133"/>
      <c r="E2700" s="133" t="str">
        <f>IFERROR(__xludf.DUMMYFUNCTION("""COMPUTED_VALUE"""),"مكتمل ")</f>
        <v>مكتمل </v>
      </c>
      <c r="F2700" s="133" t="str">
        <f>IFERROR(__xludf.DUMMYFUNCTION("""COMPUTED_VALUE"""),"Instinct Raw Boost Freeze Dried Shaker (Dog) Beef - 5.5 oz.")</f>
        <v>Instinct Raw Boost Freeze Dried Shaker (Dog) Beef - 5.5 oz.</v>
      </c>
      <c r="G2700" s="133"/>
      <c r="H2700" s="133" t="str">
        <f>IFERROR(__xludf.DUMMYFUNCTION("""COMPUTED_VALUE"""),"FEM-25-6922-FEP-2025-8080-C-22548-4589
")</f>
        <v>FEM-25-6922-FEP-2025-8080-C-22548-4589
</v>
      </c>
      <c r="I2700" s="133"/>
      <c r="J2700" s="133"/>
      <c r="K2700" s="133"/>
      <c r="L2700" s="133"/>
      <c r="M2700" s="133"/>
      <c r="N2700" s="133"/>
      <c r="O2700" s="133"/>
      <c r="P2700" s="133"/>
      <c r="Q2700" s="133"/>
      <c r="R2700" s="133"/>
      <c r="S2700" s="133"/>
      <c r="T2700" s="133"/>
      <c r="U2700" s="133"/>
      <c r="V2700" s="133"/>
      <c r="W2700" s="133"/>
      <c r="X2700" s="133"/>
      <c r="Y2700" s="133"/>
      <c r="Z2700" s="133"/>
    </row>
    <row r="2701">
      <c r="A2701" s="133"/>
      <c r="B2701" s="133"/>
      <c r="C2701" s="133" t="str">
        <f>IFERROR(__xludf.DUMMYFUNCTION("""COMPUTED_VALUE"""),"2025-480908")</f>
        <v>2025-480908</v>
      </c>
      <c r="D2701" s="133"/>
      <c r="E2701" s="133" t="str">
        <f>IFERROR(__xludf.DUMMYFUNCTION("""COMPUTED_VALUE"""),"مكتمل ")</f>
        <v>مكتمل </v>
      </c>
      <c r="F2701" s="133" t="str">
        <f>IFERROR(__xludf.DUMMYFUNCTION("""COMPUTED_VALUE"""),"Instinct Raw Boost Freeze Dried Shaker (Dog) Chicken - 5.5 oz.")</f>
        <v>Instinct Raw Boost Freeze Dried Shaker (Dog) Chicken - 5.5 oz.</v>
      </c>
      <c r="G2701" s="133"/>
      <c r="H2701" s="133" t="str">
        <f>IFERROR(__xludf.DUMMYFUNCTION("""COMPUTED_VALUE"""),"FEM-25-6925-FEP-2025-8074-C-22548-4599
")</f>
        <v>FEM-25-6925-FEP-2025-8074-C-22548-4599
</v>
      </c>
      <c r="I2701" s="133"/>
      <c r="J2701" s="133"/>
      <c r="K2701" s="133"/>
      <c r="L2701" s="133"/>
      <c r="M2701" s="133"/>
      <c r="N2701" s="133"/>
      <c r="O2701" s="133"/>
      <c r="P2701" s="133"/>
      <c r="Q2701" s="133"/>
      <c r="R2701" s="133"/>
      <c r="S2701" s="133"/>
      <c r="T2701" s="133"/>
      <c r="U2701" s="133"/>
      <c r="V2701" s="133"/>
      <c r="W2701" s="133"/>
      <c r="X2701" s="133"/>
      <c r="Y2701" s="133"/>
      <c r="Z2701" s="133"/>
    </row>
    <row r="2702">
      <c r="A2702" s="133"/>
      <c r="B2702" s="133"/>
      <c r="C2702" s="133" t="str">
        <f>IFERROR(__xludf.DUMMYFUNCTION("""COMPUTED_VALUE"""),"2025-481115")</f>
        <v>2025-481115</v>
      </c>
      <c r="D2702" s="133"/>
      <c r="E2702" s="133" t="str">
        <f>IFERROR(__xludf.DUMMYFUNCTION("""COMPUTED_VALUE"""),"مكتمل ")</f>
        <v>مكتمل </v>
      </c>
      <c r="F2702" s="133" t="str">
        <f>IFERROR(__xludf.DUMMYFUNCTION("""COMPUTED_VALUE"""),"Instinct Ultimate Protein Kibble (Cat) Chicken - 4 lb.")</f>
        <v>Instinct Ultimate Protein Kibble (Cat) Chicken - 4 lb.</v>
      </c>
      <c r="G2702" s="133"/>
      <c r="H2702" s="133" t="str">
        <f>IFERROR(__xludf.DUMMYFUNCTION("""COMPUTED_VALUE"""),"FEM-25-6928-FEP-2025-8076-C-22548-4600
")</f>
        <v>FEM-25-6928-FEP-2025-8076-C-22548-4600
</v>
      </c>
      <c r="I2702" s="133"/>
      <c r="J2702" s="133"/>
      <c r="K2702" s="133"/>
      <c r="L2702" s="133"/>
      <c r="M2702" s="133"/>
      <c r="N2702" s="133"/>
      <c r="O2702" s="133"/>
      <c r="P2702" s="133"/>
      <c r="Q2702" s="133"/>
      <c r="R2702" s="133"/>
      <c r="S2702" s="133"/>
      <c r="T2702" s="133"/>
      <c r="U2702" s="133"/>
      <c r="V2702" s="133"/>
      <c r="W2702" s="133"/>
      <c r="X2702" s="133"/>
      <c r="Y2702" s="133"/>
      <c r="Z2702" s="133"/>
    </row>
    <row r="2703">
      <c r="A2703" s="133"/>
      <c r="B2703" s="133"/>
      <c r="C2703" s="133" t="str">
        <f>IFERROR(__xludf.DUMMYFUNCTION("""COMPUTED_VALUE"""),"2025-481235")</f>
        <v>2025-481235</v>
      </c>
      <c r="D2703" s="133"/>
      <c r="E2703" s="133" t="str">
        <f>IFERROR(__xludf.DUMMYFUNCTION("""COMPUTED_VALUE"""),"مكتمل ")</f>
        <v>مكتمل </v>
      </c>
      <c r="F2703" s="133" t="str">
        <f>IFERROR(__xludf.DUMMYFUNCTION("""COMPUTED_VALUE"""),"Instinct Ultimate Protein Kibble (Kitten) CHINA - 1.8 lb.")</f>
        <v>Instinct Ultimate Protein Kibble (Kitten) CHINA - 1.8 lb.</v>
      </c>
      <c r="G2703" s="133"/>
      <c r="H2703" s="133" t="str">
        <f>IFERROR(__xludf.DUMMYFUNCTION("""COMPUTED_VALUE"""),"FEM-25-6930-FEP-2025-8078-C-22548-4590
")</f>
        <v>FEM-25-6930-FEP-2025-8078-C-22548-4590
</v>
      </c>
      <c r="I2703" s="133"/>
      <c r="J2703" s="133"/>
      <c r="K2703" s="133"/>
      <c r="L2703" s="133"/>
      <c r="M2703" s="133"/>
      <c r="N2703" s="133"/>
      <c r="O2703" s="133"/>
      <c r="P2703" s="133"/>
      <c r="Q2703" s="133"/>
      <c r="R2703" s="133"/>
      <c r="S2703" s="133"/>
      <c r="T2703" s="133"/>
      <c r="U2703" s="133"/>
      <c r="V2703" s="133"/>
      <c r="W2703" s="133"/>
      <c r="X2703" s="133"/>
      <c r="Y2703" s="133"/>
      <c r="Z2703" s="133"/>
    </row>
    <row r="2704">
      <c r="A2704" s="133"/>
      <c r="B2704" s="133"/>
      <c r="C2704" s="133" t="str">
        <f>IFERROR(__xludf.DUMMYFUNCTION("""COMPUTED_VALUE"""),"2025-481235")</f>
        <v>2025-481235</v>
      </c>
      <c r="D2704" s="133"/>
      <c r="E2704" s="133" t="str">
        <f>IFERROR(__xludf.DUMMYFUNCTION("""COMPUTED_VALUE"""),"مكتمل ")</f>
        <v>مكتمل </v>
      </c>
      <c r="F2704" s="133" t="str">
        <f>IFERROR(__xludf.DUMMYFUNCTION("""COMPUTED_VALUE"""),"Instinct Ultimate Protein Kibble (Kitten) CHINA - 4 lb.")</f>
        <v>Instinct Ultimate Protein Kibble (Kitten) CHINA - 4 lb.</v>
      </c>
      <c r="G2704" s="133"/>
      <c r="H2704" s="133" t="str">
        <f>IFERROR(__xludf.DUMMYFUNCTION("""COMPUTED_VALUE"""),"FEM-25-6930-FEP-2025-8078-C-22548-4590
")</f>
        <v>FEM-25-6930-FEP-2025-8078-C-22548-4590
</v>
      </c>
      <c r="I2704" s="133"/>
      <c r="J2704" s="133"/>
      <c r="K2704" s="133"/>
      <c r="L2704" s="133"/>
      <c r="M2704" s="133"/>
      <c r="N2704" s="133"/>
      <c r="O2704" s="133"/>
      <c r="P2704" s="133"/>
      <c r="Q2704" s="133"/>
      <c r="R2704" s="133"/>
      <c r="S2704" s="133"/>
      <c r="T2704" s="133"/>
      <c r="U2704" s="133"/>
      <c r="V2704" s="133"/>
      <c r="W2704" s="133"/>
      <c r="X2704" s="133"/>
      <c r="Y2704" s="133"/>
      <c r="Z2704" s="133"/>
    </row>
    <row r="2705">
      <c r="A2705" s="133"/>
      <c r="B2705" s="133"/>
      <c r="C2705" s="133" t="str">
        <f>IFERROR(__xludf.DUMMYFUNCTION("""COMPUTED_VALUE"""),"2025-481314")</f>
        <v>2025-481314</v>
      </c>
      <c r="D2705" s="133"/>
      <c r="E2705" s="133" t="str">
        <f>IFERROR(__xludf.DUMMYFUNCTION("""COMPUTED_VALUE"""),"مكتمل ")</f>
        <v>مكتمل </v>
      </c>
      <c r="F2705" s="133" t="str">
        <f>IFERROR(__xludf.DUMMYFUNCTION("""COMPUTED_VALUE"""),"Instinct Ultimate Protein Wet (Cat) Chicken - CHINA - 3 oz. Cans")</f>
        <v>Instinct Ultimate Protein Wet (Cat) Chicken - CHINA - 3 oz. Cans</v>
      </c>
      <c r="G2705" s="133"/>
      <c r="H2705" s="133" t="str">
        <f>IFERROR(__xludf.DUMMYFUNCTION("""COMPUTED_VALUE"""),"FEM-25-6932-FEP-2025-8062-C-22548-4592
")</f>
        <v>FEM-25-6932-FEP-2025-8062-C-22548-4592
</v>
      </c>
      <c r="I2705" s="133"/>
      <c r="J2705" s="133"/>
      <c r="K2705" s="133"/>
      <c r="L2705" s="133"/>
      <c r="M2705" s="133"/>
      <c r="N2705" s="133"/>
      <c r="O2705" s="133"/>
      <c r="P2705" s="133"/>
      <c r="Q2705" s="133"/>
      <c r="R2705" s="133"/>
      <c r="S2705" s="133"/>
      <c r="T2705" s="133"/>
      <c r="U2705" s="133"/>
      <c r="V2705" s="133"/>
      <c r="W2705" s="133"/>
      <c r="X2705" s="133"/>
      <c r="Y2705" s="133"/>
      <c r="Z2705" s="133"/>
    </row>
    <row r="2706">
      <c r="A2706" s="133"/>
      <c r="B2706" s="133"/>
      <c r="C2706" s="133" t="str">
        <f>IFERROR(__xludf.DUMMYFUNCTION("""COMPUTED_VALUE"""),"2025-485714")</f>
        <v>2025-485714</v>
      </c>
      <c r="D2706" s="133"/>
      <c r="E2706" s="133" t="str">
        <f>IFERROR(__xludf.DUMMYFUNCTION("""COMPUTED_VALUE"""),"مكتمل ")</f>
        <v>مكتمل </v>
      </c>
      <c r="F2706" s="133" t="str">
        <f>IFERROR(__xludf.DUMMYFUNCTION("""COMPUTED_VALUE"""),"Instinct Raw Boost Kibble (Dog) Beef - 3.5 lb.")</f>
        <v>Instinct Raw Boost Kibble (Dog) Beef - 3.5 lb.</v>
      </c>
      <c r="G2706" s="133"/>
      <c r="H2706" s="133" t="str">
        <f>IFERROR(__xludf.DUMMYFUNCTION("""COMPUTED_VALUE"""),"FEM-25-7915-FEP-2025-8180-C-22548-4706
")</f>
        <v>FEM-25-7915-FEP-2025-8180-C-22548-4706
</v>
      </c>
      <c r="I2706" s="133"/>
      <c r="J2706" s="133"/>
      <c r="K2706" s="133"/>
      <c r="L2706" s="133"/>
      <c r="M2706" s="133"/>
      <c r="N2706" s="133"/>
      <c r="O2706" s="133"/>
      <c r="P2706" s="133"/>
      <c r="Q2706" s="133"/>
      <c r="R2706" s="133"/>
      <c r="S2706" s="133"/>
      <c r="T2706" s="133"/>
      <c r="U2706" s="133"/>
      <c r="V2706" s="133"/>
      <c r="W2706" s="133"/>
      <c r="X2706" s="133"/>
      <c r="Y2706" s="133"/>
      <c r="Z2706" s="133"/>
    </row>
    <row r="2707">
      <c r="A2707" s="133"/>
      <c r="B2707" s="133"/>
      <c r="C2707" s="133" t="str">
        <f>IFERROR(__xludf.DUMMYFUNCTION("""COMPUTED_VALUE"""),"2025-489761")</f>
        <v>2025-489761</v>
      </c>
      <c r="D2707" s="133"/>
      <c r="E2707" s="133" t="str">
        <f>IFERROR(__xludf.DUMMYFUNCTION("""COMPUTED_VALUE"""),"مكتمل ")</f>
        <v>مكتمل </v>
      </c>
      <c r="F2707" s="133" t="str">
        <f>IFERROR(__xludf.DUMMYFUNCTION("""COMPUTED_VALUE"""),"Forza INTESTINAL Actiwet DOG - multipack 12 pouch")</f>
        <v>Forza INTESTINAL Actiwet DOG - multipack 12 pouch</v>
      </c>
      <c r="G2707" s="133" t="str">
        <f>IFERROR(__xludf.DUMMYFUNCTION("""COMPUTED_VALUE"""),"Active VetDiet Intestinal Dog - multipack 12 pouch x 100gr")</f>
        <v>Active VetDiet Intestinal Dog - multipack 12 pouch x 100gr</v>
      </c>
      <c r="H2707" s="133" t="str">
        <f>IFERROR(__xludf.DUMMYFUNCTION("""COMPUTED_VALUE"""),"FEM-25-7160-FEP-2025-7411-C-22548-4717
")</f>
        <v>FEM-25-7160-FEP-2025-7411-C-22548-4717
</v>
      </c>
      <c r="I2707" s="133"/>
      <c r="J2707" s="133"/>
      <c r="K2707" s="133"/>
      <c r="L2707" s="133"/>
      <c r="M2707" s="133"/>
      <c r="N2707" s="133"/>
      <c r="O2707" s="133"/>
      <c r="P2707" s="133"/>
      <c r="Q2707" s="133"/>
      <c r="R2707" s="133"/>
      <c r="S2707" s="133"/>
      <c r="T2707" s="133"/>
      <c r="U2707" s="133"/>
      <c r="V2707" s="133"/>
      <c r="W2707" s="133"/>
      <c r="X2707" s="133"/>
      <c r="Y2707" s="133"/>
      <c r="Z2707" s="133"/>
    </row>
    <row r="2708">
      <c r="A2708" s="133"/>
      <c r="B2708" s="133"/>
      <c r="C2708" s="133" t="str">
        <f>IFERROR(__xludf.DUMMYFUNCTION("""COMPUTED_VALUE"""),"2025-490256")</f>
        <v>2025-490256</v>
      </c>
      <c r="D2708" s="133"/>
      <c r="E2708" s="133" t="str">
        <f>IFERROR(__xludf.DUMMYFUNCTION("""COMPUTED_VALUE"""),"مكتمل ")</f>
        <v>مكتمل </v>
      </c>
      <c r="F2708" s="133" t="str">
        <f>IFERROR(__xludf.DUMMYFUNCTION("""COMPUTED_VALUE"""),"Forza Active VetDiet Hypoallergenic Dog Fish - multipack 12 pouch x 100gr")</f>
        <v>Forza Active VetDiet Hypoallergenic Dog Fish - multipack 12 pouch x 100gr</v>
      </c>
      <c r="G2708" s="133" t="str">
        <f>IFERROR(__xludf.DUMMYFUNCTION("""COMPUTED_VALUE"""),"HYPOALLERGENIC Actiwet DOG (Fish) - multipack 12 pouch
")</f>
        <v>HYPOALLERGENIC Actiwet DOG (Fish) - multipack 12 pouch
</v>
      </c>
      <c r="H2708" s="133" t="str">
        <f>IFERROR(__xludf.DUMMYFUNCTION("""COMPUTED_VALUE"""),"FEM-25-7166-FEP-2025-7417-C-22548-4718
")</f>
        <v>FEM-25-7166-FEP-2025-7417-C-22548-4718
</v>
      </c>
      <c r="I2708" s="133"/>
      <c r="J2708" s="133"/>
      <c r="K2708" s="133"/>
      <c r="L2708" s="133"/>
      <c r="M2708" s="133"/>
      <c r="N2708" s="133"/>
      <c r="O2708" s="133"/>
      <c r="P2708" s="133"/>
      <c r="Q2708" s="133"/>
      <c r="R2708" s="133"/>
      <c r="S2708" s="133"/>
      <c r="T2708" s="133"/>
      <c r="U2708" s="133"/>
      <c r="V2708" s="133"/>
      <c r="W2708" s="133"/>
      <c r="X2708" s="133"/>
      <c r="Y2708" s="133"/>
      <c r="Z2708" s="133"/>
    </row>
    <row r="2709">
      <c r="A2709" s="133"/>
      <c r="B2709" s="133"/>
      <c r="C2709" s="133" t="str">
        <f>IFERROR(__xludf.DUMMYFUNCTION("""COMPUTED_VALUE"""),"2025-490304")</f>
        <v>2025-490304</v>
      </c>
      <c r="D2709" s="133"/>
      <c r="E2709" s="133" t="str">
        <f>IFERROR(__xludf.DUMMYFUNCTION("""COMPUTED_VALUE"""),"مكتمل ")</f>
        <v>مكتمل </v>
      </c>
      <c r="F2709" s="133" t="str">
        <f>IFERROR(__xludf.DUMMYFUNCTION("""COMPUTED_VALUE"""),"Forza Active VetDiet Hypoallergenic Dog Lamb - multipack 12 pouch x 100gr")</f>
        <v>Forza Active VetDiet Hypoallergenic Dog Lamb - multipack 12 pouch x 100gr</v>
      </c>
      <c r="G2709" s="133" t="str">
        <f>IFERROR(__xludf.DUMMYFUNCTION("""COMPUTED_VALUE"""),"HYPOALLERGENIC Actiwet DOG (Lamb) - multipack 12 pouch
")</f>
        <v>HYPOALLERGENIC Actiwet DOG (Lamb) - multipack 12 pouch
</v>
      </c>
      <c r="H2709" s="133" t="str">
        <f>IFERROR(__xludf.DUMMYFUNCTION("""COMPUTED_VALUE"""),"FEM-25-7167-FEP-2025-7418-C-22548-4719
")</f>
        <v>FEM-25-7167-FEP-2025-7418-C-22548-4719
</v>
      </c>
      <c r="I2709" s="133"/>
      <c r="J2709" s="133"/>
      <c r="K2709" s="133"/>
      <c r="L2709" s="133"/>
      <c r="M2709" s="133"/>
      <c r="N2709" s="133"/>
      <c r="O2709" s="133"/>
      <c r="P2709" s="133"/>
      <c r="Q2709" s="133"/>
      <c r="R2709" s="133"/>
      <c r="S2709" s="133"/>
      <c r="T2709" s="133"/>
      <c r="U2709" s="133"/>
      <c r="V2709" s="133"/>
      <c r="W2709" s="133"/>
      <c r="X2709" s="133"/>
      <c r="Y2709" s="133"/>
      <c r="Z2709" s="133"/>
    </row>
    <row r="2710">
      <c r="A2710" s="133"/>
      <c r="B2710" s="133"/>
      <c r="C2710" s="133" t="str">
        <f>IFERROR(__xludf.DUMMYFUNCTION("""COMPUTED_VALUE"""),"2025-490421")</f>
        <v>2025-490421</v>
      </c>
      <c r="D2710" s="133"/>
      <c r="E2710" s="133" t="str">
        <f>IFERROR(__xludf.DUMMYFUNCTION("""COMPUTED_VALUE"""),"مكتمل ")</f>
        <v>مكتمل </v>
      </c>
      <c r="F2710" s="133" t="str">
        <f>IFERROR(__xludf.DUMMYFUNCTION("""COMPUTED_VALUE"""),"Forza Active VetDiet Intestinal Colon Dog Fish - Can - gr 390")</f>
        <v>Forza Active VetDiet Intestinal Colon Dog Fish - Can - gr 390</v>
      </c>
      <c r="G2710" s="133" t="str">
        <f>IFERROR(__xludf.DUMMYFUNCTION("""COMPUTED_VALUE"""),"INTESTINAL COLON DOG (Fish)
")</f>
        <v>INTESTINAL COLON DOG (Fish)
</v>
      </c>
      <c r="H2710" s="133" t="str">
        <f>IFERROR(__xludf.DUMMYFUNCTION("""COMPUTED_VALUE"""),"FEM-25-7169-FEP-2025-7423-C-22548-4720
")</f>
        <v>FEM-25-7169-FEP-2025-7423-C-22548-4720
</v>
      </c>
      <c r="I2710" s="133"/>
      <c r="J2710" s="133"/>
      <c r="K2710" s="133"/>
      <c r="L2710" s="133"/>
      <c r="M2710" s="133"/>
      <c r="N2710" s="133"/>
      <c r="O2710" s="133"/>
      <c r="P2710" s="133"/>
      <c r="Q2710" s="133"/>
      <c r="R2710" s="133"/>
      <c r="S2710" s="133"/>
      <c r="T2710" s="133"/>
      <c r="U2710" s="133"/>
      <c r="V2710" s="133"/>
      <c r="W2710" s="133"/>
      <c r="X2710" s="133"/>
      <c r="Y2710" s="133"/>
      <c r="Z2710" s="133"/>
    </row>
    <row r="2711">
      <c r="A2711" s="133"/>
      <c r="B2711" s="133"/>
      <c r="C2711" s="133" t="str">
        <f>IFERROR(__xludf.DUMMYFUNCTION("""COMPUTED_VALUE"""),"2025-490538")</f>
        <v>2025-490538</v>
      </c>
      <c r="D2711" s="133"/>
      <c r="E2711" s="133" t="str">
        <f>IFERROR(__xludf.DUMMYFUNCTION("""COMPUTED_VALUE"""),"مكتمل ")</f>
        <v>مكتمل </v>
      </c>
      <c r="F2711" s="133" t="str">
        <f>IFERROR(__xludf.DUMMYFUNCTION("""COMPUTED_VALUE"""),"Forza Active VetDiet Renal Dog - Can - gr 390")</f>
        <v>Forza Active VetDiet Renal Dog - Can - gr 390</v>
      </c>
      <c r="G2711" s="133" t="str">
        <f>IFERROR(__xludf.DUMMYFUNCTION("""COMPUTED_VALUE"""),"RENAL Actiwet DOG (Lamb)
")</f>
        <v>RENAL Actiwet DOG (Lamb)
</v>
      </c>
      <c r="H2711" s="133" t="str">
        <f>IFERROR(__xludf.DUMMYFUNCTION("""COMPUTED_VALUE"""),"FEM-25-7170-FEP-2025-7425-C-22548-4721
")</f>
        <v>FEM-25-7170-FEP-2025-7425-C-22548-4721
</v>
      </c>
      <c r="I2711" s="133"/>
      <c r="J2711" s="133"/>
      <c r="K2711" s="133"/>
      <c r="L2711" s="133"/>
      <c r="M2711" s="133"/>
      <c r="N2711" s="133"/>
      <c r="O2711" s="133"/>
      <c r="P2711" s="133"/>
      <c r="Q2711" s="133"/>
      <c r="R2711" s="133"/>
      <c r="S2711" s="133"/>
      <c r="T2711" s="133"/>
      <c r="U2711" s="133"/>
      <c r="V2711" s="133"/>
      <c r="W2711" s="133"/>
      <c r="X2711" s="133"/>
      <c r="Y2711" s="133"/>
      <c r="Z2711" s="133"/>
    </row>
    <row r="2712">
      <c r="A2712" s="133"/>
      <c r="B2712" s="133"/>
      <c r="C2712" s="133" t="str">
        <f>IFERROR(__xludf.DUMMYFUNCTION("""COMPUTED_VALUE"""),"2025-494325")</f>
        <v>2025-494325</v>
      </c>
      <c r="D2712" s="133"/>
      <c r="E2712" s="133" t="str">
        <f>IFERROR(__xludf.DUMMYFUNCTION("""COMPUTED_VALUE"""),"مكتمل ")</f>
        <v>مكتمل </v>
      </c>
      <c r="F2712" s="133" t="str">
        <f>IFERROR(__xludf.DUMMYFUNCTION("""COMPUTED_VALUE"""),"Forza Active VetDiet Intestinal Dog - Can - gr 390")</f>
        <v>Forza Active VetDiet Intestinal Dog - Can - gr 390</v>
      </c>
      <c r="G2712" s="133"/>
      <c r="H2712" s="133"/>
      <c r="I2712" s="133"/>
      <c r="J2712" s="133"/>
      <c r="K2712" s="133"/>
      <c r="L2712" s="133"/>
      <c r="M2712" s="133"/>
      <c r="N2712" s="133"/>
      <c r="O2712" s="133"/>
      <c r="P2712" s="133"/>
      <c r="Q2712" s="133"/>
      <c r="R2712" s="133"/>
      <c r="S2712" s="133"/>
      <c r="T2712" s="133"/>
      <c r="U2712" s="133"/>
      <c r="V2712" s="133"/>
      <c r="W2712" s="133"/>
      <c r="X2712" s="133"/>
      <c r="Y2712" s="133"/>
      <c r="Z2712" s="133"/>
    </row>
    <row r="2713">
      <c r="A2713" s="133"/>
      <c r="B2713" s="133"/>
      <c r="C2713" s="133" t="str">
        <f>IFERROR(__xludf.DUMMYFUNCTION("""COMPUTED_VALUE"""),"2025-494390")</f>
        <v>2025-494390</v>
      </c>
      <c r="D2713" s="133"/>
      <c r="E2713" s="133" t="str">
        <f>IFERROR(__xludf.DUMMYFUNCTION("""COMPUTED_VALUE"""),"مكتمل ")</f>
        <v>مكتمل </v>
      </c>
      <c r="F2713" s="133" t="str">
        <f>IFERROR(__xludf.DUMMYFUNCTION("""COMPUTED_VALUE"""),"Forza Active VetDiet Dermo Dog - Can - gr 390")</f>
        <v>Forza Active VetDiet Dermo Dog - Can - gr 390</v>
      </c>
      <c r="G2713" s="133"/>
      <c r="H2713" s="133"/>
      <c r="I2713" s="133"/>
      <c r="J2713" s="133"/>
      <c r="K2713" s="133"/>
      <c r="L2713" s="133"/>
      <c r="M2713" s="133"/>
      <c r="N2713" s="133"/>
      <c r="O2713" s="133"/>
      <c r="P2713" s="133"/>
      <c r="Q2713" s="133"/>
      <c r="R2713" s="133"/>
      <c r="S2713" s="133"/>
      <c r="T2713" s="133"/>
      <c r="U2713" s="133"/>
      <c r="V2713" s="133"/>
      <c r="W2713" s="133"/>
      <c r="X2713" s="133"/>
      <c r="Y2713" s="133"/>
      <c r="Z2713" s="133"/>
    </row>
    <row r="2714">
      <c r="A2714" s="133"/>
      <c r="B2714" s="133" t="str">
        <f>IFERROR(__xludf.DUMMYFUNCTION("""COMPUTED_VALUE"""),"إرفاق بطاقة التعبئة للمنتج في بلد الإنتاج *** اسم المنتج في شهادة حرية البيع مختلف عن اسم المنتج المراد تسجيله
")</f>
        <v>إرفاق بطاقة التعبئة للمنتج في بلد الإنتاج *** اسم المنتج في شهادة حرية البيع مختلف عن اسم المنتج المراد تسجيله
</v>
      </c>
      <c r="C2714" s="133" t="str">
        <f>IFERROR(__xludf.DUMMYFUNCTION("""COMPUTED_VALUE"""),"2025-496592")</f>
        <v>2025-496592</v>
      </c>
      <c r="D2714" s="133"/>
      <c r="E2714" s="133" t="str">
        <f>IFERROR(__xludf.DUMMYFUNCTION("""COMPUTED_VALUE"""),"عاد لمقدم الطلب ")</f>
        <v>عاد لمقدم الطلب </v>
      </c>
      <c r="F2714" s="133" t="str">
        <f>IFERROR(__xludf.DUMMYFUNCTION("""COMPUTED_VALUE"""),"Encore Cat Treat Tuna Freeze Dried")</f>
        <v>Encore Cat Treat Tuna Freeze Dried</v>
      </c>
      <c r="G2714" s="133"/>
      <c r="H2714" s="133"/>
      <c r="I2714" s="133"/>
      <c r="J2714" s="133"/>
      <c r="K2714" s="133"/>
      <c r="L2714" s="133"/>
      <c r="M2714" s="133"/>
      <c r="N2714" s="133"/>
      <c r="O2714" s="133"/>
      <c r="P2714" s="133"/>
      <c r="Q2714" s="133"/>
      <c r="R2714" s="133"/>
      <c r="S2714" s="133"/>
      <c r="T2714" s="133"/>
      <c r="U2714" s="133"/>
      <c r="V2714" s="133"/>
      <c r="W2714" s="133"/>
      <c r="X2714" s="133"/>
      <c r="Y2714" s="133"/>
      <c r="Z2714" s="133"/>
    </row>
    <row r="2715">
      <c r="A2715" s="133"/>
      <c r="B2715" s="133" t="str">
        <f>IFERROR(__xludf.DUMMYFUNCTION("""COMPUTED_VALUE"""),"إرفاق بطاقة التعبئة للمنتج في بلد الإنتاج *** بلد المنشأ للمنتج في النظام الالكتروني (معلومات المصنع) هي (تايلند) بينما في بيان مكونات المنتج هي (اندونيسيا)")</f>
        <v>إرفاق بطاقة التعبئة للمنتج في بلد الإنتاج *** بلد المنشأ للمنتج في النظام الالكتروني (معلومات المصنع) هي (تايلند) بينما في بيان مكونات المنتج هي (اندونيسيا)</v>
      </c>
      <c r="C2715" s="133" t="str">
        <f>IFERROR(__xludf.DUMMYFUNCTION("""COMPUTED_VALUE"""),"2025-496742")</f>
        <v>2025-496742</v>
      </c>
      <c r="D2715" s="133"/>
      <c r="E2715" s="133" t="str">
        <f>IFERROR(__xludf.DUMMYFUNCTION("""COMPUTED_VALUE"""),"عاد لمقدم الطلب ")</f>
        <v>عاد لمقدم الطلب </v>
      </c>
      <c r="F2715" s="133" t="str">
        <f>IFERROR(__xludf.DUMMYFUNCTION("""COMPUTED_VALUE"""),"Encore Cat Treat Chicken Freeze Dried")</f>
        <v>Encore Cat Treat Chicken Freeze Dried</v>
      </c>
      <c r="G2715" s="133"/>
      <c r="H2715" s="133"/>
      <c r="I2715" s="133"/>
      <c r="J2715" s="133"/>
      <c r="K2715" s="133"/>
      <c r="L2715" s="133"/>
      <c r="M2715" s="133"/>
      <c r="N2715" s="133"/>
      <c r="O2715" s="133"/>
      <c r="P2715" s="133"/>
      <c r="Q2715" s="133"/>
      <c r="R2715" s="133"/>
      <c r="S2715" s="133"/>
      <c r="T2715" s="133"/>
      <c r="U2715" s="133"/>
      <c r="V2715" s="133"/>
      <c r="W2715" s="133"/>
      <c r="X2715" s="133"/>
      <c r="Y2715" s="133"/>
      <c r="Z2715" s="133"/>
    </row>
    <row r="2716">
      <c r="A2716" s="133"/>
      <c r="B2716" s="133" t="str">
        <f>IFERROR(__xludf.DUMMYFUNCTION("""COMPUTED_VALUE"""),"فضلا مراجعة إدارة تصنيف المنتجات *** في حال تم تصنيف المنتج علفي *** فضلا إرفاق قرار التصنيف في المستندات و الملاحظات لتتم عملية إكمال التسجيل")</f>
        <v>فضلا مراجعة إدارة تصنيف المنتجات *** في حال تم تصنيف المنتج علفي *** فضلا إرفاق قرار التصنيف في المستندات و الملاحظات لتتم عملية إكمال التسجيل</v>
      </c>
      <c r="C2716" s="133" t="str">
        <f>IFERROR(__xludf.DUMMYFUNCTION("""COMPUTED_VALUE"""),"2025-500988")</f>
        <v>2025-500988</v>
      </c>
      <c r="D2716" s="133"/>
      <c r="E2716" s="133" t="str">
        <f>IFERROR(__xludf.DUMMYFUNCTION("""COMPUTED_VALUE"""),"عاد لمقدم الطلب ")</f>
        <v>عاد لمقدم الطلب </v>
      </c>
      <c r="F2716" s="133" t="str">
        <f>IFERROR(__xludf.DUMMYFUNCTION("""COMPUTED_VALUE"""),"Selected Meat Sensitive")</f>
        <v>Selected Meat Sensitive</v>
      </c>
      <c r="G2716" s="133"/>
      <c r="H2716" s="133"/>
      <c r="I2716" s="133"/>
      <c r="J2716" s="133"/>
      <c r="K2716" s="133"/>
      <c r="L2716" s="133" t="str">
        <f>IFERROR(__xludf.DUMMYFUNCTION("""COMPUTED_VALUE"""),"فضلا مراجعة إدارة تصنيف المنتجات *** في حال تم تصنيف المنتج علفي *** فضلا إرفاق قرار التصنيف في المستندات و الملاحظات لتتم عملية إكمال التسجيل")</f>
        <v>فضلا مراجعة إدارة تصنيف المنتجات *** في حال تم تصنيف المنتج علفي *** فضلا إرفاق قرار التصنيف في المستندات و الملاحظات لتتم عملية إكمال التسجيل</v>
      </c>
      <c r="M2716" s="133"/>
      <c r="N2716" s="133"/>
      <c r="O2716" s="133"/>
      <c r="P2716" s="133"/>
      <c r="Q2716" s="133"/>
      <c r="R2716" s="133"/>
      <c r="S2716" s="133"/>
      <c r="T2716" s="133"/>
      <c r="U2716" s="133"/>
      <c r="V2716" s="133"/>
      <c r="W2716" s="133"/>
      <c r="X2716" s="133"/>
      <c r="Y2716" s="133"/>
      <c r="Z2716" s="133"/>
    </row>
    <row r="2717">
      <c r="A2717" s="133"/>
      <c r="B2717" s="133" t="str">
        <f>IFERROR(__xludf.DUMMYFUNCTION("""COMPUTED_VALUE"""),"فضلا مراجعة إدارة تصنيف المنتجات *** في حال تم تصنيف المنتج علفي *** فضلا إرفاق قرار التصنيف في المستندات و الملاحظات لتتم عملية إكمال التسجيل")</f>
        <v>فضلا مراجعة إدارة تصنيف المنتجات *** في حال تم تصنيف المنتج علفي *** فضلا إرفاق قرار التصنيف في المستندات و الملاحظات لتتم عملية إكمال التسجيل</v>
      </c>
      <c r="C2717" s="133" t="str">
        <f>IFERROR(__xludf.DUMMYFUNCTION("""COMPUTED_VALUE"""),"2025-501096")</f>
        <v>2025-501096</v>
      </c>
      <c r="D2717" s="133"/>
      <c r="E2717" s="133" t="str">
        <f>IFERROR(__xludf.DUMMYFUNCTION("""COMPUTED_VALUE"""),"عاد لمقدم الطلب ")</f>
        <v>عاد لمقدم الطلب </v>
      </c>
      <c r="F2717" s="133" t="str">
        <f>IFERROR(__xludf.DUMMYFUNCTION("""COMPUTED_VALUE"""),"Selected Meat Sensible Chicken")</f>
        <v>Selected Meat Sensible Chicken</v>
      </c>
      <c r="G2717" s="133"/>
      <c r="H2717" s="133"/>
      <c r="I2717" s="133"/>
      <c r="J2717" s="133"/>
      <c r="K2717" s="133"/>
      <c r="L2717" s="133" t="str">
        <f>IFERROR(__xludf.DUMMYFUNCTION("""COMPUTED_VALUE"""),"فضلا مراجعة إدارة تصنيف المنتجات *** في حال تم تصنيف المنتج علفي *** فضلا إرفاق قرار التصنيف في المستندات و الملاحظات لتتم عملية إكمال التسجيل")</f>
        <v>فضلا مراجعة إدارة تصنيف المنتجات *** في حال تم تصنيف المنتج علفي *** فضلا إرفاق قرار التصنيف في المستندات و الملاحظات لتتم عملية إكمال التسجيل</v>
      </c>
      <c r="M2717" s="133"/>
      <c r="N2717" s="133"/>
      <c r="O2717" s="133"/>
      <c r="P2717" s="133"/>
      <c r="Q2717" s="133"/>
      <c r="R2717" s="133"/>
      <c r="S2717" s="133"/>
      <c r="T2717" s="133"/>
      <c r="U2717" s="133"/>
      <c r="V2717" s="133"/>
      <c r="W2717" s="133"/>
      <c r="X2717" s="133"/>
      <c r="Y2717" s="133"/>
      <c r="Z2717" s="133"/>
    </row>
    <row r="2718">
      <c r="A2718" s="133"/>
      <c r="B2718" s="133" t="str">
        <f>IFERROR(__xludf.DUMMYFUNCTION("""COMPUTED_VALUE"""),"فضلا مراجعة إدارة تصنيف المنتجات *** في حال تم تصنيف المنتج علفي *** فضلا إرفاق قرار التصنيف في المستندات و الملاحظات لتتم عملية إكمال التسجيل")</f>
        <v>فضلا مراجعة إدارة تصنيف المنتجات *** في حال تم تصنيف المنتج علفي *** فضلا إرفاق قرار التصنيف في المستندات و الملاحظات لتتم عملية إكمال التسجيل</v>
      </c>
      <c r="C2718" s="133" t="str">
        <f>IFERROR(__xludf.DUMMYFUNCTION("""COMPUTED_VALUE"""),"2025-501354")</f>
        <v>2025-501354</v>
      </c>
      <c r="D2718" s="133"/>
      <c r="E2718" s="133" t="str">
        <f>IFERROR(__xludf.DUMMYFUNCTION("""COMPUTED_VALUE"""),"عاد لمقدم الطلب ")</f>
        <v>عاد لمقدم الطلب </v>
      </c>
      <c r="F2718" s="133" t="str">
        <f>IFERROR(__xludf.DUMMYFUNCTION("""COMPUTED_VALUE"""),"Selected Meat Sensible Beef")</f>
        <v>Selected Meat Sensible Beef</v>
      </c>
      <c r="G2718" s="133"/>
      <c r="H2718" s="133"/>
      <c r="I2718" s="133"/>
      <c r="J2718" s="133"/>
      <c r="K2718" s="133"/>
      <c r="L2718" s="133" t="str">
        <f>IFERROR(__xludf.DUMMYFUNCTION("""COMPUTED_VALUE"""),"فضلا مراجعة إدارة تصنيف المنتجات *** في حال تم تصنيف المنتج علفي *** فضلا إرفاق قرار التصنيف في المستندات و الملاحظات لتتم عملية إكمال التسجيل")</f>
        <v>فضلا مراجعة إدارة تصنيف المنتجات *** في حال تم تصنيف المنتج علفي *** فضلا إرفاق قرار التصنيف في المستندات و الملاحظات لتتم عملية إكمال التسجيل</v>
      </c>
      <c r="M2718" s="133"/>
      <c r="N2718" s="133"/>
      <c r="O2718" s="133"/>
      <c r="P2718" s="133"/>
      <c r="Q2718" s="133"/>
      <c r="R2718" s="133"/>
      <c r="S2718" s="133"/>
      <c r="T2718" s="133"/>
      <c r="U2718" s="133"/>
      <c r="V2718" s="133"/>
      <c r="W2718" s="133"/>
      <c r="X2718" s="133"/>
      <c r="Y2718" s="133"/>
      <c r="Z2718" s="133"/>
    </row>
    <row r="2719">
      <c r="A2719" s="133"/>
      <c r="B2719" s="133" t="str">
        <f>IFERROR(__xludf.DUMMYFUNCTION("""COMPUTED_VALUE"""),"فضلا مراجعة إدارة تصنيف المنتجات *** في حال تم تصنيف المنتج علفي *** فضلا إرفاق قرار التصنيف في المستندات و الملاحظات لتتم عملية إكمال التسجيل")</f>
        <v>فضلا مراجعة إدارة تصنيف المنتجات *** في حال تم تصنيف المنتج علفي *** فضلا إرفاق قرار التصنيف في المستندات و الملاحظات لتتم عملية إكمال التسجيل</v>
      </c>
      <c r="C2719" s="133" t="str">
        <f>IFERROR(__xludf.DUMMYFUNCTION("""COMPUTED_VALUE"""),"2025-501391")</f>
        <v>2025-501391</v>
      </c>
      <c r="D2719" s="133"/>
      <c r="E2719" s="133" t="str">
        <f>IFERROR(__xludf.DUMMYFUNCTION("""COMPUTED_VALUE"""),"عاد لمقدم الطلب ")</f>
        <v>عاد لمقدم الطلب </v>
      </c>
      <c r="F2719" s="133" t="str">
        <f>IFERROR(__xludf.DUMMYFUNCTION("""COMPUTED_VALUE"""),"Selected Meat Intestinal")</f>
        <v>Selected Meat Intestinal</v>
      </c>
      <c r="G2719" s="133"/>
      <c r="H2719" s="133"/>
      <c r="I2719" s="133"/>
      <c r="J2719" s="133"/>
      <c r="K2719" s="133"/>
      <c r="L2719" s="133" t="str">
        <f>IFERROR(__xludf.DUMMYFUNCTION("""COMPUTED_VALUE"""),"فضلا مراجعة إدارة تصنيف المنتجات *** في حال تم تصنيف المنتج علفي *** فضلا إرفاق قرار التصنيف في المستندات و الملاحظات لتتم عملية إكمال التسجيل")</f>
        <v>فضلا مراجعة إدارة تصنيف المنتجات *** في حال تم تصنيف المنتج علفي *** فضلا إرفاق قرار التصنيف في المستندات و الملاحظات لتتم عملية إكمال التسجيل</v>
      </c>
      <c r="M2719" s="133"/>
      <c r="N2719" s="133"/>
      <c r="O2719" s="133"/>
      <c r="P2719" s="133"/>
      <c r="Q2719" s="133"/>
      <c r="R2719" s="133"/>
      <c r="S2719" s="133"/>
      <c r="T2719" s="133"/>
      <c r="U2719" s="133"/>
      <c r="V2719" s="133"/>
      <c r="W2719" s="133"/>
      <c r="X2719" s="133"/>
      <c r="Y2719" s="133"/>
      <c r="Z2719" s="133"/>
    </row>
    <row r="2720">
      <c r="A2720" s="133"/>
      <c r="B2720" s="133" t="str">
        <f>IFERROR(__xludf.DUMMYFUNCTION("""COMPUTED_VALUE"""),"المكون (potassium citrate) ليس من المدخلات العلفية ")</f>
        <v>المكون (potassium citrate) ليس من المدخلات العلفية </v>
      </c>
      <c r="C2720" s="133" t="str">
        <f>IFERROR(__xludf.DUMMYFUNCTION("""COMPUTED_VALUE"""),"2025-501467")</f>
        <v>2025-501467</v>
      </c>
      <c r="D2720" s="133"/>
      <c r="E2720" s="133" t="str">
        <f>IFERROR(__xludf.DUMMYFUNCTION("""COMPUTED_VALUE"""),"مرفوض ")</f>
        <v>مرفوض </v>
      </c>
      <c r="F2720" s="133" t="str">
        <f>IFERROR(__xludf.DUMMYFUNCTION("""COMPUTED_VALUE"""),"Kidney Diet")</f>
        <v>Kidney Diet</v>
      </c>
      <c r="G2720" s="133"/>
      <c r="H2720" s="133"/>
      <c r="I2720" s="133"/>
      <c r="J2720" s="133"/>
      <c r="K2720" s="133"/>
      <c r="L2720" s="133" t="str">
        <f>IFERROR(__xludf.DUMMYFUNCTION("""COMPUTED_VALUE"""),"المكون (potassium citrate) ليس من المدخلات العلفية ")</f>
        <v>المكون (potassium citrate) ليس من المدخلات العلفية </v>
      </c>
      <c r="M2720" s="133"/>
      <c r="N2720" s="133"/>
      <c r="O2720" s="133"/>
      <c r="P2720" s="133"/>
      <c r="Q2720" s="133"/>
      <c r="R2720" s="133"/>
      <c r="S2720" s="133"/>
      <c r="T2720" s="133"/>
      <c r="U2720" s="133"/>
      <c r="V2720" s="133"/>
      <c r="W2720" s="133"/>
      <c r="X2720" s="133"/>
      <c r="Y2720" s="133"/>
      <c r="Z2720" s="133"/>
    </row>
    <row r="2721">
      <c r="A2721" s="133"/>
      <c r="B2721" s="133" t="str">
        <f>IFERROR(__xludf.DUMMYFUNCTION("""COMPUTED_VALUE"""),"المكون (potassium citrate) ليس من المدخلات العلفية ")</f>
        <v>المكون (potassium citrate) ليس من المدخلات العلفية </v>
      </c>
      <c r="C2721" s="133" t="str">
        <f>IFERROR(__xludf.DUMMYFUNCTION("""COMPUTED_VALUE"""),"2025-501641")</f>
        <v>2025-501641</v>
      </c>
      <c r="D2721" s="133"/>
      <c r="E2721" s="133" t="str">
        <f>IFERROR(__xludf.DUMMYFUNCTION("""COMPUTED_VALUE"""),"مرفوض ")</f>
        <v>مرفوض </v>
      </c>
      <c r="F2721" s="133" t="str">
        <f>IFERROR(__xludf.DUMMYFUNCTION("""COMPUTED_VALUE"""),"Intestinal Diet 200g")</f>
        <v>Intestinal Diet 200g</v>
      </c>
      <c r="G2721" s="133"/>
      <c r="H2721" s="133"/>
      <c r="I2721" s="133"/>
      <c r="J2721" s="133"/>
      <c r="K2721" s="133"/>
      <c r="L2721" s="133" t="str">
        <f>IFERROR(__xludf.DUMMYFUNCTION("""COMPUTED_VALUE"""),"المكون (potassium citrate) ليس من المدخلات العلفية ")</f>
        <v>المكون (potassium citrate) ليس من المدخلات العلفية </v>
      </c>
      <c r="M2721" s="133"/>
      <c r="N2721" s="133"/>
      <c r="O2721" s="133"/>
      <c r="P2721" s="133"/>
      <c r="Q2721" s="133"/>
      <c r="R2721" s="133"/>
      <c r="S2721" s="133"/>
      <c r="T2721" s="133"/>
      <c r="U2721" s="133"/>
      <c r="V2721" s="133"/>
      <c r="W2721" s="133"/>
      <c r="X2721" s="133"/>
      <c r="Y2721" s="133"/>
      <c r="Z2721" s="133"/>
    </row>
    <row r="2722">
      <c r="A2722" s="133"/>
      <c r="B2722" s="133" t="str">
        <f>IFERROR(__xludf.DUMMYFUNCTION("""COMPUTED_VALUE"""),"المكون (potassium citrate) ليس من المدخلات العلفية ")</f>
        <v>المكون (potassium citrate) ليس من المدخلات العلفية </v>
      </c>
      <c r="C2722" s="133" t="str">
        <f>IFERROR(__xludf.DUMMYFUNCTION("""COMPUTED_VALUE"""),"2025-501672")</f>
        <v>2025-501672</v>
      </c>
      <c r="D2722" s="133"/>
      <c r="E2722" s="133" t="str">
        <f>IFERROR(__xludf.DUMMYFUNCTION("""COMPUTED_VALUE"""),"مرفوض ")</f>
        <v>مرفوض </v>
      </c>
      <c r="F2722" s="133" t="str">
        <f>IFERROR(__xludf.DUMMYFUNCTION("""COMPUTED_VALUE"""),"Hypoallergen Diet")</f>
        <v>Hypoallergen Diet</v>
      </c>
      <c r="G2722" s="133"/>
      <c r="H2722" s="133"/>
      <c r="I2722" s="133"/>
      <c r="J2722" s="133"/>
      <c r="K2722" s="133"/>
      <c r="L2722" s="133" t="str">
        <f>IFERROR(__xludf.DUMMYFUNCTION("""COMPUTED_VALUE"""),"المكون (potassium citrate) ليس من المدخلات العلفية ")</f>
        <v>المكون (potassium citrate) ليس من المدخلات العلفية </v>
      </c>
      <c r="M2722" s="133"/>
      <c r="N2722" s="133"/>
      <c r="O2722" s="133"/>
      <c r="P2722" s="133"/>
      <c r="Q2722" s="133"/>
      <c r="R2722" s="133"/>
      <c r="S2722" s="133"/>
      <c r="T2722" s="133"/>
      <c r="U2722" s="133"/>
      <c r="V2722" s="133"/>
      <c r="W2722" s="133"/>
      <c r="X2722" s="133"/>
      <c r="Y2722" s="133"/>
      <c r="Z2722" s="133"/>
    </row>
    <row r="2723">
      <c r="A2723" s="133"/>
      <c r="B2723" s="133" t="str">
        <f>IFERROR(__xludf.DUMMYFUNCTION("""COMPUTED_VALUE"""),"المكون (potassium citrate) ليس من المدخلات العلفية ")</f>
        <v>المكون (potassium citrate) ليس من المدخلات العلفية </v>
      </c>
      <c r="C2723" s="133" t="str">
        <f>IFERROR(__xludf.DUMMYFUNCTION("""COMPUTED_VALUE"""),"2025-501686")</f>
        <v>2025-501686</v>
      </c>
      <c r="D2723" s="133"/>
      <c r="E2723" s="133" t="str">
        <f>IFERROR(__xludf.DUMMYFUNCTION("""COMPUTED_VALUE"""),"مرفوض ")</f>
        <v>مرفوض </v>
      </c>
      <c r="F2723" s="133" t="str">
        <f>IFERROR(__xludf.DUMMYFUNCTION("""COMPUTED_VALUE"""),"Anti Struvit Diet")</f>
        <v>Anti Struvit Diet</v>
      </c>
      <c r="G2723" s="133"/>
      <c r="H2723" s="133"/>
      <c r="I2723" s="133"/>
      <c r="J2723" s="133"/>
      <c r="K2723" s="133"/>
      <c r="L2723" s="133" t="str">
        <f>IFERROR(__xludf.DUMMYFUNCTION("""COMPUTED_VALUE"""),"المكون (potassium citrate) ليس من المدخلات العلفية ")</f>
        <v>المكون (potassium citrate) ليس من المدخلات العلفية </v>
      </c>
      <c r="M2723" s="133"/>
      <c r="N2723" s="133"/>
      <c r="O2723" s="133"/>
      <c r="P2723" s="133"/>
      <c r="Q2723" s="133"/>
      <c r="R2723" s="133"/>
      <c r="S2723" s="133"/>
      <c r="T2723" s="133"/>
      <c r="U2723" s="133"/>
      <c r="V2723" s="133"/>
      <c r="W2723" s="133"/>
      <c r="X2723" s="133"/>
      <c r="Y2723" s="133"/>
      <c r="Z2723" s="133"/>
    </row>
    <row r="2724">
      <c r="A2724" s="133"/>
      <c r="B2724" s="133" t="str">
        <f>IFERROR(__xludf.DUMMYFUNCTION("""COMPUTED_VALUE"""),"pork (heart, meat, liver,lung) يحتوي على لحم خنزير وكبد وقلب ورئة")</f>
        <v>pork (heart, meat, liver,lung) يحتوي على لحم خنزير وكبد وقلب ورئة</v>
      </c>
      <c r="C2724" s="133" t="str">
        <f>IFERROR(__xludf.DUMMYFUNCTION("""COMPUTED_VALUE"""),"2025-510668")</f>
        <v>2025-510668</v>
      </c>
      <c r="D2724" s="133"/>
      <c r="E2724" s="133" t="str">
        <f>IFERROR(__xludf.DUMMYFUNCTION("""COMPUTED_VALUE"""),"مرفوض ")</f>
        <v>مرفوض </v>
      </c>
      <c r="F2724" s="133" t="str">
        <f>IFERROR(__xludf.DUMMYFUNCTION("""COMPUTED_VALUE"""),"Selected Meat Lamb &amp; Apple")</f>
        <v>Selected Meat Lamb &amp; Apple</v>
      </c>
      <c r="G2724" s="133"/>
      <c r="H2724" s="133"/>
      <c r="I2724" s="133"/>
      <c r="J2724" s="133"/>
      <c r="K2724" s="133"/>
      <c r="L2724" s="133"/>
      <c r="M2724" s="133"/>
      <c r="N2724" s="133"/>
      <c r="O2724" s="133"/>
      <c r="P2724" s="133"/>
      <c r="Q2724" s="133"/>
      <c r="R2724" s="133"/>
      <c r="S2724" s="133"/>
      <c r="T2724" s="133"/>
      <c r="U2724" s="133"/>
      <c r="V2724" s="133"/>
      <c r="W2724" s="133"/>
      <c r="X2724" s="133"/>
      <c r="Y2724" s="133"/>
      <c r="Z2724" s="133"/>
    </row>
    <row r="2725">
      <c r="A2725" s="133"/>
      <c r="B2725" s="133"/>
      <c r="C2725" s="133" t="str">
        <f>IFERROR(__xludf.DUMMYFUNCTION("""COMPUTED_VALUE"""),"2025-511073")</f>
        <v>2025-511073</v>
      </c>
      <c r="D2725" s="133" t="str">
        <f>IFERROR(__xludf.DUMMYFUNCTION("""COMPUTED_VALUE"""),"482368KSA")</f>
        <v>482368KSA</v>
      </c>
      <c r="E2725" s="133" t="str">
        <f>IFERROR(__xludf.DUMMYFUNCTION("""COMPUTED_VALUE"""),"تحت الاجراء ")</f>
        <v>تحت الاجراء </v>
      </c>
      <c r="F2725" s="133" t="str">
        <f>IFERROR(__xludf.DUMMYFUNCTION("""COMPUTED_VALUE"""),"Zolux CREAMY TREAT DOG - CHICKEN X3 - DUCK X2 - CHICKEN SALMON X2")</f>
        <v>Zolux CREAMY TREAT DOG - CHICKEN X3 - DUCK X2 - CHICKEN SALMON X2</v>
      </c>
      <c r="G2725" s="133"/>
      <c r="H2725" s="133"/>
      <c r="I2725" s="133"/>
      <c r="J2725" s="133"/>
      <c r="K2725" s="133"/>
      <c r="L2725" s="133"/>
      <c r="M2725" s="133"/>
      <c r="N2725" s="133"/>
      <c r="O2725" s="133"/>
      <c r="P2725" s="133"/>
      <c r="Q2725" s="133"/>
      <c r="R2725" s="133"/>
      <c r="S2725" s="133"/>
      <c r="T2725" s="133"/>
      <c r="U2725" s="133"/>
      <c r="V2725" s="133"/>
      <c r="W2725" s="133"/>
      <c r="X2725" s="133"/>
      <c r="Y2725" s="133"/>
      <c r="Z2725" s="133"/>
    </row>
    <row r="2726">
      <c r="A2726" s="133"/>
      <c r="B2726" s="133"/>
      <c r="C2726" s="133" t="str">
        <f>IFERROR(__xludf.DUMMYFUNCTION("""COMPUTED_VALUE"""),"2025-511154")</f>
        <v>2025-511154</v>
      </c>
      <c r="D2726" s="133" t="str">
        <f>IFERROR(__xludf.DUMMYFUNCTION("""COMPUTED_VALUE"""),"582188KSA")</f>
        <v>582188KSA</v>
      </c>
      <c r="E2726" s="133" t="str">
        <f>IFERROR(__xludf.DUMMYFUNCTION("""COMPUTED_VALUE"""),"مكتمل ")</f>
        <v>مكتمل </v>
      </c>
      <c r="F2726" s="133" t="str">
        <f>IFERROR(__xludf.DUMMYFUNCTION("""COMPUTED_VALUE"""),"Zolux CREAMY TREAT CAT - CHICKEN X3 - TUNASALMON X2 - TUNACRAB X2")</f>
        <v>Zolux CREAMY TREAT CAT - CHICKEN X3 - TUNASALMON X2 - TUNACRAB X2</v>
      </c>
      <c r="G2726" s="133" t="str">
        <f>IFERROR(__xludf.DUMMYFUNCTION("""COMPUTED_VALUE"""),"زولكس كريم تريت للقطط - دجاج ×3 - تونة/سلمون ×2 - تونة/سلطعون ×2 
")</f>
        <v>زولكس كريم تريت للقطط - دجاج ×3 - تونة/سلمون ×2 - تونة/سلطعون ×2 
</v>
      </c>
      <c r="H2726" s="133" t="str">
        <f>IFERROR(__xludf.DUMMYFUNCTION("""COMPUTED_VALUE"""),"FEM-25-7482-FEP-2025-7712-C-22548-5378
")</f>
        <v>FEM-25-7482-FEP-2025-7712-C-22548-5378
</v>
      </c>
      <c r="I2726" s="133"/>
      <c r="J2726" s="133"/>
      <c r="K2726" s="133"/>
      <c r="L2726" s="133"/>
      <c r="M2726" s="133"/>
      <c r="N2726" s="133"/>
      <c r="O2726" s="133"/>
      <c r="P2726" s="133"/>
      <c r="Q2726" s="133"/>
      <c r="R2726" s="133"/>
      <c r="S2726" s="133"/>
      <c r="T2726" s="133"/>
      <c r="U2726" s="133"/>
      <c r="V2726" s="133"/>
      <c r="W2726" s="133"/>
      <c r="X2726" s="133"/>
      <c r="Y2726" s="133"/>
      <c r="Z2726" s="133"/>
    </row>
    <row r="2727">
      <c r="A2727" s="133"/>
      <c r="B2727" s="133"/>
      <c r="C2727" s="133" t="str">
        <f>IFERROR(__xludf.DUMMYFUNCTION("""COMPUTED_VALUE"""),"2025-511213")</f>
        <v>2025-511213</v>
      </c>
      <c r="D2727" s="133" t="str">
        <f>IFERROR(__xludf.DUMMYFUNCTION("""COMPUTED_VALUE"""),"582189KSA")</f>
        <v>582189KSA</v>
      </c>
      <c r="E2727" s="133" t="str">
        <f>IFERROR(__xludf.DUMMYFUNCTION("""COMPUTED_VALUE"""),"مكتمل ")</f>
        <v>مكتمل </v>
      </c>
      <c r="F2727" s="133" t="str">
        <f>IFERROR(__xludf.DUMMYFUNCTION("""COMPUTED_VALUE"""),"CREAMY TREAT CAT- CHICKENCRAB X3 - TUNA X2 - TUNASHRIMP X2")</f>
        <v>CREAMY TREAT CAT- CHICKENCRAB X3 - TUNA X2 - TUNASHRIMP X2</v>
      </c>
      <c r="G2727" s="133"/>
      <c r="H2727" s="133" t="str">
        <f>IFERROR(__xludf.DUMMYFUNCTION("""COMPUTED_VALUE"""),"FEM-25-7488-FEP-2025-7713-C-22548-4877
")</f>
        <v>FEM-25-7488-FEP-2025-7713-C-22548-4877
</v>
      </c>
      <c r="I2727" s="133"/>
      <c r="J2727" s="133"/>
      <c r="K2727" s="133"/>
      <c r="L2727" s="133"/>
      <c r="M2727" s="133"/>
      <c r="N2727" s="133"/>
      <c r="O2727" s="133"/>
      <c r="P2727" s="133"/>
      <c r="Q2727" s="133"/>
      <c r="R2727" s="133"/>
      <c r="S2727" s="133"/>
      <c r="T2727" s="133"/>
      <c r="U2727" s="133"/>
      <c r="V2727" s="133"/>
      <c r="W2727" s="133"/>
      <c r="X2727" s="133"/>
      <c r="Y2727" s="133"/>
      <c r="Z2727" s="133"/>
    </row>
    <row r="2728">
      <c r="A2728" s="133"/>
      <c r="B2728" s="133"/>
      <c r="C2728" s="133" t="str">
        <f>IFERROR(__xludf.DUMMYFUNCTION("""COMPUTED_VALUE"""),"2025-511304")</f>
        <v>2025-511304</v>
      </c>
      <c r="D2728" s="133" t="str">
        <f>IFERROR(__xludf.DUMMYFUNCTION("""COMPUTED_VALUE"""),"582196KSA")</f>
        <v>582196KSA</v>
      </c>
      <c r="E2728" s="133" t="str">
        <f>IFERROR(__xludf.DUMMYFUNCTION("""COMPUTED_VALUE"""),"مكتمل ")</f>
        <v>مكتمل </v>
      </c>
      <c r="F2728" s="133" t="str">
        <f>IFERROR(__xludf.DUMMYFUNCTION("""COMPUTED_VALUE"""),"Zolux CREAMY TREAT CAT - TUNA/CRAB X7")</f>
        <v>Zolux CREAMY TREAT CAT - TUNA/CRAB X7</v>
      </c>
      <c r="G2728" s="133"/>
      <c r="H2728" s="133" t="str">
        <f>IFERROR(__xludf.DUMMYFUNCTION("""COMPUTED_VALUE"""),"FEM-25-7504-FEP-2025-7715-C-22548-4880
")</f>
        <v>FEM-25-7504-FEP-2025-7715-C-22548-4880
</v>
      </c>
      <c r="I2728" s="133"/>
      <c r="J2728" s="133"/>
      <c r="K2728" s="133"/>
      <c r="L2728" s="133"/>
      <c r="M2728" s="133"/>
      <c r="N2728" s="133"/>
      <c r="O2728" s="133"/>
      <c r="P2728" s="133"/>
      <c r="Q2728" s="133"/>
      <c r="R2728" s="133"/>
      <c r="S2728" s="133"/>
      <c r="T2728" s="133"/>
      <c r="U2728" s="133"/>
      <c r="V2728" s="133"/>
      <c r="W2728" s="133"/>
      <c r="X2728" s="133"/>
      <c r="Y2728" s="133"/>
      <c r="Z2728" s="133"/>
    </row>
    <row r="2729">
      <c r="A2729" s="133"/>
      <c r="B2729" s="133"/>
      <c r="C2729" s="133" t="str">
        <f>IFERROR(__xludf.DUMMYFUNCTION("""COMPUTED_VALUE"""),"2025-511311")</f>
        <v>2025-511311</v>
      </c>
      <c r="D2729" s="133" t="str">
        <f>IFERROR(__xludf.DUMMYFUNCTION("""COMPUTED_VALUE"""),"582197KSA")</f>
        <v>582197KSA</v>
      </c>
      <c r="E2729" s="133" t="str">
        <f>IFERROR(__xludf.DUMMYFUNCTION("""COMPUTED_VALUE"""),"مكتمل ")</f>
        <v>مكتمل </v>
      </c>
      <c r="F2729" s="133" t="str">
        <f>IFERROR(__xludf.DUMMYFUNCTION("""COMPUTED_VALUE"""),"CREAMY TREAT CAT- CHICKEN/CRAB X7")</f>
        <v>CREAMY TREAT CAT- CHICKEN/CRAB X7</v>
      </c>
      <c r="G2729" s="133"/>
      <c r="H2729" s="133" t="str">
        <f>IFERROR(__xludf.DUMMYFUNCTION("""COMPUTED_VALUE"""),"FEM-25-7506-FEP-2025-7716-C-22548-4879
")</f>
        <v>FEM-25-7506-FEP-2025-7716-C-22548-4879
</v>
      </c>
      <c r="I2729" s="133"/>
      <c r="J2729" s="133"/>
      <c r="K2729" s="133"/>
      <c r="L2729" s="133"/>
      <c r="M2729" s="133"/>
      <c r="N2729" s="133"/>
      <c r="O2729" s="133"/>
      <c r="P2729" s="133"/>
      <c r="Q2729" s="133"/>
      <c r="R2729" s="133"/>
      <c r="S2729" s="133"/>
      <c r="T2729" s="133"/>
      <c r="U2729" s="133"/>
      <c r="V2729" s="133"/>
      <c r="W2729" s="133"/>
      <c r="X2729" s="133"/>
      <c r="Y2729" s="133"/>
      <c r="Z2729" s="133"/>
    </row>
    <row r="2730">
      <c r="A2730" s="133"/>
      <c r="B2730" s="133"/>
      <c r="C2730" s="133" t="str">
        <f>IFERROR(__xludf.DUMMYFUNCTION("""COMPUTED_VALUE"""),"2025-514798")</f>
        <v>2025-514798</v>
      </c>
      <c r="D2730" s="133" t="str">
        <f>IFERROR(__xludf.DUMMYFUNCTION("""COMPUTED_VALUE"""),"AH-4020")</f>
        <v>AH-4020</v>
      </c>
      <c r="E2730" s="133" t="str">
        <f>IFERROR(__xludf.DUMMYFUNCTION("""COMPUTED_VALUE"""),"مكتمل ")</f>
        <v>مكتمل </v>
      </c>
      <c r="F2730" s="133" t="str">
        <f>IFERROR(__xludf.DUMMYFUNCTION("""COMPUTED_VALUE"""),"Absolute Holistic Wild Tuna and Mountain Lobster")</f>
        <v>Absolute Holistic Wild Tuna and Mountain Lobster</v>
      </c>
      <c r="G2730" s="133"/>
      <c r="H2730" s="133" t="str">
        <f>IFERROR(__xludf.DUMMYFUNCTION("""COMPUTED_VALUE"""),"FEM-25-7531-FEP-2025-8450-C-22548-4883
")</f>
        <v>FEM-25-7531-FEP-2025-8450-C-22548-4883
</v>
      </c>
      <c r="I2730" s="133"/>
      <c r="J2730" s="133"/>
      <c r="K2730" s="133"/>
      <c r="L2730" s="133"/>
      <c r="M2730" s="133"/>
      <c r="N2730" s="133"/>
      <c r="O2730" s="133"/>
      <c r="P2730" s="133"/>
      <c r="Q2730" s="133"/>
      <c r="R2730" s="133"/>
      <c r="S2730" s="133"/>
      <c r="T2730" s="133"/>
      <c r="U2730" s="133"/>
      <c r="V2730" s="133"/>
      <c r="W2730" s="133"/>
      <c r="X2730" s="133"/>
      <c r="Y2730" s="133"/>
      <c r="Z2730" s="133"/>
    </row>
    <row r="2731">
      <c r="A2731" s="133"/>
      <c r="B2731" s="133"/>
      <c r="C2731" s="133" t="str">
        <f>IFERROR(__xludf.DUMMYFUNCTION("""COMPUTED_VALUE"""),"2025-515648")</f>
        <v>2025-515648</v>
      </c>
      <c r="D2731" s="133" t="str">
        <f>IFERROR(__xludf.DUMMYFUNCTION("""COMPUTED_VALUE"""),"AH-4037")</f>
        <v>AH-4037</v>
      </c>
      <c r="E2731" s="133" t="str">
        <f>IFERROR(__xludf.DUMMYFUNCTION("""COMPUTED_VALUE"""),"مكتمل ")</f>
        <v>مكتمل </v>
      </c>
      <c r="F2731" s="133" t="str">
        <f>IFERROR(__xludf.DUMMYFUNCTION("""COMPUTED_VALUE"""),"Absolute Holistic - Wild Tuna and King Salmon")</f>
        <v>Absolute Holistic - Wild Tuna and King Salmon</v>
      </c>
      <c r="G2731" s="133"/>
      <c r="H2731" s="133" t="str">
        <f>IFERROR(__xludf.DUMMYFUNCTION("""COMPUTED_VALUE"""),"FEM-25-7539-FEP-2025-8451-C-22548-4882
")</f>
        <v>FEM-25-7539-FEP-2025-8451-C-22548-4882
</v>
      </c>
      <c r="I2731" s="133"/>
      <c r="J2731" s="133"/>
      <c r="K2731" s="133"/>
      <c r="L2731" s="133"/>
      <c r="M2731" s="133"/>
      <c r="N2731" s="133"/>
      <c r="O2731" s="133"/>
      <c r="P2731" s="133"/>
      <c r="Q2731" s="133"/>
      <c r="R2731" s="133"/>
      <c r="S2731" s="133"/>
      <c r="T2731" s="133"/>
      <c r="U2731" s="133"/>
      <c r="V2731" s="133"/>
      <c r="W2731" s="133"/>
      <c r="X2731" s="133"/>
      <c r="Y2731" s="133"/>
      <c r="Z2731" s="133"/>
    </row>
    <row r="2732">
      <c r="A2732" s="133"/>
      <c r="B2732" s="133"/>
      <c r="C2732" s="133" t="str">
        <f>IFERROR(__xludf.DUMMYFUNCTION("""COMPUTED_VALUE"""),"2025-515678")</f>
        <v>2025-515678</v>
      </c>
      <c r="D2732" s="133" t="str">
        <f>IFERROR(__xludf.DUMMYFUNCTION("""COMPUTED_VALUE"""),"AH-4044")</f>
        <v>AH-4044</v>
      </c>
      <c r="E2732" s="133" t="str">
        <f>IFERROR(__xludf.DUMMYFUNCTION("""COMPUTED_VALUE"""),"مكتمل ")</f>
        <v>مكتمل </v>
      </c>
      <c r="F2732" s="133" t="str">
        <f>IFERROR(__xludf.DUMMYFUNCTION("""COMPUTED_VALUE"""),"Absolute Holistic Wild Tuna and Fish Roe")</f>
        <v>Absolute Holistic Wild Tuna and Fish Roe</v>
      </c>
      <c r="G2732" s="133"/>
      <c r="H2732" s="133" t="str">
        <f>IFERROR(__xludf.DUMMYFUNCTION("""COMPUTED_VALUE"""),"FEM-25-7542-FEP-2025-8449-C-22548-4881
")</f>
        <v>FEM-25-7542-FEP-2025-8449-C-22548-4881
</v>
      </c>
      <c r="I2732" s="133"/>
      <c r="J2732" s="133"/>
      <c r="K2732" s="133"/>
      <c r="L2732" s="133"/>
      <c r="M2732" s="133"/>
      <c r="N2732" s="133"/>
      <c r="O2732" s="133"/>
      <c r="P2732" s="133"/>
      <c r="Q2732" s="133"/>
      <c r="R2732" s="133"/>
      <c r="S2732" s="133"/>
      <c r="T2732" s="133"/>
      <c r="U2732" s="133"/>
      <c r="V2732" s="133"/>
      <c r="W2732" s="133"/>
      <c r="X2732" s="133"/>
      <c r="Y2732" s="133"/>
      <c r="Z2732" s="133"/>
    </row>
    <row r="2733">
      <c r="A2733" s="133"/>
      <c r="B2733" s="133"/>
      <c r="C2733" s="133" t="str">
        <f>IFERROR(__xludf.DUMMYFUNCTION("""COMPUTED_VALUE"""),"2025-515705")</f>
        <v>2025-515705</v>
      </c>
      <c r="D2733" s="133" t="str">
        <f>IFERROR(__xludf.DUMMYFUNCTION("""COMPUTED_VALUE"""),"AH-4051")</f>
        <v>AH-4051</v>
      </c>
      <c r="E2733" s="133" t="str">
        <f>IFERROR(__xludf.DUMMYFUNCTION("""COMPUTED_VALUE"""),"مكتمل ")</f>
        <v>مكتمل </v>
      </c>
      <c r="F2733" s="133" t="str">
        <f>IFERROR(__xludf.DUMMYFUNCTION("""COMPUTED_VALUE"""),"Absolute Holistic Chicken and Mountain Lobster")</f>
        <v>Absolute Holistic Chicken and Mountain Lobster</v>
      </c>
      <c r="G2733" s="133"/>
      <c r="H2733" s="133" t="str">
        <f>IFERROR(__xludf.DUMMYFUNCTION("""COMPUTED_VALUE"""),"FEM-25-7544-FEP-2025-7763-C-22548-4853
")</f>
        <v>FEM-25-7544-FEP-2025-7763-C-22548-4853
</v>
      </c>
      <c r="I2733" s="133"/>
      <c r="J2733" s="133"/>
      <c r="K2733" s="133"/>
      <c r="L2733" s="133"/>
      <c r="M2733" s="133"/>
      <c r="N2733" s="133"/>
      <c r="O2733" s="133"/>
      <c r="P2733" s="133"/>
      <c r="Q2733" s="133"/>
      <c r="R2733" s="133"/>
      <c r="S2733" s="133"/>
      <c r="T2733" s="133"/>
      <c r="U2733" s="133"/>
      <c r="V2733" s="133"/>
      <c r="W2733" s="133"/>
      <c r="X2733" s="133"/>
      <c r="Y2733" s="133"/>
      <c r="Z2733" s="133"/>
    </row>
    <row r="2734">
      <c r="A2734" s="133"/>
      <c r="B2734" s="133"/>
      <c r="C2734" s="133" t="str">
        <f>IFERROR(__xludf.DUMMYFUNCTION("""COMPUTED_VALUE"""),"2025-86656
")</f>
        <v>2025-86656
</v>
      </c>
      <c r="D2734" s="133"/>
      <c r="E2734" s="133" t="str">
        <f>IFERROR(__xludf.DUMMYFUNCTION("""COMPUTED_VALUE"""),"مكتمل ")</f>
        <v>مكتمل </v>
      </c>
      <c r="F2734" s="133" t="str">
        <f>IFERROR(__xludf.DUMMYFUNCTION("""COMPUTED_VALUE"""),"NATURAL CODE STERILCAT TUNA WITH BLUEBERRIES AND BROWN RICE
")</f>
        <v>NATURAL CODE STERILCAT TUNA WITH BLUEBERRIES AND BROWN RICE
</v>
      </c>
      <c r="G2734" s="133"/>
      <c r="H2734" s="133" t="str">
        <f>IFERROR(__xludf.DUMMYFUNCTION("""COMPUTED_VALUE"""),"FEM-25-1965-FEP-2025-1950-C-22548-1362
")</f>
        <v>FEM-25-1965-FEP-2025-1950-C-22548-1362
</v>
      </c>
      <c r="I2734" s="133"/>
      <c r="J2734" s="133"/>
      <c r="K2734" s="133"/>
      <c r="L2734" s="133"/>
      <c r="M2734" s="133"/>
      <c r="N2734" s="133"/>
      <c r="O2734" s="133"/>
      <c r="P2734" s="133"/>
      <c r="Q2734" s="133"/>
      <c r="R2734" s="133"/>
      <c r="S2734" s="133"/>
      <c r="T2734" s="133"/>
      <c r="U2734" s="133"/>
      <c r="V2734" s="133"/>
      <c r="W2734" s="133"/>
      <c r="X2734" s="133"/>
      <c r="Y2734" s="133"/>
      <c r="Z2734" s="133"/>
    </row>
    <row r="2735">
      <c r="A2735" s="133"/>
      <c r="B2735" s="133"/>
      <c r="C2735" s="133" t="str">
        <f>IFERROR(__xludf.DUMMYFUNCTION("""COMPUTED_VALUE"""),"2025-495187")</f>
        <v>2025-495187</v>
      </c>
      <c r="D2735" s="133"/>
      <c r="E2735" s="133" t="str">
        <f>IFERROR(__xludf.DUMMYFUNCTION("""COMPUTED_VALUE"""),"مكتمل ")</f>
        <v>مكتمل </v>
      </c>
      <c r="F2735" s="133" t="str">
        <f>IFERROR(__xludf.DUMMYFUNCTION("""COMPUTED_VALUE"""),"Instinct Wet Flaked (Cat) Chicken - 3 oz. Cans")</f>
        <v>Instinct Wet Flaked (Cat) Chicken - 3 oz. Cans</v>
      </c>
      <c r="G2735" s="133"/>
      <c r="H2735" s="133" t="str">
        <f>IFERROR(__xludf.DUMMYFUNCTION("""COMPUTED_VALUE"""),"FEM-25-7293-FEP-2025-7542-C-22548-4761
")</f>
        <v>FEM-25-7293-FEP-2025-7542-C-22548-4761
</v>
      </c>
      <c r="I2735" s="133"/>
      <c r="J2735" s="133"/>
      <c r="K2735" s="133"/>
      <c r="L2735" s="133"/>
      <c r="M2735" s="133"/>
      <c r="N2735" s="133"/>
      <c r="O2735" s="133"/>
      <c r="P2735" s="133"/>
      <c r="Q2735" s="133"/>
      <c r="R2735" s="133"/>
      <c r="S2735" s="133"/>
      <c r="T2735" s="133"/>
      <c r="U2735" s="133"/>
      <c r="V2735" s="133"/>
      <c r="W2735" s="133"/>
      <c r="X2735" s="133"/>
      <c r="Y2735" s="133"/>
      <c r="Z2735" s="133"/>
    </row>
    <row r="2736">
      <c r="A2736" s="133"/>
      <c r="B2736" s="133"/>
      <c r="C2736" s="133" t="str">
        <f>IFERROR(__xludf.DUMMYFUNCTION("""COMPUTED_VALUE"""),"2025-495186")</f>
        <v>2025-495186</v>
      </c>
      <c r="D2736" s="133"/>
      <c r="E2736" s="133" t="str">
        <f>IFERROR(__xludf.DUMMYFUNCTION("""COMPUTED_VALUE"""),"مكتمل ")</f>
        <v>مكتمل </v>
      </c>
      <c r="F2736" s="133" t="str">
        <f>IFERROR(__xludf.DUMMYFUNCTION("""COMPUTED_VALUE"""),"Instinct Wet Flaked (Cat) Duck - 3 oz. Cans")</f>
        <v>Instinct Wet Flaked (Cat) Duck - 3 oz. Cans</v>
      </c>
      <c r="G2736" s="133"/>
      <c r="H2736" s="133" t="str">
        <f>IFERROR(__xludf.DUMMYFUNCTION("""COMPUTED_VALUE"""),"FEM-25-7294-FEP-2025-7543-C-22548-4759
")</f>
        <v>FEM-25-7294-FEP-2025-7543-C-22548-4759
</v>
      </c>
      <c r="I2736" s="133"/>
      <c r="J2736" s="133"/>
      <c r="K2736" s="133"/>
      <c r="L2736" s="133"/>
      <c r="M2736" s="133"/>
      <c r="N2736" s="133"/>
      <c r="O2736" s="133"/>
      <c r="P2736" s="133"/>
      <c r="Q2736" s="133"/>
      <c r="R2736" s="133"/>
      <c r="S2736" s="133"/>
      <c r="T2736" s="133"/>
      <c r="U2736" s="133"/>
      <c r="V2736" s="133"/>
      <c r="W2736" s="133"/>
      <c r="X2736" s="133"/>
      <c r="Y2736" s="133"/>
      <c r="Z2736" s="133"/>
    </row>
    <row r="2737">
      <c r="A2737" s="133"/>
      <c r="B2737" s="133"/>
      <c r="C2737" s="133" t="str">
        <f>IFERROR(__xludf.DUMMYFUNCTION("""COMPUTED_VALUE"""),"2025-495184")</f>
        <v>2025-495184</v>
      </c>
      <c r="D2737" s="133"/>
      <c r="E2737" s="133" t="str">
        <f>IFERROR(__xludf.DUMMYFUNCTION("""COMPUTED_VALUE"""),"مكتمل ")</f>
        <v>مكتمل </v>
      </c>
      <c r="F2737" s="133" t="str">
        <f>IFERROR(__xludf.DUMMYFUNCTION("""COMPUTED_VALUE"""),"Instinct Wet Flaked (Cat) Lamb - 3 oz. Cans")</f>
        <v>Instinct Wet Flaked (Cat) Lamb - 3 oz. Cans</v>
      </c>
      <c r="G2737" s="133"/>
      <c r="H2737" s="133" t="str">
        <f>IFERROR(__xludf.DUMMYFUNCTION("""COMPUTED_VALUE"""),"FEM-25-7295-FEP-2025-7544-C-22548-4760
")</f>
        <v>FEM-25-7295-FEP-2025-7544-C-22548-4760
</v>
      </c>
      <c r="I2737" s="133"/>
      <c r="J2737" s="133"/>
      <c r="K2737" s="133"/>
      <c r="L2737" s="133"/>
      <c r="M2737" s="133"/>
      <c r="N2737" s="133"/>
      <c r="O2737" s="133"/>
      <c r="P2737" s="133"/>
      <c r="Q2737" s="133"/>
      <c r="R2737" s="133"/>
      <c r="S2737" s="133"/>
      <c r="T2737" s="133"/>
      <c r="U2737" s="133"/>
      <c r="V2737" s="133"/>
      <c r="W2737" s="133"/>
      <c r="X2737" s="133"/>
      <c r="Y2737" s="133"/>
      <c r="Z2737" s="133"/>
    </row>
    <row r="2738">
      <c r="A2738" s="133"/>
      <c r="B2738" s="133"/>
      <c r="C2738" s="133" t="str">
        <f>IFERROR(__xludf.DUMMYFUNCTION("""COMPUTED_VALUE"""),"2025-495183")</f>
        <v>2025-495183</v>
      </c>
      <c r="D2738" s="133"/>
      <c r="E2738" s="133" t="str">
        <f>IFERROR(__xludf.DUMMYFUNCTION("""COMPUTED_VALUE"""),"مكتمل ")</f>
        <v>مكتمل </v>
      </c>
      <c r="F2738" s="133" t="str">
        <f>IFERROR(__xludf.DUMMYFUNCTION("""COMPUTED_VALUE"""),"Instinct Wet Flaked (Cat) Salmon - 3 oz. Cans")</f>
        <v>Instinct Wet Flaked (Cat) Salmon - 3 oz. Cans</v>
      </c>
      <c r="G2738" s="133"/>
      <c r="H2738" s="133" t="str">
        <f>IFERROR(__xludf.DUMMYFUNCTION("""COMPUTED_VALUE"""),"FEM-25-7296-FEP-2025-7545-C-22548-4752
")</f>
        <v>FEM-25-7296-FEP-2025-7545-C-22548-4752
</v>
      </c>
      <c r="I2738" s="133"/>
      <c r="J2738" s="133"/>
      <c r="K2738" s="133"/>
      <c r="L2738" s="133"/>
      <c r="M2738" s="133"/>
      <c r="N2738" s="133"/>
      <c r="O2738" s="133"/>
      <c r="P2738" s="133"/>
      <c r="Q2738" s="133"/>
      <c r="R2738" s="133"/>
      <c r="S2738" s="133"/>
      <c r="T2738" s="133"/>
      <c r="U2738" s="133"/>
      <c r="V2738" s="133"/>
      <c r="W2738" s="133"/>
      <c r="X2738" s="133"/>
      <c r="Y2738" s="133"/>
      <c r="Z2738" s="133"/>
    </row>
    <row r="2739">
      <c r="A2739" s="133"/>
      <c r="B2739" s="133"/>
      <c r="C2739" s="133" t="str">
        <f>IFERROR(__xludf.DUMMYFUNCTION("""COMPUTED_VALUE"""),"2025-495181")</f>
        <v>2025-495181</v>
      </c>
      <c r="D2739" s="133"/>
      <c r="E2739" s="133" t="str">
        <f>IFERROR(__xludf.DUMMYFUNCTION("""COMPUTED_VALUE"""),"مكتمل ")</f>
        <v>مكتمل </v>
      </c>
      <c r="F2739" s="133" t="str">
        <f>IFERROR(__xludf.DUMMYFUNCTION("""COMPUTED_VALUE"""),"Instinct Wet Healthy Cravings (Cat) Chicken - 3 oz. Pouches")</f>
        <v>Instinct Wet Healthy Cravings (Cat) Chicken - 3 oz. Pouches</v>
      </c>
      <c r="G2739" s="133"/>
      <c r="H2739" s="133" t="str">
        <f>IFERROR(__xludf.DUMMYFUNCTION("""COMPUTED_VALUE"""),"FEM-25-7424-FEP-2025-7673-C-22548-4753
")</f>
        <v>FEM-25-7424-FEP-2025-7673-C-22548-4753
</v>
      </c>
      <c r="I2739" s="133"/>
      <c r="J2739" s="133"/>
      <c r="K2739" s="133"/>
      <c r="L2739" s="133"/>
      <c r="M2739" s="133"/>
      <c r="N2739" s="133"/>
      <c r="O2739" s="133"/>
      <c r="P2739" s="133"/>
      <c r="Q2739" s="133"/>
      <c r="R2739" s="133"/>
      <c r="S2739" s="133"/>
      <c r="T2739" s="133"/>
      <c r="U2739" s="133"/>
      <c r="V2739" s="133"/>
      <c r="W2739" s="133"/>
      <c r="X2739" s="133"/>
      <c r="Y2739" s="133"/>
      <c r="Z2739" s="133"/>
    </row>
    <row r="2740">
      <c r="A2740" s="133"/>
      <c r="B2740" s="133"/>
      <c r="C2740" s="133" t="str">
        <f>IFERROR(__xludf.DUMMYFUNCTION("""COMPUTED_VALUE"""),"2025-495180")</f>
        <v>2025-495180</v>
      </c>
      <c r="D2740" s="133"/>
      <c r="E2740" s="133" t="str">
        <f>IFERROR(__xludf.DUMMYFUNCTION("""COMPUTED_VALUE"""),"مكتمل ")</f>
        <v>مكتمل </v>
      </c>
      <c r="F2740" s="133" t="str">
        <f>IFERROR(__xludf.DUMMYFUNCTION("""COMPUTED_VALUE"""),"Instinct Wet Healthy Cravings (Cat) Duck - 3 oz. Pouches")</f>
        <v>Instinct Wet Healthy Cravings (Cat) Duck - 3 oz. Pouches</v>
      </c>
      <c r="G2740" s="133"/>
      <c r="H2740" s="133" t="str">
        <f>IFERROR(__xludf.DUMMYFUNCTION("""COMPUTED_VALUE"""),"FEM-25-7425-FEP-2025-7675-C-22548-4754
")</f>
        <v>FEM-25-7425-FEP-2025-7675-C-22548-4754
</v>
      </c>
      <c r="I2740" s="133"/>
      <c r="J2740" s="133"/>
      <c r="K2740" s="133"/>
      <c r="L2740" s="133"/>
      <c r="M2740" s="133"/>
      <c r="N2740" s="133"/>
      <c r="O2740" s="133"/>
      <c r="P2740" s="133"/>
      <c r="Q2740" s="133"/>
      <c r="R2740" s="133"/>
      <c r="S2740" s="133"/>
      <c r="T2740" s="133"/>
      <c r="U2740" s="133"/>
      <c r="V2740" s="133"/>
      <c r="W2740" s="133"/>
      <c r="X2740" s="133"/>
      <c r="Y2740" s="133"/>
      <c r="Z2740" s="133"/>
    </row>
    <row r="2741">
      <c r="A2741" s="133"/>
      <c r="B2741" s="133"/>
      <c r="C2741" s="133" t="str">
        <f>IFERROR(__xludf.DUMMYFUNCTION("""COMPUTED_VALUE"""),"2025-495178")</f>
        <v>2025-495178</v>
      </c>
      <c r="D2741" s="133"/>
      <c r="E2741" s="133" t="str">
        <f>IFERROR(__xludf.DUMMYFUNCTION("""COMPUTED_VALUE"""),"مكتمل ")</f>
        <v>مكتمل </v>
      </c>
      <c r="F2741" s="133" t="str">
        <f>IFERROR(__xludf.DUMMYFUNCTION("""COMPUTED_VALUE"""),"Instinct Wet Healthy Cravings (Cat) Salmon - 3 oz. Pouches")</f>
        <v>Instinct Wet Healthy Cravings (Cat) Salmon - 3 oz. Pouches</v>
      </c>
      <c r="G2741" s="133"/>
      <c r="H2741" s="133" t="str">
        <f>IFERROR(__xludf.DUMMYFUNCTION("""COMPUTED_VALUE"""),"FEM-25-7426-FEP-2025-7676-C-22548-4755
")</f>
        <v>FEM-25-7426-FEP-2025-7676-C-22548-4755
</v>
      </c>
      <c r="I2741" s="133"/>
      <c r="J2741" s="133"/>
      <c r="K2741" s="133"/>
      <c r="L2741" s="133"/>
      <c r="M2741" s="133"/>
      <c r="N2741" s="133"/>
      <c r="O2741" s="133"/>
      <c r="P2741" s="133"/>
      <c r="Q2741" s="133"/>
      <c r="R2741" s="133"/>
      <c r="S2741" s="133"/>
      <c r="T2741" s="133"/>
      <c r="U2741" s="133"/>
      <c r="V2741" s="133"/>
      <c r="W2741" s="133"/>
      <c r="X2741" s="133"/>
      <c r="Y2741" s="133"/>
      <c r="Z2741" s="133"/>
    </row>
    <row r="2742">
      <c r="A2742" s="133"/>
      <c r="B2742" s="133"/>
      <c r="C2742" s="133" t="str">
        <f>IFERROR(__xludf.DUMMYFUNCTION("""COMPUTED_VALUE"""),"2025-495177")</f>
        <v>2025-495177</v>
      </c>
      <c r="D2742" s="133"/>
      <c r="E2742" s="133" t="str">
        <f>IFERROR(__xludf.DUMMYFUNCTION("""COMPUTED_VALUE"""),"مكتمل ")</f>
        <v>مكتمل </v>
      </c>
      <c r="F2742" s="133" t="str">
        <f>IFERROR(__xludf.DUMMYFUNCTION("""COMPUTED_VALUE"""),"Instinct Wet Healthy Cravings (Cat) Tuna - 3 oz. Pouches")</f>
        <v>Instinct Wet Healthy Cravings (Cat) Tuna - 3 oz. Pouches</v>
      </c>
      <c r="G2742" s="133"/>
      <c r="H2742" s="133" t="str">
        <f>IFERROR(__xludf.DUMMYFUNCTION("""COMPUTED_VALUE"""),"FEM-25-7427-FEP-2025-7677-C-22548-4756
")</f>
        <v>FEM-25-7427-FEP-2025-7677-C-22548-4756
</v>
      </c>
      <c r="I2742" s="133"/>
      <c r="J2742" s="133"/>
      <c r="K2742" s="133"/>
      <c r="L2742" s="133"/>
      <c r="M2742" s="133"/>
      <c r="N2742" s="133"/>
      <c r="O2742" s="133"/>
      <c r="P2742" s="133"/>
      <c r="Q2742" s="133"/>
      <c r="R2742" s="133"/>
      <c r="S2742" s="133"/>
      <c r="T2742" s="133"/>
      <c r="U2742" s="133"/>
      <c r="V2742" s="133"/>
      <c r="W2742" s="133"/>
      <c r="X2742" s="133"/>
      <c r="Y2742" s="133"/>
      <c r="Z2742" s="133"/>
    </row>
    <row r="2743">
      <c r="A2743" s="133"/>
      <c r="B2743" s="133"/>
      <c r="C2743" s="133" t="str">
        <f>IFERROR(__xludf.DUMMYFUNCTION("""COMPUTED_VALUE"""),"2025-495176")</f>
        <v>2025-495176</v>
      </c>
      <c r="D2743" s="133"/>
      <c r="E2743" s="133" t="str">
        <f>IFERROR(__xludf.DUMMYFUNCTION("""COMPUTED_VALUE"""),"مكتمل ")</f>
        <v>مكتمل </v>
      </c>
      <c r="F2743" s="133" t="str">
        <f>IFERROR(__xludf.DUMMYFUNCTION("""COMPUTED_VALUE"""),"Instinct Wet Healthy Cravings (Dog) Beef - 3 oz. Pouches")</f>
        <v>Instinct Wet Healthy Cravings (Dog) Beef - 3 oz. Pouches</v>
      </c>
      <c r="G2743" s="133"/>
      <c r="H2743" s="133" t="str">
        <f>IFERROR(__xludf.DUMMYFUNCTION("""COMPUTED_VALUE"""),"FEM-25-7428-FEP-2025-7678-C-22548-4757
")</f>
        <v>FEM-25-7428-FEP-2025-7678-C-22548-4757
</v>
      </c>
      <c r="I2743" s="133"/>
      <c r="J2743" s="133"/>
      <c r="K2743" s="133"/>
      <c r="L2743" s="133"/>
      <c r="M2743" s="133"/>
      <c r="N2743" s="133"/>
      <c r="O2743" s="133"/>
      <c r="P2743" s="133"/>
      <c r="Q2743" s="133"/>
      <c r="R2743" s="133"/>
      <c r="S2743" s="133"/>
      <c r="T2743" s="133"/>
      <c r="U2743" s="133"/>
      <c r="V2743" s="133"/>
      <c r="W2743" s="133"/>
      <c r="X2743" s="133"/>
      <c r="Y2743" s="133"/>
      <c r="Z2743" s="133"/>
    </row>
    <row r="2744">
      <c r="A2744" s="133"/>
      <c r="B2744" s="133"/>
      <c r="C2744" s="133" t="str">
        <f>IFERROR(__xludf.DUMMYFUNCTION("""COMPUTED_VALUE"""),"2025-495175")</f>
        <v>2025-495175</v>
      </c>
      <c r="D2744" s="133"/>
      <c r="E2744" s="133" t="str">
        <f>IFERROR(__xludf.DUMMYFUNCTION("""COMPUTED_VALUE"""),"مكتمل ")</f>
        <v>مكتمل </v>
      </c>
      <c r="F2744" s="133" t="str">
        <f>IFERROR(__xludf.DUMMYFUNCTION("""COMPUTED_VALUE"""),"Instinct Wet Healthy Cravings (Dog) Chicken - 3 oz. Pouches")</f>
        <v>Instinct Wet Healthy Cravings (Dog) Chicken - 3 oz. Pouches</v>
      </c>
      <c r="G2744" s="133"/>
      <c r="H2744" s="133" t="str">
        <f>IFERROR(__xludf.DUMMYFUNCTION("""COMPUTED_VALUE"""),"FEM-25-7429-FEP-2025-7679-C-22548-4758
")</f>
        <v>FEM-25-7429-FEP-2025-7679-C-22548-4758
</v>
      </c>
      <c r="I2744" s="133"/>
      <c r="J2744" s="133"/>
      <c r="K2744" s="133"/>
      <c r="L2744" s="133"/>
      <c r="M2744" s="133"/>
      <c r="N2744" s="133"/>
      <c r="O2744" s="133"/>
      <c r="P2744" s="133"/>
      <c r="Q2744" s="133"/>
      <c r="R2744" s="133"/>
      <c r="S2744" s="133"/>
      <c r="T2744" s="133"/>
      <c r="U2744" s="133"/>
      <c r="V2744" s="133"/>
      <c r="W2744" s="133"/>
      <c r="X2744" s="133"/>
      <c r="Y2744" s="133"/>
      <c r="Z2744" s="133"/>
    </row>
    <row r="2745">
      <c r="A2745" s="133"/>
      <c r="B2745" s="133"/>
      <c r="C2745" s="133" t="str">
        <f>IFERROR(__xludf.DUMMYFUNCTION("""COMPUTED_VALUE"""),"2025-495174")</f>
        <v>2025-495174</v>
      </c>
      <c r="D2745" s="133"/>
      <c r="E2745" s="133" t="str">
        <f>IFERROR(__xludf.DUMMYFUNCTION("""COMPUTED_VALUE"""),"مكتمل ")</f>
        <v>مكتمل </v>
      </c>
      <c r="F2745" s="133" t="str">
        <f>IFERROR(__xludf.DUMMYFUNCTION("""COMPUTED_VALUE"""),"Instinct Wet Healthy Cravings (Dog) Lamb - 3 oz. Pouches")</f>
        <v>Instinct Wet Healthy Cravings (Dog) Lamb - 3 oz. Pouches</v>
      </c>
      <c r="G2745" s="133"/>
      <c r="H2745" s="133" t="str">
        <f>IFERROR(__xludf.DUMMYFUNCTION("""COMPUTED_VALUE"""),"FEM-25-7430-FEP-2025-7680-C-22548-4751
")</f>
        <v>FEM-25-7430-FEP-2025-7680-C-22548-4751
</v>
      </c>
      <c r="I2745" s="133"/>
      <c r="J2745" s="133"/>
      <c r="K2745" s="133"/>
      <c r="L2745" s="133"/>
      <c r="M2745" s="133"/>
      <c r="N2745" s="133"/>
      <c r="O2745" s="133"/>
      <c r="P2745" s="133"/>
      <c r="Q2745" s="133"/>
      <c r="R2745" s="133"/>
      <c r="S2745" s="133"/>
      <c r="T2745" s="133"/>
      <c r="U2745" s="133"/>
      <c r="V2745" s="133"/>
      <c r="W2745" s="133"/>
      <c r="X2745" s="133"/>
      <c r="Y2745" s="133"/>
      <c r="Z2745" s="133"/>
    </row>
    <row r="2746">
      <c r="A2746" s="133"/>
      <c r="B2746" s="133"/>
      <c r="C2746" s="133" t="str">
        <f>IFERROR(__xludf.DUMMYFUNCTION("""COMPUTED_VALUE"""),"2025-495182")</f>
        <v>2025-495182</v>
      </c>
      <c r="D2746" s="133"/>
      <c r="E2746" s="133" t="str">
        <f>IFERROR(__xludf.DUMMYFUNCTION("""COMPUTED_VALUE"""),"مكتمل ")</f>
        <v>مكتمل </v>
      </c>
      <c r="F2746" s="133" t="str">
        <f>IFERROR(__xludf.DUMMYFUNCTION("""COMPUTED_VALUE"""),"Instinct Wet Flaked (Cat) Variety Pack - 3 oz. Cans")</f>
        <v>Instinct Wet Flaked (Cat) Variety Pack - 3 oz. Cans</v>
      </c>
      <c r="G2746" s="133"/>
      <c r="H2746" s="133" t="str">
        <f>IFERROR(__xludf.DUMMYFUNCTION("""COMPUTED_VALUE"""),"FEM-25-7297-FEP-2025-7546-C-22548-4772
")</f>
        <v>FEM-25-7297-FEP-2025-7546-C-22548-4772
</v>
      </c>
      <c r="I2746" s="133"/>
      <c r="J2746" s="133"/>
      <c r="K2746" s="133"/>
      <c r="L2746" s="133"/>
      <c r="M2746" s="133"/>
      <c r="N2746" s="133"/>
      <c r="O2746" s="133"/>
      <c r="P2746" s="133"/>
      <c r="Q2746" s="133"/>
      <c r="R2746" s="133"/>
      <c r="S2746" s="133"/>
      <c r="T2746" s="133"/>
      <c r="U2746" s="133"/>
      <c r="V2746" s="133"/>
      <c r="W2746" s="133"/>
      <c r="X2746" s="133"/>
      <c r="Y2746" s="133"/>
      <c r="Z2746" s="133"/>
    </row>
    <row r="2747">
      <c r="A2747" s="133"/>
      <c r="B2747" s="133"/>
      <c r="C2747" s="133" t="str">
        <f>IFERROR(__xludf.DUMMYFUNCTION("""COMPUTED_VALUE"""),"2025-508405")</f>
        <v>2025-508405</v>
      </c>
      <c r="D2747" s="133"/>
      <c r="E2747" s="133" t="str">
        <f>IFERROR(__xludf.DUMMYFUNCTION("""COMPUTED_VALUE"""),"مكتمل ")</f>
        <v>مكتمل </v>
      </c>
      <c r="F2747" s="133" t="str">
        <f>IFERROR(__xludf.DUMMYFUNCTION("""COMPUTED_VALUE"""),"Instinct Wet Original (Cat) Variety Pack - 3 oz. Pouches")</f>
        <v>Instinct Wet Original (Cat) Variety Pack - 3 oz. Pouches</v>
      </c>
      <c r="G2747" s="133"/>
      <c r="H2747" s="133" t="str">
        <f>IFERROR(__xludf.DUMMYFUNCTION("""COMPUTED_VALUE"""),"FEM-25-7436-FEP-2025-7949-C-22548-4851
")</f>
        <v>FEM-25-7436-FEP-2025-7949-C-22548-4851
</v>
      </c>
      <c r="I2747" s="133"/>
      <c r="J2747" s="133"/>
      <c r="K2747" s="133"/>
      <c r="L2747" s="133"/>
      <c r="M2747" s="133"/>
      <c r="N2747" s="133"/>
      <c r="O2747" s="133"/>
      <c r="P2747" s="133"/>
      <c r="Q2747" s="133"/>
      <c r="R2747" s="133"/>
      <c r="S2747" s="133"/>
      <c r="T2747" s="133"/>
      <c r="U2747" s="133"/>
      <c r="V2747" s="133"/>
      <c r="W2747" s="133"/>
      <c r="X2747" s="133"/>
      <c r="Y2747" s="133"/>
      <c r="Z2747" s="133"/>
    </row>
    <row r="2748">
      <c r="A2748" s="133"/>
      <c r="B2748" s="133"/>
      <c r="C2748" s="133" t="str">
        <f>IFERROR(__xludf.DUMMYFUNCTION("""COMPUTED_VALUE"""),"2025-508404")</f>
        <v>2025-508404</v>
      </c>
      <c r="D2748" s="133"/>
      <c r="E2748" s="133" t="str">
        <f>IFERROR(__xludf.DUMMYFUNCTION("""COMPUTED_VALUE"""),"مكتمل ")</f>
        <v>مكتمل </v>
      </c>
      <c r="F2748" s="133" t="str">
        <f>IFERROR(__xludf.DUMMYFUNCTION("""COMPUTED_VALUE"""),"Instinct Wet Original (Dog) Chicken - 13.2 oz. Cans")</f>
        <v>Instinct Wet Original (Dog) Chicken - 13.2 oz. Cans</v>
      </c>
      <c r="G2748" s="133"/>
      <c r="H2748" s="133" t="str">
        <f>IFERROR(__xludf.DUMMYFUNCTION("""COMPUTED_VALUE"""),"FEM-25-7438-FEP-2025-7950-C-22548-4848
")</f>
        <v>FEM-25-7438-FEP-2025-7950-C-22548-4848
</v>
      </c>
      <c r="I2748" s="133"/>
      <c r="J2748" s="133"/>
      <c r="K2748" s="133"/>
      <c r="L2748" s="133"/>
      <c r="M2748" s="133"/>
      <c r="N2748" s="133"/>
      <c r="O2748" s="133"/>
      <c r="P2748" s="133"/>
      <c r="Q2748" s="133"/>
      <c r="R2748" s="133"/>
      <c r="S2748" s="133"/>
      <c r="T2748" s="133"/>
      <c r="U2748" s="133"/>
      <c r="V2748" s="133"/>
      <c r="W2748" s="133"/>
      <c r="X2748" s="133"/>
      <c r="Y2748" s="133"/>
      <c r="Z2748" s="133"/>
    </row>
    <row r="2749">
      <c r="A2749" s="133"/>
      <c r="B2749" s="133"/>
      <c r="C2749" s="133" t="str">
        <f>IFERROR(__xludf.DUMMYFUNCTION("""COMPUTED_VALUE"""),"2025-508403
")</f>
        <v>2025-508403
</v>
      </c>
      <c r="D2749" s="133"/>
      <c r="E2749" s="133" t="str">
        <f>IFERROR(__xludf.DUMMYFUNCTION("""COMPUTED_VALUE"""),"مكتمل ")</f>
        <v>مكتمل </v>
      </c>
      <c r="F2749" s="133" t="str">
        <f>IFERROR(__xludf.DUMMYFUNCTION("""COMPUTED_VALUE"""),"Instinct Wet Original (Dog) Variety Pack - 3 oz. Pouches")</f>
        <v>Instinct Wet Original (Dog) Variety Pack - 3 oz. Pouches</v>
      </c>
      <c r="G2749" s="133"/>
      <c r="H2749" s="133" t="str">
        <f>IFERROR(__xludf.DUMMYFUNCTION("""COMPUTED_VALUE"""),"FEM-25-7435-FEP-2025-8331-C-22548-4846
")</f>
        <v>FEM-25-7435-FEP-2025-8331-C-22548-4846
</v>
      </c>
      <c r="I2749" s="133"/>
      <c r="J2749" s="133"/>
      <c r="K2749" s="133"/>
      <c r="L2749" s="133"/>
      <c r="M2749" s="133"/>
      <c r="N2749" s="133"/>
      <c r="O2749" s="133"/>
      <c r="P2749" s="133"/>
      <c r="Q2749" s="133"/>
      <c r="R2749" s="133"/>
      <c r="S2749" s="133"/>
      <c r="T2749" s="133"/>
      <c r="U2749" s="133"/>
      <c r="V2749" s="133"/>
      <c r="W2749" s="133"/>
      <c r="X2749" s="133"/>
      <c r="Y2749" s="133"/>
      <c r="Z2749" s="133"/>
    </row>
    <row r="2750">
      <c r="A2750" s="133"/>
      <c r="B2750" s="133"/>
      <c r="C2750" s="133" t="str">
        <f>IFERROR(__xludf.DUMMYFUNCTION("""COMPUTED_VALUE"""),"2025-508402
")</f>
        <v>2025-508402
</v>
      </c>
      <c r="D2750" s="133"/>
      <c r="E2750" s="133" t="str">
        <f>IFERROR(__xludf.DUMMYFUNCTION("""COMPUTED_VALUE"""),"مكتمل ")</f>
        <v>مكتمل </v>
      </c>
      <c r="F2750" s="133" t="str">
        <f>IFERROR(__xludf.DUMMYFUNCTION("""COMPUTED_VALUE"""),"Instinct Wet Original (Puppy) Chicken - 13.2 oz. Cans")</f>
        <v>Instinct Wet Original (Puppy) Chicken - 13.2 oz. Cans</v>
      </c>
      <c r="G2750" s="133"/>
      <c r="H2750" s="133" t="str">
        <f>IFERROR(__xludf.DUMMYFUNCTION("""COMPUTED_VALUE"""),"FEM-25-7434-FEP-2025-7951-C-22548-4847
")</f>
        <v>FEM-25-7434-FEP-2025-7951-C-22548-4847
</v>
      </c>
      <c r="I2750" s="133"/>
      <c r="J2750" s="133"/>
      <c r="K2750" s="133"/>
      <c r="L2750" s="133"/>
      <c r="M2750" s="133"/>
      <c r="N2750" s="133"/>
      <c r="O2750" s="133"/>
      <c r="P2750" s="133"/>
      <c r="Q2750" s="133"/>
      <c r="R2750" s="133"/>
      <c r="S2750" s="133"/>
      <c r="T2750" s="133"/>
      <c r="U2750" s="133"/>
      <c r="V2750" s="133"/>
      <c r="W2750" s="133"/>
      <c r="X2750" s="133"/>
      <c r="Y2750" s="133"/>
      <c r="Z2750" s="133"/>
    </row>
    <row r="2751">
      <c r="A2751" s="133"/>
      <c r="B2751" s="133"/>
      <c r="C2751" s="133" t="str">
        <f>IFERROR(__xludf.DUMMYFUNCTION("""COMPUTED_VALUE"""),"2025-576189")</f>
        <v>2025-576189</v>
      </c>
      <c r="D2751" s="133" t="str">
        <f>IFERROR(__xludf.DUMMYFUNCTION("""COMPUTED_VALUE"""),"AH-4068
")</f>
        <v>AH-4068
</v>
      </c>
      <c r="E2751" s="133" t="str">
        <f>IFERROR(__xludf.DUMMYFUNCTION("""COMPUTED_VALUE"""),"مكتمل ")</f>
        <v>مكتمل </v>
      </c>
      <c r="F2751" s="133" t="str">
        <f>IFERROR(__xludf.DUMMYFUNCTION("""COMPUTED_VALUE"""),"Absolute Holistic Chicken and King Salmon")</f>
        <v>Absolute Holistic Chicken and King Salmon</v>
      </c>
      <c r="G2751" s="133" t="str">
        <f>IFERROR(__xludf.DUMMYFUNCTION("""COMPUTED_VALUE"""),"أبسولوت هوليستك دجاج مع سلمون ملكي
")</f>
        <v>أبسولوت هوليستك دجاج مع سلمون ملكي
</v>
      </c>
      <c r="H2751" s="133" t="str">
        <f>IFERROR(__xludf.DUMMYFUNCTION("""COMPUTED_VALUE"""),"FEM-25-8164-FEP-2025-8452-C-22548-5254
")</f>
        <v>FEM-25-8164-FEP-2025-8452-C-22548-5254
</v>
      </c>
      <c r="I2751" s="133"/>
      <c r="J2751" s="133"/>
      <c r="K2751" s="133"/>
      <c r="L2751" s="133"/>
      <c r="M2751" s="133"/>
      <c r="N2751" s="133"/>
      <c r="O2751" s="133"/>
      <c r="P2751" s="133"/>
      <c r="Q2751" s="133"/>
      <c r="R2751" s="133"/>
      <c r="S2751" s="133"/>
      <c r="T2751" s="133"/>
      <c r="U2751" s="133"/>
      <c r="V2751" s="133"/>
      <c r="W2751" s="133"/>
      <c r="X2751" s="133"/>
      <c r="Y2751" s="133"/>
      <c r="Z2751" s="133"/>
    </row>
    <row r="2752">
      <c r="A2752" s="133"/>
      <c r="B2752" s="133"/>
      <c r="C2752" s="133" t="str">
        <f>IFERROR(__xludf.DUMMYFUNCTION("""COMPUTED_VALUE"""),"2025-576252")</f>
        <v>2025-576252</v>
      </c>
      <c r="D2752" s="133" t="str">
        <f>IFERROR(__xludf.DUMMYFUNCTION("""COMPUTED_VALUE"""),"AH-4075")</f>
        <v>AH-4075</v>
      </c>
      <c r="E2752" s="133" t="str">
        <f>IFERROR(__xludf.DUMMYFUNCTION("""COMPUTED_VALUE"""),"مكتمل ")</f>
        <v>مكتمل </v>
      </c>
      <c r="F2752" s="133" t="str">
        <f>IFERROR(__xludf.DUMMYFUNCTION("""COMPUTED_VALUE"""),"Absolute Holistic Chicken and Fish Roe")</f>
        <v>Absolute Holistic Chicken and Fish Roe</v>
      </c>
      <c r="G2752" s="133" t="str">
        <f>IFERROR(__xludf.DUMMYFUNCTION("""COMPUTED_VALUE"""),"أبسوليوت هولستيك دجاج وبويضات السمك
")</f>
        <v>أبسوليوت هولستيك دجاج وبويضات السمك
</v>
      </c>
      <c r="H2752" s="133" t="str">
        <f>IFERROR(__xludf.DUMMYFUNCTION("""COMPUTED_VALUE"""),"FEM-25-8690-FEP-2025-8454-C-22548-5281
")</f>
        <v>FEM-25-8690-FEP-2025-8454-C-22548-5281
</v>
      </c>
      <c r="I2752" s="133"/>
      <c r="J2752" s="133"/>
      <c r="K2752" s="133"/>
      <c r="L2752" s="133"/>
      <c r="M2752" s="133"/>
      <c r="N2752" s="133"/>
      <c r="O2752" s="133"/>
      <c r="P2752" s="133"/>
      <c r="Q2752" s="133"/>
      <c r="R2752" s="133"/>
      <c r="S2752" s="133"/>
      <c r="T2752" s="133"/>
      <c r="U2752" s="133"/>
      <c r="V2752" s="133"/>
      <c r="W2752" s="133"/>
      <c r="X2752" s="133"/>
      <c r="Y2752" s="133"/>
      <c r="Z2752" s="133"/>
    </row>
    <row r="2753">
      <c r="A2753" s="133"/>
      <c r="B2753" s="133"/>
      <c r="C2753" s="133" t="str">
        <f>IFERROR(__xludf.DUMMYFUNCTION("""COMPUTED_VALUE"""),"2025-576341")</f>
        <v>2025-576341</v>
      </c>
      <c r="D2753" s="133" t="str">
        <f>IFERROR(__xludf.DUMMYFUNCTION("""COMPUTED_VALUE"""),"AH-3863")</f>
        <v>AH-3863</v>
      </c>
      <c r="E2753" s="133" t="str">
        <f>IFERROR(__xludf.DUMMYFUNCTION("""COMPUTED_VALUE"""),"مكتمل ")</f>
        <v>مكتمل </v>
      </c>
      <c r="F2753" s="133" t="str">
        <f>IFERROR(__xludf.DUMMYFUNCTION("""COMPUTED_VALUE"""),"Absolute Holistic Shredded Chicken and Quail Egg")</f>
        <v>Absolute Holistic Shredded Chicken and Quail Egg</v>
      </c>
      <c r="G2753" s="133" t="str">
        <f>IFERROR(__xludf.DUMMYFUNCTION("""COMPUTED_VALUE"""),"أبسوليوت هوليستيك دجاج مفروم وبيض سمان
")</f>
        <v>أبسوليوت هوليستيك دجاج مفروم وبيض سمان
</v>
      </c>
      <c r="H2753" s="133" t="str">
        <f>IFERROR(__xludf.DUMMYFUNCTION("""COMPUTED_VALUE"""),"FEM-25-8167-FEP-2025-8455-C-22548-5274
")</f>
        <v>FEM-25-8167-FEP-2025-8455-C-22548-5274
</v>
      </c>
      <c r="I2753" s="133"/>
      <c r="J2753" s="133"/>
      <c r="K2753" s="133"/>
      <c r="L2753" s="133"/>
      <c r="M2753" s="133"/>
      <c r="N2753" s="133"/>
      <c r="O2753" s="133"/>
      <c r="P2753" s="133"/>
      <c r="Q2753" s="133"/>
      <c r="R2753" s="133"/>
      <c r="S2753" s="133"/>
      <c r="T2753" s="133"/>
      <c r="U2753" s="133"/>
      <c r="V2753" s="133"/>
      <c r="W2753" s="133"/>
      <c r="X2753" s="133"/>
      <c r="Y2753" s="133"/>
      <c r="Z2753" s="133"/>
    </row>
    <row r="2754">
      <c r="A2754" s="133"/>
      <c r="B2754" s="133"/>
      <c r="C2754" s="133" t="str">
        <f>IFERROR(__xludf.DUMMYFUNCTION("""COMPUTED_VALUE"""),"2025-576365")</f>
        <v>2025-576365</v>
      </c>
      <c r="D2754" s="133" t="str">
        <f>IFERROR(__xludf.DUMMYFUNCTION("""COMPUTED_VALUE"""),"AH-3870
")</f>
        <v>AH-3870
</v>
      </c>
      <c r="E2754" s="133" t="str">
        <f>IFERROR(__xludf.DUMMYFUNCTION("""COMPUTED_VALUE"""),"مكتمل ")</f>
        <v>مكتمل </v>
      </c>
      <c r="F2754" s="133" t="str">
        <f>IFERROR(__xludf.DUMMYFUNCTION("""COMPUTED_VALUE"""),"Absolute Holistic Shredded Chicken and Whitebait")</f>
        <v>Absolute Holistic Shredded Chicken and Whitebait</v>
      </c>
      <c r="G2754" s="133" t="str">
        <f>IFERROR(__xludf.DUMMYFUNCTION("""COMPUTED_VALUE"""),"أبسولوت هوليستيك دجاج مفروم و وايت بيت 
")</f>
        <v>أبسولوت هوليستيك دجاج مفروم و وايت بيت 
</v>
      </c>
      <c r="H2754" s="133" t="str">
        <f>IFERROR(__xludf.DUMMYFUNCTION("""COMPUTED_VALUE"""),"FEM-25-8168-FEP-2025-8456-C-22548-5282
")</f>
        <v>FEM-25-8168-FEP-2025-8456-C-22548-5282
</v>
      </c>
      <c r="I2754" s="133"/>
      <c r="J2754" s="133"/>
      <c r="K2754" s="133"/>
      <c r="L2754" s="133"/>
      <c r="M2754" s="133"/>
      <c r="N2754" s="133"/>
      <c r="O2754" s="133"/>
      <c r="P2754" s="133"/>
      <c r="Q2754" s="133"/>
      <c r="R2754" s="133"/>
      <c r="S2754" s="133"/>
      <c r="T2754" s="133"/>
      <c r="U2754" s="133"/>
      <c r="V2754" s="133"/>
      <c r="W2754" s="133"/>
      <c r="X2754" s="133"/>
      <c r="Y2754" s="133"/>
      <c r="Z2754" s="133"/>
    </row>
    <row r="2755">
      <c r="A2755" s="133"/>
      <c r="B2755" s="133"/>
      <c r="C2755" s="133" t="str">
        <f>IFERROR(__xludf.DUMMYFUNCTION("""COMPUTED_VALUE"""),"2025-509063")</f>
        <v>2025-509063</v>
      </c>
      <c r="D2755" s="133"/>
      <c r="E2755" s="133" t="str">
        <f>IFERROR(__xludf.DUMMYFUNCTION("""COMPUTED_VALUE"""),"مكتمل ")</f>
        <v>مكتمل </v>
      </c>
      <c r="F2755" s="133" t="str">
        <f>IFERROR(__xludf.DUMMYFUNCTION("""COMPUTED_VALUE"""),"Instinct Wet Original (Cat) Chicken - CHINA -  5.5 oz. Cans")</f>
        <v>Instinct Wet Original (Cat) Chicken - CHINA -  5.5 oz. Cans</v>
      </c>
      <c r="G2755" s="133"/>
      <c r="H2755" s="133" t="str">
        <f>IFERROR(__xludf.DUMMYFUNCTION("""COMPUTED_VALUE"""),"FEM-25-7445-FEP-2025-7686-C-22548-4872")</f>
        <v>FEM-25-7445-FEP-2025-7686-C-22548-4872</v>
      </c>
      <c r="I2755" s="133"/>
      <c r="J2755" s="133"/>
      <c r="K2755" s="133"/>
      <c r="L2755" s="133"/>
      <c r="M2755" s="133"/>
      <c r="N2755" s="133"/>
      <c r="O2755" s="133"/>
      <c r="P2755" s="133"/>
      <c r="Q2755" s="133"/>
      <c r="R2755" s="133"/>
      <c r="S2755" s="133"/>
      <c r="T2755" s="133"/>
      <c r="U2755" s="133"/>
      <c r="V2755" s="133"/>
      <c r="W2755" s="133"/>
      <c r="X2755" s="133"/>
      <c r="Y2755" s="133"/>
      <c r="Z2755" s="133"/>
    </row>
    <row r="2756">
      <c r="A2756" s="133"/>
      <c r="B2756" s="133"/>
      <c r="C2756" s="133" t="str">
        <f>IFERROR(__xludf.DUMMYFUNCTION("""COMPUTED_VALUE"""),"2025-509063")</f>
        <v>2025-509063</v>
      </c>
      <c r="D2756" s="133"/>
      <c r="E2756" s="133" t="str">
        <f>IFERROR(__xludf.DUMMYFUNCTION("""COMPUTED_VALUE"""),"مكتمل ")</f>
        <v>مكتمل </v>
      </c>
      <c r="F2756" s="133" t="str">
        <f>IFERROR(__xludf.DUMMYFUNCTION("""COMPUTED_VALUE"""),"Instinct Wet Original (Cat) Chicken - CHINA -  3 oz. Cans")</f>
        <v>Instinct Wet Original (Cat) Chicken - CHINA -  3 oz. Cans</v>
      </c>
      <c r="G2756" s="133"/>
      <c r="H2756" s="133" t="str">
        <f>IFERROR(__xludf.DUMMYFUNCTION("""COMPUTED_VALUE"""),"FEM-25-7445-FEP-2025-7686-C-22548-4872")</f>
        <v>FEM-25-7445-FEP-2025-7686-C-22548-4872</v>
      </c>
      <c r="I2756" s="133"/>
      <c r="J2756" s="133"/>
      <c r="K2756" s="133"/>
      <c r="L2756" s="133"/>
      <c r="M2756" s="133"/>
      <c r="N2756" s="133"/>
      <c r="O2756" s="133"/>
      <c r="P2756" s="133"/>
      <c r="Q2756" s="133"/>
      <c r="R2756" s="133"/>
      <c r="S2756" s="133"/>
      <c r="T2756" s="133"/>
      <c r="U2756" s="133"/>
      <c r="V2756" s="133"/>
      <c r="W2756" s="133"/>
      <c r="X2756" s="133"/>
      <c r="Y2756" s="133"/>
      <c r="Z2756" s="133"/>
    </row>
    <row r="2757">
      <c r="A2757" s="133"/>
      <c r="B2757" s="133"/>
      <c r="C2757" s="133" t="str">
        <f>IFERROR(__xludf.DUMMYFUNCTION("""COMPUTED_VALUE"""),"2025-509065")</f>
        <v>2025-509065</v>
      </c>
      <c r="D2757" s="133"/>
      <c r="E2757" s="133" t="str">
        <f>IFERROR(__xludf.DUMMYFUNCTION("""COMPUTED_VALUE"""),"مكتمل ")</f>
        <v>مكتمل </v>
      </c>
      <c r="F2757" s="133" t="str">
        <f>IFERROR(__xludf.DUMMYFUNCTION("""COMPUTED_VALUE"""),"Instinct Wet Original (Cat) Duck - CHINA - 5.5 oz. Cans")</f>
        <v>Instinct Wet Original (Cat) Duck - CHINA - 5.5 oz. Cans</v>
      </c>
      <c r="G2757" s="133"/>
      <c r="H2757" s="133" t="str">
        <f>IFERROR(__xludf.DUMMYFUNCTION("""COMPUTED_VALUE"""),"FEM-25-7444-FEP-2025-7687-C-22548-4873")</f>
        <v>FEM-25-7444-FEP-2025-7687-C-22548-4873</v>
      </c>
      <c r="I2757" s="133"/>
      <c r="J2757" s="133"/>
      <c r="K2757" s="133"/>
      <c r="L2757" s="133"/>
      <c r="M2757" s="133"/>
      <c r="N2757" s="133"/>
      <c r="O2757" s="133"/>
      <c r="P2757" s="133"/>
      <c r="Q2757" s="133"/>
      <c r="R2757" s="133"/>
      <c r="S2757" s="133"/>
      <c r="T2757" s="133"/>
      <c r="U2757" s="133"/>
      <c r="V2757" s="133"/>
      <c r="W2757" s="133"/>
      <c r="X2757" s="133"/>
      <c r="Y2757" s="133"/>
      <c r="Z2757" s="133"/>
    </row>
    <row r="2758">
      <c r="A2758" s="133"/>
      <c r="B2758" s="133"/>
      <c r="C2758" s="133" t="str">
        <f>IFERROR(__xludf.DUMMYFUNCTION("""COMPUTED_VALUE"""),"2025-509065")</f>
        <v>2025-509065</v>
      </c>
      <c r="D2758" s="133"/>
      <c r="E2758" s="133" t="str">
        <f>IFERROR(__xludf.DUMMYFUNCTION("""COMPUTED_VALUE"""),"مكتمل ")</f>
        <v>مكتمل </v>
      </c>
      <c r="F2758" s="133" t="str">
        <f>IFERROR(__xludf.DUMMYFUNCTION("""COMPUTED_VALUE"""),"Instinct Wet Original (Cat) Duck - CHINA - 3 oz. Cans")</f>
        <v>Instinct Wet Original (Cat) Duck - CHINA - 3 oz. Cans</v>
      </c>
      <c r="G2758" s="133"/>
      <c r="H2758" s="133" t="str">
        <f>IFERROR(__xludf.DUMMYFUNCTION("""COMPUTED_VALUE"""),"FEM-25-7444-FEP-2025-7687-C-22548-4873")</f>
        <v>FEM-25-7444-FEP-2025-7687-C-22548-4873</v>
      </c>
      <c r="I2758" s="133"/>
      <c r="J2758" s="133"/>
      <c r="K2758" s="133"/>
      <c r="L2758" s="133"/>
      <c r="M2758" s="133"/>
      <c r="N2758" s="133"/>
      <c r="O2758" s="133"/>
      <c r="P2758" s="133"/>
      <c r="Q2758" s="133"/>
      <c r="R2758" s="133"/>
      <c r="S2758" s="133"/>
      <c r="T2758" s="133"/>
      <c r="U2758" s="133"/>
      <c r="V2758" s="133"/>
      <c r="W2758" s="133"/>
      <c r="X2758" s="133"/>
      <c r="Y2758" s="133"/>
      <c r="Z2758" s="133"/>
    </row>
    <row r="2759">
      <c r="A2759" s="133"/>
      <c r="B2759" s="133"/>
      <c r="C2759" s="133" t="str">
        <f>IFERROR(__xludf.DUMMYFUNCTION("""COMPUTED_VALUE"""),"2025-509067")</f>
        <v>2025-509067</v>
      </c>
      <c r="D2759" s="133"/>
      <c r="E2759" s="133" t="str">
        <f>IFERROR(__xludf.DUMMYFUNCTION("""COMPUTED_VALUE"""),"مكتمل ")</f>
        <v>مكتمل </v>
      </c>
      <c r="F2759" s="133" t="str">
        <f>IFERROR(__xludf.DUMMYFUNCTION("""COMPUTED_VALUE"""),"Instinct Wet Original (Kitten) Chicken - CHINA - 5.5 oz. Cans")</f>
        <v>Instinct Wet Original (Kitten) Chicken - CHINA - 5.5 oz. Cans</v>
      </c>
      <c r="G2759" s="133"/>
      <c r="H2759" s="133" t="str">
        <f>IFERROR(__xludf.DUMMYFUNCTION("""COMPUTED_VALUE"""),"FEM-25-7443-FEP-2025-7688-C-22548-4874")</f>
        <v>FEM-25-7443-FEP-2025-7688-C-22548-4874</v>
      </c>
      <c r="I2759" s="133"/>
      <c r="J2759" s="133"/>
      <c r="K2759" s="133"/>
      <c r="L2759" s="133"/>
      <c r="M2759" s="133"/>
      <c r="N2759" s="133"/>
      <c r="O2759" s="133"/>
      <c r="P2759" s="133"/>
      <c r="Q2759" s="133"/>
      <c r="R2759" s="133"/>
      <c r="S2759" s="133"/>
      <c r="T2759" s="133"/>
      <c r="U2759" s="133"/>
      <c r="V2759" s="133"/>
      <c r="W2759" s="133"/>
      <c r="X2759" s="133"/>
      <c r="Y2759" s="133"/>
      <c r="Z2759" s="133"/>
    </row>
    <row r="2760">
      <c r="A2760" s="133"/>
      <c r="B2760" s="133"/>
      <c r="C2760" s="133" t="str">
        <f>IFERROR(__xludf.DUMMYFUNCTION("""COMPUTED_VALUE"""),"2025-509067")</f>
        <v>2025-509067</v>
      </c>
      <c r="D2760" s="133"/>
      <c r="E2760" s="133" t="str">
        <f>IFERROR(__xludf.DUMMYFUNCTION("""COMPUTED_VALUE"""),"مكتمل ")</f>
        <v>مكتمل </v>
      </c>
      <c r="F2760" s="133" t="str">
        <f>IFERROR(__xludf.DUMMYFUNCTION("""COMPUTED_VALUE"""),"Instinct Wet Original (Kitten) Chicken - CHINA - 3 oz. Cans")</f>
        <v>Instinct Wet Original (Kitten) Chicken - CHINA - 3 oz. Cans</v>
      </c>
      <c r="G2760" s="133"/>
      <c r="H2760" s="133" t="str">
        <f>IFERROR(__xludf.DUMMYFUNCTION("""COMPUTED_VALUE"""),"FEM-25-7443-FEP-2025-7688-C-22548-4874")</f>
        <v>FEM-25-7443-FEP-2025-7688-C-22548-4874</v>
      </c>
      <c r="I2760" s="133"/>
      <c r="J2760" s="133"/>
      <c r="K2760" s="133"/>
      <c r="L2760" s="133"/>
      <c r="M2760" s="133"/>
      <c r="N2760" s="133"/>
      <c r="O2760" s="133"/>
      <c r="P2760" s="133"/>
      <c r="Q2760" s="133"/>
      <c r="R2760" s="133"/>
      <c r="S2760" s="133"/>
      <c r="T2760" s="133"/>
      <c r="U2760" s="133"/>
      <c r="V2760" s="133"/>
      <c r="W2760" s="133"/>
      <c r="X2760" s="133"/>
      <c r="Y2760" s="133"/>
      <c r="Z2760" s="133"/>
    </row>
    <row r="2761">
      <c r="A2761" s="133"/>
      <c r="B2761" s="133"/>
      <c r="C2761" s="133" t="str">
        <f>IFERROR(__xludf.DUMMYFUNCTION("""COMPUTED_VALUE"""),"2025-581092")</f>
        <v>2025-581092</v>
      </c>
      <c r="D2761" s="133" t="str">
        <f>IFERROR(__xludf.DUMMYFUNCTION("""COMPUTED_VALUE"""),"AH-3887")</f>
        <v>AH-3887</v>
      </c>
      <c r="E2761" s="133" t="str">
        <f>IFERROR(__xludf.DUMMYFUNCTION("""COMPUTED_VALUE"""),"جديد")</f>
        <v>جديد</v>
      </c>
      <c r="F2761" s="133" t="str">
        <f>IFERROR(__xludf.DUMMYFUNCTION("""COMPUTED_VALUE"""),"Absolute Holistic Shredded Chicken and Scallop")</f>
        <v>Absolute Holistic Shredded Chicken and Scallop</v>
      </c>
      <c r="G2761" s="133"/>
      <c r="H2761" s="133"/>
      <c r="I2761" s="133"/>
      <c r="J2761" s="133"/>
      <c r="K2761" s="133"/>
      <c r="L2761" s="133"/>
      <c r="M2761" s="133"/>
      <c r="N2761" s="133"/>
      <c r="O2761" s="133"/>
      <c r="P2761" s="133"/>
      <c r="Q2761" s="133"/>
      <c r="R2761" s="133"/>
      <c r="S2761" s="133"/>
      <c r="T2761" s="133"/>
      <c r="U2761" s="133"/>
      <c r="V2761" s="133"/>
      <c r="W2761" s="133"/>
      <c r="X2761" s="133"/>
      <c r="Y2761" s="133"/>
      <c r="Z2761" s="133"/>
    </row>
    <row r="2762">
      <c r="A2762" s="133"/>
      <c r="B2762" s="133"/>
      <c r="C2762" s="133" t="str">
        <f>IFERROR(__xludf.DUMMYFUNCTION("""COMPUTED_VALUE"""),"2025-581161")</f>
        <v>2025-581161</v>
      </c>
      <c r="D2762" s="133" t="str">
        <f>IFERROR(__xludf.DUMMYFUNCTION("""COMPUTED_VALUE"""),"AH-3818")</f>
        <v>AH-3818</v>
      </c>
      <c r="E2762" s="133" t="str">
        <f>IFERROR(__xludf.DUMMYFUNCTION("""COMPUTED_VALUE"""),"جديد")</f>
        <v>جديد</v>
      </c>
      <c r="F2762" s="133" t="str">
        <f>IFERROR(__xludf.DUMMYFUNCTION("""COMPUTED_VALUE"""),"Absolute Holistic Shredded Chicken Classic")</f>
        <v>Absolute Holistic Shredded Chicken Classic</v>
      </c>
      <c r="G2762" s="133"/>
      <c r="H2762" s="133"/>
      <c r="I2762" s="133"/>
      <c r="J2762" s="133"/>
      <c r="K2762" s="133"/>
      <c r="L2762" s="133"/>
      <c r="M2762" s="133"/>
      <c r="N2762" s="133"/>
      <c r="O2762" s="133"/>
      <c r="P2762" s="133"/>
      <c r="Q2762" s="133"/>
      <c r="R2762" s="133"/>
      <c r="S2762" s="133"/>
      <c r="T2762" s="133"/>
      <c r="U2762" s="133"/>
      <c r="V2762" s="133"/>
      <c r="W2762" s="133"/>
      <c r="X2762" s="133"/>
      <c r="Y2762" s="133"/>
      <c r="Z2762" s="133"/>
    </row>
    <row r="2763">
      <c r="A2763" s="133"/>
      <c r="B2763" s="133"/>
      <c r="C2763" s="133" t="str">
        <f>IFERROR(__xludf.DUMMYFUNCTION("""COMPUTED_VALUE"""),"2025-581189")</f>
        <v>2025-581189</v>
      </c>
      <c r="D2763" s="133" t="str">
        <f>IFERROR(__xludf.DUMMYFUNCTION("""COMPUTED_VALUE"""),"AH-3825")</f>
        <v>AH-3825</v>
      </c>
      <c r="E2763" s="133" t="str">
        <f>IFERROR(__xludf.DUMMYFUNCTION("""COMPUTED_VALUE"""),"جديد")</f>
        <v>جديد</v>
      </c>
      <c r="F2763" s="133" t="str">
        <f>IFERROR(__xludf.DUMMYFUNCTION("""COMPUTED_VALUE"""),"Absolute Holistic Shredded Chicken &amp; Lamb")</f>
        <v>Absolute Holistic Shredded Chicken &amp; Lamb</v>
      </c>
      <c r="G2763" s="133"/>
      <c r="H2763" s="133"/>
      <c r="I2763" s="133"/>
      <c r="J2763" s="133"/>
      <c r="K2763" s="133"/>
      <c r="L2763" s="133"/>
      <c r="M2763" s="133"/>
      <c r="N2763" s="133"/>
      <c r="O2763" s="133"/>
      <c r="P2763" s="133"/>
      <c r="Q2763" s="133"/>
      <c r="R2763" s="133"/>
      <c r="S2763" s="133"/>
      <c r="T2763" s="133"/>
      <c r="U2763" s="133"/>
      <c r="V2763" s="133"/>
      <c r="W2763" s="133"/>
      <c r="X2763" s="133"/>
      <c r="Y2763" s="133"/>
      <c r="Z2763" s="133"/>
    </row>
    <row r="2764">
      <c r="A2764" s="133"/>
      <c r="B2764" s="133"/>
      <c r="C2764" s="133" t="str">
        <f>IFERROR(__xludf.DUMMYFUNCTION("""COMPUTED_VALUE"""),"2025-581228")</f>
        <v>2025-581228</v>
      </c>
      <c r="D2764" s="133" t="str">
        <f>IFERROR(__xludf.DUMMYFUNCTION("""COMPUTED_VALUE"""),"AH-3832")</f>
        <v>AH-3832</v>
      </c>
      <c r="E2764" s="133" t="str">
        <f>IFERROR(__xludf.DUMMYFUNCTION("""COMPUTED_VALUE"""),"جديد")</f>
        <v>جديد</v>
      </c>
      <c r="F2764" s="133" t="str">
        <f>IFERROR(__xludf.DUMMYFUNCTION("""COMPUTED_VALUE"""),"Absolute Holistic Shredded Chicken and Beef")</f>
        <v>Absolute Holistic Shredded Chicken and Beef</v>
      </c>
      <c r="G2764" s="133"/>
      <c r="H2764" s="133"/>
      <c r="I2764" s="133"/>
      <c r="J2764" s="133"/>
      <c r="K2764" s="133"/>
      <c r="L2764" s="133"/>
      <c r="M2764" s="133"/>
      <c r="N2764" s="133"/>
      <c r="O2764" s="133"/>
      <c r="P2764" s="133"/>
      <c r="Q2764" s="133"/>
      <c r="R2764" s="133"/>
      <c r="S2764" s="133"/>
      <c r="T2764" s="133"/>
      <c r="U2764" s="133"/>
      <c r="V2764" s="133"/>
      <c r="W2764" s="133"/>
      <c r="X2764" s="133"/>
      <c r="Y2764" s="133"/>
      <c r="Z2764" s="133"/>
    </row>
    <row r="2765">
      <c r="A2765" s="133"/>
      <c r="B2765" s="133"/>
      <c r="C2765" s="133" t="str">
        <f>IFERROR(__xludf.DUMMYFUNCTION("""COMPUTED_VALUE"""),"2025-581245")</f>
        <v>2025-581245</v>
      </c>
      <c r="D2765" s="133" t="str">
        <f>IFERROR(__xludf.DUMMYFUNCTION("""COMPUTED_VALUE"""),"AH-3849")</f>
        <v>AH-3849</v>
      </c>
      <c r="E2765" s="133" t="str">
        <f>IFERROR(__xludf.DUMMYFUNCTION("""COMPUTED_VALUE"""),"جديد")</f>
        <v>جديد</v>
      </c>
      <c r="F2765" s="133" t="str">
        <f>IFERROR(__xludf.DUMMYFUNCTION("""COMPUTED_VALUE"""),"Absolute Holistic Shredded Chicken and Salmon")</f>
        <v>Absolute Holistic Shredded Chicken and Salmon</v>
      </c>
      <c r="G2765" s="133"/>
      <c r="H2765" s="133"/>
      <c r="I2765" s="133"/>
      <c r="J2765" s="133"/>
      <c r="K2765" s="133"/>
      <c r="L2765" s="133"/>
      <c r="M2765" s="133"/>
      <c r="N2765" s="133"/>
      <c r="O2765" s="133"/>
      <c r="P2765" s="133"/>
      <c r="Q2765" s="133"/>
      <c r="R2765" s="133"/>
      <c r="S2765" s="133"/>
      <c r="T2765" s="133"/>
      <c r="U2765" s="133"/>
      <c r="V2765" s="133"/>
      <c r="W2765" s="133"/>
      <c r="X2765" s="133"/>
      <c r="Y2765" s="133"/>
      <c r="Z2765" s="133"/>
    </row>
    <row r="2766">
      <c r="A2766" s="133"/>
      <c r="B2766" s="133"/>
      <c r="C2766" s="133" t="str">
        <f>IFERROR(__xludf.DUMMYFUNCTION("""COMPUTED_VALUE"""),"2025-581288")</f>
        <v>2025-581288</v>
      </c>
      <c r="D2766" s="133" t="str">
        <f>IFERROR(__xludf.DUMMYFUNCTION("""COMPUTED_VALUE"""),"AH-3856")</f>
        <v>AH-3856</v>
      </c>
      <c r="E2766" s="133" t="str">
        <f>IFERROR(__xludf.DUMMYFUNCTION("""COMPUTED_VALUE"""),"جديد")</f>
        <v>جديد</v>
      </c>
      <c r="F2766" s="133" t="str">
        <f>IFERROR(__xludf.DUMMYFUNCTION("""COMPUTED_VALUE"""),"Absolute Holistic Shredded Chicken and Skipjack")</f>
        <v>Absolute Holistic Shredded Chicken and Skipjack</v>
      </c>
      <c r="G2766" s="133"/>
      <c r="H2766" s="133"/>
      <c r="I2766" s="133"/>
      <c r="J2766" s="133"/>
      <c r="K2766" s="133"/>
      <c r="L2766" s="133"/>
      <c r="M2766" s="133"/>
      <c r="N2766" s="133"/>
      <c r="O2766" s="133"/>
      <c r="P2766" s="133"/>
      <c r="Q2766" s="133"/>
      <c r="R2766" s="133"/>
      <c r="S2766" s="133"/>
      <c r="T2766" s="133"/>
      <c r="U2766" s="133"/>
      <c r="V2766" s="133"/>
      <c r="W2766" s="133"/>
      <c r="X2766" s="133"/>
      <c r="Y2766" s="133"/>
      <c r="Z2766" s="133"/>
    </row>
    <row r="2767">
      <c r="A2767" s="133"/>
      <c r="B2767" s="133"/>
      <c r="C2767" s="133" t="str">
        <f>IFERROR(__xludf.DUMMYFUNCTION("""COMPUTED_VALUE"""),"2025-581328")</f>
        <v>2025-581328</v>
      </c>
      <c r="D2767" s="133" t="str">
        <f>IFERROR(__xludf.DUMMYFUNCTION("""COMPUTED_VALUE"""),"AH-3771")</f>
        <v>AH-3771</v>
      </c>
      <c r="E2767" s="133" t="str">
        <f>IFERROR(__xludf.DUMMYFUNCTION("""COMPUTED_VALUE"""),"مكتمل ")</f>
        <v>مكتمل </v>
      </c>
      <c r="F2767" s="133" t="str">
        <f>IFERROR(__xludf.DUMMYFUNCTION("""COMPUTED_VALUE"""),"Absolute Holistic White Meat Tuna Classic")</f>
        <v>Absolute Holistic White Meat Tuna Classic</v>
      </c>
      <c r="G2767" s="133"/>
      <c r="H2767" s="133" t="str">
        <f>IFERROR(__xludf.DUMMYFUNCTION("""COMPUTED_VALUE"""),"FEM-25-8229-FEP-2025-8542-C-22548-5379
")</f>
        <v>FEM-25-8229-FEP-2025-8542-C-22548-5379
</v>
      </c>
      <c r="I2767" s="133"/>
      <c r="J2767" s="133"/>
      <c r="K2767" s="133"/>
      <c r="L2767" s="133"/>
      <c r="M2767" s="133"/>
      <c r="N2767" s="133"/>
      <c r="O2767" s="133"/>
      <c r="P2767" s="133"/>
      <c r="Q2767" s="133"/>
      <c r="R2767" s="133"/>
      <c r="S2767" s="133"/>
      <c r="T2767" s="133"/>
      <c r="U2767" s="133"/>
      <c r="V2767" s="133"/>
      <c r="W2767" s="133"/>
      <c r="X2767" s="133"/>
      <c r="Y2767" s="133"/>
      <c r="Z2767" s="133"/>
    </row>
    <row r="2768">
      <c r="A2768" s="133"/>
      <c r="B2768" s="133"/>
      <c r="C2768" s="133" t="str">
        <f>IFERROR(__xludf.DUMMYFUNCTION("""COMPUTED_VALUE"""),"2025-583539")</f>
        <v>2025-583539</v>
      </c>
      <c r="D2768" s="133" t="str">
        <f>IFERROR(__xludf.DUMMYFUNCTION("""COMPUTED_VALUE"""),"AH-3764")</f>
        <v>AH-3764</v>
      </c>
      <c r="E2768" s="133" t="str">
        <f>IFERROR(__xludf.DUMMYFUNCTION("""COMPUTED_VALUE"""),"مكتمل ")</f>
        <v>مكتمل </v>
      </c>
      <c r="F2768" s="133" t="str">
        <f>IFERROR(__xludf.DUMMYFUNCTION("""COMPUTED_VALUE"""),"Absolute Holistic White Meat Tuna and Anchovy")</f>
        <v>Absolute Holistic White Meat Tuna and Anchovy</v>
      </c>
      <c r="G2768" s="133"/>
      <c r="H2768" s="133"/>
      <c r="I2768" s="133"/>
      <c r="J2768" s="133"/>
      <c r="K2768" s="133"/>
      <c r="L2768" s="133"/>
      <c r="M2768" s="133"/>
      <c r="N2768" s="133"/>
      <c r="O2768" s="133"/>
      <c r="P2768" s="133"/>
      <c r="Q2768" s="133"/>
      <c r="R2768" s="133"/>
      <c r="S2768" s="133"/>
      <c r="T2768" s="133"/>
      <c r="U2768" s="133"/>
      <c r="V2768" s="133"/>
      <c r="W2768" s="133"/>
      <c r="X2768" s="133"/>
      <c r="Y2768" s="133"/>
      <c r="Z2768" s="133"/>
    </row>
    <row r="2769">
      <c r="A2769" s="133"/>
      <c r="B2769" s="133"/>
      <c r="C2769" s="133" t="str">
        <f>IFERROR(__xludf.DUMMYFUNCTION("""COMPUTED_VALUE"""),"2025-583603")</f>
        <v>2025-583603</v>
      </c>
      <c r="D2769" s="133" t="str">
        <f>IFERROR(__xludf.DUMMYFUNCTION("""COMPUTED_VALUE"""),"AH-3788")</f>
        <v>AH-3788</v>
      </c>
      <c r="E2769" s="133" t="str">
        <f>IFERROR(__xludf.DUMMYFUNCTION("""COMPUTED_VALUE"""),"جديد")</f>
        <v>جديد</v>
      </c>
      <c r="F2769" s="133" t="str">
        <f>IFERROR(__xludf.DUMMYFUNCTION("""COMPUTED_VALUE"""),"Absolute Holistic White Meat Tuna and Whitebait")</f>
        <v>Absolute Holistic White Meat Tuna and Whitebait</v>
      </c>
      <c r="G2769" s="133"/>
      <c r="H2769" s="133"/>
      <c r="I2769" s="133"/>
      <c r="J2769" s="133"/>
      <c r="K2769" s="133"/>
      <c r="L2769" s="133"/>
      <c r="M2769" s="133"/>
      <c r="N2769" s="133"/>
      <c r="O2769" s="133"/>
      <c r="P2769" s="133"/>
      <c r="Q2769" s="133"/>
      <c r="R2769" s="133"/>
      <c r="S2769" s="133"/>
      <c r="T2769" s="133"/>
      <c r="U2769" s="133"/>
      <c r="V2769" s="133"/>
      <c r="W2769" s="133"/>
      <c r="X2769" s="133"/>
      <c r="Y2769" s="133"/>
      <c r="Z2769" s="133"/>
    </row>
    <row r="2770">
      <c r="A2770" s="133"/>
      <c r="B2770" s="133"/>
      <c r="C2770" s="133" t="str">
        <f>IFERROR(__xludf.DUMMYFUNCTION("""COMPUTED_VALUE"""),"2025-583650")</f>
        <v>2025-583650</v>
      </c>
      <c r="D2770" s="133" t="str">
        <f>IFERROR(__xludf.DUMMYFUNCTION("""COMPUTED_VALUE"""),"AH-3795")</f>
        <v>AH-3795</v>
      </c>
      <c r="E2770" s="133" t="str">
        <f>IFERROR(__xludf.DUMMYFUNCTION("""COMPUTED_VALUE"""),"جديد")</f>
        <v>جديد</v>
      </c>
      <c r="F2770" s="133" t="str">
        <f>IFERROR(__xludf.DUMMYFUNCTION("""COMPUTED_VALUE"""),"Absolute Holistic White Meat Tuna and Scallop")</f>
        <v>Absolute Holistic White Meat Tuna and Scallop</v>
      </c>
      <c r="G2770" s="133"/>
      <c r="H2770" s="133"/>
      <c r="I2770" s="133"/>
      <c r="J2770" s="133"/>
      <c r="K2770" s="133"/>
      <c r="L2770" s="133"/>
      <c r="M2770" s="133"/>
      <c r="N2770" s="133"/>
      <c r="O2770" s="133"/>
      <c r="P2770" s="133"/>
      <c r="Q2770" s="133"/>
      <c r="R2770" s="133"/>
      <c r="S2770" s="133"/>
      <c r="T2770" s="133"/>
      <c r="U2770" s="133"/>
      <c r="V2770" s="133"/>
      <c r="W2770" s="133"/>
      <c r="X2770" s="133"/>
      <c r="Y2770" s="133"/>
      <c r="Z2770" s="133"/>
    </row>
    <row r="2771">
      <c r="A2771" s="133"/>
      <c r="B2771" s="133"/>
      <c r="C2771" s="133" t="str">
        <f>IFERROR(__xludf.DUMMYFUNCTION("""COMPUTED_VALUE"""),"2025-583733")</f>
        <v>2025-583733</v>
      </c>
      <c r="D2771" s="133" t="str">
        <f>IFERROR(__xludf.DUMMYFUNCTION("""COMPUTED_VALUE"""),"AH-3801")</f>
        <v>AH-3801</v>
      </c>
      <c r="E2771" s="133" t="str">
        <f>IFERROR(__xludf.DUMMYFUNCTION("""COMPUTED_VALUE"""),"جديد")</f>
        <v>جديد</v>
      </c>
      <c r="F2771" s="133" t="str">
        <f>IFERROR(__xludf.DUMMYFUNCTION("""COMPUTED_VALUE"""),"Absolute Holistic White Meat Tuna and Crabstick")</f>
        <v>Absolute Holistic White Meat Tuna and Crabstick</v>
      </c>
      <c r="G2771" s="133"/>
      <c r="H2771" s="133"/>
      <c r="I2771" s="133"/>
      <c r="J2771" s="133"/>
      <c r="K2771" s="133"/>
      <c r="L2771" s="133"/>
      <c r="M2771" s="133"/>
      <c r="N2771" s="133"/>
      <c r="O2771" s="133"/>
      <c r="P2771" s="133"/>
      <c r="Q2771" s="133"/>
      <c r="R2771" s="133"/>
      <c r="S2771" s="133"/>
      <c r="T2771" s="133"/>
      <c r="U2771" s="133"/>
      <c r="V2771" s="133"/>
      <c r="W2771" s="133"/>
      <c r="X2771" s="133"/>
      <c r="Y2771" s="133"/>
      <c r="Z2771" s="133"/>
    </row>
    <row r="2772">
      <c r="A2772" s="133"/>
      <c r="B2772" s="133"/>
      <c r="C2772" s="133" t="str">
        <f>IFERROR(__xludf.DUMMYFUNCTION("""COMPUTED_VALUE"""),"2025-584256")</f>
        <v>2025-584256</v>
      </c>
      <c r="D2772" s="133" t="str">
        <f>IFERROR(__xludf.DUMMYFUNCTION("""COMPUTED_VALUE"""),"AM-5362")</f>
        <v>AM-5362</v>
      </c>
      <c r="E2772" s="133" t="str">
        <f>IFERROR(__xludf.DUMMYFUNCTION("""COMPUTED_VALUE"""),"مكتمل ")</f>
        <v>مكتمل </v>
      </c>
      <c r="F2772" s="133" t="str">
        <f>IFERROR(__xludf.DUMMYFUNCTION("""COMPUTED_VALUE"""),"Absolute Holistic Meaty Loaf 100g - Salmon
")</f>
        <v>Absolute Holistic Meaty Loaf 100g - Salmon
</v>
      </c>
      <c r="G2772" s="133"/>
      <c r="H2772" s="133"/>
      <c r="I2772" s="133"/>
      <c r="J2772" s="133"/>
      <c r="K2772" s="133"/>
      <c r="L2772" s="133"/>
      <c r="M2772" s="133"/>
      <c r="N2772" s="133"/>
      <c r="O2772" s="133"/>
      <c r="P2772" s="133"/>
      <c r="Q2772" s="133"/>
      <c r="R2772" s="133"/>
      <c r="S2772" s="133"/>
      <c r="T2772" s="133"/>
      <c r="U2772" s="133"/>
      <c r="V2772" s="133"/>
      <c r="W2772" s="133"/>
      <c r="X2772" s="133"/>
      <c r="Y2772" s="133"/>
      <c r="Z2772" s="133"/>
    </row>
    <row r="2773">
      <c r="A2773" s="133"/>
      <c r="B2773" s="133"/>
      <c r="C2773" s="133" t="str">
        <f>IFERROR(__xludf.DUMMYFUNCTION("""COMPUTED_VALUE"""),"2025-584309")</f>
        <v>2025-584309</v>
      </c>
      <c r="D2773" s="133" t="str">
        <f>IFERROR(__xludf.DUMMYFUNCTION("""COMPUTED_VALUE"""),"AM-5379")</f>
        <v>AM-5379</v>
      </c>
      <c r="E2773" s="133" t="str">
        <f>IFERROR(__xludf.DUMMYFUNCTION("""COMPUTED_VALUE"""),"مكتمل ")</f>
        <v>مكتمل </v>
      </c>
      <c r="F2773" s="133" t="str">
        <f>IFERROR(__xludf.DUMMYFUNCTION("""COMPUTED_VALUE"""),"Absolute Holistic Meaty Loaf 100g - Lamb")</f>
        <v>Absolute Holistic Meaty Loaf 100g - Lamb</v>
      </c>
      <c r="G2773" s="133"/>
      <c r="H2773" s="133"/>
      <c r="I2773" s="133"/>
      <c r="J2773" s="133"/>
      <c r="K2773" s="133"/>
      <c r="L2773" s="133"/>
      <c r="M2773" s="133"/>
      <c r="N2773" s="133"/>
      <c r="O2773" s="133"/>
      <c r="P2773" s="133"/>
      <c r="Q2773" s="133"/>
      <c r="R2773" s="133"/>
      <c r="S2773" s="133"/>
      <c r="T2773" s="133"/>
      <c r="U2773" s="133"/>
      <c r="V2773" s="133"/>
      <c r="W2773" s="133"/>
      <c r="X2773" s="133"/>
      <c r="Y2773" s="133"/>
      <c r="Z2773" s="133"/>
    </row>
    <row r="2774">
      <c r="A2774" s="133"/>
      <c r="B2774" s="133"/>
      <c r="C2774" s="133" t="str">
        <f>IFERROR(__xludf.DUMMYFUNCTION("""COMPUTED_VALUE"""),"2025-589914")</f>
        <v>2025-589914</v>
      </c>
      <c r="D2774" s="133" t="str">
        <f>IFERROR(__xludf.DUMMYFUNCTION("""COMPUTED_VALUE"""),"AM-5393")</f>
        <v>AM-5393</v>
      </c>
      <c r="E2774" s="133" t="str">
        <f>IFERROR(__xludf.DUMMYFUNCTION("""COMPUTED_VALUE"""),"جديد")</f>
        <v>جديد</v>
      </c>
      <c r="F2774" s="133" t="str">
        <f>IFERROR(__xludf.DUMMYFUNCTION("""COMPUTED_VALUE"""),"Absolute Holistic Meaty Loaf 100g - Duck")</f>
        <v>Absolute Holistic Meaty Loaf 100g - Duck</v>
      </c>
      <c r="G2774" s="133"/>
      <c r="H2774" s="133"/>
      <c r="I2774" s="133"/>
      <c r="J2774" s="133"/>
      <c r="K2774" s="133"/>
      <c r="L2774" s="133"/>
      <c r="M2774" s="133"/>
      <c r="N2774" s="133"/>
      <c r="O2774" s="133"/>
      <c r="P2774" s="133"/>
      <c r="Q2774" s="133"/>
      <c r="R2774" s="133"/>
      <c r="S2774" s="133"/>
      <c r="T2774" s="133"/>
      <c r="U2774" s="133"/>
      <c r="V2774" s="133"/>
      <c r="W2774" s="133"/>
      <c r="X2774" s="133"/>
      <c r="Y2774" s="133"/>
      <c r="Z2774" s="133"/>
    </row>
    <row r="2775">
      <c r="A2775" s="133"/>
      <c r="B2775" s="133"/>
      <c r="C2775" s="133" t="str">
        <f>IFERROR(__xludf.DUMMYFUNCTION("""COMPUTED_VALUE"""),"2025-589957")</f>
        <v>2025-589957</v>
      </c>
      <c r="D2775" s="133" t="str">
        <f>IFERROR(__xludf.DUMMYFUNCTION("""COMPUTED_VALUE"""),"AM-5423")</f>
        <v>AM-5423</v>
      </c>
      <c r="E2775" s="133" t="str">
        <f>IFERROR(__xludf.DUMMYFUNCTION("""COMPUTED_VALUE"""),"جديد")</f>
        <v>جديد</v>
      </c>
      <c r="F2775" s="133" t="str">
        <f>IFERROR(__xludf.DUMMYFUNCTION("""COMPUTED_VALUE"""),"Absolute Holistic Meaty Loaf 100g - Tuna")</f>
        <v>Absolute Holistic Meaty Loaf 100g - Tuna</v>
      </c>
      <c r="G2775" s="133"/>
      <c r="H2775" s="133"/>
      <c r="I2775" s="133"/>
      <c r="J2775" s="133"/>
      <c r="K2775" s="133"/>
      <c r="L2775" s="133"/>
      <c r="M2775" s="133"/>
      <c r="N2775" s="133"/>
      <c r="O2775" s="133"/>
      <c r="P2775" s="133"/>
      <c r="Q2775" s="133"/>
      <c r="R2775" s="133"/>
      <c r="S2775" s="133"/>
      <c r="T2775" s="133"/>
      <c r="U2775" s="133"/>
      <c r="V2775" s="133"/>
      <c r="W2775" s="133"/>
      <c r="X2775" s="133"/>
      <c r="Y2775" s="133"/>
      <c r="Z2775" s="133"/>
    </row>
    <row r="2776">
      <c r="A2776" s="133"/>
      <c r="B2776" s="133"/>
      <c r="C2776" s="133" t="str">
        <f>IFERROR(__xludf.DUMMYFUNCTION("""COMPUTED_VALUE"""),"2025-590039")</f>
        <v>2025-590039</v>
      </c>
      <c r="D2776" s="133" t="str">
        <f>IFERROR(__xludf.DUMMYFUNCTION("""COMPUTED_VALUE"""),"AM-5447")</f>
        <v>AM-5447</v>
      </c>
      <c r="E2776" s="133" t="str">
        <f>IFERROR(__xludf.DUMMYFUNCTION("""COMPUTED_VALUE"""),"جديد")</f>
        <v>جديد</v>
      </c>
      <c r="F2776" s="133" t="str">
        <f>IFERROR(__xludf.DUMMYFUNCTION("""COMPUTED_VALUE"""),"Absolute Holistic Meaty Loaf 100g - Turkey
")</f>
        <v>Absolute Holistic Meaty Loaf 100g - Turkey
</v>
      </c>
      <c r="G2776" s="133"/>
      <c r="H2776" s="133"/>
      <c r="I2776" s="133"/>
      <c r="J2776" s="133"/>
      <c r="K2776" s="133"/>
      <c r="L2776" s="133"/>
      <c r="M2776" s="133"/>
      <c r="N2776" s="133"/>
      <c r="O2776" s="133"/>
      <c r="P2776" s="133"/>
      <c r="Q2776" s="133"/>
      <c r="R2776" s="133"/>
      <c r="S2776" s="133"/>
      <c r="T2776" s="133"/>
      <c r="U2776" s="133"/>
      <c r="V2776" s="133"/>
      <c r="W2776" s="133"/>
      <c r="X2776" s="133"/>
      <c r="Y2776" s="133"/>
      <c r="Z2776" s="133"/>
    </row>
    <row r="2777">
      <c r="A2777" s="133"/>
      <c r="B2777" s="133"/>
      <c r="C2777" s="133" t="str">
        <f>IFERROR(__xludf.DUMMYFUNCTION("""COMPUTED_VALUE"""),"2025-590061")</f>
        <v>2025-590061</v>
      </c>
      <c r="D2777" s="133" t="str">
        <f>IFERROR(__xludf.DUMMYFUNCTION("""COMPUTED_VALUE"""),"AM-5409")</f>
        <v>AM-5409</v>
      </c>
      <c r="E2777" s="133" t="str">
        <f>IFERROR(__xludf.DUMMYFUNCTION("""COMPUTED_VALUE"""),"جديد")</f>
        <v>جديد</v>
      </c>
      <c r="F2777" s="133" t="str">
        <f>IFERROR(__xludf.DUMMYFUNCTION("""COMPUTED_VALUE"""),"Absolute Holistic Meaty Loaf 100g - Chicken
")</f>
        <v>Absolute Holistic Meaty Loaf 100g - Chicken
</v>
      </c>
      <c r="G2777" s="133"/>
      <c r="H2777" s="133"/>
      <c r="I2777" s="133"/>
      <c r="J2777" s="133"/>
      <c r="K2777" s="133"/>
      <c r="L2777" s="133"/>
      <c r="M2777" s="133"/>
      <c r="N2777" s="133"/>
      <c r="O2777" s="133"/>
      <c r="P2777" s="133"/>
      <c r="Q2777" s="133"/>
      <c r="R2777" s="133"/>
      <c r="S2777" s="133"/>
      <c r="T2777" s="133"/>
      <c r="U2777" s="133"/>
      <c r="V2777" s="133"/>
      <c r="W2777" s="133"/>
      <c r="X2777" s="133"/>
      <c r="Y2777" s="133"/>
      <c r="Z2777" s="133"/>
    </row>
    <row r="2778">
      <c r="A2778" s="133"/>
      <c r="B2778" s="133"/>
      <c r="C2778" s="133" t="str">
        <f>IFERROR(__xludf.DUMMYFUNCTION("""COMPUTED_VALUE"""),"2025-590366")</f>
        <v>2025-590366</v>
      </c>
      <c r="D2778" s="133" t="str">
        <f>IFERROR(__xludf.DUMMYFUNCTION("""COMPUTED_VALUE"""),"AH-4310")</f>
        <v>AH-4310</v>
      </c>
      <c r="E2778" s="133" t="str">
        <f>IFERROR(__xludf.DUMMYFUNCTION("""COMPUTED_VALUE"""),"جديد")</f>
        <v>جديد</v>
      </c>
      <c r="F2778" s="133" t="str">
        <f>IFERROR(__xludf.DUMMYFUNCTION("""COMPUTED_VALUE"""),"Absolute Holistic Dental Chew Cranberry")</f>
        <v>Absolute Holistic Dental Chew Cranberry</v>
      </c>
      <c r="G2778" s="133"/>
      <c r="H2778" s="133"/>
      <c r="I2778" s="133"/>
      <c r="J2778" s="133"/>
      <c r="K2778" s="133"/>
      <c r="L2778" s="133"/>
      <c r="M2778" s="133"/>
      <c r="N2778" s="133"/>
      <c r="O2778" s="133"/>
      <c r="P2778" s="133"/>
      <c r="Q2778" s="133"/>
      <c r="R2778" s="133"/>
      <c r="S2778" s="133"/>
      <c r="T2778" s="133"/>
      <c r="U2778" s="133"/>
      <c r="V2778" s="133"/>
      <c r="W2778" s="133"/>
      <c r="X2778" s="133"/>
      <c r="Y2778" s="133"/>
      <c r="Z2778" s="133"/>
    </row>
    <row r="2779">
      <c r="A2779" s="133"/>
      <c r="B2779" s="133"/>
      <c r="C2779" s="133" t="str">
        <f>IFERROR(__xludf.DUMMYFUNCTION("""COMPUTED_VALUE"""),"2025-590473")</f>
        <v>2025-590473</v>
      </c>
      <c r="D2779" s="133" t="str">
        <f>IFERROR(__xludf.DUMMYFUNCTION("""COMPUTED_VALUE"""),"AH-4327")</f>
        <v>AH-4327</v>
      </c>
      <c r="E2779" s="133" t="str">
        <f>IFERROR(__xludf.DUMMYFUNCTION("""COMPUTED_VALUE"""),"جديد")</f>
        <v>جديد</v>
      </c>
      <c r="F2779" s="133" t="str">
        <f>IFERROR(__xludf.DUMMYFUNCTION("""COMPUTED_VALUE"""),"Absolute Holistic Dental Chew  Milk")</f>
        <v>Absolute Holistic Dental Chew  Milk</v>
      </c>
      <c r="G2779" s="133"/>
      <c r="H2779" s="133"/>
      <c r="I2779" s="133"/>
      <c r="J2779" s="133"/>
      <c r="K2779" s="133"/>
      <c r="L2779" s="133"/>
      <c r="M2779" s="133"/>
      <c r="N2779" s="133"/>
      <c r="O2779" s="133"/>
      <c r="P2779" s="133"/>
      <c r="Q2779" s="133"/>
      <c r="R2779" s="133"/>
      <c r="S2779" s="133"/>
      <c r="T2779" s="133"/>
      <c r="U2779" s="133"/>
      <c r="V2779" s="133"/>
      <c r="W2779" s="133"/>
      <c r="X2779" s="133"/>
      <c r="Y2779" s="133"/>
      <c r="Z2779" s="133"/>
    </row>
    <row r="2780">
      <c r="A2780" s="133"/>
      <c r="B2780" s="133"/>
      <c r="C2780" s="133" t="str">
        <f>IFERROR(__xludf.DUMMYFUNCTION("""COMPUTED_VALUE"""),"2025-593339")</f>
        <v>2025-593339</v>
      </c>
      <c r="D2780" s="133"/>
      <c r="E2780" s="133" t="str">
        <f>IFERROR(__xludf.DUMMYFUNCTION("""COMPUTED_VALUE"""),"جديد")</f>
        <v>جديد</v>
      </c>
      <c r="F2780" s="133" t="str">
        <f>IFERROR(__xludf.DUMMYFUNCTION("""COMPUTED_VALUE"""),"BIO PETACTIVE MULTISOL")</f>
        <v>BIO PETACTIVE MULTISOL</v>
      </c>
      <c r="G2780" s="133"/>
      <c r="H2780" s="133"/>
      <c r="I2780" s="133"/>
      <c r="J2780" s="133"/>
      <c r="K2780" s="133"/>
      <c r="L2780" s="133"/>
      <c r="M2780" s="133"/>
      <c r="N2780" s="133"/>
      <c r="O2780" s="133"/>
      <c r="P2780" s="133"/>
      <c r="Q2780" s="133"/>
      <c r="R2780" s="133"/>
      <c r="S2780" s="133"/>
      <c r="T2780" s="133"/>
      <c r="U2780" s="133"/>
      <c r="V2780" s="133"/>
      <c r="W2780" s="133"/>
      <c r="X2780" s="133"/>
      <c r="Y2780" s="133"/>
      <c r="Z2780" s="133"/>
    </row>
    <row r="2781">
      <c r="A2781" s="133"/>
      <c r="B2781" s="133"/>
      <c r="C2781" s="133" t="str">
        <f>IFERROR(__xludf.DUMMYFUNCTION("""COMPUTED_VALUE"""),"2025-593791")</f>
        <v>2025-593791</v>
      </c>
      <c r="D2781" s="133"/>
      <c r="E2781" s="133" t="str">
        <f>IFERROR(__xludf.DUMMYFUNCTION("""COMPUTED_VALUE"""),"جديد")</f>
        <v>جديد</v>
      </c>
      <c r="F2781" s="133" t="str">
        <f>IFERROR(__xludf.DUMMYFUNCTION("""COMPUTED_VALUE"""),"CatiMalt Plus  100 ml")</f>
        <v>CatiMalt Plus  100 ml</v>
      </c>
      <c r="G2781" s="133"/>
      <c r="H2781" s="133"/>
      <c r="I2781" s="133"/>
      <c r="J2781" s="133"/>
      <c r="K2781" s="133"/>
      <c r="L2781" s="133"/>
      <c r="M2781" s="133"/>
      <c r="N2781" s="133"/>
      <c r="O2781" s="133"/>
      <c r="P2781" s="133"/>
      <c r="Q2781" s="133"/>
      <c r="R2781" s="133"/>
      <c r="S2781" s="133"/>
      <c r="T2781" s="133"/>
      <c r="U2781" s="133"/>
      <c r="V2781" s="133"/>
      <c r="W2781" s="133"/>
      <c r="X2781" s="133"/>
      <c r="Y2781" s="133"/>
      <c r="Z2781" s="133"/>
    </row>
    <row r="2782">
      <c r="A2782" s="133"/>
      <c r="B2782" s="133"/>
      <c r="C2782" s="133" t="str">
        <f>IFERROR(__xludf.DUMMYFUNCTION("""COMPUTED_VALUE"""),"2025-593841")</f>
        <v>2025-593841</v>
      </c>
      <c r="D2782" s="133"/>
      <c r="E2782" s="133" t="str">
        <f>IFERROR(__xludf.DUMMYFUNCTION("""COMPUTED_VALUE"""),"جديد")</f>
        <v>جديد</v>
      </c>
      <c r="F2782" s="133" t="str">
        <f>IFERROR(__xludf.DUMMYFUNCTION("""COMPUTED_VALUE"""),"BIO PETACTIVE BETISOL")</f>
        <v>BIO PETACTIVE BETISOL</v>
      </c>
      <c r="G2782" s="133"/>
      <c r="H2782" s="133"/>
      <c r="I2782" s="133"/>
      <c r="J2782" s="133"/>
      <c r="K2782" s="133"/>
      <c r="L2782" s="133"/>
      <c r="M2782" s="133"/>
      <c r="N2782" s="133"/>
      <c r="O2782" s="133"/>
      <c r="P2782" s="133"/>
      <c r="Q2782" s="133"/>
      <c r="R2782" s="133"/>
      <c r="S2782" s="133"/>
      <c r="T2782" s="133"/>
      <c r="U2782" s="133"/>
      <c r="V2782" s="133"/>
      <c r="W2782" s="133"/>
      <c r="X2782" s="133"/>
      <c r="Y2782" s="133"/>
      <c r="Z2782" s="133"/>
    </row>
    <row r="2783">
      <c r="A2783" s="133"/>
      <c r="B2783" s="133"/>
      <c r="C2783" s="133" t="str">
        <f>IFERROR(__xludf.DUMMYFUNCTION("""COMPUTED_VALUE"""),"2025-593858")</f>
        <v>2025-593858</v>
      </c>
      <c r="D2783" s="133"/>
      <c r="E2783" s="133" t="str">
        <f>IFERROR(__xludf.DUMMYFUNCTION("""COMPUTED_VALUE"""),"جديد")</f>
        <v>جديد</v>
      </c>
      <c r="F2783" s="133" t="str">
        <f>IFERROR(__xludf.DUMMYFUNCTION("""COMPUTED_VALUE"""),"DEEP MINERAL
")</f>
        <v>DEEP MINERAL
</v>
      </c>
      <c r="G2783" s="133"/>
      <c r="H2783" s="133"/>
      <c r="I2783" s="133"/>
      <c r="J2783" s="133"/>
      <c r="K2783" s="133"/>
      <c r="L2783" s="133"/>
      <c r="M2783" s="133"/>
      <c r="N2783" s="133"/>
      <c r="O2783" s="133"/>
      <c r="P2783" s="133"/>
      <c r="Q2783" s="133"/>
      <c r="R2783" s="133"/>
      <c r="S2783" s="133"/>
      <c r="T2783" s="133"/>
      <c r="U2783" s="133"/>
      <c r="V2783" s="133"/>
      <c r="W2783" s="133"/>
      <c r="X2783" s="133"/>
      <c r="Y2783" s="133"/>
      <c r="Z2783" s="133"/>
    </row>
    <row r="2784">
      <c r="A2784" s="133"/>
      <c r="B2784" s="133"/>
      <c r="C2784" s="133" t="str">
        <f>IFERROR(__xludf.DUMMYFUNCTION("""COMPUTED_VALUE"""),"2025-597709")</f>
        <v>2025-597709</v>
      </c>
      <c r="D2784" s="133"/>
      <c r="E2784" s="133" t="str">
        <f>IFERROR(__xludf.DUMMYFUNCTION("""COMPUTED_VALUE"""),"جديد")</f>
        <v>جديد</v>
      </c>
      <c r="F2784" s="133" t="str">
        <f>IFERROR(__xludf.DUMMYFUNCTION("""COMPUTED_VALUE"""),"Bio ISHAMIX")</f>
        <v>Bio ISHAMIX</v>
      </c>
      <c r="G2784" s="133"/>
      <c r="H2784" s="133"/>
      <c r="I2784" s="133"/>
      <c r="J2784" s="133"/>
      <c r="K2784" s="133"/>
      <c r="L2784" s="133"/>
      <c r="M2784" s="133"/>
      <c r="N2784" s="133"/>
      <c r="O2784" s="133"/>
      <c r="P2784" s="133"/>
      <c r="Q2784" s="133"/>
      <c r="R2784" s="133"/>
      <c r="S2784" s="133"/>
      <c r="T2784" s="133"/>
      <c r="U2784" s="133"/>
      <c r="V2784" s="133"/>
      <c r="W2784" s="133"/>
      <c r="X2784" s="133"/>
      <c r="Y2784" s="133"/>
      <c r="Z2784" s="133"/>
    </row>
    <row r="2785">
      <c r="A2785" s="133"/>
      <c r="B2785" s="133"/>
      <c r="C2785" s="133" t="str">
        <f>IFERROR(__xludf.DUMMYFUNCTION("""COMPUTED_VALUE"""),"2025-597775")</f>
        <v>2025-597775</v>
      </c>
      <c r="D2785" s="133"/>
      <c r="E2785" s="133" t="str">
        <f>IFERROR(__xludf.DUMMYFUNCTION("""COMPUTED_VALUE"""),"جديد")</f>
        <v>جديد</v>
      </c>
      <c r="F2785" s="133" t="str">
        <f>IFERROR(__xludf.DUMMYFUNCTION("""COMPUTED_VALUE"""),"E-Vitasel")</f>
        <v>E-Vitasel</v>
      </c>
      <c r="G2785" s="133"/>
      <c r="H2785" s="133"/>
      <c r="I2785" s="133"/>
      <c r="J2785" s="133"/>
      <c r="K2785" s="133"/>
      <c r="L2785" s="133"/>
      <c r="M2785" s="133"/>
      <c r="N2785" s="133"/>
      <c r="O2785" s="133"/>
      <c r="P2785" s="133"/>
      <c r="Q2785" s="133"/>
      <c r="R2785" s="133"/>
      <c r="S2785" s="133"/>
      <c r="T2785" s="133"/>
      <c r="U2785" s="133"/>
      <c r="V2785" s="133"/>
      <c r="W2785" s="133"/>
      <c r="X2785" s="133"/>
      <c r="Y2785" s="133"/>
      <c r="Z2785" s="133"/>
    </row>
    <row r="2786">
      <c r="A2786" s="133"/>
      <c r="B2786" s="133"/>
      <c r="C2786" s="133" t="str">
        <f>IFERROR(__xludf.DUMMYFUNCTION("""COMPUTED_VALUE"""),"2025-597868")</f>
        <v>2025-597868</v>
      </c>
      <c r="D2786" s="133"/>
      <c r="E2786" s="133" t="str">
        <f>IFERROR(__xludf.DUMMYFUNCTION("""COMPUTED_VALUE"""),"جديد")</f>
        <v>جديد</v>
      </c>
      <c r="F2786" s="133" t="str">
        <f>IFERROR(__xludf.DUMMYFUNCTION("""COMPUTED_VALUE"""),"Avilin")</f>
        <v>Avilin</v>
      </c>
      <c r="G2786" s="133"/>
      <c r="H2786" s="133"/>
      <c r="I2786" s="133"/>
      <c r="J2786" s="133"/>
      <c r="K2786" s="133"/>
      <c r="L2786" s="133"/>
      <c r="M2786" s="133"/>
      <c r="N2786" s="133"/>
      <c r="O2786" s="133"/>
      <c r="P2786" s="133"/>
      <c r="Q2786" s="133"/>
      <c r="R2786" s="133"/>
      <c r="S2786" s="133"/>
      <c r="T2786" s="133"/>
      <c r="U2786" s="133"/>
      <c r="V2786" s="133"/>
      <c r="W2786" s="133"/>
      <c r="X2786" s="133"/>
      <c r="Y2786" s="133"/>
      <c r="Z2786" s="133"/>
    </row>
    <row r="2787">
      <c r="A2787" s="133"/>
      <c r="B2787" s="133"/>
      <c r="C2787" s="133" t="str">
        <f>IFERROR(__xludf.DUMMYFUNCTION("""COMPUTED_VALUE"""),"2025-597895")</f>
        <v>2025-597895</v>
      </c>
      <c r="D2787" s="133"/>
      <c r="E2787" s="133" t="str">
        <f>IFERROR(__xludf.DUMMYFUNCTION("""COMPUTED_VALUE"""),"جديد")</f>
        <v>جديد</v>
      </c>
      <c r="F2787" s="133" t="str">
        <f>IFERROR(__xludf.DUMMYFUNCTION("""COMPUTED_VALUE"""),"Spirulina")</f>
        <v>Spirulina</v>
      </c>
      <c r="G2787" s="133"/>
      <c r="H2787" s="133"/>
      <c r="I2787" s="133"/>
      <c r="J2787" s="133"/>
      <c r="K2787" s="133"/>
      <c r="L2787" s="133"/>
      <c r="M2787" s="133"/>
      <c r="N2787" s="133"/>
      <c r="O2787" s="133"/>
      <c r="P2787" s="133"/>
      <c r="Q2787" s="133"/>
      <c r="R2787" s="133"/>
      <c r="S2787" s="133"/>
      <c r="T2787" s="133"/>
      <c r="U2787" s="133"/>
      <c r="V2787" s="133"/>
      <c r="W2787" s="133"/>
      <c r="X2787" s="133"/>
      <c r="Y2787" s="133"/>
      <c r="Z2787" s="133"/>
    </row>
    <row r="2788">
      <c r="A2788" s="133"/>
      <c r="B2788" s="133"/>
      <c r="C2788" s="133" t="str">
        <f>IFERROR(__xludf.DUMMYFUNCTION("""COMPUTED_VALUE"""),"2025-597988")</f>
        <v>2025-597988</v>
      </c>
      <c r="D2788" s="133"/>
      <c r="E2788" s="133" t="str">
        <f>IFERROR(__xludf.DUMMYFUNCTION("""COMPUTED_VALUE"""),"جديد")</f>
        <v>جديد</v>
      </c>
      <c r="F2788" s="133" t="str">
        <f>IFERROR(__xludf.DUMMYFUNCTION("""COMPUTED_VALUE"""),"Pigeon Vit")</f>
        <v>Pigeon Vit</v>
      </c>
      <c r="G2788" s="133"/>
      <c r="H2788" s="133"/>
      <c r="I2788" s="133"/>
      <c r="J2788" s="133"/>
      <c r="K2788" s="133"/>
      <c r="L2788" s="133"/>
      <c r="M2788" s="133"/>
      <c r="N2788" s="133"/>
      <c r="O2788" s="133"/>
      <c r="P2788" s="133"/>
      <c r="Q2788" s="133"/>
      <c r="R2788" s="133"/>
      <c r="S2788" s="133"/>
      <c r="T2788" s="133"/>
      <c r="U2788" s="133"/>
      <c r="V2788" s="133"/>
      <c r="W2788" s="133"/>
      <c r="X2788" s="133"/>
      <c r="Y2788" s="133"/>
      <c r="Z2788" s="133"/>
    </row>
    <row r="2789">
      <c r="A2789" s="133"/>
      <c r="B2789" s="133"/>
      <c r="C2789" s="133" t="str">
        <f>IFERROR(__xludf.DUMMYFUNCTION("""COMPUTED_VALUE"""),"2025-598187	")</f>
        <v>2025-598187	</v>
      </c>
      <c r="D2789" s="133"/>
      <c r="E2789" s="133" t="str">
        <f>IFERROR(__xludf.DUMMYFUNCTION("""COMPUTED_VALUE"""),"جديد")</f>
        <v>جديد</v>
      </c>
      <c r="F2789" s="133" t="str">
        <f>IFERROR(__xludf.DUMMYFUNCTION("""COMPUTED_VALUE"""),"AviBiotin")</f>
        <v>AviBiotin</v>
      </c>
      <c r="G2789" s="133"/>
      <c r="H2789" s="133"/>
      <c r="I2789" s="133"/>
      <c r="J2789" s="133"/>
      <c r="K2789" s="133"/>
      <c r="L2789" s="133"/>
      <c r="M2789" s="133"/>
      <c r="N2789" s="133"/>
      <c r="O2789" s="133"/>
      <c r="P2789" s="133"/>
      <c r="Q2789" s="133"/>
      <c r="R2789" s="133"/>
      <c r="S2789" s="133"/>
      <c r="T2789" s="133"/>
      <c r="U2789" s="133"/>
      <c r="V2789" s="133"/>
      <c r="W2789" s="133"/>
      <c r="X2789" s="133"/>
      <c r="Y2789" s="133"/>
      <c r="Z2789" s="133"/>
    </row>
    <row r="2790">
      <c r="A2790" s="133"/>
      <c r="B2790" s="133"/>
      <c r="C2790" s="133" t="str">
        <f>IFERROR(__xludf.DUMMYFUNCTION("""COMPUTED_VALUE"""),"  2025-598303")</f>
        <v>  2025-598303</v>
      </c>
      <c r="D2790" s="133" t="str">
        <f>IFERROR(__xludf.DUMMYFUNCTION("""COMPUTED_VALUE"""),"AH-4334")</f>
        <v>AH-4334</v>
      </c>
      <c r="E2790" s="133" t="str">
        <f>IFERROR(__xludf.DUMMYFUNCTION("""COMPUTED_VALUE"""),"جديد")</f>
        <v>جديد</v>
      </c>
      <c r="F2790" s="133" t="str">
        <f>IFERROR(__xludf.DUMMYFUNCTION("""COMPUTED_VALUE"""),"Absolute Holistic Dental Chew Fresh Mint")</f>
        <v>Absolute Holistic Dental Chew Fresh Mint</v>
      </c>
      <c r="G2790" s="133"/>
      <c r="H2790" s="133"/>
      <c r="I2790" s="133"/>
      <c r="J2790" s="133"/>
      <c r="K2790" s="133"/>
      <c r="L2790" s="133"/>
      <c r="M2790" s="133"/>
      <c r="N2790" s="133"/>
      <c r="O2790" s="133"/>
      <c r="P2790" s="133"/>
      <c r="Q2790" s="133"/>
      <c r="R2790" s="133"/>
      <c r="S2790" s="133"/>
      <c r="T2790" s="133"/>
      <c r="U2790" s="133"/>
      <c r="V2790" s="133"/>
      <c r="W2790" s="133"/>
      <c r="X2790" s="133"/>
      <c r="Y2790" s="133"/>
      <c r="Z2790" s="133"/>
    </row>
    <row r="2791">
      <c r="A2791" s="133"/>
      <c r="B2791" s="133"/>
      <c r="C2791" s="133" t="str">
        <f>IFERROR(__xludf.DUMMYFUNCTION("""COMPUTED_VALUE"""),"2025-598374")</f>
        <v>2025-598374</v>
      </c>
      <c r="D2791" s="133" t="str">
        <f>IFERROR(__xludf.DUMMYFUNCTION("""COMPUTED_VALUE"""),"AH-4341")</f>
        <v>AH-4341</v>
      </c>
      <c r="E2791" s="133" t="str">
        <f>IFERROR(__xludf.DUMMYFUNCTION("""COMPUTED_VALUE"""),"جديد")</f>
        <v>جديد</v>
      </c>
      <c r="F2791" s="133" t="str">
        <f>IFERROR(__xludf.DUMMYFUNCTION("""COMPUTED_VALUE"""),"Absolute Holistic Dental Chew Peanut Butter")</f>
        <v>Absolute Holistic Dental Chew Peanut Butter</v>
      </c>
      <c r="G2791" s="133"/>
      <c r="H2791" s="133"/>
      <c r="I2791" s="133"/>
      <c r="J2791" s="133"/>
      <c r="K2791" s="133"/>
      <c r="L2791" s="133"/>
      <c r="M2791" s="133"/>
      <c r="N2791" s="133"/>
      <c r="O2791" s="133"/>
      <c r="P2791" s="133"/>
      <c r="Q2791" s="133"/>
      <c r="R2791" s="133"/>
      <c r="S2791" s="133"/>
      <c r="T2791" s="133"/>
      <c r="U2791" s="133"/>
      <c r="V2791" s="133"/>
      <c r="W2791" s="133"/>
      <c r="X2791" s="133"/>
      <c r="Y2791" s="133"/>
      <c r="Z2791" s="133"/>
    </row>
    <row r="2792">
      <c r="A2792" s="133"/>
      <c r="B2792" s="133"/>
      <c r="C2792" s="133" t="str">
        <f>IFERROR(__xludf.DUMMYFUNCTION("""COMPUTED_VALUE"""),"2025-598749")</f>
        <v>2025-598749</v>
      </c>
      <c r="D2792" s="133" t="str">
        <f>IFERROR(__xludf.DUMMYFUNCTION("""COMPUTED_VALUE"""),"AH-2187")</f>
        <v>AH-2187</v>
      </c>
      <c r="E2792" s="133" t="str">
        <f>IFERROR(__xludf.DUMMYFUNCTION("""COMPUTED_VALUE"""),"جديد")</f>
        <v>جديد</v>
      </c>
      <c r="F2792" s="133" t="str">
        <f>IFERROR(__xludf.DUMMYFUNCTION("""COMPUTED_VALUE"""),"Absolute Holistic Dental Chews Milk Tea Flavor")</f>
        <v>Absolute Holistic Dental Chews Milk Tea Flavor</v>
      </c>
      <c r="G2792" s="133"/>
      <c r="H2792" s="133"/>
      <c r="I2792" s="133"/>
      <c r="J2792" s="133"/>
      <c r="K2792" s="133"/>
      <c r="L2792" s="133"/>
      <c r="M2792" s="133"/>
      <c r="N2792" s="133"/>
      <c r="O2792" s="133"/>
      <c r="P2792" s="133"/>
      <c r="Q2792" s="133"/>
      <c r="R2792" s="133"/>
      <c r="S2792" s="133"/>
      <c r="T2792" s="133"/>
      <c r="U2792" s="133"/>
      <c r="V2792" s="133"/>
      <c r="W2792" s="133"/>
      <c r="X2792" s="133"/>
      <c r="Y2792" s="133"/>
      <c r="Z2792" s="133"/>
    </row>
    <row r="2793">
      <c r="A2793" s="133"/>
      <c r="B2793" s="133"/>
      <c r="C2793" s="133" t="str">
        <f>IFERROR(__xludf.DUMMYFUNCTION("""COMPUTED_VALUE"""),"2025-598780")</f>
        <v>2025-598780</v>
      </c>
      <c r="D2793" s="133" t="str">
        <f>IFERROR(__xludf.DUMMYFUNCTION("""COMPUTED_VALUE"""),"AH-2170")</f>
        <v>AH-2170</v>
      </c>
      <c r="E2793" s="133" t="str">
        <f>IFERROR(__xludf.DUMMYFUNCTION("""COMPUTED_VALUE"""),"جديد")</f>
        <v>جديد</v>
      </c>
      <c r="F2793" s="133" t="str">
        <f>IFERROR(__xludf.DUMMYFUNCTION("""COMPUTED_VALUE"""),"Absolute Holistic Dental Chews Charcoal Flavor")</f>
        <v>Absolute Holistic Dental Chews Charcoal Flavor</v>
      </c>
      <c r="G2793" s="133"/>
      <c r="H2793" s="133"/>
      <c r="I2793" s="133"/>
      <c r="J2793" s="133"/>
      <c r="K2793" s="133"/>
      <c r="L2793" s="133"/>
      <c r="M2793" s="133"/>
      <c r="N2793" s="133"/>
      <c r="O2793" s="133"/>
      <c r="P2793" s="133"/>
      <c r="Q2793" s="133"/>
      <c r="R2793" s="133"/>
      <c r="S2793" s="133"/>
      <c r="T2793" s="133"/>
      <c r="U2793" s="133"/>
      <c r="V2793" s="133"/>
      <c r="W2793" s="133"/>
      <c r="X2793" s="133"/>
      <c r="Y2793" s="133"/>
      <c r="Z2793" s="133"/>
    </row>
    <row r="2794">
      <c r="A2794" s="133"/>
      <c r="B2794" s="133"/>
      <c r="C2794" s="133" t="str">
        <f>IFERROR(__xludf.DUMMYFUNCTION("""COMPUTED_VALUE"""),"2025-598875")</f>
        <v>2025-598875</v>
      </c>
      <c r="D2794" s="133" t="str">
        <f>IFERROR(__xludf.DUMMYFUNCTION("""COMPUTED_VALUE"""),"AH-2798")</f>
        <v>AH-2798</v>
      </c>
      <c r="E2794" s="133" t="str">
        <f>IFERROR(__xludf.DUMMYFUNCTION("""COMPUTED_VALUE"""),"جديد")</f>
        <v>جديد</v>
      </c>
      <c r="F2794" s="133" t="str">
        <f>IFERROR(__xludf.DUMMYFUNCTION("""COMPUTED_VALUE"""),"Absolute Holistic Dental Chew Cranberry 160g")</f>
        <v>Absolute Holistic Dental Chew Cranberry 160g</v>
      </c>
      <c r="G2794" s="133"/>
      <c r="H2794" s="133"/>
      <c r="I2794" s="133"/>
      <c r="J2794" s="133"/>
      <c r="K2794" s="133"/>
      <c r="L2794" s="133"/>
      <c r="M2794" s="133"/>
      <c r="N2794" s="133"/>
      <c r="O2794" s="133"/>
      <c r="P2794" s="133"/>
      <c r="Q2794" s="133"/>
      <c r="R2794" s="133"/>
      <c r="S2794" s="133"/>
      <c r="T2794" s="133"/>
      <c r="U2794" s="133"/>
      <c r="V2794" s="133"/>
      <c r="W2794" s="133"/>
      <c r="X2794" s="133"/>
      <c r="Y2794" s="133"/>
      <c r="Z2794" s="133"/>
    </row>
    <row r="2795">
      <c r="A2795" s="133"/>
      <c r="B2795" s="133"/>
      <c r="C2795" s="133" t="str">
        <f>IFERROR(__xludf.DUMMYFUNCTION("""COMPUTED_VALUE""")," 2025-598906")</f>
        <v> 2025-598906</v>
      </c>
      <c r="D2795" s="133" t="str">
        <f>IFERROR(__xludf.DUMMYFUNCTION("""COMPUTED_VALUE"""),"AH-2804")</f>
        <v>AH-2804</v>
      </c>
      <c r="E2795" s="133" t="str">
        <f>IFERROR(__xludf.DUMMYFUNCTION("""COMPUTED_VALUE"""),"جديد")</f>
        <v>جديد</v>
      </c>
      <c r="F2795" s="133" t="str">
        <f>IFERROR(__xludf.DUMMYFUNCTION("""COMPUTED_VALUE"""),"Absolute Holistic Dental Chews – Milk Flavor 160ل")</f>
        <v>Absolute Holistic Dental Chews – Milk Flavor 160ل</v>
      </c>
      <c r="G2795" s="133"/>
      <c r="H2795" s="133"/>
      <c r="I2795" s="133"/>
      <c r="J2795" s="133"/>
      <c r="K2795" s="133"/>
      <c r="L2795" s="133"/>
      <c r="M2795" s="133"/>
      <c r="N2795" s="133"/>
      <c r="O2795" s="133"/>
      <c r="P2795" s="133"/>
      <c r="Q2795" s="133"/>
      <c r="R2795" s="133"/>
      <c r="S2795" s="133"/>
      <c r="T2795" s="133"/>
      <c r="U2795" s="133"/>
      <c r="V2795" s="133"/>
      <c r="W2795" s="133"/>
      <c r="X2795" s="133"/>
      <c r="Y2795" s="133"/>
      <c r="Z2795" s="133"/>
    </row>
    <row r="2796">
      <c r="A2796" s="133"/>
      <c r="B2796" s="133"/>
      <c r="C2796" s="133" t="str">
        <f>IFERROR(__xludf.DUMMYFUNCTION("""COMPUTED_VALUE"""),"2025-601466")</f>
        <v>2025-601466</v>
      </c>
      <c r="D2796" s="133" t="str">
        <f>IFERROR(__xludf.DUMMYFUNCTION("""COMPUTED_VALUE"""),"AH-2828")</f>
        <v>AH-2828</v>
      </c>
      <c r="E2796" s="133" t="str">
        <f>IFERROR(__xludf.DUMMYFUNCTION("""COMPUTED_VALUE"""),"جديد")</f>
        <v>جديد</v>
      </c>
      <c r="F2796" s="133" t="str">
        <f>IFERROR(__xludf.DUMMYFUNCTION("""COMPUTED_VALUE"""),"Absolute Holistic Dental Chews Peanut Butter Flavor 160g")</f>
        <v>Absolute Holistic Dental Chews Peanut Butter Flavor 160g</v>
      </c>
      <c r="G2796" s="133"/>
      <c r="H2796" s="133"/>
      <c r="I2796" s="133"/>
      <c r="J2796" s="133"/>
      <c r="K2796" s="133"/>
      <c r="L2796" s="133"/>
      <c r="M2796" s="133"/>
      <c r="N2796" s="133"/>
      <c r="O2796" s="133"/>
      <c r="P2796" s="133"/>
      <c r="Q2796" s="133"/>
      <c r="R2796" s="133"/>
      <c r="S2796" s="133"/>
      <c r="T2796" s="133"/>
      <c r="U2796" s="133"/>
      <c r="V2796" s="133"/>
      <c r="W2796" s="133"/>
      <c r="X2796" s="133"/>
      <c r="Y2796" s="133"/>
      <c r="Z2796" s="133"/>
    </row>
    <row r="2797">
      <c r="A2797" s="133"/>
      <c r="B2797" s="133"/>
      <c r="C2797" s="133" t="str">
        <f>IFERROR(__xludf.DUMMYFUNCTION("""COMPUTED_VALUE"""),"2025-601982")</f>
        <v>2025-601982</v>
      </c>
      <c r="D2797" s="133" t="str">
        <f>IFERROR(__xludf.DUMMYFUNCTION("""COMPUTED_VALUE"""),"AH-2835")</f>
        <v>AH-2835</v>
      </c>
      <c r="E2797" s="133" t="str">
        <f>IFERROR(__xludf.DUMMYFUNCTION("""COMPUTED_VALUE"""),"جديد")</f>
        <v>جديد</v>
      </c>
      <c r="F2797" s="133" t="str">
        <f>IFERROR(__xludf.DUMMYFUNCTION("""COMPUTED_VALUE"""),"Absolute Holistic Dental Chews Charcoal Flavor 160g")</f>
        <v>Absolute Holistic Dental Chews Charcoal Flavor 160g</v>
      </c>
      <c r="G2797" s="133"/>
      <c r="H2797" s="133"/>
      <c r="I2797" s="133"/>
      <c r="J2797" s="133"/>
      <c r="K2797" s="133"/>
      <c r="L2797" s="133"/>
      <c r="M2797" s="133"/>
      <c r="N2797" s="133"/>
      <c r="O2797" s="133"/>
      <c r="P2797" s="133"/>
      <c r="Q2797" s="133"/>
      <c r="R2797" s="133"/>
      <c r="S2797" s="133"/>
      <c r="T2797" s="133"/>
      <c r="U2797" s="133"/>
      <c r="V2797" s="133"/>
      <c r="W2797" s="133"/>
      <c r="X2797" s="133"/>
      <c r="Y2797" s="133"/>
      <c r="Z2797" s="133"/>
    </row>
    <row r="2798">
      <c r="A2798" s="133"/>
      <c r="B2798" s="133"/>
      <c r="C2798" s="133" t="str">
        <f>IFERROR(__xludf.DUMMYFUNCTION("""COMPUTED_VALUE"""),"2025-602018")</f>
        <v>2025-602018</v>
      </c>
      <c r="D2798" s="133" t="str">
        <f>IFERROR(__xludf.DUMMYFUNCTION("""COMPUTED_VALUE"""),"AH-2842")</f>
        <v>AH-2842</v>
      </c>
      <c r="E2798" s="133" t="str">
        <f>IFERROR(__xludf.DUMMYFUNCTION("""COMPUTED_VALUE"""),"جديد")</f>
        <v>جديد</v>
      </c>
      <c r="F2798" s="133" t="str">
        <f>IFERROR(__xludf.DUMMYFUNCTION("""COMPUTED_VALUE"""),"Absolute Holistic Dental Chews Milk Tea Flavor 160g")</f>
        <v>Absolute Holistic Dental Chews Milk Tea Flavor 160g</v>
      </c>
      <c r="G2798" s="133"/>
      <c r="H2798" s="133"/>
      <c r="I2798" s="133"/>
      <c r="J2798" s="133"/>
      <c r="K2798" s="133"/>
      <c r="L2798" s="133"/>
      <c r="M2798" s="133"/>
      <c r="N2798" s="133"/>
      <c r="O2798" s="133"/>
      <c r="P2798" s="133"/>
      <c r="Q2798" s="133"/>
      <c r="R2798" s="133"/>
      <c r="S2798" s="133"/>
      <c r="T2798" s="133"/>
      <c r="U2798" s="133"/>
      <c r="V2798" s="133"/>
      <c r="W2798" s="133"/>
      <c r="X2798" s="133"/>
      <c r="Y2798" s="133"/>
      <c r="Z2798" s="133"/>
    </row>
    <row r="2799">
      <c r="A2799" s="133"/>
      <c r="B2799" s="133"/>
      <c r="C2799" s="133" t="str">
        <f>IFERROR(__xludf.DUMMYFUNCTION("""COMPUTED_VALUE"""),"2025-602064")</f>
        <v>2025-602064</v>
      </c>
      <c r="D2799" s="133" t="str">
        <f>IFERROR(__xludf.DUMMYFUNCTION("""COMPUTED_VALUE"""),"AH-07274")</f>
        <v>AH-07274</v>
      </c>
      <c r="E2799" s="133" t="str">
        <f>IFERROR(__xludf.DUMMYFUNCTION("""COMPUTED_VALUE"""),"جديد")</f>
        <v>جديد</v>
      </c>
      <c r="F2799" s="133" t="str">
        <f>IFERROR(__xludf.DUMMYFUNCTION("""COMPUTED_VALUE"""),"Absolute Holistic Dental Chews Boost – Blueberry Flavor")</f>
        <v>Absolute Holistic Dental Chews Boost – Blueberry Flavor</v>
      </c>
      <c r="G2799" s="133"/>
      <c r="H2799" s="133"/>
      <c r="I2799" s="133"/>
      <c r="J2799" s="133"/>
      <c r="K2799" s="133"/>
      <c r="L2799" s="133"/>
      <c r="M2799" s="133"/>
      <c r="N2799" s="133"/>
      <c r="O2799" s="133"/>
      <c r="P2799" s="133"/>
      <c r="Q2799" s="133"/>
      <c r="R2799" s="133"/>
      <c r="S2799" s="133"/>
      <c r="T2799" s="133"/>
      <c r="U2799" s="133"/>
      <c r="V2799" s="133"/>
      <c r="W2799" s="133"/>
      <c r="X2799" s="133"/>
      <c r="Y2799" s="133"/>
      <c r="Z2799" s="133"/>
    </row>
    <row r="2800">
      <c r="A2800" s="133"/>
      <c r="B2800" s="133"/>
      <c r="C2800" s="133" t="str">
        <f>IFERROR(__xludf.DUMMYFUNCTION("""COMPUTED_VALUE"""),"2025-602090")</f>
        <v>2025-602090</v>
      </c>
      <c r="D2800" s="133" t="str">
        <f>IFERROR(__xludf.DUMMYFUNCTION("""COMPUTED_VALUE"""),"AH-07304")</f>
        <v>AH-07304</v>
      </c>
      <c r="E2800" s="133" t="str">
        <f>IFERROR(__xludf.DUMMYFUNCTION("""COMPUTED_VALUE"""),"جديد")</f>
        <v>جديد</v>
      </c>
      <c r="F2800" s="133" t="str">
        <f>IFERROR(__xludf.DUMMYFUNCTION("""COMPUTED_VALUE"""),"Absolute Holistic Dental Chews Boost – Coconut Flavor")</f>
        <v>Absolute Holistic Dental Chews Boost – Coconut Flavor</v>
      </c>
      <c r="G2800" s="133"/>
      <c r="H2800" s="133"/>
      <c r="I2800" s="133"/>
      <c r="J2800" s="133"/>
      <c r="K2800" s="133"/>
      <c r="L2800" s="133"/>
      <c r="M2800" s="133"/>
      <c r="N2800" s="133"/>
      <c r="O2800" s="133"/>
      <c r="P2800" s="133"/>
      <c r="Q2800" s="133"/>
      <c r="R2800" s="133"/>
      <c r="S2800" s="133"/>
      <c r="T2800" s="133"/>
      <c r="U2800" s="133"/>
      <c r="V2800" s="133"/>
      <c r="W2800" s="133"/>
      <c r="X2800" s="133"/>
      <c r="Y2800" s="133"/>
      <c r="Z2800" s="133"/>
    </row>
    <row r="2801">
      <c r="A2801" s="133"/>
      <c r="B2801" s="133"/>
      <c r="C2801" s="133" t="str">
        <f>IFERROR(__xludf.DUMMYFUNCTION("""COMPUTED_VALUE"""),"2025-602142")</f>
        <v>2025-602142</v>
      </c>
      <c r="D2801" s="133" t="str">
        <f>IFERROR(__xludf.DUMMYFUNCTION("""COMPUTED_VALUE"""),"AH-07281")</f>
        <v>AH-07281</v>
      </c>
      <c r="E2801" s="133" t="str">
        <f>IFERROR(__xludf.DUMMYFUNCTION("""COMPUTED_VALUE"""),"جديد")</f>
        <v>جديد</v>
      </c>
      <c r="F2801" s="133" t="str">
        <f>IFERROR(__xludf.DUMMYFUNCTION("""COMPUTED_VALUE"""),"Absolute Holistic Dental Chews Boost – Turmeric Flavor")</f>
        <v>Absolute Holistic Dental Chews Boost – Turmeric Flavor</v>
      </c>
      <c r="G2801" s="133"/>
      <c r="H2801" s="133"/>
      <c r="I2801" s="133"/>
      <c r="J2801" s="133"/>
      <c r="K2801" s="133"/>
      <c r="L2801" s="133"/>
      <c r="M2801" s="133"/>
      <c r="N2801" s="133"/>
      <c r="O2801" s="133"/>
      <c r="P2801" s="133"/>
      <c r="Q2801" s="133"/>
      <c r="R2801" s="133"/>
      <c r="S2801" s="133"/>
      <c r="T2801" s="133"/>
      <c r="U2801" s="133"/>
      <c r="V2801" s="133"/>
      <c r="W2801" s="133"/>
      <c r="X2801" s="133"/>
      <c r="Y2801" s="133"/>
      <c r="Z2801" s="133"/>
    </row>
    <row r="2802">
      <c r="A2802" s="133"/>
      <c r="B2802" s="133"/>
      <c r="C2802" s="133" t="str">
        <f>IFERROR(__xludf.DUMMYFUNCTION("""COMPUTED_VALUE"""),"2025-602159")</f>
        <v>2025-602159</v>
      </c>
      <c r="D2802" s="133" t="str">
        <f>IFERROR(__xludf.DUMMYFUNCTION("""COMPUTED_VALUE"""),"AH-07267")</f>
        <v>AH-07267</v>
      </c>
      <c r="E2802" s="133" t="str">
        <f>IFERROR(__xludf.DUMMYFUNCTION("""COMPUTED_VALUE"""),"جديد")</f>
        <v>جديد</v>
      </c>
      <c r="F2802" s="133" t="str">
        <f>IFERROR(__xludf.DUMMYFUNCTION("""COMPUTED_VALUE"""),"Absolute Holistic Dental Chews Boost – Kale Flavor")</f>
        <v>Absolute Holistic Dental Chews Boost – Kale Flavor</v>
      </c>
      <c r="G2802" s="133"/>
      <c r="H2802" s="133"/>
      <c r="I2802" s="133"/>
      <c r="J2802" s="133"/>
      <c r="K2802" s="133"/>
      <c r="L2802" s="133"/>
      <c r="M2802" s="133"/>
      <c r="N2802" s="133"/>
      <c r="O2802" s="133"/>
      <c r="P2802" s="133"/>
      <c r="Q2802" s="133"/>
      <c r="R2802" s="133"/>
      <c r="S2802" s="133"/>
      <c r="T2802" s="133"/>
      <c r="U2802" s="133"/>
      <c r="V2802" s="133"/>
      <c r="W2802" s="133"/>
      <c r="X2802" s="133"/>
      <c r="Y2802" s="133"/>
      <c r="Z2802" s="133"/>
    </row>
    <row r="2803">
      <c r="A2803" s="133"/>
      <c r="B2803" s="133"/>
      <c r="C2803" s="133" t="str">
        <f>IFERROR(__xludf.DUMMYFUNCTION("""COMPUTED_VALUE"""),"2025-602236")</f>
        <v>2025-602236</v>
      </c>
      <c r="D2803" s="133" t="str">
        <f>IFERROR(__xludf.DUMMYFUNCTION("""COMPUTED_VALUE"""),"AH-07298")</f>
        <v>AH-07298</v>
      </c>
      <c r="E2803" s="133" t="str">
        <f>IFERROR(__xludf.DUMMYFUNCTION("""COMPUTED_VALUE"""),"جديد")</f>
        <v>جديد</v>
      </c>
      <c r="F2803" s="133" t="str">
        <f>IFERROR(__xludf.DUMMYFUNCTION("""COMPUTED_VALUE"""),"Absolute Holistic Dental Chews Boost – Chia Seed Flavor")</f>
        <v>Absolute Holistic Dental Chews Boost – Chia Seed Flavor</v>
      </c>
      <c r="G2803" s="133"/>
      <c r="H2803" s="133"/>
      <c r="I2803" s="133"/>
      <c r="J2803" s="133"/>
      <c r="K2803" s="133"/>
      <c r="L2803" s="133"/>
      <c r="M2803" s="133"/>
      <c r="N2803" s="133"/>
      <c r="O2803" s="133"/>
      <c r="P2803" s="133"/>
      <c r="Q2803" s="133"/>
      <c r="R2803" s="133"/>
      <c r="S2803" s="133"/>
      <c r="T2803" s="133"/>
      <c r="U2803" s="133"/>
      <c r="V2803" s="133"/>
      <c r="W2803" s="133"/>
      <c r="X2803" s="133"/>
      <c r="Y2803" s="133"/>
      <c r="Z2803" s="133"/>
    </row>
    <row r="2804">
      <c r="A2804" s="133"/>
      <c r="B2804" s="133"/>
      <c r="C2804" s="133" t="str">
        <f>IFERROR(__xludf.DUMMYFUNCTION("""COMPUTED_VALUE"""),"2025-602250")</f>
        <v>2025-602250</v>
      </c>
      <c r="D2804" s="133" t="str">
        <f>IFERROR(__xludf.DUMMYFUNCTION("""COMPUTED_VALUE"""),"AH-07250")</f>
        <v>AH-07250</v>
      </c>
      <c r="E2804" s="133" t="str">
        <f>IFERROR(__xludf.DUMMYFUNCTION("""COMPUTED_VALUE"""),"جديد")</f>
        <v>جديد</v>
      </c>
      <c r="F2804" s="133" t="str">
        <f>IFERROR(__xludf.DUMMYFUNCTION("""COMPUTED_VALUE"""),"Absolute Holistic Dental Chews Boost Pumpkin Flavor")</f>
        <v>Absolute Holistic Dental Chews Boost Pumpkin Flavor</v>
      </c>
      <c r="G2804" s="133"/>
      <c r="H2804" s="133"/>
      <c r="I2804" s="133"/>
      <c r="J2804" s="133"/>
      <c r="K2804" s="133"/>
      <c r="L2804" s="133"/>
      <c r="M2804" s="133"/>
      <c r="N2804" s="133"/>
      <c r="O2804" s="133"/>
      <c r="P2804" s="133"/>
      <c r="Q2804" s="133"/>
      <c r="R2804" s="133"/>
      <c r="S2804" s="133"/>
      <c r="T2804" s="133"/>
      <c r="U2804" s="133"/>
      <c r="V2804" s="133"/>
      <c r="W2804" s="133"/>
      <c r="X2804" s="133"/>
      <c r="Y2804" s="133"/>
      <c r="Z2804" s="133"/>
    </row>
    <row r="2805">
      <c r="A2805" s="133"/>
      <c r="B2805" s="133"/>
      <c r="C2805" s="133" t="str">
        <f>IFERROR(__xludf.DUMMYFUNCTION("""COMPUTED_VALUE"""),"2025-604718")</f>
        <v>2025-604718</v>
      </c>
      <c r="D2805" s="133" t="str">
        <f>IFERROR(__xludf.DUMMYFUNCTION("""COMPUTED_VALUE"""),"AH-4334-AH-2811
")</f>
        <v>AH-4334-AH-2811
</v>
      </c>
      <c r="E2805" s="133" t="str">
        <f>IFERROR(__xludf.DUMMYFUNCTION("""COMPUTED_VALUE"""),"جديد")</f>
        <v>جديد</v>
      </c>
      <c r="F2805" s="133" t="str">
        <f>IFERROR(__xludf.DUMMYFUNCTION("""COMPUTED_VALUE"""),"Absolute Holistic Dental Chews Mint Flavor 160g-25g")</f>
        <v>Absolute Holistic Dental Chews Mint Flavor 160g-25g</v>
      </c>
      <c r="G2805" s="133"/>
      <c r="H2805" s="133"/>
      <c r="I2805" s="133"/>
      <c r="J2805" s="133"/>
      <c r="K2805" s="133"/>
      <c r="L2805" s="133"/>
      <c r="M2805" s="133"/>
      <c r="N2805" s="133"/>
      <c r="O2805" s="133"/>
      <c r="P2805" s="133"/>
      <c r="Q2805" s="133"/>
      <c r="R2805" s="133"/>
      <c r="S2805" s="133"/>
      <c r="T2805" s="133"/>
      <c r="U2805" s="133"/>
      <c r="V2805" s="133"/>
      <c r="W2805" s="133"/>
      <c r="X2805" s="133"/>
      <c r="Y2805" s="133"/>
      <c r="Z2805" s="133"/>
    </row>
    <row r="2806">
      <c r="A2806" s="133"/>
      <c r="B2806" s="133"/>
      <c r="C2806" s="133" t="str">
        <f>IFERROR(__xludf.DUMMYFUNCTION("""COMPUTED_VALUE"""),"2025-533509
")</f>
        <v>2025-533509
</v>
      </c>
      <c r="D2806" s="133"/>
      <c r="E2806" s="133" t="str">
        <f>IFERROR(__xludf.DUMMYFUNCTION("""COMPUTED_VALUE"""),"مكتمل ")</f>
        <v>مكتمل </v>
      </c>
      <c r="F2806" s="133" t="str">
        <f>IFERROR(__xludf.DUMMYFUNCTION("""COMPUTED_VALUE"""),"Instinct Raw Boost Kibble (Dog) Chicken - 10 lb.")</f>
        <v>Instinct Raw Boost Kibble (Dog) Chicken - 10 lb.</v>
      </c>
      <c r="G2806" s="133"/>
      <c r="H2806" s="133" t="str">
        <f>IFERROR(__xludf.DUMMYFUNCTION("""COMPUTED_VALUE"""),"FEM-25-6635-FEP-2025-7952-C-22548-4993
")</f>
        <v>FEM-25-6635-FEP-2025-7952-C-22548-4993
</v>
      </c>
      <c r="I2806" s="133"/>
      <c r="J2806" s="133"/>
      <c r="K2806" s="133"/>
      <c r="L2806" s="133"/>
      <c r="M2806" s="133"/>
      <c r="N2806" s="133"/>
      <c r="O2806" s="133"/>
      <c r="P2806" s="133"/>
      <c r="Q2806" s="133"/>
      <c r="R2806" s="133"/>
      <c r="S2806" s="133"/>
      <c r="T2806" s="133"/>
      <c r="U2806" s="133"/>
      <c r="V2806" s="133"/>
      <c r="W2806" s="133"/>
      <c r="X2806" s="133"/>
      <c r="Y2806" s="133"/>
      <c r="Z2806" s="133"/>
    </row>
    <row r="2807">
      <c r="A2807" s="133"/>
      <c r="B2807" s="133"/>
      <c r="C2807" s="133" t="str">
        <f>IFERROR(__xludf.DUMMYFUNCTION("""COMPUTED_VALUE"""),"2025-533509
")</f>
        <v>2025-533509
</v>
      </c>
      <c r="D2807" s="133"/>
      <c r="E2807" s="133" t="str">
        <f>IFERROR(__xludf.DUMMYFUNCTION("""COMPUTED_VALUE"""),"مكتمل ")</f>
        <v>مكتمل </v>
      </c>
      <c r="F2807" s="133" t="str">
        <f>IFERROR(__xludf.DUMMYFUNCTION("""COMPUTED_VALUE"""),"Instinct Raw Boost Kibble (Dog) Chicken - 3.5 lb.")</f>
        <v>Instinct Raw Boost Kibble (Dog) Chicken - 3.5 lb.</v>
      </c>
      <c r="G2807" s="133"/>
      <c r="H2807" s="133" t="str">
        <f>IFERROR(__xludf.DUMMYFUNCTION("""COMPUTED_VALUE"""),"FEM-25-6635-FEP-2025-7952-C-22548-4993
")</f>
        <v>FEM-25-6635-FEP-2025-7952-C-22548-4993
</v>
      </c>
      <c r="I2807" s="133"/>
      <c r="J2807" s="133"/>
      <c r="K2807" s="133"/>
      <c r="L2807" s="133"/>
      <c r="M2807" s="133"/>
      <c r="N2807" s="133"/>
      <c r="O2807" s="133"/>
      <c r="P2807" s="133"/>
      <c r="Q2807" s="133"/>
      <c r="R2807" s="133"/>
      <c r="S2807" s="133"/>
      <c r="T2807" s="133"/>
      <c r="U2807" s="133"/>
      <c r="V2807" s="133"/>
      <c r="W2807" s="133"/>
      <c r="X2807" s="133"/>
      <c r="Y2807" s="133"/>
      <c r="Z2807" s="133"/>
    </row>
    <row r="2808">
      <c r="A2808" s="133"/>
      <c r="B2808" s="133"/>
      <c r="C2808" s="133" t="str">
        <f>IFERROR(__xludf.DUMMYFUNCTION("""COMPUTED_VALUE"""),"2025-533573
")</f>
        <v>2025-533573
</v>
      </c>
      <c r="D2808" s="133"/>
      <c r="E2808" s="133" t="str">
        <f>IFERROR(__xludf.DUMMYFUNCTION("""COMPUTED_VALUE"""),"مكتمل ")</f>
        <v>مكتمل </v>
      </c>
      <c r="F2808" s="133" t="str">
        <f>IFERROR(__xludf.DUMMYFUNCTION("""COMPUTED_VALUE"""),"Instinct LID Wet (Cat) Rabbit -  3 oz. Cans")</f>
        <v>Instinct LID Wet (Cat) Rabbit -  3 oz. Cans</v>
      </c>
      <c r="G2808" s="133"/>
      <c r="H2808" s="133" t="str">
        <f>IFERROR(__xludf.DUMMYFUNCTION("""COMPUTED_VALUE"""),"FEM-25-7691-FEP-2025-7955-C-22548-4994
")</f>
        <v>FEM-25-7691-FEP-2025-7955-C-22548-4994
</v>
      </c>
      <c r="I2808" s="133"/>
      <c r="J2808" s="133"/>
      <c r="K2808" s="133"/>
      <c r="L2808" s="133"/>
      <c r="M2808" s="133"/>
      <c r="N2808" s="133"/>
      <c r="O2808" s="133"/>
      <c r="P2808" s="133"/>
      <c r="Q2808" s="133"/>
      <c r="R2808" s="133"/>
      <c r="S2808" s="133"/>
      <c r="T2808" s="133"/>
      <c r="U2808" s="133"/>
      <c r="V2808" s="133"/>
      <c r="W2808" s="133"/>
      <c r="X2808" s="133"/>
      <c r="Y2808" s="133"/>
      <c r="Z2808" s="133"/>
    </row>
    <row r="2809">
      <c r="A2809" s="133"/>
      <c r="B2809" s="133"/>
      <c r="C2809" s="133" t="str">
        <f>IFERROR(__xludf.DUMMYFUNCTION("""COMPUTED_VALUE"""),"2025-514647
")</f>
        <v>2025-514647
</v>
      </c>
      <c r="D2809" s="133"/>
      <c r="E2809" s="133" t="str">
        <f>IFERROR(__xludf.DUMMYFUNCTION("""COMPUTED_VALUE"""),"مكتمل ")</f>
        <v>مكتمل </v>
      </c>
      <c r="F2809" s="133" t="str">
        <f>IFERROR(__xludf.DUMMYFUNCTION("""COMPUTED_VALUE"""),"Instinct Raw Boost Kibble (Cat) Rabbit - 4.5 lb.")</f>
        <v>Instinct Raw Boost Kibble (Cat) Rabbit - 4.5 lb.</v>
      </c>
      <c r="G2809" s="133"/>
      <c r="H2809" s="133" t="str">
        <f>IFERROR(__xludf.DUMMYFUNCTION("""COMPUTED_VALUE"""),"FEM-25-8157-FEP-2025-7818-C-22548-4910
")</f>
        <v>FEM-25-8157-FEP-2025-7818-C-22548-4910
</v>
      </c>
      <c r="I2809" s="133"/>
      <c r="J2809" s="133"/>
      <c r="K2809" s="133"/>
      <c r="L2809" s="133"/>
      <c r="M2809" s="133"/>
      <c r="N2809" s="133"/>
      <c r="O2809" s="133"/>
      <c r="P2809" s="133"/>
      <c r="Q2809" s="133"/>
      <c r="R2809" s="133"/>
      <c r="S2809" s="133"/>
      <c r="T2809" s="133"/>
      <c r="U2809" s="133"/>
      <c r="V2809" s="133"/>
      <c r="W2809" s="133"/>
      <c r="X2809" s="133"/>
      <c r="Y2809" s="133"/>
      <c r="Z2809" s="133"/>
    </row>
    <row r="2810">
      <c r="A2810" s="133"/>
      <c r="B2810" s="133"/>
      <c r="C2810" s="133" t="str">
        <f>IFERROR(__xludf.DUMMYFUNCTION("""COMPUTED_VALUE"""),"2025-533780
")</f>
        <v>2025-533780
</v>
      </c>
      <c r="D2810" s="133"/>
      <c r="E2810" s="133" t="str">
        <f>IFERROR(__xludf.DUMMYFUNCTION("""COMPUTED_VALUE"""),"مكتمل ")</f>
        <v>مكتمل </v>
      </c>
      <c r="F2810" s="133" t="str">
        <f>IFERROR(__xludf.DUMMYFUNCTION("""COMPUTED_VALUE"""),"Instinct Ultimate Protein Kibble Skin &amp; Coat (Cat) - 4 lb.")</f>
        <v>Instinct Ultimate Protein Kibble Skin &amp; Coat (Cat) - 4 lb.</v>
      </c>
      <c r="G2810" s="133"/>
      <c r="H2810" s="133" t="str">
        <f>IFERROR(__xludf.DUMMYFUNCTION("""COMPUTED_VALUE"""),"FEM-25-7693-FEP-2025-7957-C-22548-4995
")</f>
        <v>FEM-25-7693-FEP-2025-7957-C-22548-4995
</v>
      </c>
      <c r="I2810" s="133"/>
      <c r="J2810" s="133"/>
      <c r="K2810" s="133"/>
      <c r="L2810" s="133"/>
      <c r="M2810" s="133"/>
      <c r="N2810" s="133"/>
      <c r="O2810" s="133"/>
      <c r="P2810" s="133"/>
      <c r="Q2810" s="133"/>
      <c r="R2810" s="133"/>
      <c r="S2810" s="133"/>
      <c r="T2810" s="133"/>
      <c r="U2810" s="133"/>
      <c r="V2810" s="133"/>
      <c r="W2810" s="133"/>
      <c r="X2810" s="133"/>
      <c r="Y2810" s="133"/>
      <c r="Z2810" s="133"/>
    </row>
    <row r="2811">
      <c r="A2811" s="133"/>
      <c r="B2811" s="133"/>
      <c r="C2811" s="133" t="str">
        <f>IFERROR(__xludf.DUMMYFUNCTION("""COMPUTED_VALUE"""),"2025-514642
")</f>
        <v>2025-514642
</v>
      </c>
      <c r="D2811" s="133"/>
      <c r="E2811" s="133" t="str">
        <f>IFERROR(__xludf.DUMMYFUNCTION("""COMPUTED_VALUE"""),"مكتمل ")</f>
        <v>مكتمل </v>
      </c>
      <c r="F2811" s="133" t="str">
        <f>IFERROR(__xludf.DUMMYFUNCTION("""COMPUTED_VALUE"""),"Instinct Raw Boost Kibble (Cat) Chicken - 4.5 lb.")</f>
        <v>Instinct Raw Boost Kibble (Cat) Chicken - 4.5 lb.</v>
      </c>
      <c r="G2811" s="133"/>
      <c r="H2811" s="133" t="str">
        <f>IFERROR(__xludf.DUMMYFUNCTION("""COMPUTED_VALUE"""),"FEM-25-8208-FEP-2025-7814-C-22548-4908
")</f>
        <v>FEM-25-8208-FEP-2025-7814-C-22548-4908
</v>
      </c>
      <c r="I2811" s="133"/>
      <c r="J2811" s="133"/>
      <c r="K2811" s="133"/>
      <c r="L2811" s="133"/>
      <c r="M2811" s="133"/>
      <c r="N2811" s="133"/>
      <c r="O2811" s="133"/>
      <c r="P2811" s="133"/>
      <c r="Q2811" s="133"/>
      <c r="R2811" s="133"/>
      <c r="S2811" s="133"/>
      <c r="T2811" s="133"/>
      <c r="U2811" s="133"/>
      <c r="V2811" s="133"/>
      <c r="W2811" s="133"/>
      <c r="X2811" s="133"/>
      <c r="Y2811" s="133"/>
      <c r="Z2811" s="133"/>
    </row>
    <row r="2812">
      <c r="A2812" s="133"/>
      <c r="B2812" s="133"/>
      <c r="C2812" s="133" t="str">
        <f>IFERROR(__xludf.DUMMYFUNCTION("""COMPUTED_VALUE"""),"2025-514651
")</f>
        <v>2025-514651
</v>
      </c>
      <c r="D2812" s="133"/>
      <c r="E2812" s="133" t="str">
        <f>IFERROR(__xludf.DUMMYFUNCTION("""COMPUTED_VALUE"""),"مكتمل ")</f>
        <v>مكتمل </v>
      </c>
      <c r="F2812" s="133" t="str">
        <f>IFERROR(__xludf.DUMMYFUNCTION("""COMPUTED_VALUE"""),"Instinct Raw Boost Kibble (Dog) Salmon - 3.5 lb.")</f>
        <v>Instinct Raw Boost Kibble (Dog) Salmon - 3.5 lb.</v>
      </c>
      <c r="G2812" s="133"/>
      <c r="H2812" s="133" t="str">
        <f>IFERROR(__xludf.DUMMYFUNCTION("""COMPUTED_VALUE"""),"FEM-25-7535-FEP-2025-7935-C-22548-4852
")</f>
        <v>FEM-25-7535-FEP-2025-7935-C-22548-4852
</v>
      </c>
      <c r="I2812" s="133"/>
      <c r="J2812" s="133"/>
      <c r="K2812" s="133"/>
      <c r="L2812" s="133"/>
      <c r="M2812" s="133"/>
      <c r="N2812" s="133"/>
      <c r="O2812" s="133"/>
      <c r="P2812" s="133"/>
      <c r="Q2812" s="133"/>
      <c r="R2812" s="133"/>
      <c r="S2812" s="133"/>
      <c r="T2812" s="133"/>
      <c r="U2812" s="133"/>
      <c r="V2812" s="133"/>
      <c r="W2812" s="133"/>
      <c r="X2812" s="133"/>
      <c r="Y2812" s="133"/>
      <c r="Z2812" s="133"/>
    </row>
    <row r="2813">
      <c r="A2813" s="133"/>
      <c r="B2813" s="133"/>
      <c r="C2813" s="133" t="str">
        <f>IFERROR(__xludf.DUMMYFUNCTION("""COMPUTED_VALUE"""),"2025-533189
")</f>
        <v>2025-533189
</v>
      </c>
      <c r="D2813" s="133"/>
      <c r="E2813" s="133" t="str">
        <f>IFERROR(__xludf.DUMMYFUNCTION("""COMPUTED_VALUE"""),"مكتمل ")</f>
        <v>مكتمل </v>
      </c>
      <c r="F2813" s="133" t="str">
        <f>IFERROR(__xludf.DUMMYFUNCTION("""COMPUTED_VALUE"""),"Instinct Raw Freeze Dried Multi Vitamin MixersAdult CatChicken-0.75 oz.")</f>
        <v>Instinct Raw Freeze Dried Multi Vitamin MixersAdult CatChicken-0.75 oz.</v>
      </c>
      <c r="G2813" s="133"/>
      <c r="H2813" s="133" t="str">
        <f>IFERROR(__xludf.DUMMYFUNCTION("""COMPUTED_VALUE"""),"FEM-25-7688-FEP-2025-7948-C-22548-4992
")</f>
        <v>FEM-25-7688-FEP-2025-7948-C-22548-4992
</v>
      </c>
      <c r="I2813" s="133"/>
      <c r="J2813" s="133"/>
      <c r="K2813" s="133"/>
      <c r="L2813" s="133"/>
      <c r="M2813" s="133"/>
      <c r="N2813" s="133"/>
      <c r="O2813" s="133"/>
      <c r="P2813" s="133"/>
      <c r="Q2813" s="133"/>
      <c r="R2813" s="133"/>
      <c r="S2813" s="133"/>
      <c r="T2813" s="133"/>
      <c r="U2813" s="133"/>
      <c r="V2813" s="133"/>
      <c r="W2813" s="133"/>
      <c r="X2813" s="133"/>
      <c r="Y2813" s="133"/>
      <c r="Z2813" s="133"/>
    </row>
    <row r="2814">
      <c r="A2814" s="133"/>
      <c r="B2814" s="133"/>
      <c r="C2814" s="133" t="str">
        <f>IFERROR(__xludf.DUMMYFUNCTION("""COMPUTED_VALUE"""),"2025-533174
")</f>
        <v>2025-533174
</v>
      </c>
      <c r="D2814" s="133"/>
      <c r="E2814" s="133" t="str">
        <f>IFERROR(__xludf.DUMMYFUNCTION("""COMPUTED_VALUE"""),"مكتمل ")</f>
        <v>مكتمل </v>
      </c>
      <c r="F2814" s="133" t="str">
        <f>IFERROR(__xludf.DUMMYFUNCTION("""COMPUTED_VALUE"""),"Instinct Raw Inspired Kibble (Cat) Chicken -  5 lb.")</f>
        <v>Instinct Raw Inspired Kibble (Cat) Chicken -  5 lb.</v>
      </c>
      <c r="G2814" s="133"/>
      <c r="H2814" s="133" t="str">
        <f>IFERROR(__xludf.DUMMYFUNCTION("""COMPUTED_VALUE"""),"FEM-25-8296-FEP-2025-7945-C-22548-5004
")</f>
        <v>FEM-25-8296-FEP-2025-7945-C-22548-5004
</v>
      </c>
      <c r="I2814" s="133"/>
      <c r="J2814" s="133"/>
      <c r="K2814" s="133"/>
      <c r="L2814" s="133"/>
      <c r="M2814" s="133"/>
      <c r="N2814" s="133"/>
      <c r="O2814" s="133"/>
      <c r="P2814" s="133"/>
      <c r="Q2814" s="133"/>
      <c r="R2814" s="133"/>
      <c r="S2814" s="133"/>
      <c r="T2814" s="133"/>
      <c r="U2814" s="133"/>
      <c r="V2814" s="133"/>
      <c r="W2814" s="133"/>
      <c r="X2814" s="133"/>
      <c r="Y2814" s="133"/>
      <c r="Z2814" s="133"/>
    </row>
    <row r="2815">
      <c r="A2815" s="133"/>
      <c r="B2815" s="133"/>
      <c r="C2815" s="133" t="str">
        <f>IFERROR(__xludf.DUMMYFUNCTION("""COMPUTED_VALUE"""),"2025-514649
")</f>
        <v>2025-514649
</v>
      </c>
      <c r="D2815" s="133"/>
      <c r="E2815" s="133" t="str">
        <f>IFERROR(__xludf.DUMMYFUNCTION("""COMPUTED_VALUE"""),"مكتمل ")</f>
        <v>مكتمل </v>
      </c>
      <c r="F2815" s="133" t="str">
        <f>IFERROR(__xludf.DUMMYFUNCTION("""COMPUTED_VALUE"""),"Instinct Raw Inspired Kibble (Cat) Rabbit - 4.5 lb.")</f>
        <v>Instinct Raw Inspired Kibble (Cat) Rabbit - 4.5 lb.</v>
      </c>
      <c r="G2815" s="133"/>
      <c r="H2815" s="133" t="str">
        <f>IFERROR(__xludf.DUMMYFUNCTION("""COMPUTED_VALUE"""),"FEM-25-7681-FEP-2025-7937-C-22548-4850
")</f>
        <v>FEM-25-7681-FEP-2025-7937-C-22548-4850
</v>
      </c>
      <c r="I2815" s="133"/>
      <c r="J2815" s="133"/>
      <c r="K2815" s="133"/>
      <c r="L2815" s="133"/>
      <c r="M2815" s="133"/>
      <c r="N2815" s="133"/>
      <c r="O2815" s="133"/>
      <c r="P2815" s="133"/>
      <c r="Q2815" s="133"/>
      <c r="R2815" s="133"/>
      <c r="S2815" s="133"/>
      <c r="T2815" s="133"/>
      <c r="U2815" s="133"/>
      <c r="V2815" s="133"/>
      <c r="W2815" s="133"/>
      <c r="X2815" s="133"/>
      <c r="Y2815" s="133"/>
      <c r="Z2815" s="133"/>
    </row>
    <row r="2816">
      <c r="A2816" s="133"/>
      <c r="B2816" s="133"/>
      <c r="C2816" s="133" t="str">
        <f>IFERROR(__xludf.DUMMYFUNCTION("""COMPUTED_VALUE"""),"2025-514648
")</f>
        <v>2025-514648
</v>
      </c>
      <c r="D2816" s="133"/>
      <c r="E2816" s="133" t="str">
        <f>IFERROR(__xludf.DUMMYFUNCTION("""COMPUTED_VALUE"""),"مكتمل ")</f>
        <v>مكتمل </v>
      </c>
      <c r="F2816" s="133" t="str">
        <f>IFERROR(__xludf.DUMMYFUNCTION("""COMPUTED_VALUE"""),"Instinct Raw Inspired Kibble (Kitten) Chicken - 4.5 lb.")</f>
        <v>Instinct Raw Inspired Kibble (Kitten) Chicken - 4.5 lb.</v>
      </c>
      <c r="G2816" s="133"/>
      <c r="H2816" s="133" t="str">
        <f>IFERROR(__xludf.DUMMYFUNCTION("""COMPUTED_VALUE"""),"FEM-25-8156-FEP-2025-7939-C-22548-4875
")</f>
        <v>FEM-25-8156-FEP-2025-7939-C-22548-4875
</v>
      </c>
      <c r="I2816" s="133"/>
      <c r="J2816" s="133"/>
      <c r="K2816" s="133"/>
      <c r="L2816" s="133"/>
      <c r="M2816" s="133"/>
      <c r="N2816" s="133"/>
      <c r="O2816" s="133"/>
      <c r="P2816" s="133"/>
      <c r="Q2816" s="133"/>
      <c r="R2816" s="133"/>
      <c r="S2816" s="133"/>
      <c r="T2816" s="133"/>
      <c r="U2816" s="133"/>
      <c r="V2816" s="133"/>
      <c r="W2816" s="133"/>
      <c r="X2816" s="133"/>
      <c r="Y2816" s="133"/>
      <c r="Z2816" s="133"/>
    </row>
    <row r="2817">
      <c r="A2817" s="133"/>
      <c r="B2817" s="133"/>
      <c r="C2817" s="133" t="str">
        <f>IFERROR(__xludf.DUMMYFUNCTION("""COMPUTED_VALUE"""),"2025-533083
")</f>
        <v>2025-533083
</v>
      </c>
      <c r="D2817" s="133"/>
      <c r="E2817" s="133" t="str">
        <f>IFERROR(__xludf.DUMMYFUNCTION("""COMPUTED_VALUE"""),"مكتمل ")</f>
        <v>مكتمل </v>
      </c>
      <c r="F2817" s="133" t="str">
        <f>IFERROR(__xludf.DUMMYFUNCTION("""COMPUTED_VALUE"""),"Instinct Raw Inspired Kibble Original (Cat) Chicken - 11 lb.")</f>
        <v>Instinct Raw Inspired Kibble Original (Cat) Chicken - 11 lb.</v>
      </c>
      <c r="G2817" s="133"/>
      <c r="H2817" s="133" t="str">
        <f>IFERROR(__xludf.DUMMYFUNCTION("""COMPUTED_VALUE"""),"FEM-25-7684-FEP-2025-7941-C-22548-4989
")</f>
        <v>FEM-25-7684-FEP-2025-7941-C-22548-4989
</v>
      </c>
      <c r="I2817" s="133"/>
      <c r="J2817" s="133"/>
      <c r="K2817" s="133"/>
      <c r="L2817" s="133"/>
      <c r="M2817" s="133"/>
      <c r="N2817" s="133"/>
      <c r="O2817" s="133"/>
      <c r="P2817" s="133"/>
      <c r="Q2817" s="133"/>
      <c r="R2817" s="133"/>
      <c r="S2817" s="133"/>
      <c r="T2817" s="133"/>
      <c r="U2817" s="133"/>
      <c r="V2817" s="133"/>
      <c r="W2817" s="133"/>
      <c r="X2817" s="133"/>
      <c r="Y2817" s="133"/>
      <c r="Z2817" s="133"/>
    </row>
    <row r="2818">
      <c r="A2818" s="133"/>
      <c r="B2818" s="133"/>
      <c r="C2818" s="133" t="str">
        <f>IFERROR(__xludf.DUMMYFUNCTION("""COMPUTED_VALUE"""),"2025-514644
")</f>
        <v>2025-514644
</v>
      </c>
      <c r="D2818" s="133"/>
      <c r="E2818" s="133" t="str">
        <f>IFERROR(__xludf.DUMMYFUNCTION("""COMPUTED_VALUE"""),"مكتمل ")</f>
        <v>مكتمل </v>
      </c>
      <c r="F2818" s="133" t="str">
        <f>IFERROR(__xludf.DUMMYFUNCTION("""COMPUTED_VALUE"""),"Instinct RBK Whole Grain Kibble (Puppy) Chicken - 3.5 lb.")</f>
        <v>Instinct RBK Whole Grain Kibble (Puppy) Chicken - 3.5 lb.</v>
      </c>
      <c r="G2818" s="133"/>
      <c r="H2818" s="133" t="str">
        <f>IFERROR(__xludf.DUMMYFUNCTION("""COMPUTED_VALUE"""),"FEM-25-8207-FEP-2025-7817-C-22548-4909
")</f>
        <v>FEM-25-8207-FEP-2025-7817-C-22548-4909
</v>
      </c>
      <c r="I2818" s="133"/>
      <c r="J2818" s="133"/>
      <c r="K2818" s="133"/>
      <c r="L2818" s="133"/>
      <c r="M2818" s="133"/>
      <c r="N2818" s="133"/>
      <c r="O2818" s="133"/>
      <c r="P2818" s="133"/>
      <c r="Q2818" s="133"/>
      <c r="R2818" s="133"/>
      <c r="S2818" s="133"/>
      <c r="T2818" s="133"/>
      <c r="U2818" s="133"/>
      <c r="V2818" s="133"/>
      <c r="W2818" s="133"/>
      <c r="X2818" s="133"/>
      <c r="Y2818" s="133"/>
      <c r="Z2818" s="133"/>
    </row>
    <row r="2819">
      <c r="A2819" s="133"/>
      <c r="B2819" s="133"/>
      <c r="C2819" s="133" t="str">
        <f>IFERROR(__xludf.DUMMYFUNCTION("""COMPUTED_VALUE"""),"2025-620259")</f>
        <v>2025-620259</v>
      </c>
      <c r="D2819" s="133"/>
      <c r="E2819" s="133" t="str">
        <f>IFERROR(__xludf.DUMMYFUNCTION("""COMPUTED_VALUE"""),"جديد")</f>
        <v>جديد</v>
      </c>
      <c r="F2819" s="133" t="str">
        <f>IFERROR(__xludf.DUMMYFUNCTION("""COMPUTED_VALUE"""),"Felyn Go Calming")</f>
        <v>Felyn Go Calming</v>
      </c>
      <c r="G2819" s="133" t="str">
        <f>IFERROR(__xludf.DUMMYFUNCTION("""COMPUTED_VALUE"""),"فيلاين قو كالمينق")</f>
        <v>فيلاين قو كالمينق</v>
      </c>
      <c r="H2819" s="133"/>
      <c r="I2819" s="133"/>
      <c r="J2819" s="133"/>
      <c r="K2819" s="133"/>
      <c r="L2819" s="133"/>
      <c r="M2819" s="133"/>
      <c r="N2819" s="133"/>
      <c r="O2819" s="133"/>
      <c r="P2819" s="133"/>
      <c r="Q2819" s="133"/>
      <c r="R2819" s="133"/>
      <c r="S2819" s="133"/>
      <c r="T2819" s="133"/>
      <c r="U2819" s="133"/>
      <c r="V2819" s="133"/>
      <c r="W2819" s="133"/>
      <c r="X2819" s="133"/>
      <c r="Y2819" s="133"/>
      <c r="Z2819" s="133"/>
    </row>
    <row r="2820">
      <c r="A2820" s="133"/>
      <c r="B2820" s="133"/>
      <c r="C2820" s="133" t="str">
        <f>IFERROR(__xludf.DUMMYFUNCTION("""COMPUTED_VALUE"""),"2025-620326")</f>
        <v>2025-620326</v>
      </c>
      <c r="D2820" s="133"/>
      <c r="E2820" s="133" t="str">
        <f>IFERROR(__xludf.DUMMYFUNCTION("""COMPUTED_VALUE"""),"جديد")</f>
        <v>جديد</v>
      </c>
      <c r="F2820" s="133" t="str">
        <f>IFERROR(__xludf.DUMMYFUNCTION("""COMPUTED_VALUE"""),"FELYN GO DIGESTION")</f>
        <v>FELYN GO DIGESTION</v>
      </c>
      <c r="G2820" s="133" t="str">
        <f>IFERROR(__xludf.DUMMYFUNCTION("""COMPUTED_VALUE"""),"فيلاين قو دايجستشن")</f>
        <v>فيلاين قو دايجستشن</v>
      </c>
      <c r="H2820" s="133"/>
      <c r="I2820" s="133"/>
      <c r="J2820" s="133"/>
      <c r="K2820" s="133"/>
      <c r="L2820" s="133"/>
      <c r="M2820" s="133"/>
      <c r="N2820" s="133"/>
      <c r="O2820" s="133"/>
      <c r="P2820" s="133"/>
      <c r="Q2820" s="133"/>
      <c r="R2820" s="133"/>
      <c r="S2820" s="133"/>
      <c r="T2820" s="133"/>
      <c r="U2820" s="133"/>
      <c r="V2820" s="133"/>
      <c r="W2820" s="133"/>
      <c r="X2820" s="133"/>
      <c r="Y2820" s="133"/>
      <c r="Z2820" s="133"/>
    </row>
    <row r="2821">
      <c r="A2821" s="133"/>
      <c r="B2821" s="133"/>
      <c r="C2821" s="133" t="str">
        <f>IFERROR(__xludf.DUMMYFUNCTION("""COMPUTED_VALUE"""),"2025-620371")</f>
        <v>2025-620371</v>
      </c>
      <c r="D2821" s="133"/>
      <c r="E2821" s="133" t="str">
        <f>IFERROR(__xludf.DUMMYFUNCTION("""COMPUTED_VALUE"""),"جديد")</f>
        <v>جديد</v>
      </c>
      <c r="F2821" s="133" t="str">
        <f>IFERROR(__xludf.DUMMYFUNCTION("""COMPUTED_VALUE"""),"FELYN GO HAIRBALL CONTROL")</f>
        <v>FELYN GO HAIRBALL CONTROL</v>
      </c>
      <c r="G2821" s="133" t="str">
        <f>IFERROR(__xludf.DUMMYFUNCTION("""COMPUTED_VALUE"""),"فيلاين قو هيربول كونترول
")</f>
        <v>فيلاين قو هيربول كونترول
</v>
      </c>
      <c r="H2821" s="133"/>
      <c r="I2821" s="133"/>
      <c r="J2821" s="133"/>
      <c r="K2821" s="133"/>
      <c r="L2821" s="133"/>
      <c r="M2821" s="133"/>
      <c r="N2821" s="133"/>
      <c r="O2821" s="133"/>
      <c r="P2821" s="133"/>
      <c r="Q2821" s="133"/>
      <c r="R2821" s="133"/>
      <c r="S2821" s="133"/>
      <c r="T2821" s="133"/>
      <c r="U2821" s="133"/>
      <c r="V2821" s="133"/>
      <c r="W2821" s="133"/>
      <c r="X2821" s="133"/>
      <c r="Y2821" s="133"/>
      <c r="Z2821" s="133"/>
    </row>
    <row r="2822">
      <c r="A2822" s="133"/>
      <c r="B2822" s="133"/>
      <c r="C2822" s="133" t="str">
        <f>IFERROR(__xludf.DUMMYFUNCTION("""COMPUTED_VALUE"""),"2025-620407")</f>
        <v>2025-620407</v>
      </c>
      <c r="D2822" s="133"/>
      <c r="E2822" s="133" t="str">
        <f>IFERROR(__xludf.DUMMYFUNCTION("""COMPUTED_VALUE"""),"جديد")</f>
        <v>جديد</v>
      </c>
      <c r="F2822" s="133" t="str">
        <f>IFERROR(__xludf.DUMMYFUNCTION("""COMPUTED_VALUE"""),"FELYN GO IMMUNITY")</f>
        <v>FELYN GO IMMUNITY</v>
      </c>
      <c r="G2822" s="133" t="str">
        <f>IFERROR(__xludf.DUMMYFUNCTION("""COMPUTED_VALUE"""),"فيلاين قو إميونتي")</f>
        <v>فيلاين قو إميونتي</v>
      </c>
      <c r="H2822" s="133"/>
      <c r="I2822" s="133"/>
      <c r="J2822" s="133"/>
      <c r="K2822" s="133"/>
      <c r="L2822" s="133"/>
      <c r="M2822" s="133"/>
      <c r="N2822" s="133"/>
      <c r="O2822" s="133"/>
      <c r="P2822" s="133"/>
      <c r="Q2822" s="133"/>
      <c r="R2822" s="133"/>
      <c r="S2822" s="133"/>
      <c r="T2822" s="133"/>
      <c r="U2822" s="133"/>
      <c r="V2822" s="133"/>
      <c r="W2822" s="133"/>
      <c r="X2822" s="133"/>
      <c r="Y2822" s="133"/>
      <c r="Z2822" s="133"/>
    </row>
    <row r="2823">
      <c r="A2823" s="133"/>
      <c r="B2823" s="133"/>
      <c r="C2823" s="133" t="str">
        <f>IFERROR(__xludf.DUMMYFUNCTION("""COMPUTED_VALUE"""),"2025-620443")</f>
        <v>2025-620443</v>
      </c>
      <c r="D2823" s="133"/>
      <c r="E2823" s="133" t="str">
        <f>IFERROR(__xludf.DUMMYFUNCTION("""COMPUTED_VALUE"""),"جديد")</f>
        <v>جديد</v>
      </c>
      <c r="F2823" s="133" t="str">
        <f>IFERROR(__xludf.DUMMYFUNCTION("""COMPUTED_VALUE"""),"FELYN GO LYSINE")</f>
        <v>FELYN GO LYSINE</v>
      </c>
      <c r="G2823" s="133" t="str">
        <f>IFERROR(__xludf.DUMMYFUNCTION("""COMPUTED_VALUE"""),"فيلاين قو لايسين")</f>
        <v>فيلاين قو لايسين</v>
      </c>
      <c r="H2823" s="133"/>
      <c r="I2823" s="133"/>
      <c r="J2823" s="133"/>
      <c r="K2823" s="133"/>
      <c r="L2823" s="133"/>
      <c r="M2823" s="133"/>
      <c r="N2823" s="133"/>
      <c r="O2823" s="133"/>
      <c r="P2823" s="133"/>
      <c r="Q2823" s="133"/>
      <c r="R2823" s="133"/>
      <c r="S2823" s="133"/>
      <c r="T2823" s="133"/>
      <c r="U2823" s="133"/>
      <c r="V2823" s="133"/>
      <c r="W2823" s="133"/>
      <c r="X2823" s="133"/>
      <c r="Y2823" s="133"/>
      <c r="Z2823" s="133"/>
    </row>
    <row r="2824">
      <c r="A2824" s="133"/>
      <c r="B2824" s="133"/>
      <c r="C2824" s="133" t="str">
        <f>IFERROR(__xludf.DUMMYFUNCTION("""COMPUTED_VALUE"""),"2025-620508")</f>
        <v>2025-620508</v>
      </c>
      <c r="D2824" s="133"/>
      <c r="E2824" s="133" t="str">
        <f>IFERROR(__xludf.DUMMYFUNCTION("""COMPUTED_VALUE"""),"جديد")</f>
        <v>جديد</v>
      </c>
      <c r="F2824" s="133" t="str">
        <f>IFERROR(__xludf.DUMMYFUNCTION("""COMPUTED_VALUE"""),"FELYN GO MOBILITY
")</f>
        <v>FELYN GO MOBILITY
</v>
      </c>
      <c r="G2824" s="133" t="str">
        <f>IFERROR(__xludf.DUMMYFUNCTION("""COMPUTED_VALUE"""),"فيلاين قو موبيلتي
")</f>
        <v>فيلاين قو موبيلتي
</v>
      </c>
      <c r="H2824" s="133"/>
      <c r="I2824" s="133"/>
      <c r="J2824" s="133"/>
      <c r="K2824" s="133"/>
      <c r="L2824" s="133"/>
      <c r="M2824" s="133"/>
      <c r="N2824" s="133"/>
      <c r="O2824" s="133"/>
      <c r="P2824" s="133"/>
      <c r="Q2824" s="133"/>
      <c r="R2824" s="133"/>
      <c r="S2824" s="133"/>
      <c r="T2824" s="133"/>
      <c r="U2824" s="133"/>
      <c r="V2824" s="133"/>
      <c r="W2824" s="133"/>
      <c r="X2824" s="133"/>
      <c r="Y2824" s="133"/>
      <c r="Z2824" s="133"/>
    </row>
    <row r="2825">
      <c r="A2825" s="133"/>
      <c r="B2825" s="133"/>
      <c r="C2825" s="133" t="str">
        <f>IFERROR(__xludf.DUMMYFUNCTION("""COMPUTED_VALUE"""),"2025-620541")</f>
        <v>2025-620541</v>
      </c>
      <c r="D2825" s="133"/>
      <c r="E2825" s="133" t="str">
        <f>IFERROR(__xludf.DUMMYFUNCTION("""COMPUTED_VALUE"""),"جديد")</f>
        <v>جديد</v>
      </c>
      <c r="F2825" s="133" t="str">
        <f>IFERROR(__xludf.DUMMYFUNCTION("""COMPUTED_VALUE"""),"FELYN GO MULTIVITAMIN
")</f>
        <v>FELYN GO MULTIVITAMIN
</v>
      </c>
      <c r="G2825" s="133" t="str">
        <f>IFERROR(__xludf.DUMMYFUNCTION("""COMPUTED_VALUE"""),"فيلاين قو مولتيفيتامين")</f>
        <v>فيلاين قو مولتيفيتامين</v>
      </c>
      <c r="H2825" s="133"/>
      <c r="I2825" s="133"/>
      <c r="J2825" s="133"/>
      <c r="K2825" s="133"/>
      <c r="L2825" s="133"/>
      <c r="M2825" s="133"/>
      <c r="N2825" s="133"/>
      <c r="O2825" s="133"/>
      <c r="P2825" s="133"/>
      <c r="Q2825" s="133"/>
      <c r="R2825" s="133"/>
      <c r="S2825" s="133"/>
      <c r="T2825" s="133"/>
      <c r="U2825" s="133"/>
      <c r="V2825" s="133"/>
      <c r="W2825" s="133"/>
      <c r="X2825" s="133"/>
      <c r="Y2825" s="133"/>
      <c r="Z2825" s="133"/>
    </row>
    <row r="2826">
      <c r="A2826" s="133"/>
      <c r="B2826" s="133"/>
      <c r="C2826" s="133" t="str">
        <f>IFERROR(__xludf.DUMMYFUNCTION("""COMPUTED_VALUE"""),"2025-620575")</f>
        <v>2025-620575</v>
      </c>
      <c r="D2826" s="133"/>
      <c r="E2826" s="133" t="str">
        <f>IFERROR(__xludf.DUMMYFUNCTION("""COMPUTED_VALUE"""),"جديد")</f>
        <v>جديد</v>
      </c>
      <c r="F2826" s="133" t="str">
        <f>IFERROR(__xludf.DUMMYFUNCTION("""COMPUTED_VALUE"""),"FELYN GO MULTIVITAMIN KITTEN")</f>
        <v>FELYN GO MULTIVITAMIN KITTEN</v>
      </c>
      <c r="G2826" s="133" t="str">
        <f>IFERROR(__xludf.DUMMYFUNCTION("""COMPUTED_VALUE"""),"فيلاين قو مولتيفيتامين كيتن")</f>
        <v>فيلاين قو مولتيفيتامين كيتن</v>
      </c>
      <c r="H2826" s="133"/>
      <c r="I2826" s="133"/>
      <c r="J2826" s="133"/>
      <c r="K2826" s="133"/>
      <c r="L2826" s="133"/>
      <c r="M2826" s="133"/>
      <c r="N2826" s="133"/>
      <c r="O2826" s="133"/>
      <c r="P2826" s="133"/>
      <c r="Q2826" s="133"/>
      <c r="R2826" s="133"/>
      <c r="S2826" s="133"/>
      <c r="T2826" s="133"/>
      <c r="U2826" s="133"/>
      <c r="V2826" s="133"/>
      <c r="W2826" s="133"/>
      <c r="X2826" s="133"/>
      <c r="Y2826" s="133"/>
      <c r="Z2826" s="133"/>
    </row>
    <row r="2827">
      <c r="A2827" s="133"/>
      <c r="B2827" s="133"/>
      <c r="C2827" s="133" t="str">
        <f>IFERROR(__xludf.DUMMYFUNCTION("""COMPUTED_VALUE"""),"2025-620608")</f>
        <v>2025-620608</v>
      </c>
      <c r="D2827" s="133"/>
      <c r="E2827" s="133" t="str">
        <f>IFERROR(__xludf.DUMMYFUNCTION("""COMPUTED_VALUE"""),"جديد")</f>
        <v>جديد</v>
      </c>
      <c r="F2827" s="133" t="str">
        <f>IFERROR(__xludf.DUMMYFUNCTION("""COMPUTED_VALUE"""),"FELYN GO SKIN &amp; COAT")</f>
        <v>FELYN GO SKIN &amp; COAT</v>
      </c>
      <c r="G2827" s="133" t="str">
        <f>IFERROR(__xludf.DUMMYFUNCTION("""COMPUTED_VALUE"""),"فيلاين قو سكن اند كوت")</f>
        <v>فيلاين قو سكن اند كوت</v>
      </c>
      <c r="H2827" s="133"/>
      <c r="I2827" s="133"/>
      <c r="J2827" s="133"/>
      <c r="K2827" s="133"/>
      <c r="L2827" s="133"/>
      <c r="M2827" s="133"/>
      <c r="N2827" s="133"/>
      <c r="O2827" s="133"/>
      <c r="P2827" s="133"/>
      <c r="Q2827" s="133"/>
      <c r="R2827" s="133"/>
      <c r="S2827" s="133"/>
      <c r="T2827" s="133"/>
      <c r="U2827" s="133"/>
      <c r="V2827" s="133"/>
      <c r="W2827" s="133"/>
      <c r="X2827" s="133"/>
      <c r="Y2827" s="133"/>
      <c r="Z2827" s="133"/>
    </row>
    <row r="2828">
      <c r="A2828" s="133"/>
      <c r="B2828" s="133"/>
      <c r="C2828" s="133" t="str">
        <f>IFERROR(__xludf.DUMMYFUNCTION("""COMPUTED_VALUE"""),"2025-621057")</f>
        <v>2025-621057</v>
      </c>
      <c r="D2828" s="133"/>
      <c r="E2828" s="133" t="str">
        <f>IFERROR(__xludf.DUMMYFUNCTION("""COMPUTED_VALUE"""),"جديد")</f>
        <v>جديد</v>
      </c>
      <c r="F2828" s="133" t="str">
        <f>IFERROR(__xludf.DUMMYFUNCTION("""COMPUTED_VALUE"""),"KANYN GO CALMING
")</f>
        <v>KANYN GO CALMING
</v>
      </c>
      <c r="G2828" s="133" t="str">
        <f>IFERROR(__xludf.DUMMYFUNCTION("""COMPUTED_VALUE"""),"كانين قو كالمينق
")</f>
        <v>كانين قو كالمينق
</v>
      </c>
      <c r="H2828" s="133"/>
      <c r="I2828" s="133"/>
      <c r="J2828" s="133"/>
      <c r="K2828" s="133"/>
      <c r="L2828" s="133"/>
      <c r="M2828" s="133"/>
      <c r="N2828" s="133"/>
      <c r="O2828" s="133"/>
      <c r="P2828" s="133"/>
      <c r="Q2828" s="133"/>
      <c r="R2828" s="133"/>
      <c r="S2828" s="133"/>
      <c r="T2828" s="133"/>
      <c r="U2828" s="133"/>
      <c r="V2828" s="133"/>
      <c r="W2828" s="133"/>
      <c r="X2828" s="133"/>
      <c r="Y2828" s="133"/>
      <c r="Z2828" s="133"/>
    </row>
    <row r="2829">
      <c r="A2829" s="133"/>
      <c r="B2829" s="133"/>
      <c r="C2829" s="133" t="str">
        <f>IFERROR(__xludf.DUMMYFUNCTION("""COMPUTED_VALUE"""),"2025-621093")</f>
        <v>2025-621093</v>
      </c>
      <c r="D2829" s="133"/>
      <c r="E2829" s="133" t="str">
        <f>IFERROR(__xludf.DUMMYFUNCTION("""COMPUTED_VALUE"""),"جديد")</f>
        <v>جديد</v>
      </c>
      <c r="F2829" s="133" t="str">
        <f>IFERROR(__xludf.DUMMYFUNCTION("""COMPUTED_VALUE"""),"KANYN GO DIGESTION")</f>
        <v>KANYN GO DIGESTION</v>
      </c>
      <c r="G2829" s="133" t="str">
        <f>IFERROR(__xludf.DUMMYFUNCTION("""COMPUTED_VALUE"""),"كانين قو دايجستشن")</f>
        <v>كانين قو دايجستشن</v>
      </c>
      <c r="H2829" s="133"/>
      <c r="I2829" s="133"/>
      <c r="J2829" s="133"/>
      <c r="K2829" s="133"/>
      <c r="L2829" s="133"/>
      <c r="M2829" s="133"/>
      <c r="N2829" s="133"/>
      <c r="O2829" s="133"/>
      <c r="P2829" s="133"/>
      <c r="Q2829" s="133"/>
      <c r="R2829" s="133"/>
      <c r="S2829" s="133"/>
      <c r="T2829" s="133"/>
      <c r="U2829" s="133"/>
      <c r="V2829" s="133"/>
      <c r="W2829" s="133"/>
      <c r="X2829" s="133"/>
      <c r="Y2829" s="133"/>
      <c r="Z2829" s="133"/>
    </row>
    <row r="2830">
      <c r="A2830" s="133"/>
      <c r="B2830" s="133"/>
      <c r="C2830" s="133" t="str">
        <f>IFERROR(__xludf.DUMMYFUNCTION("""COMPUTED_VALUE"""),"2025-621109")</f>
        <v>2025-621109</v>
      </c>
      <c r="D2830" s="133"/>
      <c r="E2830" s="133" t="str">
        <f>IFERROR(__xludf.DUMMYFUNCTION("""COMPUTED_VALUE"""),"جديد")</f>
        <v>جديد</v>
      </c>
      <c r="F2830" s="133" t="str">
        <f>IFERROR(__xludf.DUMMYFUNCTION("""COMPUTED_VALUE"""),"KANYN GO MOBILITY")</f>
        <v>KANYN GO MOBILITY</v>
      </c>
      <c r="G2830" s="133" t="str">
        <f>IFERROR(__xludf.DUMMYFUNCTION("""COMPUTED_VALUE"""),"كانين قو رو موبيلتي")</f>
        <v>كانين قو رو موبيلتي</v>
      </c>
      <c r="H2830" s="133"/>
      <c r="I2830" s="133"/>
      <c r="J2830" s="133"/>
      <c r="K2830" s="133"/>
      <c r="L2830" s="133"/>
      <c r="M2830" s="133"/>
      <c r="N2830" s="133"/>
      <c r="O2830" s="133"/>
      <c r="P2830" s="133"/>
      <c r="Q2830" s="133"/>
      <c r="R2830" s="133"/>
      <c r="S2830" s="133"/>
      <c r="T2830" s="133"/>
      <c r="U2830" s="133"/>
      <c r="V2830" s="133"/>
      <c r="W2830" s="133"/>
      <c r="X2830" s="133"/>
      <c r="Y2830" s="133"/>
      <c r="Z2830" s="133"/>
    </row>
    <row r="2831">
      <c r="A2831" s="133"/>
      <c r="B2831" s="133"/>
      <c r="C2831" s="133" t="str">
        <f>IFERROR(__xludf.DUMMYFUNCTION("""COMPUTED_VALUE"""),"2025-621119")</f>
        <v>2025-621119</v>
      </c>
      <c r="D2831" s="133"/>
      <c r="E2831" s="133" t="str">
        <f>IFERROR(__xludf.DUMMYFUNCTION("""COMPUTED_VALUE"""),"جديد")</f>
        <v>جديد</v>
      </c>
      <c r="F2831" s="133" t="str">
        <f>IFERROR(__xludf.DUMMYFUNCTION("""COMPUTED_VALUE"""),"KANYN GO MULTIVITAMIN")</f>
        <v>KANYN GO MULTIVITAMIN</v>
      </c>
      <c r="G2831" s="133" t="str">
        <f>IFERROR(__xludf.DUMMYFUNCTION("""COMPUTED_VALUE"""),"كانين قو مولتيفيتامين")</f>
        <v>كانين قو مولتيفيتامين</v>
      </c>
      <c r="H2831" s="133"/>
      <c r="I2831" s="133"/>
      <c r="J2831" s="133"/>
      <c r="K2831" s="133"/>
      <c r="L2831" s="133"/>
      <c r="M2831" s="133"/>
      <c r="N2831" s="133"/>
      <c r="O2831" s="133"/>
      <c r="P2831" s="133"/>
      <c r="Q2831" s="133"/>
      <c r="R2831" s="133"/>
      <c r="S2831" s="133"/>
      <c r="T2831" s="133"/>
      <c r="U2831" s="133"/>
      <c r="V2831" s="133"/>
      <c r="W2831" s="133"/>
      <c r="X2831" s="133"/>
      <c r="Y2831" s="133"/>
      <c r="Z2831" s="133"/>
    </row>
    <row r="2832">
      <c r="A2832" s="133"/>
      <c r="B2832" s="133"/>
      <c r="C2832" s="133" t="str">
        <f>IFERROR(__xludf.DUMMYFUNCTION("""COMPUTED_VALUE"""),"2025-621148")</f>
        <v>2025-621148</v>
      </c>
      <c r="D2832" s="133"/>
      <c r="E2832" s="133" t="str">
        <f>IFERROR(__xludf.DUMMYFUNCTION("""COMPUTED_VALUE"""),"جديد")</f>
        <v>جديد</v>
      </c>
      <c r="F2832" s="133" t="str">
        <f>IFERROR(__xludf.DUMMYFUNCTION("""COMPUTED_VALUE"""),"KANYN GO MULTIVITAMIN PUPPY")</f>
        <v>KANYN GO MULTIVITAMIN PUPPY</v>
      </c>
      <c r="G2832" s="133" t="str">
        <f>IFERROR(__xludf.DUMMYFUNCTION("""COMPUTED_VALUE"""),"كانين قو مولتيفيتامين بوبي")</f>
        <v>كانين قو مولتيفيتامين بوبي</v>
      </c>
      <c r="H2832" s="133"/>
      <c r="I2832" s="133"/>
      <c r="J2832" s="133"/>
      <c r="K2832" s="133"/>
      <c r="L2832" s="133"/>
      <c r="M2832" s="133"/>
      <c r="N2832" s="133"/>
      <c r="O2832" s="133"/>
      <c r="P2832" s="133"/>
      <c r="Q2832" s="133"/>
      <c r="R2832" s="133"/>
      <c r="S2832" s="133"/>
      <c r="T2832" s="133"/>
      <c r="U2832" s="133"/>
      <c r="V2832" s="133"/>
      <c r="W2832" s="133"/>
      <c r="X2832" s="133"/>
      <c r="Y2832" s="133"/>
      <c r="Z2832" s="133"/>
    </row>
    <row r="2833">
      <c r="A2833" s="133"/>
      <c r="B2833" s="133"/>
      <c r="C2833" s="133" t="str">
        <f>IFERROR(__xludf.DUMMYFUNCTION("""COMPUTED_VALUE"""),"2025-621168")</f>
        <v>2025-621168</v>
      </c>
      <c r="D2833" s="133"/>
      <c r="E2833" s="133" t="str">
        <f>IFERROR(__xludf.DUMMYFUNCTION("""COMPUTED_VALUE"""),"جديد")</f>
        <v>جديد</v>
      </c>
      <c r="F2833" s="133" t="str">
        <f>IFERROR(__xludf.DUMMYFUNCTION("""COMPUTED_VALUE"""),"KANYN GO SKIN &amp; COAT")</f>
        <v>KANYN GO SKIN &amp; COAT</v>
      </c>
      <c r="G2833" s="133" t="str">
        <f>IFERROR(__xludf.DUMMYFUNCTION("""COMPUTED_VALUE"""),"كانين قو سكن اند كوت")</f>
        <v>كانين قو سكن اند كوت</v>
      </c>
      <c r="H2833" s="133"/>
      <c r="I2833" s="133"/>
      <c r="J2833" s="133"/>
      <c r="K2833" s="133"/>
      <c r="L2833" s="133"/>
      <c r="M2833" s="133"/>
      <c r="N2833" s="133"/>
      <c r="O2833" s="133"/>
      <c r="P2833" s="133"/>
      <c r="Q2833" s="133"/>
      <c r="R2833" s="133"/>
      <c r="S2833" s="133"/>
      <c r="T2833" s="133"/>
      <c r="U2833" s="133"/>
      <c r="V2833" s="133"/>
      <c r="W2833" s="133"/>
      <c r="X2833" s="133"/>
      <c r="Y2833" s="133"/>
      <c r="Z2833" s="133"/>
    </row>
    <row r="2834">
      <c r="A2834" s="133"/>
      <c r="B2834" s="133"/>
      <c r="C2834" s="133" t="str">
        <f>IFERROR(__xludf.DUMMYFUNCTION("""COMPUTED_VALUE"""),"2025-625324")</f>
        <v>2025-625324</v>
      </c>
      <c r="D2834" s="133"/>
      <c r="E2834" s="133" t="str">
        <f>IFERROR(__xludf.DUMMYFUNCTION("""COMPUTED_VALUE"""),"جديد")</f>
        <v>جديد</v>
      </c>
      <c r="F2834" s="133" t="str">
        <f>IFERROR(__xludf.DUMMYFUNCTION("""COMPUTED_VALUE"""),"Felyn Go Fresh Salmon - 6 / 2 / 400 ")</f>
        <v>Felyn Go Fresh Salmon - 6 / 2 / 400 </v>
      </c>
      <c r="G2834" s="133" t="str">
        <f>IFERROR(__xludf.DUMMYFUNCTION("""COMPUTED_VALUE"""),"فيلاين قو سلمون طازج")</f>
        <v>فيلاين قو سلمون طازج</v>
      </c>
      <c r="H2834" s="133"/>
      <c r="I2834" s="133"/>
      <c r="J2834" s="133"/>
      <c r="K2834" s="133"/>
      <c r="L2834" s="133"/>
      <c r="M2834" s="133"/>
      <c r="N2834" s="133"/>
      <c r="O2834" s="133"/>
      <c r="P2834" s="133"/>
      <c r="Q2834" s="133"/>
      <c r="R2834" s="133"/>
      <c r="S2834" s="133"/>
      <c r="T2834" s="133"/>
      <c r="U2834" s="133"/>
      <c r="V2834" s="133"/>
      <c r="W2834" s="133"/>
      <c r="X2834" s="133"/>
      <c r="Y2834" s="133"/>
      <c r="Z2834" s="133"/>
    </row>
    <row r="2835">
      <c r="A2835" s="133"/>
      <c r="B2835" s="133"/>
      <c r="C2835" s="133" t="str">
        <f>IFERROR(__xludf.DUMMYFUNCTION("""COMPUTED_VALUE"""),"2025-625406")</f>
        <v>2025-625406</v>
      </c>
      <c r="D2835" s="133"/>
      <c r="E2835" s="133" t="str">
        <f>IFERROR(__xludf.DUMMYFUNCTION("""COMPUTED_VALUE"""),"جديد")</f>
        <v>جديد</v>
      </c>
      <c r="F2835" s="133" t="str">
        <f>IFERROR(__xludf.DUMMYFUNCTION("""COMPUTED_VALUE"""),"Felyn Go Fresh Beef and Poultry  - 6 / 2 / 400 ")</f>
        <v>Felyn Go Fresh Beef and Poultry  - 6 / 2 / 400 </v>
      </c>
      <c r="G2835" s="133" t="str">
        <f>IFERROR(__xludf.DUMMYFUNCTION("""COMPUTED_VALUE"""),"فيلاين قو لحم البقر والدواجن  طازج")</f>
        <v>فيلاين قو لحم البقر والدواجن  طازج</v>
      </c>
      <c r="H2835" s="133"/>
      <c r="I2835" s="133"/>
      <c r="J2835" s="133"/>
      <c r="K2835" s="133"/>
      <c r="L2835" s="133"/>
      <c r="M2835" s="133"/>
      <c r="N2835" s="133"/>
      <c r="O2835" s="133"/>
      <c r="P2835" s="133"/>
      <c r="Q2835" s="133"/>
      <c r="R2835" s="133"/>
      <c r="S2835" s="133"/>
      <c r="T2835" s="133"/>
      <c r="U2835" s="133"/>
      <c r="V2835" s="133"/>
      <c r="W2835" s="133"/>
      <c r="X2835" s="133"/>
      <c r="Y2835" s="133"/>
      <c r="Z2835" s="133"/>
    </row>
    <row r="2836">
      <c r="A2836" s="133"/>
      <c r="B2836" s="133"/>
      <c r="C2836" s="133" t="str">
        <f>IFERROR(__xludf.DUMMYFUNCTION("""COMPUTED_VALUE"""),"2025-625520")</f>
        <v>2025-625520</v>
      </c>
      <c r="D2836" s="133"/>
      <c r="E2836" s="133" t="str">
        <f>IFERROR(__xludf.DUMMYFUNCTION("""COMPUTED_VALUE"""),"جديد")</f>
        <v>جديد</v>
      </c>
      <c r="F2836" s="133" t="str">
        <f>IFERROR(__xludf.DUMMYFUNCTION("""COMPUTED_VALUE"""),"Felyn Go Fresh Chicken with Herbs - 6 / 2 / 400 ")</f>
        <v>Felyn Go Fresh Chicken with Herbs - 6 / 2 / 400 </v>
      </c>
      <c r="G2836" s="133" t="str">
        <f>IFERROR(__xludf.DUMMYFUNCTION("""COMPUTED_VALUE"""),"فيلاين قو دجاج مع الاعشاب  طازج")</f>
        <v>فيلاين قو دجاج مع الاعشاب  طازج</v>
      </c>
      <c r="H2836" s="133"/>
      <c r="I2836" s="133"/>
      <c r="J2836" s="133"/>
      <c r="K2836" s="133"/>
      <c r="L2836" s="133"/>
      <c r="M2836" s="133"/>
      <c r="N2836" s="133"/>
      <c r="O2836" s="133"/>
      <c r="P2836" s="133"/>
      <c r="Q2836" s="133"/>
      <c r="R2836" s="133"/>
      <c r="S2836" s="133"/>
      <c r="T2836" s="133"/>
      <c r="U2836" s="133"/>
      <c r="V2836" s="133"/>
      <c r="W2836" s="133"/>
      <c r="X2836" s="133"/>
      <c r="Y2836" s="133"/>
      <c r="Z2836" s="133"/>
    </row>
    <row r="2837">
      <c r="A2837" s="133"/>
      <c r="B2837" s="133"/>
      <c r="C2837" s="133" t="str">
        <f>IFERROR(__xludf.DUMMYFUNCTION("""COMPUTED_VALUE"""),"2025-625888")</f>
        <v>2025-625888</v>
      </c>
      <c r="D2837" s="133"/>
      <c r="E2837" s="133" t="str">
        <f>IFERROR(__xludf.DUMMYFUNCTION("""COMPUTED_VALUE"""),"جديد")</f>
        <v>جديد</v>
      </c>
      <c r="F2837" s="133" t="str">
        <f>IFERROR(__xludf.DUMMYFUNCTION("""COMPUTED_VALUE"""),"Felyn Go Fresh Turkey with Herbs - 6 / 2 / 400 ")</f>
        <v>Felyn Go Fresh Turkey with Herbs - 6 / 2 / 400 </v>
      </c>
      <c r="G2837" s="133" t="str">
        <f>IFERROR(__xludf.DUMMYFUNCTION("""COMPUTED_VALUE"""),"فيلاين قو ديك مع الاعشاب  طازج")</f>
        <v>فيلاين قو ديك مع الاعشاب  طازج</v>
      </c>
      <c r="H2837" s="133"/>
      <c r="I2837" s="133"/>
      <c r="J2837" s="133"/>
      <c r="K2837" s="133"/>
      <c r="L2837" s="133"/>
      <c r="M2837" s="133"/>
      <c r="N2837" s="133"/>
      <c r="O2837" s="133"/>
      <c r="P2837" s="133"/>
      <c r="Q2837" s="133"/>
      <c r="R2837" s="133"/>
      <c r="S2837" s="133"/>
      <c r="T2837" s="133"/>
      <c r="U2837" s="133"/>
      <c r="V2837" s="133"/>
      <c r="W2837" s="133"/>
      <c r="X2837" s="133"/>
      <c r="Y2837" s="133"/>
      <c r="Z2837" s="133"/>
    </row>
    <row r="2838">
      <c r="A2838" s="133"/>
      <c r="B2838" s="133"/>
      <c r="C2838" s="133"/>
      <c r="D2838" s="133"/>
      <c r="E2838" s="133"/>
      <c r="F2838" s="133"/>
      <c r="G2838" s="133"/>
      <c r="H2838" s="133"/>
      <c r="I2838" s="133"/>
      <c r="J2838" s="133"/>
      <c r="K2838" s="133"/>
      <c r="L2838" s="133"/>
      <c r="M2838" s="133"/>
      <c r="N2838" s="133"/>
      <c r="O2838" s="133"/>
      <c r="P2838" s="133"/>
      <c r="Q2838" s="133"/>
      <c r="R2838" s="133"/>
      <c r="S2838" s="133"/>
      <c r="T2838" s="133"/>
      <c r="U2838" s="133"/>
      <c r="V2838" s="133"/>
      <c r="W2838" s="133"/>
      <c r="X2838" s="133"/>
      <c r="Y2838" s="133"/>
      <c r="Z2838" s="133"/>
    </row>
    <row r="2839">
      <c r="A2839" s="133"/>
      <c r="B2839" s="133"/>
      <c r="C2839" s="133"/>
      <c r="D2839" s="133"/>
      <c r="E2839" s="133"/>
      <c r="F2839" s="133"/>
      <c r="G2839" s="133"/>
      <c r="H2839" s="133"/>
      <c r="I2839" s="133"/>
      <c r="J2839" s="133"/>
      <c r="K2839" s="133"/>
      <c r="L2839" s="133"/>
      <c r="M2839" s="133"/>
      <c r="N2839" s="133"/>
      <c r="O2839" s="133"/>
      <c r="P2839" s="133"/>
      <c r="Q2839" s="133"/>
      <c r="R2839" s="133"/>
      <c r="S2839" s="133"/>
      <c r="T2839" s="133"/>
      <c r="U2839" s="133"/>
      <c r="V2839" s="133"/>
      <c r="W2839" s="133"/>
      <c r="X2839" s="133"/>
      <c r="Y2839" s="133"/>
      <c r="Z2839" s="133"/>
    </row>
    <row r="2840">
      <c r="A2840" s="133"/>
      <c r="B2840" s="133"/>
      <c r="C2840" s="133"/>
      <c r="D2840" s="133"/>
      <c r="E2840" s="133"/>
      <c r="F2840" s="133"/>
      <c r="G2840" s="133"/>
      <c r="H2840" s="133"/>
      <c r="I2840" s="133"/>
      <c r="J2840" s="133"/>
      <c r="K2840" s="133"/>
      <c r="L2840" s="133"/>
      <c r="M2840" s="133"/>
      <c r="N2840" s="133"/>
      <c r="O2840" s="133"/>
      <c r="P2840" s="133"/>
      <c r="Q2840" s="133"/>
      <c r="R2840" s="133"/>
      <c r="S2840" s="133"/>
      <c r="T2840" s="133"/>
      <c r="U2840" s="133"/>
      <c r="V2840" s="133"/>
      <c r="W2840" s="133"/>
      <c r="X2840" s="133"/>
      <c r="Y2840" s="133"/>
      <c r="Z2840" s="133"/>
    </row>
    <row r="2841">
      <c r="A2841" s="133"/>
      <c r="B2841" s="133"/>
      <c r="C2841" s="133"/>
      <c r="D2841" s="133"/>
      <c r="E2841" s="133"/>
      <c r="F2841" s="133"/>
      <c r="G2841" s="133"/>
      <c r="H2841" s="133"/>
      <c r="I2841" s="133"/>
      <c r="J2841" s="133"/>
      <c r="K2841" s="133"/>
      <c r="L2841" s="133"/>
      <c r="M2841" s="133"/>
      <c r="N2841" s="133"/>
      <c r="O2841" s="133"/>
      <c r="P2841" s="133"/>
      <c r="Q2841" s="133"/>
      <c r="R2841" s="133"/>
      <c r="S2841" s="133"/>
      <c r="T2841" s="133"/>
      <c r="U2841" s="133"/>
      <c r="V2841" s="133"/>
      <c r="W2841" s="133"/>
      <c r="X2841" s="133"/>
      <c r="Y2841" s="133"/>
      <c r="Z2841" s="133"/>
    </row>
    <row r="2842">
      <c r="A2842" s="133"/>
      <c r="B2842" s="133"/>
      <c r="C2842" s="133"/>
      <c r="D2842" s="133"/>
      <c r="E2842" s="133"/>
      <c r="F2842" s="133"/>
      <c r="G2842" s="133"/>
      <c r="H2842" s="133"/>
      <c r="I2842" s="133"/>
      <c r="J2842" s="133"/>
      <c r="K2842" s="133"/>
      <c r="L2842" s="133"/>
      <c r="M2842" s="133"/>
      <c r="N2842" s="133"/>
      <c r="O2842" s="133"/>
      <c r="P2842" s="133"/>
      <c r="Q2842" s="133"/>
      <c r="R2842" s="133"/>
      <c r="S2842" s="133"/>
      <c r="T2842" s="133"/>
      <c r="U2842" s="133"/>
      <c r="V2842" s="133"/>
      <c r="W2842" s="133"/>
      <c r="X2842" s="133"/>
      <c r="Y2842" s="133"/>
      <c r="Z2842" s="133"/>
    </row>
    <row r="2843">
      <c r="A2843" s="133"/>
      <c r="B2843" s="133"/>
      <c r="C2843" s="133"/>
      <c r="D2843" s="133"/>
      <c r="E2843" s="133"/>
      <c r="F2843" s="133"/>
      <c r="G2843" s="133"/>
      <c r="H2843" s="133"/>
      <c r="I2843" s="133"/>
      <c r="J2843" s="133"/>
      <c r="K2843" s="133"/>
      <c r="L2843" s="133"/>
      <c r="M2843" s="133"/>
      <c r="N2843" s="133"/>
      <c r="O2843" s="133"/>
      <c r="P2843" s="133"/>
      <c r="Q2843" s="133"/>
      <c r="R2843" s="133"/>
      <c r="S2843" s="133"/>
      <c r="T2843" s="133"/>
      <c r="U2843" s="133"/>
      <c r="V2843" s="133"/>
      <c r="W2843" s="133"/>
      <c r="X2843" s="133"/>
      <c r="Y2843" s="133"/>
      <c r="Z2843" s="133"/>
    </row>
    <row r="2844">
      <c r="A2844" s="133"/>
      <c r="B2844" s="133"/>
      <c r="C2844" s="133"/>
      <c r="D2844" s="133"/>
      <c r="E2844" s="133"/>
      <c r="F2844" s="133"/>
      <c r="G2844" s="133"/>
      <c r="H2844" s="133"/>
      <c r="I2844" s="133"/>
      <c r="J2844" s="133"/>
      <c r="K2844" s="133"/>
      <c r="L2844" s="133"/>
      <c r="M2844" s="133"/>
      <c r="N2844" s="133"/>
      <c r="O2844" s="133"/>
      <c r="P2844" s="133"/>
      <c r="Q2844" s="133"/>
      <c r="R2844" s="133"/>
      <c r="S2844" s="133"/>
      <c r="T2844" s="133"/>
      <c r="U2844" s="133"/>
      <c r="V2844" s="133"/>
      <c r="W2844" s="133"/>
      <c r="X2844" s="133"/>
      <c r="Y2844" s="133"/>
      <c r="Z2844" s="133"/>
    </row>
    <row r="2845">
      <c r="A2845" s="133"/>
      <c r="B2845" s="133"/>
      <c r="C2845" s="133"/>
      <c r="D2845" s="133"/>
      <c r="E2845" s="133"/>
      <c r="F2845" s="133"/>
      <c r="G2845" s="133"/>
      <c r="H2845" s="133"/>
      <c r="I2845" s="133"/>
      <c r="J2845" s="133"/>
      <c r="K2845" s="133"/>
      <c r="L2845" s="133"/>
      <c r="M2845" s="133"/>
      <c r="N2845" s="133"/>
      <c r="O2845" s="133"/>
      <c r="P2845" s="133"/>
      <c r="Q2845" s="133"/>
      <c r="R2845" s="133"/>
      <c r="S2845" s="133"/>
      <c r="T2845" s="133"/>
      <c r="U2845" s="133"/>
      <c r="V2845" s="133"/>
      <c r="W2845" s="133"/>
      <c r="X2845" s="133"/>
      <c r="Y2845" s="133"/>
      <c r="Z2845" s="133"/>
    </row>
    <row r="2846">
      <c r="A2846" s="133"/>
      <c r="B2846" s="133"/>
      <c r="C2846" s="133"/>
      <c r="D2846" s="133"/>
      <c r="E2846" s="133"/>
      <c r="F2846" s="133"/>
      <c r="G2846" s="133"/>
      <c r="H2846" s="133"/>
      <c r="I2846" s="133"/>
      <c r="J2846" s="133"/>
      <c r="K2846" s="133"/>
      <c r="L2846" s="133"/>
      <c r="M2846" s="133"/>
      <c r="N2846" s="133"/>
      <c r="O2846" s="133"/>
      <c r="P2846" s="133"/>
      <c r="Q2846" s="133"/>
      <c r="R2846" s="133"/>
      <c r="S2846" s="133"/>
      <c r="T2846" s="133"/>
      <c r="U2846" s="133"/>
      <c r="V2846" s="133"/>
      <c r="W2846" s="133"/>
      <c r="X2846" s="133"/>
      <c r="Y2846" s="133"/>
      <c r="Z2846" s="133"/>
    </row>
    <row r="2847">
      <c r="A2847" s="133"/>
      <c r="B2847" s="133"/>
      <c r="C2847" s="133"/>
      <c r="D2847" s="133"/>
      <c r="E2847" s="133"/>
      <c r="F2847" s="133"/>
      <c r="G2847" s="133"/>
      <c r="H2847" s="133"/>
      <c r="I2847" s="133"/>
      <c r="J2847" s="133"/>
      <c r="K2847" s="133"/>
      <c r="L2847" s="133"/>
      <c r="M2847" s="133"/>
      <c r="N2847" s="133"/>
      <c r="O2847" s="133"/>
      <c r="P2847" s="133"/>
      <c r="Q2847" s="133"/>
      <c r="R2847" s="133"/>
      <c r="S2847" s="133"/>
      <c r="T2847" s="133"/>
      <c r="U2847" s="133"/>
      <c r="V2847" s="133"/>
      <c r="W2847" s="133"/>
      <c r="X2847" s="133"/>
      <c r="Y2847" s="133"/>
      <c r="Z2847" s="133"/>
    </row>
    <row r="2848">
      <c r="A2848" s="133"/>
      <c r="B2848" s="133"/>
      <c r="C2848" s="133"/>
      <c r="D2848" s="133"/>
      <c r="E2848" s="133"/>
      <c r="F2848" s="133"/>
      <c r="G2848" s="133"/>
      <c r="H2848" s="133"/>
      <c r="I2848" s="133"/>
      <c r="J2848" s="133"/>
      <c r="K2848" s="133"/>
      <c r="L2848" s="133"/>
      <c r="M2848" s="133"/>
      <c r="N2848" s="133"/>
      <c r="O2848" s="133"/>
      <c r="P2848" s="133"/>
      <c r="Q2848" s="133"/>
      <c r="R2848" s="133"/>
      <c r="S2848" s="133"/>
      <c r="T2848" s="133"/>
      <c r="U2848" s="133"/>
      <c r="V2848" s="133"/>
      <c r="W2848" s="133"/>
      <c r="X2848" s="133"/>
      <c r="Y2848" s="133"/>
      <c r="Z2848" s="133"/>
    </row>
    <row r="2849">
      <c r="A2849" s="133"/>
      <c r="B2849" s="133"/>
      <c r="C2849" s="133"/>
      <c r="D2849" s="133"/>
      <c r="E2849" s="133"/>
      <c r="F2849" s="133"/>
      <c r="G2849" s="133"/>
      <c r="H2849" s="133"/>
      <c r="I2849" s="133"/>
      <c r="J2849" s="133"/>
      <c r="K2849" s="133"/>
      <c r="L2849" s="133"/>
      <c r="M2849" s="133"/>
      <c r="N2849" s="133"/>
      <c r="O2849" s="133"/>
      <c r="P2849" s="133"/>
      <c r="Q2849" s="133"/>
      <c r="R2849" s="133"/>
      <c r="S2849" s="133"/>
      <c r="T2849" s="133"/>
      <c r="U2849" s="133"/>
      <c r="V2849" s="133"/>
      <c r="W2849" s="133"/>
      <c r="X2849" s="133"/>
      <c r="Y2849" s="133"/>
      <c r="Z2849" s="133"/>
    </row>
    <row r="2850">
      <c r="A2850" s="133"/>
      <c r="B2850" s="133"/>
      <c r="C2850" s="133"/>
      <c r="D2850" s="133"/>
      <c r="E2850" s="133"/>
      <c r="F2850" s="133"/>
      <c r="G2850" s="133"/>
      <c r="H2850" s="133"/>
      <c r="I2850" s="133"/>
      <c r="J2850" s="133"/>
      <c r="K2850" s="133"/>
      <c r="L2850" s="133"/>
      <c r="M2850" s="133"/>
      <c r="N2850" s="133"/>
      <c r="O2850" s="133"/>
      <c r="P2850" s="133"/>
      <c r="Q2850" s="133"/>
      <c r="R2850" s="133"/>
      <c r="S2850" s="133"/>
      <c r="T2850" s="133"/>
      <c r="U2850" s="133"/>
      <c r="V2850" s="133"/>
      <c r="W2850" s="133"/>
      <c r="X2850" s="133"/>
      <c r="Y2850" s="133"/>
      <c r="Z2850" s="133"/>
    </row>
    <row r="2851">
      <c r="A2851" s="133"/>
      <c r="B2851" s="133"/>
      <c r="C2851" s="133"/>
      <c r="D2851" s="133"/>
      <c r="E2851" s="133"/>
      <c r="F2851" s="133"/>
      <c r="G2851" s="133"/>
      <c r="H2851" s="133"/>
      <c r="I2851" s="133"/>
      <c r="J2851" s="133"/>
      <c r="K2851" s="133"/>
      <c r="L2851" s="133"/>
      <c r="M2851" s="133"/>
      <c r="N2851" s="133"/>
      <c r="O2851" s="133"/>
      <c r="P2851" s="133"/>
      <c r="Q2851" s="133"/>
      <c r="R2851" s="133"/>
      <c r="S2851" s="133"/>
      <c r="T2851" s="133"/>
      <c r="U2851" s="133"/>
      <c r="V2851" s="133"/>
      <c r="W2851" s="133"/>
      <c r="X2851" s="133"/>
      <c r="Y2851" s="133"/>
      <c r="Z2851" s="133"/>
    </row>
    <row r="2852">
      <c r="A2852" s="133"/>
      <c r="B2852" s="133"/>
      <c r="C2852" s="133"/>
      <c r="D2852" s="133"/>
      <c r="E2852" s="133"/>
      <c r="F2852" s="133"/>
      <c r="G2852" s="133"/>
      <c r="H2852" s="133"/>
      <c r="I2852" s="133"/>
      <c r="J2852" s="133"/>
      <c r="K2852" s="133"/>
      <c r="L2852" s="133"/>
      <c r="M2852" s="133"/>
      <c r="N2852" s="133"/>
      <c r="O2852" s="133"/>
      <c r="P2852" s="133"/>
      <c r="Q2852" s="133"/>
      <c r="R2852" s="133"/>
      <c r="S2852" s="133"/>
      <c r="T2852" s="133"/>
      <c r="U2852" s="133"/>
      <c r="V2852" s="133"/>
      <c r="W2852" s="133"/>
      <c r="X2852" s="133"/>
      <c r="Y2852" s="133"/>
      <c r="Z2852" s="133"/>
    </row>
    <row r="2853">
      <c r="A2853" s="133"/>
      <c r="B2853" s="133"/>
      <c r="C2853" s="133"/>
      <c r="D2853" s="133"/>
      <c r="E2853" s="133"/>
      <c r="F2853" s="133"/>
      <c r="G2853" s="133"/>
      <c r="H2853" s="133"/>
      <c r="I2853" s="133"/>
      <c r="J2853" s="133"/>
      <c r="K2853" s="133"/>
      <c r="L2853" s="133"/>
      <c r="M2853" s="133"/>
      <c r="N2853" s="133"/>
      <c r="O2853" s="133"/>
      <c r="P2853" s="133"/>
      <c r="Q2853" s="133"/>
      <c r="R2853" s="133"/>
      <c r="S2853" s="133"/>
      <c r="T2853" s="133"/>
      <c r="U2853" s="133"/>
      <c r="V2853" s="133"/>
      <c r="W2853" s="133"/>
      <c r="X2853" s="133"/>
      <c r="Y2853" s="133"/>
      <c r="Z2853" s="133"/>
    </row>
    <row r="2854">
      <c r="A2854" s="133"/>
      <c r="B2854" s="133"/>
      <c r="C2854" s="133"/>
      <c r="D2854" s="133"/>
      <c r="E2854" s="133"/>
      <c r="F2854" s="133"/>
      <c r="G2854" s="133"/>
      <c r="H2854" s="133"/>
      <c r="I2854" s="133"/>
      <c r="J2854" s="133"/>
      <c r="K2854" s="133"/>
      <c r="L2854" s="133"/>
      <c r="M2854" s="133"/>
      <c r="N2854" s="133"/>
      <c r="O2854" s="133"/>
      <c r="P2854" s="133"/>
      <c r="Q2854" s="133"/>
      <c r="R2854" s="133"/>
      <c r="S2854" s="133"/>
      <c r="T2854" s="133"/>
      <c r="U2854" s="133"/>
      <c r="V2854" s="133"/>
      <c r="W2854" s="133"/>
      <c r="X2854" s="133"/>
      <c r="Y2854" s="133"/>
      <c r="Z2854" s="133"/>
    </row>
    <row r="2855">
      <c r="A2855" s="133"/>
      <c r="B2855" s="133"/>
      <c r="C2855" s="133"/>
      <c r="D2855" s="133"/>
      <c r="E2855" s="133"/>
      <c r="F2855" s="133"/>
      <c r="G2855" s="133"/>
      <c r="H2855" s="133"/>
      <c r="I2855" s="133"/>
      <c r="J2855" s="133"/>
      <c r="K2855" s="133"/>
      <c r="L2855" s="133"/>
      <c r="M2855" s="133"/>
      <c r="N2855" s="133"/>
      <c r="O2855" s="133"/>
      <c r="P2855" s="133"/>
      <c r="Q2855" s="133"/>
      <c r="R2855" s="133"/>
      <c r="S2855" s="133"/>
      <c r="T2855" s="133"/>
      <c r="U2855" s="133"/>
      <c r="V2855" s="133"/>
      <c r="W2855" s="133"/>
      <c r="X2855" s="133"/>
      <c r="Y2855" s="133"/>
      <c r="Z2855" s="133"/>
    </row>
    <row r="2856">
      <c r="A2856" s="133"/>
      <c r="B2856" s="133"/>
      <c r="C2856" s="133"/>
      <c r="D2856" s="133"/>
      <c r="E2856" s="133"/>
      <c r="F2856" s="133"/>
      <c r="G2856" s="133"/>
      <c r="H2856" s="133"/>
      <c r="I2856" s="133"/>
      <c r="J2856" s="133"/>
      <c r="K2856" s="133"/>
      <c r="L2856" s="133"/>
      <c r="M2856" s="133"/>
      <c r="N2856" s="133"/>
      <c r="O2856" s="133"/>
      <c r="P2856" s="133"/>
      <c r="Q2856" s="133"/>
      <c r="R2856" s="133"/>
      <c r="S2856" s="133"/>
      <c r="T2856" s="133"/>
      <c r="U2856" s="133"/>
      <c r="V2856" s="133"/>
      <c r="W2856" s="133"/>
      <c r="X2856" s="133"/>
      <c r="Y2856" s="133"/>
      <c r="Z2856" s="133"/>
    </row>
    <row r="2857">
      <c r="A2857" s="133"/>
      <c r="B2857" s="133"/>
      <c r="C2857" s="133"/>
      <c r="D2857" s="133"/>
      <c r="E2857" s="133"/>
      <c r="F2857" s="133"/>
      <c r="G2857" s="133"/>
      <c r="H2857" s="133"/>
      <c r="I2857" s="133"/>
      <c r="J2857" s="133"/>
      <c r="K2857" s="133"/>
      <c r="L2857" s="133"/>
      <c r="M2857" s="133"/>
      <c r="N2857" s="133"/>
      <c r="O2857" s="133"/>
      <c r="P2857" s="133"/>
      <c r="Q2857" s="133"/>
      <c r="R2857" s="133"/>
      <c r="S2857" s="133"/>
      <c r="T2857" s="133"/>
      <c r="U2857" s="133"/>
      <c r="V2857" s="133"/>
      <c r="W2857" s="133"/>
      <c r="X2857" s="133"/>
      <c r="Y2857" s="133"/>
      <c r="Z2857" s="133"/>
    </row>
    <row r="2858">
      <c r="A2858" s="133"/>
      <c r="B2858" s="133"/>
      <c r="C2858" s="133"/>
      <c r="D2858" s="133"/>
      <c r="E2858" s="133"/>
      <c r="F2858" s="133"/>
      <c r="G2858" s="133"/>
      <c r="H2858" s="133"/>
      <c r="I2858" s="133"/>
      <c r="J2858" s="133"/>
      <c r="K2858" s="133"/>
      <c r="L2858" s="133"/>
      <c r="M2858" s="133"/>
      <c r="N2858" s="133"/>
      <c r="O2858" s="133"/>
      <c r="P2858" s="133"/>
      <c r="Q2858" s="133"/>
      <c r="R2858" s="133"/>
      <c r="S2858" s="133"/>
      <c r="T2858" s="133"/>
      <c r="U2858" s="133"/>
      <c r="V2858" s="133"/>
      <c r="W2858" s="133"/>
      <c r="X2858" s="133"/>
      <c r="Y2858" s="133"/>
      <c r="Z2858" s="133"/>
    </row>
    <row r="2859">
      <c r="A2859" s="133"/>
      <c r="B2859" s="133"/>
      <c r="C2859" s="133"/>
      <c r="D2859" s="133"/>
      <c r="E2859" s="133"/>
      <c r="F2859" s="133"/>
      <c r="G2859" s="133"/>
      <c r="H2859" s="133"/>
      <c r="I2859" s="133"/>
      <c r="J2859" s="133"/>
      <c r="K2859" s="133"/>
      <c r="L2859" s="133"/>
      <c r="M2859" s="133"/>
      <c r="N2859" s="133"/>
      <c r="O2859" s="133"/>
      <c r="P2859" s="133"/>
      <c r="Q2859" s="133"/>
      <c r="R2859" s="133"/>
      <c r="S2859" s="133"/>
      <c r="T2859" s="133"/>
      <c r="U2859" s="133"/>
      <c r="V2859" s="133"/>
      <c r="W2859" s="133"/>
      <c r="X2859" s="133"/>
      <c r="Y2859" s="133"/>
      <c r="Z2859" s="133"/>
    </row>
    <row r="2860">
      <c r="A2860" s="133"/>
      <c r="B2860" s="133"/>
      <c r="C2860" s="133"/>
      <c r="D2860" s="133"/>
      <c r="E2860" s="133"/>
      <c r="F2860" s="133"/>
      <c r="G2860" s="133"/>
      <c r="H2860" s="133"/>
      <c r="I2860" s="133"/>
      <c r="J2860" s="133"/>
      <c r="K2860" s="133"/>
      <c r="L2860" s="133"/>
      <c r="M2860" s="133"/>
      <c r="N2860" s="133"/>
      <c r="O2860" s="133"/>
      <c r="P2860" s="133"/>
      <c r="Q2860" s="133"/>
      <c r="R2860" s="133"/>
      <c r="S2860" s="133"/>
      <c r="T2860" s="133"/>
      <c r="U2860" s="133"/>
      <c r="V2860" s="133"/>
      <c r="W2860" s="133"/>
      <c r="X2860" s="133"/>
      <c r="Y2860" s="133"/>
      <c r="Z2860" s="133"/>
    </row>
    <row r="2861">
      <c r="A2861" s="133"/>
      <c r="B2861" s="133"/>
      <c r="C2861" s="133"/>
      <c r="D2861" s="133"/>
      <c r="E2861" s="133"/>
      <c r="F2861" s="133"/>
      <c r="G2861" s="133"/>
      <c r="H2861" s="133"/>
      <c r="I2861" s="133"/>
      <c r="J2861" s="133"/>
      <c r="K2861" s="133"/>
      <c r="L2861" s="133"/>
      <c r="M2861" s="133"/>
      <c r="N2861" s="133"/>
      <c r="O2861" s="133"/>
      <c r="P2861" s="133"/>
      <c r="Q2861" s="133"/>
      <c r="R2861" s="133"/>
      <c r="S2861" s="133"/>
      <c r="T2861" s="133"/>
      <c r="U2861" s="133"/>
      <c r="V2861" s="133"/>
      <c r="W2861" s="133"/>
      <c r="X2861" s="133"/>
      <c r="Y2861" s="133"/>
      <c r="Z2861" s="133"/>
    </row>
    <row r="2862">
      <c r="A2862" s="133"/>
      <c r="B2862" s="133"/>
      <c r="C2862" s="133"/>
      <c r="D2862" s="133"/>
      <c r="E2862" s="133"/>
      <c r="F2862" s="133"/>
      <c r="G2862" s="133"/>
      <c r="H2862" s="133"/>
      <c r="I2862" s="133"/>
      <c r="J2862" s="133"/>
      <c r="K2862" s="133"/>
      <c r="L2862" s="133"/>
      <c r="M2862" s="133"/>
      <c r="N2862" s="133"/>
      <c r="O2862" s="133"/>
      <c r="P2862" s="133"/>
      <c r="Q2862" s="133"/>
      <c r="R2862" s="133"/>
      <c r="S2862" s="133"/>
      <c r="T2862" s="133"/>
      <c r="U2862" s="133"/>
      <c r="V2862" s="133"/>
      <c r="W2862" s="133"/>
      <c r="X2862" s="133"/>
      <c r="Y2862" s="133"/>
      <c r="Z2862" s="133"/>
    </row>
    <row r="2863">
      <c r="A2863" s="133"/>
      <c r="B2863" s="133"/>
      <c r="C2863" s="133"/>
      <c r="D2863" s="133"/>
      <c r="E2863" s="133"/>
      <c r="F2863" s="133"/>
      <c r="G2863" s="133"/>
      <c r="H2863" s="133"/>
      <c r="I2863" s="133"/>
      <c r="J2863" s="133"/>
      <c r="K2863" s="133"/>
      <c r="L2863" s="133"/>
      <c r="M2863" s="133"/>
      <c r="N2863" s="133"/>
      <c r="O2863" s="133"/>
      <c r="P2863" s="133"/>
      <c r="Q2863" s="133"/>
      <c r="R2863" s="133"/>
      <c r="S2863" s="133"/>
      <c r="T2863" s="133"/>
      <c r="U2863" s="133"/>
      <c r="V2863" s="133"/>
      <c r="W2863" s="133"/>
      <c r="X2863" s="133"/>
      <c r="Y2863" s="133"/>
      <c r="Z2863" s="133"/>
    </row>
    <row r="2864">
      <c r="A2864" s="133"/>
      <c r="B2864" s="133"/>
      <c r="C2864" s="133"/>
      <c r="D2864" s="133"/>
      <c r="E2864" s="133"/>
      <c r="F2864" s="133"/>
      <c r="G2864" s="133"/>
      <c r="H2864" s="133"/>
      <c r="I2864" s="133"/>
      <c r="J2864" s="133"/>
      <c r="K2864" s="133"/>
      <c r="L2864" s="133"/>
      <c r="M2864" s="133"/>
      <c r="N2864" s="133"/>
      <c r="O2864" s="133"/>
      <c r="P2864" s="133"/>
      <c r="Q2864" s="133"/>
      <c r="R2864" s="133"/>
      <c r="S2864" s="133"/>
      <c r="T2864" s="133"/>
      <c r="U2864" s="133"/>
      <c r="V2864" s="133"/>
      <c r="W2864" s="133"/>
      <c r="X2864" s="133"/>
      <c r="Y2864" s="133"/>
      <c r="Z2864" s="133"/>
    </row>
    <row r="2865">
      <c r="A2865" s="133"/>
      <c r="B2865" s="133"/>
      <c r="C2865" s="133"/>
      <c r="D2865" s="133"/>
      <c r="E2865" s="133"/>
      <c r="F2865" s="133"/>
      <c r="G2865" s="133"/>
      <c r="H2865" s="133"/>
      <c r="I2865" s="133"/>
      <c r="J2865" s="133"/>
      <c r="K2865" s="133"/>
      <c r="L2865" s="133"/>
      <c r="M2865" s="133"/>
      <c r="N2865" s="133"/>
      <c r="O2865" s="133"/>
      <c r="P2865" s="133"/>
      <c r="Q2865" s="133"/>
      <c r="R2865" s="133"/>
      <c r="S2865" s="133"/>
      <c r="T2865" s="133"/>
      <c r="U2865" s="133"/>
      <c r="V2865" s="133"/>
      <c r="W2865" s="133"/>
      <c r="X2865" s="133"/>
      <c r="Y2865" s="133"/>
      <c r="Z2865" s="133"/>
    </row>
    <row r="2866">
      <c r="A2866" s="133"/>
      <c r="B2866" s="133"/>
      <c r="C2866" s="133"/>
      <c r="D2866" s="133"/>
      <c r="E2866" s="133"/>
      <c r="F2866" s="133"/>
      <c r="G2866" s="133"/>
      <c r="H2866" s="133"/>
      <c r="I2866" s="133"/>
      <c r="J2866" s="133"/>
      <c r="K2866" s="133"/>
      <c r="L2866" s="133"/>
      <c r="M2866" s="133"/>
      <c r="N2866" s="133"/>
      <c r="O2866" s="133"/>
      <c r="P2866" s="133"/>
      <c r="Q2866" s="133"/>
      <c r="R2866" s="133"/>
      <c r="S2866" s="133"/>
      <c r="T2866" s="133"/>
      <c r="U2866" s="133"/>
      <c r="V2866" s="133"/>
      <c r="W2866" s="133"/>
      <c r="X2866" s="133"/>
      <c r="Y2866" s="133"/>
      <c r="Z2866" s="133"/>
    </row>
    <row r="2867">
      <c r="A2867" s="133"/>
      <c r="B2867" s="133"/>
      <c r="C2867" s="133"/>
      <c r="D2867" s="133"/>
      <c r="E2867" s="133"/>
      <c r="F2867" s="133"/>
      <c r="G2867" s="133"/>
      <c r="H2867" s="133"/>
      <c r="I2867" s="133"/>
      <c r="J2867" s="133"/>
      <c r="K2867" s="133"/>
      <c r="L2867" s="133"/>
      <c r="M2867" s="133"/>
      <c r="N2867" s="133"/>
      <c r="O2867" s="133"/>
      <c r="P2867" s="133"/>
      <c r="Q2867" s="133"/>
      <c r="R2867" s="133"/>
      <c r="S2867" s="133"/>
      <c r="T2867" s="133"/>
      <c r="U2867" s="133"/>
      <c r="V2867" s="133"/>
      <c r="W2867" s="133"/>
      <c r="X2867" s="133"/>
      <c r="Y2867" s="133"/>
      <c r="Z2867" s="133"/>
    </row>
    <row r="2868">
      <c r="A2868" s="133"/>
      <c r="B2868" s="133"/>
      <c r="C2868" s="133"/>
      <c r="D2868" s="133"/>
      <c r="E2868" s="133"/>
      <c r="F2868" s="133"/>
      <c r="G2868" s="133"/>
      <c r="H2868" s="133"/>
      <c r="I2868" s="133"/>
      <c r="J2868" s="133"/>
      <c r="K2868" s="133"/>
      <c r="L2868" s="133"/>
      <c r="M2868" s="133"/>
      <c r="N2868" s="133"/>
      <c r="O2868" s="133"/>
      <c r="P2868" s="133"/>
      <c r="Q2868" s="133"/>
      <c r="R2868" s="133"/>
      <c r="S2868" s="133"/>
      <c r="T2868" s="133"/>
      <c r="U2868" s="133"/>
      <c r="V2868" s="133"/>
      <c r="W2868" s="133"/>
      <c r="X2868" s="133"/>
      <c r="Y2868" s="133"/>
      <c r="Z2868" s="133"/>
    </row>
    <row r="2869">
      <c r="A2869" s="133"/>
      <c r="B2869" s="133"/>
      <c r="C2869" s="133"/>
      <c r="D2869" s="133"/>
      <c r="E2869" s="133"/>
      <c r="F2869" s="133"/>
      <c r="G2869" s="133"/>
      <c r="H2869" s="133"/>
      <c r="I2869" s="133"/>
      <c r="J2869" s="133"/>
      <c r="K2869" s="133"/>
      <c r="L2869" s="133"/>
      <c r="M2869" s="133"/>
      <c r="N2869" s="133"/>
      <c r="O2869" s="133"/>
      <c r="P2869" s="133"/>
      <c r="Q2869" s="133"/>
      <c r="R2869" s="133"/>
      <c r="S2869" s="133"/>
      <c r="T2869" s="133"/>
      <c r="U2869" s="133"/>
      <c r="V2869" s="133"/>
      <c r="W2869" s="133"/>
      <c r="X2869" s="133"/>
      <c r="Y2869" s="133"/>
      <c r="Z2869" s="133"/>
    </row>
    <row r="2870">
      <c r="A2870" s="133"/>
      <c r="B2870" s="133"/>
      <c r="C2870" s="133"/>
      <c r="D2870" s="133"/>
      <c r="E2870" s="133"/>
      <c r="F2870" s="133"/>
      <c r="G2870" s="133"/>
      <c r="H2870" s="133"/>
      <c r="I2870" s="133"/>
      <c r="J2870" s="133"/>
      <c r="K2870" s="133"/>
      <c r="L2870" s="133"/>
      <c r="M2870" s="133"/>
      <c r="N2870" s="133"/>
      <c r="O2870" s="133"/>
      <c r="P2870" s="133"/>
      <c r="Q2870" s="133"/>
      <c r="R2870" s="133"/>
      <c r="S2870" s="133"/>
      <c r="T2870" s="133"/>
      <c r="U2870" s="133"/>
      <c r="V2870" s="133"/>
      <c r="W2870" s="133"/>
      <c r="X2870" s="133"/>
      <c r="Y2870" s="133"/>
      <c r="Z2870" s="133"/>
    </row>
    <row r="2871">
      <c r="A2871" s="133"/>
      <c r="B2871" s="133"/>
      <c r="C2871" s="133"/>
      <c r="D2871" s="133"/>
      <c r="E2871" s="133"/>
      <c r="F2871" s="133"/>
      <c r="G2871" s="133"/>
      <c r="H2871" s="133"/>
      <c r="I2871" s="133"/>
      <c r="J2871" s="133"/>
      <c r="K2871" s="133"/>
      <c r="L2871" s="133"/>
      <c r="M2871" s="133"/>
      <c r="N2871" s="133"/>
      <c r="O2871" s="133"/>
      <c r="P2871" s="133"/>
      <c r="Q2871" s="133"/>
      <c r="R2871" s="133"/>
      <c r="S2871" s="133"/>
      <c r="T2871" s="133"/>
      <c r="U2871" s="133"/>
      <c r="V2871" s="133"/>
      <c r="W2871" s="133"/>
      <c r="X2871" s="133"/>
      <c r="Y2871" s="133"/>
      <c r="Z2871" s="133"/>
    </row>
    <row r="2872">
      <c r="A2872" s="133"/>
      <c r="B2872" s="133"/>
      <c r="C2872" s="133"/>
      <c r="D2872" s="133"/>
      <c r="E2872" s="133"/>
      <c r="F2872" s="133"/>
      <c r="G2872" s="133"/>
      <c r="H2872" s="133"/>
      <c r="I2872" s="133"/>
      <c r="J2872" s="133"/>
      <c r="K2872" s="133"/>
      <c r="L2872" s="133"/>
      <c r="M2872" s="133"/>
      <c r="N2872" s="133"/>
      <c r="O2872" s="133"/>
      <c r="P2872" s="133"/>
      <c r="Q2872" s="133"/>
      <c r="R2872" s="133"/>
      <c r="S2872" s="133"/>
      <c r="T2872" s="133"/>
      <c r="U2872" s="133"/>
      <c r="V2872" s="133"/>
      <c r="W2872" s="133"/>
      <c r="X2872" s="133"/>
      <c r="Y2872" s="133"/>
      <c r="Z2872" s="133"/>
    </row>
    <row r="2873">
      <c r="A2873" s="133"/>
      <c r="B2873" s="133"/>
      <c r="C2873" s="133"/>
      <c r="D2873" s="133"/>
      <c r="E2873" s="133"/>
      <c r="F2873" s="133"/>
      <c r="G2873" s="133"/>
      <c r="H2873" s="133"/>
      <c r="I2873" s="133"/>
      <c r="J2873" s="133"/>
      <c r="K2873" s="133"/>
      <c r="L2873" s="133"/>
      <c r="M2873" s="133"/>
      <c r="N2873" s="133"/>
      <c r="O2873" s="133"/>
      <c r="P2873" s="133"/>
      <c r="Q2873" s="133"/>
      <c r="R2873" s="133"/>
      <c r="S2873" s="133"/>
      <c r="T2873" s="133"/>
      <c r="U2873" s="133"/>
      <c r="V2873" s="133"/>
      <c r="W2873" s="133"/>
      <c r="X2873" s="133"/>
      <c r="Y2873" s="133"/>
      <c r="Z2873" s="133"/>
    </row>
    <row r="2874">
      <c r="A2874" s="133"/>
      <c r="B2874" s="133"/>
      <c r="C2874" s="133"/>
      <c r="D2874" s="133"/>
      <c r="E2874" s="133"/>
      <c r="F2874" s="133"/>
      <c r="G2874" s="133"/>
      <c r="H2874" s="133"/>
      <c r="I2874" s="133"/>
      <c r="J2874" s="133"/>
      <c r="K2874" s="133"/>
      <c r="L2874" s="133"/>
      <c r="M2874" s="133"/>
      <c r="N2874" s="133"/>
      <c r="O2874" s="133"/>
      <c r="P2874" s="133"/>
      <c r="Q2874" s="133"/>
      <c r="R2874" s="133"/>
      <c r="S2874" s="133"/>
      <c r="T2874" s="133"/>
      <c r="U2874" s="133"/>
      <c r="V2874" s="133"/>
      <c r="W2874" s="133"/>
      <c r="X2874" s="133"/>
      <c r="Y2874" s="133"/>
      <c r="Z2874" s="133"/>
    </row>
    <row r="2875">
      <c r="A2875" s="133"/>
      <c r="B2875" s="133"/>
      <c r="C2875" s="133"/>
      <c r="D2875" s="133"/>
      <c r="E2875" s="133"/>
      <c r="F2875" s="133"/>
      <c r="G2875" s="133"/>
      <c r="H2875" s="133"/>
      <c r="I2875" s="133"/>
      <c r="J2875" s="133"/>
      <c r="K2875" s="133"/>
      <c r="L2875" s="133"/>
      <c r="M2875" s="133"/>
      <c r="N2875" s="133"/>
      <c r="O2875" s="133"/>
      <c r="P2875" s="133"/>
      <c r="Q2875" s="133"/>
      <c r="R2875" s="133"/>
      <c r="S2875" s="133"/>
      <c r="T2875" s="133"/>
      <c r="U2875" s="133"/>
      <c r="V2875" s="133"/>
      <c r="W2875" s="133"/>
      <c r="X2875" s="133"/>
      <c r="Y2875" s="133"/>
      <c r="Z2875" s="133"/>
    </row>
    <row r="2876">
      <c r="A2876" s="133"/>
      <c r="B2876" s="133"/>
      <c r="C2876" s="133"/>
      <c r="D2876" s="133"/>
      <c r="E2876" s="133"/>
      <c r="F2876" s="133"/>
      <c r="G2876" s="133"/>
      <c r="H2876" s="133"/>
      <c r="I2876" s="133"/>
      <c r="J2876" s="133"/>
      <c r="K2876" s="133"/>
      <c r="L2876" s="133"/>
      <c r="M2876" s="133"/>
      <c r="N2876" s="133"/>
      <c r="O2876" s="133"/>
      <c r="P2876" s="133"/>
      <c r="Q2876" s="133"/>
      <c r="R2876" s="133"/>
      <c r="S2876" s="133"/>
      <c r="T2876" s="133"/>
      <c r="U2876" s="133"/>
      <c r="V2876" s="133"/>
      <c r="W2876" s="133"/>
      <c r="X2876" s="133"/>
      <c r="Y2876" s="133"/>
      <c r="Z2876" s="133"/>
    </row>
    <row r="2877">
      <c r="A2877" s="133"/>
      <c r="B2877" s="133"/>
      <c r="C2877" s="133"/>
      <c r="D2877" s="133"/>
      <c r="E2877" s="133"/>
      <c r="F2877" s="133"/>
      <c r="G2877" s="133"/>
      <c r="H2877" s="133"/>
      <c r="I2877" s="133"/>
      <c r="J2877" s="133"/>
      <c r="K2877" s="133"/>
      <c r="L2877" s="133"/>
      <c r="M2877" s="133"/>
      <c r="N2877" s="133"/>
      <c r="O2877" s="133"/>
      <c r="P2877" s="133"/>
      <c r="Q2877" s="133"/>
      <c r="R2877" s="133"/>
      <c r="S2877" s="133"/>
      <c r="T2877" s="133"/>
      <c r="U2877" s="133"/>
      <c r="V2877" s="133"/>
      <c r="W2877" s="133"/>
      <c r="X2877" s="133"/>
      <c r="Y2877" s="133"/>
      <c r="Z2877" s="133"/>
    </row>
    <row r="2878">
      <c r="A2878" s="133"/>
      <c r="B2878" s="133"/>
      <c r="C2878" s="133"/>
      <c r="D2878" s="133"/>
      <c r="E2878" s="133"/>
      <c r="F2878" s="133"/>
      <c r="G2878" s="133"/>
      <c r="H2878" s="133"/>
      <c r="I2878" s="133"/>
      <c r="J2878" s="133"/>
      <c r="K2878" s="133"/>
      <c r="L2878" s="133"/>
      <c r="M2878" s="133"/>
      <c r="N2878" s="133"/>
      <c r="O2878" s="133"/>
      <c r="P2878" s="133"/>
      <c r="Q2878" s="133"/>
      <c r="R2878" s="133"/>
      <c r="S2878" s="133"/>
      <c r="T2878" s="133"/>
      <c r="U2878" s="133"/>
      <c r="V2878" s="133"/>
      <c r="W2878" s="133"/>
      <c r="X2878" s="133"/>
      <c r="Y2878" s="133"/>
      <c r="Z2878" s="133"/>
    </row>
    <row r="2879">
      <c r="A2879" s="133"/>
      <c r="B2879" s="133"/>
      <c r="C2879" s="133"/>
      <c r="D2879" s="133"/>
      <c r="E2879" s="133"/>
      <c r="F2879" s="133"/>
      <c r="G2879" s="133"/>
      <c r="H2879" s="133"/>
      <c r="I2879" s="133"/>
      <c r="J2879" s="133"/>
      <c r="K2879" s="133"/>
      <c r="L2879" s="133"/>
      <c r="M2879" s="133"/>
      <c r="N2879" s="133"/>
      <c r="O2879" s="133"/>
      <c r="P2879" s="133"/>
      <c r="Q2879" s="133"/>
      <c r="R2879" s="133"/>
      <c r="S2879" s="133"/>
      <c r="T2879" s="133"/>
      <c r="U2879" s="133"/>
      <c r="V2879" s="133"/>
      <c r="W2879" s="133"/>
      <c r="X2879" s="133"/>
      <c r="Y2879" s="133"/>
      <c r="Z2879" s="133"/>
    </row>
    <row r="2880">
      <c r="A2880" s="133"/>
      <c r="B2880" s="133"/>
      <c r="C2880" s="133"/>
      <c r="D2880" s="133"/>
      <c r="E2880" s="133"/>
      <c r="F2880" s="133"/>
      <c r="G2880" s="133"/>
      <c r="H2880" s="133"/>
      <c r="I2880" s="133"/>
      <c r="J2880" s="133"/>
      <c r="K2880" s="133"/>
      <c r="L2880" s="133"/>
      <c r="M2880" s="133"/>
      <c r="N2880" s="133"/>
      <c r="O2880" s="133"/>
      <c r="P2880" s="133"/>
      <c r="Q2880" s="133"/>
      <c r="R2880" s="133"/>
      <c r="S2880" s="133"/>
      <c r="T2880" s="133"/>
      <c r="U2880" s="133"/>
      <c r="V2880" s="133"/>
      <c r="W2880" s="133"/>
      <c r="X2880" s="133"/>
      <c r="Y2880" s="133"/>
      <c r="Z2880" s="133"/>
    </row>
    <row r="2881">
      <c r="A2881" s="133"/>
      <c r="B2881" s="133"/>
      <c r="C2881" s="133"/>
      <c r="D2881" s="133"/>
      <c r="E2881" s="133"/>
      <c r="F2881" s="133"/>
      <c r="G2881" s="133"/>
      <c r="H2881" s="133"/>
      <c r="I2881" s="133"/>
      <c r="J2881" s="133"/>
      <c r="K2881" s="133"/>
      <c r="L2881" s="133"/>
      <c r="M2881" s="133"/>
      <c r="N2881" s="133"/>
      <c r="O2881" s="133"/>
      <c r="P2881" s="133"/>
      <c r="Q2881" s="133"/>
      <c r="R2881" s="133"/>
      <c r="S2881" s="133"/>
      <c r="T2881" s="133"/>
      <c r="U2881" s="133"/>
      <c r="V2881" s="133"/>
      <c r="W2881" s="133"/>
      <c r="X2881" s="133"/>
      <c r="Y2881" s="133"/>
      <c r="Z2881" s="133"/>
    </row>
    <row r="2882">
      <c r="A2882" s="133"/>
      <c r="B2882" s="133"/>
      <c r="C2882" s="133"/>
      <c r="D2882" s="133"/>
      <c r="E2882" s="133"/>
      <c r="F2882" s="133"/>
      <c r="G2882" s="133"/>
      <c r="H2882" s="133"/>
      <c r="I2882" s="133"/>
      <c r="J2882" s="133"/>
      <c r="K2882" s="133"/>
      <c r="L2882" s="133"/>
      <c r="M2882" s="133"/>
      <c r="N2882" s="133"/>
      <c r="O2882" s="133"/>
      <c r="P2882" s="133"/>
      <c r="Q2882" s="133"/>
      <c r="R2882" s="133"/>
      <c r="S2882" s="133"/>
      <c r="T2882" s="133"/>
      <c r="U2882" s="133"/>
      <c r="V2882" s="133"/>
      <c r="W2882" s="133"/>
      <c r="X2882" s="133"/>
      <c r="Y2882" s="133"/>
      <c r="Z2882" s="133"/>
    </row>
    <row r="2883">
      <c r="A2883" s="133"/>
      <c r="B2883" s="133"/>
      <c r="C2883" s="133"/>
      <c r="D2883" s="133"/>
      <c r="E2883" s="133"/>
      <c r="F2883" s="133"/>
      <c r="G2883" s="133"/>
      <c r="H2883" s="133"/>
      <c r="I2883" s="133"/>
      <c r="J2883" s="133"/>
      <c r="K2883" s="133"/>
      <c r="L2883" s="133"/>
      <c r="M2883" s="133"/>
      <c r="N2883" s="133"/>
      <c r="O2883" s="133"/>
      <c r="P2883" s="133"/>
      <c r="Q2883" s="133"/>
      <c r="R2883" s="133"/>
      <c r="S2883" s="133"/>
      <c r="T2883" s="133"/>
      <c r="U2883" s="133"/>
      <c r="V2883" s="133"/>
      <c r="W2883" s="133"/>
      <c r="X2883" s="133"/>
      <c r="Y2883" s="133"/>
      <c r="Z2883" s="133"/>
    </row>
    <row r="2884">
      <c r="A2884" s="133"/>
      <c r="B2884" s="133"/>
      <c r="C2884" s="133"/>
      <c r="D2884" s="133"/>
      <c r="E2884" s="133"/>
      <c r="F2884" s="133"/>
      <c r="G2884" s="133"/>
      <c r="H2884" s="133"/>
      <c r="I2884" s="133"/>
      <c r="J2884" s="133"/>
      <c r="K2884" s="133"/>
      <c r="L2884" s="133"/>
      <c r="M2884" s="133"/>
      <c r="N2884" s="133"/>
      <c r="O2884" s="133"/>
      <c r="P2884" s="133"/>
      <c r="Q2884" s="133"/>
      <c r="R2884" s="133"/>
      <c r="S2884" s="133"/>
      <c r="T2884" s="133"/>
      <c r="U2884" s="133"/>
      <c r="V2884" s="133"/>
      <c r="W2884" s="133"/>
      <c r="X2884" s="133"/>
      <c r="Y2884" s="133"/>
      <c r="Z2884" s="133"/>
    </row>
    <row r="2885">
      <c r="A2885" s="133"/>
      <c r="B2885" s="133"/>
      <c r="C2885" s="133"/>
      <c r="D2885" s="133"/>
      <c r="E2885" s="133"/>
      <c r="F2885" s="133"/>
      <c r="G2885" s="133"/>
      <c r="H2885" s="133"/>
      <c r="I2885" s="133"/>
      <c r="J2885" s="133"/>
      <c r="K2885" s="133"/>
      <c r="L2885" s="133"/>
      <c r="M2885" s="133"/>
      <c r="N2885" s="133"/>
      <c r="O2885" s="133"/>
      <c r="P2885" s="133"/>
      <c r="Q2885" s="133"/>
      <c r="R2885" s="133"/>
      <c r="S2885" s="133"/>
      <c r="T2885" s="133"/>
      <c r="U2885" s="133"/>
      <c r="V2885" s="133"/>
      <c r="W2885" s="133"/>
      <c r="X2885" s="133"/>
      <c r="Y2885" s="133"/>
      <c r="Z2885" s="133"/>
    </row>
    <row r="2886">
      <c r="A2886" s="133"/>
      <c r="B2886" s="133"/>
      <c r="C2886" s="133"/>
      <c r="D2886" s="133"/>
      <c r="E2886" s="133"/>
      <c r="F2886" s="133"/>
      <c r="G2886" s="133"/>
      <c r="H2886" s="133"/>
      <c r="I2886" s="133"/>
      <c r="J2886" s="133"/>
      <c r="K2886" s="133"/>
      <c r="L2886" s="133"/>
      <c r="M2886" s="133"/>
      <c r="N2886" s="133"/>
      <c r="O2886" s="133"/>
      <c r="P2886" s="133"/>
      <c r="Q2886" s="133"/>
      <c r="R2886" s="133"/>
      <c r="S2886" s="133"/>
      <c r="T2886" s="133"/>
      <c r="U2886" s="133"/>
      <c r="V2886" s="133"/>
      <c r="W2886" s="133"/>
      <c r="X2886" s="133"/>
      <c r="Y2886" s="133"/>
      <c r="Z2886" s="133"/>
    </row>
    <row r="2887">
      <c r="A2887" s="133"/>
      <c r="B2887" s="133"/>
      <c r="C2887" s="133"/>
      <c r="D2887" s="133"/>
      <c r="E2887" s="133"/>
      <c r="F2887" s="133"/>
      <c r="G2887" s="133"/>
      <c r="H2887" s="133"/>
      <c r="I2887" s="133"/>
      <c r="J2887" s="133"/>
      <c r="K2887" s="133"/>
      <c r="L2887" s="133"/>
      <c r="M2887" s="133"/>
      <c r="N2887" s="133"/>
      <c r="O2887" s="133"/>
      <c r="P2887" s="133"/>
      <c r="Q2887" s="133"/>
      <c r="R2887" s="133"/>
      <c r="S2887" s="133"/>
      <c r="T2887" s="133"/>
      <c r="U2887" s="133"/>
      <c r="V2887" s="133"/>
      <c r="W2887" s="133"/>
      <c r="X2887" s="133"/>
      <c r="Y2887" s="133"/>
      <c r="Z2887" s="133"/>
    </row>
    <row r="2888">
      <c r="A2888" s="133"/>
      <c r="B2888" s="133"/>
      <c r="C2888" s="133"/>
      <c r="D2888" s="133"/>
      <c r="E2888" s="133"/>
      <c r="F2888" s="133"/>
      <c r="G2888" s="133"/>
      <c r="H2888" s="133"/>
      <c r="I2888" s="133"/>
      <c r="J2888" s="133"/>
      <c r="K2888" s="133"/>
      <c r="L2888" s="133"/>
      <c r="M2888" s="133"/>
      <c r="N2888" s="133"/>
      <c r="O2888" s="133"/>
      <c r="P2888" s="133"/>
      <c r="Q2888" s="133"/>
      <c r="R2888" s="133"/>
      <c r="S2888" s="133"/>
      <c r="T2888" s="133"/>
      <c r="U2888" s="133"/>
      <c r="V2888" s="133"/>
      <c r="W2888" s="133"/>
      <c r="X2888" s="133"/>
      <c r="Y2888" s="133"/>
      <c r="Z2888" s="133"/>
    </row>
    <row r="2889">
      <c r="A2889" s="133"/>
      <c r="B2889" s="133"/>
      <c r="C2889" s="133"/>
      <c r="D2889" s="133"/>
      <c r="E2889" s="133"/>
      <c r="F2889" s="133"/>
      <c r="G2889" s="133"/>
      <c r="H2889" s="133"/>
      <c r="I2889" s="133"/>
      <c r="J2889" s="133"/>
      <c r="K2889" s="133"/>
      <c r="L2889" s="133"/>
      <c r="M2889" s="133"/>
      <c r="N2889" s="133"/>
      <c r="O2889" s="133"/>
      <c r="P2889" s="133"/>
      <c r="Q2889" s="133"/>
      <c r="R2889" s="133"/>
      <c r="S2889" s="133"/>
      <c r="T2889" s="133"/>
      <c r="U2889" s="133"/>
      <c r="V2889" s="133"/>
      <c r="W2889" s="133"/>
      <c r="X2889" s="133"/>
      <c r="Y2889" s="133"/>
      <c r="Z2889" s="133"/>
    </row>
    <row r="2890">
      <c r="A2890" s="133"/>
      <c r="B2890" s="133"/>
      <c r="C2890" s="133"/>
      <c r="D2890" s="133"/>
      <c r="E2890" s="133"/>
      <c r="F2890" s="133"/>
      <c r="G2890" s="133"/>
      <c r="H2890" s="133"/>
      <c r="I2890" s="133"/>
      <c r="J2890" s="133"/>
      <c r="K2890" s="133"/>
      <c r="L2890" s="133"/>
      <c r="M2890" s="133"/>
      <c r="N2890" s="133"/>
      <c r="O2890" s="133"/>
      <c r="P2890" s="133"/>
      <c r="Q2890" s="133"/>
      <c r="R2890" s="133"/>
      <c r="S2890" s="133"/>
      <c r="T2890" s="133"/>
      <c r="U2890" s="133"/>
      <c r="V2890" s="133"/>
      <c r="W2890" s="133"/>
      <c r="X2890" s="133"/>
      <c r="Y2890" s="133"/>
      <c r="Z2890" s="133"/>
    </row>
    <row r="2891">
      <c r="A2891" s="133"/>
      <c r="B2891" s="133"/>
      <c r="C2891" s="133"/>
      <c r="D2891" s="133"/>
      <c r="E2891" s="133"/>
      <c r="F2891" s="133"/>
      <c r="G2891" s="133"/>
      <c r="H2891" s="133"/>
      <c r="I2891" s="133"/>
      <c r="J2891" s="133"/>
      <c r="K2891" s="133"/>
      <c r="L2891" s="133"/>
      <c r="M2891" s="133"/>
      <c r="N2891" s="133"/>
      <c r="O2891" s="133"/>
      <c r="P2891" s="133"/>
      <c r="Q2891" s="133"/>
      <c r="R2891" s="133"/>
      <c r="S2891" s="133"/>
      <c r="T2891" s="133"/>
      <c r="U2891" s="133"/>
      <c r="V2891" s="133"/>
      <c r="W2891" s="133"/>
      <c r="X2891" s="133"/>
      <c r="Y2891" s="133"/>
      <c r="Z2891" s="133"/>
    </row>
    <row r="2892">
      <c r="A2892" s="133"/>
      <c r="B2892" s="133"/>
      <c r="C2892" s="133"/>
      <c r="D2892" s="133"/>
      <c r="E2892" s="133"/>
      <c r="F2892" s="133"/>
      <c r="G2892" s="133"/>
      <c r="H2892" s="133"/>
      <c r="I2892" s="133"/>
      <c r="J2892" s="133"/>
      <c r="K2892" s="133"/>
      <c r="L2892" s="133"/>
      <c r="M2892" s="133"/>
      <c r="N2892" s="133"/>
      <c r="O2892" s="133"/>
      <c r="P2892" s="133"/>
      <c r="Q2892" s="133"/>
      <c r="R2892" s="133"/>
      <c r="S2892" s="133"/>
      <c r="T2892" s="133"/>
      <c r="U2892" s="133"/>
      <c r="V2892" s="133"/>
      <c r="W2892" s="133"/>
      <c r="X2892" s="133"/>
      <c r="Y2892" s="133"/>
      <c r="Z2892" s="133"/>
    </row>
    <row r="2893">
      <c r="A2893" s="133"/>
      <c r="B2893" s="133"/>
      <c r="C2893" s="133"/>
      <c r="D2893" s="133"/>
      <c r="E2893" s="133"/>
      <c r="F2893" s="133"/>
      <c r="G2893" s="133"/>
      <c r="H2893" s="133"/>
      <c r="I2893" s="133"/>
      <c r="J2893" s="133"/>
      <c r="K2893" s="133"/>
      <c r="L2893" s="133"/>
      <c r="M2893" s="133"/>
      <c r="N2893" s="133"/>
      <c r="O2893" s="133"/>
      <c r="P2893" s="133"/>
      <c r="Q2893" s="133"/>
      <c r="R2893" s="133"/>
      <c r="S2893" s="133"/>
      <c r="T2893" s="133"/>
      <c r="U2893" s="133"/>
      <c r="V2893" s="133"/>
      <c r="W2893" s="133"/>
      <c r="X2893" s="133"/>
      <c r="Y2893" s="133"/>
      <c r="Z2893" s="133"/>
    </row>
    <row r="2894">
      <c r="A2894" s="133"/>
      <c r="B2894" s="133"/>
      <c r="C2894" s="133"/>
      <c r="D2894" s="133"/>
      <c r="E2894" s="133"/>
      <c r="F2894" s="133"/>
      <c r="G2894" s="133"/>
      <c r="H2894" s="133"/>
      <c r="I2894" s="133"/>
      <c r="J2894" s="133"/>
      <c r="K2894" s="133"/>
      <c r="L2894" s="133"/>
      <c r="M2894" s="133"/>
      <c r="N2894" s="133"/>
      <c r="O2894" s="133"/>
      <c r="P2894" s="133"/>
      <c r="Q2894" s="133"/>
      <c r="R2894" s="133"/>
      <c r="S2894" s="133"/>
      <c r="T2894" s="133"/>
      <c r="U2894" s="133"/>
      <c r="V2894" s="133"/>
      <c r="W2894" s="133"/>
      <c r="X2894" s="133"/>
      <c r="Y2894" s="133"/>
      <c r="Z2894" s="133"/>
    </row>
    <row r="2895">
      <c r="A2895" s="133"/>
      <c r="B2895" s="133"/>
      <c r="C2895" s="133"/>
      <c r="D2895" s="133"/>
      <c r="E2895" s="133"/>
      <c r="F2895" s="133"/>
      <c r="G2895" s="133"/>
      <c r="H2895" s="133"/>
      <c r="I2895" s="133"/>
      <c r="J2895" s="133"/>
      <c r="K2895" s="133"/>
      <c r="L2895" s="133"/>
      <c r="M2895" s="133"/>
      <c r="N2895" s="133"/>
      <c r="O2895" s="133"/>
      <c r="P2895" s="133"/>
      <c r="Q2895" s="133"/>
      <c r="R2895" s="133"/>
      <c r="S2895" s="133"/>
      <c r="T2895" s="133"/>
      <c r="U2895" s="133"/>
      <c r="V2895" s="133"/>
      <c r="W2895" s="133"/>
      <c r="X2895" s="133"/>
      <c r="Y2895" s="133"/>
      <c r="Z2895" s="133"/>
    </row>
    <row r="2896">
      <c r="A2896" s="133"/>
      <c r="B2896" s="133"/>
      <c r="C2896" s="133"/>
      <c r="D2896" s="133"/>
      <c r="E2896" s="133"/>
      <c r="F2896" s="133"/>
      <c r="G2896" s="133"/>
      <c r="H2896" s="133"/>
      <c r="I2896" s="133"/>
      <c r="J2896" s="133"/>
      <c r="K2896" s="133"/>
      <c r="L2896" s="133"/>
      <c r="M2896" s="133"/>
      <c r="N2896" s="133"/>
      <c r="O2896" s="133"/>
      <c r="P2896" s="133"/>
      <c r="Q2896" s="133"/>
      <c r="R2896" s="133"/>
      <c r="S2896" s="133"/>
      <c r="T2896" s="133"/>
      <c r="U2896" s="133"/>
      <c r="V2896" s="133"/>
      <c r="W2896" s="133"/>
      <c r="X2896" s="133"/>
      <c r="Y2896" s="133"/>
      <c r="Z2896" s="133"/>
    </row>
    <row r="2897">
      <c r="A2897" s="133"/>
      <c r="B2897" s="133"/>
      <c r="C2897" s="133"/>
      <c r="D2897" s="133"/>
      <c r="E2897" s="133"/>
      <c r="F2897" s="133"/>
      <c r="G2897" s="133"/>
      <c r="H2897" s="133"/>
      <c r="I2897" s="133"/>
      <c r="J2897" s="133"/>
      <c r="K2897" s="133"/>
      <c r="L2897" s="133"/>
      <c r="M2897" s="133"/>
      <c r="N2897" s="133"/>
      <c r="O2897" s="133"/>
      <c r="P2897" s="133"/>
      <c r="Q2897" s="133"/>
      <c r="R2897" s="133"/>
      <c r="S2897" s="133"/>
      <c r="T2897" s="133"/>
      <c r="U2897" s="133"/>
      <c r="V2897" s="133"/>
      <c r="W2897" s="133"/>
      <c r="X2897" s="133"/>
      <c r="Y2897" s="133"/>
      <c r="Z2897" s="133"/>
    </row>
    <row r="2898">
      <c r="A2898" s="133"/>
      <c r="B2898" s="133"/>
      <c r="C2898" s="133"/>
      <c r="D2898" s="133"/>
      <c r="E2898" s="133"/>
      <c r="F2898" s="133"/>
      <c r="G2898" s="133"/>
      <c r="H2898" s="133"/>
      <c r="I2898" s="133"/>
      <c r="J2898" s="133"/>
      <c r="K2898" s="133"/>
      <c r="L2898" s="133"/>
      <c r="M2898" s="133"/>
      <c r="N2898" s="133"/>
      <c r="O2898" s="133"/>
      <c r="P2898" s="133"/>
      <c r="Q2898" s="133"/>
      <c r="R2898" s="133"/>
      <c r="S2898" s="133"/>
      <c r="T2898" s="133"/>
      <c r="U2898" s="133"/>
      <c r="V2898" s="133"/>
      <c r="W2898" s="133"/>
      <c r="X2898" s="133"/>
      <c r="Y2898" s="133"/>
      <c r="Z2898" s="133"/>
    </row>
    <row r="2899">
      <c r="A2899" s="133"/>
      <c r="B2899" s="133"/>
      <c r="C2899" s="133"/>
      <c r="D2899" s="133"/>
      <c r="E2899" s="133"/>
      <c r="F2899" s="133"/>
      <c r="G2899" s="133"/>
      <c r="H2899" s="133"/>
      <c r="I2899" s="133"/>
      <c r="J2899" s="133"/>
      <c r="K2899" s="133"/>
      <c r="L2899" s="133"/>
      <c r="M2899" s="133"/>
      <c r="N2899" s="133"/>
      <c r="O2899" s="133"/>
      <c r="P2899" s="133"/>
      <c r="Q2899" s="133"/>
      <c r="R2899" s="133"/>
      <c r="S2899" s="133"/>
      <c r="T2899" s="133"/>
      <c r="U2899" s="133"/>
      <c r="V2899" s="133"/>
      <c r="W2899" s="133"/>
      <c r="X2899" s="133"/>
      <c r="Y2899" s="133"/>
      <c r="Z2899" s="133"/>
    </row>
    <row r="2900">
      <c r="A2900" s="133"/>
      <c r="B2900" s="133"/>
      <c r="C2900" s="133"/>
      <c r="D2900" s="133"/>
      <c r="E2900" s="133"/>
      <c r="F2900" s="133"/>
      <c r="G2900" s="133"/>
      <c r="H2900" s="133"/>
      <c r="I2900" s="133"/>
      <c r="J2900" s="133"/>
      <c r="K2900" s="133"/>
      <c r="L2900" s="133"/>
      <c r="M2900" s="133"/>
      <c r="N2900" s="133"/>
      <c r="O2900" s="133"/>
      <c r="P2900" s="133"/>
      <c r="Q2900" s="133"/>
      <c r="R2900" s="133"/>
      <c r="S2900" s="133"/>
      <c r="T2900" s="133"/>
      <c r="U2900" s="133"/>
      <c r="V2900" s="133"/>
      <c r="W2900" s="133"/>
      <c r="X2900" s="133"/>
      <c r="Y2900" s="133"/>
      <c r="Z2900" s="133"/>
    </row>
    <row r="2901">
      <c r="A2901" s="133"/>
      <c r="B2901" s="133"/>
      <c r="C2901" s="133"/>
      <c r="D2901" s="133"/>
      <c r="E2901" s="133"/>
      <c r="F2901" s="133"/>
      <c r="G2901" s="133"/>
      <c r="H2901" s="133"/>
      <c r="I2901" s="133"/>
      <c r="J2901" s="133"/>
      <c r="K2901" s="133"/>
      <c r="L2901" s="133"/>
      <c r="M2901" s="133"/>
      <c r="N2901" s="133"/>
      <c r="O2901" s="133"/>
      <c r="P2901" s="133"/>
      <c r="Q2901" s="133"/>
      <c r="R2901" s="133"/>
      <c r="S2901" s="133"/>
      <c r="T2901" s="133"/>
      <c r="U2901" s="133"/>
      <c r="V2901" s="133"/>
      <c r="W2901" s="133"/>
      <c r="X2901" s="133"/>
      <c r="Y2901" s="133"/>
      <c r="Z2901" s="133"/>
    </row>
    <row r="2902">
      <c r="A2902" s="133"/>
      <c r="B2902" s="133"/>
      <c r="C2902" s="133"/>
      <c r="D2902" s="133"/>
      <c r="E2902" s="133"/>
      <c r="F2902" s="133"/>
      <c r="G2902" s="133"/>
      <c r="H2902" s="133"/>
      <c r="I2902" s="133"/>
      <c r="J2902" s="133"/>
      <c r="K2902" s="133"/>
      <c r="L2902" s="133"/>
      <c r="M2902" s="133"/>
      <c r="N2902" s="133"/>
      <c r="O2902" s="133"/>
      <c r="P2902" s="133"/>
      <c r="Q2902" s="133"/>
      <c r="R2902" s="133"/>
      <c r="S2902" s="133"/>
      <c r="T2902" s="133"/>
      <c r="U2902" s="133"/>
      <c r="V2902" s="133"/>
      <c r="W2902" s="133"/>
      <c r="X2902" s="133"/>
      <c r="Y2902" s="133"/>
      <c r="Z2902" s="133"/>
    </row>
    <row r="2903">
      <c r="A2903" s="133"/>
      <c r="B2903" s="133"/>
      <c r="C2903" s="133"/>
      <c r="D2903" s="133"/>
      <c r="E2903" s="133"/>
      <c r="F2903" s="133"/>
      <c r="G2903" s="133"/>
      <c r="H2903" s="133"/>
      <c r="I2903" s="133"/>
      <c r="J2903" s="133"/>
      <c r="K2903" s="133"/>
      <c r="L2903" s="133"/>
      <c r="M2903" s="133"/>
      <c r="N2903" s="133"/>
      <c r="O2903" s="133"/>
      <c r="P2903" s="133"/>
      <c r="Q2903" s="133"/>
      <c r="R2903" s="133"/>
      <c r="S2903" s="133"/>
      <c r="T2903" s="133"/>
      <c r="U2903" s="133"/>
      <c r="V2903" s="133"/>
      <c r="W2903" s="133"/>
      <c r="X2903" s="133"/>
      <c r="Y2903" s="133"/>
      <c r="Z2903" s="133"/>
    </row>
    <row r="2904">
      <c r="A2904" s="133"/>
      <c r="B2904" s="133"/>
      <c r="C2904" s="133"/>
      <c r="D2904" s="133"/>
      <c r="E2904" s="133"/>
      <c r="F2904" s="133"/>
      <c r="G2904" s="133"/>
      <c r="H2904" s="133"/>
      <c r="I2904" s="133"/>
      <c r="J2904" s="133"/>
      <c r="K2904" s="133"/>
      <c r="L2904" s="133"/>
      <c r="M2904" s="133"/>
      <c r="N2904" s="133"/>
      <c r="O2904" s="133"/>
      <c r="P2904" s="133"/>
      <c r="Q2904" s="133"/>
      <c r="R2904" s="133"/>
      <c r="S2904" s="133"/>
      <c r="T2904" s="133"/>
      <c r="U2904" s="133"/>
      <c r="V2904" s="133"/>
      <c r="W2904" s="133"/>
      <c r="X2904" s="133"/>
      <c r="Y2904" s="133"/>
      <c r="Z2904" s="133"/>
    </row>
    <row r="2905">
      <c r="A2905" s="133"/>
      <c r="B2905" s="133"/>
      <c r="C2905" s="133"/>
      <c r="D2905" s="133"/>
      <c r="E2905" s="133"/>
      <c r="F2905" s="133"/>
      <c r="G2905" s="133"/>
      <c r="H2905" s="133"/>
      <c r="I2905" s="133"/>
      <c r="J2905" s="133"/>
      <c r="K2905" s="133"/>
      <c r="L2905" s="133"/>
      <c r="M2905" s="133"/>
      <c r="N2905" s="133"/>
      <c r="O2905" s="133"/>
      <c r="P2905" s="133"/>
      <c r="Q2905" s="133"/>
      <c r="R2905" s="133"/>
      <c r="S2905" s="133"/>
      <c r="T2905" s="133"/>
      <c r="U2905" s="133"/>
      <c r="V2905" s="133"/>
      <c r="W2905" s="133"/>
      <c r="X2905" s="133"/>
      <c r="Y2905" s="133"/>
      <c r="Z2905" s="133"/>
    </row>
    <row r="2906">
      <c r="A2906" s="133"/>
      <c r="B2906" s="133"/>
      <c r="C2906" s="133"/>
      <c r="D2906" s="133"/>
      <c r="E2906" s="133"/>
      <c r="F2906" s="133"/>
      <c r="G2906" s="133"/>
      <c r="H2906" s="133"/>
      <c r="I2906" s="133"/>
      <c r="J2906" s="133"/>
      <c r="K2906" s="133"/>
      <c r="L2906" s="133"/>
      <c r="M2906" s="133"/>
      <c r="N2906" s="133"/>
      <c r="O2906" s="133"/>
      <c r="P2906" s="133"/>
      <c r="Q2906" s="133"/>
      <c r="R2906" s="133"/>
      <c r="S2906" s="133"/>
      <c r="T2906" s="133"/>
      <c r="U2906" s="133"/>
      <c r="V2906" s="133"/>
      <c r="W2906" s="133"/>
      <c r="X2906" s="133"/>
      <c r="Y2906" s="133"/>
      <c r="Z2906" s="133"/>
    </row>
    <row r="2907">
      <c r="A2907" s="133"/>
      <c r="B2907" s="133"/>
      <c r="C2907" s="133"/>
      <c r="D2907" s="133"/>
      <c r="E2907" s="133"/>
      <c r="F2907" s="133"/>
      <c r="G2907" s="133"/>
      <c r="H2907" s="133"/>
      <c r="I2907" s="133"/>
      <c r="J2907" s="133"/>
      <c r="K2907" s="133"/>
      <c r="L2907" s="133"/>
      <c r="M2907" s="133"/>
      <c r="N2907" s="133"/>
      <c r="O2907" s="133"/>
      <c r="P2907" s="133"/>
      <c r="Q2907" s="133"/>
      <c r="R2907" s="133"/>
      <c r="S2907" s="133"/>
      <c r="T2907" s="133"/>
      <c r="U2907" s="133"/>
      <c r="V2907" s="133"/>
      <c r="W2907" s="133"/>
      <c r="X2907" s="133"/>
      <c r="Y2907" s="133"/>
      <c r="Z2907" s="133"/>
    </row>
    <row r="2908">
      <c r="A2908" s="133"/>
      <c r="B2908" s="133"/>
      <c r="C2908" s="133"/>
      <c r="D2908" s="133"/>
      <c r="E2908" s="133"/>
      <c r="F2908" s="133"/>
      <c r="G2908" s="133"/>
      <c r="H2908" s="133"/>
      <c r="I2908" s="133"/>
      <c r="J2908" s="133"/>
      <c r="K2908" s="133"/>
      <c r="L2908" s="133"/>
      <c r="M2908" s="133"/>
      <c r="N2908" s="133"/>
      <c r="O2908" s="133"/>
      <c r="P2908" s="133"/>
      <c r="Q2908" s="133"/>
      <c r="R2908" s="133"/>
      <c r="S2908" s="133"/>
      <c r="T2908" s="133"/>
      <c r="U2908" s="133"/>
      <c r="V2908" s="133"/>
      <c r="W2908" s="133"/>
      <c r="X2908" s="133"/>
      <c r="Y2908" s="133"/>
      <c r="Z2908" s="133"/>
    </row>
    <row r="2909">
      <c r="A2909" s="133"/>
      <c r="B2909" s="133"/>
      <c r="C2909" s="133"/>
      <c r="D2909" s="133"/>
      <c r="E2909" s="133"/>
      <c r="F2909" s="133"/>
      <c r="G2909" s="133"/>
      <c r="H2909" s="133"/>
      <c r="I2909" s="133"/>
      <c r="J2909" s="133"/>
      <c r="K2909" s="133"/>
      <c r="L2909" s="133"/>
      <c r="M2909" s="133"/>
      <c r="N2909" s="133"/>
      <c r="O2909" s="133"/>
      <c r="P2909" s="133"/>
      <c r="Q2909" s="133"/>
      <c r="R2909" s="133"/>
      <c r="S2909" s="133"/>
      <c r="T2909" s="133"/>
      <c r="U2909" s="133"/>
      <c r="V2909" s="133"/>
      <c r="W2909" s="133"/>
      <c r="X2909" s="133"/>
      <c r="Y2909" s="133"/>
      <c r="Z2909" s="133"/>
    </row>
    <row r="2910">
      <c r="A2910" s="133"/>
      <c r="B2910" s="133"/>
      <c r="C2910" s="133"/>
      <c r="D2910" s="133"/>
      <c r="E2910" s="133"/>
      <c r="F2910" s="133"/>
      <c r="G2910" s="133"/>
      <c r="H2910" s="133"/>
      <c r="I2910" s="133"/>
      <c r="J2910" s="133"/>
      <c r="K2910" s="133"/>
      <c r="L2910" s="133"/>
      <c r="M2910" s="133"/>
      <c r="N2910" s="133"/>
      <c r="O2910" s="133"/>
      <c r="P2910" s="133"/>
      <c r="Q2910" s="133"/>
      <c r="R2910" s="133"/>
      <c r="S2910" s="133"/>
      <c r="T2910" s="133"/>
      <c r="U2910" s="133"/>
      <c r="V2910" s="133"/>
      <c r="W2910" s="133"/>
      <c r="X2910" s="133"/>
      <c r="Y2910" s="133"/>
      <c r="Z2910" s="133"/>
    </row>
    <row r="2911">
      <c r="A2911" s="133"/>
      <c r="B2911" s="133"/>
      <c r="C2911" s="133"/>
      <c r="D2911" s="133"/>
      <c r="E2911" s="133"/>
      <c r="F2911" s="133"/>
      <c r="G2911" s="133"/>
      <c r="H2911" s="133"/>
      <c r="I2911" s="133"/>
      <c r="J2911" s="133"/>
      <c r="K2911" s="133"/>
      <c r="L2911" s="133"/>
      <c r="M2911" s="133"/>
      <c r="N2911" s="133"/>
      <c r="O2911" s="133"/>
      <c r="P2911" s="133"/>
      <c r="Q2911" s="133"/>
      <c r="R2911" s="133"/>
      <c r="S2911" s="133"/>
      <c r="T2911" s="133"/>
      <c r="U2911" s="133"/>
      <c r="V2911" s="133"/>
      <c r="W2911" s="133"/>
      <c r="X2911" s="133"/>
      <c r="Y2911" s="133"/>
      <c r="Z2911" s="133"/>
    </row>
    <row r="2912">
      <c r="A2912" s="133"/>
      <c r="B2912" s="133"/>
      <c r="C2912" s="133"/>
      <c r="D2912" s="133"/>
      <c r="E2912" s="133"/>
      <c r="F2912" s="133"/>
      <c r="G2912" s="133"/>
      <c r="H2912" s="133"/>
      <c r="I2912" s="133"/>
      <c r="J2912" s="133"/>
      <c r="K2912" s="133"/>
      <c r="L2912" s="133"/>
      <c r="M2912" s="133"/>
      <c r="N2912" s="133"/>
      <c r="O2912" s="133"/>
      <c r="P2912" s="133"/>
      <c r="Q2912" s="133"/>
      <c r="R2912" s="133"/>
      <c r="S2912" s="133"/>
      <c r="T2912" s="133"/>
      <c r="U2912" s="133"/>
      <c r="V2912" s="133"/>
      <c r="W2912" s="133"/>
      <c r="X2912" s="133"/>
      <c r="Y2912" s="133"/>
      <c r="Z2912" s="133"/>
    </row>
    <row r="2913">
      <c r="A2913" s="133"/>
      <c r="B2913" s="133"/>
      <c r="C2913" s="133"/>
      <c r="D2913" s="133"/>
      <c r="E2913" s="133"/>
      <c r="F2913" s="133"/>
      <c r="G2913" s="133"/>
      <c r="H2913" s="133"/>
      <c r="I2913" s="133"/>
      <c r="J2913" s="133"/>
      <c r="K2913" s="133"/>
      <c r="L2913" s="133"/>
      <c r="M2913" s="133"/>
      <c r="N2913" s="133"/>
      <c r="O2913" s="133"/>
      <c r="P2913" s="133"/>
      <c r="Q2913" s="133"/>
      <c r="R2913" s="133"/>
      <c r="S2913" s="133"/>
      <c r="T2913" s="133"/>
      <c r="U2913" s="133"/>
      <c r="V2913" s="133"/>
      <c r="W2913" s="133"/>
      <c r="X2913" s="133"/>
      <c r="Y2913" s="133"/>
      <c r="Z2913" s="133"/>
    </row>
    <row r="2914">
      <c r="A2914" s="133"/>
      <c r="B2914" s="133"/>
      <c r="C2914" s="133"/>
      <c r="D2914" s="133"/>
      <c r="E2914" s="133"/>
      <c r="F2914" s="133"/>
      <c r="G2914" s="133"/>
      <c r="H2914" s="133"/>
      <c r="I2914" s="133"/>
      <c r="J2914" s="133"/>
      <c r="K2914" s="133"/>
      <c r="L2914" s="133"/>
      <c r="M2914" s="133"/>
      <c r="N2914" s="133"/>
      <c r="O2914" s="133"/>
      <c r="P2914" s="133"/>
      <c r="Q2914" s="133"/>
      <c r="R2914" s="133"/>
      <c r="S2914" s="133"/>
      <c r="T2914" s="133"/>
      <c r="U2914" s="133"/>
      <c r="V2914" s="133"/>
      <c r="W2914" s="133"/>
      <c r="X2914" s="133"/>
      <c r="Y2914" s="133"/>
      <c r="Z2914" s="133"/>
    </row>
    <row r="2915">
      <c r="A2915" s="133"/>
      <c r="B2915" s="133"/>
      <c r="C2915" s="133"/>
      <c r="D2915" s="133"/>
      <c r="E2915" s="133"/>
      <c r="F2915" s="133"/>
      <c r="G2915" s="133"/>
      <c r="H2915" s="133"/>
      <c r="I2915" s="133"/>
      <c r="J2915" s="133"/>
      <c r="K2915" s="133"/>
      <c r="L2915" s="133"/>
      <c r="M2915" s="133"/>
      <c r="N2915" s="133"/>
      <c r="O2915" s="133"/>
      <c r="P2915" s="133"/>
      <c r="Q2915" s="133"/>
      <c r="R2915" s="133"/>
      <c r="S2915" s="133"/>
      <c r="T2915" s="133"/>
      <c r="U2915" s="133"/>
      <c r="V2915" s="133"/>
      <c r="W2915" s="133"/>
      <c r="X2915" s="133"/>
      <c r="Y2915" s="133"/>
      <c r="Z2915" s="133"/>
    </row>
    <row r="2916">
      <c r="A2916" s="133"/>
      <c r="B2916" s="133"/>
      <c r="C2916" s="133"/>
      <c r="D2916" s="133"/>
      <c r="E2916" s="133"/>
      <c r="F2916" s="133"/>
      <c r="G2916" s="133"/>
      <c r="H2916" s="133"/>
      <c r="I2916" s="133"/>
      <c r="J2916" s="133"/>
      <c r="K2916" s="133"/>
      <c r="L2916" s="133"/>
      <c r="M2916" s="133"/>
      <c r="N2916" s="133"/>
      <c r="O2916" s="133"/>
      <c r="P2916" s="133"/>
      <c r="Q2916" s="133"/>
      <c r="R2916" s="133"/>
      <c r="S2916" s="133"/>
      <c r="T2916" s="133"/>
      <c r="U2916" s="133"/>
      <c r="V2916" s="133"/>
      <c r="W2916" s="133"/>
      <c r="X2916" s="133"/>
      <c r="Y2916" s="133"/>
      <c r="Z2916" s="133"/>
    </row>
    <row r="2917">
      <c r="A2917" s="133"/>
      <c r="B2917" s="133"/>
      <c r="C2917" s="133"/>
      <c r="D2917" s="133"/>
      <c r="E2917" s="133"/>
      <c r="F2917" s="133"/>
      <c r="G2917" s="133"/>
      <c r="H2917" s="133"/>
      <c r="I2917" s="133"/>
      <c r="J2917" s="133"/>
      <c r="K2917" s="133"/>
      <c r="L2917" s="133"/>
      <c r="M2917" s="133"/>
      <c r="N2917" s="133"/>
      <c r="O2917" s="133"/>
      <c r="P2917" s="133"/>
      <c r="Q2917" s="133"/>
      <c r="R2917" s="133"/>
      <c r="S2917" s="133"/>
      <c r="T2917" s="133"/>
      <c r="U2917" s="133"/>
      <c r="V2917" s="133"/>
      <c r="W2917" s="133"/>
      <c r="X2917" s="133"/>
      <c r="Y2917" s="133"/>
      <c r="Z2917" s="133"/>
    </row>
    <row r="2918">
      <c r="A2918" s="133"/>
      <c r="B2918" s="133"/>
      <c r="C2918" s="133"/>
      <c r="D2918" s="133"/>
      <c r="E2918" s="133"/>
      <c r="F2918" s="133"/>
      <c r="G2918" s="133"/>
      <c r="H2918" s="133"/>
      <c r="I2918" s="133"/>
      <c r="J2918" s="133"/>
      <c r="K2918" s="133"/>
      <c r="L2918" s="133"/>
      <c r="M2918" s="133"/>
      <c r="N2918" s="133"/>
      <c r="O2918" s="133"/>
      <c r="P2918" s="133"/>
      <c r="Q2918" s="133"/>
      <c r="R2918" s="133"/>
      <c r="S2918" s="133"/>
      <c r="T2918" s="133"/>
      <c r="U2918" s="133"/>
      <c r="V2918" s="133"/>
      <c r="W2918" s="133"/>
      <c r="X2918" s="133"/>
      <c r="Y2918" s="133"/>
      <c r="Z2918" s="133"/>
    </row>
    <row r="2919">
      <c r="A2919" s="133"/>
      <c r="B2919" s="133"/>
      <c r="C2919" s="133"/>
      <c r="D2919" s="133"/>
      <c r="E2919" s="133"/>
      <c r="F2919" s="133"/>
      <c r="G2919" s="133"/>
      <c r="H2919" s="133"/>
      <c r="I2919" s="133"/>
      <c r="J2919" s="133"/>
      <c r="K2919" s="133"/>
      <c r="L2919" s="133"/>
      <c r="M2919" s="133"/>
      <c r="N2919" s="133"/>
      <c r="O2919" s="133"/>
      <c r="P2919" s="133"/>
      <c r="Q2919" s="133"/>
      <c r="R2919" s="133"/>
      <c r="S2919" s="133"/>
      <c r="T2919" s="133"/>
      <c r="U2919" s="133"/>
      <c r="V2919" s="133"/>
      <c r="W2919" s="133"/>
      <c r="X2919" s="133"/>
      <c r="Y2919" s="133"/>
      <c r="Z2919" s="133"/>
    </row>
    <row r="2920">
      <c r="A2920" s="133"/>
      <c r="B2920" s="133"/>
      <c r="C2920" s="133"/>
      <c r="D2920" s="133"/>
      <c r="E2920" s="133"/>
      <c r="F2920" s="133"/>
      <c r="G2920" s="133"/>
      <c r="H2920" s="133"/>
      <c r="I2920" s="133"/>
      <c r="J2920" s="133"/>
      <c r="K2920" s="133"/>
      <c r="L2920" s="133"/>
      <c r="M2920" s="133"/>
      <c r="N2920" s="133"/>
      <c r="O2920" s="133"/>
      <c r="P2920" s="133"/>
      <c r="Q2920" s="133"/>
      <c r="R2920" s="133"/>
      <c r="S2920" s="133"/>
      <c r="T2920" s="133"/>
      <c r="U2920" s="133"/>
      <c r="V2920" s="133"/>
      <c r="W2920" s="133"/>
      <c r="X2920" s="133"/>
      <c r="Y2920" s="133"/>
      <c r="Z2920" s="133"/>
    </row>
    <row r="2921">
      <c r="A2921" s="133"/>
      <c r="B2921" s="133"/>
      <c r="C2921" s="133"/>
      <c r="D2921" s="133"/>
      <c r="E2921" s="133"/>
      <c r="F2921" s="133"/>
      <c r="G2921" s="133"/>
      <c r="H2921" s="133"/>
      <c r="I2921" s="133"/>
      <c r="J2921" s="133"/>
      <c r="K2921" s="133"/>
      <c r="L2921" s="133"/>
      <c r="M2921" s="133"/>
      <c r="N2921" s="133"/>
      <c r="O2921" s="133"/>
      <c r="P2921" s="133"/>
      <c r="Q2921" s="133"/>
      <c r="R2921" s="133"/>
      <c r="S2921" s="133"/>
      <c r="T2921" s="133"/>
      <c r="U2921" s="133"/>
      <c r="V2921" s="133"/>
      <c r="W2921" s="133"/>
      <c r="X2921" s="133"/>
      <c r="Y2921" s="133"/>
      <c r="Z2921" s="133"/>
    </row>
    <row r="2922">
      <c r="A2922" s="133"/>
      <c r="B2922" s="133"/>
      <c r="C2922" s="133"/>
      <c r="D2922" s="133"/>
      <c r="E2922" s="133"/>
      <c r="F2922" s="133"/>
      <c r="G2922" s="133"/>
      <c r="H2922" s="133"/>
      <c r="I2922" s="133"/>
      <c r="J2922" s="133"/>
      <c r="K2922" s="133"/>
      <c r="L2922" s="133"/>
      <c r="M2922" s="133"/>
      <c r="N2922" s="133"/>
      <c r="O2922" s="133"/>
      <c r="P2922" s="133"/>
      <c r="Q2922" s="133"/>
      <c r="R2922" s="133"/>
      <c r="S2922" s="133"/>
      <c r="T2922" s="133"/>
      <c r="U2922" s="133"/>
      <c r="V2922" s="133"/>
      <c r="W2922" s="133"/>
      <c r="X2922" s="133"/>
      <c r="Y2922" s="133"/>
      <c r="Z2922" s="133"/>
    </row>
    <row r="2923">
      <c r="A2923" s="133"/>
      <c r="B2923" s="133"/>
      <c r="C2923" s="133"/>
      <c r="D2923" s="133"/>
      <c r="E2923" s="133"/>
      <c r="F2923" s="133"/>
      <c r="G2923" s="133"/>
      <c r="H2923" s="133"/>
      <c r="I2923" s="133"/>
      <c r="J2923" s="133"/>
      <c r="K2923" s="133"/>
      <c r="L2923" s="133"/>
      <c r="M2923" s="133"/>
      <c r="N2923" s="133"/>
      <c r="O2923" s="133"/>
      <c r="P2923" s="133"/>
      <c r="Q2923" s="133"/>
      <c r="R2923" s="133"/>
      <c r="S2923" s="133"/>
      <c r="T2923" s="133"/>
      <c r="U2923" s="133"/>
      <c r="V2923" s="133"/>
      <c r="W2923" s="133"/>
      <c r="X2923" s="133"/>
      <c r="Y2923" s="133"/>
      <c r="Z2923" s="13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hidden="1" min="8" max="8" width="12.63"/>
    <col hidden="1" min="11" max="11" width="12.63"/>
    <col customWidth="1" min="12" max="12" width="19.0"/>
    <col customWidth="1" min="13" max="13" width="24.38"/>
    <col customWidth="1" min="14" max="14" width="17.5"/>
    <col customWidth="1" min="18" max="18" width="32.25"/>
  </cols>
  <sheetData>
    <row r="1">
      <c r="A1" s="147" t="s">
        <v>2693</v>
      </c>
      <c r="B1" s="147" t="s">
        <v>2694</v>
      </c>
      <c r="C1" s="147" t="s">
        <v>2695</v>
      </c>
      <c r="D1" s="147" t="s">
        <v>2696</v>
      </c>
      <c r="E1" s="147" t="s">
        <v>2697</v>
      </c>
      <c r="F1" s="148" t="s">
        <v>2698</v>
      </c>
      <c r="G1" s="147" t="s">
        <v>2699</v>
      </c>
      <c r="H1" s="147" t="s">
        <v>2700</v>
      </c>
      <c r="I1" s="148" t="s">
        <v>2701</v>
      </c>
      <c r="J1" s="147" t="s">
        <v>2702</v>
      </c>
      <c r="K1" s="147" t="s">
        <v>2703</v>
      </c>
      <c r="L1" s="147" t="s">
        <v>2704</v>
      </c>
      <c r="M1" s="147" t="s">
        <v>1294</v>
      </c>
      <c r="N1" s="147" t="s">
        <v>2705</v>
      </c>
      <c r="O1" s="147" t="s">
        <v>2706</v>
      </c>
      <c r="P1" s="147" t="s">
        <v>2707</v>
      </c>
      <c r="Q1" s="147" t="s">
        <v>2708</v>
      </c>
      <c r="R1" s="149" t="s">
        <v>23</v>
      </c>
      <c r="S1" s="150"/>
    </row>
    <row r="2" hidden="1">
      <c r="A2" s="151">
        <v>1.0</v>
      </c>
      <c r="B2" s="152">
        <v>44796.0</v>
      </c>
      <c r="C2" s="153">
        <f t="shared" ref="C2:C51" si="1">month(B2)</f>
        <v>8</v>
      </c>
      <c r="D2" s="151">
        <f t="shared" ref="D2:D54" si="2">year(B2)</f>
        <v>2022</v>
      </c>
      <c r="E2" s="154"/>
      <c r="F2" s="154"/>
      <c r="G2" s="151" t="s">
        <v>2709</v>
      </c>
      <c r="H2" s="151">
        <v>65078.0</v>
      </c>
      <c r="I2" s="155">
        <v>279184.0</v>
      </c>
      <c r="J2" s="151" t="s">
        <v>2710</v>
      </c>
      <c r="K2" s="151">
        <v>59.0</v>
      </c>
      <c r="L2" s="151" t="s">
        <v>473</v>
      </c>
      <c r="M2" s="151" t="s">
        <v>38</v>
      </c>
      <c r="N2" s="154"/>
      <c r="O2" s="154"/>
      <c r="P2" s="154"/>
      <c r="Q2" s="154"/>
      <c r="R2" s="156"/>
      <c r="S2" s="156"/>
    </row>
    <row r="3" hidden="1">
      <c r="A3" s="151">
        <v>2.0</v>
      </c>
      <c r="B3" s="152">
        <v>44803.0</v>
      </c>
      <c r="C3" s="153">
        <f t="shared" si="1"/>
        <v>8</v>
      </c>
      <c r="D3" s="151">
        <f t="shared" si="2"/>
        <v>2022</v>
      </c>
      <c r="E3" s="154"/>
      <c r="F3" s="154"/>
      <c r="G3" s="151" t="s">
        <v>2711</v>
      </c>
      <c r="H3" s="151">
        <v>36100.0</v>
      </c>
      <c r="I3" s="155">
        <v>551710.0</v>
      </c>
      <c r="J3" s="151" t="s">
        <v>2712</v>
      </c>
      <c r="K3" s="151">
        <v>34.0</v>
      </c>
      <c r="L3" s="151" t="s">
        <v>2713</v>
      </c>
      <c r="M3" s="151" t="s">
        <v>38</v>
      </c>
      <c r="N3" s="154"/>
      <c r="O3" s="154"/>
      <c r="P3" s="154"/>
      <c r="Q3" s="154"/>
      <c r="R3" s="156"/>
      <c r="S3" s="156"/>
    </row>
    <row r="4" hidden="1">
      <c r="A4" s="151">
        <v>3.0</v>
      </c>
      <c r="B4" s="152">
        <v>44815.0</v>
      </c>
      <c r="C4" s="153">
        <f t="shared" si="1"/>
        <v>9</v>
      </c>
      <c r="D4" s="151">
        <f t="shared" si="2"/>
        <v>2022</v>
      </c>
      <c r="E4" s="154"/>
      <c r="F4" s="154"/>
      <c r="G4" s="151" t="s">
        <v>2714</v>
      </c>
      <c r="H4" s="151">
        <v>11642.0</v>
      </c>
      <c r="I4" s="155">
        <v>187021.0</v>
      </c>
      <c r="J4" s="151" t="s">
        <v>2712</v>
      </c>
      <c r="K4" s="151">
        <v>10.0</v>
      </c>
      <c r="L4" s="151" t="s">
        <v>81</v>
      </c>
      <c r="M4" s="151" t="s">
        <v>38</v>
      </c>
      <c r="N4" s="154"/>
      <c r="O4" s="154"/>
      <c r="P4" s="154"/>
      <c r="Q4" s="154"/>
      <c r="R4" s="156"/>
      <c r="S4" s="156"/>
    </row>
    <row r="5" hidden="1">
      <c r="A5" s="151">
        <v>4.0</v>
      </c>
      <c r="B5" s="152">
        <v>44819.0</v>
      </c>
      <c r="C5" s="153">
        <f t="shared" si="1"/>
        <v>9</v>
      </c>
      <c r="D5" s="151">
        <f t="shared" si="2"/>
        <v>2022</v>
      </c>
      <c r="E5" s="154"/>
      <c r="F5" s="154"/>
      <c r="G5" s="151" t="s">
        <v>2715</v>
      </c>
      <c r="H5" s="151">
        <v>5293.0</v>
      </c>
      <c r="I5" s="155">
        <v>547884.0</v>
      </c>
      <c r="J5" s="151" t="s">
        <v>2710</v>
      </c>
      <c r="K5" s="151">
        <v>65.0</v>
      </c>
      <c r="L5" s="151" t="s">
        <v>473</v>
      </c>
      <c r="M5" s="151" t="s">
        <v>38</v>
      </c>
      <c r="N5" s="154"/>
      <c r="O5" s="154"/>
      <c r="P5" s="154"/>
      <c r="Q5" s="154"/>
      <c r="R5" s="156"/>
      <c r="S5" s="156"/>
    </row>
    <row r="6" hidden="1">
      <c r="A6" s="151">
        <v>5.0</v>
      </c>
      <c r="B6" s="152">
        <v>44847.0</v>
      </c>
      <c r="C6" s="153">
        <f t="shared" si="1"/>
        <v>10</v>
      </c>
      <c r="D6" s="151">
        <f t="shared" si="2"/>
        <v>2022</v>
      </c>
      <c r="E6" s="154"/>
      <c r="F6" s="154"/>
      <c r="G6" s="151" t="s">
        <v>2716</v>
      </c>
      <c r="H6" s="151">
        <v>5048.0</v>
      </c>
      <c r="I6" s="155">
        <v>113901.0</v>
      </c>
      <c r="J6" s="151" t="s">
        <v>2710</v>
      </c>
      <c r="K6" s="151">
        <v>59.0</v>
      </c>
      <c r="L6" s="151" t="s">
        <v>473</v>
      </c>
      <c r="M6" s="151" t="s">
        <v>38</v>
      </c>
      <c r="N6" s="154"/>
      <c r="O6" s="154"/>
      <c r="P6" s="154"/>
      <c r="Q6" s="154"/>
      <c r="R6" s="156"/>
      <c r="S6" s="156"/>
    </row>
    <row r="7" hidden="1">
      <c r="A7" s="151">
        <v>6.0</v>
      </c>
      <c r="B7" s="152">
        <v>44849.0</v>
      </c>
      <c r="C7" s="153">
        <f t="shared" si="1"/>
        <v>10</v>
      </c>
      <c r="D7" s="151">
        <f t="shared" si="2"/>
        <v>2022</v>
      </c>
      <c r="E7" s="154"/>
      <c r="F7" s="154"/>
      <c r="G7" s="151" t="s">
        <v>2717</v>
      </c>
      <c r="H7" s="151">
        <v>40490.0</v>
      </c>
      <c r="I7" s="155">
        <v>40085.0</v>
      </c>
      <c r="J7" s="151" t="s">
        <v>2712</v>
      </c>
      <c r="K7" s="151">
        <v>4.0</v>
      </c>
      <c r="L7" s="151" t="s">
        <v>2713</v>
      </c>
      <c r="M7" s="151" t="s">
        <v>38</v>
      </c>
      <c r="N7" s="154"/>
      <c r="O7" s="154"/>
      <c r="P7" s="154"/>
      <c r="Q7" s="154"/>
      <c r="R7" s="156"/>
      <c r="S7" s="156"/>
    </row>
    <row r="8" hidden="1">
      <c r="A8" s="151">
        <v>7.0</v>
      </c>
      <c r="B8" s="152">
        <v>44849.0</v>
      </c>
      <c r="C8" s="153">
        <f t="shared" si="1"/>
        <v>10</v>
      </c>
      <c r="D8" s="151">
        <f t="shared" si="2"/>
        <v>2022</v>
      </c>
      <c r="E8" s="154"/>
      <c r="F8" s="154"/>
      <c r="G8" s="151" t="s">
        <v>2718</v>
      </c>
      <c r="H8" s="151">
        <v>6800.0</v>
      </c>
      <c r="I8" s="155">
        <v>96220.0</v>
      </c>
      <c r="J8" s="151" t="s">
        <v>2712</v>
      </c>
      <c r="K8" s="151">
        <v>9.0</v>
      </c>
      <c r="L8" s="151" t="s">
        <v>2713</v>
      </c>
      <c r="M8" s="151" t="s">
        <v>38</v>
      </c>
      <c r="N8" s="154"/>
      <c r="O8" s="154"/>
      <c r="P8" s="154"/>
      <c r="Q8" s="154"/>
      <c r="R8" s="156"/>
      <c r="S8" s="156"/>
    </row>
    <row r="9" hidden="1">
      <c r="A9" s="151">
        <v>8.0</v>
      </c>
      <c r="B9" s="152">
        <v>44849.0</v>
      </c>
      <c r="C9" s="153">
        <f t="shared" si="1"/>
        <v>10</v>
      </c>
      <c r="D9" s="151">
        <f t="shared" si="2"/>
        <v>2022</v>
      </c>
      <c r="E9" s="154"/>
      <c r="F9" s="154"/>
      <c r="G9" s="151" t="s">
        <v>2719</v>
      </c>
      <c r="H9" s="151">
        <v>17280.0</v>
      </c>
      <c r="I9" s="155">
        <v>62208.0</v>
      </c>
      <c r="J9" s="151" t="s">
        <v>2712</v>
      </c>
      <c r="K9" s="151">
        <v>6.0</v>
      </c>
      <c r="L9" s="151" t="s">
        <v>2713</v>
      </c>
      <c r="M9" s="151" t="s">
        <v>2720</v>
      </c>
      <c r="N9" s="154"/>
      <c r="O9" s="154"/>
      <c r="P9" s="154"/>
      <c r="Q9" s="154"/>
      <c r="R9" s="156"/>
      <c r="S9" s="156"/>
    </row>
    <row r="10" hidden="1">
      <c r="A10" s="151">
        <v>9.0</v>
      </c>
      <c r="B10" s="152">
        <v>44849.0</v>
      </c>
      <c r="C10" s="153">
        <f t="shared" si="1"/>
        <v>10</v>
      </c>
      <c r="D10" s="151">
        <f t="shared" si="2"/>
        <v>2022</v>
      </c>
      <c r="E10" s="154"/>
      <c r="F10" s="154"/>
      <c r="G10" s="151" t="s">
        <v>2721</v>
      </c>
      <c r="H10" s="151">
        <v>9000.0</v>
      </c>
      <c r="I10" s="155">
        <v>81000.0</v>
      </c>
      <c r="J10" s="151" t="s">
        <v>2712</v>
      </c>
      <c r="K10" s="151">
        <v>2.0</v>
      </c>
      <c r="L10" s="151" t="s">
        <v>2713</v>
      </c>
      <c r="M10" s="151" t="s">
        <v>38</v>
      </c>
      <c r="N10" s="154"/>
      <c r="O10" s="154"/>
      <c r="P10" s="154"/>
      <c r="Q10" s="154"/>
      <c r="R10" s="156"/>
      <c r="S10" s="156"/>
    </row>
    <row r="11" hidden="1">
      <c r="A11" s="151">
        <v>10.0</v>
      </c>
      <c r="B11" s="152">
        <v>44849.0</v>
      </c>
      <c r="C11" s="153">
        <f t="shared" si="1"/>
        <v>10</v>
      </c>
      <c r="D11" s="151">
        <f t="shared" si="2"/>
        <v>2022</v>
      </c>
      <c r="E11" s="154"/>
      <c r="F11" s="154"/>
      <c r="G11" s="151" t="s">
        <v>2722</v>
      </c>
      <c r="H11" s="151">
        <v>1600.0</v>
      </c>
      <c r="I11" s="155">
        <v>28704.0</v>
      </c>
      <c r="J11" s="151" t="s">
        <v>2712</v>
      </c>
      <c r="K11" s="151">
        <v>14.0</v>
      </c>
      <c r="L11" s="151" t="s">
        <v>2713</v>
      </c>
      <c r="M11" s="151" t="s">
        <v>38</v>
      </c>
      <c r="N11" s="154"/>
      <c r="O11" s="154"/>
      <c r="P11" s="154"/>
      <c r="Q11" s="154"/>
      <c r="R11" s="156"/>
      <c r="S11" s="156"/>
    </row>
    <row r="12" hidden="1">
      <c r="A12" s="151">
        <v>11.0</v>
      </c>
      <c r="B12" s="152">
        <v>44849.0</v>
      </c>
      <c r="C12" s="153">
        <f t="shared" si="1"/>
        <v>10</v>
      </c>
      <c r="D12" s="151">
        <f t="shared" si="2"/>
        <v>2022</v>
      </c>
      <c r="E12" s="154"/>
      <c r="F12" s="154"/>
      <c r="G12" s="151" t="s">
        <v>2723</v>
      </c>
      <c r="H12" s="151">
        <v>22720.0</v>
      </c>
      <c r="I12" s="155">
        <v>38624.0</v>
      </c>
      <c r="J12" s="151" t="s">
        <v>2712</v>
      </c>
      <c r="K12" s="151">
        <v>6.0</v>
      </c>
      <c r="L12" s="151" t="s">
        <v>2713</v>
      </c>
      <c r="M12" s="151" t="s">
        <v>2720</v>
      </c>
      <c r="N12" s="154"/>
      <c r="O12" s="154"/>
      <c r="P12" s="154"/>
      <c r="Q12" s="154"/>
      <c r="R12" s="156"/>
      <c r="S12" s="156"/>
    </row>
    <row r="13" hidden="1">
      <c r="A13" s="151">
        <v>12.0</v>
      </c>
      <c r="B13" s="152">
        <v>44849.0</v>
      </c>
      <c r="C13" s="153">
        <f t="shared" si="1"/>
        <v>10</v>
      </c>
      <c r="D13" s="151">
        <f t="shared" si="2"/>
        <v>2022</v>
      </c>
      <c r="E13" s="154"/>
      <c r="F13" s="154"/>
      <c r="G13" s="151" t="s">
        <v>2724</v>
      </c>
      <c r="H13" s="151">
        <v>1000.0</v>
      </c>
      <c r="I13" s="155">
        <v>26699.0</v>
      </c>
      <c r="J13" s="151" t="s">
        <v>2712</v>
      </c>
      <c r="K13" s="151">
        <v>13.0</v>
      </c>
      <c r="L13" s="151" t="s">
        <v>2713</v>
      </c>
      <c r="M13" s="151" t="s">
        <v>38</v>
      </c>
      <c r="N13" s="154"/>
      <c r="O13" s="154"/>
      <c r="P13" s="154"/>
      <c r="Q13" s="154"/>
      <c r="R13" s="156"/>
      <c r="S13" s="156"/>
    </row>
    <row r="14" hidden="1">
      <c r="A14" s="151">
        <v>13.0</v>
      </c>
      <c r="B14" s="152">
        <v>44849.0</v>
      </c>
      <c r="C14" s="153">
        <f t="shared" si="1"/>
        <v>10</v>
      </c>
      <c r="D14" s="151">
        <f t="shared" si="2"/>
        <v>2022</v>
      </c>
      <c r="E14" s="154"/>
      <c r="F14" s="154"/>
      <c r="G14" s="151" t="s">
        <v>2725</v>
      </c>
      <c r="H14" s="151">
        <v>6140.0</v>
      </c>
      <c r="I14" s="155">
        <v>296190.0</v>
      </c>
      <c r="J14" s="151" t="s">
        <v>2712</v>
      </c>
      <c r="K14" s="151">
        <v>18.0</v>
      </c>
      <c r="L14" s="151" t="s">
        <v>2713</v>
      </c>
      <c r="M14" s="151" t="s">
        <v>2720</v>
      </c>
      <c r="N14" s="154"/>
      <c r="O14" s="154"/>
      <c r="P14" s="154"/>
      <c r="Q14" s="154"/>
      <c r="R14" s="156"/>
      <c r="S14" s="156"/>
    </row>
    <row r="15" hidden="1">
      <c r="A15" s="151">
        <v>14.0</v>
      </c>
      <c r="B15" s="152">
        <v>44849.0</v>
      </c>
      <c r="C15" s="153">
        <f t="shared" si="1"/>
        <v>10</v>
      </c>
      <c r="D15" s="151">
        <f t="shared" si="2"/>
        <v>2022</v>
      </c>
      <c r="E15" s="154"/>
      <c r="F15" s="154"/>
      <c r="G15" s="151" t="s">
        <v>2726</v>
      </c>
      <c r="H15" s="151">
        <v>21222.0</v>
      </c>
      <c r="I15" s="155">
        <v>210935.0</v>
      </c>
      <c r="J15" s="151" t="s">
        <v>2712</v>
      </c>
      <c r="K15" s="151">
        <v>36.0</v>
      </c>
      <c r="L15" s="151" t="s">
        <v>81</v>
      </c>
      <c r="M15" s="151" t="s">
        <v>38</v>
      </c>
      <c r="N15" s="154"/>
      <c r="O15" s="154"/>
      <c r="P15" s="154"/>
      <c r="Q15" s="154"/>
      <c r="R15" s="156"/>
      <c r="S15" s="156"/>
    </row>
    <row r="16" hidden="1">
      <c r="A16" s="151">
        <v>15.0</v>
      </c>
      <c r="B16" s="152">
        <v>44849.0</v>
      </c>
      <c r="C16" s="153">
        <f t="shared" si="1"/>
        <v>10</v>
      </c>
      <c r="D16" s="151">
        <f t="shared" si="2"/>
        <v>2022</v>
      </c>
      <c r="E16" s="154"/>
      <c r="F16" s="154"/>
      <c r="G16" s="151" t="s">
        <v>2727</v>
      </c>
      <c r="H16" s="151">
        <v>586944.0</v>
      </c>
      <c r="I16" s="155">
        <v>544522.0</v>
      </c>
      <c r="J16" s="151" t="s">
        <v>2728</v>
      </c>
      <c r="K16" s="151">
        <v>12.0</v>
      </c>
      <c r="L16" s="151" t="s">
        <v>2729</v>
      </c>
      <c r="M16" s="151" t="s">
        <v>2730</v>
      </c>
      <c r="N16" s="154"/>
      <c r="O16" s="154"/>
      <c r="P16" s="154"/>
      <c r="Q16" s="154"/>
      <c r="R16" s="156"/>
      <c r="S16" s="156"/>
    </row>
    <row r="17" hidden="1">
      <c r="A17" s="151">
        <v>16.0</v>
      </c>
      <c r="B17" s="152">
        <v>44849.0</v>
      </c>
      <c r="C17" s="153">
        <f t="shared" si="1"/>
        <v>10</v>
      </c>
      <c r="D17" s="151">
        <f t="shared" si="2"/>
        <v>2022</v>
      </c>
      <c r="E17" s="154"/>
      <c r="F17" s="154"/>
      <c r="G17" s="151" t="s">
        <v>2731</v>
      </c>
      <c r="H17" s="151">
        <v>5140.0</v>
      </c>
      <c r="I17" s="155">
        <v>85135.0</v>
      </c>
      <c r="J17" s="151" t="s">
        <v>2712</v>
      </c>
      <c r="K17" s="151">
        <v>5.0</v>
      </c>
      <c r="L17" s="151" t="s">
        <v>81</v>
      </c>
      <c r="M17" s="151" t="s">
        <v>38</v>
      </c>
      <c r="N17" s="154"/>
      <c r="O17" s="154"/>
      <c r="P17" s="154"/>
      <c r="Q17" s="154"/>
      <c r="R17" s="156"/>
      <c r="S17" s="156"/>
    </row>
    <row r="18" hidden="1">
      <c r="A18" s="151">
        <v>17.0</v>
      </c>
      <c r="B18" s="152">
        <v>44849.0</v>
      </c>
      <c r="C18" s="153">
        <f t="shared" si="1"/>
        <v>10</v>
      </c>
      <c r="D18" s="151">
        <f t="shared" si="2"/>
        <v>2022</v>
      </c>
      <c r="E18" s="154"/>
      <c r="F18" s="154"/>
      <c r="G18" s="151" t="s">
        <v>2732</v>
      </c>
      <c r="H18" s="151">
        <v>5144.0</v>
      </c>
      <c r="I18" s="155">
        <v>38207.0</v>
      </c>
      <c r="J18" s="151" t="s">
        <v>2728</v>
      </c>
      <c r="K18" s="151">
        <v>15.0</v>
      </c>
      <c r="L18" s="151" t="s">
        <v>59</v>
      </c>
      <c r="M18" s="151" t="s">
        <v>38</v>
      </c>
      <c r="N18" s="154"/>
      <c r="O18" s="154"/>
      <c r="P18" s="154"/>
      <c r="Q18" s="154"/>
      <c r="R18" s="156"/>
      <c r="S18" s="156"/>
    </row>
    <row r="19" hidden="1">
      <c r="A19" s="151">
        <v>18.0</v>
      </c>
      <c r="B19" s="152">
        <v>44880.0</v>
      </c>
      <c r="C19" s="153">
        <f t="shared" si="1"/>
        <v>11</v>
      </c>
      <c r="D19" s="151">
        <f t="shared" si="2"/>
        <v>2022</v>
      </c>
      <c r="E19" s="154"/>
      <c r="F19" s="154"/>
      <c r="G19" s="151" t="s">
        <v>2733</v>
      </c>
      <c r="H19" s="151">
        <v>102440.0</v>
      </c>
      <c r="I19" s="155">
        <v>431923.0</v>
      </c>
      <c r="J19" s="151" t="s">
        <v>2710</v>
      </c>
      <c r="K19" s="151">
        <v>52.0</v>
      </c>
      <c r="L19" s="151" t="s">
        <v>473</v>
      </c>
      <c r="M19" s="151" t="s">
        <v>38</v>
      </c>
      <c r="N19" s="154"/>
      <c r="O19" s="154"/>
      <c r="P19" s="154"/>
      <c r="Q19" s="154"/>
      <c r="R19" s="156"/>
      <c r="S19" s="156"/>
    </row>
    <row r="20" hidden="1">
      <c r="A20" s="151">
        <v>19.0</v>
      </c>
      <c r="B20" s="152">
        <v>44889.0</v>
      </c>
      <c r="C20" s="153">
        <f t="shared" si="1"/>
        <v>11</v>
      </c>
      <c r="D20" s="151">
        <f t="shared" si="2"/>
        <v>2022</v>
      </c>
      <c r="E20" s="154"/>
      <c r="F20" s="154"/>
      <c r="G20" s="151" t="s">
        <v>2734</v>
      </c>
      <c r="H20" s="151">
        <v>200.0</v>
      </c>
      <c r="I20" s="155">
        <v>1008.0</v>
      </c>
      <c r="J20" s="151" t="s">
        <v>2728</v>
      </c>
      <c r="K20" s="151">
        <v>1.0</v>
      </c>
      <c r="L20" s="151" t="s">
        <v>59</v>
      </c>
      <c r="M20" s="151" t="s">
        <v>38</v>
      </c>
      <c r="N20" s="154"/>
      <c r="O20" s="154"/>
      <c r="P20" s="154"/>
      <c r="Q20" s="154"/>
      <c r="R20" s="156"/>
      <c r="S20" s="156"/>
    </row>
    <row r="21" hidden="1">
      <c r="A21" s="151">
        <v>20.0</v>
      </c>
      <c r="B21" s="152">
        <v>44864.0</v>
      </c>
      <c r="C21" s="153">
        <f t="shared" si="1"/>
        <v>10</v>
      </c>
      <c r="D21" s="151">
        <f t="shared" si="2"/>
        <v>2022</v>
      </c>
      <c r="E21" s="154"/>
      <c r="F21" s="154"/>
      <c r="G21" s="151" t="s">
        <v>2735</v>
      </c>
      <c r="H21" s="151">
        <v>44974.0</v>
      </c>
      <c r="I21" s="155">
        <v>119369.0</v>
      </c>
      <c r="J21" s="151" t="s">
        <v>2728</v>
      </c>
      <c r="K21" s="151">
        <v>37.0</v>
      </c>
      <c r="L21" s="151" t="s">
        <v>259</v>
      </c>
      <c r="M21" s="151" t="s">
        <v>2730</v>
      </c>
      <c r="N21" s="154"/>
      <c r="O21" s="154"/>
      <c r="P21" s="154"/>
      <c r="Q21" s="154"/>
      <c r="R21" s="156"/>
      <c r="S21" s="156"/>
    </row>
    <row r="22" hidden="1">
      <c r="A22" s="151">
        <v>21.0</v>
      </c>
      <c r="B22" s="152">
        <v>44920.0</v>
      </c>
      <c r="C22" s="153">
        <f t="shared" si="1"/>
        <v>12</v>
      </c>
      <c r="D22" s="151">
        <f t="shared" si="2"/>
        <v>2022</v>
      </c>
      <c r="E22" s="154"/>
      <c r="F22" s="154"/>
      <c r="G22" s="151" t="s">
        <v>2736</v>
      </c>
      <c r="H22" s="151">
        <v>4164.0</v>
      </c>
      <c r="I22" s="155">
        <v>4833.0</v>
      </c>
      <c r="J22" s="151" t="s">
        <v>2728</v>
      </c>
      <c r="K22" s="151">
        <v>2.0</v>
      </c>
      <c r="L22" s="151" t="s">
        <v>966</v>
      </c>
      <c r="M22" s="151" t="s">
        <v>38</v>
      </c>
      <c r="N22" s="154"/>
      <c r="O22" s="154"/>
      <c r="P22" s="154"/>
      <c r="Q22" s="154"/>
      <c r="R22" s="156"/>
      <c r="S22" s="156"/>
    </row>
    <row r="23" hidden="1">
      <c r="A23" s="151">
        <v>22.0</v>
      </c>
      <c r="B23" s="152">
        <v>44893.0</v>
      </c>
      <c r="C23" s="153">
        <f t="shared" si="1"/>
        <v>11</v>
      </c>
      <c r="D23" s="151">
        <f t="shared" si="2"/>
        <v>2022</v>
      </c>
      <c r="E23" s="154"/>
      <c r="F23" s="154"/>
      <c r="G23" s="151" t="s">
        <v>2737</v>
      </c>
      <c r="H23" s="151">
        <v>32043.0</v>
      </c>
      <c r="I23" s="155">
        <v>177858.0</v>
      </c>
      <c r="J23" s="151" t="s">
        <v>2712</v>
      </c>
      <c r="K23" s="151">
        <v>383.0</v>
      </c>
      <c r="L23" s="151" t="s">
        <v>2738</v>
      </c>
      <c r="M23" s="151" t="s">
        <v>38</v>
      </c>
      <c r="N23" s="154"/>
      <c r="O23" s="154"/>
      <c r="P23" s="154"/>
      <c r="Q23" s="154"/>
      <c r="R23" s="156"/>
      <c r="S23" s="156"/>
    </row>
    <row r="24" hidden="1">
      <c r="A24" s="151">
        <v>23.0</v>
      </c>
      <c r="B24" s="152">
        <v>44893.0</v>
      </c>
      <c r="C24" s="153">
        <f t="shared" si="1"/>
        <v>11</v>
      </c>
      <c r="D24" s="151">
        <f t="shared" si="2"/>
        <v>2022</v>
      </c>
      <c r="E24" s="154"/>
      <c r="F24" s="154"/>
      <c r="G24" s="151" t="s">
        <v>2739</v>
      </c>
      <c r="H24" s="151">
        <v>32059.0</v>
      </c>
      <c r="I24" s="155">
        <v>178088.0</v>
      </c>
      <c r="J24" s="151" t="s">
        <v>2712</v>
      </c>
      <c r="K24" s="151">
        <v>383.0</v>
      </c>
      <c r="L24" s="151" t="s">
        <v>2738</v>
      </c>
      <c r="M24" s="151" t="s">
        <v>2730</v>
      </c>
      <c r="N24" s="154"/>
      <c r="O24" s="154"/>
      <c r="P24" s="154"/>
      <c r="Q24" s="154"/>
      <c r="R24" s="156"/>
      <c r="S24" s="156"/>
    </row>
    <row r="25" hidden="1">
      <c r="A25" s="151">
        <v>24.0</v>
      </c>
      <c r="B25" s="152">
        <v>44900.0</v>
      </c>
      <c r="C25" s="153">
        <f t="shared" si="1"/>
        <v>12</v>
      </c>
      <c r="D25" s="151">
        <f t="shared" si="2"/>
        <v>2022</v>
      </c>
      <c r="E25" s="154"/>
      <c r="F25" s="154"/>
      <c r="G25" s="151" t="s">
        <v>2740</v>
      </c>
      <c r="H25" s="151">
        <v>301.0</v>
      </c>
      <c r="I25" s="155">
        <v>47180.0</v>
      </c>
      <c r="J25" s="151" t="s">
        <v>2712</v>
      </c>
      <c r="K25" s="151">
        <v>11.0</v>
      </c>
      <c r="L25" s="151" t="s">
        <v>2741</v>
      </c>
      <c r="M25" s="151" t="s">
        <v>2720</v>
      </c>
      <c r="N25" s="154"/>
      <c r="O25" s="154"/>
      <c r="P25" s="154"/>
      <c r="Q25" s="154"/>
      <c r="R25" s="156"/>
      <c r="S25" s="156"/>
    </row>
    <row r="26" hidden="1">
      <c r="A26" s="151">
        <v>25.0</v>
      </c>
      <c r="B26" s="152">
        <v>44943.0</v>
      </c>
      <c r="C26" s="153">
        <f t="shared" si="1"/>
        <v>1</v>
      </c>
      <c r="D26" s="151">
        <f t="shared" si="2"/>
        <v>2023</v>
      </c>
      <c r="E26" s="154"/>
      <c r="F26" s="154"/>
      <c r="G26" s="151" t="s">
        <v>2742</v>
      </c>
      <c r="H26" s="151">
        <v>132560.0</v>
      </c>
      <c r="I26" s="155">
        <v>497980.0</v>
      </c>
      <c r="J26" s="151" t="s">
        <v>2710</v>
      </c>
      <c r="K26" s="151">
        <v>53.0</v>
      </c>
      <c r="L26" s="151" t="s">
        <v>473</v>
      </c>
      <c r="M26" s="151" t="s">
        <v>38</v>
      </c>
      <c r="N26" s="154"/>
      <c r="O26" s="154"/>
      <c r="P26" s="154"/>
      <c r="Q26" s="154"/>
      <c r="R26" s="156"/>
      <c r="S26" s="156"/>
    </row>
    <row r="27" hidden="1">
      <c r="A27" s="151">
        <v>26.0</v>
      </c>
      <c r="B27" s="152">
        <v>44922.0</v>
      </c>
      <c r="C27" s="153">
        <f t="shared" si="1"/>
        <v>12</v>
      </c>
      <c r="D27" s="151">
        <f t="shared" si="2"/>
        <v>2022</v>
      </c>
      <c r="E27" s="154"/>
      <c r="F27" s="154"/>
      <c r="G27" s="151" t="s">
        <v>2743</v>
      </c>
      <c r="H27" s="151">
        <v>123090.0</v>
      </c>
      <c r="I27" s="155">
        <v>299243.0</v>
      </c>
      <c r="J27" s="151" t="s">
        <v>2728</v>
      </c>
      <c r="K27" s="151">
        <v>89.0</v>
      </c>
      <c r="L27" s="151" t="s">
        <v>259</v>
      </c>
      <c r="M27" s="151" t="s">
        <v>2730</v>
      </c>
      <c r="N27" s="154"/>
      <c r="O27" s="154"/>
      <c r="P27" s="154"/>
      <c r="Q27" s="154"/>
      <c r="R27" s="156"/>
      <c r="S27" s="156"/>
    </row>
    <row r="28" hidden="1">
      <c r="A28" s="151">
        <v>27.0</v>
      </c>
      <c r="B28" s="152">
        <v>44950.0</v>
      </c>
      <c r="C28" s="153">
        <f t="shared" si="1"/>
        <v>1</v>
      </c>
      <c r="D28" s="151">
        <f t="shared" si="2"/>
        <v>2023</v>
      </c>
      <c r="E28" s="154"/>
      <c r="F28" s="154"/>
      <c r="G28" s="151" t="s">
        <v>2744</v>
      </c>
      <c r="H28" s="151">
        <v>760320.0</v>
      </c>
      <c r="I28" s="155">
        <v>698112.0</v>
      </c>
      <c r="J28" s="151" t="s">
        <v>2728</v>
      </c>
      <c r="K28" s="151">
        <v>12.0</v>
      </c>
      <c r="L28" s="151" t="s">
        <v>2729</v>
      </c>
      <c r="M28" s="151" t="s">
        <v>2720</v>
      </c>
      <c r="N28" s="154"/>
      <c r="O28" s="154"/>
      <c r="P28" s="154"/>
      <c r="Q28" s="154"/>
      <c r="R28" s="156"/>
      <c r="S28" s="156"/>
    </row>
    <row r="29" hidden="1">
      <c r="A29" s="151">
        <v>28.0</v>
      </c>
      <c r="B29" s="152">
        <v>44950.0</v>
      </c>
      <c r="C29" s="153">
        <f t="shared" si="1"/>
        <v>1</v>
      </c>
      <c r="D29" s="151">
        <f t="shared" si="2"/>
        <v>2023</v>
      </c>
      <c r="E29" s="154"/>
      <c r="F29" s="154"/>
      <c r="G29" s="151" t="s">
        <v>2745</v>
      </c>
      <c r="H29" s="151">
        <v>12576.0</v>
      </c>
      <c r="I29" s="155">
        <v>100505.0</v>
      </c>
      <c r="J29" s="151" t="s">
        <v>2728</v>
      </c>
      <c r="K29" s="151">
        <v>23.0</v>
      </c>
      <c r="L29" s="151" t="s">
        <v>59</v>
      </c>
      <c r="M29" s="151" t="s">
        <v>38</v>
      </c>
      <c r="N29" s="154"/>
      <c r="O29" s="154"/>
      <c r="P29" s="154"/>
      <c r="Q29" s="154"/>
      <c r="R29" s="156"/>
      <c r="S29" s="156"/>
    </row>
    <row r="30" hidden="1">
      <c r="A30" s="151">
        <v>29.0</v>
      </c>
      <c r="B30" s="152">
        <v>44950.0</v>
      </c>
      <c r="C30" s="153">
        <f t="shared" si="1"/>
        <v>1</v>
      </c>
      <c r="D30" s="151">
        <f t="shared" si="2"/>
        <v>2023</v>
      </c>
      <c r="E30" s="154"/>
      <c r="F30" s="154"/>
      <c r="G30" s="151" t="s">
        <v>2746</v>
      </c>
      <c r="H30" s="151">
        <v>17915.0</v>
      </c>
      <c r="I30" s="155">
        <v>253497.0</v>
      </c>
      <c r="J30" s="151" t="s">
        <v>2712</v>
      </c>
      <c r="K30" s="151">
        <v>9.0</v>
      </c>
      <c r="L30" s="151" t="s">
        <v>2713</v>
      </c>
      <c r="M30" s="151" t="s">
        <v>2720</v>
      </c>
      <c r="N30" s="154"/>
      <c r="O30" s="154"/>
      <c r="P30" s="154"/>
      <c r="Q30" s="154"/>
      <c r="R30" s="156"/>
      <c r="S30" s="156"/>
    </row>
    <row r="31" hidden="1">
      <c r="A31" s="151">
        <v>30.0</v>
      </c>
      <c r="B31" s="152">
        <v>44950.0</v>
      </c>
      <c r="C31" s="153">
        <f t="shared" si="1"/>
        <v>1</v>
      </c>
      <c r="D31" s="151">
        <f t="shared" si="2"/>
        <v>2023</v>
      </c>
      <c r="E31" s="154"/>
      <c r="F31" s="154"/>
      <c r="G31" s="151" t="s">
        <v>2747</v>
      </c>
      <c r="H31" s="151">
        <v>35000.0</v>
      </c>
      <c r="I31" s="155">
        <v>126000.0</v>
      </c>
      <c r="J31" s="151" t="s">
        <v>2712</v>
      </c>
      <c r="K31" s="151">
        <v>6.0</v>
      </c>
      <c r="L31" s="151" t="s">
        <v>2713</v>
      </c>
      <c r="M31" s="151" t="s">
        <v>2720</v>
      </c>
      <c r="N31" s="154"/>
      <c r="O31" s="154"/>
      <c r="P31" s="154"/>
      <c r="Q31" s="154"/>
      <c r="R31" s="156"/>
      <c r="S31" s="156"/>
    </row>
    <row r="32" hidden="1">
      <c r="A32" s="151">
        <v>31.0</v>
      </c>
      <c r="B32" s="152">
        <v>44950.0</v>
      </c>
      <c r="C32" s="153">
        <f t="shared" si="1"/>
        <v>1</v>
      </c>
      <c r="D32" s="151">
        <f t="shared" si="2"/>
        <v>2023</v>
      </c>
      <c r="E32" s="154"/>
      <c r="F32" s="154"/>
      <c r="G32" s="151" t="s">
        <v>2748</v>
      </c>
      <c r="H32" s="151">
        <v>27000.0</v>
      </c>
      <c r="I32" s="155">
        <v>243000.0</v>
      </c>
      <c r="J32" s="151" t="s">
        <v>2712</v>
      </c>
      <c r="K32" s="151">
        <v>2.0</v>
      </c>
      <c r="L32" s="151" t="s">
        <v>2713</v>
      </c>
      <c r="M32" s="151" t="s">
        <v>2749</v>
      </c>
      <c r="N32" s="154"/>
      <c r="O32" s="154"/>
      <c r="P32" s="154"/>
      <c r="Q32" s="154"/>
      <c r="R32" s="156"/>
      <c r="S32" s="156"/>
    </row>
    <row r="33" hidden="1">
      <c r="A33" s="151">
        <v>32.0</v>
      </c>
      <c r="B33" s="152">
        <v>44950.0</v>
      </c>
      <c r="C33" s="153">
        <f t="shared" si="1"/>
        <v>1</v>
      </c>
      <c r="D33" s="151">
        <f t="shared" si="2"/>
        <v>2023</v>
      </c>
      <c r="E33" s="154"/>
      <c r="F33" s="154"/>
      <c r="G33" s="151" t="s">
        <v>2750</v>
      </c>
      <c r="H33" s="151">
        <v>11688.0</v>
      </c>
      <c r="I33" s="155">
        <v>34947.0</v>
      </c>
      <c r="J33" s="151" t="s">
        <v>2712</v>
      </c>
      <c r="K33" s="151">
        <v>14.0</v>
      </c>
      <c r="L33" s="151" t="s">
        <v>2713</v>
      </c>
      <c r="M33" s="151" t="s">
        <v>2720</v>
      </c>
      <c r="N33" s="154"/>
      <c r="O33" s="154"/>
      <c r="P33" s="154"/>
      <c r="Q33" s="154"/>
      <c r="R33" s="156"/>
      <c r="S33" s="156"/>
    </row>
    <row r="34" hidden="1">
      <c r="A34" s="151">
        <v>33.0</v>
      </c>
      <c r="B34" s="152">
        <v>44950.0</v>
      </c>
      <c r="C34" s="153">
        <f t="shared" si="1"/>
        <v>1</v>
      </c>
      <c r="D34" s="151">
        <f t="shared" si="2"/>
        <v>2023</v>
      </c>
      <c r="E34" s="154"/>
      <c r="F34" s="154"/>
      <c r="G34" s="151" t="s">
        <v>2751</v>
      </c>
      <c r="H34" s="151">
        <v>94790.0</v>
      </c>
      <c r="I34" s="155">
        <v>189643.0</v>
      </c>
      <c r="J34" s="151" t="s">
        <v>2712</v>
      </c>
      <c r="K34" s="151">
        <v>13.0</v>
      </c>
      <c r="L34" s="151" t="s">
        <v>2713</v>
      </c>
      <c r="M34" s="151" t="s">
        <v>2720</v>
      </c>
      <c r="N34" s="154"/>
      <c r="O34" s="154"/>
      <c r="P34" s="154"/>
      <c r="Q34" s="154"/>
      <c r="R34" s="156"/>
      <c r="S34" s="156"/>
    </row>
    <row r="35" hidden="1">
      <c r="A35" s="151">
        <v>34.0</v>
      </c>
      <c r="B35" s="152">
        <v>44950.0</v>
      </c>
      <c r="C35" s="153">
        <f t="shared" si="1"/>
        <v>1</v>
      </c>
      <c r="D35" s="151">
        <f t="shared" si="2"/>
        <v>2023</v>
      </c>
      <c r="E35" s="154"/>
      <c r="F35" s="154"/>
      <c r="G35" s="151" t="s">
        <v>2752</v>
      </c>
      <c r="H35" s="151">
        <v>3043.0</v>
      </c>
      <c r="I35" s="155">
        <v>63599.0</v>
      </c>
      <c r="J35" s="151" t="s">
        <v>2712</v>
      </c>
      <c r="K35" s="151">
        <v>14.0</v>
      </c>
      <c r="L35" s="151" t="s">
        <v>2713</v>
      </c>
      <c r="M35" s="151" t="s">
        <v>2720</v>
      </c>
      <c r="N35" s="154"/>
      <c r="O35" s="154"/>
      <c r="P35" s="154"/>
      <c r="Q35" s="154"/>
      <c r="R35" s="156"/>
      <c r="S35" s="156"/>
    </row>
    <row r="36" hidden="1">
      <c r="A36" s="151">
        <v>35.0</v>
      </c>
      <c r="B36" s="152">
        <v>44950.0</v>
      </c>
      <c r="C36" s="153">
        <f t="shared" si="1"/>
        <v>1</v>
      </c>
      <c r="D36" s="151">
        <f t="shared" si="2"/>
        <v>2023</v>
      </c>
      <c r="E36" s="154"/>
      <c r="F36" s="154"/>
      <c r="G36" s="151" t="s">
        <v>2753</v>
      </c>
      <c r="H36" s="151">
        <v>8706.0</v>
      </c>
      <c r="I36" s="155">
        <v>86973.0</v>
      </c>
      <c r="J36" s="151" t="s">
        <v>2712</v>
      </c>
      <c r="K36" s="151">
        <v>12.0</v>
      </c>
      <c r="L36" s="151" t="s">
        <v>2713</v>
      </c>
      <c r="M36" s="151" t="s">
        <v>2720</v>
      </c>
      <c r="N36" s="154"/>
      <c r="O36" s="154"/>
      <c r="P36" s="154"/>
      <c r="Q36" s="154"/>
      <c r="R36" s="156"/>
      <c r="S36" s="156"/>
    </row>
    <row r="37" hidden="1">
      <c r="A37" s="151">
        <v>36.0</v>
      </c>
      <c r="B37" s="152">
        <v>44950.0</v>
      </c>
      <c r="C37" s="153">
        <f t="shared" si="1"/>
        <v>1</v>
      </c>
      <c r="D37" s="151">
        <f t="shared" si="2"/>
        <v>2023</v>
      </c>
      <c r="E37" s="154"/>
      <c r="F37" s="154"/>
      <c r="G37" s="151" t="s">
        <v>2754</v>
      </c>
      <c r="H37" s="151">
        <v>18840.0</v>
      </c>
      <c r="I37" s="155">
        <v>25164.0</v>
      </c>
      <c r="J37" s="151" t="s">
        <v>2712</v>
      </c>
      <c r="K37" s="151">
        <v>2.0</v>
      </c>
      <c r="L37" s="151" t="s">
        <v>2713</v>
      </c>
      <c r="M37" s="151" t="s">
        <v>2720</v>
      </c>
      <c r="N37" s="154"/>
      <c r="O37" s="154"/>
      <c r="P37" s="154"/>
      <c r="Q37" s="154"/>
      <c r="R37" s="156"/>
      <c r="S37" s="156"/>
    </row>
    <row r="38" hidden="1">
      <c r="A38" s="151">
        <v>37.0</v>
      </c>
      <c r="B38" s="152">
        <v>44950.0</v>
      </c>
      <c r="C38" s="153">
        <f t="shared" si="1"/>
        <v>1</v>
      </c>
      <c r="D38" s="151">
        <f t="shared" si="2"/>
        <v>2023</v>
      </c>
      <c r="E38" s="154"/>
      <c r="F38" s="154"/>
      <c r="G38" s="151" t="s">
        <v>2755</v>
      </c>
      <c r="H38" s="151">
        <v>12280.0</v>
      </c>
      <c r="I38" s="155">
        <v>592380.0</v>
      </c>
      <c r="J38" s="151" t="s">
        <v>2712</v>
      </c>
      <c r="K38" s="151">
        <v>18.0</v>
      </c>
      <c r="L38" s="151" t="s">
        <v>2713</v>
      </c>
      <c r="M38" s="151" t="s">
        <v>2720</v>
      </c>
      <c r="N38" s="154"/>
      <c r="O38" s="154"/>
      <c r="P38" s="154"/>
      <c r="Q38" s="154"/>
      <c r="R38" s="156"/>
      <c r="S38" s="156"/>
    </row>
    <row r="39" hidden="1">
      <c r="A39" s="151">
        <v>38.0</v>
      </c>
      <c r="B39" s="152">
        <v>44950.0</v>
      </c>
      <c r="C39" s="153">
        <f t="shared" si="1"/>
        <v>1</v>
      </c>
      <c r="D39" s="151">
        <f t="shared" si="2"/>
        <v>2023</v>
      </c>
      <c r="E39" s="154"/>
      <c r="F39" s="154"/>
      <c r="G39" s="151" t="s">
        <v>2756</v>
      </c>
      <c r="H39" s="151">
        <v>86954.0</v>
      </c>
      <c r="I39" s="155">
        <v>68406.0</v>
      </c>
      <c r="J39" s="151" t="s">
        <v>2712</v>
      </c>
      <c r="K39" s="151">
        <v>13.0</v>
      </c>
      <c r="L39" s="151" t="s">
        <v>966</v>
      </c>
      <c r="M39" s="151" t="s">
        <v>2720</v>
      </c>
      <c r="N39" s="154"/>
      <c r="O39" s="154"/>
      <c r="P39" s="154"/>
      <c r="Q39" s="154"/>
      <c r="R39" s="156"/>
      <c r="S39" s="156"/>
    </row>
    <row r="40" hidden="1">
      <c r="A40" s="151">
        <v>39.0</v>
      </c>
      <c r="B40" s="152">
        <v>44950.0</v>
      </c>
      <c r="C40" s="153">
        <f t="shared" si="1"/>
        <v>1</v>
      </c>
      <c r="D40" s="151">
        <f t="shared" si="2"/>
        <v>2023</v>
      </c>
      <c r="E40" s="154"/>
      <c r="F40" s="154"/>
      <c r="G40" s="151" t="s">
        <v>2757</v>
      </c>
      <c r="H40" s="151">
        <v>53042.0</v>
      </c>
      <c r="I40" s="155">
        <v>540576.0</v>
      </c>
      <c r="J40" s="151" t="s">
        <v>2712</v>
      </c>
      <c r="K40" s="151">
        <v>34.0</v>
      </c>
      <c r="L40" s="151" t="s">
        <v>2713</v>
      </c>
      <c r="M40" s="151" t="s">
        <v>2720</v>
      </c>
      <c r="N40" s="154"/>
      <c r="O40" s="154"/>
      <c r="P40" s="154"/>
      <c r="Q40" s="154"/>
      <c r="R40" s="156"/>
      <c r="S40" s="156"/>
    </row>
    <row r="41" hidden="1">
      <c r="A41" s="151">
        <v>40.0</v>
      </c>
      <c r="B41" s="152">
        <v>44950.0</v>
      </c>
      <c r="C41" s="153">
        <f t="shared" si="1"/>
        <v>1</v>
      </c>
      <c r="D41" s="151">
        <f t="shared" si="2"/>
        <v>2023</v>
      </c>
      <c r="E41" s="154"/>
      <c r="F41" s="154"/>
      <c r="G41" s="151" t="s">
        <v>2758</v>
      </c>
      <c r="H41" s="151">
        <v>317814.0</v>
      </c>
      <c r="I41" s="155">
        <v>860997.0</v>
      </c>
      <c r="J41" s="151" t="s">
        <v>2728</v>
      </c>
      <c r="K41" s="151">
        <v>33.0</v>
      </c>
      <c r="L41" s="151" t="s">
        <v>2759</v>
      </c>
      <c r="M41" s="151" t="s">
        <v>2730</v>
      </c>
      <c r="N41" s="154"/>
      <c r="O41" s="154"/>
      <c r="P41" s="154"/>
      <c r="Q41" s="154"/>
      <c r="R41" s="156"/>
      <c r="S41" s="156"/>
    </row>
    <row r="42" hidden="1">
      <c r="A42" s="151">
        <v>41.0</v>
      </c>
      <c r="B42" s="152">
        <v>44950.0</v>
      </c>
      <c r="C42" s="153">
        <f t="shared" si="1"/>
        <v>1</v>
      </c>
      <c r="D42" s="151">
        <f t="shared" si="2"/>
        <v>2023</v>
      </c>
      <c r="E42" s="154"/>
      <c r="F42" s="154"/>
      <c r="G42" s="151" t="s">
        <v>2760</v>
      </c>
      <c r="H42" s="151">
        <v>78915.0</v>
      </c>
      <c r="I42" s="155">
        <v>292711.0</v>
      </c>
      <c r="J42" s="151" t="s">
        <v>2728</v>
      </c>
      <c r="K42" s="151">
        <v>4.0</v>
      </c>
      <c r="L42" s="157" t="s">
        <v>2761</v>
      </c>
      <c r="M42" s="151" t="s">
        <v>2730</v>
      </c>
      <c r="N42" s="154"/>
      <c r="O42" s="154"/>
      <c r="P42" s="154"/>
      <c r="Q42" s="154"/>
      <c r="R42" s="156"/>
      <c r="S42" s="156"/>
    </row>
    <row r="43" hidden="1">
      <c r="A43" s="151">
        <v>42.0</v>
      </c>
      <c r="B43" s="152">
        <v>44965.0</v>
      </c>
      <c r="C43" s="153">
        <f t="shared" si="1"/>
        <v>2</v>
      </c>
      <c r="D43" s="151">
        <f t="shared" si="2"/>
        <v>2023</v>
      </c>
      <c r="E43" s="154"/>
      <c r="F43" s="154"/>
      <c r="G43" s="151" t="s">
        <v>2762</v>
      </c>
      <c r="H43" s="151">
        <v>35975.0</v>
      </c>
      <c r="I43" s="155">
        <v>105762.0</v>
      </c>
      <c r="J43" s="151" t="s">
        <v>2728</v>
      </c>
      <c r="K43" s="151">
        <v>7.0</v>
      </c>
      <c r="L43" s="157" t="s">
        <v>2763</v>
      </c>
      <c r="M43" s="151" t="s">
        <v>2749</v>
      </c>
      <c r="N43" s="154"/>
      <c r="O43" s="154"/>
      <c r="P43" s="154"/>
      <c r="Q43" s="154"/>
      <c r="R43" s="156"/>
      <c r="S43" s="156"/>
    </row>
    <row r="44" hidden="1">
      <c r="A44" s="151">
        <v>43.0</v>
      </c>
      <c r="B44" s="152">
        <v>44928.0</v>
      </c>
      <c r="C44" s="153">
        <f t="shared" si="1"/>
        <v>1</v>
      </c>
      <c r="D44" s="151">
        <f t="shared" si="2"/>
        <v>2023</v>
      </c>
      <c r="E44" s="154"/>
      <c r="F44" s="154"/>
      <c r="G44" s="151" t="s">
        <v>2764</v>
      </c>
      <c r="H44" s="151">
        <v>68419.0</v>
      </c>
      <c r="I44" s="155">
        <v>708732.0</v>
      </c>
      <c r="J44" s="151" t="s">
        <v>2728</v>
      </c>
      <c r="K44" s="151">
        <v>29.0</v>
      </c>
      <c r="L44" s="157" t="s">
        <v>81</v>
      </c>
      <c r="M44" s="151" t="s">
        <v>2720</v>
      </c>
      <c r="N44" s="154"/>
      <c r="O44" s="154"/>
      <c r="P44" s="154"/>
      <c r="Q44" s="154"/>
      <c r="R44" s="156"/>
      <c r="S44" s="156"/>
    </row>
    <row r="45" hidden="1">
      <c r="A45" s="151">
        <v>44.0</v>
      </c>
      <c r="B45" s="152">
        <v>44928.0</v>
      </c>
      <c r="C45" s="153">
        <f t="shared" si="1"/>
        <v>1</v>
      </c>
      <c r="D45" s="151">
        <f t="shared" si="2"/>
        <v>2023</v>
      </c>
      <c r="E45" s="154"/>
      <c r="F45" s="154"/>
      <c r="G45" s="151" t="s">
        <v>2765</v>
      </c>
      <c r="H45" s="151">
        <v>124670.0</v>
      </c>
      <c r="I45" s="155">
        <v>2005763.0</v>
      </c>
      <c r="J45" s="151" t="s">
        <v>2728</v>
      </c>
      <c r="K45" s="151">
        <v>21.0</v>
      </c>
      <c r="L45" s="157" t="s">
        <v>81</v>
      </c>
      <c r="M45" s="151" t="s">
        <v>38</v>
      </c>
      <c r="N45" s="154"/>
      <c r="O45" s="154"/>
      <c r="P45" s="154"/>
      <c r="Q45" s="154"/>
      <c r="R45" s="156"/>
      <c r="S45" s="156"/>
    </row>
    <row r="46" hidden="1">
      <c r="A46" s="151">
        <v>45.0</v>
      </c>
      <c r="B46" s="152">
        <v>44962.0</v>
      </c>
      <c r="C46" s="153">
        <f t="shared" si="1"/>
        <v>2</v>
      </c>
      <c r="D46" s="151">
        <f t="shared" si="2"/>
        <v>2023</v>
      </c>
      <c r="E46" s="154"/>
      <c r="F46" s="154"/>
      <c r="G46" s="151" t="s">
        <v>2766</v>
      </c>
      <c r="H46" s="151">
        <v>29100.0</v>
      </c>
      <c r="I46" s="155">
        <v>490785.0</v>
      </c>
      <c r="J46" s="151" t="s">
        <v>2728</v>
      </c>
      <c r="K46" s="151">
        <v>11.0</v>
      </c>
      <c r="L46" s="157" t="s">
        <v>81</v>
      </c>
      <c r="M46" s="151" t="s">
        <v>2730</v>
      </c>
      <c r="N46" s="154"/>
      <c r="O46" s="154"/>
      <c r="P46" s="154"/>
      <c r="Q46" s="154"/>
      <c r="R46" s="156"/>
      <c r="S46" s="156"/>
    </row>
    <row r="47" hidden="1">
      <c r="A47" s="151">
        <v>46.0</v>
      </c>
      <c r="B47" s="152">
        <v>44965.0</v>
      </c>
      <c r="C47" s="153">
        <f t="shared" si="1"/>
        <v>2</v>
      </c>
      <c r="D47" s="151">
        <f t="shared" si="2"/>
        <v>2023</v>
      </c>
      <c r="E47" s="154"/>
      <c r="F47" s="154"/>
      <c r="G47" s="151" t="s">
        <v>2767</v>
      </c>
      <c r="H47" s="151">
        <v>86999.0</v>
      </c>
      <c r="I47" s="155">
        <v>363516.0</v>
      </c>
      <c r="J47" s="151" t="s">
        <v>2728</v>
      </c>
      <c r="K47" s="151">
        <v>25.0</v>
      </c>
      <c r="L47" s="157" t="s">
        <v>2768</v>
      </c>
      <c r="M47" s="151" t="s">
        <v>2749</v>
      </c>
      <c r="N47" s="154"/>
      <c r="O47" s="154"/>
      <c r="P47" s="154"/>
      <c r="Q47" s="154"/>
      <c r="R47" s="156"/>
      <c r="S47" s="156"/>
    </row>
    <row r="48" hidden="1">
      <c r="A48" s="151">
        <v>47.0</v>
      </c>
      <c r="B48" s="152">
        <v>44972.0</v>
      </c>
      <c r="C48" s="153">
        <f t="shared" si="1"/>
        <v>2</v>
      </c>
      <c r="D48" s="151">
        <f t="shared" si="2"/>
        <v>2023</v>
      </c>
      <c r="E48" s="154"/>
      <c r="F48" s="154"/>
      <c r="G48" s="151" t="s">
        <v>2769</v>
      </c>
      <c r="H48" s="151">
        <v>99649.0</v>
      </c>
      <c r="I48" s="155">
        <v>412973.0</v>
      </c>
      <c r="J48" s="151" t="s">
        <v>2710</v>
      </c>
      <c r="K48" s="151">
        <v>49.0</v>
      </c>
      <c r="L48" s="157" t="s">
        <v>473</v>
      </c>
      <c r="M48" s="151" t="s">
        <v>38</v>
      </c>
      <c r="N48" s="154"/>
      <c r="O48" s="154"/>
      <c r="P48" s="154"/>
      <c r="Q48" s="154"/>
      <c r="R48" s="156"/>
      <c r="S48" s="156"/>
    </row>
    <row r="49" hidden="1">
      <c r="A49" s="151">
        <v>48.0</v>
      </c>
      <c r="B49" s="152">
        <v>44972.0</v>
      </c>
      <c r="C49" s="153">
        <f t="shared" si="1"/>
        <v>2</v>
      </c>
      <c r="D49" s="151">
        <f t="shared" si="2"/>
        <v>2023</v>
      </c>
      <c r="E49" s="154"/>
      <c r="F49" s="154"/>
      <c r="G49" s="151" t="s">
        <v>2770</v>
      </c>
      <c r="H49" s="151">
        <v>540.0</v>
      </c>
      <c r="I49" s="155">
        <v>75030.0</v>
      </c>
      <c r="J49" s="151" t="s">
        <v>2710</v>
      </c>
      <c r="K49" s="151">
        <v>21.0</v>
      </c>
      <c r="L49" s="151" t="s">
        <v>473</v>
      </c>
      <c r="M49" s="151" t="s">
        <v>38</v>
      </c>
      <c r="N49" s="154"/>
      <c r="O49" s="154"/>
      <c r="P49" s="154"/>
      <c r="Q49" s="154"/>
      <c r="R49" s="156"/>
      <c r="S49" s="156"/>
    </row>
    <row r="50">
      <c r="A50" s="151">
        <v>49.0</v>
      </c>
      <c r="B50" s="152">
        <v>44978.0</v>
      </c>
      <c r="C50" s="153">
        <f t="shared" si="1"/>
        <v>2</v>
      </c>
      <c r="D50" s="151">
        <f t="shared" si="2"/>
        <v>2023</v>
      </c>
      <c r="E50" s="154"/>
      <c r="F50" s="154"/>
      <c r="G50" s="151" t="s">
        <v>2771</v>
      </c>
      <c r="H50" s="151">
        <v>20794.0</v>
      </c>
      <c r="I50" s="155">
        <v>405306.0</v>
      </c>
      <c r="J50" s="151" t="s">
        <v>2728</v>
      </c>
      <c r="K50" s="151">
        <v>36.0</v>
      </c>
      <c r="L50" s="157" t="s">
        <v>26</v>
      </c>
      <c r="M50" s="151" t="s">
        <v>2730</v>
      </c>
      <c r="N50" s="154"/>
      <c r="O50" s="154"/>
      <c r="P50" s="154"/>
      <c r="Q50" s="154"/>
      <c r="R50" s="156"/>
      <c r="S50" s="156"/>
    </row>
    <row r="51" hidden="1">
      <c r="A51" s="151">
        <v>50.0</v>
      </c>
      <c r="B51" s="152">
        <v>44997.0</v>
      </c>
      <c r="C51" s="153">
        <f t="shared" si="1"/>
        <v>3</v>
      </c>
      <c r="D51" s="151">
        <f t="shared" si="2"/>
        <v>2023</v>
      </c>
      <c r="E51" s="154"/>
      <c r="F51" s="154"/>
      <c r="G51" s="151" t="s">
        <v>2772</v>
      </c>
      <c r="H51" s="151">
        <v>156221.0</v>
      </c>
      <c r="I51" s="155">
        <v>678899.0</v>
      </c>
      <c r="J51" s="151" t="s">
        <v>2710</v>
      </c>
      <c r="K51" s="151">
        <v>62.0</v>
      </c>
      <c r="L51" s="157" t="s">
        <v>473</v>
      </c>
      <c r="M51" s="151" t="s">
        <v>38</v>
      </c>
      <c r="N51" s="154"/>
      <c r="O51" s="154"/>
      <c r="P51" s="154"/>
      <c r="Q51" s="154"/>
      <c r="R51" s="156"/>
      <c r="S51" s="156"/>
    </row>
    <row r="52" hidden="1">
      <c r="A52" s="151">
        <v>51.0</v>
      </c>
      <c r="B52" s="152">
        <v>44962.0</v>
      </c>
      <c r="C52" s="153">
        <v>5.0</v>
      </c>
      <c r="D52" s="151">
        <f t="shared" si="2"/>
        <v>2023</v>
      </c>
      <c r="E52" s="154"/>
      <c r="F52" s="154"/>
      <c r="G52" s="151" t="s">
        <v>2773</v>
      </c>
      <c r="H52" s="154"/>
      <c r="I52" s="155">
        <v>288000.0</v>
      </c>
      <c r="J52" s="151" t="s">
        <v>2712</v>
      </c>
      <c r="K52" s="154"/>
      <c r="L52" s="157" t="s">
        <v>2774</v>
      </c>
      <c r="M52" s="151" t="s">
        <v>38</v>
      </c>
      <c r="N52" s="154"/>
      <c r="O52" s="154"/>
      <c r="P52" s="151" t="s">
        <v>2775</v>
      </c>
      <c r="Q52" s="154"/>
      <c r="R52" s="156"/>
      <c r="S52" s="156"/>
    </row>
    <row r="53" hidden="1">
      <c r="A53" s="151">
        <v>52.0</v>
      </c>
      <c r="B53" s="152">
        <v>45006.0</v>
      </c>
      <c r="C53" s="153">
        <f t="shared" ref="C53:C58" si="3">month(B53)</f>
        <v>3</v>
      </c>
      <c r="D53" s="151">
        <f t="shared" si="2"/>
        <v>2023</v>
      </c>
      <c r="E53" s="154"/>
      <c r="F53" s="154"/>
      <c r="G53" s="151" t="s">
        <v>2776</v>
      </c>
      <c r="H53" s="151">
        <v>172802.0</v>
      </c>
      <c r="I53" s="155">
        <v>448673.0</v>
      </c>
      <c r="J53" s="151" t="s">
        <v>2728</v>
      </c>
      <c r="K53" s="151">
        <v>21.0</v>
      </c>
      <c r="L53" s="151" t="s">
        <v>2759</v>
      </c>
      <c r="M53" s="151" t="s">
        <v>2730</v>
      </c>
      <c r="N53" s="154"/>
      <c r="O53" s="154"/>
      <c r="P53" s="154"/>
      <c r="Q53" s="154"/>
      <c r="R53" s="156"/>
      <c r="S53" s="156"/>
    </row>
    <row r="54" hidden="1">
      <c r="A54" s="151">
        <v>53.0</v>
      </c>
      <c r="B54" s="152">
        <v>45022.0</v>
      </c>
      <c r="C54" s="153">
        <f t="shared" si="3"/>
        <v>4</v>
      </c>
      <c r="D54" s="151">
        <f t="shared" si="2"/>
        <v>2023</v>
      </c>
      <c r="E54" s="154"/>
      <c r="F54" s="154"/>
      <c r="G54" s="151" t="s">
        <v>2777</v>
      </c>
      <c r="H54" s="151">
        <v>82350.0</v>
      </c>
      <c r="I54" s="155">
        <v>315770.0</v>
      </c>
      <c r="J54" s="151" t="s">
        <v>2710</v>
      </c>
      <c r="K54" s="151">
        <v>42.0</v>
      </c>
      <c r="L54" s="157" t="s">
        <v>473</v>
      </c>
      <c r="M54" s="151" t="s">
        <v>38</v>
      </c>
      <c r="N54" s="154"/>
      <c r="O54" s="154"/>
      <c r="P54" s="154"/>
      <c r="Q54" s="154"/>
      <c r="R54" s="156"/>
      <c r="S54" s="156"/>
    </row>
    <row r="55" hidden="1">
      <c r="A55" s="151">
        <v>54.0</v>
      </c>
      <c r="B55" s="152">
        <v>45025.0</v>
      </c>
      <c r="C55" s="153">
        <f t="shared" si="3"/>
        <v>4</v>
      </c>
      <c r="D55" s="151">
        <v>2023.0</v>
      </c>
      <c r="E55" s="154"/>
      <c r="F55" s="154"/>
      <c r="G55" s="151" t="s">
        <v>2778</v>
      </c>
      <c r="H55" s="151">
        <v>38600.0</v>
      </c>
      <c r="I55" s="155">
        <v>1297875.0</v>
      </c>
      <c r="J55" s="151" t="s">
        <v>2712</v>
      </c>
      <c r="K55" s="151">
        <v>58.0</v>
      </c>
      <c r="L55" s="157" t="s">
        <v>2774</v>
      </c>
      <c r="M55" s="151" t="s">
        <v>2749</v>
      </c>
      <c r="N55" s="154"/>
      <c r="O55" s="154"/>
      <c r="P55" s="154"/>
      <c r="Q55" s="154"/>
      <c r="R55" s="156"/>
      <c r="S55" s="156"/>
    </row>
    <row r="56" hidden="1">
      <c r="A56" s="151">
        <v>55.0</v>
      </c>
      <c r="B56" s="152">
        <v>45046.0</v>
      </c>
      <c r="C56" s="153">
        <f t="shared" si="3"/>
        <v>4</v>
      </c>
      <c r="D56" s="151">
        <v>2023.0</v>
      </c>
      <c r="E56" s="154"/>
      <c r="F56" s="154"/>
      <c r="G56" s="151" t="s">
        <v>2779</v>
      </c>
      <c r="H56" s="151">
        <v>8400.0</v>
      </c>
      <c r="I56" s="155">
        <v>22873.0</v>
      </c>
      <c r="J56" s="151" t="s">
        <v>2728</v>
      </c>
      <c r="K56" s="151">
        <v>6.0</v>
      </c>
      <c r="L56" s="151" t="s">
        <v>2780</v>
      </c>
      <c r="M56" s="151" t="s">
        <v>2781</v>
      </c>
      <c r="N56" s="154"/>
      <c r="O56" s="154"/>
      <c r="P56" s="154"/>
      <c r="Q56" s="154"/>
      <c r="R56" s="156"/>
      <c r="S56" s="156"/>
    </row>
    <row r="57" hidden="1">
      <c r="A57" s="151">
        <v>56.0</v>
      </c>
      <c r="B57" s="152">
        <v>45054.0</v>
      </c>
      <c r="C57" s="153">
        <f t="shared" si="3"/>
        <v>5</v>
      </c>
      <c r="D57" s="151">
        <v>2023.0</v>
      </c>
      <c r="E57" s="154"/>
      <c r="F57" s="154"/>
      <c r="G57" s="151" t="s">
        <v>2782</v>
      </c>
      <c r="H57" s="151">
        <v>600.0</v>
      </c>
      <c r="I57" s="155">
        <v>24768.0</v>
      </c>
      <c r="J57" s="151" t="s">
        <v>2712</v>
      </c>
      <c r="K57" s="151">
        <v>8.0</v>
      </c>
      <c r="L57" s="151" t="s">
        <v>2713</v>
      </c>
      <c r="M57" s="151" t="s">
        <v>38</v>
      </c>
      <c r="N57" s="154"/>
      <c r="O57" s="154"/>
      <c r="P57" s="151" t="s">
        <v>2783</v>
      </c>
      <c r="Q57" s="154"/>
      <c r="R57" s="156"/>
      <c r="S57" s="156"/>
    </row>
    <row r="58" hidden="1">
      <c r="A58" s="151">
        <v>57.0</v>
      </c>
      <c r="B58" s="152">
        <v>45069.0</v>
      </c>
      <c r="C58" s="153">
        <f t="shared" si="3"/>
        <v>5</v>
      </c>
      <c r="D58" s="151">
        <v>2023.0</v>
      </c>
      <c r="E58" s="154"/>
      <c r="F58" s="154"/>
      <c r="G58" s="151" t="s">
        <v>2784</v>
      </c>
      <c r="H58" s="151">
        <v>6050.0</v>
      </c>
      <c r="I58" s="155">
        <v>48971.0</v>
      </c>
      <c r="J58" s="151" t="s">
        <v>2728</v>
      </c>
      <c r="K58" s="151">
        <v>10.0</v>
      </c>
      <c r="L58" s="157" t="s">
        <v>2785</v>
      </c>
      <c r="M58" s="151" t="s">
        <v>2781</v>
      </c>
      <c r="N58" s="154"/>
      <c r="O58" s="154"/>
      <c r="P58" s="154"/>
      <c r="Q58" s="154"/>
      <c r="R58" s="156"/>
      <c r="S58" s="156"/>
    </row>
    <row r="59" hidden="1">
      <c r="A59" s="151">
        <v>58.0</v>
      </c>
      <c r="B59" s="152">
        <v>45084.0</v>
      </c>
      <c r="C59" s="153">
        <v>6.0</v>
      </c>
      <c r="D59" s="151">
        <v>2023.0</v>
      </c>
      <c r="E59" s="154"/>
      <c r="F59" s="154"/>
      <c r="G59" s="151" t="s">
        <v>2786</v>
      </c>
      <c r="H59" s="151">
        <v>45870.0</v>
      </c>
      <c r="I59" s="155">
        <v>72609.1</v>
      </c>
      <c r="J59" s="151" t="s">
        <v>2728</v>
      </c>
      <c r="K59" s="151">
        <v>35.0</v>
      </c>
      <c r="L59" s="151" t="s">
        <v>2787</v>
      </c>
      <c r="M59" s="151" t="s">
        <v>38</v>
      </c>
      <c r="N59" s="154"/>
      <c r="O59" s="154"/>
      <c r="P59" s="151" t="s">
        <v>2775</v>
      </c>
      <c r="Q59" s="154"/>
      <c r="R59" s="156"/>
      <c r="S59" s="156"/>
    </row>
    <row r="60" hidden="1">
      <c r="A60" s="151">
        <v>59.0</v>
      </c>
      <c r="B60" s="152">
        <v>45082.0</v>
      </c>
      <c r="C60" s="153">
        <f t="shared" ref="C60:C64" si="4">month(B60)</f>
        <v>6</v>
      </c>
      <c r="D60" s="151">
        <v>2023.0</v>
      </c>
      <c r="E60" s="154"/>
      <c r="F60" s="154"/>
      <c r="G60" s="151" t="s">
        <v>2788</v>
      </c>
      <c r="H60" s="151">
        <v>58500.0</v>
      </c>
      <c r="I60" s="155">
        <v>164288.0</v>
      </c>
      <c r="J60" s="151" t="s">
        <v>2710</v>
      </c>
      <c r="K60" s="151">
        <v>6.0</v>
      </c>
      <c r="L60" s="157" t="s">
        <v>473</v>
      </c>
      <c r="M60" s="151" t="s">
        <v>2781</v>
      </c>
      <c r="N60" s="154"/>
      <c r="O60" s="154"/>
      <c r="P60" s="154"/>
      <c r="Q60" s="154"/>
      <c r="R60" s="156"/>
      <c r="S60" s="156"/>
    </row>
    <row r="61" hidden="1">
      <c r="A61" s="151">
        <v>60.0</v>
      </c>
      <c r="B61" s="152">
        <v>45085.0</v>
      </c>
      <c r="C61" s="153">
        <f t="shared" si="4"/>
        <v>6</v>
      </c>
      <c r="D61" s="151">
        <v>2023.0</v>
      </c>
      <c r="E61" s="154"/>
      <c r="F61" s="154"/>
      <c r="G61" s="151" t="s">
        <v>2789</v>
      </c>
      <c r="H61" s="151">
        <v>7879.0</v>
      </c>
      <c r="I61" s="155">
        <v>58416.0</v>
      </c>
      <c r="J61" s="151" t="s">
        <v>2728</v>
      </c>
      <c r="K61" s="151">
        <v>11.0</v>
      </c>
      <c r="L61" s="151" t="s">
        <v>59</v>
      </c>
      <c r="M61" s="151" t="s">
        <v>38</v>
      </c>
      <c r="N61" s="154"/>
      <c r="O61" s="154"/>
      <c r="P61" s="154"/>
      <c r="Q61" s="154"/>
      <c r="R61" s="156"/>
      <c r="S61" s="156"/>
    </row>
    <row r="62">
      <c r="A62" s="151">
        <v>61.0</v>
      </c>
      <c r="B62" s="152">
        <v>45085.0</v>
      </c>
      <c r="C62" s="153">
        <f t="shared" si="4"/>
        <v>6</v>
      </c>
      <c r="D62" s="151">
        <v>2023.0</v>
      </c>
      <c r="E62" s="154"/>
      <c r="F62" s="154"/>
      <c r="G62" s="151" t="s">
        <v>2790</v>
      </c>
      <c r="H62" s="151">
        <v>8100.0</v>
      </c>
      <c r="I62" s="155">
        <v>101106.0</v>
      </c>
      <c r="J62" s="151" t="s">
        <v>2728</v>
      </c>
      <c r="K62" s="151">
        <v>11.0</v>
      </c>
      <c r="L62" s="151" t="s">
        <v>26</v>
      </c>
      <c r="M62" s="151" t="s">
        <v>38</v>
      </c>
      <c r="N62" s="154"/>
      <c r="O62" s="154"/>
      <c r="P62" s="154"/>
      <c r="Q62" s="154"/>
      <c r="R62" s="156"/>
      <c r="S62" s="156"/>
    </row>
    <row r="63">
      <c r="A63" s="151">
        <v>62.0</v>
      </c>
      <c r="B63" s="152">
        <v>45085.0</v>
      </c>
      <c r="C63" s="153">
        <f t="shared" si="4"/>
        <v>6</v>
      </c>
      <c r="D63" s="151">
        <v>2023.0</v>
      </c>
      <c r="E63" s="154"/>
      <c r="F63" s="154"/>
      <c r="G63" s="151" t="s">
        <v>2791</v>
      </c>
      <c r="H63" s="151">
        <v>21000.0</v>
      </c>
      <c r="I63" s="155">
        <v>134005.0</v>
      </c>
      <c r="J63" s="151" t="s">
        <v>2728</v>
      </c>
      <c r="K63" s="151">
        <v>6.0</v>
      </c>
      <c r="L63" s="151" t="s">
        <v>26</v>
      </c>
      <c r="M63" s="151" t="s">
        <v>38</v>
      </c>
      <c r="N63" s="154"/>
      <c r="O63" s="154"/>
      <c r="P63" s="154"/>
      <c r="Q63" s="154"/>
      <c r="R63" s="156"/>
      <c r="S63" s="156"/>
    </row>
    <row r="64" hidden="1">
      <c r="A64" s="151">
        <v>63.0</v>
      </c>
      <c r="B64" s="152">
        <v>45085.0</v>
      </c>
      <c r="C64" s="153">
        <f t="shared" si="4"/>
        <v>6</v>
      </c>
      <c r="D64" s="151">
        <v>2023.0</v>
      </c>
      <c r="E64" s="154"/>
      <c r="F64" s="154"/>
      <c r="G64" s="151" t="s">
        <v>2792</v>
      </c>
      <c r="H64" s="151">
        <v>32400.0</v>
      </c>
      <c r="I64" s="155">
        <v>81065.0</v>
      </c>
      <c r="J64" s="151" t="s">
        <v>2712</v>
      </c>
      <c r="K64" s="151">
        <v>10.0</v>
      </c>
      <c r="L64" s="151" t="s">
        <v>2793</v>
      </c>
      <c r="M64" s="151" t="s">
        <v>2781</v>
      </c>
      <c r="N64" s="154"/>
      <c r="O64" s="154"/>
      <c r="P64" s="154"/>
      <c r="Q64" s="154"/>
      <c r="R64" s="156"/>
      <c r="S64" s="156"/>
    </row>
    <row r="65" hidden="1">
      <c r="A65" s="151">
        <v>64.0</v>
      </c>
      <c r="B65" s="152">
        <v>45089.0</v>
      </c>
      <c r="C65" s="153">
        <v>6.0</v>
      </c>
      <c r="D65" s="151">
        <v>2023.0</v>
      </c>
      <c r="E65" s="154"/>
      <c r="F65" s="154"/>
      <c r="G65" s="151" t="s">
        <v>2794</v>
      </c>
      <c r="H65" s="151">
        <v>26412.0</v>
      </c>
      <c r="I65" s="155">
        <v>175852.0</v>
      </c>
      <c r="J65" s="151" t="s">
        <v>2710</v>
      </c>
      <c r="K65" s="151">
        <v>48.0</v>
      </c>
      <c r="L65" s="157" t="s">
        <v>473</v>
      </c>
      <c r="M65" s="151" t="s">
        <v>2781</v>
      </c>
      <c r="N65" s="154"/>
      <c r="O65" s="154"/>
      <c r="P65" s="154"/>
      <c r="Q65" s="154"/>
      <c r="R65" s="156"/>
      <c r="S65" s="156"/>
    </row>
    <row r="66" hidden="1">
      <c r="A66" s="151">
        <v>65.0</v>
      </c>
      <c r="B66" s="152">
        <v>45098.0</v>
      </c>
      <c r="C66" s="151">
        <v>6.0</v>
      </c>
      <c r="D66" s="151">
        <v>2023.0</v>
      </c>
      <c r="E66" s="154"/>
      <c r="F66" s="154"/>
      <c r="G66" s="151" t="s">
        <v>2795</v>
      </c>
      <c r="H66" s="151">
        <v>111168.0</v>
      </c>
      <c r="I66" s="155">
        <v>151744.32</v>
      </c>
      <c r="J66" s="151" t="s">
        <v>2712</v>
      </c>
      <c r="K66" s="151">
        <v>9.0</v>
      </c>
      <c r="L66" s="151" t="s">
        <v>89</v>
      </c>
      <c r="M66" s="151" t="s">
        <v>38</v>
      </c>
      <c r="N66" s="154"/>
      <c r="O66" s="154"/>
      <c r="P66" s="151" t="s">
        <v>2775</v>
      </c>
      <c r="Q66" s="154"/>
      <c r="R66" s="156"/>
      <c r="S66" s="156"/>
    </row>
    <row r="67" hidden="1">
      <c r="A67" s="151">
        <v>66.0</v>
      </c>
      <c r="B67" s="152">
        <v>45098.0</v>
      </c>
      <c r="C67" s="151">
        <v>6.0</v>
      </c>
      <c r="D67" s="151">
        <v>2023.0</v>
      </c>
      <c r="E67" s="154"/>
      <c r="F67" s="154"/>
      <c r="G67" s="151" t="s">
        <v>2796</v>
      </c>
      <c r="H67" s="151">
        <v>15686.0</v>
      </c>
      <c r="I67" s="155">
        <v>68031.0</v>
      </c>
      <c r="J67" s="151" t="s">
        <v>2712</v>
      </c>
      <c r="K67" s="151">
        <v>14.0</v>
      </c>
      <c r="L67" s="151" t="s">
        <v>2797</v>
      </c>
      <c r="M67" s="151" t="s">
        <v>2781</v>
      </c>
      <c r="N67" s="154"/>
      <c r="O67" s="154"/>
      <c r="P67" s="154"/>
      <c r="Q67" s="154"/>
      <c r="R67" s="156"/>
      <c r="S67" s="156"/>
    </row>
    <row r="68" hidden="1">
      <c r="A68" s="151">
        <v>67.0</v>
      </c>
      <c r="B68" s="152">
        <v>45102.0</v>
      </c>
      <c r="C68" s="151">
        <v>6.0</v>
      </c>
      <c r="D68" s="151">
        <v>2023.0</v>
      </c>
      <c r="E68" s="154"/>
      <c r="F68" s="154"/>
      <c r="G68" s="151" t="s">
        <v>2798</v>
      </c>
      <c r="H68" s="151">
        <v>85340.0</v>
      </c>
      <c r="I68" s="155">
        <v>393460.0</v>
      </c>
      <c r="J68" s="151" t="s">
        <v>2728</v>
      </c>
      <c r="K68" s="151">
        <v>94.0</v>
      </c>
      <c r="L68" s="151" t="s">
        <v>2799</v>
      </c>
      <c r="M68" s="151" t="s">
        <v>38</v>
      </c>
      <c r="N68" s="154"/>
      <c r="O68" s="154"/>
      <c r="P68" s="151" t="s">
        <v>2800</v>
      </c>
      <c r="Q68" s="154"/>
      <c r="R68" s="156"/>
      <c r="S68" s="156"/>
    </row>
    <row r="69" hidden="1">
      <c r="A69" s="151">
        <v>68.0</v>
      </c>
      <c r="B69" s="152">
        <v>45102.0</v>
      </c>
      <c r="C69" s="151">
        <v>6.0</v>
      </c>
      <c r="D69" s="151">
        <v>2023.0</v>
      </c>
      <c r="E69" s="154"/>
      <c r="F69" s="154"/>
      <c r="G69" s="151" t="s">
        <v>2801</v>
      </c>
      <c r="H69" s="151">
        <v>58500.0</v>
      </c>
      <c r="I69" s="155">
        <v>164288.0</v>
      </c>
      <c r="J69" s="151" t="s">
        <v>2710</v>
      </c>
      <c r="K69" s="151">
        <v>6.0</v>
      </c>
      <c r="L69" s="157" t="s">
        <v>473</v>
      </c>
      <c r="M69" s="151" t="s">
        <v>2781</v>
      </c>
      <c r="N69" s="154"/>
      <c r="O69" s="154"/>
      <c r="P69" s="154"/>
      <c r="Q69" s="154"/>
      <c r="R69" s="156"/>
      <c r="S69" s="156"/>
    </row>
    <row r="70" hidden="1">
      <c r="A70" s="151">
        <v>69.0</v>
      </c>
      <c r="B70" s="152">
        <v>45102.0</v>
      </c>
      <c r="C70" s="151">
        <v>6.0</v>
      </c>
      <c r="D70" s="151">
        <v>2023.0</v>
      </c>
      <c r="E70" s="154"/>
      <c r="F70" s="154"/>
      <c r="G70" s="151" t="s">
        <v>2802</v>
      </c>
      <c r="H70" s="154"/>
      <c r="I70" s="158"/>
      <c r="J70" s="151" t="s">
        <v>2728</v>
      </c>
      <c r="K70" s="154"/>
      <c r="L70" s="151" t="s">
        <v>2799</v>
      </c>
      <c r="M70" s="151" t="s">
        <v>38</v>
      </c>
      <c r="N70" s="154"/>
      <c r="O70" s="154"/>
      <c r="P70" s="151" t="s">
        <v>2803</v>
      </c>
      <c r="Q70" s="154"/>
      <c r="R70" s="156"/>
      <c r="S70" s="156"/>
    </row>
    <row r="71" hidden="1">
      <c r="A71" s="151">
        <v>70.0</v>
      </c>
      <c r="B71" s="152">
        <v>45102.0</v>
      </c>
      <c r="C71" s="151">
        <v>6.0</v>
      </c>
      <c r="D71" s="151">
        <v>2023.0</v>
      </c>
      <c r="E71" s="154"/>
      <c r="F71" s="154"/>
      <c r="G71" s="151" t="s">
        <v>2804</v>
      </c>
      <c r="H71" s="151">
        <v>3000.0</v>
      </c>
      <c r="I71" s="155">
        <v>34894.0</v>
      </c>
      <c r="J71" s="151" t="s">
        <v>2712</v>
      </c>
      <c r="K71" s="151">
        <v>15.0</v>
      </c>
      <c r="L71" s="157" t="s">
        <v>2805</v>
      </c>
      <c r="M71" s="151" t="s">
        <v>2781</v>
      </c>
      <c r="N71" s="154"/>
      <c r="O71" s="154"/>
      <c r="P71" s="154"/>
      <c r="Q71" s="154"/>
      <c r="R71" s="156"/>
      <c r="S71" s="156"/>
    </row>
    <row r="72" hidden="1">
      <c r="A72" s="151">
        <v>71.0</v>
      </c>
      <c r="B72" s="152">
        <v>45109.0</v>
      </c>
      <c r="C72" s="151">
        <v>7.0</v>
      </c>
      <c r="D72" s="151">
        <v>2023.0</v>
      </c>
      <c r="E72" s="154"/>
      <c r="F72" s="154"/>
      <c r="G72" s="151" t="s">
        <v>2806</v>
      </c>
      <c r="H72" s="151">
        <v>21000.0</v>
      </c>
      <c r="I72" s="155">
        <v>375278.0</v>
      </c>
      <c r="J72" s="151" t="s">
        <v>2728</v>
      </c>
      <c r="K72" s="151">
        <v>12.0</v>
      </c>
      <c r="L72" s="151" t="s">
        <v>81</v>
      </c>
      <c r="M72" s="151" t="s">
        <v>38</v>
      </c>
      <c r="N72" s="154"/>
      <c r="O72" s="154"/>
      <c r="P72" s="151" t="s">
        <v>2783</v>
      </c>
      <c r="Q72" s="154"/>
      <c r="R72" s="156" t="s">
        <v>2807</v>
      </c>
      <c r="S72" s="156"/>
    </row>
    <row r="73">
      <c r="A73" s="151">
        <v>72.0</v>
      </c>
      <c r="B73" s="152">
        <v>45109.0</v>
      </c>
      <c r="C73" s="151">
        <v>7.0</v>
      </c>
      <c r="D73" s="151">
        <v>2023.0</v>
      </c>
      <c r="E73" s="154"/>
      <c r="F73" s="154"/>
      <c r="G73" s="151" t="s">
        <v>2808</v>
      </c>
      <c r="H73" s="151">
        <v>11413.0</v>
      </c>
      <c r="I73" s="155">
        <v>199191.0</v>
      </c>
      <c r="J73" s="151" t="s">
        <v>2728</v>
      </c>
      <c r="K73" s="151">
        <v>10.0</v>
      </c>
      <c r="L73" s="151" t="s">
        <v>26</v>
      </c>
      <c r="M73" s="151" t="s">
        <v>38</v>
      </c>
      <c r="N73" s="154"/>
      <c r="O73" s="154"/>
      <c r="P73" s="154"/>
      <c r="Q73" s="154"/>
      <c r="R73" s="156"/>
      <c r="S73" s="156"/>
    </row>
    <row r="74">
      <c r="A74" s="151">
        <v>73.0</v>
      </c>
      <c r="B74" s="152">
        <v>45109.0</v>
      </c>
      <c r="C74" s="151">
        <v>7.0</v>
      </c>
      <c r="D74" s="151">
        <v>2023.0</v>
      </c>
      <c r="E74" s="154"/>
      <c r="F74" s="154"/>
      <c r="G74" s="151" t="s">
        <v>2809</v>
      </c>
      <c r="H74" s="151">
        <v>17305.0</v>
      </c>
      <c r="I74" s="155">
        <v>309348.0</v>
      </c>
      <c r="J74" s="151" t="s">
        <v>2728</v>
      </c>
      <c r="K74" s="151">
        <v>37.0</v>
      </c>
      <c r="L74" s="151" t="s">
        <v>26</v>
      </c>
      <c r="M74" s="151" t="s">
        <v>38</v>
      </c>
      <c r="N74" s="154"/>
      <c r="O74" s="154"/>
      <c r="P74" s="154"/>
      <c r="Q74" s="154"/>
      <c r="R74" s="156"/>
      <c r="S74" s="156"/>
    </row>
    <row r="75" hidden="1">
      <c r="A75" s="151">
        <v>74.0</v>
      </c>
      <c r="B75" s="151" t="s">
        <v>2810</v>
      </c>
      <c r="C75" s="151">
        <v>7.0</v>
      </c>
      <c r="D75" s="151">
        <v>2023.0</v>
      </c>
      <c r="E75" s="154"/>
      <c r="F75" s="154"/>
      <c r="G75" s="151" t="s">
        <v>2811</v>
      </c>
      <c r="H75" s="151">
        <v>5009.0</v>
      </c>
      <c r="I75" s="155">
        <v>250482.72</v>
      </c>
      <c r="J75" s="151" t="s">
        <v>2712</v>
      </c>
      <c r="K75" s="151">
        <v>49.0</v>
      </c>
      <c r="L75" s="157" t="s">
        <v>2812</v>
      </c>
      <c r="M75" s="151" t="s">
        <v>38</v>
      </c>
      <c r="N75" s="154"/>
      <c r="O75" s="154"/>
      <c r="P75" s="151" t="s">
        <v>2783</v>
      </c>
      <c r="Q75" s="154"/>
      <c r="R75" s="156"/>
      <c r="S75" s="156"/>
    </row>
    <row r="76" hidden="1">
      <c r="A76" s="151">
        <v>75.0</v>
      </c>
      <c r="B76" s="152">
        <v>44934.0</v>
      </c>
      <c r="C76" s="151">
        <v>8.0</v>
      </c>
      <c r="D76" s="151">
        <v>2023.0</v>
      </c>
      <c r="E76" s="154"/>
      <c r="F76" s="154"/>
      <c r="G76" s="151" t="s">
        <v>2813</v>
      </c>
      <c r="H76" s="151">
        <v>9701.0</v>
      </c>
      <c r="I76" s="155">
        <v>290000.0</v>
      </c>
      <c r="J76" s="151" t="s">
        <v>2712</v>
      </c>
      <c r="K76" s="151">
        <v>28.0</v>
      </c>
      <c r="L76" s="157" t="s">
        <v>2814</v>
      </c>
      <c r="M76" s="151" t="s">
        <v>38</v>
      </c>
      <c r="N76" s="154"/>
      <c r="O76" s="154"/>
      <c r="P76" s="151" t="s">
        <v>2775</v>
      </c>
      <c r="Q76" s="151" t="s">
        <v>2815</v>
      </c>
      <c r="R76" s="156"/>
      <c r="S76" s="156"/>
    </row>
    <row r="77" hidden="1">
      <c r="A77" s="151">
        <v>76.0</v>
      </c>
      <c r="B77" s="152">
        <v>44993.0</v>
      </c>
      <c r="C77" s="151">
        <v>8.0</v>
      </c>
      <c r="D77" s="151">
        <v>2023.0</v>
      </c>
      <c r="E77" s="154"/>
      <c r="F77" s="154"/>
      <c r="G77" s="151" t="s">
        <v>2816</v>
      </c>
      <c r="H77" s="151">
        <v>12387.0</v>
      </c>
      <c r="I77" s="155">
        <v>64850.0</v>
      </c>
      <c r="J77" s="151" t="s">
        <v>2710</v>
      </c>
      <c r="K77" s="151">
        <v>20.0</v>
      </c>
      <c r="L77" s="157" t="s">
        <v>473</v>
      </c>
      <c r="M77" s="151" t="s">
        <v>2781</v>
      </c>
      <c r="N77" s="154"/>
      <c r="O77" s="154"/>
      <c r="P77" s="154"/>
      <c r="Q77" s="154"/>
      <c r="R77" s="156"/>
      <c r="S77" s="156"/>
    </row>
    <row r="78" hidden="1">
      <c r="A78" s="151">
        <v>77.0</v>
      </c>
      <c r="B78" s="159"/>
      <c r="C78" s="154"/>
      <c r="D78" s="154"/>
      <c r="E78" s="154"/>
      <c r="F78" s="154"/>
      <c r="G78" s="154"/>
      <c r="H78" s="154"/>
      <c r="I78" s="158"/>
      <c r="J78" s="154"/>
      <c r="K78" s="151">
        <v>3.0</v>
      </c>
      <c r="L78" s="157" t="s">
        <v>2817</v>
      </c>
      <c r="M78" s="151" t="s">
        <v>2781</v>
      </c>
      <c r="N78" s="154"/>
      <c r="O78" s="154"/>
      <c r="P78" s="154"/>
      <c r="Q78" s="154"/>
      <c r="R78" s="156"/>
      <c r="S78" s="156"/>
    </row>
    <row r="79" hidden="1">
      <c r="A79" s="151">
        <v>78.0</v>
      </c>
      <c r="B79" s="152">
        <v>45146.0</v>
      </c>
      <c r="C79" s="151">
        <v>8.0</v>
      </c>
      <c r="D79" s="151">
        <v>2023.0</v>
      </c>
      <c r="E79" s="154"/>
      <c r="F79" s="154"/>
      <c r="G79" s="151" t="s">
        <v>2818</v>
      </c>
      <c r="H79" s="154"/>
      <c r="I79" s="155"/>
      <c r="J79" s="154"/>
      <c r="K79" s="154"/>
      <c r="L79" s="151" t="s">
        <v>59</v>
      </c>
      <c r="M79" s="151" t="s">
        <v>38</v>
      </c>
      <c r="N79" s="154"/>
      <c r="O79" s="154"/>
      <c r="P79" s="151" t="s">
        <v>2800</v>
      </c>
      <c r="Q79" s="154"/>
      <c r="R79" s="156"/>
      <c r="S79" s="156"/>
    </row>
    <row r="80" hidden="1">
      <c r="A80" s="151">
        <v>79.0</v>
      </c>
      <c r="B80" s="151" t="s">
        <v>2819</v>
      </c>
      <c r="C80" s="151">
        <v>8.0</v>
      </c>
      <c r="D80" s="151">
        <v>2023.0</v>
      </c>
      <c r="E80" s="154"/>
      <c r="F80" s="154"/>
      <c r="G80" s="151" t="s">
        <v>2820</v>
      </c>
      <c r="H80" s="151">
        <v>480.0</v>
      </c>
      <c r="I80" s="155">
        <v>18000.0</v>
      </c>
      <c r="J80" s="151" t="s">
        <v>2712</v>
      </c>
      <c r="K80" s="151">
        <v>6.0</v>
      </c>
      <c r="L80" s="151" t="s">
        <v>2812</v>
      </c>
      <c r="M80" s="151" t="s">
        <v>38</v>
      </c>
      <c r="N80" s="154"/>
      <c r="O80" s="154"/>
      <c r="P80" s="151" t="s">
        <v>2800</v>
      </c>
      <c r="Q80" s="154"/>
      <c r="R80" s="156"/>
      <c r="S80" s="156"/>
    </row>
    <row r="81" hidden="1">
      <c r="A81" s="151">
        <v>80.0</v>
      </c>
      <c r="B81" s="160">
        <v>45240.0</v>
      </c>
      <c r="C81" s="151">
        <v>10.0</v>
      </c>
      <c r="D81" s="151">
        <v>2023.0</v>
      </c>
      <c r="E81" s="154"/>
      <c r="F81" s="154"/>
      <c r="G81" s="151" t="s">
        <v>2821</v>
      </c>
      <c r="H81" s="151">
        <v>15.0</v>
      </c>
      <c r="I81" s="155">
        <v>130370.76</v>
      </c>
      <c r="J81" s="151" t="s">
        <v>2822</v>
      </c>
      <c r="K81" s="151">
        <v>15.0</v>
      </c>
      <c r="L81" s="151" t="s">
        <v>105</v>
      </c>
      <c r="M81" s="151" t="s">
        <v>38</v>
      </c>
      <c r="N81" s="151" t="s">
        <v>2823</v>
      </c>
      <c r="O81" s="154"/>
      <c r="P81" s="151" t="s">
        <v>2800</v>
      </c>
      <c r="Q81" s="154"/>
      <c r="R81" s="156"/>
      <c r="S81" s="156"/>
    </row>
    <row r="82" hidden="1">
      <c r="A82" s="151">
        <v>81.0</v>
      </c>
      <c r="B82" s="160">
        <v>45240.0</v>
      </c>
      <c r="C82" s="151">
        <v>10.0</v>
      </c>
      <c r="D82" s="151">
        <v>2023.0</v>
      </c>
      <c r="E82" s="154"/>
      <c r="F82" s="154"/>
      <c r="G82" s="151" t="s">
        <v>2824</v>
      </c>
      <c r="H82" s="151">
        <v>11759.0</v>
      </c>
      <c r="I82" s="155">
        <v>362403.71</v>
      </c>
      <c r="J82" s="151" t="s">
        <v>2712</v>
      </c>
      <c r="K82" s="151">
        <v>48.0</v>
      </c>
      <c r="L82" s="151" t="s">
        <v>2814</v>
      </c>
      <c r="M82" s="151" t="s">
        <v>38</v>
      </c>
      <c r="N82" s="151" t="s">
        <v>2823</v>
      </c>
      <c r="O82" s="154"/>
      <c r="P82" s="151" t="s">
        <v>2775</v>
      </c>
      <c r="Q82" s="151" t="s">
        <v>2825</v>
      </c>
      <c r="R82" s="156"/>
      <c r="S82" s="156"/>
    </row>
    <row r="83" hidden="1">
      <c r="A83" s="151">
        <v>82.0</v>
      </c>
      <c r="B83" s="151" t="s">
        <v>2826</v>
      </c>
      <c r="C83" s="151">
        <v>10.0</v>
      </c>
      <c r="D83" s="151">
        <v>2023.0</v>
      </c>
      <c r="E83" s="154"/>
      <c r="F83" s="154"/>
      <c r="G83" s="151" t="s">
        <v>2827</v>
      </c>
      <c r="H83" s="154"/>
      <c r="I83" s="155"/>
      <c r="J83" s="154"/>
      <c r="K83" s="154"/>
      <c r="L83" s="151" t="s">
        <v>59</v>
      </c>
      <c r="M83" s="151" t="s">
        <v>38</v>
      </c>
      <c r="N83" s="154"/>
      <c r="O83" s="154"/>
      <c r="P83" s="151" t="s">
        <v>2775</v>
      </c>
      <c r="Q83" s="154"/>
      <c r="R83" s="156"/>
      <c r="S83" s="156"/>
    </row>
    <row r="84" hidden="1">
      <c r="A84" s="151">
        <v>83.0</v>
      </c>
      <c r="B84" s="151" t="s">
        <v>2828</v>
      </c>
      <c r="C84" s="151">
        <v>10.0</v>
      </c>
      <c r="D84" s="151">
        <v>2023.0</v>
      </c>
      <c r="E84" s="154"/>
      <c r="F84" s="154"/>
      <c r="G84" s="151" t="s">
        <v>2829</v>
      </c>
      <c r="H84" s="154"/>
      <c r="I84" s="155">
        <v>216298.0</v>
      </c>
      <c r="J84" s="151" t="s">
        <v>2822</v>
      </c>
      <c r="K84" s="151">
        <v>2.0</v>
      </c>
      <c r="L84" s="151" t="s">
        <v>2785</v>
      </c>
      <c r="M84" s="151" t="s">
        <v>38</v>
      </c>
      <c r="N84" s="154"/>
      <c r="O84" s="154"/>
      <c r="P84" s="151" t="s">
        <v>2800</v>
      </c>
      <c r="Q84" s="154"/>
      <c r="R84" s="156"/>
      <c r="S84" s="156"/>
    </row>
    <row r="85" hidden="1">
      <c r="A85" s="151">
        <v>84.0</v>
      </c>
      <c r="B85" s="151" t="s">
        <v>2830</v>
      </c>
      <c r="C85" s="151">
        <v>10.0</v>
      </c>
      <c r="D85" s="151">
        <v>2023.0</v>
      </c>
      <c r="E85" s="154"/>
      <c r="F85" s="154"/>
      <c r="G85" s="151" t="s">
        <v>2831</v>
      </c>
      <c r="H85" s="154"/>
      <c r="I85" s="155">
        <v>395209.0</v>
      </c>
      <c r="J85" s="151" t="s">
        <v>2822</v>
      </c>
      <c r="K85" s="151">
        <v>18.0</v>
      </c>
      <c r="L85" s="151" t="s">
        <v>81</v>
      </c>
      <c r="M85" s="151" t="s">
        <v>38</v>
      </c>
      <c r="N85" s="154"/>
      <c r="O85" s="154"/>
      <c r="P85" s="151" t="s">
        <v>2800</v>
      </c>
      <c r="Q85" s="154"/>
      <c r="R85" s="156" t="s">
        <v>2807</v>
      </c>
      <c r="S85" s="156"/>
    </row>
    <row r="86" hidden="1">
      <c r="A86" s="151">
        <v>85.0</v>
      </c>
      <c r="B86" s="151" t="s">
        <v>2830</v>
      </c>
      <c r="C86" s="151">
        <v>10.0</v>
      </c>
      <c r="D86" s="151">
        <v>2023.0</v>
      </c>
      <c r="E86" s="154"/>
      <c r="F86" s="154"/>
      <c r="G86" s="151" t="s">
        <v>2832</v>
      </c>
      <c r="H86" s="154"/>
      <c r="I86" s="155">
        <v>245926.11</v>
      </c>
      <c r="J86" s="151" t="s">
        <v>2822</v>
      </c>
      <c r="K86" s="151">
        <v>33.0</v>
      </c>
      <c r="L86" s="151" t="s">
        <v>81</v>
      </c>
      <c r="M86" s="151" t="s">
        <v>38</v>
      </c>
      <c r="N86" s="154"/>
      <c r="O86" s="154"/>
      <c r="P86" s="151" t="s">
        <v>2800</v>
      </c>
      <c r="Q86" s="154"/>
      <c r="R86" s="156" t="s">
        <v>2833</v>
      </c>
      <c r="S86" s="156"/>
    </row>
    <row r="87" hidden="1">
      <c r="A87" s="151">
        <v>86.0</v>
      </c>
      <c r="B87" s="151" t="s">
        <v>2834</v>
      </c>
      <c r="C87" s="151">
        <v>10.0</v>
      </c>
      <c r="D87" s="151">
        <v>2023.0</v>
      </c>
      <c r="E87" s="154"/>
      <c r="F87" s="154"/>
      <c r="G87" s="151" t="s">
        <v>2835</v>
      </c>
      <c r="H87" s="154"/>
      <c r="I87" s="155">
        <v>210289.5</v>
      </c>
      <c r="J87" s="151" t="s">
        <v>2712</v>
      </c>
      <c r="K87" s="154"/>
      <c r="L87" s="151" t="s">
        <v>2713</v>
      </c>
      <c r="M87" s="151" t="s">
        <v>38</v>
      </c>
      <c r="N87" s="151" t="s">
        <v>2836</v>
      </c>
      <c r="O87" s="154"/>
      <c r="P87" s="151" t="s">
        <v>2800</v>
      </c>
      <c r="Q87" s="154"/>
      <c r="R87" s="156" t="s">
        <v>2837</v>
      </c>
      <c r="S87" s="156"/>
    </row>
    <row r="88" hidden="1">
      <c r="A88" s="151">
        <v>87.0</v>
      </c>
      <c r="B88" s="151" t="s">
        <v>2834</v>
      </c>
      <c r="C88" s="151">
        <v>10.0</v>
      </c>
      <c r="D88" s="151">
        <v>2023.0</v>
      </c>
      <c r="E88" s="154"/>
      <c r="F88" s="154"/>
      <c r="G88" s="151" t="s">
        <v>2838</v>
      </c>
      <c r="H88" s="154"/>
      <c r="I88" s="155">
        <v>371328.3</v>
      </c>
      <c r="J88" s="151" t="s">
        <v>2712</v>
      </c>
      <c r="K88" s="154"/>
      <c r="L88" s="151" t="s">
        <v>2713</v>
      </c>
      <c r="M88" s="151" t="s">
        <v>38</v>
      </c>
      <c r="N88" s="151" t="s">
        <v>2836</v>
      </c>
      <c r="O88" s="154"/>
      <c r="P88" s="151" t="s">
        <v>2800</v>
      </c>
      <c r="Q88" s="154"/>
      <c r="R88" s="156" t="s">
        <v>2839</v>
      </c>
      <c r="S88" s="156"/>
    </row>
    <row r="89" hidden="1">
      <c r="A89" s="161">
        <v>88.0</v>
      </c>
      <c r="B89" s="161" t="s">
        <v>2834</v>
      </c>
      <c r="C89" s="161">
        <v>10.0</v>
      </c>
      <c r="D89" s="161">
        <v>2023.0</v>
      </c>
      <c r="E89" s="162"/>
      <c r="F89" s="162"/>
      <c r="G89" s="161" t="s">
        <v>2840</v>
      </c>
      <c r="H89" s="162"/>
      <c r="I89" s="163">
        <v>198567.98</v>
      </c>
      <c r="J89" s="161" t="s">
        <v>2712</v>
      </c>
      <c r="K89" s="162"/>
      <c r="L89" s="161" t="s">
        <v>2713</v>
      </c>
      <c r="M89" s="151" t="s">
        <v>38</v>
      </c>
      <c r="N89" s="161" t="s">
        <v>2836</v>
      </c>
      <c r="O89" s="162"/>
      <c r="P89" s="161" t="s">
        <v>2800</v>
      </c>
      <c r="Q89" s="162"/>
      <c r="R89" s="164" t="s">
        <v>2841</v>
      </c>
      <c r="S89" s="156"/>
    </row>
    <row r="90" hidden="1">
      <c r="A90" s="151">
        <v>89.0</v>
      </c>
      <c r="B90" s="151" t="s">
        <v>2834</v>
      </c>
      <c r="C90" s="151">
        <v>10.0</v>
      </c>
      <c r="D90" s="151">
        <v>2023.0</v>
      </c>
      <c r="E90" s="154"/>
      <c r="F90" s="154"/>
      <c r="G90" s="151" t="s">
        <v>2842</v>
      </c>
      <c r="H90" s="154"/>
      <c r="I90" s="155">
        <v>189630.0</v>
      </c>
      <c r="J90" s="151" t="s">
        <v>2712</v>
      </c>
      <c r="K90" s="154"/>
      <c r="L90" s="151" t="s">
        <v>2713</v>
      </c>
      <c r="M90" s="151" t="s">
        <v>38</v>
      </c>
      <c r="N90" s="151" t="s">
        <v>2836</v>
      </c>
      <c r="O90" s="154"/>
      <c r="P90" s="151" t="s">
        <v>2800</v>
      </c>
      <c r="Q90" s="154"/>
      <c r="R90" s="156" t="s">
        <v>2843</v>
      </c>
      <c r="S90" s="156" t="s">
        <v>2844</v>
      </c>
    </row>
    <row r="91" hidden="1">
      <c r="A91" s="151">
        <v>90.0</v>
      </c>
      <c r="B91" s="152">
        <v>44968.0</v>
      </c>
      <c r="C91" s="151">
        <v>11.0</v>
      </c>
      <c r="D91" s="151">
        <v>2023.0</v>
      </c>
      <c r="E91" s="154"/>
      <c r="F91" s="154"/>
      <c r="G91" s="151" t="s">
        <v>2845</v>
      </c>
      <c r="H91" s="154"/>
      <c r="I91" s="155">
        <v>28704.0</v>
      </c>
      <c r="J91" s="151" t="s">
        <v>2712</v>
      </c>
      <c r="K91" s="154"/>
      <c r="L91" s="151" t="s">
        <v>2846</v>
      </c>
      <c r="M91" s="151" t="s">
        <v>38</v>
      </c>
      <c r="N91" s="151" t="s">
        <v>2836</v>
      </c>
      <c r="O91" s="154"/>
      <c r="P91" s="151" t="s">
        <v>2847</v>
      </c>
      <c r="Q91" s="154"/>
      <c r="R91" s="156" t="s">
        <v>2848</v>
      </c>
      <c r="S91" s="156"/>
    </row>
    <row r="92" hidden="1">
      <c r="A92" s="151">
        <v>91.0</v>
      </c>
      <c r="B92" s="152">
        <v>44968.0</v>
      </c>
      <c r="C92" s="151">
        <v>11.0</v>
      </c>
      <c r="D92" s="151">
        <v>2023.0</v>
      </c>
      <c r="E92" s="154"/>
      <c r="F92" s="154"/>
      <c r="G92" s="151" t="s">
        <v>2849</v>
      </c>
      <c r="H92" s="154"/>
      <c r="I92" s="155">
        <v>31807.62</v>
      </c>
      <c r="J92" s="151" t="s">
        <v>2712</v>
      </c>
      <c r="K92" s="154"/>
      <c r="L92" s="151" t="s">
        <v>2846</v>
      </c>
      <c r="M92" s="151" t="s">
        <v>38</v>
      </c>
      <c r="N92" s="151" t="s">
        <v>2836</v>
      </c>
      <c r="O92" s="154"/>
      <c r="P92" s="151" t="s">
        <v>2847</v>
      </c>
      <c r="Q92" s="154"/>
      <c r="R92" s="156" t="s">
        <v>2850</v>
      </c>
      <c r="S92" s="156"/>
    </row>
    <row r="93" hidden="1">
      <c r="A93" s="151">
        <v>92.0</v>
      </c>
      <c r="B93" s="152">
        <v>44968.0</v>
      </c>
      <c r="C93" s="151">
        <v>11.0</v>
      </c>
      <c r="D93" s="151">
        <v>2023.0</v>
      </c>
      <c r="E93" s="154"/>
      <c r="F93" s="154"/>
      <c r="G93" s="151" t="s">
        <v>2851</v>
      </c>
      <c r="H93" s="154"/>
      <c r="I93" s="155">
        <v>49508.4</v>
      </c>
      <c r="J93" s="151" t="s">
        <v>2712</v>
      </c>
      <c r="K93" s="154"/>
      <c r="L93" s="151" t="s">
        <v>2846</v>
      </c>
      <c r="M93" s="151" t="s">
        <v>38</v>
      </c>
      <c r="N93" s="151" t="s">
        <v>2836</v>
      </c>
      <c r="O93" s="154"/>
      <c r="P93" s="151" t="s">
        <v>2847</v>
      </c>
      <c r="Q93" s="154"/>
      <c r="R93" s="156" t="s">
        <v>2807</v>
      </c>
      <c r="S93" s="156"/>
    </row>
    <row r="94" hidden="1">
      <c r="A94" s="161">
        <v>93.0</v>
      </c>
      <c r="B94" s="165">
        <v>45057.0</v>
      </c>
      <c r="C94" s="161">
        <v>11.0</v>
      </c>
      <c r="D94" s="161">
        <v>2023.0</v>
      </c>
      <c r="E94" s="162"/>
      <c r="F94" s="162"/>
      <c r="G94" s="161" t="s">
        <v>2852</v>
      </c>
      <c r="H94" s="162"/>
      <c r="I94" s="163">
        <v>93506.4</v>
      </c>
      <c r="J94" s="161" t="s">
        <v>2712</v>
      </c>
      <c r="K94" s="162"/>
      <c r="L94" s="161" t="s">
        <v>2846</v>
      </c>
      <c r="M94" s="151" t="s">
        <v>38</v>
      </c>
      <c r="N94" s="161" t="s">
        <v>2853</v>
      </c>
      <c r="O94" s="162"/>
      <c r="P94" s="161" t="s">
        <v>2783</v>
      </c>
      <c r="Q94" s="162"/>
      <c r="R94" s="164" t="s">
        <v>2854</v>
      </c>
      <c r="S94" s="156"/>
    </row>
    <row r="95" hidden="1">
      <c r="A95" s="151">
        <v>94.0</v>
      </c>
      <c r="B95" s="152">
        <v>45057.0</v>
      </c>
      <c r="C95" s="151">
        <v>11.0</v>
      </c>
      <c r="D95" s="151">
        <v>2023.0</v>
      </c>
      <c r="E95" s="154"/>
      <c r="F95" s="154"/>
      <c r="G95" s="151" t="s">
        <v>2855</v>
      </c>
      <c r="H95" s="154"/>
      <c r="I95" s="155">
        <v>700000.0</v>
      </c>
      <c r="J95" s="151" t="s">
        <v>2712</v>
      </c>
      <c r="K95" s="154"/>
      <c r="L95" s="151" t="s">
        <v>2814</v>
      </c>
      <c r="M95" s="151" t="s">
        <v>2781</v>
      </c>
      <c r="N95" s="154"/>
      <c r="O95" s="154"/>
      <c r="P95" s="151" t="s">
        <v>2775</v>
      </c>
      <c r="Q95" s="152">
        <v>45445.0</v>
      </c>
      <c r="R95" s="156"/>
      <c r="S95" s="156"/>
    </row>
    <row r="96">
      <c r="A96" s="151">
        <v>95.0</v>
      </c>
      <c r="B96" s="152">
        <v>45149.0</v>
      </c>
      <c r="C96" s="151">
        <v>11.0</v>
      </c>
      <c r="D96" s="151">
        <v>2023.0</v>
      </c>
      <c r="E96" s="154"/>
      <c r="F96" s="154"/>
      <c r="G96" s="151" t="s">
        <v>2856</v>
      </c>
      <c r="H96" s="154"/>
      <c r="I96" s="155">
        <v>222292.45</v>
      </c>
      <c r="J96" s="151" t="s">
        <v>2728</v>
      </c>
      <c r="K96" s="154"/>
      <c r="L96" s="151" t="s">
        <v>26</v>
      </c>
      <c r="M96" s="151" t="s">
        <v>38</v>
      </c>
      <c r="N96" s="154"/>
      <c r="O96" s="154"/>
      <c r="P96" s="151" t="s">
        <v>2783</v>
      </c>
      <c r="Q96" s="154"/>
      <c r="R96" s="156"/>
      <c r="S96" s="156"/>
    </row>
    <row r="97" hidden="1">
      <c r="A97" s="151">
        <v>96.0</v>
      </c>
      <c r="B97" s="152">
        <v>45180.0</v>
      </c>
      <c r="C97" s="151">
        <v>11.0</v>
      </c>
      <c r="D97" s="151">
        <v>2023.0</v>
      </c>
      <c r="E97" s="154"/>
      <c r="F97" s="154"/>
      <c r="G97" s="151" t="s">
        <v>2857</v>
      </c>
      <c r="H97" s="154"/>
      <c r="I97" s="155">
        <v>421450.8</v>
      </c>
      <c r="J97" s="151" t="s">
        <v>2728</v>
      </c>
      <c r="K97" s="154"/>
      <c r="L97" s="151" t="s">
        <v>81</v>
      </c>
      <c r="M97" s="151" t="s">
        <v>2730</v>
      </c>
      <c r="N97" s="154"/>
      <c r="O97" s="154"/>
      <c r="P97" s="151" t="s">
        <v>2783</v>
      </c>
      <c r="Q97" s="154"/>
      <c r="R97" s="156" t="s">
        <v>2807</v>
      </c>
      <c r="S97" s="156"/>
    </row>
    <row r="98" hidden="1">
      <c r="A98" s="151">
        <v>97.0</v>
      </c>
      <c r="B98" s="151" t="s">
        <v>2858</v>
      </c>
      <c r="C98" s="151">
        <v>11.0</v>
      </c>
      <c r="D98" s="151">
        <v>2023.0</v>
      </c>
      <c r="E98" s="154"/>
      <c r="F98" s="154"/>
      <c r="G98" s="151" t="s">
        <v>2859</v>
      </c>
      <c r="H98" s="154"/>
      <c r="I98" s="155">
        <v>76896.0</v>
      </c>
      <c r="J98" s="151" t="s">
        <v>2728</v>
      </c>
      <c r="K98" s="154"/>
      <c r="L98" s="151" t="s">
        <v>2729</v>
      </c>
      <c r="M98" s="151" t="s">
        <v>38</v>
      </c>
      <c r="N98" s="154"/>
      <c r="O98" s="154"/>
      <c r="P98" s="151" t="s">
        <v>2783</v>
      </c>
      <c r="Q98" s="166">
        <v>44950.0</v>
      </c>
      <c r="R98" s="156"/>
      <c r="S98" s="156"/>
    </row>
    <row r="99" hidden="1">
      <c r="A99" s="161">
        <v>98.0</v>
      </c>
      <c r="B99" s="161" t="s">
        <v>2860</v>
      </c>
      <c r="C99" s="161">
        <v>11.0</v>
      </c>
      <c r="D99" s="161">
        <v>2023.0</v>
      </c>
      <c r="E99" s="162"/>
      <c r="F99" s="162"/>
      <c r="G99" s="161" t="s">
        <v>2861</v>
      </c>
      <c r="H99" s="162"/>
      <c r="I99" s="163">
        <v>39139.17</v>
      </c>
      <c r="J99" s="161" t="s">
        <v>2712</v>
      </c>
      <c r="K99" s="162"/>
      <c r="L99" s="161" t="s">
        <v>169</v>
      </c>
      <c r="M99" s="151" t="s">
        <v>38</v>
      </c>
      <c r="N99" s="162"/>
      <c r="O99" s="162"/>
      <c r="P99" s="161" t="s">
        <v>2783</v>
      </c>
      <c r="Q99" s="162"/>
      <c r="R99" s="164" t="s">
        <v>2862</v>
      </c>
      <c r="S99" s="156"/>
    </row>
    <row r="100">
      <c r="A100" s="151">
        <v>99.0</v>
      </c>
      <c r="B100" s="151" t="s">
        <v>2863</v>
      </c>
      <c r="C100" s="151">
        <v>11.0</v>
      </c>
      <c r="D100" s="151">
        <v>2023.0</v>
      </c>
      <c r="E100" s="154"/>
      <c r="F100" s="154"/>
      <c r="G100" s="151" t="s">
        <v>2864</v>
      </c>
      <c r="H100" s="154"/>
      <c r="I100" s="155">
        <v>25704.0</v>
      </c>
      <c r="J100" s="151" t="s">
        <v>2728</v>
      </c>
      <c r="K100" s="151">
        <v>5.0</v>
      </c>
      <c r="L100" s="151" t="s">
        <v>26</v>
      </c>
      <c r="M100" s="151" t="s">
        <v>38</v>
      </c>
      <c r="N100" s="151" t="s">
        <v>2865</v>
      </c>
      <c r="O100" s="154"/>
      <c r="P100" s="151" t="s">
        <v>2783</v>
      </c>
      <c r="Q100" s="166">
        <v>45275.0</v>
      </c>
      <c r="R100" s="156" t="s">
        <v>2866</v>
      </c>
      <c r="S100" s="156"/>
    </row>
    <row r="101" hidden="1">
      <c r="A101" s="151">
        <v>100.0</v>
      </c>
      <c r="B101" s="151" t="s">
        <v>2867</v>
      </c>
      <c r="C101" s="151">
        <v>11.0</v>
      </c>
      <c r="D101" s="151">
        <v>2023.0</v>
      </c>
      <c r="E101" s="154"/>
      <c r="F101" s="154"/>
      <c r="G101" s="151" t="s">
        <v>2868</v>
      </c>
      <c r="H101" s="154"/>
      <c r="I101" s="155">
        <v>75073.33</v>
      </c>
      <c r="J101" s="151" t="s">
        <v>2712</v>
      </c>
      <c r="K101" s="151">
        <v>160.0</v>
      </c>
      <c r="L101" s="151" t="s">
        <v>2738</v>
      </c>
      <c r="M101" s="151" t="s">
        <v>2730</v>
      </c>
      <c r="N101" s="154"/>
      <c r="O101" s="154"/>
      <c r="P101" s="151" t="s">
        <v>2800</v>
      </c>
      <c r="Q101" s="154"/>
      <c r="R101" s="156"/>
      <c r="S101" s="156"/>
    </row>
    <row r="102" hidden="1">
      <c r="A102" s="151">
        <v>101.0</v>
      </c>
      <c r="B102" s="151" t="s">
        <v>2869</v>
      </c>
      <c r="C102" s="151">
        <v>12.0</v>
      </c>
      <c r="D102" s="151">
        <v>2023.0</v>
      </c>
      <c r="E102" s="154"/>
      <c r="F102" s="154"/>
      <c r="G102" s="151" t="s">
        <v>2870</v>
      </c>
      <c r="H102" s="154"/>
      <c r="I102" s="158"/>
      <c r="J102" s="154"/>
      <c r="K102" s="154"/>
      <c r="L102" s="151" t="s">
        <v>2871</v>
      </c>
      <c r="M102" s="151" t="s">
        <v>2872</v>
      </c>
      <c r="N102" s="154"/>
      <c r="O102" s="154"/>
      <c r="P102" s="151" t="s">
        <v>2775</v>
      </c>
      <c r="Q102" s="154"/>
      <c r="R102" s="156"/>
      <c r="S102" s="156"/>
    </row>
    <row r="103" hidden="1">
      <c r="A103" s="151">
        <v>101.0</v>
      </c>
      <c r="B103" s="152">
        <v>45119.0</v>
      </c>
      <c r="C103" s="151">
        <v>12.0</v>
      </c>
      <c r="D103" s="151">
        <v>2023.0</v>
      </c>
      <c r="E103" s="154"/>
      <c r="F103" s="154"/>
      <c r="G103" s="151" t="s">
        <v>2873</v>
      </c>
      <c r="H103" s="154"/>
      <c r="I103" s="155">
        <v>167781.76</v>
      </c>
      <c r="J103" s="151" t="s">
        <v>2822</v>
      </c>
      <c r="K103" s="154"/>
      <c r="L103" s="151" t="s">
        <v>222</v>
      </c>
      <c r="M103" s="151" t="s">
        <v>2730</v>
      </c>
      <c r="N103" s="154"/>
      <c r="O103" s="154"/>
      <c r="P103" s="151" t="s">
        <v>2783</v>
      </c>
      <c r="Q103" s="154"/>
      <c r="R103" s="156" t="s">
        <v>2874</v>
      </c>
      <c r="S103" s="156"/>
    </row>
    <row r="104" hidden="1">
      <c r="A104" s="161">
        <v>102.0</v>
      </c>
      <c r="B104" s="165">
        <v>45119.0</v>
      </c>
      <c r="C104" s="161">
        <v>12.0</v>
      </c>
      <c r="D104" s="161">
        <v>2023.0</v>
      </c>
      <c r="E104" s="162"/>
      <c r="F104" s="162"/>
      <c r="G104" s="161" t="s">
        <v>2875</v>
      </c>
      <c r="H104" s="162"/>
      <c r="I104" s="163">
        <v>174186.44</v>
      </c>
      <c r="J104" s="161" t="s">
        <v>2822</v>
      </c>
      <c r="K104" s="162"/>
      <c r="L104" s="151" t="s">
        <v>222</v>
      </c>
      <c r="M104" s="151" t="s">
        <v>2781</v>
      </c>
      <c r="N104" s="162"/>
      <c r="O104" s="162"/>
      <c r="P104" s="161" t="s">
        <v>2783</v>
      </c>
      <c r="Q104" s="162"/>
      <c r="R104" s="164" t="s">
        <v>2876</v>
      </c>
      <c r="S104" s="156"/>
    </row>
    <row r="105" hidden="1">
      <c r="A105" s="151">
        <v>103.0</v>
      </c>
      <c r="B105" s="152">
        <v>45211.0</v>
      </c>
      <c r="C105" s="151">
        <v>12.0</v>
      </c>
      <c r="D105" s="151">
        <v>2023.0</v>
      </c>
      <c r="E105" s="154"/>
      <c r="F105" s="154"/>
      <c r="G105" s="151" t="s">
        <v>2877</v>
      </c>
      <c r="H105" s="154"/>
      <c r="I105" s="155">
        <v>76896.0</v>
      </c>
      <c r="J105" s="151" t="s">
        <v>2822</v>
      </c>
      <c r="K105" s="154"/>
      <c r="L105" s="151" t="s">
        <v>2729</v>
      </c>
      <c r="M105" s="151" t="s">
        <v>38</v>
      </c>
      <c r="N105" s="154"/>
      <c r="O105" s="154"/>
      <c r="P105" s="151" t="s">
        <v>2783</v>
      </c>
      <c r="Q105" s="154"/>
      <c r="R105" s="156"/>
      <c r="S105" s="156"/>
    </row>
    <row r="106">
      <c r="A106" s="151">
        <v>104.0</v>
      </c>
      <c r="B106" s="159"/>
      <c r="C106" s="154"/>
      <c r="D106" s="154"/>
      <c r="E106" s="154"/>
      <c r="F106" s="154"/>
      <c r="G106" s="151" t="s">
        <v>2878</v>
      </c>
      <c r="H106" s="154"/>
      <c r="I106" s="155">
        <v>545428.56</v>
      </c>
      <c r="J106" s="151" t="s">
        <v>2822</v>
      </c>
      <c r="K106" s="154"/>
      <c r="L106" s="151" t="s">
        <v>26</v>
      </c>
      <c r="M106" s="151" t="s">
        <v>38</v>
      </c>
      <c r="N106" s="154"/>
      <c r="O106" s="154"/>
      <c r="P106" s="151" t="s">
        <v>2783</v>
      </c>
      <c r="Q106" s="154"/>
      <c r="R106" s="156" t="s">
        <v>2807</v>
      </c>
      <c r="S106" s="156"/>
    </row>
    <row r="107" hidden="1">
      <c r="A107" s="151">
        <v>105.0</v>
      </c>
      <c r="B107" s="167">
        <v>45280.0</v>
      </c>
      <c r="C107" s="151">
        <v>12.0</v>
      </c>
      <c r="D107" s="151">
        <v>2023.0</v>
      </c>
      <c r="E107" s="154"/>
      <c r="F107" s="154"/>
      <c r="G107" s="151" t="s">
        <v>2879</v>
      </c>
      <c r="H107" s="154"/>
      <c r="I107" s="155">
        <v>379113.0</v>
      </c>
      <c r="J107" s="151" t="s">
        <v>2712</v>
      </c>
      <c r="K107" s="154"/>
      <c r="L107" s="151" t="s">
        <v>37</v>
      </c>
      <c r="M107" s="151" t="s">
        <v>38</v>
      </c>
      <c r="N107" s="154"/>
      <c r="O107" s="154"/>
      <c r="P107" s="151" t="s">
        <v>2783</v>
      </c>
      <c r="Q107" s="154"/>
      <c r="R107" s="156" t="s">
        <v>2880</v>
      </c>
      <c r="S107" s="156"/>
    </row>
    <row r="108" hidden="1">
      <c r="A108" s="161">
        <v>106.0</v>
      </c>
      <c r="B108" s="161" t="s">
        <v>2881</v>
      </c>
      <c r="C108" s="161">
        <v>12.0</v>
      </c>
      <c r="D108" s="161">
        <v>2023.0</v>
      </c>
      <c r="E108" s="162"/>
      <c r="F108" s="162"/>
      <c r="G108" s="161" t="s">
        <v>2882</v>
      </c>
      <c r="H108" s="162"/>
      <c r="I108" s="163">
        <v>191008.8</v>
      </c>
      <c r="J108" s="161" t="s">
        <v>2712</v>
      </c>
      <c r="K108" s="162"/>
      <c r="L108" s="161" t="s">
        <v>37</v>
      </c>
      <c r="M108" s="151" t="s">
        <v>38</v>
      </c>
      <c r="N108" s="162"/>
      <c r="O108" s="162"/>
      <c r="P108" s="161" t="s">
        <v>2783</v>
      </c>
      <c r="Q108" s="162"/>
      <c r="R108" s="164" t="s">
        <v>2883</v>
      </c>
      <c r="S108" s="156"/>
    </row>
    <row r="109" hidden="1">
      <c r="A109" s="151">
        <v>107.0</v>
      </c>
      <c r="B109" s="151" t="s">
        <v>2881</v>
      </c>
      <c r="C109" s="151">
        <v>12.0</v>
      </c>
      <c r="D109" s="151">
        <v>2023.0</v>
      </c>
      <c r="E109" s="154"/>
      <c r="F109" s="154"/>
      <c r="G109" s="151" t="s">
        <v>2884</v>
      </c>
      <c r="H109" s="154"/>
      <c r="I109" s="155">
        <v>97070.36</v>
      </c>
      <c r="J109" s="151" t="s">
        <v>2712</v>
      </c>
      <c r="K109" s="154"/>
      <c r="L109" s="151" t="s">
        <v>37</v>
      </c>
      <c r="M109" s="151" t="s">
        <v>38</v>
      </c>
      <c r="N109" s="154"/>
      <c r="O109" s="154"/>
      <c r="P109" s="151" t="s">
        <v>2783</v>
      </c>
      <c r="Q109" s="154"/>
      <c r="R109" s="156" t="s">
        <v>2885</v>
      </c>
      <c r="S109" s="156"/>
    </row>
    <row r="110" hidden="1">
      <c r="A110" s="151">
        <v>108.0</v>
      </c>
      <c r="B110" s="151" t="s">
        <v>2886</v>
      </c>
      <c r="C110" s="151">
        <v>12.0</v>
      </c>
      <c r="D110" s="151">
        <v>2023.0</v>
      </c>
      <c r="E110" s="154"/>
      <c r="F110" s="154"/>
      <c r="G110" s="151" t="s">
        <v>2887</v>
      </c>
      <c r="H110" s="154"/>
      <c r="I110" s="155">
        <v>24768.0</v>
      </c>
      <c r="J110" s="151" t="s">
        <v>2712</v>
      </c>
      <c r="K110" s="154"/>
      <c r="L110" s="151" t="s">
        <v>37</v>
      </c>
      <c r="M110" s="151" t="s">
        <v>38</v>
      </c>
      <c r="N110" s="154"/>
      <c r="O110" s="154"/>
      <c r="P110" s="151" t="s">
        <v>2783</v>
      </c>
      <c r="Q110" s="154"/>
      <c r="R110" s="156" t="s">
        <v>2888</v>
      </c>
      <c r="S110" s="156"/>
    </row>
    <row r="111" hidden="1">
      <c r="A111" s="151">
        <v>109.0</v>
      </c>
      <c r="B111" s="151" t="s">
        <v>2886</v>
      </c>
      <c r="C111" s="151">
        <v>12.0</v>
      </c>
      <c r="D111" s="151">
        <v>2023.0</v>
      </c>
      <c r="E111" s="154"/>
      <c r="F111" s="154"/>
      <c r="G111" s="151" t="s">
        <v>2889</v>
      </c>
      <c r="H111" s="154"/>
      <c r="I111" s="155">
        <v>17370.0</v>
      </c>
      <c r="J111" s="151" t="s">
        <v>2822</v>
      </c>
      <c r="K111" s="154"/>
      <c r="L111" s="151" t="s">
        <v>2890</v>
      </c>
      <c r="M111" s="151" t="s">
        <v>2781</v>
      </c>
      <c r="N111" s="154"/>
      <c r="O111" s="154"/>
      <c r="P111" s="151" t="s">
        <v>2783</v>
      </c>
      <c r="Q111" s="154"/>
      <c r="R111" s="156" t="s">
        <v>2891</v>
      </c>
      <c r="S111" s="156"/>
    </row>
    <row r="112" hidden="1">
      <c r="A112" s="151">
        <v>110.0</v>
      </c>
      <c r="B112" s="151" t="s">
        <v>2892</v>
      </c>
      <c r="C112" s="151">
        <v>12.0</v>
      </c>
      <c r="D112" s="151">
        <v>2023.0</v>
      </c>
      <c r="E112" s="154"/>
      <c r="F112" s="154"/>
      <c r="G112" s="151" t="s">
        <v>2893</v>
      </c>
      <c r="H112" s="154"/>
      <c r="I112" s="155">
        <v>123982.5</v>
      </c>
      <c r="J112" s="151" t="s">
        <v>2822</v>
      </c>
      <c r="K112" s="154"/>
      <c r="L112" s="151" t="s">
        <v>259</v>
      </c>
      <c r="M112" s="151" t="s">
        <v>2730</v>
      </c>
      <c r="N112" s="151" t="s">
        <v>2894</v>
      </c>
      <c r="O112" s="154"/>
      <c r="P112" s="151" t="s">
        <v>2783</v>
      </c>
      <c r="Q112" s="154"/>
      <c r="R112" s="156"/>
      <c r="S112" s="156"/>
    </row>
    <row r="113" hidden="1">
      <c r="A113" s="151">
        <v>111.0</v>
      </c>
      <c r="B113" s="151" t="s">
        <v>2895</v>
      </c>
      <c r="C113" s="151">
        <v>12.0</v>
      </c>
      <c r="D113" s="151">
        <v>2023.0</v>
      </c>
      <c r="E113" s="154"/>
      <c r="F113" s="154"/>
      <c r="G113" s="151" t="s">
        <v>2896</v>
      </c>
      <c r="H113" s="154"/>
      <c r="I113" s="155">
        <v>258571.5</v>
      </c>
      <c r="J113" s="151" t="s">
        <v>2712</v>
      </c>
      <c r="K113" s="154"/>
      <c r="L113" s="151" t="s">
        <v>2812</v>
      </c>
      <c r="M113" s="151" t="s">
        <v>38</v>
      </c>
      <c r="N113" s="151" t="s">
        <v>2894</v>
      </c>
      <c r="O113" s="154"/>
      <c r="P113" s="151" t="s">
        <v>2783</v>
      </c>
      <c r="Q113" s="154"/>
      <c r="R113" s="156" t="s">
        <v>2897</v>
      </c>
      <c r="S113" s="156"/>
    </row>
    <row r="114" hidden="1">
      <c r="A114" s="151">
        <v>112.0</v>
      </c>
      <c r="B114" s="152">
        <v>45352.0</v>
      </c>
      <c r="C114" s="151">
        <v>1.0</v>
      </c>
      <c r="D114" s="151">
        <v>2024.0</v>
      </c>
      <c r="E114" s="154"/>
      <c r="F114" s="154"/>
      <c r="G114" s="151" t="s">
        <v>2898</v>
      </c>
      <c r="H114" s="154"/>
      <c r="I114" s="155">
        <v>552787.9</v>
      </c>
      <c r="J114" s="151" t="s">
        <v>2822</v>
      </c>
      <c r="K114" s="154"/>
      <c r="L114" s="151" t="s">
        <v>81</v>
      </c>
      <c r="M114" s="151" t="s">
        <v>2781</v>
      </c>
      <c r="N114" s="154"/>
      <c r="O114" s="154"/>
      <c r="P114" s="151" t="s">
        <v>2783</v>
      </c>
      <c r="Q114" s="154"/>
      <c r="R114" s="156" t="s">
        <v>2807</v>
      </c>
      <c r="S114" s="156"/>
    </row>
    <row r="115" hidden="1">
      <c r="A115" s="151">
        <v>113.0</v>
      </c>
      <c r="B115" s="152">
        <v>45597.0</v>
      </c>
      <c r="C115" s="151">
        <v>1.0</v>
      </c>
      <c r="D115" s="151">
        <v>2024.0</v>
      </c>
      <c r="E115" s="154"/>
      <c r="F115" s="154"/>
      <c r="G115" s="151" t="s">
        <v>2899</v>
      </c>
      <c r="H115" s="154"/>
      <c r="I115" s="158"/>
      <c r="J115" s="151" t="s">
        <v>2822</v>
      </c>
      <c r="K115" s="154"/>
      <c r="L115" s="151" t="s">
        <v>2729</v>
      </c>
      <c r="M115" s="151" t="s">
        <v>38</v>
      </c>
      <c r="N115" s="154"/>
      <c r="O115" s="154"/>
      <c r="P115" s="151" t="s">
        <v>2783</v>
      </c>
      <c r="Q115" s="154"/>
      <c r="R115" s="156" t="s">
        <v>2900</v>
      </c>
      <c r="S115" s="156"/>
    </row>
    <row r="116" hidden="1">
      <c r="A116" s="151">
        <v>114.0</v>
      </c>
      <c r="B116" s="151" t="s">
        <v>2901</v>
      </c>
      <c r="C116" s="151">
        <v>1.0</v>
      </c>
      <c r="D116" s="151">
        <v>2024.0</v>
      </c>
      <c r="E116" s="154"/>
      <c r="F116" s="154"/>
      <c r="G116" s="151" t="s">
        <v>2902</v>
      </c>
      <c r="H116" s="154"/>
      <c r="I116" s="155">
        <v>261289.2</v>
      </c>
      <c r="J116" s="151" t="s">
        <v>2712</v>
      </c>
      <c r="K116" s="154"/>
      <c r="L116" s="151" t="s">
        <v>2903</v>
      </c>
      <c r="M116" s="151" t="s">
        <v>2781</v>
      </c>
      <c r="N116" s="154"/>
      <c r="O116" s="154"/>
      <c r="P116" s="151" t="s">
        <v>2783</v>
      </c>
      <c r="Q116" s="154"/>
      <c r="R116" s="156"/>
      <c r="S116" s="156"/>
    </row>
    <row r="117" hidden="1">
      <c r="A117" s="151">
        <v>115.0</v>
      </c>
      <c r="B117" s="151" t="s">
        <v>2904</v>
      </c>
      <c r="C117" s="151">
        <v>1.0</v>
      </c>
      <c r="D117" s="151">
        <v>2024.0</v>
      </c>
      <c r="E117" s="154"/>
      <c r="F117" s="154"/>
      <c r="G117" s="151" t="s">
        <v>2905</v>
      </c>
      <c r="H117" s="154"/>
      <c r="I117" s="155"/>
      <c r="J117" s="154"/>
      <c r="K117" s="154"/>
      <c r="L117" s="151" t="s">
        <v>59</v>
      </c>
      <c r="M117" s="151" t="s">
        <v>38</v>
      </c>
      <c r="N117" s="154"/>
      <c r="O117" s="154"/>
      <c r="P117" s="151" t="s">
        <v>2775</v>
      </c>
      <c r="Q117" s="154"/>
      <c r="R117" s="156"/>
      <c r="S117" s="156"/>
    </row>
    <row r="118" hidden="1">
      <c r="A118" s="151">
        <v>116.0</v>
      </c>
      <c r="B118" s="151" t="s">
        <v>2906</v>
      </c>
      <c r="C118" s="151">
        <v>1.0</v>
      </c>
      <c r="D118" s="151">
        <v>2024.0</v>
      </c>
      <c r="E118" s="154"/>
      <c r="F118" s="154"/>
      <c r="G118" s="151" t="s">
        <v>2907</v>
      </c>
      <c r="H118" s="154"/>
      <c r="I118" s="155">
        <v>200257.0</v>
      </c>
      <c r="J118" s="151" t="s">
        <v>2822</v>
      </c>
      <c r="K118" s="154"/>
      <c r="L118" s="151" t="s">
        <v>2785</v>
      </c>
      <c r="M118" s="151" t="s">
        <v>38</v>
      </c>
      <c r="N118" s="154"/>
      <c r="O118" s="154"/>
      <c r="P118" s="151" t="s">
        <v>2783</v>
      </c>
      <c r="Q118" s="154"/>
      <c r="R118" s="156"/>
      <c r="S118" s="156"/>
    </row>
    <row r="119" hidden="1">
      <c r="A119" s="151">
        <v>117.0</v>
      </c>
      <c r="B119" s="151" t="s">
        <v>2908</v>
      </c>
      <c r="C119" s="151">
        <v>1.0</v>
      </c>
      <c r="D119" s="151">
        <v>2024.0</v>
      </c>
      <c r="E119" s="154"/>
      <c r="F119" s="154"/>
      <c r="G119" s="151" t="s">
        <v>2909</v>
      </c>
      <c r="H119" s="154"/>
      <c r="I119" s="155">
        <v>27370.2</v>
      </c>
      <c r="J119" s="151" t="s">
        <v>2822</v>
      </c>
      <c r="K119" s="154"/>
      <c r="L119" s="151" t="s">
        <v>59</v>
      </c>
      <c r="M119" s="151" t="s">
        <v>2781</v>
      </c>
      <c r="N119" s="154"/>
      <c r="O119" s="154"/>
      <c r="P119" s="151" t="s">
        <v>2783</v>
      </c>
      <c r="Q119" s="151" t="s">
        <v>2910</v>
      </c>
      <c r="R119" s="156" t="s">
        <v>2911</v>
      </c>
      <c r="S119" s="156"/>
    </row>
    <row r="120" hidden="1">
      <c r="A120" s="151">
        <v>118.0</v>
      </c>
      <c r="B120" s="151" t="s">
        <v>2908</v>
      </c>
      <c r="C120" s="151">
        <v>1.0</v>
      </c>
      <c r="D120" s="151">
        <v>2024.0</v>
      </c>
      <c r="E120" s="154"/>
      <c r="F120" s="154"/>
      <c r="G120" s="151" t="s">
        <v>2912</v>
      </c>
      <c r="H120" s="154"/>
      <c r="I120" s="155">
        <v>39704.0</v>
      </c>
      <c r="J120" s="151" t="s">
        <v>2822</v>
      </c>
      <c r="K120" s="154"/>
      <c r="L120" s="151" t="s">
        <v>169</v>
      </c>
      <c r="M120" s="151" t="s">
        <v>38</v>
      </c>
      <c r="N120" s="154"/>
      <c r="O120" s="154"/>
      <c r="P120" s="151" t="s">
        <v>2783</v>
      </c>
      <c r="Q120" s="151" t="s">
        <v>2913</v>
      </c>
      <c r="R120" s="156" t="s">
        <v>2914</v>
      </c>
      <c r="S120" s="156"/>
    </row>
    <row r="121" hidden="1">
      <c r="A121" s="151">
        <v>119.0</v>
      </c>
      <c r="B121" s="152">
        <v>45293.0</v>
      </c>
      <c r="C121" s="151">
        <v>2.0</v>
      </c>
      <c r="D121" s="151">
        <v>2024.0</v>
      </c>
      <c r="E121" s="154"/>
      <c r="F121" s="154"/>
      <c r="G121" s="151" t="s">
        <v>2915</v>
      </c>
      <c r="H121" s="154"/>
      <c r="I121" s="158"/>
      <c r="J121" s="154"/>
      <c r="K121" s="154"/>
      <c r="L121" s="151" t="s">
        <v>2729</v>
      </c>
      <c r="M121" s="151" t="s">
        <v>38</v>
      </c>
      <c r="N121" s="154"/>
      <c r="O121" s="154"/>
      <c r="P121" s="151" t="s">
        <v>2783</v>
      </c>
      <c r="Q121" s="154"/>
      <c r="R121" s="156" t="s">
        <v>2916</v>
      </c>
      <c r="S121" s="156"/>
    </row>
    <row r="122" hidden="1">
      <c r="A122" s="151">
        <v>120.0</v>
      </c>
      <c r="B122" s="152">
        <v>45506.0</v>
      </c>
      <c r="C122" s="151">
        <v>2.0</v>
      </c>
      <c r="D122" s="151">
        <v>2024.0</v>
      </c>
      <c r="E122" s="154"/>
      <c r="F122" s="154"/>
      <c r="G122" s="151" t="s">
        <v>2917</v>
      </c>
      <c r="H122" s="154"/>
      <c r="I122" s="155">
        <v>250000.0</v>
      </c>
      <c r="J122" s="154"/>
      <c r="K122" s="154"/>
      <c r="L122" s="151" t="s">
        <v>2918</v>
      </c>
      <c r="M122" s="151" t="s">
        <v>2919</v>
      </c>
      <c r="N122" s="154"/>
      <c r="O122" s="154"/>
      <c r="P122" s="154"/>
      <c r="Q122" s="154"/>
      <c r="R122" s="156"/>
      <c r="S122" s="156"/>
    </row>
    <row r="123" hidden="1">
      <c r="A123" s="151">
        <v>121.0</v>
      </c>
      <c r="B123" s="151" t="s">
        <v>2920</v>
      </c>
      <c r="C123" s="151">
        <v>2.0</v>
      </c>
      <c r="D123" s="151">
        <v>2024.0</v>
      </c>
      <c r="E123" s="154"/>
      <c r="F123" s="154"/>
      <c r="G123" s="151" t="s">
        <v>2921</v>
      </c>
      <c r="H123" s="154"/>
      <c r="I123" s="155">
        <v>130590.0</v>
      </c>
      <c r="J123" s="151" t="s">
        <v>2712</v>
      </c>
      <c r="K123" s="151">
        <v>48.0</v>
      </c>
      <c r="L123" s="151" t="s">
        <v>169</v>
      </c>
      <c r="M123" s="151" t="s">
        <v>2781</v>
      </c>
      <c r="N123" s="154"/>
      <c r="O123" s="154"/>
      <c r="P123" s="151" t="s">
        <v>2783</v>
      </c>
      <c r="Q123" s="154"/>
      <c r="R123" s="156" t="s">
        <v>2922</v>
      </c>
      <c r="S123" s="156"/>
    </row>
    <row r="124" hidden="1">
      <c r="A124" s="151">
        <v>122.0</v>
      </c>
      <c r="B124" s="151" t="s">
        <v>2923</v>
      </c>
      <c r="C124" s="151">
        <v>2.0</v>
      </c>
      <c r="D124" s="151">
        <v>2024.0</v>
      </c>
      <c r="E124" s="168" t="s">
        <v>2924</v>
      </c>
      <c r="F124" s="155">
        <v>583311.1</v>
      </c>
      <c r="G124" s="151" t="s">
        <v>2925</v>
      </c>
      <c r="H124" s="154"/>
      <c r="I124" s="158"/>
      <c r="J124" s="151" t="s">
        <v>2822</v>
      </c>
      <c r="K124" s="154"/>
      <c r="L124" s="151" t="s">
        <v>2799</v>
      </c>
      <c r="M124" s="151" t="s">
        <v>2781</v>
      </c>
      <c r="N124" s="154"/>
      <c r="O124" s="154"/>
      <c r="P124" s="151" t="s">
        <v>2783</v>
      </c>
      <c r="Q124" s="154"/>
      <c r="R124" s="156" t="s">
        <v>2926</v>
      </c>
      <c r="S124" s="156"/>
    </row>
    <row r="125" hidden="1">
      <c r="A125" s="151">
        <v>123.0</v>
      </c>
      <c r="B125" s="151" t="s">
        <v>2927</v>
      </c>
      <c r="C125" s="151">
        <v>2.0</v>
      </c>
      <c r="D125" s="151">
        <v>2024.0</v>
      </c>
      <c r="E125" s="168" t="s">
        <v>2928</v>
      </c>
      <c r="F125" s="155">
        <v>20780.88</v>
      </c>
      <c r="G125" s="151" t="s">
        <v>2929</v>
      </c>
      <c r="H125" s="154"/>
      <c r="I125" s="158"/>
      <c r="J125" s="151" t="s">
        <v>2712</v>
      </c>
      <c r="K125" s="151">
        <v>3.0</v>
      </c>
      <c r="L125" s="151" t="s">
        <v>169</v>
      </c>
      <c r="M125" s="151" t="s">
        <v>2781</v>
      </c>
      <c r="N125" s="154"/>
      <c r="O125" s="154"/>
      <c r="P125" s="151" t="s">
        <v>2783</v>
      </c>
      <c r="Q125" s="154"/>
      <c r="R125" s="156" t="s">
        <v>2930</v>
      </c>
      <c r="S125" s="156"/>
    </row>
    <row r="126" hidden="1">
      <c r="A126" s="151">
        <v>124.0</v>
      </c>
      <c r="B126" s="151" t="s">
        <v>2927</v>
      </c>
      <c r="C126" s="151">
        <v>2.0</v>
      </c>
      <c r="D126" s="151">
        <v>2024.0</v>
      </c>
      <c r="E126" s="154"/>
      <c r="F126" s="158"/>
      <c r="G126" s="151" t="s">
        <v>2931</v>
      </c>
      <c r="H126" s="154"/>
      <c r="I126" s="158"/>
      <c r="J126" s="151" t="s">
        <v>2712</v>
      </c>
      <c r="K126" s="151">
        <v>63.0</v>
      </c>
      <c r="L126" s="151" t="s">
        <v>2932</v>
      </c>
      <c r="M126" s="151" t="s">
        <v>2919</v>
      </c>
      <c r="N126" s="154"/>
      <c r="O126" s="154"/>
      <c r="P126" s="151" t="s">
        <v>2775</v>
      </c>
      <c r="Q126" s="154"/>
      <c r="R126" s="156"/>
      <c r="S126" s="156"/>
    </row>
    <row r="127" hidden="1">
      <c r="A127" s="151">
        <v>125.0</v>
      </c>
      <c r="B127" s="151" t="s">
        <v>2933</v>
      </c>
      <c r="C127" s="151">
        <v>2.0</v>
      </c>
      <c r="D127" s="151">
        <v>2024.0</v>
      </c>
      <c r="E127" s="151">
        <v>2400003.0</v>
      </c>
      <c r="F127" s="155">
        <v>170455.42</v>
      </c>
      <c r="G127" s="151" t="s">
        <v>2934</v>
      </c>
      <c r="H127" s="154"/>
      <c r="I127" s="158"/>
      <c r="J127" s="151" t="s">
        <v>2822</v>
      </c>
      <c r="K127" s="151">
        <v>13.0</v>
      </c>
      <c r="L127" s="151" t="s">
        <v>105</v>
      </c>
      <c r="M127" s="151" t="s">
        <v>38</v>
      </c>
      <c r="N127" s="154"/>
      <c r="O127" s="154"/>
      <c r="P127" s="151" t="s">
        <v>2783</v>
      </c>
      <c r="Q127" s="154"/>
      <c r="R127" s="156" t="s">
        <v>2935</v>
      </c>
      <c r="S127" s="156"/>
    </row>
    <row r="128" hidden="1">
      <c r="A128" s="151">
        <v>126.0</v>
      </c>
      <c r="B128" s="151" t="s">
        <v>2936</v>
      </c>
      <c r="C128" s="151">
        <v>2.0</v>
      </c>
      <c r="D128" s="151">
        <v>2024.0</v>
      </c>
      <c r="E128" s="151">
        <v>2400004.0</v>
      </c>
      <c r="F128" s="155">
        <v>442528.15</v>
      </c>
      <c r="G128" s="151" t="s">
        <v>2937</v>
      </c>
      <c r="H128" s="154"/>
      <c r="I128" s="158"/>
      <c r="J128" s="151" t="s">
        <v>2822</v>
      </c>
      <c r="K128" s="154"/>
      <c r="L128" s="151" t="s">
        <v>81</v>
      </c>
      <c r="M128" s="151" t="s">
        <v>2781</v>
      </c>
      <c r="N128" s="154"/>
      <c r="O128" s="154"/>
      <c r="P128" s="151" t="s">
        <v>2783</v>
      </c>
      <c r="Q128" s="154"/>
      <c r="R128" s="156" t="s">
        <v>2833</v>
      </c>
      <c r="S128" s="156"/>
    </row>
    <row r="129" hidden="1">
      <c r="A129" s="151">
        <v>127.0</v>
      </c>
      <c r="B129" s="151" t="s">
        <v>2938</v>
      </c>
      <c r="C129" s="151">
        <v>2.0</v>
      </c>
      <c r="D129" s="151">
        <v>2024.0</v>
      </c>
      <c r="E129" s="151">
        <v>2400005.0</v>
      </c>
      <c r="F129" s="155">
        <v>633616.4</v>
      </c>
      <c r="G129" s="151" t="s">
        <v>2939</v>
      </c>
      <c r="H129" s="154"/>
      <c r="I129" s="158"/>
      <c r="J129" s="151" t="s">
        <v>2822</v>
      </c>
      <c r="K129" s="154"/>
      <c r="L129" s="151" t="s">
        <v>81</v>
      </c>
      <c r="M129" s="151" t="s">
        <v>2781</v>
      </c>
      <c r="N129" s="154"/>
      <c r="O129" s="154"/>
      <c r="P129" s="151" t="s">
        <v>2783</v>
      </c>
      <c r="Q129" s="154"/>
      <c r="R129" s="156" t="s">
        <v>2940</v>
      </c>
      <c r="S129" s="156"/>
    </row>
    <row r="130" hidden="1">
      <c r="A130" s="151">
        <v>128.0</v>
      </c>
      <c r="B130" s="152">
        <v>45325.0</v>
      </c>
      <c r="C130" s="151">
        <v>3.0</v>
      </c>
      <c r="D130" s="151">
        <v>2024.0</v>
      </c>
      <c r="E130" s="154"/>
      <c r="F130" s="158"/>
      <c r="G130" s="151" t="s">
        <v>2941</v>
      </c>
      <c r="H130" s="154"/>
      <c r="I130" s="158"/>
      <c r="J130" s="151" t="s">
        <v>2712</v>
      </c>
      <c r="K130" s="154"/>
      <c r="L130" s="151" t="s">
        <v>637</v>
      </c>
      <c r="M130" s="151" t="s">
        <v>2749</v>
      </c>
      <c r="N130" s="154"/>
      <c r="O130" s="154"/>
      <c r="P130" s="151" t="s">
        <v>2775</v>
      </c>
      <c r="Q130" s="154"/>
      <c r="R130" s="156"/>
      <c r="S130" s="156"/>
    </row>
    <row r="131" hidden="1">
      <c r="A131" s="151">
        <v>129.0</v>
      </c>
      <c r="B131" s="152">
        <v>45568.0</v>
      </c>
      <c r="C131" s="151">
        <v>3.0</v>
      </c>
      <c r="D131" s="151">
        <v>2024.0</v>
      </c>
      <c r="E131" s="151">
        <v>2400006.0</v>
      </c>
      <c r="F131" s="158"/>
      <c r="G131" s="151" t="s">
        <v>2942</v>
      </c>
      <c r="H131" s="154"/>
      <c r="I131" s="158"/>
      <c r="J131" s="151" t="s">
        <v>2822</v>
      </c>
      <c r="K131" s="151">
        <v>3.0</v>
      </c>
      <c r="L131" s="151" t="s">
        <v>2943</v>
      </c>
      <c r="M131" s="151" t="s">
        <v>2919</v>
      </c>
      <c r="N131" s="154"/>
      <c r="O131" s="154"/>
      <c r="P131" s="151" t="s">
        <v>2783</v>
      </c>
      <c r="Q131" s="154"/>
      <c r="R131" s="156" t="s">
        <v>2944</v>
      </c>
      <c r="S131" s="156"/>
    </row>
    <row r="132" hidden="1">
      <c r="A132" s="151">
        <v>130.0</v>
      </c>
      <c r="B132" s="152">
        <v>45568.0</v>
      </c>
      <c r="C132" s="151">
        <v>3.0</v>
      </c>
      <c r="D132" s="151">
        <v>2024.0</v>
      </c>
      <c r="E132" s="154"/>
      <c r="F132" s="158"/>
      <c r="G132" s="151" t="s">
        <v>2945</v>
      </c>
      <c r="H132" s="154"/>
      <c r="I132" s="158"/>
      <c r="J132" s="151" t="s">
        <v>2712</v>
      </c>
      <c r="K132" s="154"/>
      <c r="L132" s="151" t="s">
        <v>2946</v>
      </c>
      <c r="M132" s="151" t="s">
        <v>2781</v>
      </c>
      <c r="N132" s="154"/>
      <c r="O132" s="154"/>
      <c r="P132" s="151" t="s">
        <v>2775</v>
      </c>
      <c r="Q132" s="154"/>
      <c r="R132" s="156" t="s">
        <v>2833</v>
      </c>
      <c r="S132" s="156"/>
    </row>
    <row r="133" hidden="1">
      <c r="A133" s="151">
        <v>131.0</v>
      </c>
      <c r="B133" s="151" t="s">
        <v>2947</v>
      </c>
      <c r="C133" s="154"/>
      <c r="D133" s="154"/>
      <c r="E133" s="154"/>
      <c r="F133" s="158"/>
      <c r="G133" s="151" t="s">
        <v>2948</v>
      </c>
      <c r="H133" s="154"/>
      <c r="I133" s="158"/>
      <c r="J133" s="154"/>
      <c r="K133" s="154"/>
      <c r="L133" s="151" t="s">
        <v>2946</v>
      </c>
      <c r="M133" s="151" t="s">
        <v>2781</v>
      </c>
      <c r="N133" s="154"/>
      <c r="O133" s="154"/>
      <c r="P133" s="151" t="s">
        <v>2775</v>
      </c>
      <c r="Q133" s="154"/>
      <c r="R133" s="156" t="s">
        <v>2949</v>
      </c>
      <c r="S133" s="156"/>
    </row>
    <row r="134" hidden="1">
      <c r="A134" s="151">
        <v>132.0</v>
      </c>
      <c r="B134" s="151" t="s">
        <v>2950</v>
      </c>
      <c r="C134" s="151">
        <v>3.0</v>
      </c>
      <c r="D134" s="151">
        <v>2024.0</v>
      </c>
      <c r="E134" s="154"/>
      <c r="F134" s="158"/>
      <c r="G134" s="151" t="s">
        <v>2951</v>
      </c>
      <c r="H134" s="154"/>
      <c r="I134" s="155">
        <v>27145.44</v>
      </c>
      <c r="J134" s="151" t="s">
        <v>2712</v>
      </c>
      <c r="K134" s="154"/>
      <c r="L134" s="151" t="s">
        <v>169</v>
      </c>
      <c r="M134" s="151" t="s">
        <v>2781</v>
      </c>
      <c r="N134" s="154"/>
      <c r="O134" s="154"/>
      <c r="P134" s="151" t="s">
        <v>2783</v>
      </c>
      <c r="Q134" s="154"/>
      <c r="R134" s="156" t="s">
        <v>2952</v>
      </c>
      <c r="S134" s="156"/>
    </row>
    <row r="135" hidden="1">
      <c r="A135" s="151">
        <v>133.0</v>
      </c>
      <c r="B135" s="151" t="s">
        <v>2953</v>
      </c>
      <c r="C135" s="151">
        <v>3.0</v>
      </c>
      <c r="D135" s="151">
        <v>2024.0</v>
      </c>
      <c r="E135" s="151">
        <v>2400008.0</v>
      </c>
      <c r="F135" s="155">
        <v>269880.0</v>
      </c>
      <c r="G135" s="151" t="s">
        <v>2954</v>
      </c>
      <c r="H135" s="154"/>
      <c r="I135" s="158"/>
      <c r="J135" s="151" t="s">
        <v>2712</v>
      </c>
      <c r="K135" s="151">
        <v>19.0</v>
      </c>
      <c r="L135" s="151" t="s">
        <v>37</v>
      </c>
      <c r="M135" s="151" t="s">
        <v>38</v>
      </c>
      <c r="N135" s="154"/>
      <c r="O135" s="154"/>
      <c r="P135" s="151" t="s">
        <v>2783</v>
      </c>
      <c r="Q135" s="154"/>
      <c r="R135" s="156" t="s">
        <v>2955</v>
      </c>
      <c r="S135" s="156"/>
    </row>
    <row r="136" hidden="1">
      <c r="A136" s="151">
        <v>134.0</v>
      </c>
      <c r="B136" s="151" t="s">
        <v>2956</v>
      </c>
      <c r="C136" s="151">
        <v>3.0</v>
      </c>
      <c r="D136" s="151">
        <v>2024.0</v>
      </c>
      <c r="E136" s="154"/>
      <c r="F136" s="155">
        <v>733222.0</v>
      </c>
      <c r="G136" s="151" t="s">
        <v>2957</v>
      </c>
      <c r="H136" s="154"/>
      <c r="I136" s="158"/>
      <c r="J136" s="151" t="s">
        <v>2712</v>
      </c>
      <c r="K136" s="154"/>
      <c r="L136" s="151" t="s">
        <v>2958</v>
      </c>
      <c r="M136" s="169" t="s">
        <v>2781</v>
      </c>
      <c r="N136" s="154"/>
      <c r="O136" s="154"/>
      <c r="P136" s="151" t="s">
        <v>2775</v>
      </c>
      <c r="Q136" s="154"/>
      <c r="R136" s="156" t="s">
        <v>2959</v>
      </c>
      <c r="S136" s="156"/>
    </row>
    <row r="137">
      <c r="A137" s="151">
        <v>135.0</v>
      </c>
      <c r="B137" s="152">
        <v>45355.0</v>
      </c>
      <c r="C137" s="151">
        <v>4.0</v>
      </c>
      <c r="D137" s="151">
        <v>2024.0</v>
      </c>
      <c r="E137" s="154"/>
      <c r="F137" s="158"/>
      <c r="G137" s="151" t="s">
        <v>2960</v>
      </c>
      <c r="H137" s="154"/>
      <c r="I137" s="155">
        <v>407943.41</v>
      </c>
      <c r="J137" s="151" t="s">
        <v>2822</v>
      </c>
      <c r="K137" s="154"/>
      <c r="L137" s="151" t="s">
        <v>26</v>
      </c>
      <c r="M137" s="151" t="s">
        <v>38</v>
      </c>
      <c r="N137" s="154"/>
      <c r="O137" s="154"/>
      <c r="P137" s="151" t="s">
        <v>2783</v>
      </c>
      <c r="Q137" s="154"/>
      <c r="R137" s="156" t="s">
        <v>2961</v>
      </c>
      <c r="S137" s="156"/>
    </row>
    <row r="138" hidden="1">
      <c r="A138" s="151">
        <v>136.0</v>
      </c>
      <c r="B138" s="151" t="s">
        <v>2962</v>
      </c>
      <c r="C138" s="151">
        <v>4.0</v>
      </c>
      <c r="D138" s="151">
        <v>2024.0</v>
      </c>
      <c r="E138" s="154"/>
      <c r="F138" s="158"/>
      <c r="G138" s="151" t="s">
        <v>2963</v>
      </c>
      <c r="H138" s="154"/>
      <c r="I138" s="155">
        <v>221061.0</v>
      </c>
      <c r="J138" s="151" t="s">
        <v>2822</v>
      </c>
      <c r="K138" s="154"/>
      <c r="L138" s="151" t="s">
        <v>2785</v>
      </c>
      <c r="M138" s="151" t="s">
        <v>2781</v>
      </c>
      <c r="N138" s="154"/>
      <c r="O138" s="154"/>
      <c r="P138" s="151" t="s">
        <v>2783</v>
      </c>
      <c r="Q138" s="154"/>
      <c r="R138" s="156" t="s">
        <v>2964</v>
      </c>
      <c r="S138" s="156"/>
    </row>
    <row r="139" hidden="1">
      <c r="A139" s="151">
        <v>137.0</v>
      </c>
      <c r="B139" s="151" t="s">
        <v>2965</v>
      </c>
      <c r="C139" s="151">
        <v>4.0</v>
      </c>
      <c r="D139" s="151">
        <v>2024.0</v>
      </c>
      <c r="E139" s="151">
        <v>2400009.0</v>
      </c>
      <c r="F139" s="155">
        <v>52747.0</v>
      </c>
      <c r="G139" s="151" t="s">
        <v>2966</v>
      </c>
      <c r="H139" s="151">
        <v>2400091.0</v>
      </c>
      <c r="I139" s="155">
        <v>52747.0</v>
      </c>
      <c r="J139" s="151" t="s">
        <v>2712</v>
      </c>
      <c r="K139" s="154"/>
      <c r="L139" s="151" t="s">
        <v>37</v>
      </c>
      <c r="M139" s="151" t="s">
        <v>38</v>
      </c>
      <c r="N139" s="154"/>
      <c r="O139" s="154"/>
      <c r="P139" s="151" t="s">
        <v>2783</v>
      </c>
      <c r="Q139" s="154"/>
      <c r="R139" s="156" t="s">
        <v>2854</v>
      </c>
      <c r="S139" s="156"/>
    </row>
    <row r="140" hidden="1">
      <c r="A140" s="151">
        <v>138.0</v>
      </c>
      <c r="B140" s="151" t="s">
        <v>2965</v>
      </c>
      <c r="C140" s="151">
        <v>4.0</v>
      </c>
      <c r="D140" s="151">
        <v>2024.0</v>
      </c>
      <c r="E140" s="151">
        <v>2400010.0</v>
      </c>
      <c r="F140" s="155">
        <v>24768.0</v>
      </c>
      <c r="G140" s="151" t="s">
        <v>2967</v>
      </c>
      <c r="H140" s="151">
        <v>2400092.0</v>
      </c>
      <c r="I140" s="155">
        <v>24768.0</v>
      </c>
      <c r="J140" s="151" t="s">
        <v>2712</v>
      </c>
      <c r="K140" s="154"/>
      <c r="L140" s="151" t="s">
        <v>37</v>
      </c>
      <c r="M140" s="151" t="s">
        <v>38</v>
      </c>
      <c r="N140" s="154"/>
      <c r="O140" s="154"/>
      <c r="P140" s="151" t="s">
        <v>2783</v>
      </c>
      <c r="Q140" s="154"/>
      <c r="R140" s="156" t="s">
        <v>2968</v>
      </c>
      <c r="S140" s="156"/>
    </row>
    <row r="141" hidden="1">
      <c r="A141" s="151">
        <v>139.0</v>
      </c>
      <c r="B141" s="159"/>
      <c r="C141" s="154"/>
      <c r="D141" s="154"/>
      <c r="E141" s="154"/>
      <c r="F141" s="158"/>
      <c r="G141" s="151" t="s">
        <v>2969</v>
      </c>
      <c r="H141" s="154"/>
      <c r="I141" s="158"/>
      <c r="J141" s="151" t="s">
        <v>2822</v>
      </c>
      <c r="K141" s="154"/>
      <c r="L141" s="151" t="s">
        <v>259</v>
      </c>
      <c r="M141" s="151" t="s">
        <v>2730</v>
      </c>
      <c r="N141" s="154"/>
      <c r="O141" s="154"/>
      <c r="P141" s="151" t="s">
        <v>2783</v>
      </c>
      <c r="Q141" s="154"/>
      <c r="R141" s="156" t="s">
        <v>2970</v>
      </c>
      <c r="S141" s="156"/>
    </row>
    <row r="142" hidden="1">
      <c r="A142" s="151">
        <v>140.0</v>
      </c>
      <c r="B142" s="159"/>
      <c r="C142" s="154"/>
      <c r="D142" s="151">
        <v>2024.0</v>
      </c>
      <c r="E142" s="154"/>
      <c r="F142" s="158"/>
      <c r="G142" s="151" t="s">
        <v>2971</v>
      </c>
      <c r="H142" s="154"/>
      <c r="I142" s="155">
        <v>91675.41</v>
      </c>
      <c r="J142" s="151" t="s">
        <v>2822</v>
      </c>
      <c r="K142" s="154"/>
      <c r="L142" s="151" t="s">
        <v>350</v>
      </c>
      <c r="M142" s="151" t="s">
        <v>2781</v>
      </c>
      <c r="N142" s="154"/>
      <c r="O142" s="154"/>
      <c r="P142" s="151" t="s">
        <v>2783</v>
      </c>
      <c r="Q142" s="154"/>
      <c r="R142" s="156" t="s">
        <v>2972</v>
      </c>
      <c r="S142" s="156"/>
    </row>
    <row r="143" hidden="1">
      <c r="A143" s="151">
        <v>141.0</v>
      </c>
      <c r="B143" s="152">
        <v>45417.0</v>
      </c>
      <c r="C143" s="151">
        <v>5.0</v>
      </c>
      <c r="D143" s="151">
        <v>2024.0</v>
      </c>
      <c r="E143" s="154"/>
      <c r="F143" s="158"/>
      <c r="G143" s="151" t="s">
        <v>2973</v>
      </c>
      <c r="H143" s="154"/>
      <c r="I143" s="155">
        <v>25028.82</v>
      </c>
      <c r="J143" s="151" t="s">
        <v>2822</v>
      </c>
      <c r="K143" s="154"/>
      <c r="L143" s="151" t="s">
        <v>143</v>
      </c>
      <c r="M143" s="151" t="s">
        <v>2781</v>
      </c>
      <c r="N143" s="154"/>
      <c r="O143" s="154"/>
      <c r="P143" s="151" t="s">
        <v>2783</v>
      </c>
      <c r="Q143" s="154"/>
      <c r="R143" s="156" t="s">
        <v>2974</v>
      </c>
      <c r="S143" s="156"/>
    </row>
    <row r="144" hidden="1">
      <c r="A144" s="151">
        <v>142.0</v>
      </c>
      <c r="B144" s="152">
        <v>45448.0</v>
      </c>
      <c r="C144" s="151">
        <v>5.0</v>
      </c>
      <c r="D144" s="151">
        <v>2024.0</v>
      </c>
      <c r="E144" s="154"/>
      <c r="F144" s="158"/>
      <c r="G144" s="151" t="s">
        <v>2975</v>
      </c>
      <c r="H144" s="154"/>
      <c r="I144" s="155">
        <v>36677.0</v>
      </c>
      <c r="J144" s="151" t="s">
        <v>2822</v>
      </c>
      <c r="K144" s="154"/>
      <c r="L144" s="151" t="s">
        <v>2976</v>
      </c>
      <c r="M144" s="151" t="s">
        <v>2781</v>
      </c>
      <c r="N144" s="154"/>
      <c r="O144" s="154"/>
      <c r="P144" s="151" t="s">
        <v>2783</v>
      </c>
      <c r="Q144" s="154"/>
      <c r="R144" s="156"/>
      <c r="S144" s="156"/>
    </row>
    <row r="145" hidden="1">
      <c r="A145" s="151">
        <v>143.0</v>
      </c>
      <c r="B145" s="152">
        <v>45448.0</v>
      </c>
      <c r="C145" s="151">
        <v>5.0</v>
      </c>
      <c r="D145" s="151">
        <v>2024.0</v>
      </c>
      <c r="E145" s="154"/>
      <c r="F145" s="158"/>
      <c r="G145" s="151" t="s">
        <v>2977</v>
      </c>
      <c r="H145" s="154"/>
      <c r="I145" s="155">
        <v>49585.0</v>
      </c>
      <c r="J145" s="151" t="s">
        <v>2712</v>
      </c>
      <c r="K145" s="154"/>
      <c r="L145" s="151" t="s">
        <v>169</v>
      </c>
      <c r="M145" s="151" t="s">
        <v>2781</v>
      </c>
      <c r="N145" s="154"/>
      <c r="O145" s="154"/>
      <c r="P145" s="151" t="s">
        <v>2783</v>
      </c>
      <c r="Q145" s="154"/>
      <c r="R145" s="156" t="s">
        <v>2978</v>
      </c>
      <c r="S145" s="156"/>
    </row>
    <row r="146" hidden="1">
      <c r="A146" s="151">
        <v>144.0</v>
      </c>
      <c r="B146" s="152">
        <v>45448.0</v>
      </c>
      <c r="C146" s="151">
        <v>5.0</v>
      </c>
      <c r="D146" s="151">
        <v>2024.0</v>
      </c>
      <c r="E146" s="154"/>
      <c r="F146" s="158"/>
      <c r="G146" s="151" t="s">
        <v>2979</v>
      </c>
      <c r="H146" s="154"/>
      <c r="I146" s="155">
        <v>62692.62</v>
      </c>
      <c r="J146" s="151" t="s">
        <v>2822</v>
      </c>
      <c r="K146" s="154"/>
      <c r="L146" s="151" t="s">
        <v>413</v>
      </c>
      <c r="M146" s="151" t="s">
        <v>2781</v>
      </c>
      <c r="N146" s="154"/>
      <c r="O146" s="154"/>
      <c r="P146" s="151" t="s">
        <v>2783</v>
      </c>
      <c r="Q146" s="154"/>
      <c r="R146" s="156" t="s">
        <v>2980</v>
      </c>
      <c r="S146" s="156"/>
    </row>
    <row r="147" hidden="1">
      <c r="A147" s="151">
        <v>145.0</v>
      </c>
      <c r="B147" s="159"/>
      <c r="C147" s="154"/>
      <c r="D147" s="154"/>
      <c r="E147" s="154"/>
      <c r="F147" s="158"/>
      <c r="G147" s="151" t="s">
        <v>2981</v>
      </c>
      <c r="H147" s="154"/>
      <c r="I147" s="155">
        <v>512156.36</v>
      </c>
      <c r="J147" s="154"/>
      <c r="K147" s="154"/>
      <c r="L147" s="151" t="s">
        <v>2814</v>
      </c>
      <c r="M147" s="151" t="s">
        <v>2872</v>
      </c>
      <c r="N147" s="154"/>
      <c r="O147" s="154"/>
      <c r="P147" s="170" t="s">
        <v>2775</v>
      </c>
      <c r="Q147" s="152">
        <v>45300.0</v>
      </c>
      <c r="R147" s="156"/>
      <c r="S147" s="156"/>
    </row>
    <row r="148" hidden="1">
      <c r="A148" s="151">
        <v>146.0</v>
      </c>
      <c r="B148" s="151" t="s">
        <v>2982</v>
      </c>
      <c r="C148" s="151">
        <v>5.0</v>
      </c>
      <c r="D148" s="151">
        <v>2024.0</v>
      </c>
      <c r="E148" s="151">
        <v>2400015.0</v>
      </c>
      <c r="F148" s="155">
        <v>399900.0</v>
      </c>
      <c r="G148" s="151" t="s">
        <v>2983</v>
      </c>
      <c r="H148" s="154"/>
      <c r="I148" s="158"/>
      <c r="J148" s="151" t="s">
        <v>2712</v>
      </c>
      <c r="K148" s="154"/>
      <c r="L148" s="151" t="s">
        <v>37</v>
      </c>
      <c r="M148" s="151" t="s">
        <v>38</v>
      </c>
      <c r="N148" s="154"/>
      <c r="O148" s="154"/>
      <c r="P148" s="151" t="s">
        <v>2783</v>
      </c>
      <c r="Q148" s="154"/>
      <c r="R148" s="156" t="s">
        <v>2843</v>
      </c>
      <c r="S148" s="156"/>
    </row>
    <row r="149" hidden="1">
      <c r="A149" s="151">
        <v>147.0</v>
      </c>
      <c r="B149" s="152">
        <v>45540.0</v>
      </c>
      <c r="C149" s="151">
        <v>5.0</v>
      </c>
      <c r="D149" s="151">
        <v>2024.0</v>
      </c>
      <c r="E149" s="154"/>
      <c r="F149" s="158"/>
      <c r="G149" s="151" t="s">
        <v>2984</v>
      </c>
      <c r="H149" s="154"/>
      <c r="I149" s="158"/>
      <c r="J149" s="154"/>
      <c r="K149" s="154"/>
      <c r="L149" s="151" t="s">
        <v>637</v>
      </c>
      <c r="M149" s="169" t="s">
        <v>2781</v>
      </c>
      <c r="N149" s="154"/>
      <c r="O149" s="154"/>
      <c r="P149" s="154"/>
      <c r="Q149" s="154"/>
      <c r="R149" s="156" t="s">
        <v>2985</v>
      </c>
      <c r="S149" s="156"/>
    </row>
    <row r="150" hidden="1">
      <c r="A150" s="151">
        <v>148.0</v>
      </c>
      <c r="B150" s="152">
        <v>45540.0</v>
      </c>
      <c r="C150" s="151">
        <v>5.0</v>
      </c>
      <c r="D150" s="151">
        <v>2024.0</v>
      </c>
      <c r="E150" s="151">
        <v>2400012.0</v>
      </c>
      <c r="F150" s="155">
        <v>28704.0</v>
      </c>
      <c r="G150" s="151" t="s">
        <v>2986</v>
      </c>
      <c r="H150" s="154"/>
      <c r="I150" s="158"/>
      <c r="J150" s="151" t="s">
        <v>2712</v>
      </c>
      <c r="K150" s="154"/>
      <c r="L150" s="151" t="s">
        <v>1066</v>
      </c>
      <c r="M150" s="151" t="s">
        <v>38</v>
      </c>
      <c r="N150" s="154"/>
      <c r="O150" s="154"/>
      <c r="P150" s="151" t="s">
        <v>2783</v>
      </c>
      <c r="Q150" s="154"/>
      <c r="R150" s="156" t="s">
        <v>2987</v>
      </c>
      <c r="S150" s="156"/>
    </row>
    <row r="151" hidden="1">
      <c r="A151" s="151">
        <v>149.0</v>
      </c>
      <c r="B151" s="152">
        <v>45540.0</v>
      </c>
      <c r="C151" s="151">
        <v>5.0</v>
      </c>
      <c r="D151" s="151">
        <v>2024.0</v>
      </c>
      <c r="E151" s="151">
        <v>2400013.0</v>
      </c>
      <c r="F151" s="155">
        <v>20219.76</v>
      </c>
      <c r="G151" s="151" t="s">
        <v>2988</v>
      </c>
      <c r="H151" s="154"/>
      <c r="I151" s="158"/>
      <c r="J151" s="151" t="s">
        <v>2712</v>
      </c>
      <c r="K151" s="154"/>
      <c r="L151" s="151" t="s">
        <v>1066</v>
      </c>
      <c r="M151" s="151" t="s">
        <v>38</v>
      </c>
      <c r="N151" s="154"/>
      <c r="O151" s="154"/>
      <c r="P151" s="151" t="s">
        <v>2783</v>
      </c>
      <c r="Q151" s="154"/>
      <c r="R151" s="156" t="s">
        <v>2989</v>
      </c>
      <c r="S151" s="156"/>
    </row>
    <row r="152" hidden="1">
      <c r="A152" s="151">
        <v>150.0</v>
      </c>
      <c r="B152" s="151" t="s">
        <v>2990</v>
      </c>
      <c r="C152" s="151">
        <v>5.0</v>
      </c>
      <c r="D152" s="151">
        <v>2024.0</v>
      </c>
      <c r="E152" s="151">
        <v>2400014.0</v>
      </c>
      <c r="F152" s="155">
        <v>17370.0</v>
      </c>
      <c r="G152" s="151" t="s">
        <v>2991</v>
      </c>
      <c r="H152" s="154"/>
      <c r="I152" s="158"/>
      <c r="J152" s="151" t="s">
        <v>2822</v>
      </c>
      <c r="K152" s="154"/>
      <c r="L152" s="151" t="s">
        <v>143</v>
      </c>
      <c r="M152" s="151" t="s">
        <v>2781</v>
      </c>
      <c r="N152" s="154"/>
      <c r="O152" s="154"/>
      <c r="P152" s="151" t="s">
        <v>2783</v>
      </c>
      <c r="Q152" s="154"/>
      <c r="R152" s="156" t="s">
        <v>2992</v>
      </c>
      <c r="S152" s="156"/>
    </row>
    <row r="153" hidden="1">
      <c r="A153" s="151">
        <v>151.0</v>
      </c>
      <c r="B153" s="152">
        <v>45388.0</v>
      </c>
      <c r="C153" s="151">
        <v>6.0</v>
      </c>
      <c r="D153" s="151">
        <v>2024.0</v>
      </c>
      <c r="E153" s="154"/>
      <c r="F153" s="158"/>
      <c r="G153" s="151" t="s">
        <v>2993</v>
      </c>
      <c r="H153" s="154"/>
      <c r="I153" s="158"/>
      <c r="J153" s="151" t="s">
        <v>2712</v>
      </c>
      <c r="K153" s="154"/>
      <c r="L153" s="151" t="s">
        <v>1066</v>
      </c>
      <c r="M153" s="171" t="s">
        <v>2994</v>
      </c>
      <c r="N153" s="172"/>
      <c r="O153" s="154"/>
      <c r="P153" s="151" t="s">
        <v>2847</v>
      </c>
      <c r="Q153" s="154"/>
      <c r="R153" s="156" t="s">
        <v>2995</v>
      </c>
      <c r="S153" s="156"/>
    </row>
    <row r="154" hidden="1">
      <c r="A154" s="151">
        <v>152.0</v>
      </c>
      <c r="B154" s="151" t="s">
        <v>2996</v>
      </c>
      <c r="C154" s="151">
        <v>6.0</v>
      </c>
      <c r="D154" s="151">
        <v>2024.0</v>
      </c>
      <c r="E154" s="154"/>
      <c r="F154" s="158"/>
      <c r="G154" s="151" t="s">
        <v>2997</v>
      </c>
      <c r="H154" s="154"/>
      <c r="I154" s="155">
        <v>291232.08</v>
      </c>
      <c r="J154" s="151" t="s">
        <v>2998</v>
      </c>
      <c r="K154" s="154"/>
      <c r="L154" s="151" t="s">
        <v>2999</v>
      </c>
      <c r="M154" s="151" t="s">
        <v>2781</v>
      </c>
      <c r="N154" s="154"/>
      <c r="O154" s="154"/>
      <c r="P154" s="151" t="s">
        <v>2783</v>
      </c>
      <c r="Q154" s="154"/>
      <c r="R154" s="156" t="s">
        <v>3000</v>
      </c>
      <c r="S154" s="156"/>
    </row>
    <row r="155" hidden="1">
      <c r="A155" s="151">
        <v>153.0</v>
      </c>
      <c r="B155" s="151" t="s">
        <v>2996</v>
      </c>
      <c r="C155" s="151">
        <v>6.0</v>
      </c>
      <c r="D155" s="151">
        <v>2024.0</v>
      </c>
      <c r="E155" s="154"/>
      <c r="F155" s="158"/>
      <c r="G155" s="151" t="s">
        <v>3001</v>
      </c>
      <c r="H155" s="154"/>
      <c r="I155" s="155">
        <v>248028.66</v>
      </c>
      <c r="J155" s="151" t="s">
        <v>2998</v>
      </c>
      <c r="K155" s="154"/>
      <c r="L155" s="151" t="s">
        <v>2812</v>
      </c>
      <c r="M155" s="151" t="s">
        <v>38</v>
      </c>
      <c r="N155" s="154"/>
      <c r="O155" s="154"/>
      <c r="P155" s="151" t="s">
        <v>2783</v>
      </c>
      <c r="Q155" s="154"/>
      <c r="R155" s="156" t="s">
        <v>3002</v>
      </c>
      <c r="S155" s="156"/>
    </row>
    <row r="156" hidden="1">
      <c r="A156" s="151">
        <v>154.0</v>
      </c>
      <c r="B156" s="173">
        <v>45542.0</v>
      </c>
      <c r="C156" s="151">
        <v>7.0</v>
      </c>
      <c r="D156" s="151">
        <v>2024.0</v>
      </c>
      <c r="E156" s="154">
        <v>2400016.0</v>
      </c>
      <c r="F156" s="158">
        <v>49692.0</v>
      </c>
      <c r="G156" s="151" t="s">
        <v>3003</v>
      </c>
      <c r="H156" s="154"/>
      <c r="I156" s="155"/>
      <c r="J156" s="151"/>
      <c r="K156" s="154"/>
      <c r="L156" s="151" t="s">
        <v>1066</v>
      </c>
      <c r="M156" s="169" t="s">
        <v>38</v>
      </c>
      <c r="N156" s="154"/>
      <c r="O156" s="154"/>
      <c r="P156" s="151" t="s">
        <v>2783</v>
      </c>
      <c r="Q156" s="154" t="s">
        <v>3004</v>
      </c>
      <c r="R156" s="156" t="s">
        <v>2807</v>
      </c>
      <c r="S156" s="156"/>
    </row>
    <row r="157" hidden="1">
      <c r="A157" s="151">
        <v>155.0</v>
      </c>
      <c r="B157" s="151" t="s">
        <v>3005</v>
      </c>
      <c r="C157" s="151">
        <v>7.0</v>
      </c>
      <c r="D157" s="151"/>
      <c r="E157" s="154"/>
      <c r="F157" s="158"/>
      <c r="G157" s="151" t="s">
        <v>3006</v>
      </c>
      <c r="H157" s="154"/>
      <c r="I157" s="155">
        <v>63772.42</v>
      </c>
      <c r="J157" s="151"/>
      <c r="K157" s="154"/>
      <c r="L157" s="151" t="s">
        <v>3007</v>
      </c>
      <c r="M157" s="151" t="s">
        <v>2749</v>
      </c>
      <c r="N157" s="154"/>
      <c r="O157" s="154"/>
      <c r="P157" s="151" t="s">
        <v>2783</v>
      </c>
      <c r="Q157" s="154"/>
      <c r="R157" s="156" t="s">
        <v>3008</v>
      </c>
      <c r="S157" s="156"/>
    </row>
    <row r="158" hidden="1">
      <c r="A158" s="151">
        <v>156.0</v>
      </c>
      <c r="B158" s="151"/>
      <c r="C158" s="151"/>
      <c r="D158" s="151"/>
      <c r="E158" s="154"/>
      <c r="F158" s="158"/>
      <c r="G158" s="151" t="s">
        <v>3009</v>
      </c>
      <c r="H158" s="154"/>
      <c r="I158" s="155"/>
      <c r="J158" s="151"/>
      <c r="K158" s="154"/>
      <c r="L158" s="151"/>
      <c r="M158" s="169" t="s">
        <v>2994</v>
      </c>
      <c r="N158" s="172"/>
      <c r="O158" s="154"/>
      <c r="P158" s="151"/>
      <c r="Q158" s="154"/>
      <c r="R158" s="156"/>
      <c r="S158" s="156"/>
    </row>
    <row r="159" hidden="1">
      <c r="A159" s="151">
        <v>157.0</v>
      </c>
      <c r="B159" s="151" t="s">
        <v>3010</v>
      </c>
      <c r="C159" s="151"/>
      <c r="D159" s="151"/>
      <c r="E159" s="154"/>
      <c r="F159" s="158"/>
      <c r="G159" s="151" t="s">
        <v>3011</v>
      </c>
      <c r="H159" s="154"/>
      <c r="I159" s="155"/>
      <c r="J159" s="151"/>
      <c r="K159" s="154"/>
      <c r="L159" s="151" t="s">
        <v>3012</v>
      </c>
      <c r="M159" s="151" t="s">
        <v>2919</v>
      </c>
      <c r="N159" s="154"/>
      <c r="O159" s="154"/>
      <c r="P159" s="151" t="s">
        <v>2775</v>
      </c>
      <c r="Q159" s="154"/>
      <c r="R159" s="156"/>
      <c r="S159" s="156"/>
    </row>
    <row r="160" hidden="1">
      <c r="A160" s="151">
        <v>158.0</v>
      </c>
      <c r="B160" s="173">
        <v>45299.0</v>
      </c>
      <c r="C160" s="151">
        <v>8.0</v>
      </c>
      <c r="D160" s="151">
        <v>2024.0</v>
      </c>
      <c r="E160" s="154"/>
      <c r="F160" s="158"/>
      <c r="G160" s="151" t="s">
        <v>3013</v>
      </c>
      <c r="H160" s="154"/>
      <c r="I160" s="155">
        <v>298896.0</v>
      </c>
      <c r="J160" s="151"/>
      <c r="K160" s="154"/>
      <c r="L160" s="151" t="s">
        <v>81</v>
      </c>
      <c r="M160" s="151" t="s">
        <v>2781</v>
      </c>
      <c r="N160" s="154"/>
      <c r="O160" s="154"/>
      <c r="P160" s="151" t="s">
        <v>2783</v>
      </c>
      <c r="Q160" s="154" t="s">
        <v>3014</v>
      </c>
      <c r="R160" s="156" t="s">
        <v>3015</v>
      </c>
      <c r="S160" s="156"/>
    </row>
    <row r="161" hidden="1">
      <c r="A161" s="151">
        <v>159.0</v>
      </c>
      <c r="B161" s="151">
        <v>6082024.0</v>
      </c>
      <c r="C161" s="151">
        <v>8.0</v>
      </c>
      <c r="D161" s="151">
        <v>2024.0</v>
      </c>
      <c r="E161" s="154"/>
      <c r="F161" s="158"/>
      <c r="G161" s="151" t="s">
        <v>3016</v>
      </c>
      <c r="H161" s="154"/>
      <c r="I161" s="155"/>
      <c r="J161" s="151"/>
      <c r="K161" s="154"/>
      <c r="L161" s="151" t="s">
        <v>3017</v>
      </c>
      <c r="M161" s="151" t="s">
        <v>2919</v>
      </c>
      <c r="N161" s="154"/>
      <c r="O161" s="154"/>
      <c r="P161" s="151" t="s">
        <v>2775</v>
      </c>
      <c r="Q161" s="154"/>
      <c r="R161" s="156"/>
      <c r="S161" s="156"/>
    </row>
    <row r="162" hidden="1">
      <c r="A162" s="151">
        <v>160.0</v>
      </c>
      <c r="B162" s="151">
        <v>45512.0</v>
      </c>
      <c r="C162" s="151">
        <v>8.0</v>
      </c>
      <c r="D162" s="151">
        <v>2024.0</v>
      </c>
      <c r="E162" s="154"/>
      <c r="F162" s="158"/>
      <c r="G162" s="151" t="s">
        <v>3018</v>
      </c>
      <c r="H162" s="154"/>
      <c r="I162" s="155"/>
      <c r="J162" s="151"/>
      <c r="K162" s="154"/>
      <c r="L162" s="151" t="s">
        <v>222</v>
      </c>
      <c r="M162" s="151" t="s">
        <v>2781</v>
      </c>
      <c r="N162" s="154"/>
      <c r="O162" s="154"/>
      <c r="P162" s="151" t="s">
        <v>2783</v>
      </c>
      <c r="Q162" s="154"/>
      <c r="R162" s="156"/>
      <c r="S162" s="156"/>
    </row>
    <row r="163" hidden="1">
      <c r="A163" s="151">
        <v>161.0</v>
      </c>
      <c r="B163" s="151" t="s">
        <v>3019</v>
      </c>
      <c r="C163" s="151">
        <v>8.0</v>
      </c>
      <c r="D163" s="151">
        <v>2024.0</v>
      </c>
      <c r="E163" s="154"/>
      <c r="F163" s="158"/>
      <c r="G163" s="151" t="s">
        <v>3020</v>
      </c>
      <c r="H163" s="154"/>
      <c r="I163" s="155"/>
      <c r="J163" s="151"/>
      <c r="K163" s="154"/>
      <c r="L163" s="151" t="s">
        <v>3021</v>
      </c>
      <c r="M163" s="151" t="s">
        <v>2919</v>
      </c>
      <c r="N163" s="154"/>
      <c r="O163" s="154"/>
      <c r="P163" s="151" t="s">
        <v>2775</v>
      </c>
      <c r="Q163" s="154"/>
      <c r="R163" s="156"/>
      <c r="S163" s="156"/>
    </row>
    <row r="164" hidden="1">
      <c r="A164" s="151">
        <v>162.0</v>
      </c>
      <c r="B164" s="151" t="s">
        <v>3022</v>
      </c>
      <c r="C164" s="151">
        <v>8.0</v>
      </c>
      <c r="D164" s="151">
        <v>2024.0</v>
      </c>
      <c r="E164" s="154"/>
      <c r="F164" s="158"/>
      <c r="G164" s="151" t="s">
        <v>3023</v>
      </c>
      <c r="H164" s="154"/>
      <c r="I164" s="155"/>
      <c r="J164" s="151"/>
      <c r="K164" s="154"/>
      <c r="L164" s="151" t="s">
        <v>637</v>
      </c>
      <c r="M164" s="169" t="s">
        <v>2781</v>
      </c>
      <c r="N164" s="154"/>
      <c r="O164" s="154"/>
      <c r="P164" s="151" t="s">
        <v>2775</v>
      </c>
      <c r="Q164" s="154"/>
      <c r="R164" s="156"/>
      <c r="S164" s="156"/>
    </row>
    <row r="165" hidden="1">
      <c r="A165" s="151">
        <v>163.0</v>
      </c>
      <c r="B165" s="151" t="s">
        <v>3024</v>
      </c>
      <c r="C165" s="151">
        <v>8.0</v>
      </c>
      <c r="D165" s="151">
        <v>2024.0</v>
      </c>
      <c r="E165" s="154"/>
      <c r="F165" s="158"/>
      <c r="G165" s="151" t="s">
        <v>3025</v>
      </c>
      <c r="H165" s="154"/>
      <c r="I165" s="155">
        <v>135326.34</v>
      </c>
      <c r="J165" s="151" t="s">
        <v>3026</v>
      </c>
      <c r="K165" s="154"/>
      <c r="L165" s="151" t="s">
        <v>105</v>
      </c>
      <c r="M165" s="151" t="s">
        <v>2781</v>
      </c>
      <c r="N165" s="154"/>
      <c r="O165" s="154"/>
      <c r="P165" s="151" t="s">
        <v>2783</v>
      </c>
      <c r="Q165" s="154"/>
      <c r="R165" s="156" t="s">
        <v>3027</v>
      </c>
      <c r="S165" s="156"/>
    </row>
    <row r="166" hidden="1">
      <c r="A166" s="151">
        <v>164.0</v>
      </c>
      <c r="B166" s="173">
        <v>45300.0</v>
      </c>
      <c r="C166" s="151">
        <v>9.0</v>
      </c>
      <c r="D166" s="151">
        <v>2024.0</v>
      </c>
      <c r="E166" s="172">
        <v>2400017.0</v>
      </c>
      <c r="F166" s="158"/>
      <c r="G166" s="151" t="s">
        <v>3028</v>
      </c>
      <c r="H166" s="154"/>
      <c r="I166" s="155">
        <v>148390.0</v>
      </c>
      <c r="J166" s="151" t="s">
        <v>3026</v>
      </c>
      <c r="K166" s="154"/>
      <c r="L166" s="151" t="s">
        <v>81</v>
      </c>
      <c r="M166" s="151" t="s">
        <v>2781</v>
      </c>
      <c r="N166" s="154"/>
      <c r="O166" s="154"/>
      <c r="P166" s="151" t="s">
        <v>2783</v>
      </c>
      <c r="Q166" s="154"/>
      <c r="R166" s="156" t="s">
        <v>3029</v>
      </c>
      <c r="S166" s="156"/>
    </row>
    <row r="167">
      <c r="A167" s="151">
        <v>165.0</v>
      </c>
      <c r="B167" s="151">
        <v>45635.0</v>
      </c>
      <c r="C167" s="151">
        <v>9.0</v>
      </c>
      <c r="D167" s="151">
        <v>2024.0</v>
      </c>
      <c r="E167" s="154"/>
      <c r="F167" s="158"/>
      <c r="G167" s="151" t="s">
        <v>3030</v>
      </c>
      <c r="H167" s="154"/>
      <c r="I167" s="155">
        <v>350208.62</v>
      </c>
      <c r="J167" s="151" t="s">
        <v>3026</v>
      </c>
      <c r="K167" s="154"/>
      <c r="L167" s="151" t="s">
        <v>26</v>
      </c>
      <c r="M167" s="151" t="s">
        <v>38</v>
      </c>
      <c r="N167" s="154"/>
      <c r="O167" s="154"/>
      <c r="P167" s="151" t="s">
        <v>2783</v>
      </c>
      <c r="Q167" s="154"/>
      <c r="R167" s="156" t="s">
        <v>3031</v>
      </c>
      <c r="S167" s="156"/>
    </row>
    <row r="168" hidden="1">
      <c r="A168" s="151">
        <v>166.0</v>
      </c>
      <c r="B168" s="151" t="s">
        <v>3004</v>
      </c>
      <c r="C168" s="151">
        <v>9.0</v>
      </c>
      <c r="D168" s="151">
        <v>2024.0</v>
      </c>
      <c r="E168" s="154"/>
      <c r="F168" s="158"/>
      <c r="G168" s="151" t="s">
        <v>3032</v>
      </c>
      <c r="H168" s="154"/>
      <c r="I168" s="155">
        <v>26812.88</v>
      </c>
      <c r="J168" s="151" t="s">
        <v>2712</v>
      </c>
      <c r="K168" s="154"/>
      <c r="L168" s="151" t="s">
        <v>3033</v>
      </c>
      <c r="M168" s="169" t="s">
        <v>38</v>
      </c>
      <c r="N168" s="154"/>
      <c r="O168" s="154"/>
      <c r="P168" s="151" t="s">
        <v>2783</v>
      </c>
      <c r="Q168" s="154"/>
      <c r="R168" s="156"/>
      <c r="S168" s="156"/>
    </row>
    <row r="169" hidden="1">
      <c r="A169" s="151">
        <v>167.0</v>
      </c>
      <c r="B169" s="151" t="s">
        <v>3034</v>
      </c>
      <c r="C169" s="151">
        <v>9.0</v>
      </c>
      <c r="D169" s="151">
        <v>2024.0</v>
      </c>
      <c r="E169" s="154"/>
      <c r="F169" s="158"/>
      <c r="G169" s="151" t="s">
        <v>3035</v>
      </c>
      <c r="H169" s="154"/>
      <c r="I169" s="155">
        <v>99702.84</v>
      </c>
      <c r="J169" s="151" t="s">
        <v>2712</v>
      </c>
      <c r="K169" s="154"/>
      <c r="L169" s="151" t="s">
        <v>169</v>
      </c>
      <c r="M169" s="151" t="s">
        <v>2919</v>
      </c>
      <c r="N169" s="154"/>
      <c r="O169" s="154"/>
      <c r="P169" s="151" t="s">
        <v>2783</v>
      </c>
      <c r="Q169" s="154"/>
      <c r="R169" s="156" t="s">
        <v>3036</v>
      </c>
      <c r="S169" s="156"/>
    </row>
    <row r="170" hidden="1">
      <c r="A170" s="151">
        <v>168.0</v>
      </c>
      <c r="B170" s="151" t="s">
        <v>3037</v>
      </c>
      <c r="C170" s="151">
        <v>9.0</v>
      </c>
      <c r="D170" s="151">
        <v>2024.0</v>
      </c>
      <c r="E170" s="154"/>
      <c r="F170" s="158"/>
      <c r="G170" s="151" t="s">
        <v>3038</v>
      </c>
      <c r="H170" s="154"/>
      <c r="I170" s="155">
        <v>37408.0</v>
      </c>
      <c r="J170" s="151" t="s">
        <v>3026</v>
      </c>
      <c r="K170" s="154"/>
      <c r="L170" s="151" t="s">
        <v>169</v>
      </c>
      <c r="M170" s="169" t="s">
        <v>38</v>
      </c>
      <c r="N170" s="154"/>
      <c r="O170" s="154"/>
      <c r="P170" s="151" t="s">
        <v>2783</v>
      </c>
      <c r="Q170" s="154"/>
      <c r="R170" s="156" t="s">
        <v>3039</v>
      </c>
      <c r="S170" s="156"/>
    </row>
    <row r="171" hidden="1">
      <c r="A171" s="151">
        <v>169.0</v>
      </c>
      <c r="B171" s="151"/>
      <c r="C171" s="151"/>
      <c r="D171" s="151"/>
      <c r="E171" s="154"/>
      <c r="F171" s="158"/>
      <c r="G171" s="151" t="s">
        <v>3040</v>
      </c>
      <c r="H171" s="154"/>
      <c r="I171" s="155">
        <v>37408.0</v>
      </c>
      <c r="J171" s="151" t="s">
        <v>3026</v>
      </c>
      <c r="K171" s="154"/>
      <c r="L171" s="151" t="s">
        <v>169</v>
      </c>
      <c r="M171" s="169" t="s">
        <v>38</v>
      </c>
      <c r="N171" s="154"/>
      <c r="O171" s="154"/>
      <c r="P171" s="151" t="s">
        <v>2783</v>
      </c>
      <c r="Q171" s="154"/>
      <c r="R171" s="156" t="s">
        <v>3041</v>
      </c>
      <c r="S171" s="156"/>
    </row>
    <row r="172" hidden="1">
      <c r="A172" s="151">
        <v>170.0</v>
      </c>
      <c r="B172" s="167">
        <v>45554.0</v>
      </c>
      <c r="C172" s="169">
        <v>9.0</v>
      </c>
      <c r="D172" s="169">
        <v>2024.0</v>
      </c>
      <c r="E172" s="154"/>
      <c r="F172" s="158"/>
      <c r="G172" s="151" t="s">
        <v>3042</v>
      </c>
      <c r="H172" s="154"/>
      <c r="I172" s="174">
        <v>144855.0</v>
      </c>
      <c r="J172" s="151" t="s">
        <v>3026</v>
      </c>
      <c r="K172" s="154"/>
      <c r="L172" s="151" t="s">
        <v>59</v>
      </c>
      <c r="M172" s="151" t="s">
        <v>38</v>
      </c>
      <c r="N172" s="154"/>
      <c r="O172" s="154"/>
      <c r="P172" s="151" t="s">
        <v>2783</v>
      </c>
      <c r="Q172" s="154"/>
      <c r="R172" s="156"/>
      <c r="S172" s="156"/>
    </row>
    <row r="173" hidden="1">
      <c r="A173" s="151">
        <v>171.0</v>
      </c>
      <c r="B173" s="167">
        <v>45554.0</v>
      </c>
      <c r="C173" s="169">
        <v>9.0</v>
      </c>
      <c r="D173" s="169">
        <v>2024.0</v>
      </c>
      <c r="E173" s="154"/>
      <c r="F173" s="158"/>
      <c r="G173" s="151" t="s">
        <v>3043</v>
      </c>
      <c r="H173" s="154"/>
      <c r="I173" s="174">
        <v>29208.12</v>
      </c>
      <c r="J173" s="151" t="s">
        <v>3026</v>
      </c>
      <c r="K173" s="154"/>
      <c r="L173" s="151" t="s">
        <v>59</v>
      </c>
      <c r="M173" s="169" t="s">
        <v>38</v>
      </c>
      <c r="N173" s="154"/>
      <c r="O173" s="154"/>
      <c r="P173" s="151" t="s">
        <v>2783</v>
      </c>
      <c r="Q173" s="154"/>
      <c r="R173" s="156" t="s">
        <v>3044</v>
      </c>
      <c r="S173" s="156"/>
    </row>
    <row r="174" hidden="1">
      <c r="A174" s="151">
        <v>172.0</v>
      </c>
      <c r="B174" s="169" t="s">
        <v>3045</v>
      </c>
      <c r="C174" s="169">
        <v>9.0</v>
      </c>
      <c r="D174" s="169">
        <v>2024.0</v>
      </c>
      <c r="E174" s="154"/>
      <c r="F174" s="158"/>
      <c r="G174" s="151" t="s">
        <v>3046</v>
      </c>
      <c r="H174" s="154"/>
      <c r="I174" s="155" t="s">
        <v>3047</v>
      </c>
      <c r="J174" s="151" t="s">
        <v>3026</v>
      </c>
      <c r="K174" s="154"/>
      <c r="L174" s="151" t="s">
        <v>81</v>
      </c>
      <c r="M174" s="169" t="s">
        <v>38</v>
      </c>
      <c r="N174" s="154"/>
      <c r="O174" s="154"/>
      <c r="P174" s="151" t="s">
        <v>2783</v>
      </c>
      <c r="Q174" s="154"/>
      <c r="R174" s="156" t="s">
        <v>3048</v>
      </c>
      <c r="S174" s="156"/>
    </row>
    <row r="175" hidden="1">
      <c r="A175" s="151">
        <v>173.0</v>
      </c>
      <c r="B175" s="173">
        <v>45361.0</v>
      </c>
      <c r="C175" s="151">
        <v>10.0</v>
      </c>
      <c r="D175" s="151">
        <v>2024.0</v>
      </c>
      <c r="E175" s="154"/>
      <c r="F175" s="158"/>
      <c r="G175" s="151" t="s">
        <v>3049</v>
      </c>
      <c r="H175" s="154"/>
      <c r="I175" s="155">
        <v>407080.0</v>
      </c>
      <c r="J175" s="151" t="s">
        <v>2712</v>
      </c>
      <c r="K175" s="154"/>
      <c r="L175" s="151" t="s">
        <v>2812</v>
      </c>
      <c r="M175" s="151" t="s">
        <v>38</v>
      </c>
      <c r="N175" s="154"/>
      <c r="O175" s="154"/>
      <c r="P175" s="151" t="s">
        <v>2783</v>
      </c>
      <c r="Q175" s="154"/>
      <c r="R175" s="156" t="s">
        <v>3050</v>
      </c>
      <c r="S175" s="156"/>
    </row>
    <row r="176" hidden="1">
      <c r="A176" s="151">
        <v>174.0</v>
      </c>
      <c r="B176" s="151" t="s">
        <v>3051</v>
      </c>
      <c r="C176" s="151">
        <v>10.0</v>
      </c>
      <c r="D176" s="151">
        <v>2024.0</v>
      </c>
      <c r="E176" s="154"/>
      <c r="F176" s="158"/>
      <c r="G176" s="151" t="s">
        <v>3052</v>
      </c>
      <c r="H176" s="154"/>
      <c r="I176" s="155">
        <v>579000.0</v>
      </c>
      <c r="J176" s="151" t="s">
        <v>3053</v>
      </c>
      <c r="K176" s="154"/>
      <c r="L176" s="151" t="s">
        <v>1316</v>
      </c>
      <c r="M176" s="169" t="s">
        <v>38</v>
      </c>
      <c r="N176" s="154"/>
      <c r="O176" s="154"/>
      <c r="P176" s="151" t="s">
        <v>2783</v>
      </c>
      <c r="Q176" s="154"/>
      <c r="R176" s="156"/>
      <c r="S176" s="156"/>
    </row>
    <row r="177">
      <c r="A177" s="151">
        <v>175.0</v>
      </c>
      <c r="B177" s="151" t="s">
        <v>3054</v>
      </c>
      <c r="C177" s="151">
        <v>10.0</v>
      </c>
      <c r="D177" s="151">
        <v>2024.0</v>
      </c>
      <c r="E177" s="154"/>
      <c r="F177" s="158"/>
      <c r="G177" s="151" t="s">
        <v>3055</v>
      </c>
      <c r="H177" s="154"/>
      <c r="I177" s="155">
        <v>360265.77</v>
      </c>
      <c r="J177" s="151" t="s">
        <v>3026</v>
      </c>
      <c r="K177" s="154"/>
      <c r="L177" s="151" t="s">
        <v>26</v>
      </c>
      <c r="M177" s="151" t="s">
        <v>38</v>
      </c>
      <c r="N177" s="154"/>
      <c r="O177" s="154"/>
      <c r="P177" s="151" t="s">
        <v>2783</v>
      </c>
      <c r="Q177" s="154"/>
      <c r="R177" s="156" t="s">
        <v>3056</v>
      </c>
      <c r="S177" s="156"/>
    </row>
    <row r="178">
      <c r="A178" s="151">
        <v>176.0</v>
      </c>
      <c r="B178" s="151" t="s">
        <v>3054</v>
      </c>
      <c r="C178" s="151">
        <v>10.0</v>
      </c>
      <c r="D178" s="151">
        <v>2024.0</v>
      </c>
      <c r="E178" s="154"/>
      <c r="F178" s="158"/>
      <c r="G178" s="151" t="s">
        <v>3057</v>
      </c>
      <c r="H178" s="154"/>
      <c r="I178" s="155">
        <v>204000.0</v>
      </c>
      <c r="J178" s="151"/>
      <c r="K178" s="154"/>
      <c r="L178" s="151" t="s">
        <v>26</v>
      </c>
      <c r="M178" s="151" t="s">
        <v>38</v>
      </c>
      <c r="N178" s="154"/>
      <c r="O178" s="154"/>
      <c r="P178" s="151" t="s">
        <v>2783</v>
      </c>
      <c r="Q178" s="154"/>
      <c r="R178" s="156" t="s">
        <v>3058</v>
      </c>
      <c r="S178" s="156"/>
    </row>
    <row r="179" hidden="1">
      <c r="A179" s="151">
        <v>177.0</v>
      </c>
      <c r="B179" s="151" t="s">
        <v>3059</v>
      </c>
      <c r="C179" s="151">
        <v>10.0</v>
      </c>
      <c r="D179" s="151">
        <v>2024.0</v>
      </c>
      <c r="E179" s="154"/>
      <c r="F179" s="158"/>
      <c r="G179" s="151" t="s">
        <v>3060</v>
      </c>
      <c r="H179" s="154"/>
      <c r="I179" s="155">
        <v>690000.0</v>
      </c>
      <c r="J179" s="151" t="s">
        <v>3061</v>
      </c>
      <c r="K179" s="154"/>
      <c r="L179" s="151" t="s">
        <v>100</v>
      </c>
      <c r="M179" s="169" t="s">
        <v>38</v>
      </c>
      <c r="N179" s="154"/>
      <c r="O179" s="154"/>
      <c r="P179" s="151" t="s">
        <v>2783</v>
      </c>
      <c r="Q179" s="154"/>
      <c r="R179" s="156"/>
      <c r="S179" s="156"/>
    </row>
    <row r="180" hidden="1">
      <c r="A180" s="151">
        <v>178.0</v>
      </c>
      <c r="B180" s="173">
        <v>45484.0</v>
      </c>
      <c r="C180" s="151">
        <v>11.0</v>
      </c>
      <c r="D180" s="151">
        <v>2024.0</v>
      </c>
      <c r="E180" s="154"/>
      <c r="F180" s="158"/>
      <c r="G180" s="151" t="s">
        <v>3062</v>
      </c>
      <c r="H180" s="154"/>
      <c r="I180" s="155">
        <v>106000.0</v>
      </c>
      <c r="J180" s="151" t="s">
        <v>3026</v>
      </c>
      <c r="K180" s="154"/>
      <c r="L180" s="151" t="s">
        <v>259</v>
      </c>
      <c r="M180" s="169" t="s">
        <v>38</v>
      </c>
      <c r="N180" s="154"/>
      <c r="O180" s="154"/>
      <c r="P180" s="151" t="s">
        <v>2783</v>
      </c>
      <c r="Q180" s="154"/>
      <c r="R180" s="156"/>
      <c r="S180" s="156"/>
    </row>
    <row r="181" hidden="1">
      <c r="A181" s="151">
        <v>179.0</v>
      </c>
      <c r="B181" s="151"/>
      <c r="C181" s="151"/>
      <c r="D181" s="151"/>
      <c r="E181" s="154"/>
      <c r="F181" s="158"/>
      <c r="G181" s="151" t="s">
        <v>3063</v>
      </c>
      <c r="H181" s="154"/>
      <c r="I181" s="155"/>
      <c r="J181" s="151"/>
      <c r="K181" s="154"/>
      <c r="L181" s="151" t="s">
        <v>3064</v>
      </c>
      <c r="M181" s="169" t="s">
        <v>2994</v>
      </c>
      <c r="N181" s="154"/>
      <c r="O181" s="154"/>
      <c r="P181" s="151"/>
      <c r="Q181" s="154"/>
      <c r="R181" s="156"/>
      <c r="S181" s="156"/>
    </row>
    <row r="182" hidden="1">
      <c r="A182" s="151">
        <v>180.0</v>
      </c>
      <c r="B182" s="151"/>
      <c r="C182" s="151"/>
      <c r="D182" s="151"/>
      <c r="E182" s="154"/>
      <c r="F182" s="158"/>
      <c r="G182" s="151" t="s">
        <v>3065</v>
      </c>
      <c r="H182" s="154"/>
      <c r="I182" s="155"/>
      <c r="J182" s="151"/>
      <c r="K182" s="154"/>
      <c r="L182" s="151" t="s">
        <v>3066</v>
      </c>
      <c r="M182" s="169" t="s">
        <v>2994</v>
      </c>
      <c r="N182" s="154"/>
      <c r="O182" s="154"/>
      <c r="P182" s="151"/>
      <c r="Q182" s="154"/>
      <c r="R182" s="156"/>
      <c r="S182" s="156"/>
    </row>
    <row r="183" hidden="1">
      <c r="A183" s="151">
        <v>181.0</v>
      </c>
      <c r="B183" s="151"/>
      <c r="C183" s="151"/>
      <c r="D183" s="151"/>
      <c r="E183" s="154"/>
      <c r="F183" s="158"/>
      <c r="G183" s="151" t="s">
        <v>3067</v>
      </c>
      <c r="H183" s="154"/>
      <c r="I183" s="155"/>
      <c r="J183" s="151"/>
      <c r="K183" s="154"/>
      <c r="L183" s="151" t="s">
        <v>3068</v>
      </c>
      <c r="M183" s="169" t="s">
        <v>38</v>
      </c>
      <c r="N183" s="154"/>
      <c r="O183" s="154"/>
      <c r="P183" s="151"/>
      <c r="Q183" s="154"/>
      <c r="R183" s="156"/>
      <c r="S183" s="156"/>
    </row>
    <row r="184" hidden="1">
      <c r="A184" s="151">
        <v>182.0</v>
      </c>
      <c r="B184" s="151"/>
      <c r="C184" s="151"/>
      <c r="D184" s="151"/>
      <c r="E184" s="154"/>
      <c r="F184" s="158"/>
      <c r="G184" s="151" t="s">
        <v>3069</v>
      </c>
      <c r="H184" s="154"/>
      <c r="I184" s="155"/>
      <c r="J184" s="151"/>
      <c r="K184" s="154"/>
      <c r="L184" s="151" t="s">
        <v>3070</v>
      </c>
      <c r="M184" s="169" t="s">
        <v>2994</v>
      </c>
      <c r="N184" s="154"/>
      <c r="O184" s="154"/>
      <c r="P184" s="151"/>
      <c r="Q184" s="154"/>
      <c r="R184" s="156"/>
      <c r="S184" s="156"/>
    </row>
    <row r="185" hidden="1">
      <c r="A185" s="151">
        <v>183.0</v>
      </c>
      <c r="B185" s="151"/>
      <c r="C185" s="151"/>
      <c r="D185" s="151"/>
      <c r="E185" s="154"/>
      <c r="F185" s="158"/>
      <c r="G185" s="151" t="s">
        <v>3071</v>
      </c>
      <c r="H185" s="154"/>
      <c r="I185" s="155"/>
      <c r="J185" s="151"/>
      <c r="K185" s="154"/>
      <c r="L185" s="151" t="s">
        <v>3072</v>
      </c>
      <c r="M185" s="169" t="s">
        <v>2994</v>
      </c>
      <c r="N185" s="154"/>
      <c r="O185" s="154"/>
      <c r="P185" s="151"/>
      <c r="Q185" s="154"/>
      <c r="R185" s="156"/>
      <c r="S185" s="156"/>
    </row>
    <row r="186" hidden="1">
      <c r="A186" s="151">
        <v>184.0</v>
      </c>
      <c r="B186" s="173">
        <v>45576.0</v>
      </c>
      <c r="C186" s="151">
        <v>11.0</v>
      </c>
      <c r="D186" s="151">
        <v>2024.0</v>
      </c>
      <c r="E186" s="154">
        <v>2400020.0</v>
      </c>
      <c r="F186" s="158">
        <v>202672.0</v>
      </c>
      <c r="G186" s="151" t="s">
        <v>3073</v>
      </c>
      <c r="H186" s="154"/>
      <c r="I186" s="155"/>
      <c r="J186" s="151" t="s">
        <v>2712</v>
      </c>
      <c r="K186" s="154"/>
      <c r="L186" s="151" t="s">
        <v>3074</v>
      </c>
      <c r="M186" s="169" t="s">
        <v>38</v>
      </c>
      <c r="N186" s="154"/>
      <c r="O186" s="154"/>
      <c r="P186" s="151" t="s">
        <v>2783</v>
      </c>
      <c r="Q186" s="154" t="s">
        <v>3075</v>
      </c>
      <c r="R186" s="156" t="s">
        <v>3076</v>
      </c>
      <c r="S186" s="156"/>
    </row>
    <row r="187" hidden="1">
      <c r="A187" s="151">
        <v>185.0</v>
      </c>
      <c r="B187" s="173">
        <v>45576.0</v>
      </c>
      <c r="C187" s="151">
        <v>11.0</v>
      </c>
      <c r="D187" s="151">
        <v>2024.0</v>
      </c>
      <c r="E187" s="154">
        <v>2400021.0</v>
      </c>
      <c r="F187" s="158">
        <v>170236.0</v>
      </c>
      <c r="G187" s="151" t="s">
        <v>3077</v>
      </c>
      <c r="H187" s="154"/>
      <c r="I187" s="155"/>
      <c r="J187" s="151" t="s">
        <v>2712</v>
      </c>
      <c r="K187" s="154"/>
      <c r="L187" s="151" t="s">
        <v>3074</v>
      </c>
      <c r="M187" s="169" t="s">
        <v>38</v>
      </c>
      <c r="N187" s="154"/>
      <c r="O187" s="154"/>
      <c r="P187" s="151" t="s">
        <v>2783</v>
      </c>
      <c r="Q187" s="154" t="s">
        <v>3078</v>
      </c>
      <c r="R187" s="156" t="s">
        <v>3076</v>
      </c>
      <c r="S187" s="156"/>
    </row>
    <row r="188" hidden="1">
      <c r="A188" s="151">
        <v>186.0</v>
      </c>
      <c r="B188" s="173">
        <v>45576.0</v>
      </c>
      <c r="C188" s="151">
        <v>11.0</v>
      </c>
      <c r="D188" s="151">
        <v>2024.0</v>
      </c>
      <c r="E188" s="154">
        <v>2400022.0</v>
      </c>
      <c r="F188" s="158">
        <v>170236.0</v>
      </c>
      <c r="G188" s="151" t="s">
        <v>3079</v>
      </c>
      <c r="H188" s="154"/>
      <c r="I188" s="155"/>
      <c r="J188" s="151" t="s">
        <v>2712</v>
      </c>
      <c r="K188" s="154"/>
      <c r="L188" s="151" t="s">
        <v>3074</v>
      </c>
      <c r="M188" s="169" t="s">
        <v>3080</v>
      </c>
      <c r="N188" s="154"/>
      <c r="O188" s="154"/>
      <c r="P188" s="151" t="s">
        <v>2783</v>
      </c>
      <c r="Q188" s="154" t="s">
        <v>3081</v>
      </c>
      <c r="R188" s="156" t="s">
        <v>3076</v>
      </c>
      <c r="S188" s="156"/>
    </row>
    <row r="189" hidden="1">
      <c r="A189" s="151">
        <v>187.0</v>
      </c>
      <c r="B189" s="173">
        <v>45576.0</v>
      </c>
      <c r="C189" s="151">
        <v>11.0</v>
      </c>
      <c r="D189" s="151">
        <v>2024.0</v>
      </c>
      <c r="E189" s="154">
        <v>2400023.0</v>
      </c>
      <c r="F189" s="158">
        <v>111005.1</v>
      </c>
      <c r="G189" s="151" t="s">
        <v>3082</v>
      </c>
      <c r="H189" s="154"/>
      <c r="I189" s="155"/>
      <c r="J189" s="151" t="s">
        <v>2712</v>
      </c>
      <c r="K189" s="154"/>
      <c r="L189" s="151" t="s">
        <v>3074</v>
      </c>
      <c r="M189" s="169" t="s">
        <v>38</v>
      </c>
      <c r="N189" s="154"/>
      <c r="O189" s="154"/>
      <c r="P189" s="151" t="s">
        <v>2783</v>
      </c>
      <c r="Q189" s="154" t="s">
        <v>3075</v>
      </c>
      <c r="R189" s="156" t="s">
        <v>3083</v>
      </c>
      <c r="S189" s="156"/>
    </row>
    <row r="190" hidden="1">
      <c r="A190" s="151">
        <v>188.0</v>
      </c>
      <c r="B190" s="173">
        <v>45576.0</v>
      </c>
      <c r="C190" s="151">
        <v>11.0</v>
      </c>
      <c r="D190" s="151">
        <v>2024.0</v>
      </c>
      <c r="E190" s="154">
        <v>2400024.0</v>
      </c>
      <c r="F190" s="158">
        <v>110741.0</v>
      </c>
      <c r="G190" s="151" t="s">
        <v>3084</v>
      </c>
      <c r="H190" s="154"/>
      <c r="I190" s="155"/>
      <c r="J190" s="151" t="s">
        <v>2712</v>
      </c>
      <c r="K190" s="154"/>
      <c r="L190" s="151" t="s">
        <v>3074</v>
      </c>
      <c r="M190" s="169"/>
      <c r="N190" s="154"/>
      <c r="O190" s="154"/>
      <c r="P190" s="151" t="s">
        <v>2783</v>
      </c>
      <c r="Q190" s="154" t="s">
        <v>3078</v>
      </c>
      <c r="R190" s="156"/>
      <c r="S190" s="156"/>
    </row>
    <row r="191" hidden="1">
      <c r="A191" s="151">
        <v>189.0</v>
      </c>
      <c r="B191" s="173">
        <v>45607.0</v>
      </c>
      <c r="C191" s="151">
        <v>11.0</v>
      </c>
      <c r="D191" s="151">
        <v>2024.0</v>
      </c>
      <c r="E191" s="154"/>
      <c r="F191" s="158">
        <v>107970.0</v>
      </c>
      <c r="G191" s="151" t="s">
        <v>3085</v>
      </c>
      <c r="H191" s="154"/>
      <c r="I191" s="155"/>
      <c r="J191" s="151" t="s">
        <v>2712</v>
      </c>
      <c r="K191" s="154"/>
      <c r="L191" s="151" t="s">
        <v>3074</v>
      </c>
      <c r="M191" s="169" t="s">
        <v>38</v>
      </c>
      <c r="N191" s="154"/>
      <c r="O191" s="154"/>
      <c r="P191" s="151" t="s">
        <v>2783</v>
      </c>
      <c r="Q191" s="154"/>
      <c r="R191" s="156" t="s">
        <v>3086</v>
      </c>
      <c r="S191" s="156"/>
    </row>
    <row r="192" hidden="1">
      <c r="A192" s="151">
        <v>190.0</v>
      </c>
      <c r="B192" s="151" t="s">
        <v>3087</v>
      </c>
      <c r="C192" s="151">
        <v>11.0</v>
      </c>
      <c r="D192" s="151">
        <v>2024.0</v>
      </c>
      <c r="E192" s="154">
        <v>2400025.0</v>
      </c>
      <c r="F192" s="158">
        <v>34178.16</v>
      </c>
      <c r="G192" s="151" t="s">
        <v>3088</v>
      </c>
      <c r="H192" s="154"/>
      <c r="I192" s="155"/>
      <c r="J192" s="151" t="s">
        <v>2712</v>
      </c>
      <c r="K192" s="154"/>
      <c r="L192" s="151" t="s">
        <v>3074</v>
      </c>
      <c r="M192" s="169" t="s">
        <v>38</v>
      </c>
      <c r="N192" s="154"/>
      <c r="O192" s="154"/>
      <c r="P192" s="151" t="s">
        <v>2783</v>
      </c>
      <c r="Q192" s="154" t="s">
        <v>3089</v>
      </c>
      <c r="R192" s="156" t="s">
        <v>3090</v>
      </c>
      <c r="S192" s="156"/>
    </row>
    <row r="193" hidden="1">
      <c r="A193" s="151">
        <v>191.0</v>
      </c>
      <c r="B193" s="151"/>
      <c r="C193" s="151"/>
      <c r="D193" s="151"/>
      <c r="E193" s="154"/>
      <c r="F193" s="158"/>
      <c r="G193" s="151" t="s">
        <v>3091</v>
      </c>
      <c r="H193" s="154"/>
      <c r="I193" s="155"/>
      <c r="J193" s="151" t="s">
        <v>2712</v>
      </c>
      <c r="K193" s="154"/>
      <c r="L193" s="151" t="s">
        <v>3074</v>
      </c>
      <c r="M193" s="169" t="s">
        <v>2994</v>
      </c>
      <c r="N193" s="154"/>
      <c r="O193" s="154"/>
      <c r="P193" s="151" t="s">
        <v>2847</v>
      </c>
      <c r="Q193" s="154" t="s">
        <v>3092</v>
      </c>
      <c r="R193" s="156" t="s">
        <v>3093</v>
      </c>
      <c r="S193" s="156"/>
    </row>
    <row r="194" hidden="1">
      <c r="A194" s="151">
        <v>192.0</v>
      </c>
      <c r="B194" s="151"/>
      <c r="C194" s="151"/>
      <c r="D194" s="151"/>
      <c r="E194" s="154"/>
      <c r="F194" s="158"/>
      <c r="G194" s="151" t="s">
        <v>3094</v>
      </c>
      <c r="H194" s="154"/>
      <c r="I194" s="155"/>
      <c r="J194" s="151" t="s">
        <v>2712</v>
      </c>
      <c r="K194" s="154"/>
      <c r="L194" s="151" t="s">
        <v>3074</v>
      </c>
      <c r="M194" s="169" t="s">
        <v>2994</v>
      </c>
      <c r="N194" s="154"/>
      <c r="O194" s="154"/>
      <c r="P194" s="151" t="s">
        <v>2847</v>
      </c>
      <c r="Q194" s="154" t="s">
        <v>3095</v>
      </c>
      <c r="R194" s="156" t="s">
        <v>3096</v>
      </c>
      <c r="S194" s="156"/>
    </row>
    <row r="195" hidden="1">
      <c r="A195" s="175">
        <v>193.0</v>
      </c>
      <c r="B195" s="151" t="s">
        <v>3097</v>
      </c>
      <c r="C195" s="151">
        <v>11.0</v>
      </c>
      <c r="D195" s="151">
        <v>2024.0</v>
      </c>
      <c r="E195" s="154">
        <v>2400026.0</v>
      </c>
      <c r="F195" s="158">
        <v>19800.0</v>
      </c>
      <c r="G195" s="151" t="s">
        <v>3098</v>
      </c>
      <c r="H195" s="154"/>
      <c r="I195" s="155" t="s">
        <v>3099</v>
      </c>
      <c r="J195" s="151" t="s">
        <v>2712</v>
      </c>
      <c r="K195" s="154"/>
      <c r="L195" s="151" t="s">
        <v>3074</v>
      </c>
      <c r="M195" s="169" t="s">
        <v>2994</v>
      </c>
      <c r="N195" s="154"/>
      <c r="O195" s="154"/>
      <c r="P195" s="151" t="s">
        <v>2783</v>
      </c>
      <c r="Q195" s="154"/>
      <c r="R195" s="156" t="s">
        <v>3100</v>
      </c>
      <c r="S195" s="156"/>
    </row>
    <row r="196" hidden="1">
      <c r="A196" s="151">
        <v>194.0</v>
      </c>
      <c r="B196" s="151" t="s">
        <v>3097</v>
      </c>
      <c r="C196" s="151">
        <v>11.0</v>
      </c>
      <c r="D196" s="151">
        <v>2024.0</v>
      </c>
      <c r="E196" s="154">
        <v>2400027.0</v>
      </c>
      <c r="F196" s="158">
        <v>20219.76</v>
      </c>
      <c r="G196" s="151" t="s">
        <v>3101</v>
      </c>
      <c r="H196" s="154"/>
      <c r="I196" s="155"/>
      <c r="J196" s="151" t="s">
        <v>2712</v>
      </c>
      <c r="K196" s="154"/>
      <c r="L196" s="151" t="s">
        <v>3074</v>
      </c>
      <c r="M196" s="169" t="s">
        <v>38</v>
      </c>
      <c r="N196" s="154"/>
      <c r="O196" s="154"/>
      <c r="P196" s="151" t="s">
        <v>2783</v>
      </c>
      <c r="Q196" s="154"/>
      <c r="R196" s="156" t="s">
        <v>3102</v>
      </c>
      <c r="S196" s="156"/>
    </row>
    <row r="197" hidden="1">
      <c r="A197" s="151">
        <v>195.0</v>
      </c>
      <c r="B197" s="151" t="s">
        <v>3097</v>
      </c>
      <c r="C197" s="151">
        <v>11.0</v>
      </c>
      <c r="D197" s="151">
        <v>2024.0</v>
      </c>
      <c r="E197" s="154">
        <v>2400028.0</v>
      </c>
      <c r="F197" s="158">
        <v>17940.0</v>
      </c>
      <c r="G197" s="151" t="s">
        <v>3103</v>
      </c>
      <c r="H197" s="154"/>
      <c r="I197" s="155"/>
      <c r="J197" s="151" t="s">
        <v>2712</v>
      </c>
      <c r="K197" s="154"/>
      <c r="L197" s="151" t="s">
        <v>3074</v>
      </c>
      <c r="M197" s="169" t="s">
        <v>38</v>
      </c>
      <c r="N197" s="154"/>
      <c r="O197" s="154"/>
      <c r="P197" s="151" t="s">
        <v>2783</v>
      </c>
      <c r="Q197" s="154"/>
      <c r="R197" s="156" t="s">
        <v>3104</v>
      </c>
      <c r="S197" s="156"/>
    </row>
    <row r="198" hidden="1">
      <c r="A198" s="151">
        <v>196.0</v>
      </c>
      <c r="B198" s="151" t="s">
        <v>3097</v>
      </c>
      <c r="C198" s="151">
        <v>11.0</v>
      </c>
      <c r="D198" s="151">
        <v>2024.0</v>
      </c>
      <c r="E198" s="154">
        <v>2400029.0</v>
      </c>
      <c r="F198" s="158">
        <v>147127.5</v>
      </c>
      <c r="G198" s="151" t="s">
        <v>3105</v>
      </c>
      <c r="H198" s="154"/>
      <c r="I198" s="155"/>
      <c r="J198" s="151" t="s">
        <v>2712</v>
      </c>
      <c r="K198" s="154"/>
      <c r="L198" s="151" t="s">
        <v>3074</v>
      </c>
      <c r="M198" s="169" t="s">
        <v>38</v>
      </c>
      <c r="N198" s="154"/>
      <c r="O198" s="154"/>
      <c r="P198" s="151" t="s">
        <v>2783</v>
      </c>
      <c r="Q198" s="154"/>
      <c r="R198" s="156" t="s">
        <v>3106</v>
      </c>
      <c r="S198" s="156"/>
    </row>
    <row r="199" hidden="1">
      <c r="A199" s="151">
        <v>197.0</v>
      </c>
      <c r="B199" s="151" t="s">
        <v>3097</v>
      </c>
      <c r="C199" s="151">
        <v>11.0</v>
      </c>
      <c r="D199" s="151">
        <v>2024.0</v>
      </c>
      <c r="E199" s="151">
        <v>2400030.0</v>
      </c>
      <c r="F199" s="155">
        <v>52747.2</v>
      </c>
      <c r="G199" s="151" t="s">
        <v>3107</v>
      </c>
      <c r="H199" s="154"/>
      <c r="I199" s="155"/>
      <c r="J199" s="151" t="s">
        <v>2712</v>
      </c>
      <c r="K199" s="154"/>
      <c r="L199" s="151" t="s">
        <v>3074</v>
      </c>
      <c r="M199" s="169" t="s">
        <v>38</v>
      </c>
      <c r="N199" s="154"/>
      <c r="O199" s="154"/>
      <c r="P199" s="151" t="s">
        <v>2783</v>
      </c>
      <c r="Q199" s="154"/>
      <c r="R199" s="156" t="s">
        <v>2854</v>
      </c>
      <c r="S199" s="156"/>
    </row>
    <row r="200" hidden="1">
      <c r="A200" s="151">
        <v>198.0</v>
      </c>
      <c r="B200" s="151" t="s">
        <v>3108</v>
      </c>
      <c r="C200" s="151">
        <v>11.0</v>
      </c>
      <c r="D200" s="151">
        <v>2024.0</v>
      </c>
      <c r="E200" s="154"/>
      <c r="F200" s="158">
        <v>140000.0</v>
      </c>
      <c r="G200" s="151" t="s">
        <v>3109</v>
      </c>
      <c r="H200" s="154"/>
      <c r="I200" s="155"/>
      <c r="J200" s="151" t="s">
        <v>2822</v>
      </c>
      <c r="K200" s="154"/>
      <c r="L200" s="151" t="s">
        <v>222</v>
      </c>
      <c r="M200" s="169" t="s">
        <v>38</v>
      </c>
      <c r="N200" s="154"/>
      <c r="O200" s="154"/>
      <c r="P200" s="151" t="s">
        <v>2783</v>
      </c>
      <c r="Q200" s="154"/>
      <c r="R200" s="156" t="s">
        <v>3110</v>
      </c>
      <c r="S200" s="156"/>
    </row>
    <row r="201" hidden="1">
      <c r="A201" s="151">
        <v>199.0</v>
      </c>
      <c r="B201" s="151" t="s">
        <v>3111</v>
      </c>
      <c r="C201" s="151">
        <v>11.0</v>
      </c>
      <c r="D201" s="151">
        <v>2024.0</v>
      </c>
      <c r="E201" s="154"/>
      <c r="F201" s="158"/>
      <c r="G201" s="151" t="s">
        <v>3112</v>
      </c>
      <c r="H201" s="154"/>
      <c r="I201" s="155"/>
      <c r="J201" s="151" t="s">
        <v>2822</v>
      </c>
      <c r="K201" s="154"/>
      <c r="L201" s="151" t="s">
        <v>169</v>
      </c>
      <c r="M201" s="169" t="s">
        <v>38</v>
      </c>
      <c r="N201" s="154"/>
      <c r="O201" s="154"/>
      <c r="P201" s="151" t="s">
        <v>2783</v>
      </c>
      <c r="Q201" s="154"/>
      <c r="R201" s="156" t="s">
        <v>3113</v>
      </c>
      <c r="S201" s="156"/>
    </row>
    <row r="202" hidden="1">
      <c r="A202" s="151">
        <v>200.0</v>
      </c>
      <c r="B202" s="151" t="s">
        <v>3111</v>
      </c>
      <c r="C202" s="151">
        <v>11.0</v>
      </c>
      <c r="D202" s="151">
        <v>2024.0</v>
      </c>
      <c r="E202" s="154"/>
      <c r="F202" s="158"/>
      <c r="G202" s="151" t="s">
        <v>3114</v>
      </c>
      <c r="H202" s="154"/>
      <c r="I202" s="155"/>
      <c r="J202" s="151" t="s">
        <v>2822</v>
      </c>
      <c r="K202" s="154"/>
      <c r="L202" s="151" t="s">
        <v>169</v>
      </c>
      <c r="M202" s="169" t="s">
        <v>38</v>
      </c>
      <c r="N202" s="154"/>
      <c r="O202" s="154"/>
      <c r="P202" s="151" t="s">
        <v>2783</v>
      </c>
      <c r="Q202" s="154"/>
      <c r="R202" s="156" t="s">
        <v>3115</v>
      </c>
      <c r="S202" s="156"/>
    </row>
    <row r="203" hidden="1">
      <c r="A203" s="151">
        <v>201.0</v>
      </c>
      <c r="B203" s="151" t="s">
        <v>3116</v>
      </c>
      <c r="C203" s="151">
        <v>11.0</v>
      </c>
      <c r="D203" s="151">
        <v>2024.0</v>
      </c>
      <c r="E203" s="154">
        <v>2400031.0</v>
      </c>
      <c r="F203" s="158">
        <v>135080.0</v>
      </c>
      <c r="G203" s="151" t="s">
        <v>3117</v>
      </c>
      <c r="H203" s="154"/>
      <c r="I203" s="155"/>
      <c r="J203" s="151" t="s">
        <v>2822</v>
      </c>
      <c r="K203" s="154"/>
      <c r="L203" s="151" t="s">
        <v>143</v>
      </c>
      <c r="M203" s="151" t="s">
        <v>2781</v>
      </c>
      <c r="N203" s="154"/>
      <c r="O203" s="154"/>
      <c r="P203" s="151" t="s">
        <v>2783</v>
      </c>
      <c r="Q203" s="154"/>
      <c r="R203" s="156" t="s">
        <v>3118</v>
      </c>
      <c r="S203" s="156"/>
    </row>
    <row r="204" hidden="1">
      <c r="A204" s="151">
        <v>202.0</v>
      </c>
      <c r="B204" s="151" t="s">
        <v>3116</v>
      </c>
      <c r="C204" s="151">
        <v>11.0</v>
      </c>
      <c r="D204" s="151">
        <v>2024.0</v>
      </c>
      <c r="E204" s="154">
        <v>2400032.0</v>
      </c>
      <c r="F204" s="158">
        <v>32563.0</v>
      </c>
      <c r="G204" s="151" t="s">
        <v>3119</v>
      </c>
      <c r="H204" s="154"/>
      <c r="I204" s="155"/>
      <c r="J204" s="151" t="s">
        <v>2822</v>
      </c>
      <c r="K204" s="154"/>
      <c r="L204" s="151" t="s">
        <v>143</v>
      </c>
      <c r="M204" s="151" t="s">
        <v>2781</v>
      </c>
      <c r="N204" s="154"/>
      <c r="O204" s="154"/>
      <c r="P204" s="151" t="s">
        <v>2783</v>
      </c>
      <c r="Q204" s="154"/>
      <c r="R204" s="156" t="s">
        <v>2807</v>
      </c>
      <c r="S204" s="156"/>
    </row>
    <row r="205" hidden="1">
      <c r="A205" s="151">
        <v>203.0</v>
      </c>
      <c r="B205" s="151" t="s">
        <v>3116</v>
      </c>
      <c r="C205" s="151">
        <v>11.0</v>
      </c>
      <c r="D205" s="151">
        <v>2024.0</v>
      </c>
      <c r="E205" s="154">
        <v>2400033.0</v>
      </c>
      <c r="F205" s="158">
        <v>17370.0</v>
      </c>
      <c r="G205" s="151" t="s">
        <v>3120</v>
      </c>
      <c r="H205" s="154"/>
      <c r="I205" s="155"/>
      <c r="J205" s="151" t="s">
        <v>2822</v>
      </c>
      <c r="K205" s="154"/>
      <c r="L205" s="151" t="s">
        <v>143</v>
      </c>
      <c r="M205" s="151" t="s">
        <v>2781</v>
      </c>
      <c r="N205" s="154"/>
      <c r="O205" s="154"/>
      <c r="P205" s="151" t="s">
        <v>2783</v>
      </c>
      <c r="Q205" s="154"/>
      <c r="R205" s="156" t="s">
        <v>3121</v>
      </c>
      <c r="S205" s="156"/>
    </row>
    <row r="206" hidden="1">
      <c r="A206" s="151">
        <v>204.0</v>
      </c>
      <c r="B206" s="151" t="s">
        <v>3122</v>
      </c>
      <c r="C206" s="151">
        <v>11.0</v>
      </c>
      <c r="D206" s="151">
        <v>2024.0</v>
      </c>
      <c r="E206" s="154"/>
      <c r="F206" s="158"/>
      <c r="G206" s="151" t="s">
        <v>3123</v>
      </c>
      <c r="H206" s="154"/>
      <c r="I206" s="155"/>
      <c r="J206" s="151" t="s">
        <v>2710</v>
      </c>
      <c r="K206" s="154"/>
      <c r="L206" s="151" t="s">
        <v>3124</v>
      </c>
      <c r="M206" s="169" t="s">
        <v>2994</v>
      </c>
      <c r="N206" s="154"/>
      <c r="O206" s="154"/>
      <c r="P206" s="151" t="s">
        <v>2783</v>
      </c>
      <c r="Q206" s="154"/>
      <c r="R206" s="156"/>
      <c r="S206" s="156"/>
    </row>
    <row r="207">
      <c r="A207" s="151">
        <v>205.0</v>
      </c>
      <c r="B207" s="151" t="s">
        <v>3122</v>
      </c>
      <c r="C207" s="151">
        <v>11.0</v>
      </c>
      <c r="D207" s="151">
        <v>2024.0</v>
      </c>
      <c r="E207" s="154"/>
      <c r="F207" s="158"/>
      <c r="G207" s="151" t="s">
        <v>3125</v>
      </c>
      <c r="H207" s="154"/>
      <c r="I207" s="155"/>
      <c r="J207" s="151" t="s">
        <v>2822</v>
      </c>
      <c r="K207" s="154"/>
      <c r="L207" s="151" t="s">
        <v>26</v>
      </c>
      <c r="M207" s="151" t="s">
        <v>38</v>
      </c>
      <c r="N207" s="154"/>
      <c r="O207" s="154"/>
      <c r="P207" s="151" t="s">
        <v>2783</v>
      </c>
      <c r="Q207" s="154"/>
      <c r="R207" s="156" t="s">
        <v>3126</v>
      </c>
      <c r="S207" s="156"/>
    </row>
    <row r="208" hidden="1">
      <c r="A208" s="151">
        <v>206.0</v>
      </c>
      <c r="B208" s="151" t="s">
        <v>3122</v>
      </c>
      <c r="C208" s="151">
        <v>11.0</v>
      </c>
      <c r="D208" s="151">
        <v>2024.0</v>
      </c>
      <c r="E208" s="154"/>
      <c r="F208" s="158">
        <v>50195.92</v>
      </c>
      <c r="G208" s="151" t="s">
        <v>3127</v>
      </c>
      <c r="H208" s="154"/>
      <c r="I208" s="155"/>
      <c r="J208" s="151" t="s">
        <v>2822</v>
      </c>
      <c r="K208" s="154"/>
      <c r="L208" s="151" t="s">
        <v>169</v>
      </c>
      <c r="M208" s="169" t="s">
        <v>3080</v>
      </c>
      <c r="N208" s="154"/>
      <c r="O208" s="154"/>
      <c r="P208" s="151" t="s">
        <v>2783</v>
      </c>
      <c r="Q208" s="154"/>
      <c r="R208" s="156" t="s">
        <v>3128</v>
      </c>
      <c r="S208" s="156"/>
    </row>
    <row r="209" hidden="1">
      <c r="A209" s="151">
        <v>207.0</v>
      </c>
      <c r="B209" s="151" t="s">
        <v>3129</v>
      </c>
      <c r="C209" s="151">
        <v>11.0</v>
      </c>
      <c r="D209" s="151">
        <v>2024.0</v>
      </c>
      <c r="E209" s="154">
        <v>2400034.0</v>
      </c>
      <c r="F209" s="158">
        <v>10944.0</v>
      </c>
      <c r="G209" s="151" t="s">
        <v>3130</v>
      </c>
      <c r="H209" s="154"/>
      <c r="I209" s="155"/>
      <c r="J209" s="151" t="s">
        <v>2712</v>
      </c>
      <c r="K209" s="154"/>
      <c r="L209" s="151" t="s">
        <v>3074</v>
      </c>
      <c r="M209" s="169" t="s">
        <v>38</v>
      </c>
      <c r="N209" s="154"/>
      <c r="O209" s="154"/>
      <c r="P209" s="151" t="s">
        <v>2783</v>
      </c>
      <c r="Q209" s="154"/>
      <c r="R209" s="156" t="s">
        <v>3131</v>
      </c>
      <c r="S209" s="156"/>
    </row>
    <row r="210" hidden="1">
      <c r="A210" s="151">
        <v>208.0</v>
      </c>
      <c r="B210" s="151" t="s">
        <v>3129</v>
      </c>
      <c r="C210" s="151">
        <v>11.0</v>
      </c>
      <c r="D210" s="151">
        <v>2024.0</v>
      </c>
      <c r="E210" s="154">
        <v>2400035.0</v>
      </c>
      <c r="F210" s="158">
        <v>42768.0</v>
      </c>
      <c r="G210" s="151" t="s">
        <v>3132</v>
      </c>
      <c r="H210" s="154"/>
      <c r="I210" s="155"/>
      <c r="J210" s="151" t="s">
        <v>2712</v>
      </c>
      <c r="K210" s="154"/>
      <c r="L210" s="151" t="s">
        <v>3074</v>
      </c>
      <c r="M210" s="169" t="s">
        <v>38</v>
      </c>
      <c r="N210" s="154"/>
      <c r="O210" s="154"/>
      <c r="P210" s="151" t="s">
        <v>2783</v>
      </c>
      <c r="Q210" s="154"/>
      <c r="R210" s="156" t="s">
        <v>3133</v>
      </c>
      <c r="S210" s="156"/>
    </row>
    <row r="211" hidden="1">
      <c r="A211" s="151">
        <v>209.0</v>
      </c>
      <c r="B211" s="151" t="s">
        <v>3129</v>
      </c>
      <c r="C211" s="151">
        <v>11.0</v>
      </c>
      <c r="D211" s="151">
        <v>2024.0</v>
      </c>
      <c r="E211" s="154">
        <v>2400036.0</v>
      </c>
      <c r="F211" s="158">
        <v>52920.0</v>
      </c>
      <c r="G211" s="151" t="s">
        <v>3134</v>
      </c>
      <c r="H211" s="154"/>
      <c r="I211" s="155"/>
      <c r="J211" s="151" t="s">
        <v>2712</v>
      </c>
      <c r="K211" s="154"/>
      <c r="L211" s="151" t="s">
        <v>3074</v>
      </c>
      <c r="M211" s="169" t="s">
        <v>2994</v>
      </c>
      <c r="N211" s="154"/>
      <c r="O211" s="154"/>
      <c r="P211" s="151" t="s">
        <v>2783</v>
      </c>
      <c r="Q211" s="154"/>
      <c r="R211" s="156" t="s">
        <v>3135</v>
      </c>
      <c r="S211" s="156"/>
    </row>
    <row r="212" hidden="1">
      <c r="A212" s="151">
        <v>210.0</v>
      </c>
      <c r="B212" s="173">
        <v>45577.0</v>
      </c>
      <c r="C212" s="151">
        <v>12.0</v>
      </c>
      <c r="D212" s="151">
        <v>2024.0</v>
      </c>
      <c r="E212" s="154"/>
      <c r="F212" s="158"/>
      <c r="G212" s="151" t="s">
        <v>3136</v>
      </c>
      <c r="H212" s="154"/>
      <c r="I212" s="155"/>
      <c r="J212" s="151"/>
      <c r="K212" s="154"/>
      <c r="L212" s="151" t="s">
        <v>3137</v>
      </c>
      <c r="M212" s="151" t="s">
        <v>2781</v>
      </c>
      <c r="N212" s="154"/>
      <c r="O212" s="154"/>
      <c r="P212" s="151" t="s">
        <v>2775</v>
      </c>
      <c r="Q212" s="154"/>
      <c r="R212" s="156" t="s">
        <v>3138</v>
      </c>
      <c r="S212" s="156"/>
    </row>
    <row r="213" hidden="1">
      <c r="A213" s="151">
        <v>211.0</v>
      </c>
      <c r="B213" s="151">
        <v>45577.0</v>
      </c>
      <c r="C213" s="151">
        <v>12.0</v>
      </c>
      <c r="D213" s="151">
        <v>2024.0</v>
      </c>
      <c r="E213" s="154">
        <v>2400037.0</v>
      </c>
      <c r="F213" s="158">
        <v>215304.4</v>
      </c>
      <c r="G213" s="151" t="s">
        <v>3139</v>
      </c>
      <c r="H213" s="154"/>
      <c r="I213" s="155"/>
      <c r="J213" s="151" t="s">
        <v>2712</v>
      </c>
      <c r="K213" s="154"/>
      <c r="L213" s="151" t="s">
        <v>2999</v>
      </c>
      <c r="M213" s="169" t="s">
        <v>2994</v>
      </c>
      <c r="N213" s="154"/>
      <c r="O213" s="154"/>
      <c r="P213" s="151" t="s">
        <v>2783</v>
      </c>
      <c r="Q213" s="154"/>
      <c r="R213" s="156" t="s">
        <v>3140</v>
      </c>
      <c r="S213" s="156"/>
    </row>
    <row r="214" hidden="1">
      <c r="A214" s="151">
        <v>212.0</v>
      </c>
      <c r="B214" s="173">
        <v>45638.0</v>
      </c>
      <c r="C214" s="151">
        <v>12.0</v>
      </c>
      <c r="D214" s="151">
        <v>2024.0</v>
      </c>
      <c r="E214" s="154"/>
      <c r="F214" s="158"/>
      <c r="G214" s="151" t="s">
        <v>3141</v>
      </c>
      <c r="H214" s="154"/>
      <c r="I214" s="155"/>
      <c r="J214" s="151" t="s">
        <v>3026</v>
      </c>
      <c r="K214" s="154"/>
      <c r="L214" s="151" t="s">
        <v>3142</v>
      </c>
      <c r="M214" s="169" t="s">
        <v>38</v>
      </c>
      <c r="N214" s="154"/>
      <c r="O214" s="154"/>
      <c r="P214" s="151" t="s">
        <v>2783</v>
      </c>
      <c r="Q214" s="154"/>
      <c r="R214" s="156"/>
      <c r="S214" s="156"/>
    </row>
    <row r="215" hidden="1">
      <c r="A215" s="151">
        <v>213.0</v>
      </c>
      <c r="B215" s="173">
        <v>45638.0</v>
      </c>
      <c r="C215" s="151">
        <v>12.0</v>
      </c>
      <c r="D215" s="151">
        <v>2024.0</v>
      </c>
      <c r="E215" s="154"/>
      <c r="F215" s="158"/>
      <c r="G215" s="151" t="s">
        <v>3143</v>
      </c>
      <c r="H215" s="154"/>
      <c r="I215" s="155"/>
      <c r="J215" s="151" t="s">
        <v>3026</v>
      </c>
      <c r="K215" s="154"/>
      <c r="L215" s="151" t="s">
        <v>3144</v>
      </c>
      <c r="M215" s="169" t="s">
        <v>38</v>
      </c>
      <c r="N215" s="154"/>
      <c r="O215" s="154"/>
      <c r="P215" s="151" t="s">
        <v>2783</v>
      </c>
      <c r="Q215" s="154"/>
      <c r="R215" s="156"/>
      <c r="S215" s="156"/>
    </row>
    <row r="216" hidden="1">
      <c r="A216" s="151">
        <v>214.0</v>
      </c>
      <c r="B216" s="151">
        <v>45638.0</v>
      </c>
      <c r="C216" s="151">
        <v>12.0</v>
      </c>
      <c r="D216" s="151">
        <v>2024.0</v>
      </c>
      <c r="E216" s="154"/>
      <c r="F216" s="158"/>
      <c r="G216" s="151" t="s">
        <v>3145</v>
      </c>
      <c r="H216" s="154"/>
      <c r="I216" s="155"/>
      <c r="J216" s="151" t="s">
        <v>2712</v>
      </c>
      <c r="K216" s="154"/>
      <c r="L216" s="151" t="s">
        <v>1612</v>
      </c>
      <c r="M216" s="169" t="s">
        <v>38</v>
      </c>
      <c r="N216" s="154"/>
      <c r="O216" s="154"/>
      <c r="P216" s="151" t="s">
        <v>2783</v>
      </c>
      <c r="Q216" s="154"/>
      <c r="R216" s="156"/>
      <c r="S216" s="156"/>
    </row>
    <row r="217" hidden="1">
      <c r="A217" s="151">
        <v>215.0</v>
      </c>
      <c r="B217" s="173">
        <v>45638.0</v>
      </c>
      <c r="C217" s="151">
        <v>12.0</v>
      </c>
      <c r="D217" s="151">
        <v>2024.0</v>
      </c>
      <c r="E217" s="154"/>
      <c r="F217" s="158"/>
      <c r="G217" s="151" t="s">
        <v>3146</v>
      </c>
      <c r="H217" s="154"/>
      <c r="I217" s="155"/>
      <c r="J217" s="151" t="s">
        <v>2712</v>
      </c>
      <c r="K217" s="154"/>
      <c r="L217" s="151" t="s">
        <v>3147</v>
      </c>
      <c r="M217" s="169" t="s">
        <v>38</v>
      </c>
      <c r="N217" s="154"/>
      <c r="O217" s="154"/>
      <c r="P217" s="151" t="s">
        <v>2783</v>
      </c>
      <c r="Q217" s="154"/>
      <c r="R217" s="156"/>
      <c r="S217" s="156"/>
    </row>
    <row r="218" hidden="1">
      <c r="A218" s="151">
        <v>216.0</v>
      </c>
      <c r="B218" s="151">
        <v>45644.0</v>
      </c>
      <c r="C218" s="151">
        <v>12.0</v>
      </c>
      <c r="D218" s="151">
        <v>2024.0</v>
      </c>
      <c r="E218" s="154"/>
      <c r="F218" s="158"/>
      <c r="G218" s="151" t="s">
        <v>3148</v>
      </c>
      <c r="H218" s="154"/>
      <c r="I218" s="155">
        <v>17873.6</v>
      </c>
      <c r="J218" s="151" t="s">
        <v>3026</v>
      </c>
      <c r="K218" s="154"/>
      <c r="L218" s="151" t="s">
        <v>3149</v>
      </c>
      <c r="M218" s="169" t="s">
        <v>2781</v>
      </c>
      <c r="N218" s="154"/>
      <c r="O218" s="154"/>
      <c r="P218" s="151" t="s">
        <v>2783</v>
      </c>
      <c r="Q218" s="154"/>
      <c r="R218" s="156" t="s">
        <v>3150</v>
      </c>
      <c r="S218" s="156"/>
    </row>
    <row r="219" hidden="1">
      <c r="A219" s="151">
        <v>217.0</v>
      </c>
      <c r="B219" s="173">
        <v>45648.0</v>
      </c>
      <c r="C219" s="151">
        <v>12.0</v>
      </c>
      <c r="D219" s="151">
        <v>2024.0</v>
      </c>
      <c r="E219" s="154">
        <v>2400038.0</v>
      </c>
      <c r="F219" s="158">
        <v>328209.54</v>
      </c>
      <c r="G219" s="151" t="s">
        <v>3151</v>
      </c>
      <c r="H219" s="154"/>
      <c r="I219" s="155"/>
      <c r="J219" s="151" t="s">
        <v>3026</v>
      </c>
      <c r="K219" s="154"/>
      <c r="L219" s="151" t="s">
        <v>81</v>
      </c>
      <c r="M219" s="169" t="s">
        <v>2781</v>
      </c>
      <c r="N219" s="154"/>
      <c r="O219" s="154"/>
      <c r="P219" s="151" t="s">
        <v>2783</v>
      </c>
      <c r="Q219" s="154"/>
      <c r="R219" s="156" t="s">
        <v>3015</v>
      </c>
      <c r="S219" s="156"/>
    </row>
    <row r="220" hidden="1">
      <c r="A220" s="151">
        <v>218.0</v>
      </c>
      <c r="B220" s="173">
        <v>45648.0</v>
      </c>
      <c r="C220" s="151">
        <v>12.0</v>
      </c>
      <c r="D220" s="151">
        <v>2024.0</v>
      </c>
      <c r="E220" s="154">
        <v>2400039.0</v>
      </c>
      <c r="F220" s="158">
        <v>242179.2</v>
      </c>
      <c r="G220" s="151" t="s">
        <v>3152</v>
      </c>
      <c r="H220" s="154"/>
      <c r="I220" s="155"/>
      <c r="J220" s="151" t="s">
        <v>3026</v>
      </c>
      <c r="K220" s="154"/>
      <c r="L220" s="151" t="s">
        <v>81</v>
      </c>
      <c r="M220" s="169" t="s">
        <v>2781</v>
      </c>
      <c r="N220" s="154"/>
      <c r="O220" s="154"/>
      <c r="P220" s="151" t="s">
        <v>2783</v>
      </c>
      <c r="Q220" s="154"/>
      <c r="R220" s="156" t="s">
        <v>3153</v>
      </c>
      <c r="S220" s="156"/>
    </row>
    <row r="221" hidden="1">
      <c r="A221" s="151">
        <v>219.0</v>
      </c>
      <c r="B221" s="151">
        <v>45648.0</v>
      </c>
      <c r="C221" s="151">
        <v>12.0</v>
      </c>
      <c r="D221" s="151">
        <v>2024.0</v>
      </c>
      <c r="E221" s="154"/>
      <c r="F221" s="158"/>
      <c r="G221" s="151" t="s">
        <v>3154</v>
      </c>
      <c r="H221" s="154"/>
      <c r="I221" s="155"/>
      <c r="J221" s="151" t="s">
        <v>2710</v>
      </c>
      <c r="K221" s="154"/>
      <c r="L221" s="151" t="s">
        <v>3155</v>
      </c>
      <c r="M221" s="169" t="s">
        <v>2994</v>
      </c>
      <c r="N221" s="154"/>
      <c r="O221" s="154"/>
      <c r="P221" s="151" t="s">
        <v>2783</v>
      </c>
      <c r="Q221" s="154"/>
      <c r="R221" s="156" t="s">
        <v>3156</v>
      </c>
      <c r="S221" s="156"/>
    </row>
    <row r="222" hidden="1">
      <c r="A222" s="151">
        <v>220.0</v>
      </c>
      <c r="B222" s="173">
        <v>45658.0</v>
      </c>
      <c r="C222" s="151">
        <v>1.0</v>
      </c>
      <c r="D222" s="151">
        <v>2025.0</v>
      </c>
      <c r="E222" s="154"/>
      <c r="F222" s="158"/>
      <c r="G222" s="151" t="s">
        <v>3157</v>
      </c>
      <c r="H222" s="154"/>
      <c r="I222" s="174">
        <v>407901.0</v>
      </c>
      <c r="J222" s="151" t="s">
        <v>2712</v>
      </c>
      <c r="K222" s="154"/>
      <c r="L222" s="151" t="s">
        <v>2812</v>
      </c>
      <c r="M222" s="169" t="s">
        <v>2781</v>
      </c>
      <c r="N222" s="154"/>
      <c r="O222" s="154"/>
      <c r="P222" s="151" t="s">
        <v>2783</v>
      </c>
      <c r="Q222" s="154"/>
      <c r="R222" s="156"/>
      <c r="S222" s="156"/>
    </row>
    <row r="223" hidden="1">
      <c r="A223" s="151">
        <v>221.0</v>
      </c>
      <c r="B223" s="151" t="s">
        <v>3158</v>
      </c>
      <c r="C223" s="151">
        <v>1.0</v>
      </c>
      <c r="D223" s="151">
        <v>2025.0</v>
      </c>
      <c r="E223" s="154"/>
      <c r="F223" s="158"/>
      <c r="G223" s="151" t="s">
        <v>3159</v>
      </c>
      <c r="H223" s="154"/>
      <c r="I223" s="155"/>
      <c r="J223" s="151" t="s">
        <v>3026</v>
      </c>
      <c r="K223" s="154"/>
      <c r="L223" s="151" t="s">
        <v>143</v>
      </c>
      <c r="M223" s="151" t="s">
        <v>2781</v>
      </c>
      <c r="N223" s="154"/>
      <c r="O223" s="154"/>
      <c r="P223" s="151" t="s">
        <v>2783</v>
      </c>
      <c r="Q223" s="154"/>
      <c r="R223" s="156"/>
      <c r="S223" s="156"/>
    </row>
    <row r="224" hidden="1">
      <c r="A224" s="151">
        <v>222.0</v>
      </c>
      <c r="B224" s="151" t="s">
        <v>3158</v>
      </c>
      <c r="C224" s="151">
        <v>1.0</v>
      </c>
      <c r="D224" s="151">
        <v>2025.0</v>
      </c>
      <c r="E224" s="154"/>
      <c r="F224" s="158"/>
      <c r="G224" s="151" t="s">
        <v>3160</v>
      </c>
      <c r="H224" s="154"/>
      <c r="I224" s="155"/>
      <c r="J224" s="151" t="s">
        <v>3026</v>
      </c>
      <c r="K224" s="154"/>
      <c r="L224" s="151" t="s">
        <v>143</v>
      </c>
      <c r="M224" s="151" t="s">
        <v>2781</v>
      </c>
      <c r="N224" s="154"/>
      <c r="O224" s="154"/>
      <c r="P224" s="151" t="s">
        <v>2783</v>
      </c>
      <c r="Q224" s="154"/>
      <c r="R224" s="156"/>
      <c r="S224" s="156"/>
    </row>
    <row r="225" hidden="1">
      <c r="A225" s="151">
        <v>223.0</v>
      </c>
      <c r="B225" s="151" t="s">
        <v>3158</v>
      </c>
      <c r="C225" s="151">
        <v>1.0</v>
      </c>
      <c r="D225" s="151">
        <v>2025.0</v>
      </c>
      <c r="E225" s="154"/>
      <c r="F225" s="158"/>
      <c r="G225" s="151" t="s">
        <v>3161</v>
      </c>
      <c r="H225" s="154"/>
      <c r="I225" s="155"/>
      <c r="J225" s="151" t="s">
        <v>3026</v>
      </c>
      <c r="K225" s="154"/>
      <c r="L225" s="151" t="s">
        <v>143</v>
      </c>
      <c r="M225" s="151" t="s">
        <v>2781</v>
      </c>
      <c r="N225" s="154"/>
      <c r="O225" s="154"/>
      <c r="P225" s="151" t="s">
        <v>2783</v>
      </c>
      <c r="Q225" s="154"/>
      <c r="R225" s="156"/>
      <c r="S225" s="156"/>
    </row>
    <row r="226" hidden="1">
      <c r="A226" s="151">
        <v>224.0</v>
      </c>
      <c r="B226" s="173">
        <v>45674.0</v>
      </c>
      <c r="C226" s="151">
        <v>1.0</v>
      </c>
      <c r="D226" s="151">
        <v>2025.0</v>
      </c>
      <c r="E226" s="154"/>
      <c r="F226" s="158"/>
      <c r="G226" s="151" t="s">
        <v>3162</v>
      </c>
      <c r="H226" s="154"/>
      <c r="I226" s="155"/>
      <c r="J226" s="151" t="s">
        <v>3026</v>
      </c>
      <c r="K226" s="154"/>
      <c r="L226" s="151" t="s">
        <v>259</v>
      </c>
      <c r="M226" s="169" t="s">
        <v>2781</v>
      </c>
      <c r="N226" s="154"/>
      <c r="O226" s="154"/>
      <c r="P226" s="151" t="s">
        <v>2783</v>
      </c>
      <c r="Q226" s="154"/>
      <c r="R226" s="156"/>
      <c r="S226" s="156"/>
    </row>
    <row r="227" hidden="1">
      <c r="A227" s="151">
        <v>225.0</v>
      </c>
      <c r="B227" s="173"/>
      <c r="C227" s="151"/>
      <c r="D227" s="151"/>
      <c r="E227" s="154"/>
      <c r="F227" s="158"/>
      <c r="G227" s="151" t="s">
        <v>3163</v>
      </c>
      <c r="H227" s="154"/>
      <c r="I227" s="155"/>
      <c r="J227" s="151"/>
      <c r="K227" s="154"/>
      <c r="L227" s="151" t="s">
        <v>3164</v>
      </c>
      <c r="M227" s="151" t="s">
        <v>2919</v>
      </c>
      <c r="N227" s="154"/>
      <c r="O227" s="154"/>
      <c r="P227" s="151" t="s">
        <v>2775</v>
      </c>
      <c r="Q227" s="154" t="s">
        <v>3165</v>
      </c>
      <c r="R227" s="156"/>
      <c r="S227" s="156"/>
    </row>
    <row r="228" hidden="1">
      <c r="A228" s="151">
        <v>226.0</v>
      </c>
      <c r="B228" s="173"/>
      <c r="C228" s="151"/>
      <c r="D228" s="151"/>
      <c r="E228" s="154"/>
      <c r="F228" s="158"/>
      <c r="G228" s="151" t="s">
        <v>3166</v>
      </c>
      <c r="H228" s="154"/>
      <c r="I228" s="155"/>
      <c r="J228" s="151"/>
      <c r="K228" s="154"/>
      <c r="L228" s="151" t="s">
        <v>40</v>
      </c>
      <c r="M228" s="169" t="s">
        <v>2994</v>
      </c>
      <c r="N228" s="154"/>
      <c r="O228" s="154"/>
      <c r="P228" s="151" t="s">
        <v>2783</v>
      </c>
      <c r="Q228" s="154" t="s">
        <v>3167</v>
      </c>
      <c r="R228" s="156" t="s">
        <v>3168</v>
      </c>
      <c r="S228" s="156"/>
    </row>
    <row r="229" hidden="1">
      <c r="A229" s="151">
        <v>227.0</v>
      </c>
      <c r="B229" s="173">
        <v>45779.0</v>
      </c>
      <c r="C229" s="151">
        <v>2.0</v>
      </c>
      <c r="D229" s="151">
        <v>2025.0</v>
      </c>
      <c r="E229" s="154"/>
      <c r="F229" s="158"/>
      <c r="G229" s="151" t="s">
        <v>3169</v>
      </c>
      <c r="H229" s="154"/>
      <c r="I229" s="174">
        <v>29208.12</v>
      </c>
      <c r="J229" s="151" t="s">
        <v>3026</v>
      </c>
      <c r="K229" s="154"/>
      <c r="L229" s="151" t="s">
        <v>59</v>
      </c>
      <c r="M229" s="169" t="s">
        <v>2781</v>
      </c>
      <c r="N229" s="154"/>
      <c r="O229" s="154"/>
      <c r="P229" s="151" t="s">
        <v>2783</v>
      </c>
      <c r="Q229" s="154"/>
      <c r="R229" s="156" t="s">
        <v>3044</v>
      </c>
      <c r="S229" s="156"/>
    </row>
    <row r="230" hidden="1">
      <c r="A230" s="151">
        <v>228.0</v>
      </c>
      <c r="B230" s="173">
        <v>45694.0</v>
      </c>
      <c r="C230" s="151">
        <v>2.0</v>
      </c>
      <c r="D230" s="151">
        <v>2025.0</v>
      </c>
      <c r="E230" s="154"/>
      <c r="F230" s="158"/>
      <c r="G230" s="151" t="s">
        <v>3170</v>
      </c>
      <c r="H230" s="154"/>
      <c r="I230" s="155">
        <v>157766.0</v>
      </c>
      <c r="J230" s="151" t="s">
        <v>3026</v>
      </c>
      <c r="K230" s="154"/>
      <c r="L230" s="151" t="s">
        <v>59</v>
      </c>
      <c r="M230" s="169" t="s">
        <v>2781</v>
      </c>
      <c r="N230" s="154"/>
      <c r="O230" s="154"/>
      <c r="P230" s="151" t="s">
        <v>2783</v>
      </c>
      <c r="Q230" s="154" t="s">
        <v>3171</v>
      </c>
      <c r="R230" s="156" t="s">
        <v>3172</v>
      </c>
      <c r="S230" s="156"/>
    </row>
    <row r="231" hidden="1">
      <c r="A231" s="151">
        <v>229.0</v>
      </c>
      <c r="B231" s="173">
        <v>45993.0</v>
      </c>
      <c r="C231" s="151">
        <v>2.0</v>
      </c>
      <c r="D231" s="151">
        <v>2025.0</v>
      </c>
      <c r="E231" s="154"/>
      <c r="F231" s="158"/>
      <c r="G231" s="151" t="s">
        <v>3173</v>
      </c>
      <c r="H231" s="154"/>
      <c r="I231" s="155">
        <v>176281.4</v>
      </c>
      <c r="J231" s="151" t="s">
        <v>3026</v>
      </c>
      <c r="K231" s="154"/>
      <c r="L231" s="151" t="s">
        <v>105</v>
      </c>
      <c r="M231" s="169" t="s">
        <v>2994</v>
      </c>
      <c r="N231" s="154"/>
      <c r="O231" s="154"/>
      <c r="P231" s="151" t="s">
        <v>2783</v>
      </c>
      <c r="Q231" s="154"/>
      <c r="R231" s="156" t="s">
        <v>3174</v>
      </c>
      <c r="S231" s="156"/>
    </row>
    <row r="232" hidden="1">
      <c r="A232" s="151">
        <v>230.0</v>
      </c>
      <c r="B232" s="173">
        <v>45705.0</v>
      </c>
      <c r="C232" s="151">
        <v>2.0</v>
      </c>
      <c r="D232" s="151">
        <v>2025.0</v>
      </c>
      <c r="E232" s="154"/>
      <c r="F232" s="158"/>
      <c r="G232" s="151" t="s">
        <v>3175</v>
      </c>
      <c r="H232" s="154"/>
      <c r="I232" s="155"/>
      <c r="J232" s="151"/>
      <c r="K232" s="154"/>
      <c r="L232" s="151" t="s">
        <v>3176</v>
      </c>
      <c r="M232" s="169" t="s">
        <v>2781</v>
      </c>
      <c r="N232" s="154"/>
      <c r="O232" s="154"/>
      <c r="P232" s="151" t="s">
        <v>2775</v>
      </c>
      <c r="Q232" s="154"/>
      <c r="R232" s="156"/>
      <c r="S232" s="156"/>
    </row>
    <row r="233" hidden="1">
      <c r="A233" s="151">
        <v>231.0</v>
      </c>
      <c r="B233" s="173">
        <v>45705.0</v>
      </c>
      <c r="C233" s="151">
        <v>2.0</v>
      </c>
      <c r="D233" s="151">
        <v>2025.0</v>
      </c>
      <c r="E233" s="154"/>
      <c r="F233" s="158"/>
      <c r="G233" s="151" t="s">
        <v>3177</v>
      </c>
      <c r="H233" s="154"/>
      <c r="I233" s="174">
        <v>184884.0</v>
      </c>
      <c r="J233" s="151" t="s">
        <v>2712</v>
      </c>
      <c r="K233" s="154"/>
      <c r="L233" s="151" t="s">
        <v>3178</v>
      </c>
      <c r="M233" s="169" t="s">
        <v>2781</v>
      </c>
      <c r="N233" s="172" t="s">
        <v>3179</v>
      </c>
      <c r="O233" s="154"/>
      <c r="P233" s="151" t="s">
        <v>3180</v>
      </c>
      <c r="Q233" s="154"/>
      <c r="R233" s="156"/>
      <c r="S233" s="156"/>
    </row>
    <row r="234" hidden="1">
      <c r="A234" s="151">
        <v>232.0</v>
      </c>
      <c r="B234" s="173">
        <v>45719.0</v>
      </c>
      <c r="C234" s="151">
        <v>3.0</v>
      </c>
      <c r="D234" s="151">
        <v>2025.0</v>
      </c>
      <c r="E234" s="154"/>
      <c r="F234" s="158"/>
      <c r="G234" s="151" t="s">
        <v>3181</v>
      </c>
      <c r="H234" s="154"/>
      <c r="I234" s="155">
        <v>686317.23</v>
      </c>
      <c r="J234" s="151" t="s">
        <v>3182</v>
      </c>
      <c r="K234" s="154"/>
      <c r="L234" s="151" t="s">
        <v>3137</v>
      </c>
      <c r="M234" s="169" t="s">
        <v>2781</v>
      </c>
      <c r="N234" s="154"/>
      <c r="O234" s="154"/>
      <c r="P234" s="151" t="s">
        <v>2783</v>
      </c>
      <c r="Q234" s="154"/>
      <c r="R234" s="156"/>
      <c r="S234" s="156"/>
    </row>
    <row r="235" hidden="1">
      <c r="A235" s="151">
        <v>233.0</v>
      </c>
      <c r="B235" s="173">
        <v>45720.0</v>
      </c>
      <c r="C235" s="151">
        <v>3.0</v>
      </c>
      <c r="D235" s="151">
        <v>2025.0</v>
      </c>
      <c r="E235" s="154"/>
      <c r="F235" s="158"/>
      <c r="G235" s="151" t="s">
        <v>3183</v>
      </c>
      <c r="H235" s="154"/>
      <c r="I235" s="155">
        <v>63615.58</v>
      </c>
      <c r="J235" s="151" t="s">
        <v>3026</v>
      </c>
      <c r="K235" s="154"/>
      <c r="L235" s="151" t="s">
        <v>350</v>
      </c>
      <c r="M235" s="169" t="s">
        <v>2781</v>
      </c>
      <c r="N235" s="154"/>
      <c r="O235" s="154"/>
      <c r="P235" s="151" t="s">
        <v>2783</v>
      </c>
      <c r="Q235" s="154"/>
      <c r="R235" s="156"/>
      <c r="S235" s="156"/>
    </row>
    <row r="236" hidden="1">
      <c r="A236" s="151">
        <v>234.0</v>
      </c>
      <c r="B236" s="176">
        <v>45722.0</v>
      </c>
      <c r="C236" s="169">
        <v>3.0</v>
      </c>
      <c r="D236" s="169">
        <v>2025.0</v>
      </c>
      <c r="E236" s="154"/>
      <c r="F236" s="158"/>
      <c r="G236" s="151" t="s">
        <v>3184</v>
      </c>
      <c r="H236" s="154"/>
      <c r="I236" s="174">
        <v>112874.4</v>
      </c>
      <c r="J236" s="169" t="s">
        <v>2712</v>
      </c>
      <c r="K236" s="154"/>
      <c r="L236" s="169" t="s">
        <v>3033</v>
      </c>
      <c r="M236" s="169" t="s">
        <v>2781</v>
      </c>
      <c r="N236" s="154"/>
      <c r="O236" s="154"/>
      <c r="P236" s="169" t="s">
        <v>2783</v>
      </c>
      <c r="Q236" s="154"/>
      <c r="R236" s="156"/>
      <c r="S236" s="156"/>
    </row>
    <row r="237" hidden="1">
      <c r="A237" s="151">
        <v>235.0</v>
      </c>
      <c r="B237" s="176">
        <v>45723.0</v>
      </c>
      <c r="C237" s="169">
        <v>3.0</v>
      </c>
      <c r="D237" s="169">
        <v>2025.0</v>
      </c>
      <c r="E237" s="172">
        <v>2500001.0</v>
      </c>
      <c r="F237" s="177">
        <v>77905.5</v>
      </c>
      <c r="G237" s="169" t="s">
        <v>3185</v>
      </c>
      <c r="H237" s="154"/>
      <c r="I237" s="174">
        <v>83190.0</v>
      </c>
      <c r="J237" s="169" t="s">
        <v>2712</v>
      </c>
      <c r="K237" s="154"/>
      <c r="L237" s="169" t="s">
        <v>3074</v>
      </c>
      <c r="M237" s="169" t="s">
        <v>2994</v>
      </c>
      <c r="N237" s="154"/>
      <c r="O237" s="154"/>
      <c r="P237" s="169" t="s">
        <v>2783</v>
      </c>
      <c r="Q237" s="154"/>
      <c r="R237" s="178" t="s">
        <v>3121</v>
      </c>
      <c r="S237" s="156"/>
    </row>
    <row r="238" hidden="1">
      <c r="A238" s="151">
        <v>236.0</v>
      </c>
      <c r="B238" s="176">
        <v>45723.0</v>
      </c>
      <c r="C238" s="169">
        <v>3.0</v>
      </c>
      <c r="D238" s="169">
        <v>2025.0</v>
      </c>
      <c r="E238" s="172">
        <v>2500002.0</v>
      </c>
      <c r="F238" s="177">
        <v>52747.2</v>
      </c>
      <c r="G238" s="151" t="s">
        <v>3186</v>
      </c>
      <c r="H238" s="154"/>
      <c r="I238" s="174">
        <v>52747.2</v>
      </c>
      <c r="J238" s="169" t="s">
        <v>2712</v>
      </c>
      <c r="K238" s="154"/>
      <c r="L238" s="169" t="s">
        <v>3074</v>
      </c>
      <c r="M238" s="169" t="s">
        <v>2994</v>
      </c>
      <c r="N238" s="154"/>
      <c r="O238" s="154"/>
      <c r="P238" s="169" t="s">
        <v>2783</v>
      </c>
      <c r="Q238" s="154"/>
      <c r="R238" s="156" t="s">
        <v>2854</v>
      </c>
      <c r="S238" s="156"/>
    </row>
    <row r="239" hidden="1">
      <c r="A239" s="151">
        <v>237.0</v>
      </c>
      <c r="B239" s="176">
        <v>45723.0</v>
      </c>
      <c r="C239" s="169">
        <v>3.0</v>
      </c>
      <c r="D239" s="169">
        <v>2025.0</v>
      </c>
      <c r="E239" s="172">
        <v>2500003.0</v>
      </c>
      <c r="F239" s="177">
        <v>20219.76</v>
      </c>
      <c r="G239" s="169" t="s">
        <v>3187</v>
      </c>
      <c r="H239" s="154"/>
      <c r="I239" s="174">
        <v>20219.76</v>
      </c>
      <c r="J239" s="169" t="s">
        <v>2712</v>
      </c>
      <c r="K239" s="154"/>
      <c r="L239" s="169" t="s">
        <v>3074</v>
      </c>
      <c r="M239" s="169" t="s">
        <v>2994</v>
      </c>
      <c r="N239" s="154"/>
      <c r="O239" s="154"/>
      <c r="P239" s="169" t="s">
        <v>2783</v>
      </c>
      <c r="Q239" s="154"/>
      <c r="R239" s="178" t="s">
        <v>3102</v>
      </c>
      <c r="S239" s="156"/>
    </row>
    <row r="240" hidden="1">
      <c r="A240" s="151">
        <v>238.0</v>
      </c>
      <c r="B240" s="179">
        <v>45724.0</v>
      </c>
      <c r="C240" s="169">
        <v>3.0</v>
      </c>
      <c r="D240" s="169">
        <v>2025.0</v>
      </c>
      <c r="E240" s="154"/>
      <c r="F240" s="158"/>
      <c r="G240" s="151" t="s">
        <v>3188</v>
      </c>
      <c r="H240" s="154"/>
      <c r="I240" s="174">
        <v>719000.0</v>
      </c>
      <c r="J240" s="169" t="s">
        <v>2712</v>
      </c>
      <c r="K240" s="154"/>
      <c r="L240" s="169" t="s">
        <v>2812</v>
      </c>
      <c r="M240" s="169" t="s">
        <v>2781</v>
      </c>
      <c r="N240" s="154"/>
      <c r="O240" s="154"/>
      <c r="P240" s="169" t="s">
        <v>2783</v>
      </c>
      <c r="Q240" s="154"/>
      <c r="R240" s="156"/>
      <c r="S240" s="156"/>
    </row>
    <row r="241" hidden="1">
      <c r="A241" s="151">
        <v>239.0</v>
      </c>
      <c r="B241" s="179">
        <v>45726.0</v>
      </c>
      <c r="C241" s="169">
        <v>3.0</v>
      </c>
      <c r="D241" s="169">
        <v>2025.0</v>
      </c>
      <c r="E241" s="154"/>
      <c r="F241" s="158"/>
      <c r="G241" s="169" t="s">
        <v>3189</v>
      </c>
      <c r="H241" s="154"/>
      <c r="I241" s="174">
        <v>320530.0</v>
      </c>
      <c r="J241" s="151" t="s">
        <v>3026</v>
      </c>
      <c r="K241" s="154"/>
      <c r="L241" s="169" t="s">
        <v>81</v>
      </c>
      <c r="M241" s="169" t="s">
        <v>2781</v>
      </c>
      <c r="N241" s="154"/>
      <c r="O241" s="154"/>
      <c r="P241" s="169" t="s">
        <v>2783</v>
      </c>
      <c r="Q241" s="154"/>
      <c r="R241" s="178" t="s">
        <v>3190</v>
      </c>
      <c r="S241" s="156"/>
    </row>
    <row r="242" hidden="1">
      <c r="A242" s="151">
        <v>240.0</v>
      </c>
      <c r="B242" s="179">
        <v>45726.0</v>
      </c>
      <c r="C242" s="169">
        <v>3.0</v>
      </c>
      <c r="D242" s="169">
        <v>2025.0</v>
      </c>
      <c r="E242" s="154"/>
      <c r="F242" s="158"/>
      <c r="G242" s="151" t="s">
        <v>3191</v>
      </c>
      <c r="H242" s="154"/>
      <c r="I242" s="174">
        <v>154800.0</v>
      </c>
      <c r="J242" s="169" t="s">
        <v>2712</v>
      </c>
      <c r="K242" s="154"/>
      <c r="L242" s="169" t="s">
        <v>3074</v>
      </c>
      <c r="M242" s="169" t="s">
        <v>2994</v>
      </c>
      <c r="N242" s="154"/>
      <c r="O242" s="154"/>
      <c r="P242" s="169" t="s">
        <v>2783</v>
      </c>
      <c r="Q242" s="154"/>
      <c r="R242" s="178" t="s">
        <v>3192</v>
      </c>
      <c r="S242" s="156"/>
    </row>
    <row r="243" hidden="1">
      <c r="A243" s="151">
        <v>241.0</v>
      </c>
      <c r="B243" s="179">
        <v>45733.0</v>
      </c>
      <c r="C243" s="169">
        <v>3.0</v>
      </c>
      <c r="D243" s="169">
        <v>2025.0</v>
      </c>
      <c r="E243" s="154"/>
      <c r="F243" s="158"/>
      <c r="G243" s="169" t="s">
        <v>3193</v>
      </c>
      <c r="H243" s="154"/>
      <c r="I243" s="174">
        <v>290864.4</v>
      </c>
      <c r="J243" s="151" t="s">
        <v>3026</v>
      </c>
      <c r="K243" s="154"/>
      <c r="L243" s="169" t="s">
        <v>81</v>
      </c>
      <c r="M243" s="169" t="s">
        <v>2781</v>
      </c>
      <c r="N243" s="154"/>
      <c r="O243" s="154"/>
      <c r="P243" s="169" t="s">
        <v>2783</v>
      </c>
      <c r="Q243" s="154"/>
      <c r="R243" s="178" t="s">
        <v>3194</v>
      </c>
      <c r="S243" s="156"/>
    </row>
    <row r="244" hidden="1">
      <c r="A244" s="151">
        <v>242.0</v>
      </c>
      <c r="B244" s="179">
        <v>45736.0</v>
      </c>
      <c r="C244" s="169">
        <v>3.0</v>
      </c>
      <c r="D244" s="169">
        <v>2025.0</v>
      </c>
      <c r="E244" s="154"/>
      <c r="F244" s="158"/>
      <c r="G244" s="169" t="s">
        <v>3195</v>
      </c>
      <c r="H244" s="154"/>
      <c r="I244" s="174">
        <v>50432.61</v>
      </c>
      <c r="J244" s="169" t="s">
        <v>2712</v>
      </c>
      <c r="K244" s="154"/>
      <c r="L244" s="169" t="s">
        <v>3196</v>
      </c>
      <c r="M244" s="169" t="s">
        <v>2994</v>
      </c>
      <c r="N244" s="154"/>
      <c r="O244" s="154"/>
      <c r="P244" s="169" t="s">
        <v>2783</v>
      </c>
      <c r="Q244" s="154"/>
      <c r="R244" s="156"/>
      <c r="S244" s="156"/>
    </row>
    <row r="245">
      <c r="A245" s="151">
        <v>243.0</v>
      </c>
      <c r="B245" s="179">
        <v>45750.0</v>
      </c>
      <c r="C245" s="169">
        <v>4.0</v>
      </c>
      <c r="D245" s="169">
        <v>2025.0</v>
      </c>
      <c r="E245" s="154"/>
      <c r="F245" s="158"/>
      <c r="G245" s="169" t="s">
        <v>3197</v>
      </c>
      <c r="H245" s="154"/>
      <c r="I245" s="174">
        <v>90244.0</v>
      </c>
      <c r="J245" s="151" t="s">
        <v>3026</v>
      </c>
      <c r="K245" s="154"/>
      <c r="L245" s="169" t="s">
        <v>26</v>
      </c>
      <c r="M245" s="169" t="s">
        <v>3080</v>
      </c>
      <c r="N245" s="154"/>
      <c r="O245" s="154"/>
      <c r="P245" s="169" t="s">
        <v>2783</v>
      </c>
      <c r="Q245" s="154"/>
      <c r="R245" s="178" t="s">
        <v>3198</v>
      </c>
      <c r="S245" s="156"/>
    </row>
    <row r="246">
      <c r="A246" s="151">
        <v>244.0</v>
      </c>
      <c r="B246" s="179">
        <v>45755.0</v>
      </c>
      <c r="C246" s="169">
        <v>4.0</v>
      </c>
      <c r="D246" s="169">
        <v>2025.0</v>
      </c>
      <c r="E246" s="154"/>
      <c r="F246" s="158"/>
      <c r="G246" s="169" t="s">
        <v>3199</v>
      </c>
      <c r="H246" s="154"/>
      <c r="I246" s="174">
        <v>224434.05</v>
      </c>
      <c r="J246" s="151" t="s">
        <v>3026</v>
      </c>
      <c r="K246" s="154"/>
      <c r="L246" s="169" t="s">
        <v>26</v>
      </c>
      <c r="M246" s="169" t="s">
        <v>3080</v>
      </c>
      <c r="N246" s="154"/>
      <c r="O246" s="154"/>
      <c r="P246" s="169" t="s">
        <v>2783</v>
      </c>
      <c r="Q246" s="154"/>
      <c r="R246" s="156"/>
    </row>
    <row r="247" hidden="1">
      <c r="A247" s="151">
        <v>245.0</v>
      </c>
      <c r="B247" s="179">
        <v>45755.0</v>
      </c>
      <c r="C247" s="169">
        <v>4.0</v>
      </c>
      <c r="D247" s="169">
        <v>2025.0</v>
      </c>
      <c r="E247" s="154"/>
      <c r="F247" s="158"/>
      <c r="G247" s="169" t="s">
        <v>3200</v>
      </c>
      <c r="H247" s="154"/>
      <c r="I247" s="174">
        <v>430737.48</v>
      </c>
      <c r="J247" s="151" t="s">
        <v>3026</v>
      </c>
      <c r="K247" s="154"/>
      <c r="L247" s="169" t="s">
        <v>81</v>
      </c>
      <c r="M247" s="169" t="s">
        <v>2994</v>
      </c>
      <c r="N247" s="154"/>
      <c r="O247" s="154"/>
      <c r="P247" s="169" t="s">
        <v>2783</v>
      </c>
      <c r="Q247" s="172" t="s">
        <v>3201</v>
      </c>
      <c r="R247" s="178" t="s">
        <v>3202</v>
      </c>
    </row>
    <row r="248" hidden="1">
      <c r="A248" s="151">
        <v>246.0</v>
      </c>
      <c r="B248" s="179">
        <v>45759.0</v>
      </c>
      <c r="C248" s="169">
        <v>4.0</v>
      </c>
      <c r="D248" s="169">
        <v>2025.0</v>
      </c>
      <c r="E248" s="154"/>
      <c r="F248" s="158"/>
      <c r="G248" s="169" t="s">
        <v>3203</v>
      </c>
      <c r="H248" s="154"/>
      <c r="I248" s="174">
        <v>37984.78</v>
      </c>
      <c r="J248" s="169" t="s">
        <v>2712</v>
      </c>
      <c r="K248" s="154"/>
      <c r="L248" s="169" t="s">
        <v>169</v>
      </c>
      <c r="M248" s="169" t="s">
        <v>2781</v>
      </c>
      <c r="N248" s="154"/>
      <c r="O248" s="154"/>
      <c r="P248" s="169" t="s">
        <v>2783</v>
      </c>
      <c r="Q248" s="154"/>
      <c r="R248" s="178" t="s">
        <v>3204</v>
      </c>
    </row>
    <row r="249" hidden="1">
      <c r="A249" s="151">
        <v>247.0</v>
      </c>
      <c r="B249" s="179">
        <v>45759.0</v>
      </c>
      <c r="C249" s="169">
        <v>4.0</v>
      </c>
      <c r="D249" s="169">
        <v>2025.0</v>
      </c>
      <c r="E249" s="154"/>
      <c r="F249" s="158"/>
      <c r="G249" s="169" t="s">
        <v>3205</v>
      </c>
      <c r="H249" s="154"/>
      <c r="I249" s="174">
        <v>58842.56</v>
      </c>
      <c r="J249" s="169" t="s">
        <v>2712</v>
      </c>
      <c r="K249" s="154"/>
      <c r="L249" s="169" t="s">
        <v>169</v>
      </c>
      <c r="M249" s="169" t="s">
        <v>2994</v>
      </c>
      <c r="N249" s="154"/>
      <c r="O249" s="154"/>
      <c r="P249" s="169" t="s">
        <v>2783</v>
      </c>
      <c r="Q249" s="154"/>
      <c r="R249" s="178" t="s">
        <v>3206</v>
      </c>
    </row>
    <row r="250" hidden="1">
      <c r="A250" s="151">
        <v>248.0</v>
      </c>
      <c r="B250" s="179">
        <v>45759.0</v>
      </c>
      <c r="C250" s="169">
        <v>4.0</v>
      </c>
      <c r="D250" s="169">
        <v>2025.0</v>
      </c>
      <c r="E250" s="154"/>
      <c r="F250" s="158"/>
      <c r="G250" s="169" t="s">
        <v>3207</v>
      </c>
      <c r="H250" s="154"/>
      <c r="I250" s="174">
        <v>27132.79</v>
      </c>
      <c r="J250" s="169" t="s">
        <v>2712</v>
      </c>
      <c r="K250" s="154"/>
      <c r="L250" s="169" t="s">
        <v>169</v>
      </c>
      <c r="M250" s="169" t="s">
        <v>2781</v>
      </c>
      <c r="N250" s="154"/>
      <c r="O250" s="154"/>
      <c r="P250" s="169" t="s">
        <v>2783</v>
      </c>
      <c r="Q250" s="154"/>
      <c r="R250" s="178" t="s">
        <v>3208</v>
      </c>
    </row>
    <row r="251" hidden="1">
      <c r="A251" s="151">
        <v>249.0</v>
      </c>
      <c r="B251" s="179">
        <v>45759.0</v>
      </c>
      <c r="C251" s="169">
        <v>4.0</v>
      </c>
      <c r="D251" s="169">
        <v>2025.0</v>
      </c>
      <c r="E251" s="154"/>
      <c r="F251" s="158"/>
      <c r="G251" s="169" t="s">
        <v>3209</v>
      </c>
      <c r="H251" s="154"/>
      <c r="I251" s="174">
        <v>4643.52</v>
      </c>
      <c r="J251" s="151" t="s">
        <v>3026</v>
      </c>
      <c r="K251" s="154"/>
      <c r="L251" s="169" t="s">
        <v>169</v>
      </c>
      <c r="M251" s="169" t="s">
        <v>2994</v>
      </c>
      <c r="N251" s="154"/>
      <c r="O251" s="154"/>
      <c r="P251" s="169" t="s">
        <v>2783</v>
      </c>
      <c r="Q251" s="154"/>
      <c r="R251" s="178" t="s">
        <v>3210</v>
      </c>
    </row>
    <row r="252" hidden="1">
      <c r="A252" s="151">
        <v>250.0</v>
      </c>
      <c r="B252" s="179">
        <v>45759.0</v>
      </c>
      <c r="C252" s="169">
        <v>4.0</v>
      </c>
      <c r="D252" s="169">
        <v>2025.0</v>
      </c>
      <c r="E252" s="154"/>
      <c r="F252" s="158"/>
      <c r="G252" s="169" t="s">
        <v>3211</v>
      </c>
      <c r="H252" s="154"/>
      <c r="I252" s="174">
        <v>11211.9</v>
      </c>
      <c r="J252" s="169" t="s">
        <v>2712</v>
      </c>
      <c r="K252" s="154"/>
      <c r="L252" s="169" t="s">
        <v>169</v>
      </c>
      <c r="M252" s="169" t="s">
        <v>3080</v>
      </c>
      <c r="N252" s="154"/>
      <c r="O252" s="154"/>
      <c r="P252" s="169" t="s">
        <v>2783</v>
      </c>
      <c r="Q252" s="154"/>
      <c r="R252" s="178" t="s">
        <v>3212</v>
      </c>
    </row>
    <row r="253" hidden="1">
      <c r="A253" s="151">
        <v>251.0</v>
      </c>
      <c r="B253" s="151"/>
      <c r="C253" s="169">
        <v>4.0</v>
      </c>
      <c r="D253" s="169">
        <v>2025.0</v>
      </c>
      <c r="E253" s="154"/>
      <c r="F253" s="158"/>
      <c r="G253" s="169" t="s">
        <v>3213</v>
      </c>
      <c r="H253" s="154"/>
      <c r="I253" s="155"/>
      <c r="J253" s="169" t="s">
        <v>3026</v>
      </c>
      <c r="K253" s="154"/>
      <c r="L253" s="151" t="s">
        <v>222</v>
      </c>
      <c r="M253" s="169" t="s">
        <v>2994</v>
      </c>
      <c r="N253" s="154"/>
      <c r="O253" s="154"/>
      <c r="P253" s="169" t="s">
        <v>2783</v>
      </c>
      <c r="Q253" s="154"/>
      <c r="R253" s="178" t="s">
        <v>3214</v>
      </c>
    </row>
    <row r="254" hidden="1">
      <c r="A254" s="151">
        <v>252.0</v>
      </c>
      <c r="B254" s="151"/>
      <c r="C254" s="169"/>
      <c r="D254" s="169"/>
      <c r="E254" s="154"/>
      <c r="F254" s="158"/>
      <c r="G254" s="169" t="s">
        <v>3215</v>
      </c>
      <c r="H254" s="154"/>
      <c r="I254" s="155"/>
      <c r="J254" s="169"/>
      <c r="K254" s="154"/>
      <c r="L254" s="169" t="s">
        <v>637</v>
      </c>
      <c r="M254" s="169" t="s">
        <v>2994</v>
      </c>
      <c r="N254" s="154"/>
      <c r="O254" s="154"/>
      <c r="P254" s="169" t="s">
        <v>2783</v>
      </c>
      <c r="Q254" s="154"/>
      <c r="R254" s="178" t="s">
        <v>3216</v>
      </c>
    </row>
    <row r="255" hidden="1">
      <c r="A255" s="151">
        <v>253.0</v>
      </c>
      <c r="B255" s="151"/>
      <c r="C255" s="169"/>
      <c r="D255" s="169"/>
      <c r="E255" s="154"/>
      <c r="F255" s="158"/>
      <c r="G255" s="169" t="s">
        <v>3217</v>
      </c>
      <c r="H255" s="154"/>
      <c r="I255" s="155"/>
      <c r="J255" s="169"/>
      <c r="K255" s="154"/>
      <c r="L255" s="169" t="s">
        <v>637</v>
      </c>
      <c r="M255" s="169" t="s">
        <v>2994</v>
      </c>
      <c r="N255" s="154"/>
      <c r="O255" s="154"/>
      <c r="P255" s="169" t="s">
        <v>2783</v>
      </c>
      <c r="Q255" s="154"/>
      <c r="R255" s="178" t="s">
        <v>2932</v>
      </c>
    </row>
    <row r="256" hidden="1">
      <c r="A256" s="151">
        <v>254.0</v>
      </c>
      <c r="B256" s="180">
        <v>45774.0</v>
      </c>
      <c r="C256" s="169">
        <v>4.0</v>
      </c>
      <c r="D256" s="169">
        <v>2025.0</v>
      </c>
      <c r="E256" s="154"/>
      <c r="F256" s="158"/>
      <c r="G256" s="169" t="s">
        <v>3218</v>
      </c>
      <c r="H256" s="154"/>
      <c r="I256" s="174">
        <v>96075.4</v>
      </c>
      <c r="J256" s="169" t="s">
        <v>2712</v>
      </c>
      <c r="K256" s="154"/>
      <c r="L256" s="169" t="s">
        <v>3074</v>
      </c>
      <c r="M256" s="169" t="s">
        <v>2994</v>
      </c>
      <c r="N256" s="154"/>
      <c r="O256" s="154"/>
      <c r="P256" s="169" t="s">
        <v>2783</v>
      </c>
      <c r="Q256" s="154"/>
      <c r="R256" s="178" t="s">
        <v>3219</v>
      </c>
    </row>
    <row r="257" hidden="1">
      <c r="A257" s="151">
        <v>255.0</v>
      </c>
      <c r="B257" s="167">
        <v>45776.0</v>
      </c>
      <c r="C257" s="169">
        <v>4.0</v>
      </c>
      <c r="D257" s="169">
        <v>2025.0</v>
      </c>
      <c r="E257" s="154"/>
      <c r="F257" s="158"/>
      <c r="G257" s="169" t="s">
        <v>3220</v>
      </c>
      <c r="H257" s="154"/>
      <c r="I257" s="174">
        <v>99558.48</v>
      </c>
      <c r="J257" s="169" t="s">
        <v>2822</v>
      </c>
      <c r="K257" s="154"/>
      <c r="L257" s="169" t="s">
        <v>105</v>
      </c>
      <c r="M257" s="169" t="s">
        <v>2994</v>
      </c>
      <c r="N257" s="154"/>
      <c r="O257" s="154"/>
      <c r="P257" s="169" t="s">
        <v>2783</v>
      </c>
      <c r="Q257" s="154"/>
      <c r="R257" s="178" t="s">
        <v>3221</v>
      </c>
    </row>
    <row r="258" hidden="1">
      <c r="A258" s="151">
        <v>256.0</v>
      </c>
      <c r="B258" s="167">
        <v>45776.0</v>
      </c>
      <c r="C258" s="169">
        <v>4.0</v>
      </c>
      <c r="D258" s="169">
        <v>2025.0</v>
      </c>
      <c r="E258" s="154"/>
      <c r="F258" s="158"/>
      <c r="G258" s="169" t="s">
        <v>3222</v>
      </c>
      <c r="H258" s="154"/>
      <c r="I258" s="174">
        <v>58357.44</v>
      </c>
      <c r="J258" s="169" t="s">
        <v>2822</v>
      </c>
      <c r="K258" s="154"/>
      <c r="L258" s="169" t="s">
        <v>105</v>
      </c>
      <c r="M258" s="169" t="s">
        <v>3080</v>
      </c>
      <c r="N258" s="154"/>
      <c r="O258" s="154"/>
      <c r="P258" s="169" t="s">
        <v>2783</v>
      </c>
      <c r="Q258" s="154"/>
      <c r="R258" s="178" t="s">
        <v>3223</v>
      </c>
    </row>
    <row r="259" hidden="1">
      <c r="A259" s="151">
        <v>257.0</v>
      </c>
      <c r="B259" s="151"/>
      <c r="C259" s="169"/>
      <c r="D259" s="169"/>
      <c r="E259" s="154"/>
      <c r="F259" s="158"/>
      <c r="G259" s="169" t="s">
        <v>3224</v>
      </c>
      <c r="H259" s="154"/>
      <c r="I259" s="174">
        <v>74067.6</v>
      </c>
      <c r="J259" s="169" t="s">
        <v>2822</v>
      </c>
      <c r="K259" s="154"/>
      <c r="L259" s="169" t="s">
        <v>105</v>
      </c>
      <c r="M259" s="169" t="s">
        <v>2994</v>
      </c>
      <c r="N259" s="154"/>
      <c r="O259" s="154"/>
      <c r="P259" s="169" t="s">
        <v>2783</v>
      </c>
      <c r="Q259" s="154"/>
      <c r="R259" s="178" t="s">
        <v>3223</v>
      </c>
    </row>
    <row r="260" hidden="1">
      <c r="A260" s="151">
        <v>258.0</v>
      </c>
      <c r="B260" s="180">
        <v>45792.0</v>
      </c>
      <c r="C260" s="169">
        <v>5.0</v>
      </c>
      <c r="D260" s="169">
        <v>2025.0</v>
      </c>
      <c r="E260" s="154"/>
      <c r="F260" s="158"/>
      <c r="G260" s="169" t="s">
        <v>3225</v>
      </c>
      <c r="H260" s="154"/>
      <c r="I260" s="174">
        <v>57468.0</v>
      </c>
      <c r="J260" s="169" t="s">
        <v>2822</v>
      </c>
      <c r="K260" s="154"/>
      <c r="L260" s="169" t="s">
        <v>259</v>
      </c>
      <c r="M260" s="169" t="s">
        <v>2994</v>
      </c>
      <c r="N260" s="154"/>
      <c r="O260" s="154"/>
      <c r="P260" s="169" t="s">
        <v>2783</v>
      </c>
      <c r="Q260" s="154"/>
      <c r="R260" s="156"/>
    </row>
    <row r="261" hidden="1">
      <c r="A261" s="151">
        <v>259.0</v>
      </c>
      <c r="B261" s="180">
        <v>45801.0</v>
      </c>
      <c r="C261" s="169">
        <v>5.0</v>
      </c>
      <c r="D261" s="169">
        <v>2025.0</v>
      </c>
      <c r="E261" s="172">
        <v>2500004.0</v>
      </c>
      <c r="F261" s="177">
        <v>262880.0</v>
      </c>
      <c r="G261" s="169" t="s">
        <v>3226</v>
      </c>
      <c r="H261" s="154"/>
      <c r="I261" s="155"/>
      <c r="J261" s="169" t="s">
        <v>2712</v>
      </c>
      <c r="K261" s="154"/>
      <c r="L261" s="169" t="s">
        <v>3074</v>
      </c>
      <c r="M261" s="169" t="s">
        <v>2781</v>
      </c>
      <c r="N261" s="154"/>
      <c r="O261" s="154"/>
      <c r="P261" s="169" t="s">
        <v>2783</v>
      </c>
      <c r="Q261" s="154"/>
      <c r="R261" s="178" t="s">
        <v>3227</v>
      </c>
    </row>
    <row r="262" hidden="1">
      <c r="A262" s="151">
        <v>260.0</v>
      </c>
      <c r="B262" s="180">
        <v>45801.0</v>
      </c>
      <c r="C262" s="169">
        <v>5.0</v>
      </c>
      <c r="D262" s="169">
        <v>2025.0</v>
      </c>
      <c r="E262" s="172">
        <v>2500005.0</v>
      </c>
      <c r="F262" s="177">
        <v>107003.0</v>
      </c>
      <c r="G262" s="169" t="s">
        <v>3228</v>
      </c>
      <c r="H262" s="154"/>
      <c r="I262" s="155"/>
      <c r="J262" s="169" t="s">
        <v>2712</v>
      </c>
      <c r="K262" s="154"/>
      <c r="L262" s="169" t="s">
        <v>3074</v>
      </c>
      <c r="M262" s="169" t="s">
        <v>2781</v>
      </c>
      <c r="N262" s="154"/>
      <c r="O262" s="154"/>
      <c r="P262" s="169" t="s">
        <v>2783</v>
      </c>
      <c r="Q262" s="154"/>
      <c r="R262" s="178" t="s">
        <v>3229</v>
      </c>
    </row>
    <row r="263" hidden="1">
      <c r="A263" s="151">
        <v>261.0</v>
      </c>
      <c r="B263" s="180">
        <v>45801.0</v>
      </c>
      <c r="C263" s="169">
        <v>5.0</v>
      </c>
      <c r="D263" s="169">
        <v>2025.0</v>
      </c>
      <c r="E263" s="172">
        <v>2500006.0</v>
      </c>
      <c r="F263" s="177">
        <v>52747.0</v>
      </c>
      <c r="G263" s="169" t="s">
        <v>3230</v>
      </c>
      <c r="H263" s="154"/>
      <c r="I263" s="155"/>
      <c r="J263" s="169" t="s">
        <v>2712</v>
      </c>
      <c r="K263" s="154"/>
      <c r="L263" s="169" t="s">
        <v>3074</v>
      </c>
      <c r="M263" s="169" t="s">
        <v>2781</v>
      </c>
      <c r="N263" s="154"/>
      <c r="O263" s="154"/>
      <c r="P263" s="169" t="s">
        <v>2783</v>
      </c>
      <c r="Q263" s="154"/>
      <c r="R263" s="178" t="s">
        <v>2854</v>
      </c>
    </row>
    <row r="264" hidden="1">
      <c r="A264" s="151">
        <v>262.0</v>
      </c>
      <c r="B264" s="180">
        <v>45801.0</v>
      </c>
      <c r="C264" s="169">
        <v>5.0</v>
      </c>
      <c r="D264" s="169">
        <v>2025.0</v>
      </c>
      <c r="E264" s="172">
        <v>2500007.0</v>
      </c>
      <c r="F264" s="177">
        <v>51483.0</v>
      </c>
      <c r="G264" s="169" t="s">
        <v>3231</v>
      </c>
      <c r="H264" s="154"/>
      <c r="I264" s="155"/>
      <c r="J264" s="169" t="s">
        <v>2712</v>
      </c>
      <c r="K264" s="154"/>
      <c r="L264" s="169" t="s">
        <v>3074</v>
      </c>
      <c r="M264" s="169" t="s">
        <v>2781</v>
      </c>
      <c r="N264" s="154"/>
      <c r="O264" s="154"/>
      <c r="P264" s="169" t="s">
        <v>2783</v>
      </c>
      <c r="Q264" s="154"/>
      <c r="R264" s="178" t="s">
        <v>3121</v>
      </c>
    </row>
    <row r="265" hidden="1">
      <c r="A265" s="151">
        <v>263.0</v>
      </c>
      <c r="B265" s="180">
        <v>45810.0</v>
      </c>
      <c r="C265" s="169">
        <v>6.0</v>
      </c>
      <c r="D265" s="169">
        <v>2025.0</v>
      </c>
      <c r="E265" s="154"/>
      <c r="F265" s="158"/>
      <c r="G265" s="169" t="s">
        <v>3232</v>
      </c>
      <c r="H265" s="154"/>
      <c r="I265" s="174">
        <v>74479.0</v>
      </c>
      <c r="J265" s="169" t="s">
        <v>2822</v>
      </c>
      <c r="K265" s="154"/>
      <c r="L265" s="169" t="s">
        <v>59</v>
      </c>
      <c r="M265" s="169" t="s">
        <v>2781</v>
      </c>
      <c r="N265" s="154"/>
      <c r="O265" s="154"/>
      <c r="P265" s="169" t="s">
        <v>2783</v>
      </c>
      <c r="Q265" s="154"/>
      <c r="R265" s="178" t="s">
        <v>3233</v>
      </c>
    </row>
    <row r="266" hidden="1">
      <c r="A266" s="151">
        <v>264.0</v>
      </c>
      <c r="B266" s="180">
        <v>45810.0</v>
      </c>
      <c r="C266" s="169">
        <v>6.0</v>
      </c>
      <c r="D266" s="169">
        <v>2025.0</v>
      </c>
      <c r="E266" s="154"/>
      <c r="F266" s="158"/>
      <c r="G266" s="169" t="s">
        <v>3234</v>
      </c>
      <c r="H266" s="154"/>
      <c r="I266" s="174">
        <v>30078.0</v>
      </c>
      <c r="J266" s="169" t="s">
        <v>2822</v>
      </c>
      <c r="K266" s="154"/>
      <c r="L266" s="169" t="s">
        <v>59</v>
      </c>
      <c r="M266" s="169" t="s">
        <v>2781</v>
      </c>
      <c r="N266" s="154"/>
      <c r="O266" s="154"/>
      <c r="P266" s="169" t="s">
        <v>2783</v>
      </c>
      <c r="Q266" s="154"/>
      <c r="R266" s="178" t="s">
        <v>3235</v>
      </c>
    </row>
    <row r="267" hidden="1">
      <c r="A267" s="151">
        <v>265.0</v>
      </c>
      <c r="B267" s="180">
        <v>45810.0</v>
      </c>
      <c r="C267" s="169">
        <v>6.0</v>
      </c>
      <c r="D267" s="169">
        <v>2025.0</v>
      </c>
      <c r="E267" s="154"/>
      <c r="F267" s="158"/>
      <c r="G267" s="169" t="s">
        <v>3236</v>
      </c>
      <c r="H267" s="154"/>
      <c r="I267" s="174">
        <v>21776.94</v>
      </c>
      <c r="J267" s="169" t="s">
        <v>2822</v>
      </c>
      <c r="K267" s="154"/>
      <c r="L267" s="169" t="s">
        <v>169</v>
      </c>
      <c r="M267" s="151"/>
      <c r="N267" s="154"/>
      <c r="O267" s="154"/>
      <c r="P267" s="169" t="s">
        <v>2783</v>
      </c>
      <c r="Q267" s="154"/>
      <c r="R267" s="178" t="s">
        <v>3237</v>
      </c>
    </row>
    <row r="268" hidden="1">
      <c r="A268" s="151">
        <v>266.0</v>
      </c>
      <c r="B268" s="180">
        <v>45812.0</v>
      </c>
      <c r="C268" s="169">
        <v>6.0</v>
      </c>
      <c r="D268" s="169">
        <v>2025.0</v>
      </c>
      <c r="E268" s="154"/>
      <c r="F268" s="158"/>
      <c r="G268" s="169" t="s">
        <v>3238</v>
      </c>
      <c r="H268" s="154"/>
      <c r="I268" s="174">
        <v>646131.75</v>
      </c>
      <c r="J268" s="169" t="s">
        <v>3182</v>
      </c>
      <c r="K268" s="154"/>
      <c r="L268" s="169" t="s">
        <v>3137</v>
      </c>
      <c r="M268" s="151"/>
      <c r="N268" s="154"/>
      <c r="O268" s="154"/>
      <c r="P268" s="169" t="s">
        <v>2783</v>
      </c>
      <c r="Q268" s="154"/>
      <c r="R268" s="156"/>
    </row>
    <row r="269" hidden="1">
      <c r="A269" s="151">
        <v>267.0</v>
      </c>
      <c r="B269" s="180">
        <v>45817.0</v>
      </c>
      <c r="C269" s="169">
        <v>6.0</v>
      </c>
      <c r="D269" s="169">
        <v>2025.0</v>
      </c>
      <c r="E269" s="154"/>
      <c r="F269" s="158"/>
      <c r="G269" s="169" t="s">
        <v>3239</v>
      </c>
      <c r="H269" s="154"/>
      <c r="I269" s="174">
        <v>83470.0</v>
      </c>
      <c r="J269" s="169" t="s">
        <v>2712</v>
      </c>
      <c r="K269" s="154"/>
      <c r="L269" s="169" t="s">
        <v>3074</v>
      </c>
      <c r="M269" s="151"/>
      <c r="N269" s="154"/>
      <c r="O269" s="154"/>
      <c r="P269" s="169" t="s">
        <v>2783</v>
      </c>
      <c r="Q269" s="154"/>
      <c r="R269" s="178" t="s">
        <v>3240</v>
      </c>
    </row>
    <row r="270" hidden="1">
      <c r="A270" s="151">
        <v>268.0</v>
      </c>
      <c r="B270" s="180"/>
      <c r="C270" s="169">
        <v>6.0</v>
      </c>
      <c r="D270" s="169">
        <v>2025.0</v>
      </c>
      <c r="E270" s="154"/>
      <c r="F270" s="158"/>
      <c r="G270" s="169" t="s">
        <v>3241</v>
      </c>
      <c r="H270" s="154"/>
      <c r="I270" s="174">
        <v>41536.6</v>
      </c>
      <c r="J270" s="169" t="s">
        <v>3026</v>
      </c>
      <c r="K270" s="154"/>
      <c r="L270" s="169" t="s">
        <v>40</v>
      </c>
      <c r="M270" s="151"/>
      <c r="N270" s="154"/>
      <c r="O270" s="154"/>
      <c r="P270" s="169" t="s">
        <v>2783</v>
      </c>
      <c r="Q270" s="154"/>
      <c r="R270" s="178" t="s">
        <v>3233</v>
      </c>
    </row>
    <row r="271" hidden="1">
      <c r="A271" s="151">
        <v>269.0</v>
      </c>
      <c r="B271" s="180"/>
      <c r="C271" s="169">
        <v>6.0</v>
      </c>
      <c r="D271" s="169">
        <v>2025.0</v>
      </c>
      <c r="E271" s="154"/>
      <c r="F271" s="158"/>
      <c r="G271" s="169" t="s">
        <v>3242</v>
      </c>
      <c r="H271" s="154"/>
      <c r="I271" s="174">
        <v>39975.0</v>
      </c>
      <c r="J271" s="169" t="s">
        <v>3026</v>
      </c>
      <c r="K271" s="154"/>
      <c r="L271" s="169" t="s">
        <v>40</v>
      </c>
      <c r="M271" s="151"/>
      <c r="N271" s="154"/>
      <c r="O271" s="154"/>
      <c r="P271" s="169" t="s">
        <v>2783</v>
      </c>
      <c r="Q271" s="154"/>
      <c r="R271" s="178" t="s">
        <v>3243</v>
      </c>
    </row>
    <row r="272" hidden="1">
      <c r="A272" s="151">
        <v>270.0</v>
      </c>
      <c r="B272" s="180">
        <v>45840.0</v>
      </c>
      <c r="C272" s="169">
        <v>7.0</v>
      </c>
      <c r="D272" s="169">
        <v>2025.0</v>
      </c>
      <c r="E272" s="154"/>
      <c r="F272" s="158"/>
      <c r="G272" s="169" t="s">
        <v>3244</v>
      </c>
      <c r="H272" s="154"/>
      <c r="I272" s="174">
        <v>244943.5</v>
      </c>
      <c r="J272" s="169" t="s">
        <v>2712</v>
      </c>
      <c r="K272" s="154"/>
      <c r="L272" s="169" t="s">
        <v>81</v>
      </c>
      <c r="M272" s="151"/>
      <c r="N272" s="154"/>
      <c r="O272" s="154"/>
      <c r="P272" s="169" t="s">
        <v>2783</v>
      </c>
      <c r="Q272" s="154"/>
      <c r="R272" s="178" t="s">
        <v>2807</v>
      </c>
    </row>
    <row r="273" hidden="1">
      <c r="A273" s="181">
        <v>271.0</v>
      </c>
      <c r="B273" s="182"/>
      <c r="C273" s="183"/>
      <c r="D273" s="183"/>
      <c r="E273" s="184"/>
      <c r="F273" s="185"/>
      <c r="G273" s="183" t="s">
        <v>3245</v>
      </c>
      <c r="H273" s="184"/>
      <c r="I273" s="186"/>
      <c r="J273" s="183" t="s">
        <v>2712</v>
      </c>
      <c r="K273" s="184"/>
      <c r="L273" s="183" t="s">
        <v>3246</v>
      </c>
      <c r="M273" s="181"/>
      <c r="N273" s="184"/>
      <c r="O273" s="184"/>
      <c r="P273" s="183" t="s">
        <v>2783</v>
      </c>
      <c r="Q273" s="184"/>
      <c r="R273" s="187" t="s">
        <v>3247</v>
      </c>
    </row>
    <row r="274" hidden="1">
      <c r="A274" s="151">
        <v>272.0</v>
      </c>
      <c r="B274" s="180">
        <v>45846.0</v>
      </c>
      <c r="C274" s="169">
        <v>7.0</v>
      </c>
      <c r="D274" s="169">
        <v>2025.0</v>
      </c>
      <c r="E274" s="172">
        <v>2500008.0</v>
      </c>
      <c r="F274" s="177">
        <v>66650.0</v>
      </c>
      <c r="G274" s="169" t="s">
        <v>3248</v>
      </c>
      <c r="H274" s="154"/>
      <c r="I274" s="155"/>
      <c r="J274" s="169" t="s">
        <v>2712</v>
      </c>
      <c r="K274" s="154"/>
      <c r="L274" s="169" t="s">
        <v>3074</v>
      </c>
      <c r="M274" s="169" t="s">
        <v>2781</v>
      </c>
      <c r="N274" s="154"/>
      <c r="O274" s="154"/>
      <c r="P274" s="169" t="s">
        <v>2783</v>
      </c>
      <c r="Q274" s="154"/>
      <c r="R274" s="178" t="s">
        <v>2843</v>
      </c>
    </row>
    <row r="275" hidden="1">
      <c r="A275" s="151">
        <v>273.0</v>
      </c>
      <c r="B275" s="180">
        <v>45846.0</v>
      </c>
      <c r="C275" s="169">
        <v>7.0</v>
      </c>
      <c r="D275" s="169">
        <v>2025.0</v>
      </c>
      <c r="E275" s="172">
        <v>2500009.0</v>
      </c>
      <c r="F275" s="177">
        <v>262880.0</v>
      </c>
      <c r="G275" s="169" t="s">
        <v>3249</v>
      </c>
      <c r="H275" s="154"/>
      <c r="I275" s="155"/>
      <c r="J275" s="169" t="s">
        <v>2712</v>
      </c>
      <c r="K275" s="154"/>
      <c r="L275" s="169" t="s">
        <v>3074</v>
      </c>
      <c r="M275" s="169" t="s">
        <v>2781</v>
      </c>
      <c r="N275" s="154"/>
      <c r="O275" s="154"/>
      <c r="P275" s="169" t="s">
        <v>2783</v>
      </c>
      <c r="Q275" s="154"/>
      <c r="R275" s="178" t="s">
        <v>3250</v>
      </c>
    </row>
    <row r="276" hidden="1">
      <c r="A276" s="151">
        <v>274.0</v>
      </c>
      <c r="B276" s="180"/>
      <c r="C276" s="169"/>
      <c r="D276" s="169"/>
      <c r="E276" s="154"/>
      <c r="F276" s="158"/>
      <c r="G276" s="169" t="s">
        <v>3251</v>
      </c>
      <c r="H276" s="154"/>
      <c r="I276" s="174">
        <v>35481.6</v>
      </c>
      <c r="J276" s="169" t="s">
        <v>2712</v>
      </c>
      <c r="K276" s="154"/>
      <c r="L276" s="169" t="s">
        <v>3252</v>
      </c>
      <c r="M276" s="151"/>
      <c r="N276" s="154"/>
      <c r="O276" s="154"/>
      <c r="P276" s="169" t="s">
        <v>2783</v>
      </c>
      <c r="Q276" s="154"/>
      <c r="R276" s="178" t="s">
        <v>3253</v>
      </c>
    </row>
    <row r="277" hidden="1">
      <c r="A277" s="151">
        <v>275.0</v>
      </c>
      <c r="B277" s="180"/>
      <c r="C277" s="169"/>
      <c r="D277" s="169"/>
      <c r="E277" s="154"/>
      <c r="F277" s="158"/>
      <c r="G277" s="169" t="s">
        <v>3254</v>
      </c>
      <c r="H277" s="154"/>
      <c r="I277" s="174">
        <v>25344.0</v>
      </c>
      <c r="J277" s="169" t="s">
        <v>2712</v>
      </c>
      <c r="K277" s="154"/>
      <c r="L277" s="169" t="s">
        <v>3252</v>
      </c>
      <c r="M277" s="151"/>
      <c r="N277" s="154"/>
      <c r="O277" s="154"/>
      <c r="P277" s="169" t="s">
        <v>2783</v>
      </c>
      <c r="Q277" s="154"/>
      <c r="R277" s="178" t="s">
        <v>3255</v>
      </c>
    </row>
    <row r="278" hidden="1">
      <c r="A278" s="151">
        <v>276.0</v>
      </c>
      <c r="B278" s="180"/>
      <c r="C278" s="169"/>
      <c r="D278" s="169"/>
      <c r="E278" s="154"/>
      <c r="F278" s="158"/>
      <c r="G278" s="169" t="s">
        <v>3256</v>
      </c>
      <c r="H278" s="154"/>
      <c r="I278" s="174">
        <v>39416.0</v>
      </c>
      <c r="J278" s="169" t="s">
        <v>2712</v>
      </c>
      <c r="K278" s="154"/>
      <c r="L278" s="169" t="s">
        <v>3252</v>
      </c>
      <c r="M278" s="151"/>
      <c r="N278" s="154"/>
      <c r="O278" s="154"/>
      <c r="P278" s="169" t="s">
        <v>2783</v>
      </c>
      <c r="Q278" s="154"/>
      <c r="R278" s="178" t="s">
        <v>3257</v>
      </c>
    </row>
    <row r="279">
      <c r="A279" s="151">
        <v>277.0</v>
      </c>
      <c r="B279" s="180"/>
      <c r="C279" s="169"/>
      <c r="D279" s="169"/>
      <c r="E279" s="154"/>
      <c r="F279" s="158"/>
      <c r="G279" s="169" t="s">
        <v>3258</v>
      </c>
      <c r="H279" s="154"/>
      <c r="I279" s="155"/>
      <c r="J279" s="169" t="s">
        <v>3026</v>
      </c>
      <c r="K279" s="154"/>
      <c r="L279" s="169" t="s">
        <v>26</v>
      </c>
      <c r="M279" s="151"/>
      <c r="N279" s="154"/>
      <c r="O279" s="154"/>
      <c r="P279" s="169" t="s">
        <v>2783</v>
      </c>
      <c r="Q279" s="154"/>
      <c r="R279" s="156"/>
    </row>
    <row r="280" hidden="1">
      <c r="A280" s="151">
        <v>278.0</v>
      </c>
      <c r="B280" s="180">
        <v>45862.0</v>
      </c>
      <c r="C280" s="169">
        <v>7.0</v>
      </c>
      <c r="D280" s="169">
        <v>2025.0</v>
      </c>
      <c r="E280" s="154"/>
      <c r="F280" s="158"/>
      <c r="G280" s="169" t="s">
        <v>3259</v>
      </c>
      <c r="H280" s="154"/>
      <c r="I280" s="174">
        <v>41754.62</v>
      </c>
      <c r="J280" s="169" t="s">
        <v>3026</v>
      </c>
      <c r="K280" s="154"/>
      <c r="L280" s="169" t="s">
        <v>3260</v>
      </c>
      <c r="M280" s="151"/>
      <c r="N280" s="154"/>
      <c r="O280" s="154"/>
      <c r="P280" s="169" t="s">
        <v>2783</v>
      </c>
      <c r="Q280" s="154"/>
      <c r="R280" s="178" t="s">
        <v>3261</v>
      </c>
    </row>
    <row r="281">
      <c r="A281" s="151">
        <v>279.0</v>
      </c>
      <c r="B281" s="180">
        <v>45865.0</v>
      </c>
      <c r="C281" s="169">
        <v>7.0</v>
      </c>
      <c r="D281" s="169">
        <v>2025.0</v>
      </c>
      <c r="E281" s="154"/>
      <c r="F281" s="158"/>
      <c r="G281" s="169" t="s">
        <v>3262</v>
      </c>
      <c r="H281" s="154"/>
      <c r="I281" s="155"/>
      <c r="J281" s="169" t="s">
        <v>3026</v>
      </c>
      <c r="K281" s="154"/>
      <c r="L281" s="169" t="s">
        <v>26</v>
      </c>
      <c r="M281" s="151"/>
      <c r="N281" s="154"/>
      <c r="O281" s="154"/>
      <c r="P281" s="169" t="s">
        <v>2783</v>
      </c>
      <c r="Q281" s="154"/>
      <c r="R281" s="178" t="s">
        <v>3263</v>
      </c>
    </row>
    <row r="282" hidden="1">
      <c r="A282" s="151">
        <v>280.0</v>
      </c>
      <c r="B282" s="180">
        <v>45866.0</v>
      </c>
      <c r="C282" s="169">
        <v>7.0</v>
      </c>
      <c r="D282" s="169">
        <v>2025.0</v>
      </c>
      <c r="E282" s="154"/>
      <c r="F282" s="158"/>
      <c r="G282" s="169" t="s">
        <v>3264</v>
      </c>
      <c r="H282" s="154"/>
      <c r="I282" s="155"/>
      <c r="J282" s="169" t="s">
        <v>3026</v>
      </c>
      <c r="K282" s="154"/>
      <c r="L282" s="169" t="s">
        <v>3265</v>
      </c>
      <c r="M282" s="151"/>
      <c r="N282" s="154"/>
      <c r="O282" s="154"/>
      <c r="P282" s="169" t="s">
        <v>2783</v>
      </c>
      <c r="Q282" s="154"/>
      <c r="R282" s="156"/>
    </row>
    <row r="283" hidden="1">
      <c r="A283" s="151">
        <v>281.0</v>
      </c>
      <c r="B283" s="180">
        <v>45876.0</v>
      </c>
      <c r="C283" s="169">
        <v>8.0</v>
      </c>
      <c r="D283" s="169">
        <v>2025.0</v>
      </c>
      <c r="E283" s="154"/>
      <c r="F283" s="158"/>
      <c r="G283" s="169" t="s">
        <v>3266</v>
      </c>
      <c r="H283" s="154"/>
      <c r="I283" s="174">
        <v>59981.76</v>
      </c>
      <c r="J283" s="169" t="s">
        <v>2712</v>
      </c>
      <c r="K283" s="154"/>
      <c r="L283" s="169" t="s">
        <v>169</v>
      </c>
      <c r="M283" s="151"/>
      <c r="N283" s="154"/>
      <c r="O283" s="154"/>
      <c r="P283" s="169" t="s">
        <v>2783</v>
      </c>
      <c r="Q283" s="154"/>
      <c r="R283" s="178" t="s">
        <v>3267</v>
      </c>
    </row>
    <row r="284" hidden="1">
      <c r="A284" s="151">
        <v>282.0</v>
      </c>
      <c r="B284" s="180">
        <v>45887.0</v>
      </c>
      <c r="C284" s="169">
        <v>8.0</v>
      </c>
      <c r="D284" s="169">
        <v>2025.0</v>
      </c>
      <c r="E284" s="154"/>
      <c r="F284" s="158"/>
      <c r="G284" s="169" t="s">
        <v>3268</v>
      </c>
      <c r="H284" s="154"/>
      <c r="I284" s="155"/>
      <c r="J284" s="169" t="s">
        <v>3026</v>
      </c>
      <c r="K284" s="154"/>
      <c r="L284" s="169" t="s">
        <v>105</v>
      </c>
      <c r="M284" s="151"/>
      <c r="N284" s="154"/>
      <c r="O284" s="154"/>
      <c r="P284" s="169" t="s">
        <v>2783</v>
      </c>
      <c r="Q284" s="154"/>
      <c r="R284" s="178" t="s">
        <v>3269</v>
      </c>
    </row>
    <row r="285" hidden="1">
      <c r="A285" s="151">
        <v>283.0</v>
      </c>
      <c r="B285" s="180"/>
      <c r="C285" s="151"/>
      <c r="D285" s="151"/>
      <c r="E285" s="154"/>
      <c r="F285" s="158"/>
      <c r="G285" s="169" t="s">
        <v>3270</v>
      </c>
      <c r="H285" s="154"/>
      <c r="I285" s="174">
        <v>513893.34</v>
      </c>
      <c r="J285" s="169" t="s">
        <v>3182</v>
      </c>
      <c r="K285" s="154"/>
      <c r="L285" s="169" t="s">
        <v>3137</v>
      </c>
      <c r="M285" s="151"/>
      <c r="N285" s="154"/>
      <c r="O285" s="154"/>
      <c r="P285" s="169" t="s">
        <v>2783</v>
      </c>
      <c r="Q285" s="154"/>
      <c r="R285" s="156"/>
    </row>
    <row r="286" hidden="1">
      <c r="A286" s="151">
        <v>284.0</v>
      </c>
      <c r="B286" s="180"/>
      <c r="C286" s="151"/>
      <c r="D286" s="151"/>
      <c r="E286" s="154"/>
      <c r="F286" s="158"/>
      <c r="G286" s="169" t="s">
        <v>3271</v>
      </c>
      <c r="H286" s="154"/>
      <c r="I286" s="174">
        <v>313383.22</v>
      </c>
      <c r="J286" s="169" t="s">
        <v>3026</v>
      </c>
      <c r="K286" s="154"/>
      <c r="L286" s="169" t="s">
        <v>1316</v>
      </c>
      <c r="M286" s="151"/>
      <c r="N286" s="154"/>
      <c r="O286" s="154"/>
      <c r="P286" s="169" t="s">
        <v>2783</v>
      </c>
      <c r="Q286" s="154"/>
      <c r="R286" s="156"/>
    </row>
    <row r="287" hidden="1">
      <c r="A287" s="151">
        <v>285.0</v>
      </c>
      <c r="B287" s="180">
        <v>45953.0</v>
      </c>
      <c r="C287" s="169">
        <v>10.0</v>
      </c>
      <c r="D287" s="169">
        <v>2025.0</v>
      </c>
      <c r="E287" s="154"/>
      <c r="F287" s="158"/>
      <c r="G287" s="169" t="s">
        <v>3272</v>
      </c>
      <c r="H287" s="154"/>
      <c r="I287" s="155"/>
      <c r="J287" s="169" t="s">
        <v>2822</v>
      </c>
      <c r="K287" s="154"/>
      <c r="L287" s="169" t="s">
        <v>105</v>
      </c>
      <c r="M287" s="151"/>
      <c r="N287" s="154"/>
      <c r="O287" s="154"/>
      <c r="P287" s="169" t="s">
        <v>2783</v>
      </c>
      <c r="Q287" s="154"/>
      <c r="R287" s="156"/>
    </row>
    <row r="288" hidden="1">
      <c r="A288" s="151">
        <v>286.0</v>
      </c>
      <c r="B288" s="180">
        <v>45964.0</v>
      </c>
      <c r="C288" s="169">
        <v>11.0</v>
      </c>
      <c r="D288" s="169">
        <v>2025.0</v>
      </c>
      <c r="E288" s="154"/>
      <c r="F288" s="158"/>
      <c r="G288" s="169" t="s">
        <v>3273</v>
      </c>
      <c r="H288" s="154"/>
      <c r="I288" s="174">
        <v>397622.0</v>
      </c>
      <c r="J288" s="169" t="s">
        <v>2712</v>
      </c>
      <c r="K288" s="154"/>
      <c r="L288" s="169" t="s">
        <v>3074</v>
      </c>
      <c r="M288" s="151"/>
      <c r="N288" s="154"/>
      <c r="O288" s="154"/>
      <c r="P288" s="169" t="s">
        <v>2783</v>
      </c>
      <c r="Q288" s="154"/>
      <c r="R288" s="178" t="s">
        <v>3274</v>
      </c>
    </row>
    <row r="289" hidden="1">
      <c r="A289" s="151">
        <v>287.0</v>
      </c>
      <c r="B289" s="180">
        <v>45958.0</v>
      </c>
      <c r="C289" s="169">
        <v>10.0</v>
      </c>
      <c r="D289" s="169">
        <v>2025.0</v>
      </c>
      <c r="E289" s="154"/>
      <c r="F289" s="158"/>
      <c r="G289" s="169" t="s">
        <v>3275</v>
      </c>
      <c r="H289" s="154"/>
      <c r="I289" s="155"/>
      <c r="J289" s="151"/>
      <c r="K289" s="154"/>
      <c r="L289" s="169" t="s">
        <v>3276</v>
      </c>
      <c r="M289" s="151"/>
      <c r="N289" s="154"/>
      <c r="O289" s="154"/>
      <c r="P289" s="169" t="s">
        <v>2783</v>
      </c>
      <c r="Q289" s="154"/>
      <c r="R289" s="156"/>
    </row>
    <row r="290" hidden="1">
      <c r="A290" s="151">
        <v>288.0</v>
      </c>
      <c r="B290" s="180">
        <v>45964.0</v>
      </c>
      <c r="C290" s="169">
        <v>11.0</v>
      </c>
      <c r="D290" s="169">
        <v>2025.0</v>
      </c>
      <c r="E290" s="154"/>
      <c r="F290" s="158"/>
      <c r="G290" s="169" t="s">
        <v>2588</v>
      </c>
      <c r="H290" s="154"/>
      <c r="I290" s="174">
        <v>33325.0</v>
      </c>
      <c r="J290" s="169" t="s">
        <v>2712</v>
      </c>
      <c r="K290" s="154"/>
      <c r="L290" s="169" t="s">
        <v>3074</v>
      </c>
      <c r="M290" s="151"/>
      <c r="N290" s="154"/>
      <c r="O290" s="154"/>
      <c r="P290" s="169" t="s">
        <v>2783</v>
      </c>
      <c r="Q290" s="154"/>
      <c r="R290" s="178" t="s">
        <v>2843</v>
      </c>
    </row>
    <row r="291" hidden="1">
      <c r="A291" s="151">
        <v>289.0</v>
      </c>
      <c r="B291" s="180">
        <v>45964.0</v>
      </c>
      <c r="C291" s="169">
        <v>11.0</v>
      </c>
      <c r="D291" s="169">
        <v>2025.0</v>
      </c>
      <c r="E291" s="154"/>
      <c r="F291" s="158"/>
      <c r="G291" s="169" t="s">
        <v>3277</v>
      </c>
      <c r="H291" s="154"/>
      <c r="I291" s="174">
        <v>69069.0</v>
      </c>
      <c r="J291" s="169" t="s">
        <v>2712</v>
      </c>
      <c r="K291" s="154"/>
      <c r="L291" s="169" t="s">
        <v>3074</v>
      </c>
      <c r="M291" s="151"/>
      <c r="N291" s="154"/>
      <c r="O291" s="154"/>
      <c r="P291" s="169" t="s">
        <v>2783</v>
      </c>
      <c r="Q291" s="154"/>
      <c r="R291" s="178" t="s">
        <v>3121</v>
      </c>
    </row>
    <row r="292" hidden="1">
      <c r="A292" s="151">
        <v>290.0</v>
      </c>
      <c r="B292" s="180">
        <v>45964.0</v>
      </c>
      <c r="C292" s="169">
        <v>11.0</v>
      </c>
      <c r="D292" s="169">
        <v>2025.0</v>
      </c>
      <c r="E292" s="154"/>
      <c r="F292" s="158"/>
      <c r="G292" s="169" t="s">
        <v>3278</v>
      </c>
      <c r="H292" s="154"/>
      <c r="I292" s="174">
        <v>60720.0</v>
      </c>
      <c r="J292" s="169" t="s">
        <v>2712</v>
      </c>
      <c r="K292" s="154"/>
      <c r="L292" s="169" t="s">
        <v>3074</v>
      </c>
      <c r="M292" s="151"/>
      <c r="N292" s="154"/>
      <c r="O292" s="154"/>
      <c r="P292" s="169" t="s">
        <v>2783</v>
      </c>
      <c r="Q292" s="154"/>
      <c r="R292" s="178" t="s">
        <v>3279</v>
      </c>
    </row>
    <row r="293" hidden="1">
      <c r="A293" s="151">
        <v>291.0</v>
      </c>
      <c r="B293" s="180">
        <v>45965.0</v>
      </c>
      <c r="C293" s="169">
        <v>11.0</v>
      </c>
      <c r="D293" s="169">
        <v>2025.0</v>
      </c>
      <c r="E293" s="154"/>
      <c r="F293" s="158"/>
      <c r="G293" s="169" t="s">
        <v>3280</v>
      </c>
      <c r="H293" s="154"/>
      <c r="I293" s="174">
        <v>108484.5</v>
      </c>
      <c r="J293" s="169" t="s">
        <v>2712</v>
      </c>
      <c r="K293" s="154"/>
      <c r="L293" s="169" t="s">
        <v>3074</v>
      </c>
      <c r="M293" s="151"/>
      <c r="N293" s="154"/>
      <c r="O293" s="154"/>
      <c r="P293" s="169" t="s">
        <v>2783</v>
      </c>
      <c r="Q293" s="154"/>
      <c r="R293" s="178" t="s">
        <v>3281</v>
      </c>
    </row>
    <row r="294" hidden="1">
      <c r="A294" s="151">
        <v>292.0</v>
      </c>
      <c r="B294" s="180">
        <v>45972.0</v>
      </c>
      <c r="C294" s="169">
        <v>11.0</v>
      </c>
      <c r="D294" s="169">
        <v>2025.0</v>
      </c>
      <c r="E294" s="154"/>
      <c r="F294" s="158"/>
      <c r="G294" s="169" t="s">
        <v>3282</v>
      </c>
      <c r="H294" s="154"/>
      <c r="I294" s="174">
        <v>61255.2</v>
      </c>
      <c r="J294" s="169" t="s">
        <v>2712</v>
      </c>
      <c r="K294" s="154"/>
      <c r="L294" s="169" t="s">
        <v>3033</v>
      </c>
      <c r="M294" s="151"/>
      <c r="N294" s="154"/>
      <c r="O294" s="154"/>
      <c r="P294" s="169" t="s">
        <v>2783</v>
      </c>
      <c r="Q294" s="154"/>
      <c r="R294" s="156"/>
    </row>
    <row r="295" hidden="1">
      <c r="A295" s="151">
        <v>293.0</v>
      </c>
      <c r="B295" s="180">
        <v>45971.0</v>
      </c>
      <c r="C295" s="169">
        <v>11.0</v>
      </c>
      <c r="D295" s="169">
        <v>2025.0</v>
      </c>
      <c r="E295" s="154"/>
      <c r="F295" s="158"/>
      <c r="G295" s="169" t="s">
        <v>2591</v>
      </c>
      <c r="H295" s="154"/>
      <c r="I295" s="174">
        <v>462281.4</v>
      </c>
      <c r="J295" s="151"/>
      <c r="K295" s="154"/>
      <c r="L295" s="169" t="s">
        <v>81</v>
      </c>
      <c r="M295" s="151"/>
      <c r="N295" s="154"/>
      <c r="O295" s="154"/>
      <c r="P295" s="169" t="s">
        <v>2783</v>
      </c>
      <c r="Q295" s="154"/>
      <c r="R295" s="156"/>
    </row>
    <row r="296" hidden="1">
      <c r="A296" s="151">
        <v>294.0</v>
      </c>
      <c r="B296" s="180"/>
      <c r="C296" s="151"/>
      <c r="D296" s="151"/>
      <c r="E296" s="154"/>
      <c r="F296" s="158"/>
      <c r="G296" s="169" t="s">
        <v>3283</v>
      </c>
      <c r="H296" s="154"/>
      <c r="I296" s="155"/>
      <c r="J296" s="151"/>
      <c r="K296" s="154"/>
      <c r="L296" s="169" t="s">
        <v>81</v>
      </c>
      <c r="M296" s="151"/>
      <c r="N296" s="154"/>
      <c r="O296" s="154"/>
      <c r="P296" s="151"/>
      <c r="Q296" s="154"/>
      <c r="R296" s="156"/>
    </row>
    <row r="297" hidden="1">
      <c r="A297" s="151">
        <v>295.0</v>
      </c>
      <c r="B297" s="180"/>
      <c r="C297" s="151"/>
      <c r="D297" s="151"/>
      <c r="E297" s="154"/>
      <c r="F297" s="158"/>
      <c r="G297" s="169" t="s">
        <v>3284</v>
      </c>
      <c r="H297" s="154"/>
      <c r="I297" s="174"/>
      <c r="J297" s="169"/>
      <c r="K297" s="154"/>
      <c r="L297" s="169"/>
      <c r="M297" s="151"/>
      <c r="N297" s="154"/>
      <c r="O297" s="154"/>
      <c r="P297" s="169"/>
      <c r="Q297" s="154"/>
      <c r="R297" s="178"/>
    </row>
    <row r="298" hidden="1">
      <c r="A298" s="151">
        <v>296.0</v>
      </c>
      <c r="B298" s="180">
        <v>45986.0</v>
      </c>
      <c r="C298" s="169">
        <v>11.0</v>
      </c>
      <c r="D298" s="169">
        <v>2025.0</v>
      </c>
      <c r="E298" s="154"/>
      <c r="F298" s="158"/>
      <c r="G298" s="169" t="s">
        <v>3285</v>
      </c>
      <c r="H298" s="154"/>
      <c r="I298" s="174">
        <v>81300.0</v>
      </c>
      <c r="J298" s="169" t="s">
        <v>3026</v>
      </c>
      <c r="K298" s="154"/>
      <c r="L298" s="169" t="s">
        <v>143</v>
      </c>
      <c r="M298" s="151"/>
      <c r="N298" s="154"/>
      <c r="O298" s="154"/>
      <c r="P298" s="169" t="s">
        <v>2783</v>
      </c>
      <c r="Q298" s="154"/>
      <c r="R298" s="178" t="s">
        <v>3286</v>
      </c>
    </row>
    <row r="299" hidden="1">
      <c r="A299" s="151">
        <v>297.0</v>
      </c>
      <c r="B299" s="180">
        <v>45986.0</v>
      </c>
      <c r="C299" s="169">
        <v>11.0</v>
      </c>
      <c r="D299" s="169">
        <v>2025.0</v>
      </c>
      <c r="E299" s="154"/>
      <c r="F299" s="158"/>
      <c r="G299" s="169" t="s">
        <v>3287</v>
      </c>
      <c r="H299" s="154"/>
      <c r="I299" s="174">
        <v>34394.75</v>
      </c>
      <c r="J299" s="169" t="s">
        <v>3026</v>
      </c>
      <c r="K299" s="154"/>
      <c r="L299" s="169" t="s">
        <v>143</v>
      </c>
      <c r="M299" s="151"/>
      <c r="N299" s="154"/>
      <c r="O299" s="154"/>
      <c r="P299" s="169" t="s">
        <v>2783</v>
      </c>
      <c r="Q299" s="154"/>
      <c r="R299" s="178" t="s">
        <v>3288</v>
      </c>
    </row>
    <row r="300" hidden="1">
      <c r="A300" s="151">
        <v>298.0</v>
      </c>
      <c r="B300" s="180">
        <v>45991.0</v>
      </c>
      <c r="C300" s="151"/>
      <c r="D300" s="151"/>
      <c r="E300" s="154"/>
      <c r="F300" s="158"/>
      <c r="G300" s="169" t="s">
        <v>3289</v>
      </c>
      <c r="H300" s="154"/>
      <c r="I300" s="174"/>
      <c r="J300" s="151"/>
      <c r="K300" s="154"/>
      <c r="L300" s="151"/>
      <c r="M300" s="151"/>
      <c r="N300" s="154"/>
      <c r="O300" s="154"/>
      <c r="P300" s="151"/>
      <c r="Q300" s="154"/>
      <c r="R300" s="156"/>
    </row>
    <row r="301" hidden="1">
      <c r="A301" s="151">
        <v>299.0</v>
      </c>
      <c r="B301" s="180"/>
      <c r="C301" s="151"/>
      <c r="D301" s="151"/>
      <c r="E301" s="154"/>
      <c r="F301" s="158"/>
      <c r="G301" s="169" t="s">
        <v>3290</v>
      </c>
      <c r="H301" s="154"/>
      <c r="I301" s="155"/>
      <c r="J301" s="151"/>
      <c r="K301" s="154"/>
      <c r="L301" s="151"/>
      <c r="M301" s="151"/>
      <c r="N301" s="154"/>
      <c r="O301" s="154"/>
      <c r="P301" s="151"/>
      <c r="Q301" s="154"/>
      <c r="R301" s="156"/>
    </row>
    <row r="302">
      <c r="A302" s="151">
        <v>300.0</v>
      </c>
      <c r="B302" s="180">
        <v>45991.0</v>
      </c>
      <c r="C302" s="169">
        <v>11.0</v>
      </c>
      <c r="D302" s="169">
        <v>2025.0</v>
      </c>
      <c r="E302" s="154"/>
      <c r="F302" s="158"/>
      <c r="G302" s="169" t="s">
        <v>3291</v>
      </c>
      <c r="H302" s="154"/>
      <c r="I302" s="174">
        <v>124992.0</v>
      </c>
      <c r="J302" s="169" t="s">
        <v>3026</v>
      </c>
      <c r="K302" s="154"/>
      <c r="L302" s="169" t="s">
        <v>26</v>
      </c>
      <c r="M302" s="151"/>
      <c r="N302" s="154"/>
      <c r="O302" s="154"/>
      <c r="P302" s="169" t="s">
        <v>2783</v>
      </c>
      <c r="Q302" s="154"/>
      <c r="R302" s="178" t="s">
        <v>3292</v>
      </c>
    </row>
    <row r="303" hidden="1">
      <c r="A303" s="151">
        <v>301.0</v>
      </c>
      <c r="B303" s="180"/>
      <c r="C303" s="151"/>
      <c r="D303" s="151"/>
      <c r="E303" s="154"/>
      <c r="F303" s="158"/>
      <c r="G303" s="169"/>
      <c r="H303" s="154"/>
      <c r="I303" s="155"/>
      <c r="J303" s="151"/>
      <c r="K303" s="154"/>
      <c r="L303" s="151"/>
      <c r="M303" s="151"/>
      <c r="N303" s="154"/>
      <c r="O303" s="154"/>
      <c r="P303" s="151"/>
      <c r="Q303" s="154"/>
      <c r="R303" s="156"/>
    </row>
    <row r="304" hidden="1">
      <c r="A304" s="151">
        <v>302.0</v>
      </c>
      <c r="B304" s="180"/>
      <c r="C304" s="151"/>
      <c r="D304" s="151"/>
      <c r="E304" s="154"/>
      <c r="F304" s="158"/>
      <c r="G304" s="169"/>
      <c r="H304" s="154"/>
      <c r="I304" s="155"/>
      <c r="J304" s="151"/>
      <c r="K304" s="154"/>
      <c r="L304" s="151"/>
      <c r="M304" s="151"/>
      <c r="N304" s="154"/>
      <c r="O304" s="154"/>
      <c r="P304" s="151"/>
      <c r="Q304" s="154"/>
      <c r="R304" s="156"/>
    </row>
    <row r="305" hidden="1">
      <c r="A305" s="151">
        <v>303.0</v>
      </c>
      <c r="B305" s="180"/>
      <c r="C305" s="151"/>
      <c r="D305" s="151"/>
      <c r="E305" s="154"/>
      <c r="F305" s="158"/>
      <c r="G305" s="169"/>
      <c r="H305" s="154"/>
      <c r="I305" s="155"/>
      <c r="J305" s="151"/>
      <c r="K305" s="154"/>
      <c r="L305" s="151"/>
      <c r="M305" s="151"/>
      <c r="N305" s="154"/>
      <c r="O305" s="154"/>
      <c r="P305" s="151"/>
      <c r="Q305" s="154"/>
      <c r="R305" s="156"/>
    </row>
    <row r="306" hidden="1">
      <c r="A306" s="151">
        <v>304.0</v>
      </c>
      <c r="B306" s="180"/>
      <c r="C306" s="151"/>
      <c r="D306" s="151"/>
      <c r="E306" s="154"/>
      <c r="F306" s="158"/>
      <c r="G306" s="169"/>
      <c r="H306" s="154"/>
      <c r="I306" s="155"/>
      <c r="J306" s="151"/>
      <c r="K306" s="154"/>
      <c r="L306" s="151"/>
      <c r="M306" s="151"/>
      <c r="N306" s="154"/>
      <c r="O306" s="154"/>
      <c r="P306" s="151"/>
      <c r="Q306" s="154"/>
      <c r="R306" s="156"/>
    </row>
    <row r="307">
      <c r="A307" s="151"/>
      <c r="M307" s="188"/>
    </row>
    <row r="308">
      <c r="A308" s="151"/>
      <c r="M308" s="188"/>
    </row>
    <row r="309">
      <c r="M309" s="188"/>
    </row>
    <row r="310">
      <c r="M310" s="188"/>
    </row>
    <row r="311">
      <c r="M311" s="188"/>
    </row>
    <row r="312">
      <c r="M312" s="188"/>
    </row>
    <row r="313">
      <c r="M313" s="188"/>
    </row>
    <row r="314">
      <c r="M314" s="188"/>
    </row>
    <row r="315">
      <c r="M315" s="188"/>
    </row>
    <row r="316">
      <c r="M316" s="188"/>
    </row>
    <row r="317">
      <c r="M317" s="188"/>
    </row>
    <row r="318">
      <c r="M318" s="188"/>
    </row>
    <row r="319">
      <c r="M319" s="188"/>
    </row>
    <row r="320">
      <c r="M320" s="188"/>
    </row>
    <row r="321">
      <c r="M321" s="188"/>
    </row>
    <row r="322">
      <c r="M322" s="188"/>
    </row>
    <row r="323">
      <c r="M323" s="188"/>
    </row>
    <row r="324">
      <c r="M324" s="188"/>
    </row>
    <row r="325">
      <c r="M325" s="188"/>
    </row>
    <row r="326">
      <c r="M326" s="188"/>
    </row>
    <row r="327">
      <c r="M327" s="188"/>
    </row>
    <row r="328">
      <c r="M328" s="188"/>
    </row>
    <row r="329">
      <c r="M329" s="188"/>
    </row>
    <row r="330">
      <c r="M330" s="188"/>
    </row>
    <row r="331">
      <c r="M331" s="188"/>
    </row>
    <row r="332">
      <c r="M332" s="188"/>
    </row>
    <row r="333">
      <c r="M333" s="188"/>
    </row>
    <row r="334">
      <c r="M334" s="188"/>
    </row>
    <row r="335">
      <c r="M335" s="188"/>
    </row>
    <row r="336">
      <c r="M336" s="188"/>
    </row>
    <row r="337">
      <c r="M337" s="188"/>
    </row>
    <row r="338">
      <c r="M338" s="188"/>
    </row>
    <row r="339">
      <c r="M339" s="188"/>
    </row>
    <row r="340">
      <c r="M340" s="188"/>
    </row>
    <row r="341">
      <c r="M341" s="188"/>
    </row>
    <row r="342">
      <c r="M342" s="188"/>
    </row>
    <row r="343">
      <c r="M343" s="188"/>
    </row>
    <row r="344">
      <c r="M344" s="188"/>
    </row>
    <row r="345">
      <c r="M345" s="188"/>
    </row>
    <row r="346">
      <c r="M346" s="188"/>
    </row>
    <row r="347">
      <c r="M347" s="188"/>
    </row>
    <row r="348">
      <c r="M348" s="188"/>
    </row>
    <row r="349">
      <c r="M349" s="188"/>
    </row>
    <row r="350">
      <c r="M350" s="188"/>
    </row>
    <row r="351">
      <c r="M351" s="188"/>
    </row>
    <row r="352">
      <c r="M352" s="188"/>
    </row>
    <row r="353">
      <c r="M353" s="188"/>
    </row>
    <row r="354">
      <c r="M354" s="188"/>
    </row>
    <row r="355">
      <c r="M355" s="188"/>
    </row>
    <row r="356">
      <c r="M356" s="188"/>
    </row>
    <row r="357">
      <c r="M357" s="188"/>
    </row>
    <row r="358">
      <c r="M358" s="188"/>
    </row>
    <row r="359">
      <c r="M359" s="188"/>
    </row>
    <row r="360">
      <c r="M360" s="188"/>
    </row>
    <row r="361">
      <c r="M361" s="188"/>
    </row>
    <row r="362">
      <c r="M362" s="188"/>
    </row>
    <row r="363">
      <c r="M363" s="188"/>
    </row>
    <row r="364">
      <c r="M364" s="188"/>
    </row>
    <row r="365">
      <c r="M365" s="188"/>
    </row>
    <row r="366">
      <c r="M366" s="188"/>
    </row>
    <row r="367">
      <c r="M367" s="188"/>
    </row>
    <row r="368">
      <c r="M368" s="188"/>
    </row>
    <row r="369">
      <c r="M369" s="188"/>
    </row>
    <row r="370">
      <c r="M370" s="188"/>
    </row>
    <row r="371">
      <c r="M371" s="188"/>
    </row>
    <row r="372">
      <c r="M372" s="188"/>
    </row>
    <row r="373">
      <c r="M373" s="188"/>
    </row>
    <row r="374">
      <c r="M374" s="188"/>
    </row>
    <row r="375">
      <c r="M375" s="188"/>
    </row>
    <row r="376">
      <c r="M376" s="188"/>
    </row>
    <row r="377">
      <c r="M377" s="188"/>
    </row>
    <row r="378">
      <c r="M378" s="188"/>
    </row>
    <row r="379">
      <c r="M379" s="188"/>
    </row>
    <row r="380">
      <c r="M380" s="188"/>
    </row>
    <row r="381">
      <c r="M381" s="188"/>
    </row>
    <row r="382">
      <c r="M382" s="188"/>
    </row>
    <row r="383">
      <c r="M383" s="188"/>
    </row>
    <row r="384">
      <c r="M384" s="188"/>
    </row>
    <row r="385">
      <c r="M385" s="188"/>
    </row>
    <row r="386">
      <c r="M386" s="188"/>
    </row>
    <row r="387">
      <c r="M387" s="188"/>
    </row>
    <row r="388">
      <c r="M388" s="188"/>
    </row>
    <row r="389">
      <c r="M389" s="188"/>
    </row>
    <row r="390">
      <c r="M390" s="188"/>
    </row>
    <row r="391">
      <c r="M391" s="188"/>
    </row>
    <row r="392">
      <c r="M392" s="188"/>
    </row>
    <row r="393">
      <c r="M393" s="188"/>
    </row>
    <row r="394">
      <c r="M394" s="188"/>
    </row>
    <row r="395">
      <c r="M395" s="188"/>
    </row>
    <row r="396">
      <c r="M396" s="188"/>
    </row>
    <row r="397">
      <c r="M397" s="188"/>
    </row>
    <row r="398">
      <c r="M398" s="188"/>
    </row>
    <row r="399">
      <c r="M399" s="188"/>
    </row>
    <row r="400">
      <c r="M400" s="188"/>
    </row>
    <row r="401">
      <c r="M401" s="188"/>
    </row>
    <row r="402">
      <c r="M402" s="188"/>
    </row>
    <row r="403">
      <c r="M403" s="188"/>
    </row>
    <row r="404">
      <c r="M404" s="188"/>
    </row>
    <row r="405">
      <c r="M405" s="188"/>
    </row>
    <row r="406">
      <c r="M406" s="188"/>
    </row>
    <row r="407">
      <c r="M407" s="188"/>
    </row>
    <row r="408">
      <c r="M408" s="188"/>
    </row>
    <row r="409">
      <c r="M409" s="188"/>
    </row>
    <row r="410">
      <c r="M410" s="188"/>
    </row>
    <row r="411">
      <c r="M411" s="188"/>
    </row>
    <row r="412">
      <c r="M412" s="188"/>
    </row>
    <row r="413">
      <c r="M413" s="188"/>
    </row>
    <row r="414">
      <c r="M414" s="188"/>
    </row>
    <row r="415">
      <c r="M415" s="188"/>
    </row>
    <row r="416">
      <c r="M416" s="188"/>
    </row>
    <row r="417">
      <c r="M417" s="188"/>
    </row>
    <row r="418">
      <c r="M418" s="188"/>
    </row>
    <row r="419">
      <c r="M419" s="188"/>
    </row>
    <row r="420">
      <c r="M420" s="188"/>
    </row>
    <row r="421">
      <c r="M421" s="188"/>
    </row>
    <row r="422">
      <c r="M422" s="188"/>
    </row>
    <row r="423">
      <c r="M423" s="188"/>
    </row>
    <row r="424">
      <c r="M424" s="188"/>
    </row>
    <row r="425">
      <c r="M425" s="188"/>
    </row>
    <row r="426">
      <c r="M426" s="188"/>
    </row>
    <row r="427">
      <c r="M427" s="188"/>
    </row>
    <row r="428">
      <c r="M428" s="188"/>
    </row>
    <row r="429">
      <c r="M429" s="188"/>
    </row>
    <row r="430">
      <c r="M430" s="188"/>
    </row>
    <row r="431">
      <c r="M431" s="188"/>
    </row>
    <row r="432">
      <c r="M432" s="188"/>
    </row>
    <row r="433">
      <c r="M433" s="188"/>
    </row>
    <row r="434">
      <c r="M434" s="188"/>
    </row>
    <row r="435">
      <c r="M435" s="188"/>
    </row>
    <row r="436">
      <c r="M436" s="188"/>
    </row>
    <row r="437">
      <c r="M437" s="188"/>
    </row>
    <row r="438">
      <c r="M438" s="188"/>
    </row>
    <row r="439">
      <c r="M439" s="188"/>
    </row>
    <row r="440">
      <c r="M440" s="188"/>
    </row>
    <row r="441">
      <c r="M441" s="188"/>
    </row>
    <row r="442">
      <c r="M442" s="188"/>
    </row>
    <row r="443">
      <c r="M443" s="188"/>
    </row>
    <row r="444">
      <c r="M444" s="188"/>
    </row>
    <row r="445">
      <c r="M445" s="188"/>
    </row>
    <row r="446">
      <c r="M446" s="188"/>
    </row>
    <row r="447">
      <c r="M447" s="188"/>
    </row>
    <row r="448">
      <c r="M448" s="188"/>
    </row>
    <row r="449">
      <c r="M449" s="188"/>
    </row>
    <row r="450">
      <c r="M450" s="188"/>
    </row>
    <row r="451">
      <c r="M451" s="188"/>
    </row>
    <row r="452">
      <c r="M452" s="188"/>
    </row>
    <row r="453">
      <c r="M453" s="188"/>
    </row>
    <row r="454">
      <c r="M454" s="188"/>
    </row>
    <row r="455">
      <c r="M455" s="188"/>
    </row>
    <row r="456">
      <c r="M456" s="188"/>
    </row>
    <row r="457">
      <c r="M457" s="188"/>
    </row>
    <row r="458">
      <c r="M458" s="188"/>
    </row>
    <row r="459">
      <c r="M459" s="188"/>
    </row>
    <row r="460">
      <c r="M460" s="188"/>
    </row>
    <row r="461">
      <c r="M461" s="188"/>
    </row>
    <row r="462">
      <c r="M462" s="188"/>
    </row>
    <row r="463">
      <c r="M463" s="188"/>
    </row>
    <row r="464">
      <c r="M464" s="188"/>
    </row>
    <row r="465">
      <c r="M465" s="188"/>
    </row>
    <row r="466">
      <c r="M466" s="188"/>
    </row>
    <row r="467">
      <c r="M467" s="188"/>
    </row>
    <row r="468">
      <c r="M468" s="188"/>
    </row>
    <row r="469">
      <c r="M469" s="188"/>
    </row>
    <row r="470">
      <c r="M470" s="188"/>
    </row>
    <row r="471">
      <c r="M471" s="188"/>
    </row>
    <row r="472">
      <c r="M472" s="188"/>
    </row>
    <row r="473">
      <c r="M473" s="188"/>
    </row>
    <row r="474">
      <c r="M474" s="188"/>
    </row>
    <row r="475">
      <c r="M475" s="188"/>
    </row>
    <row r="476">
      <c r="M476" s="188"/>
    </row>
    <row r="477">
      <c r="M477" s="188"/>
    </row>
    <row r="478">
      <c r="M478" s="188"/>
    </row>
    <row r="479">
      <c r="M479" s="188"/>
    </row>
    <row r="480">
      <c r="M480" s="188"/>
    </row>
    <row r="481">
      <c r="M481" s="188"/>
    </row>
    <row r="482">
      <c r="M482" s="188"/>
    </row>
    <row r="483">
      <c r="M483" s="188"/>
    </row>
    <row r="484">
      <c r="M484" s="188"/>
    </row>
    <row r="485">
      <c r="M485" s="188"/>
    </row>
    <row r="486">
      <c r="M486" s="188"/>
    </row>
    <row r="487">
      <c r="M487" s="188"/>
    </row>
    <row r="488">
      <c r="M488" s="188"/>
    </row>
    <row r="489">
      <c r="M489" s="188"/>
    </row>
    <row r="490">
      <c r="M490" s="188"/>
    </row>
    <row r="491">
      <c r="M491" s="188"/>
    </row>
    <row r="492">
      <c r="M492" s="188"/>
    </row>
    <row r="493">
      <c r="M493" s="188"/>
    </row>
    <row r="494">
      <c r="M494" s="188"/>
    </row>
    <row r="495">
      <c r="M495" s="188"/>
    </row>
    <row r="496">
      <c r="M496" s="188"/>
    </row>
    <row r="497">
      <c r="M497" s="188"/>
    </row>
    <row r="498">
      <c r="M498" s="188"/>
    </row>
    <row r="499">
      <c r="M499" s="188"/>
    </row>
    <row r="500">
      <c r="M500" s="188"/>
    </row>
    <row r="501">
      <c r="M501" s="188"/>
    </row>
    <row r="502">
      <c r="M502" s="188"/>
    </row>
    <row r="503">
      <c r="M503" s="188"/>
    </row>
    <row r="504">
      <c r="M504" s="188"/>
    </row>
    <row r="505">
      <c r="M505" s="188"/>
    </row>
    <row r="506">
      <c r="M506" s="188"/>
    </row>
    <row r="507">
      <c r="M507" s="188"/>
    </row>
    <row r="508">
      <c r="M508" s="188"/>
    </row>
    <row r="509">
      <c r="M509" s="188"/>
    </row>
    <row r="510">
      <c r="M510" s="188"/>
    </row>
    <row r="511">
      <c r="M511" s="188"/>
    </row>
    <row r="512">
      <c r="M512" s="188"/>
    </row>
    <row r="513">
      <c r="M513" s="188"/>
    </row>
    <row r="514">
      <c r="M514" s="188"/>
    </row>
    <row r="515">
      <c r="M515" s="188"/>
    </row>
    <row r="516">
      <c r="M516" s="188"/>
    </row>
    <row r="517">
      <c r="M517" s="188"/>
    </row>
    <row r="518">
      <c r="M518" s="188"/>
    </row>
    <row r="519">
      <c r="M519" s="188"/>
    </row>
    <row r="520">
      <c r="M520" s="188"/>
    </row>
    <row r="521">
      <c r="M521" s="188"/>
    </row>
    <row r="522">
      <c r="M522" s="188"/>
    </row>
    <row r="523">
      <c r="M523" s="188"/>
    </row>
    <row r="524">
      <c r="M524" s="188"/>
    </row>
    <row r="525">
      <c r="M525" s="188"/>
    </row>
    <row r="526">
      <c r="M526" s="188"/>
    </row>
    <row r="527">
      <c r="M527" s="188"/>
    </row>
    <row r="528">
      <c r="M528" s="188"/>
    </row>
    <row r="529">
      <c r="M529" s="188"/>
    </row>
    <row r="530">
      <c r="M530" s="188"/>
    </row>
    <row r="531">
      <c r="M531" s="188"/>
    </row>
    <row r="532">
      <c r="M532" s="188"/>
    </row>
    <row r="533">
      <c r="M533" s="188"/>
    </row>
    <row r="534">
      <c r="M534" s="188"/>
    </row>
    <row r="535">
      <c r="M535" s="188"/>
    </row>
    <row r="536">
      <c r="M536" s="188"/>
    </row>
    <row r="537">
      <c r="M537" s="188"/>
    </row>
    <row r="538">
      <c r="M538" s="188"/>
    </row>
    <row r="539">
      <c r="M539" s="188"/>
    </row>
    <row r="540">
      <c r="M540" s="188"/>
    </row>
    <row r="541">
      <c r="M541" s="188"/>
    </row>
    <row r="542">
      <c r="M542" s="188"/>
    </row>
    <row r="543">
      <c r="M543" s="188"/>
    </row>
    <row r="544">
      <c r="M544" s="188"/>
    </row>
    <row r="545">
      <c r="M545" s="188"/>
    </row>
    <row r="546">
      <c r="M546" s="188"/>
    </row>
    <row r="547">
      <c r="M547" s="188"/>
    </row>
    <row r="548">
      <c r="M548" s="188"/>
    </row>
    <row r="549">
      <c r="M549" s="188"/>
    </row>
    <row r="550">
      <c r="M550" s="188"/>
    </row>
    <row r="551">
      <c r="M551" s="188"/>
    </row>
    <row r="552">
      <c r="M552" s="188"/>
    </row>
    <row r="553">
      <c r="M553" s="188"/>
    </row>
    <row r="554">
      <c r="M554" s="188"/>
    </row>
    <row r="555">
      <c r="M555" s="188"/>
    </row>
    <row r="556">
      <c r="M556" s="188"/>
    </row>
    <row r="557">
      <c r="M557" s="188"/>
    </row>
    <row r="558">
      <c r="M558" s="188"/>
    </row>
    <row r="559">
      <c r="M559" s="188"/>
    </row>
    <row r="560">
      <c r="M560" s="188"/>
    </row>
    <row r="561">
      <c r="M561" s="188"/>
    </row>
    <row r="562">
      <c r="M562" s="188"/>
    </row>
    <row r="563">
      <c r="M563" s="188"/>
    </row>
    <row r="564">
      <c r="M564" s="188"/>
    </row>
    <row r="565">
      <c r="M565" s="188"/>
    </row>
    <row r="566">
      <c r="M566" s="188"/>
    </row>
    <row r="567">
      <c r="M567" s="188"/>
    </row>
    <row r="568">
      <c r="M568" s="188"/>
    </row>
    <row r="569">
      <c r="M569" s="188"/>
    </row>
    <row r="570">
      <c r="M570" s="188"/>
    </row>
    <row r="571">
      <c r="M571" s="188"/>
    </row>
    <row r="572">
      <c r="M572" s="188"/>
    </row>
    <row r="573">
      <c r="M573" s="188"/>
    </row>
    <row r="574">
      <c r="M574" s="188"/>
    </row>
    <row r="575">
      <c r="M575" s="188"/>
    </row>
    <row r="576">
      <c r="M576" s="188"/>
    </row>
    <row r="577">
      <c r="M577" s="188"/>
    </row>
    <row r="578">
      <c r="M578" s="188"/>
    </row>
    <row r="579">
      <c r="M579" s="188"/>
    </row>
    <row r="580">
      <c r="M580" s="188"/>
    </row>
    <row r="581">
      <c r="M581" s="188"/>
    </row>
    <row r="582">
      <c r="M582" s="188"/>
    </row>
    <row r="583">
      <c r="M583" s="188"/>
    </row>
    <row r="584">
      <c r="M584" s="188"/>
    </row>
    <row r="585">
      <c r="M585" s="188"/>
    </row>
    <row r="586">
      <c r="M586" s="188"/>
    </row>
    <row r="587">
      <c r="M587" s="188"/>
    </row>
    <row r="588">
      <c r="M588" s="188"/>
    </row>
    <row r="589">
      <c r="M589" s="188"/>
    </row>
    <row r="590">
      <c r="M590" s="188"/>
    </row>
    <row r="591">
      <c r="M591" s="188"/>
    </row>
    <row r="592">
      <c r="M592" s="188"/>
    </row>
    <row r="593">
      <c r="M593" s="188"/>
    </row>
    <row r="594">
      <c r="M594" s="188"/>
    </row>
    <row r="595">
      <c r="M595" s="188"/>
    </row>
    <row r="596">
      <c r="M596" s="188"/>
    </row>
    <row r="597">
      <c r="M597" s="188"/>
    </row>
    <row r="598">
      <c r="M598" s="188"/>
    </row>
    <row r="599">
      <c r="M599" s="188"/>
    </row>
    <row r="600">
      <c r="M600" s="188"/>
    </row>
    <row r="601">
      <c r="M601" s="188"/>
    </row>
    <row r="602">
      <c r="M602" s="188"/>
    </row>
    <row r="603">
      <c r="M603" s="188"/>
    </row>
    <row r="604">
      <c r="M604" s="188"/>
    </row>
    <row r="605">
      <c r="M605" s="188"/>
    </row>
    <row r="606">
      <c r="M606" s="188"/>
    </row>
    <row r="607">
      <c r="M607" s="188"/>
    </row>
    <row r="608">
      <c r="M608" s="188"/>
    </row>
    <row r="609">
      <c r="M609" s="188"/>
    </row>
    <row r="610">
      <c r="M610" s="188"/>
    </row>
    <row r="611">
      <c r="M611" s="188"/>
    </row>
    <row r="612">
      <c r="M612" s="188"/>
    </row>
    <row r="613">
      <c r="M613" s="188"/>
    </row>
    <row r="614">
      <c r="M614" s="188"/>
    </row>
    <row r="615">
      <c r="M615" s="188"/>
    </row>
    <row r="616">
      <c r="M616" s="188"/>
    </row>
    <row r="617">
      <c r="M617" s="188"/>
    </row>
    <row r="618">
      <c r="M618" s="188"/>
    </row>
    <row r="619">
      <c r="M619" s="188"/>
    </row>
    <row r="620">
      <c r="M620" s="188"/>
    </row>
    <row r="621">
      <c r="M621" s="188"/>
    </row>
    <row r="622">
      <c r="M622" s="188"/>
    </row>
    <row r="623">
      <c r="M623" s="188"/>
    </row>
    <row r="624">
      <c r="M624" s="188"/>
    </row>
    <row r="625">
      <c r="M625" s="188"/>
    </row>
    <row r="626">
      <c r="M626" s="188"/>
    </row>
    <row r="627">
      <c r="M627" s="188"/>
    </row>
    <row r="628">
      <c r="M628" s="188"/>
    </row>
    <row r="629">
      <c r="M629" s="188"/>
    </row>
    <row r="630">
      <c r="M630" s="188"/>
    </row>
    <row r="631">
      <c r="M631" s="188"/>
    </row>
    <row r="632">
      <c r="M632" s="188"/>
    </row>
    <row r="633">
      <c r="M633" s="188"/>
    </row>
    <row r="634">
      <c r="M634" s="188"/>
    </row>
    <row r="635">
      <c r="M635" s="188"/>
    </row>
    <row r="636">
      <c r="M636" s="188"/>
    </row>
    <row r="637">
      <c r="M637" s="188"/>
    </row>
    <row r="638">
      <c r="M638" s="188"/>
    </row>
    <row r="639">
      <c r="M639" s="188"/>
    </row>
    <row r="640">
      <c r="M640" s="188"/>
    </row>
    <row r="641">
      <c r="M641" s="188"/>
    </row>
    <row r="642">
      <c r="M642" s="188"/>
    </row>
    <row r="643">
      <c r="M643" s="188"/>
    </row>
    <row r="644">
      <c r="M644" s="188"/>
    </row>
    <row r="645">
      <c r="M645" s="188"/>
    </row>
    <row r="646">
      <c r="M646" s="188"/>
    </row>
    <row r="647">
      <c r="M647" s="188"/>
    </row>
    <row r="648">
      <c r="M648" s="188"/>
    </row>
    <row r="649">
      <c r="M649" s="188"/>
    </row>
    <row r="650">
      <c r="M650" s="188"/>
    </row>
    <row r="651">
      <c r="M651" s="188"/>
    </row>
    <row r="652">
      <c r="M652" s="188"/>
    </row>
    <row r="653">
      <c r="M653" s="188"/>
    </row>
    <row r="654">
      <c r="M654" s="188"/>
    </row>
    <row r="655">
      <c r="M655" s="188"/>
    </row>
    <row r="656">
      <c r="M656" s="188"/>
    </row>
    <row r="657">
      <c r="M657" s="188"/>
    </row>
    <row r="658">
      <c r="M658" s="188"/>
    </row>
    <row r="659">
      <c r="M659" s="188"/>
    </row>
    <row r="660">
      <c r="M660" s="188"/>
    </row>
    <row r="661">
      <c r="M661" s="188"/>
    </row>
    <row r="662">
      <c r="M662" s="188"/>
    </row>
    <row r="663">
      <c r="M663" s="188"/>
    </row>
    <row r="664">
      <c r="M664" s="188"/>
    </row>
    <row r="665">
      <c r="M665" s="188"/>
    </row>
    <row r="666">
      <c r="M666" s="188"/>
    </row>
    <row r="667">
      <c r="M667" s="188"/>
    </row>
    <row r="668">
      <c r="M668" s="188"/>
    </row>
    <row r="669">
      <c r="M669" s="188"/>
    </row>
    <row r="670">
      <c r="M670" s="188"/>
    </row>
    <row r="671">
      <c r="M671" s="188"/>
    </row>
    <row r="672">
      <c r="M672" s="188"/>
    </row>
    <row r="673">
      <c r="M673" s="188"/>
    </row>
    <row r="674">
      <c r="M674" s="188"/>
    </row>
    <row r="675">
      <c r="M675" s="188"/>
    </row>
    <row r="676">
      <c r="M676" s="188"/>
    </row>
    <row r="677">
      <c r="M677" s="188"/>
    </row>
    <row r="678">
      <c r="M678" s="188"/>
    </row>
    <row r="679">
      <c r="M679" s="188"/>
    </row>
    <row r="680">
      <c r="M680" s="188"/>
    </row>
    <row r="681">
      <c r="M681" s="188"/>
    </row>
    <row r="682">
      <c r="M682" s="188"/>
    </row>
    <row r="683">
      <c r="M683" s="188"/>
    </row>
    <row r="684">
      <c r="M684" s="188"/>
    </row>
    <row r="685">
      <c r="M685" s="188"/>
    </row>
    <row r="686">
      <c r="M686" s="188"/>
    </row>
    <row r="687">
      <c r="M687" s="188"/>
    </row>
    <row r="688">
      <c r="M688" s="188"/>
    </row>
    <row r="689">
      <c r="M689" s="188"/>
    </row>
    <row r="690">
      <c r="M690" s="188"/>
    </row>
    <row r="691">
      <c r="M691" s="188"/>
    </row>
    <row r="692">
      <c r="M692" s="188"/>
    </row>
    <row r="693">
      <c r="M693" s="188"/>
    </row>
    <row r="694">
      <c r="M694" s="188"/>
    </row>
    <row r="695">
      <c r="M695" s="188"/>
    </row>
    <row r="696">
      <c r="M696" s="188"/>
    </row>
    <row r="697">
      <c r="M697" s="188"/>
    </row>
    <row r="698">
      <c r="M698" s="188"/>
    </row>
    <row r="699">
      <c r="M699" s="188"/>
    </row>
    <row r="700">
      <c r="M700" s="188"/>
    </row>
    <row r="701">
      <c r="M701" s="188"/>
    </row>
    <row r="702">
      <c r="M702" s="188"/>
    </row>
    <row r="703">
      <c r="M703" s="188"/>
    </row>
    <row r="704">
      <c r="M704" s="188"/>
    </row>
    <row r="705">
      <c r="M705" s="188"/>
    </row>
    <row r="706">
      <c r="M706" s="188"/>
    </row>
    <row r="707">
      <c r="M707" s="188"/>
    </row>
    <row r="708">
      <c r="M708" s="188"/>
    </row>
    <row r="709">
      <c r="M709" s="188"/>
    </row>
    <row r="710">
      <c r="M710" s="188"/>
    </row>
    <row r="711">
      <c r="M711" s="188"/>
    </row>
    <row r="712">
      <c r="M712" s="188"/>
    </row>
    <row r="713">
      <c r="M713" s="188"/>
    </row>
    <row r="714">
      <c r="M714" s="188"/>
    </row>
    <row r="715">
      <c r="M715" s="188"/>
    </row>
    <row r="716">
      <c r="M716" s="188"/>
    </row>
    <row r="717">
      <c r="M717" s="188"/>
    </row>
    <row r="718">
      <c r="M718" s="188"/>
    </row>
    <row r="719">
      <c r="M719" s="188"/>
    </row>
    <row r="720">
      <c r="M720" s="188"/>
    </row>
    <row r="721">
      <c r="M721" s="188"/>
    </row>
    <row r="722">
      <c r="M722" s="188"/>
    </row>
    <row r="723">
      <c r="M723" s="188"/>
    </row>
    <row r="724">
      <c r="M724" s="188"/>
    </row>
    <row r="725">
      <c r="M725" s="188"/>
    </row>
    <row r="726">
      <c r="M726" s="188"/>
    </row>
    <row r="727">
      <c r="M727" s="188"/>
    </row>
    <row r="728">
      <c r="M728" s="188"/>
    </row>
    <row r="729">
      <c r="M729" s="188"/>
    </row>
    <row r="730">
      <c r="M730" s="188"/>
    </row>
    <row r="731">
      <c r="M731" s="188"/>
    </row>
    <row r="732">
      <c r="M732" s="188"/>
    </row>
    <row r="733">
      <c r="M733" s="188"/>
    </row>
    <row r="734">
      <c r="M734" s="188"/>
    </row>
    <row r="735">
      <c r="M735" s="188"/>
    </row>
    <row r="736">
      <c r="M736" s="188"/>
    </row>
    <row r="737">
      <c r="M737" s="188"/>
    </row>
    <row r="738">
      <c r="M738" s="188"/>
    </row>
    <row r="739">
      <c r="M739" s="188"/>
    </row>
    <row r="740">
      <c r="M740" s="188"/>
    </row>
    <row r="741">
      <c r="M741" s="188"/>
    </row>
    <row r="742">
      <c r="M742" s="188"/>
    </row>
    <row r="743">
      <c r="M743" s="188"/>
    </row>
    <row r="744">
      <c r="M744" s="188"/>
    </row>
    <row r="745">
      <c r="M745" s="188"/>
    </row>
    <row r="746">
      <c r="M746" s="188"/>
    </row>
    <row r="747">
      <c r="M747" s="188"/>
    </row>
    <row r="748">
      <c r="M748" s="188"/>
    </row>
    <row r="749">
      <c r="M749" s="188"/>
    </row>
    <row r="750">
      <c r="M750" s="188"/>
    </row>
    <row r="751">
      <c r="M751" s="188"/>
    </row>
    <row r="752">
      <c r="M752" s="188"/>
    </row>
    <row r="753">
      <c r="M753" s="188"/>
    </row>
    <row r="754">
      <c r="M754" s="188"/>
    </row>
    <row r="755">
      <c r="M755" s="188"/>
    </row>
    <row r="756">
      <c r="M756" s="188"/>
    </row>
    <row r="757">
      <c r="M757" s="188"/>
    </row>
    <row r="758">
      <c r="M758" s="188"/>
    </row>
    <row r="759">
      <c r="M759" s="188"/>
    </row>
    <row r="760">
      <c r="M760" s="188"/>
    </row>
    <row r="761">
      <c r="M761" s="188"/>
    </row>
    <row r="762">
      <c r="M762" s="188"/>
    </row>
    <row r="763">
      <c r="M763" s="188"/>
    </row>
    <row r="764">
      <c r="M764" s="188"/>
    </row>
    <row r="765">
      <c r="M765" s="188"/>
    </row>
    <row r="766">
      <c r="M766" s="188"/>
    </row>
    <row r="767">
      <c r="M767" s="188"/>
    </row>
    <row r="768">
      <c r="M768" s="188"/>
    </row>
    <row r="769">
      <c r="M769" s="188"/>
    </row>
    <row r="770">
      <c r="M770" s="188"/>
    </row>
    <row r="771">
      <c r="M771" s="188"/>
    </row>
    <row r="772">
      <c r="M772" s="188"/>
    </row>
    <row r="773">
      <c r="M773" s="188"/>
    </row>
    <row r="774">
      <c r="M774" s="188"/>
    </row>
    <row r="775">
      <c r="M775" s="188"/>
    </row>
    <row r="776">
      <c r="M776" s="188"/>
    </row>
    <row r="777">
      <c r="M777" s="188"/>
    </row>
    <row r="778">
      <c r="M778" s="188"/>
    </row>
    <row r="779">
      <c r="M779" s="188"/>
    </row>
    <row r="780">
      <c r="M780" s="188"/>
    </row>
    <row r="781">
      <c r="M781" s="188"/>
    </row>
    <row r="782">
      <c r="M782" s="188"/>
    </row>
    <row r="783">
      <c r="M783" s="188"/>
    </row>
    <row r="784">
      <c r="M784" s="188"/>
    </row>
    <row r="785">
      <c r="M785" s="188"/>
    </row>
    <row r="786">
      <c r="M786" s="188"/>
    </row>
    <row r="787">
      <c r="M787" s="188"/>
    </row>
    <row r="788">
      <c r="M788" s="188"/>
    </row>
    <row r="789">
      <c r="M789" s="188"/>
    </row>
    <row r="790">
      <c r="M790" s="188"/>
    </row>
    <row r="791">
      <c r="M791" s="188"/>
    </row>
    <row r="792">
      <c r="M792" s="188"/>
    </row>
    <row r="793">
      <c r="M793" s="188"/>
    </row>
    <row r="794">
      <c r="M794" s="188"/>
    </row>
    <row r="795">
      <c r="M795" s="188"/>
    </row>
    <row r="796">
      <c r="M796" s="188"/>
    </row>
    <row r="797">
      <c r="M797" s="188"/>
    </row>
    <row r="798">
      <c r="M798" s="188"/>
    </row>
    <row r="799">
      <c r="M799" s="188"/>
    </row>
    <row r="800">
      <c r="M800" s="188"/>
    </row>
    <row r="801">
      <c r="M801" s="188"/>
    </row>
    <row r="802">
      <c r="M802" s="188"/>
    </row>
    <row r="803">
      <c r="M803" s="188"/>
    </row>
    <row r="804">
      <c r="M804" s="188"/>
    </row>
    <row r="805">
      <c r="M805" s="188"/>
    </row>
    <row r="806">
      <c r="M806" s="188"/>
    </row>
    <row r="807">
      <c r="M807" s="188"/>
    </row>
    <row r="808">
      <c r="M808" s="188"/>
    </row>
    <row r="809">
      <c r="M809" s="188"/>
    </row>
    <row r="810">
      <c r="M810" s="188"/>
    </row>
    <row r="811">
      <c r="M811" s="188"/>
    </row>
    <row r="812">
      <c r="M812" s="188"/>
    </row>
    <row r="813">
      <c r="M813" s="188"/>
    </row>
    <row r="814">
      <c r="M814" s="188"/>
    </row>
    <row r="815">
      <c r="M815" s="188"/>
    </row>
    <row r="816">
      <c r="M816" s="188"/>
    </row>
    <row r="817">
      <c r="M817" s="188"/>
    </row>
    <row r="818">
      <c r="M818" s="188"/>
    </row>
    <row r="819">
      <c r="M819" s="188"/>
    </row>
    <row r="820">
      <c r="M820" s="188"/>
    </row>
    <row r="821">
      <c r="M821" s="188"/>
    </row>
    <row r="822">
      <c r="M822" s="188"/>
    </row>
    <row r="823">
      <c r="M823" s="188"/>
    </row>
    <row r="824">
      <c r="M824" s="188"/>
    </row>
    <row r="825">
      <c r="M825" s="188"/>
    </row>
    <row r="826">
      <c r="M826" s="188"/>
    </row>
    <row r="827">
      <c r="M827" s="188"/>
    </row>
    <row r="828">
      <c r="M828" s="188"/>
    </row>
    <row r="829">
      <c r="M829" s="188"/>
    </row>
    <row r="830">
      <c r="M830" s="188"/>
    </row>
    <row r="831">
      <c r="M831" s="188"/>
    </row>
    <row r="832">
      <c r="M832" s="188"/>
    </row>
    <row r="833">
      <c r="M833" s="188"/>
    </row>
    <row r="834">
      <c r="M834" s="188"/>
    </row>
    <row r="835">
      <c r="M835" s="188"/>
    </row>
    <row r="836">
      <c r="M836" s="188"/>
    </row>
    <row r="837">
      <c r="M837" s="188"/>
    </row>
    <row r="838">
      <c r="M838" s="188"/>
    </row>
    <row r="839">
      <c r="M839" s="188"/>
    </row>
    <row r="840">
      <c r="M840" s="188"/>
    </row>
    <row r="841">
      <c r="M841" s="188"/>
    </row>
    <row r="842">
      <c r="M842" s="188"/>
    </row>
    <row r="843">
      <c r="M843" s="188"/>
    </row>
    <row r="844">
      <c r="M844" s="188"/>
    </row>
    <row r="845">
      <c r="M845" s="188"/>
    </row>
    <row r="846">
      <c r="M846" s="188"/>
    </row>
    <row r="847">
      <c r="M847" s="188"/>
    </row>
    <row r="848">
      <c r="M848" s="188"/>
    </row>
    <row r="849">
      <c r="M849" s="188"/>
    </row>
    <row r="850">
      <c r="M850" s="188"/>
    </row>
    <row r="851">
      <c r="M851" s="188"/>
    </row>
    <row r="852">
      <c r="M852" s="188"/>
    </row>
    <row r="853">
      <c r="M853" s="188"/>
    </row>
    <row r="854">
      <c r="M854" s="188"/>
    </row>
    <row r="855">
      <c r="M855" s="188"/>
    </row>
    <row r="856">
      <c r="M856" s="188"/>
    </row>
    <row r="857">
      <c r="M857" s="188"/>
    </row>
    <row r="858">
      <c r="M858" s="188"/>
    </row>
    <row r="859">
      <c r="M859" s="188"/>
    </row>
    <row r="860">
      <c r="M860" s="188"/>
    </row>
    <row r="861">
      <c r="M861" s="188"/>
    </row>
    <row r="862">
      <c r="M862" s="188"/>
    </row>
    <row r="863">
      <c r="M863" s="188"/>
    </row>
    <row r="864">
      <c r="M864" s="188"/>
    </row>
    <row r="865">
      <c r="M865" s="188"/>
    </row>
    <row r="866">
      <c r="M866" s="188"/>
    </row>
    <row r="867">
      <c r="M867" s="188"/>
    </row>
    <row r="868">
      <c r="M868" s="188"/>
    </row>
    <row r="869">
      <c r="M869" s="188"/>
    </row>
    <row r="870">
      <c r="M870" s="188"/>
    </row>
    <row r="871">
      <c r="M871" s="188"/>
    </row>
    <row r="872">
      <c r="M872" s="188"/>
    </row>
    <row r="873">
      <c r="M873" s="188"/>
    </row>
    <row r="874">
      <c r="M874" s="188"/>
    </row>
    <row r="875">
      <c r="M875" s="188"/>
    </row>
    <row r="876">
      <c r="M876" s="188"/>
    </row>
    <row r="877">
      <c r="M877" s="188"/>
    </row>
    <row r="878">
      <c r="M878" s="188"/>
    </row>
    <row r="879">
      <c r="M879" s="188"/>
    </row>
    <row r="880">
      <c r="M880" s="188"/>
    </row>
    <row r="881">
      <c r="M881" s="188"/>
    </row>
    <row r="882">
      <c r="M882" s="188"/>
    </row>
    <row r="883">
      <c r="M883" s="188"/>
    </row>
    <row r="884">
      <c r="M884" s="188"/>
    </row>
    <row r="885">
      <c r="M885" s="188"/>
    </row>
    <row r="886">
      <c r="M886" s="188"/>
    </row>
    <row r="887">
      <c r="M887" s="188"/>
    </row>
    <row r="888">
      <c r="M888" s="188"/>
    </row>
    <row r="889">
      <c r="M889" s="188"/>
    </row>
    <row r="890">
      <c r="M890" s="188"/>
    </row>
    <row r="891">
      <c r="M891" s="188"/>
    </row>
    <row r="892">
      <c r="M892" s="188"/>
    </row>
    <row r="893">
      <c r="M893" s="188"/>
    </row>
    <row r="894">
      <c r="M894" s="188"/>
    </row>
    <row r="895">
      <c r="M895" s="188"/>
    </row>
    <row r="896">
      <c r="M896" s="188"/>
    </row>
    <row r="897">
      <c r="M897" s="188"/>
    </row>
    <row r="898">
      <c r="M898" s="188"/>
    </row>
    <row r="899">
      <c r="M899" s="188"/>
    </row>
    <row r="900">
      <c r="M900" s="188"/>
    </row>
    <row r="901">
      <c r="M901" s="188"/>
    </row>
    <row r="902">
      <c r="M902" s="188"/>
    </row>
    <row r="903">
      <c r="M903" s="188"/>
    </row>
    <row r="904">
      <c r="M904" s="188"/>
    </row>
    <row r="905">
      <c r="M905" s="188"/>
    </row>
    <row r="906">
      <c r="M906" s="188"/>
    </row>
    <row r="907">
      <c r="M907" s="188"/>
    </row>
    <row r="908">
      <c r="M908" s="188"/>
    </row>
    <row r="909">
      <c r="M909" s="188"/>
    </row>
    <row r="910">
      <c r="M910" s="188"/>
    </row>
    <row r="911">
      <c r="M911" s="188"/>
    </row>
    <row r="912">
      <c r="M912" s="188"/>
    </row>
    <row r="913">
      <c r="M913" s="188"/>
    </row>
    <row r="914">
      <c r="M914" s="188"/>
    </row>
    <row r="915">
      <c r="M915" s="188"/>
    </row>
    <row r="916">
      <c r="M916" s="188"/>
    </row>
    <row r="917">
      <c r="M917" s="188"/>
    </row>
    <row r="918">
      <c r="M918" s="188"/>
    </row>
    <row r="919">
      <c r="M919" s="188"/>
    </row>
    <row r="920">
      <c r="M920" s="188"/>
    </row>
    <row r="921">
      <c r="M921" s="188"/>
    </row>
    <row r="922">
      <c r="M922" s="188"/>
    </row>
    <row r="923">
      <c r="M923" s="188"/>
    </row>
    <row r="924">
      <c r="M924" s="188"/>
    </row>
    <row r="925">
      <c r="M925" s="188"/>
    </row>
    <row r="926">
      <c r="M926" s="188"/>
    </row>
    <row r="927">
      <c r="M927" s="188"/>
    </row>
    <row r="928">
      <c r="M928" s="188"/>
    </row>
    <row r="929">
      <c r="M929" s="188"/>
    </row>
    <row r="930">
      <c r="M930" s="188"/>
    </row>
    <row r="931">
      <c r="M931" s="188"/>
    </row>
    <row r="932">
      <c r="M932" s="188"/>
    </row>
    <row r="933">
      <c r="M933" s="188"/>
    </row>
    <row r="934">
      <c r="M934" s="188"/>
    </row>
    <row r="935">
      <c r="M935" s="188"/>
    </row>
    <row r="936">
      <c r="M936" s="188"/>
    </row>
    <row r="937">
      <c r="M937" s="188"/>
    </row>
    <row r="938">
      <c r="M938" s="188"/>
    </row>
    <row r="939">
      <c r="M939" s="188"/>
    </row>
    <row r="940">
      <c r="M940" s="188"/>
    </row>
    <row r="941">
      <c r="M941" s="188"/>
    </row>
    <row r="942">
      <c r="M942" s="188"/>
    </row>
    <row r="943">
      <c r="M943" s="188"/>
    </row>
    <row r="944">
      <c r="M944" s="188"/>
    </row>
    <row r="945">
      <c r="M945" s="188"/>
    </row>
    <row r="946">
      <c r="M946" s="188"/>
    </row>
    <row r="947">
      <c r="M947" s="188"/>
    </row>
    <row r="948">
      <c r="M948" s="188"/>
    </row>
    <row r="949">
      <c r="M949" s="188"/>
    </row>
    <row r="950">
      <c r="M950" s="188"/>
    </row>
    <row r="951">
      <c r="M951" s="188"/>
    </row>
    <row r="952">
      <c r="M952" s="188"/>
    </row>
    <row r="953">
      <c r="M953" s="188"/>
    </row>
    <row r="954">
      <c r="M954" s="188"/>
    </row>
    <row r="955">
      <c r="M955" s="188"/>
    </row>
    <row r="956">
      <c r="M956" s="188"/>
    </row>
    <row r="957">
      <c r="M957" s="188"/>
    </row>
    <row r="958">
      <c r="M958" s="188"/>
    </row>
    <row r="959">
      <c r="M959" s="188"/>
    </row>
    <row r="960">
      <c r="M960" s="188"/>
    </row>
    <row r="961">
      <c r="M961" s="188"/>
    </row>
    <row r="962">
      <c r="M962" s="188"/>
    </row>
    <row r="963">
      <c r="M963" s="188"/>
    </row>
    <row r="964">
      <c r="M964" s="188"/>
    </row>
    <row r="965">
      <c r="M965" s="188"/>
    </row>
    <row r="966">
      <c r="M966" s="188"/>
    </row>
    <row r="967">
      <c r="M967" s="188"/>
    </row>
    <row r="968">
      <c r="M968" s="188"/>
    </row>
    <row r="969">
      <c r="M969" s="188"/>
    </row>
    <row r="970">
      <c r="M970" s="188"/>
    </row>
    <row r="971">
      <c r="M971" s="188"/>
    </row>
    <row r="972">
      <c r="M972" s="188"/>
    </row>
    <row r="973">
      <c r="M973" s="188"/>
    </row>
    <row r="974">
      <c r="M974" s="188"/>
    </row>
    <row r="975">
      <c r="M975" s="188"/>
    </row>
    <row r="976">
      <c r="M976" s="188"/>
    </row>
    <row r="977">
      <c r="M977" s="188"/>
    </row>
    <row r="978">
      <c r="M978" s="188"/>
    </row>
    <row r="979">
      <c r="M979" s="188"/>
    </row>
    <row r="980">
      <c r="M980" s="188"/>
    </row>
    <row r="981">
      <c r="M981" s="188"/>
    </row>
    <row r="982">
      <c r="M982" s="188"/>
    </row>
    <row r="983">
      <c r="M983" s="188"/>
    </row>
    <row r="984">
      <c r="M984" s="188"/>
    </row>
    <row r="985">
      <c r="M985" s="188"/>
    </row>
    <row r="986">
      <c r="M986" s="188"/>
    </row>
    <row r="987">
      <c r="M987" s="188"/>
    </row>
    <row r="988">
      <c r="M988" s="188"/>
    </row>
    <row r="989">
      <c r="M989" s="188"/>
    </row>
    <row r="990">
      <c r="M990" s="188"/>
    </row>
    <row r="991">
      <c r="M991" s="188"/>
    </row>
    <row r="992">
      <c r="M992" s="188"/>
    </row>
    <row r="993">
      <c r="M993" s="188"/>
    </row>
    <row r="994">
      <c r="M994" s="188"/>
    </row>
    <row r="995">
      <c r="M995" s="188"/>
    </row>
    <row r="996">
      <c r="M996" s="188"/>
    </row>
    <row r="997">
      <c r="M997" s="188"/>
    </row>
    <row r="998">
      <c r="M998" s="188"/>
    </row>
    <row r="999">
      <c r="M999" s="188"/>
    </row>
    <row r="1000">
      <c r="M1000" s="188"/>
    </row>
    <row r="1001">
      <c r="M1001" s="188"/>
    </row>
    <row r="1002">
      <c r="M1002" s="188"/>
    </row>
    <row r="1003">
      <c r="M1003" s="188"/>
    </row>
    <row r="1004">
      <c r="M1004" s="188"/>
    </row>
    <row r="1005">
      <c r="M1005" s="188"/>
    </row>
    <row r="1006">
      <c r="M1006" s="188"/>
    </row>
    <row r="1007">
      <c r="M1007" s="188"/>
    </row>
    <row r="1008">
      <c r="M1008" s="188"/>
    </row>
    <row r="1009">
      <c r="M1009" s="188"/>
    </row>
    <row r="1010">
      <c r="M1010" s="188"/>
    </row>
    <row r="1011">
      <c r="M1011" s="188"/>
    </row>
    <row r="1012">
      <c r="M1012" s="188"/>
    </row>
    <row r="1013">
      <c r="M1013" s="188"/>
    </row>
    <row r="1014">
      <c r="M1014" s="188"/>
    </row>
    <row r="1015">
      <c r="M1015" s="188"/>
    </row>
    <row r="1016">
      <c r="M1016" s="188"/>
    </row>
    <row r="1017">
      <c r="M1017" s="188"/>
    </row>
    <row r="1018">
      <c r="M1018" s="188"/>
    </row>
    <row r="1019">
      <c r="M1019" s="188"/>
    </row>
    <row r="1020">
      <c r="M1020" s="188"/>
    </row>
    <row r="1021">
      <c r="M1021" s="188"/>
    </row>
    <row r="1022">
      <c r="M1022" s="188"/>
    </row>
    <row r="1023">
      <c r="M1023" s="188"/>
    </row>
    <row r="1024">
      <c r="M1024" s="188"/>
    </row>
    <row r="1025">
      <c r="M1025" s="188"/>
    </row>
    <row r="1026">
      <c r="M1026" s="188"/>
    </row>
    <row r="1027">
      <c r="M1027" s="188"/>
    </row>
    <row r="1028">
      <c r="M1028" s="188"/>
    </row>
    <row r="1029">
      <c r="M1029" s="188"/>
    </row>
    <row r="1030">
      <c r="M1030" s="188"/>
    </row>
    <row r="1031">
      <c r="M1031" s="188"/>
    </row>
    <row r="1032">
      <c r="M1032" s="188"/>
    </row>
    <row r="1033">
      <c r="M1033" s="188"/>
    </row>
    <row r="1034">
      <c r="M1034" s="188"/>
    </row>
    <row r="1035">
      <c r="M1035" s="188"/>
    </row>
    <row r="1036">
      <c r="M1036" s="188"/>
    </row>
    <row r="1037">
      <c r="M1037" s="188"/>
    </row>
    <row r="1038">
      <c r="M1038" s="188"/>
    </row>
    <row r="1039">
      <c r="M1039" s="188"/>
    </row>
    <row r="1040">
      <c r="M1040" s="188"/>
    </row>
    <row r="1041">
      <c r="M1041" s="188"/>
    </row>
    <row r="1042">
      <c r="M1042" s="188"/>
    </row>
    <row r="1043">
      <c r="M1043" s="188"/>
    </row>
    <row r="1044">
      <c r="M1044" s="188"/>
    </row>
    <row r="1045">
      <c r="M1045" s="188"/>
    </row>
    <row r="1046">
      <c r="M1046" s="188"/>
    </row>
    <row r="1047">
      <c r="M1047" s="188"/>
    </row>
    <row r="1048">
      <c r="M1048" s="188"/>
    </row>
    <row r="1049">
      <c r="M1049" s="188"/>
    </row>
    <row r="1050">
      <c r="M1050" s="188"/>
    </row>
    <row r="1051">
      <c r="M1051" s="188"/>
    </row>
    <row r="1052">
      <c r="M1052" s="188"/>
    </row>
    <row r="1053">
      <c r="M1053" s="188"/>
    </row>
    <row r="1054">
      <c r="M1054" s="188"/>
    </row>
    <row r="1055">
      <c r="M1055" s="188"/>
    </row>
    <row r="1056">
      <c r="M1056" s="188"/>
    </row>
    <row r="1057">
      <c r="M1057" s="188"/>
    </row>
    <row r="1058">
      <c r="M1058" s="188"/>
    </row>
    <row r="1059">
      <c r="M1059" s="188"/>
    </row>
    <row r="1060">
      <c r="M1060" s="188"/>
    </row>
    <row r="1061">
      <c r="M1061" s="188"/>
    </row>
    <row r="1062">
      <c r="M1062" s="188"/>
    </row>
    <row r="1063">
      <c r="M1063" s="188"/>
    </row>
    <row r="1064">
      <c r="M1064" s="188"/>
    </row>
    <row r="1065">
      <c r="M1065" s="188"/>
    </row>
    <row r="1066">
      <c r="M1066" s="188"/>
    </row>
    <row r="1067">
      <c r="M1067" s="188"/>
    </row>
    <row r="1068">
      <c r="M1068" s="188"/>
    </row>
    <row r="1069">
      <c r="M1069" s="188"/>
    </row>
    <row r="1070">
      <c r="M1070" s="188"/>
    </row>
  </sheetData>
  <autoFilter ref="$A$1:$S$306">
    <filterColumn colId="11">
      <filters>
        <filter val="KIt Cat"/>
        <filter val="schesir"/>
        <filter val="Schesir"/>
        <filter val="Zolux"/>
        <filter val="Kit CAT"/>
        <filter val="Kit Cat"/>
        <filter val="Josera"/>
      </filters>
    </filterColumn>
  </autoFilter>
  <dataValidations>
    <dataValidation type="list" allowBlank="1" showErrorMessage="1" sqref="M2:M306">
      <formula1>"Not Received,Received,P.O. Approval Pending,Partial Delivered,P.O. Under Process,Cancelled ,P.O. Approved,Not Found,A.Received"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3.63"/>
    <col customWidth="1" min="3" max="3" width="19.0"/>
    <col customWidth="1" min="4" max="4" width="25.5"/>
    <col hidden="1" min="10" max="10" width="12.63"/>
    <col customWidth="1" min="11" max="11" width="13.38"/>
    <col customWidth="1" min="21" max="21" width="7.75"/>
    <col hidden="1" min="22" max="22" width="12.63"/>
    <col customWidth="1" min="23" max="23" width="15.5"/>
    <col customWidth="1" min="24" max="24" width="21.75"/>
    <col customWidth="1" min="25" max="25" width="24.5"/>
    <col customWidth="1" min="26" max="26" width="20.0"/>
    <col customWidth="1" min="27" max="27" width="17.13"/>
    <col customWidth="1" min="28" max="28" width="24.38"/>
    <col customWidth="1" min="29" max="29" width="21.38"/>
    <col customWidth="1" min="33" max="33" width="14.63"/>
  </cols>
  <sheetData>
    <row r="1" ht="36.0" customHeight="1">
      <c r="A1" s="189" t="s">
        <v>3293</v>
      </c>
      <c r="B1" s="189" t="s">
        <v>1</v>
      </c>
      <c r="C1" s="190" t="s">
        <v>2704</v>
      </c>
      <c r="D1" s="191" t="s">
        <v>23</v>
      </c>
      <c r="E1" s="190" t="s">
        <v>2694</v>
      </c>
      <c r="F1" s="190" t="s">
        <v>2695</v>
      </c>
      <c r="G1" s="190" t="s">
        <v>2696</v>
      </c>
      <c r="H1" s="189" t="s">
        <v>2697</v>
      </c>
      <c r="I1" s="192" t="s">
        <v>2698</v>
      </c>
      <c r="J1" s="190" t="s">
        <v>2700</v>
      </c>
      <c r="K1" s="192" t="s">
        <v>3294</v>
      </c>
      <c r="L1" s="193" t="s">
        <v>3295</v>
      </c>
      <c r="M1" s="193" t="s">
        <v>3296</v>
      </c>
      <c r="N1" s="193" t="s">
        <v>3297</v>
      </c>
      <c r="O1" s="193" t="s">
        <v>3298</v>
      </c>
      <c r="P1" s="193" t="s">
        <v>3299</v>
      </c>
      <c r="Q1" s="193" t="s">
        <v>3300</v>
      </c>
      <c r="R1" s="193" t="s">
        <v>3301</v>
      </c>
      <c r="S1" s="193" t="s">
        <v>3302</v>
      </c>
      <c r="T1" s="193" t="s">
        <v>3303</v>
      </c>
      <c r="U1" s="190" t="s">
        <v>2702</v>
      </c>
      <c r="V1" s="190" t="s">
        <v>2703</v>
      </c>
      <c r="W1" s="194" t="s">
        <v>3304</v>
      </c>
      <c r="X1" s="195" t="s">
        <v>3305</v>
      </c>
      <c r="Y1" s="189" t="s">
        <v>3306</v>
      </c>
      <c r="Z1" s="189" t="s">
        <v>3307</v>
      </c>
      <c r="AA1" s="196" t="s">
        <v>3308</v>
      </c>
      <c r="AB1" s="189" t="s">
        <v>1294</v>
      </c>
      <c r="AC1" s="190" t="s">
        <v>2705</v>
      </c>
      <c r="AD1" s="189" t="s">
        <v>3309</v>
      </c>
      <c r="AE1" s="189" t="s">
        <v>3310</v>
      </c>
      <c r="AF1" s="189" t="s">
        <v>3311</v>
      </c>
      <c r="AG1" s="189" t="s">
        <v>3312</v>
      </c>
      <c r="AH1" s="189" t="s">
        <v>3313</v>
      </c>
      <c r="AI1" s="189" t="s">
        <v>3314</v>
      </c>
      <c r="AJ1" s="189" t="s">
        <v>3315</v>
      </c>
      <c r="AK1" s="189" t="s">
        <v>3316</v>
      </c>
      <c r="AL1" s="189" t="s">
        <v>3317</v>
      </c>
      <c r="AM1" s="190" t="s">
        <v>2707</v>
      </c>
      <c r="AN1" s="197"/>
      <c r="AO1" s="197"/>
      <c r="AP1" s="197"/>
      <c r="AQ1" s="197"/>
      <c r="AR1" s="197"/>
      <c r="AS1" s="197"/>
    </row>
    <row r="2">
      <c r="A2" s="198" t="str">
        <f t="shared" ref="A2:A812" si="1">LEFT(B2,2)</f>
        <v>PP</v>
      </c>
      <c r="B2" s="198" t="s">
        <v>2709</v>
      </c>
      <c r="C2" s="198" t="s">
        <v>473</v>
      </c>
      <c r="D2" s="199"/>
      <c r="E2" s="200">
        <v>44796.0</v>
      </c>
      <c r="F2" s="201">
        <f t="shared" ref="F2:F51" si="2">month(E2)</f>
        <v>8</v>
      </c>
      <c r="G2" s="198">
        <f t="shared" ref="G2:G54" si="3">year(E2)</f>
        <v>2022</v>
      </c>
      <c r="H2" s="199"/>
      <c r="I2" s="199"/>
      <c r="J2" s="198">
        <v>65078.0</v>
      </c>
      <c r="K2" s="202"/>
      <c r="L2" s="202"/>
      <c r="M2" s="202"/>
      <c r="N2" s="202"/>
      <c r="O2" s="202"/>
      <c r="P2" s="202"/>
      <c r="Q2" s="202"/>
      <c r="R2" s="202"/>
      <c r="S2" s="202"/>
      <c r="T2" s="202">
        <v>279184.0</v>
      </c>
      <c r="U2" s="198" t="s">
        <v>2710</v>
      </c>
      <c r="V2" s="198">
        <v>59.0</v>
      </c>
      <c r="W2" s="197"/>
      <c r="X2" s="197"/>
      <c r="Y2" s="203"/>
      <c r="Z2" s="203"/>
      <c r="AA2" s="204" t="str">
        <f t="shared" ref="AA2:AA1070" si="4">IF(Z2="","",
IF(TODAY()-Z2&gt;=60,"Expected Arrived",
IF(TODAY()-Z2&gt;0,"Ready To Load",
Z2-TODAY())))</f>
        <v/>
      </c>
      <c r="AB2" s="198" t="s">
        <v>38</v>
      </c>
      <c r="AC2" s="199"/>
      <c r="AD2" s="199"/>
      <c r="AE2" s="199"/>
      <c r="AF2" s="199"/>
      <c r="AG2" s="199"/>
      <c r="AH2" s="199"/>
      <c r="AI2" s="199"/>
      <c r="AJ2" s="199"/>
      <c r="AK2" s="199"/>
      <c r="AL2" s="199"/>
      <c r="AM2" s="199"/>
      <c r="AN2" s="197"/>
      <c r="AO2" s="197"/>
      <c r="AP2" s="197"/>
      <c r="AQ2" s="197"/>
      <c r="AR2" s="197"/>
      <c r="AS2" s="197"/>
    </row>
    <row r="3">
      <c r="A3" s="198" t="str">
        <f t="shared" si="1"/>
        <v>PP</v>
      </c>
      <c r="B3" s="198" t="s">
        <v>2711</v>
      </c>
      <c r="C3" s="198" t="s">
        <v>2713</v>
      </c>
      <c r="D3" s="199"/>
      <c r="E3" s="200">
        <v>44803.0</v>
      </c>
      <c r="F3" s="201">
        <f t="shared" si="2"/>
        <v>8</v>
      </c>
      <c r="G3" s="198">
        <f t="shared" si="3"/>
        <v>2022</v>
      </c>
      <c r="H3" s="199"/>
      <c r="I3" s="199"/>
      <c r="J3" s="198">
        <v>36100.0</v>
      </c>
      <c r="K3" s="202"/>
      <c r="L3" s="202"/>
      <c r="M3" s="202"/>
      <c r="N3" s="202"/>
      <c r="O3" s="202"/>
      <c r="P3" s="202"/>
      <c r="Q3" s="202"/>
      <c r="R3" s="202"/>
      <c r="S3" s="202"/>
      <c r="T3" s="202">
        <v>551710.0</v>
      </c>
      <c r="U3" s="198" t="s">
        <v>2712</v>
      </c>
      <c r="V3" s="198">
        <v>34.0</v>
      </c>
      <c r="W3" s="197"/>
      <c r="X3" s="197"/>
      <c r="Y3" s="199"/>
      <c r="Z3" s="199"/>
      <c r="AA3" s="204" t="str">
        <f t="shared" si="4"/>
        <v/>
      </c>
      <c r="AB3" s="198" t="s">
        <v>38</v>
      </c>
      <c r="AC3" s="199"/>
      <c r="AD3" s="199"/>
      <c r="AE3" s="199"/>
      <c r="AF3" s="199"/>
      <c r="AG3" s="199"/>
      <c r="AH3" s="199"/>
      <c r="AI3" s="199"/>
      <c r="AJ3" s="199"/>
      <c r="AK3" s="199"/>
      <c r="AL3" s="199"/>
      <c r="AM3" s="199"/>
      <c r="AN3" s="197"/>
      <c r="AO3" s="197"/>
      <c r="AP3" s="197"/>
      <c r="AQ3" s="197"/>
      <c r="AR3" s="197"/>
      <c r="AS3" s="197"/>
    </row>
    <row r="4">
      <c r="A4" s="198" t="str">
        <f t="shared" si="1"/>
        <v>PP</v>
      </c>
      <c r="B4" s="198" t="s">
        <v>2714</v>
      </c>
      <c r="C4" s="198" t="s">
        <v>81</v>
      </c>
      <c r="D4" s="199"/>
      <c r="E4" s="200">
        <v>44815.0</v>
      </c>
      <c r="F4" s="201">
        <f t="shared" si="2"/>
        <v>9</v>
      </c>
      <c r="G4" s="198">
        <f t="shared" si="3"/>
        <v>2022</v>
      </c>
      <c r="H4" s="199"/>
      <c r="I4" s="199"/>
      <c r="J4" s="198">
        <v>11642.0</v>
      </c>
      <c r="K4" s="202"/>
      <c r="L4" s="202"/>
      <c r="M4" s="202"/>
      <c r="N4" s="202"/>
      <c r="O4" s="202"/>
      <c r="P4" s="202"/>
      <c r="Q4" s="202"/>
      <c r="R4" s="202"/>
      <c r="S4" s="202"/>
      <c r="T4" s="202">
        <v>187021.0</v>
      </c>
      <c r="U4" s="198" t="s">
        <v>2712</v>
      </c>
      <c r="V4" s="198">
        <v>10.0</v>
      </c>
      <c r="W4" s="197"/>
      <c r="X4" s="197"/>
      <c r="Y4" s="199"/>
      <c r="Z4" s="199"/>
      <c r="AA4" s="204" t="str">
        <f t="shared" si="4"/>
        <v/>
      </c>
      <c r="AB4" s="198" t="s">
        <v>38</v>
      </c>
      <c r="AC4" s="199"/>
      <c r="AD4" s="199"/>
      <c r="AE4" s="199"/>
      <c r="AF4" s="199"/>
      <c r="AG4" s="199"/>
      <c r="AH4" s="199"/>
      <c r="AI4" s="199"/>
      <c r="AJ4" s="199"/>
      <c r="AK4" s="199"/>
      <c r="AL4" s="199"/>
      <c r="AM4" s="199"/>
      <c r="AN4" s="197"/>
      <c r="AO4" s="197"/>
      <c r="AP4" s="197"/>
      <c r="AQ4" s="197"/>
      <c r="AR4" s="197"/>
      <c r="AS4" s="197"/>
    </row>
    <row r="5">
      <c r="A5" s="198" t="str">
        <f t="shared" si="1"/>
        <v>PP</v>
      </c>
      <c r="B5" s="198" t="s">
        <v>2715</v>
      </c>
      <c r="C5" s="198" t="s">
        <v>473</v>
      </c>
      <c r="D5" s="199"/>
      <c r="E5" s="200">
        <v>44819.0</v>
      </c>
      <c r="F5" s="201">
        <f t="shared" si="2"/>
        <v>9</v>
      </c>
      <c r="G5" s="198">
        <f t="shared" si="3"/>
        <v>2022</v>
      </c>
      <c r="H5" s="199"/>
      <c r="I5" s="199"/>
      <c r="J5" s="198">
        <v>5293.0</v>
      </c>
      <c r="K5" s="202"/>
      <c r="L5" s="202"/>
      <c r="M5" s="202"/>
      <c r="N5" s="202"/>
      <c r="O5" s="202"/>
      <c r="P5" s="202"/>
      <c r="Q5" s="202"/>
      <c r="R5" s="202"/>
      <c r="S5" s="202"/>
      <c r="T5" s="202">
        <v>547884.0</v>
      </c>
      <c r="U5" s="198" t="s">
        <v>2710</v>
      </c>
      <c r="V5" s="198">
        <v>65.0</v>
      </c>
      <c r="W5" s="197"/>
      <c r="X5" s="197"/>
      <c r="Y5" s="199"/>
      <c r="Z5" s="199"/>
      <c r="AA5" s="204" t="str">
        <f t="shared" si="4"/>
        <v/>
      </c>
      <c r="AB5" s="198" t="s">
        <v>38</v>
      </c>
      <c r="AC5" s="199"/>
      <c r="AD5" s="199"/>
      <c r="AE5" s="199"/>
      <c r="AF5" s="199"/>
      <c r="AG5" s="199"/>
      <c r="AH5" s="199"/>
      <c r="AI5" s="199"/>
      <c r="AJ5" s="199"/>
      <c r="AK5" s="199"/>
      <c r="AL5" s="199"/>
      <c r="AM5" s="199"/>
      <c r="AN5" s="197"/>
      <c r="AO5" s="197"/>
      <c r="AP5" s="197"/>
      <c r="AQ5" s="197"/>
      <c r="AR5" s="197"/>
      <c r="AS5" s="197"/>
    </row>
    <row r="6">
      <c r="A6" s="198" t="str">
        <f t="shared" si="1"/>
        <v>PP</v>
      </c>
      <c r="B6" s="198" t="s">
        <v>2716</v>
      </c>
      <c r="C6" s="198" t="s">
        <v>473</v>
      </c>
      <c r="D6" s="199"/>
      <c r="E6" s="200">
        <v>44847.0</v>
      </c>
      <c r="F6" s="201">
        <f t="shared" si="2"/>
        <v>10</v>
      </c>
      <c r="G6" s="198">
        <f t="shared" si="3"/>
        <v>2022</v>
      </c>
      <c r="H6" s="199"/>
      <c r="I6" s="199"/>
      <c r="J6" s="198">
        <v>5048.0</v>
      </c>
      <c r="K6" s="202"/>
      <c r="L6" s="202"/>
      <c r="M6" s="202"/>
      <c r="N6" s="202"/>
      <c r="O6" s="202"/>
      <c r="P6" s="202"/>
      <c r="Q6" s="202"/>
      <c r="R6" s="202"/>
      <c r="S6" s="202"/>
      <c r="T6" s="202">
        <v>113901.0</v>
      </c>
      <c r="U6" s="198" t="s">
        <v>2710</v>
      </c>
      <c r="V6" s="198">
        <v>59.0</v>
      </c>
      <c r="W6" s="197"/>
      <c r="X6" s="197"/>
      <c r="Y6" s="199"/>
      <c r="Z6" s="199"/>
      <c r="AA6" s="204" t="str">
        <f t="shared" si="4"/>
        <v/>
      </c>
      <c r="AB6" s="198" t="s">
        <v>38</v>
      </c>
      <c r="AC6" s="199"/>
      <c r="AD6" s="199"/>
      <c r="AE6" s="199"/>
      <c r="AF6" s="199"/>
      <c r="AG6" s="199"/>
      <c r="AH6" s="199"/>
      <c r="AI6" s="199"/>
      <c r="AJ6" s="199"/>
      <c r="AK6" s="199"/>
      <c r="AL6" s="199"/>
      <c r="AM6" s="199"/>
      <c r="AN6" s="197"/>
      <c r="AO6" s="197"/>
      <c r="AP6" s="197"/>
      <c r="AQ6" s="197"/>
      <c r="AR6" s="197"/>
      <c r="AS6" s="197"/>
    </row>
    <row r="7">
      <c r="A7" s="198" t="str">
        <f t="shared" si="1"/>
        <v>PP</v>
      </c>
      <c r="B7" s="198" t="s">
        <v>2717</v>
      </c>
      <c r="C7" s="198" t="s">
        <v>2713</v>
      </c>
      <c r="D7" s="199"/>
      <c r="E7" s="200">
        <v>44849.0</v>
      </c>
      <c r="F7" s="201">
        <f t="shared" si="2"/>
        <v>10</v>
      </c>
      <c r="G7" s="198">
        <f t="shared" si="3"/>
        <v>2022</v>
      </c>
      <c r="H7" s="199"/>
      <c r="I7" s="199"/>
      <c r="J7" s="198">
        <v>40490.0</v>
      </c>
      <c r="K7" s="202"/>
      <c r="L7" s="202"/>
      <c r="M7" s="202"/>
      <c r="N7" s="202"/>
      <c r="O7" s="202"/>
      <c r="P7" s="202"/>
      <c r="Q7" s="202"/>
      <c r="R7" s="202"/>
      <c r="S7" s="202"/>
      <c r="T7" s="202">
        <v>40085.0</v>
      </c>
      <c r="U7" s="198" t="s">
        <v>2712</v>
      </c>
      <c r="V7" s="198">
        <v>4.0</v>
      </c>
      <c r="W7" s="197"/>
      <c r="X7" s="197"/>
      <c r="Y7" s="199"/>
      <c r="Z7" s="199"/>
      <c r="AA7" s="204" t="str">
        <f t="shared" si="4"/>
        <v/>
      </c>
      <c r="AB7" s="198" t="s">
        <v>38</v>
      </c>
      <c r="AC7" s="199"/>
      <c r="AD7" s="199"/>
      <c r="AE7" s="199"/>
      <c r="AF7" s="199"/>
      <c r="AG7" s="199"/>
      <c r="AH7" s="199"/>
      <c r="AI7" s="199"/>
      <c r="AJ7" s="199"/>
      <c r="AK7" s="199"/>
      <c r="AL7" s="199"/>
      <c r="AM7" s="199"/>
      <c r="AN7" s="197"/>
      <c r="AO7" s="197"/>
      <c r="AP7" s="197"/>
      <c r="AQ7" s="197"/>
      <c r="AR7" s="197"/>
      <c r="AS7" s="197"/>
    </row>
    <row r="8">
      <c r="A8" s="198" t="str">
        <f t="shared" si="1"/>
        <v>PP</v>
      </c>
      <c r="B8" s="198" t="s">
        <v>2718</v>
      </c>
      <c r="C8" s="198" t="s">
        <v>2713</v>
      </c>
      <c r="D8" s="199"/>
      <c r="E8" s="200">
        <v>44849.0</v>
      </c>
      <c r="F8" s="201">
        <f t="shared" si="2"/>
        <v>10</v>
      </c>
      <c r="G8" s="198">
        <f t="shared" si="3"/>
        <v>2022</v>
      </c>
      <c r="H8" s="199"/>
      <c r="I8" s="199"/>
      <c r="J8" s="198">
        <v>6800.0</v>
      </c>
      <c r="K8" s="202"/>
      <c r="L8" s="202"/>
      <c r="M8" s="202"/>
      <c r="N8" s="202"/>
      <c r="O8" s="202"/>
      <c r="P8" s="202"/>
      <c r="Q8" s="202"/>
      <c r="R8" s="202"/>
      <c r="S8" s="202"/>
      <c r="T8" s="202">
        <v>96220.0</v>
      </c>
      <c r="U8" s="198" t="s">
        <v>2712</v>
      </c>
      <c r="V8" s="198">
        <v>9.0</v>
      </c>
      <c r="W8" s="197"/>
      <c r="X8" s="197"/>
      <c r="Y8" s="199"/>
      <c r="Z8" s="199"/>
      <c r="AA8" s="204" t="str">
        <f t="shared" si="4"/>
        <v/>
      </c>
      <c r="AB8" s="198" t="s">
        <v>38</v>
      </c>
      <c r="AC8" s="199"/>
      <c r="AD8" s="199"/>
      <c r="AE8" s="199"/>
      <c r="AF8" s="199"/>
      <c r="AG8" s="199"/>
      <c r="AH8" s="199"/>
      <c r="AI8" s="199"/>
      <c r="AJ8" s="199"/>
      <c r="AK8" s="199"/>
      <c r="AL8" s="199"/>
      <c r="AM8" s="199"/>
      <c r="AN8" s="197"/>
      <c r="AO8" s="197"/>
      <c r="AP8" s="197"/>
      <c r="AQ8" s="197"/>
      <c r="AR8" s="197"/>
      <c r="AS8" s="197"/>
    </row>
    <row r="9">
      <c r="A9" s="198" t="str">
        <f t="shared" si="1"/>
        <v>PP</v>
      </c>
      <c r="B9" s="198" t="s">
        <v>2719</v>
      </c>
      <c r="C9" s="198" t="s">
        <v>2713</v>
      </c>
      <c r="D9" s="199"/>
      <c r="E9" s="200">
        <v>44849.0</v>
      </c>
      <c r="F9" s="201">
        <f t="shared" si="2"/>
        <v>10</v>
      </c>
      <c r="G9" s="198">
        <f t="shared" si="3"/>
        <v>2022</v>
      </c>
      <c r="H9" s="199"/>
      <c r="I9" s="199"/>
      <c r="J9" s="198">
        <v>17280.0</v>
      </c>
      <c r="K9" s="202"/>
      <c r="L9" s="202"/>
      <c r="M9" s="202"/>
      <c r="N9" s="202"/>
      <c r="O9" s="202"/>
      <c r="P9" s="202"/>
      <c r="Q9" s="202"/>
      <c r="R9" s="202"/>
      <c r="S9" s="202"/>
      <c r="T9" s="202">
        <v>62208.0</v>
      </c>
      <c r="U9" s="198" t="s">
        <v>2712</v>
      </c>
      <c r="V9" s="198">
        <v>6.0</v>
      </c>
      <c r="W9" s="197"/>
      <c r="X9" s="197"/>
      <c r="Y9" s="199"/>
      <c r="Z9" s="199"/>
      <c r="AA9" s="204" t="str">
        <f t="shared" si="4"/>
        <v/>
      </c>
      <c r="AB9" s="198" t="s">
        <v>2720</v>
      </c>
      <c r="AC9" s="199"/>
      <c r="AD9" s="199"/>
      <c r="AE9" s="199"/>
      <c r="AF9" s="199"/>
      <c r="AG9" s="199"/>
      <c r="AH9" s="199"/>
      <c r="AI9" s="199"/>
      <c r="AJ9" s="199"/>
      <c r="AK9" s="199"/>
      <c r="AL9" s="199"/>
      <c r="AM9" s="199"/>
      <c r="AN9" s="197"/>
      <c r="AO9" s="197"/>
      <c r="AP9" s="197"/>
      <c r="AQ9" s="197"/>
      <c r="AR9" s="197"/>
      <c r="AS9" s="197"/>
    </row>
    <row r="10">
      <c r="A10" s="198" t="str">
        <f t="shared" si="1"/>
        <v>PP</v>
      </c>
      <c r="B10" s="198" t="s">
        <v>2721</v>
      </c>
      <c r="C10" s="198" t="s">
        <v>2713</v>
      </c>
      <c r="D10" s="199"/>
      <c r="E10" s="200">
        <v>44849.0</v>
      </c>
      <c r="F10" s="201">
        <f t="shared" si="2"/>
        <v>10</v>
      </c>
      <c r="G10" s="198">
        <f t="shared" si="3"/>
        <v>2022</v>
      </c>
      <c r="H10" s="199"/>
      <c r="I10" s="199"/>
      <c r="J10" s="198">
        <v>9000.0</v>
      </c>
      <c r="K10" s="202"/>
      <c r="L10" s="202"/>
      <c r="M10" s="202"/>
      <c r="N10" s="202"/>
      <c r="O10" s="202"/>
      <c r="P10" s="202"/>
      <c r="Q10" s="202"/>
      <c r="R10" s="202"/>
      <c r="S10" s="202"/>
      <c r="T10" s="202">
        <v>81000.0</v>
      </c>
      <c r="U10" s="198" t="s">
        <v>2712</v>
      </c>
      <c r="V10" s="198">
        <v>2.0</v>
      </c>
      <c r="W10" s="197"/>
      <c r="X10" s="197"/>
      <c r="Y10" s="199"/>
      <c r="Z10" s="199"/>
      <c r="AA10" s="204" t="str">
        <f t="shared" si="4"/>
        <v/>
      </c>
      <c r="AB10" s="198" t="s">
        <v>38</v>
      </c>
      <c r="AC10" s="199"/>
      <c r="AD10" s="199"/>
      <c r="AE10" s="199"/>
      <c r="AF10" s="199"/>
      <c r="AG10" s="199"/>
      <c r="AH10" s="199"/>
      <c r="AI10" s="199"/>
      <c r="AJ10" s="199"/>
      <c r="AK10" s="199"/>
      <c r="AL10" s="199"/>
      <c r="AM10" s="199"/>
      <c r="AN10" s="197"/>
      <c r="AO10" s="197"/>
      <c r="AP10" s="197"/>
      <c r="AQ10" s="197"/>
      <c r="AR10" s="197"/>
      <c r="AS10" s="197"/>
    </row>
    <row r="11">
      <c r="A11" s="198" t="str">
        <f t="shared" si="1"/>
        <v>PP</v>
      </c>
      <c r="B11" s="198" t="s">
        <v>2722</v>
      </c>
      <c r="C11" s="198" t="s">
        <v>2713</v>
      </c>
      <c r="D11" s="199"/>
      <c r="E11" s="200">
        <v>44849.0</v>
      </c>
      <c r="F11" s="201">
        <f t="shared" si="2"/>
        <v>10</v>
      </c>
      <c r="G11" s="198">
        <f t="shared" si="3"/>
        <v>2022</v>
      </c>
      <c r="H11" s="199"/>
      <c r="I11" s="199"/>
      <c r="J11" s="198">
        <v>1600.0</v>
      </c>
      <c r="K11" s="202"/>
      <c r="L11" s="202"/>
      <c r="M11" s="202"/>
      <c r="N11" s="202"/>
      <c r="O11" s="202"/>
      <c r="P11" s="202"/>
      <c r="Q11" s="202"/>
      <c r="R11" s="202"/>
      <c r="S11" s="202"/>
      <c r="T11" s="202">
        <v>28704.0</v>
      </c>
      <c r="U11" s="198" t="s">
        <v>2712</v>
      </c>
      <c r="V11" s="198">
        <v>14.0</v>
      </c>
      <c r="W11" s="197"/>
      <c r="X11" s="197"/>
      <c r="Y11" s="199"/>
      <c r="Z11" s="199"/>
      <c r="AA11" s="204" t="str">
        <f t="shared" si="4"/>
        <v/>
      </c>
      <c r="AB11" s="198" t="s">
        <v>38</v>
      </c>
      <c r="AC11" s="199"/>
      <c r="AD11" s="199"/>
      <c r="AE11" s="199"/>
      <c r="AF11" s="199"/>
      <c r="AG11" s="199"/>
      <c r="AH11" s="199"/>
      <c r="AI11" s="199"/>
      <c r="AJ11" s="199"/>
      <c r="AK11" s="199"/>
      <c r="AL11" s="199"/>
      <c r="AM11" s="199"/>
      <c r="AN11" s="197"/>
      <c r="AO11" s="197"/>
      <c r="AP11" s="197"/>
      <c r="AQ11" s="197"/>
      <c r="AR11" s="197"/>
      <c r="AS11" s="197"/>
    </row>
    <row r="12">
      <c r="A12" s="198" t="str">
        <f t="shared" si="1"/>
        <v>PP</v>
      </c>
      <c r="B12" s="198" t="s">
        <v>2723</v>
      </c>
      <c r="C12" s="198" t="s">
        <v>2713</v>
      </c>
      <c r="D12" s="199"/>
      <c r="E12" s="200">
        <v>44849.0</v>
      </c>
      <c r="F12" s="201">
        <f t="shared" si="2"/>
        <v>10</v>
      </c>
      <c r="G12" s="198">
        <f t="shared" si="3"/>
        <v>2022</v>
      </c>
      <c r="H12" s="199"/>
      <c r="I12" s="199"/>
      <c r="J12" s="198">
        <v>22720.0</v>
      </c>
      <c r="K12" s="202"/>
      <c r="L12" s="202"/>
      <c r="M12" s="202"/>
      <c r="N12" s="202"/>
      <c r="O12" s="202"/>
      <c r="P12" s="202"/>
      <c r="Q12" s="202"/>
      <c r="R12" s="202"/>
      <c r="S12" s="202"/>
      <c r="T12" s="202">
        <v>38624.0</v>
      </c>
      <c r="U12" s="198" t="s">
        <v>2712</v>
      </c>
      <c r="V12" s="198">
        <v>6.0</v>
      </c>
      <c r="W12" s="197"/>
      <c r="X12" s="197"/>
      <c r="Y12" s="199"/>
      <c r="Z12" s="199"/>
      <c r="AA12" s="204" t="str">
        <f t="shared" si="4"/>
        <v/>
      </c>
      <c r="AB12" s="198" t="s">
        <v>2720</v>
      </c>
      <c r="AC12" s="199"/>
      <c r="AD12" s="199"/>
      <c r="AE12" s="199"/>
      <c r="AF12" s="199"/>
      <c r="AG12" s="199"/>
      <c r="AH12" s="199"/>
      <c r="AI12" s="199"/>
      <c r="AJ12" s="199"/>
      <c r="AK12" s="199"/>
      <c r="AL12" s="199"/>
      <c r="AM12" s="199"/>
      <c r="AN12" s="197"/>
      <c r="AO12" s="197"/>
      <c r="AP12" s="197"/>
      <c r="AQ12" s="197"/>
      <c r="AR12" s="197"/>
      <c r="AS12" s="197"/>
    </row>
    <row r="13">
      <c r="A13" s="198" t="str">
        <f t="shared" si="1"/>
        <v>PP</v>
      </c>
      <c r="B13" s="198" t="s">
        <v>2724</v>
      </c>
      <c r="C13" s="198" t="s">
        <v>2713</v>
      </c>
      <c r="D13" s="199"/>
      <c r="E13" s="200">
        <v>44849.0</v>
      </c>
      <c r="F13" s="201">
        <f t="shared" si="2"/>
        <v>10</v>
      </c>
      <c r="G13" s="198">
        <f t="shared" si="3"/>
        <v>2022</v>
      </c>
      <c r="H13" s="199"/>
      <c r="I13" s="199"/>
      <c r="J13" s="198">
        <v>1000.0</v>
      </c>
      <c r="K13" s="202"/>
      <c r="L13" s="202"/>
      <c r="M13" s="202"/>
      <c r="N13" s="202"/>
      <c r="O13" s="202"/>
      <c r="P13" s="202"/>
      <c r="Q13" s="202"/>
      <c r="R13" s="202"/>
      <c r="S13" s="202"/>
      <c r="T13" s="202">
        <v>26699.0</v>
      </c>
      <c r="U13" s="198" t="s">
        <v>2712</v>
      </c>
      <c r="V13" s="198">
        <v>13.0</v>
      </c>
      <c r="W13" s="197"/>
      <c r="X13" s="197"/>
      <c r="Y13" s="199"/>
      <c r="Z13" s="199"/>
      <c r="AA13" s="204" t="str">
        <f t="shared" si="4"/>
        <v/>
      </c>
      <c r="AB13" s="198" t="s">
        <v>38</v>
      </c>
      <c r="AC13" s="199"/>
      <c r="AD13" s="199"/>
      <c r="AE13" s="199"/>
      <c r="AF13" s="199"/>
      <c r="AG13" s="199"/>
      <c r="AH13" s="199"/>
      <c r="AI13" s="199"/>
      <c r="AJ13" s="199"/>
      <c r="AK13" s="199"/>
      <c r="AL13" s="199"/>
      <c r="AM13" s="199"/>
      <c r="AN13" s="197"/>
      <c r="AO13" s="197"/>
      <c r="AP13" s="197"/>
      <c r="AQ13" s="197"/>
      <c r="AR13" s="197"/>
      <c r="AS13" s="197"/>
    </row>
    <row r="14">
      <c r="A14" s="198" t="str">
        <f t="shared" si="1"/>
        <v>PP</v>
      </c>
      <c r="B14" s="198" t="s">
        <v>2725</v>
      </c>
      <c r="C14" s="198" t="s">
        <v>2713</v>
      </c>
      <c r="D14" s="199"/>
      <c r="E14" s="200">
        <v>44849.0</v>
      </c>
      <c r="F14" s="201">
        <f t="shared" si="2"/>
        <v>10</v>
      </c>
      <c r="G14" s="198">
        <f t="shared" si="3"/>
        <v>2022</v>
      </c>
      <c r="H14" s="199"/>
      <c r="I14" s="199"/>
      <c r="J14" s="198">
        <v>6140.0</v>
      </c>
      <c r="K14" s="202"/>
      <c r="L14" s="202"/>
      <c r="M14" s="202"/>
      <c r="N14" s="202"/>
      <c r="O14" s="202"/>
      <c r="P14" s="202"/>
      <c r="Q14" s="202"/>
      <c r="R14" s="202"/>
      <c r="S14" s="202"/>
      <c r="T14" s="202">
        <v>296190.0</v>
      </c>
      <c r="U14" s="198" t="s">
        <v>2712</v>
      </c>
      <c r="V14" s="198">
        <v>18.0</v>
      </c>
      <c r="W14" s="197"/>
      <c r="X14" s="197"/>
      <c r="Y14" s="199"/>
      <c r="Z14" s="199"/>
      <c r="AA14" s="204" t="str">
        <f t="shared" si="4"/>
        <v/>
      </c>
      <c r="AB14" s="198" t="s">
        <v>2720</v>
      </c>
      <c r="AC14" s="199"/>
      <c r="AD14" s="199"/>
      <c r="AE14" s="199"/>
      <c r="AF14" s="199"/>
      <c r="AG14" s="199"/>
      <c r="AH14" s="199"/>
      <c r="AI14" s="199"/>
      <c r="AJ14" s="199"/>
      <c r="AK14" s="199"/>
      <c r="AL14" s="199"/>
      <c r="AM14" s="199"/>
      <c r="AN14" s="197"/>
      <c r="AO14" s="197"/>
      <c r="AP14" s="197"/>
      <c r="AQ14" s="197"/>
      <c r="AR14" s="197"/>
      <c r="AS14" s="197"/>
    </row>
    <row r="15">
      <c r="A15" s="198" t="str">
        <f t="shared" si="1"/>
        <v>PP</v>
      </c>
      <c r="B15" s="198" t="s">
        <v>2726</v>
      </c>
      <c r="C15" s="198" t="s">
        <v>81</v>
      </c>
      <c r="D15" s="199"/>
      <c r="E15" s="200">
        <v>44849.0</v>
      </c>
      <c r="F15" s="201">
        <f t="shared" si="2"/>
        <v>10</v>
      </c>
      <c r="G15" s="198">
        <f t="shared" si="3"/>
        <v>2022</v>
      </c>
      <c r="H15" s="199"/>
      <c r="I15" s="199"/>
      <c r="J15" s="198">
        <v>21222.0</v>
      </c>
      <c r="K15" s="202"/>
      <c r="L15" s="202"/>
      <c r="M15" s="202"/>
      <c r="N15" s="202"/>
      <c r="O15" s="202"/>
      <c r="P15" s="202"/>
      <c r="Q15" s="202"/>
      <c r="R15" s="202"/>
      <c r="S15" s="202"/>
      <c r="T15" s="202">
        <v>210935.0</v>
      </c>
      <c r="U15" s="198" t="s">
        <v>2712</v>
      </c>
      <c r="V15" s="198">
        <v>36.0</v>
      </c>
      <c r="W15" s="197"/>
      <c r="X15" s="197"/>
      <c r="Y15" s="199"/>
      <c r="Z15" s="199"/>
      <c r="AA15" s="204" t="str">
        <f t="shared" si="4"/>
        <v/>
      </c>
      <c r="AB15" s="198" t="s">
        <v>38</v>
      </c>
      <c r="AC15" s="199"/>
      <c r="AD15" s="199"/>
      <c r="AE15" s="199"/>
      <c r="AF15" s="199"/>
      <c r="AG15" s="199"/>
      <c r="AH15" s="199"/>
      <c r="AI15" s="199"/>
      <c r="AJ15" s="199"/>
      <c r="AK15" s="199"/>
      <c r="AL15" s="199"/>
      <c r="AM15" s="199"/>
      <c r="AN15" s="197"/>
      <c r="AO15" s="197"/>
      <c r="AP15" s="197"/>
      <c r="AQ15" s="197"/>
      <c r="AR15" s="197"/>
      <c r="AS15" s="197"/>
    </row>
    <row r="16">
      <c r="A16" s="198" t="str">
        <f t="shared" si="1"/>
        <v>PP</v>
      </c>
      <c r="B16" s="198" t="s">
        <v>2727</v>
      </c>
      <c r="C16" s="198" t="s">
        <v>2729</v>
      </c>
      <c r="D16" s="199"/>
      <c r="E16" s="200">
        <v>44849.0</v>
      </c>
      <c r="F16" s="201">
        <f t="shared" si="2"/>
        <v>10</v>
      </c>
      <c r="G16" s="198">
        <f t="shared" si="3"/>
        <v>2022</v>
      </c>
      <c r="H16" s="199"/>
      <c r="I16" s="199"/>
      <c r="J16" s="198">
        <v>586944.0</v>
      </c>
      <c r="K16" s="202"/>
      <c r="L16" s="202"/>
      <c r="M16" s="202"/>
      <c r="N16" s="202"/>
      <c r="O16" s="202"/>
      <c r="P16" s="202"/>
      <c r="Q16" s="202"/>
      <c r="R16" s="202"/>
      <c r="S16" s="202"/>
      <c r="T16" s="202">
        <v>544522.0</v>
      </c>
      <c r="U16" s="205" t="s">
        <v>3026</v>
      </c>
      <c r="V16" s="198">
        <v>12.0</v>
      </c>
      <c r="W16" s="197"/>
      <c r="X16" s="197"/>
      <c r="Y16" s="199"/>
      <c r="Z16" s="199"/>
      <c r="AA16" s="204" t="str">
        <f t="shared" si="4"/>
        <v/>
      </c>
      <c r="AB16" s="198" t="s">
        <v>2730</v>
      </c>
      <c r="AC16" s="199"/>
      <c r="AD16" s="199"/>
      <c r="AE16" s="199"/>
      <c r="AF16" s="199"/>
      <c r="AG16" s="199"/>
      <c r="AH16" s="199"/>
      <c r="AI16" s="199"/>
      <c r="AJ16" s="199"/>
      <c r="AK16" s="199"/>
      <c r="AL16" s="199"/>
      <c r="AM16" s="199"/>
      <c r="AN16" s="197"/>
      <c r="AO16" s="197"/>
      <c r="AP16" s="197"/>
      <c r="AQ16" s="197"/>
      <c r="AR16" s="197"/>
      <c r="AS16" s="197"/>
    </row>
    <row r="17">
      <c r="A17" s="198" t="str">
        <f t="shared" si="1"/>
        <v>PP</v>
      </c>
      <c r="B17" s="198" t="s">
        <v>2731</v>
      </c>
      <c r="C17" s="198" t="s">
        <v>81</v>
      </c>
      <c r="D17" s="199"/>
      <c r="E17" s="200">
        <v>44849.0</v>
      </c>
      <c r="F17" s="201">
        <f t="shared" si="2"/>
        <v>10</v>
      </c>
      <c r="G17" s="198">
        <f t="shared" si="3"/>
        <v>2022</v>
      </c>
      <c r="H17" s="199"/>
      <c r="I17" s="199"/>
      <c r="J17" s="198">
        <v>5140.0</v>
      </c>
      <c r="K17" s="202"/>
      <c r="L17" s="202"/>
      <c r="M17" s="202"/>
      <c r="N17" s="202"/>
      <c r="O17" s="202"/>
      <c r="P17" s="202"/>
      <c r="Q17" s="202"/>
      <c r="R17" s="202"/>
      <c r="S17" s="202"/>
      <c r="T17" s="202">
        <v>85135.0</v>
      </c>
      <c r="U17" s="198" t="s">
        <v>2712</v>
      </c>
      <c r="V17" s="198">
        <v>5.0</v>
      </c>
      <c r="W17" s="197"/>
      <c r="X17" s="197"/>
      <c r="Y17" s="199"/>
      <c r="Z17" s="199"/>
      <c r="AA17" s="204" t="str">
        <f t="shared" si="4"/>
        <v/>
      </c>
      <c r="AB17" s="198" t="s">
        <v>38</v>
      </c>
      <c r="AC17" s="199"/>
      <c r="AD17" s="199"/>
      <c r="AE17" s="199"/>
      <c r="AF17" s="199"/>
      <c r="AG17" s="199"/>
      <c r="AH17" s="199"/>
      <c r="AI17" s="199"/>
      <c r="AJ17" s="199"/>
      <c r="AK17" s="199"/>
      <c r="AL17" s="199"/>
      <c r="AM17" s="199"/>
      <c r="AN17" s="197"/>
      <c r="AO17" s="197"/>
      <c r="AP17" s="197"/>
      <c r="AQ17" s="197"/>
      <c r="AR17" s="197"/>
      <c r="AS17" s="197"/>
    </row>
    <row r="18">
      <c r="A18" s="198" t="str">
        <f t="shared" si="1"/>
        <v>PP</v>
      </c>
      <c r="B18" s="198" t="s">
        <v>2732</v>
      </c>
      <c r="C18" s="198" t="s">
        <v>59</v>
      </c>
      <c r="D18" s="199"/>
      <c r="E18" s="200">
        <v>44849.0</v>
      </c>
      <c r="F18" s="201">
        <f t="shared" si="2"/>
        <v>10</v>
      </c>
      <c r="G18" s="198">
        <f t="shared" si="3"/>
        <v>2022</v>
      </c>
      <c r="H18" s="199"/>
      <c r="I18" s="199"/>
      <c r="J18" s="198">
        <v>5144.0</v>
      </c>
      <c r="K18" s="202"/>
      <c r="L18" s="202"/>
      <c r="M18" s="202"/>
      <c r="N18" s="202"/>
      <c r="O18" s="202"/>
      <c r="P18" s="202"/>
      <c r="Q18" s="202"/>
      <c r="R18" s="202"/>
      <c r="S18" s="202"/>
      <c r="T18" s="202">
        <v>38207.0</v>
      </c>
      <c r="U18" s="205" t="s">
        <v>3026</v>
      </c>
      <c r="V18" s="198">
        <v>15.0</v>
      </c>
      <c r="W18" s="197"/>
      <c r="X18" s="197"/>
      <c r="Y18" s="199"/>
      <c r="Z18" s="199"/>
      <c r="AA18" s="204" t="str">
        <f t="shared" si="4"/>
        <v/>
      </c>
      <c r="AB18" s="198" t="s">
        <v>38</v>
      </c>
      <c r="AC18" s="199"/>
      <c r="AD18" s="199"/>
      <c r="AE18" s="199"/>
      <c r="AF18" s="199"/>
      <c r="AG18" s="199"/>
      <c r="AH18" s="199"/>
      <c r="AI18" s="199"/>
      <c r="AJ18" s="199"/>
      <c r="AK18" s="199"/>
      <c r="AL18" s="199"/>
      <c r="AM18" s="199"/>
      <c r="AN18" s="197"/>
      <c r="AO18" s="197"/>
      <c r="AP18" s="197"/>
      <c r="AQ18" s="197"/>
      <c r="AR18" s="197"/>
      <c r="AS18" s="197"/>
    </row>
    <row r="19">
      <c r="A19" s="198" t="str">
        <f t="shared" si="1"/>
        <v>PP</v>
      </c>
      <c r="B19" s="198" t="s">
        <v>2733</v>
      </c>
      <c r="C19" s="198" t="s">
        <v>473</v>
      </c>
      <c r="D19" s="199"/>
      <c r="E19" s="200">
        <v>44880.0</v>
      </c>
      <c r="F19" s="201">
        <f t="shared" si="2"/>
        <v>11</v>
      </c>
      <c r="G19" s="198">
        <f t="shared" si="3"/>
        <v>2022</v>
      </c>
      <c r="H19" s="199"/>
      <c r="I19" s="199"/>
      <c r="J19" s="198">
        <v>102440.0</v>
      </c>
      <c r="K19" s="202"/>
      <c r="L19" s="202"/>
      <c r="M19" s="202"/>
      <c r="N19" s="202"/>
      <c r="O19" s="202"/>
      <c r="P19" s="202"/>
      <c r="Q19" s="202"/>
      <c r="R19" s="202"/>
      <c r="S19" s="202"/>
      <c r="T19" s="202">
        <v>431923.0</v>
      </c>
      <c r="U19" s="198" t="s">
        <v>2710</v>
      </c>
      <c r="V19" s="198">
        <v>52.0</v>
      </c>
      <c r="W19" s="197"/>
      <c r="X19" s="197"/>
      <c r="Y19" s="199"/>
      <c r="Z19" s="199"/>
      <c r="AA19" s="204" t="str">
        <f t="shared" si="4"/>
        <v/>
      </c>
      <c r="AB19" s="198" t="s">
        <v>38</v>
      </c>
      <c r="AC19" s="199"/>
      <c r="AD19" s="199"/>
      <c r="AE19" s="199"/>
      <c r="AF19" s="199"/>
      <c r="AG19" s="199"/>
      <c r="AH19" s="199"/>
      <c r="AI19" s="199"/>
      <c r="AJ19" s="199"/>
      <c r="AK19" s="199"/>
      <c r="AL19" s="199"/>
      <c r="AM19" s="199"/>
      <c r="AN19" s="197"/>
      <c r="AO19" s="197"/>
      <c r="AP19" s="197"/>
      <c r="AQ19" s="197"/>
      <c r="AR19" s="197"/>
      <c r="AS19" s="197"/>
    </row>
    <row r="20">
      <c r="A20" s="198" t="str">
        <f t="shared" si="1"/>
        <v>PP</v>
      </c>
      <c r="B20" s="198" t="s">
        <v>2734</v>
      </c>
      <c r="C20" s="198" t="s">
        <v>59</v>
      </c>
      <c r="D20" s="199"/>
      <c r="E20" s="200">
        <v>44889.0</v>
      </c>
      <c r="F20" s="201">
        <f t="shared" si="2"/>
        <v>11</v>
      </c>
      <c r="G20" s="198">
        <f t="shared" si="3"/>
        <v>2022</v>
      </c>
      <c r="H20" s="199"/>
      <c r="I20" s="199"/>
      <c r="J20" s="198">
        <v>200.0</v>
      </c>
      <c r="K20" s="202"/>
      <c r="L20" s="202"/>
      <c r="M20" s="202"/>
      <c r="N20" s="202"/>
      <c r="O20" s="202"/>
      <c r="P20" s="202"/>
      <c r="Q20" s="202"/>
      <c r="R20" s="202"/>
      <c r="S20" s="202"/>
      <c r="T20" s="202">
        <v>1008.0</v>
      </c>
      <c r="U20" s="205" t="s">
        <v>3026</v>
      </c>
      <c r="V20" s="198">
        <v>1.0</v>
      </c>
      <c r="W20" s="197"/>
      <c r="X20" s="197"/>
      <c r="Y20" s="199"/>
      <c r="Z20" s="199"/>
      <c r="AA20" s="204" t="str">
        <f t="shared" si="4"/>
        <v/>
      </c>
      <c r="AB20" s="198" t="s">
        <v>38</v>
      </c>
      <c r="AC20" s="199"/>
      <c r="AD20" s="199"/>
      <c r="AE20" s="199"/>
      <c r="AF20" s="199"/>
      <c r="AG20" s="199"/>
      <c r="AH20" s="199"/>
      <c r="AI20" s="199"/>
      <c r="AJ20" s="199"/>
      <c r="AK20" s="199"/>
      <c r="AL20" s="199"/>
      <c r="AM20" s="199"/>
      <c r="AN20" s="197"/>
      <c r="AO20" s="197"/>
      <c r="AP20" s="197"/>
      <c r="AQ20" s="197"/>
      <c r="AR20" s="197"/>
      <c r="AS20" s="197"/>
    </row>
    <row r="21">
      <c r="A21" s="198" t="str">
        <f t="shared" si="1"/>
        <v>PP</v>
      </c>
      <c r="B21" s="198" t="s">
        <v>2735</v>
      </c>
      <c r="C21" s="198" t="s">
        <v>259</v>
      </c>
      <c r="D21" s="199"/>
      <c r="E21" s="200">
        <v>44864.0</v>
      </c>
      <c r="F21" s="201">
        <f t="shared" si="2"/>
        <v>10</v>
      </c>
      <c r="G21" s="198">
        <f t="shared" si="3"/>
        <v>2022</v>
      </c>
      <c r="H21" s="199"/>
      <c r="I21" s="199"/>
      <c r="J21" s="198">
        <v>44974.0</v>
      </c>
      <c r="K21" s="202"/>
      <c r="L21" s="202"/>
      <c r="M21" s="202"/>
      <c r="N21" s="202"/>
      <c r="O21" s="202"/>
      <c r="P21" s="202"/>
      <c r="Q21" s="202"/>
      <c r="R21" s="202"/>
      <c r="S21" s="202"/>
      <c r="T21" s="202">
        <v>119369.0</v>
      </c>
      <c r="U21" s="206" t="s">
        <v>3026</v>
      </c>
      <c r="V21" s="198">
        <v>37.0</v>
      </c>
      <c r="W21" s="197"/>
      <c r="X21" s="197"/>
      <c r="Y21" s="199"/>
      <c r="Z21" s="199"/>
      <c r="AA21" s="204" t="str">
        <f t="shared" si="4"/>
        <v/>
      </c>
      <c r="AB21" s="198" t="s">
        <v>2730</v>
      </c>
      <c r="AC21" s="199"/>
      <c r="AD21" s="199"/>
      <c r="AE21" s="199"/>
      <c r="AF21" s="199"/>
      <c r="AG21" s="199"/>
      <c r="AH21" s="199"/>
      <c r="AI21" s="199"/>
      <c r="AJ21" s="199"/>
      <c r="AK21" s="199"/>
      <c r="AL21" s="199"/>
      <c r="AM21" s="199"/>
      <c r="AN21" s="197"/>
      <c r="AO21" s="197"/>
      <c r="AP21" s="197"/>
      <c r="AQ21" s="197"/>
      <c r="AR21" s="197"/>
      <c r="AS21" s="197"/>
    </row>
    <row r="22">
      <c r="A22" s="198" t="str">
        <f t="shared" si="1"/>
        <v>PP</v>
      </c>
      <c r="B22" s="198" t="s">
        <v>2736</v>
      </c>
      <c r="C22" s="198" t="s">
        <v>966</v>
      </c>
      <c r="D22" s="199"/>
      <c r="E22" s="200">
        <v>44920.0</v>
      </c>
      <c r="F22" s="201">
        <f t="shared" si="2"/>
        <v>12</v>
      </c>
      <c r="G22" s="198">
        <f t="shared" si="3"/>
        <v>2022</v>
      </c>
      <c r="H22" s="199"/>
      <c r="I22" s="199"/>
      <c r="J22" s="198">
        <v>4164.0</v>
      </c>
      <c r="K22" s="202"/>
      <c r="L22" s="202"/>
      <c r="M22" s="202"/>
      <c r="N22" s="202"/>
      <c r="O22" s="202"/>
      <c r="P22" s="202"/>
      <c r="Q22" s="202"/>
      <c r="R22" s="202"/>
      <c r="S22" s="202"/>
      <c r="T22" s="202">
        <v>4833.0</v>
      </c>
      <c r="U22" s="205" t="s">
        <v>3026</v>
      </c>
      <c r="V22" s="198">
        <v>2.0</v>
      </c>
      <c r="W22" s="197"/>
      <c r="X22" s="197"/>
      <c r="Y22" s="199"/>
      <c r="Z22" s="199"/>
      <c r="AA22" s="204" t="str">
        <f t="shared" si="4"/>
        <v/>
      </c>
      <c r="AB22" s="198" t="s">
        <v>38</v>
      </c>
      <c r="AC22" s="199"/>
      <c r="AD22" s="199"/>
      <c r="AE22" s="199"/>
      <c r="AF22" s="199"/>
      <c r="AG22" s="199"/>
      <c r="AH22" s="199"/>
      <c r="AI22" s="199"/>
      <c r="AJ22" s="199"/>
      <c r="AK22" s="199"/>
      <c r="AL22" s="199"/>
      <c r="AM22" s="199"/>
      <c r="AN22" s="197"/>
      <c r="AO22" s="197"/>
      <c r="AP22" s="197"/>
      <c r="AQ22" s="197"/>
      <c r="AR22" s="197"/>
      <c r="AS22" s="197"/>
    </row>
    <row r="23">
      <c r="A23" s="198" t="str">
        <f t="shared" si="1"/>
        <v>PP</v>
      </c>
      <c r="B23" s="198" t="s">
        <v>2737</v>
      </c>
      <c r="C23" s="198" t="s">
        <v>2738</v>
      </c>
      <c r="D23" s="199"/>
      <c r="E23" s="200">
        <v>44893.0</v>
      </c>
      <c r="F23" s="201">
        <f t="shared" si="2"/>
        <v>11</v>
      </c>
      <c r="G23" s="198">
        <f t="shared" si="3"/>
        <v>2022</v>
      </c>
      <c r="H23" s="199"/>
      <c r="I23" s="199"/>
      <c r="J23" s="198">
        <v>32043.0</v>
      </c>
      <c r="K23" s="202"/>
      <c r="L23" s="202"/>
      <c r="M23" s="202"/>
      <c r="N23" s="202"/>
      <c r="O23" s="202"/>
      <c r="P23" s="202"/>
      <c r="Q23" s="202"/>
      <c r="R23" s="202"/>
      <c r="S23" s="202"/>
      <c r="T23" s="202">
        <v>177858.0</v>
      </c>
      <c r="U23" s="198" t="s">
        <v>2712</v>
      </c>
      <c r="V23" s="198">
        <v>383.0</v>
      </c>
      <c r="W23" s="197"/>
      <c r="X23" s="197"/>
      <c r="Y23" s="199"/>
      <c r="Z23" s="199"/>
      <c r="AA23" s="204" t="str">
        <f t="shared" si="4"/>
        <v/>
      </c>
      <c r="AB23" s="198" t="s">
        <v>38</v>
      </c>
      <c r="AC23" s="199"/>
      <c r="AD23" s="199"/>
      <c r="AE23" s="199"/>
      <c r="AF23" s="199"/>
      <c r="AG23" s="199"/>
      <c r="AH23" s="199"/>
      <c r="AI23" s="199"/>
      <c r="AJ23" s="199"/>
      <c r="AK23" s="199"/>
      <c r="AL23" s="199"/>
      <c r="AM23" s="199"/>
      <c r="AN23" s="197"/>
      <c r="AO23" s="197"/>
      <c r="AP23" s="197"/>
      <c r="AQ23" s="197"/>
      <c r="AR23" s="197"/>
      <c r="AS23" s="197"/>
    </row>
    <row r="24">
      <c r="A24" s="198" t="str">
        <f t="shared" si="1"/>
        <v>PP</v>
      </c>
      <c r="B24" s="198" t="s">
        <v>2739</v>
      </c>
      <c r="C24" s="198" t="s">
        <v>2738</v>
      </c>
      <c r="D24" s="199"/>
      <c r="E24" s="200">
        <v>44893.0</v>
      </c>
      <c r="F24" s="201">
        <f t="shared" si="2"/>
        <v>11</v>
      </c>
      <c r="G24" s="198">
        <f t="shared" si="3"/>
        <v>2022</v>
      </c>
      <c r="H24" s="199"/>
      <c r="I24" s="199"/>
      <c r="J24" s="198">
        <v>32059.0</v>
      </c>
      <c r="K24" s="202"/>
      <c r="L24" s="202"/>
      <c r="M24" s="202"/>
      <c r="N24" s="202"/>
      <c r="O24" s="202"/>
      <c r="P24" s="202"/>
      <c r="Q24" s="202"/>
      <c r="R24" s="202"/>
      <c r="S24" s="202"/>
      <c r="T24" s="202">
        <v>178088.0</v>
      </c>
      <c r="U24" s="198" t="s">
        <v>2712</v>
      </c>
      <c r="V24" s="198">
        <v>383.0</v>
      </c>
      <c r="W24" s="197"/>
      <c r="X24" s="197"/>
      <c r="Y24" s="199"/>
      <c r="Z24" s="199"/>
      <c r="AA24" s="204" t="str">
        <f t="shared" si="4"/>
        <v/>
      </c>
      <c r="AB24" s="198" t="s">
        <v>2730</v>
      </c>
      <c r="AC24" s="199"/>
      <c r="AD24" s="199"/>
      <c r="AE24" s="199"/>
      <c r="AF24" s="199"/>
      <c r="AG24" s="199"/>
      <c r="AH24" s="199"/>
      <c r="AI24" s="199"/>
      <c r="AJ24" s="199"/>
      <c r="AK24" s="199"/>
      <c r="AL24" s="199"/>
      <c r="AM24" s="199"/>
      <c r="AN24" s="197"/>
      <c r="AO24" s="197"/>
      <c r="AP24" s="197"/>
      <c r="AQ24" s="197"/>
      <c r="AR24" s="197"/>
      <c r="AS24" s="197"/>
    </row>
    <row r="25">
      <c r="A25" s="198" t="str">
        <f t="shared" si="1"/>
        <v>PP</v>
      </c>
      <c r="B25" s="198" t="s">
        <v>2740</v>
      </c>
      <c r="C25" s="198" t="s">
        <v>2741</v>
      </c>
      <c r="D25" s="199"/>
      <c r="E25" s="200">
        <v>44900.0</v>
      </c>
      <c r="F25" s="201">
        <f t="shared" si="2"/>
        <v>12</v>
      </c>
      <c r="G25" s="198">
        <f t="shared" si="3"/>
        <v>2022</v>
      </c>
      <c r="H25" s="199"/>
      <c r="I25" s="199"/>
      <c r="J25" s="198">
        <v>301.0</v>
      </c>
      <c r="K25" s="202"/>
      <c r="L25" s="202"/>
      <c r="M25" s="202"/>
      <c r="N25" s="202"/>
      <c r="O25" s="202"/>
      <c r="P25" s="202"/>
      <c r="Q25" s="202"/>
      <c r="R25" s="202"/>
      <c r="S25" s="202"/>
      <c r="T25" s="202">
        <v>47180.0</v>
      </c>
      <c r="U25" s="198" t="s">
        <v>2712</v>
      </c>
      <c r="V25" s="198">
        <v>11.0</v>
      </c>
      <c r="W25" s="197"/>
      <c r="X25" s="197"/>
      <c r="Y25" s="199"/>
      <c r="Z25" s="199"/>
      <c r="AA25" s="204" t="str">
        <f t="shared" si="4"/>
        <v/>
      </c>
      <c r="AB25" s="198" t="s">
        <v>2720</v>
      </c>
      <c r="AC25" s="199"/>
      <c r="AD25" s="199"/>
      <c r="AE25" s="199"/>
      <c r="AF25" s="199"/>
      <c r="AG25" s="199"/>
      <c r="AH25" s="199"/>
      <c r="AI25" s="199"/>
      <c r="AJ25" s="199"/>
      <c r="AK25" s="199"/>
      <c r="AL25" s="199"/>
      <c r="AM25" s="199"/>
      <c r="AN25" s="197"/>
      <c r="AO25" s="197"/>
      <c r="AP25" s="197"/>
      <c r="AQ25" s="197"/>
      <c r="AR25" s="197"/>
      <c r="AS25" s="197"/>
    </row>
    <row r="26">
      <c r="A26" s="198" t="str">
        <f t="shared" si="1"/>
        <v>PP</v>
      </c>
      <c r="B26" s="198" t="s">
        <v>2742</v>
      </c>
      <c r="C26" s="198" t="s">
        <v>473</v>
      </c>
      <c r="D26" s="199"/>
      <c r="E26" s="200">
        <v>44943.0</v>
      </c>
      <c r="F26" s="201">
        <f t="shared" si="2"/>
        <v>1</v>
      </c>
      <c r="G26" s="198">
        <f t="shared" si="3"/>
        <v>2023</v>
      </c>
      <c r="H26" s="199"/>
      <c r="I26" s="199"/>
      <c r="J26" s="198">
        <v>132560.0</v>
      </c>
      <c r="K26" s="202"/>
      <c r="L26" s="202"/>
      <c r="M26" s="202"/>
      <c r="N26" s="202"/>
      <c r="O26" s="202"/>
      <c r="P26" s="202"/>
      <c r="Q26" s="202"/>
      <c r="R26" s="202"/>
      <c r="S26" s="202"/>
      <c r="T26" s="202">
        <v>497980.0</v>
      </c>
      <c r="U26" s="198" t="s">
        <v>2710</v>
      </c>
      <c r="V26" s="198">
        <v>53.0</v>
      </c>
      <c r="W26" s="197"/>
      <c r="X26" s="197"/>
      <c r="Y26" s="199"/>
      <c r="Z26" s="199"/>
      <c r="AA26" s="204" t="str">
        <f t="shared" si="4"/>
        <v/>
      </c>
      <c r="AB26" s="198" t="s">
        <v>38</v>
      </c>
      <c r="AC26" s="199"/>
      <c r="AD26" s="199"/>
      <c r="AE26" s="199"/>
      <c r="AF26" s="199"/>
      <c r="AG26" s="199"/>
      <c r="AH26" s="199"/>
      <c r="AI26" s="199"/>
      <c r="AJ26" s="199"/>
      <c r="AK26" s="199"/>
      <c r="AL26" s="199"/>
      <c r="AM26" s="199"/>
      <c r="AN26" s="197"/>
      <c r="AO26" s="197"/>
      <c r="AP26" s="197"/>
      <c r="AQ26" s="197"/>
      <c r="AR26" s="197"/>
      <c r="AS26" s="197"/>
    </row>
    <row r="27">
      <c r="A27" s="198" t="str">
        <f t="shared" si="1"/>
        <v>PP</v>
      </c>
      <c r="B27" s="198" t="s">
        <v>2743</v>
      </c>
      <c r="C27" s="198" t="s">
        <v>259</v>
      </c>
      <c r="D27" s="199"/>
      <c r="E27" s="200">
        <v>44922.0</v>
      </c>
      <c r="F27" s="201">
        <f t="shared" si="2"/>
        <v>12</v>
      </c>
      <c r="G27" s="198">
        <f t="shared" si="3"/>
        <v>2022</v>
      </c>
      <c r="H27" s="199"/>
      <c r="I27" s="199"/>
      <c r="J27" s="198">
        <v>123090.0</v>
      </c>
      <c r="K27" s="202"/>
      <c r="L27" s="202"/>
      <c r="M27" s="202"/>
      <c r="N27" s="202"/>
      <c r="O27" s="202"/>
      <c r="P27" s="202"/>
      <c r="Q27" s="202"/>
      <c r="R27" s="202"/>
      <c r="S27" s="202"/>
      <c r="T27" s="202">
        <v>299243.0</v>
      </c>
      <c r="U27" s="206" t="s">
        <v>3026</v>
      </c>
      <c r="V27" s="198">
        <v>89.0</v>
      </c>
      <c r="W27" s="197"/>
      <c r="X27" s="197"/>
      <c r="Y27" s="199"/>
      <c r="Z27" s="199"/>
      <c r="AA27" s="204" t="str">
        <f t="shared" si="4"/>
        <v/>
      </c>
      <c r="AB27" s="198" t="s">
        <v>2730</v>
      </c>
      <c r="AC27" s="199"/>
      <c r="AD27" s="199"/>
      <c r="AE27" s="199"/>
      <c r="AF27" s="199"/>
      <c r="AG27" s="199"/>
      <c r="AH27" s="199"/>
      <c r="AI27" s="199"/>
      <c r="AJ27" s="199"/>
      <c r="AK27" s="199"/>
      <c r="AL27" s="199"/>
      <c r="AM27" s="199"/>
      <c r="AN27" s="197"/>
      <c r="AO27" s="197"/>
      <c r="AP27" s="197"/>
      <c r="AQ27" s="197"/>
      <c r="AR27" s="197"/>
      <c r="AS27" s="197"/>
    </row>
    <row r="28">
      <c r="A28" s="198" t="str">
        <f t="shared" si="1"/>
        <v>PP</v>
      </c>
      <c r="B28" s="198" t="s">
        <v>2744</v>
      </c>
      <c r="C28" s="198" t="s">
        <v>2729</v>
      </c>
      <c r="D28" s="199"/>
      <c r="E28" s="200">
        <v>44950.0</v>
      </c>
      <c r="F28" s="201">
        <f t="shared" si="2"/>
        <v>1</v>
      </c>
      <c r="G28" s="198">
        <f t="shared" si="3"/>
        <v>2023</v>
      </c>
      <c r="H28" s="199"/>
      <c r="I28" s="199"/>
      <c r="J28" s="198">
        <v>760320.0</v>
      </c>
      <c r="K28" s="202"/>
      <c r="L28" s="202"/>
      <c r="M28" s="202"/>
      <c r="N28" s="202"/>
      <c r="O28" s="202"/>
      <c r="P28" s="202"/>
      <c r="Q28" s="202"/>
      <c r="R28" s="202"/>
      <c r="S28" s="202"/>
      <c r="T28" s="202">
        <v>698112.0</v>
      </c>
      <c r="U28" s="205" t="s">
        <v>3026</v>
      </c>
      <c r="V28" s="198">
        <v>12.0</v>
      </c>
      <c r="W28" s="197"/>
      <c r="X28" s="197"/>
      <c r="Y28" s="199"/>
      <c r="Z28" s="199"/>
      <c r="AA28" s="204" t="str">
        <f t="shared" si="4"/>
        <v/>
      </c>
      <c r="AB28" s="198" t="s">
        <v>2720</v>
      </c>
      <c r="AC28" s="199"/>
      <c r="AD28" s="199"/>
      <c r="AE28" s="199"/>
      <c r="AF28" s="199"/>
      <c r="AG28" s="199"/>
      <c r="AH28" s="199"/>
      <c r="AI28" s="199"/>
      <c r="AJ28" s="199"/>
      <c r="AK28" s="199"/>
      <c r="AL28" s="199"/>
      <c r="AM28" s="199"/>
      <c r="AN28" s="197"/>
      <c r="AO28" s="197"/>
      <c r="AP28" s="197"/>
      <c r="AQ28" s="197"/>
      <c r="AR28" s="197"/>
      <c r="AS28" s="197"/>
    </row>
    <row r="29">
      <c r="A29" s="198" t="str">
        <f t="shared" si="1"/>
        <v>PP</v>
      </c>
      <c r="B29" s="198" t="s">
        <v>2745</v>
      </c>
      <c r="C29" s="198" t="s">
        <v>59</v>
      </c>
      <c r="D29" s="199"/>
      <c r="E29" s="200">
        <v>44950.0</v>
      </c>
      <c r="F29" s="201">
        <f t="shared" si="2"/>
        <v>1</v>
      </c>
      <c r="G29" s="198">
        <f t="shared" si="3"/>
        <v>2023</v>
      </c>
      <c r="H29" s="199"/>
      <c r="I29" s="199"/>
      <c r="J29" s="198">
        <v>12576.0</v>
      </c>
      <c r="K29" s="202"/>
      <c r="L29" s="202"/>
      <c r="M29" s="202"/>
      <c r="N29" s="202"/>
      <c r="O29" s="202"/>
      <c r="P29" s="202"/>
      <c r="Q29" s="202"/>
      <c r="R29" s="202"/>
      <c r="S29" s="202"/>
      <c r="T29" s="202">
        <v>100505.0</v>
      </c>
      <c r="U29" s="206" t="s">
        <v>3026</v>
      </c>
      <c r="V29" s="198">
        <v>23.0</v>
      </c>
      <c r="W29" s="197"/>
      <c r="X29" s="197"/>
      <c r="Y29" s="199"/>
      <c r="Z29" s="199"/>
      <c r="AA29" s="204" t="str">
        <f t="shared" si="4"/>
        <v/>
      </c>
      <c r="AB29" s="198" t="s">
        <v>38</v>
      </c>
      <c r="AC29" s="199"/>
      <c r="AD29" s="199"/>
      <c r="AE29" s="199"/>
      <c r="AF29" s="199"/>
      <c r="AG29" s="199"/>
      <c r="AH29" s="199"/>
      <c r="AI29" s="199"/>
      <c r="AJ29" s="199"/>
      <c r="AK29" s="199"/>
      <c r="AL29" s="199"/>
      <c r="AM29" s="199"/>
      <c r="AN29" s="197"/>
      <c r="AO29" s="197"/>
      <c r="AP29" s="197"/>
      <c r="AQ29" s="197"/>
      <c r="AR29" s="197"/>
      <c r="AS29" s="197"/>
    </row>
    <row r="30">
      <c r="A30" s="198" t="str">
        <f t="shared" si="1"/>
        <v>PP</v>
      </c>
      <c r="B30" s="198" t="s">
        <v>2746</v>
      </c>
      <c r="C30" s="198" t="s">
        <v>2713</v>
      </c>
      <c r="D30" s="199"/>
      <c r="E30" s="200">
        <v>44950.0</v>
      </c>
      <c r="F30" s="201">
        <f t="shared" si="2"/>
        <v>1</v>
      </c>
      <c r="G30" s="198">
        <f t="shared" si="3"/>
        <v>2023</v>
      </c>
      <c r="H30" s="199"/>
      <c r="I30" s="199"/>
      <c r="J30" s="198">
        <v>17915.0</v>
      </c>
      <c r="K30" s="202"/>
      <c r="L30" s="202"/>
      <c r="M30" s="202"/>
      <c r="N30" s="202"/>
      <c r="O30" s="202"/>
      <c r="P30" s="202"/>
      <c r="Q30" s="202"/>
      <c r="R30" s="202"/>
      <c r="S30" s="202"/>
      <c r="T30" s="202">
        <v>253497.0</v>
      </c>
      <c r="U30" s="198" t="s">
        <v>2712</v>
      </c>
      <c r="V30" s="198">
        <v>9.0</v>
      </c>
      <c r="W30" s="197"/>
      <c r="X30" s="197"/>
      <c r="Y30" s="199"/>
      <c r="Z30" s="199"/>
      <c r="AA30" s="204" t="str">
        <f t="shared" si="4"/>
        <v/>
      </c>
      <c r="AB30" s="198" t="s">
        <v>2720</v>
      </c>
      <c r="AC30" s="199"/>
      <c r="AD30" s="199"/>
      <c r="AE30" s="199"/>
      <c r="AF30" s="199"/>
      <c r="AG30" s="199"/>
      <c r="AH30" s="199"/>
      <c r="AI30" s="199"/>
      <c r="AJ30" s="199"/>
      <c r="AK30" s="199"/>
      <c r="AL30" s="199"/>
      <c r="AM30" s="199"/>
      <c r="AN30" s="197"/>
      <c r="AO30" s="197"/>
      <c r="AP30" s="197"/>
      <c r="AQ30" s="197"/>
      <c r="AR30" s="197"/>
      <c r="AS30" s="197"/>
    </row>
    <row r="31">
      <c r="A31" s="198" t="str">
        <f t="shared" si="1"/>
        <v>PP</v>
      </c>
      <c r="B31" s="198" t="s">
        <v>2747</v>
      </c>
      <c r="C31" s="198" t="s">
        <v>2713</v>
      </c>
      <c r="D31" s="199"/>
      <c r="E31" s="200">
        <v>44950.0</v>
      </c>
      <c r="F31" s="201">
        <f t="shared" si="2"/>
        <v>1</v>
      </c>
      <c r="G31" s="198">
        <f t="shared" si="3"/>
        <v>2023</v>
      </c>
      <c r="H31" s="199"/>
      <c r="I31" s="199"/>
      <c r="J31" s="198">
        <v>35000.0</v>
      </c>
      <c r="K31" s="202"/>
      <c r="L31" s="202"/>
      <c r="M31" s="202"/>
      <c r="N31" s="202"/>
      <c r="O31" s="202"/>
      <c r="P31" s="202"/>
      <c r="Q31" s="202"/>
      <c r="R31" s="202"/>
      <c r="S31" s="202"/>
      <c r="T31" s="202">
        <v>126000.0</v>
      </c>
      <c r="U31" s="198" t="s">
        <v>2712</v>
      </c>
      <c r="V31" s="198">
        <v>6.0</v>
      </c>
      <c r="W31" s="197"/>
      <c r="X31" s="197"/>
      <c r="Y31" s="199"/>
      <c r="Z31" s="199"/>
      <c r="AA31" s="204" t="str">
        <f t="shared" si="4"/>
        <v/>
      </c>
      <c r="AB31" s="198" t="s">
        <v>2720</v>
      </c>
      <c r="AC31" s="199"/>
      <c r="AD31" s="199"/>
      <c r="AE31" s="199"/>
      <c r="AF31" s="199"/>
      <c r="AG31" s="199"/>
      <c r="AH31" s="199"/>
      <c r="AI31" s="199"/>
      <c r="AJ31" s="199"/>
      <c r="AK31" s="199"/>
      <c r="AL31" s="199"/>
      <c r="AM31" s="199"/>
      <c r="AN31" s="197"/>
      <c r="AO31" s="197"/>
      <c r="AP31" s="197"/>
      <c r="AQ31" s="197"/>
      <c r="AR31" s="197"/>
      <c r="AS31" s="197"/>
    </row>
    <row r="32">
      <c r="A32" s="198" t="str">
        <f t="shared" si="1"/>
        <v>PP</v>
      </c>
      <c r="B32" s="198" t="s">
        <v>2748</v>
      </c>
      <c r="C32" s="198" t="s">
        <v>2713</v>
      </c>
      <c r="D32" s="199"/>
      <c r="E32" s="200">
        <v>44950.0</v>
      </c>
      <c r="F32" s="201">
        <f t="shared" si="2"/>
        <v>1</v>
      </c>
      <c r="G32" s="198">
        <f t="shared" si="3"/>
        <v>2023</v>
      </c>
      <c r="H32" s="199"/>
      <c r="I32" s="199"/>
      <c r="J32" s="198">
        <v>27000.0</v>
      </c>
      <c r="K32" s="202"/>
      <c r="L32" s="202"/>
      <c r="M32" s="202"/>
      <c r="N32" s="202"/>
      <c r="O32" s="202"/>
      <c r="P32" s="202"/>
      <c r="Q32" s="202"/>
      <c r="R32" s="202"/>
      <c r="S32" s="202"/>
      <c r="T32" s="202">
        <v>243000.0</v>
      </c>
      <c r="U32" s="198" t="s">
        <v>2712</v>
      </c>
      <c r="V32" s="198">
        <v>2.0</v>
      </c>
      <c r="W32" s="197"/>
      <c r="X32" s="197"/>
      <c r="Y32" s="199"/>
      <c r="Z32" s="199"/>
      <c r="AA32" s="204" t="str">
        <f t="shared" si="4"/>
        <v/>
      </c>
      <c r="AB32" s="198" t="s">
        <v>2749</v>
      </c>
      <c r="AC32" s="199"/>
      <c r="AD32" s="199"/>
      <c r="AE32" s="199"/>
      <c r="AF32" s="199"/>
      <c r="AG32" s="199"/>
      <c r="AH32" s="199"/>
      <c r="AI32" s="199"/>
      <c r="AJ32" s="199"/>
      <c r="AK32" s="199"/>
      <c r="AL32" s="199"/>
      <c r="AM32" s="199"/>
      <c r="AN32" s="197"/>
      <c r="AO32" s="197"/>
      <c r="AP32" s="197"/>
      <c r="AQ32" s="197"/>
      <c r="AR32" s="197"/>
      <c r="AS32" s="197"/>
    </row>
    <row r="33">
      <c r="A33" s="198" t="str">
        <f t="shared" si="1"/>
        <v>PP</v>
      </c>
      <c r="B33" s="198" t="s">
        <v>2750</v>
      </c>
      <c r="C33" s="198" t="s">
        <v>2713</v>
      </c>
      <c r="D33" s="199"/>
      <c r="E33" s="200">
        <v>44950.0</v>
      </c>
      <c r="F33" s="201">
        <f t="shared" si="2"/>
        <v>1</v>
      </c>
      <c r="G33" s="198">
        <f t="shared" si="3"/>
        <v>2023</v>
      </c>
      <c r="H33" s="199"/>
      <c r="I33" s="199"/>
      <c r="J33" s="198">
        <v>11688.0</v>
      </c>
      <c r="K33" s="202"/>
      <c r="L33" s="202"/>
      <c r="M33" s="202"/>
      <c r="N33" s="202"/>
      <c r="O33" s="202"/>
      <c r="P33" s="202"/>
      <c r="Q33" s="202"/>
      <c r="R33" s="202"/>
      <c r="S33" s="202"/>
      <c r="T33" s="202">
        <v>34947.0</v>
      </c>
      <c r="U33" s="198" t="s">
        <v>2712</v>
      </c>
      <c r="V33" s="198">
        <v>14.0</v>
      </c>
      <c r="W33" s="197"/>
      <c r="X33" s="197"/>
      <c r="Y33" s="199"/>
      <c r="Z33" s="199"/>
      <c r="AA33" s="204" t="str">
        <f t="shared" si="4"/>
        <v/>
      </c>
      <c r="AB33" s="198" t="s">
        <v>2720</v>
      </c>
      <c r="AC33" s="199"/>
      <c r="AD33" s="199"/>
      <c r="AE33" s="199"/>
      <c r="AF33" s="199"/>
      <c r="AG33" s="199"/>
      <c r="AH33" s="199"/>
      <c r="AI33" s="199"/>
      <c r="AJ33" s="199"/>
      <c r="AK33" s="199"/>
      <c r="AL33" s="199"/>
      <c r="AM33" s="199"/>
      <c r="AN33" s="197"/>
      <c r="AO33" s="197"/>
      <c r="AP33" s="197"/>
      <c r="AQ33" s="197"/>
      <c r="AR33" s="197"/>
      <c r="AS33" s="197"/>
    </row>
    <row r="34">
      <c r="A34" s="198" t="str">
        <f t="shared" si="1"/>
        <v>PP</v>
      </c>
      <c r="B34" s="198" t="s">
        <v>2751</v>
      </c>
      <c r="C34" s="198" t="s">
        <v>2713</v>
      </c>
      <c r="D34" s="199"/>
      <c r="E34" s="200">
        <v>44950.0</v>
      </c>
      <c r="F34" s="201">
        <f t="shared" si="2"/>
        <v>1</v>
      </c>
      <c r="G34" s="198">
        <f t="shared" si="3"/>
        <v>2023</v>
      </c>
      <c r="H34" s="199"/>
      <c r="I34" s="199"/>
      <c r="J34" s="198">
        <v>94790.0</v>
      </c>
      <c r="K34" s="202"/>
      <c r="L34" s="202"/>
      <c r="M34" s="202"/>
      <c r="N34" s="202"/>
      <c r="O34" s="202"/>
      <c r="P34" s="202"/>
      <c r="Q34" s="202"/>
      <c r="R34" s="202"/>
      <c r="S34" s="202"/>
      <c r="T34" s="202">
        <v>189643.0</v>
      </c>
      <c r="U34" s="198" t="s">
        <v>2712</v>
      </c>
      <c r="V34" s="198">
        <v>13.0</v>
      </c>
      <c r="W34" s="197"/>
      <c r="X34" s="197"/>
      <c r="Y34" s="199"/>
      <c r="Z34" s="199"/>
      <c r="AA34" s="204" t="str">
        <f t="shared" si="4"/>
        <v/>
      </c>
      <c r="AB34" s="198" t="s">
        <v>2720</v>
      </c>
      <c r="AC34" s="199"/>
      <c r="AD34" s="199"/>
      <c r="AE34" s="199"/>
      <c r="AF34" s="199"/>
      <c r="AG34" s="199"/>
      <c r="AH34" s="199"/>
      <c r="AI34" s="199"/>
      <c r="AJ34" s="199"/>
      <c r="AK34" s="199"/>
      <c r="AL34" s="199"/>
      <c r="AM34" s="199"/>
      <c r="AN34" s="197"/>
      <c r="AO34" s="197"/>
      <c r="AP34" s="197"/>
      <c r="AQ34" s="197"/>
      <c r="AR34" s="197"/>
      <c r="AS34" s="197"/>
    </row>
    <row r="35">
      <c r="A35" s="198" t="str">
        <f t="shared" si="1"/>
        <v>PP</v>
      </c>
      <c r="B35" s="198" t="s">
        <v>2752</v>
      </c>
      <c r="C35" s="198" t="s">
        <v>2713</v>
      </c>
      <c r="D35" s="199"/>
      <c r="E35" s="200">
        <v>44950.0</v>
      </c>
      <c r="F35" s="201">
        <f t="shared" si="2"/>
        <v>1</v>
      </c>
      <c r="G35" s="198">
        <f t="shared" si="3"/>
        <v>2023</v>
      </c>
      <c r="H35" s="199"/>
      <c r="I35" s="199"/>
      <c r="J35" s="198">
        <v>3043.0</v>
      </c>
      <c r="K35" s="202"/>
      <c r="L35" s="202"/>
      <c r="M35" s="202"/>
      <c r="N35" s="202"/>
      <c r="O35" s="202"/>
      <c r="P35" s="202"/>
      <c r="Q35" s="202"/>
      <c r="R35" s="202"/>
      <c r="S35" s="202"/>
      <c r="T35" s="202">
        <v>63599.0</v>
      </c>
      <c r="U35" s="198" t="s">
        <v>2712</v>
      </c>
      <c r="V35" s="198">
        <v>14.0</v>
      </c>
      <c r="W35" s="197"/>
      <c r="X35" s="197"/>
      <c r="Y35" s="199"/>
      <c r="Z35" s="199"/>
      <c r="AA35" s="204" t="str">
        <f t="shared" si="4"/>
        <v/>
      </c>
      <c r="AB35" s="198" t="s">
        <v>2720</v>
      </c>
      <c r="AC35" s="199"/>
      <c r="AD35" s="199"/>
      <c r="AE35" s="199"/>
      <c r="AF35" s="199"/>
      <c r="AG35" s="199"/>
      <c r="AH35" s="199"/>
      <c r="AI35" s="199"/>
      <c r="AJ35" s="199"/>
      <c r="AK35" s="199"/>
      <c r="AL35" s="199"/>
      <c r="AM35" s="199"/>
      <c r="AN35" s="197"/>
      <c r="AO35" s="197"/>
      <c r="AP35" s="197"/>
      <c r="AQ35" s="197"/>
      <c r="AR35" s="197"/>
      <c r="AS35" s="197"/>
    </row>
    <row r="36">
      <c r="A36" s="198" t="str">
        <f t="shared" si="1"/>
        <v>PP</v>
      </c>
      <c r="B36" s="198" t="s">
        <v>2753</v>
      </c>
      <c r="C36" s="198" t="s">
        <v>2713</v>
      </c>
      <c r="D36" s="199"/>
      <c r="E36" s="200">
        <v>44950.0</v>
      </c>
      <c r="F36" s="201">
        <f t="shared" si="2"/>
        <v>1</v>
      </c>
      <c r="G36" s="198">
        <f t="shared" si="3"/>
        <v>2023</v>
      </c>
      <c r="H36" s="199"/>
      <c r="I36" s="199"/>
      <c r="J36" s="198">
        <v>8706.0</v>
      </c>
      <c r="K36" s="202"/>
      <c r="L36" s="202"/>
      <c r="M36" s="202"/>
      <c r="N36" s="202"/>
      <c r="O36" s="202"/>
      <c r="P36" s="202"/>
      <c r="Q36" s="202"/>
      <c r="R36" s="202"/>
      <c r="S36" s="202"/>
      <c r="T36" s="202">
        <v>86973.0</v>
      </c>
      <c r="U36" s="198" t="s">
        <v>2712</v>
      </c>
      <c r="V36" s="198">
        <v>12.0</v>
      </c>
      <c r="W36" s="197"/>
      <c r="X36" s="197"/>
      <c r="Y36" s="199"/>
      <c r="Z36" s="199"/>
      <c r="AA36" s="204" t="str">
        <f t="shared" si="4"/>
        <v/>
      </c>
      <c r="AB36" s="198" t="s">
        <v>2720</v>
      </c>
      <c r="AC36" s="199"/>
      <c r="AD36" s="199"/>
      <c r="AE36" s="199"/>
      <c r="AF36" s="199"/>
      <c r="AG36" s="199"/>
      <c r="AH36" s="199"/>
      <c r="AI36" s="199"/>
      <c r="AJ36" s="199"/>
      <c r="AK36" s="199"/>
      <c r="AL36" s="199"/>
      <c r="AM36" s="199"/>
      <c r="AN36" s="197"/>
      <c r="AO36" s="197"/>
      <c r="AP36" s="197"/>
      <c r="AQ36" s="197"/>
      <c r="AR36" s="197"/>
      <c r="AS36" s="197"/>
    </row>
    <row r="37">
      <c r="A37" s="198" t="str">
        <f t="shared" si="1"/>
        <v>PP</v>
      </c>
      <c r="B37" s="198" t="s">
        <v>2754</v>
      </c>
      <c r="C37" s="198" t="s">
        <v>2713</v>
      </c>
      <c r="D37" s="199"/>
      <c r="E37" s="200">
        <v>44950.0</v>
      </c>
      <c r="F37" s="201">
        <f t="shared" si="2"/>
        <v>1</v>
      </c>
      <c r="G37" s="198">
        <f t="shared" si="3"/>
        <v>2023</v>
      </c>
      <c r="H37" s="199"/>
      <c r="I37" s="199"/>
      <c r="J37" s="198">
        <v>18840.0</v>
      </c>
      <c r="K37" s="202"/>
      <c r="L37" s="202"/>
      <c r="M37" s="202"/>
      <c r="N37" s="202"/>
      <c r="O37" s="202"/>
      <c r="P37" s="202"/>
      <c r="Q37" s="202"/>
      <c r="R37" s="202"/>
      <c r="S37" s="202"/>
      <c r="T37" s="202">
        <v>25164.0</v>
      </c>
      <c r="U37" s="198" t="s">
        <v>2712</v>
      </c>
      <c r="V37" s="198">
        <v>2.0</v>
      </c>
      <c r="W37" s="197"/>
      <c r="X37" s="197"/>
      <c r="Y37" s="199"/>
      <c r="Z37" s="199"/>
      <c r="AA37" s="204" t="str">
        <f t="shared" si="4"/>
        <v/>
      </c>
      <c r="AB37" s="198" t="s">
        <v>2720</v>
      </c>
      <c r="AC37" s="199"/>
      <c r="AD37" s="199"/>
      <c r="AE37" s="199"/>
      <c r="AF37" s="199"/>
      <c r="AG37" s="199"/>
      <c r="AH37" s="199"/>
      <c r="AI37" s="199"/>
      <c r="AJ37" s="199"/>
      <c r="AK37" s="199"/>
      <c r="AL37" s="199"/>
      <c r="AM37" s="199"/>
      <c r="AN37" s="197"/>
      <c r="AO37" s="197"/>
      <c r="AP37" s="197"/>
      <c r="AQ37" s="197"/>
      <c r="AR37" s="197"/>
      <c r="AS37" s="197"/>
    </row>
    <row r="38">
      <c r="A38" s="198" t="str">
        <f t="shared" si="1"/>
        <v>PP</v>
      </c>
      <c r="B38" s="198" t="s">
        <v>2755</v>
      </c>
      <c r="C38" s="198" t="s">
        <v>2713</v>
      </c>
      <c r="D38" s="199"/>
      <c r="E38" s="200">
        <v>44950.0</v>
      </c>
      <c r="F38" s="201">
        <f t="shared" si="2"/>
        <v>1</v>
      </c>
      <c r="G38" s="198">
        <f t="shared" si="3"/>
        <v>2023</v>
      </c>
      <c r="H38" s="199"/>
      <c r="I38" s="199"/>
      <c r="J38" s="198">
        <v>12280.0</v>
      </c>
      <c r="K38" s="202"/>
      <c r="L38" s="202"/>
      <c r="M38" s="202"/>
      <c r="N38" s="202"/>
      <c r="O38" s="202"/>
      <c r="P38" s="202"/>
      <c r="Q38" s="202"/>
      <c r="R38" s="202"/>
      <c r="S38" s="202"/>
      <c r="T38" s="202">
        <v>592380.0</v>
      </c>
      <c r="U38" s="198" t="s">
        <v>2712</v>
      </c>
      <c r="V38" s="198">
        <v>18.0</v>
      </c>
      <c r="W38" s="197"/>
      <c r="X38" s="197"/>
      <c r="Y38" s="199"/>
      <c r="Z38" s="199"/>
      <c r="AA38" s="204" t="str">
        <f t="shared" si="4"/>
        <v/>
      </c>
      <c r="AB38" s="198" t="s">
        <v>2720</v>
      </c>
      <c r="AC38" s="199"/>
      <c r="AD38" s="199"/>
      <c r="AE38" s="199"/>
      <c r="AF38" s="199"/>
      <c r="AG38" s="199"/>
      <c r="AH38" s="199"/>
      <c r="AI38" s="199"/>
      <c r="AJ38" s="199"/>
      <c r="AK38" s="199"/>
      <c r="AL38" s="199"/>
      <c r="AM38" s="199"/>
      <c r="AN38" s="197"/>
      <c r="AO38" s="197"/>
      <c r="AP38" s="197"/>
      <c r="AQ38" s="197"/>
      <c r="AR38" s="197"/>
      <c r="AS38" s="197"/>
    </row>
    <row r="39">
      <c r="A39" s="198" t="str">
        <f t="shared" si="1"/>
        <v>PP</v>
      </c>
      <c r="B39" s="198" t="s">
        <v>2756</v>
      </c>
      <c r="C39" s="198" t="s">
        <v>966</v>
      </c>
      <c r="D39" s="199"/>
      <c r="E39" s="200">
        <v>44950.0</v>
      </c>
      <c r="F39" s="201">
        <f t="shared" si="2"/>
        <v>1</v>
      </c>
      <c r="G39" s="198">
        <f t="shared" si="3"/>
        <v>2023</v>
      </c>
      <c r="H39" s="199"/>
      <c r="I39" s="199"/>
      <c r="J39" s="198">
        <v>86954.0</v>
      </c>
      <c r="K39" s="202"/>
      <c r="L39" s="202"/>
      <c r="M39" s="202"/>
      <c r="N39" s="202"/>
      <c r="O39" s="202"/>
      <c r="P39" s="202"/>
      <c r="Q39" s="202"/>
      <c r="R39" s="202"/>
      <c r="S39" s="202"/>
      <c r="T39" s="202">
        <v>68406.0</v>
      </c>
      <c r="U39" s="198" t="s">
        <v>2712</v>
      </c>
      <c r="V39" s="198">
        <v>13.0</v>
      </c>
      <c r="W39" s="197"/>
      <c r="X39" s="197"/>
      <c r="Y39" s="199"/>
      <c r="Z39" s="199"/>
      <c r="AA39" s="204" t="str">
        <f t="shared" si="4"/>
        <v/>
      </c>
      <c r="AB39" s="198" t="s">
        <v>2720</v>
      </c>
      <c r="AC39" s="199"/>
      <c r="AD39" s="199"/>
      <c r="AE39" s="199"/>
      <c r="AF39" s="199"/>
      <c r="AG39" s="199"/>
      <c r="AH39" s="199"/>
      <c r="AI39" s="199"/>
      <c r="AJ39" s="199"/>
      <c r="AK39" s="199"/>
      <c r="AL39" s="199"/>
      <c r="AM39" s="199"/>
      <c r="AN39" s="197"/>
      <c r="AO39" s="197"/>
      <c r="AP39" s="197"/>
      <c r="AQ39" s="197"/>
      <c r="AR39" s="197"/>
      <c r="AS39" s="197"/>
    </row>
    <row r="40">
      <c r="A40" s="198" t="str">
        <f t="shared" si="1"/>
        <v>PP</v>
      </c>
      <c r="B40" s="198" t="s">
        <v>2757</v>
      </c>
      <c r="C40" s="198" t="s">
        <v>2713</v>
      </c>
      <c r="D40" s="199"/>
      <c r="E40" s="200">
        <v>44950.0</v>
      </c>
      <c r="F40" s="201">
        <f t="shared" si="2"/>
        <v>1</v>
      </c>
      <c r="G40" s="198">
        <f t="shared" si="3"/>
        <v>2023</v>
      </c>
      <c r="H40" s="199"/>
      <c r="I40" s="199"/>
      <c r="J40" s="198">
        <v>53042.0</v>
      </c>
      <c r="K40" s="202"/>
      <c r="L40" s="202"/>
      <c r="M40" s="202"/>
      <c r="N40" s="202"/>
      <c r="O40" s="202"/>
      <c r="P40" s="202"/>
      <c r="Q40" s="202"/>
      <c r="R40" s="202"/>
      <c r="S40" s="202"/>
      <c r="T40" s="202">
        <v>540576.0</v>
      </c>
      <c r="U40" s="198" t="s">
        <v>2712</v>
      </c>
      <c r="V40" s="198">
        <v>34.0</v>
      </c>
      <c r="W40" s="197"/>
      <c r="X40" s="197"/>
      <c r="Y40" s="199"/>
      <c r="Z40" s="199"/>
      <c r="AA40" s="204" t="str">
        <f t="shared" si="4"/>
        <v/>
      </c>
      <c r="AB40" s="198" t="s">
        <v>2720</v>
      </c>
      <c r="AC40" s="199"/>
      <c r="AD40" s="199"/>
      <c r="AE40" s="199"/>
      <c r="AF40" s="199"/>
      <c r="AG40" s="199"/>
      <c r="AH40" s="199"/>
      <c r="AI40" s="199"/>
      <c r="AJ40" s="199"/>
      <c r="AK40" s="199"/>
      <c r="AL40" s="199"/>
      <c r="AM40" s="199"/>
      <c r="AN40" s="197"/>
      <c r="AO40" s="197"/>
      <c r="AP40" s="197"/>
      <c r="AQ40" s="197"/>
      <c r="AR40" s="197"/>
      <c r="AS40" s="197"/>
    </row>
    <row r="41">
      <c r="A41" s="198" t="str">
        <f t="shared" si="1"/>
        <v>PP</v>
      </c>
      <c r="B41" s="198" t="s">
        <v>2758</v>
      </c>
      <c r="C41" s="198" t="s">
        <v>2759</v>
      </c>
      <c r="D41" s="199"/>
      <c r="E41" s="200">
        <v>44950.0</v>
      </c>
      <c r="F41" s="201">
        <f t="shared" si="2"/>
        <v>1</v>
      </c>
      <c r="G41" s="198">
        <f t="shared" si="3"/>
        <v>2023</v>
      </c>
      <c r="H41" s="199"/>
      <c r="I41" s="199"/>
      <c r="J41" s="198">
        <v>317814.0</v>
      </c>
      <c r="K41" s="202"/>
      <c r="L41" s="202"/>
      <c r="M41" s="202"/>
      <c r="N41" s="202"/>
      <c r="O41" s="202"/>
      <c r="P41" s="202"/>
      <c r="Q41" s="202"/>
      <c r="R41" s="202"/>
      <c r="S41" s="202"/>
      <c r="T41" s="202">
        <v>860997.0</v>
      </c>
      <c r="U41" s="206" t="s">
        <v>3026</v>
      </c>
      <c r="V41" s="198">
        <v>33.0</v>
      </c>
      <c r="W41" s="197"/>
      <c r="X41" s="197"/>
      <c r="Y41" s="199"/>
      <c r="Z41" s="199"/>
      <c r="AA41" s="204" t="str">
        <f t="shared" si="4"/>
        <v/>
      </c>
      <c r="AB41" s="198" t="s">
        <v>2730</v>
      </c>
      <c r="AC41" s="199"/>
      <c r="AD41" s="199"/>
      <c r="AE41" s="199"/>
      <c r="AF41" s="199"/>
      <c r="AG41" s="199"/>
      <c r="AH41" s="199"/>
      <c r="AI41" s="199"/>
      <c r="AJ41" s="199"/>
      <c r="AK41" s="199"/>
      <c r="AL41" s="199"/>
      <c r="AM41" s="199"/>
      <c r="AN41" s="197"/>
      <c r="AO41" s="197"/>
      <c r="AP41" s="197"/>
      <c r="AQ41" s="197"/>
      <c r="AR41" s="197"/>
      <c r="AS41" s="197"/>
    </row>
    <row r="42">
      <c r="A42" s="198" t="str">
        <f t="shared" si="1"/>
        <v>PP</v>
      </c>
      <c r="B42" s="198" t="s">
        <v>2760</v>
      </c>
      <c r="C42" s="198" t="s">
        <v>2761</v>
      </c>
      <c r="D42" s="199"/>
      <c r="E42" s="200">
        <v>44950.0</v>
      </c>
      <c r="F42" s="201">
        <f t="shared" si="2"/>
        <v>1</v>
      </c>
      <c r="G42" s="198">
        <f t="shared" si="3"/>
        <v>2023</v>
      </c>
      <c r="H42" s="199"/>
      <c r="I42" s="199"/>
      <c r="J42" s="198">
        <v>78915.0</v>
      </c>
      <c r="K42" s="202"/>
      <c r="L42" s="202"/>
      <c r="M42" s="202"/>
      <c r="N42" s="202"/>
      <c r="O42" s="202"/>
      <c r="P42" s="202"/>
      <c r="Q42" s="202"/>
      <c r="R42" s="202"/>
      <c r="S42" s="202"/>
      <c r="T42" s="202">
        <v>292711.0</v>
      </c>
      <c r="U42" s="205" t="s">
        <v>3026</v>
      </c>
      <c r="V42" s="198">
        <v>4.0</v>
      </c>
      <c r="W42" s="197"/>
      <c r="X42" s="197"/>
      <c r="Y42" s="199"/>
      <c r="Z42" s="199"/>
      <c r="AA42" s="204" t="str">
        <f t="shared" si="4"/>
        <v/>
      </c>
      <c r="AB42" s="198" t="s">
        <v>2730</v>
      </c>
      <c r="AC42" s="199"/>
      <c r="AD42" s="199"/>
      <c r="AE42" s="199"/>
      <c r="AF42" s="199"/>
      <c r="AG42" s="199"/>
      <c r="AH42" s="199"/>
      <c r="AI42" s="199"/>
      <c r="AJ42" s="199"/>
      <c r="AK42" s="199"/>
      <c r="AL42" s="199"/>
      <c r="AM42" s="199"/>
      <c r="AN42" s="197"/>
      <c r="AO42" s="197"/>
      <c r="AP42" s="197"/>
      <c r="AQ42" s="197"/>
      <c r="AR42" s="197"/>
      <c r="AS42" s="197"/>
    </row>
    <row r="43">
      <c r="A43" s="198" t="str">
        <f t="shared" si="1"/>
        <v>PP</v>
      </c>
      <c r="B43" s="198" t="s">
        <v>2762</v>
      </c>
      <c r="C43" s="198" t="s">
        <v>2763</v>
      </c>
      <c r="D43" s="199"/>
      <c r="E43" s="200">
        <v>44965.0</v>
      </c>
      <c r="F43" s="201">
        <f t="shared" si="2"/>
        <v>2</v>
      </c>
      <c r="G43" s="198">
        <f t="shared" si="3"/>
        <v>2023</v>
      </c>
      <c r="H43" s="199"/>
      <c r="I43" s="199"/>
      <c r="J43" s="198">
        <v>35975.0</v>
      </c>
      <c r="K43" s="202"/>
      <c r="L43" s="202"/>
      <c r="M43" s="202"/>
      <c r="N43" s="202"/>
      <c r="O43" s="202"/>
      <c r="P43" s="202"/>
      <c r="Q43" s="202"/>
      <c r="R43" s="202"/>
      <c r="S43" s="202"/>
      <c r="T43" s="202">
        <v>105762.0</v>
      </c>
      <c r="U43" s="206" t="s">
        <v>3026</v>
      </c>
      <c r="V43" s="198">
        <v>7.0</v>
      </c>
      <c r="W43" s="197"/>
      <c r="X43" s="197"/>
      <c r="Y43" s="199"/>
      <c r="Z43" s="199"/>
      <c r="AA43" s="204" t="str">
        <f t="shared" si="4"/>
        <v/>
      </c>
      <c r="AB43" s="198" t="s">
        <v>2749</v>
      </c>
      <c r="AC43" s="199"/>
      <c r="AD43" s="199"/>
      <c r="AE43" s="199"/>
      <c r="AF43" s="199"/>
      <c r="AG43" s="199"/>
      <c r="AH43" s="199"/>
      <c r="AI43" s="199"/>
      <c r="AJ43" s="199"/>
      <c r="AK43" s="199"/>
      <c r="AL43" s="199"/>
      <c r="AM43" s="199"/>
      <c r="AN43" s="197"/>
      <c r="AO43" s="197"/>
      <c r="AP43" s="197"/>
      <c r="AQ43" s="197"/>
      <c r="AR43" s="197"/>
      <c r="AS43" s="197"/>
    </row>
    <row r="44">
      <c r="A44" s="198" t="str">
        <f t="shared" si="1"/>
        <v>PP</v>
      </c>
      <c r="B44" s="198" t="s">
        <v>2764</v>
      </c>
      <c r="C44" s="198" t="s">
        <v>81</v>
      </c>
      <c r="D44" s="199"/>
      <c r="E44" s="200">
        <v>44928.0</v>
      </c>
      <c r="F44" s="201">
        <f t="shared" si="2"/>
        <v>1</v>
      </c>
      <c r="G44" s="198">
        <f t="shared" si="3"/>
        <v>2023</v>
      </c>
      <c r="H44" s="199"/>
      <c r="I44" s="199"/>
      <c r="J44" s="198">
        <v>68419.0</v>
      </c>
      <c r="K44" s="202"/>
      <c r="L44" s="202"/>
      <c r="M44" s="202"/>
      <c r="N44" s="202"/>
      <c r="O44" s="202"/>
      <c r="P44" s="202"/>
      <c r="Q44" s="202"/>
      <c r="R44" s="202"/>
      <c r="S44" s="202"/>
      <c r="T44" s="202">
        <v>708732.0</v>
      </c>
      <c r="U44" s="205" t="s">
        <v>3026</v>
      </c>
      <c r="V44" s="198">
        <v>29.0</v>
      </c>
      <c r="W44" s="197"/>
      <c r="X44" s="197"/>
      <c r="Y44" s="199"/>
      <c r="Z44" s="199"/>
      <c r="AA44" s="204" t="str">
        <f t="shared" si="4"/>
        <v/>
      </c>
      <c r="AB44" s="198" t="s">
        <v>2720</v>
      </c>
      <c r="AC44" s="199"/>
      <c r="AD44" s="199"/>
      <c r="AE44" s="199"/>
      <c r="AF44" s="199"/>
      <c r="AG44" s="199"/>
      <c r="AH44" s="199"/>
      <c r="AI44" s="199"/>
      <c r="AJ44" s="199"/>
      <c r="AK44" s="199"/>
      <c r="AL44" s="199"/>
      <c r="AM44" s="199"/>
      <c r="AN44" s="197"/>
      <c r="AO44" s="197"/>
      <c r="AP44" s="197"/>
      <c r="AQ44" s="197"/>
      <c r="AR44" s="197"/>
      <c r="AS44" s="197"/>
    </row>
    <row r="45">
      <c r="A45" s="198" t="str">
        <f t="shared" si="1"/>
        <v>PP</v>
      </c>
      <c r="B45" s="198" t="s">
        <v>2765</v>
      </c>
      <c r="C45" s="198" t="s">
        <v>81</v>
      </c>
      <c r="D45" s="199"/>
      <c r="E45" s="200">
        <v>44928.0</v>
      </c>
      <c r="F45" s="201">
        <f t="shared" si="2"/>
        <v>1</v>
      </c>
      <c r="G45" s="198">
        <f t="shared" si="3"/>
        <v>2023</v>
      </c>
      <c r="H45" s="199"/>
      <c r="I45" s="199"/>
      <c r="J45" s="198">
        <v>124670.0</v>
      </c>
      <c r="K45" s="202"/>
      <c r="L45" s="202"/>
      <c r="M45" s="202"/>
      <c r="N45" s="202"/>
      <c r="O45" s="202"/>
      <c r="P45" s="202"/>
      <c r="Q45" s="202"/>
      <c r="R45" s="202"/>
      <c r="S45" s="202"/>
      <c r="T45" s="202">
        <v>2005763.0</v>
      </c>
      <c r="U45" s="206" t="s">
        <v>3026</v>
      </c>
      <c r="V45" s="198">
        <v>21.0</v>
      </c>
      <c r="W45" s="197"/>
      <c r="X45" s="197"/>
      <c r="Y45" s="199"/>
      <c r="Z45" s="199"/>
      <c r="AA45" s="204" t="str">
        <f t="shared" si="4"/>
        <v/>
      </c>
      <c r="AB45" s="198" t="s">
        <v>38</v>
      </c>
      <c r="AC45" s="199"/>
      <c r="AD45" s="199"/>
      <c r="AE45" s="199"/>
      <c r="AF45" s="199"/>
      <c r="AG45" s="199"/>
      <c r="AH45" s="199"/>
      <c r="AI45" s="199"/>
      <c r="AJ45" s="199"/>
      <c r="AK45" s="199"/>
      <c r="AL45" s="199"/>
      <c r="AM45" s="199"/>
      <c r="AN45" s="197"/>
      <c r="AO45" s="197"/>
      <c r="AP45" s="197"/>
      <c r="AQ45" s="197"/>
      <c r="AR45" s="197"/>
      <c r="AS45" s="197"/>
    </row>
    <row r="46">
      <c r="A46" s="198" t="str">
        <f t="shared" si="1"/>
        <v>PP</v>
      </c>
      <c r="B46" s="198" t="s">
        <v>2766</v>
      </c>
      <c r="C46" s="198" t="s">
        <v>81</v>
      </c>
      <c r="D46" s="199"/>
      <c r="E46" s="200">
        <v>44962.0</v>
      </c>
      <c r="F46" s="201">
        <f t="shared" si="2"/>
        <v>2</v>
      </c>
      <c r="G46" s="198">
        <f t="shared" si="3"/>
        <v>2023</v>
      </c>
      <c r="H46" s="199"/>
      <c r="I46" s="199"/>
      <c r="J46" s="198">
        <v>29100.0</v>
      </c>
      <c r="K46" s="202"/>
      <c r="L46" s="202"/>
      <c r="M46" s="202"/>
      <c r="N46" s="202"/>
      <c r="O46" s="202"/>
      <c r="P46" s="202"/>
      <c r="Q46" s="202"/>
      <c r="R46" s="202"/>
      <c r="S46" s="202"/>
      <c r="T46" s="202">
        <v>490785.0</v>
      </c>
      <c r="U46" s="205" t="s">
        <v>3026</v>
      </c>
      <c r="V46" s="198">
        <v>11.0</v>
      </c>
      <c r="W46" s="197"/>
      <c r="X46" s="197"/>
      <c r="Y46" s="199"/>
      <c r="Z46" s="199"/>
      <c r="AA46" s="204" t="str">
        <f t="shared" si="4"/>
        <v/>
      </c>
      <c r="AB46" s="198" t="s">
        <v>2730</v>
      </c>
      <c r="AC46" s="199"/>
      <c r="AD46" s="199"/>
      <c r="AE46" s="199"/>
      <c r="AF46" s="199"/>
      <c r="AG46" s="199"/>
      <c r="AH46" s="199"/>
      <c r="AI46" s="199"/>
      <c r="AJ46" s="199"/>
      <c r="AK46" s="199"/>
      <c r="AL46" s="199"/>
      <c r="AM46" s="199"/>
      <c r="AN46" s="197"/>
      <c r="AO46" s="197"/>
      <c r="AP46" s="197"/>
      <c r="AQ46" s="197"/>
      <c r="AR46" s="197"/>
      <c r="AS46" s="197"/>
    </row>
    <row r="47">
      <c r="A47" s="198" t="str">
        <f t="shared" si="1"/>
        <v>PP</v>
      </c>
      <c r="B47" s="198" t="s">
        <v>2767</v>
      </c>
      <c r="C47" s="198" t="s">
        <v>2768</v>
      </c>
      <c r="D47" s="199"/>
      <c r="E47" s="200">
        <v>44965.0</v>
      </c>
      <c r="F47" s="201">
        <f t="shared" si="2"/>
        <v>2</v>
      </c>
      <c r="G47" s="198">
        <f t="shared" si="3"/>
        <v>2023</v>
      </c>
      <c r="H47" s="199"/>
      <c r="I47" s="199"/>
      <c r="J47" s="198">
        <v>86999.0</v>
      </c>
      <c r="K47" s="202"/>
      <c r="L47" s="202"/>
      <c r="M47" s="202"/>
      <c r="N47" s="202"/>
      <c r="O47" s="202"/>
      <c r="P47" s="202"/>
      <c r="Q47" s="202"/>
      <c r="R47" s="202"/>
      <c r="S47" s="202"/>
      <c r="T47" s="202">
        <v>363516.0</v>
      </c>
      <c r="U47" s="206" t="s">
        <v>3026</v>
      </c>
      <c r="V47" s="198">
        <v>25.0</v>
      </c>
      <c r="W47" s="197"/>
      <c r="X47" s="197"/>
      <c r="Y47" s="199"/>
      <c r="Z47" s="199"/>
      <c r="AA47" s="204" t="str">
        <f t="shared" si="4"/>
        <v/>
      </c>
      <c r="AB47" s="198" t="s">
        <v>2749</v>
      </c>
      <c r="AC47" s="199"/>
      <c r="AD47" s="199"/>
      <c r="AE47" s="199"/>
      <c r="AF47" s="199"/>
      <c r="AG47" s="199"/>
      <c r="AH47" s="199"/>
      <c r="AI47" s="199"/>
      <c r="AJ47" s="199"/>
      <c r="AK47" s="199"/>
      <c r="AL47" s="199"/>
      <c r="AM47" s="199"/>
      <c r="AN47" s="197"/>
      <c r="AO47" s="197"/>
      <c r="AP47" s="197"/>
      <c r="AQ47" s="197"/>
      <c r="AR47" s="197"/>
      <c r="AS47" s="197"/>
    </row>
    <row r="48">
      <c r="A48" s="198" t="str">
        <f t="shared" si="1"/>
        <v>PP</v>
      </c>
      <c r="B48" s="198" t="s">
        <v>2769</v>
      </c>
      <c r="C48" s="198" t="s">
        <v>473</v>
      </c>
      <c r="D48" s="199"/>
      <c r="E48" s="200">
        <v>44972.0</v>
      </c>
      <c r="F48" s="201">
        <f t="shared" si="2"/>
        <v>2</v>
      </c>
      <c r="G48" s="198">
        <f t="shared" si="3"/>
        <v>2023</v>
      </c>
      <c r="H48" s="199"/>
      <c r="I48" s="199"/>
      <c r="J48" s="198">
        <v>99649.0</v>
      </c>
      <c r="K48" s="202"/>
      <c r="L48" s="202"/>
      <c r="M48" s="202"/>
      <c r="N48" s="202"/>
      <c r="O48" s="202"/>
      <c r="P48" s="202"/>
      <c r="Q48" s="202"/>
      <c r="R48" s="202"/>
      <c r="S48" s="202"/>
      <c r="T48" s="202">
        <v>412973.0</v>
      </c>
      <c r="U48" s="198" t="s">
        <v>2710</v>
      </c>
      <c r="V48" s="198">
        <v>49.0</v>
      </c>
      <c r="W48" s="197"/>
      <c r="X48" s="197"/>
      <c r="Y48" s="199"/>
      <c r="Z48" s="199"/>
      <c r="AA48" s="204" t="str">
        <f t="shared" si="4"/>
        <v/>
      </c>
      <c r="AB48" s="198" t="s">
        <v>38</v>
      </c>
      <c r="AC48" s="199"/>
      <c r="AD48" s="199"/>
      <c r="AE48" s="199"/>
      <c r="AF48" s="199"/>
      <c r="AG48" s="199"/>
      <c r="AH48" s="199"/>
      <c r="AI48" s="199"/>
      <c r="AJ48" s="199"/>
      <c r="AK48" s="199"/>
      <c r="AL48" s="199"/>
      <c r="AM48" s="199"/>
      <c r="AN48" s="197"/>
      <c r="AO48" s="197"/>
      <c r="AP48" s="197"/>
      <c r="AQ48" s="197"/>
      <c r="AR48" s="197"/>
      <c r="AS48" s="197"/>
    </row>
    <row r="49">
      <c r="A49" s="198" t="str">
        <f t="shared" si="1"/>
        <v>PP</v>
      </c>
      <c r="B49" s="198" t="s">
        <v>2770</v>
      </c>
      <c r="C49" s="198" t="s">
        <v>473</v>
      </c>
      <c r="D49" s="199"/>
      <c r="E49" s="200">
        <v>44972.0</v>
      </c>
      <c r="F49" s="201">
        <f t="shared" si="2"/>
        <v>2</v>
      </c>
      <c r="G49" s="198">
        <f t="shared" si="3"/>
        <v>2023</v>
      </c>
      <c r="H49" s="199"/>
      <c r="I49" s="199"/>
      <c r="J49" s="198">
        <v>540.0</v>
      </c>
      <c r="K49" s="202"/>
      <c r="L49" s="202"/>
      <c r="M49" s="202"/>
      <c r="N49" s="202"/>
      <c r="O49" s="202"/>
      <c r="P49" s="202"/>
      <c r="Q49" s="202"/>
      <c r="R49" s="202"/>
      <c r="S49" s="202"/>
      <c r="T49" s="202">
        <v>75030.0</v>
      </c>
      <c r="U49" s="198" t="s">
        <v>2710</v>
      </c>
      <c r="V49" s="198">
        <v>21.0</v>
      </c>
      <c r="W49" s="197"/>
      <c r="X49" s="197"/>
      <c r="Y49" s="199"/>
      <c r="Z49" s="199"/>
      <c r="AA49" s="204" t="str">
        <f t="shared" si="4"/>
        <v/>
      </c>
      <c r="AB49" s="198" t="s">
        <v>38</v>
      </c>
      <c r="AC49" s="199"/>
      <c r="AD49" s="199"/>
      <c r="AE49" s="199"/>
      <c r="AF49" s="199"/>
      <c r="AG49" s="199"/>
      <c r="AH49" s="199"/>
      <c r="AI49" s="199"/>
      <c r="AJ49" s="199"/>
      <c r="AK49" s="199"/>
      <c r="AL49" s="199"/>
      <c r="AM49" s="199"/>
      <c r="AN49" s="197"/>
      <c r="AO49" s="197"/>
      <c r="AP49" s="197"/>
      <c r="AQ49" s="197"/>
      <c r="AR49" s="197"/>
      <c r="AS49" s="197"/>
    </row>
    <row r="50">
      <c r="A50" s="198" t="str">
        <f t="shared" si="1"/>
        <v>PP</v>
      </c>
      <c r="B50" s="198" t="s">
        <v>2771</v>
      </c>
      <c r="C50" s="198" t="s">
        <v>26</v>
      </c>
      <c r="D50" s="199"/>
      <c r="E50" s="200">
        <v>44978.0</v>
      </c>
      <c r="F50" s="201">
        <f t="shared" si="2"/>
        <v>2</v>
      </c>
      <c r="G50" s="198">
        <f t="shared" si="3"/>
        <v>2023</v>
      </c>
      <c r="H50" s="199"/>
      <c r="I50" s="199"/>
      <c r="J50" s="198">
        <v>20794.0</v>
      </c>
      <c r="K50" s="202"/>
      <c r="L50" s="202"/>
      <c r="M50" s="202"/>
      <c r="N50" s="202"/>
      <c r="O50" s="202"/>
      <c r="P50" s="202"/>
      <c r="Q50" s="202"/>
      <c r="R50" s="202"/>
      <c r="S50" s="202"/>
      <c r="T50" s="202">
        <v>405306.0</v>
      </c>
      <c r="U50" s="205" t="s">
        <v>3026</v>
      </c>
      <c r="V50" s="198">
        <v>36.0</v>
      </c>
      <c r="W50" s="197"/>
      <c r="X50" s="197"/>
      <c r="Y50" s="199"/>
      <c r="Z50" s="199"/>
      <c r="AA50" s="204" t="str">
        <f t="shared" si="4"/>
        <v/>
      </c>
      <c r="AB50" s="198" t="s">
        <v>2730</v>
      </c>
      <c r="AC50" s="199"/>
      <c r="AD50" s="199"/>
      <c r="AE50" s="199"/>
      <c r="AF50" s="199"/>
      <c r="AG50" s="199"/>
      <c r="AH50" s="199"/>
      <c r="AI50" s="199"/>
      <c r="AJ50" s="199"/>
      <c r="AK50" s="199"/>
      <c r="AL50" s="199"/>
      <c r="AM50" s="199"/>
      <c r="AN50" s="197"/>
      <c r="AO50" s="197"/>
      <c r="AP50" s="197"/>
      <c r="AQ50" s="197"/>
      <c r="AR50" s="197"/>
      <c r="AS50" s="197"/>
    </row>
    <row r="51">
      <c r="A51" s="198" t="str">
        <f t="shared" si="1"/>
        <v>PP</v>
      </c>
      <c r="B51" s="198" t="s">
        <v>2772</v>
      </c>
      <c r="C51" s="198" t="s">
        <v>473</v>
      </c>
      <c r="D51" s="199"/>
      <c r="E51" s="200">
        <v>44997.0</v>
      </c>
      <c r="F51" s="201">
        <f t="shared" si="2"/>
        <v>3</v>
      </c>
      <c r="G51" s="198">
        <f t="shared" si="3"/>
        <v>2023</v>
      </c>
      <c r="H51" s="199"/>
      <c r="I51" s="199"/>
      <c r="J51" s="198">
        <v>156221.0</v>
      </c>
      <c r="K51" s="202"/>
      <c r="L51" s="202"/>
      <c r="M51" s="202"/>
      <c r="N51" s="202"/>
      <c r="O51" s="202"/>
      <c r="P51" s="202"/>
      <c r="Q51" s="202"/>
      <c r="R51" s="202"/>
      <c r="S51" s="202"/>
      <c r="T51" s="202">
        <v>678899.0</v>
      </c>
      <c r="U51" s="198" t="s">
        <v>2710</v>
      </c>
      <c r="V51" s="198">
        <v>62.0</v>
      </c>
      <c r="W51" s="197"/>
      <c r="X51" s="197"/>
      <c r="Y51" s="199"/>
      <c r="Z51" s="199"/>
      <c r="AA51" s="204" t="str">
        <f t="shared" si="4"/>
        <v/>
      </c>
      <c r="AB51" s="198" t="s">
        <v>38</v>
      </c>
      <c r="AC51" s="199"/>
      <c r="AD51" s="199"/>
      <c r="AE51" s="199"/>
      <c r="AF51" s="199"/>
      <c r="AG51" s="199"/>
      <c r="AH51" s="199"/>
      <c r="AI51" s="199"/>
      <c r="AJ51" s="199"/>
      <c r="AK51" s="199"/>
      <c r="AL51" s="199"/>
      <c r="AM51" s="199"/>
      <c r="AN51" s="197"/>
      <c r="AO51" s="197"/>
      <c r="AP51" s="197"/>
      <c r="AQ51" s="197"/>
      <c r="AR51" s="197"/>
      <c r="AS51" s="197"/>
    </row>
    <row r="52">
      <c r="A52" s="198" t="str">
        <f t="shared" si="1"/>
        <v>PP</v>
      </c>
      <c r="B52" s="198" t="s">
        <v>2773</v>
      </c>
      <c r="C52" s="198" t="s">
        <v>2774</v>
      </c>
      <c r="D52" s="199"/>
      <c r="E52" s="200">
        <v>44962.0</v>
      </c>
      <c r="F52" s="201">
        <v>5.0</v>
      </c>
      <c r="G52" s="198">
        <f t="shared" si="3"/>
        <v>2023</v>
      </c>
      <c r="H52" s="199"/>
      <c r="I52" s="199"/>
      <c r="J52" s="199"/>
      <c r="K52" s="202"/>
      <c r="L52" s="202"/>
      <c r="M52" s="202"/>
      <c r="N52" s="202"/>
      <c r="O52" s="202"/>
      <c r="P52" s="202"/>
      <c r="Q52" s="202"/>
      <c r="R52" s="202"/>
      <c r="S52" s="202"/>
      <c r="T52" s="202">
        <v>288000.0</v>
      </c>
      <c r="U52" s="198" t="s">
        <v>2712</v>
      </c>
      <c r="V52" s="199"/>
      <c r="W52" s="197"/>
      <c r="X52" s="197"/>
      <c r="Y52" s="199"/>
      <c r="Z52" s="199"/>
      <c r="AA52" s="204" t="str">
        <f t="shared" si="4"/>
        <v/>
      </c>
      <c r="AB52" s="198" t="s">
        <v>38</v>
      </c>
      <c r="AC52" s="199"/>
      <c r="AD52" s="199"/>
      <c r="AE52" s="199"/>
      <c r="AF52" s="199"/>
      <c r="AG52" s="199"/>
      <c r="AH52" s="199"/>
      <c r="AI52" s="199"/>
      <c r="AJ52" s="199"/>
      <c r="AK52" s="199"/>
      <c r="AL52" s="199"/>
      <c r="AM52" s="198" t="s">
        <v>2775</v>
      </c>
      <c r="AN52" s="197"/>
      <c r="AO52" s="197"/>
      <c r="AP52" s="197"/>
      <c r="AQ52" s="197"/>
      <c r="AR52" s="197"/>
      <c r="AS52" s="197"/>
    </row>
    <row r="53">
      <c r="A53" s="198" t="str">
        <f t="shared" si="1"/>
        <v>PP</v>
      </c>
      <c r="B53" s="198" t="s">
        <v>2776</v>
      </c>
      <c r="C53" s="198" t="s">
        <v>2759</v>
      </c>
      <c r="D53" s="199"/>
      <c r="E53" s="200">
        <v>45006.0</v>
      </c>
      <c r="F53" s="201">
        <f t="shared" ref="F53:F58" si="5">month(E53)</f>
        <v>3</v>
      </c>
      <c r="G53" s="198">
        <f t="shared" si="3"/>
        <v>2023</v>
      </c>
      <c r="H53" s="199"/>
      <c r="I53" s="199"/>
      <c r="J53" s="198">
        <v>172802.0</v>
      </c>
      <c r="K53" s="202"/>
      <c r="L53" s="202"/>
      <c r="M53" s="202"/>
      <c r="N53" s="202"/>
      <c r="O53" s="202"/>
      <c r="P53" s="202"/>
      <c r="Q53" s="202"/>
      <c r="R53" s="202"/>
      <c r="S53" s="202"/>
      <c r="T53" s="202">
        <v>448673.0</v>
      </c>
      <c r="U53" s="206" t="s">
        <v>3026</v>
      </c>
      <c r="V53" s="198">
        <v>21.0</v>
      </c>
      <c r="W53" s="197"/>
      <c r="X53" s="197"/>
      <c r="Y53" s="199"/>
      <c r="Z53" s="199"/>
      <c r="AA53" s="204" t="str">
        <f t="shared" si="4"/>
        <v/>
      </c>
      <c r="AB53" s="198" t="s">
        <v>2730</v>
      </c>
      <c r="AC53" s="199"/>
      <c r="AD53" s="199"/>
      <c r="AE53" s="199"/>
      <c r="AF53" s="199"/>
      <c r="AG53" s="199"/>
      <c r="AH53" s="199"/>
      <c r="AI53" s="199"/>
      <c r="AJ53" s="199"/>
      <c r="AK53" s="199"/>
      <c r="AL53" s="199"/>
      <c r="AM53" s="199"/>
      <c r="AN53" s="197"/>
      <c r="AO53" s="197"/>
      <c r="AP53" s="197"/>
      <c r="AQ53" s="197"/>
      <c r="AR53" s="197"/>
      <c r="AS53" s="197"/>
    </row>
    <row r="54">
      <c r="A54" s="198" t="str">
        <f t="shared" si="1"/>
        <v>PP</v>
      </c>
      <c r="B54" s="198" t="s">
        <v>2777</v>
      </c>
      <c r="C54" s="198" t="s">
        <v>473</v>
      </c>
      <c r="D54" s="199"/>
      <c r="E54" s="200">
        <v>45022.0</v>
      </c>
      <c r="F54" s="201">
        <f t="shared" si="5"/>
        <v>4</v>
      </c>
      <c r="G54" s="198">
        <f t="shared" si="3"/>
        <v>2023</v>
      </c>
      <c r="H54" s="199"/>
      <c r="I54" s="199"/>
      <c r="J54" s="198">
        <v>82350.0</v>
      </c>
      <c r="K54" s="202"/>
      <c r="L54" s="202"/>
      <c r="M54" s="202"/>
      <c r="N54" s="202"/>
      <c r="O54" s="202"/>
      <c r="P54" s="202"/>
      <c r="Q54" s="202"/>
      <c r="R54" s="202"/>
      <c r="S54" s="202"/>
      <c r="T54" s="202">
        <v>315770.0</v>
      </c>
      <c r="U54" s="198" t="s">
        <v>2710</v>
      </c>
      <c r="V54" s="198">
        <v>42.0</v>
      </c>
      <c r="W54" s="197"/>
      <c r="X54" s="197"/>
      <c r="Y54" s="199"/>
      <c r="Z54" s="199"/>
      <c r="AA54" s="204" t="str">
        <f t="shared" si="4"/>
        <v/>
      </c>
      <c r="AB54" s="198" t="s">
        <v>38</v>
      </c>
      <c r="AC54" s="199"/>
      <c r="AD54" s="199"/>
      <c r="AE54" s="199"/>
      <c r="AF54" s="199"/>
      <c r="AG54" s="199"/>
      <c r="AH54" s="199"/>
      <c r="AI54" s="199"/>
      <c r="AJ54" s="199"/>
      <c r="AK54" s="199"/>
      <c r="AL54" s="199"/>
      <c r="AM54" s="199"/>
      <c r="AN54" s="197"/>
      <c r="AO54" s="197"/>
      <c r="AP54" s="197"/>
      <c r="AQ54" s="197"/>
      <c r="AR54" s="197"/>
      <c r="AS54" s="197"/>
    </row>
    <row r="55">
      <c r="A55" s="198" t="str">
        <f t="shared" si="1"/>
        <v>PP</v>
      </c>
      <c r="B55" s="198" t="s">
        <v>2778</v>
      </c>
      <c r="C55" s="198" t="s">
        <v>2774</v>
      </c>
      <c r="D55" s="199"/>
      <c r="E55" s="200">
        <v>45025.0</v>
      </c>
      <c r="F55" s="201">
        <f t="shared" si="5"/>
        <v>4</v>
      </c>
      <c r="G55" s="198">
        <v>2023.0</v>
      </c>
      <c r="H55" s="199"/>
      <c r="I55" s="199"/>
      <c r="J55" s="198">
        <v>38600.0</v>
      </c>
      <c r="K55" s="202"/>
      <c r="L55" s="202"/>
      <c r="M55" s="202"/>
      <c r="N55" s="202"/>
      <c r="O55" s="202"/>
      <c r="P55" s="202"/>
      <c r="Q55" s="202"/>
      <c r="R55" s="202"/>
      <c r="S55" s="202"/>
      <c r="T55" s="202">
        <v>1297875.0</v>
      </c>
      <c r="U55" s="198" t="s">
        <v>2712</v>
      </c>
      <c r="V55" s="198">
        <v>58.0</v>
      </c>
      <c r="W55" s="197"/>
      <c r="X55" s="197"/>
      <c r="Y55" s="199"/>
      <c r="Z55" s="199"/>
      <c r="AA55" s="204" t="str">
        <f t="shared" si="4"/>
        <v/>
      </c>
      <c r="AB55" s="198" t="s">
        <v>2749</v>
      </c>
      <c r="AC55" s="199"/>
      <c r="AD55" s="199"/>
      <c r="AE55" s="199"/>
      <c r="AF55" s="199"/>
      <c r="AG55" s="199"/>
      <c r="AH55" s="199"/>
      <c r="AI55" s="199"/>
      <c r="AJ55" s="199"/>
      <c r="AK55" s="199"/>
      <c r="AL55" s="199"/>
      <c r="AM55" s="199"/>
      <c r="AN55" s="197"/>
      <c r="AO55" s="197"/>
      <c r="AP55" s="197"/>
      <c r="AQ55" s="197"/>
      <c r="AR55" s="197"/>
      <c r="AS55" s="197"/>
    </row>
    <row r="56">
      <c r="A56" s="198" t="str">
        <f t="shared" si="1"/>
        <v>PP</v>
      </c>
      <c r="B56" s="198" t="s">
        <v>2779</v>
      </c>
      <c r="C56" s="198" t="s">
        <v>2780</v>
      </c>
      <c r="D56" s="199"/>
      <c r="E56" s="200">
        <v>45046.0</v>
      </c>
      <c r="F56" s="201">
        <f t="shared" si="5"/>
        <v>4</v>
      </c>
      <c r="G56" s="198">
        <v>2023.0</v>
      </c>
      <c r="H56" s="199"/>
      <c r="I56" s="199"/>
      <c r="J56" s="198">
        <v>8400.0</v>
      </c>
      <c r="K56" s="202"/>
      <c r="L56" s="202"/>
      <c r="M56" s="202"/>
      <c r="N56" s="202"/>
      <c r="O56" s="202"/>
      <c r="P56" s="202"/>
      <c r="Q56" s="202"/>
      <c r="R56" s="202"/>
      <c r="S56" s="202"/>
      <c r="T56" s="202">
        <v>22873.0</v>
      </c>
      <c r="U56" s="205" t="s">
        <v>3026</v>
      </c>
      <c r="V56" s="198">
        <v>6.0</v>
      </c>
      <c r="W56" s="197"/>
      <c r="X56" s="197"/>
      <c r="Y56" s="199"/>
      <c r="Z56" s="199"/>
      <c r="AA56" s="204" t="str">
        <f t="shared" si="4"/>
        <v/>
      </c>
      <c r="AB56" s="198" t="s">
        <v>2781</v>
      </c>
      <c r="AC56" s="199"/>
      <c r="AD56" s="199"/>
      <c r="AE56" s="199"/>
      <c r="AF56" s="199"/>
      <c r="AG56" s="199"/>
      <c r="AH56" s="199"/>
      <c r="AI56" s="199"/>
      <c r="AJ56" s="199"/>
      <c r="AK56" s="199"/>
      <c r="AL56" s="199"/>
      <c r="AM56" s="199"/>
      <c r="AN56" s="197"/>
      <c r="AO56" s="197"/>
      <c r="AP56" s="197"/>
      <c r="AQ56" s="197"/>
      <c r="AR56" s="197"/>
      <c r="AS56" s="197"/>
    </row>
    <row r="57">
      <c r="A57" s="198" t="str">
        <f t="shared" si="1"/>
        <v>PP</v>
      </c>
      <c r="B57" s="198" t="s">
        <v>2782</v>
      </c>
      <c r="C57" s="198" t="s">
        <v>2713</v>
      </c>
      <c r="D57" s="199"/>
      <c r="E57" s="200">
        <v>45054.0</v>
      </c>
      <c r="F57" s="201">
        <f t="shared" si="5"/>
        <v>5</v>
      </c>
      <c r="G57" s="198">
        <v>2023.0</v>
      </c>
      <c r="H57" s="199"/>
      <c r="I57" s="199"/>
      <c r="J57" s="198">
        <v>600.0</v>
      </c>
      <c r="K57" s="202"/>
      <c r="L57" s="202"/>
      <c r="M57" s="202"/>
      <c r="N57" s="202"/>
      <c r="O57" s="202"/>
      <c r="P57" s="202"/>
      <c r="Q57" s="202"/>
      <c r="R57" s="202"/>
      <c r="S57" s="202"/>
      <c r="T57" s="202">
        <v>24768.0</v>
      </c>
      <c r="U57" s="198" t="s">
        <v>2712</v>
      </c>
      <c r="V57" s="198">
        <v>8.0</v>
      </c>
      <c r="W57" s="197"/>
      <c r="X57" s="197"/>
      <c r="Y57" s="199"/>
      <c r="Z57" s="199"/>
      <c r="AA57" s="204" t="str">
        <f t="shared" si="4"/>
        <v/>
      </c>
      <c r="AB57" s="198" t="s">
        <v>38</v>
      </c>
      <c r="AC57" s="199"/>
      <c r="AD57" s="199"/>
      <c r="AE57" s="199"/>
      <c r="AF57" s="199"/>
      <c r="AG57" s="199"/>
      <c r="AH57" s="199"/>
      <c r="AI57" s="199"/>
      <c r="AJ57" s="199"/>
      <c r="AK57" s="199"/>
      <c r="AL57" s="199"/>
      <c r="AM57" s="198" t="s">
        <v>2783</v>
      </c>
      <c r="AN57" s="197"/>
      <c r="AO57" s="197"/>
      <c r="AP57" s="197"/>
      <c r="AQ57" s="197"/>
      <c r="AR57" s="197"/>
      <c r="AS57" s="197"/>
    </row>
    <row r="58">
      <c r="A58" s="198" t="str">
        <f t="shared" si="1"/>
        <v>PP</v>
      </c>
      <c r="B58" s="198" t="s">
        <v>2784</v>
      </c>
      <c r="C58" s="198" t="s">
        <v>2785</v>
      </c>
      <c r="D58" s="199"/>
      <c r="E58" s="200">
        <v>45069.0</v>
      </c>
      <c r="F58" s="201">
        <f t="shared" si="5"/>
        <v>5</v>
      </c>
      <c r="G58" s="198">
        <v>2023.0</v>
      </c>
      <c r="H58" s="199"/>
      <c r="I58" s="199"/>
      <c r="J58" s="198">
        <v>6050.0</v>
      </c>
      <c r="K58" s="202"/>
      <c r="L58" s="202"/>
      <c r="M58" s="202"/>
      <c r="N58" s="202"/>
      <c r="O58" s="202"/>
      <c r="P58" s="202"/>
      <c r="Q58" s="202"/>
      <c r="R58" s="202"/>
      <c r="S58" s="202"/>
      <c r="T58" s="202">
        <v>48971.0</v>
      </c>
      <c r="U58" s="205" t="s">
        <v>3026</v>
      </c>
      <c r="V58" s="198">
        <v>10.0</v>
      </c>
      <c r="W58" s="197"/>
      <c r="X58" s="197"/>
      <c r="Y58" s="199"/>
      <c r="Z58" s="199"/>
      <c r="AA58" s="204" t="str">
        <f t="shared" si="4"/>
        <v/>
      </c>
      <c r="AB58" s="198" t="s">
        <v>2781</v>
      </c>
      <c r="AC58" s="199"/>
      <c r="AD58" s="199"/>
      <c r="AE58" s="199"/>
      <c r="AF58" s="199"/>
      <c r="AG58" s="199"/>
      <c r="AH58" s="199"/>
      <c r="AI58" s="199"/>
      <c r="AJ58" s="199"/>
      <c r="AK58" s="199"/>
      <c r="AL58" s="199"/>
      <c r="AM58" s="199"/>
      <c r="AN58" s="197"/>
      <c r="AO58" s="197"/>
      <c r="AP58" s="197"/>
      <c r="AQ58" s="197"/>
      <c r="AR58" s="197"/>
      <c r="AS58" s="197"/>
    </row>
    <row r="59">
      <c r="A59" s="198" t="str">
        <f t="shared" si="1"/>
        <v>PP</v>
      </c>
      <c r="B59" s="198" t="s">
        <v>2786</v>
      </c>
      <c r="C59" s="205" t="s">
        <v>3318</v>
      </c>
      <c r="D59" s="199"/>
      <c r="E59" s="200">
        <v>45084.0</v>
      </c>
      <c r="F59" s="201">
        <v>6.0</v>
      </c>
      <c r="G59" s="198">
        <v>2023.0</v>
      </c>
      <c r="H59" s="199"/>
      <c r="I59" s="199"/>
      <c r="J59" s="198">
        <v>45870.0</v>
      </c>
      <c r="K59" s="202"/>
      <c r="L59" s="202"/>
      <c r="M59" s="202"/>
      <c r="N59" s="202"/>
      <c r="O59" s="202"/>
      <c r="P59" s="202"/>
      <c r="Q59" s="202"/>
      <c r="R59" s="202"/>
      <c r="S59" s="202"/>
      <c r="T59" s="202">
        <v>72609.1</v>
      </c>
      <c r="U59" s="206" t="s">
        <v>3026</v>
      </c>
      <c r="V59" s="198">
        <v>35.0</v>
      </c>
      <c r="W59" s="197"/>
      <c r="X59" s="197"/>
      <c r="Y59" s="199"/>
      <c r="Z59" s="199"/>
      <c r="AA59" s="204" t="str">
        <f t="shared" si="4"/>
        <v/>
      </c>
      <c r="AB59" s="198" t="s">
        <v>38</v>
      </c>
      <c r="AC59" s="199"/>
      <c r="AD59" s="199"/>
      <c r="AE59" s="199"/>
      <c r="AF59" s="199"/>
      <c r="AG59" s="199"/>
      <c r="AH59" s="199"/>
      <c r="AI59" s="199"/>
      <c r="AJ59" s="199"/>
      <c r="AK59" s="199"/>
      <c r="AL59" s="199"/>
      <c r="AM59" s="198" t="s">
        <v>2775</v>
      </c>
      <c r="AN59" s="197"/>
      <c r="AO59" s="197"/>
      <c r="AP59" s="197"/>
      <c r="AQ59" s="197"/>
      <c r="AR59" s="197"/>
      <c r="AS59" s="197"/>
    </row>
    <row r="60">
      <c r="A60" s="198" t="str">
        <f t="shared" si="1"/>
        <v>PP</v>
      </c>
      <c r="B60" s="198" t="s">
        <v>2788</v>
      </c>
      <c r="C60" s="198" t="s">
        <v>473</v>
      </c>
      <c r="D60" s="199"/>
      <c r="E60" s="200">
        <v>45082.0</v>
      </c>
      <c r="F60" s="201">
        <f t="shared" ref="F60:F64" si="6">month(E60)</f>
        <v>6</v>
      </c>
      <c r="G60" s="198">
        <v>2023.0</v>
      </c>
      <c r="H60" s="199"/>
      <c r="I60" s="199"/>
      <c r="J60" s="198">
        <v>58500.0</v>
      </c>
      <c r="K60" s="202"/>
      <c r="L60" s="202"/>
      <c r="M60" s="202"/>
      <c r="N60" s="202"/>
      <c r="O60" s="202"/>
      <c r="P60" s="202"/>
      <c r="Q60" s="202"/>
      <c r="R60" s="202"/>
      <c r="S60" s="202"/>
      <c r="T60" s="202">
        <v>164288.0</v>
      </c>
      <c r="U60" s="198" t="s">
        <v>2710</v>
      </c>
      <c r="V60" s="198">
        <v>6.0</v>
      </c>
      <c r="W60" s="197"/>
      <c r="X60" s="197"/>
      <c r="Y60" s="199"/>
      <c r="Z60" s="199"/>
      <c r="AA60" s="204" t="str">
        <f t="shared" si="4"/>
        <v/>
      </c>
      <c r="AB60" s="198" t="s">
        <v>2781</v>
      </c>
      <c r="AC60" s="199"/>
      <c r="AD60" s="199"/>
      <c r="AE60" s="199"/>
      <c r="AF60" s="199"/>
      <c r="AG60" s="199"/>
      <c r="AH60" s="199"/>
      <c r="AI60" s="199"/>
      <c r="AJ60" s="199"/>
      <c r="AK60" s="199"/>
      <c r="AL60" s="199"/>
      <c r="AM60" s="199"/>
      <c r="AN60" s="197"/>
      <c r="AO60" s="197"/>
      <c r="AP60" s="197"/>
      <c r="AQ60" s="197"/>
      <c r="AR60" s="197"/>
      <c r="AS60" s="197"/>
    </row>
    <row r="61">
      <c r="A61" s="198" t="str">
        <f t="shared" si="1"/>
        <v>PP</v>
      </c>
      <c r="B61" s="198" t="s">
        <v>2789</v>
      </c>
      <c r="C61" s="198" t="s">
        <v>59</v>
      </c>
      <c r="D61" s="199"/>
      <c r="E61" s="200">
        <v>45085.0</v>
      </c>
      <c r="F61" s="201">
        <f t="shared" si="6"/>
        <v>6</v>
      </c>
      <c r="G61" s="198">
        <v>2023.0</v>
      </c>
      <c r="H61" s="199"/>
      <c r="I61" s="199"/>
      <c r="J61" s="198">
        <v>7879.0</v>
      </c>
      <c r="K61" s="202"/>
      <c r="L61" s="202"/>
      <c r="M61" s="202"/>
      <c r="N61" s="202"/>
      <c r="O61" s="202"/>
      <c r="P61" s="202"/>
      <c r="Q61" s="202"/>
      <c r="R61" s="202"/>
      <c r="S61" s="202"/>
      <c r="T61" s="202">
        <v>58416.0</v>
      </c>
      <c r="U61" s="206" t="s">
        <v>3026</v>
      </c>
      <c r="V61" s="198">
        <v>11.0</v>
      </c>
      <c r="W61" s="197"/>
      <c r="X61" s="197"/>
      <c r="Y61" s="199"/>
      <c r="Z61" s="199"/>
      <c r="AA61" s="204" t="str">
        <f t="shared" si="4"/>
        <v/>
      </c>
      <c r="AB61" s="198" t="s">
        <v>38</v>
      </c>
      <c r="AC61" s="199"/>
      <c r="AD61" s="199"/>
      <c r="AE61" s="199"/>
      <c r="AF61" s="199"/>
      <c r="AG61" s="199"/>
      <c r="AH61" s="199"/>
      <c r="AI61" s="199"/>
      <c r="AJ61" s="199"/>
      <c r="AK61" s="199"/>
      <c r="AL61" s="199"/>
      <c r="AM61" s="199"/>
      <c r="AN61" s="197"/>
      <c r="AO61" s="197"/>
      <c r="AP61" s="197"/>
      <c r="AQ61" s="197"/>
      <c r="AR61" s="197"/>
      <c r="AS61" s="197"/>
    </row>
    <row r="62">
      <c r="A62" s="198" t="str">
        <f t="shared" si="1"/>
        <v>PP</v>
      </c>
      <c r="B62" s="198" t="s">
        <v>2790</v>
      </c>
      <c r="C62" s="198" t="s">
        <v>26</v>
      </c>
      <c r="D62" s="199"/>
      <c r="E62" s="200">
        <v>45085.0</v>
      </c>
      <c r="F62" s="201">
        <f t="shared" si="6"/>
        <v>6</v>
      </c>
      <c r="G62" s="198">
        <v>2023.0</v>
      </c>
      <c r="H62" s="199"/>
      <c r="I62" s="199"/>
      <c r="J62" s="198">
        <v>8100.0</v>
      </c>
      <c r="K62" s="202"/>
      <c r="L62" s="202"/>
      <c r="M62" s="202"/>
      <c r="N62" s="202"/>
      <c r="O62" s="202"/>
      <c r="P62" s="202"/>
      <c r="Q62" s="202"/>
      <c r="R62" s="202"/>
      <c r="S62" s="202"/>
      <c r="T62" s="202">
        <v>101106.0</v>
      </c>
      <c r="U62" s="205" t="s">
        <v>3026</v>
      </c>
      <c r="V62" s="198">
        <v>11.0</v>
      </c>
      <c r="W62" s="197"/>
      <c r="X62" s="197"/>
      <c r="Y62" s="199"/>
      <c r="Z62" s="199"/>
      <c r="AA62" s="204" t="str">
        <f t="shared" si="4"/>
        <v/>
      </c>
      <c r="AB62" s="198" t="s">
        <v>38</v>
      </c>
      <c r="AC62" s="199"/>
      <c r="AD62" s="199"/>
      <c r="AE62" s="199"/>
      <c r="AF62" s="199"/>
      <c r="AG62" s="199"/>
      <c r="AH62" s="199"/>
      <c r="AI62" s="199"/>
      <c r="AJ62" s="199"/>
      <c r="AK62" s="199"/>
      <c r="AL62" s="199"/>
      <c r="AM62" s="199"/>
      <c r="AN62" s="197"/>
      <c r="AO62" s="197"/>
      <c r="AP62" s="197"/>
      <c r="AQ62" s="197"/>
      <c r="AR62" s="197"/>
      <c r="AS62" s="197"/>
    </row>
    <row r="63">
      <c r="A63" s="198" t="str">
        <f t="shared" si="1"/>
        <v>PP</v>
      </c>
      <c r="B63" s="198" t="s">
        <v>2791</v>
      </c>
      <c r="C63" s="198" t="s">
        <v>26</v>
      </c>
      <c r="D63" s="199"/>
      <c r="E63" s="200">
        <v>45085.0</v>
      </c>
      <c r="F63" s="201">
        <f t="shared" si="6"/>
        <v>6</v>
      </c>
      <c r="G63" s="198">
        <v>2023.0</v>
      </c>
      <c r="H63" s="199"/>
      <c r="I63" s="199"/>
      <c r="J63" s="198">
        <v>21000.0</v>
      </c>
      <c r="K63" s="202"/>
      <c r="L63" s="202"/>
      <c r="M63" s="202"/>
      <c r="N63" s="202"/>
      <c r="O63" s="202"/>
      <c r="P63" s="202"/>
      <c r="Q63" s="202"/>
      <c r="R63" s="202"/>
      <c r="S63" s="202"/>
      <c r="T63" s="202">
        <v>134005.0</v>
      </c>
      <c r="U63" s="206" t="s">
        <v>3026</v>
      </c>
      <c r="V63" s="198">
        <v>6.0</v>
      </c>
      <c r="W63" s="197"/>
      <c r="X63" s="197"/>
      <c r="Y63" s="199"/>
      <c r="Z63" s="199"/>
      <c r="AA63" s="204" t="str">
        <f t="shared" si="4"/>
        <v/>
      </c>
      <c r="AB63" s="198" t="s">
        <v>38</v>
      </c>
      <c r="AC63" s="199"/>
      <c r="AD63" s="199"/>
      <c r="AE63" s="199"/>
      <c r="AF63" s="199"/>
      <c r="AG63" s="199"/>
      <c r="AH63" s="199"/>
      <c r="AI63" s="199"/>
      <c r="AJ63" s="199"/>
      <c r="AK63" s="199"/>
      <c r="AL63" s="199"/>
      <c r="AM63" s="199"/>
      <c r="AN63" s="197"/>
      <c r="AO63" s="197"/>
      <c r="AP63" s="197"/>
      <c r="AQ63" s="197"/>
      <c r="AR63" s="197"/>
      <c r="AS63" s="197"/>
    </row>
    <row r="64">
      <c r="A64" s="198" t="str">
        <f t="shared" si="1"/>
        <v>PP</v>
      </c>
      <c r="B64" s="198" t="s">
        <v>2792</v>
      </c>
      <c r="C64" s="198" t="s">
        <v>2793</v>
      </c>
      <c r="D64" s="199"/>
      <c r="E64" s="200">
        <v>45085.0</v>
      </c>
      <c r="F64" s="201">
        <f t="shared" si="6"/>
        <v>6</v>
      </c>
      <c r="G64" s="198">
        <v>2023.0</v>
      </c>
      <c r="H64" s="199"/>
      <c r="I64" s="199"/>
      <c r="J64" s="198">
        <v>32400.0</v>
      </c>
      <c r="K64" s="202"/>
      <c r="L64" s="202"/>
      <c r="M64" s="202"/>
      <c r="N64" s="202"/>
      <c r="O64" s="202"/>
      <c r="P64" s="202"/>
      <c r="Q64" s="202"/>
      <c r="R64" s="202"/>
      <c r="S64" s="202"/>
      <c r="T64" s="202">
        <v>81065.0</v>
      </c>
      <c r="U64" s="198" t="s">
        <v>2712</v>
      </c>
      <c r="V64" s="198">
        <v>10.0</v>
      </c>
      <c r="W64" s="197"/>
      <c r="X64" s="197"/>
      <c r="Y64" s="199"/>
      <c r="Z64" s="199"/>
      <c r="AA64" s="204" t="str">
        <f t="shared" si="4"/>
        <v/>
      </c>
      <c r="AB64" s="198" t="s">
        <v>2781</v>
      </c>
      <c r="AC64" s="199"/>
      <c r="AD64" s="199"/>
      <c r="AE64" s="199"/>
      <c r="AF64" s="199"/>
      <c r="AG64" s="199"/>
      <c r="AH64" s="199"/>
      <c r="AI64" s="199"/>
      <c r="AJ64" s="199"/>
      <c r="AK64" s="199"/>
      <c r="AL64" s="199"/>
      <c r="AM64" s="199"/>
      <c r="AN64" s="197"/>
      <c r="AO64" s="197"/>
      <c r="AP64" s="197"/>
      <c r="AQ64" s="197"/>
      <c r="AR64" s="197"/>
      <c r="AS64" s="197"/>
    </row>
    <row r="65">
      <c r="A65" s="198" t="str">
        <f t="shared" si="1"/>
        <v>PP</v>
      </c>
      <c r="B65" s="198" t="s">
        <v>2794</v>
      </c>
      <c r="C65" s="198" t="s">
        <v>473</v>
      </c>
      <c r="D65" s="199"/>
      <c r="E65" s="200">
        <v>45089.0</v>
      </c>
      <c r="F65" s="201">
        <v>6.0</v>
      </c>
      <c r="G65" s="198">
        <v>2023.0</v>
      </c>
      <c r="H65" s="199"/>
      <c r="I65" s="199"/>
      <c r="J65" s="198">
        <v>26412.0</v>
      </c>
      <c r="K65" s="202"/>
      <c r="L65" s="202"/>
      <c r="M65" s="202"/>
      <c r="N65" s="202"/>
      <c r="O65" s="202"/>
      <c r="P65" s="202"/>
      <c r="Q65" s="202"/>
      <c r="R65" s="202"/>
      <c r="S65" s="202"/>
      <c r="T65" s="202">
        <v>175852.0</v>
      </c>
      <c r="U65" s="198" t="s">
        <v>2710</v>
      </c>
      <c r="V65" s="198">
        <v>48.0</v>
      </c>
      <c r="W65" s="197"/>
      <c r="X65" s="197"/>
      <c r="Y65" s="199"/>
      <c r="Z65" s="199"/>
      <c r="AA65" s="204" t="str">
        <f t="shared" si="4"/>
        <v/>
      </c>
      <c r="AB65" s="198" t="s">
        <v>2781</v>
      </c>
      <c r="AC65" s="199"/>
      <c r="AD65" s="199"/>
      <c r="AE65" s="199"/>
      <c r="AF65" s="199"/>
      <c r="AG65" s="199"/>
      <c r="AH65" s="199"/>
      <c r="AI65" s="199"/>
      <c r="AJ65" s="199"/>
      <c r="AK65" s="199"/>
      <c r="AL65" s="199"/>
      <c r="AM65" s="199"/>
      <c r="AN65" s="197"/>
      <c r="AO65" s="197"/>
      <c r="AP65" s="197"/>
      <c r="AQ65" s="197"/>
      <c r="AR65" s="197"/>
      <c r="AS65" s="197"/>
    </row>
    <row r="66">
      <c r="A66" s="198" t="str">
        <f t="shared" si="1"/>
        <v>PP</v>
      </c>
      <c r="B66" s="198" t="s">
        <v>2795</v>
      </c>
      <c r="C66" s="198" t="s">
        <v>89</v>
      </c>
      <c r="D66" s="199"/>
      <c r="E66" s="200">
        <v>45098.0</v>
      </c>
      <c r="F66" s="198">
        <v>6.0</v>
      </c>
      <c r="G66" s="198">
        <v>2023.0</v>
      </c>
      <c r="H66" s="199"/>
      <c r="I66" s="199"/>
      <c r="J66" s="198">
        <v>111168.0</v>
      </c>
      <c r="K66" s="202"/>
      <c r="L66" s="202"/>
      <c r="M66" s="202"/>
      <c r="N66" s="202"/>
      <c r="O66" s="202"/>
      <c r="P66" s="202"/>
      <c r="Q66" s="202"/>
      <c r="R66" s="202"/>
      <c r="S66" s="202"/>
      <c r="T66" s="202">
        <v>151744.32</v>
      </c>
      <c r="U66" s="198" t="s">
        <v>2712</v>
      </c>
      <c r="V66" s="198">
        <v>9.0</v>
      </c>
      <c r="W66" s="197"/>
      <c r="X66" s="197"/>
      <c r="Y66" s="199"/>
      <c r="Z66" s="199"/>
      <c r="AA66" s="204" t="str">
        <f t="shared" si="4"/>
        <v/>
      </c>
      <c r="AB66" s="198" t="s">
        <v>38</v>
      </c>
      <c r="AC66" s="199"/>
      <c r="AD66" s="199"/>
      <c r="AE66" s="199"/>
      <c r="AF66" s="199"/>
      <c r="AG66" s="199"/>
      <c r="AH66" s="199"/>
      <c r="AI66" s="199"/>
      <c r="AJ66" s="199"/>
      <c r="AK66" s="199"/>
      <c r="AL66" s="199"/>
      <c r="AM66" s="198" t="s">
        <v>2775</v>
      </c>
      <c r="AN66" s="197"/>
      <c r="AO66" s="197"/>
      <c r="AP66" s="197"/>
      <c r="AQ66" s="197"/>
      <c r="AR66" s="197"/>
      <c r="AS66" s="197"/>
    </row>
    <row r="67">
      <c r="A67" s="198" t="str">
        <f t="shared" si="1"/>
        <v>PP</v>
      </c>
      <c r="B67" s="198" t="s">
        <v>2796</v>
      </c>
      <c r="C67" s="198" t="s">
        <v>2797</v>
      </c>
      <c r="D67" s="199"/>
      <c r="E67" s="200">
        <v>45098.0</v>
      </c>
      <c r="F67" s="198">
        <v>6.0</v>
      </c>
      <c r="G67" s="198">
        <v>2023.0</v>
      </c>
      <c r="H67" s="199"/>
      <c r="I67" s="199"/>
      <c r="J67" s="198">
        <v>15686.0</v>
      </c>
      <c r="K67" s="202"/>
      <c r="L67" s="202"/>
      <c r="M67" s="202"/>
      <c r="N67" s="202"/>
      <c r="O67" s="202"/>
      <c r="P67" s="202"/>
      <c r="Q67" s="202"/>
      <c r="R67" s="202"/>
      <c r="S67" s="202"/>
      <c r="T67" s="202">
        <v>68031.0</v>
      </c>
      <c r="U67" s="198" t="s">
        <v>2712</v>
      </c>
      <c r="V67" s="198">
        <v>14.0</v>
      </c>
      <c r="W67" s="197"/>
      <c r="X67" s="197"/>
      <c r="Y67" s="199"/>
      <c r="Z67" s="199"/>
      <c r="AA67" s="204" t="str">
        <f t="shared" si="4"/>
        <v/>
      </c>
      <c r="AB67" s="198" t="s">
        <v>2781</v>
      </c>
      <c r="AC67" s="199"/>
      <c r="AD67" s="199"/>
      <c r="AE67" s="199"/>
      <c r="AF67" s="199"/>
      <c r="AG67" s="199"/>
      <c r="AH67" s="199"/>
      <c r="AI67" s="199"/>
      <c r="AJ67" s="199"/>
      <c r="AK67" s="199"/>
      <c r="AL67" s="199"/>
      <c r="AM67" s="199"/>
      <c r="AN67" s="197"/>
      <c r="AO67" s="197"/>
      <c r="AP67" s="197"/>
      <c r="AQ67" s="197"/>
      <c r="AR67" s="197"/>
      <c r="AS67" s="197"/>
    </row>
    <row r="68">
      <c r="A68" s="198" t="str">
        <f t="shared" si="1"/>
        <v>PP</v>
      </c>
      <c r="B68" s="198" t="s">
        <v>2798</v>
      </c>
      <c r="C68" s="198" t="s">
        <v>2799</v>
      </c>
      <c r="D68" s="199"/>
      <c r="E68" s="200">
        <v>45102.0</v>
      </c>
      <c r="F68" s="198">
        <v>6.0</v>
      </c>
      <c r="G68" s="198">
        <v>2023.0</v>
      </c>
      <c r="H68" s="199"/>
      <c r="I68" s="199"/>
      <c r="J68" s="198">
        <v>85340.0</v>
      </c>
      <c r="K68" s="202"/>
      <c r="L68" s="202"/>
      <c r="M68" s="202"/>
      <c r="N68" s="202"/>
      <c r="O68" s="202"/>
      <c r="P68" s="202"/>
      <c r="Q68" s="202"/>
      <c r="R68" s="202"/>
      <c r="S68" s="202"/>
      <c r="T68" s="202">
        <v>393460.0</v>
      </c>
      <c r="U68" s="205" t="s">
        <v>3026</v>
      </c>
      <c r="V68" s="198">
        <v>94.0</v>
      </c>
      <c r="W68" s="197"/>
      <c r="X68" s="197"/>
      <c r="Y68" s="199"/>
      <c r="Z68" s="199"/>
      <c r="AA68" s="204" t="str">
        <f t="shared" si="4"/>
        <v/>
      </c>
      <c r="AB68" s="198" t="s">
        <v>38</v>
      </c>
      <c r="AC68" s="199"/>
      <c r="AD68" s="199"/>
      <c r="AE68" s="199"/>
      <c r="AF68" s="199"/>
      <c r="AG68" s="199"/>
      <c r="AH68" s="199"/>
      <c r="AI68" s="199"/>
      <c r="AJ68" s="199"/>
      <c r="AK68" s="199"/>
      <c r="AL68" s="199"/>
      <c r="AM68" s="198" t="s">
        <v>2800</v>
      </c>
      <c r="AN68" s="197"/>
      <c r="AO68" s="197"/>
      <c r="AP68" s="197"/>
      <c r="AQ68" s="197"/>
      <c r="AR68" s="197"/>
      <c r="AS68" s="197"/>
    </row>
    <row r="69">
      <c r="A69" s="198" t="str">
        <f t="shared" si="1"/>
        <v>PP</v>
      </c>
      <c r="B69" s="198" t="s">
        <v>2801</v>
      </c>
      <c r="C69" s="198" t="s">
        <v>473</v>
      </c>
      <c r="D69" s="199"/>
      <c r="E69" s="200">
        <v>45102.0</v>
      </c>
      <c r="F69" s="198">
        <v>6.0</v>
      </c>
      <c r="G69" s="198">
        <v>2023.0</v>
      </c>
      <c r="H69" s="199"/>
      <c r="I69" s="199"/>
      <c r="J69" s="198">
        <v>58500.0</v>
      </c>
      <c r="K69" s="202"/>
      <c r="L69" s="202"/>
      <c r="M69" s="202"/>
      <c r="N69" s="202"/>
      <c r="O69" s="202"/>
      <c r="P69" s="202"/>
      <c r="Q69" s="202"/>
      <c r="R69" s="202"/>
      <c r="S69" s="202"/>
      <c r="T69" s="202">
        <v>164288.0</v>
      </c>
      <c r="U69" s="198" t="s">
        <v>2710</v>
      </c>
      <c r="V69" s="198">
        <v>6.0</v>
      </c>
      <c r="W69" s="197"/>
      <c r="X69" s="197"/>
      <c r="Y69" s="199"/>
      <c r="Z69" s="199"/>
      <c r="AA69" s="204" t="str">
        <f t="shared" si="4"/>
        <v/>
      </c>
      <c r="AB69" s="198" t="s">
        <v>2781</v>
      </c>
      <c r="AC69" s="199"/>
      <c r="AD69" s="199"/>
      <c r="AE69" s="199"/>
      <c r="AF69" s="199"/>
      <c r="AG69" s="199"/>
      <c r="AH69" s="199"/>
      <c r="AI69" s="199"/>
      <c r="AJ69" s="199"/>
      <c r="AK69" s="199"/>
      <c r="AL69" s="199"/>
      <c r="AM69" s="199"/>
      <c r="AN69" s="197"/>
      <c r="AO69" s="197"/>
      <c r="AP69" s="197"/>
      <c r="AQ69" s="197"/>
      <c r="AR69" s="197"/>
      <c r="AS69" s="197"/>
    </row>
    <row r="70">
      <c r="A70" s="198" t="str">
        <f t="shared" si="1"/>
        <v>PP</v>
      </c>
      <c r="B70" s="198" t="s">
        <v>2802</v>
      </c>
      <c r="C70" s="198" t="s">
        <v>2799</v>
      </c>
      <c r="D70" s="199"/>
      <c r="E70" s="200">
        <v>45102.0</v>
      </c>
      <c r="F70" s="198">
        <v>6.0</v>
      </c>
      <c r="G70" s="198">
        <v>2023.0</v>
      </c>
      <c r="H70" s="199"/>
      <c r="I70" s="199"/>
      <c r="J70" s="199"/>
      <c r="K70" s="207"/>
      <c r="L70" s="207"/>
      <c r="M70" s="207"/>
      <c r="N70" s="207"/>
      <c r="O70" s="207"/>
      <c r="P70" s="207"/>
      <c r="Q70" s="207"/>
      <c r="R70" s="207"/>
      <c r="S70" s="207"/>
      <c r="T70" s="207"/>
      <c r="U70" s="205" t="s">
        <v>3026</v>
      </c>
      <c r="V70" s="199"/>
      <c r="W70" s="197"/>
      <c r="X70" s="197"/>
      <c r="Y70" s="199"/>
      <c r="Z70" s="199"/>
      <c r="AA70" s="204" t="str">
        <f t="shared" si="4"/>
        <v/>
      </c>
      <c r="AB70" s="198" t="s">
        <v>38</v>
      </c>
      <c r="AC70" s="199"/>
      <c r="AD70" s="199"/>
      <c r="AE70" s="199"/>
      <c r="AF70" s="199"/>
      <c r="AG70" s="199"/>
      <c r="AH70" s="199"/>
      <c r="AI70" s="199"/>
      <c r="AJ70" s="199"/>
      <c r="AK70" s="199"/>
      <c r="AL70" s="199"/>
      <c r="AM70" s="198" t="s">
        <v>2803</v>
      </c>
      <c r="AN70" s="197"/>
      <c r="AO70" s="197"/>
      <c r="AP70" s="197"/>
      <c r="AQ70" s="197"/>
      <c r="AR70" s="197"/>
      <c r="AS70" s="197"/>
    </row>
    <row r="71">
      <c r="A71" s="198" t="str">
        <f t="shared" si="1"/>
        <v>PP</v>
      </c>
      <c r="B71" s="198" t="s">
        <v>2804</v>
      </c>
      <c r="C71" s="198" t="s">
        <v>2805</v>
      </c>
      <c r="D71" s="199"/>
      <c r="E71" s="200">
        <v>45102.0</v>
      </c>
      <c r="F71" s="198">
        <v>6.0</v>
      </c>
      <c r="G71" s="198">
        <v>2023.0</v>
      </c>
      <c r="H71" s="199"/>
      <c r="I71" s="199"/>
      <c r="J71" s="198">
        <v>3000.0</v>
      </c>
      <c r="K71" s="202"/>
      <c r="L71" s="202"/>
      <c r="M71" s="202"/>
      <c r="N71" s="202"/>
      <c r="O71" s="202"/>
      <c r="P71" s="202"/>
      <c r="Q71" s="202"/>
      <c r="R71" s="202"/>
      <c r="S71" s="202"/>
      <c r="T71" s="202">
        <v>34894.0</v>
      </c>
      <c r="U71" s="198" t="s">
        <v>2712</v>
      </c>
      <c r="V71" s="198">
        <v>15.0</v>
      </c>
      <c r="W71" s="197"/>
      <c r="X71" s="197"/>
      <c r="Y71" s="199"/>
      <c r="Z71" s="199"/>
      <c r="AA71" s="204" t="str">
        <f t="shared" si="4"/>
        <v/>
      </c>
      <c r="AB71" s="198" t="s">
        <v>2781</v>
      </c>
      <c r="AC71" s="199"/>
      <c r="AD71" s="199"/>
      <c r="AE71" s="199"/>
      <c r="AF71" s="199"/>
      <c r="AG71" s="199"/>
      <c r="AH71" s="199"/>
      <c r="AI71" s="199"/>
      <c r="AJ71" s="199"/>
      <c r="AK71" s="199"/>
      <c r="AL71" s="199"/>
      <c r="AM71" s="199"/>
      <c r="AN71" s="197"/>
      <c r="AO71" s="197"/>
      <c r="AP71" s="197"/>
      <c r="AQ71" s="197"/>
      <c r="AR71" s="197"/>
      <c r="AS71" s="197"/>
    </row>
    <row r="72">
      <c r="A72" s="198" t="str">
        <f t="shared" si="1"/>
        <v>PP</v>
      </c>
      <c r="B72" s="198" t="s">
        <v>2806</v>
      </c>
      <c r="C72" s="198" t="s">
        <v>81</v>
      </c>
      <c r="D72" s="199" t="s">
        <v>2807</v>
      </c>
      <c r="E72" s="200">
        <v>45109.0</v>
      </c>
      <c r="F72" s="198">
        <v>7.0</v>
      </c>
      <c r="G72" s="198">
        <v>2023.0</v>
      </c>
      <c r="H72" s="199"/>
      <c r="I72" s="199"/>
      <c r="J72" s="198">
        <v>21000.0</v>
      </c>
      <c r="K72" s="202"/>
      <c r="L72" s="202"/>
      <c r="M72" s="202"/>
      <c r="N72" s="202"/>
      <c r="O72" s="202"/>
      <c r="P72" s="202"/>
      <c r="Q72" s="202"/>
      <c r="R72" s="202"/>
      <c r="S72" s="202"/>
      <c r="T72" s="202">
        <v>375278.0</v>
      </c>
      <c r="U72" s="205" t="s">
        <v>3026</v>
      </c>
      <c r="V72" s="198">
        <v>12.0</v>
      </c>
      <c r="W72" s="197"/>
      <c r="X72" s="197"/>
      <c r="Y72" s="199"/>
      <c r="Z72" s="199"/>
      <c r="AA72" s="204" t="str">
        <f t="shared" si="4"/>
        <v/>
      </c>
      <c r="AB72" s="198" t="s">
        <v>38</v>
      </c>
      <c r="AC72" s="199"/>
      <c r="AD72" s="199"/>
      <c r="AE72" s="199"/>
      <c r="AF72" s="199"/>
      <c r="AG72" s="199"/>
      <c r="AH72" s="199"/>
      <c r="AI72" s="199"/>
      <c r="AJ72" s="199"/>
      <c r="AK72" s="199"/>
      <c r="AL72" s="199"/>
      <c r="AM72" s="198" t="s">
        <v>2783</v>
      </c>
      <c r="AN72" s="197"/>
      <c r="AO72" s="197"/>
      <c r="AP72" s="197"/>
      <c r="AQ72" s="197"/>
      <c r="AR72" s="197"/>
      <c r="AS72" s="197"/>
    </row>
    <row r="73">
      <c r="A73" s="198" t="str">
        <f t="shared" si="1"/>
        <v>PP</v>
      </c>
      <c r="B73" s="198" t="s">
        <v>2808</v>
      </c>
      <c r="C73" s="198" t="s">
        <v>26</v>
      </c>
      <c r="D73" s="199"/>
      <c r="E73" s="200">
        <v>45109.0</v>
      </c>
      <c r="F73" s="198">
        <v>7.0</v>
      </c>
      <c r="G73" s="198">
        <v>2023.0</v>
      </c>
      <c r="H73" s="199"/>
      <c r="I73" s="199"/>
      <c r="J73" s="198">
        <v>11413.0</v>
      </c>
      <c r="K73" s="202"/>
      <c r="L73" s="202"/>
      <c r="M73" s="202"/>
      <c r="N73" s="202"/>
      <c r="O73" s="202"/>
      <c r="P73" s="202"/>
      <c r="Q73" s="202"/>
      <c r="R73" s="202"/>
      <c r="S73" s="202"/>
      <c r="T73" s="202">
        <v>199191.0</v>
      </c>
      <c r="U73" s="206" t="s">
        <v>3026</v>
      </c>
      <c r="V73" s="198">
        <v>10.0</v>
      </c>
      <c r="W73" s="197"/>
      <c r="X73" s="197"/>
      <c r="Y73" s="199"/>
      <c r="Z73" s="199"/>
      <c r="AA73" s="204" t="str">
        <f t="shared" si="4"/>
        <v/>
      </c>
      <c r="AB73" s="198" t="s">
        <v>38</v>
      </c>
      <c r="AC73" s="199"/>
      <c r="AD73" s="199"/>
      <c r="AE73" s="199"/>
      <c r="AF73" s="199"/>
      <c r="AG73" s="199"/>
      <c r="AH73" s="199"/>
      <c r="AI73" s="199"/>
      <c r="AJ73" s="199"/>
      <c r="AK73" s="199"/>
      <c r="AL73" s="199"/>
      <c r="AM73" s="199"/>
      <c r="AN73" s="197"/>
      <c r="AO73" s="197"/>
      <c r="AP73" s="197"/>
      <c r="AQ73" s="197"/>
      <c r="AR73" s="197"/>
      <c r="AS73" s="197"/>
    </row>
    <row r="74">
      <c r="A74" s="198" t="str">
        <f t="shared" si="1"/>
        <v>PP</v>
      </c>
      <c r="B74" s="198" t="s">
        <v>2809</v>
      </c>
      <c r="C74" s="198" t="s">
        <v>26</v>
      </c>
      <c r="D74" s="199"/>
      <c r="E74" s="200">
        <v>45109.0</v>
      </c>
      <c r="F74" s="198">
        <v>7.0</v>
      </c>
      <c r="G74" s="198">
        <v>2023.0</v>
      </c>
      <c r="H74" s="199"/>
      <c r="I74" s="199"/>
      <c r="J74" s="198">
        <v>17305.0</v>
      </c>
      <c r="K74" s="202"/>
      <c r="L74" s="202"/>
      <c r="M74" s="202"/>
      <c r="N74" s="202"/>
      <c r="O74" s="202"/>
      <c r="P74" s="202"/>
      <c r="Q74" s="202"/>
      <c r="R74" s="202"/>
      <c r="S74" s="202"/>
      <c r="T74" s="202">
        <v>309348.0</v>
      </c>
      <c r="U74" s="205" t="s">
        <v>3026</v>
      </c>
      <c r="V74" s="198">
        <v>37.0</v>
      </c>
      <c r="W74" s="197"/>
      <c r="X74" s="197"/>
      <c r="Y74" s="199"/>
      <c r="Z74" s="199"/>
      <c r="AA74" s="204" t="str">
        <f t="shared" si="4"/>
        <v/>
      </c>
      <c r="AB74" s="198" t="s">
        <v>38</v>
      </c>
      <c r="AC74" s="199"/>
      <c r="AD74" s="199"/>
      <c r="AE74" s="199"/>
      <c r="AF74" s="199"/>
      <c r="AG74" s="199"/>
      <c r="AH74" s="199"/>
      <c r="AI74" s="199"/>
      <c r="AJ74" s="199"/>
      <c r="AK74" s="199"/>
      <c r="AL74" s="199"/>
      <c r="AM74" s="199"/>
      <c r="AN74" s="197"/>
      <c r="AO74" s="197"/>
      <c r="AP74" s="197"/>
      <c r="AQ74" s="197"/>
      <c r="AR74" s="197"/>
      <c r="AS74" s="197"/>
    </row>
    <row r="75">
      <c r="A75" s="198" t="str">
        <f t="shared" si="1"/>
        <v>PP</v>
      </c>
      <c r="B75" s="198" t="s">
        <v>2811</v>
      </c>
      <c r="C75" s="198" t="s">
        <v>2812</v>
      </c>
      <c r="D75" s="199"/>
      <c r="E75" s="198" t="s">
        <v>2810</v>
      </c>
      <c r="F75" s="198">
        <v>7.0</v>
      </c>
      <c r="G75" s="198">
        <v>2023.0</v>
      </c>
      <c r="H75" s="199"/>
      <c r="I75" s="199"/>
      <c r="J75" s="198">
        <v>5009.0</v>
      </c>
      <c r="K75" s="202"/>
      <c r="L75" s="202"/>
      <c r="M75" s="202"/>
      <c r="N75" s="202"/>
      <c r="O75" s="202"/>
      <c r="P75" s="202"/>
      <c r="Q75" s="202"/>
      <c r="R75" s="202"/>
      <c r="S75" s="202"/>
      <c r="T75" s="202">
        <v>250482.72</v>
      </c>
      <c r="U75" s="198" t="s">
        <v>2712</v>
      </c>
      <c r="V75" s="198">
        <v>49.0</v>
      </c>
      <c r="W75" s="197"/>
      <c r="X75" s="197"/>
      <c r="Y75" s="199"/>
      <c r="Z75" s="199"/>
      <c r="AA75" s="204" t="str">
        <f t="shared" si="4"/>
        <v/>
      </c>
      <c r="AB75" s="198" t="s">
        <v>38</v>
      </c>
      <c r="AC75" s="199"/>
      <c r="AD75" s="199"/>
      <c r="AE75" s="199"/>
      <c r="AF75" s="199"/>
      <c r="AG75" s="199"/>
      <c r="AH75" s="199"/>
      <c r="AI75" s="199"/>
      <c r="AJ75" s="199"/>
      <c r="AK75" s="199"/>
      <c r="AL75" s="199"/>
      <c r="AM75" s="198" t="s">
        <v>2783</v>
      </c>
      <c r="AN75" s="197"/>
      <c r="AO75" s="197"/>
      <c r="AP75" s="197"/>
      <c r="AQ75" s="197"/>
      <c r="AR75" s="197"/>
      <c r="AS75" s="197"/>
    </row>
    <row r="76">
      <c r="A76" s="198" t="str">
        <f t="shared" si="1"/>
        <v>PP</v>
      </c>
      <c r="B76" s="198" t="s">
        <v>2813</v>
      </c>
      <c r="C76" s="198" t="s">
        <v>2814</v>
      </c>
      <c r="D76" s="199"/>
      <c r="E76" s="200">
        <v>44934.0</v>
      </c>
      <c r="F76" s="198">
        <v>8.0</v>
      </c>
      <c r="G76" s="198">
        <v>2023.0</v>
      </c>
      <c r="H76" s="199"/>
      <c r="I76" s="199"/>
      <c r="J76" s="198">
        <v>9701.0</v>
      </c>
      <c r="K76" s="202"/>
      <c r="L76" s="202"/>
      <c r="M76" s="202"/>
      <c r="N76" s="202"/>
      <c r="O76" s="202"/>
      <c r="P76" s="202"/>
      <c r="Q76" s="202"/>
      <c r="R76" s="202"/>
      <c r="S76" s="202"/>
      <c r="T76" s="202">
        <v>290000.0</v>
      </c>
      <c r="U76" s="198" t="s">
        <v>2712</v>
      </c>
      <c r="V76" s="198">
        <v>28.0</v>
      </c>
      <c r="W76" s="197"/>
      <c r="X76" s="197"/>
      <c r="Y76" s="198"/>
      <c r="Z76" s="208">
        <v>45212.0</v>
      </c>
      <c r="AA76" s="204" t="str">
        <f t="shared" si="4"/>
        <v>Expected Arrived</v>
      </c>
      <c r="AB76" s="198" t="s">
        <v>38</v>
      </c>
      <c r="AC76" s="199"/>
      <c r="AD76" s="199"/>
      <c r="AE76" s="199"/>
      <c r="AF76" s="199"/>
      <c r="AG76" s="199"/>
      <c r="AH76" s="199"/>
      <c r="AI76" s="199"/>
      <c r="AJ76" s="199"/>
      <c r="AK76" s="199"/>
      <c r="AL76" s="199"/>
      <c r="AM76" s="198" t="s">
        <v>2775</v>
      </c>
      <c r="AN76" s="197"/>
      <c r="AO76" s="197"/>
      <c r="AP76" s="197"/>
      <c r="AQ76" s="197"/>
      <c r="AR76" s="197"/>
      <c r="AS76" s="197"/>
    </row>
    <row r="77">
      <c r="A77" s="198" t="str">
        <f t="shared" si="1"/>
        <v>PP</v>
      </c>
      <c r="B77" s="198" t="s">
        <v>2816</v>
      </c>
      <c r="C77" s="198" t="s">
        <v>473</v>
      </c>
      <c r="D77" s="199"/>
      <c r="E77" s="200">
        <v>44993.0</v>
      </c>
      <c r="F77" s="198">
        <v>8.0</v>
      </c>
      <c r="G77" s="198">
        <v>2023.0</v>
      </c>
      <c r="H77" s="199"/>
      <c r="I77" s="199"/>
      <c r="J77" s="198">
        <v>12387.0</v>
      </c>
      <c r="K77" s="202"/>
      <c r="L77" s="202"/>
      <c r="M77" s="202"/>
      <c r="N77" s="202"/>
      <c r="O77" s="202"/>
      <c r="P77" s="202"/>
      <c r="Q77" s="202"/>
      <c r="R77" s="202"/>
      <c r="S77" s="202"/>
      <c r="T77" s="202">
        <v>64850.0</v>
      </c>
      <c r="U77" s="198" t="s">
        <v>2710</v>
      </c>
      <c r="V77" s="198">
        <v>20.0</v>
      </c>
      <c r="W77" s="197"/>
      <c r="X77" s="197"/>
      <c r="Y77" s="199"/>
      <c r="Z77" s="199"/>
      <c r="AA77" s="204" t="str">
        <f t="shared" si="4"/>
        <v/>
      </c>
      <c r="AB77" s="198" t="s">
        <v>2781</v>
      </c>
      <c r="AC77" s="199"/>
      <c r="AD77" s="199"/>
      <c r="AE77" s="199"/>
      <c r="AF77" s="199"/>
      <c r="AG77" s="199"/>
      <c r="AH77" s="199"/>
      <c r="AI77" s="199"/>
      <c r="AJ77" s="199"/>
      <c r="AK77" s="199"/>
      <c r="AL77" s="199"/>
      <c r="AM77" s="199"/>
      <c r="AN77" s="197"/>
      <c r="AO77" s="197"/>
      <c r="AP77" s="197"/>
      <c r="AQ77" s="197"/>
      <c r="AR77" s="197"/>
      <c r="AS77" s="197"/>
    </row>
    <row r="78">
      <c r="A78" s="198" t="str">
        <f t="shared" si="1"/>
        <v>-</v>
      </c>
      <c r="B78" s="203" t="s">
        <v>148</v>
      </c>
      <c r="C78" s="198" t="s">
        <v>2817</v>
      </c>
      <c r="D78" s="199"/>
      <c r="E78" s="209"/>
      <c r="F78" s="199"/>
      <c r="G78" s="199"/>
      <c r="H78" s="199"/>
      <c r="I78" s="199"/>
      <c r="J78" s="199"/>
      <c r="K78" s="207"/>
      <c r="L78" s="207"/>
      <c r="M78" s="207"/>
      <c r="N78" s="207"/>
      <c r="O78" s="207"/>
      <c r="P78" s="207"/>
      <c r="Q78" s="207"/>
      <c r="R78" s="207"/>
      <c r="S78" s="207"/>
      <c r="T78" s="207"/>
      <c r="U78" s="199"/>
      <c r="V78" s="198">
        <v>3.0</v>
      </c>
      <c r="W78" s="197"/>
      <c r="X78" s="197"/>
      <c r="Y78" s="199"/>
      <c r="Z78" s="199"/>
      <c r="AA78" s="204" t="str">
        <f t="shared" si="4"/>
        <v/>
      </c>
      <c r="AB78" s="198" t="s">
        <v>2781</v>
      </c>
      <c r="AC78" s="199"/>
      <c r="AD78" s="199"/>
      <c r="AE78" s="199"/>
      <c r="AF78" s="199"/>
      <c r="AG78" s="199"/>
      <c r="AH78" s="199"/>
      <c r="AI78" s="199"/>
      <c r="AJ78" s="199"/>
      <c r="AK78" s="199"/>
      <c r="AL78" s="199"/>
      <c r="AM78" s="199"/>
      <c r="AN78" s="197"/>
      <c r="AO78" s="197"/>
      <c r="AP78" s="197"/>
      <c r="AQ78" s="197"/>
      <c r="AR78" s="197"/>
      <c r="AS78" s="197"/>
    </row>
    <row r="79">
      <c r="A79" s="198" t="str">
        <f t="shared" si="1"/>
        <v>PP</v>
      </c>
      <c r="B79" s="198" t="s">
        <v>2818</v>
      </c>
      <c r="C79" s="198" t="s">
        <v>59</v>
      </c>
      <c r="D79" s="199"/>
      <c r="E79" s="200">
        <v>45146.0</v>
      </c>
      <c r="F79" s="198">
        <v>8.0</v>
      </c>
      <c r="G79" s="198">
        <v>2023.0</v>
      </c>
      <c r="H79" s="199"/>
      <c r="I79" s="199"/>
      <c r="J79" s="199"/>
      <c r="K79" s="202"/>
      <c r="L79" s="202"/>
      <c r="M79" s="202"/>
      <c r="N79" s="202"/>
      <c r="O79" s="202"/>
      <c r="P79" s="202"/>
      <c r="Q79" s="202"/>
      <c r="R79" s="202"/>
      <c r="S79" s="202"/>
      <c r="T79" s="202"/>
      <c r="U79" s="199"/>
      <c r="V79" s="199"/>
      <c r="W79" s="197"/>
      <c r="X79" s="197"/>
      <c r="Y79" s="199"/>
      <c r="Z79" s="199"/>
      <c r="AA79" s="204" t="str">
        <f t="shared" si="4"/>
        <v/>
      </c>
      <c r="AB79" s="198" t="s">
        <v>38</v>
      </c>
      <c r="AC79" s="199"/>
      <c r="AD79" s="199"/>
      <c r="AE79" s="199"/>
      <c r="AF79" s="199"/>
      <c r="AG79" s="199"/>
      <c r="AH79" s="199"/>
      <c r="AI79" s="199"/>
      <c r="AJ79" s="199"/>
      <c r="AK79" s="199"/>
      <c r="AL79" s="199"/>
      <c r="AM79" s="198" t="s">
        <v>2800</v>
      </c>
      <c r="AN79" s="197"/>
      <c r="AO79" s="197"/>
      <c r="AP79" s="197"/>
      <c r="AQ79" s="197"/>
      <c r="AR79" s="197"/>
      <c r="AS79" s="197"/>
    </row>
    <row r="80">
      <c r="A80" s="198" t="str">
        <f t="shared" si="1"/>
        <v>PP</v>
      </c>
      <c r="B80" s="198" t="s">
        <v>2820</v>
      </c>
      <c r="C80" s="198" t="s">
        <v>2812</v>
      </c>
      <c r="D80" s="199"/>
      <c r="E80" s="198" t="s">
        <v>2819</v>
      </c>
      <c r="F80" s="198">
        <v>8.0</v>
      </c>
      <c r="G80" s="198">
        <v>2023.0</v>
      </c>
      <c r="H80" s="199"/>
      <c r="I80" s="199"/>
      <c r="J80" s="198">
        <v>480.0</v>
      </c>
      <c r="K80" s="202"/>
      <c r="L80" s="202"/>
      <c r="M80" s="202"/>
      <c r="N80" s="202"/>
      <c r="O80" s="202"/>
      <c r="P80" s="202"/>
      <c r="Q80" s="202"/>
      <c r="R80" s="202"/>
      <c r="S80" s="202"/>
      <c r="T80" s="202">
        <v>18000.0</v>
      </c>
      <c r="U80" s="198" t="s">
        <v>2712</v>
      </c>
      <c r="V80" s="198">
        <v>6.0</v>
      </c>
      <c r="W80" s="197"/>
      <c r="X80" s="197"/>
      <c r="Y80" s="199"/>
      <c r="Z80" s="199"/>
      <c r="AA80" s="204" t="str">
        <f t="shared" si="4"/>
        <v/>
      </c>
      <c r="AB80" s="198" t="s">
        <v>38</v>
      </c>
      <c r="AC80" s="199"/>
      <c r="AD80" s="199"/>
      <c r="AE80" s="199"/>
      <c r="AF80" s="199"/>
      <c r="AG80" s="199"/>
      <c r="AH80" s="199"/>
      <c r="AI80" s="199"/>
      <c r="AJ80" s="199"/>
      <c r="AK80" s="199"/>
      <c r="AL80" s="199"/>
      <c r="AM80" s="198" t="s">
        <v>2800</v>
      </c>
      <c r="AN80" s="197"/>
      <c r="AO80" s="197"/>
      <c r="AP80" s="197"/>
      <c r="AQ80" s="197"/>
      <c r="AR80" s="197"/>
      <c r="AS80" s="197"/>
    </row>
    <row r="81">
      <c r="A81" s="198" t="str">
        <f t="shared" si="1"/>
        <v>PP</v>
      </c>
      <c r="B81" s="198" t="s">
        <v>2821</v>
      </c>
      <c r="C81" s="198" t="s">
        <v>105</v>
      </c>
      <c r="D81" s="199"/>
      <c r="E81" s="210">
        <v>45240.0</v>
      </c>
      <c r="F81" s="198">
        <v>10.0</v>
      </c>
      <c r="G81" s="198">
        <v>2023.0</v>
      </c>
      <c r="H81" s="199"/>
      <c r="I81" s="199"/>
      <c r="J81" s="198">
        <v>15.0</v>
      </c>
      <c r="K81" s="202"/>
      <c r="L81" s="202"/>
      <c r="M81" s="202"/>
      <c r="N81" s="202"/>
      <c r="O81" s="202"/>
      <c r="P81" s="202"/>
      <c r="Q81" s="202"/>
      <c r="R81" s="202"/>
      <c r="S81" s="202"/>
      <c r="T81" s="202">
        <v>130370.76</v>
      </c>
      <c r="U81" s="206" t="s">
        <v>3026</v>
      </c>
      <c r="V81" s="198">
        <v>15.0</v>
      </c>
      <c r="W81" s="197"/>
      <c r="X81" s="197"/>
      <c r="Y81" s="199"/>
      <c r="Z81" s="199"/>
      <c r="AA81" s="204" t="str">
        <f t="shared" si="4"/>
        <v/>
      </c>
      <c r="AB81" s="198" t="s">
        <v>38</v>
      </c>
      <c r="AC81" s="198" t="s">
        <v>2823</v>
      </c>
      <c r="AD81" s="199"/>
      <c r="AE81" s="199"/>
      <c r="AF81" s="199"/>
      <c r="AG81" s="199"/>
      <c r="AH81" s="199"/>
      <c r="AI81" s="199"/>
      <c r="AJ81" s="199"/>
      <c r="AK81" s="199"/>
      <c r="AL81" s="199"/>
      <c r="AM81" s="198" t="s">
        <v>2800</v>
      </c>
      <c r="AN81" s="197"/>
      <c r="AO81" s="197"/>
      <c r="AP81" s="197"/>
      <c r="AQ81" s="197"/>
      <c r="AR81" s="197"/>
      <c r="AS81" s="197"/>
    </row>
    <row r="82">
      <c r="A82" s="198" t="str">
        <f t="shared" si="1"/>
        <v>pp</v>
      </c>
      <c r="B82" s="198" t="s">
        <v>2824</v>
      </c>
      <c r="C82" s="198" t="s">
        <v>2814</v>
      </c>
      <c r="D82" s="199"/>
      <c r="E82" s="210">
        <v>45240.0</v>
      </c>
      <c r="F82" s="198">
        <v>10.0</v>
      </c>
      <c r="G82" s="198">
        <v>2023.0</v>
      </c>
      <c r="H82" s="199"/>
      <c r="I82" s="199"/>
      <c r="J82" s="198">
        <v>11759.0</v>
      </c>
      <c r="K82" s="202"/>
      <c r="L82" s="202"/>
      <c r="M82" s="202"/>
      <c r="N82" s="202"/>
      <c r="O82" s="202"/>
      <c r="P82" s="202"/>
      <c r="Q82" s="202"/>
      <c r="R82" s="202"/>
      <c r="S82" s="202"/>
      <c r="T82" s="202">
        <v>362403.71</v>
      </c>
      <c r="U82" s="198" t="s">
        <v>2712</v>
      </c>
      <c r="V82" s="198">
        <v>48.0</v>
      </c>
      <c r="W82" s="197"/>
      <c r="X82" s="197"/>
      <c r="Y82" s="198"/>
      <c r="Z82" s="198" t="s">
        <v>2825</v>
      </c>
      <c r="AA82" s="204" t="str">
        <f t="shared" si="4"/>
        <v>Expected Arrived</v>
      </c>
      <c r="AB82" s="198" t="s">
        <v>38</v>
      </c>
      <c r="AC82" s="198" t="s">
        <v>2823</v>
      </c>
      <c r="AD82" s="199"/>
      <c r="AE82" s="199"/>
      <c r="AF82" s="199"/>
      <c r="AG82" s="199"/>
      <c r="AH82" s="199"/>
      <c r="AI82" s="199"/>
      <c r="AJ82" s="199"/>
      <c r="AK82" s="199"/>
      <c r="AL82" s="199"/>
      <c r="AM82" s="198" t="s">
        <v>2775</v>
      </c>
      <c r="AN82" s="197"/>
      <c r="AO82" s="197"/>
      <c r="AP82" s="197"/>
      <c r="AQ82" s="197"/>
      <c r="AR82" s="197"/>
      <c r="AS82" s="197"/>
    </row>
    <row r="83">
      <c r="A83" s="198" t="str">
        <f t="shared" si="1"/>
        <v>PP</v>
      </c>
      <c r="B83" s="198" t="s">
        <v>2827</v>
      </c>
      <c r="C83" s="198" t="s">
        <v>59</v>
      </c>
      <c r="D83" s="199"/>
      <c r="E83" s="198" t="s">
        <v>2826</v>
      </c>
      <c r="F83" s="198">
        <v>10.0</v>
      </c>
      <c r="G83" s="198">
        <v>2023.0</v>
      </c>
      <c r="H83" s="199"/>
      <c r="I83" s="199"/>
      <c r="J83" s="199"/>
      <c r="K83" s="202"/>
      <c r="L83" s="202"/>
      <c r="M83" s="202"/>
      <c r="N83" s="202"/>
      <c r="O83" s="202"/>
      <c r="P83" s="202"/>
      <c r="Q83" s="202"/>
      <c r="R83" s="202"/>
      <c r="S83" s="202"/>
      <c r="T83" s="202"/>
      <c r="U83" s="199"/>
      <c r="V83" s="199"/>
      <c r="W83" s="197"/>
      <c r="X83" s="197"/>
      <c r="Y83" s="199"/>
      <c r="Z83" s="199"/>
      <c r="AA83" s="204" t="str">
        <f t="shared" si="4"/>
        <v/>
      </c>
      <c r="AB83" s="198" t="s">
        <v>38</v>
      </c>
      <c r="AC83" s="199"/>
      <c r="AD83" s="199"/>
      <c r="AE83" s="199"/>
      <c r="AF83" s="199"/>
      <c r="AG83" s="199"/>
      <c r="AH83" s="199"/>
      <c r="AI83" s="199"/>
      <c r="AJ83" s="199"/>
      <c r="AK83" s="199"/>
      <c r="AL83" s="199"/>
      <c r="AM83" s="198" t="s">
        <v>2775</v>
      </c>
      <c r="AN83" s="197"/>
      <c r="AO83" s="197"/>
      <c r="AP83" s="197"/>
      <c r="AQ83" s="197"/>
      <c r="AR83" s="197"/>
      <c r="AS83" s="197"/>
    </row>
    <row r="84">
      <c r="A84" s="198" t="str">
        <f t="shared" si="1"/>
        <v>PP</v>
      </c>
      <c r="B84" s="198" t="s">
        <v>2829</v>
      </c>
      <c r="C84" s="198" t="s">
        <v>2785</v>
      </c>
      <c r="D84" s="199"/>
      <c r="E84" s="198" t="s">
        <v>2828</v>
      </c>
      <c r="F84" s="198">
        <v>10.0</v>
      </c>
      <c r="G84" s="198">
        <v>2023.0</v>
      </c>
      <c r="H84" s="199"/>
      <c r="I84" s="199"/>
      <c r="J84" s="199"/>
      <c r="K84" s="202"/>
      <c r="L84" s="202"/>
      <c r="M84" s="202"/>
      <c r="N84" s="202"/>
      <c r="O84" s="202"/>
      <c r="P84" s="202"/>
      <c r="Q84" s="202"/>
      <c r="R84" s="202"/>
      <c r="S84" s="202"/>
      <c r="T84" s="202">
        <v>216298.0</v>
      </c>
      <c r="U84" s="205" t="s">
        <v>3026</v>
      </c>
      <c r="V84" s="198">
        <v>2.0</v>
      </c>
      <c r="W84" s="197"/>
      <c r="X84" s="197"/>
      <c r="Y84" s="199"/>
      <c r="Z84" s="199"/>
      <c r="AA84" s="204" t="str">
        <f t="shared" si="4"/>
        <v/>
      </c>
      <c r="AB84" s="198" t="s">
        <v>38</v>
      </c>
      <c r="AC84" s="199"/>
      <c r="AD84" s="199"/>
      <c r="AE84" s="199"/>
      <c r="AF84" s="199"/>
      <c r="AG84" s="199"/>
      <c r="AH84" s="199"/>
      <c r="AI84" s="199"/>
      <c r="AJ84" s="199"/>
      <c r="AK84" s="199"/>
      <c r="AL84" s="199"/>
      <c r="AM84" s="198" t="s">
        <v>2800</v>
      </c>
      <c r="AN84" s="197"/>
      <c r="AO84" s="197"/>
      <c r="AP84" s="197"/>
      <c r="AQ84" s="197"/>
      <c r="AR84" s="197"/>
      <c r="AS84" s="197"/>
    </row>
    <row r="85">
      <c r="A85" s="198" t="str">
        <f t="shared" si="1"/>
        <v>PP</v>
      </c>
      <c r="B85" s="198" t="s">
        <v>2831</v>
      </c>
      <c r="C85" s="198" t="s">
        <v>81</v>
      </c>
      <c r="D85" s="199" t="s">
        <v>2807</v>
      </c>
      <c r="E85" s="198" t="s">
        <v>2830</v>
      </c>
      <c r="F85" s="198">
        <v>10.0</v>
      </c>
      <c r="G85" s="198">
        <v>2023.0</v>
      </c>
      <c r="H85" s="199"/>
      <c r="I85" s="199"/>
      <c r="J85" s="199"/>
      <c r="K85" s="202"/>
      <c r="L85" s="202"/>
      <c r="M85" s="202"/>
      <c r="N85" s="202"/>
      <c r="O85" s="202"/>
      <c r="P85" s="202"/>
      <c r="Q85" s="202"/>
      <c r="R85" s="202"/>
      <c r="S85" s="202"/>
      <c r="T85" s="202">
        <v>395209.0</v>
      </c>
      <c r="U85" s="206" t="s">
        <v>3026</v>
      </c>
      <c r="V85" s="198">
        <v>18.0</v>
      </c>
      <c r="W85" s="197"/>
      <c r="X85" s="197"/>
      <c r="Y85" s="199"/>
      <c r="Z85" s="199"/>
      <c r="AA85" s="204" t="str">
        <f t="shared" si="4"/>
        <v/>
      </c>
      <c r="AB85" s="198" t="s">
        <v>38</v>
      </c>
      <c r="AC85" s="199"/>
      <c r="AD85" s="199"/>
      <c r="AE85" s="199"/>
      <c r="AF85" s="199"/>
      <c r="AG85" s="199"/>
      <c r="AH85" s="199"/>
      <c r="AI85" s="199"/>
      <c r="AJ85" s="199"/>
      <c r="AK85" s="199"/>
      <c r="AL85" s="199"/>
      <c r="AM85" s="198" t="s">
        <v>2800</v>
      </c>
      <c r="AN85" s="197"/>
      <c r="AO85" s="197"/>
      <c r="AP85" s="197"/>
      <c r="AQ85" s="197"/>
      <c r="AR85" s="197"/>
      <c r="AS85" s="197"/>
    </row>
    <row r="86">
      <c r="A86" s="198" t="str">
        <f t="shared" si="1"/>
        <v>PP</v>
      </c>
      <c r="B86" s="198" t="s">
        <v>2832</v>
      </c>
      <c r="C86" s="198" t="s">
        <v>81</v>
      </c>
      <c r="D86" s="199" t="s">
        <v>2833</v>
      </c>
      <c r="E86" s="198" t="s">
        <v>2830</v>
      </c>
      <c r="F86" s="198">
        <v>10.0</v>
      </c>
      <c r="G86" s="198">
        <v>2023.0</v>
      </c>
      <c r="H86" s="199"/>
      <c r="I86" s="199"/>
      <c r="J86" s="199"/>
      <c r="K86" s="202"/>
      <c r="L86" s="202"/>
      <c r="M86" s="202"/>
      <c r="N86" s="202"/>
      <c r="O86" s="202"/>
      <c r="P86" s="202"/>
      <c r="Q86" s="202"/>
      <c r="R86" s="202"/>
      <c r="S86" s="202"/>
      <c r="T86" s="202">
        <v>245926.11</v>
      </c>
      <c r="U86" s="205" t="s">
        <v>3026</v>
      </c>
      <c r="V86" s="198">
        <v>33.0</v>
      </c>
      <c r="W86" s="197"/>
      <c r="X86" s="197"/>
      <c r="Y86" s="199"/>
      <c r="Z86" s="199"/>
      <c r="AA86" s="204" t="str">
        <f t="shared" si="4"/>
        <v/>
      </c>
      <c r="AB86" s="198" t="s">
        <v>38</v>
      </c>
      <c r="AC86" s="199"/>
      <c r="AD86" s="199"/>
      <c r="AE86" s="199"/>
      <c r="AF86" s="199"/>
      <c r="AG86" s="199"/>
      <c r="AH86" s="199"/>
      <c r="AI86" s="199"/>
      <c r="AJ86" s="199"/>
      <c r="AK86" s="199"/>
      <c r="AL86" s="199"/>
      <c r="AM86" s="198" t="s">
        <v>2800</v>
      </c>
      <c r="AN86" s="197"/>
      <c r="AO86" s="197"/>
      <c r="AP86" s="197"/>
      <c r="AQ86" s="197"/>
      <c r="AR86" s="197"/>
      <c r="AS86" s="197"/>
    </row>
    <row r="87">
      <c r="A87" s="198" t="str">
        <f t="shared" si="1"/>
        <v>PP</v>
      </c>
      <c r="B87" s="198" t="s">
        <v>2835</v>
      </c>
      <c r="C87" s="198" t="s">
        <v>2713</v>
      </c>
      <c r="D87" s="199" t="s">
        <v>2837</v>
      </c>
      <c r="E87" s="198" t="s">
        <v>2834</v>
      </c>
      <c r="F87" s="198">
        <v>10.0</v>
      </c>
      <c r="G87" s="198">
        <v>2023.0</v>
      </c>
      <c r="H87" s="199"/>
      <c r="I87" s="199"/>
      <c r="J87" s="199"/>
      <c r="K87" s="202"/>
      <c r="L87" s="202"/>
      <c r="M87" s="202"/>
      <c r="N87" s="202"/>
      <c r="O87" s="202"/>
      <c r="P87" s="202"/>
      <c r="Q87" s="202"/>
      <c r="R87" s="202"/>
      <c r="S87" s="202"/>
      <c r="T87" s="202">
        <v>210289.5</v>
      </c>
      <c r="U87" s="198" t="s">
        <v>2712</v>
      </c>
      <c r="V87" s="199"/>
      <c r="W87" s="197"/>
      <c r="X87" s="197"/>
      <c r="Y87" s="199"/>
      <c r="Z87" s="199"/>
      <c r="AA87" s="204" t="str">
        <f t="shared" si="4"/>
        <v/>
      </c>
      <c r="AB87" s="198" t="s">
        <v>38</v>
      </c>
      <c r="AC87" s="198" t="s">
        <v>2836</v>
      </c>
      <c r="AD87" s="199"/>
      <c r="AE87" s="199"/>
      <c r="AF87" s="199"/>
      <c r="AG87" s="199"/>
      <c r="AH87" s="199"/>
      <c r="AI87" s="199"/>
      <c r="AJ87" s="199"/>
      <c r="AK87" s="199"/>
      <c r="AL87" s="199"/>
      <c r="AM87" s="198" t="s">
        <v>2800</v>
      </c>
      <c r="AN87" s="197"/>
      <c r="AO87" s="197"/>
      <c r="AP87" s="197"/>
      <c r="AQ87" s="197"/>
      <c r="AR87" s="197"/>
      <c r="AS87" s="197"/>
    </row>
    <row r="88">
      <c r="A88" s="198" t="str">
        <f t="shared" si="1"/>
        <v>PP</v>
      </c>
      <c r="B88" s="198" t="s">
        <v>2838</v>
      </c>
      <c r="C88" s="198" t="s">
        <v>2713</v>
      </c>
      <c r="D88" s="199" t="s">
        <v>2839</v>
      </c>
      <c r="E88" s="198" t="s">
        <v>2834</v>
      </c>
      <c r="F88" s="198">
        <v>10.0</v>
      </c>
      <c r="G88" s="198">
        <v>2023.0</v>
      </c>
      <c r="H88" s="199"/>
      <c r="I88" s="199"/>
      <c r="J88" s="199"/>
      <c r="K88" s="202"/>
      <c r="L88" s="202"/>
      <c r="M88" s="202"/>
      <c r="N88" s="202"/>
      <c r="O88" s="202"/>
      <c r="P88" s="202"/>
      <c r="Q88" s="202"/>
      <c r="R88" s="202"/>
      <c r="S88" s="202"/>
      <c r="T88" s="202">
        <v>371328.3</v>
      </c>
      <c r="U88" s="198" t="s">
        <v>2712</v>
      </c>
      <c r="V88" s="199"/>
      <c r="W88" s="197"/>
      <c r="X88" s="197"/>
      <c r="Y88" s="199"/>
      <c r="Z88" s="199"/>
      <c r="AA88" s="204" t="str">
        <f t="shared" si="4"/>
        <v/>
      </c>
      <c r="AB88" s="198" t="s">
        <v>38</v>
      </c>
      <c r="AC88" s="198" t="s">
        <v>2836</v>
      </c>
      <c r="AD88" s="199"/>
      <c r="AE88" s="199"/>
      <c r="AF88" s="199"/>
      <c r="AG88" s="199"/>
      <c r="AH88" s="199"/>
      <c r="AI88" s="199"/>
      <c r="AJ88" s="199"/>
      <c r="AK88" s="199"/>
      <c r="AL88" s="199"/>
      <c r="AM88" s="198" t="s">
        <v>2800</v>
      </c>
      <c r="AN88" s="197"/>
      <c r="AO88" s="197"/>
      <c r="AP88" s="197"/>
      <c r="AQ88" s="197"/>
      <c r="AR88" s="197"/>
      <c r="AS88" s="197"/>
    </row>
    <row r="89">
      <c r="A89" s="198" t="str">
        <f t="shared" si="1"/>
        <v>PP</v>
      </c>
      <c r="B89" s="198" t="s">
        <v>2840</v>
      </c>
      <c r="C89" s="198" t="s">
        <v>2713</v>
      </c>
      <c r="D89" s="199" t="s">
        <v>2841</v>
      </c>
      <c r="E89" s="198" t="s">
        <v>2834</v>
      </c>
      <c r="F89" s="198">
        <v>10.0</v>
      </c>
      <c r="G89" s="198">
        <v>2023.0</v>
      </c>
      <c r="H89" s="199"/>
      <c r="I89" s="199"/>
      <c r="J89" s="199"/>
      <c r="K89" s="202"/>
      <c r="L89" s="202"/>
      <c r="M89" s="202"/>
      <c r="N89" s="202"/>
      <c r="O89" s="202"/>
      <c r="P89" s="202"/>
      <c r="Q89" s="202"/>
      <c r="R89" s="202"/>
      <c r="S89" s="202"/>
      <c r="T89" s="202">
        <v>198567.98</v>
      </c>
      <c r="U89" s="198" t="s">
        <v>2712</v>
      </c>
      <c r="V89" s="199"/>
      <c r="W89" s="197"/>
      <c r="X89" s="197"/>
      <c r="Y89" s="199"/>
      <c r="Z89" s="199"/>
      <c r="AA89" s="204" t="str">
        <f t="shared" si="4"/>
        <v/>
      </c>
      <c r="AB89" s="198" t="s">
        <v>38</v>
      </c>
      <c r="AC89" s="198" t="s">
        <v>2836</v>
      </c>
      <c r="AD89" s="199"/>
      <c r="AE89" s="199"/>
      <c r="AF89" s="199"/>
      <c r="AG89" s="199"/>
      <c r="AH89" s="199"/>
      <c r="AI89" s="199"/>
      <c r="AJ89" s="199"/>
      <c r="AK89" s="199"/>
      <c r="AL89" s="199"/>
      <c r="AM89" s="198" t="s">
        <v>2800</v>
      </c>
      <c r="AN89" s="197"/>
      <c r="AO89" s="197"/>
      <c r="AP89" s="197"/>
      <c r="AQ89" s="197"/>
      <c r="AR89" s="197"/>
      <c r="AS89" s="197"/>
    </row>
    <row r="90">
      <c r="A90" s="198" t="str">
        <f t="shared" si="1"/>
        <v>PP</v>
      </c>
      <c r="B90" s="198" t="s">
        <v>2842</v>
      </c>
      <c r="C90" s="198" t="s">
        <v>2713</v>
      </c>
      <c r="D90" s="199" t="s">
        <v>2843</v>
      </c>
      <c r="E90" s="198" t="s">
        <v>2834</v>
      </c>
      <c r="F90" s="198">
        <v>10.0</v>
      </c>
      <c r="G90" s="198">
        <v>2023.0</v>
      </c>
      <c r="H90" s="199"/>
      <c r="I90" s="199"/>
      <c r="J90" s="199"/>
      <c r="K90" s="202"/>
      <c r="L90" s="202"/>
      <c r="M90" s="202"/>
      <c r="N90" s="202"/>
      <c r="O90" s="202"/>
      <c r="P90" s="202"/>
      <c r="Q90" s="202"/>
      <c r="R90" s="202"/>
      <c r="S90" s="202"/>
      <c r="T90" s="202">
        <v>189630.0</v>
      </c>
      <c r="U90" s="198" t="s">
        <v>2712</v>
      </c>
      <c r="V90" s="199"/>
      <c r="W90" s="197"/>
      <c r="X90" s="197"/>
      <c r="Y90" s="199"/>
      <c r="Z90" s="199"/>
      <c r="AA90" s="204" t="str">
        <f t="shared" si="4"/>
        <v/>
      </c>
      <c r="AB90" s="198" t="s">
        <v>38</v>
      </c>
      <c r="AC90" s="198" t="s">
        <v>2836</v>
      </c>
      <c r="AD90" s="199"/>
      <c r="AE90" s="199"/>
      <c r="AF90" s="199"/>
      <c r="AG90" s="199"/>
      <c r="AH90" s="199"/>
      <c r="AI90" s="199"/>
      <c r="AJ90" s="199"/>
      <c r="AK90" s="199"/>
      <c r="AL90" s="199"/>
      <c r="AM90" s="198" t="s">
        <v>2800</v>
      </c>
      <c r="AN90" s="197"/>
      <c r="AO90" s="197"/>
      <c r="AP90" s="197"/>
      <c r="AQ90" s="197"/>
      <c r="AR90" s="197"/>
      <c r="AS90" s="197"/>
    </row>
    <row r="91">
      <c r="A91" s="198" t="str">
        <f t="shared" si="1"/>
        <v>PP</v>
      </c>
      <c r="B91" s="198" t="s">
        <v>2845</v>
      </c>
      <c r="C91" s="198" t="s">
        <v>2846</v>
      </c>
      <c r="D91" s="199" t="s">
        <v>2848</v>
      </c>
      <c r="E91" s="200">
        <v>44968.0</v>
      </c>
      <c r="F91" s="198">
        <v>11.0</v>
      </c>
      <c r="G91" s="198">
        <v>2023.0</v>
      </c>
      <c r="H91" s="199"/>
      <c r="I91" s="199"/>
      <c r="J91" s="199"/>
      <c r="K91" s="202"/>
      <c r="L91" s="202"/>
      <c r="M91" s="202"/>
      <c r="N91" s="202"/>
      <c r="O91" s="202"/>
      <c r="P91" s="202"/>
      <c r="Q91" s="202"/>
      <c r="R91" s="202"/>
      <c r="S91" s="202"/>
      <c r="T91" s="202">
        <v>28704.0</v>
      </c>
      <c r="U91" s="198" t="s">
        <v>2712</v>
      </c>
      <c r="V91" s="199"/>
      <c r="W91" s="197"/>
      <c r="X91" s="197"/>
      <c r="Y91" s="199"/>
      <c r="Z91" s="199"/>
      <c r="AA91" s="204" t="str">
        <f t="shared" si="4"/>
        <v/>
      </c>
      <c r="AB91" s="198" t="s">
        <v>38</v>
      </c>
      <c r="AC91" s="198" t="s">
        <v>2836</v>
      </c>
      <c r="AD91" s="199"/>
      <c r="AE91" s="199"/>
      <c r="AF91" s="199"/>
      <c r="AG91" s="199"/>
      <c r="AH91" s="199"/>
      <c r="AI91" s="199"/>
      <c r="AJ91" s="199"/>
      <c r="AK91" s="199"/>
      <c r="AL91" s="199"/>
      <c r="AM91" s="198" t="s">
        <v>2847</v>
      </c>
      <c r="AN91" s="197"/>
      <c r="AO91" s="197"/>
      <c r="AP91" s="197"/>
      <c r="AQ91" s="197"/>
      <c r="AR91" s="197"/>
      <c r="AS91" s="197"/>
    </row>
    <row r="92">
      <c r="A92" s="198" t="str">
        <f t="shared" si="1"/>
        <v>PP</v>
      </c>
      <c r="B92" s="198" t="s">
        <v>2849</v>
      </c>
      <c r="C92" s="198" t="s">
        <v>2846</v>
      </c>
      <c r="D92" s="199" t="s">
        <v>2850</v>
      </c>
      <c r="E92" s="200">
        <v>44968.0</v>
      </c>
      <c r="F92" s="198">
        <v>11.0</v>
      </c>
      <c r="G92" s="198">
        <v>2023.0</v>
      </c>
      <c r="H92" s="199"/>
      <c r="I92" s="199"/>
      <c r="J92" s="199"/>
      <c r="K92" s="202"/>
      <c r="L92" s="202"/>
      <c r="M92" s="202"/>
      <c r="N92" s="202"/>
      <c r="O92" s="202"/>
      <c r="P92" s="202"/>
      <c r="Q92" s="202"/>
      <c r="R92" s="202"/>
      <c r="S92" s="202"/>
      <c r="T92" s="202">
        <v>31807.62</v>
      </c>
      <c r="U92" s="198" t="s">
        <v>2712</v>
      </c>
      <c r="V92" s="199"/>
      <c r="W92" s="197"/>
      <c r="X92" s="197"/>
      <c r="Y92" s="199"/>
      <c r="Z92" s="199"/>
      <c r="AA92" s="204" t="str">
        <f t="shared" si="4"/>
        <v/>
      </c>
      <c r="AB92" s="198" t="s">
        <v>38</v>
      </c>
      <c r="AC92" s="198" t="s">
        <v>2836</v>
      </c>
      <c r="AD92" s="199"/>
      <c r="AE92" s="199"/>
      <c r="AF92" s="199"/>
      <c r="AG92" s="199"/>
      <c r="AH92" s="199"/>
      <c r="AI92" s="199"/>
      <c r="AJ92" s="199"/>
      <c r="AK92" s="199"/>
      <c r="AL92" s="199"/>
      <c r="AM92" s="198" t="s">
        <v>2847</v>
      </c>
      <c r="AN92" s="197"/>
      <c r="AO92" s="197"/>
      <c r="AP92" s="197"/>
      <c r="AQ92" s="197"/>
      <c r="AR92" s="197"/>
      <c r="AS92" s="197"/>
    </row>
    <row r="93">
      <c r="A93" s="198" t="str">
        <f t="shared" si="1"/>
        <v>PP</v>
      </c>
      <c r="B93" s="198" t="s">
        <v>2851</v>
      </c>
      <c r="C93" s="198" t="s">
        <v>2846</v>
      </c>
      <c r="D93" s="199" t="s">
        <v>2807</v>
      </c>
      <c r="E93" s="200">
        <v>44968.0</v>
      </c>
      <c r="F93" s="198">
        <v>11.0</v>
      </c>
      <c r="G93" s="198">
        <v>2023.0</v>
      </c>
      <c r="H93" s="199"/>
      <c r="I93" s="199"/>
      <c r="J93" s="199"/>
      <c r="K93" s="202"/>
      <c r="L93" s="202"/>
      <c r="M93" s="202"/>
      <c r="N93" s="202"/>
      <c r="O93" s="202"/>
      <c r="P93" s="202"/>
      <c r="Q93" s="202"/>
      <c r="R93" s="202"/>
      <c r="S93" s="202"/>
      <c r="T93" s="202">
        <v>49508.4</v>
      </c>
      <c r="U93" s="198" t="s">
        <v>2712</v>
      </c>
      <c r="V93" s="199"/>
      <c r="W93" s="197"/>
      <c r="X93" s="197"/>
      <c r="Y93" s="199"/>
      <c r="Z93" s="199"/>
      <c r="AA93" s="204" t="str">
        <f t="shared" si="4"/>
        <v/>
      </c>
      <c r="AB93" s="198" t="s">
        <v>38</v>
      </c>
      <c r="AC93" s="198" t="s">
        <v>2836</v>
      </c>
      <c r="AD93" s="199"/>
      <c r="AE93" s="199"/>
      <c r="AF93" s="199"/>
      <c r="AG93" s="199"/>
      <c r="AH93" s="199"/>
      <c r="AI93" s="199"/>
      <c r="AJ93" s="199"/>
      <c r="AK93" s="199"/>
      <c r="AL93" s="199"/>
      <c r="AM93" s="198" t="s">
        <v>2847</v>
      </c>
      <c r="AN93" s="197"/>
      <c r="AO93" s="197"/>
      <c r="AP93" s="197"/>
      <c r="AQ93" s="197"/>
      <c r="AR93" s="197"/>
      <c r="AS93" s="197"/>
    </row>
    <row r="94">
      <c r="A94" s="198" t="str">
        <f t="shared" si="1"/>
        <v>PP</v>
      </c>
      <c r="B94" s="198" t="s">
        <v>2852</v>
      </c>
      <c r="C94" s="198" t="s">
        <v>2846</v>
      </c>
      <c r="D94" s="199" t="s">
        <v>2854</v>
      </c>
      <c r="E94" s="200">
        <v>45057.0</v>
      </c>
      <c r="F94" s="198">
        <v>11.0</v>
      </c>
      <c r="G94" s="198">
        <v>2023.0</v>
      </c>
      <c r="H94" s="199"/>
      <c r="I94" s="199"/>
      <c r="J94" s="199"/>
      <c r="K94" s="202"/>
      <c r="L94" s="202"/>
      <c r="M94" s="202"/>
      <c r="N94" s="202"/>
      <c r="O94" s="202"/>
      <c r="P94" s="202"/>
      <c r="Q94" s="202"/>
      <c r="R94" s="202"/>
      <c r="S94" s="202"/>
      <c r="T94" s="202">
        <v>93506.4</v>
      </c>
      <c r="U94" s="198" t="s">
        <v>2712</v>
      </c>
      <c r="V94" s="199"/>
      <c r="W94" s="197"/>
      <c r="X94" s="197"/>
      <c r="Y94" s="199"/>
      <c r="Z94" s="199"/>
      <c r="AA94" s="204" t="str">
        <f t="shared" si="4"/>
        <v/>
      </c>
      <c r="AB94" s="198" t="s">
        <v>38</v>
      </c>
      <c r="AC94" s="198" t="s">
        <v>2853</v>
      </c>
      <c r="AD94" s="199"/>
      <c r="AE94" s="199"/>
      <c r="AF94" s="199"/>
      <c r="AG94" s="199"/>
      <c r="AH94" s="199"/>
      <c r="AI94" s="199"/>
      <c r="AJ94" s="199"/>
      <c r="AK94" s="199"/>
      <c r="AL94" s="199"/>
      <c r="AM94" s="198" t="s">
        <v>2783</v>
      </c>
      <c r="AN94" s="197"/>
      <c r="AO94" s="197"/>
      <c r="AP94" s="197"/>
      <c r="AQ94" s="197"/>
      <c r="AR94" s="197"/>
      <c r="AS94" s="197"/>
    </row>
    <row r="95">
      <c r="A95" s="198" t="str">
        <f t="shared" si="1"/>
        <v>PP</v>
      </c>
      <c r="B95" s="198" t="s">
        <v>2855</v>
      </c>
      <c r="C95" s="198" t="s">
        <v>2814</v>
      </c>
      <c r="D95" s="199"/>
      <c r="E95" s="200">
        <v>45057.0</v>
      </c>
      <c r="F95" s="198">
        <v>11.0</v>
      </c>
      <c r="G95" s="198">
        <v>2023.0</v>
      </c>
      <c r="H95" s="199"/>
      <c r="I95" s="199"/>
      <c r="J95" s="199"/>
      <c r="K95" s="202"/>
      <c r="L95" s="202"/>
      <c r="M95" s="202"/>
      <c r="N95" s="202"/>
      <c r="O95" s="202"/>
      <c r="P95" s="202"/>
      <c r="Q95" s="202"/>
      <c r="R95" s="202"/>
      <c r="S95" s="202"/>
      <c r="T95" s="202">
        <v>700000.0</v>
      </c>
      <c r="U95" s="198" t="s">
        <v>2712</v>
      </c>
      <c r="V95" s="199"/>
      <c r="W95" s="197"/>
      <c r="X95" s="197"/>
      <c r="Y95" s="200"/>
      <c r="Z95" s="200">
        <v>45445.0</v>
      </c>
      <c r="AA95" s="204" t="str">
        <f t="shared" si="4"/>
        <v>Expected Arrived</v>
      </c>
      <c r="AB95" s="198" t="s">
        <v>2781</v>
      </c>
      <c r="AC95" s="199"/>
      <c r="AD95" s="199"/>
      <c r="AE95" s="199"/>
      <c r="AF95" s="199"/>
      <c r="AG95" s="199"/>
      <c r="AH95" s="199"/>
      <c r="AI95" s="199"/>
      <c r="AJ95" s="199"/>
      <c r="AK95" s="199"/>
      <c r="AL95" s="199"/>
      <c r="AM95" s="198" t="s">
        <v>2775</v>
      </c>
      <c r="AN95" s="197"/>
      <c r="AO95" s="197"/>
      <c r="AP95" s="197"/>
      <c r="AQ95" s="197"/>
      <c r="AR95" s="197"/>
      <c r="AS95" s="197"/>
    </row>
    <row r="96">
      <c r="A96" s="198" t="str">
        <f t="shared" si="1"/>
        <v>PP</v>
      </c>
      <c r="B96" s="198" t="s">
        <v>2856</v>
      </c>
      <c r="C96" s="198" t="s">
        <v>26</v>
      </c>
      <c r="D96" s="199"/>
      <c r="E96" s="200">
        <v>45149.0</v>
      </c>
      <c r="F96" s="198">
        <v>11.0</v>
      </c>
      <c r="G96" s="198">
        <v>2023.0</v>
      </c>
      <c r="H96" s="199"/>
      <c r="I96" s="199"/>
      <c r="J96" s="199"/>
      <c r="K96" s="202"/>
      <c r="L96" s="202"/>
      <c r="M96" s="202"/>
      <c r="N96" s="202"/>
      <c r="O96" s="202"/>
      <c r="P96" s="202"/>
      <c r="Q96" s="202"/>
      <c r="R96" s="202"/>
      <c r="S96" s="202"/>
      <c r="T96" s="202">
        <v>222292.45</v>
      </c>
      <c r="U96" s="205" t="s">
        <v>3026</v>
      </c>
      <c r="V96" s="199"/>
      <c r="W96" s="197"/>
      <c r="X96" s="197"/>
      <c r="Y96" s="199"/>
      <c r="Z96" s="199"/>
      <c r="AA96" s="204" t="str">
        <f t="shared" si="4"/>
        <v/>
      </c>
      <c r="AB96" s="198" t="s">
        <v>38</v>
      </c>
      <c r="AC96" s="199"/>
      <c r="AD96" s="199"/>
      <c r="AE96" s="199"/>
      <c r="AF96" s="199"/>
      <c r="AG96" s="199"/>
      <c r="AH96" s="199"/>
      <c r="AI96" s="199"/>
      <c r="AJ96" s="199"/>
      <c r="AK96" s="199"/>
      <c r="AL96" s="199"/>
      <c r="AM96" s="198" t="s">
        <v>2783</v>
      </c>
      <c r="AN96" s="197"/>
      <c r="AO96" s="197"/>
      <c r="AP96" s="197"/>
      <c r="AQ96" s="197"/>
      <c r="AR96" s="197"/>
      <c r="AS96" s="197"/>
    </row>
    <row r="97">
      <c r="A97" s="198" t="str">
        <f t="shared" si="1"/>
        <v>PP</v>
      </c>
      <c r="B97" s="198" t="s">
        <v>2857</v>
      </c>
      <c r="C97" s="198" t="s">
        <v>81</v>
      </c>
      <c r="D97" s="199" t="s">
        <v>2807</v>
      </c>
      <c r="E97" s="200">
        <v>45180.0</v>
      </c>
      <c r="F97" s="198">
        <v>11.0</v>
      </c>
      <c r="G97" s="198">
        <v>2023.0</v>
      </c>
      <c r="H97" s="199"/>
      <c r="I97" s="199"/>
      <c r="J97" s="199"/>
      <c r="K97" s="202"/>
      <c r="L97" s="202"/>
      <c r="M97" s="202"/>
      <c r="N97" s="202"/>
      <c r="O97" s="202"/>
      <c r="P97" s="202"/>
      <c r="Q97" s="202"/>
      <c r="R97" s="202"/>
      <c r="S97" s="202"/>
      <c r="T97" s="202">
        <v>421450.8</v>
      </c>
      <c r="U97" s="205" t="s">
        <v>3026</v>
      </c>
      <c r="V97" s="199"/>
      <c r="W97" s="197"/>
      <c r="X97" s="197"/>
      <c r="Y97" s="199"/>
      <c r="Z97" s="199"/>
      <c r="AA97" s="204" t="str">
        <f t="shared" si="4"/>
        <v/>
      </c>
      <c r="AB97" s="198" t="s">
        <v>2730</v>
      </c>
      <c r="AC97" s="199"/>
      <c r="AD97" s="199"/>
      <c r="AE97" s="199"/>
      <c r="AF97" s="199"/>
      <c r="AG97" s="199"/>
      <c r="AH97" s="199"/>
      <c r="AI97" s="199"/>
      <c r="AJ97" s="199"/>
      <c r="AK97" s="199"/>
      <c r="AL97" s="199"/>
      <c r="AM97" s="198" t="s">
        <v>2783</v>
      </c>
      <c r="AN97" s="197"/>
      <c r="AO97" s="197"/>
      <c r="AP97" s="197"/>
      <c r="AQ97" s="197"/>
      <c r="AR97" s="197"/>
      <c r="AS97" s="197"/>
    </row>
    <row r="98">
      <c r="A98" s="198" t="str">
        <f t="shared" si="1"/>
        <v>PP</v>
      </c>
      <c r="B98" s="198" t="s">
        <v>2859</v>
      </c>
      <c r="C98" s="198" t="s">
        <v>2729</v>
      </c>
      <c r="D98" s="199"/>
      <c r="E98" s="198" t="s">
        <v>2858</v>
      </c>
      <c r="F98" s="198">
        <v>11.0</v>
      </c>
      <c r="G98" s="198">
        <v>2023.0</v>
      </c>
      <c r="H98" s="199"/>
      <c r="I98" s="199"/>
      <c r="J98" s="199"/>
      <c r="K98" s="202"/>
      <c r="L98" s="202"/>
      <c r="M98" s="202"/>
      <c r="N98" s="202"/>
      <c r="O98" s="202"/>
      <c r="P98" s="202"/>
      <c r="Q98" s="202"/>
      <c r="R98" s="202"/>
      <c r="S98" s="202"/>
      <c r="T98" s="202">
        <v>76896.0</v>
      </c>
      <c r="U98" s="205" t="s">
        <v>3026</v>
      </c>
      <c r="V98" s="199"/>
      <c r="W98" s="197"/>
      <c r="X98" s="197"/>
      <c r="Y98" s="211"/>
      <c r="Z98" s="211">
        <v>44950.0</v>
      </c>
      <c r="AA98" s="204" t="str">
        <f t="shared" si="4"/>
        <v>Expected Arrived</v>
      </c>
      <c r="AB98" s="198" t="s">
        <v>38</v>
      </c>
      <c r="AC98" s="199"/>
      <c r="AD98" s="199"/>
      <c r="AE98" s="199"/>
      <c r="AF98" s="199"/>
      <c r="AG98" s="199"/>
      <c r="AH98" s="199"/>
      <c r="AI98" s="199"/>
      <c r="AJ98" s="199"/>
      <c r="AK98" s="199"/>
      <c r="AL98" s="199"/>
      <c r="AM98" s="198" t="s">
        <v>2783</v>
      </c>
      <c r="AN98" s="197"/>
      <c r="AO98" s="197"/>
      <c r="AP98" s="197"/>
      <c r="AQ98" s="197"/>
      <c r="AR98" s="197"/>
      <c r="AS98" s="197"/>
    </row>
    <row r="99">
      <c r="A99" s="198" t="str">
        <f t="shared" si="1"/>
        <v>PP</v>
      </c>
      <c r="B99" s="198" t="s">
        <v>2861</v>
      </c>
      <c r="C99" s="198" t="s">
        <v>169</v>
      </c>
      <c r="D99" s="199" t="s">
        <v>2862</v>
      </c>
      <c r="E99" s="198" t="s">
        <v>2860</v>
      </c>
      <c r="F99" s="198">
        <v>11.0</v>
      </c>
      <c r="G99" s="198">
        <v>2023.0</v>
      </c>
      <c r="H99" s="199"/>
      <c r="I99" s="199"/>
      <c r="J99" s="199"/>
      <c r="K99" s="202"/>
      <c r="L99" s="202"/>
      <c r="M99" s="202"/>
      <c r="N99" s="202"/>
      <c r="O99" s="202"/>
      <c r="P99" s="202"/>
      <c r="Q99" s="202"/>
      <c r="R99" s="202"/>
      <c r="S99" s="202"/>
      <c r="T99" s="202">
        <v>39139.17</v>
      </c>
      <c r="U99" s="198" t="s">
        <v>2712</v>
      </c>
      <c r="V99" s="199"/>
      <c r="W99" s="197"/>
      <c r="X99" s="197"/>
      <c r="Y99" s="199"/>
      <c r="Z99" s="199"/>
      <c r="AA99" s="204" t="str">
        <f t="shared" si="4"/>
        <v/>
      </c>
      <c r="AB99" s="198" t="s">
        <v>38</v>
      </c>
      <c r="AC99" s="199"/>
      <c r="AD99" s="199"/>
      <c r="AE99" s="199"/>
      <c r="AF99" s="199"/>
      <c r="AG99" s="199"/>
      <c r="AH99" s="199"/>
      <c r="AI99" s="199"/>
      <c r="AJ99" s="199"/>
      <c r="AK99" s="199"/>
      <c r="AL99" s="199"/>
      <c r="AM99" s="198" t="s">
        <v>2783</v>
      </c>
      <c r="AN99" s="197"/>
      <c r="AO99" s="197"/>
      <c r="AP99" s="197"/>
      <c r="AQ99" s="197"/>
      <c r="AR99" s="197"/>
      <c r="AS99" s="197"/>
    </row>
    <row r="100">
      <c r="A100" s="198" t="str">
        <f t="shared" si="1"/>
        <v>PP</v>
      </c>
      <c r="B100" s="198" t="s">
        <v>2864</v>
      </c>
      <c r="C100" s="198" t="s">
        <v>26</v>
      </c>
      <c r="D100" s="199" t="s">
        <v>2866</v>
      </c>
      <c r="E100" s="198" t="s">
        <v>2863</v>
      </c>
      <c r="F100" s="198">
        <v>11.0</v>
      </c>
      <c r="G100" s="198">
        <v>2023.0</v>
      </c>
      <c r="H100" s="199"/>
      <c r="I100" s="199"/>
      <c r="J100" s="199"/>
      <c r="K100" s="202"/>
      <c r="L100" s="202"/>
      <c r="M100" s="202"/>
      <c r="N100" s="202"/>
      <c r="O100" s="202"/>
      <c r="P100" s="202"/>
      <c r="Q100" s="202"/>
      <c r="R100" s="202"/>
      <c r="S100" s="202"/>
      <c r="T100" s="202">
        <v>25704.0</v>
      </c>
      <c r="U100" s="205" t="s">
        <v>3026</v>
      </c>
      <c r="V100" s="198">
        <v>5.0</v>
      </c>
      <c r="W100" s="197"/>
      <c r="X100" s="197"/>
      <c r="Y100" s="211"/>
      <c r="Z100" s="211">
        <v>45275.0</v>
      </c>
      <c r="AA100" s="204" t="str">
        <f t="shared" si="4"/>
        <v>Expected Arrived</v>
      </c>
      <c r="AB100" s="198" t="s">
        <v>38</v>
      </c>
      <c r="AC100" s="198" t="s">
        <v>2865</v>
      </c>
      <c r="AD100" s="199"/>
      <c r="AE100" s="199"/>
      <c r="AF100" s="199"/>
      <c r="AG100" s="199"/>
      <c r="AH100" s="199"/>
      <c r="AI100" s="199"/>
      <c r="AJ100" s="199"/>
      <c r="AK100" s="199"/>
      <c r="AL100" s="199"/>
      <c r="AM100" s="198" t="s">
        <v>2783</v>
      </c>
      <c r="AN100" s="197"/>
      <c r="AO100" s="197"/>
      <c r="AP100" s="197"/>
      <c r="AQ100" s="197"/>
      <c r="AR100" s="197"/>
      <c r="AS100" s="197"/>
    </row>
    <row r="101">
      <c r="A101" s="198" t="str">
        <f t="shared" si="1"/>
        <v>PP</v>
      </c>
      <c r="B101" s="198" t="s">
        <v>2868</v>
      </c>
      <c r="C101" s="198" t="s">
        <v>2738</v>
      </c>
      <c r="D101" s="199"/>
      <c r="E101" s="198" t="s">
        <v>2867</v>
      </c>
      <c r="F101" s="198">
        <v>11.0</v>
      </c>
      <c r="G101" s="198">
        <v>2023.0</v>
      </c>
      <c r="H101" s="199"/>
      <c r="I101" s="199"/>
      <c r="J101" s="199"/>
      <c r="K101" s="202"/>
      <c r="L101" s="202"/>
      <c r="M101" s="202"/>
      <c r="N101" s="202"/>
      <c r="O101" s="202"/>
      <c r="P101" s="202"/>
      <c r="Q101" s="202"/>
      <c r="R101" s="202"/>
      <c r="S101" s="202"/>
      <c r="T101" s="202">
        <v>75073.33</v>
      </c>
      <c r="U101" s="198" t="s">
        <v>2712</v>
      </c>
      <c r="V101" s="198">
        <v>160.0</v>
      </c>
      <c r="W101" s="197"/>
      <c r="X101" s="197"/>
      <c r="Y101" s="199"/>
      <c r="Z101" s="199"/>
      <c r="AA101" s="204" t="str">
        <f t="shared" si="4"/>
        <v/>
      </c>
      <c r="AB101" s="198" t="s">
        <v>2730</v>
      </c>
      <c r="AC101" s="199"/>
      <c r="AD101" s="199"/>
      <c r="AE101" s="199"/>
      <c r="AF101" s="199"/>
      <c r="AG101" s="199"/>
      <c r="AH101" s="199"/>
      <c r="AI101" s="199"/>
      <c r="AJ101" s="199"/>
      <c r="AK101" s="199"/>
      <c r="AL101" s="199"/>
      <c r="AM101" s="198" t="s">
        <v>2800</v>
      </c>
      <c r="AN101" s="197"/>
      <c r="AO101" s="197"/>
      <c r="AP101" s="197"/>
      <c r="AQ101" s="197"/>
      <c r="AR101" s="197"/>
      <c r="AS101" s="197"/>
    </row>
    <row r="102">
      <c r="A102" s="198" t="str">
        <f t="shared" si="1"/>
        <v>pp</v>
      </c>
      <c r="B102" s="198" t="s">
        <v>2870</v>
      </c>
      <c r="C102" s="198" t="s">
        <v>2871</v>
      </c>
      <c r="D102" s="199"/>
      <c r="E102" s="198" t="s">
        <v>2869</v>
      </c>
      <c r="F102" s="198">
        <v>12.0</v>
      </c>
      <c r="G102" s="198">
        <v>2023.0</v>
      </c>
      <c r="H102" s="199"/>
      <c r="I102" s="199"/>
      <c r="J102" s="199"/>
      <c r="K102" s="207"/>
      <c r="L102" s="207"/>
      <c r="M102" s="207"/>
      <c r="N102" s="207"/>
      <c r="O102" s="207"/>
      <c r="P102" s="207"/>
      <c r="Q102" s="207"/>
      <c r="R102" s="207"/>
      <c r="S102" s="207"/>
      <c r="T102" s="207"/>
      <c r="U102" s="199"/>
      <c r="V102" s="199"/>
      <c r="W102" s="197"/>
      <c r="X102" s="197"/>
      <c r="Y102" s="199"/>
      <c r="Z102" s="199"/>
      <c r="AA102" s="204" t="str">
        <f t="shared" si="4"/>
        <v/>
      </c>
      <c r="AB102" s="198" t="s">
        <v>2872</v>
      </c>
      <c r="AC102" s="199"/>
      <c r="AD102" s="199"/>
      <c r="AE102" s="199"/>
      <c r="AF102" s="199"/>
      <c r="AG102" s="199"/>
      <c r="AH102" s="199"/>
      <c r="AI102" s="199"/>
      <c r="AJ102" s="199"/>
      <c r="AK102" s="199"/>
      <c r="AL102" s="199"/>
      <c r="AM102" s="198" t="s">
        <v>2775</v>
      </c>
      <c r="AN102" s="197"/>
      <c r="AO102" s="197"/>
      <c r="AP102" s="197"/>
      <c r="AQ102" s="197"/>
      <c r="AR102" s="197"/>
      <c r="AS102" s="197"/>
    </row>
    <row r="103">
      <c r="A103" s="198" t="str">
        <f t="shared" si="1"/>
        <v>PP</v>
      </c>
      <c r="B103" s="198" t="s">
        <v>2873</v>
      </c>
      <c r="C103" s="198" t="s">
        <v>222</v>
      </c>
      <c r="D103" s="199" t="s">
        <v>2874</v>
      </c>
      <c r="E103" s="200">
        <v>45119.0</v>
      </c>
      <c r="F103" s="198">
        <v>12.0</v>
      </c>
      <c r="G103" s="198">
        <v>2023.0</v>
      </c>
      <c r="H103" s="199"/>
      <c r="I103" s="199"/>
      <c r="J103" s="199"/>
      <c r="K103" s="202"/>
      <c r="L103" s="202"/>
      <c r="M103" s="202"/>
      <c r="N103" s="202"/>
      <c r="O103" s="202"/>
      <c r="P103" s="202"/>
      <c r="Q103" s="202"/>
      <c r="R103" s="202"/>
      <c r="S103" s="202"/>
      <c r="T103" s="202">
        <v>167781.76</v>
      </c>
      <c r="U103" s="206" t="s">
        <v>3026</v>
      </c>
      <c r="V103" s="199"/>
      <c r="W103" s="197"/>
      <c r="X103" s="197"/>
      <c r="Y103" s="199"/>
      <c r="Z103" s="199"/>
      <c r="AA103" s="204" t="str">
        <f t="shared" si="4"/>
        <v/>
      </c>
      <c r="AB103" s="198" t="s">
        <v>2730</v>
      </c>
      <c r="AC103" s="199"/>
      <c r="AD103" s="199"/>
      <c r="AE103" s="199"/>
      <c r="AF103" s="199"/>
      <c r="AG103" s="199"/>
      <c r="AH103" s="199"/>
      <c r="AI103" s="199"/>
      <c r="AJ103" s="199"/>
      <c r="AK103" s="199"/>
      <c r="AL103" s="199"/>
      <c r="AM103" s="198" t="s">
        <v>2783</v>
      </c>
      <c r="AN103" s="197"/>
      <c r="AO103" s="197"/>
      <c r="AP103" s="197"/>
      <c r="AQ103" s="197"/>
      <c r="AR103" s="197"/>
      <c r="AS103" s="197"/>
    </row>
    <row r="104">
      <c r="A104" s="198" t="str">
        <f t="shared" si="1"/>
        <v>PP</v>
      </c>
      <c r="B104" s="198" t="s">
        <v>2875</v>
      </c>
      <c r="C104" s="198" t="s">
        <v>222</v>
      </c>
      <c r="D104" s="199" t="s">
        <v>2876</v>
      </c>
      <c r="E104" s="200">
        <v>45119.0</v>
      </c>
      <c r="F104" s="198">
        <v>12.0</v>
      </c>
      <c r="G104" s="198">
        <v>2023.0</v>
      </c>
      <c r="H104" s="199"/>
      <c r="I104" s="199"/>
      <c r="J104" s="199"/>
      <c r="K104" s="202"/>
      <c r="L104" s="202"/>
      <c r="M104" s="202"/>
      <c r="N104" s="202"/>
      <c r="O104" s="202"/>
      <c r="P104" s="202"/>
      <c r="Q104" s="202"/>
      <c r="R104" s="202"/>
      <c r="S104" s="202"/>
      <c r="T104" s="202">
        <v>174186.44</v>
      </c>
      <c r="U104" s="205" t="s">
        <v>3026</v>
      </c>
      <c r="V104" s="199"/>
      <c r="W104" s="197"/>
      <c r="X104" s="197"/>
      <c r="Y104" s="199"/>
      <c r="Z104" s="199"/>
      <c r="AA104" s="204" t="str">
        <f t="shared" si="4"/>
        <v/>
      </c>
      <c r="AB104" s="198" t="s">
        <v>2781</v>
      </c>
      <c r="AC104" s="199"/>
      <c r="AD104" s="199"/>
      <c r="AE104" s="199"/>
      <c r="AF104" s="199"/>
      <c r="AG104" s="199"/>
      <c r="AH104" s="199"/>
      <c r="AI104" s="199"/>
      <c r="AJ104" s="199"/>
      <c r="AK104" s="199"/>
      <c r="AL104" s="199"/>
      <c r="AM104" s="198" t="s">
        <v>2783</v>
      </c>
      <c r="AN104" s="197"/>
      <c r="AO104" s="197"/>
      <c r="AP104" s="197"/>
      <c r="AQ104" s="197"/>
      <c r="AR104" s="197"/>
      <c r="AS104" s="197"/>
    </row>
    <row r="105">
      <c r="A105" s="198" t="str">
        <f t="shared" si="1"/>
        <v>PP</v>
      </c>
      <c r="B105" s="198" t="s">
        <v>2877</v>
      </c>
      <c r="C105" s="198" t="s">
        <v>2729</v>
      </c>
      <c r="D105" s="199"/>
      <c r="E105" s="200">
        <v>45211.0</v>
      </c>
      <c r="F105" s="198">
        <v>12.0</v>
      </c>
      <c r="G105" s="198">
        <v>2023.0</v>
      </c>
      <c r="H105" s="199"/>
      <c r="I105" s="199"/>
      <c r="J105" s="199"/>
      <c r="K105" s="202"/>
      <c r="L105" s="202"/>
      <c r="M105" s="202"/>
      <c r="N105" s="202"/>
      <c r="O105" s="202"/>
      <c r="P105" s="202"/>
      <c r="Q105" s="202"/>
      <c r="R105" s="202"/>
      <c r="S105" s="202"/>
      <c r="T105" s="202">
        <v>76896.0</v>
      </c>
      <c r="U105" s="206" t="s">
        <v>3026</v>
      </c>
      <c r="V105" s="199"/>
      <c r="W105" s="197"/>
      <c r="X105" s="197"/>
      <c r="Y105" s="199"/>
      <c r="Z105" s="199"/>
      <c r="AA105" s="204" t="str">
        <f t="shared" si="4"/>
        <v/>
      </c>
      <c r="AB105" s="198" t="s">
        <v>38</v>
      </c>
      <c r="AC105" s="199"/>
      <c r="AD105" s="199"/>
      <c r="AE105" s="199"/>
      <c r="AF105" s="199"/>
      <c r="AG105" s="199"/>
      <c r="AH105" s="199"/>
      <c r="AI105" s="199"/>
      <c r="AJ105" s="199"/>
      <c r="AK105" s="199"/>
      <c r="AL105" s="199"/>
      <c r="AM105" s="198" t="s">
        <v>2783</v>
      </c>
      <c r="AN105" s="197"/>
      <c r="AO105" s="197"/>
      <c r="AP105" s="197"/>
      <c r="AQ105" s="197"/>
      <c r="AR105" s="197"/>
      <c r="AS105" s="197"/>
    </row>
    <row r="106">
      <c r="A106" s="198" t="str">
        <f t="shared" si="1"/>
        <v>PP</v>
      </c>
      <c r="B106" s="198" t="s">
        <v>2878</v>
      </c>
      <c r="C106" s="198" t="s">
        <v>26</v>
      </c>
      <c r="D106" s="199" t="s">
        <v>2807</v>
      </c>
      <c r="E106" s="209"/>
      <c r="F106" s="199"/>
      <c r="G106" s="199"/>
      <c r="H106" s="199"/>
      <c r="I106" s="199"/>
      <c r="J106" s="199"/>
      <c r="K106" s="202"/>
      <c r="L106" s="202"/>
      <c r="M106" s="202"/>
      <c r="N106" s="202"/>
      <c r="O106" s="202"/>
      <c r="P106" s="202"/>
      <c r="Q106" s="202"/>
      <c r="R106" s="202"/>
      <c r="S106" s="202"/>
      <c r="T106" s="202">
        <v>545428.56</v>
      </c>
      <c r="U106" s="205" t="s">
        <v>3026</v>
      </c>
      <c r="V106" s="199"/>
      <c r="W106" s="197"/>
      <c r="X106" s="197"/>
      <c r="Y106" s="199"/>
      <c r="Z106" s="199"/>
      <c r="AA106" s="204" t="str">
        <f t="shared" si="4"/>
        <v/>
      </c>
      <c r="AB106" s="198" t="s">
        <v>38</v>
      </c>
      <c r="AC106" s="199"/>
      <c r="AD106" s="199"/>
      <c r="AE106" s="199"/>
      <c r="AF106" s="199"/>
      <c r="AG106" s="199"/>
      <c r="AH106" s="199"/>
      <c r="AI106" s="199"/>
      <c r="AJ106" s="199"/>
      <c r="AK106" s="199"/>
      <c r="AL106" s="199"/>
      <c r="AM106" s="198" t="s">
        <v>2783</v>
      </c>
      <c r="AN106" s="197"/>
      <c r="AO106" s="197"/>
      <c r="AP106" s="197"/>
      <c r="AQ106" s="197"/>
      <c r="AR106" s="197"/>
      <c r="AS106" s="197"/>
    </row>
    <row r="107">
      <c r="A107" s="198" t="str">
        <f t="shared" si="1"/>
        <v>PP</v>
      </c>
      <c r="B107" s="198" t="s">
        <v>2879</v>
      </c>
      <c r="C107" s="198" t="s">
        <v>37</v>
      </c>
      <c r="D107" s="199" t="s">
        <v>2880</v>
      </c>
      <c r="E107" s="212">
        <v>45280.0</v>
      </c>
      <c r="F107" s="198">
        <v>12.0</v>
      </c>
      <c r="G107" s="198">
        <v>2023.0</v>
      </c>
      <c r="H107" s="199"/>
      <c r="I107" s="199"/>
      <c r="J107" s="199"/>
      <c r="K107" s="202"/>
      <c r="L107" s="202"/>
      <c r="M107" s="202"/>
      <c r="N107" s="202"/>
      <c r="O107" s="202"/>
      <c r="P107" s="202"/>
      <c r="Q107" s="202"/>
      <c r="R107" s="202"/>
      <c r="S107" s="202"/>
      <c r="T107" s="202">
        <v>379113.0</v>
      </c>
      <c r="U107" s="198" t="s">
        <v>2712</v>
      </c>
      <c r="V107" s="199"/>
      <c r="W107" s="197"/>
      <c r="X107" s="197"/>
      <c r="Y107" s="199"/>
      <c r="Z107" s="199"/>
      <c r="AA107" s="204" t="str">
        <f t="shared" si="4"/>
        <v/>
      </c>
      <c r="AB107" s="198" t="s">
        <v>38</v>
      </c>
      <c r="AC107" s="199"/>
      <c r="AD107" s="199"/>
      <c r="AE107" s="199"/>
      <c r="AF107" s="199"/>
      <c r="AG107" s="199"/>
      <c r="AH107" s="199"/>
      <c r="AI107" s="199"/>
      <c r="AJ107" s="199"/>
      <c r="AK107" s="199"/>
      <c r="AL107" s="199"/>
      <c r="AM107" s="198" t="s">
        <v>2783</v>
      </c>
      <c r="AN107" s="197"/>
      <c r="AO107" s="197"/>
      <c r="AP107" s="197"/>
      <c r="AQ107" s="197"/>
      <c r="AR107" s="197"/>
      <c r="AS107" s="197"/>
    </row>
    <row r="108">
      <c r="A108" s="198" t="str">
        <f t="shared" si="1"/>
        <v>PP</v>
      </c>
      <c r="B108" s="198" t="s">
        <v>2882</v>
      </c>
      <c r="C108" s="198" t="s">
        <v>37</v>
      </c>
      <c r="D108" s="199" t="s">
        <v>2883</v>
      </c>
      <c r="E108" s="198" t="s">
        <v>2881</v>
      </c>
      <c r="F108" s="198">
        <v>12.0</v>
      </c>
      <c r="G108" s="198">
        <v>2023.0</v>
      </c>
      <c r="H108" s="199"/>
      <c r="I108" s="199"/>
      <c r="J108" s="199"/>
      <c r="K108" s="202"/>
      <c r="L108" s="202"/>
      <c r="M108" s="202"/>
      <c r="N108" s="202"/>
      <c r="O108" s="202"/>
      <c r="P108" s="202"/>
      <c r="Q108" s="202"/>
      <c r="R108" s="202"/>
      <c r="S108" s="202"/>
      <c r="T108" s="202">
        <v>191008.8</v>
      </c>
      <c r="U108" s="198" t="s">
        <v>2712</v>
      </c>
      <c r="V108" s="199"/>
      <c r="W108" s="197"/>
      <c r="X108" s="197"/>
      <c r="Y108" s="199"/>
      <c r="Z108" s="199"/>
      <c r="AA108" s="204" t="str">
        <f t="shared" si="4"/>
        <v/>
      </c>
      <c r="AB108" s="198" t="s">
        <v>38</v>
      </c>
      <c r="AC108" s="199"/>
      <c r="AD108" s="199"/>
      <c r="AE108" s="199"/>
      <c r="AF108" s="199"/>
      <c r="AG108" s="199"/>
      <c r="AH108" s="199"/>
      <c r="AI108" s="199"/>
      <c r="AJ108" s="199"/>
      <c r="AK108" s="199"/>
      <c r="AL108" s="199"/>
      <c r="AM108" s="198" t="s">
        <v>2783</v>
      </c>
      <c r="AN108" s="197"/>
      <c r="AO108" s="197"/>
      <c r="AP108" s="197"/>
      <c r="AQ108" s="197"/>
      <c r="AR108" s="197"/>
      <c r="AS108" s="197"/>
    </row>
    <row r="109">
      <c r="A109" s="198" t="str">
        <f t="shared" si="1"/>
        <v>PP</v>
      </c>
      <c r="B109" s="198" t="s">
        <v>2884</v>
      </c>
      <c r="C109" s="198" t="s">
        <v>37</v>
      </c>
      <c r="D109" s="199" t="s">
        <v>2885</v>
      </c>
      <c r="E109" s="198" t="s">
        <v>2881</v>
      </c>
      <c r="F109" s="198">
        <v>12.0</v>
      </c>
      <c r="G109" s="198">
        <v>2023.0</v>
      </c>
      <c r="H109" s="199"/>
      <c r="I109" s="199"/>
      <c r="J109" s="199"/>
      <c r="K109" s="202"/>
      <c r="L109" s="202"/>
      <c r="M109" s="202"/>
      <c r="N109" s="202"/>
      <c r="O109" s="202"/>
      <c r="P109" s="202"/>
      <c r="Q109" s="202"/>
      <c r="R109" s="202"/>
      <c r="S109" s="202"/>
      <c r="T109" s="202">
        <v>97070.36</v>
      </c>
      <c r="U109" s="198" t="s">
        <v>2712</v>
      </c>
      <c r="V109" s="199"/>
      <c r="W109" s="197"/>
      <c r="X109" s="197"/>
      <c r="Y109" s="199"/>
      <c r="Z109" s="199"/>
      <c r="AA109" s="204" t="str">
        <f t="shared" si="4"/>
        <v/>
      </c>
      <c r="AB109" s="198" t="s">
        <v>38</v>
      </c>
      <c r="AC109" s="199"/>
      <c r="AD109" s="199"/>
      <c r="AE109" s="199"/>
      <c r="AF109" s="199"/>
      <c r="AG109" s="199"/>
      <c r="AH109" s="199"/>
      <c r="AI109" s="199"/>
      <c r="AJ109" s="199"/>
      <c r="AK109" s="199"/>
      <c r="AL109" s="199"/>
      <c r="AM109" s="198" t="s">
        <v>2783</v>
      </c>
      <c r="AN109" s="197"/>
      <c r="AO109" s="197"/>
      <c r="AP109" s="197"/>
      <c r="AQ109" s="197"/>
      <c r="AR109" s="197"/>
      <c r="AS109" s="197"/>
    </row>
    <row r="110">
      <c r="A110" s="198" t="str">
        <f t="shared" si="1"/>
        <v>PP</v>
      </c>
      <c r="B110" s="198" t="s">
        <v>2887</v>
      </c>
      <c r="C110" s="198" t="s">
        <v>37</v>
      </c>
      <c r="D110" s="199" t="s">
        <v>2888</v>
      </c>
      <c r="E110" s="198" t="s">
        <v>2886</v>
      </c>
      <c r="F110" s="198">
        <v>12.0</v>
      </c>
      <c r="G110" s="198">
        <v>2023.0</v>
      </c>
      <c r="H110" s="199"/>
      <c r="I110" s="199"/>
      <c r="J110" s="199"/>
      <c r="K110" s="202"/>
      <c r="L110" s="202"/>
      <c r="M110" s="202"/>
      <c r="N110" s="202"/>
      <c r="O110" s="202"/>
      <c r="P110" s="202"/>
      <c r="Q110" s="202"/>
      <c r="R110" s="202"/>
      <c r="S110" s="202"/>
      <c r="T110" s="202">
        <v>24768.0</v>
      </c>
      <c r="U110" s="198" t="s">
        <v>2712</v>
      </c>
      <c r="V110" s="199"/>
      <c r="W110" s="197"/>
      <c r="X110" s="197"/>
      <c r="Y110" s="199"/>
      <c r="Z110" s="199"/>
      <c r="AA110" s="204" t="str">
        <f t="shared" si="4"/>
        <v/>
      </c>
      <c r="AB110" s="198" t="s">
        <v>38</v>
      </c>
      <c r="AC110" s="199"/>
      <c r="AD110" s="199"/>
      <c r="AE110" s="199"/>
      <c r="AF110" s="199"/>
      <c r="AG110" s="199"/>
      <c r="AH110" s="199"/>
      <c r="AI110" s="199"/>
      <c r="AJ110" s="199"/>
      <c r="AK110" s="199"/>
      <c r="AL110" s="199"/>
      <c r="AM110" s="198" t="s">
        <v>2783</v>
      </c>
      <c r="AN110" s="197"/>
      <c r="AO110" s="197"/>
      <c r="AP110" s="197"/>
      <c r="AQ110" s="197"/>
      <c r="AR110" s="197"/>
      <c r="AS110" s="197"/>
    </row>
    <row r="111">
      <c r="A111" s="198" t="str">
        <f t="shared" si="1"/>
        <v>PP</v>
      </c>
      <c r="B111" s="198" t="s">
        <v>2889</v>
      </c>
      <c r="C111" s="198" t="s">
        <v>2890</v>
      </c>
      <c r="D111" s="199" t="s">
        <v>2891</v>
      </c>
      <c r="E111" s="198" t="s">
        <v>2886</v>
      </c>
      <c r="F111" s="198">
        <v>12.0</v>
      </c>
      <c r="G111" s="198">
        <v>2023.0</v>
      </c>
      <c r="H111" s="199"/>
      <c r="I111" s="199"/>
      <c r="J111" s="199"/>
      <c r="K111" s="202"/>
      <c r="L111" s="202"/>
      <c r="M111" s="202"/>
      <c r="N111" s="202"/>
      <c r="O111" s="202"/>
      <c r="P111" s="202"/>
      <c r="Q111" s="202"/>
      <c r="R111" s="202"/>
      <c r="S111" s="202"/>
      <c r="T111" s="202">
        <v>17370.0</v>
      </c>
      <c r="U111" s="206" t="s">
        <v>3026</v>
      </c>
      <c r="V111" s="199"/>
      <c r="W111" s="197"/>
      <c r="X111" s="197"/>
      <c r="Y111" s="199"/>
      <c r="Z111" s="199"/>
      <c r="AA111" s="204" t="str">
        <f t="shared" si="4"/>
        <v/>
      </c>
      <c r="AB111" s="198" t="s">
        <v>2781</v>
      </c>
      <c r="AC111" s="199"/>
      <c r="AD111" s="199"/>
      <c r="AE111" s="199"/>
      <c r="AF111" s="199"/>
      <c r="AG111" s="199"/>
      <c r="AH111" s="199"/>
      <c r="AI111" s="199"/>
      <c r="AJ111" s="199"/>
      <c r="AK111" s="199"/>
      <c r="AL111" s="199"/>
      <c r="AM111" s="198" t="s">
        <v>2783</v>
      </c>
      <c r="AN111" s="197"/>
      <c r="AO111" s="197"/>
      <c r="AP111" s="197"/>
      <c r="AQ111" s="197"/>
      <c r="AR111" s="197"/>
      <c r="AS111" s="197"/>
    </row>
    <row r="112">
      <c r="A112" s="198" t="str">
        <f t="shared" si="1"/>
        <v>PP</v>
      </c>
      <c r="B112" s="198" t="s">
        <v>2893</v>
      </c>
      <c r="C112" s="198" t="s">
        <v>259</v>
      </c>
      <c r="D112" s="199"/>
      <c r="E112" s="198" t="s">
        <v>2892</v>
      </c>
      <c r="F112" s="198">
        <v>12.0</v>
      </c>
      <c r="G112" s="198">
        <v>2023.0</v>
      </c>
      <c r="H112" s="199"/>
      <c r="I112" s="199"/>
      <c r="J112" s="199"/>
      <c r="K112" s="202"/>
      <c r="L112" s="202"/>
      <c r="M112" s="202"/>
      <c r="N112" s="202"/>
      <c r="O112" s="202"/>
      <c r="P112" s="202"/>
      <c r="Q112" s="202"/>
      <c r="R112" s="202"/>
      <c r="S112" s="202"/>
      <c r="T112" s="202">
        <v>123982.5</v>
      </c>
      <c r="U112" s="205" t="s">
        <v>3026</v>
      </c>
      <c r="V112" s="199"/>
      <c r="W112" s="197"/>
      <c r="X112" s="197"/>
      <c r="Y112" s="199"/>
      <c r="Z112" s="199"/>
      <c r="AA112" s="204" t="str">
        <f t="shared" si="4"/>
        <v/>
      </c>
      <c r="AB112" s="198" t="s">
        <v>2730</v>
      </c>
      <c r="AC112" s="198" t="s">
        <v>2894</v>
      </c>
      <c r="AD112" s="199"/>
      <c r="AE112" s="199"/>
      <c r="AF112" s="199"/>
      <c r="AG112" s="199"/>
      <c r="AH112" s="199"/>
      <c r="AI112" s="199"/>
      <c r="AJ112" s="199"/>
      <c r="AK112" s="199"/>
      <c r="AL112" s="199"/>
      <c r="AM112" s="198" t="s">
        <v>2783</v>
      </c>
      <c r="AN112" s="197"/>
      <c r="AO112" s="197"/>
      <c r="AP112" s="197"/>
      <c r="AQ112" s="197"/>
      <c r="AR112" s="197"/>
      <c r="AS112" s="197"/>
    </row>
    <row r="113">
      <c r="A113" s="198" t="str">
        <f t="shared" si="1"/>
        <v>PP</v>
      </c>
      <c r="B113" s="198" t="s">
        <v>2896</v>
      </c>
      <c r="C113" s="198" t="s">
        <v>2812</v>
      </c>
      <c r="D113" s="199" t="s">
        <v>2897</v>
      </c>
      <c r="E113" s="198" t="s">
        <v>2895</v>
      </c>
      <c r="F113" s="198">
        <v>12.0</v>
      </c>
      <c r="G113" s="198">
        <v>2023.0</v>
      </c>
      <c r="H113" s="199"/>
      <c r="I113" s="199"/>
      <c r="J113" s="199"/>
      <c r="K113" s="202"/>
      <c r="L113" s="202"/>
      <c r="M113" s="202"/>
      <c r="N113" s="202"/>
      <c r="O113" s="202"/>
      <c r="P113" s="202"/>
      <c r="Q113" s="202"/>
      <c r="R113" s="202"/>
      <c r="S113" s="202"/>
      <c r="T113" s="202">
        <v>258571.5</v>
      </c>
      <c r="U113" s="198" t="s">
        <v>2712</v>
      </c>
      <c r="V113" s="199"/>
      <c r="W113" s="197"/>
      <c r="X113" s="197"/>
      <c r="Y113" s="199"/>
      <c r="Z113" s="199"/>
      <c r="AA113" s="204" t="str">
        <f t="shared" si="4"/>
        <v/>
      </c>
      <c r="AB113" s="198" t="s">
        <v>38</v>
      </c>
      <c r="AC113" s="198" t="s">
        <v>2894</v>
      </c>
      <c r="AD113" s="199"/>
      <c r="AE113" s="199"/>
      <c r="AF113" s="199"/>
      <c r="AG113" s="199"/>
      <c r="AH113" s="199"/>
      <c r="AI113" s="199"/>
      <c r="AJ113" s="199"/>
      <c r="AK113" s="199"/>
      <c r="AL113" s="199"/>
      <c r="AM113" s="198" t="s">
        <v>2783</v>
      </c>
      <c r="AN113" s="197"/>
      <c r="AO113" s="197"/>
      <c r="AP113" s="197"/>
      <c r="AQ113" s="197"/>
      <c r="AR113" s="197"/>
      <c r="AS113" s="197"/>
    </row>
    <row r="114">
      <c r="A114" s="198" t="str">
        <f t="shared" si="1"/>
        <v>PP</v>
      </c>
      <c r="B114" s="198" t="s">
        <v>2898</v>
      </c>
      <c r="C114" s="198" t="s">
        <v>81</v>
      </c>
      <c r="D114" s="199" t="s">
        <v>2807</v>
      </c>
      <c r="E114" s="200">
        <v>45352.0</v>
      </c>
      <c r="F114" s="198">
        <v>1.0</v>
      </c>
      <c r="G114" s="198">
        <v>2024.0</v>
      </c>
      <c r="H114" s="199"/>
      <c r="I114" s="199"/>
      <c r="J114" s="199"/>
      <c r="K114" s="202"/>
      <c r="L114" s="202"/>
      <c r="M114" s="202"/>
      <c r="N114" s="202"/>
      <c r="O114" s="202"/>
      <c r="P114" s="202"/>
      <c r="Q114" s="202"/>
      <c r="R114" s="202"/>
      <c r="S114" s="202"/>
      <c r="T114" s="202">
        <v>552787.9</v>
      </c>
      <c r="U114" s="205" t="s">
        <v>3026</v>
      </c>
      <c r="V114" s="199"/>
      <c r="W114" s="197"/>
      <c r="X114" s="197"/>
      <c r="Y114" s="199"/>
      <c r="Z114" s="199"/>
      <c r="AA114" s="204" t="str">
        <f t="shared" si="4"/>
        <v/>
      </c>
      <c r="AB114" s="198" t="s">
        <v>2781</v>
      </c>
      <c r="AC114" s="199"/>
      <c r="AD114" s="199"/>
      <c r="AE114" s="199"/>
      <c r="AF114" s="199"/>
      <c r="AG114" s="199"/>
      <c r="AH114" s="199"/>
      <c r="AI114" s="199"/>
      <c r="AJ114" s="199"/>
      <c r="AK114" s="199"/>
      <c r="AL114" s="199"/>
      <c r="AM114" s="198" t="s">
        <v>2783</v>
      </c>
      <c r="AN114" s="197"/>
      <c r="AO114" s="197"/>
      <c r="AP114" s="197"/>
      <c r="AQ114" s="197"/>
      <c r="AR114" s="197"/>
      <c r="AS114" s="197"/>
    </row>
    <row r="115">
      <c r="A115" s="198" t="str">
        <f t="shared" si="1"/>
        <v>PP</v>
      </c>
      <c r="B115" s="198" t="s">
        <v>2899</v>
      </c>
      <c r="C115" s="198" t="s">
        <v>2729</v>
      </c>
      <c r="D115" s="199" t="s">
        <v>2900</v>
      </c>
      <c r="E115" s="200">
        <v>45597.0</v>
      </c>
      <c r="F115" s="198">
        <v>1.0</v>
      </c>
      <c r="G115" s="198">
        <v>2024.0</v>
      </c>
      <c r="H115" s="199"/>
      <c r="I115" s="199"/>
      <c r="J115" s="199"/>
      <c r="K115" s="207"/>
      <c r="L115" s="207"/>
      <c r="M115" s="207"/>
      <c r="N115" s="207"/>
      <c r="O115" s="207"/>
      <c r="P115" s="207"/>
      <c r="Q115" s="207"/>
      <c r="R115" s="207"/>
      <c r="S115" s="207"/>
      <c r="T115" s="207"/>
      <c r="U115" s="206" t="s">
        <v>3026</v>
      </c>
      <c r="V115" s="199"/>
      <c r="W115" s="197"/>
      <c r="X115" s="197"/>
      <c r="Y115" s="199"/>
      <c r="Z115" s="199"/>
      <c r="AA115" s="204" t="str">
        <f t="shared" si="4"/>
        <v/>
      </c>
      <c r="AB115" s="198" t="s">
        <v>38</v>
      </c>
      <c r="AC115" s="199"/>
      <c r="AD115" s="199"/>
      <c r="AE115" s="199"/>
      <c r="AF115" s="199"/>
      <c r="AG115" s="199"/>
      <c r="AH115" s="199"/>
      <c r="AI115" s="199"/>
      <c r="AJ115" s="199"/>
      <c r="AK115" s="199"/>
      <c r="AL115" s="199"/>
      <c r="AM115" s="198" t="s">
        <v>2783</v>
      </c>
      <c r="AN115" s="197"/>
      <c r="AO115" s="197"/>
      <c r="AP115" s="197"/>
      <c r="AQ115" s="197"/>
      <c r="AR115" s="197"/>
      <c r="AS115" s="197"/>
    </row>
    <row r="116">
      <c r="A116" s="198" t="str">
        <f t="shared" si="1"/>
        <v>PP</v>
      </c>
      <c r="B116" s="198" t="s">
        <v>2902</v>
      </c>
      <c r="C116" s="198" t="s">
        <v>2903</v>
      </c>
      <c r="D116" s="199"/>
      <c r="E116" s="198" t="s">
        <v>2901</v>
      </c>
      <c r="F116" s="198">
        <v>1.0</v>
      </c>
      <c r="G116" s="198">
        <v>2024.0</v>
      </c>
      <c r="H116" s="199"/>
      <c r="I116" s="199"/>
      <c r="J116" s="199"/>
      <c r="K116" s="202"/>
      <c r="L116" s="202"/>
      <c r="M116" s="202"/>
      <c r="N116" s="202"/>
      <c r="O116" s="202"/>
      <c r="P116" s="202"/>
      <c r="Q116" s="202"/>
      <c r="R116" s="202"/>
      <c r="S116" s="202"/>
      <c r="T116" s="202">
        <v>261289.2</v>
      </c>
      <c r="U116" s="198" t="s">
        <v>2712</v>
      </c>
      <c r="V116" s="199"/>
      <c r="W116" s="197"/>
      <c r="X116" s="197"/>
      <c r="Y116" s="199"/>
      <c r="Z116" s="199"/>
      <c r="AA116" s="204" t="str">
        <f t="shared" si="4"/>
        <v/>
      </c>
      <c r="AB116" s="198" t="s">
        <v>2781</v>
      </c>
      <c r="AC116" s="199"/>
      <c r="AD116" s="199"/>
      <c r="AE116" s="199"/>
      <c r="AF116" s="199"/>
      <c r="AG116" s="199"/>
      <c r="AH116" s="199"/>
      <c r="AI116" s="199"/>
      <c r="AJ116" s="199"/>
      <c r="AK116" s="199"/>
      <c r="AL116" s="199"/>
      <c r="AM116" s="198" t="s">
        <v>2783</v>
      </c>
      <c r="AN116" s="197"/>
      <c r="AO116" s="197"/>
      <c r="AP116" s="197"/>
      <c r="AQ116" s="197"/>
      <c r="AR116" s="197"/>
      <c r="AS116" s="197"/>
    </row>
    <row r="117">
      <c r="A117" s="198" t="str">
        <f t="shared" si="1"/>
        <v>PP</v>
      </c>
      <c r="B117" s="198" t="s">
        <v>2905</v>
      </c>
      <c r="C117" s="198" t="s">
        <v>59</v>
      </c>
      <c r="D117" s="199"/>
      <c r="E117" s="198" t="s">
        <v>2904</v>
      </c>
      <c r="F117" s="198">
        <v>1.0</v>
      </c>
      <c r="G117" s="198">
        <v>2024.0</v>
      </c>
      <c r="H117" s="199"/>
      <c r="I117" s="199"/>
      <c r="J117" s="199"/>
      <c r="K117" s="202"/>
      <c r="L117" s="202"/>
      <c r="M117" s="202"/>
      <c r="N117" s="202"/>
      <c r="O117" s="202"/>
      <c r="P117" s="202"/>
      <c r="Q117" s="202"/>
      <c r="R117" s="202"/>
      <c r="S117" s="202"/>
      <c r="T117" s="202"/>
      <c r="U117" s="199"/>
      <c r="V117" s="199"/>
      <c r="W117" s="197"/>
      <c r="X117" s="197"/>
      <c r="Y117" s="199"/>
      <c r="Z117" s="199"/>
      <c r="AA117" s="204" t="str">
        <f t="shared" si="4"/>
        <v/>
      </c>
      <c r="AB117" s="198" t="s">
        <v>38</v>
      </c>
      <c r="AC117" s="199"/>
      <c r="AD117" s="199"/>
      <c r="AE117" s="199"/>
      <c r="AF117" s="199"/>
      <c r="AG117" s="199"/>
      <c r="AH117" s="199"/>
      <c r="AI117" s="199"/>
      <c r="AJ117" s="199"/>
      <c r="AK117" s="199"/>
      <c r="AL117" s="199"/>
      <c r="AM117" s="198" t="s">
        <v>2775</v>
      </c>
      <c r="AN117" s="197"/>
      <c r="AO117" s="197"/>
      <c r="AP117" s="197"/>
      <c r="AQ117" s="197"/>
      <c r="AR117" s="197"/>
      <c r="AS117" s="197"/>
    </row>
    <row r="118">
      <c r="A118" s="198" t="str">
        <f t="shared" si="1"/>
        <v>PP</v>
      </c>
      <c r="B118" s="198" t="s">
        <v>2907</v>
      </c>
      <c r="C118" s="198" t="s">
        <v>2785</v>
      </c>
      <c r="D118" s="199"/>
      <c r="E118" s="198" t="s">
        <v>2906</v>
      </c>
      <c r="F118" s="198">
        <v>1.0</v>
      </c>
      <c r="G118" s="198">
        <v>2024.0</v>
      </c>
      <c r="H118" s="199"/>
      <c r="I118" s="199"/>
      <c r="J118" s="199"/>
      <c r="K118" s="202"/>
      <c r="L118" s="202"/>
      <c r="M118" s="202"/>
      <c r="N118" s="202"/>
      <c r="O118" s="202"/>
      <c r="P118" s="202"/>
      <c r="Q118" s="202"/>
      <c r="R118" s="202"/>
      <c r="S118" s="202"/>
      <c r="T118" s="202">
        <v>200257.0</v>
      </c>
      <c r="U118" s="205" t="s">
        <v>3026</v>
      </c>
      <c r="V118" s="199"/>
      <c r="W118" s="197"/>
      <c r="X118" s="197"/>
      <c r="Y118" s="199"/>
      <c r="Z118" s="199"/>
      <c r="AA118" s="204" t="str">
        <f t="shared" si="4"/>
        <v/>
      </c>
      <c r="AB118" s="198" t="s">
        <v>38</v>
      </c>
      <c r="AC118" s="199"/>
      <c r="AD118" s="199"/>
      <c r="AE118" s="199"/>
      <c r="AF118" s="199"/>
      <c r="AG118" s="199"/>
      <c r="AH118" s="199"/>
      <c r="AI118" s="199"/>
      <c r="AJ118" s="199"/>
      <c r="AK118" s="199"/>
      <c r="AL118" s="199"/>
      <c r="AM118" s="198" t="s">
        <v>2783</v>
      </c>
      <c r="AN118" s="197"/>
      <c r="AO118" s="197"/>
      <c r="AP118" s="197"/>
      <c r="AQ118" s="197"/>
      <c r="AR118" s="197"/>
      <c r="AS118" s="197"/>
    </row>
    <row r="119">
      <c r="A119" s="198" t="str">
        <f t="shared" si="1"/>
        <v>PP</v>
      </c>
      <c r="B119" s="198" t="s">
        <v>2909</v>
      </c>
      <c r="C119" s="198" t="s">
        <v>59</v>
      </c>
      <c r="D119" s="199" t="s">
        <v>2911</v>
      </c>
      <c r="E119" s="198" t="s">
        <v>2908</v>
      </c>
      <c r="F119" s="198">
        <v>1.0</v>
      </c>
      <c r="G119" s="198">
        <v>2024.0</v>
      </c>
      <c r="H119" s="199"/>
      <c r="I119" s="199"/>
      <c r="J119" s="199"/>
      <c r="K119" s="202"/>
      <c r="L119" s="202"/>
      <c r="M119" s="202"/>
      <c r="N119" s="202"/>
      <c r="O119" s="202"/>
      <c r="P119" s="202"/>
      <c r="Q119" s="202"/>
      <c r="R119" s="202"/>
      <c r="S119" s="202"/>
      <c r="T119" s="202">
        <v>27370.2</v>
      </c>
      <c r="U119" s="206" t="s">
        <v>3026</v>
      </c>
      <c r="V119" s="199"/>
      <c r="W119" s="197"/>
      <c r="X119" s="197"/>
      <c r="Y119" s="198"/>
      <c r="Z119" s="213">
        <v>45397.0</v>
      </c>
      <c r="AA119" s="204" t="str">
        <f t="shared" si="4"/>
        <v>Expected Arrived</v>
      </c>
      <c r="AB119" s="198" t="s">
        <v>2781</v>
      </c>
      <c r="AC119" s="199"/>
      <c r="AD119" s="199"/>
      <c r="AE119" s="199"/>
      <c r="AF119" s="199"/>
      <c r="AG119" s="199"/>
      <c r="AH119" s="199"/>
      <c r="AI119" s="199"/>
      <c r="AJ119" s="199"/>
      <c r="AK119" s="199"/>
      <c r="AL119" s="199"/>
      <c r="AM119" s="198" t="s">
        <v>2783</v>
      </c>
      <c r="AN119" s="197"/>
      <c r="AO119" s="197"/>
      <c r="AP119" s="197"/>
      <c r="AQ119" s="197"/>
      <c r="AR119" s="197"/>
      <c r="AS119" s="197"/>
    </row>
    <row r="120">
      <c r="A120" s="198" t="str">
        <f t="shared" si="1"/>
        <v>PP</v>
      </c>
      <c r="B120" s="198" t="s">
        <v>2912</v>
      </c>
      <c r="C120" s="198" t="s">
        <v>169</v>
      </c>
      <c r="D120" s="199" t="s">
        <v>2914</v>
      </c>
      <c r="E120" s="198" t="s">
        <v>2908</v>
      </c>
      <c r="F120" s="198">
        <v>1.0</v>
      </c>
      <c r="G120" s="198">
        <v>2024.0</v>
      </c>
      <c r="H120" s="199"/>
      <c r="I120" s="199"/>
      <c r="J120" s="199"/>
      <c r="K120" s="202"/>
      <c r="L120" s="202"/>
      <c r="M120" s="202"/>
      <c r="N120" s="202"/>
      <c r="O120" s="202"/>
      <c r="P120" s="202"/>
      <c r="Q120" s="202"/>
      <c r="R120" s="202"/>
      <c r="S120" s="202"/>
      <c r="T120" s="202">
        <v>39704.0</v>
      </c>
      <c r="U120" s="205" t="s">
        <v>3026</v>
      </c>
      <c r="V120" s="199"/>
      <c r="W120" s="197"/>
      <c r="X120" s="197"/>
      <c r="Y120" s="198"/>
      <c r="Z120" s="213">
        <v>45397.0</v>
      </c>
      <c r="AA120" s="204" t="str">
        <f t="shared" si="4"/>
        <v>Expected Arrived</v>
      </c>
      <c r="AB120" s="198" t="s">
        <v>38</v>
      </c>
      <c r="AC120" s="199"/>
      <c r="AD120" s="199"/>
      <c r="AE120" s="199"/>
      <c r="AF120" s="199"/>
      <c r="AG120" s="199"/>
      <c r="AH120" s="199"/>
      <c r="AI120" s="199"/>
      <c r="AJ120" s="199"/>
      <c r="AK120" s="199"/>
      <c r="AL120" s="199"/>
      <c r="AM120" s="198" t="s">
        <v>2783</v>
      </c>
      <c r="AN120" s="197"/>
      <c r="AO120" s="197"/>
      <c r="AP120" s="197"/>
      <c r="AQ120" s="197"/>
      <c r="AR120" s="197"/>
      <c r="AS120" s="197"/>
    </row>
    <row r="121">
      <c r="A121" s="198" t="str">
        <f t="shared" si="1"/>
        <v>PP</v>
      </c>
      <c r="B121" s="198" t="s">
        <v>2915</v>
      </c>
      <c r="C121" s="198" t="s">
        <v>2729</v>
      </c>
      <c r="D121" s="199" t="s">
        <v>2916</v>
      </c>
      <c r="E121" s="200">
        <v>45293.0</v>
      </c>
      <c r="F121" s="198">
        <v>2.0</v>
      </c>
      <c r="G121" s="198">
        <v>2024.0</v>
      </c>
      <c r="H121" s="199"/>
      <c r="I121" s="199"/>
      <c r="J121" s="199"/>
      <c r="K121" s="207"/>
      <c r="L121" s="207"/>
      <c r="M121" s="207"/>
      <c r="N121" s="207"/>
      <c r="O121" s="207"/>
      <c r="P121" s="207"/>
      <c r="Q121" s="207"/>
      <c r="R121" s="207"/>
      <c r="S121" s="207"/>
      <c r="T121" s="207"/>
      <c r="U121" s="199"/>
      <c r="V121" s="199"/>
      <c r="W121" s="197"/>
      <c r="X121" s="197"/>
      <c r="Y121" s="199"/>
      <c r="Z121" s="199"/>
      <c r="AA121" s="204" t="str">
        <f t="shared" si="4"/>
        <v/>
      </c>
      <c r="AB121" s="198" t="s">
        <v>38</v>
      </c>
      <c r="AC121" s="199"/>
      <c r="AD121" s="199"/>
      <c r="AE121" s="199"/>
      <c r="AF121" s="199"/>
      <c r="AG121" s="199"/>
      <c r="AH121" s="199"/>
      <c r="AI121" s="199"/>
      <c r="AJ121" s="199"/>
      <c r="AK121" s="199"/>
      <c r="AL121" s="199"/>
      <c r="AM121" s="198" t="s">
        <v>2783</v>
      </c>
      <c r="AN121" s="197"/>
      <c r="AO121" s="197"/>
      <c r="AP121" s="197"/>
      <c r="AQ121" s="197"/>
      <c r="AR121" s="197"/>
      <c r="AS121" s="197"/>
    </row>
    <row r="122">
      <c r="A122" s="198" t="str">
        <f t="shared" si="1"/>
        <v>PP</v>
      </c>
      <c r="B122" s="198" t="s">
        <v>2917</v>
      </c>
      <c r="C122" s="198" t="s">
        <v>2918</v>
      </c>
      <c r="D122" s="199"/>
      <c r="E122" s="200">
        <v>45506.0</v>
      </c>
      <c r="F122" s="198">
        <v>2.0</v>
      </c>
      <c r="G122" s="198">
        <v>2024.0</v>
      </c>
      <c r="H122" s="199"/>
      <c r="I122" s="199"/>
      <c r="J122" s="199"/>
      <c r="K122" s="202"/>
      <c r="L122" s="202"/>
      <c r="M122" s="202"/>
      <c r="N122" s="202"/>
      <c r="O122" s="202"/>
      <c r="P122" s="202"/>
      <c r="Q122" s="202"/>
      <c r="R122" s="202"/>
      <c r="S122" s="202"/>
      <c r="T122" s="202">
        <v>250000.0</v>
      </c>
      <c r="U122" s="199"/>
      <c r="V122" s="199"/>
      <c r="W122" s="197"/>
      <c r="X122" s="197"/>
      <c r="Y122" s="199"/>
      <c r="Z122" s="199"/>
      <c r="AA122" s="204" t="str">
        <f t="shared" si="4"/>
        <v/>
      </c>
      <c r="AB122" s="198" t="s">
        <v>2919</v>
      </c>
      <c r="AC122" s="199"/>
      <c r="AD122" s="199"/>
      <c r="AE122" s="199"/>
      <c r="AF122" s="199"/>
      <c r="AG122" s="199"/>
      <c r="AH122" s="199"/>
      <c r="AI122" s="199"/>
      <c r="AJ122" s="199"/>
      <c r="AK122" s="199"/>
      <c r="AL122" s="199"/>
      <c r="AM122" s="199"/>
      <c r="AN122" s="197"/>
      <c r="AO122" s="197"/>
      <c r="AP122" s="197"/>
      <c r="AQ122" s="197"/>
      <c r="AR122" s="197"/>
      <c r="AS122" s="197"/>
    </row>
    <row r="123">
      <c r="A123" s="198" t="str">
        <f t="shared" si="1"/>
        <v>PP</v>
      </c>
      <c r="B123" s="198" t="s">
        <v>2921</v>
      </c>
      <c r="C123" s="198" t="s">
        <v>169</v>
      </c>
      <c r="D123" s="199" t="s">
        <v>2922</v>
      </c>
      <c r="E123" s="198" t="s">
        <v>2920</v>
      </c>
      <c r="F123" s="198">
        <v>2.0</v>
      </c>
      <c r="G123" s="198">
        <v>2024.0</v>
      </c>
      <c r="H123" s="199"/>
      <c r="I123" s="199"/>
      <c r="J123" s="199"/>
      <c r="K123" s="202"/>
      <c r="L123" s="202"/>
      <c r="M123" s="202"/>
      <c r="N123" s="202"/>
      <c r="O123" s="202"/>
      <c r="P123" s="202"/>
      <c r="Q123" s="202"/>
      <c r="R123" s="202"/>
      <c r="S123" s="202"/>
      <c r="T123" s="202">
        <v>130590.0</v>
      </c>
      <c r="U123" s="198" t="s">
        <v>2712</v>
      </c>
      <c r="V123" s="198">
        <v>48.0</v>
      </c>
      <c r="W123" s="197"/>
      <c r="X123" s="197"/>
      <c r="Y123" s="199"/>
      <c r="Z123" s="199"/>
      <c r="AA123" s="204" t="str">
        <f t="shared" si="4"/>
        <v/>
      </c>
      <c r="AB123" s="198" t="s">
        <v>2781</v>
      </c>
      <c r="AC123" s="199"/>
      <c r="AD123" s="199"/>
      <c r="AE123" s="199"/>
      <c r="AF123" s="199"/>
      <c r="AG123" s="199"/>
      <c r="AH123" s="199"/>
      <c r="AI123" s="199"/>
      <c r="AJ123" s="199"/>
      <c r="AK123" s="199"/>
      <c r="AL123" s="199"/>
      <c r="AM123" s="198" t="s">
        <v>2783</v>
      </c>
      <c r="AN123" s="197"/>
      <c r="AO123" s="197"/>
      <c r="AP123" s="197"/>
      <c r="AQ123" s="197"/>
      <c r="AR123" s="197"/>
      <c r="AS123" s="197"/>
    </row>
    <row r="124">
      <c r="A124" s="198" t="str">
        <f t="shared" si="1"/>
        <v>PP</v>
      </c>
      <c r="B124" s="198" t="s">
        <v>2925</v>
      </c>
      <c r="C124" s="198" t="s">
        <v>2799</v>
      </c>
      <c r="D124" s="199" t="s">
        <v>2926</v>
      </c>
      <c r="E124" s="198" t="s">
        <v>2923</v>
      </c>
      <c r="F124" s="198">
        <v>2.0</v>
      </c>
      <c r="G124" s="198">
        <v>2024.0</v>
      </c>
      <c r="H124" s="214" t="s">
        <v>2924</v>
      </c>
      <c r="I124" s="202">
        <v>583311.1</v>
      </c>
      <c r="J124" s="199"/>
      <c r="K124" s="207"/>
      <c r="L124" s="207"/>
      <c r="M124" s="207"/>
      <c r="N124" s="207"/>
      <c r="O124" s="207"/>
      <c r="P124" s="207"/>
      <c r="Q124" s="207"/>
      <c r="R124" s="207"/>
      <c r="S124" s="207"/>
      <c r="T124" s="207"/>
      <c r="U124" s="205" t="s">
        <v>3026</v>
      </c>
      <c r="V124" s="199"/>
      <c r="W124" s="197"/>
      <c r="X124" s="197"/>
      <c r="Y124" s="199"/>
      <c r="Z124" s="199"/>
      <c r="AA124" s="204" t="str">
        <f t="shared" si="4"/>
        <v/>
      </c>
      <c r="AB124" s="198" t="s">
        <v>2781</v>
      </c>
      <c r="AC124" s="199"/>
      <c r="AD124" s="199"/>
      <c r="AE124" s="199"/>
      <c r="AF124" s="199"/>
      <c r="AG124" s="199"/>
      <c r="AH124" s="199"/>
      <c r="AI124" s="199"/>
      <c r="AJ124" s="199"/>
      <c r="AK124" s="199"/>
      <c r="AL124" s="199"/>
      <c r="AM124" s="198" t="s">
        <v>2783</v>
      </c>
      <c r="AN124" s="197"/>
      <c r="AO124" s="197"/>
      <c r="AP124" s="197"/>
      <c r="AQ124" s="197"/>
      <c r="AR124" s="197"/>
      <c r="AS124" s="197"/>
    </row>
    <row r="125">
      <c r="A125" s="198" t="str">
        <f t="shared" si="1"/>
        <v>PP</v>
      </c>
      <c r="B125" s="198" t="s">
        <v>2929</v>
      </c>
      <c r="C125" s="198" t="s">
        <v>169</v>
      </c>
      <c r="D125" s="199" t="s">
        <v>2930</v>
      </c>
      <c r="E125" s="198" t="s">
        <v>2927</v>
      </c>
      <c r="F125" s="198">
        <v>2.0</v>
      </c>
      <c r="G125" s="198">
        <v>2024.0</v>
      </c>
      <c r="H125" s="214" t="s">
        <v>2928</v>
      </c>
      <c r="I125" s="202">
        <v>20780.88</v>
      </c>
      <c r="J125" s="199"/>
      <c r="K125" s="207"/>
      <c r="L125" s="207"/>
      <c r="M125" s="207"/>
      <c r="N125" s="207"/>
      <c r="O125" s="207"/>
      <c r="P125" s="207"/>
      <c r="Q125" s="207"/>
      <c r="R125" s="207"/>
      <c r="S125" s="207"/>
      <c r="T125" s="207"/>
      <c r="U125" s="198" t="s">
        <v>2712</v>
      </c>
      <c r="V125" s="198">
        <v>3.0</v>
      </c>
      <c r="W125" s="197"/>
      <c r="X125" s="197"/>
      <c r="Y125" s="199"/>
      <c r="Z125" s="199"/>
      <c r="AA125" s="204" t="str">
        <f t="shared" si="4"/>
        <v/>
      </c>
      <c r="AB125" s="198" t="s">
        <v>2781</v>
      </c>
      <c r="AC125" s="199"/>
      <c r="AD125" s="199"/>
      <c r="AE125" s="199"/>
      <c r="AF125" s="199"/>
      <c r="AG125" s="199"/>
      <c r="AH125" s="199"/>
      <c r="AI125" s="199"/>
      <c r="AJ125" s="199"/>
      <c r="AK125" s="199"/>
      <c r="AL125" s="199"/>
      <c r="AM125" s="198" t="s">
        <v>2783</v>
      </c>
      <c r="AN125" s="197"/>
      <c r="AO125" s="197"/>
      <c r="AP125" s="197"/>
      <c r="AQ125" s="197"/>
      <c r="AR125" s="197"/>
      <c r="AS125" s="197"/>
    </row>
    <row r="126">
      <c r="A126" s="198" t="str">
        <f t="shared" si="1"/>
        <v>PP</v>
      </c>
      <c r="B126" s="198" t="s">
        <v>2931</v>
      </c>
      <c r="C126" s="198" t="s">
        <v>2932</v>
      </c>
      <c r="D126" s="199"/>
      <c r="E126" s="198" t="s">
        <v>2927</v>
      </c>
      <c r="F126" s="198">
        <v>2.0</v>
      </c>
      <c r="G126" s="198">
        <v>2024.0</v>
      </c>
      <c r="H126" s="199"/>
      <c r="I126" s="207"/>
      <c r="J126" s="199"/>
      <c r="K126" s="207"/>
      <c r="L126" s="207"/>
      <c r="M126" s="207"/>
      <c r="N126" s="207"/>
      <c r="O126" s="207"/>
      <c r="P126" s="207"/>
      <c r="Q126" s="207"/>
      <c r="R126" s="207"/>
      <c r="S126" s="207"/>
      <c r="T126" s="207"/>
      <c r="U126" s="198" t="s">
        <v>2712</v>
      </c>
      <c r="V126" s="198">
        <v>63.0</v>
      </c>
      <c r="W126" s="197"/>
      <c r="X126" s="197"/>
      <c r="Y126" s="199"/>
      <c r="Z126" s="199"/>
      <c r="AA126" s="204" t="str">
        <f t="shared" si="4"/>
        <v/>
      </c>
      <c r="AB126" s="198" t="s">
        <v>2919</v>
      </c>
      <c r="AC126" s="199"/>
      <c r="AD126" s="199"/>
      <c r="AE126" s="199"/>
      <c r="AF126" s="199"/>
      <c r="AG126" s="199"/>
      <c r="AH126" s="199"/>
      <c r="AI126" s="199"/>
      <c r="AJ126" s="199"/>
      <c r="AK126" s="199"/>
      <c r="AL126" s="199"/>
      <c r="AM126" s="198" t="s">
        <v>2775</v>
      </c>
      <c r="AN126" s="197"/>
      <c r="AO126" s="197"/>
      <c r="AP126" s="197"/>
      <c r="AQ126" s="197"/>
      <c r="AR126" s="197"/>
      <c r="AS126" s="197"/>
    </row>
    <row r="127">
      <c r="A127" s="198" t="str">
        <f t="shared" si="1"/>
        <v>PP</v>
      </c>
      <c r="B127" s="198" t="s">
        <v>2934</v>
      </c>
      <c r="C127" s="198" t="s">
        <v>105</v>
      </c>
      <c r="D127" s="199" t="s">
        <v>2935</v>
      </c>
      <c r="E127" s="198" t="s">
        <v>2933</v>
      </c>
      <c r="F127" s="198">
        <v>2.0</v>
      </c>
      <c r="G127" s="198">
        <v>2024.0</v>
      </c>
      <c r="H127" s="198">
        <v>2400003.0</v>
      </c>
      <c r="I127" s="202">
        <v>170455.42</v>
      </c>
      <c r="J127" s="199"/>
      <c r="K127" s="207"/>
      <c r="L127" s="207"/>
      <c r="M127" s="207"/>
      <c r="N127" s="207"/>
      <c r="O127" s="207"/>
      <c r="P127" s="207"/>
      <c r="Q127" s="207"/>
      <c r="R127" s="207"/>
      <c r="S127" s="207"/>
      <c r="T127" s="207"/>
      <c r="U127" s="206" t="s">
        <v>3026</v>
      </c>
      <c r="V127" s="198">
        <v>13.0</v>
      </c>
      <c r="W127" s="197"/>
      <c r="X127" s="197"/>
      <c r="Y127" s="199"/>
      <c r="Z127" s="199"/>
      <c r="AA127" s="204" t="str">
        <f t="shared" si="4"/>
        <v/>
      </c>
      <c r="AB127" s="198" t="s">
        <v>38</v>
      </c>
      <c r="AC127" s="199"/>
      <c r="AD127" s="199"/>
      <c r="AE127" s="199"/>
      <c r="AF127" s="199"/>
      <c r="AG127" s="199"/>
      <c r="AH127" s="199"/>
      <c r="AI127" s="199"/>
      <c r="AJ127" s="199"/>
      <c r="AK127" s="199"/>
      <c r="AL127" s="199"/>
      <c r="AM127" s="198" t="s">
        <v>2783</v>
      </c>
      <c r="AN127" s="197"/>
      <c r="AO127" s="197"/>
      <c r="AP127" s="197"/>
      <c r="AQ127" s="197"/>
      <c r="AR127" s="197"/>
      <c r="AS127" s="197"/>
    </row>
    <row r="128">
      <c r="A128" s="198" t="str">
        <f t="shared" si="1"/>
        <v>PP</v>
      </c>
      <c r="B128" s="198" t="s">
        <v>2937</v>
      </c>
      <c r="C128" s="198" t="s">
        <v>81</v>
      </c>
      <c r="D128" s="199" t="s">
        <v>2833</v>
      </c>
      <c r="E128" s="198" t="s">
        <v>2936</v>
      </c>
      <c r="F128" s="198">
        <v>2.0</v>
      </c>
      <c r="G128" s="198">
        <v>2024.0</v>
      </c>
      <c r="H128" s="198">
        <v>2400004.0</v>
      </c>
      <c r="I128" s="202">
        <v>442528.15</v>
      </c>
      <c r="J128" s="199"/>
      <c r="K128" s="207"/>
      <c r="L128" s="207"/>
      <c r="M128" s="207"/>
      <c r="N128" s="207"/>
      <c r="O128" s="207"/>
      <c r="P128" s="207"/>
      <c r="Q128" s="207"/>
      <c r="R128" s="207"/>
      <c r="S128" s="207"/>
      <c r="T128" s="207"/>
      <c r="U128" s="205" t="s">
        <v>3026</v>
      </c>
      <c r="V128" s="199"/>
      <c r="W128" s="197"/>
      <c r="X128" s="197"/>
      <c r="Y128" s="199"/>
      <c r="Z128" s="199"/>
      <c r="AA128" s="204" t="str">
        <f t="shared" si="4"/>
        <v/>
      </c>
      <c r="AB128" s="198" t="s">
        <v>2781</v>
      </c>
      <c r="AC128" s="199"/>
      <c r="AD128" s="199"/>
      <c r="AE128" s="199"/>
      <c r="AF128" s="199"/>
      <c r="AG128" s="199"/>
      <c r="AH128" s="199"/>
      <c r="AI128" s="199"/>
      <c r="AJ128" s="199"/>
      <c r="AK128" s="199"/>
      <c r="AL128" s="199"/>
      <c r="AM128" s="198" t="s">
        <v>2783</v>
      </c>
      <c r="AN128" s="197"/>
      <c r="AO128" s="197"/>
      <c r="AP128" s="197"/>
      <c r="AQ128" s="197"/>
      <c r="AR128" s="197"/>
      <c r="AS128" s="197"/>
    </row>
    <row r="129">
      <c r="A129" s="198" t="str">
        <f t="shared" si="1"/>
        <v>PP</v>
      </c>
      <c r="B129" s="198" t="s">
        <v>2939</v>
      </c>
      <c r="C129" s="198" t="s">
        <v>81</v>
      </c>
      <c r="D129" s="199" t="s">
        <v>2940</v>
      </c>
      <c r="E129" s="198" t="s">
        <v>2938</v>
      </c>
      <c r="F129" s="198">
        <v>2.0</v>
      </c>
      <c r="G129" s="198">
        <v>2024.0</v>
      </c>
      <c r="H129" s="198">
        <v>2400005.0</v>
      </c>
      <c r="I129" s="202">
        <v>633616.4</v>
      </c>
      <c r="J129" s="199"/>
      <c r="K129" s="207"/>
      <c r="L129" s="207"/>
      <c r="M129" s="207"/>
      <c r="N129" s="207"/>
      <c r="O129" s="207"/>
      <c r="P129" s="207"/>
      <c r="Q129" s="207"/>
      <c r="R129" s="207"/>
      <c r="S129" s="207"/>
      <c r="T129" s="207"/>
      <c r="U129" s="206" t="s">
        <v>3026</v>
      </c>
      <c r="V129" s="199"/>
      <c r="W129" s="197"/>
      <c r="X129" s="197"/>
      <c r="Y129" s="199"/>
      <c r="Z129" s="199"/>
      <c r="AA129" s="204" t="str">
        <f t="shared" si="4"/>
        <v/>
      </c>
      <c r="AB129" s="198" t="s">
        <v>2781</v>
      </c>
      <c r="AC129" s="199"/>
      <c r="AD129" s="199"/>
      <c r="AE129" s="199"/>
      <c r="AF129" s="199"/>
      <c r="AG129" s="199"/>
      <c r="AH129" s="199"/>
      <c r="AI129" s="199"/>
      <c r="AJ129" s="199"/>
      <c r="AK129" s="199"/>
      <c r="AL129" s="199"/>
      <c r="AM129" s="198" t="s">
        <v>2783</v>
      </c>
      <c r="AN129" s="197"/>
      <c r="AO129" s="197"/>
      <c r="AP129" s="197"/>
      <c r="AQ129" s="197"/>
      <c r="AR129" s="197"/>
      <c r="AS129" s="197"/>
    </row>
    <row r="130">
      <c r="A130" s="198" t="str">
        <f t="shared" si="1"/>
        <v>PP</v>
      </c>
      <c r="B130" s="198" t="s">
        <v>2941</v>
      </c>
      <c r="C130" s="198" t="s">
        <v>637</v>
      </c>
      <c r="D130" s="199"/>
      <c r="E130" s="200">
        <v>45325.0</v>
      </c>
      <c r="F130" s="198">
        <v>3.0</v>
      </c>
      <c r="G130" s="198">
        <v>2024.0</v>
      </c>
      <c r="H130" s="199"/>
      <c r="I130" s="207"/>
      <c r="J130" s="199"/>
      <c r="K130" s="207"/>
      <c r="L130" s="207"/>
      <c r="M130" s="207"/>
      <c r="N130" s="207"/>
      <c r="O130" s="207"/>
      <c r="P130" s="207"/>
      <c r="Q130" s="207"/>
      <c r="R130" s="207"/>
      <c r="S130" s="207"/>
      <c r="T130" s="207"/>
      <c r="U130" s="198" t="s">
        <v>2712</v>
      </c>
      <c r="V130" s="199"/>
      <c r="W130" s="197"/>
      <c r="X130" s="197"/>
      <c r="Y130" s="199"/>
      <c r="Z130" s="199"/>
      <c r="AA130" s="204" t="str">
        <f t="shared" si="4"/>
        <v/>
      </c>
      <c r="AB130" s="198" t="s">
        <v>2749</v>
      </c>
      <c r="AC130" s="199"/>
      <c r="AD130" s="199"/>
      <c r="AE130" s="199"/>
      <c r="AF130" s="199"/>
      <c r="AG130" s="199"/>
      <c r="AH130" s="199"/>
      <c r="AI130" s="199"/>
      <c r="AJ130" s="199"/>
      <c r="AK130" s="199"/>
      <c r="AL130" s="199"/>
      <c r="AM130" s="198" t="s">
        <v>2775</v>
      </c>
      <c r="AN130" s="197"/>
      <c r="AO130" s="197"/>
      <c r="AP130" s="197"/>
      <c r="AQ130" s="197"/>
      <c r="AR130" s="197"/>
      <c r="AS130" s="197"/>
    </row>
    <row r="131">
      <c r="A131" s="198" t="str">
        <f t="shared" si="1"/>
        <v>PP</v>
      </c>
      <c r="B131" s="198" t="s">
        <v>2942</v>
      </c>
      <c r="C131" s="198" t="s">
        <v>2943</v>
      </c>
      <c r="D131" s="199" t="s">
        <v>2944</v>
      </c>
      <c r="E131" s="200">
        <v>45568.0</v>
      </c>
      <c r="F131" s="198">
        <v>3.0</v>
      </c>
      <c r="G131" s="198">
        <v>2024.0</v>
      </c>
      <c r="H131" s="198">
        <v>2400006.0</v>
      </c>
      <c r="I131" s="207"/>
      <c r="J131" s="199"/>
      <c r="K131" s="207"/>
      <c r="L131" s="207"/>
      <c r="M131" s="207"/>
      <c r="N131" s="207"/>
      <c r="O131" s="207"/>
      <c r="P131" s="207"/>
      <c r="Q131" s="207"/>
      <c r="R131" s="207"/>
      <c r="S131" s="207"/>
      <c r="T131" s="207"/>
      <c r="U131" s="206" t="s">
        <v>3026</v>
      </c>
      <c r="V131" s="198">
        <v>3.0</v>
      </c>
      <c r="W131" s="197"/>
      <c r="X131" s="197"/>
      <c r="Y131" s="199"/>
      <c r="Z131" s="199"/>
      <c r="AA131" s="204" t="str">
        <f t="shared" si="4"/>
        <v/>
      </c>
      <c r="AB131" s="198" t="s">
        <v>2919</v>
      </c>
      <c r="AC131" s="199"/>
      <c r="AD131" s="199"/>
      <c r="AE131" s="199"/>
      <c r="AF131" s="199"/>
      <c r="AG131" s="199"/>
      <c r="AH131" s="199"/>
      <c r="AI131" s="199"/>
      <c r="AJ131" s="199"/>
      <c r="AK131" s="199"/>
      <c r="AL131" s="199"/>
      <c r="AM131" s="198" t="s">
        <v>2783</v>
      </c>
      <c r="AN131" s="197"/>
      <c r="AO131" s="197"/>
      <c r="AP131" s="197"/>
      <c r="AQ131" s="197"/>
      <c r="AR131" s="197"/>
      <c r="AS131" s="197"/>
    </row>
    <row r="132">
      <c r="A132" s="198" t="str">
        <f t="shared" si="1"/>
        <v>PP</v>
      </c>
      <c r="B132" s="198" t="s">
        <v>2945</v>
      </c>
      <c r="C132" s="198" t="s">
        <v>2946</v>
      </c>
      <c r="D132" s="199" t="s">
        <v>2833</v>
      </c>
      <c r="E132" s="200">
        <v>45568.0</v>
      </c>
      <c r="F132" s="198">
        <v>3.0</v>
      </c>
      <c r="G132" s="198">
        <v>2024.0</v>
      </c>
      <c r="H132" s="199"/>
      <c r="I132" s="207"/>
      <c r="J132" s="199"/>
      <c r="K132" s="207"/>
      <c r="L132" s="207"/>
      <c r="M132" s="207"/>
      <c r="N132" s="207"/>
      <c r="O132" s="207"/>
      <c r="P132" s="207"/>
      <c r="Q132" s="207"/>
      <c r="R132" s="207"/>
      <c r="S132" s="207"/>
      <c r="T132" s="207"/>
      <c r="U132" s="198" t="s">
        <v>2712</v>
      </c>
      <c r="V132" s="199"/>
      <c r="W132" s="197"/>
      <c r="X132" s="197"/>
      <c r="Y132" s="199"/>
      <c r="Z132" s="199"/>
      <c r="AA132" s="204" t="str">
        <f t="shared" si="4"/>
        <v/>
      </c>
      <c r="AB132" s="198" t="s">
        <v>2781</v>
      </c>
      <c r="AC132" s="199"/>
      <c r="AD132" s="199"/>
      <c r="AE132" s="199"/>
      <c r="AF132" s="199"/>
      <c r="AG132" s="199"/>
      <c r="AH132" s="199"/>
      <c r="AI132" s="199"/>
      <c r="AJ132" s="199"/>
      <c r="AK132" s="199"/>
      <c r="AL132" s="199"/>
      <c r="AM132" s="198" t="s">
        <v>2775</v>
      </c>
      <c r="AN132" s="197"/>
      <c r="AO132" s="197"/>
      <c r="AP132" s="197"/>
      <c r="AQ132" s="197"/>
      <c r="AR132" s="197"/>
      <c r="AS132" s="197"/>
    </row>
    <row r="133">
      <c r="A133" s="198" t="str">
        <f t="shared" si="1"/>
        <v>PP</v>
      </c>
      <c r="B133" s="198" t="s">
        <v>2948</v>
      </c>
      <c r="C133" s="198" t="s">
        <v>2946</v>
      </c>
      <c r="D133" s="199" t="s">
        <v>2949</v>
      </c>
      <c r="E133" s="198" t="s">
        <v>2947</v>
      </c>
      <c r="F133" s="199"/>
      <c r="G133" s="199"/>
      <c r="H133" s="199"/>
      <c r="I133" s="207"/>
      <c r="J133" s="199"/>
      <c r="K133" s="207"/>
      <c r="L133" s="207"/>
      <c r="M133" s="207"/>
      <c r="N133" s="207"/>
      <c r="O133" s="207"/>
      <c r="P133" s="207"/>
      <c r="Q133" s="207"/>
      <c r="R133" s="207"/>
      <c r="S133" s="207"/>
      <c r="T133" s="207"/>
      <c r="U133" s="199"/>
      <c r="V133" s="199"/>
      <c r="W133" s="197"/>
      <c r="X133" s="197"/>
      <c r="Y133" s="199"/>
      <c r="Z133" s="199"/>
      <c r="AA133" s="204" t="str">
        <f t="shared" si="4"/>
        <v/>
      </c>
      <c r="AB133" s="198" t="s">
        <v>2781</v>
      </c>
      <c r="AC133" s="199"/>
      <c r="AD133" s="199"/>
      <c r="AE133" s="199"/>
      <c r="AF133" s="199"/>
      <c r="AG133" s="199"/>
      <c r="AH133" s="199"/>
      <c r="AI133" s="199"/>
      <c r="AJ133" s="199"/>
      <c r="AK133" s="199"/>
      <c r="AL133" s="199"/>
      <c r="AM133" s="198" t="s">
        <v>2775</v>
      </c>
      <c r="AN133" s="197"/>
      <c r="AO133" s="197"/>
      <c r="AP133" s="197"/>
      <c r="AQ133" s="197"/>
      <c r="AR133" s="197"/>
      <c r="AS133" s="197"/>
    </row>
    <row r="134">
      <c r="A134" s="198" t="str">
        <f t="shared" si="1"/>
        <v>PP</v>
      </c>
      <c r="B134" s="198" t="s">
        <v>2951</v>
      </c>
      <c r="C134" s="198" t="s">
        <v>169</v>
      </c>
      <c r="D134" s="199" t="s">
        <v>2952</v>
      </c>
      <c r="E134" s="198" t="s">
        <v>2950</v>
      </c>
      <c r="F134" s="198">
        <v>3.0</v>
      </c>
      <c r="G134" s="198">
        <v>2024.0</v>
      </c>
      <c r="H134" s="199"/>
      <c r="I134" s="207"/>
      <c r="J134" s="199"/>
      <c r="K134" s="202"/>
      <c r="L134" s="202"/>
      <c r="M134" s="202"/>
      <c r="N134" s="202"/>
      <c r="O134" s="202"/>
      <c r="P134" s="202"/>
      <c r="Q134" s="202"/>
      <c r="R134" s="202"/>
      <c r="S134" s="202"/>
      <c r="T134" s="202">
        <v>27145.44</v>
      </c>
      <c r="U134" s="198" t="s">
        <v>2712</v>
      </c>
      <c r="V134" s="199"/>
      <c r="W134" s="197"/>
      <c r="X134" s="197"/>
      <c r="Y134" s="199"/>
      <c r="Z134" s="199"/>
      <c r="AA134" s="204" t="str">
        <f t="shared" si="4"/>
        <v/>
      </c>
      <c r="AB134" s="198" t="s">
        <v>2781</v>
      </c>
      <c r="AC134" s="199"/>
      <c r="AD134" s="199"/>
      <c r="AE134" s="199"/>
      <c r="AF134" s="199"/>
      <c r="AG134" s="199"/>
      <c r="AH134" s="199"/>
      <c r="AI134" s="199"/>
      <c r="AJ134" s="199"/>
      <c r="AK134" s="199"/>
      <c r="AL134" s="199"/>
      <c r="AM134" s="198" t="s">
        <v>2783</v>
      </c>
      <c r="AN134" s="197"/>
      <c r="AO134" s="197"/>
      <c r="AP134" s="197"/>
      <c r="AQ134" s="197"/>
      <c r="AR134" s="197"/>
      <c r="AS134" s="197"/>
    </row>
    <row r="135">
      <c r="A135" s="198" t="str">
        <f t="shared" si="1"/>
        <v>PP</v>
      </c>
      <c r="B135" s="198" t="s">
        <v>2954</v>
      </c>
      <c r="C135" s="198" t="s">
        <v>37</v>
      </c>
      <c r="D135" s="199" t="s">
        <v>2955</v>
      </c>
      <c r="E135" s="198" t="s">
        <v>2953</v>
      </c>
      <c r="F135" s="198">
        <v>3.0</v>
      </c>
      <c r="G135" s="198">
        <v>2024.0</v>
      </c>
      <c r="H135" s="198">
        <v>2400008.0</v>
      </c>
      <c r="I135" s="202">
        <v>269880.0</v>
      </c>
      <c r="J135" s="199"/>
      <c r="K135" s="207"/>
      <c r="L135" s="207"/>
      <c r="M135" s="207"/>
      <c r="N135" s="207"/>
      <c r="O135" s="207"/>
      <c r="P135" s="207"/>
      <c r="Q135" s="207"/>
      <c r="R135" s="207"/>
      <c r="S135" s="207"/>
      <c r="T135" s="207"/>
      <c r="U135" s="198" t="s">
        <v>2712</v>
      </c>
      <c r="V135" s="198">
        <v>19.0</v>
      </c>
      <c r="W135" s="197"/>
      <c r="X135" s="197"/>
      <c r="Y135" s="199"/>
      <c r="Z135" s="199"/>
      <c r="AA135" s="204" t="str">
        <f t="shared" si="4"/>
        <v/>
      </c>
      <c r="AB135" s="198" t="s">
        <v>38</v>
      </c>
      <c r="AC135" s="199"/>
      <c r="AD135" s="199"/>
      <c r="AE135" s="199"/>
      <c r="AF135" s="199"/>
      <c r="AG135" s="199"/>
      <c r="AH135" s="199"/>
      <c r="AI135" s="199"/>
      <c r="AJ135" s="199"/>
      <c r="AK135" s="199"/>
      <c r="AL135" s="199"/>
      <c r="AM135" s="198" t="s">
        <v>2783</v>
      </c>
      <c r="AN135" s="197"/>
      <c r="AO135" s="197"/>
      <c r="AP135" s="197"/>
      <c r="AQ135" s="197"/>
      <c r="AR135" s="197"/>
      <c r="AS135" s="197"/>
    </row>
    <row r="136">
      <c r="A136" s="198" t="str">
        <f t="shared" si="1"/>
        <v>PP</v>
      </c>
      <c r="B136" s="198" t="s">
        <v>2957</v>
      </c>
      <c r="C136" s="198" t="s">
        <v>2958</v>
      </c>
      <c r="D136" s="199" t="s">
        <v>2959</v>
      </c>
      <c r="E136" s="198" t="s">
        <v>2956</v>
      </c>
      <c r="F136" s="198">
        <v>3.0</v>
      </c>
      <c r="G136" s="198">
        <v>2024.0</v>
      </c>
      <c r="H136" s="199"/>
      <c r="I136" s="202">
        <v>733222.0</v>
      </c>
      <c r="J136" s="199"/>
      <c r="K136" s="207"/>
      <c r="L136" s="207"/>
      <c r="M136" s="207"/>
      <c r="N136" s="207"/>
      <c r="O136" s="207"/>
      <c r="P136" s="207"/>
      <c r="Q136" s="207"/>
      <c r="R136" s="207"/>
      <c r="S136" s="207"/>
      <c r="T136" s="207"/>
      <c r="U136" s="198" t="s">
        <v>2712</v>
      </c>
      <c r="V136" s="199"/>
      <c r="W136" s="197"/>
      <c r="X136" s="197"/>
      <c r="Y136" s="199"/>
      <c r="Z136" s="199"/>
      <c r="AA136" s="204" t="str">
        <f t="shared" si="4"/>
        <v/>
      </c>
      <c r="AB136" s="205" t="s">
        <v>2781</v>
      </c>
      <c r="AC136" s="199"/>
      <c r="AD136" s="199"/>
      <c r="AE136" s="199"/>
      <c r="AF136" s="199"/>
      <c r="AG136" s="199"/>
      <c r="AH136" s="199"/>
      <c r="AI136" s="199"/>
      <c r="AJ136" s="199"/>
      <c r="AK136" s="199"/>
      <c r="AL136" s="199"/>
      <c r="AM136" s="198" t="s">
        <v>2775</v>
      </c>
      <c r="AN136" s="197"/>
      <c r="AO136" s="197"/>
      <c r="AP136" s="197"/>
      <c r="AQ136" s="197"/>
      <c r="AR136" s="197"/>
      <c r="AS136" s="197"/>
    </row>
    <row r="137">
      <c r="A137" s="198" t="str">
        <f t="shared" si="1"/>
        <v>PP</v>
      </c>
      <c r="B137" s="198" t="s">
        <v>2960</v>
      </c>
      <c r="C137" s="198" t="s">
        <v>26</v>
      </c>
      <c r="D137" s="199" t="s">
        <v>2961</v>
      </c>
      <c r="E137" s="200">
        <v>45355.0</v>
      </c>
      <c r="F137" s="198">
        <v>4.0</v>
      </c>
      <c r="G137" s="198">
        <v>2024.0</v>
      </c>
      <c r="H137" s="199"/>
      <c r="I137" s="207"/>
      <c r="J137" s="199"/>
      <c r="K137" s="202"/>
      <c r="L137" s="202"/>
      <c r="M137" s="202"/>
      <c r="N137" s="202"/>
      <c r="O137" s="202"/>
      <c r="P137" s="202"/>
      <c r="Q137" s="202"/>
      <c r="R137" s="202"/>
      <c r="S137" s="202"/>
      <c r="T137" s="202">
        <v>407943.41</v>
      </c>
      <c r="U137" s="206" t="s">
        <v>3026</v>
      </c>
      <c r="V137" s="199"/>
      <c r="W137" s="197"/>
      <c r="X137" s="197"/>
      <c r="Y137" s="199"/>
      <c r="Z137" s="199"/>
      <c r="AA137" s="204" t="str">
        <f t="shared" si="4"/>
        <v/>
      </c>
      <c r="AB137" s="198" t="s">
        <v>38</v>
      </c>
      <c r="AC137" s="199"/>
      <c r="AD137" s="199"/>
      <c r="AE137" s="199"/>
      <c r="AF137" s="199"/>
      <c r="AG137" s="199"/>
      <c r="AH137" s="199"/>
      <c r="AI137" s="199"/>
      <c r="AJ137" s="199"/>
      <c r="AK137" s="199"/>
      <c r="AL137" s="199"/>
      <c r="AM137" s="198" t="s">
        <v>2783</v>
      </c>
      <c r="AN137" s="197"/>
      <c r="AO137" s="197"/>
      <c r="AP137" s="197"/>
      <c r="AQ137" s="197"/>
      <c r="AR137" s="197"/>
      <c r="AS137" s="197"/>
    </row>
    <row r="138">
      <c r="A138" s="198" t="str">
        <f t="shared" si="1"/>
        <v>PP</v>
      </c>
      <c r="B138" s="198" t="s">
        <v>2963</v>
      </c>
      <c r="C138" s="198" t="s">
        <v>2785</v>
      </c>
      <c r="D138" s="199" t="s">
        <v>2964</v>
      </c>
      <c r="E138" s="198" t="s">
        <v>2962</v>
      </c>
      <c r="F138" s="198">
        <v>4.0</v>
      </c>
      <c r="G138" s="198">
        <v>2024.0</v>
      </c>
      <c r="H138" s="199"/>
      <c r="I138" s="207"/>
      <c r="J138" s="199"/>
      <c r="K138" s="202"/>
      <c r="L138" s="202"/>
      <c r="M138" s="202"/>
      <c r="N138" s="202"/>
      <c r="O138" s="202"/>
      <c r="P138" s="202"/>
      <c r="Q138" s="202"/>
      <c r="R138" s="202"/>
      <c r="S138" s="202"/>
      <c r="T138" s="202">
        <v>221061.0</v>
      </c>
      <c r="U138" s="205" t="s">
        <v>3026</v>
      </c>
      <c r="V138" s="199"/>
      <c r="W138" s="197"/>
      <c r="X138" s="197"/>
      <c r="Y138" s="199"/>
      <c r="Z138" s="199"/>
      <c r="AA138" s="204" t="str">
        <f t="shared" si="4"/>
        <v/>
      </c>
      <c r="AB138" s="198" t="s">
        <v>2781</v>
      </c>
      <c r="AC138" s="199"/>
      <c r="AD138" s="199"/>
      <c r="AE138" s="199"/>
      <c r="AF138" s="199"/>
      <c r="AG138" s="199"/>
      <c r="AH138" s="199"/>
      <c r="AI138" s="199"/>
      <c r="AJ138" s="199"/>
      <c r="AK138" s="199"/>
      <c r="AL138" s="199"/>
      <c r="AM138" s="198" t="s">
        <v>2783</v>
      </c>
      <c r="AN138" s="197"/>
      <c r="AO138" s="197"/>
      <c r="AP138" s="197"/>
      <c r="AQ138" s="197"/>
      <c r="AR138" s="197"/>
      <c r="AS138" s="197"/>
    </row>
    <row r="139">
      <c r="A139" s="198" t="str">
        <f t="shared" si="1"/>
        <v>PP</v>
      </c>
      <c r="B139" s="198" t="s">
        <v>2966</v>
      </c>
      <c r="C139" s="198" t="s">
        <v>37</v>
      </c>
      <c r="D139" s="199" t="s">
        <v>2854</v>
      </c>
      <c r="E139" s="198" t="s">
        <v>2965</v>
      </c>
      <c r="F139" s="198">
        <v>4.0</v>
      </c>
      <c r="G139" s="198">
        <v>2024.0</v>
      </c>
      <c r="H139" s="198">
        <v>2400009.0</v>
      </c>
      <c r="I139" s="202">
        <v>52747.0</v>
      </c>
      <c r="J139" s="198">
        <v>2400091.0</v>
      </c>
      <c r="K139" s="202"/>
      <c r="L139" s="202"/>
      <c r="M139" s="202"/>
      <c r="N139" s="202"/>
      <c r="O139" s="202"/>
      <c r="P139" s="202"/>
      <c r="Q139" s="202"/>
      <c r="R139" s="202"/>
      <c r="S139" s="202"/>
      <c r="T139" s="202">
        <v>52747.0</v>
      </c>
      <c r="U139" s="198" t="s">
        <v>2712</v>
      </c>
      <c r="V139" s="199"/>
      <c r="W139" s="197"/>
      <c r="X139" s="197"/>
      <c r="Y139" s="199"/>
      <c r="Z139" s="199"/>
      <c r="AA139" s="204" t="str">
        <f t="shared" si="4"/>
        <v/>
      </c>
      <c r="AB139" s="198" t="s">
        <v>38</v>
      </c>
      <c r="AC139" s="199"/>
      <c r="AD139" s="199"/>
      <c r="AE139" s="199"/>
      <c r="AF139" s="199"/>
      <c r="AG139" s="199"/>
      <c r="AH139" s="199"/>
      <c r="AI139" s="199"/>
      <c r="AJ139" s="199"/>
      <c r="AK139" s="199"/>
      <c r="AL139" s="199"/>
      <c r="AM139" s="198" t="s">
        <v>2783</v>
      </c>
      <c r="AN139" s="197"/>
      <c r="AO139" s="197"/>
      <c r="AP139" s="197"/>
      <c r="AQ139" s="197"/>
      <c r="AR139" s="197"/>
      <c r="AS139" s="197"/>
    </row>
    <row r="140">
      <c r="A140" s="198" t="str">
        <f t="shared" si="1"/>
        <v>PP</v>
      </c>
      <c r="B140" s="198" t="s">
        <v>2967</v>
      </c>
      <c r="C140" s="198" t="s">
        <v>37</v>
      </c>
      <c r="D140" s="199" t="s">
        <v>2968</v>
      </c>
      <c r="E140" s="198" t="s">
        <v>2965</v>
      </c>
      <c r="F140" s="198">
        <v>4.0</v>
      </c>
      <c r="G140" s="198">
        <v>2024.0</v>
      </c>
      <c r="H140" s="198">
        <v>2400010.0</v>
      </c>
      <c r="I140" s="202">
        <v>24768.0</v>
      </c>
      <c r="J140" s="198">
        <v>2400092.0</v>
      </c>
      <c r="K140" s="202"/>
      <c r="L140" s="202"/>
      <c r="M140" s="202"/>
      <c r="N140" s="202"/>
      <c r="O140" s="202"/>
      <c r="P140" s="202"/>
      <c r="Q140" s="202"/>
      <c r="R140" s="202"/>
      <c r="S140" s="202"/>
      <c r="T140" s="202">
        <v>24768.0</v>
      </c>
      <c r="U140" s="198" t="s">
        <v>2712</v>
      </c>
      <c r="V140" s="199"/>
      <c r="W140" s="197"/>
      <c r="X140" s="197"/>
      <c r="Y140" s="199"/>
      <c r="Z140" s="199"/>
      <c r="AA140" s="204" t="str">
        <f t="shared" si="4"/>
        <v/>
      </c>
      <c r="AB140" s="198" t="s">
        <v>38</v>
      </c>
      <c r="AC140" s="199"/>
      <c r="AD140" s="199"/>
      <c r="AE140" s="199"/>
      <c r="AF140" s="199"/>
      <c r="AG140" s="199"/>
      <c r="AH140" s="199"/>
      <c r="AI140" s="199"/>
      <c r="AJ140" s="199"/>
      <c r="AK140" s="199"/>
      <c r="AL140" s="199"/>
      <c r="AM140" s="198" t="s">
        <v>2783</v>
      </c>
      <c r="AN140" s="197"/>
      <c r="AO140" s="197"/>
      <c r="AP140" s="197"/>
      <c r="AQ140" s="197"/>
      <c r="AR140" s="197"/>
      <c r="AS140" s="197"/>
    </row>
    <row r="141">
      <c r="A141" s="198" t="str">
        <f t="shared" si="1"/>
        <v>PP</v>
      </c>
      <c r="B141" s="198" t="s">
        <v>2969</v>
      </c>
      <c r="C141" s="198" t="s">
        <v>259</v>
      </c>
      <c r="D141" s="199" t="s">
        <v>2970</v>
      </c>
      <c r="E141" s="209"/>
      <c r="F141" s="199"/>
      <c r="G141" s="199"/>
      <c r="H141" s="199"/>
      <c r="I141" s="207"/>
      <c r="J141" s="199"/>
      <c r="K141" s="207"/>
      <c r="L141" s="207"/>
      <c r="M141" s="207"/>
      <c r="N141" s="207"/>
      <c r="O141" s="207"/>
      <c r="P141" s="207"/>
      <c r="Q141" s="207"/>
      <c r="R141" s="207"/>
      <c r="S141" s="207"/>
      <c r="T141" s="207"/>
      <c r="U141" s="206" t="s">
        <v>3026</v>
      </c>
      <c r="V141" s="199"/>
      <c r="W141" s="197"/>
      <c r="X141" s="197"/>
      <c r="Y141" s="199"/>
      <c r="Z141" s="199"/>
      <c r="AA141" s="204" t="str">
        <f t="shared" si="4"/>
        <v/>
      </c>
      <c r="AB141" s="198" t="s">
        <v>2730</v>
      </c>
      <c r="AC141" s="199"/>
      <c r="AD141" s="199"/>
      <c r="AE141" s="199"/>
      <c r="AF141" s="199"/>
      <c r="AG141" s="199"/>
      <c r="AH141" s="199"/>
      <c r="AI141" s="199"/>
      <c r="AJ141" s="199"/>
      <c r="AK141" s="199"/>
      <c r="AL141" s="199"/>
      <c r="AM141" s="198" t="s">
        <v>2783</v>
      </c>
      <c r="AN141" s="197"/>
      <c r="AO141" s="197"/>
      <c r="AP141" s="197"/>
      <c r="AQ141" s="197"/>
      <c r="AR141" s="197"/>
      <c r="AS141" s="197"/>
    </row>
    <row r="142">
      <c r="A142" s="198" t="str">
        <f t="shared" si="1"/>
        <v>PP</v>
      </c>
      <c r="B142" s="198" t="s">
        <v>2971</v>
      </c>
      <c r="C142" s="198" t="s">
        <v>350</v>
      </c>
      <c r="D142" s="199" t="s">
        <v>2972</v>
      </c>
      <c r="E142" s="209"/>
      <c r="F142" s="199"/>
      <c r="G142" s="198">
        <v>2024.0</v>
      </c>
      <c r="H142" s="199"/>
      <c r="I142" s="207"/>
      <c r="J142" s="199"/>
      <c r="K142" s="202"/>
      <c r="L142" s="202"/>
      <c r="M142" s="202"/>
      <c r="N142" s="202"/>
      <c r="O142" s="202"/>
      <c r="P142" s="202"/>
      <c r="Q142" s="202"/>
      <c r="R142" s="202"/>
      <c r="S142" s="202"/>
      <c r="T142" s="202">
        <v>91675.41</v>
      </c>
      <c r="U142" s="205" t="s">
        <v>3026</v>
      </c>
      <c r="V142" s="199"/>
      <c r="W142" s="197"/>
      <c r="X142" s="197"/>
      <c r="Y142" s="199"/>
      <c r="Z142" s="199"/>
      <c r="AA142" s="204" t="str">
        <f t="shared" si="4"/>
        <v/>
      </c>
      <c r="AB142" s="198" t="s">
        <v>2781</v>
      </c>
      <c r="AC142" s="199"/>
      <c r="AD142" s="199"/>
      <c r="AE142" s="199"/>
      <c r="AF142" s="199"/>
      <c r="AG142" s="199"/>
      <c r="AH142" s="199"/>
      <c r="AI142" s="199"/>
      <c r="AJ142" s="199"/>
      <c r="AK142" s="199"/>
      <c r="AL142" s="199"/>
      <c r="AM142" s="198" t="s">
        <v>2783</v>
      </c>
      <c r="AN142" s="197"/>
      <c r="AO142" s="197"/>
      <c r="AP142" s="197"/>
      <c r="AQ142" s="197"/>
      <c r="AR142" s="197"/>
      <c r="AS142" s="197"/>
    </row>
    <row r="143">
      <c r="A143" s="198" t="str">
        <f t="shared" si="1"/>
        <v>PP</v>
      </c>
      <c r="B143" s="198" t="s">
        <v>2973</v>
      </c>
      <c r="C143" s="198" t="s">
        <v>143</v>
      </c>
      <c r="D143" s="199" t="s">
        <v>2974</v>
      </c>
      <c r="E143" s="200">
        <v>45417.0</v>
      </c>
      <c r="F143" s="198">
        <v>5.0</v>
      </c>
      <c r="G143" s="198">
        <v>2024.0</v>
      </c>
      <c r="H143" s="199"/>
      <c r="I143" s="207"/>
      <c r="J143" s="199"/>
      <c r="K143" s="202"/>
      <c r="L143" s="202"/>
      <c r="M143" s="202"/>
      <c r="N143" s="202"/>
      <c r="O143" s="202"/>
      <c r="P143" s="202"/>
      <c r="Q143" s="202"/>
      <c r="R143" s="202"/>
      <c r="S143" s="202"/>
      <c r="T143" s="202">
        <v>25028.82</v>
      </c>
      <c r="U143" s="206" t="s">
        <v>3026</v>
      </c>
      <c r="V143" s="199"/>
      <c r="W143" s="197"/>
      <c r="X143" s="197"/>
      <c r="Y143" s="199"/>
      <c r="Z143" s="199"/>
      <c r="AA143" s="204" t="str">
        <f t="shared" si="4"/>
        <v/>
      </c>
      <c r="AB143" s="198" t="s">
        <v>2781</v>
      </c>
      <c r="AC143" s="199"/>
      <c r="AD143" s="199"/>
      <c r="AE143" s="199"/>
      <c r="AF143" s="199"/>
      <c r="AG143" s="199"/>
      <c r="AH143" s="199"/>
      <c r="AI143" s="199"/>
      <c r="AJ143" s="199"/>
      <c r="AK143" s="199"/>
      <c r="AL143" s="199"/>
      <c r="AM143" s="198" t="s">
        <v>2783</v>
      </c>
      <c r="AN143" s="197"/>
      <c r="AO143" s="197"/>
      <c r="AP143" s="197"/>
      <c r="AQ143" s="197"/>
      <c r="AR143" s="197"/>
      <c r="AS143" s="197"/>
    </row>
    <row r="144">
      <c r="A144" s="198" t="str">
        <f t="shared" si="1"/>
        <v>PP</v>
      </c>
      <c r="B144" s="198" t="s">
        <v>2975</v>
      </c>
      <c r="C144" s="198" t="s">
        <v>2976</v>
      </c>
      <c r="D144" s="199"/>
      <c r="E144" s="200">
        <v>45448.0</v>
      </c>
      <c r="F144" s="198">
        <v>5.0</v>
      </c>
      <c r="G144" s="198">
        <v>2024.0</v>
      </c>
      <c r="H144" s="199"/>
      <c r="I144" s="207"/>
      <c r="J144" s="199"/>
      <c r="K144" s="202"/>
      <c r="L144" s="202"/>
      <c r="M144" s="202"/>
      <c r="N144" s="202"/>
      <c r="O144" s="202"/>
      <c r="P144" s="202"/>
      <c r="Q144" s="202"/>
      <c r="R144" s="202"/>
      <c r="S144" s="202"/>
      <c r="T144" s="202">
        <v>36677.0</v>
      </c>
      <c r="U144" s="205" t="s">
        <v>3026</v>
      </c>
      <c r="V144" s="199"/>
      <c r="W144" s="197"/>
      <c r="X144" s="197"/>
      <c r="Y144" s="199"/>
      <c r="Z144" s="199"/>
      <c r="AA144" s="204" t="str">
        <f t="shared" si="4"/>
        <v/>
      </c>
      <c r="AB144" s="198" t="s">
        <v>2781</v>
      </c>
      <c r="AC144" s="199"/>
      <c r="AD144" s="199"/>
      <c r="AE144" s="199"/>
      <c r="AF144" s="199"/>
      <c r="AG144" s="199"/>
      <c r="AH144" s="199"/>
      <c r="AI144" s="199"/>
      <c r="AJ144" s="199"/>
      <c r="AK144" s="199"/>
      <c r="AL144" s="199"/>
      <c r="AM144" s="198" t="s">
        <v>2783</v>
      </c>
      <c r="AN144" s="197"/>
      <c r="AO144" s="197"/>
      <c r="AP144" s="197"/>
      <c r="AQ144" s="197"/>
      <c r="AR144" s="197"/>
      <c r="AS144" s="197"/>
    </row>
    <row r="145">
      <c r="A145" s="198" t="str">
        <f t="shared" si="1"/>
        <v>PP</v>
      </c>
      <c r="B145" s="198" t="s">
        <v>2977</v>
      </c>
      <c r="C145" s="198" t="s">
        <v>169</v>
      </c>
      <c r="D145" s="199" t="s">
        <v>2978</v>
      </c>
      <c r="E145" s="200">
        <v>45448.0</v>
      </c>
      <c r="F145" s="198">
        <v>5.0</v>
      </c>
      <c r="G145" s="198">
        <v>2024.0</v>
      </c>
      <c r="H145" s="199"/>
      <c r="I145" s="207"/>
      <c r="J145" s="199"/>
      <c r="K145" s="202"/>
      <c r="L145" s="202"/>
      <c r="M145" s="202"/>
      <c r="N145" s="202"/>
      <c r="O145" s="202"/>
      <c r="P145" s="202"/>
      <c r="Q145" s="202"/>
      <c r="R145" s="202"/>
      <c r="S145" s="202"/>
      <c r="T145" s="202">
        <v>49585.0</v>
      </c>
      <c r="U145" s="198" t="s">
        <v>2712</v>
      </c>
      <c r="V145" s="199"/>
      <c r="W145" s="197"/>
      <c r="X145" s="197"/>
      <c r="Y145" s="199"/>
      <c r="Z145" s="199"/>
      <c r="AA145" s="204" t="str">
        <f t="shared" si="4"/>
        <v/>
      </c>
      <c r="AB145" s="198" t="s">
        <v>2781</v>
      </c>
      <c r="AC145" s="199"/>
      <c r="AD145" s="199"/>
      <c r="AE145" s="199"/>
      <c r="AF145" s="199"/>
      <c r="AG145" s="199"/>
      <c r="AH145" s="199"/>
      <c r="AI145" s="199"/>
      <c r="AJ145" s="199"/>
      <c r="AK145" s="199"/>
      <c r="AL145" s="199"/>
      <c r="AM145" s="198" t="s">
        <v>2783</v>
      </c>
      <c r="AN145" s="197"/>
      <c r="AO145" s="197"/>
      <c r="AP145" s="197"/>
      <c r="AQ145" s="197"/>
      <c r="AR145" s="197"/>
      <c r="AS145" s="197"/>
    </row>
    <row r="146">
      <c r="A146" s="198" t="str">
        <f t="shared" si="1"/>
        <v>PP</v>
      </c>
      <c r="B146" s="198" t="s">
        <v>2979</v>
      </c>
      <c r="C146" s="198" t="s">
        <v>413</v>
      </c>
      <c r="D146" s="199" t="s">
        <v>2980</v>
      </c>
      <c r="E146" s="200">
        <v>45448.0</v>
      </c>
      <c r="F146" s="198">
        <v>5.0</v>
      </c>
      <c r="G146" s="198">
        <v>2024.0</v>
      </c>
      <c r="H146" s="199"/>
      <c r="I146" s="207"/>
      <c r="J146" s="199"/>
      <c r="K146" s="202"/>
      <c r="L146" s="202"/>
      <c r="M146" s="202"/>
      <c r="N146" s="202"/>
      <c r="O146" s="202"/>
      <c r="P146" s="202"/>
      <c r="Q146" s="202"/>
      <c r="R146" s="202"/>
      <c r="S146" s="202"/>
      <c r="T146" s="202">
        <v>62692.62</v>
      </c>
      <c r="U146" s="205" t="s">
        <v>3026</v>
      </c>
      <c r="V146" s="199"/>
      <c r="W146" s="197"/>
      <c r="X146" s="197"/>
      <c r="Y146" s="199"/>
      <c r="Z146" s="199"/>
      <c r="AA146" s="204" t="str">
        <f t="shared" si="4"/>
        <v/>
      </c>
      <c r="AB146" s="198" t="s">
        <v>2781</v>
      </c>
      <c r="AC146" s="199"/>
      <c r="AD146" s="199"/>
      <c r="AE146" s="199"/>
      <c r="AF146" s="199"/>
      <c r="AG146" s="199"/>
      <c r="AH146" s="199"/>
      <c r="AI146" s="199"/>
      <c r="AJ146" s="199"/>
      <c r="AK146" s="199"/>
      <c r="AL146" s="199"/>
      <c r="AM146" s="198" t="s">
        <v>2783</v>
      </c>
      <c r="AN146" s="197"/>
      <c r="AO146" s="197"/>
      <c r="AP146" s="197"/>
      <c r="AQ146" s="197"/>
      <c r="AR146" s="197"/>
      <c r="AS146" s="197"/>
    </row>
    <row r="147">
      <c r="A147" s="198" t="str">
        <f t="shared" si="1"/>
        <v>PP</v>
      </c>
      <c r="B147" s="198" t="s">
        <v>2981</v>
      </c>
      <c r="C147" s="198" t="s">
        <v>2814</v>
      </c>
      <c r="D147" s="199"/>
      <c r="E147" s="209"/>
      <c r="F147" s="199"/>
      <c r="G147" s="199"/>
      <c r="H147" s="199"/>
      <c r="I147" s="207"/>
      <c r="J147" s="199"/>
      <c r="K147" s="202"/>
      <c r="L147" s="202"/>
      <c r="M147" s="202"/>
      <c r="N147" s="202"/>
      <c r="O147" s="202"/>
      <c r="P147" s="202"/>
      <c r="Q147" s="202"/>
      <c r="R147" s="202"/>
      <c r="S147" s="202"/>
      <c r="T147" s="202">
        <v>512156.36</v>
      </c>
      <c r="U147" s="199"/>
      <c r="V147" s="199"/>
      <c r="W147" s="197"/>
      <c r="X147" s="197"/>
      <c r="Y147" s="200"/>
      <c r="Z147" s="200">
        <v>45300.0</v>
      </c>
      <c r="AA147" s="204" t="str">
        <f t="shared" si="4"/>
        <v>Expected Arrived</v>
      </c>
      <c r="AB147" s="198" t="s">
        <v>2872</v>
      </c>
      <c r="AC147" s="199"/>
      <c r="AD147" s="199"/>
      <c r="AE147" s="199"/>
      <c r="AF147" s="199"/>
      <c r="AG147" s="199"/>
      <c r="AH147" s="199"/>
      <c r="AI147" s="199"/>
      <c r="AJ147" s="199"/>
      <c r="AK147" s="199"/>
      <c r="AL147" s="199"/>
      <c r="AM147" s="198" t="s">
        <v>2775</v>
      </c>
      <c r="AN147" s="197"/>
      <c r="AO147" s="197"/>
      <c r="AP147" s="197"/>
      <c r="AQ147" s="197"/>
      <c r="AR147" s="197"/>
      <c r="AS147" s="197"/>
    </row>
    <row r="148">
      <c r="A148" s="198" t="str">
        <f t="shared" si="1"/>
        <v>PP</v>
      </c>
      <c r="B148" s="198" t="s">
        <v>2983</v>
      </c>
      <c r="C148" s="198" t="s">
        <v>37</v>
      </c>
      <c r="D148" s="199" t="s">
        <v>2843</v>
      </c>
      <c r="E148" s="198" t="s">
        <v>2982</v>
      </c>
      <c r="F148" s="198">
        <v>5.0</v>
      </c>
      <c r="G148" s="198">
        <v>2024.0</v>
      </c>
      <c r="H148" s="198">
        <v>2400015.0</v>
      </c>
      <c r="I148" s="202">
        <v>399900.0</v>
      </c>
      <c r="J148" s="199"/>
      <c r="K148" s="207"/>
      <c r="L148" s="207"/>
      <c r="M148" s="207"/>
      <c r="N148" s="207"/>
      <c r="O148" s="207"/>
      <c r="P148" s="207"/>
      <c r="Q148" s="207"/>
      <c r="R148" s="207"/>
      <c r="S148" s="207"/>
      <c r="T148" s="207"/>
      <c r="U148" s="198" t="s">
        <v>2712</v>
      </c>
      <c r="V148" s="199"/>
      <c r="W148" s="197"/>
      <c r="X148" s="197"/>
      <c r="Y148" s="199"/>
      <c r="Z148" s="199"/>
      <c r="AA148" s="204" t="str">
        <f t="shared" si="4"/>
        <v/>
      </c>
      <c r="AB148" s="198" t="s">
        <v>38</v>
      </c>
      <c r="AC148" s="199"/>
      <c r="AD148" s="199"/>
      <c r="AE148" s="199"/>
      <c r="AF148" s="199"/>
      <c r="AG148" s="199"/>
      <c r="AH148" s="199"/>
      <c r="AI148" s="199"/>
      <c r="AJ148" s="199"/>
      <c r="AK148" s="199"/>
      <c r="AL148" s="199"/>
      <c r="AM148" s="198" t="s">
        <v>2783</v>
      </c>
      <c r="AN148" s="197"/>
      <c r="AO148" s="197"/>
      <c r="AP148" s="197"/>
      <c r="AQ148" s="197"/>
      <c r="AR148" s="197"/>
      <c r="AS148" s="197"/>
    </row>
    <row r="149">
      <c r="A149" s="198" t="str">
        <f t="shared" si="1"/>
        <v>PP</v>
      </c>
      <c r="B149" s="198" t="s">
        <v>2984</v>
      </c>
      <c r="C149" s="198" t="s">
        <v>637</v>
      </c>
      <c r="D149" s="199" t="s">
        <v>2985</v>
      </c>
      <c r="E149" s="200">
        <v>45540.0</v>
      </c>
      <c r="F149" s="198">
        <v>5.0</v>
      </c>
      <c r="G149" s="198">
        <v>2024.0</v>
      </c>
      <c r="H149" s="199"/>
      <c r="I149" s="207"/>
      <c r="J149" s="199"/>
      <c r="K149" s="207"/>
      <c r="L149" s="207"/>
      <c r="M149" s="207"/>
      <c r="N149" s="207"/>
      <c r="O149" s="207"/>
      <c r="P149" s="207"/>
      <c r="Q149" s="207"/>
      <c r="R149" s="207"/>
      <c r="S149" s="207"/>
      <c r="T149" s="207"/>
      <c r="U149" s="199"/>
      <c r="V149" s="199"/>
      <c r="W149" s="197"/>
      <c r="X149" s="197"/>
      <c r="Y149" s="199"/>
      <c r="Z149" s="199"/>
      <c r="AA149" s="204" t="str">
        <f t="shared" si="4"/>
        <v/>
      </c>
      <c r="AB149" s="205" t="s">
        <v>2781</v>
      </c>
      <c r="AC149" s="199"/>
      <c r="AD149" s="199"/>
      <c r="AE149" s="199"/>
      <c r="AF149" s="199"/>
      <c r="AG149" s="199"/>
      <c r="AH149" s="199"/>
      <c r="AI149" s="199"/>
      <c r="AJ149" s="199"/>
      <c r="AK149" s="199"/>
      <c r="AL149" s="199"/>
      <c r="AM149" s="199"/>
      <c r="AN149" s="197"/>
      <c r="AO149" s="197"/>
      <c r="AP149" s="197"/>
      <c r="AQ149" s="197"/>
      <c r="AR149" s="197"/>
      <c r="AS149" s="197"/>
    </row>
    <row r="150">
      <c r="A150" s="198" t="str">
        <f t="shared" si="1"/>
        <v>PP</v>
      </c>
      <c r="B150" s="198" t="s">
        <v>2986</v>
      </c>
      <c r="C150" s="198" t="s">
        <v>1066</v>
      </c>
      <c r="D150" s="199" t="s">
        <v>2987</v>
      </c>
      <c r="E150" s="200">
        <v>45540.0</v>
      </c>
      <c r="F150" s="198">
        <v>5.0</v>
      </c>
      <c r="G150" s="198">
        <v>2024.0</v>
      </c>
      <c r="H150" s="198">
        <v>2400012.0</v>
      </c>
      <c r="I150" s="202">
        <v>28704.0</v>
      </c>
      <c r="J150" s="199"/>
      <c r="K150" s="207"/>
      <c r="L150" s="207"/>
      <c r="M150" s="207"/>
      <c r="N150" s="207"/>
      <c r="O150" s="207"/>
      <c r="P150" s="207"/>
      <c r="Q150" s="207"/>
      <c r="R150" s="207"/>
      <c r="S150" s="207"/>
      <c r="T150" s="207"/>
      <c r="U150" s="198" t="s">
        <v>2712</v>
      </c>
      <c r="V150" s="199"/>
      <c r="W150" s="197"/>
      <c r="X150" s="197"/>
      <c r="Y150" s="199"/>
      <c r="Z150" s="199"/>
      <c r="AA150" s="204" t="str">
        <f t="shared" si="4"/>
        <v/>
      </c>
      <c r="AB150" s="198" t="s">
        <v>38</v>
      </c>
      <c r="AC150" s="199"/>
      <c r="AD150" s="199"/>
      <c r="AE150" s="199"/>
      <c r="AF150" s="199"/>
      <c r="AG150" s="199"/>
      <c r="AH150" s="199"/>
      <c r="AI150" s="199"/>
      <c r="AJ150" s="199"/>
      <c r="AK150" s="199"/>
      <c r="AL150" s="199"/>
      <c r="AM150" s="198" t="s">
        <v>2783</v>
      </c>
      <c r="AN150" s="197"/>
      <c r="AO150" s="197"/>
      <c r="AP150" s="197"/>
      <c r="AQ150" s="197"/>
      <c r="AR150" s="197"/>
      <c r="AS150" s="197"/>
    </row>
    <row r="151">
      <c r="A151" s="198" t="str">
        <f t="shared" si="1"/>
        <v>PP</v>
      </c>
      <c r="B151" s="198" t="s">
        <v>2988</v>
      </c>
      <c r="C151" s="198" t="s">
        <v>1066</v>
      </c>
      <c r="D151" s="199" t="s">
        <v>2989</v>
      </c>
      <c r="E151" s="200">
        <v>45540.0</v>
      </c>
      <c r="F151" s="198">
        <v>5.0</v>
      </c>
      <c r="G151" s="198">
        <v>2024.0</v>
      </c>
      <c r="H151" s="198">
        <v>2400013.0</v>
      </c>
      <c r="I151" s="202">
        <v>20219.76</v>
      </c>
      <c r="J151" s="199"/>
      <c r="K151" s="207"/>
      <c r="L151" s="207"/>
      <c r="M151" s="207"/>
      <c r="N151" s="207"/>
      <c r="O151" s="207"/>
      <c r="P151" s="207"/>
      <c r="Q151" s="207"/>
      <c r="R151" s="207"/>
      <c r="S151" s="207"/>
      <c r="T151" s="207"/>
      <c r="U151" s="198" t="s">
        <v>2712</v>
      </c>
      <c r="V151" s="199"/>
      <c r="W151" s="197"/>
      <c r="X151" s="197"/>
      <c r="Y151" s="199"/>
      <c r="Z151" s="199"/>
      <c r="AA151" s="204" t="str">
        <f t="shared" si="4"/>
        <v/>
      </c>
      <c r="AB151" s="198" t="s">
        <v>38</v>
      </c>
      <c r="AC151" s="199"/>
      <c r="AD151" s="199"/>
      <c r="AE151" s="199"/>
      <c r="AF151" s="199"/>
      <c r="AG151" s="199"/>
      <c r="AH151" s="199"/>
      <c r="AI151" s="199"/>
      <c r="AJ151" s="199"/>
      <c r="AK151" s="199"/>
      <c r="AL151" s="199"/>
      <c r="AM151" s="198" t="s">
        <v>2783</v>
      </c>
      <c r="AN151" s="197"/>
      <c r="AO151" s="197"/>
      <c r="AP151" s="197"/>
      <c r="AQ151" s="197"/>
      <c r="AR151" s="197"/>
      <c r="AS151" s="197"/>
    </row>
    <row r="152">
      <c r="A152" s="198" t="str">
        <f t="shared" si="1"/>
        <v>PP</v>
      </c>
      <c r="B152" s="198" t="s">
        <v>2991</v>
      </c>
      <c r="C152" s="198" t="s">
        <v>143</v>
      </c>
      <c r="D152" s="199" t="s">
        <v>2992</v>
      </c>
      <c r="E152" s="198" t="s">
        <v>2990</v>
      </c>
      <c r="F152" s="198">
        <v>5.0</v>
      </c>
      <c r="G152" s="198">
        <v>2024.0</v>
      </c>
      <c r="H152" s="198">
        <v>2400014.0</v>
      </c>
      <c r="I152" s="202">
        <v>17370.0</v>
      </c>
      <c r="J152" s="199"/>
      <c r="K152" s="207"/>
      <c r="L152" s="207"/>
      <c r="M152" s="207"/>
      <c r="N152" s="207"/>
      <c r="O152" s="207"/>
      <c r="P152" s="207"/>
      <c r="Q152" s="207"/>
      <c r="R152" s="207"/>
      <c r="S152" s="207"/>
      <c r="T152" s="207"/>
      <c r="U152" s="205" t="s">
        <v>3026</v>
      </c>
      <c r="V152" s="199"/>
      <c r="W152" s="197"/>
      <c r="X152" s="197"/>
      <c r="Y152" s="199"/>
      <c r="Z152" s="199"/>
      <c r="AA152" s="204" t="str">
        <f t="shared" si="4"/>
        <v/>
      </c>
      <c r="AB152" s="198" t="s">
        <v>2781</v>
      </c>
      <c r="AC152" s="199"/>
      <c r="AD152" s="199"/>
      <c r="AE152" s="199"/>
      <c r="AF152" s="199"/>
      <c r="AG152" s="199"/>
      <c r="AH152" s="199"/>
      <c r="AI152" s="199"/>
      <c r="AJ152" s="199"/>
      <c r="AK152" s="199"/>
      <c r="AL152" s="199"/>
      <c r="AM152" s="198" t="s">
        <v>2783</v>
      </c>
      <c r="AN152" s="197"/>
      <c r="AO152" s="197"/>
      <c r="AP152" s="197"/>
      <c r="AQ152" s="197"/>
      <c r="AR152" s="197"/>
      <c r="AS152" s="197"/>
    </row>
    <row r="153">
      <c r="A153" s="198" t="str">
        <f t="shared" si="1"/>
        <v>PP</v>
      </c>
      <c r="B153" s="198" t="s">
        <v>2993</v>
      </c>
      <c r="C153" s="198" t="s">
        <v>1066</v>
      </c>
      <c r="D153" s="199" t="s">
        <v>2995</v>
      </c>
      <c r="E153" s="200">
        <v>45388.0</v>
      </c>
      <c r="F153" s="198">
        <v>6.0</v>
      </c>
      <c r="G153" s="198">
        <v>2024.0</v>
      </c>
      <c r="H153" s="199"/>
      <c r="I153" s="207"/>
      <c r="J153" s="199"/>
      <c r="K153" s="207"/>
      <c r="L153" s="207"/>
      <c r="M153" s="207"/>
      <c r="N153" s="207"/>
      <c r="O153" s="207"/>
      <c r="P153" s="207"/>
      <c r="Q153" s="207"/>
      <c r="R153" s="207"/>
      <c r="S153" s="207"/>
      <c r="T153" s="207"/>
      <c r="U153" s="198" t="s">
        <v>2712</v>
      </c>
      <c r="V153" s="199"/>
      <c r="W153" s="197"/>
      <c r="X153" s="197"/>
      <c r="Y153" s="199"/>
      <c r="Z153" s="199"/>
      <c r="AA153" s="204" t="str">
        <f t="shared" si="4"/>
        <v/>
      </c>
      <c r="AB153" s="203" t="s">
        <v>2994</v>
      </c>
      <c r="AC153" s="203"/>
      <c r="AD153" s="199"/>
      <c r="AE153" s="199"/>
      <c r="AF153" s="199"/>
      <c r="AG153" s="199"/>
      <c r="AH153" s="199"/>
      <c r="AI153" s="199"/>
      <c r="AJ153" s="199"/>
      <c r="AK153" s="199"/>
      <c r="AL153" s="199"/>
      <c r="AM153" s="198" t="s">
        <v>2847</v>
      </c>
      <c r="AN153" s="197"/>
      <c r="AO153" s="197"/>
      <c r="AP153" s="197"/>
      <c r="AQ153" s="197"/>
      <c r="AR153" s="197"/>
      <c r="AS153" s="197"/>
    </row>
    <row r="154">
      <c r="A154" s="198" t="str">
        <f t="shared" si="1"/>
        <v>PP</v>
      </c>
      <c r="B154" s="198" t="s">
        <v>2997</v>
      </c>
      <c r="C154" s="198" t="s">
        <v>2999</v>
      </c>
      <c r="D154" s="199" t="s">
        <v>3000</v>
      </c>
      <c r="E154" s="198" t="s">
        <v>2996</v>
      </c>
      <c r="F154" s="198">
        <v>6.0</v>
      </c>
      <c r="G154" s="198">
        <v>2024.0</v>
      </c>
      <c r="H154" s="199"/>
      <c r="I154" s="207"/>
      <c r="J154" s="199"/>
      <c r="K154" s="202"/>
      <c r="L154" s="202"/>
      <c r="M154" s="202"/>
      <c r="N154" s="202"/>
      <c r="O154" s="202"/>
      <c r="P154" s="202"/>
      <c r="Q154" s="202"/>
      <c r="R154" s="202"/>
      <c r="S154" s="202"/>
      <c r="T154" s="202">
        <v>291232.08</v>
      </c>
      <c r="U154" s="198" t="s">
        <v>2998</v>
      </c>
      <c r="V154" s="199"/>
      <c r="W154" s="197"/>
      <c r="X154" s="197"/>
      <c r="Y154" s="199"/>
      <c r="Z154" s="199"/>
      <c r="AA154" s="204" t="str">
        <f t="shared" si="4"/>
        <v/>
      </c>
      <c r="AB154" s="198" t="s">
        <v>2781</v>
      </c>
      <c r="AC154" s="199"/>
      <c r="AD154" s="199"/>
      <c r="AE154" s="199"/>
      <c r="AF154" s="199"/>
      <c r="AG154" s="199"/>
      <c r="AH154" s="199"/>
      <c r="AI154" s="199"/>
      <c r="AJ154" s="199"/>
      <c r="AK154" s="199"/>
      <c r="AL154" s="199"/>
      <c r="AM154" s="198" t="s">
        <v>2783</v>
      </c>
      <c r="AN154" s="197"/>
      <c r="AO154" s="197"/>
      <c r="AP154" s="197"/>
      <c r="AQ154" s="197"/>
      <c r="AR154" s="197"/>
      <c r="AS154" s="197"/>
    </row>
    <row r="155">
      <c r="A155" s="198" t="str">
        <f t="shared" si="1"/>
        <v>PP</v>
      </c>
      <c r="B155" s="198" t="s">
        <v>3001</v>
      </c>
      <c r="C155" s="198" t="s">
        <v>2812</v>
      </c>
      <c r="D155" s="199" t="s">
        <v>3002</v>
      </c>
      <c r="E155" s="198" t="s">
        <v>2996</v>
      </c>
      <c r="F155" s="198">
        <v>6.0</v>
      </c>
      <c r="G155" s="198">
        <v>2024.0</v>
      </c>
      <c r="H155" s="199"/>
      <c r="I155" s="207"/>
      <c r="J155" s="199"/>
      <c r="K155" s="202"/>
      <c r="L155" s="202"/>
      <c r="M155" s="202"/>
      <c r="N155" s="202"/>
      <c r="O155" s="202"/>
      <c r="P155" s="202"/>
      <c r="Q155" s="202"/>
      <c r="R155" s="202"/>
      <c r="S155" s="202"/>
      <c r="T155" s="202">
        <v>248028.66</v>
      </c>
      <c r="U155" s="198" t="s">
        <v>2998</v>
      </c>
      <c r="V155" s="199"/>
      <c r="W155" s="197"/>
      <c r="X155" s="197"/>
      <c r="Y155" s="199"/>
      <c r="Z155" s="199"/>
      <c r="AA155" s="204" t="str">
        <f t="shared" si="4"/>
        <v/>
      </c>
      <c r="AB155" s="198" t="s">
        <v>38</v>
      </c>
      <c r="AC155" s="199"/>
      <c r="AD155" s="199"/>
      <c r="AE155" s="199"/>
      <c r="AF155" s="199"/>
      <c r="AG155" s="199"/>
      <c r="AH155" s="199"/>
      <c r="AI155" s="199"/>
      <c r="AJ155" s="199"/>
      <c r="AK155" s="199"/>
      <c r="AL155" s="199"/>
      <c r="AM155" s="198" t="s">
        <v>2783</v>
      </c>
      <c r="AN155" s="197"/>
      <c r="AO155" s="197"/>
      <c r="AP155" s="197"/>
      <c r="AQ155" s="197"/>
      <c r="AR155" s="197"/>
      <c r="AS155" s="197"/>
    </row>
    <row r="156">
      <c r="A156" s="198" t="str">
        <f t="shared" si="1"/>
        <v>PP</v>
      </c>
      <c r="B156" s="198" t="s">
        <v>3003</v>
      </c>
      <c r="C156" s="198" t="s">
        <v>1066</v>
      </c>
      <c r="D156" s="199" t="s">
        <v>2807</v>
      </c>
      <c r="E156" s="215">
        <v>45542.0</v>
      </c>
      <c r="F156" s="198">
        <v>7.0</v>
      </c>
      <c r="G156" s="198">
        <v>2024.0</v>
      </c>
      <c r="H156" s="199">
        <v>2400016.0</v>
      </c>
      <c r="I156" s="207">
        <v>49692.0</v>
      </c>
      <c r="J156" s="199"/>
      <c r="K156" s="202"/>
      <c r="L156" s="202"/>
      <c r="M156" s="202"/>
      <c r="N156" s="202"/>
      <c r="O156" s="202"/>
      <c r="P156" s="202"/>
      <c r="Q156" s="202"/>
      <c r="R156" s="202"/>
      <c r="S156" s="202"/>
      <c r="T156" s="202"/>
      <c r="U156" s="198"/>
      <c r="V156" s="199"/>
      <c r="W156" s="197"/>
      <c r="X156" s="197"/>
      <c r="Y156" s="199"/>
      <c r="Z156" s="199" t="s">
        <v>3004</v>
      </c>
      <c r="AA156" s="204" t="str">
        <f t="shared" si="4"/>
        <v>Expected Arrived</v>
      </c>
      <c r="AB156" s="205" t="s">
        <v>38</v>
      </c>
      <c r="AC156" s="199"/>
      <c r="AD156" s="199"/>
      <c r="AE156" s="199"/>
      <c r="AF156" s="199"/>
      <c r="AG156" s="199"/>
      <c r="AH156" s="199"/>
      <c r="AI156" s="199"/>
      <c r="AJ156" s="199"/>
      <c r="AK156" s="199"/>
      <c r="AL156" s="199"/>
      <c r="AM156" s="198" t="s">
        <v>2783</v>
      </c>
      <c r="AN156" s="197"/>
      <c r="AO156" s="197"/>
      <c r="AP156" s="197"/>
      <c r="AQ156" s="197"/>
      <c r="AR156" s="197"/>
      <c r="AS156" s="197"/>
    </row>
    <row r="157">
      <c r="A157" s="198" t="str">
        <f t="shared" si="1"/>
        <v>PP</v>
      </c>
      <c r="B157" s="198" t="s">
        <v>3006</v>
      </c>
      <c r="C157" s="198" t="s">
        <v>3007</v>
      </c>
      <c r="D157" s="199" t="s">
        <v>3008</v>
      </c>
      <c r="E157" s="198" t="s">
        <v>3005</v>
      </c>
      <c r="F157" s="198">
        <v>7.0</v>
      </c>
      <c r="G157" s="198"/>
      <c r="H157" s="199"/>
      <c r="I157" s="207"/>
      <c r="J157" s="199"/>
      <c r="K157" s="202"/>
      <c r="L157" s="202"/>
      <c r="M157" s="202"/>
      <c r="N157" s="202"/>
      <c r="O157" s="202"/>
      <c r="P157" s="202"/>
      <c r="Q157" s="202"/>
      <c r="R157" s="202"/>
      <c r="S157" s="202"/>
      <c r="T157" s="202">
        <v>63772.42</v>
      </c>
      <c r="U157" s="198"/>
      <c r="V157" s="199"/>
      <c r="W157" s="197"/>
      <c r="X157" s="197"/>
      <c r="Y157" s="199"/>
      <c r="Z157" s="199"/>
      <c r="AA157" s="204" t="str">
        <f t="shared" si="4"/>
        <v/>
      </c>
      <c r="AB157" s="198" t="s">
        <v>2749</v>
      </c>
      <c r="AC157" s="199"/>
      <c r="AD157" s="199"/>
      <c r="AE157" s="199"/>
      <c r="AF157" s="199"/>
      <c r="AG157" s="199"/>
      <c r="AH157" s="199"/>
      <c r="AI157" s="199"/>
      <c r="AJ157" s="199"/>
      <c r="AK157" s="199"/>
      <c r="AL157" s="199"/>
      <c r="AM157" s="198" t="s">
        <v>2783</v>
      </c>
      <c r="AN157" s="197"/>
      <c r="AO157" s="197"/>
      <c r="AP157" s="197"/>
      <c r="AQ157" s="197"/>
      <c r="AR157" s="197"/>
      <c r="AS157" s="197"/>
    </row>
    <row r="158">
      <c r="A158" s="198" t="str">
        <f t="shared" si="1"/>
        <v>PP</v>
      </c>
      <c r="B158" s="198" t="s">
        <v>3009</v>
      </c>
      <c r="C158" s="198"/>
      <c r="D158" s="199"/>
      <c r="E158" s="198"/>
      <c r="F158" s="198"/>
      <c r="G158" s="198"/>
      <c r="H158" s="199"/>
      <c r="I158" s="207"/>
      <c r="J158" s="199"/>
      <c r="K158" s="202"/>
      <c r="L158" s="202"/>
      <c r="M158" s="202"/>
      <c r="N158" s="202"/>
      <c r="O158" s="202"/>
      <c r="P158" s="202"/>
      <c r="Q158" s="202"/>
      <c r="R158" s="202"/>
      <c r="S158" s="202"/>
      <c r="T158" s="202"/>
      <c r="U158" s="198"/>
      <c r="V158" s="199"/>
      <c r="W158" s="197"/>
      <c r="X158" s="197"/>
      <c r="Y158" s="199"/>
      <c r="Z158" s="199"/>
      <c r="AA158" s="204" t="str">
        <f t="shared" si="4"/>
        <v/>
      </c>
      <c r="AB158" s="205" t="s">
        <v>2994</v>
      </c>
      <c r="AC158" s="203"/>
      <c r="AD158" s="199"/>
      <c r="AE158" s="199"/>
      <c r="AF158" s="199"/>
      <c r="AG158" s="199"/>
      <c r="AH158" s="199"/>
      <c r="AI158" s="199"/>
      <c r="AJ158" s="199"/>
      <c r="AK158" s="199"/>
      <c r="AL158" s="199"/>
      <c r="AM158" s="198"/>
      <c r="AN158" s="197"/>
      <c r="AO158" s="197"/>
      <c r="AP158" s="197"/>
      <c r="AQ158" s="197"/>
      <c r="AR158" s="197"/>
      <c r="AS158" s="197"/>
    </row>
    <row r="159">
      <c r="A159" s="198" t="str">
        <f t="shared" si="1"/>
        <v>PP</v>
      </c>
      <c r="B159" s="198" t="s">
        <v>3011</v>
      </c>
      <c r="C159" s="198" t="s">
        <v>3012</v>
      </c>
      <c r="D159" s="199"/>
      <c r="E159" s="198" t="s">
        <v>3010</v>
      </c>
      <c r="F159" s="198"/>
      <c r="G159" s="198"/>
      <c r="H159" s="199"/>
      <c r="I159" s="207"/>
      <c r="J159" s="199"/>
      <c r="K159" s="202"/>
      <c r="L159" s="202"/>
      <c r="M159" s="202"/>
      <c r="N159" s="202"/>
      <c r="O159" s="202"/>
      <c r="P159" s="202"/>
      <c r="Q159" s="202"/>
      <c r="R159" s="202"/>
      <c r="S159" s="202"/>
      <c r="T159" s="202"/>
      <c r="U159" s="198"/>
      <c r="V159" s="199"/>
      <c r="W159" s="197"/>
      <c r="X159" s="197"/>
      <c r="Y159" s="199"/>
      <c r="Z159" s="199"/>
      <c r="AA159" s="204" t="str">
        <f t="shared" si="4"/>
        <v/>
      </c>
      <c r="AB159" s="198" t="s">
        <v>2919</v>
      </c>
      <c r="AC159" s="199"/>
      <c r="AD159" s="199"/>
      <c r="AE159" s="199"/>
      <c r="AF159" s="199"/>
      <c r="AG159" s="199"/>
      <c r="AH159" s="199"/>
      <c r="AI159" s="199"/>
      <c r="AJ159" s="199"/>
      <c r="AK159" s="199"/>
      <c r="AL159" s="199"/>
      <c r="AM159" s="198" t="s">
        <v>2775</v>
      </c>
      <c r="AN159" s="197"/>
      <c r="AO159" s="197"/>
      <c r="AP159" s="197"/>
      <c r="AQ159" s="197"/>
      <c r="AR159" s="197"/>
      <c r="AS159" s="197"/>
    </row>
    <row r="160">
      <c r="A160" s="198" t="str">
        <f t="shared" si="1"/>
        <v>PP</v>
      </c>
      <c r="B160" s="198" t="s">
        <v>3013</v>
      </c>
      <c r="C160" s="198" t="s">
        <v>81</v>
      </c>
      <c r="D160" s="199" t="s">
        <v>3015</v>
      </c>
      <c r="E160" s="215">
        <v>45299.0</v>
      </c>
      <c r="F160" s="198">
        <v>8.0</v>
      </c>
      <c r="G160" s="198">
        <v>2024.0</v>
      </c>
      <c r="H160" s="199"/>
      <c r="I160" s="207"/>
      <c r="J160" s="199"/>
      <c r="K160" s="202"/>
      <c r="L160" s="202"/>
      <c r="M160" s="202"/>
      <c r="N160" s="202"/>
      <c r="O160" s="202"/>
      <c r="P160" s="202"/>
      <c r="Q160" s="202"/>
      <c r="R160" s="202"/>
      <c r="S160" s="202"/>
      <c r="T160" s="202">
        <v>298896.0</v>
      </c>
      <c r="U160" s="198"/>
      <c r="V160" s="199"/>
      <c r="W160" s="197"/>
      <c r="X160" s="197"/>
      <c r="Y160" s="199" t="s">
        <v>3014</v>
      </c>
      <c r="Z160" s="199"/>
      <c r="AA160" s="204" t="str">
        <f t="shared" si="4"/>
        <v/>
      </c>
      <c r="AB160" s="198" t="s">
        <v>2781</v>
      </c>
      <c r="AC160" s="199"/>
      <c r="AD160" s="199"/>
      <c r="AE160" s="199"/>
      <c r="AF160" s="199"/>
      <c r="AG160" s="199"/>
      <c r="AH160" s="199"/>
      <c r="AI160" s="199"/>
      <c r="AJ160" s="199"/>
      <c r="AK160" s="199"/>
      <c r="AL160" s="199"/>
      <c r="AM160" s="198" t="s">
        <v>2783</v>
      </c>
      <c r="AN160" s="197"/>
      <c r="AO160" s="197"/>
      <c r="AP160" s="197"/>
      <c r="AQ160" s="197"/>
      <c r="AR160" s="197"/>
      <c r="AS160" s="197"/>
    </row>
    <row r="161">
      <c r="A161" s="198" t="str">
        <f t="shared" si="1"/>
        <v>PP</v>
      </c>
      <c r="B161" s="198" t="s">
        <v>3016</v>
      </c>
      <c r="C161" s="198" t="s">
        <v>3017</v>
      </c>
      <c r="D161" s="199"/>
      <c r="E161" s="198">
        <v>6082024.0</v>
      </c>
      <c r="F161" s="198">
        <v>8.0</v>
      </c>
      <c r="G161" s="198">
        <v>2024.0</v>
      </c>
      <c r="H161" s="199"/>
      <c r="I161" s="207"/>
      <c r="J161" s="199"/>
      <c r="K161" s="202"/>
      <c r="L161" s="202"/>
      <c r="M161" s="202"/>
      <c r="N161" s="202"/>
      <c r="O161" s="202"/>
      <c r="P161" s="202"/>
      <c r="Q161" s="202"/>
      <c r="R161" s="202"/>
      <c r="S161" s="202"/>
      <c r="T161" s="202"/>
      <c r="U161" s="198"/>
      <c r="V161" s="199"/>
      <c r="W161" s="197"/>
      <c r="X161" s="197"/>
      <c r="Y161" s="199"/>
      <c r="Z161" s="199"/>
      <c r="AA161" s="204" t="str">
        <f t="shared" si="4"/>
        <v/>
      </c>
      <c r="AB161" s="198" t="s">
        <v>2919</v>
      </c>
      <c r="AC161" s="199"/>
      <c r="AD161" s="199"/>
      <c r="AE161" s="199"/>
      <c r="AF161" s="199"/>
      <c r="AG161" s="199"/>
      <c r="AH161" s="199"/>
      <c r="AI161" s="199"/>
      <c r="AJ161" s="199"/>
      <c r="AK161" s="199"/>
      <c r="AL161" s="199"/>
      <c r="AM161" s="198" t="s">
        <v>2775</v>
      </c>
      <c r="AN161" s="197"/>
      <c r="AO161" s="197"/>
      <c r="AP161" s="197"/>
      <c r="AQ161" s="197"/>
      <c r="AR161" s="197"/>
      <c r="AS161" s="197"/>
    </row>
    <row r="162">
      <c r="A162" s="198" t="str">
        <f t="shared" si="1"/>
        <v>PP</v>
      </c>
      <c r="B162" s="198" t="s">
        <v>3018</v>
      </c>
      <c r="C162" s="198" t="s">
        <v>222</v>
      </c>
      <c r="D162" s="199"/>
      <c r="E162" s="198">
        <v>45512.0</v>
      </c>
      <c r="F162" s="198">
        <v>8.0</v>
      </c>
      <c r="G162" s="198">
        <v>2024.0</v>
      </c>
      <c r="H162" s="199"/>
      <c r="I162" s="207"/>
      <c r="J162" s="199"/>
      <c r="K162" s="202"/>
      <c r="L162" s="202"/>
      <c r="M162" s="202"/>
      <c r="N162" s="202"/>
      <c r="O162" s="202"/>
      <c r="P162" s="202"/>
      <c r="Q162" s="202"/>
      <c r="R162" s="202"/>
      <c r="S162" s="202"/>
      <c r="T162" s="202"/>
      <c r="U162" s="198"/>
      <c r="V162" s="199"/>
      <c r="W162" s="197"/>
      <c r="X162" s="197"/>
      <c r="Y162" s="199"/>
      <c r="Z162" s="199"/>
      <c r="AA162" s="204" t="str">
        <f t="shared" si="4"/>
        <v/>
      </c>
      <c r="AB162" s="198" t="s">
        <v>2781</v>
      </c>
      <c r="AC162" s="199"/>
      <c r="AD162" s="199"/>
      <c r="AE162" s="199"/>
      <c r="AF162" s="199"/>
      <c r="AG162" s="199"/>
      <c r="AH162" s="199"/>
      <c r="AI162" s="199"/>
      <c r="AJ162" s="199"/>
      <c r="AK162" s="199"/>
      <c r="AL162" s="199"/>
      <c r="AM162" s="198" t="s">
        <v>2783</v>
      </c>
      <c r="AN162" s="197"/>
      <c r="AO162" s="197"/>
      <c r="AP162" s="197"/>
      <c r="AQ162" s="197"/>
      <c r="AR162" s="197"/>
      <c r="AS162" s="197"/>
    </row>
    <row r="163">
      <c r="A163" s="198" t="str">
        <f t="shared" si="1"/>
        <v>PP</v>
      </c>
      <c r="B163" s="198" t="s">
        <v>3020</v>
      </c>
      <c r="C163" s="205" t="s">
        <v>3318</v>
      </c>
      <c r="D163" s="199"/>
      <c r="E163" s="198" t="s">
        <v>3019</v>
      </c>
      <c r="F163" s="198">
        <v>8.0</v>
      </c>
      <c r="G163" s="198">
        <v>2024.0</v>
      </c>
      <c r="H163" s="199"/>
      <c r="I163" s="207"/>
      <c r="J163" s="199"/>
      <c r="K163" s="202"/>
      <c r="L163" s="202"/>
      <c r="M163" s="202"/>
      <c r="N163" s="202"/>
      <c r="O163" s="202"/>
      <c r="P163" s="202"/>
      <c r="Q163" s="202"/>
      <c r="R163" s="202"/>
      <c r="S163" s="202"/>
      <c r="T163" s="202"/>
      <c r="U163" s="198"/>
      <c r="V163" s="199"/>
      <c r="W163" s="197"/>
      <c r="X163" s="197"/>
      <c r="Y163" s="199"/>
      <c r="Z163" s="199"/>
      <c r="AA163" s="204" t="str">
        <f t="shared" si="4"/>
        <v/>
      </c>
      <c r="AB163" s="198" t="s">
        <v>2919</v>
      </c>
      <c r="AC163" s="199"/>
      <c r="AD163" s="199"/>
      <c r="AE163" s="199"/>
      <c r="AF163" s="199"/>
      <c r="AG163" s="199"/>
      <c r="AH163" s="199"/>
      <c r="AI163" s="199"/>
      <c r="AJ163" s="199"/>
      <c r="AK163" s="199"/>
      <c r="AL163" s="199"/>
      <c r="AM163" s="198" t="s">
        <v>2775</v>
      </c>
      <c r="AN163" s="197"/>
      <c r="AO163" s="197"/>
      <c r="AP163" s="197"/>
      <c r="AQ163" s="197"/>
      <c r="AR163" s="197"/>
      <c r="AS163" s="197"/>
    </row>
    <row r="164">
      <c r="A164" s="198" t="str">
        <f t="shared" si="1"/>
        <v>PP</v>
      </c>
      <c r="B164" s="198" t="s">
        <v>3023</v>
      </c>
      <c r="C164" s="198" t="s">
        <v>637</v>
      </c>
      <c r="D164" s="199"/>
      <c r="E164" s="198" t="s">
        <v>3022</v>
      </c>
      <c r="F164" s="198">
        <v>8.0</v>
      </c>
      <c r="G164" s="198">
        <v>2024.0</v>
      </c>
      <c r="H164" s="199"/>
      <c r="I164" s="207"/>
      <c r="J164" s="199"/>
      <c r="K164" s="202"/>
      <c r="L164" s="202"/>
      <c r="M164" s="202"/>
      <c r="N164" s="202"/>
      <c r="O164" s="202"/>
      <c r="P164" s="202"/>
      <c r="Q164" s="202"/>
      <c r="R164" s="202"/>
      <c r="S164" s="202"/>
      <c r="T164" s="202"/>
      <c r="U164" s="198"/>
      <c r="V164" s="199"/>
      <c r="W164" s="197"/>
      <c r="X164" s="197"/>
      <c r="Y164" s="199"/>
      <c r="Z164" s="199"/>
      <c r="AA164" s="204" t="str">
        <f t="shared" si="4"/>
        <v/>
      </c>
      <c r="AB164" s="205" t="s">
        <v>2781</v>
      </c>
      <c r="AC164" s="199"/>
      <c r="AD164" s="199"/>
      <c r="AE164" s="199"/>
      <c r="AF164" s="199"/>
      <c r="AG164" s="199"/>
      <c r="AH164" s="199"/>
      <c r="AI164" s="199"/>
      <c r="AJ164" s="199"/>
      <c r="AK164" s="199"/>
      <c r="AL164" s="199"/>
      <c r="AM164" s="198" t="s">
        <v>2775</v>
      </c>
      <c r="AN164" s="197"/>
      <c r="AO164" s="197"/>
      <c r="AP164" s="197"/>
      <c r="AQ164" s="197"/>
      <c r="AR164" s="197"/>
      <c r="AS164" s="197"/>
    </row>
    <row r="165">
      <c r="A165" s="198" t="str">
        <f t="shared" si="1"/>
        <v>PP</v>
      </c>
      <c r="B165" s="198" t="s">
        <v>3025</v>
      </c>
      <c r="C165" s="198" t="s">
        <v>105</v>
      </c>
      <c r="D165" s="199" t="s">
        <v>3027</v>
      </c>
      <c r="E165" s="198" t="s">
        <v>3024</v>
      </c>
      <c r="F165" s="198">
        <v>8.0</v>
      </c>
      <c r="G165" s="198">
        <v>2024.0</v>
      </c>
      <c r="H165" s="199"/>
      <c r="I165" s="207"/>
      <c r="J165" s="199"/>
      <c r="K165" s="202"/>
      <c r="L165" s="202"/>
      <c r="M165" s="202"/>
      <c r="N165" s="202"/>
      <c r="O165" s="202"/>
      <c r="P165" s="202"/>
      <c r="Q165" s="202"/>
      <c r="R165" s="202"/>
      <c r="S165" s="202"/>
      <c r="T165" s="202">
        <v>135326.34</v>
      </c>
      <c r="U165" s="198" t="s">
        <v>3026</v>
      </c>
      <c r="V165" s="199"/>
      <c r="W165" s="197"/>
      <c r="X165" s="197"/>
      <c r="Y165" s="199"/>
      <c r="Z165" s="199"/>
      <c r="AA165" s="204" t="str">
        <f t="shared" si="4"/>
        <v/>
      </c>
      <c r="AB165" s="198" t="s">
        <v>2781</v>
      </c>
      <c r="AC165" s="199"/>
      <c r="AD165" s="199"/>
      <c r="AE165" s="199"/>
      <c r="AF165" s="199"/>
      <c r="AG165" s="199"/>
      <c r="AH165" s="199"/>
      <c r="AI165" s="199"/>
      <c r="AJ165" s="199"/>
      <c r="AK165" s="199"/>
      <c r="AL165" s="199"/>
      <c r="AM165" s="198" t="s">
        <v>2783</v>
      </c>
      <c r="AN165" s="197"/>
      <c r="AO165" s="197"/>
      <c r="AP165" s="197"/>
      <c r="AQ165" s="197"/>
      <c r="AR165" s="197"/>
      <c r="AS165" s="197"/>
    </row>
    <row r="166">
      <c r="A166" s="198" t="str">
        <f t="shared" si="1"/>
        <v>PP</v>
      </c>
      <c r="B166" s="198" t="s">
        <v>3028</v>
      </c>
      <c r="C166" s="198" t="s">
        <v>81</v>
      </c>
      <c r="D166" s="199" t="s">
        <v>3029</v>
      </c>
      <c r="E166" s="215">
        <v>45300.0</v>
      </c>
      <c r="F166" s="198">
        <v>9.0</v>
      </c>
      <c r="G166" s="198">
        <v>2024.0</v>
      </c>
      <c r="H166" s="203">
        <v>2400017.0</v>
      </c>
      <c r="I166" s="207"/>
      <c r="J166" s="199"/>
      <c r="K166" s="202"/>
      <c r="L166" s="202"/>
      <c r="M166" s="202"/>
      <c r="N166" s="202"/>
      <c r="O166" s="202"/>
      <c r="P166" s="202"/>
      <c r="Q166" s="202"/>
      <c r="R166" s="202"/>
      <c r="S166" s="202"/>
      <c r="T166" s="202">
        <v>148390.0</v>
      </c>
      <c r="U166" s="198" t="s">
        <v>3026</v>
      </c>
      <c r="V166" s="199"/>
      <c r="W166" s="197"/>
      <c r="X166" s="197"/>
      <c r="Y166" s="199"/>
      <c r="Z166" s="199"/>
      <c r="AA166" s="204" t="str">
        <f t="shared" si="4"/>
        <v/>
      </c>
      <c r="AB166" s="198" t="s">
        <v>2781</v>
      </c>
      <c r="AC166" s="199"/>
      <c r="AD166" s="199"/>
      <c r="AE166" s="199"/>
      <c r="AF166" s="199"/>
      <c r="AG166" s="199"/>
      <c r="AH166" s="199"/>
      <c r="AI166" s="199"/>
      <c r="AJ166" s="199"/>
      <c r="AK166" s="199"/>
      <c r="AL166" s="199"/>
      <c r="AM166" s="198" t="s">
        <v>2783</v>
      </c>
      <c r="AN166" s="197"/>
      <c r="AO166" s="197"/>
      <c r="AP166" s="197"/>
      <c r="AQ166" s="197"/>
      <c r="AR166" s="197"/>
      <c r="AS166" s="197"/>
    </row>
    <row r="167">
      <c r="A167" s="198" t="str">
        <f t="shared" si="1"/>
        <v>PP</v>
      </c>
      <c r="B167" s="198" t="s">
        <v>3030</v>
      </c>
      <c r="C167" s="198" t="s">
        <v>26</v>
      </c>
      <c r="D167" s="199" t="s">
        <v>3031</v>
      </c>
      <c r="E167" s="198">
        <v>45635.0</v>
      </c>
      <c r="F167" s="198">
        <v>9.0</v>
      </c>
      <c r="G167" s="198">
        <v>2024.0</v>
      </c>
      <c r="H167" s="199"/>
      <c r="I167" s="207"/>
      <c r="J167" s="199"/>
      <c r="K167" s="202"/>
      <c r="L167" s="202"/>
      <c r="M167" s="202"/>
      <c r="N167" s="202"/>
      <c r="O167" s="202"/>
      <c r="P167" s="202"/>
      <c r="Q167" s="202"/>
      <c r="R167" s="202"/>
      <c r="S167" s="202"/>
      <c r="T167" s="202">
        <v>350208.62</v>
      </c>
      <c r="U167" s="198" t="s">
        <v>3026</v>
      </c>
      <c r="V167" s="199"/>
      <c r="W167" s="197"/>
      <c r="X167" s="197"/>
      <c r="Y167" s="199"/>
      <c r="Z167" s="199"/>
      <c r="AA167" s="204" t="str">
        <f t="shared" si="4"/>
        <v/>
      </c>
      <c r="AB167" s="198" t="s">
        <v>38</v>
      </c>
      <c r="AC167" s="199"/>
      <c r="AD167" s="199"/>
      <c r="AE167" s="199"/>
      <c r="AF167" s="199"/>
      <c r="AG167" s="199"/>
      <c r="AH167" s="199"/>
      <c r="AI167" s="199"/>
      <c r="AJ167" s="199"/>
      <c r="AK167" s="199"/>
      <c r="AL167" s="199"/>
      <c r="AM167" s="198" t="s">
        <v>2783</v>
      </c>
      <c r="AN167" s="197"/>
      <c r="AO167" s="197"/>
      <c r="AP167" s="197"/>
      <c r="AQ167" s="197"/>
      <c r="AR167" s="197"/>
      <c r="AS167" s="197"/>
    </row>
    <row r="168">
      <c r="A168" s="198" t="str">
        <f t="shared" si="1"/>
        <v>PP</v>
      </c>
      <c r="B168" s="198" t="s">
        <v>3032</v>
      </c>
      <c r="C168" s="198" t="s">
        <v>3033</v>
      </c>
      <c r="D168" s="199"/>
      <c r="E168" s="198" t="s">
        <v>3004</v>
      </c>
      <c r="F168" s="198">
        <v>9.0</v>
      </c>
      <c r="G168" s="198">
        <v>2024.0</v>
      </c>
      <c r="H168" s="199"/>
      <c r="I168" s="207"/>
      <c r="J168" s="199"/>
      <c r="K168" s="202"/>
      <c r="L168" s="202"/>
      <c r="M168" s="202"/>
      <c r="N168" s="202"/>
      <c r="O168" s="202"/>
      <c r="P168" s="202"/>
      <c r="Q168" s="202"/>
      <c r="R168" s="202"/>
      <c r="S168" s="202"/>
      <c r="T168" s="202">
        <v>26812.88</v>
      </c>
      <c r="U168" s="198" t="s">
        <v>2712</v>
      </c>
      <c r="V168" s="199"/>
      <c r="W168" s="197"/>
      <c r="X168" s="197"/>
      <c r="Y168" s="199"/>
      <c r="Z168" s="199"/>
      <c r="AA168" s="204" t="str">
        <f t="shared" si="4"/>
        <v/>
      </c>
      <c r="AB168" s="205" t="s">
        <v>38</v>
      </c>
      <c r="AC168" s="199"/>
      <c r="AD168" s="199"/>
      <c r="AE168" s="199"/>
      <c r="AF168" s="199"/>
      <c r="AG168" s="199"/>
      <c r="AH168" s="199"/>
      <c r="AI168" s="199"/>
      <c r="AJ168" s="199"/>
      <c r="AK168" s="199"/>
      <c r="AL168" s="199"/>
      <c r="AM168" s="198" t="s">
        <v>2783</v>
      </c>
      <c r="AN168" s="197"/>
      <c r="AO168" s="197"/>
      <c r="AP168" s="197"/>
      <c r="AQ168" s="197"/>
      <c r="AR168" s="197"/>
      <c r="AS168" s="197"/>
    </row>
    <row r="169">
      <c r="A169" s="198" t="str">
        <f t="shared" si="1"/>
        <v>PP</v>
      </c>
      <c r="B169" s="198" t="s">
        <v>3035</v>
      </c>
      <c r="C169" s="198" t="s">
        <v>169</v>
      </c>
      <c r="D169" s="199" t="s">
        <v>3036</v>
      </c>
      <c r="E169" s="198" t="s">
        <v>3034</v>
      </c>
      <c r="F169" s="198">
        <v>9.0</v>
      </c>
      <c r="G169" s="198">
        <v>2024.0</v>
      </c>
      <c r="H169" s="199"/>
      <c r="I169" s="207"/>
      <c r="J169" s="199"/>
      <c r="K169" s="202"/>
      <c r="L169" s="202"/>
      <c r="M169" s="202"/>
      <c r="N169" s="202"/>
      <c r="O169" s="202"/>
      <c r="P169" s="202"/>
      <c r="Q169" s="202"/>
      <c r="R169" s="202"/>
      <c r="S169" s="202"/>
      <c r="T169" s="202">
        <v>99702.84</v>
      </c>
      <c r="U169" s="198" t="s">
        <v>2712</v>
      </c>
      <c r="V169" s="199"/>
      <c r="W169" s="197"/>
      <c r="X169" s="197"/>
      <c r="Y169" s="199"/>
      <c r="Z169" s="199"/>
      <c r="AA169" s="204" t="str">
        <f t="shared" si="4"/>
        <v/>
      </c>
      <c r="AB169" s="198" t="s">
        <v>2919</v>
      </c>
      <c r="AC169" s="199"/>
      <c r="AD169" s="199"/>
      <c r="AE169" s="199"/>
      <c r="AF169" s="199"/>
      <c r="AG169" s="199"/>
      <c r="AH169" s="199"/>
      <c r="AI169" s="199"/>
      <c r="AJ169" s="199"/>
      <c r="AK169" s="199"/>
      <c r="AL169" s="199"/>
      <c r="AM169" s="198" t="s">
        <v>2783</v>
      </c>
      <c r="AN169" s="197"/>
      <c r="AO169" s="197"/>
      <c r="AP169" s="197"/>
      <c r="AQ169" s="197"/>
      <c r="AR169" s="197"/>
      <c r="AS169" s="197"/>
    </row>
    <row r="170">
      <c r="A170" s="198" t="str">
        <f t="shared" si="1"/>
        <v>PP</v>
      </c>
      <c r="B170" s="198" t="s">
        <v>3038</v>
      </c>
      <c r="C170" s="198" t="s">
        <v>169</v>
      </c>
      <c r="D170" s="199" t="s">
        <v>3039</v>
      </c>
      <c r="E170" s="198" t="s">
        <v>3037</v>
      </c>
      <c r="F170" s="198">
        <v>9.0</v>
      </c>
      <c r="G170" s="198">
        <v>2024.0</v>
      </c>
      <c r="H170" s="199"/>
      <c r="I170" s="207"/>
      <c r="J170" s="199"/>
      <c r="K170" s="202"/>
      <c r="L170" s="202"/>
      <c r="M170" s="202"/>
      <c r="N170" s="202"/>
      <c r="O170" s="202"/>
      <c r="P170" s="202"/>
      <c r="Q170" s="202"/>
      <c r="R170" s="202"/>
      <c r="S170" s="202"/>
      <c r="T170" s="202">
        <v>37408.0</v>
      </c>
      <c r="U170" s="198" t="s">
        <v>3026</v>
      </c>
      <c r="V170" s="199"/>
      <c r="W170" s="197"/>
      <c r="X170" s="197"/>
      <c r="Y170" s="199"/>
      <c r="Z170" s="199"/>
      <c r="AA170" s="204" t="str">
        <f t="shared" si="4"/>
        <v/>
      </c>
      <c r="AB170" s="205" t="s">
        <v>38</v>
      </c>
      <c r="AC170" s="199"/>
      <c r="AD170" s="199"/>
      <c r="AE170" s="199"/>
      <c r="AF170" s="199"/>
      <c r="AG170" s="199"/>
      <c r="AH170" s="199"/>
      <c r="AI170" s="199"/>
      <c r="AJ170" s="199"/>
      <c r="AK170" s="199"/>
      <c r="AL170" s="199"/>
      <c r="AM170" s="198" t="s">
        <v>2783</v>
      </c>
      <c r="AN170" s="197"/>
      <c r="AO170" s="197"/>
      <c r="AP170" s="197"/>
      <c r="AQ170" s="197"/>
      <c r="AR170" s="197"/>
      <c r="AS170" s="197"/>
    </row>
    <row r="171">
      <c r="A171" s="198" t="str">
        <f t="shared" si="1"/>
        <v>PP</v>
      </c>
      <c r="B171" s="198" t="s">
        <v>3040</v>
      </c>
      <c r="C171" s="198" t="s">
        <v>169</v>
      </c>
      <c r="D171" s="199" t="s">
        <v>3041</v>
      </c>
      <c r="E171" s="198"/>
      <c r="F171" s="198"/>
      <c r="G171" s="198"/>
      <c r="H171" s="199"/>
      <c r="I171" s="207"/>
      <c r="J171" s="199"/>
      <c r="K171" s="202"/>
      <c r="L171" s="202"/>
      <c r="M171" s="202"/>
      <c r="N171" s="202"/>
      <c r="O171" s="202"/>
      <c r="P171" s="202"/>
      <c r="Q171" s="202"/>
      <c r="R171" s="202"/>
      <c r="S171" s="202"/>
      <c r="T171" s="202">
        <v>37408.0</v>
      </c>
      <c r="U171" s="198" t="s">
        <v>3026</v>
      </c>
      <c r="V171" s="199"/>
      <c r="W171" s="197"/>
      <c r="X171" s="197"/>
      <c r="Y171" s="199"/>
      <c r="Z171" s="199"/>
      <c r="AA171" s="204" t="str">
        <f t="shared" si="4"/>
        <v/>
      </c>
      <c r="AB171" s="205" t="s">
        <v>38</v>
      </c>
      <c r="AC171" s="199"/>
      <c r="AD171" s="199"/>
      <c r="AE171" s="199"/>
      <c r="AF171" s="199"/>
      <c r="AG171" s="199"/>
      <c r="AH171" s="199"/>
      <c r="AI171" s="199"/>
      <c r="AJ171" s="199"/>
      <c r="AK171" s="199"/>
      <c r="AL171" s="199"/>
      <c r="AM171" s="198" t="s">
        <v>2783</v>
      </c>
      <c r="AN171" s="197"/>
      <c r="AO171" s="197"/>
      <c r="AP171" s="197"/>
      <c r="AQ171" s="197"/>
      <c r="AR171" s="197"/>
      <c r="AS171" s="197"/>
    </row>
    <row r="172">
      <c r="A172" s="198" t="str">
        <f t="shared" si="1"/>
        <v>PP</v>
      </c>
      <c r="B172" s="198" t="s">
        <v>3042</v>
      </c>
      <c r="C172" s="198" t="s">
        <v>59</v>
      </c>
      <c r="D172" s="199"/>
      <c r="E172" s="212">
        <v>45554.0</v>
      </c>
      <c r="F172" s="205">
        <v>9.0</v>
      </c>
      <c r="G172" s="205">
        <v>2024.0</v>
      </c>
      <c r="H172" s="199"/>
      <c r="I172" s="207"/>
      <c r="J172" s="199"/>
      <c r="K172" s="206"/>
      <c r="L172" s="206"/>
      <c r="M172" s="206"/>
      <c r="N172" s="206"/>
      <c r="O172" s="206"/>
      <c r="P172" s="206"/>
      <c r="Q172" s="206"/>
      <c r="R172" s="206"/>
      <c r="S172" s="206"/>
      <c r="T172" s="206">
        <v>144855.0</v>
      </c>
      <c r="U172" s="198" t="s">
        <v>3026</v>
      </c>
      <c r="V172" s="199"/>
      <c r="W172" s="197"/>
      <c r="X172" s="197"/>
      <c r="Y172" s="199"/>
      <c r="Z172" s="199"/>
      <c r="AA172" s="204" t="str">
        <f t="shared" si="4"/>
        <v/>
      </c>
      <c r="AB172" s="198" t="s">
        <v>38</v>
      </c>
      <c r="AC172" s="199"/>
      <c r="AD172" s="199"/>
      <c r="AE172" s="199"/>
      <c r="AF172" s="199"/>
      <c r="AG172" s="199"/>
      <c r="AH172" s="199"/>
      <c r="AI172" s="199"/>
      <c r="AJ172" s="199"/>
      <c r="AK172" s="199"/>
      <c r="AL172" s="199"/>
      <c r="AM172" s="198" t="s">
        <v>2783</v>
      </c>
      <c r="AN172" s="197"/>
      <c r="AO172" s="197"/>
      <c r="AP172" s="197"/>
      <c r="AQ172" s="197"/>
      <c r="AR172" s="197"/>
      <c r="AS172" s="197"/>
    </row>
    <row r="173">
      <c r="A173" s="198" t="str">
        <f t="shared" si="1"/>
        <v>PP</v>
      </c>
      <c r="B173" s="198" t="s">
        <v>3043</v>
      </c>
      <c r="C173" s="198" t="s">
        <v>59</v>
      </c>
      <c r="D173" s="199" t="s">
        <v>3044</v>
      </c>
      <c r="E173" s="212">
        <v>45554.0</v>
      </c>
      <c r="F173" s="205">
        <v>9.0</v>
      </c>
      <c r="G173" s="205">
        <v>2024.0</v>
      </c>
      <c r="H173" s="199"/>
      <c r="I173" s="207"/>
      <c r="J173" s="199"/>
      <c r="K173" s="206"/>
      <c r="L173" s="206"/>
      <c r="M173" s="206"/>
      <c r="N173" s="206"/>
      <c r="O173" s="206"/>
      <c r="P173" s="206"/>
      <c r="Q173" s="206"/>
      <c r="R173" s="206"/>
      <c r="S173" s="206"/>
      <c r="T173" s="206">
        <v>29208.12</v>
      </c>
      <c r="U173" s="198" t="s">
        <v>3026</v>
      </c>
      <c r="V173" s="199"/>
      <c r="W173" s="197"/>
      <c r="X173" s="197"/>
      <c r="Y173" s="199"/>
      <c r="Z173" s="199"/>
      <c r="AA173" s="204" t="str">
        <f t="shared" si="4"/>
        <v/>
      </c>
      <c r="AB173" s="205" t="s">
        <v>38</v>
      </c>
      <c r="AC173" s="199"/>
      <c r="AD173" s="199"/>
      <c r="AE173" s="199"/>
      <c r="AF173" s="199"/>
      <c r="AG173" s="199"/>
      <c r="AH173" s="199"/>
      <c r="AI173" s="199"/>
      <c r="AJ173" s="199"/>
      <c r="AK173" s="199"/>
      <c r="AL173" s="199"/>
      <c r="AM173" s="198" t="s">
        <v>2783</v>
      </c>
      <c r="AN173" s="197"/>
      <c r="AO173" s="197"/>
      <c r="AP173" s="197"/>
      <c r="AQ173" s="197"/>
      <c r="AR173" s="197"/>
      <c r="AS173" s="197"/>
    </row>
    <row r="174">
      <c r="A174" s="198" t="str">
        <f t="shared" si="1"/>
        <v>PP</v>
      </c>
      <c r="B174" s="198" t="s">
        <v>3046</v>
      </c>
      <c r="C174" s="198" t="s">
        <v>81</v>
      </c>
      <c r="D174" s="199" t="s">
        <v>3048</v>
      </c>
      <c r="E174" s="205" t="s">
        <v>3045</v>
      </c>
      <c r="F174" s="205">
        <v>9.0</v>
      </c>
      <c r="G174" s="205">
        <v>2024.0</v>
      </c>
      <c r="H174" s="199"/>
      <c r="I174" s="207"/>
      <c r="J174" s="199"/>
      <c r="K174" s="202"/>
      <c r="L174" s="202"/>
      <c r="M174" s="202"/>
      <c r="N174" s="202"/>
      <c r="O174" s="202"/>
      <c r="P174" s="202"/>
      <c r="Q174" s="202"/>
      <c r="R174" s="202"/>
      <c r="S174" s="202"/>
      <c r="T174" s="202" t="s">
        <v>3047</v>
      </c>
      <c r="U174" s="198" t="s">
        <v>3026</v>
      </c>
      <c r="V174" s="199"/>
      <c r="W174" s="197"/>
      <c r="X174" s="197"/>
      <c r="Y174" s="199"/>
      <c r="Z174" s="199"/>
      <c r="AA174" s="204" t="str">
        <f t="shared" si="4"/>
        <v/>
      </c>
      <c r="AB174" s="205" t="s">
        <v>38</v>
      </c>
      <c r="AC174" s="199"/>
      <c r="AD174" s="199"/>
      <c r="AE174" s="199"/>
      <c r="AF174" s="199"/>
      <c r="AG174" s="199"/>
      <c r="AH174" s="199"/>
      <c r="AI174" s="199"/>
      <c r="AJ174" s="199"/>
      <c r="AK174" s="199"/>
      <c r="AL174" s="199"/>
      <c r="AM174" s="198" t="s">
        <v>2783</v>
      </c>
      <c r="AN174" s="197"/>
      <c r="AO174" s="197"/>
      <c r="AP174" s="197"/>
      <c r="AQ174" s="197"/>
      <c r="AR174" s="197"/>
      <c r="AS174" s="197"/>
    </row>
    <row r="175">
      <c r="A175" s="198" t="str">
        <f t="shared" si="1"/>
        <v>PP</v>
      </c>
      <c r="B175" s="198" t="s">
        <v>3049</v>
      </c>
      <c r="C175" s="198" t="s">
        <v>2812</v>
      </c>
      <c r="D175" s="199" t="s">
        <v>3050</v>
      </c>
      <c r="E175" s="215">
        <v>45361.0</v>
      </c>
      <c r="F175" s="198">
        <v>10.0</v>
      </c>
      <c r="G175" s="198">
        <v>2024.0</v>
      </c>
      <c r="H175" s="199"/>
      <c r="I175" s="207"/>
      <c r="J175" s="199"/>
      <c r="K175" s="202"/>
      <c r="L175" s="202"/>
      <c r="M175" s="202"/>
      <c r="N175" s="202"/>
      <c r="O175" s="202"/>
      <c r="P175" s="202"/>
      <c r="Q175" s="202"/>
      <c r="R175" s="202"/>
      <c r="S175" s="202"/>
      <c r="T175" s="202">
        <v>407080.0</v>
      </c>
      <c r="U175" s="198" t="s">
        <v>2712</v>
      </c>
      <c r="V175" s="199"/>
      <c r="W175" s="197"/>
      <c r="X175" s="197"/>
      <c r="Y175" s="199"/>
      <c r="Z175" s="199"/>
      <c r="AA175" s="204" t="str">
        <f t="shared" si="4"/>
        <v/>
      </c>
      <c r="AB175" s="198" t="s">
        <v>38</v>
      </c>
      <c r="AC175" s="199"/>
      <c r="AD175" s="199"/>
      <c r="AE175" s="199"/>
      <c r="AF175" s="199"/>
      <c r="AG175" s="199"/>
      <c r="AH175" s="199"/>
      <c r="AI175" s="199"/>
      <c r="AJ175" s="199"/>
      <c r="AK175" s="199"/>
      <c r="AL175" s="199"/>
      <c r="AM175" s="198" t="s">
        <v>2783</v>
      </c>
      <c r="AN175" s="197"/>
      <c r="AO175" s="197"/>
      <c r="AP175" s="197"/>
      <c r="AQ175" s="197"/>
      <c r="AR175" s="197"/>
      <c r="AS175" s="197"/>
    </row>
    <row r="176">
      <c r="A176" s="198" t="str">
        <f t="shared" si="1"/>
        <v>PP</v>
      </c>
      <c r="B176" s="198" t="s">
        <v>3052</v>
      </c>
      <c r="C176" s="198" t="s">
        <v>1316</v>
      </c>
      <c r="D176" s="199"/>
      <c r="E176" s="198" t="s">
        <v>3051</v>
      </c>
      <c r="F176" s="198">
        <v>10.0</v>
      </c>
      <c r="G176" s="198">
        <v>2024.0</v>
      </c>
      <c r="H176" s="199"/>
      <c r="I176" s="207"/>
      <c r="J176" s="199"/>
      <c r="K176" s="202"/>
      <c r="L176" s="202"/>
      <c r="M176" s="202"/>
      <c r="N176" s="202"/>
      <c r="O176" s="202"/>
      <c r="P176" s="202"/>
      <c r="Q176" s="202"/>
      <c r="R176" s="202"/>
      <c r="S176" s="202"/>
      <c r="T176" s="202">
        <v>579000.0</v>
      </c>
      <c r="U176" s="198" t="s">
        <v>3053</v>
      </c>
      <c r="V176" s="199"/>
      <c r="W176" s="197"/>
      <c r="X176" s="197"/>
      <c r="Y176" s="199"/>
      <c r="Z176" s="199"/>
      <c r="AA176" s="204" t="str">
        <f t="shared" si="4"/>
        <v/>
      </c>
      <c r="AB176" s="205" t="s">
        <v>38</v>
      </c>
      <c r="AC176" s="199"/>
      <c r="AD176" s="199"/>
      <c r="AE176" s="199"/>
      <c r="AF176" s="199"/>
      <c r="AG176" s="199"/>
      <c r="AH176" s="199"/>
      <c r="AI176" s="199"/>
      <c r="AJ176" s="199"/>
      <c r="AK176" s="199"/>
      <c r="AL176" s="199"/>
      <c r="AM176" s="198" t="s">
        <v>2783</v>
      </c>
      <c r="AN176" s="197"/>
      <c r="AO176" s="197"/>
      <c r="AP176" s="197"/>
      <c r="AQ176" s="197"/>
      <c r="AR176" s="197"/>
      <c r="AS176" s="197"/>
    </row>
    <row r="177">
      <c r="A177" s="198" t="str">
        <f t="shared" si="1"/>
        <v>PP</v>
      </c>
      <c r="B177" s="198" t="s">
        <v>3055</v>
      </c>
      <c r="C177" s="198" t="s">
        <v>26</v>
      </c>
      <c r="D177" s="199" t="s">
        <v>3056</v>
      </c>
      <c r="E177" s="198" t="s">
        <v>3054</v>
      </c>
      <c r="F177" s="198">
        <v>10.0</v>
      </c>
      <c r="G177" s="198">
        <v>2024.0</v>
      </c>
      <c r="H177" s="199"/>
      <c r="I177" s="207"/>
      <c r="J177" s="199"/>
      <c r="K177" s="202"/>
      <c r="L177" s="202"/>
      <c r="M177" s="202"/>
      <c r="N177" s="202"/>
      <c r="O177" s="202"/>
      <c r="P177" s="202"/>
      <c r="Q177" s="202"/>
      <c r="R177" s="202"/>
      <c r="S177" s="202"/>
      <c r="T177" s="202">
        <v>360265.77</v>
      </c>
      <c r="U177" s="198" t="s">
        <v>3026</v>
      </c>
      <c r="V177" s="199"/>
      <c r="W177" s="197"/>
      <c r="X177" s="197"/>
      <c r="Y177" s="199"/>
      <c r="Z177" s="199"/>
      <c r="AA177" s="204" t="str">
        <f t="shared" si="4"/>
        <v/>
      </c>
      <c r="AB177" s="198" t="s">
        <v>38</v>
      </c>
      <c r="AC177" s="199"/>
      <c r="AD177" s="199"/>
      <c r="AE177" s="199"/>
      <c r="AF177" s="199"/>
      <c r="AG177" s="199"/>
      <c r="AH177" s="199"/>
      <c r="AI177" s="199"/>
      <c r="AJ177" s="199"/>
      <c r="AK177" s="199"/>
      <c r="AL177" s="199"/>
      <c r="AM177" s="198" t="s">
        <v>2783</v>
      </c>
      <c r="AN177" s="197"/>
      <c r="AO177" s="197"/>
      <c r="AP177" s="197"/>
      <c r="AQ177" s="197"/>
      <c r="AR177" s="197"/>
      <c r="AS177" s="197"/>
    </row>
    <row r="178">
      <c r="A178" s="198" t="str">
        <f t="shared" si="1"/>
        <v>PP</v>
      </c>
      <c r="B178" s="198" t="s">
        <v>3057</v>
      </c>
      <c r="C178" s="198" t="s">
        <v>26</v>
      </c>
      <c r="D178" s="199" t="s">
        <v>3058</v>
      </c>
      <c r="E178" s="198" t="s">
        <v>3054</v>
      </c>
      <c r="F178" s="198">
        <v>10.0</v>
      </c>
      <c r="G178" s="198">
        <v>2024.0</v>
      </c>
      <c r="H178" s="199"/>
      <c r="I178" s="207"/>
      <c r="J178" s="199"/>
      <c r="K178" s="202"/>
      <c r="L178" s="202"/>
      <c r="M178" s="202"/>
      <c r="N178" s="202"/>
      <c r="O178" s="202"/>
      <c r="P178" s="202"/>
      <c r="Q178" s="202"/>
      <c r="R178" s="202"/>
      <c r="S178" s="202"/>
      <c r="T178" s="202">
        <v>204000.0</v>
      </c>
      <c r="U178" s="198"/>
      <c r="V178" s="199"/>
      <c r="W178" s="197"/>
      <c r="X178" s="197"/>
      <c r="Y178" s="199"/>
      <c r="Z178" s="199"/>
      <c r="AA178" s="204" t="str">
        <f t="shared" si="4"/>
        <v/>
      </c>
      <c r="AB178" s="198" t="s">
        <v>38</v>
      </c>
      <c r="AC178" s="199"/>
      <c r="AD178" s="199"/>
      <c r="AE178" s="199"/>
      <c r="AF178" s="199"/>
      <c r="AG178" s="199"/>
      <c r="AH178" s="199"/>
      <c r="AI178" s="199"/>
      <c r="AJ178" s="199"/>
      <c r="AK178" s="199"/>
      <c r="AL178" s="199"/>
      <c r="AM178" s="198" t="s">
        <v>2783</v>
      </c>
      <c r="AN178" s="197"/>
      <c r="AO178" s="197"/>
      <c r="AP178" s="197"/>
      <c r="AQ178" s="197"/>
      <c r="AR178" s="197"/>
      <c r="AS178" s="197"/>
    </row>
    <row r="179">
      <c r="A179" s="198" t="str">
        <f t="shared" si="1"/>
        <v>PP</v>
      </c>
      <c r="B179" s="198" t="s">
        <v>3060</v>
      </c>
      <c r="C179" s="198" t="s">
        <v>100</v>
      </c>
      <c r="D179" s="199"/>
      <c r="E179" s="198" t="s">
        <v>3059</v>
      </c>
      <c r="F179" s="198">
        <v>10.0</v>
      </c>
      <c r="G179" s="198">
        <v>2024.0</v>
      </c>
      <c r="H179" s="199"/>
      <c r="I179" s="207"/>
      <c r="J179" s="199"/>
      <c r="K179" s="202"/>
      <c r="L179" s="202"/>
      <c r="M179" s="202"/>
      <c r="N179" s="202"/>
      <c r="O179" s="202"/>
      <c r="P179" s="202"/>
      <c r="Q179" s="202"/>
      <c r="R179" s="202"/>
      <c r="S179" s="202"/>
      <c r="T179" s="202">
        <v>690000.0</v>
      </c>
      <c r="U179" s="198" t="s">
        <v>3061</v>
      </c>
      <c r="V179" s="199"/>
      <c r="W179" s="197"/>
      <c r="X179" s="197"/>
      <c r="Y179" s="199"/>
      <c r="Z179" s="199"/>
      <c r="AA179" s="204" t="str">
        <f t="shared" si="4"/>
        <v/>
      </c>
      <c r="AB179" s="205" t="s">
        <v>38</v>
      </c>
      <c r="AC179" s="199"/>
      <c r="AD179" s="199"/>
      <c r="AE179" s="199"/>
      <c r="AF179" s="199"/>
      <c r="AG179" s="199"/>
      <c r="AH179" s="199"/>
      <c r="AI179" s="199"/>
      <c r="AJ179" s="199"/>
      <c r="AK179" s="199"/>
      <c r="AL179" s="199"/>
      <c r="AM179" s="198" t="s">
        <v>2783</v>
      </c>
      <c r="AN179" s="197"/>
      <c r="AO179" s="197"/>
      <c r="AP179" s="197"/>
      <c r="AQ179" s="197"/>
      <c r="AR179" s="197"/>
      <c r="AS179" s="197"/>
    </row>
    <row r="180">
      <c r="A180" s="198" t="str">
        <f t="shared" si="1"/>
        <v>PP</v>
      </c>
      <c r="B180" s="198" t="s">
        <v>3062</v>
      </c>
      <c r="C180" s="198" t="s">
        <v>259</v>
      </c>
      <c r="D180" s="199"/>
      <c r="E180" s="215">
        <v>45484.0</v>
      </c>
      <c r="F180" s="198">
        <v>11.0</v>
      </c>
      <c r="G180" s="198">
        <v>2024.0</v>
      </c>
      <c r="H180" s="199"/>
      <c r="I180" s="207"/>
      <c r="J180" s="199"/>
      <c r="K180" s="202"/>
      <c r="L180" s="202"/>
      <c r="M180" s="202"/>
      <c r="N180" s="202"/>
      <c r="O180" s="202"/>
      <c r="P180" s="202"/>
      <c r="Q180" s="202"/>
      <c r="R180" s="202"/>
      <c r="S180" s="202"/>
      <c r="T180" s="202">
        <v>106000.0</v>
      </c>
      <c r="U180" s="198" t="s">
        <v>3026</v>
      </c>
      <c r="V180" s="199"/>
      <c r="W180" s="197"/>
      <c r="X180" s="197"/>
      <c r="Y180" s="199"/>
      <c r="Z180" s="199"/>
      <c r="AA180" s="204" t="str">
        <f t="shared" si="4"/>
        <v/>
      </c>
      <c r="AB180" s="205" t="s">
        <v>38</v>
      </c>
      <c r="AC180" s="199"/>
      <c r="AD180" s="199"/>
      <c r="AE180" s="199"/>
      <c r="AF180" s="199"/>
      <c r="AG180" s="199"/>
      <c r="AH180" s="199"/>
      <c r="AI180" s="199"/>
      <c r="AJ180" s="199"/>
      <c r="AK180" s="199"/>
      <c r="AL180" s="199"/>
      <c r="AM180" s="198" t="s">
        <v>2783</v>
      </c>
      <c r="AN180" s="197"/>
      <c r="AO180" s="197"/>
      <c r="AP180" s="197"/>
      <c r="AQ180" s="197"/>
      <c r="AR180" s="197"/>
      <c r="AS180" s="197"/>
    </row>
    <row r="181">
      <c r="A181" s="198" t="str">
        <f t="shared" si="1"/>
        <v>PP</v>
      </c>
      <c r="B181" s="198" t="s">
        <v>3063</v>
      </c>
      <c r="C181" s="198" t="s">
        <v>3064</v>
      </c>
      <c r="D181" s="199"/>
      <c r="E181" s="198"/>
      <c r="F181" s="198"/>
      <c r="G181" s="198"/>
      <c r="H181" s="199"/>
      <c r="I181" s="207"/>
      <c r="J181" s="199"/>
      <c r="K181" s="202"/>
      <c r="L181" s="202"/>
      <c r="M181" s="202"/>
      <c r="N181" s="202"/>
      <c r="O181" s="202"/>
      <c r="P181" s="202"/>
      <c r="Q181" s="202"/>
      <c r="R181" s="202"/>
      <c r="S181" s="202"/>
      <c r="T181" s="202"/>
      <c r="U181" s="198"/>
      <c r="V181" s="199"/>
      <c r="W181" s="197"/>
      <c r="X181" s="197"/>
      <c r="Y181" s="199"/>
      <c r="Z181" s="199"/>
      <c r="AA181" s="204" t="str">
        <f t="shared" si="4"/>
        <v/>
      </c>
      <c r="AB181" s="205" t="s">
        <v>2994</v>
      </c>
      <c r="AC181" s="199"/>
      <c r="AD181" s="199"/>
      <c r="AE181" s="199"/>
      <c r="AF181" s="199"/>
      <c r="AG181" s="199"/>
      <c r="AH181" s="199"/>
      <c r="AI181" s="199"/>
      <c r="AJ181" s="199"/>
      <c r="AK181" s="199"/>
      <c r="AL181" s="199"/>
      <c r="AM181" s="198"/>
      <c r="AN181" s="197"/>
      <c r="AO181" s="197"/>
      <c r="AP181" s="197"/>
      <c r="AQ181" s="197"/>
      <c r="AR181" s="197"/>
      <c r="AS181" s="197"/>
    </row>
    <row r="182">
      <c r="A182" s="198" t="str">
        <f t="shared" si="1"/>
        <v>PP</v>
      </c>
      <c r="B182" s="198" t="s">
        <v>3065</v>
      </c>
      <c r="C182" s="198" t="s">
        <v>3066</v>
      </c>
      <c r="D182" s="199"/>
      <c r="E182" s="198"/>
      <c r="F182" s="198"/>
      <c r="G182" s="198"/>
      <c r="H182" s="199"/>
      <c r="I182" s="207"/>
      <c r="J182" s="199"/>
      <c r="K182" s="202"/>
      <c r="L182" s="202"/>
      <c r="M182" s="202"/>
      <c r="N182" s="202"/>
      <c r="O182" s="202"/>
      <c r="P182" s="202"/>
      <c r="Q182" s="202"/>
      <c r="R182" s="202"/>
      <c r="S182" s="202"/>
      <c r="T182" s="202"/>
      <c r="U182" s="198"/>
      <c r="V182" s="199"/>
      <c r="W182" s="197"/>
      <c r="X182" s="197"/>
      <c r="Y182" s="199"/>
      <c r="Z182" s="199"/>
      <c r="AA182" s="204" t="str">
        <f t="shared" si="4"/>
        <v/>
      </c>
      <c r="AB182" s="205" t="s">
        <v>2994</v>
      </c>
      <c r="AC182" s="199"/>
      <c r="AD182" s="199"/>
      <c r="AE182" s="199"/>
      <c r="AF182" s="199"/>
      <c r="AG182" s="199"/>
      <c r="AH182" s="199"/>
      <c r="AI182" s="199"/>
      <c r="AJ182" s="199"/>
      <c r="AK182" s="199"/>
      <c r="AL182" s="199"/>
      <c r="AM182" s="198"/>
      <c r="AN182" s="197"/>
      <c r="AO182" s="197"/>
      <c r="AP182" s="197"/>
      <c r="AQ182" s="197"/>
      <c r="AR182" s="197"/>
      <c r="AS182" s="197"/>
    </row>
    <row r="183">
      <c r="A183" s="198" t="str">
        <f t="shared" si="1"/>
        <v>PP</v>
      </c>
      <c r="B183" s="198" t="s">
        <v>3067</v>
      </c>
      <c r="C183" s="198" t="s">
        <v>3068</v>
      </c>
      <c r="D183" s="199"/>
      <c r="E183" s="198"/>
      <c r="F183" s="198"/>
      <c r="G183" s="198"/>
      <c r="H183" s="199"/>
      <c r="I183" s="207"/>
      <c r="J183" s="199"/>
      <c r="K183" s="202"/>
      <c r="L183" s="202"/>
      <c r="M183" s="202"/>
      <c r="N183" s="202"/>
      <c r="O183" s="202"/>
      <c r="P183" s="202"/>
      <c r="Q183" s="202"/>
      <c r="R183" s="202"/>
      <c r="S183" s="202"/>
      <c r="T183" s="202"/>
      <c r="U183" s="198"/>
      <c r="V183" s="199"/>
      <c r="W183" s="197"/>
      <c r="X183" s="197"/>
      <c r="Y183" s="199"/>
      <c r="Z183" s="199"/>
      <c r="AA183" s="204" t="str">
        <f t="shared" si="4"/>
        <v/>
      </c>
      <c r="AB183" s="205" t="s">
        <v>38</v>
      </c>
      <c r="AC183" s="199"/>
      <c r="AD183" s="199"/>
      <c r="AE183" s="199"/>
      <c r="AF183" s="199"/>
      <c r="AG183" s="199"/>
      <c r="AH183" s="199"/>
      <c r="AI183" s="199"/>
      <c r="AJ183" s="199"/>
      <c r="AK183" s="199"/>
      <c r="AL183" s="199"/>
      <c r="AM183" s="198"/>
      <c r="AN183" s="197"/>
      <c r="AO183" s="197"/>
      <c r="AP183" s="197"/>
      <c r="AQ183" s="197"/>
      <c r="AR183" s="197"/>
      <c r="AS183" s="197"/>
    </row>
    <row r="184">
      <c r="A184" s="198" t="str">
        <f t="shared" si="1"/>
        <v>PP</v>
      </c>
      <c r="B184" s="198" t="s">
        <v>3069</v>
      </c>
      <c r="C184" s="198" t="s">
        <v>3070</v>
      </c>
      <c r="D184" s="199"/>
      <c r="E184" s="198"/>
      <c r="F184" s="198"/>
      <c r="G184" s="198"/>
      <c r="H184" s="199"/>
      <c r="I184" s="207"/>
      <c r="J184" s="199"/>
      <c r="K184" s="202"/>
      <c r="L184" s="202"/>
      <c r="M184" s="202"/>
      <c r="N184" s="202"/>
      <c r="O184" s="202"/>
      <c r="P184" s="202"/>
      <c r="Q184" s="202"/>
      <c r="R184" s="202"/>
      <c r="S184" s="202"/>
      <c r="T184" s="202"/>
      <c r="U184" s="198"/>
      <c r="V184" s="199"/>
      <c r="W184" s="197"/>
      <c r="X184" s="197"/>
      <c r="Y184" s="199"/>
      <c r="Z184" s="199"/>
      <c r="AA184" s="204" t="str">
        <f t="shared" si="4"/>
        <v/>
      </c>
      <c r="AB184" s="205" t="s">
        <v>2994</v>
      </c>
      <c r="AC184" s="199"/>
      <c r="AD184" s="199"/>
      <c r="AE184" s="199"/>
      <c r="AF184" s="199"/>
      <c r="AG184" s="199"/>
      <c r="AH184" s="199"/>
      <c r="AI184" s="199"/>
      <c r="AJ184" s="199"/>
      <c r="AK184" s="199"/>
      <c r="AL184" s="199"/>
      <c r="AM184" s="198"/>
      <c r="AN184" s="197"/>
      <c r="AO184" s="197"/>
      <c r="AP184" s="197"/>
      <c r="AQ184" s="197"/>
      <c r="AR184" s="197"/>
      <c r="AS184" s="197"/>
    </row>
    <row r="185">
      <c r="A185" s="198" t="str">
        <f t="shared" si="1"/>
        <v>PP</v>
      </c>
      <c r="B185" s="198" t="s">
        <v>3071</v>
      </c>
      <c r="C185" s="198" t="s">
        <v>3072</v>
      </c>
      <c r="D185" s="199"/>
      <c r="E185" s="198"/>
      <c r="F185" s="198"/>
      <c r="G185" s="198"/>
      <c r="H185" s="199"/>
      <c r="I185" s="207"/>
      <c r="J185" s="199"/>
      <c r="K185" s="202"/>
      <c r="L185" s="202"/>
      <c r="M185" s="202"/>
      <c r="N185" s="202"/>
      <c r="O185" s="202"/>
      <c r="P185" s="202"/>
      <c r="Q185" s="202"/>
      <c r="R185" s="202"/>
      <c r="S185" s="202"/>
      <c r="T185" s="202"/>
      <c r="U185" s="198"/>
      <c r="V185" s="199"/>
      <c r="W185" s="197"/>
      <c r="X185" s="197"/>
      <c r="Y185" s="199"/>
      <c r="Z185" s="199"/>
      <c r="AA185" s="204" t="str">
        <f t="shared" si="4"/>
        <v/>
      </c>
      <c r="AB185" s="205" t="s">
        <v>2994</v>
      </c>
      <c r="AC185" s="199"/>
      <c r="AD185" s="199"/>
      <c r="AE185" s="199"/>
      <c r="AF185" s="199"/>
      <c r="AG185" s="199"/>
      <c r="AH185" s="199"/>
      <c r="AI185" s="199"/>
      <c r="AJ185" s="199"/>
      <c r="AK185" s="199"/>
      <c r="AL185" s="199"/>
      <c r="AM185" s="198"/>
      <c r="AN185" s="197"/>
      <c r="AO185" s="197"/>
      <c r="AP185" s="197"/>
      <c r="AQ185" s="197"/>
      <c r="AR185" s="197"/>
      <c r="AS185" s="197"/>
    </row>
    <row r="186">
      <c r="A186" s="198" t="str">
        <f t="shared" si="1"/>
        <v>PP</v>
      </c>
      <c r="B186" s="198" t="s">
        <v>3073</v>
      </c>
      <c r="C186" s="198" t="s">
        <v>3074</v>
      </c>
      <c r="D186" s="199" t="s">
        <v>3076</v>
      </c>
      <c r="E186" s="215">
        <v>45576.0</v>
      </c>
      <c r="F186" s="198">
        <v>11.0</v>
      </c>
      <c r="G186" s="198">
        <v>2024.0</v>
      </c>
      <c r="H186" s="199">
        <v>2400020.0</v>
      </c>
      <c r="I186" s="207">
        <v>202672.0</v>
      </c>
      <c r="J186" s="199"/>
      <c r="K186" s="202"/>
      <c r="L186" s="202"/>
      <c r="M186" s="202"/>
      <c r="N186" s="202"/>
      <c r="O186" s="202"/>
      <c r="P186" s="202"/>
      <c r="Q186" s="202"/>
      <c r="R186" s="202"/>
      <c r="S186" s="202"/>
      <c r="T186" s="202"/>
      <c r="U186" s="198" t="s">
        <v>2712</v>
      </c>
      <c r="V186" s="199"/>
      <c r="W186" s="197"/>
      <c r="X186" s="197"/>
      <c r="Y186" s="199"/>
      <c r="Z186" s="216">
        <v>45672.0</v>
      </c>
      <c r="AA186" s="204" t="str">
        <f t="shared" si="4"/>
        <v>Expected Arrived</v>
      </c>
      <c r="AB186" s="205" t="s">
        <v>38</v>
      </c>
      <c r="AC186" s="199"/>
      <c r="AD186" s="199"/>
      <c r="AE186" s="199"/>
      <c r="AF186" s="199"/>
      <c r="AG186" s="199"/>
      <c r="AH186" s="199"/>
      <c r="AI186" s="199"/>
      <c r="AJ186" s="199"/>
      <c r="AK186" s="199"/>
      <c r="AL186" s="199"/>
      <c r="AM186" s="198" t="s">
        <v>2783</v>
      </c>
      <c r="AN186" s="197"/>
      <c r="AO186" s="197"/>
      <c r="AP186" s="197"/>
      <c r="AQ186" s="197"/>
      <c r="AR186" s="197"/>
      <c r="AS186" s="197"/>
    </row>
    <row r="187">
      <c r="A187" s="198" t="str">
        <f t="shared" si="1"/>
        <v>PP</v>
      </c>
      <c r="B187" s="198" t="s">
        <v>3077</v>
      </c>
      <c r="C187" s="198" t="s">
        <v>3074</v>
      </c>
      <c r="D187" s="199" t="s">
        <v>3076</v>
      </c>
      <c r="E187" s="215">
        <v>45576.0</v>
      </c>
      <c r="F187" s="198">
        <v>11.0</v>
      </c>
      <c r="G187" s="198">
        <v>2024.0</v>
      </c>
      <c r="H187" s="199">
        <v>2400021.0</v>
      </c>
      <c r="I187" s="207">
        <v>170236.0</v>
      </c>
      <c r="J187" s="199"/>
      <c r="K187" s="202"/>
      <c r="L187" s="202"/>
      <c r="M187" s="202"/>
      <c r="N187" s="202"/>
      <c r="O187" s="202"/>
      <c r="P187" s="202"/>
      <c r="Q187" s="202"/>
      <c r="R187" s="202"/>
      <c r="S187" s="202"/>
      <c r="T187" s="202"/>
      <c r="U187" s="198" t="s">
        <v>2712</v>
      </c>
      <c r="V187" s="199"/>
      <c r="W187" s="197"/>
      <c r="X187" s="197"/>
      <c r="Y187" s="199"/>
      <c r="Z187" s="216">
        <v>45716.0</v>
      </c>
      <c r="AA187" s="204" t="str">
        <f t="shared" si="4"/>
        <v>Expected Arrived</v>
      </c>
      <c r="AB187" s="205" t="s">
        <v>38</v>
      </c>
      <c r="AC187" s="199"/>
      <c r="AD187" s="199"/>
      <c r="AE187" s="199"/>
      <c r="AF187" s="199"/>
      <c r="AG187" s="199"/>
      <c r="AH187" s="199"/>
      <c r="AI187" s="199"/>
      <c r="AJ187" s="199"/>
      <c r="AK187" s="199"/>
      <c r="AL187" s="199"/>
      <c r="AM187" s="198" t="s">
        <v>2783</v>
      </c>
      <c r="AN187" s="197"/>
      <c r="AO187" s="197"/>
      <c r="AP187" s="197"/>
      <c r="AQ187" s="197"/>
      <c r="AR187" s="197"/>
      <c r="AS187" s="197"/>
    </row>
    <row r="188">
      <c r="A188" s="198" t="str">
        <f t="shared" si="1"/>
        <v>PP</v>
      </c>
      <c r="B188" s="198" t="s">
        <v>3079</v>
      </c>
      <c r="C188" s="198" t="s">
        <v>3074</v>
      </c>
      <c r="D188" s="199" t="s">
        <v>3076</v>
      </c>
      <c r="E188" s="215">
        <v>45576.0</v>
      </c>
      <c r="F188" s="198">
        <v>11.0</v>
      </c>
      <c r="G188" s="198">
        <v>2024.0</v>
      </c>
      <c r="H188" s="199">
        <v>2400022.0</v>
      </c>
      <c r="I188" s="207">
        <v>170236.0</v>
      </c>
      <c r="J188" s="199"/>
      <c r="K188" s="202"/>
      <c r="L188" s="202"/>
      <c r="M188" s="202"/>
      <c r="N188" s="202"/>
      <c r="O188" s="202"/>
      <c r="P188" s="202"/>
      <c r="Q188" s="202"/>
      <c r="R188" s="202"/>
      <c r="S188" s="202"/>
      <c r="T188" s="202"/>
      <c r="U188" s="198" t="s">
        <v>2712</v>
      </c>
      <c r="V188" s="199"/>
      <c r="W188" s="197"/>
      <c r="X188" s="197"/>
      <c r="Y188" s="199"/>
      <c r="Z188" s="216">
        <v>45748.0</v>
      </c>
      <c r="AA188" s="204" t="str">
        <f t="shared" si="4"/>
        <v>Expected Arrived</v>
      </c>
      <c r="AB188" s="205" t="s">
        <v>38</v>
      </c>
      <c r="AC188" s="199"/>
      <c r="AD188" s="199"/>
      <c r="AE188" s="199"/>
      <c r="AF188" s="199"/>
      <c r="AG188" s="199"/>
      <c r="AH188" s="199"/>
      <c r="AI188" s="199"/>
      <c r="AJ188" s="199"/>
      <c r="AK188" s="199"/>
      <c r="AL188" s="199"/>
      <c r="AM188" s="198" t="s">
        <v>2783</v>
      </c>
      <c r="AN188" s="197"/>
      <c r="AO188" s="197"/>
      <c r="AP188" s="197"/>
      <c r="AQ188" s="197"/>
      <c r="AR188" s="197"/>
      <c r="AS188" s="197"/>
    </row>
    <row r="189">
      <c r="A189" s="198" t="str">
        <f t="shared" si="1"/>
        <v>PP</v>
      </c>
      <c r="B189" s="198" t="s">
        <v>3082</v>
      </c>
      <c r="C189" s="198" t="s">
        <v>3074</v>
      </c>
      <c r="D189" s="199" t="s">
        <v>3083</v>
      </c>
      <c r="E189" s="215">
        <v>45576.0</v>
      </c>
      <c r="F189" s="198">
        <v>11.0</v>
      </c>
      <c r="G189" s="198">
        <v>2024.0</v>
      </c>
      <c r="H189" s="199">
        <v>2400023.0</v>
      </c>
      <c r="I189" s="207">
        <v>111005.1</v>
      </c>
      <c r="J189" s="199"/>
      <c r="K189" s="202"/>
      <c r="L189" s="202"/>
      <c r="M189" s="202"/>
      <c r="N189" s="202"/>
      <c r="O189" s="202"/>
      <c r="P189" s="202"/>
      <c r="Q189" s="202"/>
      <c r="R189" s="202"/>
      <c r="S189" s="202"/>
      <c r="T189" s="202"/>
      <c r="U189" s="198" t="s">
        <v>2712</v>
      </c>
      <c r="V189" s="199"/>
      <c r="W189" s="197"/>
      <c r="X189" s="197"/>
      <c r="Y189" s="199"/>
      <c r="Z189" s="216">
        <v>45672.0</v>
      </c>
      <c r="AA189" s="204" t="str">
        <f t="shared" si="4"/>
        <v>Expected Arrived</v>
      </c>
      <c r="AB189" s="205" t="s">
        <v>38</v>
      </c>
      <c r="AC189" s="199"/>
      <c r="AD189" s="199"/>
      <c r="AE189" s="199"/>
      <c r="AF189" s="199"/>
      <c r="AG189" s="199"/>
      <c r="AH189" s="199"/>
      <c r="AI189" s="199"/>
      <c r="AJ189" s="199"/>
      <c r="AK189" s="199"/>
      <c r="AL189" s="199"/>
      <c r="AM189" s="198" t="s">
        <v>2783</v>
      </c>
      <c r="AN189" s="197"/>
      <c r="AO189" s="197"/>
      <c r="AP189" s="197"/>
      <c r="AQ189" s="197"/>
      <c r="AR189" s="197"/>
      <c r="AS189" s="197"/>
    </row>
    <row r="190">
      <c r="A190" s="198" t="str">
        <f t="shared" si="1"/>
        <v>PP</v>
      </c>
      <c r="B190" s="198" t="s">
        <v>3084</v>
      </c>
      <c r="C190" s="198" t="s">
        <v>3074</v>
      </c>
      <c r="D190" s="199"/>
      <c r="E190" s="215">
        <v>45576.0</v>
      </c>
      <c r="F190" s="198">
        <v>11.0</v>
      </c>
      <c r="G190" s="198">
        <v>2024.0</v>
      </c>
      <c r="H190" s="199">
        <v>2400024.0</v>
      </c>
      <c r="I190" s="207">
        <v>110741.0</v>
      </c>
      <c r="J190" s="199"/>
      <c r="K190" s="202"/>
      <c r="L190" s="202"/>
      <c r="M190" s="202"/>
      <c r="N190" s="202"/>
      <c r="O190" s="202"/>
      <c r="P190" s="202"/>
      <c r="Q190" s="202"/>
      <c r="R190" s="202"/>
      <c r="S190" s="202"/>
      <c r="T190" s="202"/>
      <c r="U190" s="198" t="s">
        <v>2712</v>
      </c>
      <c r="V190" s="199"/>
      <c r="W190" s="197"/>
      <c r="X190" s="197"/>
      <c r="Y190" s="199"/>
      <c r="Z190" s="216">
        <v>45716.0</v>
      </c>
      <c r="AA190" s="204" t="str">
        <f t="shared" si="4"/>
        <v>Expected Arrived</v>
      </c>
      <c r="AB190" s="205" t="s">
        <v>38</v>
      </c>
      <c r="AC190" s="199"/>
      <c r="AD190" s="199"/>
      <c r="AE190" s="199"/>
      <c r="AF190" s="199"/>
      <c r="AG190" s="199"/>
      <c r="AH190" s="199"/>
      <c r="AI190" s="199"/>
      <c r="AJ190" s="199"/>
      <c r="AK190" s="199"/>
      <c r="AL190" s="199"/>
      <c r="AM190" s="198" t="s">
        <v>2783</v>
      </c>
      <c r="AN190" s="197"/>
      <c r="AO190" s="197"/>
      <c r="AP190" s="197"/>
      <c r="AQ190" s="197"/>
      <c r="AR190" s="197"/>
      <c r="AS190" s="197"/>
    </row>
    <row r="191">
      <c r="A191" s="198" t="str">
        <f t="shared" si="1"/>
        <v>PP</v>
      </c>
      <c r="B191" s="198" t="s">
        <v>3085</v>
      </c>
      <c r="C191" s="198" t="s">
        <v>3074</v>
      </c>
      <c r="D191" s="199" t="s">
        <v>3086</v>
      </c>
      <c r="E191" s="215">
        <v>45607.0</v>
      </c>
      <c r="F191" s="198">
        <v>11.0</v>
      </c>
      <c r="G191" s="198">
        <v>2024.0</v>
      </c>
      <c r="H191" s="199"/>
      <c r="I191" s="207">
        <v>107970.0</v>
      </c>
      <c r="J191" s="199"/>
      <c r="K191" s="202"/>
      <c r="L191" s="202"/>
      <c r="M191" s="202"/>
      <c r="N191" s="202"/>
      <c r="O191" s="202"/>
      <c r="P191" s="202"/>
      <c r="Q191" s="202"/>
      <c r="R191" s="202"/>
      <c r="S191" s="202"/>
      <c r="T191" s="202"/>
      <c r="U191" s="198" t="s">
        <v>2712</v>
      </c>
      <c r="V191" s="199"/>
      <c r="W191" s="197"/>
      <c r="X191" s="197"/>
      <c r="Y191" s="199"/>
      <c r="Z191" s="199"/>
      <c r="AA191" s="204" t="str">
        <f t="shared" si="4"/>
        <v/>
      </c>
      <c r="AB191" s="205" t="s">
        <v>38</v>
      </c>
      <c r="AC191" s="199"/>
      <c r="AD191" s="199"/>
      <c r="AE191" s="199"/>
      <c r="AF191" s="199"/>
      <c r="AG191" s="199"/>
      <c r="AH191" s="199"/>
      <c r="AI191" s="199"/>
      <c r="AJ191" s="199"/>
      <c r="AK191" s="199"/>
      <c r="AL191" s="199"/>
      <c r="AM191" s="198" t="s">
        <v>2783</v>
      </c>
      <c r="AN191" s="197"/>
      <c r="AO191" s="197"/>
      <c r="AP191" s="197"/>
      <c r="AQ191" s="197"/>
      <c r="AR191" s="197"/>
      <c r="AS191" s="197"/>
    </row>
    <row r="192">
      <c r="A192" s="198" t="str">
        <f t="shared" si="1"/>
        <v>PP</v>
      </c>
      <c r="B192" s="198" t="s">
        <v>3088</v>
      </c>
      <c r="C192" s="198" t="s">
        <v>3074</v>
      </c>
      <c r="D192" s="199" t="s">
        <v>3090</v>
      </c>
      <c r="E192" s="198" t="s">
        <v>3087</v>
      </c>
      <c r="F192" s="198">
        <v>11.0</v>
      </c>
      <c r="G192" s="198">
        <v>2024.0</v>
      </c>
      <c r="H192" s="199">
        <v>2400025.0</v>
      </c>
      <c r="I192" s="207">
        <v>34178.16</v>
      </c>
      <c r="J192" s="199"/>
      <c r="K192" s="202"/>
      <c r="L192" s="202"/>
      <c r="M192" s="202"/>
      <c r="N192" s="202"/>
      <c r="O192" s="202"/>
      <c r="P192" s="202"/>
      <c r="Q192" s="202"/>
      <c r="R192" s="202"/>
      <c r="S192" s="202"/>
      <c r="T192" s="202"/>
      <c r="U192" s="198" t="s">
        <v>2712</v>
      </c>
      <c r="V192" s="199"/>
      <c r="W192" s="197"/>
      <c r="X192" s="197"/>
      <c r="Y192" s="199"/>
      <c r="Z192" s="216">
        <v>45677.0</v>
      </c>
      <c r="AA192" s="204" t="str">
        <f t="shared" si="4"/>
        <v>Expected Arrived</v>
      </c>
      <c r="AB192" s="205" t="s">
        <v>38</v>
      </c>
      <c r="AC192" s="199"/>
      <c r="AD192" s="199"/>
      <c r="AE192" s="199"/>
      <c r="AF192" s="199"/>
      <c r="AG192" s="199"/>
      <c r="AH192" s="199"/>
      <c r="AI192" s="199"/>
      <c r="AJ192" s="199"/>
      <c r="AK192" s="199"/>
      <c r="AL192" s="199"/>
      <c r="AM192" s="198" t="s">
        <v>2783</v>
      </c>
      <c r="AN192" s="197"/>
      <c r="AO192" s="197"/>
      <c r="AP192" s="197"/>
      <c r="AQ192" s="197"/>
      <c r="AR192" s="197"/>
      <c r="AS192" s="197"/>
    </row>
    <row r="193">
      <c r="A193" s="198" t="str">
        <f t="shared" si="1"/>
        <v>PP</v>
      </c>
      <c r="B193" s="198" t="s">
        <v>3091</v>
      </c>
      <c r="C193" s="198" t="s">
        <v>3074</v>
      </c>
      <c r="D193" s="199" t="s">
        <v>3093</v>
      </c>
      <c r="E193" s="198"/>
      <c r="F193" s="198"/>
      <c r="G193" s="198"/>
      <c r="H193" s="199"/>
      <c r="I193" s="207"/>
      <c r="J193" s="199"/>
      <c r="K193" s="202"/>
      <c r="L193" s="202"/>
      <c r="M193" s="202"/>
      <c r="N193" s="202"/>
      <c r="O193" s="202"/>
      <c r="P193" s="202"/>
      <c r="Q193" s="202"/>
      <c r="R193" s="202"/>
      <c r="S193" s="202"/>
      <c r="T193" s="202"/>
      <c r="U193" s="198" t="s">
        <v>2712</v>
      </c>
      <c r="V193" s="199"/>
      <c r="W193" s="197"/>
      <c r="X193" s="197"/>
      <c r="Y193" s="199" t="s">
        <v>3092</v>
      </c>
      <c r="Z193" s="199"/>
      <c r="AA193" s="204" t="str">
        <f t="shared" si="4"/>
        <v/>
      </c>
      <c r="AB193" s="205" t="s">
        <v>2994</v>
      </c>
      <c r="AC193" s="199"/>
      <c r="AD193" s="199"/>
      <c r="AE193" s="199"/>
      <c r="AF193" s="199"/>
      <c r="AG193" s="199"/>
      <c r="AH193" s="199"/>
      <c r="AI193" s="199"/>
      <c r="AJ193" s="199"/>
      <c r="AK193" s="199"/>
      <c r="AL193" s="199"/>
      <c r="AM193" s="198" t="s">
        <v>2847</v>
      </c>
      <c r="AN193" s="197"/>
      <c r="AO193" s="197"/>
      <c r="AP193" s="197"/>
      <c r="AQ193" s="197"/>
      <c r="AR193" s="197"/>
      <c r="AS193" s="197"/>
    </row>
    <row r="194">
      <c r="A194" s="198" t="str">
        <f t="shared" si="1"/>
        <v>PP</v>
      </c>
      <c r="B194" s="198" t="s">
        <v>3094</v>
      </c>
      <c r="C194" s="198" t="s">
        <v>3074</v>
      </c>
      <c r="D194" s="199" t="s">
        <v>3096</v>
      </c>
      <c r="E194" s="198"/>
      <c r="F194" s="198"/>
      <c r="G194" s="198"/>
      <c r="H194" s="199"/>
      <c r="I194" s="207"/>
      <c r="J194" s="199"/>
      <c r="K194" s="202"/>
      <c r="L194" s="202"/>
      <c r="M194" s="202"/>
      <c r="N194" s="202"/>
      <c r="O194" s="202"/>
      <c r="P194" s="202"/>
      <c r="Q194" s="202"/>
      <c r="R194" s="202"/>
      <c r="S194" s="202"/>
      <c r="T194" s="202"/>
      <c r="U194" s="198" t="s">
        <v>2712</v>
      </c>
      <c r="V194" s="199"/>
      <c r="W194" s="197"/>
      <c r="X194" s="197"/>
      <c r="Y194" s="199" t="s">
        <v>3095</v>
      </c>
      <c r="Z194" s="199"/>
      <c r="AA194" s="204" t="str">
        <f t="shared" si="4"/>
        <v/>
      </c>
      <c r="AB194" s="205" t="s">
        <v>2994</v>
      </c>
      <c r="AC194" s="199"/>
      <c r="AD194" s="199"/>
      <c r="AE194" s="199"/>
      <c r="AF194" s="199"/>
      <c r="AG194" s="199"/>
      <c r="AH194" s="199"/>
      <c r="AI194" s="199"/>
      <c r="AJ194" s="199"/>
      <c r="AK194" s="199"/>
      <c r="AL194" s="199"/>
      <c r="AM194" s="198" t="s">
        <v>2847</v>
      </c>
      <c r="AN194" s="197"/>
      <c r="AO194" s="197"/>
      <c r="AP194" s="197"/>
      <c r="AQ194" s="197"/>
      <c r="AR194" s="197"/>
      <c r="AS194" s="197"/>
    </row>
    <row r="195">
      <c r="A195" s="198" t="str">
        <f t="shared" si="1"/>
        <v>PP</v>
      </c>
      <c r="B195" s="198" t="s">
        <v>3098</v>
      </c>
      <c r="C195" s="198" t="s">
        <v>3074</v>
      </c>
      <c r="D195" s="199" t="s">
        <v>3100</v>
      </c>
      <c r="E195" s="198" t="s">
        <v>3097</v>
      </c>
      <c r="F195" s="198">
        <v>11.0</v>
      </c>
      <c r="G195" s="198">
        <v>2024.0</v>
      </c>
      <c r="H195" s="199">
        <v>2400026.0</v>
      </c>
      <c r="I195" s="207">
        <v>19800.0</v>
      </c>
      <c r="J195" s="199"/>
      <c r="K195" s="202"/>
      <c r="L195" s="202"/>
      <c r="M195" s="202"/>
      <c r="N195" s="202"/>
      <c r="O195" s="202"/>
      <c r="P195" s="202"/>
      <c r="Q195" s="202"/>
      <c r="R195" s="202"/>
      <c r="S195" s="202"/>
      <c r="T195" s="202" t="s">
        <v>3099</v>
      </c>
      <c r="U195" s="198" t="s">
        <v>2712</v>
      </c>
      <c r="V195" s="199"/>
      <c r="W195" s="197"/>
      <c r="X195" s="197"/>
      <c r="Y195" s="199"/>
      <c r="Z195" s="199"/>
      <c r="AA195" s="204" t="str">
        <f t="shared" si="4"/>
        <v/>
      </c>
      <c r="AB195" s="205" t="s">
        <v>2994</v>
      </c>
      <c r="AC195" s="199"/>
      <c r="AD195" s="199"/>
      <c r="AE195" s="199"/>
      <c r="AF195" s="199"/>
      <c r="AG195" s="199"/>
      <c r="AH195" s="199"/>
      <c r="AI195" s="199"/>
      <c r="AJ195" s="199"/>
      <c r="AK195" s="199"/>
      <c r="AL195" s="199"/>
      <c r="AM195" s="198" t="s">
        <v>2783</v>
      </c>
      <c r="AN195" s="197"/>
      <c r="AO195" s="197"/>
      <c r="AP195" s="197"/>
      <c r="AQ195" s="197"/>
      <c r="AR195" s="197"/>
      <c r="AS195" s="197"/>
    </row>
    <row r="196">
      <c r="A196" s="198" t="str">
        <f t="shared" si="1"/>
        <v>PP</v>
      </c>
      <c r="B196" s="198" t="s">
        <v>3101</v>
      </c>
      <c r="C196" s="198" t="s">
        <v>3074</v>
      </c>
      <c r="D196" s="199" t="s">
        <v>3102</v>
      </c>
      <c r="E196" s="198" t="s">
        <v>3097</v>
      </c>
      <c r="F196" s="198">
        <v>11.0</v>
      </c>
      <c r="G196" s="198">
        <v>2024.0</v>
      </c>
      <c r="H196" s="199">
        <v>2400027.0</v>
      </c>
      <c r="I196" s="207">
        <v>20219.76</v>
      </c>
      <c r="J196" s="199"/>
      <c r="K196" s="202"/>
      <c r="L196" s="202"/>
      <c r="M196" s="202"/>
      <c r="N196" s="202"/>
      <c r="O196" s="202"/>
      <c r="P196" s="202"/>
      <c r="Q196" s="202"/>
      <c r="R196" s="202"/>
      <c r="S196" s="202"/>
      <c r="T196" s="202"/>
      <c r="U196" s="198" t="s">
        <v>2712</v>
      </c>
      <c r="V196" s="199"/>
      <c r="W196" s="197"/>
      <c r="X196" s="197"/>
      <c r="Y196" s="199"/>
      <c r="Z196" s="199"/>
      <c r="AA196" s="204" t="str">
        <f t="shared" si="4"/>
        <v/>
      </c>
      <c r="AB196" s="205" t="s">
        <v>38</v>
      </c>
      <c r="AC196" s="199"/>
      <c r="AD196" s="199"/>
      <c r="AE196" s="199"/>
      <c r="AF196" s="199"/>
      <c r="AG196" s="199"/>
      <c r="AH196" s="199"/>
      <c r="AI196" s="199"/>
      <c r="AJ196" s="199"/>
      <c r="AK196" s="199"/>
      <c r="AL196" s="199"/>
      <c r="AM196" s="198" t="s">
        <v>2783</v>
      </c>
      <c r="AN196" s="197"/>
      <c r="AO196" s="197"/>
      <c r="AP196" s="197"/>
      <c r="AQ196" s="197"/>
      <c r="AR196" s="197"/>
      <c r="AS196" s="197"/>
    </row>
    <row r="197">
      <c r="A197" s="198" t="str">
        <f t="shared" si="1"/>
        <v>PP</v>
      </c>
      <c r="B197" s="198" t="s">
        <v>3103</v>
      </c>
      <c r="C197" s="198" t="s">
        <v>3074</v>
      </c>
      <c r="D197" s="199" t="s">
        <v>3104</v>
      </c>
      <c r="E197" s="198" t="s">
        <v>3097</v>
      </c>
      <c r="F197" s="198">
        <v>11.0</v>
      </c>
      <c r="G197" s="198">
        <v>2024.0</v>
      </c>
      <c r="H197" s="199">
        <v>2400028.0</v>
      </c>
      <c r="I197" s="207">
        <v>17940.0</v>
      </c>
      <c r="J197" s="199"/>
      <c r="K197" s="202"/>
      <c r="L197" s="202"/>
      <c r="M197" s="202"/>
      <c r="N197" s="202"/>
      <c r="O197" s="202"/>
      <c r="P197" s="202"/>
      <c r="Q197" s="202"/>
      <c r="R197" s="202"/>
      <c r="S197" s="202"/>
      <c r="T197" s="202"/>
      <c r="U197" s="198" t="s">
        <v>2712</v>
      </c>
      <c r="V197" s="199"/>
      <c r="W197" s="197"/>
      <c r="X197" s="197"/>
      <c r="Y197" s="199"/>
      <c r="Z197" s="199"/>
      <c r="AA197" s="204" t="str">
        <f t="shared" si="4"/>
        <v/>
      </c>
      <c r="AB197" s="205" t="s">
        <v>38</v>
      </c>
      <c r="AC197" s="199"/>
      <c r="AD197" s="199"/>
      <c r="AE197" s="199"/>
      <c r="AF197" s="199"/>
      <c r="AG197" s="199"/>
      <c r="AH197" s="199"/>
      <c r="AI197" s="199"/>
      <c r="AJ197" s="199"/>
      <c r="AK197" s="199"/>
      <c r="AL197" s="199"/>
      <c r="AM197" s="198" t="s">
        <v>2783</v>
      </c>
      <c r="AN197" s="197"/>
      <c r="AO197" s="197"/>
      <c r="AP197" s="197"/>
      <c r="AQ197" s="197"/>
      <c r="AR197" s="197"/>
      <c r="AS197" s="197"/>
    </row>
    <row r="198">
      <c r="A198" s="198" t="str">
        <f t="shared" si="1"/>
        <v>PP</v>
      </c>
      <c r="B198" s="198" t="s">
        <v>3105</v>
      </c>
      <c r="C198" s="198" t="s">
        <v>3074</v>
      </c>
      <c r="D198" s="199" t="s">
        <v>3106</v>
      </c>
      <c r="E198" s="198" t="s">
        <v>3097</v>
      </c>
      <c r="F198" s="198">
        <v>11.0</v>
      </c>
      <c r="G198" s="198">
        <v>2024.0</v>
      </c>
      <c r="H198" s="199">
        <v>2400029.0</v>
      </c>
      <c r="I198" s="207">
        <v>147127.5</v>
      </c>
      <c r="J198" s="199"/>
      <c r="K198" s="202"/>
      <c r="L198" s="202"/>
      <c r="M198" s="202"/>
      <c r="N198" s="202"/>
      <c r="O198" s="202"/>
      <c r="P198" s="202"/>
      <c r="Q198" s="202"/>
      <c r="R198" s="202"/>
      <c r="S198" s="202"/>
      <c r="T198" s="202"/>
      <c r="U198" s="198" t="s">
        <v>2712</v>
      </c>
      <c r="V198" s="199"/>
      <c r="W198" s="197"/>
      <c r="X198" s="197"/>
      <c r="Y198" s="199"/>
      <c r="Z198" s="199"/>
      <c r="AA198" s="204" t="str">
        <f t="shared" si="4"/>
        <v/>
      </c>
      <c r="AB198" s="205" t="s">
        <v>38</v>
      </c>
      <c r="AC198" s="199"/>
      <c r="AD198" s="199"/>
      <c r="AE198" s="199"/>
      <c r="AF198" s="199"/>
      <c r="AG198" s="199"/>
      <c r="AH198" s="199"/>
      <c r="AI198" s="199"/>
      <c r="AJ198" s="199"/>
      <c r="AK198" s="199"/>
      <c r="AL198" s="199"/>
      <c r="AM198" s="198" t="s">
        <v>2783</v>
      </c>
      <c r="AN198" s="197"/>
      <c r="AO198" s="197"/>
      <c r="AP198" s="197"/>
      <c r="AQ198" s="197"/>
      <c r="AR198" s="197"/>
      <c r="AS198" s="197"/>
    </row>
    <row r="199">
      <c r="A199" s="198" t="str">
        <f t="shared" si="1"/>
        <v>PP</v>
      </c>
      <c r="B199" s="198" t="s">
        <v>3107</v>
      </c>
      <c r="C199" s="198" t="s">
        <v>3074</v>
      </c>
      <c r="D199" s="199" t="s">
        <v>2854</v>
      </c>
      <c r="E199" s="198" t="s">
        <v>3097</v>
      </c>
      <c r="F199" s="198">
        <v>11.0</v>
      </c>
      <c r="G199" s="198">
        <v>2024.0</v>
      </c>
      <c r="H199" s="198">
        <v>2400030.0</v>
      </c>
      <c r="I199" s="202">
        <v>52747.2</v>
      </c>
      <c r="J199" s="199"/>
      <c r="K199" s="202"/>
      <c r="L199" s="202"/>
      <c r="M199" s="202"/>
      <c r="N199" s="202"/>
      <c r="O199" s="202"/>
      <c r="P199" s="202"/>
      <c r="Q199" s="202"/>
      <c r="R199" s="202"/>
      <c r="S199" s="202"/>
      <c r="T199" s="202"/>
      <c r="U199" s="198" t="s">
        <v>2712</v>
      </c>
      <c r="V199" s="199"/>
      <c r="W199" s="197"/>
      <c r="X199" s="197"/>
      <c r="Y199" s="199"/>
      <c r="Z199" s="199"/>
      <c r="AA199" s="204" t="str">
        <f t="shared" si="4"/>
        <v/>
      </c>
      <c r="AB199" s="205" t="s">
        <v>38</v>
      </c>
      <c r="AC199" s="199"/>
      <c r="AD199" s="199"/>
      <c r="AE199" s="199"/>
      <c r="AF199" s="199"/>
      <c r="AG199" s="199"/>
      <c r="AH199" s="199"/>
      <c r="AI199" s="199"/>
      <c r="AJ199" s="199"/>
      <c r="AK199" s="199"/>
      <c r="AL199" s="199"/>
      <c r="AM199" s="198" t="s">
        <v>2783</v>
      </c>
      <c r="AN199" s="197"/>
      <c r="AO199" s="197"/>
      <c r="AP199" s="197"/>
      <c r="AQ199" s="197"/>
      <c r="AR199" s="197"/>
      <c r="AS199" s="197"/>
    </row>
    <row r="200">
      <c r="A200" s="198" t="str">
        <f t="shared" si="1"/>
        <v>PP</v>
      </c>
      <c r="B200" s="198" t="s">
        <v>3109</v>
      </c>
      <c r="C200" s="198" t="s">
        <v>222</v>
      </c>
      <c r="D200" s="199" t="s">
        <v>3110</v>
      </c>
      <c r="E200" s="198" t="s">
        <v>3108</v>
      </c>
      <c r="F200" s="198">
        <v>11.0</v>
      </c>
      <c r="G200" s="198">
        <v>2024.0</v>
      </c>
      <c r="H200" s="199"/>
      <c r="I200" s="207">
        <v>140000.0</v>
      </c>
      <c r="J200" s="199"/>
      <c r="K200" s="202"/>
      <c r="L200" s="202"/>
      <c r="M200" s="202"/>
      <c r="N200" s="202"/>
      <c r="O200" s="202"/>
      <c r="P200" s="202"/>
      <c r="Q200" s="202"/>
      <c r="R200" s="202"/>
      <c r="S200" s="202"/>
      <c r="T200" s="202"/>
      <c r="U200" s="205" t="s">
        <v>3026</v>
      </c>
      <c r="V200" s="199"/>
      <c r="W200" s="197"/>
      <c r="X200" s="197"/>
      <c r="Y200" s="199"/>
      <c r="Z200" s="199"/>
      <c r="AA200" s="204" t="str">
        <f t="shared" si="4"/>
        <v/>
      </c>
      <c r="AB200" s="205" t="s">
        <v>38</v>
      </c>
      <c r="AC200" s="199"/>
      <c r="AD200" s="199"/>
      <c r="AE200" s="199"/>
      <c r="AF200" s="199"/>
      <c r="AG200" s="199"/>
      <c r="AH200" s="199"/>
      <c r="AI200" s="199"/>
      <c r="AJ200" s="199"/>
      <c r="AK200" s="199"/>
      <c r="AL200" s="199"/>
      <c r="AM200" s="198" t="s">
        <v>2783</v>
      </c>
      <c r="AN200" s="197"/>
      <c r="AO200" s="197"/>
      <c r="AP200" s="197"/>
      <c r="AQ200" s="197"/>
      <c r="AR200" s="197"/>
      <c r="AS200" s="197"/>
    </row>
    <row r="201">
      <c r="A201" s="198" t="str">
        <f t="shared" si="1"/>
        <v>PP</v>
      </c>
      <c r="B201" s="198" t="s">
        <v>3112</v>
      </c>
      <c r="C201" s="198" t="s">
        <v>169</v>
      </c>
      <c r="D201" s="199" t="s">
        <v>3113</v>
      </c>
      <c r="E201" s="198" t="s">
        <v>3111</v>
      </c>
      <c r="F201" s="198">
        <v>11.0</v>
      </c>
      <c r="G201" s="198">
        <v>2024.0</v>
      </c>
      <c r="H201" s="199"/>
      <c r="I201" s="207"/>
      <c r="J201" s="199"/>
      <c r="K201" s="202"/>
      <c r="L201" s="202"/>
      <c r="M201" s="202"/>
      <c r="N201" s="202"/>
      <c r="O201" s="202"/>
      <c r="P201" s="202"/>
      <c r="Q201" s="202"/>
      <c r="R201" s="202"/>
      <c r="S201" s="202"/>
      <c r="T201" s="202"/>
      <c r="U201" s="206" t="s">
        <v>3026</v>
      </c>
      <c r="V201" s="199"/>
      <c r="W201" s="197"/>
      <c r="X201" s="197"/>
      <c r="Y201" s="199"/>
      <c r="Z201" s="199"/>
      <c r="AA201" s="204" t="str">
        <f t="shared" si="4"/>
        <v/>
      </c>
      <c r="AB201" s="205" t="s">
        <v>38</v>
      </c>
      <c r="AC201" s="199"/>
      <c r="AD201" s="199"/>
      <c r="AE201" s="199"/>
      <c r="AF201" s="199"/>
      <c r="AG201" s="199"/>
      <c r="AH201" s="199"/>
      <c r="AI201" s="199"/>
      <c r="AJ201" s="199"/>
      <c r="AK201" s="199"/>
      <c r="AL201" s="199"/>
      <c r="AM201" s="198" t="s">
        <v>2783</v>
      </c>
      <c r="AN201" s="197"/>
      <c r="AO201" s="197"/>
      <c r="AP201" s="197"/>
      <c r="AQ201" s="197"/>
      <c r="AR201" s="197"/>
      <c r="AS201" s="197"/>
    </row>
    <row r="202">
      <c r="A202" s="198" t="str">
        <f t="shared" si="1"/>
        <v>PP</v>
      </c>
      <c r="B202" s="198" t="s">
        <v>3114</v>
      </c>
      <c r="C202" s="198" t="s">
        <v>169</v>
      </c>
      <c r="D202" s="199" t="s">
        <v>3115</v>
      </c>
      <c r="E202" s="198" t="s">
        <v>3111</v>
      </c>
      <c r="F202" s="198">
        <v>11.0</v>
      </c>
      <c r="G202" s="198">
        <v>2024.0</v>
      </c>
      <c r="H202" s="199"/>
      <c r="I202" s="207"/>
      <c r="J202" s="199"/>
      <c r="K202" s="202"/>
      <c r="L202" s="202"/>
      <c r="M202" s="202"/>
      <c r="N202" s="202"/>
      <c r="O202" s="202"/>
      <c r="P202" s="202"/>
      <c r="Q202" s="202"/>
      <c r="R202" s="202"/>
      <c r="S202" s="202"/>
      <c r="T202" s="202"/>
      <c r="U202" s="205" t="s">
        <v>3026</v>
      </c>
      <c r="V202" s="199"/>
      <c r="W202" s="197"/>
      <c r="X202" s="197"/>
      <c r="Y202" s="199"/>
      <c r="Z202" s="199"/>
      <c r="AA202" s="204" t="str">
        <f t="shared" si="4"/>
        <v/>
      </c>
      <c r="AB202" s="205" t="s">
        <v>38</v>
      </c>
      <c r="AC202" s="199"/>
      <c r="AD202" s="199"/>
      <c r="AE202" s="199"/>
      <c r="AF202" s="199"/>
      <c r="AG202" s="199"/>
      <c r="AH202" s="199"/>
      <c r="AI202" s="199"/>
      <c r="AJ202" s="199"/>
      <c r="AK202" s="199"/>
      <c r="AL202" s="199"/>
      <c r="AM202" s="198" t="s">
        <v>2783</v>
      </c>
      <c r="AN202" s="197"/>
      <c r="AO202" s="197"/>
      <c r="AP202" s="197"/>
      <c r="AQ202" s="197"/>
      <c r="AR202" s="197"/>
      <c r="AS202" s="197"/>
    </row>
    <row r="203">
      <c r="A203" s="198" t="str">
        <f t="shared" si="1"/>
        <v>PP</v>
      </c>
      <c r="B203" s="198" t="s">
        <v>3117</v>
      </c>
      <c r="C203" s="198" t="s">
        <v>143</v>
      </c>
      <c r="D203" s="199" t="s">
        <v>3118</v>
      </c>
      <c r="E203" s="198" t="s">
        <v>3116</v>
      </c>
      <c r="F203" s="198">
        <v>11.0</v>
      </c>
      <c r="G203" s="198">
        <v>2024.0</v>
      </c>
      <c r="H203" s="199">
        <v>2400031.0</v>
      </c>
      <c r="I203" s="207">
        <v>135080.0</v>
      </c>
      <c r="J203" s="199"/>
      <c r="K203" s="202"/>
      <c r="L203" s="202"/>
      <c r="M203" s="202"/>
      <c r="N203" s="202"/>
      <c r="O203" s="202"/>
      <c r="P203" s="202"/>
      <c r="Q203" s="202"/>
      <c r="R203" s="202"/>
      <c r="S203" s="202"/>
      <c r="T203" s="202"/>
      <c r="U203" s="206" t="s">
        <v>3026</v>
      </c>
      <c r="V203" s="199"/>
      <c r="W203" s="197"/>
      <c r="X203" s="197"/>
      <c r="Y203" s="199"/>
      <c r="Z203" s="199"/>
      <c r="AA203" s="204" t="str">
        <f t="shared" si="4"/>
        <v/>
      </c>
      <c r="AB203" s="205" t="s">
        <v>38</v>
      </c>
      <c r="AC203" s="199"/>
      <c r="AD203" s="199"/>
      <c r="AE203" s="199"/>
      <c r="AF203" s="199"/>
      <c r="AG203" s="199"/>
      <c r="AH203" s="199"/>
      <c r="AI203" s="199"/>
      <c r="AJ203" s="199"/>
      <c r="AK203" s="199"/>
      <c r="AL203" s="199"/>
      <c r="AM203" s="198" t="s">
        <v>2783</v>
      </c>
      <c r="AN203" s="197"/>
      <c r="AO203" s="197"/>
      <c r="AP203" s="197"/>
      <c r="AQ203" s="197"/>
      <c r="AR203" s="197"/>
      <c r="AS203" s="197"/>
    </row>
    <row r="204">
      <c r="A204" s="198" t="str">
        <f t="shared" si="1"/>
        <v>PP</v>
      </c>
      <c r="B204" s="198" t="s">
        <v>3119</v>
      </c>
      <c r="C204" s="198" t="s">
        <v>143</v>
      </c>
      <c r="D204" s="199" t="s">
        <v>2807</v>
      </c>
      <c r="E204" s="198" t="s">
        <v>3116</v>
      </c>
      <c r="F204" s="198">
        <v>11.0</v>
      </c>
      <c r="G204" s="198">
        <v>2024.0</v>
      </c>
      <c r="H204" s="199">
        <v>2400032.0</v>
      </c>
      <c r="I204" s="207">
        <v>32563.0</v>
      </c>
      <c r="J204" s="199"/>
      <c r="K204" s="202"/>
      <c r="L204" s="202"/>
      <c r="M204" s="202"/>
      <c r="N204" s="202"/>
      <c r="O204" s="202"/>
      <c r="P204" s="202"/>
      <c r="Q204" s="202"/>
      <c r="R204" s="202"/>
      <c r="S204" s="202"/>
      <c r="T204" s="202"/>
      <c r="U204" s="205" t="s">
        <v>3026</v>
      </c>
      <c r="V204" s="199"/>
      <c r="W204" s="197"/>
      <c r="X204" s="197"/>
      <c r="Y204" s="199"/>
      <c r="Z204" s="199"/>
      <c r="AA204" s="204" t="str">
        <f t="shared" si="4"/>
        <v/>
      </c>
      <c r="AB204" s="205" t="s">
        <v>38</v>
      </c>
      <c r="AC204" s="199"/>
      <c r="AD204" s="199"/>
      <c r="AE204" s="199"/>
      <c r="AF204" s="199"/>
      <c r="AG204" s="199"/>
      <c r="AH204" s="199"/>
      <c r="AI204" s="199"/>
      <c r="AJ204" s="199"/>
      <c r="AK204" s="199"/>
      <c r="AL204" s="199"/>
      <c r="AM204" s="198" t="s">
        <v>2783</v>
      </c>
      <c r="AN204" s="197"/>
      <c r="AO204" s="197"/>
      <c r="AP204" s="197"/>
      <c r="AQ204" s="197"/>
      <c r="AR204" s="197"/>
      <c r="AS204" s="197"/>
    </row>
    <row r="205">
      <c r="A205" s="198" t="str">
        <f t="shared" si="1"/>
        <v>PP</v>
      </c>
      <c r="B205" s="198" t="s">
        <v>3120</v>
      </c>
      <c r="C205" s="198" t="s">
        <v>143</v>
      </c>
      <c r="D205" s="199" t="s">
        <v>3121</v>
      </c>
      <c r="E205" s="198" t="s">
        <v>3116</v>
      </c>
      <c r="F205" s="198">
        <v>11.0</v>
      </c>
      <c r="G205" s="198">
        <v>2024.0</v>
      </c>
      <c r="H205" s="199">
        <v>2400033.0</v>
      </c>
      <c r="I205" s="207">
        <v>17370.0</v>
      </c>
      <c r="J205" s="199"/>
      <c r="K205" s="202"/>
      <c r="L205" s="202"/>
      <c r="M205" s="202"/>
      <c r="N205" s="202"/>
      <c r="O205" s="202"/>
      <c r="P205" s="202"/>
      <c r="Q205" s="202"/>
      <c r="R205" s="202"/>
      <c r="S205" s="202"/>
      <c r="T205" s="202"/>
      <c r="U205" s="206" t="s">
        <v>3026</v>
      </c>
      <c r="V205" s="199"/>
      <c r="W205" s="197"/>
      <c r="X205" s="197"/>
      <c r="Y205" s="199"/>
      <c r="Z205" s="199"/>
      <c r="AA205" s="204" t="str">
        <f t="shared" si="4"/>
        <v/>
      </c>
      <c r="AB205" s="205" t="s">
        <v>38</v>
      </c>
      <c r="AC205" s="199"/>
      <c r="AD205" s="199"/>
      <c r="AE205" s="199"/>
      <c r="AF205" s="199"/>
      <c r="AG205" s="199"/>
      <c r="AH205" s="199"/>
      <c r="AI205" s="199"/>
      <c r="AJ205" s="199"/>
      <c r="AK205" s="199"/>
      <c r="AL205" s="199"/>
      <c r="AM205" s="198" t="s">
        <v>2783</v>
      </c>
      <c r="AN205" s="197"/>
      <c r="AO205" s="197"/>
      <c r="AP205" s="197"/>
      <c r="AQ205" s="197"/>
      <c r="AR205" s="197"/>
      <c r="AS205" s="197"/>
    </row>
    <row r="206">
      <c r="A206" s="198" t="str">
        <f t="shared" si="1"/>
        <v>PP</v>
      </c>
      <c r="B206" s="198" t="s">
        <v>3123</v>
      </c>
      <c r="C206" s="198" t="s">
        <v>3124</v>
      </c>
      <c r="D206" s="199"/>
      <c r="E206" s="198" t="s">
        <v>3122</v>
      </c>
      <c r="F206" s="198">
        <v>11.0</v>
      </c>
      <c r="G206" s="198">
        <v>2024.0</v>
      </c>
      <c r="H206" s="199"/>
      <c r="I206" s="207"/>
      <c r="J206" s="199"/>
      <c r="K206" s="202"/>
      <c r="L206" s="202"/>
      <c r="M206" s="202"/>
      <c r="N206" s="202"/>
      <c r="O206" s="202"/>
      <c r="P206" s="202"/>
      <c r="Q206" s="202"/>
      <c r="R206" s="202"/>
      <c r="S206" s="202"/>
      <c r="T206" s="202"/>
      <c r="U206" s="198" t="s">
        <v>2710</v>
      </c>
      <c r="V206" s="199"/>
      <c r="W206" s="197"/>
      <c r="X206" s="197"/>
      <c r="Y206" s="199"/>
      <c r="Z206" s="199"/>
      <c r="AA206" s="204" t="str">
        <f t="shared" si="4"/>
        <v/>
      </c>
      <c r="AB206" s="205" t="s">
        <v>2994</v>
      </c>
      <c r="AC206" s="199"/>
      <c r="AD206" s="199"/>
      <c r="AE206" s="199"/>
      <c r="AF206" s="199"/>
      <c r="AG206" s="199"/>
      <c r="AH206" s="199"/>
      <c r="AI206" s="199"/>
      <c r="AJ206" s="199"/>
      <c r="AK206" s="199"/>
      <c r="AL206" s="199"/>
      <c r="AM206" s="198" t="s">
        <v>2783</v>
      </c>
      <c r="AN206" s="197"/>
      <c r="AO206" s="197"/>
      <c r="AP206" s="197"/>
      <c r="AQ206" s="197"/>
      <c r="AR206" s="197"/>
      <c r="AS206" s="197"/>
    </row>
    <row r="207">
      <c r="A207" s="198" t="str">
        <f t="shared" si="1"/>
        <v>PP</v>
      </c>
      <c r="B207" s="198" t="s">
        <v>3125</v>
      </c>
      <c r="C207" s="198" t="s">
        <v>26</v>
      </c>
      <c r="D207" s="199" t="s">
        <v>3126</v>
      </c>
      <c r="E207" s="198" t="s">
        <v>3122</v>
      </c>
      <c r="F207" s="198">
        <v>11.0</v>
      </c>
      <c r="G207" s="198">
        <v>2024.0</v>
      </c>
      <c r="H207" s="199"/>
      <c r="I207" s="207"/>
      <c r="J207" s="199"/>
      <c r="K207" s="202"/>
      <c r="L207" s="202"/>
      <c r="M207" s="202"/>
      <c r="N207" s="202"/>
      <c r="O207" s="202"/>
      <c r="P207" s="202"/>
      <c r="Q207" s="202"/>
      <c r="R207" s="202"/>
      <c r="S207" s="202"/>
      <c r="T207" s="202"/>
      <c r="U207" s="206" t="s">
        <v>3026</v>
      </c>
      <c r="V207" s="199"/>
      <c r="W207" s="197"/>
      <c r="X207" s="197"/>
      <c r="Y207" s="199"/>
      <c r="Z207" s="199"/>
      <c r="AA207" s="204" t="str">
        <f t="shared" si="4"/>
        <v/>
      </c>
      <c r="AB207" s="198" t="s">
        <v>38</v>
      </c>
      <c r="AC207" s="199"/>
      <c r="AD207" s="199"/>
      <c r="AE207" s="199"/>
      <c r="AF207" s="199"/>
      <c r="AG207" s="199"/>
      <c r="AH207" s="199"/>
      <c r="AI207" s="199"/>
      <c r="AJ207" s="199"/>
      <c r="AK207" s="199"/>
      <c r="AL207" s="199"/>
      <c r="AM207" s="198" t="s">
        <v>2783</v>
      </c>
      <c r="AN207" s="197"/>
      <c r="AO207" s="197"/>
      <c r="AP207" s="197"/>
      <c r="AQ207" s="197"/>
      <c r="AR207" s="197"/>
      <c r="AS207" s="197"/>
    </row>
    <row r="208">
      <c r="A208" s="198" t="str">
        <f t="shared" si="1"/>
        <v>PP</v>
      </c>
      <c r="B208" s="198" t="s">
        <v>3127</v>
      </c>
      <c r="C208" s="198" t="s">
        <v>169</v>
      </c>
      <c r="D208" s="199" t="s">
        <v>3128</v>
      </c>
      <c r="E208" s="198" t="s">
        <v>3122</v>
      </c>
      <c r="F208" s="198">
        <v>11.0</v>
      </c>
      <c r="G208" s="198">
        <v>2024.0</v>
      </c>
      <c r="H208" s="199"/>
      <c r="I208" s="207">
        <v>50195.92</v>
      </c>
      <c r="J208" s="199"/>
      <c r="K208" s="202"/>
      <c r="L208" s="202"/>
      <c r="M208" s="202"/>
      <c r="N208" s="202"/>
      <c r="O208" s="202"/>
      <c r="P208" s="202"/>
      <c r="Q208" s="202"/>
      <c r="R208" s="202"/>
      <c r="S208" s="202"/>
      <c r="T208" s="202"/>
      <c r="U208" s="205" t="s">
        <v>3026</v>
      </c>
      <c r="V208" s="199"/>
      <c r="W208" s="197"/>
      <c r="X208" s="197"/>
      <c r="Y208" s="199"/>
      <c r="Z208" s="199"/>
      <c r="AA208" s="204" t="str">
        <f t="shared" si="4"/>
        <v/>
      </c>
      <c r="AB208" s="205" t="s">
        <v>38</v>
      </c>
      <c r="AC208" s="199"/>
      <c r="AD208" s="199"/>
      <c r="AE208" s="199"/>
      <c r="AF208" s="199"/>
      <c r="AG208" s="199"/>
      <c r="AH208" s="199"/>
      <c r="AI208" s="199"/>
      <c r="AJ208" s="199"/>
      <c r="AK208" s="199"/>
      <c r="AL208" s="199"/>
      <c r="AM208" s="198" t="s">
        <v>2783</v>
      </c>
      <c r="AN208" s="197"/>
      <c r="AO208" s="197"/>
      <c r="AP208" s="197"/>
      <c r="AQ208" s="197"/>
      <c r="AR208" s="197"/>
      <c r="AS208" s="197"/>
    </row>
    <row r="209">
      <c r="A209" s="198" t="str">
        <f t="shared" si="1"/>
        <v>PP</v>
      </c>
      <c r="B209" s="198" t="s">
        <v>3130</v>
      </c>
      <c r="C209" s="198" t="s">
        <v>3074</v>
      </c>
      <c r="D209" s="199" t="s">
        <v>3131</v>
      </c>
      <c r="E209" s="198" t="s">
        <v>3129</v>
      </c>
      <c r="F209" s="198">
        <v>11.0</v>
      </c>
      <c r="G209" s="198">
        <v>2024.0</v>
      </c>
      <c r="H209" s="199">
        <v>2400034.0</v>
      </c>
      <c r="I209" s="207">
        <v>10944.0</v>
      </c>
      <c r="J209" s="199"/>
      <c r="K209" s="202"/>
      <c r="L209" s="202"/>
      <c r="M209" s="202"/>
      <c r="N209" s="202"/>
      <c r="O209" s="202"/>
      <c r="P209" s="202"/>
      <c r="Q209" s="202"/>
      <c r="R209" s="202"/>
      <c r="S209" s="202"/>
      <c r="T209" s="202"/>
      <c r="U209" s="198" t="s">
        <v>2712</v>
      </c>
      <c r="V209" s="199"/>
      <c r="W209" s="197"/>
      <c r="X209" s="197"/>
      <c r="Y209" s="199"/>
      <c r="Z209" s="199"/>
      <c r="AA209" s="204" t="str">
        <f t="shared" si="4"/>
        <v/>
      </c>
      <c r="AB209" s="205" t="s">
        <v>38</v>
      </c>
      <c r="AC209" s="199"/>
      <c r="AD209" s="199"/>
      <c r="AE209" s="199"/>
      <c r="AF209" s="199"/>
      <c r="AG209" s="199"/>
      <c r="AH209" s="199"/>
      <c r="AI209" s="199"/>
      <c r="AJ209" s="199"/>
      <c r="AK209" s="199"/>
      <c r="AL209" s="199"/>
      <c r="AM209" s="198" t="s">
        <v>2783</v>
      </c>
      <c r="AN209" s="197"/>
      <c r="AO209" s="197"/>
      <c r="AP209" s="197"/>
      <c r="AQ209" s="197"/>
      <c r="AR209" s="197"/>
      <c r="AS209" s="197"/>
    </row>
    <row r="210">
      <c r="A210" s="198" t="str">
        <f t="shared" si="1"/>
        <v>PP</v>
      </c>
      <c r="B210" s="198" t="s">
        <v>3132</v>
      </c>
      <c r="C210" s="198" t="s">
        <v>3074</v>
      </c>
      <c r="D210" s="199" t="s">
        <v>3133</v>
      </c>
      <c r="E210" s="198" t="s">
        <v>3129</v>
      </c>
      <c r="F210" s="198">
        <v>11.0</v>
      </c>
      <c r="G210" s="198">
        <v>2024.0</v>
      </c>
      <c r="H210" s="199">
        <v>2400035.0</v>
      </c>
      <c r="I210" s="207">
        <v>42768.0</v>
      </c>
      <c r="J210" s="199"/>
      <c r="K210" s="202"/>
      <c r="L210" s="202"/>
      <c r="M210" s="202"/>
      <c r="N210" s="202"/>
      <c r="O210" s="202"/>
      <c r="P210" s="202"/>
      <c r="Q210" s="202"/>
      <c r="R210" s="202"/>
      <c r="S210" s="202"/>
      <c r="T210" s="202"/>
      <c r="U210" s="198" t="s">
        <v>2712</v>
      </c>
      <c r="V210" s="199"/>
      <c r="W210" s="197"/>
      <c r="X210" s="197"/>
      <c r="Y210" s="199"/>
      <c r="Z210" s="199"/>
      <c r="AA210" s="204" t="str">
        <f t="shared" si="4"/>
        <v/>
      </c>
      <c r="AB210" s="205" t="s">
        <v>38</v>
      </c>
      <c r="AC210" s="199"/>
      <c r="AD210" s="199"/>
      <c r="AE210" s="199"/>
      <c r="AF210" s="199"/>
      <c r="AG210" s="199"/>
      <c r="AH210" s="199"/>
      <c r="AI210" s="199"/>
      <c r="AJ210" s="199"/>
      <c r="AK210" s="199"/>
      <c r="AL210" s="199"/>
      <c r="AM210" s="198" t="s">
        <v>2783</v>
      </c>
      <c r="AN210" s="197"/>
      <c r="AO210" s="197"/>
      <c r="AP210" s="197"/>
      <c r="AQ210" s="197"/>
      <c r="AR210" s="197"/>
      <c r="AS210" s="197"/>
    </row>
    <row r="211">
      <c r="A211" s="198" t="str">
        <f t="shared" si="1"/>
        <v>PP</v>
      </c>
      <c r="B211" s="198" t="s">
        <v>3134</v>
      </c>
      <c r="C211" s="198" t="s">
        <v>3074</v>
      </c>
      <c r="D211" s="199" t="s">
        <v>3135</v>
      </c>
      <c r="E211" s="198" t="s">
        <v>3129</v>
      </c>
      <c r="F211" s="198">
        <v>11.0</v>
      </c>
      <c r="G211" s="198">
        <v>2024.0</v>
      </c>
      <c r="H211" s="199">
        <v>2400036.0</v>
      </c>
      <c r="I211" s="207">
        <v>52920.0</v>
      </c>
      <c r="J211" s="199"/>
      <c r="K211" s="202"/>
      <c r="L211" s="202"/>
      <c r="M211" s="202"/>
      <c r="N211" s="202"/>
      <c r="O211" s="202"/>
      <c r="P211" s="202"/>
      <c r="Q211" s="202"/>
      <c r="R211" s="202"/>
      <c r="S211" s="202"/>
      <c r="T211" s="202"/>
      <c r="U211" s="198" t="s">
        <v>2712</v>
      </c>
      <c r="V211" s="199"/>
      <c r="W211" s="197"/>
      <c r="X211" s="197"/>
      <c r="Y211" s="199"/>
      <c r="Z211" s="199"/>
      <c r="AA211" s="204" t="str">
        <f t="shared" si="4"/>
        <v/>
      </c>
      <c r="AB211" s="205" t="s">
        <v>38</v>
      </c>
      <c r="AC211" s="199"/>
      <c r="AD211" s="199"/>
      <c r="AE211" s="199"/>
      <c r="AF211" s="199"/>
      <c r="AG211" s="199"/>
      <c r="AH211" s="199"/>
      <c r="AI211" s="199"/>
      <c r="AJ211" s="199"/>
      <c r="AK211" s="199"/>
      <c r="AL211" s="199"/>
      <c r="AM211" s="198" t="s">
        <v>2783</v>
      </c>
      <c r="AN211" s="197"/>
      <c r="AO211" s="197"/>
      <c r="AP211" s="197"/>
      <c r="AQ211" s="197"/>
      <c r="AR211" s="197"/>
      <c r="AS211" s="197"/>
    </row>
    <row r="212">
      <c r="A212" s="198" t="str">
        <f t="shared" si="1"/>
        <v>PP</v>
      </c>
      <c r="B212" s="198" t="s">
        <v>3136</v>
      </c>
      <c r="C212" s="198" t="s">
        <v>3137</v>
      </c>
      <c r="D212" s="199" t="s">
        <v>3138</v>
      </c>
      <c r="E212" s="215">
        <v>45577.0</v>
      </c>
      <c r="F212" s="198">
        <v>12.0</v>
      </c>
      <c r="G212" s="198">
        <v>2024.0</v>
      </c>
      <c r="H212" s="199"/>
      <c r="I212" s="207"/>
      <c r="J212" s="199"/>
      <c r="K212" s="202"/>
      <c r="L212" s="202"/>
      <c r="M212" s="202"/>
      <c r="N212" s="202"/>
      <c r="O212" s="202"/>
      <c r="P212" s="202"/>
      <c r="Q212" s="202"/>
      <c r="R212" s="202"/>
      <c r="S212" s="202"/>
      <c r="T212" s="202"/>
      <c r="U212" s="198"/>
      <c r="V212" s="199"/>
      <c r="W212" s="197"/>
      <c r="X212" s="197"/>
      <c r="Y212" s="199"/>
      <c r="Z212" s="199"/>
      <c r="AA212" s="204" t="str">
        <f t="shared" si="4"/>
        <v/>
      </c>
      <c r="AB212" s="205" t="s">
        <v>38</v>
      </c>
      <c r="AC212" s="199"/>
      <c r="AD212" s="199"/>
      <c r="AE212" s="199"/>
      <c r="AF212" s="199"/>
      <c r="AG212" s="199"/>
      <c r="AH212" s="199"/>
      <c r="AI212" s="199"/>
      <c r="AJ212" s="199"/>
      <c r="AK212" s="199"/>
      <c r="AL212" s="199"/>
      <c r="AM212" s="198" t="s">
        <v>2775</v>
      </c>
      <c r="AN212" s="197"/>
      <c r="AO212" s="197"/>
      <c r="AP212" s="197"/>
      <c r="AQ212" s="197"/>
      <c r="AR212" s="197"/>
      <c r="AS212" s="197"/>
    </row>
    <row r="213">
      <c r="A213" s="198" t="str">
        <f t="shared" si="1"/>
        <v>PP</v>
      </c>
      <c r="B213" s="198" t="s">
        <v>3139</v>
      </c>
      <c r="C213" s="198" t="s">
        <v>2999</v>
      </c>
      <c r="D213" s="199" t="s">
        <v>3140</v>
      </c>
      <c r="E213" s="198">
        <v>45577.0</v>
      </c>
      <c r="F213" s="198">
        <v>12.0</v>
      </c>
      <c r="G213" s="198">
        <v>2024.0</v>
      </c>
      <c r="H213" s="199">
        <v>2400037.0</v>
      </c>
      <c r="I213" s="207">
        <v>215304.4</v>
      </c>
      <c r="J213" s="199"/>
      <c r="K213" s="202"/>
      <c r="L213" s="202"/>
      <c r="M213" s="202"/>
      <c r="N213" s="202"/>
      <c r="O213" s="202"/>
      <c r="P213" s="202"/>
      <c r="Q213" s="202"/>
      <c r="R213" s="202"/>
      <c r="S213" s="202"/>
      <c r="T213" s="202"/>
      <c r="U213" s="198" t="s">
        <v>2712</v>
      </c>
      <c r="V213" s="199"/>
      <c r="W213" s="197"/>
      <c r="X213" s="197"/>
      <c r="Y213" s="199"/>
      <c r="Z213" s="199"/>
      <c r="AA213" s="204" t="str">
        <f t="shared" si="4"/>
        <v/>
      </c>
      <c r="AB213" s="205" t="s">
        <v>38</v>
      </c>
      <c r="AC213" s="199"/>
      <c r="AD213" s="199"/>
      <c r="AE213" s="199"/>
      <c r="AF213" s="199"/>
      <c r="AG213" s="199"/>
      <c r="AH213" s="199"/>
      <c r="AI213" s="199"/>
      <c r="AJ213" s="199"/>
      <c r="AK213" s="199"/>
      <c r="AL213" s="199"/>
      <c r="AM213" s="198" t="s">
        <v>2783</v>
      </c>
      <c r="AN213" s="197"/>
      <c r="AO213" s="197"/>
      <c r="AP213" s="197"/>
      <c r="AQ213" s="197"/>
      <c r="AR213" s="197"/>
      <c r="AS213" s="197"/>
    </row>
    <row r="214">
      <c r="A214" s="198" t="str">
        <f t="shared" si="1"/>
        <v>PP</v>
      </c>
      <c r="B214" s="198" t="s">
        <v>3141</v>
      </c>
      <c r="C214" s="198" t="s">
        <v>3142</v>
      </c>
      <c r="D214" s="199"/>
      <c r="E214" s="215">
        <v>45638.0</v>
      </c>
      <c r="F214" s="198">
        <v>12.0</v>
      </c>
      <c r="G214" s="198">
        <v>2024.0</v>
      </c>
      <c r="H214" s="199"/>
      <c r="I214" s="207"/>
      <c r="J214" s="199"/>
      <c r="K214" s="202"/>
      <c r="L214" s="202"/>
      <c r="M214" s="202"/>
      <c r="N214" s="202"/>
      <c r="O214" s="202"/>
      <c r="P214" s="202"/>
      <c r="Q214" s="202"/>
      <c r="R214" s="202"/>
      <c r="S214" s="202"/>
      <c r="T214" s="202"/>
      <c r="U214" s="198" t="s">
        <v>3026</v>
      </c>
      <c r="V214" s="199"/>
      <c r="W214" s="197"/>
      <c r="X214" s="197"/>
      <c r="Y214" s="199"/>
      <c r="Z214" s="199"/>
      <c r="AA214" s="204" t="str">
        <f t="shared" si="4"/>
        <v/>
      </c>
      <c r="AB214" s="205" t="s">
        <v>38</v>
      </c>
      <c r="AC214" s="199"/>
      <c r="AD214" s="199"/>
      <c r="AE214" s="199"/>
      <c r="AF214" s="199"/>
      <c r="AG214" s="199"/>
      <c r="AH214" s="199"/>
      <c r="AI214" s="199"/>
      <c r="AJ214" s="199"/>
      <c r="AK214" s="199"/>
      <c r="AL214" s="199"/>
      <c r="AM214" s="198" t="s">
        <v>2783</v>
      </c>
      <c r="AN214" s="197"/>
      <c r="AO214" s="197"/>
      <c r="AP214" s="197"/>
      <c r="AQ214" s="197"/>
      <c r="AR214" s="197"/>
      <c r="AS214" s="197"/>
    </row>
    <row r="215">
      <c r="A215" s="198" t="str">
        <f t="shared" si="1"/>
        <v>PP</v>
      </c>
      <c r="B215" s="198" t="s">
        <v>3143</v>
      </c>
      <c r="C215" s="198" t="s">
        <v>3144</v>
      </c>
      <c r="D215" s="199"/>
      <c r="E215" s="215">
        <v>45638.0</v>
      </c>
      <c r="F215" s="198">
        <v>12.0</v>
      </c>
      <c r="G215" s="198">
        <v>2024.0</v>
      </c>
      <c r="H215" s="199"/>
      <c r="I215" s="207"/>
      <c r="J215" s="199"/>
      <c r="K215" s="202"/>
      <c r="L215" s="202"/>
      <c r="M215" s="202"/>
      <c r="N215" s="202"/>
      <c r="O215" s="202"/>
      <c r="P215" s="202"/>
      <c r="Q215" s="202"/>
      <c r="R215" s="202"/>
      <c r="S215" s="202"/>
      <c r="T215" s="202"/>
      <c r="U215" s="198" t="s">
        <v>3026</v>
      </c>
      <c r="V215" s="199"/>
      <c r="W215" s="197"/>
      <c r="X215" s="197"/>
      <c r="Y215" s="199"/>
      <c r="Z215" s="199"/>
      <c r="AA215" s="204" t="str">
        <f t="shared" si="4"/>
        <v/>
      </c>
      <c r="AB215" s="205" t="s">
        <v>38</v>
      </c>
      <c r="AC215" s="199"/>
      <c r="AD215" s="199"/>
      <c r="AE215" s="199"/>
      <c r="AF215" s="199"/>
      <c r="AG215" s="199"/>
      <c r="AH215" s="199"/>
      <c r="AI215" s="199"/>
      <c r="AJ215" s="199"/>
      <c r="AK215" s="199"/>
      <c r="AL215" s="199"/>
      <c r="AM215" s="198" t="s">
        <v>2783</v>
      </c>
      <c r="AN215" s="197"/>
      <c r="AO215" s="197"/>
      <c r="AP215" s="197"/>
      <c r="AQ215" s="197"/>
      <c r="AR215" s="197"/>
      <c r="AS215" s="197"/>
    </row>
    <row r="216">
      <c r="A216" s="198" t="str">
        <f t="shared" si="1"/>
        <v>PP</v>
      </c>
      <c r="B216" s="198" t="s">
        <v>3145</v>
      </c>
      <c r="C216" s="198" t="s">
        <v>1612</v>
      </c>
      <c r="D216" s="199"/>
      <c r="E216" s="198">
        <v>45638.0</v>
      </c>
      <c r="F216" s="198">
        <v>12.0</v>
      </c>
      <c r="G216" s="198">
        <v>2024.0</v>
      </c>
      <c r="H216" s="199"/>
      <c r="I216" s="207"/>
      <c r="J216" s="199"/>
      <c r="K216" s="202"/>
      <c r="L216" s="202"/>
      <c r="M216" s="202"/>
      <c r="N216" s="202"/>
      <c r="O216" s="202"/>
      <c r="P216" s="202"/>
      <c r="Q216" s="202"/>
      <c r="R216" s="202"/>
      <c r="S216" s="202"/>
      <c r="T216" s="202"/>
      <c r="U216" s="198" t="s">
        <v>2712</v>
      </c>
      <c r="V216" s="199"/>
      <c r="W216" s="197"/>
      <c r="X216" s="197"/>
      <c r="Y216" s="199"/>
      <c r="Z216" s="199"/>
      <c r="AA216" s="204" t="str">
        <f t="shared" si="4"/>
        <v/>
      </c>
      <c r="AB216" s="205" t="s">
        <v>38</v>
      </c>
      <c r="AC216" s="199"/>
      <c r="AD216" s="199"/>
      <c r="AE216" s="199"/>
      <c r="AF216" s="199"/>
      <c r="AG216" s="199"/>
      <c r="AH216" s="199"/>
      <c r="AI216" s="199"/>
      <c r="AJ216" s="199"/>
      <c r="AK216" s="199"/>
      <c r="AL216" s="199"/>
      <c r="AM216" s="198" t="s">
        <v>2783</v>
      </c>
      <c r="AN216" s="197"/>
      <c r="AO216" s="197"/>
      <c r="AP216" s="197"/>
      <c r="AQ216" s="197"/>
      <c r="AR216" s="197"/>
      <c r="AS216" s="197"/>
    </row>
    <row r="217">
      <c r="A217" s="198" t="str">
        <f t="shared" si="1"/>
        <v>PP</v>
      </c>
      <c r="B217" s="198" t="s">
        <v>3146</v>
      </c>
      <c r="C217" s="198" t="s">
        <v>3147</v>
      </c>
      <c r="D217" s="199"/>
      <c r="E217" s="215">
        <v>45638.0</v>
      </c>
      <c r="F217" s="198">
        <v>12.0</v>
      </c>
      <c r="G217" s="198">
        <v>2024.0</v>
      </c>
      <c r="H217" s="199"/>
      <c r="I217" s="207"/>
      <c r="J217" s="199"/>
      <c r="K217" s="202"/>
      <c r="L217" s="202"/>
      <c r="M217" s="202"/>
      <c r="N217" s="202"/>
      <c r="O217" s="202"/>
      <c r="P217" s="202"/>
      <c r="Q217" s="202"/>
      <c r="R217" s="202"/>
      <c r="S217" s="202"/>
      <c r="T217" s="202"/>
      <c r="U217" s="198" t="s">
        <v>2712</v>
      </c>
      <c r="V217" s="199"/>
      <c r="W217" s="197"/>
      <c r="X217" s="197"/>
      <c r="Y217" s="199"/>
      <c r="Z217" s="199"/>
      <c r="AA217" s="204" t="str">
        <f t="shared" si="4"/>
        <v/>
      </c>
      <c r="AB217" s="205" t="s">
        <v>38</v>
      </c>
      <c r="AC217" s="199"/>
      <c r="AD217" s="199"/>
      <c r="AE217" s="199"/>
      <c r="AF217" s="199"/>
      <c r="AG217" s="199"/>
      <c r="AH217" s="199"/>
      <c r="AI217" s="199"/>
      <c r="AJ217" s="199"/>
      <c r="AK217" s="199"/>
      <c r="AL217" s="199"/>
      <c r="AM217" s="198" t="s">
        <v>2783</v>
      </c>
      <c r="AN217" s="197"/>
      <c r="AO217" s="197"/>
      <c r="AP217" s="197"/>
      <c r="AQ217" s="197"/>
      <c r="AR217" s="197"/>
      <c r="AS217" s="197"/>
    </row>
    <row r="218">
      <c r="A218" s="198" t="str">
        <f t="shared" si="1"/>
        <v>PP</v>
      </c>
      <c r="B218" s="198" t="s">
        <v>3148</v>
      </c>
      <c r="C218" s="198" t="s">
        <v>3149</v>
      </c>
      <c r="D218" s="199" t="s">
        <v>3150</v>
      </c>
      <c r="E218" s="198">
        <v>45644.0</v>
      </c>
      <c r="F218" s="198">
        <v>12.0</v>
      </c>
      <c r="G218" s="198">
        <v>2024.0</v>
      </c>
      <c r="H218" s="199"/>
      <c r="I218" s="207"/>
      <c r="J218" s="199"/>
      <c r="K218" s="202"/>
      <c r="L218" s="202"/>
      <c r="M218" s="202"/>
      <c r="N218" s="202"/>
      <c r="O218" s="202"/>
      <c r="P218" s="202"/>
      <c r="Q218" s="202"/>
      <c r="R218" s="202"/>
      <c r="S218" s="202"/>
      <c r="T218" s="202">
        <v>17873.6</v>
      </c>
      <c r="U218" s="198" t="s">
        <v>3026</v>
      </c>
      <c r="V218" s="199"/>
      <c r="W218" s="197"/>
      <c r="X218" s="197"/>
      <c r="Y218" s="199"/>
      <c r="Z218" s="199"/>
      <c r="AA218" s="204" t="str">
        <f t="shared" si="4"/>
        <v/>
      </c>
      <c r="AB218" s="205" t="s">
        <v>38</v>
      </c>
      <c r="AC218" s="199"/>
      <c r="AD218" s="199"/>
      <c r="AE218" s="199"/>
      <c r="AF218" s="199"/>
      <c r="AG218" s="199"/>
      <c r="AH218" s="199"/>
      <c r="AI218" s="199"/>
      <c r="AJ218" s="199"/>
      <c r="AK218" s="199"/>
      <c r="AL218" s="199"/>
      <c r="AM218" s="198" t="s">
        <v>2783</v>
      </c>
      <c r="AN218" s="197"/>
      <c r="AO218" s="197"/>
      <c r="AP218" s="197"/>
      <c r="AQ218" s="197"/>
      <c r="AR218" s="197"/>
      <c r="AS218" s="197"/>
    </row>
    <row r="219">
      <c r="A219" s="198" t="str">
        <f t="shared" si="1"/>
        <v>PP</v>
      </c>
      <c r="B219" s="198" t="s">
        <v>3151</v>
      </c>
      <c r="C219" s="198" t="s">
        <v>81</v>
      </c>
      <c r="D219" s="199" t="s">
        <v>3015</v>
      </c>
      <c r="E219" s="215">
        <v>45648.0</v>
      </c>
      <c r="F219" s="198">
        <v>12.0</v>
      </c>
      <c r="G219" s="198">
        <v>2024.0</v>
      </c>
      <c r="H219" s="199">
        <v>2400038.0</v>
      </c>
      <c r="I219" s="207">
        <v>328209.54</v>
      </c>
      <c r="J219" s="199"/>
      <c r="K219" s="202"/>
      <c r="L219" s="202"/>
      <c r="M219" s="202"/>
      <c r="N219" s="202"/>
      <c r="O219" s="202"/>
      <c r="P219" s="202"/>
      <c r="Q219" s="202"/>
      <c r="R219" s="202"/>
      <c r="S219" s="202"/>
      <c r="T219" s="202"/>
      <c r="U219" s="198" t="s">
        <v>3026</v>
      </c>
      <c r="V219" s="199"/>
      <c r="W219" s="197"/>
      <c r="X219" s="197"/>
      <c r="Y219" s="199"/>
      <c r="Z219" s="199"/>
      <c r="AA219" s="204" t="str">
        <f t="shared" si="4"/>
        <v/>
      </c>
      <c r="AB219" s="205" t="s">
        <v>38</v>
      </c>
      <c r="AC219" s="199"/>
      <c r="AD219" s="199"/>
      <c r="AE219" s="199"/>
      <c r="AF219" s="199"/>
      <c r="AG219" s="199"/>
      <c r="AH219" s="199"/>
      <c r="AI219" s="199"/>
      <c r="AJ219" s="199"/>
      <c r="AK219" s="199"/>
      <c r="AL219" s="199"/>
      <c r="AM219" s="198" t="s">
        <v>2783</v>
      </c>
      <c r="AN219" s="197"/>
      <c r="AO219" s="197"/>
      <c r="AP219" s="197"/>
      <c r="AQ219" s="197"/>
      <c r="AR219" s="197"/>
      <c r="AS219" s="197"/>
    </row>
    <row r="220">
      <c r="A220" s="198" t="str">
        <f t="shared" si="1"/>
        <v>PP</v>
      </c>
      <c r="B220" s="198" t="s">
        <v>3152</v>
      </c>
      <c r="C220" s="198" t="s">
        <v>81</v>
      </c>
      <c r="D220" s="199" t="s">
        <v>3153</v>
      </c>
      <c r="E220" s="215">
        <v>45648.0</v>
      </c>
      <c r="F220" s="198">
        <v>12.0</v>
      </c>
      <c r="G220" s="198">
        <v>2024.0</v>
      </c>
      <c r="H220" s="199">
        <v>2400039.0</v>
      </c>
      <c r="I220" s="207">
        <v>242179.2</v>
      </c>
      <c r="J220" s="199"/>
      <c r="K220" s="202"/>
      <c r="L220" s="202"/>
      <c r="M220" s="202"/>
      <c r="N220" s="202"/>
      <c r="O220" s="202"/>
      <c r="P220" s="202"/>
      <c r="Q220" s="202"/>
      <c r="R220" s="202"/>
      <c r="S220" s="202"/>
      <c r="T220" s="202"/>
      <c r="U220" s="198" t="s">
        <v>3026</v>
      </c>
      <c r="V220" s="199"/>
      <c r="W220" s="197"/>
      <c r="X220" s="197"/>
      <c r="Y220" s="199"/>
      <c r="Z220" s="199"/>
      <c r="AA220" s="204" t="str">
        <f t="shared" si="4"/>
        <v/>
      </c>
      <c r="AB220" s="205" t="s">
        <v>38</v>
      </c>
      <c r="AC220" s="199"/>
      <c r="AD220" s="199"/>
      <c r="AE220" s="199"/>
      <c r="AF220" s="199"/>
      <c r="AG220" s="199"/>
      <c r="AH220" s="199"/>
      <c r="AI220" s="199"/>
      <c r="AJ220" s="199"/>
      <c r="AK220" s="199"/>
      <c r="AL220" s="199"/>
      <c r="AM220" s="198" t="s">
        <v>2783</v>
      </c>
      <c r="AN220" s="197"/>
      <c r="AO220" s="197"/>
      <c r="AP220" s="197"/>
      <c r="AQ220" s="197"/>
      <c r="AR220" s="197"/>
      <c r="AS220" s="197"/>
    </row>
    <row r="221">
      <c r="A221" s="198" t="str">
        <f t="shared" si="1"/>
        <v>PP</v>
      </c>
      <c r="B221" s="198" t="s">
        <v>3154</v>
      </c>
      <c r="C221" s="198" t="s">
        <v>3155</v>
      </c>
      <c r="D221" s="199" t="s">
        <v>3156</v>
      </c>
      <c r="E221" s="198">
        <v>45648.0</v>
      </c>
      <c r="F221" s="198">
        <v>12.0</v>
      </c>
      <c r="G221" s="198">
        <v>2024.0</v>
      </c>
      <c r="H221" s="199"/>
      <c r="I221" s="207"/>
      <c r="J221" s="199"/>
      <c r="K221" s="202"/>
      <c r="L221" s="202"/>
      <c r="M221" s="202"/>
      <c r="N221" s="202"/>
      <c r="O221" s="202"/>
      <c r="P221" s="202"/>
      <c r="Q221" s="202"/>
      <c r="R221" s="202"/>
      <c r="S221" s="202"/>
      <c r="T221" s="202"/>
      <c r="U221" s="198" t="s">
        <v>2710</v>
      </c>
      <c r="V221" s="199"/>
      <c r="W221" s="197"/>
      <c r="X221" s="197"/>
      <c r="Y221" s="199"/>
      <c r="Z221" s="199"/>
      <c r="AA221" s="204" t="str">
        <f t="shared" si="4"/>
        <v/>
      </c>
      <c r="AB221" s="205" t="s">
        <v>2994</v>
      </c>
      <c r="AC221" s="199"/>
      <c r="AD221" s="199"/>
      <c r="AE221" s="199"/>
      <c r="AF221" s="199"/>
      <c r="AG221" s="199"/>
      <c r="AH221" s="199"/>
      <c r="AI221" s="199"/>
      <c r="AJ221" s="199"/>
      <c r="AK221" s="199"/>
      <c r="AL221" s="199"/>
      <c r="AM221" s="198" t="s">
        <v>2783</v>
      </c>
      <c r="AN221" s="197"/>
      <c r="AO221" s="197"/>
      <c r="AP221" s="197"/>
      <c r="AQ221" s="197"/>
      <c r="AR221" s="197"/>
      <c r="AS221" s="197"/>
    </row>
    <row r="222">
      <c r="A222" s="198" t="str">
        <f t="shared" si="1"/>
        <v>PP</v>
      </c>
      <c r="B222" s="198" t="s">
        <v>3157</v>
      </c>
      <c r="C222" s="198" t="s">
        <v>2812</v>
      </c>
      <c r="D222" s="199"/>
      <c r="E222" s="215">
        <v>45658.0</v>
      </c>
      <c r="F222" s="198">
        <v>1.0</v>
      </c>
      <c r="G222" s="198">
        <v>2025.0</v>
      </c>
      <c r="H222" s="199"/>
      <c r="I222" s="207"/>
      <c r="J222" s="199"/>
      <c r="K222" s="206"/>
      <c r="L222" s="206"/>
      <c r="M222" s="206"/>
      <c r="N222" s="206"/>
      <c r="O222" s="206"/>
      <c r="P222" s="206"/>
      <c r="Q222" s="206"/>
      <c r="R222" s="206"/>
      <c r="S222" s="206"/>
      <c r="T222" s="206">
        <v>407901.0</v>
      </c>
      <c r="U222" s="198" t="s">
        <v>2712</v>
      </c>
      <c r="V222" s="199"/>
      <c r="W222" s="197"/>
      <c r="X222" s="197"/>
      <c r="Y222" s="199"/>
      <c r="Z222" s="199"/>
      <c r="AA222" s="204" t="str">
        <f t="shared" si="4"/>
        <v/>
      </c>
      <c r="AB222" s="205" t="s">
        <v>38</v>
      </c>
      <c r="AC222" s="199"/>
      <c r="AD222" s="199"/>
      <c r="AE222" s="199"/>
      <c r="AF222" s="199"/>
      <c r="AG222" s="199"/>
      <c r="AH222" s="199"/>
      <c r="AI222" s="199"/>
      <c r="AJ222" s="199"/>
      <c r="AK222" s="199"/>
      <c r="AL222" s="199"/>
      <c r="AM222" s="198" t="s">
        <v>2783</v>
      </c>
      <c r="AN222" s="197"/>
      <c r="AO222" s="197"/>
      <c r="AP222" s="197"/>
      <c r="AQ222" s="197"/>
      <c r="AR222" s="197"/>
      <c r="AS222" s="197"/>
    </row>
    <row r="223">
      <c r="A223" s="198" t="str">
        <f t="shared" si="1"/>
        <v>PP</v>
      </c>
      <c r="B223" s="198" t="s">
        <v>3159</v>
      </c>
      <c r="C223" s="198" t="s">
        <v>143</v>
      </c>
      <c r="D223" s="199"/>
      <c r="E223" s="198" t="s">
        <v>3158</v>
      </c>
      <c r="F223" s="198">
        <v>1.0</v>
      </c>
      <c r="G223" s="198">
        <v>2025.0</v>
      </c>
      <c r="H223" s="199"/>
      <c r="I223" s="207"/>
      <c r="J223" s="199"/>
      <c r="K223" s="202"/>
      <c r="L223" s="202"/>
      <c r="M223" s="202"/>
      <c r="N223" s="202"/>
      <c r="O223" s="202"/>
      <c r="P223" s="202"/>
      <c r="Q223" s="202"/>
      <c r="R223" s="202"/>
      <c r="S223" s="202"/>
      <c r="T223" s="202"/>
      <c r="U223" s="198" t="s">
        <v>3026</v>
      </c>
      <c r="V223" s="199"/>
      <c r="W223" s="197"/>
      <c r="X223" s="197"/>
      <c r="Y223" s="199"/>
      <c r="Z223" s="199"/>
      <c r="AA223" s="204" t="str">
        <f t="shared" si="4"/>
        <v/>
      </c>
      <c r="AB223" s="198" t="s">
        <v>2781</v>
      </c>
      <c r="AC223" s="199"/>
      <c r="AD223" s="199"/>
      <c r="AE223" s="199"/>
      <c r="AF223" s="199"/>
      <c r="AG223" s="199"/>
      <c r="AH223" s="199"/>
      <c r="AI223" s="199"/>
      <c r="AJ223" s="199"/>
      <c r="AK223" s="199"/>
      <c r="AL223" s="199"/>
      <c r="AM223" s="198" t="s">
        <v>2783</v>
      </c>
      <c r="AN223" s="197"/>
      <c r="AO223" s="197"/>
      <c r="AP223" s="197"/>
      <c r="AQ223" s="197"/>
      <c r="AR223" s="197"/>
      <c r="AS223" s="197"/>
    </row>
    <row r="224">
      <c r="A224" s="198" t="str">
        <f t="shared" si="1"/>
        <v>PP</v>
      </c>
      <c r="B224" s="198" t="s">
        <v>3160</v>
      </c>
      <c r="C224" s="198" t="s">
        <v>143</v>
      </c>
      <c r="D224" s="199"/>
      <c r="E224" s="198" t="s">
        <v>3158</v>
      </c>
      <c r="F224" s="198">
        <v>1.0</v>
      </c>
      <c r="G224" s="198">
        <v>2025.0</v>
      </c>
      <c r="H224" s="199"/>
      <c r="I224" s="207"/>
      <c r="J224" s="199"/>
      <c r="K224" s="202"/>
      <c r="L224" s="202"/>
      <c r="M224" s="202"/>
      <c r="N224" s="202"/>
      <c r="O224" s="202"/>
      <c r="P224" s="202"/>
      <c r="Q224" s="202"/>
      <c r="R224" s="202"/>
      <c r="S224" s="202"/>
      <c r="T224" s="202"/>
      <c r="U224" s="198" t="s">
        <v>3026</v>
      </c>
      <c r="V224" s="199"/>
      <c r="W224" s="197"/>
      <c r="X224" s="197"/>
      <c r="Y224" s="199"/>
      <c r="Z224" s="199"/>
      <c r="AA224" s="204" t="str">
        <f t="shared" si="4"/>
        <v/>
      </c>
      <c r="AB224" s="198" t="s">
        <v>2781</v>
      </c>
      <c r="AC224" s="199"/>
      <c r="AD224" s="199"/>
      <c r="AE224" s="199"/>
      <c r="AF224" s="199"/>
      <c r="AG224" s="199"/>
      <c r="AH224" s="199"/>
      <c r="AI224" s="199"/>
      <c r="AJ224" s="199"/>
      <c r="AK224" s="199"/>
      <c r="AL224" s="199"/>
      <c r="AM224" s="198" t="s">
        <v>2783</v>
      </c>
      <c r="AN224" s="197"/>
      <c r="AO224" s="197"/>
      <c r="AP224" s="197"/>
      <c r="AQ224" s="197"/>
      <c r="AR224" s="197"/>
      <c r="AS224" s="197"/>
    </row>
    <row r="225">
      <c r="A225" s="198" t="str">
        <f t="shared" si="1"/>
        <v>PP</v>
      </c>
      <c r="B225" s="198" t="s">
        <v>3161</v>
      </c>
      <c r="C225" s="198" t="s">
        <v>143</v>
      </c>
      <c r="D225" s="199"/>
      <c r="E225" s="198" t="s">
        <v>3158</v>
      </c>
      <c r="F225" s="198">
        <v>1.0</v>
      </c>
      <c r="G225" s="198">
        <v>2025.0</v>
      </c>
      <c r="H225" s="199"/>
      <c r="I225" s="207"/>
      <c r="J225" s="199"/>
      <c r="K225" s="202"/>
      <c r="L225" s="202"/>
      <c r="M225" s="202"/>
      <c r="N225" s="202"/>
      <c r="O225" s="202"/>
      <c r="P225" s="202"/>
      <c r="Q225" s="202"/>
      <c r="R225" s="202"/>
      <c r="S225" s="202"/>
      <c r="T225" s="202"/>
      <c r="U225" s="198" t="s">
        <v>3026</v>
      </c>
      <c r="V225" s="199"/>
      <c r="W225" s="197"/>
      <c r="X225" s="197"/>
      <c r="Y225" s="199"/>
      <c r="Z225" s="199"/>
      <c r="AA225" s="204" t="str">
        <f t="shared" si="4"/>
        <v/>
      </c>
      <c r="AB225" s="198" t="s">
        <v>2781</v>
      </c>
      <c r="AC225" s="199"/>
      <c r="AD225" s="199"/>
      <c r="AE225" s="199"/>
      <c r="AF225" s="199"/>
      <c r="AG225" s="199"/>
      <c r="AH225" s="199"/>
      <c r="AI225" s="199"/>
      <c r="AJ225" s="199"/>
      <c r="AK225" s="199"/>
      <c r="AL225" s="199"/>
      <c r="AM225" s="198" t="s">
        <v>2783</v>
      </c>
      <c r="AN225" s="197"/>
      <c r="AO225" s="197"/>
      <c r="AP225" s="197"/>
      <c r="AQ225" s="197"/>
      <c r="AR225" s="197"/>
      <c r="AS225" s="197"/>
    </row>
    <row r="226">
      <c r="A226" s="198" t="str">
        <f t="shared" si="1"/>
        <v>PP</v>
      </c>
      <c r="B226" s="198" t="s">
        <v>3162</v>
      </c>
      <c r="C226" s="198" t="s">
        <v>259</v>
      </c>
      <c r="D226" s="199"/>
      <c r="E226" s="215">
        <v>45674.0</v>
      </c>
      <c r="F226" s="198">
        <v>1.0</v>
      </c>
      <c r="G226" s="198">
        <v>2025.0</v>
      </c>
      <c r="H226" s="199"/>
      <c r="I226" s="207"/>
      <c r="J226" s="199"/>
      <c r="K226" s="202"/>
      <c r="L226" s="202"/>
      <c r="M226" s="202"/>
      <c r="N226" s="202"/>
      <c r="O226" s="202"/>
      <c r="P226" s="202"/>
      <c r="Q226" s="202"/>
      <c r="R226" s="202"/>
      <c r="S226" s="202"/>
      <c r="T226" s="202"/>
      <c r="U226" s="198" t="s">
        <v>3026</v>
      </c>
      <c r="V226" s="199"/>
      <c r="W226" s="197"/>
      <c r="X226" s="197"/>
      <c r="Y226" s="199"/>
      <c r="Z226" s="199"/>
      <c r="AA226" s="204" t="str">
        <f t="shared" si="4"/>
        <v/>
      </c>
      <c r="AB226" s="205" t="s">
        <v>38</v>
      </c>
      <c r="AC226" s="199"/>
      <c r="AD226" s="199"/>
      <c r="AE226" s="199"/>
      <c r="AF226" s="199"/>
      <c r="AG226" s="199"/>
      <c r="AH226" s="199"/>
      <c r="AI226" s="199"/>
      <c r="AJ226" s="199"/>
      <c r="AK226" s="199"/>
      <c r="AL226" s="199"/>
      <c r="AM226" s="198" t="s">
        <v>2783</v>
      </c>
      <c r="AN226" s="197"/>
      <c r="AO226" s="197"/>
      <c r="AP226" s="197"/>
      <c r="AQ226" s="197"/>
      <c r="AR226" s="197"/>
      <c r="AS226" s="197"/>
    </row>
    <row r="227">
      <c r="A227" s="198" t="str">
        <f t="shared" si="1"/>
        <v>PP</v>
      </c>
      <c r="B227" s="198" t="s">
        <v>3163</v>
      </c>
      <c r="C227" s="198" t="s">
        <v>3164</v>
      </c>
      <c r="D227" s="199"/>
      <c r="E227" s="215"/>
      <c r="F227" s="198"/>
      <c r="G227" s="198"/>
      <c r="H227" s="199"/>
      <c r="I227" s="207"/>
      <c r="J227" s="199"/>
      <c r="K227" s="202"/>
      <c r="L227" s="202"/>
      <c r="M227" s="202"/>
      <c r="N227" s="202"/>
      <c r="O227" s="202"/>
      <c r="P227" s="202"/>
      <c r="Q227" s="202"/>
      <c r="R227" s="202"/>
      <c r="S227" s="202"/>
      <c r="T227" s="202"/>
      <c r="U227" s="198"/>
      <c r="V227" s="199"/>
      <c r="W227" s="197"/>
      <c r="X227" s="197"/>
      <c r="Y227" s="199"/>
      <c r="Z227" s="216">
        <v>45716.0</v>
      </c>
      <c r="AA227" s="204" t="str">
        <f t="shared" si="4"/>
        <v>Expected Arrived</v>
      </c>
      <c r="AB227" s="205" t="s">
        <v>38</v>
      </c>
      <c r="AC227" s="199"/>
      <c r="AD227" s="199"/>
      <c r="AE227" s="199"/>
      <c r="AF227" s="199"/>
      <c r="AG227" s="199"/>
      <c r="AH227" s="199"/>
      <c r="AI227" s="199"/>
      <c r="AJ227" s="199"/>
      <c r="AK227" s="199"/>
      <c r="AL227" s="199"/>
      <c r="AM227" s="198" t="s">
        <v>2775</v>
      </c>
      <c r="AN227" s="197"/>
      <c r="AO227" s="197"/>
      <c r="AP227" s="197"/>
      <c r="AQ227" s="197"/>
      <c r="AR227" s="197"/>
      <c r="AS227" s="197"/>
    </row>
    <row r="228">
      <c r="A228" s="198" t="str">
        <f t="shared" si="1"/>
        <v>PP</v>
      </c>
      <c r="B228" s="198" t="s">
        <v>3166</v>
      </c>
      <c r="C228" s="198" t="s">
        <v>40</v>
      </c>
      <c r="D228" s="199" t="s">
        <v>3168</v>
      </c>
      <c r="E228" s="215"/>
      <c r="F228" s="198"/>
      <c r="G228" s="198"/>
      <c r="H228" s="199"/>
      <c r="I228" s="207"/>
      <c r="J228" s="199"/>
      <c r="K228" s="202"/>
      <c r="L228" s="202"/>
      <c r="M228" s="202"/>
      <c r="N228" s="202"/>
      <c r="O228" s="202"/>
      <c r="P228" s="202"/>
      <c r="Q228" s="202"/>
      <c r="R228" s="202"/>
      <c r="S228" s="202"/>
      <c r="T228" s="202"/>
      <c r="U228" s="198"/>
      <c r="V228" s="199"/>
      <c r="W228" s="197"/>
      <c r="X228" s="197"/>
      <c r="Y228" s="199"/>
      <c r="Z228" s="216">
        <v>45717.0</v>
      </c>
      <c r="AA228" s="204" t="str">
        <f t="shared" si="4"/>
        <v>Expected Arrived</v>
      </c>
      <c r="AB228" s="205" t="s">
        <v>38</v>
      </c>
      <c r="AC228" s="199"/>
      <c r="AD228" s="199"/>
      <c r="AE228" s="199"/>
      <c r="AF228" s="199"/>
      <c r="AG228" s="199"/>
      <c r="AH228" s="199"/>
      <c r="AI228" s="199"/>
      <c r="AJ228" s="199"/>
      <c r="AK228" s="199"/>
      <c r="AL228" s="199"/>
      <c r="AM228" s="198" t="s">
        <v>2783</v>
      </c>
      <c r="AN228" s="197"/>
      <c r="AO228" s="197"/>
      <c r="AP228" s="197"/>
      <c r="AQ228" s="197"/>
      <c r="AR228" s="197"/>
      <c r="AS228" s="197"/>
    </row>
    <row r="229">
      <c r="A229" s="198" t="str">
        <f t="shared" si="1"/>
        <v>PP</v>
      </c>
      <c r="B229" s="198" t="s">
        <v>3169</v>
      </c>
      <c r="C229" s="198" t="s">
        <v>59</v>
      </c>
      <c r="D229" s="199" t="s">
        <v>3044</v>
      </c>
      <c r="E229" s="215">
        <v>45779.0</v>
      </c>
      <c r="F229" s="198">
        <v>2.0</v>
      </c>
      <c r="G229" s="198">
        <v>2025.0</v>
      </c>
      <c r="H229" s="199"/>
      <c r="I229" s="207"/>
      <c r="J229" s="199"/>
      <c r="K229" s="206"/>
      <c r="L229" s="206"/>
      <c r="M229" s="206"/>
      <c r="N229" s="206"/>
      <c r="O229" s="206"/>
      <c r="P229" s="206"/>
      <c r="Q229" s="206"/>
      <c r="R229" s="206"/>
      <c r="S229" s="206"/>
      <c r="T229" s="206">
        <v>29208.12</v>
      </c>
      <c r="U229" s="198" t="s">
        <v>3026</v>
      </c>
      <c r="V229" s="199"/>
      <c r="W229" s="197"/>
      <c r="X229" s="197"/>
      <c r="Y229" s="199"/>
      <c r="Z229" s="199"/>
      <c r="AA229" s="204" t="str">
        <f t="shared" si="4"/>
        <v/>
      </c>
      <c r="AB229" s="205" t="s">
        <v>38</v>
      </c>
      <c r="AC229" s="199"/>
      <c r="AD229" s="199"/>
      <c r="AE229" s="199"/>
      <c r="AF229" s="199"/>
      <c r="AG229" s="199"/>
      <c r="AH229" s="199"/>
      <c r="AI229" s="199"/>
      <c r="AJ229" s="199"/>
      <c r="AK229" s="199"/>
      <c r="AL229" s="199"/>
      <c r="AM229" s="198" t="s">
        <v>2783</v>
      </c>
      <c r="AN229" s="197"/>
      <c r="AO229" s="197"/>
      <c r="AP229" s="197"/>
      <c r="AQ229" s="197"/>
      <c r="AR229" s="197"/>
      <c r="AS229" s="197"/>
    </row>
    <row r="230">
      <c r="A230" s="198" t="str">
        <f t="shared" si="1"/>
        <v>PP</v>
      </c>
      <c r="B230" s="198" t="s">
        <v>3170</v>
      </c>
      <c r="C230" s="198" t="s">
        <v>59</v>
      </c>
      <c r="D230" s="199" t="s">
        <v>3172</v>
      </c>
      <c r="E230" s="215">
        <v>45694.0</v>
      </c>
      <c r="F230" s="198">
        <v>2.0</v>
      </c>
      <c r="G230" s="198">
        <v>2025.0</v>
      </c>
      <c r="H230" s="199"/>
      <c r="I230" s="207"/>
      <c r="J230" s="199"/>
      <c r="K230" s="202"/>
      <c r="L230" s="202"/>
      <c r="M230" s="202"/>
      <c r="N230" s="202"/>
      <c r="O230" s="202"/>
      <c r="P230" s="202"/>
      <c r="Q230" s="202"/>
      <c r="R230" s="202"/>
      <c r="S230" s="202"/>
      <c r="T230" s="202">
        <v>157766.0</v>
      </c>
      <c r="U230" s="198" t="s">
        <v>3026</v>
      </c>
      <c r="V230" s="199"/>
      <c r="W230" s="197"/>
      <c r="X230" s="197"/>
      <c r="Y230" s="199"/>
      <c r="Z230" s="216">
        <v>45717.0</v>
      </c>
      <c r="AA230" s="204" t="str">
        <f t="shared" si="4"/>
        <v>Expected Arrived</v>
      </c>
      <c r="AB230" s="205" t="s">
        <v>38</v>
      </c>
      <c r="AC230" s="199"/>
      <c r="AD230" s="199"/>
      <c r="AE230" s="199"/>
      <c r="AF230" s="199"/>
      <c r="AG230" s="199"/>
      <c r="AH230" s="199"/>
      <c r="AI230" s="199"/>
      <c r="AJ230" s="199"/>
      <c r="AK230" s="199"/>
      <c r="AL230" s="199"/>
      <c r="AM230" s="198" t="s">
        <v>2783</v>
      </c>
      <c r="AN230" s="197"/>
      <c r="AO230" s="197"/>
      <c r="AP230" s="197"/>
      <c r="AQ230" s="197"/>
      <c r="AR230" s="197"/>
      <c r="AS230" s="197"/>
    </row>
    <row r="231">
      <c r="A231" s="198" t="str">
        <f t="shared" si="1"/>
        <v>PP</v>
      </c>
      <c r="B231" s="198" t="s">
        <v>3173</v>
      </c>
      <c r="C231" s="198" t="s">
        <v>105</v>
      </c>
      <c r="D231" s="199" t="s">
        <v>3174</v>
      </c>
      <c r="E231" s="215">
        <v>45993.0</v>
      </c>
      <c r="F231" s="198">
        <v>2.0</v>
      </c>
      <c r="G231" s="198">
        <v>2025.0</v>
      </c>
      <c r="H231" s="199"/>
      <c r="I231" s="207"/>
      <c r="J231" s="199"/>
      <c r="K231" s="202"/>
      <c r="L231" s="202"/>
      <c r="M231" s="202"/>
      <c r="N231" s="202"/>
      <c r="O231" s="202"/>
      <c r="P231" s="202"/>
      <c r="Q231" s="202"/>
      <c r="R231" s="202"/>
      <c r="S231" s="202"/>
      <c r="T231" s="202">
        <v>176281.4</v>
      </c>
      <c r="U231" s="198" t="s">
        <v>3026</v>
      </c>
      <c r="V231" s="199"/>
      <c r="W231" s="197"/>
      <c r="X231" s="197"/>
      <c r="Y231" s="199"/>
      <c r="Z231" s="199"/>
      <c r="AA231" s="204" t="str">
        <f t="shared" si="4"/>
        <v/>
      </c>
      <c r="AB231" s="205" t="s">
        <v>2994</v>
      </c>
      <c r="AC231" s="199"/>
      <c r="AD231" s="199"/>
      <c r="AE231" s="199"/>
      <c r="AF231" s="199"/>
      <c r="AG231" s="199"/>
      <c r="AH231" s="199"/>
      <c r="AI231" s="199"/>
      <c r="AJ231" s="199"/>
      <c r="AK231" s="199"/>
      <c r="AL231" s="199"/>
      <c r="AM231" s="198" t="s">
        <v>2783</v>
      </c>
      <c r="AN231" s="197"/>
      <c r="AO231" s="197"/>
      <c r="AP231" s="197"/>
      <c r="AQ231" s="197"/>
      <c r="AR231" s="197"/>
      <c r="AS231" s="197"/>
    </row>
    <row r="232">
      <c r="A232" s="198" t="str">
        <f t="shared" si="1"/>
        <v>PP</v>
      </c>
      <c r="B232" s="198" t="s">
        <v>3175</v>
      </c>
      <c r="C232" s="198" t="s">
        <v>3176</v>
      </c>
      <c r="D232" s="199"/>
      <c r="E232" s="215">
        <v>45705.0</v>
      </c>
      <c r="F232" s="198">
        <v>2.0</v>
      </c>
      <c r="G232" s="198">
        <v>2025.0</v>
      </c>
      <c r="H232" s="199"/>
      <c r="I232" s="207"/>
      <c r="J232" s="199"/>
      <c r="K232" s="202"/>
      <c r="L232" s="202"/>
      <c r="M232" s="202"/>
      <c r="N232" s="202"/>
      <c r="O232" s="202"/>
      <c r="P232" s="202"/>
      <c r="Q232" s="202"/>
      <c r="R232" s="202"/>
      <c r="S232" s="202"/>
      <c r="T232" s="202"/>
      <c r="U232" s="198"/>
      <c r="V232" s="199"/>
      <c r="W232" s="197"/>
      <c r="X232" s="197"/>
      <c r="Y232" s="199"/>
      <c r="Z232" s="199"/>
      <c r="AA232" s="204" t="str">
        <f t="shared" si="4"/>
        <v/>
      </c>
      <c r="AB232" s="205" t="s">
        <v>38</v>
      </c>
      <c r="AC232" s="199"/>
      <c r="AD232" s="199"/>
      <c r="AE232" s="199"/>
      <c r="AF232" s="199"/>
      <c r="AG232" s="199"/>
      <c r="AH232" s="199"/>
      <c r="AI232" s="199"/>
      <c r="AJ232" s="199"/>
      <c r="AK232" s="199"/>
      <c r="AL232" s="199"/>
      <c r="AM232" s="198" t="s">
        <v>2775</v>
      </c>
      <c r="AN232" s="197"/>
      <c r="AO232" s="197"/>
      <c r="AP232" s="197"/>
      <c r="AQ232" s="197"/>
      <c r="AR232" s="197"/>
      <c r="AS232" s="197"/>
    </row>
    <row r="233">
      <c r="A233" s="198" t="str">
        <f t="shared" si="1"/>
        <v>PP</v>
      </c>
      <c r="B233" s="198" t="s">
        <v>3177</v>
      </c>
      <c r="C233" s="198" t="s">
        <v>3178</v>
      </c>
      <c r="D233" s="199"/>
      <c r="E233" s="215">
        <v>45705.0</v>
      </c>
      <c r="F233" s="198">
        <v>2.0</v>
      </c>
      <c r="G233" s="198">
        <v>2025.0</v>
      </c>
      <c r="H233" s="199"/>
      <c r="I233" s="207"/>
      <c r="J233" s="199"/>
      <c r="K233" s="206"/>
      <c r="L233" s="206"/>
      <c r="M233" s="206"/>
      <c r="N233" s="206"/>
      <c r="O233" s="206"/>
      <c r="P233" s="206"/>
      <c r="Q233" s="206"/>
      <c r="R233" s="206"/>
      <c r="S233" s="206"/>
      <c r="T233" s="206">
        <v>184884.0</v>
      </c>
      <c r="U233" s="198" t="s">
        <v>2712</v>
      </c>
      <c r="V233" s="199"/>
      <c r="W233" s="197"/>
      <c r="X233" s="197"/>
      <c r="Y233" s="199"/>
      <c r="Z233" s="199"/>
      <c r="AA233" s="204" t="str">
        <f t="shared" si="4"/>
        <v/>
      </c>
      <c r="AB233" s="205" t="s">
        <v>2781</v>
      </c>
      <c r="AC233" s="203" t="s">
        <v>3179</v>
      </c>
      <c r="AD233" s="199"/>
      <c r="AE233" s="199"/>
      <c r="AF233" s="199"/>
      <c r="AG233" s="199"/>
      <c r="AH233" s="199"/>
      <c r="AI233" s="199"/>
      <c r="AJ233" s="199"/>
      <c r="AK233" s="199"/>
      <c r="AL233" s="199"/>
      <c r="AM233" s="198" t="s">
        <v>3180</v>
      </c>
      <c r="AN233" s="197"/>
      <c r="AO233" s="197"/>
      <c r="AP233" s="197"/>
      <c r="AQ233" s="197"/>
      <c r="AR233" s="197"/>
      <c r="AS233" s="197"/>
    </row>
    <row r="234">
      <c r="A234" s="198" t="str">
        <f t="shared" si="1"/>
        <v>PP</v>
      </c>
      <c r="B234" s="198" t="s">
        <v>3181</v>
      </c>
      <c r="C234" s="198" t="s">
        <v>3137</v>
      </c>
      <c r="D234" s="199"/>
      <c r="E234" s="215">
        <v>45719.0</v>
      </c>
      <c r="F234" s="198">
        <v>3.0</v>
      </c>
      <c r="G234" s="198">
        <v>2025.0</v>
      </c>
      <c r="H234" s="199"/>
      <c r="I234" s="207"/>
      <c r="J234" s="199"/>
      <c r="K234" s="202"/>
      <c r="L234" s="202"/>
      <c r="M234" s="202"/>
      <c r="N234" s="202"/>
      <c r="O234" s="202"/>
      <c r="P234" s="202"/>
      <c r="Q234" s="202"/>
      <c r="R234" s="202"/>
      <c r="S234" s="202"/>
      <c r="T234" s="202">
        <v>686317.23</v>
      </c>
      <c r="U234" s="198" t="s">
        <v>3182</v>
      </c>
      <c r="V234" s="199"/>
      <c r="W234" s="197"/>
      <c r="X234" s="197"/>
      <c r="Y234" s="199"/>
      <c r="Z234" s="199"/>
      <c r="AA234" s="204" t="str">
        <f t="shared" si="4"/>
        <v/>
      </c>
      <c r="AB234" s="205" t="s">
        <v>38</v>
      </c>
      <c r="AC234" s="199"/>
      <c r="AD234" s="199"/>
      <c r="AE234" s="199"/>
      <c r="AF234" s="199"/>
      <c r="AG234" s="199"/>
      <c r="AH234" s="199"/>
      <c r="AI234" s="199"/>
      <c r="AJ234" s="199"/>
      <c r="AK234" s="199"/>
      <c r="AL234" s="199"/>
      <c r="AM234" s="198" t="s">
        <v>2783</v>
      </c>
      <c r="AN234" s="197"/>
      <c r="AO234" s="197"/>
      <c r="AP234" s="197"/>
      <c r="AQ234" s="197"/>
      <c r="AR234" s="197"/>
      <c r="AS234" s="197"/>
    </row>
    <row r="235">
      <c r="A235" s="198" t="str">
        <f t="shared" si="1"/>
        <v>PP</v>
      </c>
      <c r="B235" s="198" t="s">
        <v>3183</v>
      </c>
      <c r="C235" s="198" t="s">
        <v>350</v>
      </c>
      <c r="D235" s="199"/>
      <c r="E235" s="215">
        <v>45720.0</v>
      </c>
      <c r="F235" s="198">
        <v>3.0</v>
      </c>
      <c r="G235" s="198">
        <v>2025.0</v>
      </c>
      <c r="H235" s="199"/>
      <c r="I235" s="207"/>
      <c r="J235" s="199"/>
      <c r="K235" s="202"/>
      <c r="L235" s="202"/>
      <c r="M235" s="202"/>
      <c r="N235" s="202"/>
      <c r="O235" s="202"/>
      <c r="P235" s="202"/>
      <c r="Q235" s="202"/>
      <c r="R235" s="202"/>
      <c r="S235" s="202"/>
      <c r="T235" s="202">
        <v>63615.58</v>
      </c>
      <c r="U235" s="198" t="s">
        <v>3026</v>
      </c>
      <c r="V235" s="199"/>
      <c r="W235" s="197"/>
      <c r="X235" s="197"/>
      <c r="Y235" s="199"/>
      <c r="Z235" s="199"/>
      <c r="AA235" s="204" t="str">
        <f t="shared" si="4"/>
        <v/>
      </c>
      <c r="AB235" s="205" t="s">
        <v>38</v>
      </c>
      <c r="AC235" s="199"/>
      <c r="AD235" s="199"/>
      <c r="AE235" s="199"/>
      <c r="AF235" s="199"/>
      <c r="AG235" s="199"/>
      <c r="AH235" s="199"/>
      <c r="AI235" s="199"/>
      <c r="AJ235" s="199"/>
      <c r="AK235" s="199"/>
      <c r="AL235" s="199"/>
      <c r="AM235" s="198" t="s">
        <v>2783</v>
      </c>
      <c r="AN235" s="197"/>
      <c r="AO235" s="197"/>
      <c r="AP235" s="197"/>
      <c r="AQ235" s="197"/>
      <c r="AR235" s="197"/>
      <c r="AS235" s="197"/>
    </row>
    <row r="236">
      <c r="A236" s="198" t="str">
        <f t="shared" si="1"/>
        <v>PP</v>
      </c>
      <c r="B236" s="198" t="s">
        <v>3184</v>
      </c>
      <c r="C236" s="205" t="s">
        <v>3033</v>
      </c>
      <c r="D236" s="199"/>
      <c r="E236" s="217">
        <v>45722.0</v>
      </c>
      <c r="F236" s="205">
        <v>3.0</v>
      </c>
      <c r="G236" s="205">
        <v>2025.0</v>
      </c>
      <c r="H236" s="199"/>
      <c r="I236" s="207"/>
      <c r="J236" s="199"/>
      <c r="K236" s="206"/>
      <c r="L236" s="206"/>
      <c r="M236" s="206"/>
      <c r="N236" s="206"/>
      <c r="O236" s="206"/>
      <c r="P236" s="206"/>
      <c r="Q236" s="206"/>
      <c r="R236" s="206"/>
      <c r="S236" s="206"/>
      <c r="T236" s="206">
        <v>112874.4</v>
      </c>
      <c r="U236" s="205" t="s">
        <v>2712</v>
      </c>
      <c r="V236" s="199"/>
      <c r="W236" s="197"/>
      <c r="X236" s="197"/>
      <c r="Y236" s="199"/>
      <c r="Z236" s="199"/>
      <c r="AA236" s="204" t="str">
        <f t="shared" si="4"/>
        <v/>
      </c>
      <c r="AB236" s="205" t="s">
        <v>38</v>
      </c>
      <c r="AC236" s="199"/>
      <c r="AD236" s="199"/>
      <c r="AE236" s="199"/>
      <c r="AF236" s="199"/>
      <c r="AG236" s="199"/>
      <c r="AH236" s="199"/>
      <c r="AI236" s="199"/>
      <c r="AJ236" s="199"/>
      <c r="AK236" s="199"/>
      <c r="AL236" s="199"/>
      <c r="AM236" s="205" t="s">
        <v>2783</v>
      </c>
      <c r="AN236" s="197"/>
      <c r="AO236" s="197"/>
      <c r="AP236" s="197"/>
      <c r="AQ236" s="197"/>
      <c r="AR236" s="197"/>
      <c r="AS236" s="197"/>
    </row>
    <row r="237">
      <c r="A237" s="198" t="str">
        <f t="shared" si="1"/>
        <v>PP</v>
      </c>
      <c r="B237" s="205" t="s">
        <v>3185</v>
      </c>
      <c r="C237" s="205" t="s">
        <v>3074</v>
      </c>
      <c r="D237" s="203" t="s">
        <v>3121</v>
      </c>
      <c r="E237" s="217">
        <v>45723.0</v>
      </c>
      <c r="F237" s="205">
        <v>3.0</v>
      </c>
      <c r="G237" s="205">
        <v>2025.0</v>
      </c>
      <c r="H237" s="203">
        <v>2500001.0</v>
      </c>
      <c r="I237" s="218">
        <v>77905.5</v>
      </c>
      <c r="J237" s="199"/>
      <c r="K237" s="206"/>
      <c r="L237" s="206"/>
      <c r="M237" s="206"/>
      <c r="N237" s="206"/>
      <c r="O237" s="206"/>
      <c r="P237" s="206"/>
      <c r="Q237" s="206"/>
      <c r="R237" s="206"/>
      <c r="S237" s="206"/>
      <c r="T237" s="206">
        <v>83190.0</v>
      </c>
      <c r="U237" s="205" t="s">
        <v>2712</v>
      </c>
      <c r="V237" s="199"/>
      <c r="W237" s="197"/>
      <c r="X237" s="197"/>
      <c r="Y237" s="199"/>
      <c r="Z237" s="199"/>
      <c r="AA237" s="204" t="str">
        <f t="shared" si="4"/>
        <v/>
      </c>
      <c r="AB237" s="205" t="s">
        <v>38</v>
      </c>
      <c r="AC237" s="199"/>
      <c r="AD237" s="199"/>
      <c r="AE237" s="199"/>
      <c r="AF237" s="199"/>
      <c r="AG237" s="199"/>
      <c r="AH237" s="199"/>
      <c r="AI237" s="199"/>
      <c r="AJ237" s="199"/>
      <c r="AK237" s="199"/>
      <c r="AL237" s="199"/>
      <c r="AM237" s="205" t="s">
        <v>2783</v>
      </c>
      <c r="AN237" s="197"/>
      <c r="AO237" s="197"/>
      <c r="AP237" s="197"/>
      <c r="AQ237" s="197"/>
      <c r="AR237" s="197"/>
      <c r="AS237" s="197"/>
    </row>
    <row r="238">
      <c r="A238" s="198" t="str">
        <f t="shared" si="1"/>
        <v>PP</v>
      </c>
      <c r="B238" s="198" t="s">
        <v>3186</v>
      </c>
      <c r="C238" s="205" t="s">
        <v>3074</v>
      </c>
      <c r="D238" s="199" t="s">
        <v>2854</v>
      </c>
      <c r="E238" s="217">
        <v>45723.0</v>
      </c>
      <c r="F238" s="205">
        <v>3.0</v>
      </c>
      <c r="G238" s="205">
        <v>2025.0</v>
      </c>
      <c r="H238" s="203">
        <v>2500002.0</v>
      </c>
      <c r="I238" s="218">
        <v>52747.2</v>
      </c>
      <c r="J238" s="199"/>
      <c r="K238" s="206"/>
      <c r="L238" s="206"/>
      <c r="M238" s="206"/>
      <c r="N238" s="206"/>
      <c r="O238" s="206"/>
      <c r="P238" s="206"/>
      <c r="Q238" s="206"/>
      <c r="R238" s="206"/>
      <c r="S238" s="206"/>
      <c r="T238" s="206">
        <v>52747.2</v>
      </c>
      <c r="U238" s="205" t="s">
        <v>2712</v>
      </c>
      <c r="V238" s="199"/>
      <c r="W238" s="197"/>
      <c r="X238" s="197"/>
      <c r="Y238" s="199"/>
      <c r="Z238" s="199"/>
      <c r="AA238" s="204" t="str">
        <f t="shared" si="4"/>
        <v/>
      </c>
      <c r="AB238" s="205" t="s">
        <v>38</v>
      </c>
      <c r="AC238" s="199"/>
      <c r="AD238" s="199"/>
      <c r="AE238" s="199"/>
      <c r="AF238" s="199"/>
      <c r="AG238" s="199"/>
      <c r="AH238" s="199"/>
      <c r="AI238" s="199"/>
      <c r="AJ238" s="199"/>
      <c r="AK238" s="199"/>
      <c r="AL238" s="199"/>
      <c r="AM238" s="205" t="s">
        <v>2783</v>
      </c>
      <c r="AN238" s="197"/>
      <c r="AO238" s="197"/>
      <c r="AP238" s="197"/>
      <c r="AQ238" s="197"/>
      <c r="AR238" s="197"/>
      <c r="AS238" s="197"/>
    </row>
    <row r="239">
      <c r="A239" s="198" t="str">
        <f t="shared" si="1"/>
        <v>PP</v>
      </c>
      <c r="B239" s="205" t="s">
        <v>3187</v>
      </c>
      <c r="C239" s="205" t="s">
        <v>3074</v>
      </c>
      <c r="D239" s="203" t="s">
        <v>3102</v>
      </c>
      <c r="E239" s="217">
        <v>45723.0</v>
      </c>
      <c r="F239" s="205">
        <v>3.0</v>
      </c>
      <c r="G239" s="205">
        <v>2025.0</v>
      </c>
      <c r="H239" s="203">
        <v>2500003.0</v>
      </c>
      <c r="I239" s="218">
        <v>20219.76</v>
      </c>
      <c r="J239" s="199"/>
      <c r="K239" s="206"/>
      <c r="L239" s="206"/>
      <c r="M239" s="206"/>
      <c r="N239" s="206"/>
      <c r="O239" s="206"/>
      <c r="P239" s="206"/>
      <c r="Q239" s="206"/>
      <c r="R239" s="206"/>
      <c r="S239" s="206"/>
      <c r="T239" s="206">
        <v>20219.76</v>
      </c>
      <c r="U239" s="205" t="s">
        <v>2712</v>
      </c>
      <c r="V239" s="199"/>
      <c r="W239" s="197"/>
      <c r="X239" s="197"/>
      <c r="Y239" s="199"/>
      <c r="Z239" s="219">
        <v>46006.0</v>
      </c>
      <c r="AA239" s="204" t="str">
        <f t="shared" si="4"/>
        <v>Expected Arrived</v>
      </c>
      <c r="AB239" s="205" t="s">
        <v>38</v>
      </c>
      <c r="AC239" s="199"/>
      <c r="AD239" s="199"/>
      <c r="AE239" s="199"/>
      <c r="AF239" s="199"/>
      <c r="AG239" s="199"/>
      <c r="AH239" s="199"/>
      <c r="AI239" s="199"/>
      <c r="AJ239" s="199"/>
      <c r="AK239" s="199"/>
      <c r="AL239" s="199"/>
      <c r="AM239" s="205" t="s">
        <v>2783</v>
      </c>
      <c r="AN239" s="197"/>
      <c r="AO239" s="197"/>
      <c r="AP239" s="197"/>
      <c r="AQ239" s="197"/>
      <c r="AR239" s="197"/>
      <c r="AS239" s="197"/>
    </row>
    <row r="240">
      <c r="A240" s="198" t="str">
        <f t="shared" si="1"/>
        <v>PP</v>
      </c>
      <c r="B240" s="198" t="s">
        <v>3188</v>
      </c>
      <c r="C240" s="205" t="s">
        <v>2812</v>
      </c>
      <c r="D240" s="199"/>
      <c r="E240" s="220">
        <v>45724.0</v>
      </c>
      <c r="F240" s="205">
        <v>3.0</v>
      </c>
      <c r="G240" s="205">
        <v>2025.0</v>
      </c>
      <c r="H240" s="199"/>
      <c r="I240" s="207"/>
      <c r="J240" s="199"/>
      <c r="K240" s="206"/>
      <c r="L240" s="206"/>
      <c r="M240" s="206"/>
      <c r="N240" s="206"/>
      <c r="O240" s="206"/>
      <c r="P240" s="206"/>
      <c r="Q240" s="206"/>
      <c r="R240" s="206"/>
      <c r="S240" s="206"/>
      <c r="T240" s="206">
        <v>719000.0</v>
      </c>
      <c r="U240" s="205" t="s">
        <v>2712</v>
      </c>
      <c r="V240" s="199"/>
      <c r="W240" s="197"/>
      <c r="X240" s="197"/>
      <c r="Y240" s="199"/>
      <c r="Z240" s="199"/>
      <c r="AA240" s="204" t="str">
        <f t="shared" si="4"/>
        <v/>
      </c>
      <c r="AB240" s="205" t="s">
        <v>38</v>
      </c>
      <c r="AC240" s="199"/>
      <c r="AD240" s="199"/>
      <c r="AE240" s="199"/>
      <c r="AF240" s="199"/>
      <c r="AG240" s="199"/>
      <c r="AH240" s="199"/>
      <c r="AI240" s="199"/>
      <c r="AJ240" s="199"/>
      <c r="AK240" s="199"/>
      <c r="AL240" s="199"/>
      <c r="AM240" s="205" t="s">
        <v>2783</v>
      </c>
      <c r="AN240" s="197"/>
      <c r="AO240" s="197"/>
      <c r="AP240" s="197"/>
      <c r="AQ240" s="197"/>
      <c r="AR240" s="197"/>
      <c r="AS240" s="197"/>
    </row>
    <row r="241">
      <c r="A241" s="198" t="str">
        <f t="shared" si="1"/>
        <v>PP</v>
      </c>
      <c r="B241" s="205" t="s">
        <v>3189</v>
      </c>
      <c r="C241" s="205" t="s">
        <v>81</v>
      </c>
      <c r="D241" s="203" t="s">
        <v>3190</v>
      </c>
      <c r="E241" s="220">
        <v>45726.0</v>
      </c>
      <c r="F241" s="205">
        <v>3.0</v>
      </c>
      <c r="G241" s="205">
        <v>2025.0</v>
      </c>
      <c r="H241" s="199"/>
      <c r="I241" s="207"/>
      <c r="J241" s="199"/>
      <c r="K241" s="206"/>
      <c r="L241" s="206"/>
      <c r="M241" s="206"/>
      <c r="N241" s="206"/>
      <c r="O241" s="206"/>
      <c r="P241" s="206"/>
      <c r="Q241" s="206"/>
      <c r="R241" s="206"/>
      <c r="S241" s="206"/>
      <c r="T241" s="206">
        <v>320530.0</v>
      </c>
      <c r="U241" s="198" t="s">
        <v>3026</v>
      </c>
      <c r="V241" s="199"/>
      <c r="W241" s="197"/>
      <c r="X241" s="197"/>
      <c r="Y241" s="199"/>
      <c r="Z241" s="199"/>
      <c r="AA241" s="204" t="str">
        <f t="shared" si="4"/>
        <v/>
      </c>
      <c r="AB241" s="205" t="s">
        <v>2781</v>
      </c>
      <c r="AC241" s="199"/>
      <c r="AD241" s="199"/>
      <c r="AE241" s="199"/>
      <c r="AF241" s="199"/>
      <c r="AG241" s="199"/>
      <c r="AH241" s="199"/>
      <c r="AI241" s="199"/>
      <c r="AJ241" s="199"/>
      <c r="AK241" s="199"/>
      <c r="AL241" s="199"/>
      <c r="AM241" s="205" t="s">
        <v>2783</v>
      </c>
      <c r="AN241" s="197"/>
      <c r="AO241" s="197"/>
      <c r="AP241" s="197"/>
      <c r="AQ241" s="197"/>
      <c r="AR241" s="197"/>
      <c r="AS241" s="197"/>
    </row>
    <row r="242">
      <c r="A242" s="198" t="str">
        <f t="shared" si="1"/>
        <v>PP</v>
      </c>
      <c r="B242" s="198" t="s">
        <v>3191</v>
      </c>
      <c r="C242" s="205" t="s">
        <v>3074</v>
      </c>
      <c r="D242" s="203" t="s">
        <v>3192</v>
      </c>
      <c r="E242" s="220">
        <v>45726.0</v>
      </c>
      <c r="F242" s="205">
        <v>3.0</v>
      </c>
      <c r="G242" s="205">
        <v>2025.0</v>
      </c>
      <c r="H242" s="199"/>
      <c r="I242" s="207"/>
      <c r="J242" s="199"/>
      <c r="K242" s="206"/>
      <c r="L242" s="206"/>
      <c r="M242" s="206"/>
      <c r="N242" s="206"/>
      <c r="O242" s="206"/>
      <c r="P242" s="206"/>
      <c r="Q242" s="206"/>
      <c r="R242" s="206"/>
      <c r="S242" s="206"/>
      <c r="T242" s="206">
        <v>154800.0</v>
      </c>
      <c r="U242" s="205" t="s">
        <v>2712</v>
      </c>
      <c r="V242" s="199"/>
      <c r="W242" s="197"/>
      <c r="X242" s="197"/>
      <c r="Y242" s="199"/>
      <c r="Z242" s="199"/>
      <c r="AA242" s="204" t="str">
        <f t="shared" si="4"/>
        <v/>
      </c>
      <c r="AB242" s="205" t="s">
        <v>38</v>
      </c>
      <c r="AC242" s="199"/>
      <c r="AD242" s="199"/>
      <c r="AE242" s="199"/>
      <c r="AF242" s="199"/>
      <c r="AG242" s="199"/>
      <c r="AH242" s="199"/>
      <c r="AI242" s="199"/>
      <c r="AJ242" s="199"/>
      <c r="AK242" s="199"/>
      <c r="AL242" s="199"/>
      <c r="AM242" s="205" t="s">
        <v>2783</v>
      </c>
      <c r="AN242" s="197"/>
      <c r="AO242" s="197"/>
      <c r="AP242" s="197"/>
      <c r="AQ242" s="197"/>
      <c r="AR242" s="197"/>
      <c r="AS242" s="197"/>
    </row>
    <row r="243">
      <c r="A243" s="198" t="str">
        <f t="shared" si="1"/>
        <v>PP</v>
      </c>
      <c r="B243" s="205" t="s">
        <v>3193</v>
      </c>
      <c r="C243" s="205" t="s">
        <v>81</v>
      </c>
      <c r="D243" s="203" t="s">
        <v>3194</v>
      </c>
      <c r="E243" s="220">
        <v>45733.0</v>
      </c>
      <c r="F243" s="205">
        <v>3.0</v>
      </c>
      <c r="G243" s="205">
        <v>2025.0</v>
      </c>
      <c r="H243" s="199"/>
      <c r="I243" s="207"/>
      <c r="J243" s="199"/>
      <c r="K243" s="206"/>
      <c r="L243" s="206"/>
      <c r="M243" s="206"/>
      <c r="N243" s="206"/>
      <c r="O243" s="206"/>
      <c r="P243" s="206"/>
      <c r="Q243" s="206"/>
      <c r="R243" s="206"/>
      <c r="S243" s="206"/>
      <c r="T243" s="206">
        <v>290864.4</v>
      </c>
      <c r="U243" s="198" t="s">
        <v>3026</v>
      </c>
      <c r="V243" s="199"/>
      <c r="W243" s="197"/>
      <c r="X243" s="197"/>
      <c r="Y243" s="199"/>
      <c r="Z243" s="199"/>
      <c r="AA243" s="204" t="str">
        <f t="shared" si="4"/>
        <v/>
      </c>
      <c r="AB243" s="205" t="s">
        <v>2781</v>
      </c>
      <c r="AC243" s="199"/>
      <c r="AD243" s="199"/>
      <c r="AE243" s="199"/>
      <c r="AF243" s="199"/>
      <c r="AG243" s="199"/>
      <c r="AH243" s="199"/>
      <c r="AI243" s="199"/>
      <c r="AJ243" s="199"/>
      <c r="AK243" s="199"/>
      <c r="AL243" s="199"/>
      <c r="AM243" s="205" t="s">
        <v>2783</v>
      </c>
      <c r="AN243" s="197"/>
      <c r="AO243" s="197"/>
      <c r="AP243" s="197"/>
      <c r="AQ243" s="197"/>
      <c r="AR243" s="197"/>
      <c r="AS243" s="197"/>
    </row>
    <row r="244">
      <c r="A244" s="198" t="str">
        <f t="shared" si="1"/>
        <v>PP</v>
      </c>
      <c r="B244" s="205" t="s">
        <v>3195</v>
      </c>
      <c r="C244" s="205" t="s">
        <v>3196</v>
      </c>
      <c r="D244" s="199"/>
      <c r="E244" s="220">
        <v>45736.0</v>
      </c>
      <c r="F244" s="205">
        <v>3.0</v>
      </c>
      <c r="G244" s="205">
        <v>2025.0</v>
      </c>
      <c r="H244" s="199"/>
      <c r="I244" s="207"/>
      <c r="J244" s="199"/>
      <c r="K244" s="206"/>
      <c r="L244" s="206"/>
      <c r="M244" s="206"/>
      <c r="N244" s="206"/>
      <c r="O244" s="206"/>
      <c r="P244" s="206"/>
      <c r="Q244" s="206"/>
      <c r="R244" s="206"/>
      <c r="S244" s="206"/>
      <c r="T244" s="206">
        <v>50432.61</v>
      </c>
      <c r="U244" s="205" t="s">
        <v>2712</v>
      </c>
      <c r="V244" s="199"/>
      <c r="W244" s="197"/>
      <c r="X244" s="197"/>
      <c r="Y244" s="199"/>
      <c r="Z244" s="199"/>
      <c r="AA244" s="204" t="str">
        <f t="shared" si="4"/>
        <v/>
      </c>
      <c r="AB244" s="205" t="s">
        <v>38</v>
      </c>
      <c r="AC244" s="199"/>
      <c r="AD244" s="199"/>
      <c r="AE244" s="199"/>
      <c r="AF244" s="199"/>
      <c r="AG244" s="199"/>
      <c r="AH244" s="199"/>
      <c r="AI244" s="199"/>
      <c r="AJ244" s="199"/>
      <c r="AK244" s="199"/>
      <c r="AL244" s="199"/>
      <c r="AM244" s="205" t="s">
        <v>2783</v>
      </c>
      <c r="AN244" s="197"/>
      <c r="AO244" s="197"/>
      <c r="AP244" s="197"/>
      <c r="AQ244" s="197"/>
      <c r="AR244" s="197"/>
      <c r="AS244" s="197"/>
    </row>
    <row r="245">
      <c r="A245" s="198" t="str">
        <f t="shared" si="1"/>
        <v>PP</v>
      </c>
      <c r="B245" s="205" t="s">
        <v>3197</v>
      </c>
      <c r="C245" s="205" t="s">
        <v>26</v>
      </c>
      <c r="D245" s="203" t="s">
        <v>3198</v>
      </c>
      <c r="E245" s="220">
        <v>45750.0</v>
      </c>
      <c r="F245" s="205">
        <v>4.0</v>
      </c>
      <c r="G245" s="205">
        <v>2025.0</v>
      </c>
      <c r="H245" s="199"/>
      <c r="I245" s="207"/>
      <c r="J245" s="199"/>
      <c r="K245" s="206"/>
      <c r="L245" s="206"/>
      <c r="M245" s="206"/>
      <c r="N245" s="206"/>
      <c r="O245" s="206"/>
      <c r="P245" s="206"/>
      <c r="Q245" s="206"/>
      <c r="R245" s="206"/>
      <c r="S245" s="206"/>
      <c r="T245" s="206">
        <v>90244.0</v>
      </c>
      <c r="U245" s="198" t="s">
        <v>3026</v>
      </c>
      <c r="V245" s="199"/>
      <c r="W245" s="197"/>
      <c r="X245" s="197"/>
      <c r="Y245" s="199"/>
      <c r="Z245" s="199"/>
      <c r="AA245" s="204" t="str">
        <f t="shared" si="4"/>
        <v/>
      </c>
      <c r="AB245" s="205" t="s">
        <v>38</v>
      </c>
      <c r="AC245" s="199"/>
      <c r="AD245" s="199"/>
      <c r="AE245" s="199"/>
      <c r="AF245" s="199"/>
      <c r="AG245" s="199"/>
      <c r="AH245" s="199"/>
      <c r="AI245" s="199"/>
      <c r="AJ245" s="199"/>
      <c r="AK245" s="199"/>
      <c r="AL245" s="199"/>
      <c r="AM245" s="205" t="s">
        <v>2783</v>
      </c>
      <c r="AN245" s="197"/>
      <c r="AO245" s="197"/>
      <c r="AP245" s="197"/>
      <c r="AQ245" s="197"/>
      <c r="AR245" s="197"/>
      <c r="AS245" s="197"/>
    </row>
    <row r="246">
      <c r="A246" s="198" t="str">
        <f t="shared" si="1"/>
        <v>PP</v>
      </c>
      <c r="B246" s="205" t="s">
        <v>3199</v>
      </c>
      <c r="C246" s="205" t="s">
        <v>26</v>
      </c>
      <c r="D246" s="199"/>
      <c r="E246" s="220">
        <v>45755.0</v>
      </c>
      <c r="F246" s="205">
        <v>4.0</v>
      </c>
      <c r="G246" s="205">
        <v>2025.0</v>
      </c>
      <c r="H246" s="199"/>
      <c r="I246" s="207"/>
      <c r="J246" s="199"/>
      <c r="K246" s="206"/>
      <c r="L246" s="206"/>
      <c r="M246" s="206"/>
      <c r="N246" s="206"/>
      <c r="O246" s="206"/>
      <c r="P246" s="206"/>
      <c r="Q246" s="206"/>
      <c r="R246" s="206"/>
      <c r="S246" s="206"/>
      <c r="T246" s="206">
        <v>224434.05</v>
      </c>
      <c r="U246" s="198" t="s">
        <v>3026</v>
      </c>
      <c r="V246" s="199"/>
      <c r="W246" s="197"/>
      <c r="X246" s="197"/>
      <c r="Y246" s="199"/>
      <c r="Z246" s="199"/>
      <c r="AA246" s="204" t="str">
        <f t="shared" si="4"/>
        <v/>
      </c>
      <c r="AB246" s="205" t="s">
        <v>38</v>
      </c>
      <c r="AC246" s="199"/>
      <c r="AD246" s="199"/>
      <c r="AE246" s="199"/>
      <c r="AF246" s="199"/>
      <c r="AG246" s="199"/>
      <c r="AH246" s="199"/>
      <c r="AI246" s="199"/>
      <c r="AJ246" s="199"/>
      <c r="AK246" s="199"/>
      <c r="AL246" s="199"/>
      <c r="AM246" s="205" t="s">
        <v>2783</v>
      </c>
      <c r="AN246" s="197"/>
      <c r="AO246" s="197"/>
      <c r="AP246" s="197"/>
      <c r="AQ246" s="197"/>
      <c r="AR246" s="197"/>
      <c r="AS246" s="197"/>
    </row>
    <row r="247">
      <c r="A247" s="198" t="str">
        <f t="shared" si="1"/>
        <v>PP</v>
      </c>
      <c r="B247" s="205" t="s">
        <v>3200</v>
      </c>
      <c r="C247" s="205" t="s">
        <v>81</v>
      </c>
      <c r="D247" s="203" t="s">
        <v>3202</v>
      </c>
      <c r="E247" s="220">
        <v>45755.0</v>
      </c>
      <c r="F247" s="205">
        <v>4.0</v>
      </c>
      <c r="G247" s="205">
        <v>2025.0</v>
      </c>
      <c r="H247" s="199"/>
      <c r="I247" s="207"/>
      <c r="J247" s="199"/>
      <c r="K247" s="206"/>
      <c r="L247" s="206"/>
      <c r="M247" s="206"/>
      <c r="N247" s="206"/>
      <c r="O247" s="206"/>
      <c r="P247" s="206"/>
      <c r="Q247" s="206"/>
      <c r="R247" s="206"/>
      <c r="S247" s="206"/>
      <c r="T247" s="206">
        <v>430737.48</v>
      </c>
      <c r="U247" s="198" t="s">
        <v>3026</v>
      </c>
      <c r="V247" s="199"/>
      <c r="W247" s="197"/>
      <c r="X247" s="197"/>
      <c r="Y247" s="203" t="s">
        <v>3201</v>
      </c>
      <c r="Z247" s="216">
        <v>46037.0</v>
      </c>
      <c r="AA247" s="204" t="str">
        <f t="shared" si="4"/>
        <v>Expected Arrived</v>
      </c>
      <c r="AB247" s="205" t="s">
        <v>2730</v>
      </c>
      <c r="AC247" s="199"/>
      <c r="AD247" s="199"/>
      <c r="AE247" s="199"/>
      <c r="AF247" s="199"/>
      <c r="AG247" s="199"/>
      <c r="AH247" s="199"/>
      <c r="AI247" s="199"/>
      <c r="AJ247" s="199"/>
      <c r="AK247" s="199"/>
      <c r="AL247" s="199"/>
      <c r="AM247" s="205" t="s">
        <v>2783</v>
      </c>
      <c r="AN247" s="197"/>
      <c r="AO247" s="197"/>
      <c r="AP247" s="197"/>
      <c r="AQ247" s="197"/>
      <c r="AR247" s="197"/>
      <c r="AS247" s="197"/>
    </row>
    <row r="248">
      <c r="A248" s="198" t="str">
        <f t="shared" si="1"/>
        <v>PP</v>
      </c>
      <c r="B248" s="205" t="s">
        <v>3203</v>
      </c>
      <c r="C248" s="205" t="s">
        <v>169</v>
      </c>
      <c r="D248" s="203" t="s">
        <v>3204</v>
      </c>
      <c r="E248" s="220">
        <v>45759.0</v>
      </c>
      <c r="F248" s="205">
        <v>4.0</v>
      </c>
      <c r="G248" s="205">
        <v>2025.0</v>
      </c>
      <c r="H248" s="199"/>
      <c r="I248" s="207"/>
      <c r="J248" s="199"/>
      <c r="K248" s="206"/>
      <c r="L248" s="206"/>
      <c r="M248" s="206"/>
      <c r="N248" s="206"/>
      <c r="O248" s="206"/>
      <c r="P248" s="206"/>
      <c r="Q248" s="206"/>
      <c r="R248" s="206"/>
      <c r="S248" s="206"/>
      <c r="T248" s="206">
        <v>37984.78</v>
      </c>
      <c r="U248" s="205" t="s">
        <v>2712</v>
      </c>
      <c r="V248" s="199"/>
      <c r="W248" s="197"/>
      <c r="X248" s="197"/>
      <c r="Y248" s="199"/>
      <c r="Z248" s="199"/>
      <c r="AA248" s="204" t="str">
        <f t="shared" si="4"/>
        <v/>
      </c>
      <c r="AB248" s="205" t="s">
        <v>38</v>
      </c>
      <c r="AC248" s="199"/>
      <c r="AD248" s="199"/>
      <c r="AE248" s="199"/>
      <c r="AF248" s="199"/>
      <c r="AG248" s="199"/>
      <c r="AH248" s="199"/>
      <c r="AI248" s="199"/>
      <c r="AJ248" s="199"/>
      <c r="AK248" s="199"/>
      <c r="AL248" s="199"/>
      <c r="AM248" s="205" t="s">
        <v>2783</v>
      </c>
      <c r="AN248" s="197"/>
      <c r="AO248" s="197"/>
      <c r="AP248" s="197"/>
      <c r="AQ248" s="197"/>
      <c r="AR248" s="197"/>
      <c r="AS248" s="197"/>
    </row>
    <row r="249">
      <c r="A249" s="198" t="str">
        <f t="shared" si="1"/>
        <v>PP</v>
      </c>
      <c r="B249" s="205" t="s">
        <v>3205</v>
      </c>
      <c r="C249" s="205" t="s">
        <v>169</v>
      </c>
      <c r="D249" s="203" t="s">
        <v>3206</v>
      </c>
      <c r="E249" s="220">
        <v>45759.0</v>
      </c>
      <c r="F249" s="205">
        <v>4.0</v>
      </c>
      <c r="G249" s="205">
        <v>2025.0</v>
      </c>
      <c r="H249" s="199"/>
      <c r="I249" s="207"/>
      <c r="J249" s="199"/>
      <c r="K249" s="206"/>
      <c r="L249" s="206"/>
      <c r="M249" s="206"/>
      <c r="N249" s="206"/>
      <c r="O249" s="206"/>
      <c r="P249" s="206"/>
      <c r="Q249" s="206"/>
      <c r="R249" s="206"/>
      <c r="S249" s="206"/>
      <c r="T249" s="206">
        <v>58842.56</v>
      </c>
      <c r="U249" s="205" t="s">
        <v>2712</v>
      </c>
      <c r="V249" s="199"/>
      <c r="W249" s="197"/>
      <c r="X249" s="197"/>
      <c r="Y249" s="199"/>
      <c r="Z249" s="199"/>
      <c r="AA249" s="204" t="str">
        <f t="shared" si="4"/>
        <v/>
      </c>
      <c r="AB249" s="205" t="s">
        <v>38</v>
      </c>
      <c r="AC249" s="199"/>
      <c r="AD249" s="199"/>
      <c r="AE249" s="199"/>
      <c r="AF249" s="199"/>
      <c r="AG249" s="199"/>
      <c r="AH249" s="199"/>
      <c r="AI249" s="199"/>
      <c r="AJ249" s="199"/>
      <c r="AK249" s="199"/>
      <c r="AL249" s="199"/>
      <c r="AM249" s="205" t="s">
        <v>2783</v>
      </c>
      <c r="AN249" s="197"/>
      <c r="AO249" s="197"/>
      <c r="AP249" s="197"/>
      <c r="AQ249" s="197"/>
      <c r="AR249" s="197"/>
      <c r="AS249" s="197"/>
    </row>
    <row r="250">
      <c r="A250" s="198" t="str">
        <f t="shared" si="1"/>
        <v>PP</v>
      </c>
      <c r="B250" s="205" t="s">
        <v>3207</v>
      </c>
      <c r="C250" s="205" t="s">
        <v>169</v>
      </c>
      <c r="D250" s="203" t="s">
        <v>3208</v>
      </c>
      <c r="E250" s="220">
        <v>45759.0</v>
      </c>
      <c r="F250" s="205">
        <v>4.0</v>
      </c>
      <c r="G250" s="205">
        <v>2025.0</v>
      </c>
      <c r="H250" s="199"/>
      <c r="I250" s="207"/>
      <c r="J250" s="199"/>
      <c r="K250" s="206"/>
      <c r="L250" s="206"/>
      <c r="M250" s="206"/>
      <c r="N250" s="206"/>
      <c r="O250" s="206"/>
      <c r="P250" s="206"/>
      <c r="Q250" s="206"/>
      <c r="R250" s="206"/>
      <c r="S250" s="206"/>
      <c r="T250" s="206">
        <v>27132.79</v>
      </c>
      <c r="U250" s="205" t="s">
        <v>2712</v>
      </c>
      <c r="V250" s="199"/>
      <c r="W250" s="197"/>
      <c r="X250" s="197"/>
      <c r="Y250" s="199"/>
      <c r="Z250" s="199"/>
      <c r="AA250" s="204" t="str">
        <f t="shared" si="4"/>
        <v/>
      </c>
      <c r="AB250" s="205" t="s">
        <v>38</v>
      </c>
      <c r="AC250" s="199"/>
      <c r="AD250" s="199"/>
      <c r="AE250" s="199"/>
      <c r="AF250" s="199"/>
      <c r="AG250" s="199"/>
      <c r="AH250" s="199"/>
      <c r="AI250" s="199"/>
      <c r="AJ250" s="199"/>
      <c r="AK250" s="199"/>
      <c r="AL250" s="199"/>
      <c r="AM250" s="205" t="s">
        <v>2783</v>
      </c>
      <c r="AN250" s="197"/>
      <c r="AO250" s="197"/>
      <c r="AP250" s="197"/>
      <c r="AQ250" s="197"/>
      <c r="AR250" s="197"/>
      <c r="AS250" s="197"/>
    </row>
    <row r="251">
      <c r="A251" s="198" t="str">
        <f t="shared" si="1"/>
        <v>PP</v>
      </c>
      <c r="B251" s="205" t="s">
        <v>3209</v>
      </c>
      <c r="C251" s="205" t="s">
        <v>169</v>
      </c>
      <c r="D251" s="203" t="s">
        <v>3210</v>
      </c>
      <c r="E251" s="220">
        <v>45759.0</v>
      </c>
      <c r="F251" s="205">
        <v>4.0</v>
      </c>
      <c r="G251" s="205">
        <v>2025.0</v>
      </c>
      <c r="H251" s="199"/>
      <c r="I251" s="207"/>
      <c r="J251" s="199"/>
      <c r="K251" s="206"/>
      <c r="L251" s="206"/>
      <c r="M251" s="206"/>
      <c r="N251" s="206"/>
      <c r="O251" s="206"/>
      <c r="P251" s="206"/>
      <c r="Q251" s="206"/>
      <c r="R251" s="206"/>
      <c r="S251" s="206"/>
      <c r="T251" s="206">
        <v>4643.52</v>
      </c>
      <c r="U251" s="198" t="s">
        <v>3026</v>
      </c>
      <c r="V251" s="199"/>
      <c r="W251" s="197"/>
      <c r="X251" s="197"/>
      <c r="Y251" s="199"/>
      <c r="Z251" s="199"/>
      <c r="AA251" s="204" t="str">
        <f t="shared" si="4"/>
        <v/>
      </c>
      <c r="AB251" s="205" t="s">
        <v>38</v>
      </c>
      <c r="AC251" s="199"/>
      <c r="AD251" s="199"/>
      <c r="AE251" s="199"/>
      <c r="AF251" s="199"/>
      <c r="AG251" s="199"/>
      <c r="AH251" s="199"/>
      <c r="AI251" s="199"/>
      <c r="AJ251" s="199"/>
      <c r="AK251" s="199"/>
      <c r="AL251" s="199"/>
      <c r="AM251" s="205" t="s">
        <v>2783</v>
      </c>
      <c r="AN251" s="197"/>
      <c r="AO251" s="197"/>
      <c r="AP251" s="197"/>
      <c r="AQ251" s="197"/>
      <c r="AR251" s="197"/>
      <c r="AS251" s="197"/>
    </row>
    <row r="252">
      <c r="A252" s="198" t="str">
        <f t="shared" si="1"/>
        <v>PP</v>
      </c>
      <c r="B252" s="205" t="s">
        <v>3211</v>
      </c>
      <c r="C252" s="205" t="s">
        <v>169</v>
      </c>
      <c r="D252" s="203" t="s">
        <v>3212</v>
      </c>
      <c r="E252" s="220">
        <v>45759.0</v>
      </c>
      <c r="F252" s="205">
        <v>4.0</v>
      </c>
      <c r="G252" s="205">
        <v>2025.0</v>
      </c>
      <c r="H252" s="199"/>
      <c r="I252" s="207"/>
      <c r="J252" s="199"/>
      <c r="K252" s="206"/>
      <c r="L252" s="206"/>
      <c r="M252" s="206"/>
      <c r="N252" s="206"/>
      <c r="O252" s="206"/>
      <c r="P252" s="206"/>
      <c r="Q252" s="206"/>
      <c r="R252" s="206"/>
      <c r="S252" s="206"/>
      <c r="T252" s="206">
        <v>11211.9</v>
      </c>
      <c r="U252" s="205" t="s">
        <v>2712</v>
      </c>
      <c r="V252" s="199"/>
      <c r="W252" s="197"/>
      <c r="X252" s="197"/>
      <c r="Y252" s="199"/>
      <c r="Z252" s="199"/>
      <c r="AA252" s="204" t="str">
        <f t="shared" si="4"/>
        <v/>
      </c>
      <c r="AB252" s="205" t="s">
        <v>38</v>
      </c>
      <c r="AC252" s="199"/>
      <c r="AD252" s="199"/>
      <c r="AE252" s="199"/>
      <c r="AF252" s="199"/>
      <c r="AG252" s="199"/>
      <c r="AH252" s="199"/>
      <c r="AI252" s="199"/>
      <c r="AJ252" s="199"/>
      <c r="AK252" s="199"/>
      <c r="AL252" s="199"/>
      <c r="AM252" s="205" t="s">
        <v>2783</v>
      </c>
      <c r="AN252" s="197"/>
      <c r="AO252" s="197"/>
      <c r="AP252" s="197"/>
      <c r="AQ252" s="197"/>
      <c r="AR252" s="197"/>
      <c r="AS252" s="197"/>
    </row>
    <row r="253">
      <c r="A253" s="198" t="str">
        <f t="shared" si="1"/>
        <v>PP</v>
      </c>
      <c r="B253" s="205" t="s">
        <v>3213</v>
      </c>
      <c r="C253" s="198" t="s">
        <v>222</v>
      </c>
      <c r="D253" s="203" t="s">
        <v>3214</v>
      </c>
      <c r="E253" s="198"/>
      <c r="F253" s="205">
        <v>4.0</v>
      </c>
      <c r="G253" s="205">
        <v>2025.0</v>
      </c>
      <c r="H253" s="199"/>
      <c r="I253" s="207"/>
      <c r="J253" s="199"/>
      <c r="K253" s="202"/>
      <c r="L253" s="202"/>
      <c r="M253" s="202"/>
      <c r="N253" s="202"/>
      <c r="O253" s="202"/>
      <c r="P253" s="202"/>
      <c r="Q253" s="202"/>
      <c r="R253" s="202"/>
      <c r="S253" s="202"/>
      <c r="T253" s="202"/>
      <c r="U253" s="205" t="s">
        <v>3026</v>
      </c>
      <c r="V253" s="199"/>
      <c r="W253" s="197"/>
      <c r="X253" s="197"/>
      <c r="Y253" s="199"/>
      <c r="Z253" s="199"/>
      <c r="AA253" s="204" t="str">
        <f t="shared" si="4"/>
        <v/>
      </c>
      <c r="AB253" s="205" t="s">
        <v>38</v>
      </c>
      <c r="AC253" s="199"/>
      <c r="AD253" s="199"/>
      <c r="AE253" s="199"/>
      <c r="AF253" s="199"/>
      <c r="AG253" s="199"/>
      <c r="AH253" s="199"/>
      <c r="AI253" s="199"/>
      <c r="AJ253" s="199"/>
      <c r="AK253" s="199"/>
      <c r="AL253" s="199"/>
      <c r="AM253" s="205" t="s">
        <v>2783</v>
      </c>
      <c r="AN253" s="197"/>
      <c r="AO253" s="197"/>
      <c r="AP253" s="197"/>
      <c r="AQ253" s="197"/>
      <c r="AR253" s="197"/>
      <c r="AS253" s="197"/>
    </row>
    <row r="254">
      <c r="A254" s="198" t="str">
        <f t="shared" si="1"/>
        <v>PP</v>
      </c>
      <c r="B254" s="205" t="s">
        <v>3215</v>
      </c>
      <c r="C254" s="205" t="s">
        <v>637</v>
      </c>
      <c r="D254" s="203" t="s">
        <v>3216</v>
      </c>
      <c r="E254" s="198"/>
      <c r="F254" s="205"/>
      <c r="G254" s="205"/>
      <c r="H254" s="199"/>
      <c r="I254" s="207"/>
      <c r="J254" s="199"/>
      <c r="K254" s="202"/>
      <c r="L254" s="202"/>
      <c r="M254" s="202"/>
      <c r="N254" s="202"/>
      <c r="O254" s="202"/>
      <c r="P254" s="202"/>
      <c r="Q254" s="202"/>
      <c r="R254" s="202"/>
      <c r="S254" s="202"/>
      <c r="T254" s="202"/>
      <c r="U254" s="205"/>
      <c r="V254" s="199"/>
      <c r="W254" s="197"/>
      <c r="X254" s="197"/>
      <c r="Y254" s="199"/>
      <c r="Z254" s="199"/>
      <c r="AA254" s="204" t="str">
        <f t="shared" si="4"/>
        <v/>
      </c>
      <c r="AB254" s="205" t="s">
        <v>2994</v>
      </c>
      <c r="AC254" s="199"/>
      <c r="AD254" s="199"/>
      <c r="AE254" s="199"/>
      <c r="AF254" s="199"/>
      <c r="AG254" s="199"/>
      <c r="AH254" s="199"/>
      <c r="AI254" s="199"/>
      <c r="AJ254" s="199"/>
      <c r="AK254" s="199"/>
      <c r="AL254" s="199"/>
      <c r="AM254" s="205" t="s">
        <v>2783</v>
      </c>
      <c r="AN254" s="197"/>
      <c r="AO254" s="197"/>
      <c r="AP254" s="197"/>
      <c r="AQ254" s="197"/>
      <c r="AR254" s="197"/>
      <c r="AS254" s="197"/>
    </row>
    <row r="255">
      <c r="A255" s="198" t="str">
        <f t="shared" si="1"/>
        <v>PP</v>
      </c>
      <c r="B255" s="205" t="s">
        <v>3217</v>
      </c>
      <c r="C255" s="205" t="s">
        <v>637</v>
      </c>
      <c r="D255" s="203" t="s">
        <v>2932</v>
      </c>
      <c r="E255" s="198"/>
      <c r="F255" s="205"/>
      <c r="G255" s="205"/>
      <c r="H255" s="199"/>
      <c r="I255" s="207"/>
      <c r="J255" s="199"/>
      <c r="K255" s="202"/>
      <c r="L255" s="202"/>
      <c r="M255" s="202"/>
      <c r="N255" s="202"/>
      <c r="O255" s="202"/>
      <c r="P255" s="202"/>
      <c r="Q255" s="202"/>
      <c r="R255" s="202"/>
      <c r="S255" s="202"/>
      <c r="T255" s="202"/>
      <c r="U255" s="205"/>
      <c r="V255" s="199"/>
      <c r="W255" s="197"/>
      <c r="X255" s="197"/>
      <c r="Y255" s="199"/>
      <c r="Z255" s="199"/>
      <c r="AA255" s="204" t="str">
        <f t="shared" si="4"/>
        <v/>
      </c>
      <c r="AB255" s="205" t="s">
        <v>2994</v>
      </c>
      <c r="AC255" s="199"/>
      <c r="AD255" s="199"/>
      <c r="AE255" s="199"/>
      <c r="AF255" s="199"/>
      <c r="AG255" s="199"/>
      <c r="AH255" s="199"/>
      <c r="AI255" s="199"/>
      <c r="AJ255" s="199"/>
      <c r="AK255" s="199"/>
      <c r="AL255" s="199"/>
      <c r="AM255" s="205" t="s">
        <v>2783</v>
      </c>
      <c r="AN255" s="197"/>
      <c r="AO255" s="197"/>
      <c r="AP255" s="197"/>
      <c r="AQ255" s="197"/>
      <c r="AR255" s="197"/>
      <c r="AS255" s="197"/>
    </row>
    <row r="256">
      <c r="A256" s="198" t="str">
        <f t="shared" si="1"/>
        <v>PP</v>
      </c>
      <c r="B256" s="205" t="s">
        <v>3218</v>
      </c>
      <c r="C256" s="205" t="s">
        <v>3074</v>
      </c>
      <c r="D256" s="203" t="s">
        <v>3219</v>
      </c>
      <c r="E256" s="213">
        <v>45774.0</v>
      </c>
      <c r="F256" s="205">
        <v>4.0</v>
      </c>
      <c r="G256" s="205">
        <v>2025.0</v>
      </c>
      <c r="H256" s="199"/>
      <c r="I256" s="207"/>
      <c r="J256" s="199"/>
      <c r="K256" s="206"/>
      <c r="L256" s="206"/>
      <c r="M256" s="206"/>
      <c r="N256" s="206"/>
      <c r="O256" s="206"/>
      <c r="P256" s="206"/>
      <c r="Q256" s="206"/>
      <c r="R256" s="206"/>
      <c r="S256" s="206"/>
      <c r="T256" s="206">
        <v>96075.4</v>
      </c>
      <c r="U256" s="205" t="s">
        <v>2712</v>
      </c>
      <c r="V256" s="199"/>
      <c r="W256" s="197"/>
      <c r="X256" s="197"/>
      <c r="Y256" s="199"/>
      <c r="Z256" s="199"/>
      <c r="AA256" s="204" t="str">
        <f t="shared" si="4"/>
        <v/>
      </c>
      <c r="AB256" s="205" t="s">
        <v>38</v>
      </c>
      <c r="AC256" s="199"/>
      <c r="AD256" s="199"/>
      <c r="AE256" s="199"/>
      <c r="AF256" s="199"/>
      <c r="AG256" s="199"/>
      <c r="AH256" s="199"/>
      <c r="AI256" s="199"/>
      <c r="AJ256" s="199"/>
      <c r="AK256" s="199"/>
      <c r="AL256" s="199"/>
      <c r="AM256" s="205" t="s">
        <v>2783</v>
      </c>
      <c r="AN256" s="197"/>
      <c r="AO256" s="197"/>
      <c r="AP256" s="197"/>
      <c r="AQ256" s="197"/>
      <c r="AR256" s="197"/>
      <c r="AS256" s="197"/>
    </row>
    <row r="257">
      <c r="A257" s="198" t="str">
        <f t="shared" si="1"/>
        <v>PP</v>
      </c>
      <c r="B257" s="205" t="s">
        <v>3220</v>
      </c>
      <c r="C257" s="205" t="s">
        <v>105</v>
      </c>
      <c r="D257" s="203" t="s">
        <v>3221</v>
      </c>
      <c r="E257" s="212">
        <v>45776.0</v>
      </c>
      <c r="F257" s="205">
        <v>4.0</v>
      </c>
      <c r="G257" s="205">
        <v>2025.0</v>
      </c>
      <c r="H257" s="199"/>
      <c r="I257" s="207"/>
      <c r="J257" s="199"/>
      <c r="K257" s="206"/>
      <c r="L257" s="206"/>
      <c r="M257" s="206"/>
      <c r="N257" s="206"/>
      <c r="O257" s="206"/>
      <c r="P257" s="206"/>
      <c r="Q257" s="206"/>
      <c r="R257" s="206"/>
      <c r="S257" s="206"/>
      <c r="T257" s="206">
        <v>99558.48</v>
      </c>
      <c r="U257" s="206" t="s">
        <v>3026</v>
      </c>
      <c r="V257" s="199"/>
      <c r="W257" s="197"/>
      <c r="X257" s="197"/>
      <c r="Y257" s="199"/>
      <c r="Z257" s="199"/>
      <c r="AA257" s="204" t="str">
        <f t="shared" si="4"/>
        <v/>
      </c>
      <c r="AB257" s="205" t="s">
        <v>38</v>
      </c>
      <c r="AC257" s="199"/>
      <c r="AD257" s="199"/>
      <c r="AE257" s="199"/>
      <c r="AF257" s="199"/>
      <c r="AG257" s="199"/>
      <c r="AH257" s="199"/>
      <c r="AI257" s="199"/>
      <c r="AJ257" s="199"/>
      <c r="AK257" s="199"/>
      <c r="AL257" s="199"/>
      <c r="AM257" s="205" t="s">
        <v>2783</v>
      </c>
      <c r="AN257" s="197"/>
      <c r="AO257" s="197"/>
      <c r="AP257" s="197"/>
      <c r="AQ257" s="197"/>
      <c r="AR257" s="197"/>
      <c r="AS257" s="197"/>
    </row>
    <row r="258">
      <c r="A258" s="198" t="str">
        <f t="shared" si="1"/>
        <v>PP</v>
      </c>
      <c r="B258" s="205" t="s">
        <v>3222</v>
      </c>
      <c r="C258" s="205" t="s">
        <v>105</v>
      </c>
      <c r="D258" s="203" t="s">
        <v>3223</v>
      </c>
      <c r="E258" s="212">
        <v>45776.0</v>
      </c>
      <c r="F258" s="205">
        <v>4.0</v>
      </c>
      <c r="G258" s="205">
        <v>2025.0</v>
      </c>
      <c r="H258" s="199"/>
      <c r="I258" s="207"/>
      <c r="J258" s="199"/>
      <c r="K258" s="206"/>
      <c r="L258" s="206"/>
      <c r="M258" s="206"/>
      <c r="N258" s="206"/>
      <c r="O258" s="206"/>
      <c r="P258" s="206"/>
      <c r="Q258" s="206"/>
      <c r="R258" s="206"/>
      <c r="S258" s="206"/>
      <c r="T258" s="206">
        <v>58357.44</v>
      </c>
      <c r="U258" s="205" t="s">
        <v>3026</v>
      </c>
      <c r="V258" s="199"/>
      <c r="W258" s="197"/>
      <c r="X258" s="197"/>
      <c r="Y258" s="199"/>
      <c r="Z258" s="199"/>
      <c r="AA258" s="204" t="str">
        <f t="shared" si="4"/>
        <v/>
      </c>
      <c r="AB258" s="205" t="s">
        <v>38</v>
      </c>
      <c r="AC258" s="199"/>
      <c r="AD258" s="199"/>
      <c r="AE258" s="199"/>
      <c r="AF258" s="199"/>
      <c r="AG258" s="199"/>
      <c r="AH258" s="199"/>
      <c r="AI258" s="199"/>
      <c r="AJ258" s="199"/>
      <c r="AK258" s="199"/>
      <c r="AL258" s="199"/>
      <c r="AM258" s="205" t="s">
        <v>2783</v>
      </c>
      <c r="AN258" s="197"/>
      <c r="AO258" s="197"/>
      <c r="AP258" s="197"/>
      <c r="AQ258" s="197"/>
      <c r="AR258" s="197"/>
      <c r="AS258" s="197"/>
    </row>
    <row r="259">
      <c r="A259" s="198" t="str">
        <f t="shared" si="1"/>
        <v>PP</v>
      </c>
      <c r="B259" s="205" t="s">
        <v>3224</v>
      </c>
      <c r="C259" s="205" t="s">
        <v>105</v>
      </c>
      <c r="D259" s="203" t="s">
        <v>3223</v>
      </c>
      <c r="E259" s="198"/>
      <c r="F259" s="205"/>
      <c r="G259" s="205"/>
      <c r="H259" s="199"/>
      <c r="I259" s="207"/>
      <c r="J259" s="199"/>
      <c r="K259" s="206"/>
      <c r="L259" s="206"/>
      <c r="M259" s="206"/>
      <c r="N259" s="206"/>
      <c r="O259" s="206"/>
      <c r="P259" s="206"/>
      <c r="Q259" s="206"/>
      <c r="R259" s="206"/>
      <c r="S259" s="206"/>
      <c r="T259" s="206">
        <v>74067.6</v>
      </c>
      <c r="U259" s="206" t="s">
        <v>3026</v>
      </c>
      <c r="V259" s="199"/>
      <c r="W259" s="197"/>
      <c r="X259" s="197"/>
      <c r="Y259" s="199"/>
      <c r="Z259" s="199"/>
      <c r="AA259" s="204" t="str">
        <f t="shared" si="4"/>
        <v/>
      </c>
      <c r="AB259" s="205" t="s">
        <v>2994</v>
      </c>
      <c r="AC259" s="199"/>
      <c r="AD259" s="199"/>
      <c r="AE259" s="199"/>
      <c r="AF259" s="199"/>
      <c r="AG259" s="199"/>
      <c r="AH259" s="199"/>
      <c r="AI259" s="199"/>
      <c r="AJ259" s="199"/>
      <c r="AK259" s="199"/>
      <c r="AL259" s="199"/>
      <c r="AM259" s="205" t="s">
        <v>2783</v>
      </c>
      <c r="AN259" s="197"/>
      <c r="AO259" s="197"/>
      <c r="AP259" s="197"/>
      <c r="AQ259" s="197"/>
      <c r="AR259" s="197"/>
      <c r="AS259" s="197"/>
    </row>
    <row r="260">
      <c r="A260" s="198" t="str">
        <f t="shared" si="1"/>
        <v>PP</v>
      </c>
      <c r="B260" s="205" t="s">
        <v>3225</v>
      </c>
      <c r="C260" s="205" t="s">
        <v>259</v>
      </c>
      <c r="D260" s="199"/>
      <c r="E260" s="213">
        <v>45792.0</v>
      </c>
      <c r="F260" s="205">
        <v>5.0</v>
      </c>
      <c r="G260" s="205">
        <v>2025.0</v>
      </c>
      <c r="H260" s="199"/>
      <c r="I260" s="207"/>
      <c r="J260" s="199"/>
      <c r="K260" s="206"/>
      <c r="L260" s="206"/>
      <c r="M260" s="206"/>
      <c r="N260" s="206"/>
      <c r="O260" s="206"/>
      <c r="P260" s="206"/>
      <c r="Q260" s="206"/>
      <c r="R260" s="206"/>
      <c r="S260" s="206"/>
      <c r="T260" s="206">
        <v>57468.0</v>
      </c>
      <c r="U260" s="205" t="s">
        <v>3026</v>
      </c>
      <c r="V260" s="199"/>
      <c r="W260" s="197"/>
      <c r="X260" s="197"/>
      <c r="Y260" s="199"/>
      <c r="Z260" s="199"/>
      <c r="AA260" s="204" t="str">
        <f t="shared" si="4"/>
        <v/>
      </c>
      <c r="AB260" s="205" t="s">
        <v>38</v>
      </c>
      <c r="AC260" s="199"/>
      <c r="AD260" s="199"/>
      <c r="AE260" s="199"/>
      <c r="AF260" s="199"/>
      <c r="AG260" s="199"/>
      <c r="AH260" s="199"/>
      <c r="AI260" s="199"/>
      <c r="AJ260" s="199"/>
      <c r="AK260" s="199"/>
      <c r="AL260" s="199"/>
      <c r="AM260" s="205" t="s">
        <v>2783</v>
      </c>
      <c r="AN260" s="197"/>
      <c r="AO260" s="197"/>
      <c r="AP260" s="197"/>
      <c r="AQ260" s="197"/>
      <c r="AR260" s="197"/>
      <c r="AS260" s="197"/>
    </row>
    <row r="261">
      <c r="A261" s="198" t="str">
        <f t="shared" si="1"/>
        <v>PP</v>
      </c>
      <c r="B261" s="205" t="s">
        <v>3226</v>
      </c>
      <c r="C261" s="205" t="s">
        <v>3074</v>
      </c>
      <c r="D261" s="203" t="s">
        <v>3227</v>
      </c>
      <c r="E261" s="213">
        <v>45801.0</v>
      </c>
      <c r="F261" s="205">
        <v>5.0</v>
      </c>
      <c r="G261" s="205">
        <v>2025.0</v>
      </c>
      <c r="H261" s="203">
        <v>2500004.0</v>
      </c>
      <c r="I261" s="218">
        <v>262880.0</v>
      </c>
      <c r="J261" s="199"/>
      <c r="K261" s="202"/>
      <c r="L261" s="202"/>
      <c r="M261" s="202"/>
      <c r="N261" s="202"/>
      <c r="O261" s="202"/>
      <c r="P261" s="202"/>
      <c r="Q261" s="202"/>
      <c r="R261" s="202"/>
      <c r="S261" s="202"/>
      <c r="T261" s="202"/>
      <c r="U261" s="205" t="s">
        <v>2712</v>
      </c>
      <c r="V261" s="199"/>
      <c r="W261" s="197"/>
      <c r="X261" s="197"/>
      <c r="Y261" s="199"/>
      <c r="Z261" s="199"/>
      <c r="AA261" s="204" t="str">
        <f t="shared" si="4"/>
        <v/>
      </c>
      <c r="AB261" s="205" t="s">
        <v>38</v>
      </c>
      <c r="AC261" s="199"/>
      <c r="AD261" s="199"/>
      <c r="AE261" s="199"/>
      <c r="AF261" s="199"/>
      <c r="AG261" s="199"/>
      <c r="AH261" s="199"/>
      <c r="AI261" s="199"/>
      <c r="AJ261" s="199"/>
      <c r="AK261" s="199"/>
      <c r="AL261" s="199"/>
      <c r="AM261" s="205" t="s">
        <v>2783</v>
      </c>
      <c r="AN261" s="197"/>
      <c r="AO261" s="197"/>
      <c r="AP261" s="197"/>
      <c r="AQ261" s="197"/>
      <c r="AR261" s="197"/>
      <c r="AS261" s="197"/>
    </row>
    <row r="262">
      <c r="A262" s="198" t="str">
        <f t="shared" si="1"/>
        <v>PP</v>
      </c>
      <c r="B262" s="205" t="s">
        <v>3228</v>
      </c>
      <c r="C262" s="205" t="s">
        <v>3074</v>
      </c>
      <c r="D262" s="203" t="s">
        <v>3229</v>
      </c>
      <c r="E262" s="213">
        <v>45801.0</v>
      </c>
      <c r="F262" s="205">
        <v>5.0</v>
      </c>
      <c r="G262" s="205">
        <v>2025.0</v>
      </c>
      <c r="H262" s="203">
        <v>2500005.0</v>
      </c>
      <c r="I262" s="218">
        <v>107003.0</v>
      </c>
      <c r="J262" s="199"/>
      <c r="K262" s="202"/>
      <c r="L262" s="202"/>
      <c r="M262" s="202"/>
      <c r="N262" s="202"/>
      <c r="O262" s="202"/>
      <c r="P262" s="202"/>
      <c r="Q262" s="202"/>
      <c r="R262" s="202"/>
      <c r="S262" s="202"/>
      <c r="T262" s="202"/>
      <c r="U262" s="205" t="s">
        <v>2712</v>
      </c>
      <c r="V262" s="199"/>
      <c r="W262" s="197"/>
      <c r="X262" s="197"/>
      <c r="Y262" s="199"/>
      <c r="Z262" s="199"/>
      <c r="AA262" s="204" t="str">
        <f t="shared" si="4"/>
        <v/>
      </c>
      <c r="AB262" s="205" t="s">
        <v>38</v>
      </c>
      <c r="AC262" s="199"/>
      <c r="AD262" s="199"/>
      <c r="AE262" s="199"/>
      <c r="AF262" s="199"/>
      <c r="AG262" s="199"/>
      <c r="AH262" s="199"/>
      <c r="AI262" s="199"/>
      <c r="AJ262" s="199"/>
      <c r="AK262" s="199"/>
      <c r="AL262" s="199"/>
      <c r="AM262" s="205" t="s">
        <v>2783</v>
      </c>
      <c r="AN262" s="197"/>
      <c r="AO262" s="197"/>
      <c r="AP262" s="197"/>
      <c r="AQ262" s="197"/>
      <c r="AR262" s="197"/>
      <c r="AS262" s="197"/>
    </row>
    <row r="263">
      <c r="A263" s="198" t="str">
        <f t="shared" si="1"/>
        <v>PP</v>
      </c>
      <c r="B263" s="205" t="s">
        <v>3230</v>
      </c>
      <c r="C263" s="205" t="s">
        <v>3074</v>
      </c>
      <c r="D263" s="203" t="s">
        <v>2854</v>
      </c>
      <c r="E263" s="213">
        <v>45801.0</v>
      </c>
      <c r="F263" s="205">
        <v>5.0</v>
      </c>
      <c r="G263" s="205">
        <v>2025.0</v>
      </c>
      <c r="H263" s="203">
        <v>2500006.0</v>
      </c>
      <c r="I263" s="218">
        <v>52747.0</v>
      </c>
      <c r="J263" s="199"/>
      <c r="K263" s="202"/>
      <c r="L263" s="202"/>
      <c r="M263" s="202"/>
      <c r="N263" s="202"/>
      <c r="O263" s="202"/>
      <c r="P263" s="202"/>
      <c r="Q263" s="202"/>
      <c r="R263" s="202"/>
      <c r="S263" s="202"/>
      <c r="T263" s="202"/>
      <c r="U263" s="205" t="s">
        <v>2712</v>
      </c>
      <c r="V263" s="199"/>
      <c r="W263" s="197"/>
      <c r="X263" s="197"/>
      <c r="Y263" s="199"/>
      <c r="Z263" s="199"/>
      <c r="AA263" s="204" t="str">
        <f t="shared" si="4"/>
        <v/>
      </c>
      <c r="AB263" s="205" t="s">
        <v>38</v>
      </c>
      <c r="AC263" s="199"/>
      <c r="AD263" s="199"/>
      <c r="AE263" s="199"/>
      <c r="AF263" s="199"/>
      <c r="AG263" s="199"/>
      <c r="AH263" s="199"/>
      <c r="AI263" s="199"/>
      <c r="AJ263" s="199"/>
      <c r="AK263" s="199"/>
      <c r="AL263" s="199"/>
      <c r="AM263" s="205" t="s">
        <v>2783</v>
      </c>
      <c r="AN263" s="197"/>
      <c r="AO263" s="197"/>
      <c r="AP263" s="197"/>
      <c r="AQ263" s="197"/>
      <c r="AR263" s="197"/>
      <c r="AS263" s="197"/>
    </row>
    <row r="264">
      <c r="A264" s="198" t="str">
        <f t="shared" si="1"/>
        <v>PP</v>
      </c>
      <c r="B264" s="205" t="s">
        <v>3231</v>
      </c>
      <c r="C264" s="205" t="s">
        <v>3074</v>
      </c>
      <c r="D264" s="203" t="s">
        <v>3121</v>
      </c>
      <c r="E264" s="213">
        <v>45801.0</v>
      </c>
      <c r="F264" s="205">
        <v>5.0</v>
      </c>
      <c r="G264" s="205">
        <v>2025.0</v>
      </c>
      <c r="H264" s="203">
        <v>2500007.0</v>
      </c>
      <c r="I264" s="218">
        <v>51483.0</v>
      </c>
      <c r="J264" s="199"/>
      <c r="K264" s="202"/>
      <c r="L264" s="202"/>
      <c r="M264" s="202"/>
      <c r="N264" s="202"/>
      <c r="O264" s="202"/>
      <c r="P264" s="202"/>
      <c r="Q264" s="202"/>
      <c r="R264" s="202"/>
      <c r="S264" s="202"/>
      <c r="T264" s="202"/>
      <c r="U264" s="205" t="s">
        <v>2712</v>
      </c>
      <c r="V264" s="199"/>
      <c r="W264" s="197"/>
      <c r="X264" s="197"/>
      <c r="Y264" s="199"/>
      <c r="Z264" s="219">
        <v>46010.0</v>
      </c>
      <c r="AA264" s="204" t="str">
        <f t="shared" si="4"/>
        <v>Expected Arrived</v>
      </c>
      <c r="AB264" s="205" t="s">
        <v>38</v>
      </c>
      <c r="AC264" s="199"/>
      <c r="AD264" s="199"/>
      <c r="AE264" s="199"/>
      <c r="AF264" s="199"/>
      <c r="AG264" s="199"/>
      <c r="AH264" s="199"/>
      <c r="AI264" s="199"/>
      <c r="AJ264" s="199"/>
      <c r="AK264" s="199"/>
      <c r="AL264" s="199"/>
      <c r="AM264" s="205" t="s">
        <v>2783</v>
      </c>
      <c r="AN264" s="197"/>
      <c r="AO264" s="197"/>
      <c r="AP264" s="197"/>
      <c r="AQ264" s="197"/>
      <c r="AR264" s="197"/>
      <c r="AS264" s="197"/>
    </row>
    <row r="265">
      <c r="A265" s="198" t="str">
        <f t="shared" si="1"/>
        <v>PP</v>
      </c>
      <c r="B265" s="205" t="s">
        <v>3232</v>
      </c>
      <c r="C265" s="205" t="s">
        <v>59</v>
      </c>
      <c r="D265" s="203" t="s">
        <v>3233</v>
      </c>
      <c r="E265" s="213">
        <v>45810.0</v>
      </c>
      <c r="F265" s="205">
        <v>6.0</v>
      </c>
      <c r="G265" s="205">
        <v>2025.0</v>
      </c>
      <c r="H265" s="199"/>
      <c r="I265" s="207"/>
      <c r="J265" s="199"/>
      <c r="K265" s="206"/>
      <c r="L265" s="206"/>
      <c r="M265" s="206"/>
      <c r="N265" s="206"/>
      <c r="O265" s="206"/>
      <c r="P265" s="206"/>
      <c r="Q265" s="206"/>
      <c r="R265" s="206"/>
      <c r="S265" s="206"/>
      <c r="T265" s="206" t="s">
        <v>3047</v>
      </c>
      <c r="U265" s="206" t="s">
        <v>3026</v>
      </c>
      <c r="V265" s="199"/>
      <c r="W265" s="197"/>
      <c r="X265" s="197"/>
      <c r="Y265" s="199"/>
      <c r="Z265" s="199"/>
      <c r="AA265" s="204" t="str">
        <f t="shared" si="4"/>
        <v/>
      </c>
      <c r="AB265" s="205" t="s">
        <v>38</v>
      </c>
      <c r="AC265" s="199"/>
      <c r="AD265" s="199"/>
      <c r="AE265" s="199"/>
      <c r="AF265" s="199"/>
      <c r="AG265" s="199"/>
      <c r="AH265" s="199"/>
      <c r="AI265" s="199"/>
      <c r="AJ265" s="199"/>
      <c r="AK265" s="199"/>
      <c r="AL265" s="199"/>
      <c r="AM265" s="205" t="s">
        <v>2783</v>
      </c>
      <c r="AN265" s="197"/>
      <c r="AO265" s="197"/>
      <c r="AP265" s="197"/>
      <c r="AQ265" s="197"/>
      <c r="AR265" s="197"/>
      <c r="AS265" s="197"/>
    </row>
    <row r="266">
      <c r="A266" s="198" t="str">
        <f t="shared" si="1"/>
        <v>PP</v>
      </c>
      <c r="B266" s="205" t="s">
        <v>3234</v>
      </c>
      <c r="C266" s="205" t="s">
        <v>59</v>
      </c>
      <c r="D266" s="203" t="s">
        <v>3235</v>
      </c>
      <c r="E266" s="213">
        <v>45810.0</v>
      </c>
      <c r="F266" s="205">
        <v>6.0</v>
      </c>
      <c r="G266" s="205">
        <v>2025.0</v>
      </c>
      <c r="H266" s="199"/>
      <c r="I266" s="207"/>
      <c r="J266" s="199"/>
      <c r="K266" s="206"/>
      <c r="L266" s="206"/>
      <c r="M266" s="206"/>
      <c r="N266" s="206"/>
      <c r="O266" s="206"/>
      <c r="P266" s="206"/>
      <c r="Q266" s="206"/>
      <c r="R266" s="206"/>
      <c r="S266" s="206"/>
      <c r="T266" s="206">
        <v>30078.0</v>
      </c>
      <c r="U266" s="205" t="s">
        <v>3026</v>
      </c>
      <c r="V266" s="199"/>
      <c r="W266" s="197"/>
      <c r="X266" s="197"/>
      <c r="Y266" s="199"/>
      <c r="Z266" s="199"/>
      <c r="AA266" s="204" t="str">
        <f t="shared" si="4"/>
        <v/>
      </c>
      <c r="AB266" s="205" t="s">
        <v>38</v>
      </c>
      <c r="AC266" s="199"/>
      <c r="AD266" s="199"/>
      <c r="AE266" s="199"/>
      <c r="AF266" s="199"/>
      <c r="AG266" s="199"/>
      <c r="AH266" s="199"/>
      <c r="AI266" s="199"/>
      <c r="AJ266" s="199"/>
      <c r="AK266" s="199"/>
      <c r="AL266" s="199"/>
      <c r="AM266" s="205" t="s">
        <v>2783</v>
      </c>
      <c r="AN266" s="197"/>
      <c r="AO266" s="197"/>
      <c r="AP266" s="197"/>
      <c r="AQ266" s="197"/>
      <c r="AR266" s="197"/>
      <c r="AS266" s="197"/>
    </row>
    <row r="267">
      <c r="A267" s="198" t="str">
        <f t="shared" si="1"/>
        <v>PP</v>
      </c>
      <c r="B267" s="205" t="s">
        <v>3236</v>
      </c>
      <c r="C267" s="205" t="s">
        <v>169</v>
      </c>
      <c r="D267" s="203" t="s">
        <v>3237</v>
      </c>
      <c r="E267" s="213">
        <v>45810.0</v>
      </c>
      <c r="F267" s="205">
        <v>6.0</v>
      </c>
      <c r="G267" s="205">
        <v>2025.0</v>
      </c>
      <c r="H267" s="199"/>
      <c r="I267" s="207"/>
      <c r="J267" s="199"/>
      <c r="K267" s="206"/>
      <c r="L267" s="206"/>
      <c r="M267" s="206"/>
      <c r="N267" s="206"/>
      <c r="O267" s="206"/>
      <c r="P267" s="206"/>
      <c r="Q267" s="206"/>
      <c r="R267" s="206"/>
      <c r="S267" s="206"/>
      <c r="T267" s="206">
        <v>21776.94</v>
      </c>
      <c r="U267" s="206" t="s">
        <v>3026</v>
      </c>
      <c r="V267" s="199"/>
      <c r="W267" s="197"/>
      <c r="X267" s="197"/>
      <c r="Y267" s="199"/>
      <c r="Z267" s="199"/>
      <c r="AA267" s="204" t="str">
        <f t="shared" si="4"/>
        <v/>
      </c>
      <c r="AB267" s="205" t="s">
        <v>2781</v>
      </c>
      <c r="AC267" s="199"/>
      <c r="AD267" s="199"/>
      <c r="AE267" s="199"/>
      <c r="AF267" s="199"/>
      <c r="AG267" s="199"/>
      <c r="AH267" s="199"/>
      <c r="AI267" s="199"/>
      <c r="AJ267" s="199"/>
      <c r="AK267" s="199"/>
      <c r="AL267" s="199"/>
      <c r="AM267" s="205" t="s">
        <v>2783</v>
      </c>
      <c r="AN267" s="197"/>
      <c r="AO267" s="197"/>
      <c r="AP267" s="197"/>
      <c r="AQ267" s="197"/>
      <c r="AR267" s="197"/>
      <c r="AS267" s="197"/>
    </row>
    <row r="268">
      <c r="A268" s="198" t="str">
        <f t="shared" si="1"/>
        <v>PP</v>
      </c>
      <c r="B268" s="205" t="s">
        <v>3238</v>
      </c>
      <c r="C268" s="205" t="s">
        <v>3137</v>
      </c>
      <c r="D268" s="199"/>
      <c r="E268" s="213">
        <v>45812.0</v>
      </c>
      <c r="F268" s="205">
        <v>6.0</v>
      </c>
      <c r="G268" s="205">
        <v>2025.0</v>
      </c>
      <c r="H268" s="199"/>
      <c r="I268" s="207"/>
      <c r="J268" s="199"/>
      <c r="K268" s="206"/>
      <c r="L268" s="206"/>
      <c r="M268" s="206"/>
      <c r="N268" s="206"/>
      <c r="O268" s="206"/>
      <c r="P268" s="206"/>
      <c r="Q268" s="206"/>
      <c r="R268" s="206"/>
      <c r="S268" s="206"/>
      <c r="T268" s="206">
        <v>646131.75</v>
      </c>
      <c r="U268" s="205" t="s">
        <v>3182</v>
      </c>
      <c r="V268" s="199"/>
      <c r="W268" s="197"/>
      <c r="X268" s="197"/>
      <c r="Y268" s="199"/>
      <c r="Z268" s="199"/>
      <c r="AA268" s="204" t="str">
        <f t="shared" si="4"/>
        <v/>
      </c>
      <c r="AB268" s="205" t="s">
        <v>38</v>
      </c>
      <c r="AC268" s="199"/>
      <c r="AD268" s="199"/>
      <c r="AE268" s="199"/>
      <c r="AF268" s="199"/>
      <c r="AG268" s="199"/>
      <c r="AH268" s="199"/>
      <c r="AI268" s="199"/>
      <c r="AJ268" s="199"/>
      <c r="AK268" s="199"/>
      <c r="AL268" s="199"/>
      <c r="AM268" s="205" t="s">
        <v>2783</v>
      </c>
      <c r="AN268" s="197"/>
      <c r="AO268" s="197"/>
      <c r="AP268" s="197"/>
      <c r="AQ268" s="197"/>
      <c r="AR268" s="197"/>
      <c r="AS268" s="197"/>
    </row>
    <row r="269">
      <c r="A269" s="198" t="str">
        <f t="shared" si="1"/>
        <v>PP</v>
      </c>
      <c r="B269" s="205" t="s">
        <v>3239</v>
      </c>
      <c r="C269" s="205" t="s">
        <v>3074</v>
      </c>
      <c r="D269" s="203" t="s">
        <v>3240</v>
      </c>
      <c r="E269" s="213">
        <v>45817.0</v>
      </c>
      <c r="F269" s="205">
        <v>6.0</v>
      </c>
      <c r="G269" s="205">
        <v>2025.0</v>
      </c>
      <c r="H269" s="199"/>
      <c r="I269" s="207"/>
      <c r="J269" s="199"/>
      <c r="K269" s="206"/>
      <c r="L269" s="206"/>
      <c r="M269" s="206"/>
      <c r="N269" s="206"/>
      <c r="O269" s="206"/>
      <c r="P269" s="206"/>
      <c r="Q269" s="206"/>
      <c r="R269" s="206"/>
      <c r="S269" s="206"/>
      <c r="T269" s="206">
        <v>83470.0</v>
      </c>
      <c r="U269" s="205" t="s">
        <v>2712</v>
      </c>
      <c r="V269" s="199"/>
      <c r="W269" s="197"/>
      <c r="X269" s="197"/>
      <c r="Y269" s="199"/>
      <c r="Z269" s="216">
        <v>46012.0</v>
      </c>
      <c r="AA269" s="204" t="str">
        <f t="shared" si="4"/>
        <v>Expected Arrived</v>
      </c>
      <c r="AB269" s="205" t="s">
        <v>38</v>
      </c>
      <c r="AC269" s="199"/>
      <c r="AD269" s="199"/>
      <c r="AE269" s="199"/>
      <c r="AF269" s="199"/>
      <c r="AG269" s="199"/>
      <c r="AH269" s="199"/>
      <c r="AI269" s="199"/>
      <c r="AJ269" s="199"/>
      <c r="AK269" s="199"/>
      <c r="AL269" s="199"/>
      <c r="AM269" s="205" t="s">
        <v>2783</v>
      </c>
      <c r="AN269" s="197"/>
      <c r="AO269" s="197"/>
      <c r="AP269" s="197"/>
      <c r="AQ269" s="197"/>
      <c r="AR269" s="197"/>
      <c r="AS269" s="197"/>
    </row>
    <row r="270">
      <c r="A270" s="198" t="str">
        <f t="shared" si="1"/>
        <v>PP</v>
      </c>
      <c r="B270" s="205" t="s">
        <v>3241</v>
      </c>
      <c r="C270" s="205" t="s">
        <v>40</v>
      </c>
      <c r="D270" s="203" t="s">
        <v>3233</v>
      </c>
      <c r="E270" s="213"/>
      <c r="F270" s="205">
        <v>6.0</v>
      </c>
      <c r="G270" s="205">
        <v>2025.0</v>
      </c>
      <c r="H270" s="199"/>
      <c r="I270" s="207"/>
      <c r="J270" s="199"/>
      <c r="K270" s="206"/>
      <c r="L270" s="206"/>
      <c r="M270" s="206"/>
      <c r="N270" s="206"/>
      <c r="O270" s="206"/>
      <c r="P270" s="206"/>
      <c r="Q270" s="206"/>
      <c r="R270" s="206"/>
      <c r="S270" s="206"/>
      <c r="T270" s="206">
        <v>41536.6</v>
      </c>
      <c r="U270" s="205" t="s">
        <v>3026</v>
      </c>
      <c r="V270" s="199"/>
      <c r="W270" s="197"/>
      <c r="X270" s="197"/>
      <c r="Y270" s="199"/>
      <c r="Z270" s="199"/>
      <c r="AA270" s="204" t="str">
        <f t="shared" si="4"/>
        <v/>
      </c>
      <c r="AB270" s="205" t="s">
        <v>38</v>
      </c>
      <c r="AC270" s="199"/>
      <c r="AD270" s="199"/>
      <c r="AE270" s="199"/>
      <c r="AF270" s="199"/>
      <c r="AG270" s="199"/>
      <c r="AH270" s="199"/>
      <c r="AI270" s="199"/>
      <c r="AJ270" s="199"/>
      <c r="AK270" s="199"/>
      <c r="AL270" s="199"/>
      <c r="AM270" s="205" t="s">
        <v>2783</v>
      </c>
      <c r="AN270" s="197"/>
      <c r="AO270" s="197"/>
      <c r="AP270" s="197"/>
      <c r="AQ270" s="197"/>
      <c r="AR270" s="197"/>
      <c r="AS270" s="197"/>
    </row>
    <row r="271">
      <c r="A271" s="198" t="str">
        <f t="shared" si="1"/>
        <v>PP</v>
      </c>
      <c r="B271" s="205" t="s">
        <v>3242</v>
      </c>
      <c r="C271" s="205" t="s">
        <v>40</v>
      </c>
      <c r="D271" s="203" t="s">
        <v>3243</v>
      </c>
      <c r="E271" s="213"/>
      <c r="F271" s="205">
        <v>6.0</v>
      </c>
      <c r="G271" s="205">
        <v>2025.0</v>
      </c>
      <c r="H271" s="199"/>
      <c r="I271" s="207"/>
      <c r="J271" s="199"/>
      <c r="K271" s="206"/>
      <c r="L271" s="206"/>
      <c r="M271" s="206"/>
      <c r="N271" s="206"/>
      <c r="O271" s="206"/>
      <c r="P271" s="206"/>
      <c r="Q271" s="206"/>
      <c r="R271" s="206"/>
      <c r="S271" s="206"/>
      <c r="T271" s="206">
        <v>39975.0</v>
      </c>
      <c r="U271" s="205" t="s">
        <v>3026</v>
      </c>
      <c r="V271" s="199"/>
      <c r="W271" s="197"/>
      <c r="X271" s="197"/>
      <c r="Y271" s="199"/>
      <c r="Z271" s="199"/>
      <c r="AA271" s="204" t="str">
        <f t="shared" si="4"/>
        <v/>
      </c>
      <c r="AB271" s="205" t="s">
        <v>38</v>
      </c>
      <c r="AC271" s="199"/>
      <c r="AD271" s="199"/>
      <c r="AE271" s="199"/>
      <c r="AF271" s="199"/>
      <c r="AG271" s="199"/>
      <c r="AH271" s="199"/>
      <c r="AI271" s="199"/>
      <c r="AJ271" s="199"/>
      <c r="AK271" s="199"/>
      <c r="AL271" s="199"/>
      <c r="AM271" s="205" t="s">
        <v>2783</v>
      </c>
      <c r="AN271" s="197"/>
      <c r="AO271" s="197"/>
      <c r="AP271" s="197"/>
      <c r="AQ271" s="197"/>
      <c r="AR271" s="197"/>
      <c r="AS271" s="197"/>
    </row>
    <row r="272">
      <c r="A272" s="198" t="str">
        <f t="shared" si="1"/>
        <v>PP</v>
      </c>
      <c r="B272" s="205" t="s">
        <v>3244</v>
      </c>
      <c r="C272" s="205" t="s">
        <v>81</v>
      </c>
      <c r="D272" s="203" t="s">
        <v>2807</v>
      </c>
      <c r="E272" s="213">
        <v>45840.0</v>
      </c>
      <c r="F272" s="205">
        <v>7.0</v>
      </c>
      <c r="G272" s="205">
        <v>2025.0</v>
      </c>
      <c r="H272" s="199"/>
      <c r="I272" s="207"/>
      <c r="J272" s="199"/>
      <c r="K272" s="206"/>
      <c r="L272" s="206"/>
      <c r="M272" s="206"/>
      <c r="N272" s="206"/>
      <c r="O272" s="206"/>
      <c r="P272" s="206"/>
      <c r="Q272" s="206"/>
      <c r="R272" s="206"/>
      <c r="S272" s="206"/>
      <c r="T272" s="206">
        <v>244943.5</v>
      </c>
      <c r="U272" s="205" t="s">
        <v>2712</v>
      </c>
      <c r="V272" s="199"/>
      <c r="W272" s="197"/>
      <c r="X272" s="197"/>
      <c r="Y272" s="199"/>
      <c r="Z272" s="199"/>
      <c r="AA272" s="204" t="str">
        <f t="shared" si="4"/>
        <v/>
      </c>
      <c r="AB272" s="205" t="s">
        <v>38</v>
      </c>
      <c r="AC272" s="199"/>
      <c r="AD272" s="199"/>
      <c r="AE272" s="199"/>
      <c r="AF272" s="199"/>
      <c r="AG272" s="199"/>
      <c r="AH272" s="199"/>
      <c r="AI272" s="199"/>
      <c r="AJ272" s="199"/>
      <c r="AK272" s="199"/>
      <c r="AL272" s="199"/>
      <c r="AM272" s="205" t="s">
        <v>2783</v>
      </c>
      <c r="AN272" s="197"/>
      <c r="AO272" s="197"/>
      <c r="AP272" s="197"/>
      <c r="AQ272" s="197"/>
      <c r="AR272" s="197"/>
      <c r="AS272" s="197"/>
    </row>
    <row r="273">
      <c r="A273" s="198" t="str">
        <f t="shared" si="1"/>
        <v>PP</v>
      </c>
      <c r="B273" s="205" t="s">
        <v>3245</v>
      </c>
      <c r="C273" s="205" t="s">
        <v>3246</v>
      </c>
      <c r="D273" s="203" t="s">
        <v>3247</v>
      </c>
      <c r="E273" s="213"/>
      <c r="F273" s="205"/>
      <c r="G273" s="205"/>
      <c r="H273" s="199"/>
      <c r="I273" s="207"/>
      <c r="J273" s="199"/>
      <c r="K273" s="202"/>
      <c r="L273" s="202"/>
      <c r="M273" s="202"/>
      <c r="N273" s="202"/>
      <c r="O273" s="202"/>
      <c r="P273" s="202"/>
      <c r="Q273" s="202"/>
      <c r="R273" s="202"/>
      <c r="S273" s="202"/>
      <c r="T273" s="202"/>
      <c r="U273" s="205" t="s">
        <v>2712</v>
      </c>
      <c r="V273" s="199"/>
      <c r="W273" s="197"/>
      <c r="X273" s="197"/>
      <c r="Y273" s="199"/>
      <c r="Z273" s="199"/>
      <c r="AA273" s="204" t="str">
        <f t="shared" si="4"/>
        <v/>
      </c>
      <c r="AB273" s="205" t="s">
        <v>2781</v>
      </c>
      <c r="AC273" s="199"/>
      <c r="AD273" s="199"/>
      <c r="AE273" s="199"/>
      <c r="AF273" s="199"/>
      <c r="AG273" s="199"/>
      <c r="AH273" s="199"/>
      <c r="AI273" s="199"/>
      <c r="AJ273" s="199"/>
      <c r="AK273" s="199"/>
      <c r="AL273" s="199"/>
      <c r="AM273" s="205" t="s">
        <v>2783</v>
      </c>
      <c r="AN273" s="197"/>
      <c r="AO273" s="197"/>
      <c r="AP273" s="197"/>
      <c r="AQ273" s="197"/>
      <c r="AR273" s="197"/>
      <c r="AS273" s="197"/>
    </row>
    <row r="274">
      <c r="A274" s="198" t="str">
        <f t="shared" si="1"/>
        <v>PP</v>
      </c>
      <c r="B274" s="205" t="s">
        <v>3248</v>
      </c>
      <c r="C274" s="205" t="s">
        <v>3074</v>
      </c>
      <c r="D274" s="203" t="s">
        <v>2843</v>
      </c>
      <c r="E274" s="213">
        <v>45846.0</v>
      </c>
      <c r="F274" s="205">
        <v>7.0</v>
      </c>
      <c r="G274" s="205">
        <v>2025.0</v>
      </c>
      <c r="H274" s="203">
        <v>2500008.0</v>
      </c>
      <c r="I274" s="218">
        <v>66650.0</v>
      </c>
      <c r="J274" s="199"/>
      <c r="K274" s="202"/>
      <c r="L274" s="202"/>
      <c r="M274" s="202"/>
      <c r="N274" s="202"/>
      <c r="O274" s="202"/>
      <c r="P274" s="202"/>
      <c r="Q274" s="202"/>
      <c r="R274" s="202"/>
      <c r="S274" s="202"/>
      <c r="T274" s="202"/>
      <c r="U274" s="205" t="s">
        <v>2712</v>
      </c>
      <c r="V274" s="199"/>
      <c r="W274" s="197"/>
      <c r="X274" s="197"/>
      <c r="Y274" s="199"/>
      <c r="Z274" s="216">
        <v>46032.0</v>
      </c>
      <c r="AA274" s="204" t="str">
        <f t="shared" si="4"/>
        <v>Expected Arrived</v>
      </c>
      <c r="AB274" s="205" t="s">
        <v>38</v>
      </c>
      <c r="AC274" s="199"/>
      <c r="AD274" s="199"/>
      <c r="AE274" s="199"/>
      <c r="AF274" s="199"/>
      <c r="AG274" s="199"/>
      <c r="AH274" s="199"/>
      <c r="AI274" s="199"/>
      <c r="AJ274" s="199"/>
      <c r="AK274" s="199"/>
      <c r="AL274" s="199"/>
      <c r="AM274" s="205" t="s">
        <v>2783</v>
      </c>
      <c r="AN274" s="197"/>
      <c r="AO274" s="197"/>
      <c r="AP274" s="197"/>
      <c r="AQ274" s="197"/>
      <c r="AR274" s="197"/>
      <c r="AS274" s="197"/>
    </row>
    <row r="275">
      <c r="A275" s="198" t="str">
        <f t="shared" si="1"/>
        <v>PP</v>
      </c>
      <c r="B275" s="205" t="s">
        <v>3249</v>
      </c>
      <c r="C275" s="205" t="s">
        <v>3074</v>
      </c>
      <c r="D275" s="203" t="s">
        <v>3250</v>
      </c>
      <c r="E275" s="213">
        <v>45846.0</v>
      </c>
      <c r="F275" s="205">
        <v>7.0</v>
      </c>
      <c r="G275" s="205">
        <v>2025.0</v>
      </c>
      <c r="H275" s="203">
        <v>2500009.0</v>
      </c>
      <c r="I275" s="218">
        <v>262880.0</v>
      </c>
      <c r="J275" s="199"/>
      <c r="K275" s="206" t="s">
        <v>3319</v>
      </c>
      <c r="L275" s="205">
        <v>2600041.0</v>
      </c>
      <c r="M275" s="206">
        <v>193980.0</v>
      </c>
      <c r="N275" s="205">
        <v>2600042.0</v>
      </c>
      <c r="O275" s="206">
        <v>68900.0</v>
      </c>
      <c r="P275" s="202"/>
      <c r="Q275" s="202"/>
      <c r="R275" s="202"/>
      <c r="S275" s="202"/>
      <c r="T275" s="202"/>
      <c r="U275" s="205" t="s">
        <v>2712</v>
      </c>
      <c r="V275" s="199"/>
      <c r="W275" s="221" t="s">
        <v>3320</v>
      </c>
      <c r="X275" s="197"/>
      <c r="Y275" s="199"/>
      <c r="Z275" s="216">
        <v>46039.0</v>
      </c>
      <c r="AA275" s="204" t="str">
        <f t="shared" si="4"/>
        <v>Expected Arrived</v>
      </c>
      <c r="AB275" s="205" t="s">
        <v>38</v>
      </c>
      <c r="AC275" s="199"/>
      <c r="AD275" s="199"/>
      <c r="AE275" s="199"/>
      <c r="AF275" s="199"/>
      <c r="AG275" s="199"/>
      <c r="AH275" s="199"/>
      <c r="AI275" s="199"/>
      <c r="AJ275" s="199"/>
      <c r="AK275" s="199"/>
      <c r="AL275" s="199"/>
      <c r="AM275" s="205" t="s">
        <v>2783</v>
      </c>
      <c r="AN275" s="197"/>
      <c r="AO275" s="197"/>
      <c r="AP275" s="197"/>
      <c r="AQ275" s="197"/>
      <c r="AR275" s="197"/>
      <c r="AS275" s="197"/>
    </row>
    <row r="276">
      <c r="A276" s="198" t="str">
        <f t="shared" si="1"/>
        <v>PP</v>
      </c>
      <c r="B276" s="205" t="s">
        <v>3251</v>
      </c>
      <c r="C276" s="205" t="s">
        <v>3252</v>
      </c>
      <c r="D276" s="203" t="s">
        <v>3253</v>
      </c>
      <c r="E276" s="213"/>
      <c r="F276" s="205"/>
      <c r="G276" s="205"/>
      <c r="H276" s="199"/>
      <c r="I276" s="207"/>
      <c r="J276" s="199"/>
      <c r="K276" s="206"/>
      <c r="L276" s="205"/>
      <c r="M276" s="206"/>
      <c r="N276" s="206"/>
      <c r="O276" s="206"/>
      <c r="P276" s="206"/>
      <c r="Q276" s="206"/>
      <c r="R276" s="206"/>
      <c r="S276" s="206"/>
      <c r="T276" s="206">
        <v>35481.6</v>
      </c>
      <c r="U276" s="205" t="s">
        <v>2712</v>
      </c>
      <c r="V276" s="199"/>
      <c r="W276" s="197"/>
      <c r="X276" s="197"/>
      <c r="Y276" s="199"/>
      <c r="Z276" s="199"/>
      <c r="AA276" s="204" t="str">
        <f t="shared" si="4"/>
        <v/>
      </c>
      <c r="AB276" s="205" t="s">
        <v>2781</v>
      </c>
      <c r="AC276" s="199"/>
      <c r="AD276" s="199"/>
      <c r="AE276" s="199"/>
      <c r="AF276" s="199"/>
      <c r="AG276" s="199"/>
      <c r="AH276" s="199"/>
      <c r="AI276" s="199"/>
      <c r="AJ276" s="199"/>
      <c r="AK276" s="199"/>
      <c r="AL276" s="199"/>
      <c r="AM276" s="205" t="s">
        <v>2783</v>
      </c>
      <c r="AN276" s="197"/>
      <c r="AO276" s="197"/>
      <c r="AP276" s="197"/>
      <c r="AQ276" s="197"/>
      <c r="AR276" s="197"/>
      <c r="AS276" s="197"/>
    </row>
    <row r="277">
      <c r="A277" s="198" t="str">
        <f t="shared" si="1"/>
        <v>PP</v>
      </c>
      <c r="B277" s="205" t="s">
        <v>3254</v>
      </c>
      <c r="C277" s="205" t="s">
        <v>3252</v>
      </c>
      <c r="D277" s="203" t="s">
        <v>3255</v>
      </c>
      <c r="E277" s="213"/>
      <c r="F277" s="205"/>
      <c r="G277" s="205"/>
      <c r="H277" s="199"/>
      <c r="I277" s="207"/>
      <c r="J277" s="199"/>
      <c r="K277" s="206"/>
      <c r="L277" s="205"/>
      <c r="M277" s="206"/>
      <c r="N277" s="206"/>
      <c r="O277" s="206"/>
      <c r="P277" s="206"/>
      <c r="Q277" s="206"/>
      <c r="R277" s="206"/>
      <c r="S277" s="206"/>
      <c r="T277" s="206">
        <v>25344.0</v>
      </c>
      <c r="U277" s="205" t="s">
        <v>2712</v>
      </c>
      <c r="V277" s="199"/>
      <c r="W277" s="197"/>
      <c r="X277" s="197"/>
      <c r="Y277" s="199"/>
      <c r="Z277" s="199"/>
      <c r="AA277" s="204" t="str">
        <f t="shared" si="4"/>
        <v/>
      </c>
      <c r="AB277" s="205" t="s">
        <v>2781</v>
      </c>
      <c r="AC277" s="199"/>
      <c r="AD277" s="199"/>
      <c r="AE277" s="199"/>
      <c r="AF277" s="199"/>
      <c r="AG277" s="199"/>
      <c r="AH277" s="199"/>
      <c r="AI277" s="199"/>
      <c r="AJ277" s="199"/>
      <c r="AK277" s="199"/>
      <c r="AL277" s="199"/>
      <c r="AM277" s="205" t="s">
        <v>2783</v>
      </c>
      <c r="AN277" s="197"/>
      <c r="AO277" s="197"/>
      <c r="AP277" s="197"/>
      <c r="AQ277" s="197"/>
      <c r="AR277" s="197"/>
      <c r="AS277" s="197"/>
    </row>
    <row r="278">
      <c r="A278" s="198" t="str">
        <f t="shared" si="1"/>
        <v>PP</v>
      </c>
      <c r="B278" s="205" t="s">
        <v>3256</v>
      </c>
      <c r="C278" s="205" t="s">
        <v>3252</v>
      </c>
      <c r="D278" s="203" t="s">
        <v>3257</v>
      </c>
      <c r="E278" s="213"/>
      <c r="F278" s="205"/>
      <c r="G278" s="205"/>
      <c r="H278" s="199"/>
      <c r="I278" s="207"/>
      <c r="J278" s="199"/>
      <c r="K278" s="206"/>
      <c r="L278" s="205"/>
      <c r="M278" s="206"/>
      <c r="N278" s="206"/>
      <c r="O278" s="206"/>
      <c r="P278" s="206"/>
      <c r="Q278" s="206"/>
      <c r="R278" s="206"/>
      <c r="S278" s="206"/>
      <c r="T278" s="206">
        <v>39416.0</v>
      </c>
      <c r="U278" s="205" t="s">
        <v>2712</v>
      </c>
      <c r="V278" s="199"/>
      <c r="W278" s="197"/>
      <c r="X278" s="197"/>
      <c r="Y278" s="199"/>
      <c r="Z278" s="199"/>
      <c r="AA278" s="204" t="str">
        <f t="shared" si="4"/>
        <v/>
      </c>
      <c r="AB278" s="205" t="s">
        <v>2781</v>
      </c>
      <c r="AC278" s="199"/>
      <c r="AD278" s="199"/>
      <c r="AE278" s="199"/>
      <c r="AF278" s="199"/>
      <c r="AG278" s="199"/>
      <c r="AH278" s="199"/>
      <c r="AI278" s="199"/>
      <c r="AJ278" s="199"/>
      <c r="AK278" s="199"/>
      <c r="AL278" s="199"/>
      <c r="AM278" s="205" t="s">
        <v>2783</v>
      </c>
      <c r="AN278" s="197"/>
      <c r="AO278" s="197"/>
      <c r="AP278" s="197"/>
      <c r="AQ278" s="197"/>
      <c r="AR278" s="197"/>
      <c r="AS278" s="197"/>
    </row>
    <row r="279">
      <c r="A279" s="198" t="str">
        <f t="shared" si="1"/>
        <v>PP</v>
      </c>
      <c r="B279" s="205" t="s">
        <v>3258</v>
      </c>
      <c r="C279" s="205" t="s">
        <v>26</v>
      </c>
      <c r="D279" s="199"/>
      <c r="E279" s="213"/>
      <c r="F279" s="205"/>
      <c r="G279" s="205"/>
      <c r="H279" s="199"/>
      <c r="I279" s="207"/>
      <c r="J279" s="199"/>
      <c r="K279" s="202"/>
      <c r="L279" s="205"/>
      <c r="M279" s="202"/>
      <c r="N279" s="202"/>
      <c r="O279" s="202"/>
      <c r="P279" s="202"/>
      <c r="Q279" s="202"/>
      <c r="R279" s="202"/>
      <c r="S279" s="202"/>
      <c r="T279" s="202"/>
      <c r="U279" s="205" t="s">
        <v>3026</v>
      </c>
      <c r="V279" s="199"/>
      <c r="W279" s="197"/>
      <c r="X279" s="197"/>
      <c r="Y279" s="199"/>
      <c r="Z279" s="199"/>
      <c r="AA279" s="204" t="str">
        <f t="shared" si="4"/>
        <v/>
      </c>
      <c r="AB279" s="205" t="s">
        <v>38</v>
      </c>
      <c r="AC279" s="199"/>
      <c r="AD279" s="199"/>
      <c r="AE279" s="199"/>
      <c r="AF279" s="199"/>
      <c r="AG279" s="199"/>
      <c r="AH279" s="199"/>
      <c r="AI279" s="199"/>
      <c r="AJ279" s="199"/>
      <c r="AK279" s="199"/>
      <c r="AL279" s="199"/>
      <c r="AM279" s="205" t="s">
        <v>2783</v>
      </c>
      <c r="AN279" s="197"/>
      <c r="AO279" s="197"/>
      <c r="AP279" s="197"/>
      <c r="AQ279" s="197"/>
      <c r="AR279" s="197"/>
      <c r="AS279" s="197"/>
    </row>
    <row r="280">
      <c r="A280" s="198" t="str">
        <f t="shared" si="1"/>
        <v>PP</v>
      </c>
      <c r="B280" s="205" t="s">
        <v>3259</v>
      </c>
      <c r="C280" s="205" t="s">
        <v>3260</v>
      </c>
      <c r="D280" s="203" t="s">
        <v>3261</v>
      </c>
      <c r="E280" s="213">
        <v>45862.0</v>
      </c>
      <c r="F280" s="205">
        <v>7.0</v>
      </c>
      <c r="G280" s="205">
        <v>2025.0</v>
      </c>
      <c r="H280" s="199"/>
      <c r="I280" s="207"/>
      <c r="J280" s="199"/>
      <c r="K280" s="206"/>
      <c r="L280" s="205"/>
      <c r="M280" s="206"/>
      <c r="N280" s="206"/>
      <c r="O280" s="206"/>
      <c r="P280" s="206"/>
      <c r="Q280" s="206"/>
      <c r="R280" s="206"/>
      <c r="S280" s="206"/>
      <c r="T280" s="206">
        <v>41754.62</v>
      </c>
      <c r="U280" s="205" t="s">
        <v>3026</v>
      </c>
      <c r="V280" s="199"/>
      <c r="W280" s="197"/>
      <c r="X280" s="197"/>
      <c r="Y280" s="199"/>
      <c r="Z280" s="199"/>
      <c r="AA280" s="204" t="str">
        <f t="shared" si="4"/>
        <v/>
      </c>
      <c r="AB280" s="205" t="s">
        <v>2781</v>
      </c>
      <c r="AC280" s="199"/>
      <c r="AD280" s="199"/>
      <c r="AE280" s="199"/>
      <c r="AF280" s="199"/>
      <c r="AG280" s="199"/>
      <c r="AH280" s="199"/>
      <c r="AI280" s="199"/>
      <c r="AJ280" s="199"/>
      <c r="AK280" s="199"/>
      <c r="AL280" s="199"/>
      <c r="AM280" s="205" t="s">
        <v>2783</v>
      </c>
      <c r="AN280" s="197"/>
      <c r="AO280" s="197"/>
      <c r="AP280" s="197"/>
      <c r="AQ280" s="197"/>
      <c r="AR280" s="197"/>
      <c r="AS280" s="197"/>
    </row>
    <row r="281">
      <c r="A281" s="198" t="str">
        <f t="shared" si="1"/>
        <v>PP</v>
      </c>
      <c r="B281" s="205" t="s">
        <v>3262</v>
      </c>
      <c r="C281" s="205" t="s">
        <v>26</v>
      </c>
      <c r="D281" s="203" t="s">
        <v>3263</v>
      </c>
      <c r="E281" s="213">
        <v>45865.0</v>
      </c>
      <c r="F281" s="205">
        <v>7.0</v>
      </c>
      <c r="G281" s="205">
        <v>2025.0</v>
      </c>
      <c r="H281" s="199"/>
      <c r="I281" s="207"/>
      <c r="J281" s="199"/>
      <c r="K281" s="202"/>
      <c r="L281" s="205"/>
      <c r="M281" s="202"/>
      <c r="N281" s="202"/>
      <c r="O281" s="202"/>
      <c r="P281" s="202"/>
      <c r="Q281" s="202"/>
      <c r="R281" s="202"/>
      <c r="S281" s="202"/>
      <c r="T281" s="202"/>
      <c r="U281" s="205" t="s">
        <v>3026</v>
      </c>
      <c r="V281" s="199"/>
      <c r="W281" s="197"/>
      <c r="X281" s="197"/>
      <c r="Y281" s="199"/>
      <c r="Z281" s="199"/>
      <c r="AA281" s="204" t="str">
        <f t="shared" si="4"/>
        <v/>
      </c>
      <c r="AB281" s="205" t="s">
        <v>2730</v>
      </c>
      <c r="AC281" s="199"/>
      <c r="AD281" s="199"/>
      <c r="AE281" s="199"/>
      <c r="AF281" s="199"/>
      <c r="AG281" s="199"/>
      <c r="AH281" s="199"/>
      <c r="AI281" s="199"/>
      <c r="AJ281" s="199"/>
      <c r="AK281" s="199"/>
      <c r="AL281" s="199"/>
      <c r="AM281" s="205" t="s">
        <v>2783</v>
      </c>
      <c r="AN281" s="197"/>
      <c r="AO281" s="197"/>
      <c r="AP281" s="197"/>
      <c r="AQ281" s="197"/>
      <c r="AR281" s="197"/>
      <c r="AS281" s="197"/>
    </row>
    <row r="282">
      <c r="A282" s="198" t="str">
        <f t="shared" si="1"/>
        <v>PP</v>
      </c>
      <c r="B282" s="205" t="s">
        <v>3264</v>
      </c>
      <c r="C282" s="205" t="s">
        <v>3265</v>
      </c>
      <c r="D282" s="199"/>
      <c r="E282" s="213">
        <v>45866.0</v>
      </c>
      <c r="F282" s="205">
        <v>7.0</v>
      </c>
      <c r="G282" s="205">
        <v>2025.0</v>
      </c>
      <c r="H282" s="199"/>
      <c r="I282" s="207"/>
      <c r="J282" s="199"/>
      <c r="K282" s="202"/>
      <c r="L282" s="205"/>
      <c r="M282" s="202"/>
      <c r="N282" s="202"/>
      <c r="O282" s="202"/>
      <c r="P282" s="202"/>
      <c r="Q282" s="202"/>
      <c r="R282" s="202"/>
      <c r="S282" s="202"/>
      <c r="T282" s="202"/>
      <c r="U282" s="205" t="s">
        <v>3026</v>
      </c>
      <c r="V282" s="199"/>
      <c r="W282" s="197"/>
      <c r="X282" s="197"/>
      <c r="Y282" s="199"/>
      <c r="Z282" s="199"/>
      <c r="AA282" s="204" t="str">
        <f t="shared" si="4"/>
        <v/>
      </c>
      <c r="AB282" s="205" t="s">
        <v>2872</v>
      </c>
      <c r="AC282" s="199"/>
      <c r="AD282" s="199"/>
      <c r="AE282" s="199"/>
      <c r="AF282" s="199"/>
      <c r="AG282" s="199"/>
      <c r="AH282" s="199"/>
      <c r="AI282" s="199"/>
      <c r="AJ282" s="199"/>
      <c r="AK282" s="199"/>
      <c r="AL282" s="199"/>
      <c r="AM282" s="205" t="s">
        <v>2783</v>
      </c>
      <c r="AN282" s="197"/>
      <c r="AO282" s="197"/>
      <c r="AP282" s="197"/>
      <c r="AQ282" s="197"/>
      <c r="AR282" s="197"/>
      <c r="AS282" s="197"/>
    </row>
    <row r="283">
      <c r="A283" s="198" t="str">
        <f t="shared" si="1"/>
        <v>PP</v>
      </c>
      <c r="B283" s="205" t="s">
        <v>3266</v>
      </c>
      <c r="C283" s="205" t="s">
        <v>169</v>
      </c>
      <c r="D283" s="203" t="s">
        <v>3267</v>
      </c>
      <c r="E283" s="213">
        <v>45876.0</v>
      </c>
      <c r="F283" s="205">
        <v>8.0</v>
      </c>
      <c r="G283" s="205">
        <v>2025.0</v>
      </c>
      <c r="H283" s="199"/>
      <c r="I283" s="207"/>
      <c r="J283" s="199"/>
      <c r="K283" s="206"/>
      <c r="L283" s="205"/>
      <c r="M283" s="206"/>
      <c r="N283" s="206"/>
      <c r="O283" s="206"/>
      <c r="P283" s="206"/>
      <c r="Q283" s="206"/>
      <c r="R283" s="206"/>
      <c r="S283" s="206"/>
      <c r="T283" s="206">
        <v>59981.76</v>
      </c>
      <c r="U283" s="205" t="s">
        <v>2712</v>
      </c>
      <c r="V283" s="199"/>
      <c r="W283" s="197"/>
      <c r="X283" s="197"/>
      <c r="Y283" s="199"/>
      <c r="Z283" s="199"/>
      <c r="AA283" s="204" t="str">
        <f t="shared" si="4"/>
        <v/>
      </c>
      <c r="AB283" s="205" t="s">
        <v>38</v>
      </c>
      <c r="AC283" s="199"/>
      <c r="AD283" s="199"/>
      <c r="AE283" s="199"/>
      <c r="AF283" s="199"/>
      <c r="AG283" s="199"/>
      <c r="AH283" s="199"/>
      <c r="AI283" s="199"/>
      <c r="AJ283" s="199"/>
      <c r="AK283" s="199"/>
      <c r="AL283" s="199"/>
      <c r="AM283" s="205" t="s">
        <v>2783</v>
      </c>
      <c r="AN283" s="197"/>
      <c r="AO283" s="197"/>
      <c r="AP283" s="197"/>
      <c r="AQ283" s="197"/>
      <c r="AR283" s="197"/>
      <c r="AS283" s="197"/>
    </row>
    <row r="284">
      <c r="A284" s="198" t="str">
        <f t="shared" si="1"/>
        <v>PP</v>
      </c>
      <c r="B284" s="205" t="s">
        <v>3268</v>
      </c>
      <c r="C284" s="205" t="s">
        <v>105</v>
      </c>
      <c r="D284" s="203" t="s">
        <v>3269</v>
      </c>
      <c r="E284" s="213">
        <v>45887.0</v>
      </c>
      <c r="F284" s="205">
        <v>8.0</v>
      </c>
      <c r="G284" s="205">
        <v>2025.0</v>
      </c>
      <c r="H284" s="199"/>
      <c r="I284" s="207"/>
      <c r="J284" s="199"/>
      <c r="K284" s="202"/>
      <c r="L284" s="205"/>
      <c r="M284" s="202"/>
      <c r="N284" s="202"/>
      <c r="O284" s="202"/>
      <c r="P284" s="202"/>
      <c r="Q284" s="202"/>
      <c r="R284" s="202"/>
      <c r="S284" s="202"/>
      <c r="T284" s="202"/>
      <c r="U284" s="205" t="s">
        <v>3026</v>
      </c>
      <c r="V284" s="199"/>
      <c r="W284" s="197"/>
      <c r="X284" s="197"/>
      <c r="Y284" s="199"/>
      <c r="Z284" s="199"/>
      <c r="AA284" s="204" t="str">
        <f t="shared" si="4"/>
        <v/>
      </c>
      <c r="AB284" s="205" t="s">
        <v>38</v>
      </c>
      <c r="AC284" s="199"/>
      <c r="AD284" s="199"/>
      <c r="AE284" s="199"/>
      <c r="AF284" s="199"/>
      <c r="AG284" s="199"/>
      <c r="AH284" s="199"/>
      <c r="AI284" s="199"/>
      <c r="AJ284" s="199"/>
      <c r="AK284" s="199"/>
      <c r="AL284" s="199"/>
      <c r="AM284" s="205" t="s">
        <v>2783</v>
      </c>
      <c r="AN284" s="197"/>
      <c r="AO284" s="197"/>
      <c r="AP284" s="197"/>
      <c r="AQ284" s="197"/>
      <c r="AR284" s="197"/>
      <c r="AS284" s="197"/>
    </row>
    <row r="285">
      <c r="A285" s="198" t="str">
        <f t="shared" si="1"/>
        <v>PP</v>
      </c>
      <c r="B285" s="205" t="s">
        <v>3270</v>
      </c>
      <c r="C285" s="205" t="s">
        <v>3137</v>
      </c>
      <c r="D285" s="199"/>
      <c r="E285" s="213"/>
      <c r="F285" s="198"/>
      <c r="G285" s="198"/>
      <c r="H285" s="199"/>
      <c r="I285" s="207"/>
      <c r="J285" s="199"/>
      <c r="K285" s="206"/>
      <c r="L285" s="205"/>
      <c r="M285" s="206"/>
      <c r="N285" s="206"/>
      <c r="O285" s="206"/>
      <c r="P285" s="206"/>
      <c r="Q285" s="206"/>
      <c r="R285" s="206"/>
      <c r="S285" s="206"/>
      <c r="T285" s="206">
        <v>513893.34</v>
      </c>
      <c r="U285" s="205" t="s">
        <v>3182</v>
      </c>
      <c r="V285" s="199"/>
      <c r="W285" s="197"/>
      <c r="X285" s="197"/>
      <c r="Y285" s="199"/>
      <c r="Z285" s="199"/>
      <c r="AA285" s="204" t="str">
        <f t="shared" si="4"/>
        <v/>
      </c>
      <c r="AB285" s="205" t="s">
        <v>2994</v>
      </c>
      <c r="AC285" s="199"/>
      <c r="AD285" s="199"/>
      <c r="AE285" s="199"/>
      <c r="AF285" s="199"/>
      <c r="AG285" s="199"/>
      <c r="AH285" s="199"/>
      <c r="AI285" s="199"/>
      <c r="AJ285" s="199"/>
      <c r="AK285" s="199"/>
      <c r="AL285" s="199"/>
      <c r="AM285" s="205" t="s">
        <v>2783</v>
      </c>
      <c r="AN285" s="197"/>
      <c r="AO285" s="197"/>
      <c r="AP285" s="197"/>
      <c r="AQ285" s="197"/>
      <c r="AR285" s="197"/>
      <c r="AS285" s="197"/>
    </row>
    <row r="286">
      <c r="A286" s="198" t="str">
        <f t="shared" si="1"/>
        <v>PP</v>
      </c>
      <c r="B286" s="205" t="s">
        <v>3271</v>
      </c>
      <c r="C286" s="205" t="s">
        <v>1316</v>
      </c>
      <c r="D286" s="199"/>
      <c r="E286" s="213"/>
      <c r="F286" s="198"/>
      <c r="G286" s="198"/>
      <c r="H286" s="199"/>
      <c r="I286" s="207"/>
      <c r="J286" s="199"/>
      <c r="K286" s="206"/>
      <c r="L286" s="205"/>
      <c r="M286" s="206"/>
      <c r="N286" s="206"/>
      <c r="O286" s="206"/>
      <c r="P286" s="206"/>
      <c r="Q286" s="206"/>
      <c r="R286" s="206"/>
      <c r="S286" s="206"/>
      <c r="T286" s="206">
        <v>313383.22</v>
      </c>
      <c r="U286" s="205" t="s">
        <v>3026</v>
      </c>
      <c r="V286" s="199"/>
      <c r="W286" s="197"/>
      <c r="X286" s="197"/>
      <c r="Y286" s="199"/>
      <c r="Z286" s="199"/>
      <c r="AA286" s="204" t="str">
        <f t="shared" si="4"/>
        <v/>
      </c>
      <c r="AB286" s="205" t="s">
        <v>38</v>
      </c>
      <c r="AC286" s="199"/>
      <c r="AD286" s="199"/>
      <c r="AE286" s="199"/>
      <c r="AF286" s="199"/>
      <c r="AG286" s="199"/>
      <c r="AH286" s="199"/>
      <c r="AI286" s="199"/>
      <c r="AJ286" s="199"/>
      <c r="AK286" s="199"/>
      <c r="AL286" s="199"/>
      <c r="AM286" s="205" t="s">
        <v>2783</v>
      </c>
      <c r="AN286" s="197"/>
      <c r="AO286" s="197"/>
      <c r="AP286" s="197"/>
      <c r="AQ286" s="197"/>
      <c r="AR286" s="197"/>
      <c r="AS286" s="197"/>
    </row>
    <row r="287">
      <c r="A287" s="198" t="str">
        <f t="shared" si="1"/>
        <v>PP</v>
      </c>
      <c r="B287" s="205" t="s">
        <v>3272</v>
      </c>
      <c r="C287" s="205" t="s">
        <v>105</v>
      </c>
      <c r="D287" s="222"/>
      <c r="E287" s="213">
        <v>45953.0</v>
      </c>
      <c r="F287" s="205">
        <v>10.0</v>
      </c>
      <c r="G287" s="205">
        <v>2025.0</v>
      </c>
      <c r="H287" s="199"/>
      <c r="I287" s="203"/>
      <c r="J287" s="199"/>
      <c r="K287" s="202"/>
      <c r="L287" s="205"/>
      <c r="M287" s="202"/>
      <c r="N287" s="202"/>
      <c r="O287" s="202"/>
      <c r="P287" s="202"/>
      <c r="Q287" s="202"/>
      <c r="R287" s="202"/>
      <c r="S287" s="202"/>
      <c r="T287" s="202"/>
      <c r="U287" s="206" t="s">
        <v>3026</v>
      </c>
      <c r="V287" s="199"/>
      <c r="W287" s="197"/>
      <c r="X287" s="197"/>
      <c r="Y287" s="199"/>
      <c r="Z287" s="219">
        <v>45978.0</v>
      </c>
      <c r="AA287" s="204" t="str">
        <f t="shared" si="4"/>
        <v>Expected Arrived</v>
      </c>
      <c r="AB287" s="205" t="s">
        <v>38</v>
      </c>
      <c r="AC287" s="199"/>
      <c r="AD287" s="199"/>
      <c r="AE287" s="199"/>
      <c r="AF287" s="199"/>
      <c r="AG287" s="199"/>
      <c r="AH287" s="199"/>
      <c r="AI287" s="199"/>
      <c r="AJ287" s="199"/>
      <c r="AK287" s="199"/>
      <c r="AL287" s="199"/>
      <c r="AM287" s="205" t="s">
        <v>2783</v>
      </c>
      <c r="AN287" s="197"/>
      <c r="AO287" s="197"/>
      <c r="AP287" s="197"/>
      <c r="AQ287" s="197"/>
      <c r="AR287" s="197"/>
      <c r="AS287" s="197"/>
    </row>
    <row r="288">
      <c r="A288" s="198" t="str">
        <f t="shared" si="1"/>
        <v>PP</v>
      </c>
      <c r="B288" s="205" t="s">
        <v>3273</v>
      </c>
      <c r="C288" s="205" t="s">
        <v>3074</v>
      </c>
      <c r="D288" s="203" t="s">
        <v>3274</v>
      </c>
      <c r="E288" s="213">
        <v>45964.0</v>
      </c>
      <c r="F288" s="205">
        <v>11.0</v>
      </c>
      <c r="G288" s="205">
        <v>2025.0</v>
      </c>
      <c r="H288" s="203">
        <v>2500010.0</v>
      </c>
      <c r="I288" s="207"/>
      <c r="J288" s="199"/>
      <c r="K288" s="206"/>
      <c r="L288" s="205">
        <f>IFERROR(__xludf.DUMMYFUNCTION("IFERROR(
    INDEX(FILTER('Arrived Shipments'!O:O, 'Arrived Shipments'!B:B=$B288),1),
    IFERROR(
        INDEX(FILTER('POed not arrived'!D:D, 'POed not arrived'!A:A=$B288),1),
        """"
    )
)"),105.0)</f>
        <v>105</v>
      </c>
      <c r="M288" s="206"/>
      <c r="N288" s="206" t="str">
        <f>IFERROR(__xludf.DUMMYFUNCTION("IFERROR(
    INDEX(FILTER('Arrived Shipments'!O:O, 'Arrived Shipments'!B:B=$B288),2),
    IFERROR(
        INDEX(FILTER('POed not arrived'!D:D, 'POed not arrived'!A:A=$B288),2),
        """"
    )
)"),"")</f>
        <v/>
      </c>
      <c r="O288" s="206"/>
      <c r="P288" s="202" t="str">
        <f>IFERROR(__xludf.DUMMYFUNCTION("IFERROR(
    INDEX(FILTER('Arrived Shipments'!O:O, 'Arrived Shipments'!B:B=$B288),3),
    IFERROR(
        INDEX(FILTER('POed not arrived'!D:D, 'POed not arrived'!A:A=$B288),3),
        """"
    )
)"),"")</f>
        <v/>
      </c>
      <c r="Q288" s="206"/>
      <c r="R288" s="206" t="str">
        <f>IFERROR(__xludf.DUMMYFUNCTION("IFERROR(
    INDEX(FILTER('Arrived Shipments'!O:O, 'Arrived Shipments'!B:B=$B288),4),
    IFERROR(
        INDEX(FILTER('POed not arrived'!D:D, 'POed not arrived'!A:A=$B288),4),
        """"
    )
)"),"")</f>
        <v/>
      </c>
      <c r="S288" s="206"/>
      <c r="T288" s="206">
        <v>397622.0</v>
      </c>
      <c r="U288" s="205" t="s">
        <v>2712</v>
      </c>
      <c r="V288" s="199"/>
      <c r="W288" s="221" t="s">
        <v>3320</v>
      </c>
      <c r="X288" s="221" t="s">
        <v>1401</v>
      </c>
      <c r="Y288" s="213"/>
      <c r="Z288" s="213">
        <v>46109.0</v>
      </c>
      <c r="AA288" s="204" t="str">
        <f t="shared" si="4"/>
        <v>Expected Arrived</v>
      </c>
      <c r="AB288" s="205" t="s">
        <v>3080</v>
      </c>
      <c r="AC288" s="199"/>
      <c r="AD288" s="199"/>
      <c r="AE288" s="199"/>
      <c r="AF288" s="199"/>
      <c r="AG288" s="199"/>
      <c r="AH288" s="199"/>
      <c r="AI288" s="199"/>
      <c r="AJ288" s="199"/>
      <c r="AK288" s="199"/>
      <c r="AL288" s="199"/>
      <c r="AM288" s="205" t="s">
        <v>2783</v>
      </c>
      <c r="AN288" s="197"/>
      <c r="AO288" s="197"/>
      <c r="AP288" s="197"/>
      <c r="AQ288" s="197"/>
      <c r="AR288" s="197"/>
      <c r="AS288" s="197"/>
    </row>
    <row r="289">
      <c r="A289" s="198" t="str">
        <f t="shared" si="1"/>
        <v>PP</v>
      </c>
      <c r="B289" s="205" t="s">
        <v>3275</v>
      </c>
      <c r="C289" s="205" t="s">
        <v>3276</v>
      </c>
      <c r="D289" s="199"/>
      <c r="E289" s="213">
        <v>45958.0</v>
      </c>
      <c r="F289" s="205">
        <v>10.0</v>
      </c>
      <c r="G289" s="205">
        <v>2025.0</v>
      </c>
      <c r="H289" s="199"/>
      <c r="I289" s="207"/>
      <c r="J289" s="199"/>
      <c r="K289" s="202"/>
      <c r="L289" s="205" t="str">
        <f>IFERROR(__xludf.DUMMYFUNCTION("IFERROR(
    INDEX(FILTER('Arrived Shipments'!O:O, 'Arrived Shipments'!B:B=$B289),1),
    IFERROR(
        INDEX(FILTER('POed not arrived'!D:D, 'POed not arrived'!A:A=$B289),1),
        """"
    )
)"),"")</f>
        <v/>
      </c>
      <c r="M289" s="202"/>
      <c r="N289" s="206" t="str">
        <f>IFERROR(__xludf.DUMMYFUNCTION("IFERROR(
    INDEX(FILTER('Arrived Shipments'!O:O, 'Arrived Shipments'!B:B=$B289),2),
    IFERROR(
        INDEX(FILTER('POed not arrived'!D:D, 'POed not arrived'!A:A=$B289),2),
        """"
    )
)"),"")</f>
        <v/>
      </c>
      <c r="O289" s="202"/>
      <c r="P289" s="202" t="str">
        <f>IFERROR(__xludf.DUMMYFUNCTION("IFERROR(
    INDEX(FILTER('Arrived Shipments'!O:O, 'Arrived Shipments'!B:B=$B289),3),
    IFERROR(
        INDEX(FILTER('POed not arrived'!D:D, 'POed not arrived'!A:A=$B289),3),
        """"
    )
)"),"")</f>
        <v/>
      </c>
      <c r="Q289" s="202"/>
      <c r="R289" s="206" t="str">
        <f>IFERROR(__xludf.DUMMYFUNCTION("IFERROR(
    INDEX(FILTER('Arrived Shipments'!O:O, 'Arrived Shipments'!B:B=$B289),4),
    IFERROR(
        INDEX(FILTER('POed not arrived'!D:D, 'POed not arrived'!A:A=$B289),4),
        """"
    )
)"),"")</f>
        <v/>
      </c>
      <c r="S289" s="202"/>
      <c r="T289" s="202"/>
      <c r="U289" s="198"/>
      <c r="V289" s="199"/>
      <c r="W289" s="221"/>
      <c r="X289" s="221" t="s">
        <v>3321</v>
      </c>
      <c r="Y289" s="199"/>
      <c r="Z289" s="199"/>
      <c r="AA289" s="204" t="str">
        <f t="shared" si="4"/>
        <v/>
      </c>
      <c r="AB289" s="205" t="s">
        <v>2872</v>
      </c>
      <c r="AC289" s="199"/>
      <c r="AD289" s="199"/>
      <c r="AE289" s="199"/>
      <c r="AF289" s="199"/>
      <c r="AG289" s="199"/>
      <c r="AH289" s="199"/>
      <c r="AI289" s="199"/>
      <c r="AJ289" s="199"/>
      <c r="AK289" s="199"/>
      <c r="AL289" s="199"/>
      <c r="AM289" s="205" t="s">
        <v>2783</v>
      </c>
      <c r="AN289" s="197"/>
      <c r="AO289" s="197"/>
      <c r="AP289" s="197"/>
      <c r="AQ289" s="197"/>
      <c r="AR289" s="197"/>
      <c r="AS289" s="197"/>
    </row>
    <row r="290" ht="13.5" customHeight="1">
      <c r="A290" s="198" t="str">
        <f t="shared" si="1"/>
        <v>PP</v>
      </c>
      <c r="B290" s="205" t="s">
        <v>2588</v>
      </c>
      <c r="C290" s="205" t="s">
        <v>3074</v>
      </c>
      <c r="D290" s="203" t="s">
        <v>2843</v>
      </c>
      <c r="E290" s="213">
        <v>45964.0</v>
      </c>
      <c r="F290" s="205">
        <v>11.0</v>
      </c>
      <c r="G290" s="205">
        <v>2025.0</v>
      </c>
      <c r="H290" s="203">
        <v>2500011.0</v>
      </c>
      <c r="I290" s="207"/>
      <c r="J290" s="199"/>
      <c r="K290" s="206" t="s">
        <v>2590</v>
      </c>
      <c r="L290" s="205">
        <f>IFERROR(__xludf.DUMMYFUNCTION("IFERROR(
    INDEX(FILTER('Arrived Shipments'!O:O, 'Arrived Shipments'!B:B=$B290),1),
    IFERROR(
        INDEX(FILTER('POed not arrived'!D:D, 'POed not arrived'!A:A=$B290),1),
        """"
    )
)"),2600044.0)</f>
        <v>2600044</v>
      </c>
      <c r="M290" s="206">
        <v>33325.0</v>
      </c>
      <c r="N290" s="206" t="str">
        <f>IFERROR(__xludf.DUMMYFUNCTION("IFERROR(
    INDEX(FILTER('Arrived Shipments'!O:O, 'Arrived Shipments'!B:B=$B290),2),
    IFERROR(
        INDEX(FILTER('POed not arrived'!D:D, 'POed not arrived'!A:A=$B290),2),
        """"
    )
)"),"")</f>
        <v/>
      </c>
      <c r="O290" s="206"/>
      <c r="P290" s="202" t="str">
        <f>IFERROR(__xludf.DUMMYFUNCTION("IFERROR(
    INDEX(FILTER('Arrived Shipments'!O:O, 'Arrived Shipments'!B:B=$B290),3),
    IFERROR(
        INDEX(FILTER('POed not arrived'!D:D, 'POed not arrived'!A:A=$B290),3),
        """"
    )
)"),"")</f>
        <v/>
      </c>
      <c r="Q290" s="206"/>
      <c r="R290" s="206" t="str">
        <f>IFERROR(__xludf.DUMMYFUNCTION("IFERROR(
    INDEX(FILTER('Arrived Shipments'!O:O, 'Arrived Shipments'!B:B=$B290),4),
    IFERROR(
        INDEX(FILTER('POed not arrived'!D:D, 'POed not arrived'!A:A=$B290),4),
        """"
    )
)"),"")</f>
        <v/>
      </c>
      <c r="S290" s="206"/>
      <c r="T290" s="206">
        <v>33325.0</v>
      </c>
      <c r="U290" s="205" t="s">
        <v>2712</v>
      </c>
      <c r="V290" s="199"/>
      <c r="W290" s="221" t="s">
        <v>3320</v>
      </c>
      <c r="X290" s="221" t="s">
        <v>1401</v>
      </c>
      <c r="Y290" s="213"/>
      <c r="Z290" s="213">
        <v>46048.0</v>
      </c>
      <c r="AA290" s="204" t="str">
        <f t="shared" si="4"/>
        <v>Expected Arrived</v>
      </c>
      <c r="AB290" s="205" t="s">
        <v>38</v>
      </c>
      <c r="AC290" s="199"/>
      <c r="AD290" s="199"/>
      <c r="AE290" s="199"/>
      <c r="AF290" s="199"/>
      <c r="AG290" s="199"/>
      <c r="AH290" s="199"/>
      <c r="AI290" s="199"/>
      <c r="AJ290" s="199"/>
      <c r="AK290" s="199"/>
      <c r="AL290" s="199"/>
      <c r="AM290" s="205" t="s">
        <v>2783</v>
      </c>
      <c r="AN290" s="197"/>
      <c r="AO290" s="197"/>
      <c r="AP290" s="197"/>
      <c r="AQ290" s="197"/>
      <c r="AR290" s="197"/>
      <c r="AS290" s="197"/>
    </row>
    <row r="291" ht="12.0" customHeight="1">
      <c r="A291" s="198" t="str">
        <f t="shared" si="1"/>
        <v>PP</v>
      </c>
      <c r="B291" s="205" t="s">
        <v>3277</v>
      </c>
      <c r="C291" s="205" t="s">
        <v>3074</v>
      </c>
      <c r="D291" s="203" t="s">
        <v>3121</v>
      </c>
      <c r="E291" s="213">
        <v>45964.0</v>
      </c>
      <c r="F291" s="205">
        <v>11.0</v>
      </c>
      <c r="G291" s="205">
        <v>2025.0</v>
      </c>
      <c r="H291" s="203">
        <v>2500012.0</v>
      </c>
      <c r="I291" s="207"/>
      <c r="J291" s="199"/>
      <c r="K291" s="206" t="s">
        <v>3322</v>
      </c>
      <c r="L291" s="205">
        <f>IFERROR(__xludf.DUMMYFUNCTION("IFERROR(
    INDEX(FILTER('Arrived Shipments'!O:O, 'Arrived Shipments'!B:B=$B291),1),
    IFERROR(
        INDEX(FILTER('POed not arrived'!D:D, 'POed not arrived'!A:A=$B291),1),
        """"
    )
)"),47.0)</f>
        <v>47</v>
      </c>
      <c r="M291" s="206">
        <v>36069.0</v>
      </c>
      <c r="N291" s="223">
        <f>IFERROR(__xludf.DUMMYFUNCTION("IFERROR(
    INDEX(FILTER('Arrived Shipments'!O:O, 'Arrived Shipments'!B:B=$B291),2),
    IFERROR(
        INDEX(FILTER('POed not arrived'!D:D, 'POed not arrived'!A:A=$B291),2),
        """"
    )
)"),46.0)</f>
        <v>46</v>
      </c>
      <c r="O291" s="206">
        <v>36000.0</v>
      </c>
      <c r="P291" s="202" t="str">
        <f>IFERROR(__xludf.DUMMYFUNCTION("IFERROR(
    INDEX(FILTER('Arrived Shipments'!O:O, 'Arrived Shipments'!B:B=$B291),3),
    IFERROR(
        INDEX(FILTER('POed not arrived'!D:D, 'POed not arrived'!A:A=$B291),3),
        """"
    )
)"),"")</f>
        <v/>
      </c>
      <c r="Q291" s="206"/>
      <c r="R291" s="206" t="str">
        <f>IFERROR(__xludf.DUMMYFUNCTION("IFERROR(
    INDEX(FILTER('Arrived Shipments'!O:O, 'Arrived Shipments'!B:B=$B291),4),
    IFERROR(
        INDEX(FILTER('POed not arrived'!D:D, 'POed not arrived'!A:A=$B291),4),
        """"
    )
)"),"")</f>
        <v/>
      </c>
      <c r="S291" s="206"/>
      <c r="T291" s="206">
        <v>69069.0</v>
      </c>
      <c r="U291" s="205" t="s">
        <v>2712</v>
      </c>
      <c r="V291" s="199"/>
      <c r="W291" s="221" t="s">
        <v>3320</v>
      </c>
      <c r="X291" s="221" t="s">
        <v>1401</v>
      </c>
      <c r="Y291" s="213"/>
      <c r="Z291" s="213">
        <v>46042.0</v>
      </c>
      <c r="AA291" s="204" t="str">
        <f t="shared" si="4"/>
        <v>Expected Arrived</v>
      </c>
      <c r="AB291" s="205" t="s">
        <v>38</v>
      </c>
      <c r="AC291" s="199"/>
      <c r="AD291" s="199"/>
      <c r="AE291" s="199"/>
      <c r="AF291" s="199"/>
      <c r="AG291" s="199"/>
      <c r="AH291" s="199"/>
      <c r="AI291" s="199"/>
      <c r="AJ291" s="199"/>
      <c r="AK291" s="199"/>
      <c r="AL291" s="199"/>
      <c r="AM291" s="205" t="s">
        <v>2783</v>
      </c>
      <c r="AN291" s="197"/>
      <c r="AO291" s="197"/>
      <c r="AP291" s="197"/>
      <c r="AQ291" s="197"/>
      <c r="AR291" s="197"/>
      <c r="AS291" s="197"/>
    </row>
    <row r="292">
      <c r="A292" s="198" t="str">
        <f t="shared" si="1"/>
        <v>PP</v>
      </c>
      <c r="B292" s="205" t="s">
        <v>3278</v>
      </c>
      <c r="C292" s="205" t="s">
        <v>3074</v>
      </c>
      <c r="D292" s="203" t="s">
        <v>3323</v>
      </c>
      <c r="E292" s="213">
        <v>45964.0</v>
      </c>
      <c r="F292" s="205">
        <v>11.0</v>
      </c>
      <c r="G292" s="205">
        <v>2025.0</v>
      </c>
      <c r="H292" s="203">
        <v>2500013.0</v>
      </c>
      <c r="I292" s="207"/>
      <c r="J292" s="199"/>
      <c r="K292" s="206"/>
      <c r="L292" s="205">
        <f>IFERROR(__xludf.DUMMYFUNCTION("IFERROR(
    INDEX(FILTER('Arrived Shipments'!O:O, 'Arrived Shipments'!B:B=$B292),1),
    IFERROR(
        INDEX(FILTER('POed not arrived'!D:D, 'POed not arrived'!A:A=$B292),1),
        """"
    )
)"),97.0)</f>
        <v>97</v>
      </c>
      <c r="M292" s="206"/>
      <c r="N292" s="223" t="str">
        <f>IFERROR(__xludf.DUMMYFUNCTION("IFERROR(
    INDEX(FILTER('Arrived Shipments'!O:O, 'Arrived Shipments'!B:B=$B292),2),
    IFERROR(
        INDEX(FILTER('POed not arrived'!D:D, 'POed not arrived'!A:A=$B292),2),
        """"
    )
)"),"")</f>
        <v/>
      </c>
      <c r="O292" s="206"/>
      <c r="P292" s="202" t="str">
        <f>IFERROR(__xludf.DUMMYFUNCTION("IFERROR(
    INDEX(FILTER('Arrived Shipments'!O:O, 'Arrived Shipments'!B:B=$B292),3),
    IFERROR(
        INDEX(FILTER('POed not arrived'!D:D, 'POed not arrived'!A:A=$B292),3),
        """"
    )
)"),"")</f>
        <v/>
      </c>
      <c r="Q292" s="206"/>
      <c r="R292" s="206" t="str">
        <f>IFERROR(__xludf.DUMMYFUNCTION("IFERROR(
    INDEX(FILTER('Arrived Shipments'!O:O, 'Arrived Shipments'!B:B=$B292),4),
    IFERROR(
        INDEX(FILTER('POed not arrived'!D:D, 'POed not arrived'!A:A=$B292),4),
        """"
    )
)"),"")</f>
        <v/>
      </c>
      <c r="S292" s="206"/>
      <c r="T292" s="206">
        <v>60720.0</v>
      </c>
      <c r="U292" s="205" t="s">
        <v>2712</v>
      </c>
      <c r="V292" s="199"/>
      <c r="W292" s="221"/>
      <c r="X292" s="221" t="s">
        <v>1401</v>
      </c>
      <c r="Y292" s="213"/>
      <c r="Z292" s="213">
        <v>46081.0</v>
      </c>
      <c r="AA292" s="204" t="str">
        <f t="shared" si="4"/>
        <v>Expected Arrived</v>
      </c>
      <c r="AB292" s="205" t="s">
        <v>38</v>
      </c>
      <c r="AC292" s="199"/>
      <c r="AD292" s="199"/>
      <c r="AE292" s="199"/>
      <c r="AF292" s="199"/>
      <c r="AG292" s="199"/>
      <c r="AH292" s="199"/>
      <c r="AI292" s="199"/>
      <c r="AJ292" s="199"/>
      <c r="AK292" s="199"/>
      <c r="AL292" s="199"/>
      <c r="AM292" s="205" t="s">
        <v>2783</v>
      </c>
      <c r="AN292" s="197"/>
      <c r="AO292" s="197"/>
      <c r="AP292" s="197"/>
      <c r="AQ292" s="197"/>
      <c r="AR292" s="197"/>
      <c r="AS292" s="197"/>
    </row>
    <row r="293">
      <c r="A293" s="198" t="str">
        <f t="shared" si="1"/>
        <v>PP</v>
      </c>
      <c r="B293" s="205" t="s">
        <v>3280</v>
      </c>
      <c r="C293" s="205" t="s">
        <v>3074</v>
      </c>
      <c r="D293" s="203" t="s">
        <v>3281</v>
      </c>
      <c r="E293" s="213">
        <v>45965.0</v>
      </c>
      <c r="F293" s="205">
        <v>11.0</v>
      </c>
      <c r="G293" s="205">
        <v>2025.0</v>
      </c>
      <c r="H293" s="203">
        <v>2500015.0</v>
      </c>
      <c r="I293" s="207"/>
      <c r="J293" s="199"/>
      <c r="K293" s="206" t="s">
        <v>3324</v>
      </c>
      <c r="L293" s="205">
        <f>IFERROR(__xludf.DUMMYFUNCTION("IFERROR(
    INDEX(FILTER('Arrived Shipments'!O:O, 'Arrived Shipments'!B:B=$B293),1),
    IFERROR(
        INDEX(FILTER('POed not arrived'!D:D, 'POed not arrived'!A:A=$B293),1),
        """"
    )
)"),37.0)</f>
        <v>37</v>
      </c>
      <c r="M293" s="206">
        <v>102184.8</v>
      </c>
      <c r="N293" s="223" t="str">
        <f>IFERROR(__xludf.DUMMYFUNCTION("IFERROR(
    INDEX(FILTER('Arrived Shipments'!O:O, 'Arrived Shipments'!B:B=$B293),2),
    IFERROR(
        INDEX(FILTER('POed not arrived'!D:D, 'POed not arrived'!A:A=$B293),2),
        """"
    )
)"),"")</f>
        <v/>
      </c>
      <c r="O293" s="206"/>
      <c r="P293" s="202" t="str">
        <f>IFERROR(__xludf.DUMMYFUNCTION("IFERROR(
    INDEX(FILTER('Arrived Shipments'!O:O, 'Arrived Shipments'!B:B=$B293),3),
    IFERROR(
        INDEX(FILTER('POed not arrived'!D:D, 'POed not arrived'!A:A=$B293),3),
        """"
    )
)"),"")</f>
        <v/>
      </c>
      <c r="Q293" s="206"/>
      <c r="R293" s="206" t="str">
        <f>IFERROR(__xludf.DUMMYFUNCTION("IFERROR(
    INDEX(FILTER('Arrived Shipments'!O:O, 'Arrived Shipments'!B:B=$B293),4),
    IFERROR(
        INDEX(FILTER('POed not arrived'!D:D, 'POed not arrived'!A:A=$B293),4),
        """"
    )
)"),"")</f>
        <v/>
      </c>
      <c r="S293" s="206"/>
      <c r="T293" s="206">
        <v>108484.5</v>
      </c>
      <c r="U293" s="205" t="s">
        <v>2712</v>
      </c>
      <c r="V293" s="199"/>
      <c r="W293" s="221" t="s">
        <v>3320</v>
      </c>
      <c r="X293" s="221" t="s">
        <v>1401</v>
      </c>
      <c r="Y293" s="213"/>
      <c r="Z293" s="213">
        <v>46022.0</v>
      </c>
      <c r="AA293" s="204" t="str">
        <f t="shared" si="4"/>
        <v>Expected Arrived</v>
      </c>
      <c r="AB293" s="205" t="s">
        <v>38</v>
      </c>
      <c r="AC293" s="199"/>
      <c r="AD293" s="199"/>
      <c r="AE293" s="199"/>
      <c r="AF293" s="199"/>
      <c r="AG293" s="199"/>
      <c r="AH293" s="199"/>
      <c r="AI293" s="199"/>
      <c r="AJ293" s="199"/>
      <c r="AK293" s="199"/>
      <c r="AL293" s="199"/>
      <c r="AM293" s="205" t="s">
        <v>2783</v>
      </c>
      <c r="AN293" s="197"/>
      <c r="AO293" s="197"/>
      <c r="AP293" s="197"/>
      <c r="AQ293" s="197"/>
      <c r="AR293" s="197"/>
      <c r="AS293" s="197"/>
    </row>
    <row r="294">
      <c r="A294" s="198" t="str">
        <f t="shared" si="1"/>
        <v>PP</v>
      </c>
      <c r="B294" s="205" t="s">
        <v>3282</v>
      </c>
      <c r="C294" s="205" t="s">
        <v>3033</v>
      </c>
      <c r="D294" s="199"/>
      <c r="E294" s="213">
        <v>45972.0</v>
      </c>
      <c r="F294" s="205">
        <v>11.0</v>
      </c>
      <c r="G294" s="205">
        <v>2025.0</v>
      </c>
      <c r="H294" s="203">
        <v>2500014.0</v>
      </c>
      <c r="I294" s="207"/>
      <c r="J294" s="199"/>
      <c r="K294" s="206"/>
      <c r="L294" s="205">
        <f>IFERROR(__xludf.DUMMYFUNCTION("IFERROR(
    INDEX(FILTER('Arrived Shipments'!O:O, 'Arrived Shipments'!B:B=$B294),1),
    IFERROR(
        INDEX(FILTER('POed not arrived'!D:D, 'POed not arrived'!A:A=$B294),1),
        """"
    )
)"),106.0)</f>
        <v>106</v>
      </c>
      <c r="M294" s="206"/>
      <c r="N294" s="223" t="str">
        <f>IFERROR(__xludf.DUMMYFUNCTION("IFERROR(
    INDEX(FILTER('Arrived Shipments'!O:O, 'Arrived Shipments'!B:B=$B294),2),
    IFERROR(
        INDEX(FILTER('POed not arrived'!D:D, 'POed not arrived'!A:A=$B294),2),
        """"
    )
)"),"")</f>
        <v/>
      </c>
      <c r="O294" s="206"/>
      <c r="P294" s="202" t="str">
        <f>IFERROR(__xludf.DUMMYFUNCTION("IFERROR(
    INDEX(FILTER('Arrived Shipments'!O:O, 'Arrived Shipments'!B:B=$B294),3),
    IFERROR(
        INDEX(FILTER('POed not arrived'!D:D, 'POed not arrived'!A:A=$B294),3),
        """"
    )
)"),"")</f>
        <v/>
      </c>
      <c r="Q294" s="206"/>
      <c r="R294" s="206" t="str">
        <f>IFERROR(__xludf.DUMMYFUNCTION("IFERROR(
    INDEX(FILTER('Arrived Shipments'!O:O, 'Arrived Shipments'!B:B=$B294),4),
    IFERROR(
        INDEX(FILTER('POed not arrived'!D:D, 'POed not arrived'!A:A=$B294),4),
        """"
    )
)"),"")</f>
        <v/>
      </c>
      <c r="S294" s="206"/>
      <c r="T294" s="206">
        <v>61255.2</v>
      </c>
      <c r="U294" s="205" t="s">
        <v>2712</v>
      </c>
      <c r="V294" s="199"/>
      <c r="W294" s="221"/>
      <c r="X294" s="221" t="s">
        <v>1401</v>
      </c>
      <c r="Y294" s="213"/>
      <c r="Z294" s="213">
        <v>46127.0</v>
      </c>
      <c r="AA294" s="204" t="str">
        <f t="shared" si="4"/>
        <v>Expected Arrived</v>
      </c>
      <c r="AB294" s="205" t="s">
        <v>3080</v>
      </c>
      <c r="AC294" s="199"/>
      <c r="AD294" s="199"/>
      <c r="AE294" s="199"/>
      <c r="AF294" s="199"/>
      <c r="AG294" s="199"/>
      <c r="AH294" s="199"/>
      <c r="AI294" s="199"/>
      <c r="AJ294" s="199"/>
      <c r="AK294" s="199"/>
      <c r="AL294" s="199"/>
      <c r="AM294" s="205" t="s">
        <v>2783</v>
      </c>
      <c r="AN294" s="197"/>
      <c r="AO294" s="197"/>
      <c r="AP294" s="197"/>
      <c r="AQ294" s="197"/>
      <c r="AR294" s="197"/>
      <c r="AS294" s="197"/>
    </row>
    <row r="295" ht="14.25" customHeight="1">
      <c r="A295" s="198" t="str">
        <f t="shared" si="1"/>
        <v>PP</v>
      </c>
      <c r="B295" s="205" t="s">
        <v>2591</v>
      </c>
      <c r="C295" s="205" t="s">
        <v>81</v>
      </c>
      <c r="D295" s="203" t="s">
        <v>2807</v>
      </c>
      <c r="E295" s="213">
        <v>45971.0</v>
      </c>
      <c r="F295" s="205">
        <v>11.0</v>
      </c>
      <c r="G295" s="205">
        <v>2025.0</v>
      </c>
      <c r="H295" s="203">
        <v>2500016.0</v>
      </c>
      <c r="I295" s="206">
        <v>473616.96</v>
      </c>
      <c r="J295" s="199"/>
      <c r="K295" s="206" t="s">
        <v>3325</v>
      </c>
      <c r="L295" s="205" t="str">
        <f>IFERROR(__xludf.DUMMYFUNCTION("IFERROR(
    INDEX(FILTER('Arrived Shipments'!O:O, 'Arrived Shipments'!B:B=$B295),1),
    IFERROR(
        INDEX(FILTER('POed not arrived'!D:D, 'POed not arrived'!A:A=$B295),1),
        """"
    )
)"),"50-&gt;55-58")</f>
        <v>50-&gt;55-58</v>
      </c>
      <c r="M295" s="206">
        <v>493005.84</v>
      </c>
      <c r="N295" s="223" t="str">
        <f>IFERROR(__xludf.DUMMYFUNCTION("IFERROR(
    INDEX(FILTER('Arrived Shipments'!O:O, 'Arrived Shipments'!B:B=$B295),2),
    IFERROR(
        INDEX(FILTER('POed not arrived'!D:D, 'POed not arrived'!A:A=$B295),2),
        """"
    )
)"),"48-49-56-57-59")</f>
        <v>48-49-56-57-59</v>
      </c>
      <c r="O295" s="206"/>
      <c r="P295" s="202">
        <f>IFERROR(__xludf.DUMMYFUNCTION("IFERROR(
    INDEX(FILTER('Arrived Shipments'!O:O, 'Arrived Shipments'!B:B=$B295),3),
    IFERROR(
        INDEX(FILTER('POed not arrived'!D:D, 'POed not arrived'!A:A=$B295),3),
        """"
    )
)"),60.0)</f>
        <v>60</v>
      </c>
      <c r="Q295" s="206"/>
      <c r="R295" s="206" t="str">
        <f>IFERROR(__xludf.DUMMYFUNCTION("IFERROR(
    INDEX(FILTER('Arrived Shipments'!O:O, 'Arrived Shipments'!B:B=$B295),4),
    IFERROR(
        INDEX(FILTER('POed not arrived'!D:D, 'POed not arrived'!A:A=$B295),4),
        """"
    )
)"),"")</f>
        <v/>
      </c>
      <c r="S295" s="206"/>
      <c r="T295" s="202">
        <f>SUM(M295,O295,Q295,S295)</f>
        <v>493005.84</v>
      </c>
      <c r="U295" s="205" t="s">
        <v>2712</v>
      </c>
      <c r="V295" s="199"/>
      <c r="W295" s="221" t="s">
        <v>3326</v>
      </c>
      <c r="X295" s="221" t="s">
        <v>1401</v>
      </c>
      <c r="Y295" s="213"/>
      <c r="Z295" s="213">
        <v>46112.0</v>
      </c>
      <c r="AA295" s="204" t="str">
        <f t="shared" si="4"/>
        <v>Expected Arrived</v>
      </c>
      <c r="AB295" s="205" t="s">
        <v>2730</v>
      </c>
      <c r="AC295" s="203" t="s">
        <v>3327</v>
      </c>
      <c r="AD295" s="224">
        <v>493005.84</v>
      </c>
      <c r="AE295" s="199"/>
      <c r="AF295" s="225">
        <f>AD295*25%</f>
        <v>123251.46</v>
      </c>
      <c r="AG295" s="203" t="s">
        <v>3328</v>
      </c>
      <c r="AH295" s="225">
        <f>AD295*25%</f>
        <v>123251.46</v>
      </c>
      <c r="AI295" s="203" t="s">
        <v>3329</v>
      </c>
      <c r="AJ295" s="225">
        <f>AD295*50%*0.98</f>
        <v>241572.8616</v>
      </c>
      <c r="AK295" s="203" t="s">
        <v>3330</v>
      </c>
      <c r="AL295" s="199"/>
      <c r="AM295" s="205" t="s">
        <v>2783</v>
      </c>
      <c r="AN295" s="197"/>
      <c r="AO295" s="197"/>
      <c r="AP295" s="197"/>
      <c r="AQ295" s="197"/>
      <c r="AR295" s="197"/>
      <c r="AS295" s="197"/>
    </row>
    <row r="296">
      <c r="A296" s="198" t="str">
        <f t="shared" si="1"/>
        <v>PP</v>
      </c>
      <c r="B296" s="205" t="s">
        <v>3283</v>
      </c>
      <c r="C296" s="205" t="s">
        <v>105</v>
      </c>
      <c r="D296" s="203" t="s">
        <v>3331</v>
      </c>
      <c r="E296" s="213">
        <v>45977.0</v>
      </c>
      <c r="F296" s="205">
        <v>11.0</v>
      </c>
      <c r="G296" s="205">
        <v>2025.0</v>
      </c>
      <c r="H296" s="199"/>
      <c r="I296" s="207"/>
      <c r="J296" s="199"/>
      <c r="K296" s="202"/>
      <c r="L296" s="205" t="str">
        <f>IFERROR(__xludf.DUMMYFUNCTION("IFERROR(
    INDEX(FILTER('Arrived Shipments'!O:O, 'Arrived Shipments'!B:B=$B296),1),
    IFERROR(
        INDEX(FILTER('POed not arrived'!D:D, 'POed not arrived'!A:A=$B296),1),
        """"
    )
)"),"")</f>
        <v/>
      </c>
      <c r="M296" s="202"/>
      <c r="N296" s="223" t="str">
        <f>IFERROR(__xludf.DUMMYFUNCTION("IFERROR(
    INDEX(FILTER('Arrived Shipments'!O:O, 'Arrived Shipments'!B:B=$B296),2),
    IFERROR(
        INDEX(FILTER('POed not arrived'!D:D, 'POed not arrived'!A:A=$B296),2),
        """"
    )
)"),"")</f>
        <v/>
      </c>
      <c r="O296" s="202"/>
      <c r="P296" s="202" t="str">
        <f>IFERROR(__xludf.DUMMYFUNCTION("IFERROR(
    INDEX(FILTER('Arrived Shipments'!O:O, 'Arrived Shipments'!B:B=$B296),3),
    IFERROR(
        INDEX(FILTER('POed not arrived'!D:D, 'POed not arrived'!A:A=$B296),3),
        """"
    )
)"),"")</f>
        <v/>
      </c>
      <c r="Q296" s="202"/>
      <c r="R296" s="206" t="str">
        <f>IFERROR(__xludf.DUMMYFUNCTION("IFERROR(
    INDEX(FILTER('Arrived Shipments'!O:O, 'Arrived Shipments'!B:B=$B296),4),
    IFERROR(
        INDEX(FILTER('POed not arrived'!D:D, 'POed not arrived'!A:A=$B296),4),
        """"
    )
)"),"")</f>
        <v/>
      </c>
      <c r="S296" s="206"/>
      <c r="T296" s="206">
        <v>4258.8</v>
      </c>
      <c r="U296" s="205" t="s">
        <v>3026</v>
      </c>
      <c r="V296" s="199"/>
      <c r="W296" s="221"/>
      <c r="X296" s="221" t="s">
        <v>3332</v>
      </c>
      <c r="Y296" s="216"/>
      <c r="Z296" s="216"/>
      <c r="AA296" s="204" t="str">
        <f t="shared" si="4"/>
        <v/>
      </c>
      <c r="AB296" s="205" t="s">
        <v>38</v>
      </c>
      <c r="AC296" s="199"/>
      <c r="AD296" s="199"/>
      <c r="AE296" s="199"/>
      <c r="AF296" s="199"/>
      <c r="AG296" s="199"/>
      <c r="AH296" s="199"/>
      <c r="AI296" s="199"/>
      <c r="AJ296" s="199"/>
      <c r="AK296" s="199"/>
      <c r="AL296" s="199"/>
      <c r="AM296" s="205" t="s">
        <v>2783</v>
      </c>
      <c r="AN296" s="197"/>
      <c r="AO296" s="197"/>
      <c r="AP296" s="197"/>
      <c r="AQ296" s="197"/>
      <c r="AR296" s="197"/>
      <c r="AS296" s="197"/>
    </row>
    <row r="297">
      <c r="A297" s="198" t="str">
        <f t="shared" si="1"/>
        <v>PP</v>
      </c>
      <c r="B297" s="226" t="s">
        <v>3283</v>
      </c>
      <c r="C297" s="205" t="s">
        <v>81</v>
      </c>
      <c r="D297" s="199"/>
      <c r="E297" s="213">
        <v>45977.0</v>
      </c>
      <c r="F297" s="205">
        <v>11.0</v>
      </c>
      <c r="G297" s="205">
        <v>2025.0</v>
      </c>
      <c r="H297" s="203">
        <v>2600012.0</v>
      </c>
      <c r="I297" s="218">
        <v>450282.682</v>
      </c>
      <c r="J297" s="199"/>
      <c r="K297" s="202"/>
      <c r="L297" s="205" t="str">
        <f>IFERROR(__xludf.DUMMYFUNCTION("IFERROR(
    INDEX(FILTER('Arrived Shipments'!O:O, 'Arrived Shipments'!B:B=$B297),1),
    IFERROR(
        INDEX(FILTER('POed not arrived'!D:D, 'POed not arrived'!A:A=$B297),1),
        """"
    )
)"),"")</f>
        <v/>
      </c>
      <c r="M297" s="202"/>
      <c r="N297" s="223" t="str">
        <f>IFERROR(__xludf.DUMMYFUNCTION("IFERROR(
    INDEX(FILTER('Arrived Shipments'!O:O, 'Arrived Shipments'!B:B=$B297),2),
    IFERROR(
        INDEX(FILTER('POed not arrived'!D:D, 'POed not arrived'!A:A=$B297),2),
        """"
    )
)"),"")</f>
        <v/>
      </c>
      <c r="O297" s="202"/>
      <c r="P297" s="202" t="str">
        <f>IFERROR(__xludf.DUMMYFUNCTION("IFERROR(
    INDEX(FILTER('Arrived Shipments'!O:O, 'Arrived Shipments'!B:B=$B297),3),
    IFERROR(
        INDEX(FILTER('POed not arrived'!D:D, 'POed not arrived'!A:A=$B297),3),
        """"
    )
)"),"")</f>
        <v/>
      </c>
      <c r="Q297" s="202"/>
      <c r="R297" s="206" t="str">
        <f>IFERROR(__xludf.DUMMYFUNCTION("IFERROR(
    INDEX(FILTER('Arrived Shipments'!O:O, 'Arrived Shipments'!B:B=$B297),4),
    IFERROR(
        INDEX(FILTER('POed not arrived'!D:D, 'POed not arrived'!A:A=$B297),4),
        """"
    )
)"),"")</f>
        <v/>
      </c>
      <c r="S297" s="202"/>
      <c r="T297" s="202">
        <f>SUM(M297,O297,Q297,S297)</f>
        <v>0</v>
      </c>
      <c r="U297" s="205" t="s">
        <v>2712</v>
      </c>
      <c r="V297" s="199"/>
      <c r="W297" s="197"/>
      <c r="X297" s="221" t="s">
        <v>1401</v>
      </c>
      <c r="Y297" s="199"/>
      <c r="Z297" s="199"/>
      <c r="AA297" s="204" t="str">
        <f t="shared" si="4"/>
        <v/>
      </c>
      <c r="AB297" s="205" t="s">
        <v>2730</v>
      </c>
      <c r="AC297" s="199"/>
      <c r="AD297" s="199"/>
      <c r="AE297" s="199"/>
      <c r="AF297" s="199"/>
      <c r="AG297" s="199"/>
      <c r="AH297" s="199"/>
      <c r="AI297" s="199"/>
      <c r="AJ297" s="199"/>
      <c r="AK297" s="199"/>
      <c r="AL297" s="199"/>
      <c r="AM297" s="198"/>
      <c r="AN297" s="197"/>
      <c r="AO297" s="197"/>
      <c r="AP297" s="197"/>
      <c r="AQ297" s="197"/>
      <c r="AR297" s="197"/>
      <c r="AS297" s="197"/>
    </row>
    <row r="298">
      <c r="A298" s="198" t="str">
        <f t="shared" si="1"/>
        <v>PP</v>
      </c>
      <c r="B298" s="205" t="s">
        <v>3285</v>
      </c>
      <c r="C298" s="205" t="s">
        <v>143</v>
      </c>
      <c r="D298" s="199"/>
      <c r="E298" s="213">
        <v>45986.0</v>
      </c>
      <c r="F298" s="205">
        <v>11.0</v>
      </c>
      <c r="G298" s="205">
        <v>2025.0</v>
      </c>
      <c r="H298" s="203">
        <v>2600021.0</v>
      </c>
      <c r="I298" s="218">
        <v>81000.0</v>
      </c>
      <c r="J298" s="199"/>
      <c r="K298" s="202"/>
      <c r="L298" s="205" t="str">
        <f>IFERROR(__xludf.DUMMYFUNCTION("IFERROR(
    INDEX(FILTER('Arrived Shipments'!O:O, 'Arrived Shipments'!B:B=$B298),1),
    IFERROR(
        INDEX(FILTER('POed not arrived'!D:D, 'POed not arrived'!A:A=$B298),1),
        """"
    )
)"),"")</f>
        <v/>
      </c>
      <c r="M298" s="202"/>
      <c r="N298" s="223" t="str">
        <f>IFERROR(__xludf.DUMMYFUNCTION("IFERROR(
    INDEX(FILTER('Arrived Shipments'!O:O, 'Arrived Shipments'!B:B=$B298),2),
    IFERROR(
        INDEX(FILTER('POed not arrived'!D:D, 'POed not arrived'!A:A=$B298),2),
        """"
    )
)"),"")</f>
        <v/>
      </c>
      <c r="O298" s="202"/>
      <c r="P298" s="202" t="str">
        <f>IFERROR(__xludf.DUMMYFUNCTION("IFERROR(
    INDEX(FILTER('Arrived Shipments'!O:O, 'Arrived Shipments'!B:B=$B298),3),
    IFERROR(
        INDEX(FILTER('POed not arrived'!D:D, 'POed not arrived'!A:A=$B298),3),
        """"
    )
)"),"")</f>
        <v/>
      </c>
      <c r="Q298" s="202"/>
      <c r="R298" s="206" t="str">
        <f>IFERROR(__xludf.DUMMYFUNCTION("IFERROR(
    INDEX(FILTER('Arrived Shipments'!O:O, 'Arrived Shipments'!B:B=$B298),4),
    IFERROR(
        INDEX(FILTER('POed not arrived'!D:D, 'POed not arrived'!A:A=$B298),4),
        """"
    )
)"),"")</f>
        <v/>
      </c>
      <c r="S298" s="206"/>
      <c r="T298" s="206">
        <v>81300.0</v>
      </c>
      <c r="U298" s="205" t="s">
        <v>2998</v>
      </c>
      <c r="V298" s="199"/>
      <c r="W298" s="221"/>
      <c r="X298" s="221" t="s">
        <v>3332</v>
      </c>
      <c r="Y298" s="199"/>
      <c r="Z298" s="199"/>
      <c r="AA298" s="204" t="str">
        <f t="shared" si="4"/>
        <v/>
      </c>
      <c r="AB298" s="205" t="s">
        <v>2781</v>
      </c>
      <c r="AC298" s="199"/>
      <c r="AD298" s="199"/>
      <c r="AE298" s="199"/>
      <c r="AF298" s="199"/>
      <c r="AG298" s="199"/>
      <c r="AH298" s="199"/>
      <c r="AI298" s="199"/>
      <c r="AJ298" s="199"/>
      <c r="AK298" s="199"/>
      <c r="AL298" s="199"/>
      <c r="AM298" s="198"/>
      <c r="AN298" s="197"/>
      <c r="AO298" s="197"/>
      <c r="AP298" s="197"/>
      <c r="AQ298" s="197"/>
      <c r="AR298" s="197"/>
      <c r="AS298" s="197"/>
    </row>
    <row r="299">
      <c r="A299" s="198" t="str">
        <f t="shared" si="1"/>
        <v>PP</v>
      </c>
      <c r="B299" s="205" t="s">
        <v>3287</v>
      </c>
      <c r="C299" s="205" t="s">
        <v>143</v>
      </c>
      <c r="D299" s="199"/>
      <c r="E299" s="213">
        <v>45986.0</v>
      </c>
      <c r="F299" s="205">
        <v>11.0</v>
      </c>
      <c r="G299" s="205">
        <v>2025.0</v>
      </c>
      <c r="H299" s="203">
        <v>2600022.0</v>
      </c>
      <c r="I299" s="218">
        <v>34395.75</v>
      </c>
      <c r="J299" s="199"/>
      <c r="K299" s="202"/>
      <c r="L299" s="205" t="str">
        <f>IFERROR(__xludf.DUMMYFUNCTION("IFERROR(
    INDEX(FILTER('Arrived Shipments'!O:O, 'Arrived Shipments'!B:B=$B299),1),
    IFERROR(
        INDEX(FILTER('POed not arrived'!D:D, 'POed not arrived'!A:A=$B299),1),
        """"
    )
)"),"")</f>
        <v/>
      </c>
      <c r="M299" s="202"/>
      <c r="N299" s="223" t="str">
        <f>IFERROR(__xludf.DUMMYFUNCTION("IFERROR(
    INDEX(FILTER('Arrived Shipments'!O:O, 'Arrived Shipments'!B:B=$B299),2),
    IFERROR(
        INDEX(FILTER('POed not arrived'!D:D, 'POed not arrived'!A:A=$B299),2),
        """"
    )
)"),"")</f>
        <v/>
      </c>
      <c r="O299" s="202"/>
      <c r="P299" s="202" t="str">
        <f>IFERROR(__xludf.DUMMYFUNCTION("IFERROR(
    INDEX(FILTER('Arrived Shipments'!O:O, 'Arrived Shipments'!B:B=$B299),3),
    IFERROR(
        INDEX(FILTER('POed not arrived'!D:D, 'POed not arrived'!A:A=$B299),3),
        """"
    )
)"),"")</f>
        <v/>
      </c>
      <c r="Q299" s="202"/>
      <c r="R299" s="206" t="str">
        <f>IFERROR(__xludf.DUMMYFUNCTION("IFERROR(
    INDEX(FILTER('Arrived Shipments'!O:O, 'Arrived Shipments'!B:B=$B299),4),
    IFERROR(
        INDEX(FILTER('POed not arrived'!D:D, 'POed not arrived'!A:A=$B299),4),
        """"
    )
)"),"")</f>
        <v/>
      </c>
      <c r="S299" s="206"/>
      <c r="T299" s="206">
        <v>34394.75</v>
      </c>
      <c r="U299" s="205" t="s">
        <v>2998</v>
      </c>
      <c r="V299" s="199"/>
      <c r="W299" s="221"/>
      <c r="X299" s="221" t="s">
        <v>3333</v>
      </c>
      <c r="Y299" s="199"/>
      <c r="Z299" s="199"/>
      <c r="AA299" s="204" t="str">
        <f t="shared" si="4"/>
        <v/>
      </c>
      <c r="AB299" s="205" t="s">
        <v>2781</v>
      </c>
      <c r="AC299" s="199"/>
      <c r="AD299" s="199"/>
      <c r="AE299" s="199"/>
      <c r="AF299" s="199"/>
      <c r="AG299" s="199"/>
      <c r="AH299" s="199"/>
      <c r="AI299" s="199"/>
      <c r="AJ299" s="199"/>
      <c r="AK299" s="199"/>
      <c r="AL299" s="199"/>
      <c r="AM299" s="198"/>
      <c r="AN299" s="197"/>
      <c r="AO299" s="197"/>
      <c r="AP299" s="197"/>
      <c r="AQ299" s="197"/>
      <c r="AR299" s="197"/>
      <c r="AS299" s="197"/>
    </row>
    <row r="300">
      <c r="A300" s="198" t="str">
        <f t="shared" si="1"/>
        <v>PP</v>
      </c>
      <c r="B300" s="205" t="s">
        <v>3289</v>
      </c>
      <c r="C300" s="205" t="s">
        <v>3164</v>
      </c>
      <c r="D300" s="203" t="s">
        <v>3334</v>
      </c>
      <c r="E300" s="212">
        <v>45991.0</v>
      </c>
      <c r="F300" s="205">
        <v>11.0</v>
      </c>
      <c r="G300" s="205">
        <v>2025.0</v>
      </c>
      <c r="H300" s="203">
        <v>2600001.0</v>
      </c>
      <c r="I300" s="218">
        <v>256493.25</v>
      </c>
      <c r="J300" s="199"/>
      <c r="K300" s="202"/>
      <c r="L300" s="205" t="str">
        <f>IFERROR(__xludf.DUMMYFUNCTION("IFERROR(
    INDEX(FILTER('Arrived Shipments'!O:O, 'Arrived Shipments'!B:B=$B300),1),
    IFERROR(
        INDEX(FILTER('POed not arrived'!D:D, 'POed not arrived'!A:A=$B300),1),
        """"
    )
)"),"")</f>
        <v/>
      </c>
      <c r="M300" s="202"/>
      <c r="N300" s="223" t="str">
        <f>IFERROR(__xludf.DUMMYFUNCTION("IFERROR(
    INDEX(FILTER('Arrived Shipments'!O:O, 'Arrived Shipments'!B:B=$B300),2),
    IFERROR(
        INDEX(FILTER('POed not arrived'!D:D, 'POed not arrived'!A:A=$B300),2),
        """"
    )
)"),"")</f>
        <v/>
      </c>
      <c r="O300" s="202"/>
      <c r="P300" s="202" t="str">
        <f>IFERROR(__xludf.DUMMYFUNCTION("IFERROR(
    INDEX(FILTER('Arrived Shipments'!O:O, 'Arrived Shipments'!B:B=$B300),3),
    IFERROR(
        INDEX(FILTER('POed not arrived'!D:D, 'POed not arrived'!A:A=$B300),3),
        """"
    )
)"),"")</f>
        <v/>
      </c>
      <c r="Q300" s="202"/>
      <c r="R300" s="206" t="str">
        <f>IFERROR(__xludf.DUMMYFUNCTION("IFERROR(
    INDEX(FILTER('Arrived Shipments'!O:O, 'Arrived Shipments'!B:B=$B300),4),
    IFERROR(
        INDEX(FILTER('POed not arrived'!D:D, 'POed not arrived'!A:A=$B300),4),
        """"
    )
)"),"")</f>
        <v/>
      </c>
      <c r="S300" s="206"/>
      <c r="T300" s="202">
        <f t="shared" ref="T300:T330" si="7">SUM(M300,O300,Q300,S300)</f>
        <v>0</v>
      </c>
      <c r="U300" s="205" t="s">
        <v>2712</v>
      </c>
      <c r="V300" s="199"/>
      <c r="W300" s="221" t="s">
        <v>3335</v>
      </c>
      <c r="X300" s="221" t="s">
        <v>1401</v>
      </c>
      <c r="Y300" s="216"/>
      <c r="Z300" s="216">
        <v>46193.0</v>
      </c>
      <c r="AA300" s="204" t="str">
        <f t="shared" si="4"/>
        <v>Ready To Load</v>
      </c>
      <c r="AB300" s="205" t="s">
        <v>2781</v>
      </c>
      <c r="AC300" s="199"/>
      <c r="AD300" s="199"/>
      <c r="AE300" s="199"/>
      <c r="AF300" s="199"/>
      <c r="AG300" s="199"/>
      <c r="AH300" s="199"/>
      <c r="AI300" s="199"/>
      <c r="AJ300" s="199"/>
      <c r="AK300" s="199"/>
      <c r="AL300" s="199"/>
      <c r="AM300" s="205" t="s">
        <v>2783</v>
      </c>
      <c r="AN300" s="197"/>
      <c r="AO300" s="197"/>
      <c r="AP300" s="197"/>
      <c r="AQ300" s="197"/>
      <c r="AR300" s="197"/>
      <c r="AS300" s="197"/>
    </row>
    <row r="301">
      <c r="A301" s="198" t="str">
        <f t="shared" si="1"/>
        <v>PP</v>
      </c>
      <c r="B301" s="205" t="s">
        <v>3290</v>
      </c>
      <c r="C301" s="205" t="s">
        <v>259</v>
      </c>
      <c r="D301" s="199"/>
      <c r="E301" s="213">
        <v>45991.0</v>
      </c>
      <c r="F301" s="205">
        <v>11.0</v>
      </c>
      <c r="G301" s="205">
        <v>2025.0</v>
      </c>
      <c r="H301" s="203">
        <v>2600002.0</v>
      </c>
      <c r="I301" s="218">
        <v>55700.76</v>
      </c>
      <c r="J301" s="199"/>
      <c r="K301" s="203">
        <v>9.00008984E8</v>
      </c>
      <c r="L301" s="205">
        <f>IFERROR(__xludf.DUMMYFUNCTION("IFERROR(
    INDEX(FILTER('Arrived Shipments'!O:O, 'Arrived Shipments'!B:B=$B301),1),
    IFERROR(
        INDEX(FILTER('POed not arrived'!D:D, 'POed not arrived'!A:A=$B301),1),
        """"
    )
)"),39.0)</f>
        <v>39</v>
      </c>
      <c r="M301" s="206">
        <v>48192.75</v>
      </c>
      <c r="N301" s="223" t="str">
        <f>IFERROR(__xludf.DUMMYFUNCTION("IFERROR(
    INDEX(FILTER('Arrived Shipments'!O:O, 'Arrived Shipments'!B:B=$B301),2),
    IFERROR(
        INDEX(FILTER('POed not arrived'!D:D, 'POed not arrived'!A:A=$B301),2),
        """"
    )
)"),"")</f>
        <v/>
      </c>
      <c r="O301" s="202"/>
      <c r="P301" s="202" t="str">
        <f>IFERROR(__xludf.DUMMYFUNCTION("IFERROR(
    INDEX(FILTER('Arrived Shipments'!O:O, 'Arrived Shipments'!B:B=$B301),3),
    IFERROR(
        INDEX(FILTER('POed not arrived'!D:D, 'POed not arrived'!A:A=$B301),3),
        """"
    )
)"),"")</f>
        <v/>
      </c>
      <c r="Q301" s="202"/>
      <c r="R301" s="206" t="str">
        <f>IFERROR(__xludf.DUMMYFUNCTION("IFERROR(
    INDEX(FILTER('Arrived Shipments'!O:O, 'Arrived Shipments'!B:B=$B301),4),
    IFERROR(
        INDEX(FILTER('POed not arrived'!D:D, 'POed not arrived'!A:A=$B301),4),
        """"
    )
)"),"")</f>
        <v/>
      </c>
      <c r="S301" s="206"/>
      <c r="T301" s="202">
        <f t="shared" si="7"/>
        <v>48192.75</v>
      </c>
      <c r="U301" s="205" t="s">
        <v>3026</v>
      </c>
      <c r="V301" s="199"/>
      <c r="W301" s="221" t="s">
        <v>3320</v>
      </c>
      <c r="X301" s="221" t="s">
        <v>1401</v>
      </c>
      <c r="Y301" s="213"/>
      <c r="Z301" s="213">
        <v>46008.0</v>
      </c>
      <c r="AA301" s="204" t="str">
        <f t="shared" si="4"/>
        <v>Expected Arrived</v>
      </c>
      <c r="AB301" s="205" t="s">
        <v>38</v>
      </c>
      <c r="AC301" s="199"/>
      <c r="AD301" s="199"/>
      <c r="AE301" s="199"/>
      <c r="AF301" s="199"/>
      <c r="AG301" s="199"/>
      <c r="AH301" s="199"/>
      <c r="AI301" s="199"/>
      <c r="AJ301" s="199"/>
      <c r="AK301" s="199"/>
      <c r="AL301" s="199"/>
      <c r="AM301" s="205" t="s">
        <v>2783</v>
      </c>
      <c r="AN301" s="197"/>
      <c r="AO301" s="197"/>
      <c r="AP301" s="197"/>
      <c r="AQ301" s="197"/>
      <c r="AR301" s="197"/>
      <c r="AS301" s="197"/>
    </row>
    <row r="302">
      <c r="A302" s="198" t="str">
        <f t="shared" si="1"/>
        <v>PP</v>
      </c>
      <c r="B302" s="205" t="s">
        <v>3291</v>
      </c>
      <c r="C302" s="199" t="s">
        <v>26</v>
      </c>
      <c r="D302" s="199" t="s">
        <v>26</v>
      </c>
      <c r="E302" s="213">
        <v>45991.0</v>
      </c>
      <c r="F302" s="205">
        <v>11.0</v>
      </c>
      <c r="G302" s="205">
        <v>2025.0</v>
      </c>
      <c r="H302" s="203">
        <v>2600009.0</v>
      </c>
      <c r="I302" s="218">
        <v>107493.12</v>
      </c>
      <c r="J302" s="199"/>
      <c r="K302" s="202"/>
      <c r="L302" s="205" t="str">
        <f>IFERROR(__xludf.DUMMYFUNCTION("IFERROR(
    INDEX(FILTER('Arrived Shipments'!O:O, 'Arrived Shipments'!B:B=$B302),1),
    IFERROR(
        INDEX(FILTER('POed not arrived'!D:D, 'POed not arrived'!A:A=$B302),1),
        """"
    )
)"),"")</f>
        <v/>
      </c>
      <c r="M302" s="202"/>
      <c r="N302" s="223" t="str">
        <f>IFERROR(__xludf.DUMMYFUNCTION("IFERROR(
    INDEX(FILTER('Arrived Shipments'!O:O, 'Arrived Shipments'!B:B=$B302),2),
    IFERROR(
        INDEX(FILTER('POed not arrived'!D:D, 'POed not arrived'!A:A=$B302),2),
        """"
    )
)"),"")</f>
        <v/>
      </c>
      <c r="O302" s="202"/>
      <c r="P302" s="202" t="str">
        <f>IFERROR(__xludf.DUMMYFUNCTION("IFERROR(
    INDEX(FILTER('Arrived Shipments'!O:O, 'Arrived Shipments'!B:B=$B302),3),
    IFERROR(
        INDEX(FILTER('POed not arrived'!D:D, 'POed not arrived'!A:A=$B302),3),
        """"
    )
)"),"")</f>
        <v/>
      </c>
      <c r="Q302" s="202"/>
      <c r="R302" s="206" t="str">
        <f>IFERROR(__xludf.DUMMYFUNCTION("IFERROR(
    INDEX(FILTER('Arrived Shipments'!O:O, 'Arrived Shipments'!B:B=$B302),4),
    IFERROR(
        INDEX(FILTER('POed not arrived'!D:D, 'POed not arrived'!A:A=$B302),4),
        """"
    )
)"),"")</f>
        <v/>
      </c>
      <c r="S302" s="202"/>
      <c r="T302" s="202">
        <f t="shared" si="7"/>
        <v>0</v>
      </c>
      <c r="U302" s="206" t="s">
        <v>3026</v>
      </c>
      <c r="V302" s="199" t="s">
        <v>3026</v>
      </c>
      <c r="W302" s="221" t="s">
        <v>3335</v>
      </c>
      <c r="X302" s="221" t="s">
        <v>3332</v>
      </c>
      <c r="Y302" s="216"/>
      <c r="Z302" s="213">
        <v>46134.0</v>
      </c>
      <c r="AA302" s="204" t="str">
        <f t="shared" si="4"/>
        <v>Expected Arrived</v>
      </c>
      <c r="AB302" s="205" t="s">
        <v>3080</v>
      </c>
      <c r="AC302" s="199"/>
      <c r="AD302" s="199"/>
      <c r="AE302" s="199"/>
      <c r="AF302" s="199"/>
      <c r="AG302" s="199"/>
      <c r="AH302" s="199"/>
      <c r="AI302" s="199"/>
      <c r="AJ302" s="199"/>
      <c r="AK302" s="199"/>
      <c r="AL302" s="199"/>
      <c r="AM302" s="205" t="s">
        <v>2783</v>
      </c>
      <c r="AN302" s="197"/>
      <c r="AO302" s="197"/>
      <c r="AP302" s="197"/>
      <c r="AQ302" s="197"/>
      <c r="AR302" s="197"/>
      <c r="AS302" s="197"/>
    </row>
    <row r="303">
      <c r="A303" s="198" t="str">
        <f t="shared" si="1"/>
        <v>PP</v>
      </c>
      <c r="B303" s="205" t="s">
        <v>3336</v>
      </c>
      <c r="C303" s="205" t="s">
        <v>26</v>
      </c>
      <c r="D303" s="203" t="s">
        <v>26</v>
      </c>
      <c r="E303" s="213">
        <v>45992.0</v>
      </c>
      <c r="F303" s="205">
        <v>12.0</v>
      </c>
      <c r="G303" s="205">
        <v>2025.0</v>
      </c>
      <c r="H303" s="203">
        <v>2600010.0</v>
      </c>
      <c r="I303" s="218">
        <v>384935.61</v>
      </c>
      <c r="J303" s="199"/>
      <c r="K303" s="202"/>
      <c r="L303" s="205" t="str">
        <f>IFERROR(__xludf.DUMMYFUNCTION("IFERROR(
    INDEX(FILTER('Arrived Shipments'!O:O, 'Arrived Shipments'!B:B=$B303),1),
    IFERROR(
        INDEX(FILTER('POed not arrived'!D:D, 'POed not arrived'!A:A=$B303),1),
        """"
    )
)"),"72-&gt;84")</f>
        <v>72-&gt;84</v>
      </c>
      <c r="M303" s="206">
        <v>386110.17</v>
      </c>
      <c r="N303" s="223" t="str">
        <f>IFERROR(__xludf.DUMMYFUNCTION("IFERROR(
    INDEX(FILTER('Arrived Shipments'!O:O, 'Arrived Shipments'!B:B=$B303),2),
    IFERROR(
        INDEX(FILTER('POed not arrived'!D:D, 'POed not arrived'!A:A=$B303),2),
        """"
    )
)"),"")</f>
        <v/>
      </c>
      <c r="O303" s="206"/>
      <c r="P303" s="202" t="str">
        <f>IFERROR(__xludf.DUMMYFUNCTION("IFERROR(
    INDEX(FILTER('Arrived Shipments'!O:O, 'Arrived Shipments'!B:B=$B303),3),
    IFERROR(
        INDEX(FILTER('POed not arrived'!D:D, 'POed not arrived'!A:A=$B303),3),
        """"
    )
)"),"")</f>
        <v/>
      </c>
      <c r="Q303" s="202"/>
      <c r="R303" s="206" t="str">
        <f>IFERROR(__xludf.DUMMYFUNCTION("IFERROR(
    INDEX(FILTER('Arrived Shipments'!O:O, 'Arrived Shipments'!B:B=$B303),4),
    IFERROR(
        INDEX(FILTER('POed not arrived'!D:D, 'POed not arrived'!A:A=$B303),4),
        """"
    )
)"),"")</f>
        <v/>
      </c>
      <c r="S303" s="202"/>
      <c r="T303" s="202">
        <f t="shared" si="7"/>
        <v>386110.17</v>
      </c>
      <c r="U303" s="205" t="s">
        <v>3026</v>
      </c>
      <c r="V303" s="199"/>
      <c r="W303" s="221" t="s">
        <v>3320</v>
      </c>
      <c r="X303" s="221" t="s">
        <v>1401</v>
      </c>
      <c r="Y303" s="205" t="s">
        <v>3337</v>
      </c>
      <c r="Z303" s="213">
        <v>46054.0</v>
      </c>
      <c r="AA303" s="204" t="str">
        <f t="shared" si="4"/>
        <v>Expected Arrived</v>
      </c>
      <c r="AB303" s="205" t="s">
        <v>38</v>
      </c>
      <c r="AC303" s="199"/>
      <c r="AD303" s="199"/>
      <c r="AE303" s="199"/>
      <c r="AF303" s="199"/>
      <c r="AG303" s="199"/>
      <c r="AH303" s="199"/>
      <c r="AI303" s="199"/>
      <c r="AJ303" s="199"/>
      <c r="AK303" s="199"/>
      <c r="AL303" s="199"/>
      <c r="AM303" s="205" t="s">
        <v>2783</v>
      </c>
      <c r="AN303" s="197"/>
      <c r="AO303" s="197"/>
      <c r="AP303" s="197"/>
      <c r="AQ303" s="197"/>
      <c r="AR303" s="197"/>
      <c r="AS303" s="197"/>
    </row>
    <row r="304" ht="13.5" customHeight="1">
      <c r="A304" s="198" t="str">
        <f t="shared" si="1"/>
        <v>PP</v>
      </c>
      <c r="B304" s="205" t="s">
        <v>3338</v>
      </c>
      <c r="C304" s="205" t="s">
        <v>105</v>
      </c>
      <c r="D304" s="203" t="s">
        <v>3339</v>
      </c>
      <c r="E304" s="213">
        <v>46000.0</v>
      </c>
      <c r="F304" s="205">
        <v>12.0</v>
      </c>
      <c r="G304" s="205">
        <v>2025.0</v>
      </c>
      <c r="H304" s="203">
        <v>2600003.0</v>
      </c>
      <c r="I304" s="218">
        <v>74639.84</v>
      </c>
      <c r="J304" s="199"/>
      <c r="K304" s="206" t="s">
        <v>3340</v>
      </c>
      <c r="L304" s="205" t="str">
        <f>IFERROR(__xludf.DUMMYFUNCTION("IFERROR(
    INDEX(FILTER('Arrived Shipments'!O:O, 'Arrived Shipments'!B:B=$B304),1),
    IFERROR(
        INDEX(FILTER('POed not arrived'!D:D, 'POed not arrived'!A:A=$B304),1),
        """"
    )
)"),"20-&gt;24")</f>
        <v>20-&gt;24</v>
      </c>
      <c r="M304" s="206">
        <v>18831.16</v>
      </c>
      <c r="N304" s="223" t="str">
        <f>IFERROR(__xludf.DUMMYFUNCTION("IFERROR(
    INDEX(FILTER('Arrived Shipments'!O:O, 'Arrived Shipments'!B:B=$B304),2),
    IFERROR(
        INDEX(FILTER('POed not arrived'!D:D, 'POed not arrived'!A:A=$B304),2),
        """"
    )
)"),"63-&gt;67")</f>
        <v>63-&gt;67</v>
      </c>
      <c r="O304" s="206">
        <v>18740.36</v>
      </c>
      <c r="P304" s="202" t="str">
        <f>IFERROR(__xludf.DUMMYFUNCTION("IFERROR(
    INDEX(FILTER('Arrived Shipments'!O:O, 'Arrived Shipments'!B:B=$B304),3),
    IFERROR(
        INDEX(FILTER('POed not arrived'!D:D, 'POed not arrived'!A:A=$B304),3),
        """"
    )
)"),"85-&gt;89")</f>
        <v>85-&gt;89</v>
      </c>
      <c r="Q304" s="206">
        <v>18534.16</v>
      </c>
      <c r="R304" s="206" t="str">
        <f>IFERROR(__xludf.DUMMYFUNCTION("IFERROR(
    INDEX(FILTER('Arrived Shipments'!O:O, 'Arrived Shipments'!B:B=$B304),4),
    IFERROR(
        INDEX(FILTER('POed not arrived'!D:D, 'POed not arrived'!A:A=$B304),4),
        """"
    )
)"),"90-&gt;94")</f>
        <v>90-&gt;94</v>
      </c>
      <c r="S304" s="206">
        <v>18534.16</v>
      </c>
      <c r="T304" s="202">
        <f t="shared" si="7"/>
        <v>74639.84</v>
      </c>
      <c r="U304" s="205" t="s">
        <v>3026</v>
      </c>
      <c r="V304" s="199"/>
      <c r="W304" s="221" t="s">
        <v>3320</v>
      </c>
      <c r="X304" s="221" t="s">
        <v>1401</v>
      </c>
      <c r="Y304" s="203" t="s">
        <v>3341</v>
      </c>
      <c r="Z304" s="219">
        <v>46080.0</v>
      </c>
      <c r="AA304" s="204" t="str">
        <f t="shared" si="4"/>
        <v>Expected Arrived</v>
      </c>
      <c r="AB304" s="205" t="s">
        <v>38</v>
      </c>
      <c r="AC304" s="199"/>
      <c r="AD304" s="199"/>
      <c r="AE304" s="199"/>
      <c r="AF304" s="199"/>
      <c r="AG304" s="199"/>
      <c r="AH304" s="199"/>
      <c r="AI304" s="199"/>
      <c r="AJ304" s="199"/>
      <c r="AK304" s="199"/>
      <c r="AL304" s="199"/>
      <c r="AM304" s="205" t="s">
        <v>2783</v>
      </c>
      <c r="AN304" s="197"/>
      <c r="AO304" s="197"/>
      <c r="AP304" s="197"/>
      <c r="AQ304" s="197"/>
      <c r="AR304" s="197"/>
      <c r="AS304" s="197"/>
    </row>
    <row r="305">
      <c r="A305" s="198" t="str">
        <f t="shared" si="1"/>
        <v>PP</v>
      </c>
      <c r="B305" s="205" t="s">
        <v>3342</v>
      </c>
      <c r="C305" s="205" t="s">
        <v>169</v>
      </c>
      <c r="D305" s="199"/>
      <c r="E305" s="213">
        <v>46000.0</v>
      </c>
      <c r="F305" s="205">
        <v>12.0</v>
      </c>
      <c r="G305" s="205">
        <v>2025.0</v>
      </c>
      <c r="H305" s="203">
        <v>2600013.0</v>
      </c>
      <c r="I305" s="218">
        <v>10780.14</v>
      </c>
      <c r="J305" s="199"/>
      <c r="K305" s="202"/>
      <c r="L305" s="205" t="str">
        <f>IFERROR(__xludf.DUMMYFUNCTION("IFERROR(
    INDEX(FILTER('Arrived Shipments'!O:O, 'Arrived Shipments'!B:B=$B305),1),
    IFERROR(
        INDEX(FILTER('POed not arrived'!D:D, 'POed not arrived'!A:A=$B305),1),
        """"
    )
)"),"")</f>
        <v/>
      </c>
      <c r="M305" s="202"/>
      <c r="N305" s="223" t="str">
        <f>IFERROR(__xludf.DUMMYFUNCTION("IFERROR(
    INDEX(FILTER('Arrived Shipments'!O:O, 'Arrived Shipments'!B:B=$B305),2),
    IFERROR(
        INDEX(FILTER('POed not arrived'!D:D, 'POed not arrived'!A:A=$B305),2),
        """"
    )
)"),"")</f>
        <v/>
      </c>
      <c r="O305" s="202"/>
      <c r="P305" s="202" t="str">
        <f>IFERROR(__xludf.DUMMYFUNCTION("IFERROR(
    INDEX(FILTER('Arrived Shipments'!O:O, 'Arrived Shipments'!B:B=$B305),3),
    IFERROR(
        INDEX(FILTER('POed not arrived'!D:D, 'POed not arrived'!A:A=$B305),3),
        """"
    )
)"),"")</f>
        <v/>
      </c>
      <c r="Q305" s="202"/>
      <c r="R305" s="206" t="str">
        <f>IFERROR(__xludf.DUMMYFUNCTION("IFERROR(
    INDEX(FILTER('Arrived Shipments'!O:O, 'Arrived Shipments'!B:B=$B305),4),
    IFERROR(
        INDEX(FILTER('POed not arrived'!D:D, 'POed not arrived'!A:A=$B305),4),
        """"
    )
)"),"")</f>
        <v/>
      </c>
      <c r="S305" s="202"/>
      <c r="T305" s="202">
        <f t="shared" si="7"/>
        <v>0</v>
      </c>
      <c r="U305" s="205" t="s">
        <v>2712</v>
      </c>
      <c r="V305" s="199"/>
      <c r="W305" s="221" t="s">
        <v>3335</v>
      </c>
      <c r="X305" s="221" t="s">
        <v>1401</v>
      </c>
      <c r="Y305" s="199"/>
      <c r="Z305" s="216">
        <v>46143.0</v>
      </c>
      <c r="AA305" s="204" t="str">
        <f t="shared" si="4"/>
        <v>Expected Arrived</v>
      </c>
      <c r="AB305" s="205" t="s">
        <v>2781</v>
      </c>
      <c r="AC305" s="199"/>
      <c r="AD305" s="199"/>
      <c r="AE305" s="199"/>
      <c r="AF305" s="199"/>
      <c r="AG305" s="199"/>
      <c r="AH305" s="199"/>
      <c r="AI305" s="199"/>
      <c r="AJ305" s="199"/>
      <c r="AK305" s="199"/>
      <c r="AL305" s="199"/>
      <c r="AM305" s="205" t="s">
        <v>2783</v>
      </c>
      <c r="AN305" s="197"/>
      <c r="AO305" s="197"/>
      <c r="AP305" s="197"/>
      <c r="AQ305" s="197"/>
      <c r="AR305" s="197"/>
      <c r="AS305" s="197"/>
    </row>
    <row r="306">
      <c r="A306" s="198" t="str">
        <f t="shared" si="1"/>
        <v>PP</v>
      </c>
      <c r="B306" s="205" t="s">
        <v>3343</v>
      </c>
      <c r="C306" s="205" t="s">
        <v>169</v>
      </c>
      <c r="D306" s="203" t="s">
        <v>3344</v>
      </c>
      <c r="E306" s="213">
        <v>46000.0</v>
      </c>
      <c r="F306" s="205">
        <v>12.0</v>
      </c>
      <c r="G306" s="205">
        <v>2025.0</v>
      </c>
      <c r="H306" s="203">
        <v>2600014.0</v>
      </c>
      <c r="I306" s="218">
        <v>10780.14</v>
      </c>
      <c r="J306" s="199"/>
      <c r="K306" s="202"/>
      <c r="L306" s="205" t="str">
        <f>IFERROR(__xludf.DUMMYFUNCTION("IFERROR(
    INDEX(FILTER('Arrived Shipments'!O:O, 'Arrived Shipments'!B:B=$B306),1),
    IFERROR(
        INDEX(FILTER('POed not arrived'!D:D, 'POed not arrived'!A:A=$B306),1),
        """"
    )
)"),"")</f>
        <v/>
      </c>
      <c r="M306" s="202"/>
      <c r="N306" s="223" t="str">
        <f>IFERROR(__xludf.DUMMYFUNCTION("IFERROR(
    INDEX(FILTER('Arrived Shipments'!O:O, 'Arrived Shipments'!B:B=$B306),2),
    IFERROR(
        INDEX(FILTER('POed not arrived'!D:D, 'POed not arrived'!A:A=$B306),2),
        """"
    )
)"),"")</f>
        <v/>
      </c>
      <c r="O306" s="202"/>
      <c r="P306" s="202" t="str">
        <f>IFERROR(__xludf.DUMMYFUNCTION("IFERROR(
    INDEX(FILTER('Arrived Shipments'!O:O, 'Arrived Shipments'!B:B=$B306),3),
    IFERROR(
        INDEX(FILTER('POed not arrived'!D:D, 'POed not arrived'!A:A=$B306),3),
        """"
    )
)"),"")</f>
        <v/>
      </c>
      <c r="Q306" s="202"/>
      <c r="R306" s="206" t="str">
        <f>IFERROR(__xludf.DUMMYFUNCTION("IFERROR(
    INDEX(FILTER('Arrived Shipments'!O:O, 'Arrived Shipments'!B:B=$B306),4),
    IFERROR(
        INDEX(FILTER('POed not arrived'!D:D, 'POed not arrived'!A:A=$B306),4),
        """"
    )
)"),"")</f>
        <v/>
      </c>
      <c r="S306" s="202"/>
      <c r="T306" s="202">
        <f t="shared" si="7"/>
        <v>0</v>
      </c>
      <c r="U306" s="205" t="s">
        <v>2712</v>
      </c>
      <c r="V306" s="199"/>
      <c r="W306" s="221" t="s">
        <v>3335</v>
      </c>
      <c r="X306" s="221" t="s">
        <v>1401</v>
      </c>
      <c r="Y306" s="199"/>
      <c r="Z306" s="216">
        <v>46235.0</v>
      </c>
      <c r="AA306" s="204">
        <f t="shared" si="4"/>
        <v>24</v>
      </c>
      <c r="AB306" s="205" t="s">
        <v>2781</v>
      </c>
      <c r="AC306" s="199"/>
      <c r="AD306" s="199"/>
      <c r="AE306" s="199"/>
      <c r="AF306" s="199"/>
      <c r="AG306" s="199"/>
      <c r="AH306" s="199"/>
      <c r="AI306" s="199"/>
      <c r="AJ306" s="199"/>
      <c r="AK306" s="199"/>
      <c r="AL306" s="199"/>
      <c r="AM306" s="205" t="s">
        <v>2783</v>
      </c>
      <c r="AN306" s="197"/>
      <c r="AO306" s="197"/>
      <c r="AP306" s="197"/>
      <c r="AQ306" s="197"/>
      <c r="AR306" s="197"/>
      <c r="AS306" s="197"/>
    </row>
    <row r="307">
      <c r="A307" s="198" t="str">
        <f t="shared" si="1"/>
        <v>PP</v>
      </c>
      <c r="B307" s="205" t="s">
        <v>3345</v>
      </c>
      <c r="C307" s="205" t="s">
        <v>169</v>
      </c>
      <c r="D307" s="199"/>
      <c r="E307" s="213">
        <v>46000.0</v>
      </c>
      <c r="F307" s="205">
        <v>12.0</v>
      </c>
      <c r="G307" s="205">
        <v>2025.0</v>
      </c>
      <c r="H307" s="203">
        <v>2600015.0</v>
      </c>
      <c r="I307" s="218">
        <v>4643.52</v>
      </c>
      <c r="J307" s="199"/>
      <c r="K307" s="202"/>
      <c r="L307" s="205" t="str">
        <f>IFERROR(__xludf.DUMMYFUNCTION("IFERROR(
    INDEX(FILTER('Arrived Shipments'!O:O, 'Arrived Shipments'!B:B=$B307),1),
    IFERROR(
        INDEX(FILTER('POed not arrived'!D:D, 'POed not arrived'!A:A=$B307),1),
        """"
    )
)"),"")</f>
        <v/>
      </c>
      <c r="M307" s="202"/>
      <c r="N307" s="223" t="str">
        <f>IFERROR(__xludf.DUMMYFUNCTION("IFERROR(
    INDEX(FILTER('Arrived Shipments'!O:O, 'Arrived Shipments'!B:B=$B307),2),
    IFERROR(
        INDEX(FILTER('POed not arrived'!D:D, 'POed not arrived'!A:A=$B307),2),
        """"
    )
)"),"")</f>
        <v/>
      </c>
      <c r="O307" s="202"/>
      <c r="P307" s="202" t="str">
        <f>IFERROR(__xludf.DUMMYFUNCTION("IFERROR(
    INDEX(FILTER('Arrived Shipments'!O:O, 'Arrived Shipments'!B:B=$B307),3),
    IFERROR(
        INDEX(FILTER('POed not arrived'!D:D, 'POed not arrived'!A:A=$B307),3),
        """"
    )
)"),"")</f>
        <v/>
      </c>
      <c r="Q307" s="202"/>
      <c r="R307" s="206" t="str">
        <f>IFERROR(__xludf.DUMMYFUNCTION("IFERROR(
    INDEX(FILTER('Arrived Shipments'!O:O, 'Arrived Shipments'!B:B=$B307),4),
    IFERROR(
        INDEX(FILTER('POed not arrived'!D:D, 'POed not arrived'!A:A=$B307),4),
        """"
    )
)"),"")</f>
        <v/>
      </c>
      <c r="S307" s="202"/>
      <c r="T307" s="202">
        <f t="shared" si="7"/>
        <v>0</v>
      </c>
      <c r="U307" s="206" t="s">
        <v>3026</v>
      </c>
      <c r="V307" s="199"/>
      <c r="W307" s="221" t="s">
        <v>3335</v>
      </c>
      <c r="X307" s="221" t="s">
        <v>1401</v>
      </c>
      <c r="Y307" s="199"/>
      <c r="Z307" s="216">
        <v>46113.0</v>
      </c>
      <c r="AA307" s="204" t="str">
        <f t="shared" si="4"/>
        <v>Expected Arrived</v>
      </c>
      <c r="AB307" s="205" t="s">
        <v>2781</v>
      </c>
      <c r="AC307" s="199"/>
      <c r="AD307" s="199"/>
      <c r="AE307" s="199"/>
      <c r="AF307" s="199"/>
      <c r="AG307" s="199"/>
      <c r="AH307" s="199"/>
      <c r="AI307" s="199"/>
      <c r="AJ307" s="199"/>
      <c r="AK307" s="199"/>
      <c r="AL307" s="199"/>
      <c r="AM307" s="205" t="s">
        <v>2783</v>
      </c>
      <c r="AN307" s="197"/>
      <c r="AO307" s="197"/>
      <c r="AP307" s="197"/>
      <c r="AQ307" s="197"/>
      <c r="AR307" s="197"/>
      <c r="AS307" s="197"/>
    </row>
    <row r="308">
      <c r="A308" s="198" t="str">
        <f t="shared" si="1"/>
        <v>PP</v>
      </c>
      <c r="B308" s="205" t="s">
        <v>3346</v>
      </c>
      <c r="C308" s="205" t="s">
        <v>3347</v>
      </c>
      <c r="D308" s="203" t="s">
        <v>3348</v>
      </c>
      <c r="E308" s="213">
        <v>46001.0</v>
      </c>
      <c r="F308" s="205">
        <v>12.0</v>
      </c>
      <c r="G308" s="205">
        <v>2025.0</v>
      </c>
      <c r="H308" s="203">
        <v>2600011.0</v>
      </c>
      <c r="I308" s="218">
        <v>61626.24</v>
      </c>
      <c r="J308" s="199"/>
      <c r="K308" s="202"/>
      <c r="L308" s="205" t="str">
        <f>IFERROR(__xludf.DUMMYFUNCTION("IFERROR(
    INDEX(FILTER('Arrived Shipments'!O:O, 'Arrived Shipments'!B:B=$B308),1),
    IFERROR(
        INDEX(FILTER('POed not arrived'!D:D, 'POed not arrived'!A:A=$B308),1),
        """"
    )
)"),"")</f>
        <v/>
      </c>
      <c r="M308" s="206"/>
      <c r="N308" s="223" t="str">
        <f>IFERROR(__xludf.DUMMYFUNCTION("IFERROR(
    INDEX(FILTER('Arrived Shipments'!O:O, 'Arrived Shipments'!B:B=$B308),2),
    IFERROR(
        INDEX(FILTER('POed not arrived'!D:D, 'POed not arrived'!A:A=$B308),2),
        """"
    )
)"),"")</f>
        <v/>
      </c>
      <c r="O308" s="202"/>
      <c r="P308" s="202" t="str">
        <f>IFERROR(__xludf.DUMMYFUNCTION("IFERROR(
    INDEX(FILTER('Arrived Shipments'!O:O, 'Arrived Shipments'!B:B=$B308),3),
    IFERROR(
        INDEX(FILTER('POed not arrived'!D:D, 'POed not arrived'!A:A=$B308),3),
        """"
    )
)"),"")</f>
        <v/>
      </c>
      <c r="Q308" s="202"/>
      <c r="R308" s="206" t="str">
        <f>IFERROR(__xludf.DUMMYFUNCTION("IFERROR(
    INDEX(FILTER('Arrived Shipments'!O:O, 'Arrived Shipments'!B:B=$B308),4),
    IFERROR(
        INDEX(FILTER('POed not arrived'!D:D, 'POed not arrived'!A:A=$B308),4),
        """"
    )
)"),"")</f>
        <v/>
      </c>
      <c r="S308" s="206"/>
      <c r="T308" s="202">
        <f t="shared" si="7"/>
        <v>0</v>
      </c>
      <c r="U308" s="205" t="s">
        <v>2712</v>
      </c>
      <c r="V308" s="199"/>
      <c r="W308" s="221" t="s">
        <v>3335</v>
      </c>
      <c r="X308" s="221" t="s">
        <v>1401</v>
      </c>
      <c r="Y308" s="199"/>
      <c r="Z308" s="216">
        <v>46050.0</v>
      </c>
      <c r="AA308" s="204" t="str">
        <f t="shared" si="4"/>
        <v>Expected Arrived</v>
      </c>
      <c r="AB308" s="205" t="s">
        <v>3080</v>
      </c>
      <c r="AC308" s="199"/>
      <c r="AD308" s="199"/>
      <c r="AE308" s="199"/>
      <c r="AF308" s="199"/>
      <c r="AG308" s="199"/>
      <c r="AH308" s="199"/>
      <c r="AI308" s="199"/>
      <c r="AJ308" s="199"/>
      <c r="AK308" s="199"/>
      <c r="AL308" s="199"/>
      <c r="AM308" s="205" t="s">
        <v>2783</v>
      </c>
      <c r="AN308" s="197"/>
      <c r="AO308" s="197"/>
      <c r="AP308" s="197"/>
      <c r="AQ308" s="197"/>
      <c r="AR308" s="197"/>
      <c r="AS308" s="197"/>
    </row>
    <row r="309">
      <c r="A309" s="198" t="str">
        <f t="shared" si="1"/>
        <v>PP</v>
      </c>
      <c r="B309" s="205" t="s">
        <v>3349</v>
      </c>
      <c r="C309" s="205" t="s">
        <v>3350</v>
      </c>
      <c r="D309" s="199"/>
      <c r="E309" s="213">
        <v>46002.0</v>
      </c>
      <c r="F309" s="205">
        <v>12.0</v>
      </c>
      <c r="G309" s="205">
        <v>2025.0</v>
      </c>
      <c r="H309" s="199"/>
      <c r="I309" s="207"/>
      <c r="J309" s="199"/>
      <c r="K309" s="202"/>
      <c r="L309" s="205" t="str">
        <f>IFERROR(__xludf.DUMMYFUNCTION("IFERROR(
    INDEX(FILTER('Arrived Shipments'!O:O, 'Arrived Shipments'!B:B=$B309),1),
    IFERROR(
        INDEX(FILTER('POed not arrived'!D:D, 'POed not arrived'!A:A=$B309),1),
        """"
    )
)"),"")</f>
        <v/>
      </c>
      <c r="M309" s="202"/>
      <c r="N309" s="223" t="str">
        <f>IFERROR(__xludf.DUMMYFUNCTION("IFERROR(
    INDEX(FILTER('Arrived Shipments'!O:O, 'Arrived Shipments'!B:B=$B309),2),
    IFERROR(
        INDEX(FILTER('POed not arrived'!D:D, 'POed not arrived'!A:A=$B309),2),
        """"
    )
)"),"")</f>
        <v/>
      </c>
      <c r="O309" s="202"/>
      <c r="P309" s="202" t="str">
        <f>IFERROR(__xludf.DUMMYFUNCTION("IFERROR(
    INDEX(FILTER('Arrived Shipments'!O:O, 'Arrived Shipments'!B:B=$B309),3),
    IFERROR(
        INDEX(FILTER('POed not arrived'!D:D, 'POed not arrived'!A:A=$B309),3),
        """"
    )
)"),"")</f>
        <v/>
      </c>
      <c r="Q309" s="202"/>
      <c r="R309" s="206" t="str">
        <f>IFERROR(__xludf.DUMMYFUNCTION("IFERROR(
    INDEX(FILTER('Arrived Shipments'!O:O, 'Arrived Shipments'!B:B=$B309),4),
    IFERROR(
        INDEX(FILTER('POed not arrived'!D:D, 'POed not arrived'!A:A=$B309),4),
        """"
    )
)"),"")</f>
        <v/>
      </c>
      <c r="S309" s="206"/>
      <c r="T309" s="202">
        <f t="shared" si="7"/>
        <v>0</v>
      </c>
      <c r="U309" s="205" t="s">
        <v>3026</v>
      </c>
      <c r="V309" s="199"/>
      <c r="W309" s="221" t="s">
        <v>3335</v>
      </c>
      <c r="X309" s="221" t="s">
        <v>3332</v>
      </c>
      <c r="Y309" s="199"/>
      <c r="Z309" s="199"/>
      <c r="AA309" s="204" t="str">
        <f t="shared" si="4"/>
        <v/>
      </c>
      <c r="AB309" s="205" t="s">
        <v>2781</v>
      </c>
      <c r="AC309" s="199"/>
      <c r="AD309" s="199"/>
      <c r="AE309" s="199"/>
      <c r="AF309" s="199"/>
      <c r="AG309" s="199"/>
      <c r="AH309" s="199"/>
      <c r="AI309" s="199"/>
      <c r="AJ309" s="199"/>
      <c r="AK309" s="199"/>
      <c r="AL309" s="199"/>
      <c r="AM309" s="205" t="s">
        <v>2783</v>
      </c>
      <c r="AN309" s="197"/>
      <c r="AO309" s="197"/>
      <c r="AP309" s="197"/>
      <c r="AQ309" s="197"/>
      <c r="AR309" s="197"/>
      <c r="AS309" s="197"/>
    </row>
    <row r="310">
      <c r="A310" s="198" t="str">
        <f t="shared" si="1"/>
        <v>PP</v>
      </c>
      <c r="B310" s="205" t="s">
        <v>3351</v>
      </c>
      <c r="C310" s="205" t="s">
        <v>3074</v>
      </c>
      <c r="D310" s="203" t="s">
        <v>3352</v>
      </c>
      <c r="E310" s="212">
        <v>46007.0</v>
      </c>
      <c r="F310" s="205">
        <v>12.0</v>
      </c>
      <c r="G310" s="205">
        <v>2025.0</v>
      </c>
      <c r="H310" s="203">
        <v>2600004.0</v>
      </c>
      <c r="I310" s="218">
        <v>390358.5</v>
      </c>
      <c r="J310" s="199"/>
      <c r="K310" s="202"/>
      <c r="L310" s="205">
        <f>IFERROR(__xludf.DUMMYFUNCTION("IFERROR(
    INDEX(FILTER('Arrived Shipments'!O:O, 'Arrived Shipments'!B:B=$B310),1),
    IFERROR(
        INDEX(FILTER('POed not arrived'!D:D, 'POed not arrived'!A:A=$B310),1),
        """"
    )
)"),112.0)</f>
        <v>112</v>
      </c>
      <c r="M310" s="202"/>
      <c r="N310" s="223" t="str">
        <f>IFERROR(__xludf.DUMMYFUNCTION("IFERROR(
    INDEX(FILTER('Arrived Shipments'!O:O, 'Arrived Shipments'!B:B=$B310),2),
    IFERROR(
        INDEX(FILTER('POed not arrived'!D:D, 'POed not arrived'!A:A=$B310),2),
        """"
    )
)"),"")</f>
        <v/>
      </c>
      <c r="O310" s="202"/>
      <c r="P310" s="202" t="str">
        <f>IFERROR(__xludf.DUMMYFUNCTION("IFERROR(
    INDEX(FILTER('Arrived Shipments'!O:O, 'Arrived Shipments'!B:B=$B310),3),
    IFERROR(
        INDEX(FILTER('POed not arrived'!D:D, 'POed not arrived'!A:A=$B310),3),
        """"
    )
)"),"")</f>
        <v/>
      </c>
      <c r="Q310" s="202"/>
      <c r="R310" s="206" t="str">
        <f>IFERROR(__xludf.DUMMYFUNCTION("IFERROR(
    INDEX(FILTER('Arrived Shipments'!O:O, 'Arrived Shipments'!B:B=$B310),4),
    IFERROR(
        INDEX(FILTER('POed not arrived'!D:D, 'POed not arrived'!A:A=$B310),4),
        """"
    )
)"),"")</f>
        <v/>
      </c>
      <c r="S310" s="206"/>
      <c r="T310" s="202">
        <f t="shared" si="7"/>
        <v>0</v>
      </c>
      <c r="U310" s="205" t="s">
        <v>2712</v>
      </c>
      <c r="V310" s="199"/>
      <c r="W310" s="221" t="s">
        <v>3335</v>
      </c>
      <c r="X310" s="221" t="s">
        <v>1401</v>
      </c>
      <c r="Y310" s="199"/>
      <c r="Z310" s="216">
        <v>46123.0</v>
      </c>
      <c r="AA310" s="204" t="str">
        <f t="shared" si="4"/>
        <v>Expected Arrived</v>
      </c>
      <c r="AB310" s="205" t="s">
        <v>3080</v>
      </c>
      <c r="AC310" s="199"/>
      <c r="AD310" s="199"/>
      <c r="AE310" s="199"/>
      <c r="AF310" s="199"/>
      <c r="AG310" s="199"/>
      <c r="AH310" s="199"/>
      <c r="AI310" s="199"/>
      <c r="AJ310" s="199"/>
      <c r="AK310" s="199"/>
      <c r="AL310" s="199"/>
      <c r="AM310" s="205" t="s">
        <v>2783</v>
      </c>
      <c r="AN310" s="197"/>
      <c r="AO310" s="197"/>
      <c r="AP310" s="197"/>
      <c r="AQ310" s="197"/>
      <c r="AR310" s="197"/>
      <c r="AS310" s="197"/>
    </row>
    <row r="311">
      <c r="A311" s="198" t="str">
        <f t="shared" si="1"/>
        <v>PP</v>
      </c>
      <c r="B311" s="205" t="s">
        <v>3353</v>
      </c>
      <c r="C311" s="205" t="s">
        <v>3074</v>
      </c>
      <c r="D311" s="203" t="s">
        <v>2843</v>
      </c>
      <c r="E311" s="213">
        <v>46007.0</v>
      </c>
      <c r="F311" s="205">
        <v>12.0</v>
      </c>
      <c r="G311" s="205">
        <v>2025.0</v>
      </c>
      <c r="H311" s="203">
        <v>2600005.0</v>
      </c>
      <c r="I311" s="218">
        <v>199950.0</v>
      </c>
      <c r="J311" s="199"/>
      <c r="K311" s="202"/>
      <c r="L311" s="205" t="str">
        <f>IFERROR(__xludf.DUMMYFUNCTION("IFERROR(
    INDEX(FILTER('Arrived Shipments'!O:O, 'Arrived Shipments'!B:B=$B311),1),
    IFERROR(
        INDEX(FILTER('POed not arrived'!D:D, 'POed not arrived'!A:A=$B311),1),
        """"
    )
)"),"")</f>
        <v/>
      </c>
      <c r="M311" s="202"/>
      <c r="N311" s="223" t="str">
        <f>IFERROR(__xludf.DUMMYFUNCTION("IFERROR(
    INDEX(FILTER('Arrived Shipments'!O:O, 'Arrived Shipments'!B:B=$B311),2),
    IFERROR(
        INDEX(FILTER('POed not arrived'!D:D, 'POed not arrived'!A:A=$B311),2),
        """"
    )
)"),"")</f>
        <v/>
      </c>
      <c r="O311" s="202"/>
      <c r="P311" s="202" t="str">
        <f>IFERROR(__xludf.DUMMYFUNCTION("IFERROR(
    INDEX(FILTER('Arrived Shipments'!O:O, 'Arrived Shipments'!B:B=$B311),3),
    IFERROR(
        INDEX(FILTER('POed not arrived'!D:D, 'POed not arrived'!A:A=$B311),3),
        """"
    )
)"),"")</f>
        <v/>
      </c>
      <c r="Q311" s="202"/>
      <c r="R311" s="206" t="str">
        <f>IFERROR(__xludf.DUMMYFUNCTION("IFERROR(
    INDEX(FILTER('Arrived Shipments'!O:O, 'Arrived Shipments'!B:B=$B311),4),
    IFERROR(
        INDEX(FILTER('POed not arrived'!D:D, 'POed not arrived'!A:A=$B311),4),
        """"
    )
)"),"")</f>
        <v/>
      </c>
      <c r="S311" s="206"/>
      <c r="T311" s="202">
        <f t="shared" si="7"/>
        <v>0</v>
      </c>
      <c r="U311" s="205" t="s">
        <v>2712</v>
      </c>
      <c r="V311" s="199"/>
      <c r="W311" s="221" t="s">
        <v>3335</v>
      </c>
      <c r="X311" s="221" t="s">
        <v>1401</v>
      </c>
      <c r="Y311" s="199"/>
      <c r="Z311" s="216">
        <v>46153.0</v>
      </c>
      <c r="AA311" s="204" t="str">
        <f t="shared" si="4"/>
        <v>Ready To Load</v>
      </c>
      <c r="AB311" s="205" t="s">
        <v>2781</v>
      </c>
      <c r="AC311" s="199"/>
      <c r="AD311" s="199"/>
      <c r="AE311" s="199"/>
      <c r="AF311" s="199"/>
      <c r="AG311" s="199"/>
      <c r="AH311" s="199"/>
      <c r="AI311" s="199"/>
      <c r="AJ311" s="199"/>
      <c r="AK311" s="199"/>
      <c r="AL311" s="199"/>
      <c r="AM311" s="205" t="s">
        <v>2783</v>
      </c>
      <c r="AN311" s="197"/>
      <c r="AO311" s="197"/>
      <c r="AP311" s="197"/>
      <c r="AQ311" s="197"/>
      <c r="AR311" s="197"/>
      <c r="AS311" s="197"/>
    </row>
    <row r="312">
      <c r="A312" s="198" t="str">
        <f t="shared" si="1"/>
        <v>PP</v>
      </c>
      <c r="B312" s="205" t="s">
        <v>3354</v>
      </c>
      <c r="C312" s="205" t="s">
        <v>3074</v>
      </c>
      <c r="D312" s="203" t="s">
        <v>3355</v>
      </c>
      <c r="E312" s="213">
        <v>46007.0</v>
      </c>
      <c r="F312" s="205">
        <v>12.0</v>
      </c>
      <c r="G312" s="205">
        <v>2025.0</v>
      </c>
      <c r="H312" s="203">
        <v>2600006.0</v>
      </c>
      <c r="I312" s="218">
        <v>153000.0</v>
      </c>
      <c r="J312" s="199"/>
      <c r="K312" s="202"/>
      <c r="L312" s="205">
        <f>IFERROR(__xludf.DUMMYFUNCTION("IFERROR(
    INDEX(FILTER('Arrived Shipments'!O:O, 'Arrived Shipments'!B:B=$B312),1),
    IFERROR(
        INDEX(FILTER('POed not arrived'!D:D, 'POed not arrived'!A:A=$B312),1),
        """"
    )
)"),99.0)</f>
        <v>99</v>
      </c>
      <c r="M312" s="202"/>
      <c r="N312" s="223" t="str">
        <f>IFERROR(__xludf.DUMMYFUNCTION("IFERROR(
    INDEX(FILTER('Arrived Shipments'!O:O, 'Arrived Shipments'!B:B=$B312),2),
    IFERROR(
        INDEX(FILTER('POed not arrived'!D:D, 'POed not arrived'!A:A=$B312),2),
        """"
    )
)"),"")</f>
        <v/>
      </c>
      <c r="O312" s="202"/>
      <c r="P312" s="202" t="str">
        <f>IFERROR(__xludf.DUMMYFUNCTION("IFERROR(
    INDEX(FILTER('Arrived Shipments'!O:O, 'Arrived Shipments'!B:B=$B312),3),
    IFERROR(
        INDEX(FILTER('POed not arrived'!D:D, 'POed not arrived'!A:A=$B312),3),
        """"
    )
)"),"")</f>
        <v/>
      </c>
      <c r="Q312" s="202"/>
      <c r="R312" s="206" t="str">
        <f>IFERROR(__xludf.DUMMYFUNCTION("IFERROR(
    INDEX(FILTER('Arrived Shipments'!O:O, 'Arrived Shipments'!B:B=$B312),4),
    IFERROR(
        INDEX(FILTER('POed not arrived'!D:D, 'POed not arrived'!A:A=$B312),4),
        """"
    )
)"),"")</f>
        <v/>
      </c>
      <c r="S312" s="206"/>
      <c r="T312" s="202">
        <f t="shared" si="7"/>
        <v>0</v>
      </c>
      <c r="U312" s="205" t="s">
        <v>2712</v>
      </c>
      <c r="V312" s="199"/>
      <c r="W312" s="221" t="s">
        <v>3335</v>
      </c>
      <c r="X312" s="221" t="s">
        <v>1401</v>
      </c>
      <c r="Y312" s="199"/>
      <c r="Z312" s="216">
        <v>46096.0</v>
      </c>
      <c r="AA312" s="204" t="str">
        <f t="shared" si="4"/>
        <v>Expected Arrived</v>
      </c>
      <c r="AB312" s="205" t="s">
        <v>38</v>
      </c>
      <c r="AC312" s="199"/>
      <c r="AD312" s="199"/>
      <c r="AE312" s="199"/>
      <c r="AF312" s="199"/>
      <c r="AG312" s="199"/>
      <c r="AH312" s="199"/>
      <c r="AI312" s="199"/>
      <c r="AJ312" s="199"/>
      <c r="AK312" s="199"/>
      <c r="AL312" s="199"/>
      <c r="AM312" s="205" t="s">
        <v>2783</v>
      </c>
      <c r="AN312" s="197"/>
      <c r="AO312" s="197"/>
      <c r="AP312" s="197"/>
      <c r="AQ312" s="197"/>
      <c r="AR312" s="197"/>
      <c r="AS312" s="197"/>
    </row>
    <row r="313">
      <c r="A313" s="198" t="str">
        <f t="shared" si="1"/>
        <v>PP</v>
      </c>
      <c r="B313" s="205" t="s">
        <v>3356</v>
      </c>
      <c r="C313" s="205" t="s">
        <v>59</v>
      </c>
      <c r="D313" s="203" t="s">
        <v>3235</v>
      </c>
      <c r="E313" s="213">
        <v>46016.0</v>
      </c>
      <c r="F313" s="205">
        <v>12.0</v>
      </c>
      <c r="G313" s="205">
        <v>2025.0</v>
      </c>
      <c r="H313" s="203">
        <v>2600007.0</v>
      </c>
      <c r="I313" s="218">
        <v>29607.0</v>
      </c>
      <c r="J313" s="199"/>
      <c r="K313" s="202"/>
      <c r="L313" s="205" t="str">
        <f>IFERROR(__xludf.DUMMYFUNCTION("IFERROR(
    INDEX(FILTER('Arrived Shipments'!O:O, 'Arrived Shipments'!B:B=$B313),1),
    IFERROR(
        INDEX(FILTER('POed not arrived'!D:D, 'POed not arrived'!A:A=$B313),1),
        """"
    )
)"),"")</f>
        <v/>
      </c>
      <c r="M313" s="202"/>
      <c r="N313" s="223" t="str">
        <f>IFERROR(__xludf.DUMMYFUNCTION("IFERROR(
    INDEX(FILTER('Arrived Shipments'!O:O, 'Arrived Shipments'!B:B=$B313),2),
    IFERROR(
        INDEX(FILTER('POed not arrived'!D:D, 'POed not arrived'!A:A=$B313),2),
        """"
    )
)"),"")</f>
        <v/>
      </c>
      <c r="O313" s="202"/>
      <c r="P313" s="202" t="str">
        <f>IFERROR(__xludf.DUMMYFUNCTION("IFERROR(
    INDEX(FILTER('Arrived Shipments'!O:O, 'Arrived Shipments'!B:B=$B313),3),
    IFERROR(
        INDEX(FILTER('POed not arrived'!D:D, 'POed not arrived'!A:A=$B313),3),
        """"
    )
)"),"")</f>
        <v/>
      </c>
      <c r="Q313" s="202"/>
      <c r="R313" s="206" t="str">
        <f>IFERROR(__xludf.DUMMYFUNCTION("IFERROR(
    INDEX(FILTER('Arrived Shipments'!O:O, 'Arrived Shipments'!B:B=$B313),4),
    IFERROR(
        INDEX(FILTER('POed not arrived'!D:D, 'POed not arrived'!A:A=$B313),4),
        """"
    )
)"),"")</f>
        <v/>
      </c>
      <c r="S313" s="206"/>
      <c r="T313" s="202">
        <f t="shared" si="7"/>
        <v>0</v>
      </c>
      <c r="U313" s="205" t="s">
        <v>3026</v>
      </c>
      <c r="V313" s="199"/>
      <c r="W313" s="221" t="s">
        <v>3335</v>
      </c>
      <c r="X313" s="221" t="s">
        <v>1401</v>
      </c>
      <c r="Y313" s="199"/>
      <c r="Z313" s="216">
        <v>46163.0</v>
      </c>
      <c r="AA313" s="204" t="str">
        <f t="shared" si="4"/>
        <v>Ready To Load</v>
      </c>
      <c r="AB313" s="205" t="s">
        <v>3080</v>
      </c>
      <c r="AC313" s="199"/>
      <c r="AD313" s="199"/>
      <c r="AE313" s="199"/>
      <c r="AF313" s="199"/>
      <c r="AG313" s="199"/>
      <c r="AH313" s="199"/>
      <c r="AI313" s="199"/>
      <c r="AJ313" s="199"/>
      <c r="AK313" s="199"/>
      <c r="AL313" s="199"/>
      <c r="AM313" s="205" t="s">
        <v>2783</v>
      </c>
      <c r="AN313" s="197"/>
      <c r="AO313" s="197"/>
      <c r="AP313" s="197"/>
      <c r="AQ313" s="197"/>
      <c r="AR313" s="197"/>
      <c r="AS313" s="197"/>
    </row>
    <row r="314">
      <c r="A314" s="198" t="str">
        <f t="shared" si="1"/>
        <v>PP</v>
      </c>
      <c r="B314" s="205" t="s">
        <v>3357</v>
      </c>
      <c r="C314" s="205" t="s">
        <v>3074</v>
      </c>
      <c r="D314" s="203" t="s">
        <v>3281</v>
      </c>
      <c r="E314" s="213">
        <v>46028.0</v>
      </c>
      <c r="F314" s="205">
        <v>1.0</v>
      </c>
      <c r="G314" s="205">
        <v>2026.0</v>
      </c>
      <c r="H314" s="203">
        <v>2600008.0</v>
      </c>
      <c r="I314" s="218">
        <v>99440.4</v>
      </c>
      <c r="J314" s="199"/>
      <c r="K314" s="202"/>
      <c r="L314" s="205" t="str">
        <f>IFERROR(__xludf.DUMMYFUNCTION("IFERROR(
    INDEX(FILTER('Arrived Shipments'!O:O, 'Arrived Shipments'!B:B=$B314),1),
    IFERROR(
        INDEX(FILTER('POed not arrived'!D:D, 'POed not arrived'!A:A=$B314),1),
        """"
    )
)"),"")</f>
        <v/>
      </c>
      <c r="M314" s="202"/>
      <c r="N314" s="223" t="str">
        <f>IFERROR(__xludf.DUMMYFUNCTION("IFERROR(
    INDEX(FILTER('Arrived Shipments'!O:O, 'Arrived Shipments'!B:B=$B314),2),
    IFERROR(
        INDEX(FILTER('POed not arrived'!D:D, 'POed not arrived'!A:A=$B314),2),
        """"
    )
)"),"")</f>
        <v/>
      </c>
      <c r="O314" s="202"/>
      <c r="P314" s="202" t="str">
        <f>IFERROR(__xludf.DUMMYFUNCTION("IFERROR(
    INDEX(FILTER('Arrived Shipments'!O:O, 'Arrived Shipments'!B:B=$B314),3),
    IFERROR(
        INDEX(FILTER('POed not arrived'!D:D, 'POed not arrived'!A:A=$B314),3),
        """"
    )
)"),"")</f>
        <v/>
      </c>
      <c r="Q314" s="202"/>
      <c r="R314" s="206" t="str">
        <f>IFERROR(__xludf.DUMMYFUNCTION("IFERROR(
    INDEX(FILTER('Arrived Shipments'!O:O, 'Arrived Shipments'!B:B=$B314),4),
    IFERROR(
        INDEX(FILTER('POed not arrived'!D:D, 'POed not arrived'!A:A=$B314),4),
        """"
    )
)"),"")</f>
        <v/>
      </c>
      <c r="S314" s="206"/>
      <c r="T314" s="202">
        <f t="shared" si="7"/>
        <v>0</v>
      </c>
      <c r="U314" s="205" t="s">
        <v>2712</v>
      </c>
      <c r="V314" s="199"/>
      <c r="W314" s="221" t="s">
        <v>3335</v>
      </c>
      <c r="X314" s="221" t="s">
        <v>1401</v>
      </c>
      <c r="Y314" s="199"/>
      <c r="Z314" s="216">
        <v>46132.0</v>
      </c>
      <c r="AA314" s="204" t="str">
        <f t="shared" si="4"/>
        <v>Expected Arrived</v>
      </c>
      <c r="AB314" s="205" t="s">
        <v>3080</v>
      </c>
      <c r="AC314" s="199"/>
      <c r="AD314" s="199"/>
      <c r="AE314" s="199"/>
      <c r="AF314" s="199"/>
      <c r="AG314" s="199"/>
      <c r="AH314" s="199"/>
      <c r="AI314" s="199"/>
      <c r="AJ314" s="199"/>
      <c r="AK314" s="199"/>
      <c r="AL314" s="199"/>
      <c r="AM314" s="205" t="s">
        <v>2783</v>
      </c>
      <c r="AN314" s="197"/>
      <c r="AO314" s="197"/>
      <c r="AP314" s="197"/>
      <c r="AQ314" s="197"/>
      <c r="AR314" s="197"/>
      <c r="AS314" s="197"/>
    </row>
    <row r="315">
      <c r="A315" s="198" t="str">
        <f t="shared" si="1"/>
        <v>PP</v>
      </c>
      <c r="B315" s="205" t="s">
        <v>3358</v>
      </c>
      <c r="C315" s="205" t="s">
        <v>100</v>
      </c>
      <c r="D315" s="203" t="s">
        <v>3359</v>
      </c>
      <c r="E315" s="213">
        <v>46034.0</v>
      </c>
      <c r="F315" s="205">
        <v>1.0</v>
      </c>
      <c r="G315" s="205">
        <v>2026.0</v>
      </c>
      <c r="H315" s="203">
        <v>2600020.0</v>
      </c>
      <c r="I315" s="218">
        <v>131453.67</v>
      </c>
      <c r="J315" s="199"/>
      <c r="K315" s="202"/>
      <c r="L315" s="205" t="str">
        <f>IFERROR(__xludf.DUMMYFUNCTION("IFERROR(
    INDEX(FILTER('Arrived Shipments'!O:O, 'Arrived Shipments'!B:B=$B315),1),
    IFERROR(
        INDEX(FILTER('POed not arrived'!D:D, 'POed not arrived'!A:A=$B315),1),
        """"
    )
)"),"")</f>
        <v/>
      </c>
      <c r="M315" s="202"/>
      <c r="N315" s="223" t="str">
        <f>IFERROR(__xludf.DUMMYFUNCTION("IFERROR(
    INDEX(FILTER('Arrived Shipments'!O:O, 'Arrived Shipments'!B:B=$B315),2),
    IFERROR(
        INDEX(FILTER('POed not arrived'!D:D, 'POed not arrived'!A:A=$B315),2),
        """"
    )
)"),"")</f>
        <v/>
      </c>
      <c r="O315" s="202"/>
      <c r="P315" s="202" t="str">
        <f>IFERROR(__xludf.DUMMYFUNCTION("IFERROR(
    INDEX(FILTER('Arrived Shipments'!O:O, 'Arrived Shipments'!B:B=$B315),3),
    IFERROR(
        INDEX(FILTER('POed not arrived'!D:D, 'POed not arrived'!A:A=$B315),3),
        """"
    )
)"),"")</f>
        <v/>
      </c>
      <c r="Q315" s="202"/>
      <c r="R315" s="206" t="str">
        <f>IFERROR(__xludf.DUMMYFUNCTION("IFERROR(
    INDEX(FILTER('Arrived Shipments'!O:O, 'Arrived Shipments'!B:B=$B315),4),
    IFERROR(
        INDEX(FILTER('POed not arrived'!D:D, 'POed not arrived'!A:A=$B315),4),
        """"
    )
)"),"")</f>
        <v/>
      </c>
      <c r="S315" s="206"/>
      <c r="T315" s="202">
        <f t="shared" si="7"/>
        <v>0</v>
      </c>
      <c r="U315" s="205" t="s">
        <v>3360</v>
      </c>
      <c r="V315" s="199"/>
      <c r="W315" s="221" t="s">
        <v>3335</v>
      </c>
      <c r="X315" s="221" t="s">
        <v>3332</v>
      </c>
      <c r="Y315" s="199"/>
      <c r="Z315" s="199"/>
      <c r="AA315" s="204" t="str">
        <f t="shared" si="4"/>
        <v/>
      </c>
      <c r="AB315" s="205" t="s">
        <v>3080</v>
      </c>
      <c r="AC315" s="199"/>
      <c r="AD315" s="199"/>
      <c r="AE315" s="199"/>
      <c r="AF315" s="199"/>
      <c r="AG315" s="199"/>
      <c r="AH315" s="199"/>
      <c r="AI315" s="199"/>
      <c r="AJ315" s="199"/>
      <c r="AK315" s="199"/>
      <c r="AL315" s="199"/>
      <c r="AM315" s="205" t="s">
        <v>2783</v>
      </c>
      <c r="AN315" s="197"/>
      <c r="AO315" s="197"/>
      <c r="AP315" s="197"/>
      <c r="AQ315" s="197"/>
      <c r="AR315" s="197"/>
      <c r="AS315" s="197"/>
    </row>
    <row r="316">
      <c r="A316" s="198" t="str">
        <f t="shared" si="1"/>
        <v>PP</v>
      </c>
      <c r="B316" s="205" t="s">
        <v>3361</v>
      </c>
      <c r="C316" s="205" t="s">
        <v>3164</v>
      </c>
      <c r="D316" s="199"/>
      <c r="E316" s="213">
        <v>46056.0</v>
      </c>
      <c r="F316" s="205">
        <v>2.0</v>
      </c>
      <c r="G316" s="205">
        <v>2026.0</v>
      </c>
      <c r="H316" s="203">
        <v>2600016.0</v>
      </c>
      <c r="I316" s="218">
        <v>111588.0</v>
      </c>
      <c r="J316" s="199"/>
      <c r="K316" s="202"/>
      <c r="L316" s="205" t="str">
        <f>IFERROR(__xludf.DUMMYFUNCTION("IFERROR(
    INDEX(FILTER('Arrived Shipments'!O:O, 'Arrived Shipments'!B:B=$B316),1),
    IFERROR(
        INDEX(FILTER('POed not arrived'!D:D, 'POed not arrived'!A:A=$B316),1),
        """"
    )
)"),"")</f>
        <v/>
      </c>
      <c r="M316" s="202"/>
      <c r="N316" s="223" t="str">
        <f>IFERROR(__xludf.DUMMYFUNCTION("IFERROR(
    INDEX(FILTER('Arrived Shipments'!O:O, 'Arrived Shipments'!B:B=$B316),2),
    IFERROR(
        INDEX(FILTER('POed not arrived'!D:D, 'POed not arrived'!A:A=$B316),2),
        """"
    )
)"),"")</f>
        <v/>
      </c>
      <c r="O316" s="202"/>
      <c r="P316" s="202" t="str">
        <f>IFERROR(__xludf.DUMMYFUNCTION("IFERROR(
    INDEX(FILTER('Arrived Shipments'!O:O, 'Arrived Shipments'!B:B=$B316),3),
    IFERROR(
        INDEX(FILTER('POed not arrived'!D:D, 'POed not arrived'!A:A=$B316),3),
        """"
    )
)"),"")</f>
        <v/>
      </c>
      <c r="Q316" s="202"/>
      <c r="R316" s="206" t="str">
        <f>IFERROR(__xludf.DUMMYFUNCTION("IFERROR(
    INDEX(FILTER('Arrived Shipments'!O:O, 'Arrived Shipments'!B:B=$B316),4),
    IFERROR(
        INDEX(FILTER('POed not arrived'!D:D, 'POed not arrived'!A:A=$B316),4),
        """"
    )
)"),"")</f>
        <v/>
      </c>
      <c r="S316" s="202"/>
      <c r="T316" s="202">
        <f t="shared" si="7"/>
        <v>0</v>
      </c>
      <c r="U316" s="205" t="s">
        <v>2712</v>
      </c>
      <c r="V316" s="199"/>
      <c r="W316" s="221" t="s">
        <v>3335</v>
      </c>
      <c r="X316" s="221" t="s">
        <v>3321</v>
      </c>
      <c r="Y316" s="199"/>
      <c r="Z316" s="199"/>
      <c r="AA316" s="204" t="str">
        <f t="shared" si="4"/>
        <v/>
      </c>
      <c r="AB316" s="198"/>
      <c r="AC316" s="199"/>
      <c r="AD316" s="199"/>
      <c r="AE316" s="199"/>
      <c r="AF316" s="199"/>
      <c r="AG316" s="199"/>
      <c r="AH316" s="199"/>
      <c r="AI316" s="199"/>
      <c r="AJ316" s="199"/>
      <c r="AK316" s="199"/>
      <c r="AL316" s="199"/>
      <c r="AM316" s="205" t="s">
        <v>2783</v>
      </c>
      <c r="AN316" s="197"/>
      <c r="AO316" s="197"/>
      <c r="AP316" s="197"/>
      <c r="AQ316" s="197"/>
      <c r="AR316" s="197"/>
      <c r="AS316" s="197"/>
    </row>
    <row r="317">
      <c r="A317" s="198" t="str">
        <f t="shared" si="1"/>
        <v>PP</v>
      </c>
      <c r="B317" s="205" t="s">
        <v>3362</v>
      </c>
      <c r="C317" s="205" t="s">
        <v>637</v>
      </c>
      <c r="D317" s="203" t="s">
        <v>3363</v>
      </c>
      <c r="E317" s="213">
        <v>46058.0</v>
      </c>
      <c r="F317" s="205">
        <v>2.0</v>
      </c>
      <c r="G317" s="205">
        <v>2026.0</v>
      </c>
      <c r="H317" s="199"/>
      <c r="I317" s="207"/>
      <c r="J317" s="199"/>
      <c r="K317" s="202"/>
      <c r="L317" s="205" t="str">
        <f>IFERROR(__xludf.DUMMYFUNCTION("IFERROR(
    INDEX(FILTER('Arrived Shipments'!O:O, 'Arrived Shipments'!B:B=$B317),1),
    IFERROR(
        INDEX(FILTER('POed not arrived'!D:D, 'POed not arrived'!A:A=$B317),1),
        """"
    )
)"),"")</f>
        <v/>
      </c>
      <c r="M317" s="202"/>
      <c r="N317" s="223" t="str">
        <f>IFERROR(__xludf.DUMMYFUNCTION("IFERROR(
    INDEX(FILTER('Arrived Shipments'!O:O, 'Arrived Shipments'!B:B=$B317),2),
    IFERROR(
        INDEX(FILTER('POed not arrived'!D:D, 'POed not arrived'!A:A=$B317),2),
        """"
    )
)"),"")</f>
        <v/>
      </c>
      <c r="O317" s="202"/>
      <c r="P317" s="202" t="str">
        <f>IFERROR(__xludf.DUMMYFUNCTION("IFERROR(
    INDEX(FILTER('Arrived Shipments'!O:O, 'Arrived Shipments'!B:B=$B317),3),
    IFERROR(
        INDEX(FILTER('POed not arrived'!D:D, 'POed not arrived'!A:A=$B317),3),
        """"
    )
)"),"")</f>
        <v/>
      </c>
      <c r="Q317" s="202"/>
      <c r="R317" s="206" t="str">
        <f>IFERROR(__xludf.DUMMYFUNCTION("IFERROR(
    INDEX(FILTER('Arrived Shipments'!O:O, 'Arrived Shipments'!B:B=$B317),4),
    IFERROR(
        INDEX(FILTER('POed not arrived'!D:D, 'POed not arrived'!A:A=$B317),4),
        """"
    )
)"),"")</f>
        <v/>
      </c>
      <c r="S317" s="202"/>
      <c r="T317" s="202">
        <f t="shared" si="7"/>
        <v>0</v>
      </c>
      <c r="U317" s="205" t="s">
        <v>2712</v>
      </c>
      <c r="V317" s="199"/>
      <c r="W317" s="221" t="s">
        <v>3335</v>
      </c>
      <c r="X317" s="221" t="s">
        <v>1401</v>
      </c>
      <c r="Y317" s="199"/>
      <c r="Z317" s="199"/>
      <c r="AA317" s="204" t="str">
        <f t="shared" si="4"/>
        <v/>
      </c>
      <c r="AB317" s="198"/>
      <c r="AC317" s="199"/>
      <c r="AD317" s="199"/>
      <c r="AE317" s="199"/>
      <c r="AF317" s="199"/>
      <c r="AG317" s="199"/>
      <c r="AH317" s="199"/>
      <c r="AI317" s="199"/>
      <c r="AJ317" s="199"/>
      <c r="AK317" s="199"/>
      <c r="AL317" s="199"/>
      <c r="AM317" s="205" t="s">
        <v>2783</v>
      </c>
      <c r="AN317" s="197"/>
      <c r="AO317" s="197"/>
      <c r="AP317" s="197"/>
      <c r="AQ317" s="197"/>
      <c r="AR317" s="197"/>
      <c r="AS317" s="197"/>
    </row>
    <row r="318">
      <c r="A318" s="198" t="str">
        <f t="shared" si="1"/>
        <v>PP</v>
      </c>
      <c r="B318" s="205" t="s">
        <v>3364</v>
      </c>
      <c r="C318" s="205" t="s">
        <v>637</v>
      </c>
      <c r="D318" s="203" t="s">
        <v>3363</v>
      </c>
      <c r="E318" s="213">
        <v>46058.0</v>
      </c>
      <c r="F318" s="205">
        <v>2.0</v>
      </c>
      <c r="G318" s="205">
        <v>2026.0</v>
      </c>
      <c r="H318" s="199"/>
      <c r="I318" s="207"/>
      <c r="J318" s="199"/>
      <c r="K318" s="202"/>
      <c r="L318" s="205" t="str">
        <f>IFERROR(__xludf.DUMMYFUNCTION("IFERROR(
    INDEX(FILTER('Arrived Shipments'!O:O, 'Arrived Shipments'!B:B=$B318),1),
    IFERROR(
        INDEX(FILTER('POed not arrived'!D:D, 'POed not arrived'!A:A=$B318),1),
        """"
    )
)"),"")</f>
        <v/>
      </c>
      <c r="M318" s="202"/>
      <c r="N318" s="223" t="str">
        <f>IFERROR(__xludf.DUMMYFUNCTION("IFERROR(
    INDEX(FILTER('Arrived Shipments'!O:O, 'Arrived Shipments'!B:B=$B318),2),
    IFERROR(
        INDEX(FILTER('POed not arrived'!D:D, 'POed not arrived'!A:A=$B318),2),
        """"
    )
)"),"")</f>
        <v/>
      </c>
      <c r="O318" s="202"/>
      <c r="P318" s="202" t="str">
        <f>IFERROR(__xludf.DUMMYFUNCTION("IFERROR(
    INDEX(FILTER('Arrived Shipments'!O:O, 'Arrived Shipments'!B:B=$B318),3),
    IFERROR(
        INDEX(FILTER('POed not arrived'!D:D, 'POed not arrived'!A:A=$B318),3),
        """"
    )
)"),"")</f>
        <v/>
      </c>
      <c r="Q318" s="202"/>
      <c r="R318" s="206" t="str">
        <f>IFERROR(__xludf.DUMMYFUNCTION("IFERROR(
    INDEX(FILTER('Arrived Shipments'!O:O, 'Arrived Shipments'!B:B=$B318),4),
    IFERROR(
        INDEX(FILTER('POed not arrived'!D:D, 'POed not arrived'!A:A=$B318),4),
        """"
    )
)"),"")</f>
        <v/>
      </c>
      <c r="S318" s="202"/>
      <c r="T318" s="202">
        <f t="shared" si="7"/>
        <v>0</v>
      </c>
      <c r="U318" s="205" t="s">
        <v>2712</v>
      </c>
      <c r="V318" s="199"/>
      <c r="W318" s="221" t="s">
        <v>3335</v>
      </c>
      <c r="X318" s="221" t="s">
        <v>1401</v>
      </c>
      <c r="Y318" s="199"/>
      <c r="Z318" s="199"/>
      <c r="AA318" s="204" t="str">
        <f t="shared" si="4"/>
        <v/>
      </c>
      <c r="AB318" s="198"/>
      <c r="AC318" s="199"/>
      <c r="AD318" s="199"/>
      <c r="AE318" s="199"/>
      <c r="AF318" s="199"/>
      <c r="AG318" s="199"/>
      <c r="AH318" s="199"/>
      <c r="AI318" s="199"/>
      <c r="AJ318" s="199"/>
      <c r="AK318" s="199"/>
      <c r="AL318" s="199"/>
      <c r="AM318" s="205" t="s">
        <v>2783</v>
      </c>
      <c r="AN318" s="197"/>
      <c r="AO318" s="197"/>
      <c r="AP318" s="197"/>
      <c r="AQ318" s="197"/>
      <c r="AR318" s="197"/>
      <c r="AS318" s="197"/>
    </row>
    <row r="319">
      <c r="A319" s="198" t="str">
        <f t="shared" si="1"/>
        <v>PP</v>
      </c>
      <c r="B319" s="205" t="s">
        <v>3365</v>
      </c>
      <c r="C319" s="205" t="s">
        <v>222</v>
      </c>
      <c r="D319" s="203" t="s">
        <v>3366</v>
      </c>
      <c r="E319" s="213">
        <v>46058.0</v>
      </c>
      <c r="F319" s="205">
        <v>2.0</v>
      </c>
      <c r="G319" s="205">
        <v>2026.0</v>
      </c>
      <c r="H319" s="203">
        <v>2600017.0</v>
      </c>
      <c r="I319" s="218">
        <v>57539.34</v>
      </c>
      <c r="J319" s="199"/>
      <c r="K319" s="202"/>
      <c r="L319" s="205" t="str">
        <f>IFERROR(__xludf.DUMMYFUNCTION("IFERROR(
    INDEX(FILTER('Arrived Shipments'!O:O, 'Arrived Shipments'!B:B=$B319),1),
    IFERROR(
        INDEX(FILTER('POed not arrived'!D:D, 'POed not arrived'!A:A=$B319),1),
        """"
    )
)"),"")</f>
        <v/>
      </c>
      <c r="M319" s="202"/>
      <c r="N319" s="223" t="str">
        <f>IFERROR(__xludf.DUMMYFUNCTION("IFERROR(
    INDEX(FILTER('Arrived Shipments'!O:O, 'Arrived Shipments'!B:B=$B319),2),
    IFERROR(
        INDEX(FILTER('POed not arrived'!D:D, 'POed not arrived'!A:A=$B319),2),
        """"
    )
)"),"")</f>
        <v/>
      </c>
      <c r="O319" s="202"/>
      <c r="P319" s="202" t="str">
        <f>IFERROR(__xludf.DUMMYFUNCTION("IFERROR(
    INDEX(FILTER('Arrived Shipments'!O:O, 'Arrived Shipments'!B:B=$B319),3),
    IFERROR(
        INDEX(FILTER('POed not arrived'!D:D, 'POed not arrived'!A:A=$B319),3),
        """"
    )
)"),"")</f>
        <v/>
      </c>
      <c r="Q319" s="202"/>
      <c r="R319" s="206" t="str">
        <f>IFERROR(__xludf.DUMMYFUNCTION("IFERROR(
    INDEX(FILTER('Arrived Shipments'!O:O, 'Arrived Shipments'!B:B=$B319),4),
    IFERROR(
        INDEX(FILTER('POed not arrived'!D:D, 'POed not arrived'!A:A=$B319),4),
        """"
    )
)"),"")</f>
        <v/>
      </c>
      <c r="S319" s="202"/>
      <c r="T319" s="202">
        <f t="shared" si="7"/>
        <v>0</v>
      </c>
      <c r="U319" s="205" t="s">
        <v>3026</v>
      </c>
      <c r="V319" s="199"/>
      <c r="W319" s="221" t="s">
        <v>3335</v>
      </c>
      <c r="X319" s="221" t="s">
        <v>1401</v>
      </c>
      <c r="Y319" s="199"/>
      <c r="Z319" s="199"/>
      <c r="AA319" s="204" t="str">
        <f t="shared" si="4"/>
        <v/>
      </c>
      <c r="AB319" s="205" t="s">
        <v>2781</v>
      </c>
      <c r="AC319" s="199"/>
      <c r="AD319" s="199"/>
      <c r="AE319" s="199"/>
      <c r="AF319" s="199"/>
      <c r="AG319" s="199"/>
      <c r="AH319" s="199"/>
      <c r="AI319" s="199"/>
      <c r="AJ319" s="199"/>
      <c r="AK319" s="199"/>
      <c r="AL319" s="199"/>
      <c r="AM319" s="205" t="s">
        <v>2783</v>
      </c>
      <c r="AN319" s="197"/>
      <c r="AO319" s="197"/>
      <c r="AP319" s="197"/>
      <c r="AQ319" s="197"/>
      <c r="AR319" s="197"/>
      <c r="AS319" s="197"/>
    </row>
    <row r="320">
      <c r="A320" s="198" t="str">
        <f t="shared" si="1"/>
        <v>PP</v>
      </c>
      <c r="B320" s="205" t="s">
        <v>3367</v>
      </c>
      <c r="C320" s="205" t="s">
        <v>2812</v>
      </c>
      <c r="D320" s="203" t="s">
        <v>2812</v>
      </c>
      <c r="E320" s="213">
        <v>46058.0</v>
      </c>
      <c r="F320" s="205">
        <v>2.0</v>
      </c>
      <c r="G320" s="205">
        <v>2026.0</v>
      </c>
      <c r="H320" s="203">
        <v>2600018.0</v>
      </c>
      <c r="I320" s="218">
        <v>224952.9</v>
      </c>
      <c r="J320" s="199"/>
      <c r="K320" s="202"/>
      <c r="L320" s="205" t="str">
        <f>IFERROR(__xludf.DUMMYFUNCTION("IFERROR(
    INDEX(FILTER('Arrived Shipments'!O:O, 'Arrived Shipments'!B:B=$B320),1),
    IFERROR(
        INDEX(FILTER('POed not arrived'!D:D, 'POed not arrived'!A:A=$B320),1),
        """"
    )
)"),"")</f>
        <v/>
      </c>
      <c r="M320" s="202"/>
      <c r="N320" s="223" t="str">
        <f>IFERROR(__xludf.DUMMYFUNCTION("IFERROR(
    INDEX(FILTER('Arrived Shipments'!O:O, 'Arrived Shipments'!B:B=$B320),2),
    IFERROR(
        INDEX(FILTER('POed not arrived'!D:D, 'POed not arrived'!A:A=$B320),2),
        """"
    )
)"),"")</f>
        <v/>
      </c>
      <c r="O320" s="202"/>
      <c r="P320" s="202" t="str">
        <f>IFERROR(__xludf.DUMMYFUNCTION("IFERROR(
    INDEX(FILTER('Arrived Shipments'!O:O, 'Arrived Shipments'!B:B=$B320),3),
    IFERROR(
        INDEX(FILTER('POed not arrived'!D:D, 'POed not arrived'!A:A=$B320),3),
        """"
    )
)"),"")</f>
        <v/>
      </c>
      <c r="Q320" s="202"/>
      <c r="R320" s="206" t="str">
        <f>IFERROR(__xludf.DUMMYFUNCTION("IFERROR(
    INDEX(FILTER('Arrived Shipments'!O:O, 'Arrived Shipments'!B:B=$B320),4),
    IFERROR(
        INDEX(FILTER('POed not arrived'!D:D, 'POed not arrived'!A:A=$B320),4),
        """"
    )
)"),"")</f>
        <v/>
      </c>
      <c r="S320" s="202"/>
      <c r="T320" s="202">
        <f t="shared" si="7"/>
        <v>0</v>
      </c>
      <c r="U320" s="205" t="s">
        <v>2712</v>
      </c>
      <c r="V320" s="199"/>
      <c r="W320" s="221" t="s">
        <v>3335</v>
      </c>
      <c r="X320" s="221" t="s">
        <v>1401</v>
      </c>
      <c r="Y320" s="199"/>
      <c r="Z320" s="199"/>
      <c r="AA320" s="204" t="str">
        <f t="shared" si="4"/>
        <v/>
      </c>
      <c r="AB320" s="205" t="s">
        <v>2781</v>
      </c>
      <c r="AC320" s="199"/>
      <c r="AD320" s="199"/>
      <c r="AE320" s="199"/>
      <c r="AF320" s="199"/>
      <c r="AG320" s="199"/>
      <c r="AH320" s="199"/>
      <c r="AI320" s="199"/>
      <c r="AJ320" s="199"/>
      <c r="AK320" s="199"/>
      <c r="AL320" s="199"/>
      <c r="AM320" s="205" t="s">
        <v>2783</v>
      </c>
      <c r="AN320" s="197"/>
      <c r="AO320" s="197"/>
      <c r="AP320" s="197"/>
      <c r="AQ320" s="197"/>
      <c r="AR320" s="197"/>
      <c r="AS320" s="197"/>
    </row>
    <row r="321">
      <c r="A321" s="198" t="str">
        <f t="shared" si="1"/>
        <v>PP</v>
      </c>
      <c r="B321" s="205" t="s">
        <v>3368</v>
      </c>
      <c r="C321" s="205" t="s">
        <v>3318</v>
      </c>
      <c r="D321" s="199"/>
      <c r="E321" s="213">
        <v>46069.0</v>
      </c>
      <c r="F321" s="205">
        <v>2.0</v>
      </c>
      <c r="G321" s="205">
        <v>2026.0</v>
      </c>
      <c r="H321" s="203">
        <v>2600019.0</v>
      </c>
      <c r="I321" s="218">
        <v>20027.7</v>
      </c>
      <c r="J321" s="199"/>
      <c r="K321" s="202"/>
      <c r="L321" s="205" t="str">
        <f>IFERROR(__xludf.DUMMYFUNCTION("IFERROR(
    INDEX(FILTER('Arrived Shipments'!O:O, 'Arrived Shipments'!B:B=$B321),1),
    IFERROR(
        INDEX(FILTER('POed not arrived'!D:D, 'POed not arrived'!A:A=$B321),1),
        """"
    )
)"),"")</f>
        <v/>
      </c>
      <c r="M321" s="202"/>
      <c r="N321" s="223" t="str">
        <f>IFERROR(__xludf.DUMMYFUNCTION("IFERROR(
    INDEX(FILTER('Arrived Shipments'!O:O, 'Arrived Shipments'!B:B=$B321),2),
    IFERROR(
        INDEX(FILTER('POed not arrived'!D:D, 'POed not arrived'!A:A=$B321),2),
        """"
    )
)"),"")</f>
        <v/>
      </c>
      <c r="O321" s="202"/>
      <c r="P321" s="202" t="str">
        <f>IFERROR(__xludf.DUMMYFUNCTION("IFERROR(
    INDEX(FILTER('Arrived Shipments'!O:O, 'Arrived Shipments'!B:B=$B321),3),
    IFERROR(
        INDEX(FILTER('POed not arrived'!D:D, 'POed not arrived'!A:A=$B321),3),
        """"
    )
)"),"")</f>
        <v/>
      </c>
      <c r="Q321" s="202"/>
      <c r="R321" s="206" t="str">
        <f>IFERROR(__xludf.DUMMYFUNCTION("IFERROR(
    INDEX(FILTER('Arrived Shipments'!O:O, 'Arrived Shipments'!B:B=$B321),4),
    IFERROR(
        INDEX(FILTER('POed not arrived'!D:D, 'POed not arrived'!A:A=$B321),4),
        """"
    )
)"),"")</f>
        <v/>
      </c>
      <c r="S321" s="202"/>
      <c r="T321" s="202">
        <f t="shared" si="7"/>
        <v>0</v>
      </c>
      <c r="U321" s="205" t="s">
        <v>3026</v>
      </c>
      <c r="V321" s="199"/>
      <c r="W321" s="221" t="s">
        <v>3335</v>
      </c>
      <c r="X321" s="221" t="s">
        <v>1401</v>
      </c>
      <c r="Y321" s="199"/>
      <c r="Z321" s="199"/>
      <c r="AA321" s="204" t="str">
        <f t="shared" si="4"/>
        <v/>
      </c>
      <c r="AB321" s="205" t="s">
        <v>2781</v>
      </c>
      <c r="AC321" s="199"/>
      <c r="AD321" s="199"/>
      <c r="AE321" s="199"/>
      <c r="AF321" s="199"/>
      <c r="AG321" s="199"/>
      <c r="AH321" s="199"/>
      <c r="AI321" s="199"/>
      <c r="AJ321" s="199"/>
      <c r="AK321" s="199"/>
      <c r="AL321" s="199"/>
      <c r="AM321" s="205" t="s">
        <v>2783</v>
      </c>
      <c r="AN321" s="197"/>
      <c r="AO321" s="197"/>
      <c r="AP321" s="197"/>
      <c r="AQ321" s="197"/>
      <c r="AR321" s="197"/>
      <c r="AS321" s="197"/>
    </row>
    <row r="322">
      <c r="A322" s="198" t="str">
        <f t="shared" si="1"/>
        <v>PP</v>
      </c>
      <c r="B322" s="205" t="s">
        <v>3369</v>
      </c>
      <c r="C322" s="205" t="s">
        <v>100</v>
      </c>
      <c r="D322" s="199"/>
      <c r="E322" s="213">
        <v>46079.0</v>
      </c>
      <c r="F322" s="205">
        <v>2.0</v>
      </c>
      <c r="G322" s="205">
        <v>2026.0</v>
      </c>
      <c r="H322" s="203">
        <v>2600023.0</v>
      </c>
      <c r="I322" s="218">
        <v>121907.52</v>
      </c>
      <c r="J322" s="199"/>
      <c r="K322" s="202"/>
      <c r="L322" s="205" t="str">
        <f>IFERROR(__xludf.DUMMYFUNCTION("IFERROR(
    INDEX(FILTER('Arrived Shipments'!O:O, 'Arrived Shipments'!B:B=$B322),1),
    IFERROR(
        INDEX(FILTER('POed not arrived'!D:D, 'POed not arrived'!A:A=$B322),1),
        """"
    )
)"),"")</f>
        <v/>
      </c>
      <c r="M322" s="202"/>
      <c r="N322" s="223" t="str">
        <f>IFERROR(__xludf.DUMMYFUNCTION("IFERROR(
    INDEX(FILTER('Arrived Shipments'!O:O, 'Arrived Shipments'!B:B=$B322),2),
    IFERROR(
        INDEX(FILTER('POed not arrived'!D:D, 'POed not arrived'!A:A=$B322),2),
        """"
    )
)"),"")</f>
        <v/>
      </c>
      <c r="O322" s="202"/>
      <c r="P322" s="202" t="str">
        <f>IFERROR(__xludf.DUMMYFUNCTION("IFERROR(
    INDEX(FILTER('Arrived Shipments'!O:O, 'Arrived Shipments'!B:B=$B322),3),
    IFERROR(
        INDEX(FILTER('POed not arrived'!D:D, 'POed not arrived'!A:A=$B322),3),
        """"
    )
)"),"")</f>
        <v/>
      </c>
      <c r="Q322" s="202"/>
      <c r="R322" s="206" t="str">
        <f>IFERROR(__xludf.DUMMYFUNCTION("IFERROR(
    INDEX(FILTER('Arrived Shipments'!O:O, 'Arrived Shipments'!B:B=$B322),4),
    IFERROR(
        INDEX(FILTER('POed not arrived'!D:D, 'POed not arrived'!A:A=$B322),4),
        """"
    )
)"),"")</f>
        <v/>
      </c>
      <c r="S322" s="202"/>
      <c r="T322" s="202">
        <f t="shared" si="7"/>
        <v>0</v>
      </c>
      <c r="U322" s="205" t="s">
        <v>3360</v>
      </c>
      <c r="V322" s="199"/>
      <c r="W322" s="221" t="s">
        <v>3335</v>
      </c>
      <c r="X322" s="221" t="s">
        <v>1401</v>
      </c>
      <c r="Y322" s="199"/>
      <c r="Z322" s="199"/>
      <c r="AA322" s="204" t="str">
        <f t="shared" si="4"/>
        <v/>
      </c>
      <c r="AB322" s="205" t="s">
        <v>2781</v>
      </c>
      <c r="AC322" s="199"/>
      <c r="AD322" s="199"/>
      <c r="AE322" s="199"/>
      <c r="AF322" s="199"/>
      <c r="AG322" s="199"/>
      <c r="AH322" s="199"/>
      <c r="AI322" s="199"/>
      <c r="AJ322" s="199"/>
      <c r="AK322" s="199"/>
      <c r="AL322" s="199"/>
      <c r="AM322" s="198"/>
      <c r="AN322" s="197"/>
      <c r="AO322" s="197"/>
      <c r="AP322" s="197"/>
      <c r="AQ322" s="197"/>
      <c r="AR322" s="197"/>
      <c r="AS322" s="197"/>
    </row>
    <row r="323">
      <c r="A323" s="198" t="str">
        <f t="shared" si="1"/>
        <v>PP</v>
      </c>
      <c r="B323" s="205" t="s">
        <v>3370</v>
      </c>
      <c r="C323" s="205" t="s">
        <v>81</v>
      </c>
      <c r="D323" s="199"/>
      <c r="E323" s="213">
        <v>46082.0</v>
      </c>
      <c r="F323" s="205">
        <v>3.0</v>
      </c>
      <c r="G323" s="205">
        <v>2026.0</v>
      </c>
      <c r="H323" s="203">
        <v>2600024.0</v>
      </c>
      <c r="I323" s="218">
        <v>148953.6</v>
      </c>
      <c r="J323" s="199"/>
      <c r="K323" s="202"/>
      <c r="L323" s="205" t="str">
        <f>IFERROR(__xludf.DUMMYFUNCTION("IFERROR(
    INDEX(FILTER('Arrived Shipments'!O:O, 'Arrived Shipments'!B:B=$B323),1),
    IFERROR(
        INDEX(FILTER('POed not arrived'!D:D, 'POed not arrived'!A:A=$B323),1),
        """"
    )
)"),"")</f>
        <v/>
      </c>
      <c r="M323" s="202"/>
      <c r="N323" s="223" t="str">
        <f>IFERROR(__xludf.DUMMYFUNCTION("IFERROR(
    INDEX(FILTER('Arrived Shipments'!O:O, 'Arrived Shipments'!B:B=$B323),2),
    IFERROR(
        INDEX(FILTER('POed not arrived'!D:D, 'POed not arrived'!A:A=$B323),2),
        """"
    )
)"),"")</f>
        <v/>
      </c>
      <c r="O323" s="202"/>
      <c r="P323" s="202" t="str">
        <f>IFERROR(__xludf.DUMMYFUNCTION("IFERROR(
    INDEX(FILTER('Arrived Shipments'!O:O, 'Arrived Shipments'!B:B=$B323),3),
    IFERROR(
        INDEX(FILTER('POed not arrived'!D:D, 'POed not arrived'!A:A=$B323),3),
        """"
    )
)"),"")</f>
        <v/>
      </c>
      <c r="Q323" s="202"/>
      <c r="R323" s="206" t="str">
        <f>IFERROR(__xludf.DUMMYFUNCTION("IFERROR(
    INDEX(FILTER('Arrived Shipments'!O:O, 'Arrived Shipments'!B:B=$B323),4),
    IFERROR(
        INDEX(FILTER('POed not arrived'!D:D, 'POed not arrived'!A:A=$B323),4),
        """"
    )
)"),"")</f>
        <v/>
      </c>
      <c r="S323" s="202"/>
      <c r="T323" s="202">
        <f t="shared" si="7"/>
        <v>0</v>
      </c>
      <c r="U323" s="205" t="s">
        <v>2712</v>
      </c>
      <c r="V323" s="199"/>
      <c r="W323" s="221" t="s">
        <v>3335</v>
      </c>
      <c r="X323" s="221" t="s">
        <v>1401</v>
      </c>
      <c r="Y323" s="199"/>
      <c r="Z323" s="199"/>
      <c r="AA323" s="204" t="str">
        <f t="shared" si="4"/>
        <v/>
      </c>
      <c r="AB323" s="205" t="s">
        <v>2781</v>
      </c>
      <c r="AC323" s="199"/>
      <c r="AD323" s="199"/>
      <c r="AE323" s="199"/>
      <c r="AF323" s="199"/>
      <c r="AG323" s="199"/>
      <c r="AH323" s="199"/>
      <c r="AI323" s="199"/>
      <c r="AJ323" s="199"/>
      <c r="AK323" s="199"/>
      <c r="AL323" s="199"/>
      <c r="AM323" s="198"/>
      <c r="AN323" s="197"/>
      <c r="AO323" s="197"/>
      <c r="AP323" s="197"/>
      <c r="AQ323" s="197"/>
      <c r="AR323" s="197"/>
      <c r="AS323" s="197"/>
    </row>
    <row r="324">
      <c r="A324" s="198" t="str">
        <f t="shared" si="1"/>
        <v>PP</v>
      </c>
      <c r="B324" s="205" t="s">
        <v>3371</v>
      </c>
      <c r="C324" s="205" t="s">
        <v>105</v>
      </c>
      <c r="D324" s="199"/>
      <c r="E324" s="213">
        <v>46089.0</v>
      </c>
      <c r="F324" s="205">
        <v>3.0</v>
      </c>
      <c r="G324" s="205">
        <v>2026.0</v>
      </c>
      <c r="H324" s="203">
        <v>2600025.0</v>
      </c>
      <c r="I324" s="218">
        <v>19744.6</v>
      </c>
      <c r="J324" s="199"/>
      <c r="K324" s="202"/>
      <c r="L324" s="205" t="str">
        <f>IFERROR(__xludf.DUMMYFUNCTION("IFERROR(
    INDEX(FILTER('Arrived Shipments'!O:O, 'Arrived Shipments'!B:B=$B324),1),
    IFERROR(
        INDEX(FILTER('POed not arrived'!D:D, 'POed not arrived'!A:A=$B324),1),
        """"
    )
)"),"")</f>
        <v/>
      </c>
      <c r="M324" s="202"/>
      <c r="N324" s="223" t="str">
        <f>IFERROR(__xludf.DUMMYFUNCTION("IFERROR(
    INDEX(FILTER('Arrived Shipments'!O:O, 'Arrived Shipments'!B:B=$B324),2),
    IFERROR(
        INDEX(FILTER('POed not arrived'!D:D, 'POed not arrived'!A:A=$B324),2),
        """"
    )
)"),"")</f>
        <v/>
      </c>
      <c r="O324" s="202"/>
      <c r="P324" s="202" t="str">
        <f>IFERROR(__xludf.DUMMYFUNCTION("IFERROR(
    INDEX(FILTER('Arrived Shipments'!O:O, 'Arrived Shipments'!B:B=$B324),3),
    IFERROR(
        INDEX(FILTER('POed not arrived'!D:D, 'POed not arrived'!A:A=$B324),3),
        """"
    )
)"),"")</f>
        <v/>
      </c>
      <c r="Q324" s="202"/>
      <c r="R324" s="206" t="str">
        <f>IFERROR(__xludf.DUMMYFUNCTION("IFERROR(
    INDEX(FILTER('Arrived Shipments'!O:O, 'Arrived Shipments'!B:B=$B324),4),
    IFERROR(
        INDEX(FILTER('POed not arrived'!D:D, 'POed not arrived'!A:A=$B324),4),
        """"
    )
)"),"")</f>
        <v/>
      </c>
      <c r="S324" s="202"/>
      <c r="T324" s="202">
        <f t="shared" si="7"/>
        <v>0</v>
      </c>
      <c r="U324" s="205" t="s">
        <v>3026</v>
      </c>
      <c r="V324" s="199"/>
      <c r="W324" s="221" t="s">
        <v>3335</v>
      </c>
      <c r="X324" s="221" t="s">
        <v>1401</v>
      </c>
      <c r="Y324" s="199"/>
      <c r="Z324" s="199"/>
      <c r="AA324" s="204" t="str">
        <f t="shared" si="4"/>
        <v/>
      </c>
      <c r="AB324" s="205" t="s">
        <v>38</v>
      </c>
      <c r="AC324" s="199"/>
      <c r="AD324" s="199"/>
      <c r="AE324" s="199"/>
      <c r="AF324" s="199"/>
      <c r="AG324" s="199"/>
      <c r="AH324" s="199"/>
      <c r="AI324" s="199"/>
      <c r="AJ324" s="199"/>
      <c r="AK324" s="199"/>
      <c r="AL324" s="199"/>
      <c r="AM324" s="198"/>
      <c r="AN324" s="197"/>
      <c r="AO324" s="197"/>
      <c r="AP324" s="197"/>
      <c r="AQ324" s="197"/>
      <c r="AR324" s="197"/>
      <c r="AS324" s="197"/>
    </row>
    <row r="325">
      <c r="A325" s="198" t="str">
        <f t="shared" si="1"/>
        <v>PP</v>
      </c>
      <c r="B325" s="205" t="s">
        <v>3372</v>
      </c>
      <c r="C325" s="205" t="s">
        <v>26</v>
      </c>
      <c r="D325" s="199"/>
      <c r="E325" s="213">
        <v>46099.0</v>
      </c>
      <c r="F325" s="205">
        <v>3.0</v>
      </c>
      <c r="G325" s="205">
        <v>2026.0</v>
      </c>
      <c r="H325" s="203">
        <v>2600026.0</v>
      </c>
      <c r="I325" s="218">
        <v>388207.17</v>
      </c>
      <c r="J325" s="199"/>
      <c r="K325" s="202"/>
      <c r="L325" s="205" t="str">
        <f>IFERROR(__xludf.DUMMYFUNCTION("IFERROR(
    INDEX(FILTER('Arrived Shipments'!O:O, 'Arrived Shipments'!B:B=$B325),1),
    IFERROR(
        INDEX(FILTER('POed not arrived'!D:D, 'POed not arrived'!A:A=$B325),1),
        """"
    )
)"),"121-122")</f>
        <v>121-122</v>
      </c>
      <c r="M325" s="202"/>
      <c r="N325" s="223" t="str">
        <f>IFERROR(__xludf.DUMMYFUNCTION("IFERROR(
    INDEX(FILTER('Arrived Shipments'!O:O, 'Arrived Shipments'!B:B=$B325),2),
    IFERROR(
        INDEX(FILTER('POed not arrived'!D:D, 'POed not arrived'!A:A=$B325),2),
        """"
    )
)"),"123-124")</f>
        <v>123-124</v>
      </c>
      <c r="O325" s="202"/>
      <c r="P325" s="202" t="str">
        <f>IFERROR(__xludf.DUMMYFUNCTION("IFERROR(
    INDEX(FILTER('Arrived Shipments'!O:O, 'Arrived Shipments'!B:B=$B325),3),
    IFERROR(
        INDEX(FILTER('POed not arrived'!D:D, 'POed not arrived'!A:A=$B325),3),
        """"
    )
)"),"")</f>
        <v/>
      </c>
      <c r="Q325" s="202"/>
      <c r="R325" s="206" t="str">
        <f>IFERROR(__xludf.DUMMYFUNCTION("IFERROR(
    INDEX(FILTER('Arrived Shipments'!O:O, 'Arrived Shipments'!B:B=$B325),4),
    IFERROR(
        INDEX(FILTER('POed not arrived'!D:D, 'POed not arrived'!A:A=$B325),4),
        """"
    )
)"),"")</f>
        <v/>
      </c>
      <c r="S325" s="202"/>
      <c r="T325" s="202">
        <f t="shared" si="7"/>
        <v>0</v>
      </c>
      <c r="U325" s="205" t="s">
        <v>3026</v>
      </c>
      <c r="V325" s="199"/>
      <c r="W325" s="221" t="s">
        <v>3335</v>
      </c>
      <c r="X325" s="221" t="s">
        <v>3332</v>
      </c>
      <c r="Y325" s="199"/>
      <c r="Z325" s="216">
        <v>46167.0</v>
      </c>
      <c r="AA325" s="204" t="str">
        <f t="shared" si="4"/>
        <v>Ready To Load</v>
      </c>
      <c r="AB325" s="205" t="s">
        <v>2781</v>
      </c>
      <c r="AC325" s="199"/>
      <c r="AD325" s="199"/>
      <c r="AE325" s="199"/>
      <c r="AF325" s="199"/>
      <c r="AG325" s="199"/>
      <c r="AH325" s="199"/>
      <c r="AI325" s="199"/>
      <c r="AJ325" s="199"/>
      <c r="AK325" s="199"/>
      <c r="AL325" s="199"/>
      <c r="AM325" s="198"/>
      <c r="AN325" s="197"/>
      <c r="AO325" s="197"/>
      <c r="AP325" s="197"/>
      <c r="AQ325" s="197"/>
      <c r="AR325" s="197"/>
      <c r="AS325" s="197"/>
    </row>
    <row r="326">
      <c r="A326" s="198" t="str">
        <f t="shared" si="1"/>
        <v>PP</v>
      </c>
      <c r="B326" s="205" t="s">
        <v>3373</v>
      </c>
      <c r="C326" s="205" t="s">
        <v>81</v>
      </c>
      <c r="D326" s="203" t="s">
        <v>3374</v>
      </c>
      <c r="E326" s="213">
        <v>46107.0</v>
      </c>
      <c r="F326" s="205">
        <v>3.0</v>
      </c>
      <c r="G326" s="205">
        <v>2026.0</v>
      </c>
      <c r="H326" s="203">
        <v>2600027.0</v>
      </c>
      <c r="I326" s="218">
        <v>247267.6</v>
      </c>
      <c r="J326" s="199"/>
      <c r="K326" s="202"/>
      <c r="L326" s="205" t="str">
        <f>IFERROR(__xludf.DUMMYFUNCTION("IFERROR(
    INDEX(FILTER('Arrived Shipments'!O:O, 'Arrived Shipments'!B:B=$B326),1),
    IFERROR(
        INDEX(FILTER('POed not arrived'!D:D, 'POed not arrived'!A:A=$B326),1),
        """"
    )
)"),"")</f>
        <v/>
      </c>
      <c r="M326" s="202"/>
      <c r="N326" s="223" t="str">
        <f>IFERROR(__xludf.DUMMYFUNCTION("IFERROR(
    INDEX(FILTER('Arrived Shipments'!O:O, 'Arrived Shipments'!B:B=$B326),2),
    IFERROR(
        INDEX(FILTER('POed not arrived'!D:D, 'POed not arrived'!A:A=$B326),2),
        """"
    )
)"),"")</f>
        <v/>
      </c>
      <c r="O326" s="202"/>
      <c r="P326" s="202" t="str">
        <f>IFERROR(__xludf.DUMMYFUNCTION("IFERROR(
    INDEX(FILTER('Arrived Shipments'!O:O, 'Arrived Shipments'!B:B=$B326),3),
    IFERROR(
        INDEX(FILTER('POed not arrived'!D:D, 'POed not arrived'!A:A=$B326),3),
        """"
    )
)"),"")</f>
        <v/>
      </c>
      <c r="Q326" s="202"/>
      <c r="R326" s="206" t="str">
        <f>IFERROR(__xludf.DUMMYFUNCTION("IFERROR(
    INDEX(FILTER('Arrived Shipments'!O:O, 'Arrived Shipments'!B:B=$B326),4),
    IFERROR(
        INDEX(FILTER('POed not arrived'!D:D, 'POed not arrived'!A:A=$B326),4),
        """"
    )
)"),"")</f>
        <v/>
      </c>
      <c r="S326" s="202"/>
      <c r="T326" s="202">
        <f t="shared" si="7"/>
        <v>0</v>
      </c>
      <c r="U326" s="205" t="s">
        <v>2712</v>
      </c>
      <c r="V326" s="199"/>
      <c r="W326" s="221" t="s">
        <v>3335</v>
      </c>
      <c r="X326" s="221" t="s">
        <v>1401</v>
      </c>
      <c r="Y326" s="199"/>
      <c r="Z326" s="199"/>
      <c r="AA326" s="204" t="str">
        <f t="shared" si="4"/>
        <v/>
      </c>
      <c r="AB326" s="205" t="s">
        <v>2781</v>
      </c>
      <c r="AC326" s="199"/>
      <c r="AD326" s="199"/>
      <c r="AE326" s="199"/>
      <c r="AF326" s="199"/>
      <c r="AG326" s="199"/>
      <c r="AH326" s="199"/>
      <c r="AI326" s="199"/>
      <c r="AJ326" s="199"/>
      <c r="AK326" s="199"/>
      <c r="AL326" s="199"/>
      <c r="AM326" s="198"/>
      <c r="AN326" s="197"/>
      <c r="AO326" s="197"/>
      <c r="AP326" s="197"/>
      <c r="AQ326" s="197"/>
      <c r="AR326" s="197"/>
      <c r="AS326" s="197"/>
    </row>
    <row r="327">
      <c r="A327" s="198" t="str">
        <f t="shared" si="1"/>
        <v>PP</v>
      </c>
      <c r="B327" s="205" t="s">
        <v>3375</v>
      </c>
      <c r="C327" s="205" t="s">
        <v>105</v>
      </c>
      <c r="D327" s="199"/>
      <c r="E327" s="213">
        <v>46107.0</v>
      </c>
      <c r="F327" s="205">
        <v>3.0</v>
      </c>
      <c r="G327" s="205">
        <v>2026.0</v>
      </c>
      <c r="H327" s="203">
        <v>2600028.0</v>
      </c>
      <c r="I327" s="218">
        <v>35386.08</v>
      </c>
      <c r="J327" s="199"/>
      <c r="K327" s="202"/>
      <c r="L327" s="205" t="str">
        <f>IFERROR(__xludf.DUMMYFUNCTION("IFERROR(
    INDEX(FILTER('Arrived Shipments'!O:O, 'Arrived Shipments'!B:B=$B327),1),
    IFERROR(
        INDEX(FILTER('POed not arrived'!D:D, 'POed not arrived'!A:A=$B327),1),
        """"
    )
)"),"107-&gt;111")</f>
        <v>107-&gt;111</v>
      </c>
      <c r="M327" s="202"/>
      <c r="N327" s="223" t="str">
        <f>IFERROR(__xludf.DUMMYFUNCTION("IFERROR(
    INDEX(FILTER('Arrived Shipments'!O:O, 'Arrived Shipments'!B:B=$B327),2),
    IFERROR(
        INDEX(FILTER('POed not arrived'!D:D, 'POed not arrived'!A:A=$B327),2),
        """"
    )
)"),"")</f>
        <v/>
      </c>
      <c r="O327" s="202"/>
      <c r="P327" s="202" t="str">
        <f>IFERROR(__xludf.DUMMYFUNCTION("IFERROR(
    INDEX(FILTER('Arrived Shipments'!O:O, 'Arrived Shipments'!B:B=$B327),3),
    IFERROR(
        INDEX(FILTER('POed not arrived'!D:D, 'POed not arrived'!A:A=$B327),3),
        """"
    )
)"),"")</f>
        <v/>
      </c>
      <c r="Q327" s="202"/>
      <c r="R327" s="206" t="str">
        <f>IFERROR(__xludf.DUMMYFUNCTION("IFERROR(
    INDEX(FILTER('Arrived Shipments'!O:O, 'Arrived Shipments'!B:B=$B327),4),
    IFERROR(
        INDEX(FILTER('POed not arrived'!D:D, 'POed not arrived'!A:A=$B327),4),
        """"
    )
)"),"")</f>
        <v/>
      </c>
      <c r="S327" s="202"/>
      <c r="T327" s="202">
        <f t="shared" si="7"/>
        <v>0</v>
      </c>
      <c r="U327" s="205" t="s">
        <v>3026</v>
      </c>
      <c r="V327" s="199"/>
      <c r="W327" s="221" t="s">
        <v>3335</v>
      </c>
      <c r="X327" s="221" t="s">
        <v>3332</v>
      </c>
      <c r="Y327" s="199"/>
      <c r="Z327" s="216">
        <v>46162.0</v>
      </c>
      <c r="AA327" s="204" t="str">
        <f t="shared" si="4"/>
        <v>Ready To Load</v>
      </c>
      <c r="AB327" s="205" t="s">
        <v>2781</v>
      </c>
      <c r="AC327" s="199"/>
      <c r="AD327" s="199"/>
      <c r="AE327" s="199"/>
      <c r="AF327" s="199"/>
      <c r="AG327" s="199"/>
      <c r="AH327" s="199"/>
      <c r="AI327" s="199"/>
      <c r="AJ327" s="199"/>
      <c r="AK327" s="199"/>
      <c r="AL327" s="199"/>
      <c r="AM327" s="198"/>
      <c r="AN327" s="197"/>
      <c r="AO327" s="197"/>
      <c r="AP327" s="197"/>
      <c r="AQ327" s="197"/>
      <c r="AR327" s="197"/>
      <c r="AS327" s="197"/>
    </row>
    <row r="328">
      <c r="A328" s="198" t="str">
        <f t="shared" si="1"/>
        <v>PP</v>
      </c>
      <c r="B328" s="205" t="s">
        <v>3376</v>
      </c>
      <c r="C328" s="198"/>
      <c r="D328" s="199"/>
      <c r="E328" s="213"/>
      <c r="F328" s="198"/>
      <c r="G328" s="198"/>
      <c r="H328" s="199"/>
      <c r="I328" s="207"/>
      <c r="J328" s="199"/>
      <c r="K328" s="202"/>
      <c r="L328" s="205" t="str">
        <f>IFERROR(__xludf.DUMMYFUNCTION("IFERROR(
    INDEX(FILTER('Arrived Shipments'!O:O, 'Arrived Shipments'!B:B=$B328),1),
    IFERROR(
        INDEX(FILTER('POed not arrived'!D:D, 'POed not arrived'!A:A=$B328),1),
        """"
    )
)"),"")</f>
        <v/>
      </c>
      <c r="M328" s="202"/>
      <c r="N328" s="223" t="str">
        <f>IFERROR(__xludf.DUMMYFUNCTION("IFERROR(
    INDEX(FILTER('Arrived Shipments'!O:O, 'Arrived Shipments'!B:B=$B328),2),
    IFERROR(
        INDEX(FILTER('POed not arrived'!D:D, 'POed not arrived'!A:A=$B328),2),
        """"
    )
)"),"")</f>
        <v/>
      </c>
      <c r="O328" s="202"/>
      <c r="P328" s="202" t="str">
        <f>IFERROR(__xludf.DUMMYFUNCTION("IFERROR(
    INDEX(FILTER('Arrived Shipments'!O:O, 'Arrived Shipments'!B:B=$B328),3),
    IFERROR(
        INDEX(FILTER('POed not arrived'!D:D, 'POed not arrived'!A:A=$B328),3),
        """"
    )
)"),"")</f>
        <v/>
      </c>
      <c r="Q328" s="202"/>
      <c r="R328" s="206" t="str">
        <f>IFERROR(__xludf.DUMMYFUNCTION("IFERROR(
    INDEX(FILTER('Arrived Shipments'!O:O, 'Arrived Shipments'!B:B=$B328),4),
    IFERROR(
        INDEX(FILTER('POed not arrived'!D:D, 'POed not arrived'!A:A=$B328),4),
        """"
    )
)"),"")</f>
        <v/>
      </c>
      <c r="S328" s="202"/>
      <c r="T328" s="202">
        <f t="shared" si="7"/>
        <v>0</v>
      </c>
      <c r="U328" s="198"/>
      <c r="V328" s="199"/>
      <c r="W328" s="197"/>
      <c r="X328" s="197"/>
      <c r="Y328" s="199"/>
      <c r="Z328" s="199"/>
      <c r="AA328" s="204" t="str">
        <f t="shared" si="4"/>
        <v/>
      </c>
      <c r="AB328" s="198"/>
      <c r="AC328" s="199"/>
      <c r="AD328" s="199"/>
      <c r="AE328" s="199"/>
      <c r="AF328" s="199"/>
      <c r="AG328" s="199"/>
      <c r="AH328" s="199"/>
      <c r="AI328" s="199"/>
      <c r="AJ328" s="199"/>
      <c r="AK328" s="199"/>
      <c r="AL328" s="199"/>
      <c r="AM328" s="198"/>
      <c r="AN328" s="197"/>
      <c r="AO328" s="197"/>
      <c r="AP328" s="197"/>
      <c r="AQ328" s="197"/>
      <c r="AR328" s="197"/>
      <c r="AS328" s="197"/>
    </row>
    <row r="329">
      <c r="A329" s="198" t="str">
        <f t="shared" si="1"/>
        <v>PP</v>
      </c>
      <c r="B329" s="205" t="s">
        <v>3377</v>
      </c>
      <c r="C329" s="205" t="s">
        <v>100</v>
      </c>
      <c r="D329" s="199"/>
      <c r="E329" s="213">
        <v>46126.0</v>
      </c>
      <c r="F329" s="205">
        <v>4.0</v>
      </c>
      <c r="G329" s="205">
        <v>2026.0</v>
      </c>
      <c r="H329" s="199"/>
      <c r="I329" s="207"/>
      <c r="J329" s="199"/>
      <c r="K329" s="202"/>
      <c r="L329" s="205" t="str">
        <f>IFERROR(__xludf.DUMMYFUNCTION("IFERROR(
    INDEX(FILTER('Arrived Shipments'!O:O, 'Arrived Shipments'!B:B=$B329),1),
    IFERROR(
        INDEX(FILTER('POed not arrived'!D:D, 'POed not arrived'!A:A=$B329),1),
        """"
    )
)"),"")</f>
        <v/>
      </c>
      <c r="M329" s="202"/>
      <c r="N329" s="223" t="str">
        <f>IFERROR(__xludf.DUMMYFUNCTION("IFERROR(
    INDEX(FILTER('Arrived Shipments'!O:O, 'Arrived Shipments'!B:B=$B329),2),
    IFERROR(
        INDEX(FILTER('POed not arrived'!D:D, 'POed not arrived'!A:A=$B329),2),
        """"
    )
)"),"")</f>
        <v/>
      </c>
      <c r="O329" s="202"/>
      <c r="P329" s="202" t="str">
        <f>IFERROR(__xludf.DUMMYFUNCTION("IFERROR(
    INDEX(FILTER('Arrived Shipments'!O:O, 'Arrived Shipments'!B:B=$B329),3),
    IFERROR(
        INDEX(FILTER('POed not arrived'!D:D, 'POed not arrived'!A:A=$B329),3),
        """"
    )
)"),"")</f>
        <v/>
      </c>
      <c r="Q329" s="202"/>
      <c r="R329" s="206" t="str">
        <f>IFERROR(__xludf.DUMMYFUNCTION("IFERROR(
    INDEX(FILTER('Arrived Shipments'!O:O, 'Arrived Shipments'!B:B=$B329),4),
    IFERROR(
        INDEX(FILTER('POed not arrived'!D:D, 'POed not arrived'!A:A=$B329),4),
        """"
    )
)"),"")</f>
        <v/>
      </c>
      <c r="S329" s="202"/>
      <c r="T329" s="202">
        <f t="shared" si="7"/>
        <v>0</v>
      </c>
      <c r="U329" s="198"/>
      <c r="V329" s="199"/>
      <c r="W329" s="197"/>
      <c r="X329" s="221" t="s">
        <v>3321</v>
      </c>
      <c r="Y329" s="199"/>
      <c r="Z329" s="199"/>
      <c r="AA329" s="204" t="str">
        <f t="shared" si="4"/>
        <v/>
      </c>
      <c r="AB329" s="205" t="s">
        <v>2781</v>
      </c>
      <c r="AC329" s="199"/>
      <c r="AD329" s="199"/>
      <c r="AE329" s="199"/>
      <c r="AF329" s="199"/>
      <c r="AG329" s="199"/>
      <c r="AH329" s="199"/>
      <c r="AI329" s="199"/>
      <c r="AJ329" s="199"/>
      <c r="AK329" s="199"/>
      <c r="AL329" s="199"/>
      <c r="AM329" s="198"/>
      <c r="AN329" s="197"/>
      <c r="AO329" s="197"/>
      <c r="AP329" s="197"/>
      <c r="AQ329" s="197"/>
      <c r="AR329" s="197"/>
      <c r="AS329" s="197"/>
    </row>
    <row r="330">
      <c r="A330" s="198" t="str">
        <f t="shared" si="1"/>
        <v>PP</v>
      </c>
      <c r="B330" s="205" t="s">
        <v>3378</v>
      </c>
      <c r="C330" s="205" t="s">
        <v>259</v>
      </c>
      <c r="D330" s="199"/>
      <c r="E330" s="213">
        <v>46135.0</v>
      </c>
      <c r="F330" s="205">
        <v>4.0</v>
      </c>
      <c r="G330" s="205">
        <v>2026.0</v>
      </c>
      <c r="H330" s="203">
        <v>2600028.0</v>
      </c>
      <c r="I330" s="218">
        <v>62733.0</v>
      </c>
      <c r="J330" s="199"/>
      <c r="K330" s="202"/>
      <c r="L330" s="205" t="str">
        <f>IFERROR(__xludf.DUMMYFUNCTION("IFERROR(
    INDEX(FILTER('Arrived Shipments'!O:O, 'Arrived Shipments'!B:B=$B330),1),
    IFERROR(
        INDEX(FILTER('POed not arrived'!D:D, 'POed not arrived'!A:A=$B330),1),
        """"
    )
)"),"")</f>
        <v/>
      </c>
      <c r="M330" s="202"/>
      <c r="N330" s="223" t="str">
        <f>IFERROR(__xludf.DUMMYFUNCTION("IFERROR(
    INDEX(FILTER('Arrived Shipments'!O:O, 'Arrived Shipments'!B:B=$B330),2),
    IFERROR(
        INDEX(FILTER('POed not arrived'!D:D, 'POed not arrived'!A:A=$B330),2),
        """"
    )
)"),"")</f>
        <v/>
      </c>
      <c r="O330" s="202"/>
      <c r="P330" s="202" t="str">
        <f>IFERROR(__xludf.DUMMYFUNCTION("IFERROR(
    INDEX(FILTER('Arrived Shipments'!O:O, 'Arrived Shipments'!B:B=$B330),3),
    IFERROR(
        INDEX(FILTER('POed not arrived'!D:D, 'POed not arrived'!A:A=$B330),3),
        """"
    )
)"),"")</f>
        <v/>
      </c>
      <c r="Q330" s="202"/>
      <c r="R330" s="206" t="str">
        <f>IFERROR(__xludf.DUMMYFUNCTION("IFERROR(
    INDEX(FILTER('Arrived Shipments'!O:O, 'Arrived Shipments'!B:B=$B330),4),
    IFERROR(
        INDEX(FILTER('POed not arrived'!D:D, 'POed not arrived'!A:A=$B330),4),
        """"
    )
)"),"")</f>
        <v/>
      </c>
      <c r="S330" s="202"/>
      <c r="T330" s="202">
        <f t="shared" si="7"/>
        <v>0</v>
      </c>
      <c r="U330" s="205" t="s">
        <v>3360</v>
      </c>
      <c r="V330" s="199"/>
      <c r="W330" s="197"/>
      <c r="X330" s="221" t="s">
        <v>3333</v>
      </c>
      <c r="Y330" s="199"/>
      <c r="Z330" s="199"/>
      <c r="AA330" s="204" t="str">
        <f t="shared" si="4"/>
        <v/>
      </c>
      <c r="AB330" s="198"/>
      <c r="AC330" s="199"/>
      <c r="AD330" s="199"/>
      <c r="AE330" s="199"/>
      <c r="AF330" s="199"/>
      <c r="AG330" s="199"/>
      <c r="AH330" s="199"/>
      <c r="AI330" s="199"/>
      <c r="AJ330" s="199"/>
      <c r="AK330" s="199"/>
      <c r="AL330" s="199"/>
      <c r="AM330" s="198"/>
      <c r="AN330" s="197"/>
      <c r="AO330" s="197"/>
      <c r="AP330" s="197"/>
      <c r="AQ330" s="197"/>
      <c r="AR330" s="197"/>
      <c r="AS330" s="197"/>
    </row>
    <row r="331">
      <c r="A331" s="198" t="str">
        <f t="shared" si="1"/>
        <v>PP</v>
      </c>
      <c r="B331" s="205" t="s">
        <v>3379</v>
      </c>
      <c r="C331" s="205" t="s">
        <v>768</v>
      </c>
      <c r="D331" s="203" t="s">
        <v>3380</v>
      </c>
      <c r="E331" s="213">
        <v>46149.0</v>
      </c>
      <c r="F331" s="205">
        <v>5.0</v>
      </c>
      <c r="G331" s="205">
        <v>2026.0</v>
      </c>
      <c r="H331" s="199"/>
      <c r="I331" s="207"/>
      <c r="J331" s="199"/>
      <c r="K331" s="202"/>
      <c r="L331" s="205" t="str">
        <f>IFERROR(__xludf.DUMMYFUNCTION("IFERROR(
    INDEX(FILTER('Arrived Shipments'!O:O, 'Arrived Shipments'!B:B=$B331),1),
    IFERROR(
        INDEX(FILTER('POed not arrived'!D:D, 'POed not arrived'!A:A=$B331),1),
        """"
    )
)"),"")</f>
        <v/>
      </c>
      <c r="M331" s="202"/>
      <c r="N331" s="223" t="str">
        <f>IFERROR(__xludf.DUMMYFUNCTION("IFERROR(
    INDEX(FILTER('Arrived Shipments'!O:O, 'Arrived Shipments'!B:B=$B331),2),
    IFERROR(
        INDEX(FILTER('POed not arrived'!D:D, 'POed not arrived'!A:A=$B331),2),
        """"
    )
)"),"")</f>
        <v/>
      </c>
      <c r="O331" s="202"/>
      <c r="P331" s="202" t="str">
        <f>IFERROR(__xludf.DUMMYFUNCTION("IFERROR(
    INDEX(FILTER('Arrived Shipments'!O:O, 'Arrived Shipments'!B:B=$B331),3),
    IFERROR(
        INDEX(FILTER('POed not arrived'!D:D, 'POed not arrived'!A:A=$B331),3),
        """"
    )
)"),"")</f>
        <v/>
      </c>
      <c r="Q331" s="202"/>
      <c r="R331" s="206" t="str">
        <f>IFERROR(__xludf.DUMMYFUNCTION("IFERROR(
    INDEX(FILTER('Arrived Shipments'!O:O, 'Arrived Shipments'!B:B=$B331),4),
    IFERROR(
        INDEX(FILTER('POed not arrived'!D:D, 'POed not arrived'!A:A=$B331),4),
        """"
    )
)"),"")</f>
        <v/>
      </c>
      <c r="S331" s="202"/>
      <c r="T331" s="206">
        <v>372072.07</v>
      </c>
      <c r="U331" s="198"/>
      <c r="V331" s="199"/>
      <c r="W331" s="197"/>
      <c r="X331" s="197"/>
      <c r="Y331" s="199"/>
      <c r="Z331" s="199"/>
      <c r="AA331" s="204" t="str">
        <f t="shared" si="4"/>
        <v/>
      </c>
      <c r="AB331" s="198"/>
      <c r="AC331" s="199"/>
      <c r="AD331" s="199"/>
      <c r="AE331" s="199"/>
      <c r="AF331" s="199"/>
      <c r="AG331" s="199"/>
      <c r="AH331" s="199"/>
      <c r="AI331" s="199"/>
      <c r="AJ331" s="199"/>
      <c r="AK331" s="199"/>
      <c r="AL331" s="199"/>
      <c r="AM331" s="198"/>
      <c r="AN331" s="197"/>
      <c r="AO331" s="197"/>
      <c r="AP331" s="197"/>
      <c r="AQ331" s="197"/>
      <c r="AR331" s="197"/>
      <c r="AS331" s="197"/>
    </row>
    <row r="332">
      <c r="A332" s="198" t="str">
        <f t="shared" si="1"/>
        <v>PP</v>
      </c>
      <c r="B332" s="205" t="s">
        <v>3381</v>
      </c>
      <c r="C332" s="205" t="s">
        <v>1316</v>
      </c>
      <c r="D332" s="199"/>
      <c r="E332" s="213">
        <v>46149.0</v>
      </c>
      <c r="F332" s="205">
        <v>5.0</v>
      </c>
      <c r="G332" s="205">
        <v>2026.0</v>
      </c>
      <c r="H332" s="203">
        <v>2600029.0</v>
      </c>
      <c r="I332" s="218">
        <v>105433.12</v>
      </c>
      <c r="J332" s="199"/>
      <c r="K332" s="202"/>
      <c r="L332" s="205" t="str">
        <f>IFERROR(__xludf.DUMMYFUNCTION("IFERROR(
    INDEX(FILTER('Arrived Shipments'!O:O, 'Arrived Shipments'!B:B=$B332),1),
    IFERROR(
        INDEX(FILTER('POed not arrived'!D:D, 'POed not arrived'!A:A=$B332),1),
        """"
    )
)"),"")</f>
        <v/>
      </c>
      <c r="M332" s="202"/>
      <c r="N332" s="223" t="str">
        <f>IFERROR(__xludf.DUMMYFUNCTION("IFERROR(
    INDEX(FILTER('Arrived Shipments'!O:O, 'Arrived Shipments'!B:B=$B332),2),
    IFERROR(
        INDEX(FILTER('POed not arrived'!D:D, 'POed not arrived'!A:A=$B332),2),
        """"
    )
)"),"")</f>
        <v/>
      </c>
      <c r="O332" s="202"/>
      <c r="P332" s="202" t="str">
        <f>IFERROR(__xludf.DUMMYFUNCTION("IFERROR(
    INDEX(FILTER('Arrived Shipments'!O:O, 'Arrived Shipments'!B:B=$B332),3),
    IFERROR(
        INDEX(FILTER('POed not arrived'!D:D, 'POed not arrived'!A:A=$B332),3),
        """"
    )
)"),"")</f>
        <v/>
      </c>
      <c r="Q332" s="202"/>
      <c r="R332" s="206" t="str">
        <f>IFERROR(__xludf.DUMMYFUNCTION("IFERROR(
    INDEX(FILTER('Arrived Shipments'!O:O, 'Arrived Shipments'!B:B=$B332),4),
    IFERROR(
        INDEX(FILTER('POed not arrived'!D:D, 'POed not arrived'!A:A=$B332),4),
        """"
    )
)"),"")</f>
        <v/>
      </c>
      <c r="S332" s="202"/>
      <c r="T332" s="202">
        <f t="shared" ref="T332:T1070" si="8">SUM(M332,O332,Q332,S332)</f>
        <v>0</v>
      </c>
      <c r="U332" s="205" t="s">
        <v>3026</v>
      </c>
      <c r="V332" s="199"/>
      <c r="W332" s="197"/>
      <c r="X332" s="221" t="s">
        <v>1401</v>
      </c>
      <c r="Y332" s="199"/>
      <c r="Z332" s="199"/>
      <c r="AA332" s="204" t="str">
        <f t="shared" si="4"/>
        <v/>
      </c>
      <c r="AB332" s="198"/>
      <c r="AC332" s="199"/>
      <c r="AD332" s="199"/>
      <c r="AE332" s="199"/>
      <c r="AF332" s="199"/>
      <c r="AG332" s="199"/>
      <c r="AH332" s="199"/>
      <c r="AI332" s="199"/>
      <c r="AJ332" s="199"/>
      <c r="AK332" s="199"/>
      <c r="AL332" s="199"/>
      <c r="AM332" s="198"/>
      <c r="AN332" s="197"/>
      <c r="AO332" s="197"/>
      <c r="AP332" s="197"/>
      <c r="AQ332" s="197"/>
      <c r="AR332" s="197"/>
      <c r="AS332" s="197"/>
    </row>
    <row r="333">
      <c r="A333" s="198" t="str">
        <f t="shared" si="1"/>
        <v>PP</v>
      </c>
      <c r="B333" s="205" t="s">
        <v>3382</v>
      </c>
      <c r="C333" s="205" t="s">
        <v>81</v>
      </c>
      <c r="D333" s="203" t="s">
        <v>3383</v>
      </c>
      <c r="E333" s="213">
        <v>46149.0</v>
      </c>
      <c r="F333" s="205">
        <v>5.0</v>
      </c>
      <c r="G333" s="205">
        <v>2026.0</v>
      </c>
      <c r="H333" s="203">
        <v>2600030.0</v>
      </c>
      <c r="I333" s="218">
        <v>266861.46</v>
      </c>
      <c r="J333" s="199"/>
      <c r="K333" s="202"/>
      <c r="L333" s="205" t="str">
        <f>IFERROR(__xludf.DUMMYFUNCTION("IFERROR(
    INDEX(FILTER('Arrived Shipments'!O:O, 'Arrived Shipments'!B:B=$B333),1),
    IFERROR(
        INDEX(FILTER('POed not arrived'!D:D, 'POed not arrived'!A:A=$B333),1),
        """"
    )
)"),"")</f>
        <v/>
      </c>
      <c r="M333" s="202"/>
      <c r="N333" s="223" t="str">
        <f>IFERROR(__xludf.DUMMYFUNCTION("IFERROR(
    INDEX(FILTER('Arrived Shipments'!O:O, 'Arrived Shipments'!B:B=$B333),2),
    IFERROR(
        INDEX(FILTER('POed not arrived'!D:D, 'POed not arrived'!A:A=$B333),2),
        """"
    )
)"),"")</f>
        <v/>
      </c>
      <c r="O333" s="202"/>
      <c r="P333" s="202" t="str">
        <f>IFERROR(__xludf.DUMMYFUNCTION("IFERROR(
    INDEX(FILTER('Arrived Shipments'!O:O, 'Arrived Shipments'!B:B=$B333),3),
    IFERROR(
        INDEX(FILTER('POed not arrived'!D:D, 'POed not arrived'!A:A=$B333),3),
        """"
    )
)"),"")</f>
        <v/>
      </c>
      <c r="Q333" s="202"/>
      <c r="R333" s="206" t="str">
        <f>IFERROR(__xludf.DUMMYFUNCTION("IFERROR(
    INDEX(FILTER('Arrived Shipments'!O:O, 'Arrived Shipments'!B:B=$B333),4),
    IFERROR(
        INDEX(FILTER('POed not arrived'!D:D, 'POed not arrived'!A:A=$B333),4),
        """"
    )
)"),"")</f>
        <v/>
      </c>
      <c r="S333" s="202"/>
      <c r="T333" s="202">
        <f t="shared" si="8"/>
        <v>0</v>
      </c>
      <c r="U333" s="205" t="s">
        <v>2712</v>
      </c>
      <c r="V333" s="199"/>
      <c r="W333" s="197"/>
      <c r="X333" s="197"/>
      <c r="Y333" s="199"/>
      <c r="Z333" s="199"/>
      <c r="AA333" s="204" t="str">
        <f t="shared" si="4"/>
        <v/>
      </c>
      <c r="AB333" s="198"/>
      <c r="AC333" s="199"/>
      <c r="AD333" s="199"/>
      <c r="AE333" s="199"/>
      <c r="AF333" s="199"/>
      <c r="AG333" s="199"/>
      <c r="AH333" s="199"/>
      <c r="AI333" s="199"/>
      <c r="AJ333" s="199"/>
      <c r="AK333" s="199"/>
      <c r="AL333" s="199"/>
      <c r="AM333" s="198"/>
      <c r="AN333" s="197"/>
      <c r="AO333" s="197"/>
      <c r="AP333" s="197"/>
      <c r="AQ333" s="197"/>
      <c r="AR333" s="197"/>
      <c r="AS333" s="197"/>
    </row>
    <row r="334">
      <c r="A334" s="198" t="str">
        <f t="shared" si="1"/>
        <v>PP</v>
      </c>
      <c r="B334" s="205" t="s">
        <v>3384</v>
      </c>
      <c r="C334" s="205" t="s">
        <v>81</v>
      </c>
      <c r="D334" s="203" t="s">
        <v>3385</v>
      </c>
      <c r="E334" s="213">
        <v>46149.0</v>
      </c>
      <c r="F334" s="205">
        <v>5.0</v>
      </c>
      <c r="G334" s="205">
        <v>2026.0</v>
      </c>
      <c r="H334" s="203">
        <v>2600031.0</v>
      </c>
      <c r="I334" s="218">
        <v>257923.56</v>
      </c>
      <c r="J334" s="199"/>
      <c r="K334" s="202"/>
      <c r="L334" s="205" t="str">
        <f>IFERROR(__xludf.DUMMYFUNCTION("IFERROR(
    INDEX(FILTER('Arrived Shipments'!O:O, 'Arrived Shipments'!B:B=$B334),1),
    IFERROR(
        INDEX(FILTER('POed not arrived'!D:D, 'POed not arrived'!A:A=$B334),1),
        """"
    )
)"),"")</f>
        <v/>
      </c>
      <c r="M334" s="202"/>
      <c r="N334" s="223" t="str">
        <f>IFERROR(__xludf.DUMMYFUNCTION("IFERROR(
    INDEX(FILTER('Arrived Shipments'!O:O, 'Arrived Shipments'!B:B=$B334),2),
    IFERROR(
        INDEX(FILTER('POed not arrived'!D:D, 'POed not arrived'!A:A=$B334),2),
        """"
    )
)"),"")</f>
        <v/>
      </c>
      <c r="O334" s="202"/>
      <c r="P334" s="202" t="str">
        <f>IFERROR(__xludf.DUMMYFUNCTION("IFERROR(
    INDEX(FILTER('Arrived Shipments'!O:O, 'Arrived Shipments'!B:B=$B334),3),
    IFERROR(
        INDEX(FILTER('POed not arrived'!D:D, 'POed not arrived'!A:A=$B334),3),
        """"
    )
)"),"")</f>
        <v/>
      </c>
      <c r="Q334" s="202"/>
      <c r="R334" s="206" t="str">
        <f>IFERROR(__xludf.DUMMYFUNCTION("IFERROR(
    INDEX(FILTER('Arrived Shipments'!O:O, 'Arrived Shipments'!B:B=$B334),4),
    IFERROR(
        INDEX(FILTER('POed not arrived'!D:D, 'POed not arrived'!A:A=$B334),4),
        """"
    )
)"),"")</f>
        <v/>
      </c>
      <c r="S334" s="202"/>
      <c r="T334" s="202">
        <f t="shared" si="8"/>
        <v>0</v>
      </c>
      <c r="U334" s="205" t="s">
        <v>2712</v>
      </c>
      <c r="V334" s="199"/>
      <c r="W334" s="197"/>
      <c r="X334" s="197"/>
      <c r="Y334" s="199"/>
      <c r="Z334" s="199"/>
      <c r="AA334" s="204" t="str">
        <f t="shared" si="4"/>
        <v/>
      </c>
      <c r="AB334" s="198"/>
      <c r="AC334" s="199"/>
      <c r="AD334" s="199"/>
      <c r="AE334" s="199"/>
      <c r="AF334" s="199"/>
      <c r="AG334" s="199"/>
      <c r="AH334" s="199"/>
      <c r="AI334" s="199"/>
      <c r="AJ334" s="199"/>
      <c r="AK334" s="199"/>
      <c r="AL334" s="199"/>
      <c r="AM334" s="198"/>
      <c r="AN334" s="197"/>
      <c r="AO334" s="197"/>
      <c r="AP334" s="197"/>
      <c r="AQ334" s="197"/>
      <c r="AR334" s="197"/>
      <c r="AS334" s="197"/>
    </row>
    <row r="335">
      <c r="A335" s="198" t="str">
        <f t="shared" si="1"/>
        <v>PP</v>
      </c>
      <c r="B335" s="205" t="s">
        <v>3386</v>
      </c>
      <c r="C335" s="205" t="s">
        <v>26</v>
      </c>
      <c r="D335" s="203" t="s">
        <v>3387</v>
      </c>
      <c r="E335" s="213">
        <v>46161.0</v>
      </c>
      <c r="F335" s="205">
        <v>5.0</v>
      </c>
      <c r="G335" s="205">
        <v>2026.0</v>
      </c>
      <c r="H335" s="199"/>
      <c r="I335" s="207"/>
      <c r="J335" s="199"/>
      <c r="K335" s="202"/>
      <c r="L335" s="205" t="str">
        <f>IFERROR(__xludf.DUMMYFUNCTION("IFERROR(
    INDEX(FILTER('Arrived Shipments'!O:O, 'Arrived Shipments'!B:B=$B335),1),
    IFERROR(
        INDEX(FILTER('POed not arrived'!D:D, 'POed not arrived'!A:A=$B335),1),
        """"
    )
)"),"")</f>
        <v/>
      </c>
      <c r="M335" s="202"/>
      <c r="N335" s="223" t="str">
        <f>IFERROR(__xludf.DUMMYFUNCTION("IFERROR(
    INDEX(FILTER('Arrived Shipments'!O:O, 'Arrived Shipments'!B:B=$B335),2),
    IFERROR(
        INDEX(FILTER('POed not arrived'!D:D, 'POed not arrived'!A:A=$B335),2),
        """"
    )
)"),"")</f>
        <v/>
      </c>
      <c r="O335" s="202"/>
      <c r="P335" s="202" t="str">
        <f>IFERROR(__xludf.DUMMYFUNCTION("IFERROR(
    INDEX(FILTER('Arrived Shipments'!O:O, 'Arrived Shipments'!B:B=$B335),3),
    IFERROR(
        INDEX(FILTER('POed not arrived'!D:D, 'POed not arrived'!A:A=$B335),3),
        """"
    )
)"),"")</f>
        <v/>
      </c>
      <c r="Q335" s="202"/>
      <c r="R335" s="206" t="str">
        <f>IFERROR(__xludf.DUMMYFUNCTION("IFERROR(
    INDEX(FILTER('Arrived Shipments'!O:O, 'Arrived Shipments'!B:B=$B335),4),
    IFERROR(
        INDEX(FILTER('POed not arrived'!D:D, 'POed not arrived'!A:A=$B335),4),
        """"
    )
)"),"")</f>
        <v/>
      </c>
      <c r="S335" s="202"/>
      <c r="T335" s="202">
        <f t="shared" si="8"/>
        <v>0</v>
      </c>
      <c r="U335" s="198"/>
      <c r="V335" s="199"/>
      <c r="W335" s="197"/>
      <c r="X335" s="197"/>
      <c r="Y335" s="199"/>
      <c r="Z335" s="199"/>
      <c r="AA335" s="204" t="str">
        <f t="shared" si="4"/>
        <v/>
      </c>
      <c r="AB335" s="198"/>
      <c r="AC335" s="199"/>
      <c r="AD335" s="199"/>
      <c r="AE335" s="199"/>
      <c r="AF335" s="199"/>
      <c r="AG335" s="199"/>
      <c r="AH335" s="199"/>
      <c r="AI335" s="199"/>
      <c r="AJ335" s="199"/>
      <c r="AK335" s="199"/>
      <c r="AL335" s="199"/>
      <c r="AM335" s="198"/>
      <c r="AN335" s="197"/>
      <c r="AO335" s="197"/>
      <c r="AP335" s="197"/>
      <c r="AQ335" s="197"/>
      <c r="AR335" s="197"/>
      <c r="AS335" s="197"/>
    </row>
    <row r="336">
      <c r="A336" s="198" t="str">
        <f t="shared" si="1"/>
        <v>PP</v>
      </c>
      <c r="B336" s="205" t="s">
        <v>3388</v>
      </c>
      <c r="C336" s="205" t="s">
        <v>105</v>
      </c>
      <c r="D336" s="199"/>
      <c r="E336" s="213">
        <v>46167.0</v>
      </c>
      <c r="F336" s="205">
        <v>5.0</v>
      </c>
      <c r="G336" s="205">
        <v>2026.0</v>
      </c>
      <c r="H336" s="199"/>
      <c r="I336" s="207"/>
      <c r="J336" s="199"/>
      <c r="K336" s="202"/>
      <c r="L336" s="205" t="str">
        <f>IFERROR(__xludf.DUMMYFUNCTION("IFERROR(
    INDEX(FILTER('Arrived Shipments'!O:O, 'Arrived Shipments'!B:B=$B336),1),
    IFERROR(
        INDEX(FILTER('POed not arrived'!D:D, 'POed not arrived'!A:A=$B336),1),
        """"
    )
)"),"")</f>
        <v/>
      </c>
      <c r="M336" s="202"/>
      <c r="N336" s="223" t="str">
        <f>IFERROR(__xludf.DUMMYFUNCTION("IFERROR(
    INDEX(FILTER('Arrived Shipments'!O:O, 'Arrived Shipments'!B:B=$B336),2),
    IFERROR(
        INDEX(FILTER('POed not arrived'!D:D, 'POed not arrived'!A:A=$B336),2),
        """"
    )
)"),"")</f>
        <v/>
      </c>
      <c r="O336" s="202"/>
      <c r="P336" s="202" t="str">
        <f>IFERROR(__xludf.DUMMYFUNCTION("IFERROR(
    INDEX(FILTER('Arrived Shipments'!O:O, 'Arrived Shipments'!B:B=$B336),3),
    IFERROR(
        INDEX(FILTER('POed not arrived'!D:D, 'POed not arrived'!A:A=$B336),3),
        """"
    )
)"),"")</f>
        <v/>
      </c>
      <c r="Q336" s="202"/>
      <c r="R336" s="206" t="str">
        <f>IFERROR(__xludf.DUMMYFUNCTION("IFERROR(
    INDEX(FILTER('Arrived Shipments'!O:O, 'Arrived Shipments'!B:B=$B336),4),
    IFERROR(
        INDEX(FILTER('POed not arrived'!D:D, 'POed not arrived'!A:A=$B336),4),
        """"
    )
)"),"")</f>
        <v/>
      </c>
      <c r="S336" s="202"/>
      <c r="T336" s="202">
        <f t="shared" si="8"/>
        <v>0</v>
      </c>
      <c r="U336" s="198"/>
      <c r="V336" s="199"/>
      <c r="W336" s="197"/>
      <c r="X336" s="197"/>
      <c r="Y336" s="199"/>
      <c r="Z336" s="199"/>
      <c r="AA336" s="204" t="str">
        <f t="shared" si="4"/>
        <v/>
      </c>
      <c r="AB336" s="198"/>
      <c r="AC336" s="199"/>
      <c r="AD336" s="199"/>
      <c r="AE336" s="199"/>
      <c r="AF336" s="199"/>
      <c r="AG336" s="199"/>
      <c r="AH336" s="199"/>
      <c r="AI336" s="199"/>
      <c r="AJ336" s="199"/>
      <c r="AK336" s="199"/>
      <c r="AL336" s="199"/>
      <c r="AM336" s="198"/>
      <c r="AN336" s="197"/>
      <c r="AO336" s="197"/>
      <c r="AP336" s="197"/>
      <c r="AQ336" s="197"/>
      <c r="AR336" s="197"/>
      <c r="AS336" s="197"/>
    </row>
    <row r="337">
      <c r="A337" s="198" t="str">
        <f t="shared" si="1"/>
        <v>PP</v>
      </c>
      <c r="B337" s="205" t="s">
        <v>3389</v>
      </c>
      <c r="C337" s="205" t="s">
        <v>105</v>
      </c>
      <c r="D337" s="203" t="s">
        <v>3221</v>
      </c>
      <c r="E337" s="213">
        <v>46167.0</v>
      </c>
      <c r="F337" s="205">
        <v>5.0</v>
      </c>
      <c r="G337" s="205">
        <v>2026.0</v>
      </c>
      <c r="H337" s="199"/>
      <c r="I337" s="207"/>
      <c r="J337" s="199"/>
      <c r="K337" s="202"/>
      <c r="L337" s="205" t="str">
        <f>IFERROR(__xludf.DUMMYFUNCTION("IFERROR(
    INDEX(FILTER('Arrived Shipments'!O:O, 'Arrived Shipments'!B:B=$B337),1),
    IFERROR(
        INDEX(FILTER('POed not arrived'!D:D, 'POed not arrived'!A:A=$B337),1),
        """"
    )
)"),"")</f>
        <v/>
      </c>
      <c r="M337" s="202"/>
      <c r="N337" s="223" t="str">
        <f>IFERROR(__xludf.DUMMYFUNCTION("IFERROR(
    INDEX(FILTER('Arrived Shipments'!O:O, 'Arrived Shipments'!B:B=$B337),2),
    IFERROR(
        INDEX(FILTER('POed not arrived'!D:D, 'POed not arrived'!A:A=$B337),2),
        """"
    )
)"),"")</f>
        <v/>
      </c>
      <c r="O337" s="202"/>
      <c r="P337" s="202" t="str">
        <f>IFERROR(__xludf.DUMMYFUNCTION("IFERROR(
    INDEX(FILTER('Arrived Shipments'!O:O, 'Arrived Shipments'!B:B=$B337),3),
    IFERROR(
        INDEX(FILTER('POed not arrived'!D:D, 'POed not arrived'!A:A=$B337),3),
        """"
    )
)"),"")</f>
        <v/>
      </c>
      <c r="Q337" s="202"/>
      <c r="R337" s="206" t="str">
        <f>IFERROR(__xludf.DUMMYFUNCTION("IFERROR(
    INDEX(FILTER('Arrived Shipments'!O:O, 'Arrived Shipments'!B:B=$B337),4),
    IFERROR(
        INDEX(FILTER('POed not arrived'!D:D, 'POed not arrived'!A:A=$B337),4),
        """"
    )
)"),"")</f>
        <v/>
      </c>
      <c r="S337" s="202"/>
      <c r="T337" s="202">
        <f t="shared" si="8"/>
        <v>0</v>
      </c>
      <c r="U337" s="198"/>
      <c r="V337" s="199"/>
      <c r="W337" s="197"/>
      <c r="X337" s="197"/>
      <c r="Y337" s="199"/>
      <c r="Z337" s="199"/>
      <c r="AA337" s="204" t="str">
        <f t="shared" si="4"/>
        <v/>
      </c>
      <c r="AB337" s="198"/>
      <c r="AC337" s="199"/>
      <c r="AD337" s="199"/>
      <c r="AE337" s="199"/>
      <c r="AF337" s="199"/>
      <c r="AG337" s="199"/>
      <c r="AH337" s="199"/>
      <c r="AI337" s="199"/>
      <c r="AJ337" s="199"/>
      <c r="AK337" s="199"/>
      <c r="AL337" s="199"/>
      <c r="AM337" s="198"/>
      <c r="AN337" s="197"/>
      <c r="AO337" s="197"/>
      <c r="AP337" s="197"/>
      <c r="AQ337" s="197"/>
      <c r="AR337" s="197"/>
      <c r="AS337" s="197"/>
    </row>
    <row r="338">
      <c r="A338" s="198" t="str">
        <f t="shared" si="1"/>
        <v>PP</v>
      </c>
      <c r="B338" s="205" t="s">
        <v>3390</v>
      </c>
      <c r="C338" s="205" t="s">
        <v>3074</v>
      </c>
      <c r="D338" s="203" t="s">
        <v>3281</v>
      </c>
      <c r="E338" s="213">
        <v>46167.0</v>
      </c>
      <c r="F338" s="205">
        <v>5.0</v>
      </c>
      <c r="G338" s="205">
        <v>2026.0</v>
      </c>
      <c r="H338" s="199"/>
      <c r="I338" s="207"/>
      <c r="J338" s="199"/>
      <c r="K338" s="202"/>
      <c r="L338" s="205" t="str">
        <f>IFERROR(__xludf.DUMMYFUNCTION("IFERROR(
    INDEX(FILTER('Arrived Shipments'!O:O, 'Arrived Shipments'!B:B=$B338),1),
    IFERROR(
        INDEX(FILTER('POed not arrived'!D:D, 'POed not arrived'!A:A=$B338),1),
        """"
    )
)"),"")</f>
        <v/>
      </c>
      <c r="M338" s="202"/>
      <c r="N338" s="223" t="str">
        <f>IFERROR(__xludf.DUMMYFUNCTION("IFERROR(
    INDEX(FILTER('Arrived Shipments'!O:O, 'Arrived Shipments'!B:B=$B338),2),
    IFERROR(
        INDEX(FILTER('POed not arrived'!D:D, 'POed not arrived'!A:A=$B338),2),
        """"
    )
)"),"")</f>
        <v/>
      </c>
      <c r="O338" s="202"/>
      <c r="P338" s="202" t="str">
        <f>IFERROR(__xludf.DUMMYFUNCTION("IFERROR(
    INDEX(FILTER('Arrived Shipments'!O:O, 'Arrived Shipments'!B:B=$B338),3),
    IFERROR(
        INDEX(FILTER('POed not arrived'!D:D, 'POed not arrived'!A:A=$B338),3),
        """"
    )
)"),"")</f>
        <v/>
      </c>
      <c r="Q338" s="202"/>
      <c r="R338" s="206" t="str">
        <f>IFERROR(__xludf.DUMMYFUNCTION("IFERROR(
    INDEX(FILTER('Arrived Shipments'!O:O, 'Arrived Shipments'!B:B=$B338),4),
    IFERROR(
        INDEX(FILTER('POed not arrived'!D:D, 'POed not arrived'!A:A=$B338),4),
        """"
    )
)"),"")</f>
        <v/>
      </c>
      <c r="S338" s="202"/>
      <c r="T338" s="202">
        <f t="shared" si="8"/>
        <v>0</v>
      </c>
      <c r="U338" s="198"/>
      <c r="V338" s="199"/>
      <c r="W338" s="197"/>
      <c r="X338" s="197"/>
      <c r="Y338" s="199"/>
      <c r="Z338" s="216">
        <v>46239.0</v>
      </c>
      <c r="AA338" s="204">
        <f t="shared" si="4"/>
        <v>28</v>
      </c>
      <c r="AB338" s="205" t="s">
        <v>2781</v>
      </c>
      <c r="AC338" s="199"/>
      <c r="AD338" s="199"/>
      <c r="AE338" s="199"/>
      <c r="AF338" s="199"/>
      <c r="AG338" s="199"/>
      <c r="AH338" s="199"/>
      <c r="AI338" s="199"/>
      <c r="AJ338" s="199"/>
      <c r="AK338" s="199"/>
      <c r="AL338" s="199"/>
      <c r="AM338" s="198"/>
      <c r="AN338" s="197"/>
      <c r="AO338" s="197"/>
      <c r="AP338" s="197"/>
      <c r="AQ338" s="197"/>
      <c r="AR338" s="197"/>
      <c r="AS338" s="197"/>
    </row>
    <row r="339">
      <c r="A339" s="198" t="str">
        <f t="shared" si="1"/>
        <v>PP</v>
      </c>
      <c r="B339" s="205" t="s">
        <v>3391</v>
      </c>
      <c r="C339" s="205" t="s">
        <v>81</v>
      </c>
      <c r="D339" s="203" t="s">
        <v>3392</v>
      </c>
      <c r="E339" s="213">
        <v>46176.0</v>
      </c>
      <c r="F339" s="205">
        <v>6.0</v>
      </c>
      <c r="G339" s="205">
        <v>2026.0</v>
      </c>
      <c r="H339" s="199"/>
      <c r="I339" s="207"/>
      <c r="J339" s="199"/>
      <c r="K339" s="202"/>
      <c r="L339" s="205" t="str">
        <f>IFERROR(__xludf.DUMMYFUNCTION("IFERROR(
    INDEX(FILTER('Arrived Shipments'!O:O, 'Arrived Shipments'!B:B=$B339),1),
    IFERROR(
        INDEX(FILTER('POed not arrived'!D:D, 'POed not arrived'!A:A=$B339),1),
        """"
    )
)"),"")</f>
        <v/>
      </c>
      <c r="M339" s="202"/>
      <c r="N339" s="223" t="str">
        <f>IFERROR(__xludf.DUMMYFUNCTION("IFERROR(
    INDEX(FILTER('Arrived Shipments'!O:O, 'Arrived Shipments'!B:B=$B339),2),
    IFERROR(
        INDEX(FILTER('POed not arrived'!D:D, 'POed not arrived'!A:A=$B339),2),
        """"
    )
)"),"")</f>
        <v/>
      </c>
      <c r="O339" s="202"/>
      <c r="P339" s="202" t="str">
        <f>IFERROR(__xludf.DUMMYFUNCTION("IFERROR(
    INDEX(FILTER('Arrived Shipments'!O:O, 'Arrived Shipments'!B:B=$B339),3),
    IFERROR(
        INDEX(FILTER('POed not arrived'!D:D, 'POed not arrived'!A:A=$B339),3),
        """"
    )
)"),"")</f>
        <v/>
      </c>
      <c r="Q339" s="202"/>
      <c r="R339" s="206" t="str">
        <f>IFERROR(__xludf.DUMMYFUNCTION("IFERROR(
    INDEX(FILTER('Arrived Shipments'!O:O, 'Arrived Shipments'!B:B=$B339),4),
    IFERROR(
        INDEX(FILTER('POed not arrived'!D:D, 'POed not arrived'!A:A=$B339),4),
        """"
    )
)"),"")</f>
        <v/>
      </c>
      <c r="S339" s="202"/>
      <c r="T339" s="202">
        <f t="shared" si="8"/>
        <v>0</v>
      </c>
      <c r="U339" s="198"/>
      <c r="V339" s="199"/>
      <c r="W339" s="197"/>
      <c r="X339" s="197"/>
      <c r="Y339" s="199"/>
      <c r="Z339" s="199"/>
      <c r="AA339" s="204" t="str">
        <f t="shared" si="4"/>
        <v/>
      </c>
      <c r="AB339" s="198"/>
      <c r="AC339" s="199"/>
      <c r="AD339" s="199"/>
      <c r="AE339" s="199"/>
      <c r="AF339" s="199"/>
      <c r="AG339" s="199"/>
      <c r="AH339" s="199"/>
      <c r="AI339" s="199"/>
      <c r="AJ339" s="199"/>
      <c r="AK339" s="199"/>
      <c r="AL339" s="199"/>
      <c r="AM339" s="198"/>
      <c r="AN339" s="197"/>
      <c r="AO339" s="197"/>
      <c r="AP339" s="197"/>
      <c r="AQ339" s="197"/>
      <c r="AR339" s="197"/>
      <c r="AS339" s="197"/>
    </row>
    <row r="340">
      <c r="A340" s="198" t="str">
        <f t="shared" si="1"/>
        <v>PP</v>
      </c>
      <c r="B340" s="205" t="s">
        <v>3393</v>
      </c>
      <c r="C340" s="205" t="s">
        <v>59</v>
      </c>
      <c r="D340" s="199"/>
      <c r="E340" s="213">
        <v>46184.0</v>
      </c>
      <c r="F340" s="205">
        <v>6.0</v>
      </c>
      <c r="G340" s="205">
        <v>2026.0</v>
      </c>
      <c r="H340" s="199"/>
      <c r="I340" s="207"/>
      <c r="J340" s="199"/>
      <c r="K340" s="202"/>
      <c r="L340" s="205" t="str">
        <f>IFERROR(__xludf.DUMMYFUNCTION("IFERROR(
    INDEX(FILTER('Arrived Shipments'!O:O, 'Arrived Shipments'!B:B=$B340),1),
    IFERROR(
        INDEX(FILTER('POed not arrived'!D:D, 'POed not arrived'!A:A=$B340),1),
        """"
    )
)"),"")</f>
        <v/>
      </c>
      <c r="M340" s="202"/>
      <c r="N340" s="223" t="str">
        <f>IFERROR(__xludf.DUMMYFUNCTION("IFERROR(
    INDEX(FILTER('Arrived Shipments'!O:O, 'Arrived Shipments'!B:B=$B340),2),
    IFERROR(
        INDEX(FILTER('POed not arrived'!D:D, 'POed not arrived'!A:A=$B340),2),
        """"
    )
)"),"")</f>
        <v/>
      </c>
      <c r="O340" s="202"/>
      <c r="P340" s="202" t="str">
        <f>IFERROR(__xludf.DUMMYFUNCTION("IFERROR(
    INDEX(FILTER('Arrived Shipments'!O:O, 'Arrived Shipments'!B:B=$B340),3),
    IFERROR(
        INDEX(FILTER('POed not arrived'!D:D, 'POed not arrived'!A:A=$B340),3),
        """"
    )
)"),"")</f>
        <v/>
      </c>
      <c r="Q340" s="202"/>
      <c r="R340" s="206" t="str">
        <f>IFERROR(__xludf.DUMMYFUNCTION("IFERROR(
    INDEX(FILTER('Arrived Shipments'!O:O, 'Arrived Shipments'!B:B=$B340),4),
    IFERROR(
        INDEX(FILTER('POed not arrived'!D:D, 'POed not arrived'!A:A=$B340),4),
        """"
    )
)"),"")</f>
        <v/>
      </c>
      <c r="S340" s="202"/>
      <c r="T340" s="202">
        <f t="shared" si="8"/>
        <v>0</v>
      </c>
      <c r="U340" s="198"/>
      <c r="V340" s="199"/>
      <c r="W340" s="197"/>
      <c r="X340" s="197"/>
      <c r="Y340" s="199"/>
      <c r="Z340" s="199"/>
      <c r="AA340" s="204" t="str">
        <f t="shared" si="4"/>
        <v/>
      </c>
      <c r="AB340" s="198"/>
      <c r="AC340" s="199"/>
      <c r="AD340" s="199"/>
      <c r="AE340" s="199"/>
      <c r="AF340" s="199"/>
      <c r="AG340" s="199"/>
      <c r="AH340" s="199"/>
      <c r="AI340" s="199"/>
      <c r="AJ340" s="199"/>
      <c r="AK340" s="199"/>
      <c r="AL340" s="199"/>
      <c r="AM340" s="198"/>
      <c r="AN340" s="197"/>
      <c r="AO340" s="197"/>
      <c r="AP340" s="197"/>
      <c r="AQ340" s="197"/>
      <c r="AR340" s="197"/>
      <c r="AS340" s="197"/>
    </row>
    <row r="341">
      <c r="A341" s="198" t="str">
        <f t="shared" si="1"/>
        <v>PP</v>
      </c>
      <c r="B341" s="205" t="s">
        <v>3394</v>
      </c>
      <c r="C341" s="205" t="s">
        <v>100</v>
      </c>
      <c r="D341" s="199"/>
      <c r="E341" s="213">
        <v>46188.0</v>
      </c>
      <c r="F341" s="205">
        <v>6.0</v>
      </c>
      <c r="G341" s="205">
        <v>2026.0</v>
      </c>
      <c r="H341" s="199"/>
      <c r="I341" s="207"/>
      <c r="J341" s="199"/>
      <c r="K341" s="202"/>
      <c r="L341" s="205" t="str">
        <f>IFERROR(__xludf.DUMMYFUNCTION("IFERROR(
    INDEX(FILTER('Arrived Shipments'!O:O, 'Arrived Shipments'!B:B=$B341),1),
    IFERROR(
        INDEX(FILTER('POed not arrived'!D:D, 'POed not arrived'!A:A=$B341),1),
        """"
    )
)"),"")</f>
        <v/>
      </c>
      <c r="M341" s="202"/>
      <c r="N341" s="223" t="str">
        <f>IFERROR(__xludf.DUMMYFUNCTION("IFERROR(
    INDEX(FILTER('Arrived Shipments'!O:O, 'Arrived Shipments'!B:B=$B341),2),
    IFERROR(
        INDEX(FILTER('POed not arrived'!D:D, 'POed not arrived'!A:A=$B341),2),
        """"
    )
)"),"")</f>
        <v/>
      </c>
      <c r="O341" s="202"/>
      <c r="P341" s="202" t="str">
        <f>IFERROR(__xludf.DUMMYFUNCTION("IFERROR(
    INDEX(FILTER('Arrived Shipments'!O:O, 'Arrived Shipments'!B:B=$B341),3),
    IFERROR(
        INDEX(FILTER('POed not arrived'!D:D, 'POed not arrived'!A:A=$B341),3),
        """"
    )
)"),"")</f>
        <v/>
      </c>
      <c r="Q341" s="202"/>
      <c r="R341" s="206" t="str">
        <f>IFERROR(__xludf.DUMMYFUNCTION("IFERROR(
    INDEX(FILTER('Arrived Shipments'!O:O, 'Arrived Shipments'!B:B=$B341),4),
    IFERROR(
        INDEX(FILTER('POed not arrived'!D:D, 'POed not arrived'!A:A=$B341),4),
        """"
    )
)"),"")</f>
        <v/>
      </c>
      <c r="S341" s="202"/>
      <c r="T341" s="202">
        <f t="shared" si="8"/>
        <v>0</v>
      </c>
      <c r="U341" s="198"/>
      <c r="V341" s="199"/>
      <c r="W341" s="197"/>
      <c r="X341" s="197"/>
      <c r="Y341" s="199"/>
      <c r="Z341" s="199"/>
      <c r="AA341" s="204" t="str">
        <f t="shared" si="4"/>
        <v/>
      </c>
      <c r="AB341" s="198"/>
      <c r="AC341" s="199"/>
      <c r="AD341" s="199"/>
      <c r="AE341" s="199"/>
      <c r="AF341" s="199"/>
      <c r="AG341" s="199"/>
      <c r="AH341" s="199"/>
      <c r="AI341" s="199"/>
      <c r="AJ341" s="199"/>
      <c r="AK341" s="199"/>
      <c r="AL341" s="199"/>
      <c r="AM341" s="198"/>
      <c r="AN341" s="197"/>
      <c r="AO341" s="197"/>
      <c r="AP341" s="197"/>
      <c r="AQ341" s="197"/>
      <c r="AR341" s="197"/>
      <c r="AS341" s="197"/>
    </row>
    <row r="342">
      <c r="A342" s="198" t="str">
        <f t="shared" si="1"/>
        <v>PP</v>
      </c>
      <c r="B342" s="205" t="s">
        <v>3395</v>
      </c>
      <c r="C342" s="205" t="s">
        <v>637</v>
      </c>
      <c r="D342" s="203" t="s">
        <v>2932</v>
      </c>
      <c r="E342" s="213">
        <v>46189.0</v>
      </c>
      <c r="F342" s="205">
        <v>6.0</v>
      </c>
      <c r="G342" s="205">
        <v>2026.0</v>
      </c>
      <c r="H342" s="199"/>
      <c r="I342" s="207"/>
      <c r="J342" s="199"/>
      <c r="K342" s="202"/>
      <c r="L342" s="205" t="str">
        <f>IFERROR(__xludf.DUMMYFUNCTION("IFERROR(
    INDEX(FILTER('Arrived Shipments'!O:O, 'Arrived Shipments'!B:B=$B342),1),
    IFERROR(
        INDEX(FILTER('POed not arrived'!D:D, 'POed not arrived'!A:A=$B342),1),
        """"
    )
)"),"")</f>
        <v/>
      </c>
      <c r="M342" s="202"/>
      <c r="N342" s="223" t="str">
        <f>IFERROR(__xludf.DUMMYFUNCTION("IFERROR(
    INDEX(FILTER('Arrived Shipments'!O:O, 'Arrived Shipments'!B:B=$B342),2),
    IFERROR(
        INDEX(FILTER('POed not arrived'!D:D, 'POed not arrived'!A:A=$B342),2),
        """"
    )
)"),"")</f>
        <v/>
      </c>
      <c r="O342" s="202"/>
      <c r="P342" s="202" t="str">
        <f>IFERROR(__xludf.DUMMYFUNCTION("IFERROR(
    INDEX(FILTER('Arrived Shipments'!O:O, 'Arrived Shipments'!B:B=$B342),3),
    IFERROR(
        INDEX(FILTER('POed not arrived'!D:D, 'POed not arrived'!A:A=$B342),3),
        """"
    )
)"),"")</f>
        <v/>
      </c>
      <c r="Q342" s="202"/>
      <c r="R342" s="206" t="str">
        <f>IFERROR(__xludf.DUMMYFUNCTION("IFERROR(
    INDEX(FILTER('Arrived Shipments'!O:O, 'Arrived Shipments'!B:B=$B342),4),
    IFERROR(
        INDEX(FILTER('POed not arrived'!D:D, 'POed not arrived'!A:A=$B342),4),
        """"
    )
)"),"")</f>
        <v/>
      </c>
      <c r="S342" s="202"/>
      <c r="T342" s="202">
        <f t="shared" si="8"/>
        <v>0</v>
      </c>
      <c r="U342" s="198"/>
      <c r="V342" s="199"/>
      <c r="W342" s="197"/>
      <c r="X342" s="197"/>
      <c r="Y342" s="199"/>
      <c r="Z342" s="199"/>
      <c r="AA342" s="204" t="str">
        <f t="shared" si="4"/>
        <v/>
      </c>
      <c r="AB342" s="198"/>
      <c r="AC342" s="199"/>
      <c r="AD342" s="199"/>
      <c r="AE342" s="199"/>
      <c r="AF342" s="199"/>
      <c r="AG342" s="199"/>
      <c r="AH342" s="199"/>
      <c r="AI342" s="199"/>
      <c r="AJ342" s="199"/>
      <c r="AK342" s="199"/>
      <c r="AL342" s="199"/>
      <c r="AM342" s="198"/>
      <c r="AN342" s="197"/>
      <c r="AO342" s="197"/>
      <c r="AP342" s="197"/>
      <c r="AQ342" s="197"/>
      <c r="AR342" s="197"/>
      <c r="AS342" s="197"/>
    </row>
    <row r="343">
      <c r="A343" s="198" t="str">
        <f t="shared" si="1"/>
        <v>FG</v>
      </c>
      <c r="B343" s="205" t="s">
        <v>3396</v>
      </c>
      <c r="C343" s="205" t="s">
        <v>3164</v>
      </c>
      <c r="D343" s="203" t="s">
        <v>3397</v>
      </c>
      <c r="E343" s="213">
        <v>46194.0</v>
      </c>
      <c r="F343" s="205">
        <v>6.0</v>
      </c>
      <c r="G343" s="205">
        <v>2026.0</v>
      </c>
      <c r="H343" s="199"/>
      <c r="I343" s="207"/>
      <c r="J343" s="199"/>
      <c r="K343" s="202"/>
      <c r="L343" s="205" t="str">
        <f>IFERROR(__xludf.DUMMYFUNCTION("IFERROR(
    INDEX(FILTER('Arrived Shipments'!O:O, 'Arrived Shipments'!B:B=$B343),1),
    IFERROR(
        INDEX(FILTER('POed not arrived'!D:D, 'POed not arrived'!A:A=$B343),1),
        """"
    )
)"),"")</f>
        <v/>
      </c>
      <c r="M343" s="202"/>
      <c r="N343" s="223" t="str">
        <f>IFERROR(__xludf.DUMMYFUNCTION("IFERROR(
    INDEX(FILTER('Arrived Shipments'!O:O, 'Arrived Shipments'!B:B=$B343),2),
    IFERROR(
        INDEX(FILTER('POed not arrived'!D:D, 'POed not arrived'!A:A=$B343),2),
        """"
    )
)"),"")</f>
        <v/>
      </c>
      <c r="O343" s="202"/>
      <c r="P343" s="202" t="str">
        <f>IFERROR(__xludf.DUMMYFUNCTION("IFERROR(
    INDEX(FILTER('Arrived Shipments'!O:O, 'Arrived Shipments'!B:B=$B343),3),
    IFERROR(
        INDEX(FILTER('POed not arrived'!D:D, 'POed not arrived'!A:A=$B343),3),
        """"
    )
)"),"")</f>
        <v/>
      </c>
      <c r="Q343" s="202"/>
      <c r="R343" s="206" t="str">
        <f>IFERROR(__xludf.DUMMYFUNCTION("IFERROR(
    INDEX(FILTER('Arrived Shipments'!O:O, 'Arrived Shipments'!B:B=$B343),4),
    IFERROR(
        INDEX(FILTER('POed not arrived'!D:D, 'POed not arrived'!A:A=$B343),4),
        """"
    )
)"),"")</f>
        <v/>
      </c>
      <c r="S343" s="202"/>
      <c r="T343" s="202">
        <f t="shared" si="8"/>
        <v>0</v>
      </c>
      <c r="U343" s="198"/>
      <c r="V343" s="199"/>
      <c r="W343" s="197"/>
      <c r="X343" s="197"/>
      <c r="Y343" s="199"/>
      <c r="Z343" s="199"/>
      <c r="AA343" s="204" t="str">
        <f t="shared" si="4"/>
        <v/>
      </c>
      <c r="AB343" s="198"/>
      <c r="AC343" s="199"/>
      <c r="AD343" s="199"/>
      <c r="AE343" s="199"/>
      <c r="AF343" s="199"/>
      <c r="AG343" s="199"/>
      <c r="AH343" s="199"/>
      <c r="AI343" s="199"/>
      <c r="AJ343" s="199"/>
      <c r="AK343" s="199"/>
      <c r="AL343" s="199"/>
      <c r="AM343" s="198"/>
      <c r="AN343" s="197"/>
      <c r="AO343" s="197"/>
      <c r="AP343" s="197"/>
      <c r="AQ343" s="197"/>
      <c r="AR343" s="197"/>
      <c r="AS343" s="197"/>
    </row>
    <row r="344">
      <c r="A344" s="198" t="str">
        <f t="shared" si="1"/>
        <v>PP</v>
      </c>
      <c r="B344" s="205" t="s">
        <v>3398</v>
      </c>
      <c r="C344" s="205" t="s">
        <v>81</v>
      </c>
      <c r="D344" s="203" t="s">
        <v>3399</v>
      </c>
      <c r="E344" s="213">
        <v>46195.0</v>
      </c>
      <c r="F344" s="205">
        <v>6.0</v>
      </c>
      <c r="G344" s="205">
        <v>2026.0</v>
      </c>
      <c r="H344" s="199"/>
      <c r="I344" s="207"/>
      <c r="J344" s="199"/>
      <c r="K344" s="202"/>
      <c r="L344" s="205" t="str">
        <f>IFERROR(__xludf.DUMMYFUNCTION("IFERROR(
    INDEX(FILTER('Arrived Shipments'!O:O, 'Arrived Shipments'!B:B=$B344),1),
    IFERROR(
        INDEX(FILTER('POed not arrived'!D:D, 'POed not arrived'!A:A=$B344),1),
        """"
    )
)"),"")</f>
        <v/>
      </c>
      <c r="M344" s="202"/>
      <c r="N344" s="223" t="str">
        <f>IFERROR(__xludf.DUMMYFUNCTION("IFERROR(
    INDEX(FILTER('Arrived Shipments'!O:O, 'Arrived Shipments'!B:B=$B344),2),
    IFERROR(
        INDEX(FILTER('POed not arrived'!D:D, 'POed not arrived'!A:A=$B344),2),
        """"
    )
)"),"")</f>
        <v/>
      </c>
      <c r="O344" s="202"/>
      <c r="P344" s="202" t="str">
        <f>IFERROR(__xludf.DUMMYFUNCTION("IFERROR(
    INDEX(FILTER('Arrived Shipments'!O:O, 'Arrived Shipments'!B:B=$B344),3),
    IFERROR(
        INDEX(FILTER('POed not arrived'!D:D, 'POed not arrived'!A:A=$B344),3),
        """"
    )
)"),"")</f>
        <v/>
      </c>
      <c r="Q344" s="202"/>
      <c r="R344" s="206" t="str">
        <f>IFERROR(__xludf.DUMMYFUNCTION("IFERROR(
    INDEX(FILTER('Arrived Shipments'!O:O, 'Arrived Shipments'!B:B=$B344),4),
    IFERROR(
        INDEX(FILTER('POed not arrived'!D:D, 'POed not arrived'!A:A=$B344),4),
        """"
    )
)"),"")</f>
        <v/>
      </c>
      <c r="S344" s="202"/>
      <c r="T344" s="202">
        <f t="shared" si="8"/>
        <v>0</v>
      </c>
      <c r="U344" s="198"/>
      <c r="V344" s="199"/>
      <c r="W344" s="197"/>
      <c r="X344" s="197"/>
      <c r="Y344" s="199"/>
      <c r="Z344" s="199"/>
      <c r="AA344" s="204" t="str">
        <f t="shared" si="4"/>
        <v/>
      </c>
      <c r="AB344" s="198"/>
      <c r="AC344" s="199"/>
      <c r="AD344" s="199"/>
      <c r="AE344" s="199"/>
      <c r="AF344" s="199"/>
      <c r="AG344" s="199"/>
      <c r="AH344" s="199"/>
      <c r="AI344" s="199"/>
      <c r="AJ344" s="199"/>
      <c r="AK344" s="199"/>
      <c r="AL344" s="199"/>
      <c r="AM344" s="198"/>
      <c r="AN344" s="197"/>
      <c r="AO344" s="197"/>
      <c r="AP344" s="197"/>
      <c r="AQ344" s="197"/>
      <c r="AR344" s="197"/>
      <c r="AS344" s="197"/>
    </row>
    <row r="345">
      <c r="A345" s="198" t="str">
        <f t="shared" si="1"/>
        <v>PP</v>
      </c>
      <c r="B345" s="205" t="s">
        <v>3400</v>
      </c>
      <c r="C345" s="205" t="s">
        <v>3033</v>
      </c>
      <c r="D345" s="199"/>
      <c r="E345" s="213">
        <v>46198.0</v>
      </c>
      <c r="F345" s="205">
        <v>6.0</v>
      </c>
      <c r="G345" s="205">
        <v>2026.0</v>
      </c>
      <c r="H345" s="199"/>
      <c r="I345" s="207"/>
      <c r="J345" s="199"/>
      <c r="K345" s="202"/>
      <c r="L345" s="205" t="str">
        <f>IFERROR(__xludf.DUMMYFUNCTION("IFERROR(
    INDEX(FILTER('Arrived Shipments'!O:O, 'Arrived Shipments'!B:B=$B345),1),
    IFERROR(
        INDEX(FILTER('POed not arrived'!D:D, 'POed not arrived'!A:A=$B345),1),
        """"
    )
)"),"")</f>
        <v/>
      </c>
      <c r="M345" s="202"/>
      <c r="N345" s="223" t="str">
        <f>IFERROR(__xludf.DUMMYFUNCTION("IFERROR(
    INDEX(FILTER('Arrived Shipments'!O:O, 'Arrived Shipments'!B:B=$B345),2),
    IFERROR(
        INDEX(FILTER('POed not arrived'!D:D, 'POed not arrived'!A:A=$B345),2),
        """"
    )
)"),"")</f>
        <v/>
      </c>
      <c r="O345" s="202"/>
      <c r="P345" s="202" t="str">
        <f>IFERROR(__xludf.DUMMYFUNCTION("IFERROR(
    INDEX(FILTER('Arrived Shipments'!O:O, 'Arrived Shipments'!B:B=$B345),3),
    IFERROR(
        INDEX(FILTER('POed not arrived'!D:D, 'POed not arrived'!A:A=$B345),3),
        """"
    )
)"),"")</f>
        <v/>
      </c>
      <c r="Q345" s="202"/>
      <c r="R345" s="206" t="str">
        <f>IFERROR(__xludf.DUMMYFUNCTION("IFERROR(
    INDEX(FILTER('Arrived Shipments'!O:O, 'Arrived Shipments'!B:B=$B345),4),
    IFERROR(
        INDEX(FILTER('POed not arrived'!D:D, 'POed not arrived'!A:A=$B345),4),
        """"
    )
)"),"")</f>
        <v/>
      </c>
      <c r="S345" s="202"/>
      <c r="T345" s="202">
        <f t="shared" si="8"/>
        <v>0</v>
      </c>
      <c r="U345" s="198"/>
      <c r="V345" s="199"/>
      <c r="W345" s="197"/>
      <c r="X345" s="197"/>
      <c r="Y345" s="199"/>
      <c r="Z345" s="199"/>
      <c r="AA345" s="204" t="str">
        <f t="shared" si="4"/>
        <v/>
      </c>
      <c r="AB345" s="198"/>
      <c r="AC345" s="199"/>
      <c r="AD345" s="199"/>
      <c r="AE345" s="199"/>
      <c r="AF345" s="199"/>
      <c r="AG345" s="199"/>
      <c r="AH345" s="199"/>
      <c r="AI345" s="199"/>
      <c r="AJ345" s="199"/>
      <c r="AK345" s="199"/>
      <c r="AL345" s="199"/>
      <c r="AM345" s="198"/>
      <c r="AN345" s="197"/>
      <c r="AO345" s="197"/>
      <c r="AP345" s="197"/>
      <c r="AQ345" s="197"/>
      <c r="AR345" s="197"/>
      <c r="AS345" s="197"/>
    </row>
    <row r="346">
      <c r="A346" s="198" t="str">
        <f t="shared" si="1"/>
        <v>PP</v>
      </c>
      <c r="B346" s="205" t="s">
        <v>3401</v>
      </c>
      <c r="C346" s="205" t="s">
        <v>169</v>
      </c>
      <c r="D346" s="199"/>
      <c r="E346" s="213">
        <v>46198.0</v>
      </c>
      <c r="F346" s="205">
        <v>6.0</v>
      </c>
      <c r="G346" s="205">
        <v>2026.0</v>
      </c>
      <c r="H346" s="199"/>
      <c r="I346" s="207"/>
      <c r="J346" s="199"/>
      <c r="K346" s="202"/>
      <c r="L346" s="205" t="str">
        <f>IFERROR(__xludf.DUMMYFUNCTION("IFERROR(
    INDEX(FILTER('Arrived Shipments'!O:O, 'Arrived Shipments'!B:B=$B346),1),
    IFERROR(
        INDEX(FILTER('POed not arrived'!D:D, 'POed not arrived'!A:A=$B346),1),
        """"
    )
)"),"")</f>
        <v/>
      </c>
      <c r="M346" s="202"/>
      <c r="N346" s="223" t="str">
        <f>IFERROR(__xludf.DUMMYFUNCTION("IFERROR(
    INDEX(FILTER('Arrived Shipments'!O:O, 'Arrived Shipments'!B:B=$B346),2),
    IFERROR(
        INDEX(FILTER('POed not arrived'!D:D, 'POed not arrived'!A:A=$B346),2),
        """"
    )
)"),"")</f>
        <v/>
      </c>
      <c r="O346" s="202"/>
      <c r="P346" s="202" t="str">
        <f>IFERROR(__xludf.DUMMYFUNCTION("IFERROR(
    INDEX(FILTER('Arrived Shipments'!O:O, 'Arrived Shipments'!B:B=$B346),3),
    IFERROR(
        INDEX(FILTER('POed not arrived'!D:D, 'POed not arrived'!A:A=$B346),3),
        """"
    )
)"),"")</f>
        <v/>
      </c>
      <c r="Q346" s="202"/>
      <c r="R346" s="206" t="str">
        <f>IFERROR(__xludf.DUMMYFUNCTION("IFERROR(
    INDEX(FILTER('Arrived Shipments'!O:O, 'Arrived Shipments'!B:B=$B346),4),
    IFERROR(
        INDEX(FILTER('POed not arrived'!D:D, 'POed not arrived'!A:A=$B346),4),
        """"
    )
)"),"")</f>
        <v/>
      </c>
      <c r="S346" s="202"/>
      <c r="T346" s="202">
        <f t="shared" si="8"/>
        <v>0</v>
      </c>
      <c r="U346" s="198"/>
      <c r="V346" s="199"/>
      <c r="W346" s="197"/>
      <c r="X346" s="197"/>
      <c r="Y346" s="199"/>
      <c r="Z346" s="199"/>
      <c r="AA346" s="204" t="str">
        <f t="shared" si="4"/>
        <v/>
      </c>
      <c r="AB346" s="198"/>
      <c r="AC346" s="199"/>
      <c r="AD346" s="199"/>
      <c r="AE346" s="199"/>
      <c r="AF346" s="199"/>
      <c r="AG346" s="199"/>
      <c r="AH346" s="199"/>
      <c r="AI346" s="199"/>
      <c r="AJ346" s="199"/>
      <c r="AK346" s="199"/>
      <c r="AL346" s="199"/>
      <c r="AM346" s="198"/>
      <c r="AN346" s="197"/>
      <c r="AO346" s="197"/>
      <c r="AP346" s="197"/>
      <c r="AQ346" s="197"/>
      <c r="AR346" s="197"/>
      <c r="AS346" s="197"/>
    </row>
    <row r="347">
      <c r="A347" s="198" t="str">
        <f t="shared" si="1"/>
        <v>PP</v>
      </c>
      <c r="B347" s="205" t="s">
        <v>3402</v>
      </c>
      <c r="C347" s="205" t="s">
        <v>169</v>
      </c>
      <c r="D347" s="203" t="s">
        <v>3403</v>
      </c>
      <c r="E347" s="213">
        <v>46198.0</v>
      </c>
      <c r="F347" s="205">
        <v>6.0</v>
      </c>
      <c r="G347" s="205">
        <v>2026.0</v>
      </c>
      <c r="H347" s="199"/>
      <c r="I347" s="207"/>
      <c r="J347" s="199"/>
      <c r="K347" s="202"/>
      <c r="L347" s="205" t="str">
        <f>IFERROR(__xludf.DUMMYFUNCTION("IFERROR(
    INDEX(FILTER('Arrived Shipments'!O:O, 'Arrived Shipments'!B:B=$B347),1),
    IFERROR(
        INDEX(FILTER('POed not arrived'!D:D, 'POed not arrived'!A:A=$B347),1),
        """"
    )
)"),"")</f>
        <v/>
      </c>
      <c r="M347" s="202"/>
      <c r="N347" s="223" t="str">
        <f>IFERROR(__xludf.DUMMYFUNCTION("IFERROR(
    INDEX(FILTER('Arrived Shipments'!O:O, 'Arrived Shipments'!B:B=$B347),2),
    IFERROR(
        INDEX(FILTER('POed not arrived'!D:D, 'POed not arrived'!A:A=$B347),2),
        """"
    )
)"),"")</f>
        <v/>
      </c>
      <c r="O347" s="202"/>
      <c r="P347" s="202" t="str">
        <f>IFERROR(__xludf.DUMMYFUNCTION("IFERROR(
    INDEX(FILTER('Arrived Shipments'!O:O, 'Arrived Shipments'!B:B=$B347),3),
    IFERROR(
        INDEX(FILTER('POed not arrived'!D:D, 'POed not arrived'!A:A=$B347),3),
        """"
    )
)"),"")</f>
        <v/>
      </c>
      <c r="Q347" s="202"/>
      <c r="R347" s="206" t="str">
        <f>IFERROR(__xludf.DUMMYFUNCTION("IFERROR(
    INDEX(FILTER('Arrived Shipments'!O:O, 'Arrived Shipments'!B:B=$B347),4),
    IFERROR(
        INDEX(FILTER('POed not arrived'!D:D, 'POed not arrived'!A:A=$B347),4),
        """"
    )
)"),"")</f>
        <v/>
      </c>
      <c r="S347" s="202"/>
      <c r="T347" s="202">
        <f t="shared" si="8"/>
        <v>0</v>
      </c>
      <c r="U347" s="198"/>
      <c r="V347" s="199"/>
      <c r="W347" s="197"/>
      <c r="X347" s="197"/>
      <c r="Y347" s="199"/>
      <c r="Z347" s="199"/>
      <c r="AA347" s="204" t="str">
        <f t="shared" si="4"/>
        <v/>
      </c>
      <c r="AB347" s="198"/>
      <c r="AC347" s="199"/>
      <c r="AD347" s="199"/>
      <c r="AE347" s="199"/>
      <c r="AF347" s="199"/>
      <c r="AG347" s="199"/>
      <c r="AH347" s="199"/>
      <c r="AI347" s="199"/>
      <c r="AJ347" s="199"/>
      <c r="AK347" s="199"/>
      <c r="AL347" s="199"/>
      <c r="AM347" s="198"/>
      <c r="AN347" s="197"/>
      <c r="AO347" s="197"/>
      <c r="AP347" s="197"/>
      <c r="AQ347" s="197"/>
      <c r="AR347" s="197"/>
      <c r="AS347" s="197"/>
    </row>
    <row r="348">
      <c r="A348" s="198" t="str">
        <f t="shared" si="1"/>
        <v>PP</v>
      </c>
      <c r="B348" s="205" t="s">
        <v>3404</v>
      </c>
      <c r="C348" s="205" t="s">
        <v>169</v>
      </c>
      <c r="D348" s="203" t="s">
        <v>3405</v>
      </c>
      <c r="E348" s="213">
        <v>46198.0</v>
      </c>
      <c r="F348" s="205">
        <v>6.0</v>
      </c>
      <c r="G348" s="205">
        <v>2026.0</v>
      </c>
      <c r="H348" s="199"/>
      <c r="I348" s="207"/>
      <c r="J348" s="199"/>
      <c r="K348" s="202"/>
      <c r="L348" s="205" t="str">
        <f>IFERROR(__xludf.DUMMYFUNCTION("IFERROR(
    INDEX(FILTER('Arrived Shipments'!O:O, 'Arrived Shipments'!B:B=$B348),1),
    IFERROR(
        INDEX(FILTER('POed not arrived'!D:D, 'POed not arrived'!A:A=$B348),1),
        """"
    )
)"),"")</f>
        <v/>
      </c>
      <c r="M348" s="202"/>
      <c r="N348" s="223" t="str">
        <f>IFERROR(__xludf.DUMMYFUNCTION("IFERROR(
    INDEX(FILTER('Arrived Shipments'!O:O, 'Arrived Shipments'!B:B=$B348),2),
    IFERROR(
        INDEX(FILTER('POed not arrived'!D:D, 'POed not arrived'!A:A=$B348),2),
        """"
    )
)"),"")</f>
        <v/>
      </c>
      <c r="O348" s="202"/>
      <c r="P348" s="202" t="str">
        <f>IFERROR(__xludf.DUMMYFUNCTION("IFERROR(
    INDEX(FILTER('Arrived Shipments'!O:O, 'Arrived Shipments'!B:B=$B348),3),
    IFERROR(
        INDEX(FILTER('POed not arrived'!D:D, 'POed not arrived'!A:A=$B348),3),
        """"
    )
)"),"")</f>
        <v/>
      </c>
      <c r="Q348" s="202"/>
      <c r="R348" s="206" t="str">
        <f>IFERROR(__xludf.DUMMYFUNCTION("IFERROR(
    INDEX(FILTER('Arrived Shipments'!O:O, 'Arrived Shipments'!B:B=$B348),4),
    IFERROR(
        INDEX(FILTER('POed not arrived'!D:D, 'POed not arrived'!A:A=$B348),4),
        """"
    )
)"),"")</f>
        <v/>
      </c>
      <c r="S348" s="202"/>
      <c r="T348" s="202">
        <f t="shared" si="8"/>
        <v>0</v>
      </c>
      <c r="U348" s="198"/>
      <c r="V348" s="199"/>
      <c r="W348" s="197"/>
      <c r="X348" s="197"/>
      <c r="Y348" s="199"/>
      <c r="Z348" s="199"/>
      <c r="AA348" s="204" t="str">
        <f t="shared" si="4"/>
        <v/>
      </c>
      <c r="AB348" s="198"/>
      <c r="AC348" s="199"/>
      <c r="AD348" s="199"/>
      <c r="AE348" s="199"/>
      <c r="AF348" s="199"/>
      <c r="AG348" s="199"/>
      <c r="AH348" s="199"/>
      <c r="AI348" s="199"/>
      <c r="AJ348" s="199"/>
      <c r="AK348" s="199"/>
      <c r="AL348" s="199"/>
      <c r="AM348" s="198"/>
      <c r="AN348" s="197"/>
      <c r="AO348" s="197"/>
      <c r="AP348" s="197"/>
      <c r="AQ348" s="197"/>
      <c r="AR348" s="197"/>
      <c r="AS348" s="197"/>
    </row>
    <row r="349">
      <c r="A349" s="198" t="str">
        <f t="shared" si="1"/>
        <v>PP</v>
      </c>
      <c r="B349" s="205" t="s">
        <v>3406</v>
      </c>
      <c r="C349" s="205" t="s">
        <v>169</v>
      </c>
      <c r="D349" s="203" t="s">
        <v>3407</v>
      </c>
      <c r="E349" s="213">
        <v>46198.0</v>
      </c>
      <c r="F349" s="205">
        <v>6.0</v>
      </c>
      <c r="G349" s="205">
        <v>2026.0</v>
      </c>
      <c r="H349" s="199"/>
      <c r="I349" s="207"/>
      <c r="J349" s="199"/>
      <c r="K349" s="202"/>
      <c r="L349" s="205" t="str">
        <f>IFERROR(__xludf.DUMMYFUNCTION("IFERROR(
    INDEX(FILTER('Arrived Shipments'!O:O, 'Arrived Shipments'!B:B=$B349),1),
    IFERROR(
        INDEX(FILTER('POed not arrived'!D:D, 'POed not arrived'!A:A=$B349),1),
        """"
    )
)"),"")</f>
        <v/>
      </c>
      <c r="M349" s="202"/>
      <c r="N349" s="223" t="str">
        <f>IFERROR(__xludf.DUMMYFUNCTION("IFERROR(
    INDEX(FILTER('Arrived Shipments'!O:O, 'Arrived Shipments'!B:B=$B349),2),
    IFERROR(
        INDEX(FILTER('POed not arrived'!D:D, 'POed not arrived'!A:A=$B349),2),
        """"
    )
)"),"")</f>
        <v/>
      </c>
      <c r="O349" s="202"/>
      <c r="P349" s="202" t="str">
        <f>IFERROR(__xludf.DUMMYFUNCTION("IFERROR(
    INDEX(FILTER('Arrived Shipments'!O:O, 'Arrived Shipments'!B:B=$B349),3),
    IFERROR(
        INDEX(FILTER('POed not arrived'!D:D, 'POed not arrived'!A:A=$B349),3),
        """"
    )
)"),"")</f>
        <v/>
      </c>
      <c r="Q349" s="202"/>
      <c r="R349" s="206" t="str">
        <f>IFERROR(__xludf.DUMMYFUNCTION("IFERROR(
    INDEX(FILTER('Arrived Shipments'!O:O, 'Arrived Shipments'!B:B=$B349),4),
    IFERROR(
        INDEX(FILTER('POed not arrived'!D:D, 'POed not arrived'!A:A=$B349),4),
        """"
    )
)"),"")</f>
        <v/>
      </c>
      <c r="S349" s="202"/>
      <c r="T349" s="202">
        <f t="shared" si="8"/>
        <v>0</v>
      </c>
      <c r="U349" s="198"/>
      <c r="V349" s="199"/>
      <c r="W349" s="197"/>
      <c r="X349" s="197"/>
      <c r="Y349" s="199"/>
      <c r="Z349" s="199"/>
      <c r="AA349" s="204" t="str">
        <f t="shared" si="4"/>
        <v/>
      </c>
      <c r="AB349" s="198"/>
      <c r="AC349" s="199"/>
      <c r="AD349" s="199"/>
      <c r="AE349" s="199"/>
      <c r="AF349" s="199"/>
      <c r="AG349" s="199"/>
      <c r="AH349" s="199"/>
      <c r="AI349" s="199"/>
      <c r="AJ349" s="199"/>
      <c r="AK349" s="199"/>
      <c r="AL349" s="199"/>
      <c r="AM349" s="198"/>
      <c r="AN349" s="197"/>
      <c r="AO349" s="197"/>
      <c r="AP349" s="197"/>
      <c r="AQ349" s="197"/>
      <c r="AR349" s="197"/>
      <c r="AS349" s="197"/>
    </row>
    <row r="350">
      <c r="A350" s="198" t="str">
        <f t="shared" si="1"/>
        <v>PP</v>
      </c>
      <c r="B350" s="205" t="s">
        <v>3408</v>
      </c>
      <c r="C350" s="205" t="s">
        <v>3074</v>
      </c>
      <c r="D350" s="203" t="s">
        <v>3102</v>
      </c>
      <c r="E350" s="213">
        <v>46205.0</v>
      </c>
      <c r="F350" s="205">
        <v>7.0</v>
      </c>
      <c r="G350" s="205">
        <v>2026.0</v>
      </c>
      <c r="H350" s="199"/>
      <c r="I350" s="207"/>
      <c r="J350" s="199"/>
      <c r="K350" s="202"/>
      <c r="L350" s="205" t="str">
        <f>IFERROR(__xludf.DUMMYFUNCTION("IFERROR(
    INDEX(FILTER('Arrived Shipments'!O:O, 'Arrived Shipments'!B:B=$B350),1),
    IFERROR(
        INDEX(FILTER('POed not arrived'!D:D, 'POed not arrived'!A:A=$B350),1),
        """"
    )
)"),"")</f>
        <v/>
      </c>
      <c r="M350" s="202"/>
      <c r="N350" s="223" t="str">
        <f>IFERROR(__xludf.DUMMYFUNCTION("IFERROR(
    INDEX(FILTER('Arrived Shipments'!O:O, 'Arrived Shipments'!B:B=$B350),2),
    IFERROR(
        INDEX(FILTER('POed not arrived'!D:D, 'POed not arrived'!A:A=$B350),2),
        """"
    )
)"),"")</f>
        <v/>
      </c>
      <c r="O350" s="202"/>
      <c r="P350" s="202" t="str">
        <f>IFERROR(__xludf.DUMMYFUNCTION("IFERROR(
    INDEX(FILTER('Arrived Shipments'!O:O, 'Arrived Shipments'!B:B=$B350),3),
    IFERROR(
        INDEX(FILTER('POed not arrived'!D:D, 'POed not arrived'!A:A=$B350),3),
        """"
    )
)"),"")</f>
        <v/>
      </c>
      <c r="Q350" s="202"/>
      <c r="R350" s="206" t="str">
        <f>IFERROR(__xludf.DUMMYFUNCTION("IFERROR(
    INDEX(FILTER('Arrived Shipments'!O:O, 'Arrived Shipments'!B:B=$B350),4),
    IFERROR(
        INDEX(FILTER('POed not arrived'!D:D, 'POed not arrived'!A:A=$B350),4),
        """"
    )
)"),"")</f>
        <v/>
      </c>
      <c r="S350" s="202"/>
      <c r="T350" s="202">
        <f t="shared" si="8"/>
        <v>0</v>
      </c>
      <c r="U350" s="198"/>
      <c r="V350" s="199"/>
      <c r="W350" s="197"/>
      <c r="X350" s="197"/>
      <c r="Y350" s="199"/>
      <c r="Z350" s="199"/>
      <c r="AA350" s="204" t="str">
        <f t="shared" si="4"/>
        <v/>
      </c>
      <c r="AB350" s="198"/>
      <c r="AC350" s="199"/>
      <c r="AD350" s="199"/>
      <c r="AE350" s="199"/>
      <c r="AF350" s="199"/>
      <c r="AG350" s="199"/>
      <c r="AH350" s="199"/>
      <c r="AI350" s="199"/>
      <c r="AJ350" s="199"/>
      <c r="AK350" s="199"/>
      <c r="AL350" s="199"/>
      <c r="AM350" s="198"/>
      <c r="AN350" s="197"/>
      <c r="AO350" s="197"/>
      <c r="AP350" s="197"/>
      <c r="AQ350" s="197"/>
      <c r="AR350" s="197"/>
      <c r="AS350" s="197"/>
    </row>
    <row r="351">
      <c r="A351" s="198" t="str">
        <f t="shared" si="1"/>
        <v>PP</v>
      </c>
      <c r="B351" s="205" t="s">
        <v>3409</v>
      </c>
      <c r="C351" s="205" t="s">
        <v>3074</v>
      </c>
      <c r="D351" s="203" t="s">
        <v>3102</v>
      </c>
      <c r="E351" s="213">
        <v>46205.0</v>
      </c>
      <c r="F351" s="205">
        <v>7.0</v>
      </c>
      <c r="G351" s="205">
        <v>2026.0</v>
      </c>
      <c r="H351" s="199"/>
      <c r="I351" s="207"/>
      <c r="J351" s="199"/>
      <c r="K351" s="202"/>
      <c r="L351" s="205" t="str">
        <f>IFERROR(__xludf.DUMMYFUNCTION("IFERROR(
    INDEX(FILTER('Arrived Shipments'!O:O, 'Arrived Shipments'!B:B=$B351),1),
    IFERROR(
        INDEX(FILTER('POed not arrived'!D:D, 'POed not arrived'!A:A=$B351),1),
        """"
    )
)"),"")</f>
        <v/>
      </c>
      <c r="M351" s="202"/>
      <c r="N351" s="223" t="str">
        <f>IFERROR(__xludf.DUMMYFUNCTION("IFERROR(
    INDEX(FILTER('Arrived Shipments'!O:O, 'Arrived Shipments'!B:B=$B351),2),
    IFERROR(
        INDEX(FILTER('POed not arrived'!D:D, 'POed not arrived'!A:A=$B351),2),
        """"
    )
)"),"")</f>
        <v/>
      </c>
      <c r="O351" s="202"/>
      <c r="P351" s="202" t="str">
        <f>IFERROR(__xludf.DUMMYFUNCTION("IFERROR(
    INDEX(FILTER('Arrived Shipments'!O:O, 'Arrived Shipments'!B:B=$B351),3),
    IFERROR(
        INDEX(FILTER('POed not arrived'!D:D, 'POed not arrived'!A:A=$B351),3),
        """"
    )
)"),"")</f>
        <v/>
      </c>
      <c r="Q351" s="202"/>
      <c r="R351" s="206" t="str">
        <f>IFERROR(__xludf.DUMMYFUNCTION("IFERROR(
    INDEX(FILTER('Arrived Shipments'!O:O, 'Arrived Shipments'!B:B=$B351),4),
    IFERROR(
        INDEX(FILTER('POed not arrived'!D:D, 'POed not arrived'!A:A=$B351),4),
        """"
    )
)"),"")</f>
        <v/>
      </c>
      <c r="S351" s="202"/>
      <c r="T351" s="202">
        <f t="shared" si="8"/>
        <v>0</v>
      </c>
      <c r="U351" s="198"/>
      <c r="V351" s="199"/>
      <c r="W351" s="197"/>
      <c r="X351" s="197"/>
      <c r="Y351" s="199"/>
      <c r="Z351" s="199"/>
      <c r="AA351" s="204" t="str">
        <f t="shared" si="4"/>
        <v/>
      </c>
      <c r="AB351" s="198"/>
      <c r="AC351" s="199"/>
      <c r="AD351" s="199"/>
      <c r="AE351" s="199"/>
      <c r="AF351" s="199"/>
      <c r="AG351" s="199"/>
      <c r="AH351" s="199"/>
      <c r="AI351" s="199"/>
      <c r="AJ351" s="199"/>
      <c r="AK351" s="199"/>
      <c r="AL351" s="199"/>
      <c r="AM351" s="198"/>
      <c r="AN351" s="197"/>
      <c r="AO351" s="197"/>
      <c r="AP351" s="197"/>
      <c r="AQ351" s="197"/>
      <c r="AR351" s="197"/>
      <c r="AS351" s="197"/>
    </row>
    <row r="352">
      <c r="A352" s="198" t="str">
        <f t="shared" si="1"/>
        <v>PP</v>
      </c>
      <c r="B352" s="205" t="s">
        <v>3410</v>
      </c>
      <c r="C352" s="205" t="s">
        <v>3074</v>
      </c>
      <c r="D352" s="203" t="s">
        <v>2843</v>
      </c>
      <c r="E352" s="213">
        <v>46205.0</v>
      </c>
      <c r="F352" s="205">
        <v>7.0</v>
      </c>
      <c r="G352" s="205">
        <v>2026.0</v>
      </c>
      <c r="H352" s="199"/>
      <c r="I352" s="207"/>
      <c r="J352" s="199"/>
      <c r="K352" s="202"/>
      <c r="L352" s="205" t="str">
        <f>IFERROR(__xludf.DUMMYFUNCTION("IFERROR(
    INDEX(FILTER('Arrived Shipments'!O:O, 'Arrived Shipments'!B:B=$B352),1),
    IFERROR(
        INDEX(FILTER('POed not arrived'!D:D, 'POed not arrived'!A:A=$B352),1),
        """"
    )
)"),"")</f>
        <v/>
      </c>
      <c r="M352" s="202"/>
      <c r="N352" s="223" t="str">
        <f>IFERROR(__xludf.DUMMYFUNCTION("IFERROR(
    INDEX(FILTER('Arrived Shipments'!O:O, 'Arrived Shipments'!B:B=$B352),2),
    IFERROR(
        INDEX(FILTER('POed not arrived'!D:D, 'POed not arrived'!A:A=$B352),2),
        """"
    )
)"),"")</f>
        <v/>
      </c>
      <c r="O352" s="202"/>
      <c r="P352" s="202" t="str">
        <f>IFERROR(__xludf.DUMMYFUNCTION("IFERROR(
    INDEX(FILTER('Arrived Shipments'!O:O, 'Arrived Shipments'!B:B=$B352),3),
    IFERROR(
        INDEX(FILTER('POed not arrived'!D:D, 'POed not arrived'!A:A=$B352),3),
        """"
    )
)"),"")</f>
        <v/>
      </c>
      <c r="Q352" s="202"/>
      <c r="R352" s="206" t="str">
        <f>IFERROR(__xludf.DUMMYFUNCTION("IFERROR(
    INDEX(FILTER('Arrived Shipments'!O:O, 'Arrived Shipments'!B:B=$B352),4),
    IFERROR(
        INDEX(FILTER('POed not arrived'!D:D, 'POed not arrived'!A:A=$B352),4),
        """"
    )
)"),"")</f>
        <v/>
      </c>
      <c r="S352" s="202"/>
      <c r="T352" s="202">
        <f t="shared" si="8"/>
        <v>0</v>
      </c>
      <c r="U352" s="198"/>
      <c r="V352" s="199"/>
      <c r="W352" s="197"/>
      <c r="X352" s="197"/>
      <c r="Y352" s="199"/>
      <c r="Z352" s="199"/>
      <c r="AA352" s="204" t="str">
        <f t="shared" si="4"/>
        <v/>
      </c>
      <c r="AB352" s="198"/>
      <c r="AC352" s="199"/>
      <c r="AD352" s="199"/>
      <c r="AE352" s="199"/>
      <c r="AF352" s="199"/>
      <c r="AG352" s="199"/>
      <c r="AH352" s="199"/>
      <c r="AI352" s="199"/>
      <c r="AJ352" s="199"/>
      <c r="AK352" s="199"/>
      <c r="AL352" s="199"/>
      <c r="AM352" s="198"/>
      <c r="AN352" s="197"/>
      <c r="AO352" s="197"/>
      <c r="AP352" s="197"/>
      <c r="AQ352" s="197"/>
      <c r="AR352" s="197"/>
      <c r="AS352" s="197"/>
    </row>
    <row r="353">
      <c r="A353" s="198" t="str">
        <f t="shared" si="1"/>
        <v>PP</v>
      </c>
      <c r="B353" s="205" t="s">
        <v>3411</v>
      </c>
      <c r="C353" s="205" t="s">
        <v>3074</v>
      </c>
      <c r="D353" s="203" t="s">
        <v>3412</v>
      </c>
      <c r="E353" s="213">
        <v>46205.0</v>
      </c>
      <c r="F353" s="205">
        <v>7.0</v>
      </c>
      <c r="G353" s="205">
        <v>2026.0</v>
      </c>
      <c r="H353" s="199"/>
      <c r="I353" s="207"/>
      <c r="J353" s="199"/>
      <c r="K353" s="202"/>
      <c r="L353" s="205" t="str">
        <f>IFERROR(__xludf.DUMMYFUNCTION("IFERROR(
    INDEX(FILTER('Arrived Shipments'!O:O, 'Arrived Shipments'!B:B=$B353),1),
    IFERROR(
        INDEX(FILTER('POed not arrived'!D:D, 'POed not arrived'!A:A=$B353),1),
        """"
    )
)"),"")</f>
        <v/>
      </c>
      <c r="M353" s="202"/>
      <c r="N353" s="223" t="str">
        <f>IFERROR(__xludf.DUMMYFUNCTION("IFERROR(
    INDEX(FILTER('Arrived Shipments'!O:O, 'Arrived Shipments'!B:B=$B353),2),
    IFERROR(
        INDEX(FILTER('POed not arrived'!D:D, 'POed not arrived'!A:A=$B353),2),
        """"
    )
)"),"")</f>
        <v/>
      </c>
      <c r="O353" s="202"/>
      <c r="P353" s="202" t="str">
        <f>IFERROR(__xludf.DUMMYFUNCTION("IFERROR(
    INDEX(FILTER('Arrived Shipments'!O:O, 'Arrived Shipments'!B:B=$B353),3),
    IFERROR(
        INDEX(FILTER('POed not arrived'!D:D, 'POed not arrived'!A:A=$B353),3),
        """"
    )
)"),"")</f>
        <v/>
      </c>
      <c r="Q353" s="202"/>
      <c r="R353" s="206" t="str">
        <f>IFERROR(__xludf.DUMMYFUNCTION("IFERROR(
    INDEX(FILTER('Arrived Shipments'!O:O, 'Arrived Shipments'!B:B=$B353),4),
    IFERROR(
        INDEX(FILTER('POed not arrived'!D:D, 'POed not arrived'!A:A=$B353),4),
        """"
    )
)"),"")</f>
        <v/>
      </c>
      <c r="S353" s="202"/>
      <c r="T353" s="202">
        <f t="shared" si="8"/>
        <v>0</v>
      </c>
      <c r="U353" s="198"/>
      <c r="V353" s="199"/>
      <c r="W353" s="197"/>
      <c r="X353" s="197"/>
      <c r="Y353" s="199"/>
      <c r="Z353" s="199"/>
      <c r="AA353" s="204" t="str">
        <f t="shared" si="4"/>
        <v/>
      </c>
      <c r="AB353" s="198"/>
      <c r="AC353" s="199"/>
      <c r="AD353" s="199"/>
      <c r="AE353" s="199"/>
      <c r="AF353" s="199"/>
      <c r="AG353" s="199"/>
      <c r="AH353" s="199"/>
      <c r="AI353" s="199"/>
      <c r="AJ353" s="199"/>
      <c r="AK353" s="199"/>
      <c r="AL353" s="199"/>
      <c r="AM353" s="198"/>
      <c r="AN353" s="197"/>
      <c r="AO353" s="197"/>
      <c r="AP353" s="197"/>
      <c r="AQ353" s="197"/>
      <c r="AR353" s="197"/>
      <c r="AS353" s="197"/>
    </row>
    <row r="354">
      <c r="A354" s="198" t="str">
        <f t="shared" si="1"/>
        <v>PP</v>
      </c>
      <c r="B354" s="205" t="s">
        <v>3413</v>
      </c>
      <c r="C354" s="205" t="s">
        <v>3074</v>
      </c>
      <c r="D354" s="203" t="s">
        <v>3412</v>
      </c>
      <c r="E354" s="213">
        <v>46205.0</v>
      </c>
      <c r="F354" s="205">
        <v>7.0</v>
      </c>
      <c r="G354" s="205">
        <v>2026.0</v>
      </c>
      <c r="H354" s="199"/>
      <c r="I354" s="207"/>
      <c r="J354" s="199"/>
      <c r="K354" s="202"/>
      <c r="L354" s="205" t="str">
        <f>IFERROR(__xludf.DUMMYFUNCTION("IFERROR(
    INDEX(FILTER('Arrived Shipments'!O:O, 'Arrived Shipments'!B:B=$B354),1),
    IFERROR(
        INDEX(FILTER('POed not arrived'!D:D, 'POed not arrived'!A:A=$B354),1),
        """"
    )
)"),"")</f>
        <v/>
      </c>
      <c r="M354" s="202"/>
      <c r="N354" s="223" t="str">
        <f>IFERROR(__xludf.DUMMYFUNCTION("IFERROR(
    INDEX(FILTER('Arrived Shipments'!O:O, 'Arrived Shipments'!B:B=$B354),2),
    IFERROR(
        INDEX(FILTER('POed not arrived'!D:D, 'POed not arrived'!A:A=$B354),2),
        """"
    )
)"),"")</f>
        <v/>
      </c>
      <c r="O354" s="202"/>
      <c r="P354" s="202" t="str">
        <f>IFERROR(__xludf.DUMMYFUNCTION("IFERROR(
    INDEX(FILTER('Arrived Shipments'!O:O, 'Arrived Shipments'!B:B=$B354),3),
    IFERROR(
        INDEX(FILTER('POed not arrived'!D:D, 'POed not arrived'!A:A=$B354),3),
        """"
    )
)"),"")</f>
        <v/>
      </c>
      <c r="Q354" s="202"/>
      <c r="R354" s="206" t="str">
        <f>IFERROR(__xludf.DUMMYFUNCTION("IFERROR(
    INDEX(FILTER('Arrived Shipments'!O:O, 'Arrived Shipments'!B:B=$B354),4),
    IFERROR(
        INDEX(FILTER('POed not arrived'!D:D, 'POed not arrived'!A:A=$B354),4),
        """"
    )
)"),"")</f>
        <v/>
      </c>
      <c r="S354" s="202"/>
      <c r="T354" s="202">
        <f t="shared" si="8"/>
        <v>0</v>
      </c>
      <c r="U354" s="198"/>
      <c r="V354" s="199"/>
      <c r="W354" s="197"/>
      <c r="X354" s="197"/>
      <c r="Y354" s="199"/>
      <c r="Z354" s="199"/>
      <c r="AA354" s="204" t="str">
        <f t="shared" si="4"/>
        <v/>
      </c>
      <c r="AB354" s="198"/>
      <c r="AC354" s="199"/>
      <c r="AD354" s="199"/>
      <c r="AE354" s="199"/>
      <c r="AF354" s="199"/>
      <c r="AG354" s="199"/>
      <c r="AH354" s="199"/>
      <c r="AI354" s="199"/>
      <c r="AJ354" s="199"/>
      <c r="AK354" s="199"/>
      <c r="AL354" s="199"/>
      <c r="AM354" s="198"/>
      <c r="AN354" s="197"/>
      <c r="AO354" s="197"/>
      <c r="AP354" s="197"/>
      <c r="AQ354" s="197"/>
      <c r="AR354" s="197"/>
      <c r="AS354" s="197"/>
    </row>
    <row r="355">
      <c r="A355" s="198" t="str">
        <f t="shared" si="1"/>
        <v>PP</v>
      </c>
      <c r="B355" s="205" t="s">
        <v>3414</v>
      </c>
      <c r="C355" s="205" t="s">
        <v>3074</v>
      </c>
      <c r="D355" s="203" t="s">
        <v>3415</v>
      </c>
      <c r="E355" s="213">
        <v>46205.0</v>
      </c>
      <c r="F355" s="205">
        <v>7.0</v>
      </c>
      <c r="G355" s="205">
        <v>2026.0</v>
      </c>
      <c r="H355" s="199"/>
      <c r="I355" s="207"/>
      <c r="J355" s="199"/>
      <c r="K355" s="202"/>
      <c r="L355" s="205" t="str">
        <f>IFERROR(__xludf.DUMMYFUNCTION("IFERROR(
    INDEX(FILTER('Arrived Shipments'!O:O, 'Arrived Shipments'!B:B=$B355),1),
    IFERROR(
        INDEX(FILTER('POed not arrived'!D:D, 'POed not arrived'!A:A=$B355),1),
        """"
    )
)"),"")</f>
        <v/>
      </c>
      <c r="M355" s="202"/>
      <c r="N355" s="223" t="str">
        <f>IFERROR(__xludf.DUMMYFUNCTION("IFERROR(
    INDEX(FILTER('Arrived Shipments'!O:O, 'Arrived Shipments'!B:B=$B355),2),
    IFERROR(
        INDEX(FILTER('POed not arrived'!D:D, 'POed not arrived'!A:A=$B355),2),
        """"
    )
)"),"")</f>
        <v/>
      </c>
      <c r="O355" s="202"/>
      <c r="P355" s="202" t="str">
        <f>IFERROR(__xludf.DUMMYFUNCTION("IFERROR(
    INDEX(FILTER('Arrived Shipments'!O:O, 'Arrived Shipments'!B:B=$B355),3),
    IFERROR(
        INDEX(FILTER('POed not arrived'!D:D, 'POed not arrived'!A:A=$B355),3),
        """"
    )
)"),"")</f>
        <v/>
      </c>
      <c r="Q355" s="202"/>
      <c r="R355" s="206" t="str">
        <f>IFERROR(__xludf.DUMMYFUNCTION("IFERROR(
    INDEX(FILTER('Arrived Shipments'!O:O, 'Arrived Shipments'!B:B=$B355),4),
    IFERROR(
        INDEX(FILTER('POed not arrived'!D:D, 'POed not arrived'!A:A=$B355),4),
        """"
    )
)"),"")</f>
        <v/>
      </c>
      <c r="S355" s="202"/>
      <c r="T355" s="202">
        <f t="shared" si="8"/>
        <v>0</v>
      </c>
      <c r="U355" s="198"/>
      <c r="V355" s="199"/>
      <c r="W355" s="197"/>
      <c r="X355" s="197"/>
      <c r="Y355" s="199"/>
      <c r="Z355" s="199"/>
      <c r="AA355" s="204" t="str">
        <f t="shared" si="4"/>
        <v/>
      </c>
      <c r="AB355" s="198"/>
      <c r="AC355" s="199"/>
      <c r="AD355" s="199"/>
      <c r="AE355" s="199"/>
      <c r="AF355" s="199"/>
      <c r="AG355" s="199"/>
      <c r="AH355" s="199"/>
      <c r="AI355" s="199"/>
      <c r="AJ355" s="199"/>
      <c r="AK355" s="199"/>
      <c r="AL355" s="199"/>
      <c r="AM355" s="198"/>
      <c r="AN355" s="197"/>
      <c r="AO355" s="197"/>
      <c r="AP355" s="197"/>
      <c r="AQ355" s="197"/>
      <c r="AR355" s="197"/>
      <c r="AS355" s="197"/>
    </row>
    <row r="356">
      <c r="A356" s="198" t="str">
        <f t="shared" si="1"/>
        <v>PP</v>
      </c>
      <c r="B356" s="205" t="s">
        <v>3416</v>
      </c>
      <c r="C356" s="205" t="s">
        <v>3074</v>
      </c>
      <c r="D356" s="203" t="s">
        <v>3417</v>
      </c>
      <c r="E356" s="213">
        <v>46205.0</v>
      </c>
      <c r="F356" s="205">
        <v>7.0</v>
      </c>
      <c r="G356" s="205">
        <v>2026.0</v>
      </c>
      <c r="H356" s="199"/>
      <c r="I356" s="207"/>
      <c r="J356" s="199"/>
      <c r="K356" s="202"/>
      <c r="L356" s="205" t="str">
        <f>IFERROR(__xludf.DUMMYFUNCTION("IFERROR(
    INDEX(FILTER('Arrived Shipments'!O:O, 'Arrived Shipments'!B:B=$B356),1),
    IFERROR(
        INDEX(FILTER('POed not arrived'!D:D, 'POed not arrived'!A:A=$B356),1),
        """"
    )
)"),"")</f>
        <v/>
      </c>
      <c r="M356" s="202"/>
      <c r="N356" s="223" t="str">
        <f>IFERROR(__xludf.DUMMYFUNCTION("IFERROR(
    INDEX(FILTER('Arrived Shipments'!O:O, 'Arrived Shipments'!B:B=$B356),2),
    IFERROR(
        INDEX(FILTER('POed not arrived'!D:D, 'POed not arrived'!A:A=$B356),2),
        """"
    )
)"),"")</f>
        <v/>
      </c>
      <c r="O356" s="202"/>
      <c r="P356" s="202" t="str">
        <f>IFERROR(__xludf.DUMMYFUNCTION("IFERROR(
    INDEX(FILTER('Arrived Shipments'!O:O, 'Arrived Shipments'!B:B=$B356),3),
    IFERROR(
        INDEX(FILTER('POed not arrived'!D:D, 'POed not arrived'!A:A=$B356),3),
        """"
    )
)"),"")</f>
        <v/>
      </c>
      <c r="Q356" s="202"/>
      <c r="R356" s="206" t="str">
        <f>IFERROR(__xludf.DUMMYFUNCTION("IFERROR(
    INDEX(FILTER('Arrived Shipments'!O:O, 'Arrived Shipments'!B:B=$B356),4),
    IFERROR(
        INDEX(FILTER('POed not arrived'!D:D, 'POed not arrived'!A:A=$B356),4),
        """"
    )
)"),"")</f>
        <v/>
      </c>
      <c r="S356" s="202"/>
      <c r="T356" s="202">
        <f t="shared" si="8"/>
        <v>0</v>
      </c>
      <c r="U356" s="198"/>
      <c r="V356" s="199"/>
      <c r="W356" s="197"/>
      <c r="X356" s="197"/>
      <c r="Y356" s="199"/>
      <c r="Z356" s="199"/>
      <c r="AA356" s="204" t="str">
        <f t="shared" si="4"/>
        <v/>
      </c>
      <c r="AB356" s="198"/>
      <c r="AC356" s="199"/>
      <c r="AD356" s="199"/>
      <c r="AE356" s="199"/>
      <c r="AF356" s="199"/>
      <c r="AG356" s="199"/>
      <c r="AH356" s="199"/>
      <c r="AI356" s="199"/>
      <c r="AJ356" s="199"/>
      <c r="AK356" s="199"/>
      <c r="AL356" s="199"/>
      <c r="AM356" s="198"/>
      <c r="AN356" s="197"/>
      <c r="AO356" s="197"/>
      <c r="AP356" s="197"/>
      <c r="AQ356" s="197"/>
      <c r="AR356" s="197"/>
      <c r="AS356" s="197"/>
    </row>
    <row r="357">
      <c r="A357" s="198" t="str">
        <f t="shared" si="1"/>
        <v>PP</v>
      </c>
      <c r="B357" s="205" t="s">
        <v>3418</v>
      </c>
      <c r="C357" s="205" t="s">
        <v>3074</v>
      </c>
      <c r="D357" s="203" t="s">
        <v>3419</v>
      </c>
      <c r="E357" s="213">
        <v>46205.0</v>
      </c>
      <c r="F357" s="205">
        <v>7.0</v>
      </c>
      <c r="G357" s="205">
        <v>2026.0</v>
      </c>
      <c r="H357" s="199"/>
      <c r="I357" s="207"/>
      <c r="J357" s="199"/>
      <c r="K357" s="202"/>
      <c r="L357" s="205" t="str">
        <f>IFERROR(__xludf.DUMMYFUNCTION("IFERROR(
    INDEX(FILTER('Arrived Shipments'!O:O, 'Arrived Shipments'!B:B=$B357),1),
    IFERROR(
        INDEX(FILTER('POed not arrived'!D:D, 'POed not arrived'!A:A=$B357),1),
        """"
    )
)"),"")</f>
        <v/>
      </c>
      <c r="M357" s="202"/>
      <c r="N357" s="223" t="str">
        <f>IFERROR(__xludf.DUMMYFUNCTION("IFERROR(
    INDEX(FILTER('Arrived Shipments'!O:O, 'Arrived Shipments'!B:B=$B357),2),
    IFERROR(
        INDEX(FILTER('POed not arrived'!D:D, 'POed not arrived'!A:A=$B357),2),
        """"
    )
)"),"")</f>
        <v/>
      </c>
      <c r="O357" s="202"/>
      <c r="P357" s="202" t="str">
        <f>IFERROR(__xludf.DUMMYFUNCTION("IFERROR(
    INDEX(FILTER('Arrived Shipments'!O:O, 'Arrived Shipments'!B:B=$B357),3),
    IFERROR(
        INDEX(FILTER('POed not arrived'!D:D, 'POed not arrived'!A:A=$B357),3),
        """"
    )
)"),"")</f>
        <v/>
      </c>
      <c r="Q357" s="202"/>
      <c r="R357" s="206" t="str">
        <f>IFERROR(__xludf.DUMMYFUNCTION("IFERROR(
    INDEX(FILTER('Arrived Shipments'!O:O, 'Arrived Shipments'!B:B=$B357),4),
    IFERROR(
        INDEX(FILTER('POed not arrived'!D:D, 'POed not arrived'!A:A=$B357),4),
        """"
    )
)"),"")</f>
        <v/>
      </c>
      <c r="S357" s="202"/>
      <c r="T357" s="202">
        <f t="shared" si="8"/>
        <v>0</v>
      </c>
      <c r="U357" s="198"/>
      <c r="V357" s="199"/>
      <c r="W357" s="197"/>
      <c r="X357" s="197"/>
      <c r="Y357" s="199"/>
      <c r="Z357" s="199"/>
      <c r="AA357" s="204" t="str">
        <f t="shared" si="4"/>
        <v/>
      </c>
      <c r="AB357" s="198"/>
      <c r="AC357" s="199"/>
      <c r="AD357" s="199"/>
      <c r="AE357" s="199"/>
      <c r="AF357" s="199"/>
      <c r="AG357" s="199"/>
      <c r="AH357" s="199"/>
      <c r="AI357" s="199"/>
      <c r="AJ357" s="199"/>
      <c r="AK357" s="199"/>
      <c r="AL357" s="199"/>
      <c r="AM357" s="198"/>
      <c r="AN357" s="197"/>
      <c r="AO357" s="197"/>
      <c r="AP357" s="197"/>
      <c r="AQ357" s="197"/>
      <c r="AR357" s="197"/>
      <c r="AS357" s="197"/>
    </row>
    <row r="358">
      <c r="A358" s="198" t="str">
        <f t="shared" si="1"/>
        <v>PP</v>
      </c>
      <c r="B358" s="205" t="s">
        <v>3420</v>
      </c>
      <c r="C358" s="205" t="s">
        <v>3074</v>
      </c>
      <c r="D358" s="203" t="s">
        <v>3419</v>
      </c>
      <c r="E358" s="213">
        <v>46205.0</v>
      </c>
      <c r="F358" s="205">
        <v>7.0</v>
      </c>
      <c r="G358" s="205">
        <v>2026.0</v>
      </c>
      <c r="H358" s="199"/>
      <c r="I358" s="207"/>
      <c r="J358" s="199"/>
      <c r="K358" s="202"/>
      <c r="L358" s="205" t="str">
        <f>IFERROR(__xludf.DUMMYFUNCTION("IFERROR(
    INDEX(FILTER('Arrived Shipments'!O:O, 'Arrived Shipments'!B:B=$B358),1),
    IFERROR(
        INDEX(FILTER('POed not arrived'!D:D, 'POed not arrived'!A:A=$B358),1),
        """"
    )
)"),"")</f>
        <v/>
      </c>
      <c r="M358" s="202"/>
      <c r="N358" s="223" t="str">
        <f>IFERROR(__xludf.DUMMYFUNCTION("IFERROR(
    INDEX(FILTER('Arrived Shipments'!O:O, 'Arrived Shipments'!B:B=$B358),2),
    IFERROR(
        INDEX(FILTER('POed not arrived'!D:D, 'POed not arrived'!A:A=$B358),2),
        """"
    )
)"),"")</f>
        <v/>
      </c>
      <c r="O358" s="202"/>
      <c r="P358" s="202" t="str">
        <f>IFERROR(__xludf.DUMMYFUNCTION("IFERROR(
    INDEX(FILTER('Arrived Shipments'!O:O, 'Arrived Shipments'!B:B=$B358),3),
    IFERROR(
        INDEX(FILTER('POed not arrived'!D:D, 'POed not arrived'!A:A=$B358),3),
        """"
    )
)"),"")</f>
        <v/>
      </c>
      <c r="Q358" s="202"/>
      <c r="R358" s="206" t="str">
        <f>IFERROR(__xludf.DUMMYFUNCTION("IFERROR(
    INDEX(FILTER('Arrived Shipments'!O:O, 'Arrived Shipments'!B:B=$B358),4),
    IFERROR(
        INDEX(FILTER('POed not arrived'!D:D, 'POed not arrived'!A:A=$B358),4),
        """"
    )
)"),"")</f>
        <v/>
      </c>
      <c r="S358" s="202"/>
      <c r="T358" s="202">
        <f t="shared" si="8"/>
        <v>0</v>
      </c>
      <c r="U358" s="198"/>
      <c r="V358" s="199"/>
      <c r="W358" s="197"/>
      <c r="X358" s="197"/>
      <c r="Y358" s="199"/>
      <c r="Z358" s="199"/>
      <c r="AA358" s="204" t="str">
        <f t="shared" si="4"/>
        <v/>
      </c>
      <c r="AB358" s="198"/>
      <c r="AC358" s="199"/>
      <c r="AD358" s="199"/>
      <c r="AE358" s="199"/>
      <c r="AF358" s="199"/>
      <c r="AG358" s="199"/>
      <c r="AH358" s="199"/>
      <c r="AI358" s="199"/>
      <c r="AJ358" s="199"/>
      <c r="AK358" s="199"/>
      <c r="AL358" s="199"/>
      <c r="AM358" s="198"/>
      <c r="AN358" s="197"/>
      <c r="AO358" s="197"/>
      <c r="AP358" s="197"/>
      <c r="AQ358" s="197"/>
      <c r="AR358" s="197"/>
      <c r="AS358" s="197"/>
    </row>
    <row r="359">
      <c r="A359" s="198" t="str">
        <f t="shared" si="1"/>
        <v>PP</v>
      </c>
      <c r="B359" s="205" t="s">
        <v>3421</v>
      </c>
      <c r="C359" s="205" t="s">
        <v>3074</v>
      </c>
      <c r="D359" s="203" t="s">
        <v>3279</v>
      </c>
      <c r="E359" s="213">
        <v>46205.0</v>
      </c>
      <c r="F359" s="205">
        <v>7.0</v>
      </c>
      <c r="G359" s="205">
        <v>2026.0</v>
      </c>
      <c r="H359" s="199"/>
      <c r="I359" s="207"/>
      <c r="J359" s="199"/>
      <c r="K359" s="202"/>
      <c r="L359" s="205" t="str">
        <f>IFERROR(__xludf.DUMMYFUNCTION("IFERROR(
    INDEX(FILTER('Arrived Shipments'!O:O, 'Arrived Shipments'!B:B=$B359),1),
    IFERROR(
        INDEX(FILTER('POed not arrived'!D:D, 'POed not arrived'!A:A=$B359),1),
        """"
    )
)"),"")</f>
        <v/>
      </c>
      <c r="M359" s="202"/>
      <c r="N359" s="223" t="str">
        <f>IFERROR(__xludf.DUMMYFUNCTION("IFERROR(
    INDEX(FILTER('Arrived Shipments'!O:O, 'Arrived Shipments'!B:B=$B359),2),
    IFERROR(
        INDEX(FILTER('POed not arrived'!D:D, 'POed not arrived'!A:A=$B359),2),
        """"
    )
)"),"")</f>
        <v/>
      </c>
      <c r="O359" s="202"/>
      <c r="P359" s="202" t="str">
        <f>IFERROR(__xludf.DUMMYFUNCTION("IFERROR(
    INDEX(FILTER('Arrived Shipments'!O:O, 'Arrived Shipments'!B:B=$B359),3),
    IFERROR(
        INDEX(FILTER('POed not arrived'!D:D, 'POed not arrived'!A:A=$B359),3),
        """"
    )
)"),"")</f>
        <v/>
      </c>
      <c r="Q359" s="202"/>
      <c r="R359" s="206" t="str">
        <f>IFERROR(__xludf.DUMMYFUNCTION("IFERROR(
    INDEX(FILTER('Arrived Shipments'!O:O, 'Arrived Shipments'!B:B=$B359),4),
    IFERROR(
        INDEX(FILTER('POed not arrived'!D:D, 'POed not arrived'!A:A=$B359),4),
        """"
    )
)"),"")</f>
        <v/>
      </c>
      <c r="S359" s="202"/>
      <c r="T359" s="202">
        <f t="shared" si="8"/>
        <v>0</v>
      </c>
      <c r="U359" s="198"/>
      <c r="V359" s="199"/>
      <c r="W359" s="197"/>
      <c r="X359" s="197"/>
      <c r="Y359" s="199"/>
      <c r="Z359" s="199"/>
      <c r="AA359" s="204" t="str">
        <f t="shared" si="4"/>
        <v/>
      </c>
      <c r="AB359" s="198"/>
      <c r="AC359" s="199"/>
      <c r="AD359" s="199"/>
      <c r="AE359" s="199"/>
      <c r="AF359" s="199"/>
      <c r="AG359" s="199"/>
      <c r="AH359" s="199"/>
      <c r="AI359" s="199"/>
      <c r="AJ359" s="199"/>
      <c r="AK359" s="199"/>
      <c r="AL359" s="199"/>
      <c r="AM359" s="198"/>
      <c r="AN359" s="197"/>
      <c r="AO359" s="197"/>
      <c r="AP359" s="197"/>
      <c r="AQ359" s="197"/>
      <c r="AR359" s="197"/>
      <c r="AS359" s="197"/>
    </row>
    <row r="360">
      <c r="A360" s="198" t="str">
        <f t="shared" si="1"/>
        <v>PP</v>
      </c>
      <c r="B360" s="205" t="s">
        <v>3422</v>
      </c>
      <c r="C360" s="205" t="s">
        <v>3074</v>
      </c>
      <c r="D360" s="203" t="s">
        <v>3279</v>
      </c>
      <c r="E360" s="213">
        <v>46205.0</v>
      </c>
      <c r="F360" s="205">
        <v>7.0</v>
      </c>
      <c r="G360" s="205">
        <v>2026.0</v>
      </c>
      <c r="H360" s="199"/>
      <c r="I360" s="207"/>
      <c r="J360" s="199"/>
      <c r="K360" s="202"/>
      <c r="L360" s="205" t="str">
        <f>IFERROR(__xludf.DUMMYFUNCTION("IFERROR(
    INDEX(FILTER('Arrived Shipments'!O:O, 'Arrived Shipments'!B:B=$B360),1),
    IFERROR(
        INDEX(FILTER('POed not arrived'!D:D, 'POed not arrived'!A:A=$B360),1),
        """"
    )
)"),"")</f>
        <v/>
      </c>
      <c r="M360" s="202"/>
      <c r="N360" s="223" t="str">
        <f>IFERROR(__xludf.DUMMYFUNCTION("IFERROR(
    INDEX(FILTER('Arrived Shipments'!O:O, 'Arrived Shipments'!B:B=$B360),2),
    IFERROR(
        INDEX(FILTER('POed not arrived'!D:D, 'POed not arrived'!A:A=$B360),2),
        """"
    )
)"),"")</f>
        <v/>
      </c>
      <c r="O360" s="202"/>
      <c r="P360" s="202" t="str">
        <f>IFERROR(__xludf.DUMMYFUNCTION("IFERROR(
    INDEX(FILTER('Arrived Shipments'!O:O, 'Arrived Shipments'!B:B=$B360),3),
    IFERROR(
        INDEX(FILTER('POed not arrived'!D:D, 'POed not arrived'!A:A=$B360),3),
        """"
    )
)"),"")</f>
        <v/>
      </c>
      <c r="Q360" s="202"/>
      <c r="R360" s="206" t="str">
        <f>IFERROR(__xludf.DUMMYFUNCTION("IFERROR(
    INDEX(FILTER('Arrived Shipments'!O:O, 'Arrived Shipments'!B:B=$B360),4),
    IFERROR(
        INDEX(FILTER('POed not arrived'!D:D, 'POed not arrived'!A:A=$B360),4),
        """"
    )
)"),"")</f>
        <v/>
      </c>
      <c r="S360" s="202"/>
      <c r="T360" s="202">
        <f t="shared" si="8"/>
        <v>0</v>
      </c>
      <c r="U360" s="198"/>
      <c r="V360" s="199"/>
      <c r="W360" s="197"/>
      <c r="X360" s="197"/>
      <c r="Y360" s="199"/>
      <c r="Z360" s="199"/>
      <c r="AA360" s="204" t="str">
        <f t="shared" si="4"/>
        <v/>
      </c>
      <c r="AB360" s="198"/>
      <c r="AC360" s="199"/>
      <c r="AD360" s="199"/>
      <c r="AE360" s="199"/>
      <c r="AF360" s="199"/>
      <c r="AG360" s="199"/>
      <c r="AH360" s="199"/>
      <c r="AI360" s="199"/>
      <c r="AJ360" s="199"/>
      <c r="AK360" s="199"/>
      <c r="AL360" s="199"/>
      <c r="AM360" s="198"/>
      <c r="AN360" s="197"/>
      <c r="AO360" s="197"/>
      <c r="AP360" s="197"/>
      <c r="AQ360" s="197"/>
      <c r="AR360" s="197"/>
      <c r="AS360" s="197"/>
    </row>
    <row r="361">
      <c r="A361" s="198" t="str">
        <f t="shared" si="1"/>
        <v>PP</v>
      </c>
      <c r="B361" s="205" t="s">
        <v>3423</v>
      </c>
      <c r="C361" s="205" t="s">
        <v>3074</v>
      </c>
      <c r="D361" s="203" t="s">
        <v>3292</v>
      </c>
      <c r="E361" s="213">
        <v>46205.0</v>
      </c>
      <c r="F361" s="205">
        <v>7.0</v>
      </c>
      <c r="G361" s="205">
        <v>2026.0</v>
      </c>
      <c r="H361" s="199"/>
      <c r="I361" s="207"/>
      <c r="J361" s="199"/>
      <c r="K361" s="202"/>
      <c r="L361" s="205" t="str">
        <f>IFERROR(__xludf.DUMMYFUNCTION("IFERROR(
    INDEX(FILTER('Arrived Shipments'!O:O, 'Arrived Shipments'!B:B=$B361),1),
    IFERROR(
        INDEX(FILTER('POed not arrived'!D:D, 'POed not arrived'!A:A=$B361),1),
        """"
    )
)"),"")</f>
        <v/>
      </c>
      <c r="M361" s="202"/>
      <c r="N361" s="223" t="str">
        <f>IFERROR(__xludf.DUMMYFUNCTION("IFERROR(
    INDEX(FILTER('Arrived Shipments'!O:O, 'Arrived Shipments'!B:B=$B361),2),
    IFERROR(
        INDEX(FILTER('POed not arrived'!D:D, 'POed not arrived'!A:A=$B361),2),
        """"
    )
)"),"")</f>
        <v/>
      </c>
      <c r="O361" s="202"/>
      <c r="P361" s="202" t="str">
        <f>IFERROR(__xludf.DUMMYFUNCTION("IFERROR(
    INDEX(FILTER('Arrived Shipments'!O:O, 'Arrived Shipments'!B:B=$B361),3),
    IFERROR(
        INDEX(FILTER('POed not arrived'!D:D, 'POed not arrived'!A:A=$B361),3),
        """"
    )
)"),"")</f>
        <v/>
      </c>
      <c r="Q361" s="202"/>
      <c r="R361" s="206" t="str">
        <f>IFERROR(__xludf.DUMMYFUNCTION("IFERROR(
    INDEX(FILTER('Arrived Shipments'!O:O, 'Arrived Shipments'!B:B=$B361),4),
    IFERROR(
        INDEX(FILTER('POed not arrived'!D:D, 'POed not arrived'!A:A=$B361),4),
        """"
    )
)"),"")</f>
        <v/>
      </c>
      <c r="S361" s="202"/>
      <c r="T361" s="202">
        <f t="shared" si="8"/>
        <v>0</v>
      </c>
      <c r="U361" s="198"/>
      <c r="V361" s="199"/>
      <c r="W361" s="197"/>
      <c r="X361" s="197"/>
      <c r="Y361" s="199"/>
      <c r="Z361" s="199"/>
      <c r="AA361" s="204" t="str">
        <f t="shared" si="4"/>
        <v/>
      </c>
      <c r="AB361" s="198"/>
      <c r="AC361" s="199"/>
      <c r="AD361" s="199"/>
      <c r="AE361" s="199"/>
      <c r="AF361" s="199"/>
      <c r="AG361" s="199"/>
      <c r="AH361" s="199"/>
      <c r="AI361" s="199"/>
      <c r="AJ361" s="199"/>
      <c r="AK361" s="199"/>
      <c r="AL361" s="199"/>
      <c r="AM361" s="198"/>
      <c r="AN361" s="197"/>
      <c r="AO361" s="197"/>
      <c r="AP361" s="197"/>
      <c r="AQ361" s="197"/>
      <c r="AR361" s="197"/>
      <c r="AS361" s="197"/>
    </row>
    <row r="362">
      <c r="A362" s="198" t="str">
        <f t="shared" si="1"/>
        <v>PP</v>
      </c>
      <c r="B362" s="205" t="s">
        <v>3424</v>
      </c>
      <c r="C362" s="205" t="s">
        <v>3074</v>
      </c>
      <c r="D362" s="203" t="s">
        <v>3355</v>
      </c>
      <c r="E362" s="213">
        <v>46205.0</v>
      </c>
      <c r="F362" s="205">
        <v>7.0</v>
      </c>
      <c r="G362" s="205">
        <v>2026.0</v>
      </c>
      <c r="H362" s="199"/>
      <c r="I362" s="207"/>
      <c r="J362" s="199"/>
      <c r="K362" s="202"/>
      <c r="L362" s="205" t="str">
        <f>IFERROR(__xludf.DUMMYFUNCTION("IFERROR(
    INDEX(FILTER('Arrived Shipments'!O:O, 'Arrived Shipments'!B:B=$B362),1),
    IFERROR(
        INDEX(FILTER('POed not arrived'!D:D, 'POed not arrived'!A:A=$B362),1),
        """"
    )
)"),"")</f>
        <v/>
      </c>
      <c r="M362" s="202"/>
      <c r="N362" s="223" t="str">
        <f>IFERROR(__xludf.DUMMYFUNCTION("IFERROR(
    INDEX(FILTER('Arrived Shipments'!O:O, 'Arrived Shipments'!B:B=$B362),2),
    IFERROR(
        INDEX(FILTER('POed not arrived'!D:D, 'POed not arrived'!A:A=$B362),2),
        """"
    )
)"),"")</f>
        <v/>
      </c>
      <c r="O362" s="202"/>
      <c r="P362" s="202" t="str">
        <f>IFERROR(__xludf.DUMMYFUNCTION("IFERROR(
    INDEX(FILTER('Arrived Shipments'!O:O, 'Arrived Shipments'!B:B=$B362),3),
    IFERROR(
        INDEX(FILTER('POed not arrived'!D:D, 'POed not arrived'!A:A=$B362),3),
        """"
    )
)"),"")</f>
        <v/>
      </c>
      <c r="Q362" s="202"/>
      <c r="R362" s="206" t="str">
        <f>IFERROR(__xludf.DUMMYFUNCTION("IFERROR(
    INDEX(FILTER('Arrived Shipments'!O:O, 'Arrived Shipments'!B:B=$B362),4),
    IFERROR(
        INDEX(FILTER('POed not arrived'!D:D, 'POed not arrived'!A:A=$B362),4),
        """"
    )
)"),"")</f>
        <v/>
      </c>
      <c r="S362" s="202"/>
      <c r="T362" s="202">
        <f t="shared" si="8"/>
        <v>0</v>
      </c>
      <c r="U362" s="198"/>
      <c r="V362" s="199"/>
      <c r="W362" s="197"/>
      <c r="X362" s="197"/>
      <c r="Y362" s="199"/>
      <c r="Z362" s="199"/>
      <c r="AA362" s="204" t="str">
        <f t="shared" si="4"/>
        <v/>
      </c>
      <c r="AB362" s="198"/>
      <c r="AC362" s="199"/>
      <c r="AD362" s="199"/>
      <c r="AE362" s="199"/>
      <c r="AF362" s="199"/>
      <c r="AG362" s="199"/>
      <c r="AH362" s="199"/>
      <c r="AI362" s="199"/>
      <c r="AJ362" s="199"/>
      <c r="AK362" s="199"/>
      <c r="AL362" s="199"/>
      <c r="AM362" s="198"/>
      <c r="AN362" s="197"/>
      <c r="AO362" s="197"/>
      <c r="AP362" s="197"/>
      <c r="AQ362" s="197"/>
      <c r="AR362" s="197"/>
      <c r="AS362" s="197"/>
    </row>
    <row r="363">
      <c r="A363" s="198" t="str">
        <f t="shared" si="1"/>
        <v>PP</v>
      </c>
      <c r="B363" s="205" t="s">
        <v>3425</v>
      </c>
      <c r="C363" s="205" t="s">
        <v>3074</v>
      </c>
      <c r="D363" s="203" t="s">
        <v>2854</v>
      </c>
      <c r="E363" s="213">
        <v>46205.0</v>
      </c>
      <c r="F363" s="205">
        <v>7.0</v>
      </c>
      <c r="G363" s="205">
        <v>2026.0</v>
      </c>
      <c r="H363" s="199"/>
      <c r="I363" s="207"/>
      <c r="J363" s="199"/>
      <c r="K363" s="202"/>
      <c r="L363" s="205" t="str">
        <f>IFERROR(__xludf.DUMMYFUNCTION("IFERROR(
    INDEX(FILTER('Arrived Shipments'!O:O, 'Arrived Shipments'!B:B=$B363),1),
    IFERROR(
        INDEX(FILTER('POed not arrived'!D:D, 'POed not arrived'!A:A=$B363),1),
        """"
    )
)"),"")</f>
        <v/>
      </c>
      <c r="M363" s="202"/>
      <c r="N363" s="223" t="str">
        <f>IFERROR(__xludf.DUMMYFUNCTION("IFERROR(
    INDEX(FILTER('Arrived Shipments'!O:O, 'Arrived Shipments'!B:B=$B363),2),
    IFERROR(
        INDEX(FILTER('POed not arrived'!D:D, 'POed not arrived'!A:A=$B363),2),
        """"
    )
)"),"")</f>
        <v/>
      </c>
      <c r="O363" s="202"/>
      <c r="P363" s="202" t="str">
        <f>IFERROR(__xludf.DUMMYFUNCTION("IFERROR(
    INDEX(FILTER('Arrived Shipments'!O:O, 'Arrived Shipments'!B:B=$B363),3),
    IFERROR(
        INDEX(FILTER('POed not arrived'!D:D, 'POed not arrived'!A:A=$B363),3),
        """"
    )
)"),"")</f>
        <v/>
      </c>
      <c r="Q363" s="202"/>
      <c r="R363" s="206" t="str">
        <f>IFERROR(__xludf.DUMMYFUNCTION("IFERROR(
    INDEX(FILTER('Arrived Shipments'!O:O, 'Arrived Shipments'!B:B=$B363),4),
    IFERROR(
        INDEX(FILTER('POed not arrived'!D:D, 'POed not arrived'!A:A=$B363),4),
        """"
    )
)"),"")</f>
        <v/>
      </c>
      <c r="S363" s="202"/>
      <c r="T363" s="202">
        <f t="shared" si="8"/>
        <v>0</v>
      </c>
      <c r="U363" s="198"/>
      <c r="V363" s="199"/>
      <c r="W363" s="197"/>
      <c r="X363" s="197"/>
      <c r="Y363" s="199"/>
      <c r="Z363" s="199"/>
      <c r="AA363" s="204" t="str">
        <f t="shared" si="4"/>
        <v/>
      </c>
      <c r="AB363" s="198"/>
      <c r="AC363" s="199"/>
      <c r="AD363" s="199"/>
      <c r="AE363" s="199"/>
      <c r="AF363" s="199"/>
      <c r="AG363" s="199"/>
      <c r="AH363" s="199"/>
      <c r="AI363" s="199"/>
      <c r="AJ363" s="199"/>
      <c r="AK363" s="199"/>
      <c r="AL363" s="199"/>
      <c r="AM363" s="198"/>
      <c r="AN363" s="197"/>
      <c r="AO363" s="197"/>
      <c r="AP363" s="197"/>
      <c r="AQ363" s="197"/>
      <c r="AR363" s="197"/>
      <c r="AS363" s="197"/>
    </row>
    <row r="364">
      <c r="A364" s="198" t="str">
        <f t="shared" si="1"/>
        <v>PP</v>
      </c>
      <c r="B364" s="205" t="s">
        <v>3426</v>
      </c>
      <c r="C364" s="205" t="s">
        <v>3074</v>
      </c>
      <c r="D364" s="203" t="s">
        <v>2854</v>
      </c>
      <c r="E364" s="213">
        <v>46205.0</v>
      </c>
      <c r="F364" s="205">
        <v>7.0</v>
      </c>
      <c r="G364" s="205">
        <v>2026.0</v>
      </c>
      <c r="H364" s="199"/>
      <c r="I364" s="207"/>
      <c r="J364" s="199"/>
      <c r="K364" s="202"/>
      <c r="L364" s="205" t="str">
        <f>IFERROR(__xludf.DUMMYFUNCTION("IFERROR(
    INDEX(FILTER('Arrived Shipments'!O:O, 'Arrived Shipments'!B:B=$B364),1),
    IFERROR(
        INDEX(FILTER('POed not arrived'!D:D, 'POed not arrived'!A:A=$B364),1),
        """"
    )
)"),"")</f>
        <v/>
      </c>
      <c r="M364" s="202"/>
      <c r="N364" s="223" t="str">
        <f>IFERROR(__xludf.DUMMYFUNCTION("IFERROR(
    INDEX(FILTER('Arrived Shipments'!O:O, 'Arrived Shipments'!B:B=$B364),2),
    IFERROR(
        INDEX(FILTER('POed not arrived'!D:D, 'POed not arrived'!A:A=$B364),2),
        """"
    )
)"),"")</f>
        <v/>
      </c>
      <c r="O364" s="202"/>
      <c r="P364" s="202" t="str">
        <f>IFERROR(__xludf.DUMMYFUNCTION("IFERROR(
    INDEX(FILTER('Arrived Shipments'!O:O, 'Arrived Shipments'!B:B=$B364),3),
    IFERROR(
        INDEX(FILTER('POed not arrived'!D:D, 'POed not arrived'!A:A=$B364),3),
        """"
    )
)"),"")</f>
        <v/>
      </c>
      <c r="Q364" s="202"/>
      <c r="R364" s="206" t="str">
        <f>IFERROR(__xludf.DUMMYFUNCTION("IFERROR(
    INDEX(FILTER('Arrived Shipments'!O:O, 'Arrived Shipments'!B:B=$B364),4),
    IFERROR(
        INDEX(FILTER('POed not arrived'!D:D, 'POed not arrived'!A:A=$B364),4),
        """"
    )
)"),"")</f>
        <v/>
      </c>
      <c r="S364" s="202"/>
      <c r="T364" s="202">
        <f t="shared" si="8"/>
        <v>0</v>
      </c>
      <c r="U364" s="198"/>
      <c r="V364" s="199"/>
      <c r="W364" s="197"/>
      <c r="X364" s="197"/>
      <c r="Y364" s="199"/>
      <c r="Z364" s="199"/>
      <c r="AA364" s="204" t="str">
        <f t="shared" si="4"/>
        <v/>
      </c>
      <c r="AB364" s="198"/>
      <c r="AC364" s="199"/>
      <c r="AD364" s="199"/>
      <c r="AE364" s="199"/>
      <c r="AF364" s="199"/>
      <c r="AG364" s="199"/>
      <c r="AH364" s="199"/>
      <c r="AI364" s="199"/>
      <c r="AJ364" s="199"/>
      <c r="AK364" s="199"/>
      <c r="AL364" s="199"/>
      <c r="AM364" s="198"/>
      <c r="AN364" s="197"/>
      <c r="AO364" s="197"/>
      <c r="AP364" s="197"/>
      <c r="AQ364" s="197"/>
      <c r="AR364" s="197"/>
      <c r="AS364" s="197"/>
    </row>
    <row r="365">
      <c r="A365" s="198" t="str">
        <f t="shared" si="1"/>
        <v>PP</v>
      </c>
      <c r="B365" s="205" t="s">
        <v>3427</v>
      </c>
      <c r="C365" s="205" t="s">
        <v>3074</v>
      </c>
      <c r="D365" s="203" t="s">
        <v>3428</v>
      </c>
      <c r="E365" s="213">
        <v>46205.0</v>
      </c>
      <c r="F365" s="205">
        <v>7.0</v>
      </c>
      <c r="G365" s="205">
        <v>2026.0</v>
      </c>
      <c r="H365" s="199"/>
      <c r="I365" s="207"/>
      <c r="J365" s="199"/>
      <c r="K365" s="202"/>
      <c r="L365" s="205" t="str">
        <f>IFERROR(__xludf.DUMMYFUNCTION("IFERROR(
    INDEX(FILTER('Arrived Shipments'!O:O, 'Arrived Shipments'!B:B=$B365),1),
    IFERROR(
        INDEX(FILTER('POed not arrived'!D:D, 'POed not arrived'!A:A=$B365),1),
        """"
    )
)"),"")</f>
        <v/>
      </c>
      <c r="M365" s="202"/>
      <c r="N365" s="223" t="str">
        <f>IFERROR(__xludf.DUMMYFUNCTION("IFERROR(
    INDEX(FILTER('Arrived Shipments'!O:O, 'Arrived Shipments'!B:B=$B365),2),
    IFERROR(
        INDEX(FILTER('POed not arrived'!D:D, 'POed not arrived'!A:A=$B365),2),
        """"
    )
)"),"")</f>
        <v/>
      </c>
      <c r="O365" s="202"/>
      <c r="P365" s="202" t="str">
        <f>IFERROR(__xludf.DUMMYFUNCTION("IFERROR(
    INDEX(FILTER('Arrived Shipments'!O:O, 'Arrived Shipments'!B:B=$B365),3),
    IFERROR(
        INDEX(FILTER('POed not arrived'!D:D, 'POed not arrived'!A:A=$B365),3),
        """"
    )
)"),"")</f>
        <v/>
      </c>
      <c r="Q365" s="202"/>
      <c r="R365" s="206" t="str">
        <f>IFERROR(__xludf.DUMMYFUNCTION("IFERROR(
    INDEX(FILTER('Arrived Shipments'!O:O, 'Arrived Shipments'!B:B=$B365),4),
    IFERROR(
        INDEX(FILTER('POed not arrived'!D:D, 'POed not arrived'!A:A=$B365),4),
        """"
    )
)"),"")</f>
        <v/>
      </c>
      <c r="S365" s="202"/>
      <c r="T365" s="202">
        <f t="shared" si="8"/>
        <v>0</v>
      </c>
      <c r="U365" s="198"/>
      <c r="V365" s="199"/>
      <c r="W365" s="197"/>
      <c r="X365" s="197"/>
      <c r="Y365" s="199"/>
      <c r="Z365" s="199"/>
      <c r="AA365" s="204" t="str">
        <f t="shared" si="4"/>
        <v/>
      </c>
      <c r="AB365" s="198"/>
      <c r="AC365" s="199"/>
      <c r="AD365" s="199"/>
      <c r="AE365" s="199"/>
      <c r="AF365" s="199"/>
      <c r="AG365" s="199"/>
      <c r="AH365" s="199"/>
      <c r="AI365" s="199"/>
      <c r="AJ365" s="199"/>
      <c r="AK365" s="199"/>
      <c r="AL365" s="199"/>
      <c r="AM365" s="198"/>
      <c r="AN365" s="197"/>
      <c r="AO365" s="197"/>
      <c r="AP365" s="197"/>
      <c r="AQ365" s="197"/>
      <c r="AR365" s="197"/>
      <c r="AS365" s="197"/>
    </row>
    <row r="366">
      <c r="A366" s="198" t="str">
        <f t="shared" si="1"/>
        <v>PP</v>
      </c>
      <c r="B366" s="205" t="s">
        <v>3429</v>
      </c>
      <c r="C366" s="205" t="s">
        <v>1316</v>
      </c>
      <c r="D366" s="203" t="s">
        <v>3430</v>
      </c>
      <c r="E366" s="213">
        <v>46205.0</v>
      </c>
      <c r="F366" s="205">
        <v>7.0</v>
      </c>
      <c r="G366" s="205">
        <v>2026.0</v>
      </c>
      <c r="H366" s="199"/>
      <c r="I366" s="207"/>
      <c r="J366" s="199"/>
      <c r="K366" s="202"/>
      <c r="L366" s="205" t="str">
        <f>IFERROR(__xludf.DUMMYFUNCTION("IFERROR(
    INDEX(FILTER('Arrived Shipments'!O:O, 'Arrived Shipments'!B:B=$B366),1),
    IFERROR(
        INDEX(FILTER('POed not arrived'!D:D, 'POed not arrived'!A:A=$B366),1),
        """"
    )
)"),"")</f>
        <v/>
      </c>
      <c r="M366" s="202"/>
      <c r="N366" s="223" t="str">
        <f>IFERROR(__xludf.DUMMYFUNCTION("IFERROR(
    INDEX(FILTER('Arrived Shipments'!O:O, 'Arrived Shipments'!B:B=$B366),2),
    IFERROR(
        INDEX(FILTER('POed not arrived'!D:D, 'POed not arrived'!A:A=$B366),2),
        """"
    )
)"),"")</f>
        <v/>
      </c>
      <c r="O366" s="202"/>
      <c r="P366" s="202" t="str">
        <f>IFERROR(__xludf.DUMMYFUNCTION("IFERROR(
    INDEX(FILTER('Arrived Shipments'!O:O, 'Arrived Shipments'!B:B=$B366),3),
    IFERROR(
        INDEX(FILTER('POed not arrived'!D:D, 'POed not arrived'!A:A=$B366),3),
        """"
    )
)"),"")</f>
        <v/>
      </c>
      <c r="Q366" s="202"/>
      <c r="R366" s="206" t="str">
        <f>IFERROR(__xludf.DUMMYFUNCTION("IFERROR(
    INDEX(FILTER('Arrived Shipments'!O:O, 'Arrived Shipments'!B:B=$B366),4),
    IFERROR(
        INDEX(FILTER('POed not arrived'!D:D, 'POed not arrived'!A:A=$B366),4),
        """"
    )
)"),"")</f>
        <v/>
      </c>
      <c r="S366" s="202"/>
      <c r="T366" s="202">
        <f t="shared" si="8"/>
        <v>0</v>
      </c>
      <c r="U366" s="198"/>
      <c r="V366" s="199"/>
      <c r="W366" s="197"/>
      <c r="X366" s="197"/>
      <c r="Y366" s="199"/>
      <c r="Z366" s="199"/>
      <c r="AA366" s="204" t="str">
        <f t="shared" si="4"/>
        <v/>
      </c>
      <c r="AB366" s="198"/>
      <c r="AC366" s="199"/>
      <c r="AD366" s="199"/>
      <c r="AE366" s="199"/>
      <c r="AF366" s="199"/>
      <c r="AG366" s="199"/>
      <c r="AH366" s="199"/>
      <c r="AI366" s="199"/>
      <c r="AJ366" s="199"/>
      <c r="AK366" s="199"/>
      <c r="AL366" s="199"/>
      <c r="AM366" s="198"/>
      <c r="AN366" s="197"/>
      <c r="AO366" s="197"/>
      <c r="AP366" s="197"/>
      <c r="AQ366" s="197"/>
      <c r="AR366" s="197"/>
      <c r="AS366" s="197"/>
    </row>
    <row r="367">
      <c r="A367" s="198" t="str">
        <f t="shared" si="1"/>
        <v>PP</v>
      </c>
      <c r="B367" s="205" t="s">
        <v>3431</v>
      </c>
      <c r="C367" s="205"/>
      <c r="D367" s="199"/>
      <c r="E367" s="213"/>
      <c r="F367" s="198"/>
      <c r="G367" s="198"/>
      <c r="H367" s="199"/>
      <c r="I367" s="207"/>
      <c r="J367" s="199"/>
      <c r="K367" s="202"/>
      <c r="L367" s="205" t="str">
        <f>IFERROR(__xludf.DUMMYFUNCTION("IFERROR(
    INDEX(FILTER('Arrived Shipments'!O:O, 'Arrived Shipments'!B:B=$B367),1),
    IFERROR(
        INDEX(FILTER('POed not arrived'!D:D, 'POed not arrived'!A:A=$B367),1),
        """"
    )
)"),"")</f>
        <v/>
      </c>
      <c r="M367" s="202"/>
      <c r="N367" s="223" t="str">
        <f>IFERROR(__xludf.DUMMYFUNCTION("IFERROR(
    INDEX(FILTER('Arrived Shipments'!O:O, 'Arrived Shipments'!B:B=$B367),2),
    IFERROR(
        INDEX(FILTER('POed not arrived'!D:D, 'POed not arrived'!A:A=$B367),2),
        """"
    )
)"),"")</f>
        <v/>
      </c>
      <c r="O367" s="202"/>
      <c r="P367" s="202" t="str">
        <f>IFERROR(__xludf.DUMMYFUNCTION("IFERROR(
    INDEX(FILTER('Arrived Shipments'!O:O, 'Arrived Shipments'!B:B=$B367),3),
    IFERROR(
        INDEX(FILTER('POed not arrived'!D:D, 'POed not arrived'!A:A=$B367),3),
        """"
    )
)"),"")</f>
        <v/>
      </c>
      <c r="Q367" s="202"/>
      <c r="R367" s="206" t="str">
        <f>IFERROR(__xludf.DUMMYFUNCTION("IFERROR(
    INDEX(FILTER('Arrived Shipments'!O:O, 'Arrived Shipments'!B:B=$B367),4),
    IFERROR(
        INDEX(FILTER('POed not arrived'!D:D, 'POed not arrived'!A:A=$B367),4),
        """"
    )
)"),"")</f>
        <v/>
      </c>
      <c r="S367" s="202"/>
      <c r="T367" s="202">
        <f t="shared" si="8"/>
        <v>0</v>
      </c>
      <c r="U367" s="198"/>
      <c r="V367" s="199"/>
      <c r="W367" s="197"/>
      <c r="X367" s="197"/>
      <c r="Y367" s="199"/>
      <c r="Z367" s="199"/>
      <c r="AA367" s="204" t="str">
        <f t="shared" si="4"/>
        <v/>
      </c>
      <c r="AB367" s="198"/>
      <c r="AC367" s="199"/>
      <c r="AD367" s="199"/>
      <c r="AE367" s="199"/>
      <c r="AF367" s="199"/>
      <c r="AG367" s="199"/>
      <c r="AH367" s="199"/>
      <c r="AI367" s="199"/>
      <c r="AJ367" s="199"/>
      <c r="AK367" s="199"/>
      <c r="AL367" s="199"/>
      <c r="AM367" s="198"/>
      <c r="AN367" s="197"/>
      <c r="AO367" s="197"/>
      <c r="AP367" s="197"/>
      <c r="AQ367" s="197"/>
      <c r="AR367" s="197"/>
      <c r="AS367" s="197"/>
    </row>
    <row r="368">
      <c r="A368" s="198" t="str">
        <f t="shared" si="1"/>
        <v>PP</v>
      </c>
      <c r="B368" s="205" t="s">
        <v>3432</v>
      </c>
      <c r="C368" s="205"/>
      <c r="D368" s="199"/>
      <c r="E368" s="213"/>
      <c r="F368" s="198"/>
      <c r="G368" s="198"/>
      <c r="H368" s="199"/>
      <c r="I368" s="207"/>
      <c r="J368" s="199"/>
      <c r="K368" s="202"/>
      <c r="L368" s="205" t="str">
        <f>IFERROR(__xludf.DUMMYFUNCTION("IFERROR(
    INDEX(FILTER('Arrived Shipments'!O:O, 'Arrived Shipments'!B:B=$B368),1),
    IFERROR(
        INDEX(FILTER('POed not arrived'!D:D, 'POed not arrived'!A:A=$B368),1),
        """"
    )
)"),"")</f>
        <v/>
      </c>
      <c r="M368" s="202"/>
      <c r="N368" s="223" t="str">
        <f>IFERROR(__xludf.DUMMYFUNCTION("IFERROR(
    INDEX(FILTER('Arrived Shipments'!O:O, 'Arrived Shipments'!B:B=$B368),2),
    IFERROR(
        INDEX(FILTER('POed not arrived'!D:D, 'POed not arrived'!A:A=$B368),2),
        """"
    )
)"),"")</f>
        <v/>
      </c>
      <c r="O368" s="202"/>
      <c r="P368" s="202" t="str">
        <f>IFERROR(__xludf.DUMMYFUNCTION("IFERROR(
    INDEX(FILTER('Arrived Shipments'!O:O, 'Arrived Shipments'!B:B=$B368),3),
    IFERROR(
        INDEX(FILTER('POed not arrived'!D:D, 'POed not arrived'!A:A=$B368),3),
        """"
    )
)"),"")</f>
        <v/>
      </c>
      <c r="Q368" s="202"/>
      <c r="R368" s="206" t="str">
        <f>IFERROR(__xludf.DUMMYFUNCTION("IFERROR(
    INDEX(FILTER('Arrived Shipments'!O:O, 'Arrived Shipments'!B:B=$B368),4),
    IFERROR(
        INDEX(FILTER('POed not arrived'!D:D, 'POed not arrived'!A:A=$B368),4),
        """"
    )
)"),"")</f>
        <v/>
      </c>
      <c r="S368" s="202"/>
      <c r="T368" s="202">
        <f t="shared" si="8"/>
        <v>0</v>
      </c>
      <c r="U368" s="198"/>
      <c r="V368" s="199"/>
      <c r="W368" s="197"/>
      <c r="X368" s="197"/>
      <c r="Y368" s="199"/>
      <c r="Z368" s="199"/>
      <c r="AA368" s="204" t="str">
        <f t="shared" si="4"/>
        <v/>
      </c>
      <c r="AB368" s="198"/>
      <c r="AC368" s="199"/>
      <c r="AD368" s="199"/>
      <c r="AE368" s="199"/>
      <c r="AF368" s="199"/>
      <c r="AG368" s="199"/>
      <c r="AH368" s="199"/>
      <c r="AI368" s="199"/>
      <c r="AJ368" s="199"/>
      <c r="AK368" s="199"/>
      <c r="AL368" s="199"/>
      <c r="AM368" s="198"/>
      <c r="AN368" s="197"/>
      <c r="AO368" s="197"/>
      <c r="AP368" s="197"/>
      <c r="AQ368" s="197"/>
      <c r="AR368" s="197"/>
      <c r="AS368" s="197"/>
    </row>
    <row r="369">
      <c r="A369" s="198" t="str">
        <f t="shared" si="1"/>
        <v/>
      </c>
      <c r="B369" s="205"/>
      <c r="C369" s="198"/>
      <c r="D369" s="199"/>
      <c r="E369" s="213"/>
      <c r="F369" s="198"/>
      <c r="G369" s="198"/>
      <c r="H369" s="199"/>
      <c r="I369" s="207"/>
      <c r="J369" s="199"/>
      <c r="K369" s="202"/>
      <c r="L369" s="205" t="str">
        <f>IFERROR(__xludf.DUMMYFUNCTION("IFERROR(
    INDEX(FILTER('Arrived Shipments'!O:O, 'Arrived Shipments'!B:B=$B369),1),
    IFERROR(
        INDEX(FILTER('POed not arrived'!D:D, 'POed not arrived'!A:A=$B369),1),
        """"
    )
)"),"")</f>
        <v/>
      </c>
      <c r="M369" s="202"/>
      <c r="N369" s="223" t="str">
        <f>IFERROR(__xludf.DUMMYFUNCTION("IFERROR(
    INDEX(FILTER('Arrived Shipments'!O:O, 'Arrived Shipments'!B:B=$B369),2),
    IFERROR(
        INDEX(FILTER('POed not arrived'!D:D, 'POed not arrived'!A:A=$B369),2),
        """"
    )
)"),"")</f>
        <v/>
      </c>
      <c r="O369" s="202"/>
      <c r="P369" s="202" t="str">
        <f>IFERROR(__xludf.DUMMYFUNCTION("IFERROR(
    INDEX(FILTER('Arrived Shipments'!O:O, 'Arrived Shipments'!B:B=$B369),3),
    IFERROR(
        INDEX(FILTER('POed not arrived'!D:D, 'POed not arrived'!A:A=$B369),3),
        """"
    )
)"),"")</f>
        <v/>
      </c>
      <c r="Q369" s="202"/>
      <c r="R369" s="206" t="str">
        <f>IFERROR(__xludf.DUMMYFUNCTION("IFERROR(
    INDEX(FILTER('Arrived Shipments'!O:O, 'Arrived Shipments'!B:B=$B369),4),
    IFERROR(
        INDEX(FILTER('POed not arrived'!D:D, 'POed not arrived'!A:A=$B369),4),
        """"
    )
)"),"")</f>
        <v/>
      </c>
      <c r="S369" s="202"/>
      <c r="T369" s="202">
        <f t="shared" si="8"/>
        <v>0</v>
      </c>
      <c r="U369" s="198"/>
      <c r="V369" s="199"/>
      <c r="W369" s="197"/>
      <c r="X369" s="197"/>
      <c r="Y369" s="199"/>
      <c r="Z369" s="199"/>
      <c r="AA369" s="204" t="str">
        <f t="shared" si="4"/>
        <v/>
      </c>
      <c r="AB369" s="198"/>
      <c r="AC369" s="199"/>
      <c r="AD369" s="199"/>
      <c r="AE369" s="199"/>
      <c r="AF369" s="199"/>
      <c r="AG369" s="199"/>
      <c r="AH369" s="199"/>
      <c r="AI369" s="199"/>
      <c r="AJ369" s="199"/>
      <c r="AK369" s="199"/>
      <c r="AL369" s="199"/>
      <c r="AM369" s="198"/>
      <c r="AN369" s="197"/>
      <c r="AO369" s="197"/>
      <c r="AP369" s="197"/>
      <c r="AQ369" s="197"/>
      <c r="AR369" s="197"/>
      <c r="AS369" s="197"/>
    </row>
    <row r="370">
      <c r="A370" s="198" t="str">
        <f t="shared" si="1"/>
        <v/>
      </c>
      <c r="B370" s="205"/>
      <c r="C370" s="198"/>
      <c r="D370" s="199"/>
      <c r="E370" s="213"/>
      <c r="F370" s="198"/>
      <c r="G370" s="198"/>
      <c r="H370" s="199"/>
      <c r="I370" s="207"/>
      <c r="J370" s="199"/>
      <c r="K370" s="202"/>
      <c r="L370" s="205" t="str">
        <f>IFERROR(__xludf.DUMMYFUNCTION("IFERROR(
    INDEX(FILTER('Arrived Shipments'!O:O, 'Arrived Shipments'!B:B=$B370),1),
    IFERROR(
        INDEX(FILTER('POed not arrived'!D:D, 'POed not arrived'!A:A=$B370),1),
        """"
    )
)"),"")</f>
        <v/>
      </c>
      <c r="M370" s="202"/>
      <c r="N370" s="223" t="str">
        <f>IFERROR(__xludf.DUMMYFUNCTION("IFERROR(
    INDEX(FILTER('Arrived Shipments'!O:O, 'Arrived Shipments'!B:B=$B370),2),
    IFERROR(
        INDEX(FILTER('POed not arrived'!D:D, 'POed not arrived'!A:A=$B370),2),
        """"
    )
)"),"")</f>
        <v/>
      </c>
      <c r="O370" s="202"/>
      <c r="P370" s="202" t="str">
        <f>IFERROR(__xludf.DUMMYFUNCTION("IFERROR(
    INDEX(FILTER('Arrived Shipments'!O:O, 'Arrived Shipments'!B:B=$B370),3),
    IFERROR(
        INDEX(FILTER('POed not arrived'!D:D, 'POed not arrived'!A:A=$B370),3),
        """"
    )
)"),"")</f>
        <v/>
      </c>
      <c r="Q370" s="202"/>
      <c r="R370" s="206" t="str">
        <f>IFERROR(__xludf.DUMMYFUNCTION("IFERROR(
    INDEX(FILTER('Arrived Shipments'!O:O, 'Arrived Shipments'!B:B=$B370),4),
    IFERROR(
        INDEX(FILTER('POed not arrived'!D:D, 'POed not arrived'!A:A=$B370),4),
        """"
    )
)"),"")</f>
        <v/>
      </c>
      <c r="S370" s="202"/>
      <c r="T370" s="202">
        <f t="shared" si="8"/>
        <v>0</v>
      </c>
      <c r="U370" s="198"/>
      <c r="V370" s="199"/>
      <c r="W370" s="197"/>
      <c r="X370" s="197"/>
      <c r="Y370" s="199"/>
      <c r="Z370" s="199"/>
      <c r="AA370" s="204" t="str">
        <f t="shared" si="4"/>
        <v/>
      </c>
      <c r="AB370" s="198"/>
      <c r="AC370" s="199"/>
      <c r="AD370" s="199"/>
      <c r="AE370" s="199"/>
      <c r="AF370" s="199"/>
      <c r="AG370" s="199"/>
      <c r="AH370" s="199"/>
      <c r="AI370" s="199"/>
      <c r="AJ370" s="199"/>
      <c r="AK370" s="199"/>
      <c r="AL370" s="199"/>
      <c r="AM370" s="198"/>
      <c r="AN370" s="197"/>
      <c r="AO370" s="197"/>
      <c r="AP370" s="197"/>
      <c r="AQ370" s="197"/>
      <c r="AR370" s="197"/>
      <c r="AS370" s="197"/>
    </row>
    <row r="371">
      <c r="A371" s="198" t="str">
        <f t="shared" si="1"/>
        <v/>
      </c>
      <c r="B371" s="205"/>
      <c r="C371" s="198"/>
      <c r="D371" s="199"/>
      <c r="E371" s="213"/>
      <c r="F371" s="198"/>
      <c r="G371" s="198"/>
      <c r="H371" s="199"/>
      <c r="I371" s="207"/>
      <c r="J371" s="199"/>
      <c r="K371" s="202"/>
      <c r="L371" s="205" t="str">
        <f>IFERROR(__xludf.DUMMYFUNCTION("IFERROR(
    INDEX(FILTER('Arrived Shipments'!O:O, 'Arrived Shipments'!B:B=$B371),1),
    IFERROR(
        INDEX(FILTER('POed not arrived'!D:D, 'POed not arrived'!A:A=$B371),1),
        """"
    )
)"),"")</f>
        <v/>
      </c>
      <c r="M371" s="202"/>
      <c r="N371" s="223" t="str">
        <f>IFERROR(__xludf.DUMMYFUNCTION("IFERROR(
    INDEX(FILTER('Arrived Shipments'!O:O, 'Arrived Shipments'!B:B=$B371),2),
    IFERROR(
        INDEX(FILTER('POed not arrived'!D:D, 'POed not arrived'!A:A=$B371),2),
        """"
    )
)"),"")</f>
        <v/>
      </c>
      <c r="O371" s="202"/>
      <c r="P371" s="202" t="str">
        <f>IFERROR(__xludf.DUMMYFUNCTION("IFERROR(
    INDEX(FILTER('Arrived Shipments'!O:O, 'Arrived Shipments'!B:B=$B371),3),
    IFERROR(
        INDEX(FILTER('POed not arrived'!D:D, 'POed not arrived'!A:A=$B371),3),
        """"
    )
)"),"")</f>
        <v/>
      </c>
      <c r="Q371" s="202"/>
      <c r="R371" s="206" t="str">
        <f>IFERROR(__xludf.DUMMYFUNCTION("IFERROR(
    INDEX(FILTER('Arrived Shipments'!O:O, 'Arrived Shipments'!B:B=$B371),4),
    IFERROR(
        INDEX(FILTER('POed not arrived'!D:D, 'POed not arrived'!A:A=$B371),4),
        """"
    )
)"),"")</f>
        <v/>
      </c>
      <c r="S371" s="202"/>
      <c r="T371" s="202">
        <f t="shared" si="8"/>
        <v>0</v>
      </c>
      <c r="U371" s="198"/>
      <c r="V371" s="199"/>
      <c r="W371" s="197"/>
      <c r="X371" s="197"/>
      <c r="Y371" s="199"/>
      <c r="Z371" s="199"/>
      <c r="AA371" s="204" t="str">
        <f t="shared" si="4"/>
        <v/>
      </c>
      <c r="AB371" s="198"/>
      <c r="AC371" s="199"/>
      <c r="AD371" s="199"/>
      <c r="AE371" s="199"/>
      <c r="AF371" s="199"/>
      <c r="AG371" s="199"/>
      <c r="AH371" s="199"/>
      <c r="AI371" s="199"/>
      <c r="AJ371" s="199"/>
      <c r="AK371" s="199"/>
      <c r="AL371" s="199"/>
      <c r="AM371" s="198"/>
      <c r="AN371" s="197"/>
      <c r="AO371" s="197"/>
      <c r="AP371" s="197"/>
      <c r="AQ371" s="197"/>
      <c r="AR371" s="197"/>
      <c r="AS371" s="197"/>
    </row>
    <row r="372">
      <c r="A372" s="198" t="str">
        <f t="shared" si="1"/>
        <v/>
      </c>
      <c r="B372" s="205"/>
      <c r="C372" s="198"/>
      <c r="D372" s="199"/>
      <c r="E372" s="213"/>
      <c r="F372" s="198"/>
      <c r="G372" s="198"/>
      <c r="H372" s="199"/>
      <c r="I372" s="207"/>
      <c r="J372" s="199"/>
      <c r="K372" s="202"/>
      <c r="L372" s="205" t="str">
        <f>IFERROR(__xludf.DUMMYFUNCTION("IFERROR(
    INDEX(FILTER('Arrived Shipments'!O:O, 'Arrived Shipments'!B:B=$B372),1),
    IFERROR(
        INDEX(FILTER('POed not arrived'!D:D, 'POed not arrived'!A:A=$B372),1),
        """"
    )
)"),"")</f>
        <v/>
      </c>
      <c r="M372" s="202"/>
      <c r="N372" s="223" t="str">
        <f>IFERROR(__xludf.DUMMYFUNCTION("IFERROR(
    INDEX(FILTER('Arrived Shipments'!O:O, 'Arrived Shipments'!B:B=$B372),2),
    IFERROR(
        INDEX(FILTER('POed not arrived'!D:D, 'POed not arrived'!A:A=$B372),2),
        """"
    )
)"),"")</f>
        <v/>
      </c>
      <c r="O372" s="202"/>
      <c r="P372" s="202" t="str">
        <f>IFERROR(__xludf.DUMMYFUNCTION("IFERROR(
    INDEX(FILTER('Arrived Shipments'!O:O, 'Arrived Shipments'!B:B=$B372),3),
    IFERROR(
        INDEX(FILTER('POed not arrived'!D:D, 'POed not arrived'!A:A=$B372),3),
        """"
    )
)"),"")</f>
        <v/>
      </c>
      <c r="Q372" s="202"/>
      <c r="R372" s="206" t="str">
        <f>IFERROR(__xludf.DUMMYFUNCTION("IFERROR(
    INDEX(FILTER('Arrived Shipments'!O:O, 'Arrived Shipments'!B:B=$B372),4),
    IFERROR(
        INDEX(FILTER('POed not arrived'!D:D, 'POed not arrived'!A:A=$B372),4),
        """"
    )
)"),"")</f>
        <v/>
      </c>
      <c r="S372" s="202"/>
      <c r="T372" s="202">
        <f t="shared" si="8"/>
        <v>0</v>
      </c>
      <c r="U372" s="198"/>
      <c r="V372" s="199"/>
      <c r="W372" s="197"/>
      <c r="X372" s="197"/>
      <c r="Y372" s="199"/>
      <c r="Z372" s="199"/>
      <c r="AA372" s="204" t="str">
        <f t="shared" si="4"/>
        <v/>
      </c>
      <c r="AB372" s="198"/>
      <c r="AC372" s="199"/>
      <c r="AD372" s="199"/>
      <c r="AE372" s="199"/>
      <c r="AF372" s="199"/>
      <c r="AG372" s="199"/>
      <c r="AH372" s="199"/>
      <c r="AI372" s="199"/>
      <c r="AJ372" s="199"/>
      <c r="AK372" s="199"/>
      <c r="AL372" s="199"/>
      <c r="AM372" s="198"/>
      <c r="AN372" s="197"/>
      <c r="AO372" s="197"/>
      <c r="AP372" s="197"/>
      <c r="AQ372" s="197"/>
      <c r="AR372" s="197"/>
      <c r="AS372" s="197"/>
    </row>
    <row r="373">
      <c r="A373" s="198" t="str">
        <f t="shared" si="1"/>
        <v/>
      </c>
      <c r="B373" s="205"/>
      <c r="C373" s="198"/>
      <c r="D373" s="199"/>
      <c r="E373" s="213"/>
      <c r="F373" s="198"/>
      <c r="G373" s="198"/>
      <c r="H373" s="199"/>
      <c r="I373" s="207"/>
      <c r="J373" s="199"/>
      <c r="K373" s="202"/>
      <c r="L373" s="205" t="str">
        <f>IFERROR(__xludf.DUMMYFUNCTION("IFERROR(
    INDEX(FILTER('Arrived Shipments'!O:O, 'Arrived Shipments'!B:B=$B373),1),
    IFERROR(
        INDEX(FILTER('POed not arrived'!D:D, 'POed not arrived'!A:A=$B373),1),
        """"
    )
)"),"")</f>
        <v/>
      </c>
      <c r="M373" s="202"/>
      <c r="N373" s="223" t="str">
        <f>IFERROR(__xludf.DUMMYFUNCTION("IFERROR(
    INDEX(FILTER('Arrived Shipments'!O:O, 'Arrived Shipments'!B:B=$B373),2),
    IFERROR(
        INDEX(FILTER('POed not arrived'!D:D, 'POed not arrived'!A:A=$B373),2),
        """"
    )
)"),"")</f>
        <v/>
      </c>
      <c r="O373" s="202"/>
      <c r="P373" s="202" t="str">
        <f>IFERROR(__xludf.DUMMYFUNCTION("IFERROR(
    INDEX(FILTER('Arrived Shipments'!O:O, 'Arrived Shipments'!B:B=$B373),3),
    IFERROR(
        INDEX(FILTER('POed not arrived'!D:D, 'POed not arrived'!A:A=$B373),3),
        """"
    )
)"),"")</f>
        <v/>
      </c>
      <c r="Q373" s="202"/>
      <c r="R373" s="206" t="str">
        <f>IFERROR(__xludf.DUMMYFUNCTION("IFERROR(
    INDEX(FILTER('Arrived Shipments'!O:O, 'Arrived Shipments'!B:B=$B373),4),
    IFERROR(
        INDEX(FILTER('POed not arrived'!D:D, 'POed not arrived'!A:A=$B373),4),
        """"
    )
)"),"")</f>
        <v/>
      </c>
      <c r="S373" s="202"/>
      <c r="T373" s="202">
        <f t="shared" si="8"/>
        <v>0</v>
      </c>
      <c r="U373" s="198"/>
      <c r="V373" s="199"/>
      <c r="W373" s="197"/>
      <c r="X373" s="197"/>
      <c r="Y373" s="199"/>
      <c r="Z373" s="199"/>
      <c r="AA373" s="204" t="str">
        <f t="shared" si="4"/>
        <v/>
      </c>
      <c r="AB373" s="198"/>
      <c r="AC373" s="199"/>
      <c r="AD373" s="199"/>
      <c r="AE373" s="199"/>
      <c r="AF373" s="199"/>
      <c r="AG373" s="199"/>
      <c r="AH373" s="199"/>
      <c r="AI373" s="199"/>
      <c r="AJ373" s="199"/>
      <c r="AK373" s="199"/>
      <c r="AL373" s="199"/>
      <c r="AM373" s="198"/>
      <c r="AN373" s="197"/>
      <c r="AO373" s="197"/>
      <c r="AP373" s="197"/>
      <c r="AQ373" s="197"/>
      <c r="AR373" s="197"/>
      <c r="AS373" s="197"/>
    </row>
    <row r="374">
      <c r="A374" s="198" t="str">
        <f t="shared" si="1"/>
        <v/>
      </c>
      <c r="B374" s="205"/>
      <c r="C374" s="198"/>
      <c r="D374" s="199"/>
      <c r="E374" s="213"/>
      <c r="F374" s="198"/>
      <c r="G374" s="198"/>
      <c r="H374" s="199"/>
      <c r="I374" s="207"/>
      <c r="J374" s="199"/>
      <c r="K374" s="202"/>
      <c r="L374" s="205" t="str">
        <f>IFERROR(__xludf.DUMMYFUNCTION("IFERROR(
    INDEX(FILTER('Arrived Shipments'!O:O, 'Arrived Shipments'!B:B=$B374),1),
    IFERROR(
        INDEX(FILTER('POed not arrived'!D:D, 'POed not arrived'!A:A=$B374),1),
        """"
    )
)"),"")</f>
        <v/>
      </c>
      <c r="M374" s="202"/>
      <c r="N374" s="223" t="str">
        <f>IFERROR(__xludf.DUMMYFUNCTION("IFERROR(
    INDEX(FILTER('Arrived Shipments'!O:O, 'Arrived Shipments'!B:B=$B374),2),
    IFERROR(
        INDEX(FILTER('POed not arrived'!D:D, 'POed not arrived'!A:A=$B374),2),
        """"
    )
)"),"")</f>
        <v/>
      </c>
      <c r="O374" s="202"/>
      <c r="P374" s="202" t="str">
        <f>IFERROR(__xludf.DUMMYFUNCTION("IFERROR(
    INDEX(FILTER('Arrived Shipments'!O:O, 'Arrived Shipments'!B:B=$B374),3),
    IFERROR(
        INDEX(FILTER('POed not arrived'!D:D, 'POed not arrived'!A:A=$B374),3),
        """"
    )
)"),"")</f>
        <v/>
      </c>
      <c r="Q374" s="202"/>
      <c r="R374" s="206" t="str">
        <f>IFERROR(__xludf.DUMMYFUNCTION("IFERROR(
    INDEX(FILTER('Arrived Shipments'!O:O, 'Arrived Shipments'!B:B=$B374),4),
    IFERROR(
        INDEX(FILTER('POed not arrived'!D:D, 'POed not arrived'!A:A=$B374),4),
        """"
    )
)"),"")</f>
        <v/>
      </c>
      <c r="S374" s="202"/>
      <c r="T374" s="202">
        <f t="shared" si="8"/>
        <v>0</v>
      </c>
      <c r="U374" s="198"/>
      <c r="V374" s="199"/>
      <c r="W374" s="197"/>
      <c r="X374" s="197"/>
      <c r="Y374" s="199"/>
      <c r="Z374" s="199"/>
      <c r="AA374" s="204" t="str">
        <f t="shared" si="4"/>
        <v/>
      </c>
      <c r="AB374" s="198"/>
      <c r="AC374" s="199"/>
      <c r="AD374" s="199"/>
      <c r="AE374" s="199"/>
      <c r="AF374" s="199"/>
      <c r="AG374" s="199"/>
      <c r="AH374" s="199"/>
      <c r="AI374" s="199"/>
      <c r="AJ374" s="199"/>
      <c r="AK374" s="199"/>
      <c r="AL374" s="199"/>
      <c r="AM374" s="198"/>
      <c r="AN374" s="197"/>
      <c r="AO374" s="197"/>
      <c r="AP374" s="197"/>
      <c r="AQ374" s="197"/>
      <c r="AR374" s="197"/>
      <c r="AS374" s="197"/>
    </row>
    <row r="375">
      <c r="A375" s="198" t="str">
        <f t="shared" si="1"/>
        <v/>
      </c>
      <c r="B375" s="205"/>
      <c r="C375" s="198"/>
      <c r="D375" s="199"/>
      <c r="E375" s="213"/>
      <c r="F375" s="198"/>
      <c r="G375" s="198"/>
      <c r="H375" s="199"/>
      <c r="I375" s="207"/>
      <c r="J375" s="199"/>
      <c r="K375" s="202"/>
      <c r="L375" s="205" t="str">
        <f>IFERROR(__xludf.DUMMYFUNCTION("IFERROR(
    INDEX(FILTER('Arrived Shipments'!O:O, 'Arrived Shipments'!B:B=$B375),1),
    IFERROR(
        INDEX(FILTER('POed not arrived'!D:D, 'POed not arrived'!A:A=$B375),1),
        """"
    )
)"),"")</f>
        <v/>
      </c>
      <c r="M375" s="202"/>
      <c r="N375" s="223" t="str">
        <f>IFERROR(__xludf.DUMMYFUNCTION("IFERROR(
    INDEX(FILTER('Arrived Shipments'!O:O, 'Arrived Shipments'!B:B=$B375),2),
    IFERROR(
        INDEX(FILTER('POed not arrived'!D:D, 'POed not arrived'!A:A=$B375),2),
        """"
    )
)"),"")</f>
        <v/>
      </c>
      <c r="O375" s="202"/>
      <c r="P375" s="202" t="str">
        <f>IFERROR(__xludf.DUMMYFUNCTION("IFERROR(
    INDEX(FILTER('Arrived Shipments'!O:O, 'Arrived Shipments'!B:B=$B375),3),
    IFERROR(
        INDEX(FILTER('POed not arrived'!D:D, 'POed not arrived'!A:A=$B375),3),
        """"
    )
)"),"")</f>
        <v/>
      </c>
      <c r="Q375" s="202"/>
      <c r="R375" s="206" t="str">
        <f>IFERROR(__xludf.DUMMYFUNCTION("IFERROR(
    INDEX(FILTER('Arrived Shipments'!O:O, 'Arrived Shipments'!B:B=$B375),4),
    IFERROR(
        INDEX(FILTER('POed not arrived'!D:D, 'POed not arrived'!A:A=$B375),4),
        """"
    )
)"),"")</f>
        <v/>
      </c>
      <c r="S375" s="202"/>
      <c r="T375" s="202">
        <f t="shared" si="8"/>
        <v>0</v>
      </c>
      <c r="U375" s="198"/>
      <c r="V375" s="199"/>
      <c r="W375" s="197"/>
      <c r="X375" s="197"/>
      <c r="Y375" s="199"/>
      <c r="Z375" s="199"/>
      <c r="AA375" s="204" t="str">
        <f t="shared" si="4"/>
        <v/>
      </c>
      <c r="AB375" s="198"/>
      <c r="AC375" s="199"/>
      <c r="AD375" s="199"/>
      <c r="AE375" s="199"/>
      <c r="AF375" s="199"/>
      <c r="AG375" s="199"/>
      <c r="AH375" s="199"/>
      <c r="AI375" s="199"/>
      <c r="AJ375" s="199"/>
      <c r="AK375" s="199"/>
      <c r="AL375" s="199"/>
      <c r="AM375" s="198"/>
      <c r="AN375" s="197"/>
      <c r="AO375" s="197"/>
      <c r="AP375" s="197"/>
      <c r="AQ375" s="197"/>
      <c r="AR375" s="197"/>
      <c r="AS375" s="197"/>
    </row>
    <row r="376">
      <c r="A376" s="198" t="str">
        <f t="shared" si="1"/>
        <v/>
      </c>
      <c r="B376" s="205"/>
      <c r="C376" s="198"/>
      <c r="D376" s="199"/>
      <c r="E376" s="213"/>
      <c r="F376" s="198"/>
      <c r="G376" s="198"/>
      <c r="H376" s="199"/>
      <c r="I376" s="207"/>
      <c r="J376" s="199"/>
      <c r="K376" s="202"/>
      <c r="L376" s="205" t="str">
        <f>IFERROR(__xludf.DUMMYFUNCTION("IFERROR(
    INDEX(FILTER('Arrived Shipments'!O:O, 'Arrived Shipments'!B:B=$B376),1),
    IFERROR(
        INDEX(FILTER('POed not arrived'!D:D, 'POed not arrived'!A:A=$B376),1),
        """"
    )
)"),"")</f>
        <v/>
      </c>
      <c r="M376" s="202"/>
      <c r="N376" s="223" t="str">
        <f>IFERROR(__xludf.DUMMYFUNCTION("IFERROR(
    INDEX(FILTER('Arrived Shipments'!O:O, 'Arrived Shipments'!B:B=$B376),2),
    IFERROR(
        INDEX(FILTER('POed not arrived'!D:D, 'POed not arrived'!A:A=$B376),2),
        """"
    )
)"),"")</f>
        <v/>
      </c>
      <c r="O376" s="202"/>
      <c r="P376" s="202" t="str">
        <f>IFERROR(__xludf.DUMMYFUNCTION("IFERROR(
    INDEX(FILTER('Arrived Shipments'!O:O, 'Arrived Shipments'!B:B=$B376),3),
    IFERROR(
        INDEX(FILTER('POed not arrived'!D:D, 'POed not arrived'!A:A=$B376),3),
        """"
    )
)"),"")</f>
        <v/>
      </c>
      <c r="Q376" s="202"/>
      <c r="R376" s="206" t="str">
        <f>IFERROR(__xludf.DUMMYFUNCTION("IFERROR(
    INDEX(FILTER('Arrived Shipments'!O:O, 'Arrived Shipments'!B:B=$B376),4),
    IFERROR(
        INDEX(FILTER('POed not arrived'!D:D, 'POed not arrived'!A:A=$B376),4),
        """"
    )
)"),"")</f>
        <v/>
      </c>
      <c r="S376" s="202"/>
      <c r="T376" s="202">
        <f t="shared" si="8"/>
        <v>0</v>
      </c>
      <c r="U376" s="198"/>
      <c r="V376" s="199"/>
      <c r="W376" s="197"/>
      <c r="X376" s="197"/>
      <c r="Y376" s="199"/>
      <c r="Z376" s="199"/>
      <c r="AA376" s="204" t="str">
        <f t="shared" si="4"/>
        <v/>
      </c>
      <c r="AB376" s="198"/>
      <c r="AC376" s="199"/>
      <c r="AD376" s="199"/>
      <c r="AE376" s="199"/>
      <c r="AF376" s="199"/>
      <c r="AG376" s="199"/>
      <c r="AH376" s="199"/>
      <c r="AI376" s="199"/>
      <c r="AJ376" s="199"/>
      <c r="AK376" s="199"/>
      <c r="AL376" s="199"/>
      <c r="AM376" s="198"/>
      <c r="AN376" s="197"/>
      <c r="AO376" s="197"/>
      <c r="AP376" s="197"/>
      <c r="AQ376" s="197"/>
      <c r="AR376" s="197"/>
      <c r="AS376" s="197"/>
    </row>
    <row r="377">
      <c r="A377" s="198" t="str">
        <f t="shared" si="1"/>
        <v/>
      </c>
      <c r="B377" s="205"/>
      <c r="C377" s="198"/>
      <c r="D377" s="199"/>
      <c r="E377" s="213"/>
      <c r="F377" s="198"/>
      <c r="G377" s="198"/>
      <c r="H377" s="199"/>
      <c r="I377" s="207"/>
      <c r="J377" s="199"/>
      <c r="K377" s="202"/>
      <c r="L377" s="205" t="str">
        <f>IFERROR(__xludf.DUMMYFUNCTION("IFERROR(
    INDEX(FILTER('Arrived Shipments'!O:O, 'Arrived Shipments'!B:B=$B377),1),
    IFERROR(
        INDEX(FILTER('POed not arrived'!D:D, 'POed not arrived'!A:A=$B377),1),
        """"
    )
)"),"")</f>
        <v/>
      </c>
      <c r="M377" s="202"/>
      <c r="N377" s="223" t="str">
        <f>IFERROR(__xludf.DUMMYFUNCTION("IFERROR(
    INDEX(FILTER('Arrived Shipments'!O:O, 'Arrived Shipments'!B:B=$B377),2),
    IFERROR(
        INDEX(FILTER('POed not arrived'!D:D, 'POed not arrived'!A:A=$B377),2),
        """"
    )
)"),"")</f>
        <v/>
      </c>
      <c r="O377" s="202"/>
      <c r="P377" s="202" t="str">
        <f>IFERROR(__xludf.DUMMYFUNCTION("IFERROR(
    INDEX(FILTER('Arrived Shipments'!O:O, 'Arrived Shipments'!B:B=$B377),3),
    IFERROR(
        INDEX(FILTER('POed not arrived'!D:D, 'POed not arrived'!A:A=$B377),3),
        """"
    )
)"),"")</f>
        <v/>
      </c>
      <c r="Q377" s="202"/>
      <c r="R377" s="206" t="str">
        <f>IFERROR(__xludf.DUMMYFUNCTION("IFERROR(
    INDEX(FILTER('Arrived Shipments'!O:O, 'Arrived Shipments'!B:B=$B377),4),
    IFERROR(
        INDEX(FILTER('POed not arrived'!D:D, 'POed not arrived'!A:A=$B377),4),
        """"
    )
)"),"")</f>
        <v/>
      </c>
      <c r="S377" s="202"/>
      <c r="T377" s="202">
        <f t="shared" si="8"/>
        <v>0</v>
      </c>
      <c r="U377" s="198"/>
      <c r="V377" s="199"/>
      <c r="W377" s="197"/>
      <c r="X377" s="197"/>
      <c r="Y377" s="199"/>
      <c r="Z377" s="199"/>
      <c r="AA377" s="204" t="str">
        <f t="shared" si="4"/>
        <v/>
      </c>
      <c r="AB377" s="198"/>
      <c r="AC377" s="199"/>
      <c r="AD377" s="199"/>
      <c r="AE377" s="199"/>
      <c r="AF377" s="199"/>
      <c r="AG377" s="199"/>
      <c r="AH377" s="199"/>
      <c r="AI377" s="199"/>
      <c r="AJ377" s="199"/>
      <c r="AK377" s="199"/>
      <c r="AL377" s="199"/>
      <c r="AM377" s="198"/>
      <c r="AN377" s="197"/>
      <c r="AO377" s="197"/>
      <c r="AP377" s="197"/>
      <c r="AQ377" s="197"/>
      <c r="AR377" s="197"/>
      <c r="AS377" s="197"/>
    </row>
    <row r="378">
      <c r="A378" s="198" t="str">
        <f t="shared" si="1"/>
        <v/>
      </c>
      <c r="B378" s="205"/>
      <c r="C378" s="198"/>
      <c r="D378" s="199"/>
      <c r="E378" s="213"/>
      <c r="F378" s="198"/>
      <c r="G378" s="198"/>
      <c r="H378" s="199"/>
      <c r="I378" s="207"/>
      <c r="J378" s="199"/>
      <c r="K378" s="202"/>
      <c r="L378" s="205" t="str">
        <f>IFERROR(__xludf.DUMMYFUNCTION("IFERROR(
    INDEX(FILTER('Arrived Shipments'!O:O, 'Arrived Shipments'!B:B=$B378),1),
    IFERROR(
        INDEX(FILTER('POed not arrived'!D:D, 'POed not arrived'!A:A=$B378),1),
        """"
    )
)"),"")</f>
        <v/>
      </c>
      <c r="M378" s="202"/>
      <c r="N378" s="223" t="str">
        <f>IFERROR(__xludf.DUMMYFUNCTION("IFERROR(
    INDEX(FILTER('Arrived Shipments'!O:O, 'Arrived Shipments'!B:B=$B378),2),
    IFERROR(
        INDEX(FILTER('POed not arrived'!D:D, 'POed not arrived'!A:A=$B378),2),
        """"
    )
)"),"")</f>
        <v/>
      </c>
      <c r="O378" s="202"/>
      <c r="P378" s="202" t="str">
        <f>IFERROR(__xludf.DUMMYFUNCTION("IFERROR(
    INDEX(FILTER('Arrived Shipments'!O:O, 'Arrived Shipments'!B:B=$B378),3),
    IFERROR(
        INDEX(FILTER('POed not arrived'!D:D, 'POed not arrived'!A:A=$B378),3),
        """"
    )
)"),"")</f>
        <v/>
      </c>
      <c r="Q378" s="202"/>
      <c r="R378" s="206" t="str">
        <f>IFERROR(__xludf.DUMMYFUNCTION("IFERROR(
    INDEX(FILTER('Arrived Shipments'!O:O, 'Arrived Shipments'!B:B=$B378),4),
    IFERROR(
        INDEX(FILTER('POed not arrived'!D:D, 'POed not arrived'!A:A=$B378),4),
        """"
    )
)"),"")</f>
        <v/>
      </c>
      <c r="S378" s="202"/>
      <c r="T378" s="202">
        <f t="shared" si="8"/>
        <v>0</v>
      </c>
      <c r="U378" s="198"/>
      <c r="V378" s="199"/>
      <c r="W378" s="197"/>
      <c r="X378" s="197"/>
      <c r="Y378" s="199"/>
      <c r="Z378" s="199"/>
      <c r="AA378" s="204" t="str">
        <f t="shared" si="4"/>
        <v/>
      </c>
      <c r="AB378" s="198"/>
      <c r="AC378" s="199"/>
      <c r="AD378" s="199"/>
      <c r="AE378" s="199"/>
      <c r="AF378" s="199"/>
      <c r="AG378" s="199"/>
      <c r="AH378" s="199"/>
      <c r="AI378" s="199"/>
      <c r="AJ378" s="199"/>
      <c r="AK378" s="199"/>
      <c r="AL378" s="199"/>
      <c r="AM378" s="198"/>
      <c r="AN378" s="197"/>
      <c r="AO378" s="197"/>
      <c r="AP378" s="197"/>
      <c r="AQ378" s="197"/>
      <c r="AR378" s="197"/>
      <c r="AS378" s="197"/>
    </row>
    <row r="379">
      <c r="A379" s="198" t="str">
        <f t="shared" si="1"/>
        <v/>
      </c>
      <c r="B379" s="205"/>
      <c r="C379" s="198"/>
      <c r="D379" s="199"/>
      <c r="E379" s="213"/>
      <c r="F379" s="198"/>
      <c r="G379" s="198"/>
      <c r="H379" s="199"/>
      <c r="I379" s="207"/>
      <c r="J379" s="199"/>
      <c r="K379" s="202"/>
      <c r="L379" s="205" t="str">
        <f>IFERROR(__xludf.DUMMYFUNCTION("IFERROR(
    INDEX(FILTER('Arrived Shipments'!O:O, 'Arrived Shipments'!B:B=$B379),1),
    IFERROR(
        INDEX(FILTER('POed not arrived'!D:D, 'POed not arrived'!A:A=$B379),1),
        """"
    )
)"),"")</f>
        <v/>
      </c>
      <c r="M379" s="202"/>
      <c r="N379" s="223" t="str">
        <f>IFERROR(__xludf.DUMMYFUNCTION("IFERROR(
    INDEX(FILTER('Arrived Shipments'!O:O, 'Arrived Shipments'!B:B=$B379),2),
    IFERROR(
        INDEX(FILTER('POed not arrived'!D:D, 'POed not arrived'!A:A=$B379),2),
        """"
    )
)"),"")</f>
        <v/>
      </c>
      <c r="O379" s="202"/>
      <c r="P379" s="202" t="str">
        <f>IFERROR(__xludf.DUMMYFUNCTION("IFERROR(
    INDEX(FILTER('Arrived Shipments'!O:O, 'Arrived Shipments'!B:B=$B379),3),
    IFERROR(
        INDEX(FILTER('POed not arrived'!D:D, 'POed not arrived'!A:A=$B379),3),
        """"
    )
)"),"")</f>
        <v/>
      </c>
      <c r="Q379" s="202"/>
      <c r="R379" s="206" t="str">
        <f>IFERROR(__xludf.DUMMYFUNCTION("IFERROR(
    INDEX(FILTER('Arrived Shipments'!O:O, 'Arrived Shipments'!B:B=$B379),4),
    IFERROR(
        INDEX(FILTER('POed not arrived'!D:D, 'POed not arrived'!A:A=$B379),4),
        """"
    )
)"),"")</f>
        <v/>
      </c>
      <c r="S379" s="202"/>
      <c r="T379" s="202">
        <f t="shared" si="8"/>
        <v>0</v>
      </c>
      <c r="U379" s="198"/>
      <c r="V379" s="199"/>
      <c r="W379" s="197"/>
      <c r="X379" s="197"/>
      <c r="Y379" s="199"/>
      <c r="Z379" s="199"/>
      <c r="AA379" s="204" t="str">
        <f t="shared" si="4"/>
        <v/>
      </c>
      <c r="AB379" s="198"/>
      <c r="AC379" s="199"/>
      <c r="AD379" s="199"/>
      <c r="AE379" s="199"/>
      <c r="AF379" s="199"/>
      <c r="AG379" s="199"/>
      <c r="AH379" s="199"/>
      <c r="AI379" s="199"/>
      <c r="AJ379" s="199"/>
      <c r="AK379" s="199"/>
      <c r="AL379" s="199"/>
      <c r="AM379" s="198"/>
      <c r="AN379" s="197"/>
      <c r="AO379" s="197"/>
      <c r="AP379" s="197"/>
      <c r="AQ379" s="197"/>
      <c r="AR379" s="197"/>
      <c r="AS379" s="197"/>
    </row>
    <row r="380">
      <c r="A380" s="198" t="str">
        <f t="shared" si="1"/>
        <v/>
      </c>
      <c r="B380" s="205"/>
      <c r="C380" s="198"/>
      <c r="D380" s="199"/>
      <c r="E380" s="213"/>
      <c r="F380" s="198"/>
      <c r="G380" s="198"/>
      <c r="H380" s="199"/>
      <c r="I380" s="207"/>
      <c r="J380" s="199"/>
      <c r="K380" s="202"/>
      <c r="L380" s="205" t="str">
        <f>IFERROR(__xludf.DUMMYFUNCTION("IFERROR(
    INDEX(FILTER('Arrived Shipments'!O:O, 'Arrived Shipments'!B:B=$B380),1),
    IFERROR(
        INDEX(FILTER('POed not arrived'!D:D, 'POed not arrived'!A:A=$B380),1),
        """"
    )
)"),"")</f>
        <v/>
      </c>
      <c r="M380" s="202"/>
      <c r="N380" s="223" t="str">
        <f>IFERROR(__xludf.DUMMYFUNCTION("IFERROR(
    INDEX(FILTER('Arrived Shipments'!O:O, 'Arrived Shipments'!B:B=$B380),2),
    IFERROR(
        INDEX(FILTER('POed not arrived'!D:D, 'POed not arrived'!A:A=$B380),2),
        """"
    )
)"),"")</f>
        <v/>
      </c>
      <c r="O380" s="202"/>
      <c r="P380" s="202" t="str">
        <f>IFERROR(__xludf.DUMMYFUNCTION("IFERROR(
    INDEX(FILTER('Arrived Shipments'!O:O, 'Arrived Shipments'!B:B=$B380),3),
    IFERROR(
        INDEX(FILTER('POed not arrived'!D:D, 'POed not arrived'!A:A=$B380),3),
        """"
    )
)"),"")</f>
        <v/>
      </c>
      <c r="Q380" s="202"/>
      <c r="R380" s="206" t="str">
        <f>IFERROR(__xludf.DUMMYFUNCTION("IFERROR(
    INDEX(FILTER('Arrived Shipments'!O:O, 'Arrived Shipments'!B:B=$B380),4),
    IFERROR(
        INDEX(FILTER('POed not arrived'!D:D, 'POed not arrived'!A:A=$B380),4),
        """"
    )
)"),"")</f>
        <v/>
      </c>
      <c r="S380" s="202"/>
      <c r="T380" s="202">
        <f t="shared" si="8"/>
        <v>0</v>
      </c>
      <c r="U380" s="198"/>
      <c r="V380" s="199"/>
      <c r="W380" s="197"/>
      <c r="X380" s="197"/>
      <c r="Y380" s="199"/>
      <c r="Z380" s="199"/>
      <c r="AA380" s="204" t="str">
        <f t="shared" si="4"/>
        <v/>
      </c>
      <c r="AB380" s="198"/>
      <c r="AC380" s="199"/>
      <c r="AD380" s="199"/>
      <c r="AE380" s="199"/>
      <c r="AF380" s="199"/>
      <c r="AG380" s="199"/>
      <c r="AH380" s="199"/>
      <c r="AI380" s="199"/>
      <c r="AJ380" s="199"/>
      <c r="AK380" s="199"/>
      <c r="AL380" s="199"/>
      <c r="AM380" s="198"/>
      <c r="AN380" s="197"/>
      <c r="AO380" s="197"/>
      <c r="AP380" s="197"/>
      <c r="AQ380" s="197"/>
      <c r="AR380" s="197"/>
      <c r="AS380" s="197"/>
    </row>
    <row r="381">
      <c r="A381" s="198" t="str">
        <f t="shared" si="1"/>
        <v/>
      </c>
      <c r="B381" s="205"/>
      <c r="C381" s="198"/>
      <c r="D381" s="199"/>
      <c r="E381" s="213"/>
      <c r="F381" s="198"/>
      <c r="G381" s="198"/>
      <c r="H381" s="199"/>
      <c r="I381" s="207"/>
      <c r="J381" s="199"/>
      <c r="K381" s="202"/>
      <c r="L381" s="205" t="str">
        <f>IFERROR(__xludf.DUMMYFUNCTION("IFERROR(
    INDEX(FILTER('Arrived Shipments'!O:O, 'Arrived Shipments'!B:B=$B381),1),
    IFERROR(
        INDEX(FILTER('POed not arrived'!D:D, 'POed not arrived'!A:A=$B381),1),
        """"
    )
)"),"")</f>
        <v/>
      </c>
      <c r="M381" s="202"/>
      <c r="N381" s="223" t="str">
        <f>IFERROR(__xludf.DUMMYFUNCTION("IFERROR(
    INDEX(FILTER('Arrived Shipments'!O:O, 'Arrived Shipments'!B:B=$B381),2),
    IFERROR(
        INDEX(FILTER('POed not arrived'!D:D, 'POed not arrived'!A:A=$B381),2),
        """"
    )
)"),"")</f>
        <v/>
      </c>
      <c r="O381" s="202"/>
      <c r="P381" s="202" t="str">
        <f>IFERROR(__xludf.DUMMYFUNCTION("IFERROR(
    INDEX(FILTER('Arrived Shipments'!O:O, 'Arrived Shipments'!B:B=$B381),3),
    IFERROR(
        INDEX(FILTER('POed not arrived'!D:D, 'POed not arrived'!A:A=$B381),3),
        """"
    )
)"),"")</f>
        <v/>
      </c>
      <c r="Q381" s="202"/>
      <c r="R381" s="206" t="str">
        <f>IFERROR(__xludf.DUMMYFUNCTION("IFERROR(
    INDEX(FILTER('Arrived Shipments'!O:O, 'Arrived Shipments'!B:B=$B381),4),
    IFERROR(
        INDEX(FILTER('POed not arrived'!D:D, 'POed not arrived'!A:A=$B381),4),
        """"
    )
)"),"")</f>
        <v/>
      </c>
      <c r="S381" s="202"/>
      <c r="T381" s="202">
        <f t="shared" si="8"/>
        <v>0</v>
      </c>
      <c r="U381" s="198"/>
      <c r="V381" s="199"/>
      <c r="W381" s="197"/>
      <c r="X381" s="197"/>
      <c r="Y381" s="199"/>
      <c r="Z381" s="199"/>
      <c r="AA381" s="204" t="str">
        <f t="shared" si="4"/>
        <v/>
      </c>
      <c r="AB381" s="198"/>
      <c r="AC381" s="199"/>
      <c r="AD381" s="199"/>
      <c r="AE381" s="199"/>
      <c r="AF381" s="199"/>
      <c r="AG381" s="199"/>
      <c r="AH381" s="199"/>
      <c r="AI381" s="199"/>
      <c r="AJ381" s="199"/>
      <c r="AK381" s="199"/>
      <c r="AL381" s="199"/>
      <c r="AM381" s="198"/>
      <c r="AN381" s="197"/>
      <c r="AO381" s="197"/>
      <c r="AP381" s="197"/>
      <c r="AQ381" s="197"/>
      <c r="AR381" s="197"/>
      <c r="AS381" s="197"/>
    </row>
    <row r="382">
      <c r="A382" s="198" t="str">
        <f t="shared" si="1"/>
        <v/>
      </c>
      <c r="B382" s="205"/>
      <c r="C382" s="198"/>
      <c r="D382" s="199"/>
      <c r="E382" s="213"/>
      <c r="F382" s="198"/>
      <c r="G382" s="198"/>
      <c r="H382" s="199"/>
      <c r="I382" s="207"/>
      <c r="J382" s="199"/>
      <c r="K382" s="202"/>
      <c r="L382" s="205" t="str">
        <f>IFERROR(__xludf.DUMMYFUNCTION("IFERROR(
    INDEX(FILTER('Arrived Shipments'!O:O, 'Arrived Shipments'!B:B=$B382),1),
    IFERROR(
        INDEX(FILTER('POed not arrived'!D:D, 'POed not arrived'!A:A=$B382),1),
        """"
    )
)"),"")</f>
        <v/>
      </c>
      <c r="M382" s="202"/>
      <c r="N382" s="223" t="str">
        <f>IFERROR(__xludf.DUMMYFUNCTION("IFERROR(
    INDEX(FILTER('Arrived Shipments'!O:O, 'Arrived Shipments'!B:B=$B382),2),
    IFERROR(
        INDEX(FILTER('POed not arrived'!D:D, 'POed not arrived'!A:A=$B382),2),
        """"
    )
)"),"")</f>
        <v/>
      </c>
      <c r="O382" s="202"/>
      <c r="P382" s="202" t="str">
        <f>IFERROR(__xludf.DUMMYFUNCTION("IFERROR(
    INDEX(FILTER('Arrived Shipments'!O:O, 'Arrived Shipments'!B:B=$B382),3),
    IFERROR(
        INDEX(FILTER('POed not arrived'!D:D, 'POed not arrived'!A:A=$B382),3),
        """"
    )
)"),"")</f>
        <v/>
      </c>
      <c r="Q382" s="202"/>
      <c r="R382" s="206" t="str">
        <f>IFERROR(__xludf.DUMMYFUNCTION("IFERROR(
    INDEX(FILTER('Arrived Shipments'!O:O, 'Arrived Shipments'!B:B=$B382),4),
    IFERROR(
        INDEX(FILTER('POed not arrived'!D:D, 'POed not arrived'!A:A=$B382),4),
        """"
    )
)"),"")</f>
        <v/>
      </c>
      <c r="S382" s="202"/>
      <c r="T382" s="202">
        <f t="shared" si="8"/>
        <v>0</v>
      </c>
      <c r="U382" s="198"/>
      <c r="V382" s="199"/>
      <c r="W382" s="197"/>
      <c r="X382" s="197"/>
      <c r="Y382" s="199"/>
      <c r="Z382" s="199"/>
      <c r="AA382" s="204" t="str">
        <f t="shared" si="4"/>
        <v/>
      </c>
      <c r="AB382" s="198"/>
      <c r="AC382" s="199"/>
      <c r="AD382" s="199"/>
      <c r="AE382" s="199"/>
      <c r="AF382" s="199"/>
      <c r="AG382" s="199"/>
      <c r="AH382" s="199"/>
      <c r="AI382" s="199"/>
      <c r="AJ382" s="199"/>
      <c r="AK382" s="199"/>
      <c r="AL382" s="199"/>
      <c r="AM382" s="198"/>
      <c r="AN382" s="197"/>
      <c r="AO382" s="197"/>
      <c r="AP382" s="197"/>
      <c r="AQ382" s="197"/>
      <c r="AR382" s="197"/>
      <c r="AS382" s="197"/>
    </row>
    <row r="383">
      <c r="A383" s="198" t="str">
        <f t="shared" si="1"/>
        <v/>
      </c>
      <c r="B383" s="205"/>
      <c r="C383" s="198"/>
      <c r="D383" s="199"/>
      <c r="E383" s="213"/>
      <c r="F383" s="198"/>
      <c r="G383" s="198"/>
      <c r="H383" s="199"/>
      <c r="I383" s="207"/>
      <c r="J383" s="199"/>
      <c r="K383" s="202"/>
      <c r="L383" s="205" t="str">
        <f>IFERROR(__xludf.DUMMYFUNCTION("IFERROR(
    INDEX(FILTER('Arrived Shipments'!O:O, 'Arrived Shipments'!B:B=$B383),1),
    IFERROR(
        INDEX(FILTER('POed not arrived'!D:D, 'POed not arrived'!A:A=$B383),1),
        """"
    )
)"),"")</f>
        <v/>
      </c>
      <c r="M383" s="202"/>
      <c r="N383" s="223" t="str">
        <f>IFERROR(__xludf.DUMMYFUNCTION("IFERROR(
    INDEX(FILTER('Arrived Shipments'!O:O, 'Arrived Shipments'!B:B=$B383),2),
    IFERROR(
        INDEX(FILTER('POed not arrived'!D:D, 'POed not arrived'!A:A=$B383),2),
        """"
    )
)"),"")</f>
        <v/>
      </c>
      <c r="O383" s="202"/>
      <c r="P383" s="202" t="str">
        <f>IFERROR(__xludf.DUMMYFUNCTION("IFERROR(
    INDEX(FILTER('Arrived Shipments'!O:O, 'Arrived Shipments'!B:B=$B383),3),
    IFERROR(
        INDEX(FILTER('POed not arrived'!D:D, 'POed not arrived'!A:A=$B383),3),
        """"
    )
)"),"")</f>
        <v/>
      </c>
      <c r="Q383" s="202"/>
      <c r="R383" s="206" t="str">
        <f>IFERROR(__xludf.DUMMYFUNCTION("IFERROR(
    INDEX(FILTER('Arrived Shipments'!O:O, 'Arrived Shipments'!B:B=$B383),4),
    IFERROR(
        INDEX(FILTER('POed not arrived'!D:D, 'POed not arrived'!A:A=$B383),4),
        """"
    )
)"),"")</f>
        <v/>
      </c>
      <c r="S383" s="202"/>
      <c r="T383" s="202">
        <f t="shared" si="8"/>
        <v>0</v>
      </c>
      <c r="U383" s="198"/>
      <c r="V383" s="199"/>
      <c r="W383" s="197"/>
      <c r="X383" s="197"/>
      <c r="Y383" s="199"/>
      <c r="Z383" s="199"/>
      <c r="AA383" s="204" t="str">
        <f t="shared" si="4"/>
        <v/>
      </c>
      <c r="AB383" s="198"/>
      <c r="AC383" s="199"/>
      <c r="AD383" s="199"/>
      <c r="AE383" s="199"/>
      <c r="AF383" s="199"/>
      <c r="AG383" s="199"/>
      <c r="AH383" s="199"/>
      <c r="AI383" s="199"/>
      <c r="AJ383" s="199"/>
      <c r="AK383" s="199"/>
      <c r="AL383" s="199"/>
      <c r="AM383" s="198"/>
      <c r="AN383" s="197"/>
      <c r="AO383" s="197"/>
      <c r="AP383" s="197"/>
      <c r="AQ383" s="197"/>
      <c r="AR383" s="197"/>
      <c r="AS383" s="197"/>
    </row>
    <row r="384">
      <c r="A384" s="198" t="str">
        <f t="shared" si="1"/>
        <v/>
      </c>
      <c r="B384" s="205"/>
      <c r="C384" s="198"/>
      <c r="D384" s="199"/>
      <c r="E384" s="213"/>
      <c r="F384" s="198"/>
      <c r="G384" s="198"/>
      <c r="H384" s="199"/>
      <c r="I384" s="207"/>
      <c r="J384" s="199"/>
      <c r="K384" s="202"/>
      <c r="L384" s="205" t="str">
        <f>IFERROR(__xludf.DUMMYFUNCTION("IFERROR(
    INDEX(FILTER('Arrived Shipments'!O:O, 'Arrived Shipments'!B:B=$B384),1),
    IFERROR(
        INDEX(FILTER('POed not arrived'!D:D, 'POed not arrived'!A:A=$B384),1),
        """"
    )
)"),"")</f>
        <v/>
      </c>
      <c r="M384" s="202"/>
      <c r="N384" s="223" t="str">
        <f>IFERROR(__xludf.DUMMYFUNCTION("IFERROR(
    INDEX(FILTER('Arrived Shipments'!O:O, 'Arrived Shipments'!B:B=$B384),2),
    IFERROR(
        INDEX(FILTER('POed not arrived'!D:D, 'POed not arrived'!A:A=$B384),2),
        """"
    )
)"),"")</f>
        <v/>
      </c>
      <c r="O384" s="202"/>
      <c r="P384" s="202" t="str">
        <f>IFERROR(__xludf.DUMMYFUNCTION("IFERROR(
    INDEX(FILTER('Arrived Shipments'!O:O, 'Arrived Shipments'!B:B=$B384),3),
    IFERROR(
        INDEX(FILTER('POed not arrived'!D:D, 'POed not arrived'!A:A=$B384),3),
        """"
    )
)"),"")</f>
        <v/>
      </c>
      <c r="Q384" s="202"/>
      <c r="R384" s="206" t="str">
        <f>IFERROR(__xludf.DUMMYFUNCTION("IFERROR(
    INDEX(FILTER('Arrived Shipments'!O:O, 'Arrived Shipments'!B:B=$B384),4),
    IFERROR(
        INDEX(FILTER('POed not arrived'!D:D, 'POed not arrived'!A:A=$B384),4),
        """"
    )
)"),"")</f>
        <v/>
      </c>
      <c r="S384" s="202"/>
      <c r="T384" s="202">
        <f t="shared" si="8"/>
        <v>0</v>
      </c>
      <c r="U384" s="198"/>
      <c r="V384" s="199"/>
      <c r="W384" s="197"/>
      <c r="X384" s="197"/>
      <c r="Y384" s="199"/>
      <c r="Z384" s="199"/>
      <c r="AA384" s="204" t="str">
        <f t="shared" si="4"/>
        <v/>
      </c>
      <c r="AB384" s="198"/>
      <c r="AC384" s="199"/>
      <c r="AD384" s="199"/>
      <c r="AE384" s="199"/>
      <c r="AF384" s="199"/>
      <c r="AG384" s="199"/>
      <c r="AH384" s="199"/>
      <c r="AI384" s="199"/>
      <c r="AJ384" s="199"/>
      <c r="AK384" s="199"/>
      <c r="AL384" s="199"/>
      <c r="AM384" s="198"/>
      <c r="AN384" s="197"/>
      <c r="AO384" s="197"/>
      <c r="AP384" s="197"/>
      <c r="AQ384" s="197"/>
      <c r="AR384" s="197"/>
      <c r="AS384" s="197"/>
    </row>
    <row r="385">
      <c r="A385" s="198" t="str">
        <f t="shared" si="1"/>
        <v/>
      </c>
      <c r="B385" s="205"/>
      <c r="C385" s="198"/>
      <c r="D385" s="199"/>
      <c r="E385" s="213"/>
      <c r="F385" s="198"/>
      <c r="G385" s="198"/>
      <c r="H385" s="199"/>
      <c r="I385" s="207"/>
      <c r="J385" s="199"/>
      <c r="K385" s="202"/>
      <c r="L385" s="205" t="str">
        <f>IFERROR(__xludf.DUMMYFUNCTION("IFERROR(
    INDEX(FILTER('Arrived Shipments'!O:O, 'Arrived Shipments'!B:B=$B385),1),
    IFERROR(
        INDEX(FILTER('POed not arrived'!D:D, 'POed not arrived'!A:A=$B385),1),
        """"
    )
)"),"")</f>
        <v/>
      </c>
      <c r="M385" s="202"/>
      <c r="N385" s="223" t="str">
        <f>IFERROR(__xludf.DUMMYFUNCTION("IFERROR(
    INDEX(FILTER('Arrived Shipments'!O:O, 'Arrived Shipments'!B:B=$B385),2),
    IFERROR(
        INDEX(FILTER('POed not arrived'!D:D, 'POed not arrived'!A:A=$B385),2),
        """"
    )
)"),"")</f>
        <v/>
      </c>
      <c r="O385" s="202"/>
      <c r="P385" s="202" t="str">
        <f>IFERROR(__xludf.DUMMYFUNCTION("IFERROR(
    INDEX(FILTER('Arrived Shipments'!O:O, 'Arrived Shipments'!B:B=$B385),3),
    IFERROR(
        INDEX(FILTER('POed not arrived'!D:D, 'POed not arrived'!A:A=$B385),3),
        """"
    )
)"),"")</f>
        <v/>
      </c>
      <c r="Q385" s="202"/>
      <c r="R385" s="206" t="str">
        <f>IFERROR(__xludf.DUMMYFUNCTION("IFERROR(
    INDEX(FILTER('Arrived Shipments'!O:O, 'Arrived Shipments'!B:B=$B385),4),
    IFERROR(
        INDEX(FILTER('POed not arrived'!D:D, 'POed not arrived'!A:A=$B385),4),
        """"
    )
)"),"")</f>
        <v/>
      </c>
      <c r="S385" s="202"/>
      <c r="T385" s="202">
        <f t="shared" si="8"/>
        <v>0</v>
      </c>
      <c r="U385" s="198"/>
      <c r="V385" s="199"/>
      <c r="W385" s="197"/>
      <c r="X385" s="197"/>
      <c r="Y385" s="199"/>
      <c r="Z385" s="199"/>
      <c r="AA385" s="204" t="str">
        <f t="shared" si="4"/>
        <v/>
      </c>
      <c r="AB385" s="198"/>
      <c r="AC385" s="199"/>
      <c r="AD385" s="199"/>
      <c r="AE385" s="199"/>
      <c r="AF385" s="199"/>
      <c r="AG385" s="199"/>
      <c r="AH385" s="199"/>
      <c r="AI385" s="199"/>
      <c r="AJ385" s="199"/>
      <c r="AK385" s="199"/>
      <c r="AL385" s="199"/>
      <c r="AM385" s="198"/>
      <c r="AN385" s="197"/>
      <c r="AO385" s="197"/>
      <c r="AP385" s="197"/>
      <c r="AQ385" s="197"/>
      <c r="AR385" s="197"/>
      <c r="AS385" s="197"/>
    </row>
    <row r="386">
      <c r="A386" s="198" t="str">
        <f t="shared" si="1"/>
        <v/>
      </c>
      <c r="B386" s="205"/>
      <c r="C386" s="198"/>
      <c r="D386" s="199"/>
      <c r="E386" s="213"/>
      <c r="F386" s="198"/>
      <c r="G386" s="198"/>
      <c r="H386" s="199"/>
      <c r="I386" s="207"/>
      <c r="J386" s="199"/>
      <c r="K386" s="202"/>
      <c r="L386" s="205" t="str">
        <f>IFERROR(__xludf.DUMMYFUNCTION("IFERROR(
    INDEX(FILTER('Arrived Shipments'!O:O, 'Arrived Shipments'!B:B=$B386),1),
    IFERROR(
        INDEX(FILTER('POed not arrived'!D:D, 'POed not arrived'!A:A=$B386),1),
        """"
    )
)"),"")</f>
        <v/>
      </c>
      <c r="M386" s="202"/>
      <c r="N386" s="223" t="str">
        <f>IFERROR(__xludf.DUMMYFUNCTION("IFERROR(
    INDEX(FILTER('Arrived Shipments'!O:O, 'Arrived Shipments'!B:B=$B386),2),
    IFERROR(
        INDEX(FILTER('POed not arrived'!D:D, 'POed not arrived'!A:A=$B386),2),
        """"
    )
)"),"")</f>
        <v/>
      </c>
      <c r="O386" s="202"/>
      <c r="P386" s="202" t="str">
        <f>IFERROR(__xludf.DUMMYFUNCTION("IFERROR(
    INDEX(FILTER('Arrived Shipments'!O:O, 'Arrived Shipments'!B:B=$B386),3),
    IFERROR(
        INDEX(FILTER('POed not arrived'!D:D, 'POed not arrived'!A:A=$B386),3),
        """"
    )
)"),"")</f>
        <v/>
      </c>
      <c r="Q386" s="202"/>
      <c r="R386" s="206" t="str">
        <f>IFERROR(__xludf.DUMMYFUNCTION("IFERROR(
    INDEX(FILTER('Arrived Shipments'!O:O, 'Arrived Shipments'!B:B=$B386),4),
    IFERROR(
        INDEX(FILTER('POed not arrived'!D:D, 'POed not arrived'!A:A=$B386),4),
        """"
    )
)"),"")</f>
        <v/>
      </c>
      <c r="S386" s="202"/>
      <c r="T386" s="202">
        <f t="shared" si="8"/>
        <v>0</v>
      </c>
      <c r="U386" s="198"/>
      <c r="V386" s="199"/>
      <c r="W386" s="197"/>
      <c r="X386" s="197"/>
      <c r="Y386" s="199"/>
      <c r="Z386" s="199"/>
      <c r="AA386" s="204" t="str">
        <f t="shared" si="4"/>
        <v/>
      </c>
      <c r="AB386" s="198"/>
      <c r="AC386" s="199"/>
      <c r="AD386" s="199"/>
      <c r="AE386" s="199"/>
      <c r="AF386" s="199"/>
      <c r="AG386" s="199"/>
      <c r="AH386" s="199"/>
      <c r="AI386" s="199"/>
      <c r="AJ386" s="199"/>
      <c r="AK386" s="199"/>
      <c r="AL386" s="199"/>
      <c r="AM386" s="198"/>
      <c r="AN386" s="197"/>
      <c r="AO386" s="197"/>
      <c r="AP386" s="197"/>
      <c r="AQ386" s="197"/>
      <c r="AR386" s="197"/>
      <c r="AS386" s="197"/>
    </row>
    <row r="387">
      <c r="A387" s="198" t="str">
        <f t="shared" si="1"/>
        <v/>
      </c>
      <c r="B387" s="205"/>
      <c r="C387" s="198"/>
      <c r="D387" s="199"/>
      <c r="E387" s="213"/>
      <c r="F387" s="198"/>
      <c r="G387" s="198"/>
      <c r="H387" s="199"/>
      <c r="I387" s="207"/>
      <c r="J387" s="199"/>
      <c r="K387" s="202"/>
      <c r="L387" s="205" t="str">
        <f>IFERROR(__xludf.DUMMYFUNCTION("IFERROR(
    INDEX(FILTER('Arrived Shipments'!O:O, 'Arrived Shipments'!B:B=$B387),1),
    IFERROR(
        INDEX(FILTER('POed not arrived'!D:D, 'POed not arrived'!A:A=$B387),1),
        """"
    )
)"),"")</f>
        <v/>
      </c>
      <c r="M387" s="202"/>
      <c r="N387" s="223" t="str">
        <f>IFERROR(__xludf.DUMMYFUNCTION("IFERROR(
    INDEX(FILTER('Arrived Shipments'!O:O, 'Arrived Shipments'!B:B=$B387),2),
    IFERROR(
        INDEX(FILTER('POed not arrived'!D:D, 'POed not arrived'!A:A=$B387),2),
        """"
    )
)"),"")</f>
        <v/>
      </c>
      <c r="O387" s="202"/>
      <c r="P387" s="202" t="str">
        <f>IFERROR(__xludf.DUMMYFUNCTION("IFERROR(
    INDEX(FILTER('Arrived Shipments'!O:O, 'Arrived Shipments'!B:B=$B387),3),
    IFERROR(
        INDEX(FILTER('POed not arrived'!D:D, 'POed not arrived'!A:A=$B387),3),
        """"
    )
)"),"")</f>
        <v/>
      </c>
      <c r="Q387" s="202"/>
      <c r="R387" s="206" t="str">
        <f>IFERROR(__xludf.DUMMYFUNCTION("IFERROR(
    INDEX(FILTER('Arrived Shipments'!O:O, 'Arrived Shipments'!B:B=$B387),4),
    IFERROR(
        INDEX(FILTER('POed not arrived'!D:D, 'POed not arrived'!A:A=$B387),4),
        """"
    )
)"),"")</f>
        <v/>
      </c>
      <c r="S387" s="202"/>
      <c r="T387" s="202">
        <f t="shared" si="8"/>
        <v>0</v>
      </c>
      <c r="U387" s="198"/>
      <c r="V387" s="199"/>
      <c r="W387" s="197"/>
      <c r="X387" s="197"/>
      <c r="Y387" s="199"/>
      <c r="Z387" s="199"/>
      <c r="AA387" s="204" t="str">
        <f t="shared" si="4"/>
        <v/>
      </c>
      <c r="AB387" s="198"/>
      <c r="AC387" s="199"/>
      <c r="AD387" s="199"/>
      <c r="AE387" s="199"/>
      <c r="AF387" s="199"/>
      <c r="AG387" s="199"/>
      <c r="AH387" s="199"/>
      <c r="AI387" s="199"/>
      <c r="AJ387" s="199"/>
      <c r="AK387" s="199"/>
      <c r="AL387" s="199"/>
      <c r="AM387" s="198"/>
      <c r="AN387" s="197"/>
      <c r="AO387" s="197"/>
      <c r="AP387" s="197"/>
      <c r="AQ387" s="197"/>
      <c r="AR387" s="197"/>
      <c r="AS387" s="197"/>
    </row>
    <row r="388">
      <c r="A388" s="198" t="str">
        <f t="shared" si="1"/>
        <v/>
      </c>
      <c r="B388" s="205"/>
      <c r="C388" s="198"/>
      <c r="D388" s="199"/>
      <c r="E388" s="213"/>
      <c r="F388" s="198"/>
      <c r="G388" s="198"/>
      <c r="H388" s="199"/>
      <c r="I388" s="207"/>
      <c r="J388" s="199"/>
      <c r="K388" s="202"/>
      <c r="L388" s="205" t="str">
        <f>IFERROR(__xludf.DUMMYFUNCTION("IFERROR(
    INDEX(FILTER('Arrived Shipments'!O:O, 'Arrived Shipments'!B:B=$B388),1),
    IFERROR(
        INDEX(FILTER('POed not arrived'!D:D, 'POed not arrived'!A:A=$B388),1),
        """"
    )
)"),"")</f>
        <v/>
      </c>
      <c r="M388" s="202"/>
      <c r="N388" s="223" t="str">
        <f>IFERROR(__xludf.DUMMYFUNCTION("IFERROR(
    INDEX(FILTER('Arrived Shipments'!O:O, 'Arrived Shipments'!B:B=$B388),2),
    IFERROR(
        INDEX(FILTER('POed not arrived'!D:D, 'POed not arrived'!A:A=$B388),2),
        """"
    )
)"),"")</f>
        <v/>
      </c>
      <c r="O388" s="202"/>
      <c r="P388" s="202" t="str">
        <f>IFERROR(__xludf.DUMMYFUNCTION("IFERROR(
    INDEX(FILTER('Arrived Shipments'!O:O, 'Arrived Shipments'!B:B=$B388),3),
    IFERROR(
        INDEX(FILTER('POed not arrived'!D:D, 'POed not arrived'!A:A=$B388),3),
        """"
    )
)"),"")</f>
        <v/>
      </c>
      <c r="Q388" s="202"/>
      <c r="R388" s="206" t="str">
        <f>IFERROR(__xludf.DUMMYFUNCTION("IFERROR(
    INDEX(FILTER('Arrived Shipments'!O:O, 'Arrived Shipments'!B:B=$B388),4),
    IFERROR(
        INDEX(FILTER('POed not arrived'!D:D, 'POed not arrived'!A:A=$B388),4),
        """"
    )
)"),"")</f>
        <v/>
      </c>
      <c r="S388" s="202"/>
      <c r="T388" s="202">
        <f t="shared" si="8"/>
        <v>0</v>
      </c>
      <c r="U388" s="198"/>
      <c r="V388" s="199"/>
      <c r="W388" s="197"/>
      <c r="X388" s="197"/>
      <c r="Y388" s="199"/>
      <c r="Z388" s="199"/>
      <c r="AA388" s="204" t="str">
        <f t="shared" si="4"/>
        <v/>
      </c>
      <c r="AB388" s="198"/>
      <c r="AC388" s="199"/>
      <c r="AD388" s="199"/>
      <c r="AE388" s="199"/>
      <c r="AF388" s="199"/>
      <c r="AG388" s="199"/>
      <c r="AH388" s="199"/>
      <c r="AI388" s="199"/>
      <c r="AJ388" s="199"/>
      <c r="AK388" s="199"/>
      <c r="AL388" s="199"/>
      <c r="AM388" s="198"/>
      <c r="AN388" s="197"/>
      <c r="AO388" s="197"/>
      <c r="AP388" s="197"/>
      <c r="AQ388" s="197"/>
      <c r="AR388" s="197"/>
      <c r="AS388" s="197"/>
    </row>
    <row r="389">
      <c r="A389" s="198" t="str">
        <f t="shared" si="1"/>
        <v/>
      </c>
      <c r="B389" s="205"/>
      <c r="C389" s="198"/>
      <c r="D389" s="199"/>
      <c r="E389" s="213"/>
      <c r="F389" s="198"/>
      <c r="G389" s="198"/>
      <c r="H389" s="199"/>
      <c r="I389" s="207"/>
      <c r="J389" s="199"/>
      <c r="K389" s="202"/>
      <c r="L389" s="205" t="str">
        <f>IFERROR(__xludf.DUMMYFUNCTION("IFERROR(
    INDEX(FILTER('Arrived Shipments'!O:O, 'Arrived Shipments'!B:B=$B389),1),
    IFERROR(
        INDEX(FILTER('POed not arrived'!D:D, 'POed not arrived'!A:A=$B389),1),
        """"
    )
)"),"")</f>
        <v/>
      </c>
      <c r="M389" s="202"/>
      <c r="N389" s="223" t="str">
        <f>IFERROR(__xludf.DUMMYFUNCTION("IFERROR(
    INDEX(FILTER('Arrived Shipments'!O:O, 'Arrived Shipments'!B:B=$B389),2),
    IFERROR(
        INDEX(FILTER('POed not arrived'!D:D, 'POed not arrived'!A:A=$B389),2),
        """"
    )
)"),"")</f>
        <v/>
      </c>
      <c r="O389" s="202"/>
      <c r="P389" s="202" t="str">
        <f>IFERROR(__xludf.DUMMYFUNCTION("IFERROR(
    INDEX(FILTER('Arrived Shipments'!O:O, 'Arrived Shipments'!B:B=$B389),3),
    IFERROR(
        INDEX(FILTER('POed not arrived'!D:D, 'POed not arrived'!A:A=$B389),3),
        """"
    )
)"),"")</f>
        <v/>
      </c>
      <c r="Q389" s="202"/>
      <c r="R389" s="206" t="str">
        <f>IFERROR(__xludf.DUMMYFUNCTION("IFERROR(
    INDEX(FILTER('Arrived Shipments'!O:O, 'Arrived Shipments'!B:B=$B389),4),
    IFERROR(
        INDEX(FILTER('POed not arrived'!D:D, 'POed not arrived'!A:A=$B389),4),
        """"
    )
)"),"")</f>
        <v/>
      </c>
      <c r="S389" s="202"/>
      <c r="T389" s="202">
        <f t="shared" si="8"/>
        <v>0</v>
      </c>
      <c r="U389" s="198"/>
      <c r="V389" s="199"/>
      <c r="W389" s="197"/>
      <c r="X389" s="197"/>
      <c r="Y389" s="199"/>
      <c r="Z389" s="199"/>
      <c r="AA389" s="204" t="str">
        <f t="shared" si="4"/>
        <v/>
      </c>
      <c r="AB389" s="198"/>
      <c r="AC389" s="199"/>
      <c r="AD389" s="199"/>
      <c r="AE389" s="199"/>
      <c r="AF389" s="199"/>
      <c r="AG389" s="199"/>
      <c r="AH389" s="199"/>
      <c r="AI389" s="199"/>
      <c r="AJ389" s="199"/>
      <c r="AK389" s="199"/>
      <c r="AL389" s="199"/>
      <c r="AM389" s="198"/>
      <c r="AN389" s="197"/>
      <c r="AO389" s="197"/>
      <c r="AP389" s="197"/>
      <c r="AQ389" s="197"/>
      <c r="AR389" s="197"/>
      <c r="AS389" s="197"/>
    </row>
    <row r="390">
      <c r="A390" s="198" t="str">
        <f t="shared" si="1"/>
        <v/>
      </c>
      <c r="B390" s="205"/>
      <c r="C390" s="198"/>
      <c r="D390" s="199"/>
      <c r="E390" s="213"/>
      <c r="F390" s="198"/>
      <c r="G390" s="198"/>
      <c r="H390" s="199"/>
      <c r="I390" s="207"/>
      <c r="J390" s="199"/>
      <c r="K390" s="202"/>
      <c r="L390" s="205" t="str">
        <f>IFERROR(__xludf.DUMMYFUNCTION("IFERROR(
    INDEX(FILTER('Arrived Shipments'!O:O, 'Arrived Shipments'!B:B=$B390),1),
    IFERROR(
        INDEX(FILTER('POed not arrived'!D:D, 'POed not arrived'!A:A=$B390),1),
        """"
    )
)"),"")</f>
        <v/>
      </c>
      <c r="M390" s="202"/>
      <c r="N390" s="223" t="str">
        <f>IFERROR(__xludf.DUMMYFUNCTION("IFERROR(
    INDEX(FILTER('Arrived Shipments'!O:O, 'Arrived Shipments'!B:B=$B390),2),
    IFERROR(
        INDEX(FILTER('POed not arrived'!D:D, 'POed not arrived'!A:A=$B390),2),
        """"
    )
)"),"")</f>
        <v/>
      </c>
      <c r="O390" s="202"/>
      <c r="P390" s="202" t="str">
        <f>IFERROR(__xludf.DUMMYFUNCTION("IFERROR(
    INDEX(FILTER('Arrived Shipments'!O:O, 'Arrived Shipments'!B:B=$B390),3),
    IFERROR(
        INDEX(FILTER('POed not arrived'!D:D, 'POed not arrived'!A:A=$B390),3),
        """"
    )
)"),"")</f>
        <v/>
      </c>
      <c r="Q390" s="202"/>
      <c r="R390" s="206" t="str">
        <f>IFERROR(__xludf.DUMMYFUNCTION("IFERROR(
    INDEX(FILTER('Arrived Shipments'!O:O, 'Arrived Shipments'!B:B=$B390),4),
    IFERROR(
        INDEX(FILTER('POed not arrived'!D:D, 'POed not arrived'!A:A=$B390),4),
        """"
    )
)"),"")</f>
        <v/>
      </c>
      <c r="S390" s="202"/>
      <c r="T390" s="202">
        <f t="shared" si="8"/>
        <v>0</v>
      </c>
      <c r="U390" s="198"/>
      <c r="V390" s="199"/>
      <c r="W390" s="197"/>
      <c r="X390" s="197"/>
      <c r="Y390" s="199"/>
      <c r="Z390" s="199"/>
      <c r="AA390" s="204" t="str">
        <f t="shared" si="4"/>
        <v/>
      </c>
      <c r="AB390" s="198"/>
      <c r="AC390" s="199"/>
      <c r="AD390" s="199"/>
      <c r="AE390" s="199"/>
      <c r="AF390" s="199"/>
      <c r="AG390" s="199"/>
      <c r="AH390" s="199"/>
      <c r="AI390" s="199"/>
      <c r="AJ390" s="199"/>
      <c r="AK390" s="199"/>
      <c r="AL390" s="199"/>
      <c r="AM390" s="198"/>
      <c r="AN390" s="197"/>
      <c r="AO390" s="197"/>
      <c r="AP390" s="197"/>
      <c r="AQ390" s="197"/>
      <c r="AR390" s="197"/>
      <c r="AS390" s="197"/>
    </row>
    <row r="391">
      <c r="A391" s="198" t="str">
        <f t="shared" si="1"/>
        <v/>
      </c>
      <c r="B391" s="205"/>
      <c r="C391" s="198"/>
      <c r="D391" s="199"/>
      <c r="E391" s="213"/>
      <c r="F391" s="198"/>
      <c r="G391" s="198"/>
      <c r="H391" s="199"/>
      <c r="I391" s="207"/>
      <c r="J391" s="199"/>
      <c r="K391" s="202"/>
      <c r="L391" s="205" t="str">
        <f>IFERROR(__xludf.DUMMYFUNCTION("IFERROR(
    INDEX(FILTER('Arrived Shipments'!O:O, 'Arrived Shipments'!B:B=$B391),1),
    IFERROR(
        INDEX(FILTER('POed not arrived'!D:D, 'POed not arrived'!A:A=$B391),1),
        """"
    )
)"),"")</f>
        <v/>
      </c>
      <c r="M391" s="202"/>
      <c r="N391" s="223" t="str">
        <f>IFERROR(__xludf.DUMMYFUNCTION("IFERROR(
    INDEX(FILTER('Arrived Shipments'!O:O, 'Arrived Shipments'!B:B=$B391),2),
    IFERROR(
        INDEX(FILTER('POed not arrived'!D:D, 'POed not arrived'!A:A=$B391),2),
        """"
    )
)"),"")</f>
        <v/>
      </c>
      <c r="O391" s="202"/>
      <c r="P391" s="202" t="str">
        <f>IFERROR(__xludf.DUMMYFUNCTION("IFERROR(
    INDEX(FILTER('Arrived Shipments'!O:O, 'Arrived Shipments'!B:B=$B391),3),
    IFERROR(
        INDEX(FILTER('POed not arrived'!D:D, 'POed not arrived'!A:A=$B391),3),
        """"
    )
)"),"")</f>
        <v/>
      </c>
      <c r="Q391" s="202"/>
      <c r="R391" s="206" t="str">
        <f>IFERROR(__xludf.DUMMYFUNCTION("IFERROR(
    INDEX(FILTER('Arrived Shipments'!O:O, 'Arrived Shipments'!B:B=$B391),4),
    IFERROR(
        INDEX(FILTER('POed not arrived'!D:D, 'POed not arrived'!A:A=$B391),4),
        """"
    )
)"),"")</f>
        <v/>
      </c>
      <c r="S391" s="202"/>
      <c r="T391" s="202">
        <f t="shared" si="8"/>
        <v>0</v>
      </c>
      <c r="U391" s="198"/>
      <c r="V391" s="199"/>
      <c r="W391" s="197"/>
      <c r="X391" s="197"/>
      <c r="Y391" s="199"/>
      <c r="Z391" s="199"/>
      <c r="AA391" s="204" t="str">
        <f t="shared" si="4"/>
        <v/>
      </c>
      <c r="AB391" s="198"/>
      <c r="AC391" s="199"/>
      <c r="AD391" s="199"/>
      <c r="AE391" s="199"/>
      <c r="AF391" s="199"/>
      <c r="AG391" s="199"/>
      <c r="AH391" s="199"/>
      <c r="AI391" s="199"/>
      <c r="AJ391" s="199"/>
      <c r="AK391" s="199"/>
      <c r="AL391" s="199"/>
      <c r="AM391" s="198"/>
      <c r="AN391" s="197"/>
      <c r="AO391" s="197"/>
      <c r="AP391" s="197"/>
      <c r="AQ391" s="197"/>
      <c r="AR391" s="197"/>
      <c r="AS391" s="197"/>
    </row>
    <row r="392">
      <c r="A392" s="198" t="str">
        <f t="shared" si="1"/>
        <v/>
      </c>
      <c r="B392" s="205"/>
      <c r="C392" s="198"/>
      <c r="D392" s="199"/>
      <c r="E392" s="213"/>
      <c r="F392" s="198"/>
      <c r="G392" s="198"/>
      <c r="H392" s="199"/>
      <c r="I392" s="207"/>
      <c r="J392" s="199"/>
      <c r="K392" s="202"/>
      <c r="L392" s="205" t="str">
        <f>IFERROR(__xludf.DUMMYFUNCTION("IFERROR(
    INDEX(FILTER('Arrived Shipments'!O:O, 'Arrived Shipments'!B:B=$B392),1),
    IFERROR(
        INDEX(FILTER('POed not arrived'!D:D, 'POed not arrived'!A:A=$B392),1),
        """"
    )
)"),"")</f>
        <v/>
      </c>
      <c r="M392" s="202"/>
      <c r="N392" s="223" t="str">
        <f>IFERROR(__xludf.DUMMYFUNCTION("IFERROR(
    INDEX(FILTER('Arrived Shipments'!O:O, 'Arrived Shipments'!B:B=$B392),2),
    IFERROR(
        INDEX(FILTER('POed not arrived'!D:D, 'POed not arrived'!A:A=$B392),2),
        """"
    )
)"),"")</f>
        <v/>
      </c>
      <c r="O392" s="202"/>
      <c r="P392" s="202" t="str">
        <f>IFERROR(__xludf.DUMMYFUNCTION("IFERROR(
    INDEX(FILTER('Arrived Shipments'!O:O, 'Arrived Shipments'!B:B=$B392),3),
    IFERROR(
        INDEX(FILTER('POed not arrived'!D:D, 'POed not arrived'!A:A=$B392),3),
        """"
    )
)"),"")</f>
        <v/>
      </c>
      <c r="Q392" s="202"/>
      <c r="R392" s="206" t="str">
        <f>IFERROR(__xludf.DUMMYFUNCTION("IFERROR(
    INDEX(FILTER('Arrived Shipments'!O:O, 'Arrived Shipments'!B:B=$B392),4),
    IFERROR(
        INDEX(FILTER('POed not arrived'!D:D, 'POed not arrived'!A:A=$B392),4),
        """"
    )
)"),"")</f>
        <v/>
      </c>
      <c r="S392" s="202"/>
      <c r="T392" s="202">
        <f t="shared" si="8"/>
        <v>0</v>
      </c>
      <c r="U392" s="198"/>
      <c r="V392" s="199"/>
      <c r="W392" s="197"/>
      <c r="X392" s="197"/>
      <c r="Y392" s="199"/>
      <c r="Z392" s="199"/>
      <c r="AA392" s="204" t="str">
        <f t="shared" si="4"/>
        <v/>
      </c>
      <c r="AB392" s="198"/>
      <c r="AC392" s="199"/>
      <c r="AD392" s="199"/>
      <c r="AE392" s="199"/>
      <c r="AF392" s="199"/>
      <c r="AG392" s="199"/>
      <c r="AH392" s="199"/>
      <c r="AI392" s="199"/>
      <c r="AJ392" s="199"/>
      <c r="AK392" s="199"/>
      <c r="AL392" s="199"/>
      <c r="AM392" s="198"/>
      <c r="AN392" s="197"/>
      <c r="AO392" s="197"/>
      <c r="AP392" s="197"/>
      <c r="AQ392" s="197"/>
      <c r="AR392" s="197"/>
      <c r="AS392" s="197"/>
    </row>
    <row r="393">
      <c r="A393" s="198" t="str">
        <f t="shared" si="1"/>
        <v/>
      </c>
      <c r="B393" s="205"/>
      <c r="C393" s="198"/>
      <c r="D393" s="199"/>
      <c r="E393" s="213"/>
      <c r="F393" s="198"/>
      <c r="G393" s="198"/>
      <c r="H393" s="199"/>
      <c r="I393" s="207"/>
      <c r="J393" s="199"/>
      <c r="K393" s="202"/>
      <c r="L393" s="205" t="str">
        <f>IFERROR(__xludf.DUMMYFUNCTION("IFERROR(
    INDEX(FILTER('Arrived Shipments'!O:O, 'Arrived Shipments'!B:B=$B393),1),
    IFERROR(
        INDEX(FILTER('POed not arrived'!D:D, 'POed not arrived'!A:A=$B393),1),
        """"
    )
)"),"")</f>
        <v/>
      </c>
      <c r="M393" s="202"/>
      <c r="N393" s="223" t="str">
        <f>IFERROR(__xludf.DUMMYFUNCTION("IFERROR(
    INDEX(FILTER('Arrived Shipments'!O:O, 'Arrived Shipments'!B:B=$B393),2),
    IFERROR(
        INDEX(FILTER('POed not arrived'!D:D, 'POed not arrived'!A:A=$B393),2),
        """"
    )
)"),"")</f>
        <v/>
      </c>
      <c r="O393" s="202"/>
      <c r="P393" s="202" t="str">
        <f>IFERROR(__xludf.DUMMYFUNCTION("IFERROR(
    INDEX(FILTER('Arrived Shipments'!O:O, 'Arrived Shipments'!B:B=$B393),3),
    IFERROR(
        INDEX(FILTER('POed not arrived'!D:D, 'POed not arrived'!A:A=$B393),3),
        """"
    )
)"),"")</f>
        <v/>
      </c>
      <c r="Q393" s="202"/>
      <c r="R393" s="206" t="str">
        <f>IFERROR(__xludf.DUMMYFUNCTION("IFERROR(
    INDEX(FILTER('Arrived Shipments'!O:O, 'Arrived Shipments'!B:B=$B393),4),
    IFERROR(
        INDEX(FILTER('POed not arrived'!D:D, 'POed not arrived'!A:A=$B393),4),
        """"
    )
)"),"")</f>
        <v/>
      </c>
      <c r="S393" s="202"/>
      <c r="T393" s="202">
        <f t="shared" si="8"/>
        <v>0</v>
      </c>
      <c r="U393" s="198"/>
      <c r="V393" s="199"/>
      <c r="W393" s="197"/>
      <c r="X393" s="197"/>
      <c r="Y393" s="199"/>
      <c r="Z393" s="199"/>
      <c r="AA393" s="204" t="str">
        <f t="shared" si="4"/>
        <v/>
      </c>
      <c r="AB393" s="198"/>
      <c r="AC393" s="199"/>
      <c r="AD393" s="199"/>
      <c r="AE393" s="199"/>
      <c r="AF393" s="199"/>
      <c r="AG393" s="199"/>
      <c r="AH393" s="199"/>
      <c r="AI393" s="199"/>
      <c r="AJ393" s="199"/>
      <c r="AK393" s="199"/>
      <c r="AL393" s="199"/>
      <c r="AM393" s="198"/>
      <c r="AN393" s="197"/>
      <c r="AO393" s="197"/>
      <c r="AP393" s="197"/>
      <c r="AQ393" s="197"/>
      <c r="AR393" s="197"/>
      <c r="AS393" s="197"/>
    </row>
    <row r="394">
      <c r="A394" s="198" t="str">
        <f t="shared" si="1"/>
        <v/>
      </c>
      <c r="B394" s="205"/>
      <c r="C394" s="198"/>
      <c r="D394" s="199"/>
      <c r="E394" s="213"/>
      <c r="F394" s="198"/>
      <c r="G394" s="198"/>
      <c r="H394" s="199"/>
      <c r="I394" s="207"/>
      <c r="J394" s="199"/>
      <c r="K394" s="202"/>
      <c r="L394" s="205" t="str">
        <f>IFERROR(__xludf.DUMMYFUNCTION("IFERROR(
    INDEX(FILTER('Arrived Shipments'!O:O, 'Arrived Shipments'!B:B=$B394),1),
    IFERROR(
        INDEX(FILTER('POed not arrived'!D:D, 'POed not arrived'!A:A=$B394),1),
        """"
    )
)"),"")</f>
        <v/>
      </c>
      <c r="M394" s="202"/>
      <c r="N394" s="223" t="str">
        <f>IFERROR(__xludf.DUMMYFUNCTION("IFERROR(
    INDEX(FILTER('Arrived Shipments'!O:O, 'Arrived Shipments'!B:B=$B394),2),
    IFERROR(
        INDEX(FILTER('POed not arrived'!D:D, 'POed not arrived'!A:A=$B394),2),
        """"
    )
)"),"")</f>
        <v/>
      </c>
      <c r="O394" s="202"/>
      <c r="P394" s="202" t="str">
        <f>IFERROR(__xludf.DUMMYFUNCTION("IFERROR(
    INDEX(FILTER('Arrived Shipments'!O:O, 'Arrived Shipments'!B:B=$B394),3),
    IFERROR(
        INDEX(FILTER('POed not arrived'!D:D, 'POed not arrived'!A:A=$B394),3),
        """"
    )
)"),"")</f>
        <v/>
      </c>
      <c r="Q394" s="202"/>
      <c r="R394" s="206" t="str">
        <f>IFERROR(__xludf.DUMMYFUNCTION("IFERROR(
    INDEX(FILTER('Arrived Shipments'!O:O, 'Arrived Shipments'!B:B=$B394),4),
    IFERROR(
        INDEX(FILTER('POed not arrived'!D:D, 'POed not arrived'!A:A=$B394),4),
        """"
    )
)"),"")</f>
        <v/>
      </c>
      <c r="S394" s="202"/>
      <c r="T394" s="202">
        <f t="shared" si="8"/>
        <v>0</v>
      </c>
      <c r="U394" s="198"/>
      <c r="V394" s="199"/>
      <c r="W394" s="197"/>
      <c r="X394" s="197"/>
      <c r="Y394" s="199"/>
      <c r="Z394" s="199"/>
      <c r="AA394" s="204" t="str">
        <f t="shared" si="4"/>
        <v/>
      </c>
      <c r="AB394" s="198"/>
      <c r="AC394" s="199"/>
      <c r="AD394" s="199"/>
      <c r="AE394" s="199"/>
      <c r="AF394" s="199"/>
      <c r="AG394" s="199"/>
      <c r="AH394" s="199"/>
      <c r="AI394" s="199"/>
      <c r="AJ394" s="199"/>
      <c r="AK394" s="199"/>
      <c r="AL394" s="199"/>
      <c r="AM394" s="198"/>
      <c r="AN394" s="197"/>
      <c r="AO394" s="197"/>
      <c r="AP394" s="197"/>
      <c r="AQ394" s="197"/>
      <c r="AR394" s="197"/>
      <c r="AS394" s="197"/>
    </row>
    <row r="395">
      <c r="A395" s="198" t="str">
        <f t="shared" si="1"/>
        <v/>
      </c>
      <c r="B395" s="205"/>
      <c r="C395" s="198"/>
      <c r="D395" s="199"/>
      <c r="E395" s="213"/>
      <c r="F395" s="198"/>
      <c r="G395" s="198"/>
      <c r="H395" s="199"/>
      <c r="I395" s="207"/>
      <c r="J395" s="199"/>
      <c r="K395" s="202"/>
      <c r="L395" s="205" t="str">
        <f>IFERROR(__xludf.DUMMYFUNCTION("IFERROR(
    INDEX(FILTER('Arrived Shipments'!O:O, 'Arrived Shipments'!B:B=$B395),1),
    IFERROR(
        INDEX(FILTER('POed not arrived'!D:D, 'POed not arrived'!A:A=$B395),1),
        """"
    )
)"),"")</f>
        <v/>
      </c>
      <c r="M395" s="202"/>
      <c r="N395" s="223" t="str">
        <f>IFERROR(__xludf.DUMMYFUNCTION("IFERROR(
    INDEX(FILTER('Arrived Shipments'!O:O, 'Arrived Shipments'!B:B=$B395),2),
    IFERROR(
        INDEX(FILTER('POed not arrived'!D:D, 'POed not arrived'!A:A=$B395),2),
        """"
    )
)"),"")</f>
        <v/>
      </c>
      <c r="O395" s="202"/>
      <c r="P395" s="202" t="str">
        <f>IFERROR(__xludf.DUMMYFUNCTION("IFERROR(
    INDEX(FILTER('Arrived Shipments'!O:O, 'Arrived Shipments'!B:B=$B395),3),
    IFERROR(
        INDEX(FILTER('POed not arrived'!D:D, 'POed not arrived'!A:A=$B395),3),
        """"
    )
)"),"")</f>
        <v/>
      </c>
      <c r="Q395" s="202"/>
      <c r="R395" s="206" t="str">
        <f>IFERROR(__xludf.DUMMYFUNCTION("IFERROR(
    INDEX(FILTER('Arrived Shipments'!O:O, 'Arrived Shipments'!B:B=$B395),4),
    IFERROR(
        INDEX(FILTER('POed not arrived'!D:D, 'POed not arrived'!A:A=$B395),4),
        """"
    )
)"),"")</f>
        <v/>
      </c>
      <c r="S395" s="202"/>
      <c r="T395" s="202">
        <f t="shared" si="8"/>
        <v>0</v>
      </c>
      <c r="U395" s="198"/>
      <c r="V395" s="199"/>
      <c r="W395" s="197"/>
      <c r="X395" s="197"/>
      <c r="Y395" s="199"/>
      <c r="Z395" s="199"/>
      <c r="AA395" s="204" t="str">
        <f t="shared" si="4"/>
        <v/>
      </c>
      <c r="AB395" s="198"/>
      <c r="AC395" s="199"/>
      <c r="AD395" s="199"/>
      <c r="AE395" s="199"/>
      <c r="AF395" s="199"/>
      <c r="AG395" s="199"/>
      <c r="AH395" s="199"/>
      <c r="AI395" s="199"/>
      <c r="AJ395" s="199"/>
      <c r="AK395" s="199"/>
      <c r="AL395" s="199"/>
      <c r="AM395" s="198"/>
      <c r="AN395" s="197"/>
      <c r="AO395" s="197"/>
      <c r="AP395" s="197"/>
      <c r="AQ395" s="197"/>
      <c r="AR395" s="197"/>
      <c r="AS395" s="197"/>
    </row>
    <row r="396">
      <c r="A396" s="198" t="str">
        <f t="shared" si="1"/>
        <v/>
      </c>
      <c r="B396" s="205"/>
      <c r="C396" s="198"/>
      <c r="D396" s="199"/>
      <c r="E396" s="213"/>
      <c r="F396" s="198"/>
      <c r="G396" s="198"/>
      <c r="H396" s="199"/>
      <c r="I396" s="207"/>
      <c r="J396" s="199"/>
      <c r="K396" s="202"/>
      <c r="L396" s="205" t="str">
        <f>IFERROR(__xludf.DUMMYFUNCTION("IFERROR(
    INDEX(FILTER('Arrived Shipments'!O:O, 'Arrived Shipments'!B:B=$B396),1),
    IFERROR(
        INDEX(FILTER('POed not arrived'!D:D, 'POed not arrived'!A:A=$B396),1),
        """"
    )
)"),"")</f>
        <v/>
      </c>
      <c r="M396" s="202"/>
      <c r="N396" s="223" t="str">
        <f>IFERROR(__xludf.DUMMYFUNCTION("IFERROR(
    INDEX(FILTER('Arrived Shipments'!O:O, 'Arrived Shipments'!B:B=$B396),2),
    IFERROR(
        INDEX(FILTER('POed not arrived'!D:D, 'POed not arrived'!A:A=$B396),2),
        """"
    )
)"),"")</f>
        <v/>
      </c>
      <c r="O396" s="202"/>
      <c r="P396" s="202" t="str">
        <f>IFERROR(__xludf.DUMMYFUNCTION("IFERROR(
    INDEX(FILTER('Arrived Shipments'!O:O, 'Arrived Shipments'!B:B=$B396),3),
    IFERROR(
        INDEX(FILTER('POed not arrived'!D:D, 'POed not arrived'!A:A=$B396),3),
        """"
    )
)"),"")</f>
        <v/>
      </c>
      <c r="Q396" s="202"/>
      <c r="R396" s="206" t="str">
        <f>IFERROR(__xludf.DUMMYFUNCTION("IFERROR(
    INDEX(FILTER('Arrived Shipments'!O:O, 'Arrived Shipments'!B:B=$B396),4),
    IFERROR(
        INDEX(FILTER('POed not arrived'!D:D, 'POed not arrived'!A:A=$B396),4),
        """"
    )
)"),"")</f>
        <v/>
      </c>
      <c r="S396" s="202"/>
      <c r="T396" s="202">
        <f t="shared" si="8"/>
        <v>0</v>
      </c>
      <c r="U396" s="198"/>
      <c r="V396" s="199"/>
      <c r="W396" s="197"/>
      <c r="X396" s="197"/>
      <c r="Y396" s="199"/>
      <c r="Z396" s="199"/>
      <c r="AA396" s="204" t="str">
        <f t="shared" si="4"/>
        <v/>
      </c>
      <c r="AB396" s="198"/>
      <c r="AC396" s="199"/>
      <c r="AD396" s="199"/>
      <c r="AE396" s="199"/>
      <c r="AF396" s="199"/>
      <c r="AG396" s="199"/>
      <c r="AH396" s="199"/>
      <c r="AI396" s="199"/>
      <c r="AJ396" s="199"/>
      <c r="AK396" s="199"/>
      <c r="AL396" s="199"/>
      <c r="AM396" s="198"/>
      <c r="AN396" s="197"/>
      <c r="AO396" s="197"/>
      <c r="AP396" s="197"/>
      <c r="AQ396" s="197"/>
      <c r="AR396" s="197"/>
      <c r="AS396" s="197"/>
    </row>
    <row r="397">
      <c r="A397" s="198" t="str">
        <f t="shared" si="1"/>
        <v/>
      </c>
      <c r="B397" s="205"/>
      <c r="C397" s="198"/>
      <c r="D397" s="199"/>
      <c r="E397" s="213"/>
      <c r="F397" s="198"/>
      <c r="G397" s="198"/>
      <c r="H397" s="199"/>
      <c r="I397" s="207"/>
      <c r="J397" s="199"/>
      <c r="K397" s="202"/>
      <c r="L397" s="205" t="str">
        <f>IFERROR(__xludf.DUMMYFUNCTION("IFERROR(
    INDEX(FILTER('Arrived Shipments'!O:O, 'Arrived Shipments'!B:B=$B397),1),
    IFERROR(
        INDEX(FILTER('POed not arrived'!D:D, 'POed not arrived'!A:A=$B397),1),
        """"
    )
)"),"")</f>
        <v/>
      </c>
      <c r="M397" s="202"/>
      <c r="N397" s="223" t="str">
        <f>IFERROR(__xludf.DUMMYFUNCTION("IFERROR(
    INDEX(FILTER('Arrived Shipments'!O:O, 'Arrived Shipments'!B:B=$B397),2),
    IFERROR(
        INDEX(FILTER('POed not arrived'!D:D, 'POed not arrived'!A:A=$B397),2),
        """"
    )
)"),"")</f>
        <v/>
      </c>
      <c r="O397" s="202"/>
      <c r="P397" s="202" t="str">
        <f>IFERROR(__xludf.DUMMYFUNCTION("IFERROR(
    INDEX(FILTER('Arrived Shipments'!O:O, 'Arrived Shipments'!B:B=$B397),3),
    IFERROR(
        INDEX(FILTER('POed not arrived'!D:D, 'POed not arrived'!A:A=$B397),3),
        """"
    )
)"),"")</f>
        <v/>
      </c>
      <c r="Q397" s="202"/>
      <c r="R397" s="206" t="str">
        <f>IFERROR(__xludf.DUMMYFUNCTION("IFERROR(
    INDEX(FILTER('Arrived Shipments'!O:O, 'Arrived Shipments'!B:B=$B397),4),
    IFERROR(
        INDEX(FILTER('POed not arrived'!D:D, 'POed not arrived'!A:A=$B397),4),
        """"
    )
)"),"")</f>
        <v/>
      </c>
      <c r="S397" s="202"/>
      <c r="T397" s="202">
        <f t="shared" si="8"/>
        <v>0</v>
      </c>
      <c r="U397" s="198"/>
      <c r="V397" s="199"/>
      <c r="W397" s="197"/>
      <c r="X397" s="197"/>
      <c r="Y397" s="199"/>
      <c r="Z397" s="199"/>
      <c r="AA397" s="204" t="str">
        <f t="shared" si="4"/>
        <v/>
      </c>
      <c r="AB397" s="198"/>
      <c r="AC397" s="199"/>
      <c r="AD397" s="199"/>
      <c r="AE397" s="199"/>
      <c r="AF397" s="199"/>
      <c r="AG397" s="199"/>
      <c r="AH397" s="199"/>
      <c r="AI397" s="199"/>
      <c r="AJ397" s="199"/>
      <c r="AK397" s="199"/>
      <c r="AL397" s="199"/>
      <c r="AM397" s="198"/>
      <c r="AN397" s="197"/>
      <c r="AO397" s="197"/>
      <c r="AP397" s="197"/>
      <c r="AQ397" s="197"/>
      <c r="AR397" s="197"/>
      <c r="AS397" s="197"/>
    </row>
    <row r="398">
      <c r="A398" s="198" t="str">
        <f t="shared" si="1"/>
        <v/>
      </c>
      <c r="B398" s="205"/>
      <c r="C398" s="198"/>
      <c r="D398" s="199"/>
      <c r="E398" s="213"/>
      <c r="F398" s="198"/>
      <c r="G398" s="198"/>
      <c r="H398" s="199"/>
      <c r="I398" s="207"/>
      <c r="J398" s="199"/>
      <c r="K398" s="202"/>
      <c r="L398" s="205" t="str">
        <f>IFERROR(__xludf.DUMMYFUNCTION("IFERROR(
    INDEX(FILTER('Arrived Shipments'!O:O, 'Arrived Shipments'!B:B=$B398),1),
    IFERROR(
        INDEX(FILTER('POed not arrived'!D:D, 'POed not arrived'!A:A=$B398),1),
        """"
    )
)"),"")</f>
        <v/>
      </c>
      <c r="M398" s="202"/>
      <c r="N398" s="223" t="str">
        <f>IFERROR(__xludf.DUMMYFUNCTION("IFERROR(
    INDEX(FILTER('Arrived Shipments'!O:O, 'Arrived Shipments'!B:B=$B398),2),
    IFERROR(
        INDEX(FILTER('POed not arrived'!D:D, 'POed not arrived'!A:A=$B398),2),
        """"
    )
)"),"")</f>
        <v/>
      </c>
      <c r="O398" s="202"/>
      <c r="P398" s="202" t="str">
        <f>IFERROR(__xludf.DUMMYFUNCTION("IFERROR(
    INDEX(FILTER('Arrived Shipments'!O:O, 'Arrived Shipments'!B:B=$B398),3),
    IFERROR(
        INDEX(FILTER('POed not arrived'!D:D, 'POed not arrived'!A:A=$B398),3),
        """"
    )
)"),"")</f>
        <v/>
      </c>
      <c r="Q398" s="202"/>
      <c r="R398" s="206" t="str">
        <f>IFERROR(__xludf.DUMMYFUNCTION("IFERROR(
    INDEX(FILTER('Arrived Shipments'!O:O, 'Arrived Shipments'!B:B=$B398),4),
    IFERROR(
        INDEX(FILTER('POed not arrived'!D:D, 'POed not arrived'!A:A=$B398),4),
        """"
    )
)"),"")</f>
        <v/>
      </c>
      <c r="S398" s="202"/>
      <c r="T398" s="202">
        <f t="shared" si="8"/>
        <v>0</v>
      </c>
      <c r="U398" s="198"/>
      <c r="V398" s="199"/>
      <c r="W398" s="197"/>
      <c r="X398" s="197"/>
      <c r="Y398" s="199"/>
      <c r="Z398" s="199"/>
      <c r="AA398" s="204" t="str">
        <f t="shared" si="4"/>
        <v/>
      </c>
      <c r="AB398" s="198"/>
      <c r="AC398" s="199"/>
      <c r="AD398" s="199"/>
      <c r="AE398" s="199"/>
      <c r="AF398" s="199"/>
      <c r="AG398" s="199"/>
      <c r="AH398" s="199"/>
      <c r="AI398" s="199"/>
      <c r="AJ398" s="199"/>
      <c r="AK398" s="199"/>
      <c r="AL398" s="199"/>
      <c r="AM398" s="198"/>
      <c r="AN398" s="197"/>
      <c r="AO398" s="197"/>
      <c r="AP398" s="197"/>
      <c r="AQ398" s="197"/>
      <c r="AR398" s="197"/>
      <c r="AS398" s="197"/>
    </row>
    <row r="399">
      <c r="A399" s="198" t="str">
        <f t="shared" si="1"/>
        <v/>
      </c>
      <c r="B399" s="205"/>
      <c r="C399" s="198"/>
      <c r="D399" s="199"/>
      <c r="E399" s="213"/>
      <c r="F399" s="198"/>
      <c r="G399" s="198"/>
      <c r="H399" s="199"/>
      <c r="I399" s="207"/>
      <c r="J399" s="199"/>
      <c r="K399" s="202"/>
      <c r="L399" s="205" t="str">
        <f>IFERROR(__xludf.DUMMYFUNCTION("IFERROR(
    INDEX(FILTER('Arrived Shipments'!O:O, 'Arrived Shipments'!B:B=$B399),1),
    IFERROR(
        INDEX(FILTER('POed not arrived'!D:D, 'POed not arrived'!A:A=$B399),1),
        """"
    )
)"),"")</f>
        <v/>
      </c>
      <c r="M399" s="202"/>
      <c r="N399" s="223" t="str">
        <f>IFERROR(__xludf.DUMMYFUNCTION("IFERROR(
    INDEX(FILTER('Arrived Shipments'!O:O, 'Arrived Shipments'!B:B=$B399),2),
    IFERROR(
        INDEX(FILTER('POed not arrived'!D:D, 'POed not arrived'!A:A=$B399),2),
        """"
    )
)"),"")</f>
        <v/>
      </c>
      <c r="O399" s="202"/>
      <c r="P399" s="202" t="str">
        <f>IFERROR(__xludf.DUMMYFUNCTION("IFERROR(
    INDEX(FILTER('Arrived Shipments'!O:O, 'Arrived Shipments'!B:B=$B399),3),
    IFERROR(
        INDEX(FILTER('POed not arrived'!D:D, 'POed not arrived'!A:A=$B399),3),
        """"
    )
)"),"")</f>
        <v/>
      </c>
      <c r="Q399" s="202"/>
      <c r="R399" s="206" t="str">
        <f>IFERROR(__xludf.DUMMYFUNCTION("IFERROR(
    INDEX(FILTER('Arrived Shipments'!O:O, 'Arrived Shipments'!B:B=$B399),4),
    IFERROR(
        INDEX(FILTER('POed not arrived'!D:D, 'POed not arrived'!A:A=$B399),4),
        """"
    )
)"),"")</f>
        <v/>
      </c>
      <c r="S399" s="202"/>
      <c r="T399" s="202">
        <f t="shared" si="8"/>
        <v>0</v>
      </c>
      <c r="U399" s="198"/>
      <c r="V399" s="199"/>
      <c r="W399" s="197"/>
      <c r="X399" s="197"/>
      <c r="Y399" s="199"/>
      <c r="Z399" s="199"/>
      <c r="AA399" s="204" t="str">
        <f t="shared" si="4"/>
        <v/>
      </c>
      <c r="AB399" s="198"/>
      <c r="AC399" s="199"/>
      <c r="AD399" s="199"/>
      <c r="AE399" s="199"/>
      <c r="AF399" s="199"/>
      <c r="AG399" s="199"/>
      <c r="AH399" s="199"/>
      <c r="AI399" s="199"/>
      <c r="AJ399" s="199"/>
      <c r="AK399" s="199"/>
      <c r="AL399" s="199"/>
      <c r="AM399" s="198"/>
      <c r="AN399" s="197"/>
      <c r="AO399" s="197"/>
      <c r="AP399" s="197"/>
      <c r="AQ399" s="197"/>
      <c r="AR399" s="197"/>
      <c r="AS399" s="197"/>
    </row>
    <row r="400">
      <c r="A400" s="198" t="str">
        <f t="shared" si="1"/>
        <v/>
      </c>
      <c r="B400" s="205"/>
      <c r="C400" s="198"/>
      <c r="D400" s="199"/>
      <c r="E400" s="213"/>
      <c r="F400" s="198"/>
      <c r="G400" s="198"/>
      <c r="H400" s="199"/>
      <c r="I400" s="207"/>
      <c r="J400" s="199"/>
      <c r="K400" s="202"/>
      <c r="L400" s="205" t="str">
        <f>IFERROR(__xludf.DUMMYFUNCTION("IFERROR(
    INDEX(FILTER('Arrived Shipments'!O:O, 'Arrived Shipments'!B:B=$B400),1),
    IFERROR(
        INDEX(FILTER('POed not arrived'!D:D, 'POed not arrived'!A:A=$B400),1),
        """"
    )
)"),"")</f>
        <v/>
      </c>
      <c r="M400" s="202"/>
      <c r="N400" s="223" t="str">
        <f>IFERROR(__xludf.DUMMYFUNCTION("IFERROR(
    INDEX(FILTER('Arrived Shipments'!O:O, 'Arrived Shipments'!B:B=$B400),2),
    IFERROR(
        INDEX(FILTER('POed not arrived'!D:D, 'POed not arrived'!A:A=$B400),2),
        """"
    )
)"),"")</f>
        <v/>
      </c>
      <c r="O400" s="202"/>
      <c r="P400" s="202" t="str">
        <f>IFERROR(__xludf.DUMMYFUNCTION("IFERROR(
    INDEX(FILTER('Arrived Shipments'!O:O, 'Arrived Shipments'!B:B=$B400),3),
    IFERROR(
        INDEX(FILTER('POed not arrived'!D:D, 'POed not arrived'!A:A=$B400),3),
        """"
    )
)"),"")</f>
        <v/>
      </c>
      <c r="Q400" s="202"/>
      <c r="R400" s="206" t="str">
        <f>IFERROR(__xludf.DUMMYFUNCTION("IFERROR(
    INDEX(FILTER('Arrived Shipments'!O:O, 'Arrived Shipments'!B:B=$B400),4),
    IFERROR(
        INDEX(FILTER('POed not arrived'!D:D, 'POed not arrived'!A:A=$B400),4),
        """"
    )
)"),"")</f>
        <v/>
      </c>
      <c r="S400" s="202"/>
      <c r="T400" s="202">
        <f t="shared" si="8"/>
        <v>0</v>
      </c>
      <c r="U400" s="198"/>
      <c r="V400" s="199"/>
      <c r="W400" s="197"/>
      <c r="X400" s="197"/>
      <c r="Y400" s="199"/>
      <c r="Z400" s="199"/>
      <c r="AA400" s="204" t="str">
        <f t="shared" si="4"/>
        <v/>
      </c>
      <c r="AB400" s="198"/>
      <c r="AC400" s="199"/>
      <c r="AD400" s="199"/>
      <c r="AE400" s="199"/>
      <c r="AF400" s="199"/>
      <c r="AG400" s="199"/>
      <c r="AH400" s="199"/>
      <c r="AI400" s="199"/>
      <c r="AJ400" s="199"/>
      <c r="AK400" s="199"/>
      <c r="AL400" s="199"/>
      <c r="AM400" s="198"/>
      <c r="AN400" s="197"/>
      <c r="AO400" s="197"/>
      <c r="AP400" s="197"/>
      <c r="AQ400" s="197"/>
      <c r="AR400" s="197"/>
      <c r="AS400" s="197"/>
    </row>
    <row r="401">
      <c r="A401" s="198" t="str">
        <f t="shared" si="1"/>
        <v/>
      </c>
      <c r="B401" s="205"/>
      <c r="C401" s="198"/>
      <c r="D401" s="199"/>
      <c r="E401" s="213"/>
      <c r="F401" s="198"/>
      <c r="G401" s="198"/>
      <c r="H401" s="199"/>
      <c r="I401" s="207"/>
      <c r="J401" s="199"/>
      <c r="K401" s="202"/>
      <c r="L401" s="205" t="str">
        <f>IFERROR(__xludf.DUMMYFUNCTION("IFERROR(
    INDEX(FILTER('Arrived Shipments'!O:O, 'Arrived Shipments'!B:B=$B401),1),
    IFERROR(
        INDEX(FILTER('POed not arrived'!D:D, 'POed not arrived'!A:A=$B401),1),
        """"
    )
)"),"")</f>
        <v/>
      </c>
      <c r="M401" s="202"/>
      <c r="N401" s="223" t="str">
        <f>IFERROR(__xludf.DUMMYFUNCTION("IFERROR(
    INDEX(FILTER('Arrived Shipments'!O:O, 'Arrived Shipments'!B:B=$B401),2),
    IFERROR(
        INDEX(FILTER('POed not arrived'!D:D, 'POed not arrived'!A:A=$B401),2),
        """"
    )
)"),"")</f>
        <v/>
      </c>
      <c r="O401" s="202"/>
      <c r="P401" s="202" t="str">
        <f>IFERROR(__xludf.DUMMYFUNCTION("IFERROR(
    INDEX(FILTER('Arrived Shipments'!O:O, 'Arrived Shipments'!B:B=$B401),3),
    IFERROR(
        INDEX(FILTER('POed not arrived'!D:D, 'POed not arrived'!A:A=$B401),3),
        """"
    )
)"),"")</f>
        <v/>
      </c>
      <c r="Q401" s="202"/>
      <c r="R401" s="206" t="str">
        <f>IFERROR(__xludf.DUMMYFUNCTION("IFERROR(
    INDEX(FILTER('Arrived Shipments'!O:O, 'Arrived Shipments'!B:B=$B401),4),
    IFERROR(
        INDEX(FILTER('POed not arrived'!D:D, 'POed not arrived'!A:A=$B401),4),
        """"
    )
)"),"")</f>
        <v/>
      </c>
      <c r="S401" s="202"/>
      <c r="T401" s="202">
        <f t="shared" si="8"/>
        <v>0</v>
      </c>
      <c r="U401" s="198"/>
      <c r="V401" s="199"/>
      <c r="W401" s="197"/>
      <c r="X401" s="197"/>
      <c r="Y401" s="199"/>
      <c r="Z401" s="199"/>
      <c r="AA401" s="204" t="str">
        <f t="shared" si="4"/>
        <v/>
      </c>
      <c r="AB401" s="198"/>
      <c r="AC401" s="199"/>
      <c r="AD401" s="199"/>
      <c r="AE401" s="199"/>
      <c r="AF401" s="199"/>
      <c r="AG401" s="199"/>
      <c r="AH401" s="199"/>
      <c r="AI401" s="199"/>
      <c r="AJ401" s="199"/>
      <c r="AK401" s="199"/>
      <c r="AL401" s="199"/>
      <c r="AM401" s="198"/>
      <c r="AN401" s="197"/>
      <c r="AO401" s="197"/>
      <c r="AP401" s="197"/>
      <c r="AQ401" s="197"/>
      <c r="AR401" s="197"/>
      <c r="AS401" s="197"/>
    </row>
    <row r="402">
      <c r="A402" s="198" t="str">
        <f t="shared" si="1"/>
        <v/>
      </c>
      <c r="B402" s="205"/>
      <c r="C402" s="198"/>
      <c r="D402" s="199"/>
      <c r="E402" s="213"/>
      <c r="F402" s="198"/>
      <c r="G402" s="198"/>
      <c r="H402" s="199"/>
      <c r="I402" s="207"/>
      <c r="J402" s="199"/>
      <c r="K402" s="202"/>
      <c r="L402" s="205" t="str">
        <f>IFERROR(__xludf.DUMMYFUNCTION("IFERROR(
    INDEX(FILTER('Arrived Shipments'!O:O, 'Arrived Shipments'!B:B=$B402),1),
    IFERROR(
        INDEX(FILTER('POed not arrived'!D:D, 'POed not arrived'!A:A=$B402),1),
        """"
    )
)"),"")</f>
        <v/>
      </c>
      <c r="M402" s="202"/>
      <c r="N402" s="223" t="str">
        <f>IFERROR(__xludf.DUMMYFUNCTION("IFERROR(
    INDEX(FILTER('Arrived Shipments'!O:O, 'Arrived Shipments'!B:B=$B402),2),
    IFERROR(
        INDEX(FILTER('POed not arrived'!D:D, 'POed not arrived'!A:A=$B402),2),
        """"
    )
)"),"")</f>
        <v/>
      </c>
      <c r="O402" s="202"/>
      <c r="P402" s="202" t="str">
        <f>IFERROR(__xludf.DUMMYFUNCTION("IFERROR(
    INDEX(FILTER('Arrived Shipments'!O:O, 'Arrived Shipments'!B:B=$B402),3),
    IFERROR(
        INDEX(FILTER('POed not arrived'!D:D, 'POed not arrived'!A:A=$B402),3),
        """"
    )
)"),"")</f>
        <v/>
      </c>
      <c r="Q402" s="202"/>
      <c r="R402" s="206" t="str">
        <f>IFERROR(__xludf.DUMMYFUNCTION("IFERROR(
    INDEX(FILTER('Arrived Shipments'!O:O, 'Arrived Shipments'!B:B=$B402),4),
    IFERROR(
        INDEX(FILTER('POed not arrived'!D:D, 'POed not arrived'!A:A=$B402),4),
        """"
    )
)"),"")</f>
        <v/>
      </c>
      <c r="S402" s="202"/>
      <c r="T402" s="202">
        <f t="shared" si="8"/>
        <v>0</v>
      </c>
      <c r="U402" s="198"/>
      <c r="V402" s="199"/>
      <c r="W402" s="197"/>
      <c r="X402" s="197"/>
      <c r="Y402" s="199"/>
      <c r="Z402" s="199"/>
      <c r="AA402" s="204" t="str">
        <f t="shared" si="4"/>
        <v/>
      </c>
      <c r="AB402" s="198"/>
      <c r="AC402" s="199"/>
      <c r="AD402" s="199"/>
      <c r="AE402" s="199"/>
      <c r="AF402" s="199"/>
      <c r="AG402" s="199"/>
      <c r="AH402" s="199"/>
      <c r="AI402" s="199"/>
      <c r="AJ402" s="199"/>
      <c r="AK402" s="199"/>
      <c r="AL402" s="199"/>
      <c r="AM402" s="198"/>
      <c r="AN402" s="197"/>
      <c r="AO402" s="197"/>
      <c r="AP402" s="197"/>
      <c r="AQ402" s="197"/>
      <c r="AR402" s="197"/>
      <c r="AS402" s="197"/>
    </row>
    <row r="403">
      <c r="A403" s="198" t="str">
        <f t="shared" si="1"/>
        <v/>
      </c>
      <c r="B403" s="205"/>
      <c r="C403" s="198"/>
      <c r="D403" s="199"/>
      <c r="E403" s="213"/>
      <c r="F403" s="198"/>
      <c r="G403" s="198"/>
      <c r="H403" s="199"/>
      <c r="I403" s="207"/>
      <c r="J403" s="199"/>
      <c r="K403" s="202"/>
      <c r="L403" s="205" t="str">
        <f>IFERROR(__xludf.DUMMYFUNCTION("IFERROR(
    INDEX(FILTER('Arrived Shipments'!O:O, 'Arrived Shipments'!B:B=$B403),1),
    IFERROR(
        INDEX(FILTER('POed not arrived'!D:D, 'POed not arrived'!A:A=$B403),1),
        """"
    )
)"),"")</f>
        <v/>
      </c>
      <c r="M403" s="202"/>
      <c r="N403" s="223" t="str">
        <f>IFERROR(__xludf.DUMMYFUNCTION("IFERROR(
    INDEX(FILTER('Arrived Shipments'!O:O, 'Arrived Shipments'!B:B=$B403),2),
    IFERROR(
        INDEX(FILTER('POed not arrived'!D:D, 'POed not arrived'!A:A=$B403),2),
        """"
    )
)"),"")</f>
        <v/>
      </c>
      <c r="O403" s="202"/>
      <c r="P403" s="202" t="str">
        <f>IFERROR(__xludf.DUMMYFUNCTION("IFERROR(
    INDEX(FILTER('Arrived Shipments'!O:O, 'Arrived Shipments'!B:B=$B403),3),
    IFERROR(
        INDEX(FILTER('POed not arrived'!D:D, 'POed not arrived'!A:A=$B403),3),
        """"
    )
)"),"")</f>
        <v/>
      </c>
      <c r="Q403" s="202"/>
      <c r="R403" s="206" t="str">
        <f>IFERROR(__xludf.DUMMYFUNCTION("IFERROR(
    INDEX(FILTER('Arrived Shipments'!O:O, 'Arrived Shipments'!B:B=$B403),4),
    IFERROR(
        INDEX(FILTER('POed not arrived'!D:D, 'POed not arrived'!A:A=$B403),4),
        """"
    )
)"),"")</f>
        <v/>
      </c>
      <c r="S403" s="202"/>
      <c r="T403" s="202">
        <f t="shared" si="8"/>
        <v>0</v>
      </c>
      <c r="U403" s="198"/>
      <c r="V403" s="199"/>
      <c r="W403" s="197"/>
      <c r="X403" s="197"/>
      <c r="Y403" s="199"/>
      <c r="Z403" s="199"/>
      <c r="AA403" s="204" t="str">
        <f t="shared" si="4"/>
        <v/>
      </c>
      <c r="AB403" s="198"/>
      <c r="AC403" s="199"/>
      <c r="AD403" s="199"/>
      <c r="AE403" s="199"/>
      <c r="AF403" s="199"/>
      <c r="AG403" s="199"/>
      <c r="AH403" s="199"/>
      <c r="AI403" s="199"/>
      <c r="AJ403" s="199"/>
      <c r="AK403" s="199"/>
      <c r="AL403" s="199"/>
      <c r="AM403" s="198"/>
      <c r="AN403" s="197"/>
      <c r="AO403" s="197"/>
      <c r="AP403" s="197"/>
      <c r="AQ403" s="197"/>
      <c r="AR403" s="197"/>
      <c r="AS403" s="197"/>
    </row>
    <row r="404">
      <c r="A404" s="198" t="str">
        <f t="shared" si="1"/>
        <v/>
      </c>
      <c r="B404" s="205"/>
      <c r="C404" s="198"/>
      <c r="D404" s="199"/>
      <c r="E404" s="213"/>
      <c r="F404" s="198"/>
      <c r="G404" s="198"/>
      <c r="H404" s="199"/>
      <c r="I404" s="207"/>
      <c r="J404" s="199"/>
      <c r="K404" s="202"/>
      <c r="L404" s="205" t="str">
        <f>IFERROR(__xludf.DUMMYFUNCTION("IFERROR(
    INDEX(FILTER('Arrived Shipments'!O:O, 'Arrived Shipments'!B:B=$B404),1),
    IFERROR(
        INDEX(FILTER('POed not arrived'!D:D, 'POed not arrived'!A:A=$B404),1),
        """"
    )
)"),"")</f>
        <v/>
      </c>
      <c r="M404" s="202"/>
      <c r="N404" s="223" t="str">
        <f>IFERROR(__xludf.DUMMYFUNCTION("IFERROR(
    INDEX(FILTER('Arrived Shipments'!O:O, 'Arrived Shipments'!B:B=$B404),2),
    IFERROR(
        INDEX(FILTER('POed not arrived'!D:D, 'POed not arrived'!A:A=$B404),2),
        """"
    )
)"),"")</f>
        <v/>
      </c>
      <c r="O404" s="202"/>
      <c r="P404" s="202" t="str">
        <f>IFERROR(__xludf.DUMMYFUNCTION("IFERROR(
    INDEX(FILTER('Arrived Shipments'!O:O, 'Arrived Shipments'!B:B=$B404),3),
    IFERROR(
        INDEX(FILTER('POed not arrived'!D:D, 'POed not arrived'!A:A=$B404),3),
        """"
    )
)"),"")</f>
        <v/>
      </c>
      <c r="Q404" s="202"/>
      <c r="R404" s="206" t="str">
        <f>IFERROR(__xludf.DUMMYFUNCTION("IFERROR(
    INDEX(FILTER('Arrived Shipments'!O:O, 'Arrived Shipments'!B:B=$B404),4),
    IFERROR(
        INDEX(FILTER('POed not arrived'!D:D, 'POed not arrived'!A:A=$B404),4),
        """"
    )
)"),"")</f>
        <v/>
      </c>
      <c r="S404" s="202"/>
      <c r="T404" s="202">
        <f t="shared" si="8"/>
        <v>0</v>
      </c>
      <c r="U404" s="198"/>
      <c r="V404" s="199"/>
      <c r="W404" s="197"/>
      <c r="X404" s="197"/>
      <c r="Y404" s="199"/>
      <c r="Z404" s="199"/>
      <c r="AA404" s="204" t="str">
        <f t="shared" si="4"/>
        <v/>
      </c>
      <c r="AB404" s="198"/>
      <c r="AC404" s="199"/>
      <c r="AD404" s="199"/>
      <c r="AE404" s="199"/>
      <c r="AF404" s="199"/>
      <c r="AG404" s="199"/>
      <c r="AH404" s="199"/>
      <c r="AI404" s="199"/>
      <c r="AJ404" s="199"/>
      <c r="AK404" s="199"/>
      <c r="AL404" s="199"/>
      <c r="AM404" s="198"/>
      <c r="AN404" s="197"/>
      <c r="AO404" s="197"/>
      <c r="AP404" s="197"/>
      <c r="AQ404" s="197"/>
      <c r="AR404" s="197"/>
      <c r="AS404" s="197"/>
    </row>
    <row r="405">
      <c r="A405" s="198" t="str">
        <f t="shared" si="1"/>
        <v/>
      </c>
      <c r="B405" s="205"/>
      <c r="C405" s="198"/>
      <c r="D405" s="199"/>
      <c r="E405" s="213"/>
      <c r="F405" s="198"/>
      <c r="G405" s="198"/>
      <c r="H405" s="199"/>
      <c r="I405" s="207"/>
      <c r="J405" s="199"/>
      <c r="K405" s="202"/>
      <c r="L405" s="205" t="str">
        <f>IFERROR(__xludf.DUMMYFUNCTION("IFERROR(
    INDEX(FILTER('Arrived Shipments'!O:O, 'Arrived Shipments'!B:B=$B405),1),
    IFERROR(
        INDEX(FILTER('POed not arrived'!D:D, 'POed not arrived'!A:A=$B405),1),
        """"
    )
)"),"")</f>
        <v/>
      </c>
      <c r="M405" s="202"/>
      <c r="N405" s="223" t="str">
        <f>IFERROR(__xludf.DUMMYFUNCTION("IFERROR(
    INDEX(FILTER('Arrived Shipments'!O:O, 'Arrived Shipments'!B:B=$B405),2),
    IFERROR(
        INDEX(FILTER('POed not arrived'!D:D, 'POed not arrived'!A:A=$B405),2),
        """"
    )
)"),"")</f>
        <v/>
      </c>
      <c r="O405" s="202"/>
      <c r="P405" s="202" t="str">
        <f>IFERROR(__xludf.DUMMYFUNCTION("IFERROR(
    INDEX(FILTER('Arrived Shipments'!O:O, 'Arrived Shipments'!B:B=$B405),3),
    IFERROR(
        INDEX(FILTER('POed not arrived'!D:D, 'POed not arrived'!A:A=$B405),3),
        """"
    )
)"),"")</f>
        <v/>
      </c>
      <c r="Q405" s="202"/>
      <c r="R405" s="206" t="str">
        <f>IFERROR(__xludf.DUMMYFUNCTION("IFERROR(
    INDEX(FILTER('Arrived Shipments'!O:O, 'Arrived Shipments'!B:B=$B405),4),
    IFERROR(
        INDEX(FILTER('POed not arrived'!D:D, 'POed not arrived'!A:A=$B405),4),
        """"
    )
)"),"")</f>
        <v/>
      </c>
      <c r="S405" s="202"/>
      <c r="T405" s="202">
        <f t="shared" si="8"/>
        <v>0</v>
      </c>
      <c r="U405" s="198"/>
      <c r="V405" s="199"/>
      <c r="W405" s="197"/>
      <c r="X405" s="197"/>
      <c r="Y405" s="199"/>
      <c r="Z405" s="199"/>
      <c r="AA405" s="204" t="str">
        <f t="shared" si="4"/>
        <v/>
      </c>
      <c r="AB405" s="198"/>
      <c r="AC405" s="199"/>
      <c r="AD405" s="199"/>
      <c r="AE405" s="199"/>
      <c r="AF405" s="199"/>
      <c r="AG405" s="199"/>
      <c r="AH405" s="199"/>
      <c r="AI405" s="199"/>
      <c r="AJ405" s="199"/>
      <c r="AK405" s="199"/>
      <c r="AL405" s="199"/>
      <c r="AM405" s="198"/>
      <c r="AN405" s="197"/>
      <c r="AO405" s="197"/>
      <c r="AP405" s="197"/>
      <c r="AQ405" s="197"/>
      <c r="AR405" s="197"/>
      <c r="AS405" s="197"/>
    </row>
    <row r="406">
      <c r="A406" s="198" t="str">
        <f t="shared" si="1"/>
        <v/>
      </c>
      <c r="B406" s="205"/>
      <c r="C406" s="198"/>
      <c r="D406" s="199"/>
      <c r="E406" s="213"/>
      <c r="F406" s="198"/>
      <c r="G406" s="198"/>
      <c r="H406" s="199"/>
      <c r="I406" s="207"/>
      <c r="J406" s="199"/>
      <c r="K406" s="202"/>
      <c r="L406" s="205" t="str">
        <f>IFERROR(__xludf.DUMMYFUNCTION("IFERROR(
    INDEX(FILTER('Arrived Shipments'!O:O, 'Arrived Shipments'!B:B=$B406),1),
    IFERROR(
        INDEX(FILTER('POed not arrived'!D:D, 'POed not arrived'!A:A=$B406),1),
        """"
    )
)"),"")</f>
        <v/>
      </c>
      <c r="M406" s="202"/>
      <c r="N406" s="223" t="str">
        <f>IFERROR(__xludf.DUMMYFUNCTION("IFERROR(
    INDEX(FILTER('Arrived Shipments'!O:O, 'Arrived Shipments'!B:B=$B406),2),
    IFERROR(
        INDEX(FILTER('POed not arrived'!D:D, 'POed not arrived'!A:A=$B406),2),
        """"
    )
)"),"")</f>
        <v/>
      </c>
      <c r="O406" s="202"/>
      <c r="P406" s="202" t="str">
        <f>IFERROR(__xludf.DUMMYFUNCTION("IFERROR(
    INDEX(FILTER('Arrived Shipments'!O:O, 'Arrived Shipments'!B:B=$B406),3),
    IFERROR(
        INDEX(FILTER('POed not arrived'!D:D, 'POed not arrived'!A:A=$B406),3),
        """"
    )
)"),"")</f>
        <v/>
      </c>
      <c r="Q406" s="202"/>
      <c r="R406" s="206" t="str">
        <f>IFERROR(__xludf.DUMMYFUNCTION("IFERROR(
    INDEX(FILTER('Arrived Shipments'!O:O, 'Arrived Shipments'!B:B=$B406),4),
    IFERROR(
        INDEX(FILTER('POed not arrived'!D:D, 'POed not arrived'!A:A=$B406),4),
        """"
    )
)"),"")</f>
        <v/>
      </c>
      <c r="S406" s="202"/>
      <c r="T406" s="202">
        <f t="shared" si="8"/>
        <v>0</v>
      </c>
      <c r="U406" s="198"/>
      <c r="V406" s="199"/>
      <c r="W406" s="197"/>
      <c r="X406" s="197"/>
      <c r="Y406" s="199"/>
      <c r="Z406" s="199"/>
      <c r="AA406" s="204" t="str">
        <f t="shared" si="4"/>
        <v/>
      </c>
      <c r="AB406" s="198"/>
      <c r="AC406" s="199"/>
      <c r="AD406" s="199"/>
      <c r="AE406" s="199"/>
      <c r="AF406" s="199"/>
      <c r="AG406" s="199"/>
      <c r="AH406" s="199"/>
      <c r="AI406" s="199"/>
      <c r="AJ406" s="199"/>
      <c r="AK406" s="199"/>
      <c r="AL406" s="199"/>
      <c r="AM406" s="198"/>
      <c r="AN406" s="197"/>
      <c r="AO406" s="197"/>
      <c r="AP406" s="197"/>
      <c r="AQ406" s="197"/>
      <c r="AR406" s="197"/>
      <c r="AS406" s="197"/>
    </row>
    <row r="407">
      <c r="A407" s="198" t="str">
        <f t="shared" si="1"/>
        <v/>
      </c>
      <c r="B407" s="205"/>
      <c r="C407" s="198"/>
      <c r="D407" s="199"/>
      <c r="E407" s="213"/>
      <c r="F407" s="198"/>
      <c r="G407" s="198"/>
      <c r="H407" s="199"/>
      <c r="I407" s="207"/>
      <c r="J407" s="199"/>
      <c r="K407" s="202"/>
      <c r="L407" s="205" t="str">
        <f>IFERROR(__xludf.DUMMYFUNCTION("IFERROR(
    INDEX(FILTER('Arrived Shipments'!O:O, 'Arrived Shipments'!B:B=$B407),1),
    IFERROR(
        INDEX(FILTER('POed not arrived'!D:D, 'POed not arrived'!A:A=$B407),1),
        """"
    )
)"),"")</f>
        <v/>
      </c>
      <c r="M407" s="202"/>
      <c r="N407" s="223" t="str">
        <f>IFERROR(__xludf.DUMMYFUNCTION("IFERROR(
    INDEX(FILTER('Arrived Shipments'!O:O, 'Arrived Shipments'!B:B=$B407),2),
    IFERROR(
        INDEX(FILTER('POed not arrived'!D:D, 'POed not arrived'!A:A=$B407),2),
        """"
    )
)"),"")</f>
        <v/>
      </c>
      <c r="O407" s="202"/>
      <c r="P407" s="202" t="str">
        <f>IFERROR(__xludf.DUMMYFUNCTION("IFERROR(
    INDEX(FILTER('Arrived Shipments'!O:O, 'Arrived Shipments'!B:B=$B407),3),
    IFERROR(
        INDEX(FILTER('POed not arrived'!D:D, 'POed not arrived'!A:A=$B407),3),
        """"
    )
)"),"")</f>
        <v/>
      </c>
      <c r="Q407" s="202"/>
      <c r="R407" s="206" t="str">
        <f>IFERROR(__xludf.DUMMYFUNCTION("IFERROR(
    INDEX(FILTER('Arrived Shipments'!O:O, 'Arrived Shipments'!B:B=$B407),4),
    IFERROR(
        INDEX(FILTER('POed not arrived'!D:D, 'POed not arrived'!A:A=$B407),4),
        """"
    )
)"),"")</f>
        <v/>
      </c>
      <c r="S407" s="202"/>
      <c r="T407" s="202">
        <f t="shared" si="8"/>
        <v>0</v>
      </c>
      <c r="U407" s="198"/>
      <c r="V407" s="199"/>
      <c r="W407" s="197"/>
      <c r="X407" s="197"/>
      <c r="Y407" s="199"/>
      <c r="Z407" s="199"/>
      <c r="AA407" s="204" t="str">
        <f t="shared" si="4"/>
        <v/>
      </c>
      <c r="AB407" s="198"/>
      <c r="AC407" s="199"/>
      <c r="AD407" s="199"/>
      <c r="AE407" s="199"/>
      <c r="AF407" s="199"/>
      <c r="AG407" s="199"/>
      <c r="AH407" s="199"/>
      <c r="AI407" s="199"/>
      <c r="AJ407" s="199"/>
      <c r="AK407" s="199"/>
      <c r="AL407" s="199"/>
      <c r="AM407" s="198"/>
      <c r="AN407" s="197"/>
      <c r="AO407" s="197"/>
      <c r="AP407" s="197"/>
      <c r="AQ407" s="197"/>
      <c r="AR407" s="197"/>
      <c r="AS407" s="197"/>
    </row>
    <row r="408">
      <c r="A408" s="198" t="str">
        <f t="shared" si="1"/>
        <v/>
      </c>
      <c r="B408" s="205"/>
      <c r="C408" s="198"/>
      <c r="D408" s="199"/>
      <c r="E408" s="213"/>
      <c r="F408" s="198"/>
      <c r="G408" s="198"/>
      <c r="H408" s="199"/>
      <c r="I408" s="207"/>
      <c r="J408" s="199"/>
      <c r="K408" s="202"/>
      <c r="L408" s="205" t="str">
        <f>IFERROR(__xludf.DUMMYFUNCTION("IFERROR(
    INDEX(FILTER('Arrived Shipments'!O:O, 'Arrived Shipments'!B:B=$B408),1),
    IFERROR(
        INDEX(FILTER('POed not arrived'!D:D, 'POed not arrived'!A:A=$B408),1),
        """"
    )
)"),"")</f>
        <v/>
      </c>
      <c r="M408" s="202"/>
      <c r="N408" s="223" t="str">
        <f>IFERROR(__xludf.DUMMYFUNCTION("IFERROR(
    INDEX(FILTER('Arrived Shipments'!O:O, 'Arrived Shipments'!B:B=$B408),2),
    IFERROR(
        INDEX(FILTER('POed not arrived'!D:D, 'POed not arrived'!A:A=$B408),2),
        """"
    )
)"),"")</f>
        <v/>
      </c>
      <c r="O408" s="202"/>
      <c r="P408" s="202" t="str">
        <f>IFERROR(__xludf.DUMMYFUNCTION("IFERROR(
    INDEX(FILTER('Arrived Shipments'!O:O, 'Arrived Shipments'!B:B=$B408),3),
    IFERROR(
        INDEX(FILTER('POed not arrived'!D:D, 'POed not arrived'!A:A=$B408),3),
        """"
    )
)"),"")</f>
        <v/>
      </c>
      <c r="Q408" s="202"/>
      <c r="R408" s="206" t="str">
        <f>IFERROR(__xludf.DUMMYFUNCTION("IFERROR(
    INDEX(FILTER('Arrived Shipments'!O:O, 'Arrived Shipments'!B:B=$B408),4),
    IFERROR(
        INDEX(FILTER('POed not arrived'!D:D, 'POed not arrived'!A:A=$B408),4),
        """"
    )
)"),"")</f>
        <v/>
      </c>
      <c r="S408" s="202"/>
      <c r="T408" s="202">
        <f t="shared" si="8"/>
        <v>0</v>
      </c>
      <c r="U408" s="198"/>
      <c r="V408" s="199"/>
      <c r="W408" s="197"/>
      <c r="X408" s="197"/>
      <c r="Y408" s="199"/>
      <c r="Z408" s="199"/>
      <c r="AA408" s="204" t="str">
        <f t="shared" si="4"/>
        <v/>
      </c>
      <c r="AB408" s="198"/>
      <c r="AC408" s="199"/>
      <c r="AD408" s="199"/>
      <c r="AE408" s="199"/>
      <c r="AF408" s="199"/>
      <c r="AG408" s="199"/>
      <c r="AH408" s="199"/>
      <c r="AI408" s="199"/>
      <c r="AJ408" s="199"/>
      <c r="AK408" s="199"/>
      <c r="AL408" s="199"/>
      <c r="AM408" s="198"/>
      <c r="AN408" s="197"/>
      <c r="AO408" s="197"/>
      <c r="AP408" s="197"/>
      <c r="AQ408" s="197"/>
      <c r="AR408" s="197"/>
      <c r="AS408" s="197"/>
    </row>
    <row r="409">
      <c r="A409" s="198" t="str">
        <f t="shared" si="1"/>
        <v/>
      </c>
      <c r="B409" s="205"/>
      <c r="C409" s="198"/>
      <c r="D409" s="199"/>
      <c r="E409" s="213"/>
      <c r="F409" s="198"/>
      <c r="G409" s="198"/>
      <c r="H409" s="199"/>
      <c r="I409" s="207"/>
      <c r="J409" s="199"/>
      <c r="K409" s="202"/>
      <c r="L409" s="205" t="str">
        <f>IFERROR(__xludf.DUMMYFUNCTION("IFERROR(
    INDEX(FILTER('Arrived Shipments'!O:O, 'Arrived Shipments'!B:B=$B409),1),
    IFERROR(
        INDEX(FILTER('POed not arrived'!D:D, 'POed not arrived'!A:A=$B409),1),
        """"
    )
)"),"")</f>
        <v/>
      </c>
      <c r="M409" s="202"/>
      <c r="N409" s="223" t="str">
        <f>IFERROR(__xludf.DUMMYFUNCTION("IFERROR(
    INDEX(FILTER('Arrived Shipments'!O:O, 'Arrived Shipments'!B:B=$B409),2),
    IFERROR(
        INDEX(FILTER('POed not arrived'!D:D, 'POed not arrived'!A:A=$B409),2),
        """"
    )
)"),"")</f>
        <v/>
      </c>
      <c r="O409" s="202"/>
      <c r="P409" s="202" t="str">
        <f>IFERROR(__xludf.DUMMYFUNCTION("IFERROR(
    INDEX(FILTER('Arrived Shipments'!O:O, 'Arrived Shipments'!B:B=$B409),3),
    IFERROR(
        INDEX(FILTER('POed not arrived'!D:D, 'POed not arrived'!A:A=$B409),3),
        """"
    )
)"),"")</f>
        <v/>
      </c>
      <c r="Q409" s="202"/>
      <c r="R409" s="206" t="str">
        <f>IFERROR(__xludf.DUMMYFUNCTION("IFERROR(
    INDEX(FILTER('Arrived Shipments'!O:O, 'Arrived Shipments'!B:B=$B409),4),
    IFERROR(
        INDEX(FILTER('POed not arrived'!D:D, 'POed not arrived'!A:A=$B409),4),
        """"
    )
)"),"")</f>
        <v/>
      </c>
      <c r="S409" s="202"/>
      <c r="T409" s="202">
        <f t="shared" si="8"/>
        <v>0</v>
      </c>
      <c r="U409" s="198"/>
      <c r="V409" s="199"/>
      <c r="W409" s="197"/>
      <c r="X409" s="197"/>
      <c r="Y409" s="199"/>
      <c r="Z409" s="199"/>
      <c r="AA409" s="204" t="str">
        <f t="shared" si="4"/>
        <v/>
      </c>
      <c r="AB409" s="198"/>
      <c r="AC409" s="199"/>
      <c r="AD409" s="199"/>
      <c r="AE409" s="199"/>
      <c r="AF409" s="199"/>
      <c r="AG409" s="199"/>
      <c r="AH409" s="199"/>
      <c r="AI409" s="199"/>
      <c r="AJ409" s="199"/>
      <c r="AK409" s="199"/>
      <c r="AL409" s="199"/>
      <c r="AM409" s="198"/>
      <c r="AN409" s="197"/>
      <c r="AO409" s="197"/>
      <c r="AP409" s="197"/>
      <c r="AQ409" s="197"/>
      <c r="AR409" s="197"/>
      <c r="AS409" s="197"/>
    </row>
    <row r="410">
      <c r="A410" s="198" t="str">
        <f t="shared" si="1"/>
        <v/>
      </c>
      <c r="B410" s="205"/>
      <c r="C410" s="198"/>
      <c r="D410" s="199"/>
      <c r="E410" s="213"/>
      <c r="F410" s="198"/>
      <c r="G410" s="198"/>
      <c r="H410" s="199"/>
      <c r="I410" s="207"/>
      <c r="J410" s="199"/>
      <c r="K410" s="202"/>
      <c r="L410" s="205" t="str">
        <f>IFERROR(__xludf.DUMMYFUNCTION("IFERROR(
    INDEX(FILTER('Arrived Shipments'!O:O, 'Arrived Shipments'!B:B=$B410),1),
    IFERROR(
        INDEX(FILTER('POed not arrived'!D:D, 'POed not arrived'!A:A=$B410),1),
        """"
    )
)"),"")</f>
        <v/>
      </c>
      <c r="M410" s="202"/>
      <c r="N410" s="223" t="str">
        <f>IFERROR(__xludf.DUMMYFUNCTION("IFERROR(
    INDEX(FILTER('Arrived Shipments'!O:O, 'Arrived Shipments'!B:B=$B410),2),
    IFERROR(
        INDEX(FILTER('POed not arrived'!D:D, 'POed not arrived'!A:A=$B410),2),
        """"
    )
)"),"")</f>
        <v/>
      </c>
      <c r="O410" s="202"/>
      <c r="P410" s="202" t="str">
        <f>IFERROR(__xludf.DUMMYFUNCTION("IFERROR(
    INDEX(FILTER('Arrived Shipments'!O:O, 'Arrived Shipments'!B:B=$B410),3),
    IFERROR(
        INDEX(FILTER('POed not arrived'!D:D, 'POed not arrived'!A:A=$B410),3),
        """"
    )
)"),"")</f>
        <v/>
      </c>
      <c r="Q410" s="202"/>
      <c r="R410" s="206" t="str">
        <f>IFERROR(__xludf.DUMMYFUNCTION("IFERROR(
    INDEX(FILTER('Arrived Shipments'!O:O, 'Arrived Shipments'!B:B=$B410),4),
    IFERROR(
        INDEX(FILTER('POed not arrived'!D:D, 'POed not arrived'!A:A=$B410),4),
        """"
    )
)"),"")</f>
        <v/>
      </c>
      <c r="S410" s="202"/>
      <c r="T410" s="202">
        <f t="shared" si="8"/>
        <v>0</v>
      </c>
      <c r="U410" s="198"/>
      <c r="V410" s="199"/>
      <c r="W410" s="197"/>
      <c r="X410" s="197"/>
      <c r="Y410" s="199"/>
      <c r="Z410" s="199"/>
      <c r="AA410" s="204" t="str">
        <f t="shared" si="4"/>
        <v/>
      </c>
      <c r="AB410" s="198"/>
      <c r="AC410" s="199"/>
      <c r="AD410" s="199"/>
      <c r="AE410" s="199"/>
      <c r="AF410" s="199"/>
      <c r="AG410" s="199"/>
      <c r="AH410" s="199"/>
      <c r="AI410" s="199"/>
      <c r="AJ410" s="199"/>
      <c r="AK410" s="199"/>
      <c r="AL410" s="199"/>
      <c r="AM410" s="198"/>
      <c r="AN410" s="197"/>
      <c r="AO410" s="197"/>
      <c r="AP410" s="197"/>
      <c r="AQ410" s="197"/>
      <c r="AR410" s="197"/>
      <c r="AS410" s="197"/>
    </row>
    <row r="411">
      <c r="A411" s="198" t="str">
        <f t="shared" si="1"/>
        <v/>
      </c>
      <c r="B411" s="205"/>
      <c r="C411" s="198"/>
      <c r="D411" s="199"/>
      <c r="E411" s="213"/>
      <c r="F411" s="198"/>
      <c r="G411" s="198"/>
      <c r="H411" s="199"/>
      <c r="I411" s="207"/>
      <c r="J411" s="199"/>
      <c r="K411" s="202"/>
      <c r="L411" s="205" t="str">
        <f>IFERROR(__xludf.DUMMYFUNCTION("IFERROR(
    INDEX(FILTER('Arrived Shipments'!O:O, 'Arrived Shipments'!B:B=$B411),1),
    IFERROR(
        INDEX(FILTER('POed not arrived'!D:D, 'POed not arrived'!A:A=$B411),1),
        """"
    )
)"),"")</f>
        <v/>
      </c>
      <c r="M411" s="202"/>
      <c r="N411" s="223" t="str">
        <f>IFERROR(__xludf.DUMMYFUNCTION("IFERROR(
    INDEX(FILTER('Arrived Shipments'!O:O, 'Arrived Shipments'!B:B=$B411),2),
    IFERROR(
        INDEX(FILTER('POed not arrived'!D:D, 'POed not arrived'!A:A=$B411),2),
        """"
    )
)"),"")</f>
        <v/>
      </c>
      <c r="O411" s="202"/>
      <c r="P411" s="202" t="str">
        <f>IFERROR(__xludf.DUMMYFUNCTION("IFERROR(
    INDEX(FILTER('Arrived Shipments'!O:O, 'Arrived Shipments'!B:B=$B411),3),
    IFERROR(
        INDEX(FILTER('POed not arrived'!D:D, 'POed not arrived'!A:A=$B411),3),
        """"
    )
)"),"")</f>
        <v/>
      </c>
      <c r="Q411" s="202"/>
      <c r="R411" s="206" t="str">
        <f>IFERROR(__xludf.DUMMYFUNCTION("IFERROR(
    INDEX(FILTER('Arrived Shipments'!O:O, 'Arrived Shipments'!B:B=$B411),4),
    IFERROR(
        INDEX(FILTER('POed not arrived'!D:D, 'POed not arrived'!A:A=$B411),4),
        """"
    )
)"),"")</f>
        <v/>
      </c>
      <c r="S411" s="202"/>
      <c r="T411" s="202">
        <f t="shared" si="8"/>
        <v>0</v>
      </c>
      <c r="U411" s="198"/>
      <c r="V411" s="199"/>
      <c r="W411" s="197"/>
      <c r="X411" s="197"/>
      <c r="Y411" s="199"/>
      <c r="Z411" s="199"/>
      <c r="AA411" s="204" t="str">
        <f t="shared" si="4"/>
        <v/>
      </c>
      <c r="AB411" s="198"/>
      <c r="AC411" s="199"/>
      <c r="AD411" s="199"/>
      <c r="AE411" s="199"/>
      <c r="AF411" s="199"/>
      <c r="AG411" s="199"/>
      <c r="AH411" s="199"/>
      <c r="AI411" s="199"/>
      <c r="AJ411" s="199"/>
      <c r="AK411" s="199"/>
      <c r="AL411" s="199"/>
      <c r="AM411" s="198"/>
      <c r="AN411" s="197"/>
      <c r="AO411" s="197"/>
      <c r="AP411" s="197"/>
      <c r="AQ411" s="197"/>
      <c r="AR411" s="197"/>
      <c r="AS411" s="197"/>
    </row>
    <row r="412">
      <c r="A412" s="198" t="str">
        <f t="shared" si="1"/>
        <v/>
      </c>
      <c r="B412" s="205"/>
      <c r="C412" s="198"/>
      <c r="D412" s="199"/>
      <c r="E412" s="213"/>
      <c r="F412" s="198"/>
      <c r="G412" s="198"/>
      <c r="H412" s="199"/>
      <c r="I412" s="207"/>
      <c r="J412" s="199"/>
      <c r="K412" s="202"/>
      <c r="L412" s="205" t="str">
        <f>IFERROR(__xludf.DUMMYFUNCTION("IFERROR(
    INDEX(FILTER('Arrived Shipments'!O:O, 'Arrived Shipments'!B:B=$B412),1),
    IFERROR(
        INDEX(FILTER('POed not arrived'!D:D, 'POed not arrived'!A:A=$B412),1),
        """"
    )
)"),"")</f>
        <v/>
      </c>
      <c r="M412" s="202"/>
      <c r="N412" s="223" t="str">
        <f>IFERROR(__xludf.DUMMYFUNCTION("IFERROR(
    INDEX(FILTER('Arrived Shipments'!O:O, 'Arrived Shipments'!B:B=$B412),2),
    IFERROR(
        INDEX(FILTER('POed not arrived'!D:D, 'POed not arrived'!A:A=$B412),2),
        """"
    )
)"),"")</f>
        <v/>
      </c>
      <c r="O412" s="202"/>
      <c r="P412" s="202" t="str">
        <f>IFERROR(__xludf.DUMMYFUNCTION("IFERROR(
    INDEX(FILTER('Arrived Shipments'!O:O, 'Arrived Shipments'!B:B=$B412),3),
    IFERROR(
        INDEX(FILTER('POed not arrived'!D:D, 'POed not arrived'!A:A=$B412),3),
        """"
    )
)"),"")</f>
        <v/>
      </c>
      <c r="Q412" s="202"/>
      <c r="R412" s="206" t="str">
        <f>IFERROR(__xludf.DUMMYFUNCTION("IFERROR(
    INDEX(FILTER('Arrived Shipments'!O:O, 'Arrived Shipments'!B:B=$B412),4),
    IFERROR(
        INDEX(FILTER('POed not arrived'!D:D, 'POed not arrived'!A:A=$B412),4),
        """"
    )
)"),"")</f>
        <v/>
      </c>
      <c r="S412" s="202"/>
      <c r="T412" s="202">
        <f t="shared" si="8"/>
        <v>0</v>
      </c>
      <c r="U412" s="198"/>
      <c r="V412" s="199"/>
      <c r="W412" s="197"/>
      <c r="X412" s="197"/>
      <c r="Y412" s="199"/>
      <c r="Z412" s="199"/>
      <c r="AA412" s="204" t="str">
        <f t="shared" si="4"/>
        <v/>
      </c>
      <c r="AB412" s="198"/>
      <c r="AC412" s="199"/>
      <c r="AD412" s="199"/>
      <c r="AE412" s="199"/>
      <c r="AF412" s="199"/>
      <c r="AG412" s="199"/>
      <c r="AH412" s="199"/>
      <c r="AI412" s="199"/>
      <c r="AJ412" s="199"/>
      <c r="AK412" s="199"/>
      <c r="AL412" s="199"/>
      <c r="AM412" s="198"/>
      <c r="AN412" s="197"/>
      <c r="AO412" s="197"/>
      <c r="AP412" s="197"/>
      <c r="AQ412" s="197"/>
      <c r="AR412" s="197"/>
      <c r="AS412" s="197"/>
    </row>
    <row r="413">
      <c r="A413" s="198" t="str">
        <f t="shared" si="1"/>
        <v/>
      </c>
      <c r="B413" s="205"/>
      <c r="C413" s="198"/>
      <c r="D413" s="199"/>
      <c r="E413" s="213"/>
      <c r="F413" s="198"/>
      <c r="G413" s="198"/>
      <c r="H413" s="199"/>
      <c r="I413" s="207"/>
      <c r="J413" s="199"/>
      <c r="K413" s="202"/>
      <c r="L413" s="205" t="str">
        <f>IFERROR(__xludf.DUMMYFUNCTION("IFERROR(
    INDEX(FILTER('Arrived Shipments'!O:O, 'Arrived Shipments'!B:B=$B413),1),
    IFERROR(
        INDEX(FILTER('POed not arrived'!D:D, 'POed not arrived'!A:A=$B413),1),
        """"
    )
)"),"")</f>
        <v/>
      </c>
      <c r="M413" s="202"/>
      <c r="N413" s="223" t="str">
        <f>IFERROR(__xludf.DUMMYFUNCTION("IFERROR(
    INDEX(FILTER('Arrived Shipments'!O:O, 'Arrived Shipments'!B:B=$B413),2),
    IFERROR(
        INDEX(FILTER('POed not arrived'!D:D, 'POed not arrived'!A:A=$B413),2),
        """"
    )
)"),"")</f>
        <v/>
      </c>
      <c r="O413" s="202"/>
      <c r="P413" s="202" t="str">
        <f>IFERROR(__xludf.DUMMYFUNCTION("IFERROR(
    INDEX(FILTER('Arrived Shipments'!O:O, 'Arrived Shipments'!B:B=$B413),3),
    IFERROR(
        INDEX(FILTER('POed not arrived'!D:D, 'POed not arrived'!A:A=$B413),3),
        """"
    )
)"),"")</f>
        <v/>
      </c>
      <c r="Q413" s="202"/>
      <c r="R413" s="206" t="str">
        <f>IFERROR(__xludf.DUMMYFUNCTION("IFERROR(
    INDEX(FILTER('Arrived Shipments'!O:O, 'Arrived Shipments'!B:B=$B413),4),
    IFERROR(
        INDEX(FILTER('POed not arrived'!D:D, 'POed not arrived'!A:A=$B413),4),
        """"
    )
)"),"")</f>
        <v/>
      </c>
      <c r="S413" s="202"/>
      <c r="T413" s="202">
        <f t="shared" si="8"/>
        <v>0</v>
      </c>
      <c r="U413" s="198"/>
      <c r="V413" s="199"/>
      <c r="W413" s="197"/>
      <c r="X413" s="197"/>
      <c r="Y413" s="199"/>
      <c r="Z413" s="199"/>
      <c r="AA413" s="204" t="str">
        <f t="shared" si="4"/>
        <v/>
      </c>
      <c r="AB413" s="198"/>
      <c r="AC413" s="199"/>
      <c r="AD413" s="199"/>
      <c r="AE413" s="199"/>
      <c r="AF413" s="199"/>
      <c r="AG413" s="199"/>
      <c r="AH413" s="199"/>
      <c r="AI413" s="199"/>
      <c r="AJ413" s="199"/>
      <c r="AK413" s="199"/>
      <c r="AL413" s="199"/>
      <c r="AM413" s="198"/>
      <c r="AN413" s="197"/>
      <c r="AO413" s="197"/>
      <c r="AP413" s="197"/>
      <c r="AQ413" s="197"/>
      <c r="AR413" s="197"/>
      <c r="AS413" s="197"/>
    </row>
    <row r="414">
      <c r="A414" s="198" t="str">
        <f t="shared" si="1"/>
        <v/>
      </c>
      <c r="B414" s="205"/>
      <c r="C414" s="198"/>
      <c r="D414" s="199"/>
      <c r="E414" s="213"/>
      <c r="F414" s="198"/>
      <c r="G414" s="198"/>
      <c r="H414" s="199"/>
      <c r="I414" s="207"/>
      <c r="J414" s="199"/>
      <c r="K414" s="202"/>
      <c r="L414" s="205" t="str">
        <f>IFERROR(__xludf.DUMMYFUNCTION("IFERROR(
    INDEX(FILTER('Arrived Shipments'!O:O, 'Arrived Shipments'!B:B=$B414),1),
    IFERROR(
        INDEX(FILTER('POed not arrived'!D:D, 'POed not arrived'!A:A=$B414),1),
        """"
    )
)"),"")</f>
        <v/>
      </c>
      <c r="M414" s="202"/>
      <c r="N414" s="223" t="str">
        <f>IFERROR(__xludf.DUMMYFUNCTION("IFERROR(
    INDEX(FILTER('Arrived Shipments'!O:O, 'Arrived Shipments'!B:B=$B414),2),
    IFERROR(
        INDEX(FILTER('POed not arrived'!D:D, 'POed not arrived'!A:A=$B414),2),
        """"
    )
)"),"")</f>
        <v/>
      </c>
      <c r="O414" s="202"/>
      <c r="P414" s="202" t="str">
        <f>IFERROR(__xludf.DUMMYFUNCTION("IFERROR(
    INDEX(FILTER('Arrived Shipments'!O:O, 'Arrived Shipments'!B:B=$B414),3),
    IFERROR(
        INDEX(FILTER('POed not arrived'!D:D, 'POed not arrived'!A:A=$B414),3),
        """"
    )
)"),"")</f>
        <v/>
      </c>
      <c r="Q414" s="202"/>
      <c r="R414" s="206" t="str">
        <f>IFERROR(__xludf.DUMMYFUNCTION("IFERROR(
    INDEX(FILTER('Arrived Shipments'!O:O, 'Arrived Shipments'!B:B=$B414),4),
    IFERROR(
        INDEX(FILTER('POed not arrived'!D:D, 'POed not arrived'!A:A=$B414),4),
        """"
    )
)"),"")</f>
        <v/>
      </c>
      <c r="S414" s="202"/>
      <c r="T414" s="202">
        <f t="shared" si="8"/>
        <v>0</v>
      </c>
      <c r="U414" s="198"/>
      <c r="V414" s="199"/>
      <c r="W414" s="197"/>
      <c r="X414" s="197"/>
      <c r="Y414" s="199"/>
      <c r="Z414" s="199"/>
      <c r="AA414" s="204" t="str">
        <f t="shared" si="4"/>
        <v/>
      </c>
      <c r="AB414" s="198"/>
      <c r="AC414" s="199"/>
      <c r="AD414" s="199"/>
      <c r="AE414" s="199"/>
      <c r="AF414" s="199"/>
      <c r="AG414" s="199"/>
      <c r="AH414" s="199"/>
      <c r="AI414" s="199"/>
      <c r="AJ414" s="199"/>
      <c r="AK414" s="199"/>
      <c r="AL414" s="199"/>
      <c r="AM414" s="198"/>
      <c r="AN414" s="197"/>
      <c r="AO414" s="197"/>
      <c r="AP414" s="197"/>
      <c r="AQ414" s="197"/>
      <c r="AR414" s="197"/>
      <c r="AS414" s="197"/>
    </row>
    <row r="415">
      <c r="A415" s="198" t="str">
        <f t="shared" si="1"/>
        <v/>
      </c>
      <c r="B415" s="205"/>
      <c r="C415" s="198"/>
      <c r="D415" s="199"/>
      <c r="E415" s="213"/>
      <c r="F415" s="198"/>
      <c r="G415" s="198"/>
      <c r="H415" s="199"/>
      <c r="I415" s="207"/>
      <c r="J415" s="199"/>
      <c r="K415" s="202"/>
      <c r="L415" s="205" t="str">
        <f>IFERROR(__xludf.DUMMYFUNCTION("IFERROR(
    INDEX(FILTER('Arrived Shipments'!O:O, 'Arrived Shipments'!B:B=$B415),1),
    IFERROR(
        INDEX(FILTER('POed not arrived'!D:D, 'POed not arrived'!A:A=$B415),1),
        """"
    )
)"),"")</f>
        <v/>
      </c>
      <c r="M415" s="202"/>
      <c r="N415" s="223" t="str">
        <f>IFERROR(__xludf.DUMMYFUNCTION("IFERROR(
    INDEX(FILTER('Arrived Shipments'!O:O, 'Arrived Shipments'!B:B=$B415),2),
    IFERROR(
        INDEX(FILTER('POed not arrived'!D:D, 'POed not arrived'!A:A=$B415),2),
        """"
    )
)"),"")</f>
        <v/>
      </c>
      <c r="O415" s="202"/>
      <c r="P415" s="202" t="str">
        <f>IFERROR(__xludf.DUMMYFUNCTION("IFERROR(
    INDEX(FILTER('Arrived Shipments'!O:O, 'Arrived Shipments'!B:B=$B415),3),
    IFERROR(
        INDEX(FILTER('POed not arrived'!D:D, 'POed not arrived'!A:A=$B415),3),
        """"
    )
)"),"")</f>
        <v/>
      </c>
      <c r="Q415" s="202"/>
      <c r="R415" s="206" t="str">
        <f>IFERROR(__xludf.DUMMYFUNCTION("IFERROR(
    INDEX(FILTER('Arrived Shipments'!O:O, 'Arrived Shipments'!B:B=$B415),4),
    IFERROR(
        INDEX(FILTER('POed not arrived'!D:D, 'POed not arrived'!A:A=$B415),4),
        """"
    )
)"),"")</f>
        <v/>
      </c>
      <c r="S415" s="202"/>
      <c r="T415" s="202">
        <f t="shared" si="8"/>
        <v>0</v>
      </c>
      <c r="U415" s="198"/>
      <c r="V415" s="199"/>
      <c r="W415" s="197"/>
      <c r="X415" s="197"/>
      <c r="Y415" s="199"/>
      <c r="Z415" s="199"/>
      <c r="AA415" s="204" t="str">
        <f t="shared" si="4"/>
        <v/>
      </c>
      <c r="AB415" s="198"/>
      <c r="AC415" s="199"/>
      <c r="AD415" s="199"/>
      <c r="AE415" s="199"/>
      <c r="AF415" s="199"/>
      <c r="AG415" s="199"/>
      <c r="AH415" s="199"/>
      <c r="AI415" s="199"/>
      <c r="AJ415" s="199"/>
      <c r="AK415" s="199"/>
      <c r="AL415" s="199"/>
      <c r="AM415" s="198"/>
      <c r="AN415" s="197"/>
      <c r="AO415" s="197"/>
      <c r="AP415" s="197"/>
      <c r="AQ415" s="197"/>
      <c r="AR415" s="197"/>
      <c r="AS415" s="197"/>
    </row>
    <row r="416">
      <c r="A416" s="198" t="str">
        <f t="shared" si="1"/>
        <v/>
      </c>
      <c r="B416" s="205"/>
      <c r="C416" s="198"/>
      <c r="D416" s="199"/>
      <c r="E416" s="213"/>
      <c r="F416" s="198"/>
      <c r="G416" s="198"/>
      <c r="H416" s="199"/>
      <c r="I416" s="207"/>
      <c r="J416" s="199"/>
      <c r="K416" s="202"/>
      <c r="L416" s="205" t="str">
        <f>IFERROR(__xludf.DUMMYFUNCTION("IFERROR(
    INDEX(FILTER('Arrived Shipments'!O:O, 'Arrived Shipments'!B:B=$B416),1),
    IFERROR(
        INDEX(FILTER('POed not arrived'!D:D, 'POed not arrived'!A:A=$B416),1),
        """"
    )
)"),"")</f>
        <v/>
      </c>
      <c r="M416" s="202"/>
      <c r="N416" s="223" t="str">
        <f>IFERROR(__xludf.DUMMYFUNCTION("IFERROR(
    INDEX(FILTER('Arrived Shipments'!O:O, 'Arrived Shipments'!B:B=$B416),2),
    IFERROR(
        INDEX(FILTER('POed not arrived'!D:D, 'POed not arrived'!A:A=$B416),2),
        """"
    )
)"),"")</f>
        <v/>
      </c>
      <c r="O416" s="202"/>
      <c r="P416" s="202" t="str">
        <f>IFERROR(__xludf.DUMMYFUNCTION("IFERROR(
    INDEX(FILTER('Arrived Shipments'!O:O, 'Arrived Shipments'!B:B=$B416),3),
    IFERROR(
        INDEX(FILTER('POed not arrived'!D:D, 'POed not arrived'!A:A=$B416),3),
        """"
    )
)"),"")</f>
        <v/>
      </c>
      <c r="Q416" s="202"/>
      <c r="R416" s="206" t="str">
        <f>IFERROR(__xludf.DUMMYFUNCTION("IFERROR(
    INDEX(FILTER('Arrived Shipments'!O:O, 'Arrived Shipments'!B:B=$B416),4),
    IFERROR(
        INDEX(FILTER('POed not arrived'!D:D, 'POed not arrived'!A:A=$B416),4),
        """"
    )
)"),"")</f>
        <v/>
      </c>
      <c r="S416" s="202"/>
      <c r="T416" s="202">
        <f t="shared" si="8"/>
        <v>0</v>
      </c>
      <c r="U416" s="198"/>
      <c r="V416" s="199"/>
      <c r="W416" s="197"/>
      <c r="X416" s="197"/>
      <c r="Y416" s="199"/>
      <c r="Z416" s="199"/>
      <c r="AA416" s="204" t="str">
        <f t="shared" si="4"/>
        <v/>
      </c>
      <c r="AB416" s="198"/>
      <c r="AC416" s="199"/>
      <c r="AD416" s="199"/>
      <c r="AE416" s="199"/>
      <c r="AF416" s="199"/>
      <c r="AG416" s="199"/>
      <c r="AH416" s="199"/>
      <c r="AI416" s="199"/>
      <c r="AJ416" s="199"/>
      <c r="AK416" s="199"/>
      <c r="AL416" s="199"/>
      <c r="AM416" s="198"/>
      <c r="AN416" s="197"/>
      <c r="AO416" s="197"/>
      <c r="AP416" s="197"/>
      <c r="AQ416" s="197"/>
      <c r="AR416" s="197"/>
      <c r="AS416" s="197"/>
    </row>
    <row r="417">
      <c r="A417" s="198" t="str">
        <f t="shared" si="1"/>
        <v/>
      </c>
      <c r="B417" s="205"/>
      <c r="C417" s="198"/>
      <c r="D417" s="199"/>
      <c r="E417" s="213"/>
      <c r="F417" s="198"/>
      <c r="G417" s="198"/>
      <c r="H417" s="199"/>
      <c r="I417" s="207"/>
      <c r="J417" s="199"/>
      <c r="K417" s="202"/>
      <c r="L417" s="205" t="str">
        <f>IFERROR(__xludf.DUMMYFUNCTION("IFERROR(
    INDEX(FILTER('Arrived Shipments'!O:O, 'Arrived Shipments'!B:B=$B417),1),
    IFERROR(
        INDEX(FILTER('POed not arrived'!D:D, 'POed not arrived'!A:A=$B417),1),
        """"
    )
)"),"")</f>
        <v/>
      </c>
      <c r="M417" s="202"/>
      <c r="N417" s="223" t="str">
        <f>IFERROR(__xludf.DUMMYFUNCTION("IFERROR(
    INDEX(FILTER('Arrived Shipments'!O:O, 'Arrived Shipments'!B:B=$B417),2),
    IFERROR(
        INDEX(FILTER('POed not arrived'!D:D, 'POed not arrived'!A:A=$B417),2),
        """"
    )
)"),"")</f>
        <v/>
      </c>
      <c r="O417" s="202"/>
      <c r="P417" s="202" t="str">
        <f>IFERROR(__xludf.DUMMYFUNCTION("IFERROR(
    INDEX(FILTER('Arrived Shipments'!O:O, 'Arrived Shipments'!B:B=$B417),3),
    IFERROR(
        INDEX(FILTER('POed not arrived'!D:D, 'POed not arrived'!A:A=$B417),3),
        """"
    )
)"),"")</f>
        <v/>
      </c>
      <c r="Q417" s="202"/>
      <c r="R417" s="206" t="str">
        <f>IFERROR(__xludf.DUMMYFUNCTION("IFERROR(
    INDEX(FILTER('Arrived Shipments'!O:O, 'Arrived Shipments'!B:B=$B417),4),
    IFERROR(
        INDEX(FILTER('POed not arrived'!D:D, 'POed not arrived'!A:A=$B417),4),
        """"
    )
)"),"")</f>
        <v/>
      </c>
      <c r="S417" s="202"/>
      <c r="T417" s="202">
        <f t="shared" si="8"/>
        <v>0</v>
      </c>
      <c r="U417" s="198"/>
      <c r="V417" s="199"/>
      <c r="W417" s="197"/>
      <c r="X417" s="197"/>
      <c r="Y417" s="199"/>
      <c r="Z417" s="199"/>
      <c r="AA417" s="204" t="str">
        <f t="shared" si="4"/>
        <v/>
      </c>
      <c r="AB417" s="198"/>
      <c r="AC417" s="199"/>
      <c r="AD417" s="199"/>
      <c r="AE417" s="199"/>
      <c r="AF417" s="199"/>
      <c r="AG417" s="199"/>
      <c r="AH417" s="199"/>
      <c r="AI417" s="199"/>
      <c r="AJ417" s="199"/>
      <c r="AK417" s="199"/>
      <c r="AL417" s="199"/>
      <c r="AM417" s="198"/>
      <c r="AN417" s="197"/>
      <c r="AO417" s="197"/>
      <c r="AP417" s="197"/>
      <c r="AQ417" s="197"/>
      <c r="AR417" s="197"/>
      <c r="AS417" s="197"/>
    </row>
    <row r="418">
      <c r="A418" s="198" t="str">
        <f t="shared" si="1"/>
        <v/>
      </c>
      <c r="B418" s="205"/>
      <c r="C418" s="198"/>
      <c r="D418" s="199"/>
      <c r="E418" s="213"/>
      <c r="F418" s="198"/>
      <c r="G418" s="198"/>
      <c r="H418" s="199"/>
      <c r="I418" s="207"/>
      <c r="J418" s="199"/>
      <c r="K418" s="202"/>
      <c r="L418" s="205" t="str">
        <f>IFERROR(__xludf.DUMMYFUNCTION("IFERROR(
    INDEX(FILTER('Arrived Shipments'!O:O, 'Arrived Shipments'!B:B=$B418),1),
    IFERROR(
        INDEX(FILTER('POed not arrived'!D:D, 'POed not arrived'!A:A=$B418),1),
        """"
    )
)"),"")</f>
        <v/>
      </c>
      <c r="M418" s="202"/>
      <c r="N418" s="223" t="str">
        <f>IFERROR(__xludf.DUMMYFUNCTION("IFERROR(
    INDEX(FILTER('Arrived Shipments'!O:O, 'Arrived Shipments'!B:B=$B418),2),
    IFERROR(
        INDEX(FILTER('POed not arrived'!D:D, 'POed not arrived'!A:A=$B418),2),
        """"
    )
)"),"")</f>
        <v/>
      </c>
      <c r="O418" s="202"/>
      <c r="P418" s="202" t="str">
        <f>IFERROR(__xludf.DUMMYFUNCTION("IFERROR(
    INDEX(FILTER('Arrived Shipments'!O:O, 'Arrived Shipments'!B:B=$B418),3),
    IFERROR(
        INDEX(FILTER('POed not arrived'!D:D, 'POed not arrived'!A:A=$B418),3),
        """"
    )
)"),"")</f>
        <v/>
      </c>
      <c r="Q418" s="202"/>
      <c r="R418" s="206" t="str">
        <f>IFERROR(__xludf.DUMMYFUNCTION("IFERROR(
    INDEX(FILTER('Arrived Shipments'!O:O, 'Arrived Shipments'!B:B=$B418),4),
    IFERROR(
        INDEX(FILTER('POed not arrived'!D:D, 'POed not arrived'!A:A=$B418),4),
        """"
    )
)"),"")</f>
        <v/>
      </c>
      <c r="S418" s="202"/>
      <c r="T418" s="202">
        <f t="shared" si="8"/>
        <v>0</v>
      </c>
      <c r="U418" s="198"/>
      <c r="V418" s="199"/>
      <c r="W418" s="197"/>
      <c r="X418" s="197"/>
      <c r="Y418" s="199"/>
      <c r="Z418" s="199"/>
      <c r="AA418" s="204" t="str">
        <f t="shared" si="4"/>
        <v/>
      </c>
      <c r="AB418" s="198"/>
      <c r="AC418" s="199"/>
      <c r="AD418" s="199"/>
      <c r="AE418" s="199"/>
      <c r="AF418" s="199"/>
      <c r="AG418" s="199"/>
      <c r="AH418" s="199"/>
      <c r="AI418" s="199"/>
      <c r="AJ418" s="199"/>
      <c r="AK418" s="199"/>
      <c r="AL418" s="199"/>
      <c r="AM418" s="198"/>
      <c r="AN418" s="197"/>
      <c r="AO418" s="197"/>
      <c r="AP418" s="197"/>
      <c r="AQ418" s="197"/>
      <c r="AR418" s="197"/>
      <c r="AS418" s="197"/>
    </row>
    <row r="419">
      <c r="A419" s="198" t="str">
        <f t="shared" si="1"/>
        <v/>
      </c>
      <c r="B419" s="205"/>
      <c r="C419" s="198"/>
      <c r="D419" s="199"/>
      <c r="E419" s="213"/>
      <c r="F419" s="198"/>
      <c r="G419" s="198"/>
      <c r="H419" s="199"/>
      <c r="I419" s="207"/>
      <c r="J419" s="199"/>
      <c r="K419" s="202"/>
      <c r="L419" s="205" t="str">
        <f>IFERROR(__xludf.DUMMYFUNCTION("IFERROR(
    INDEX(FILTER('Arrived Shipments'!O:O, 'Arrived Shipments'!B:B=$B419),1),
    IFERROR(
        INDEX(FILTER('POed not arrived'!D:D, 'POed not arrived'!A:A=$B419),1),
        """"
    )
)"),"")</f>
        <v/>
      </c>
      <c r="M419" s="202"/>
      <c r="N419" s="223" t="str">
        <f>IFERROR(__xludf.DUMMYFUNCTION("IFERROR(
    INDEX(FILTER('Arrived Shipments'!O:O, 'Arrived Shipments'!B:B=$B419),2),
    IFERROR(
        INDEX(FILTER('POed not arrived'!D:D, 'POed not arrived'!A:A=$B419),2),
        """"
    )
)"),"")</f>
        <v/>
      </c>
      <c r="O419" s="202"/>
      <c r="P419" s="202" t="str">
        <f>IFERROR(__xludf.DUMMYFUNCTION("IFERROR(
    INDEX(FILTER('Arrived Shipments'!O:O, 'Arrived Shipments'!B:B=$B419),3),
    IFERROR(
        INDEX(FILTER('POed not arrived'!D:D, 'POed not arrived'!A:A=$B419),3),
        """"
    )
)"),"")</f>
        <v/>
      </c>
      <c r="Q419" s="202"/>
      <c r="R419" s="206" t="str">
        <f>IFERROR(__xludf.DUMMYFUNCTION("IFERROR(
    INDEX(FILTER('Arrived Shipments'!O:O, 'Arrived Shipments'!B:B=$B419),4),
    IFERROR(
        INDEX(FILTER('POed not arrived'!D:D, 'POed not arrived'!A:A=$B419),4),
        """"
    )
)"),"")</f>
        <v/>
      </c>
      <c r="S419" s="202"/>
      <c r="T419" s="202">
        <f t="shared" si="8"/>
        <v>0</v>
      </c>
      <c r="U419" s="198"/>
      <c r="V419" s="199"/>
      <c r="W419" s="197"/>
      <c r="X419" s="197"/>
      <c r="Y419" s="199"/>
      <c r="Z419" s="199"/>
      <c r="AA419" s="204" t="str">
        <f t="shared" si="4"/>
        <v/>
      </c>
      <c r="AB419" s="198"/>
      <c r="AC419" s="199"/>
      <c r="AD419" s="199"/>
      <c r="AE419" s="199"/>
      <c r="AF419" s="199"/>
      <c r="AG419" s="199"/>
      <c r="AH419" s="199"/>
      <c r="AI419" s="199"/>
      <c r="AJ419" s="199"/>
      <c r="AK419" s="199"/>
      <c r="AL419" s="199"/>
      <c r="AM419" s="198"/>
      <c r="AN419" s="197"/>
      <c r="AO419" s="197"/>
      <c r="AP419" s="197"/>
      <c r="AQ419" s="197"/>
      <c r="AR419" s="197"/>
      <c r="AS419" s="197"/>
    </row>
    <row r="420">
      <c r="A420" s="198" t="str">
        <f t="shared" si="1"/>
        <v/>
      </c>
      <c r="B420" s="205"/>
      <c r="C420" s="198"/>
      <c r="D420" s="199"/>
      <c r="E420" s="213"/>
      <c r="F420" s="198"/>
      <c r="G420" s="198"/>
      <c r="H420" s="199"/>
      <c r="I420" s="207"/>
      <c r="J420" s="199"/>
      <c r="K420" s="202"/>
      <c r="L420" s="205" t="str">
        <f>IFERROR(__xludf.DUMMYFUNCTION("IFERROR(
    INDEX(FILTER('Arrived Shipments'!O:O, 'Arrived Shipments'!B:B=$B420),1),
    IFERROR(
        INDEX(FILTER('POed not arrived'!D:D, 'POed not arrived'!A:A=$B420),1),
        """"
    )
)"),"")</f>
        <v/>
      </c>
      <c r="M420" s="202"/>
      <c r="N420" s="223" t="str">
        <f>IFERROR(__xludf.DUMMYFUNCTION("IFERROR(
    INDEX(FILTER('Arrived Shipments'!O:O, 'Arrived Shipments'!B:B=$B420),2),
    IFERROR(
        INDEX(FILTER('POed not arrived'!D:D, 'POed not arrived'!A:A=$B420),2),
        """"
    )
)"),"")</f>
        <v/>
      </c>
      <c r="O420" s="202"/>
      <c r="P420" s="202" t="str">
        <f>IFERROR(__xludf.DUMMYFUNCTION("IFERROR(
    INDEX(FILTER('Arrived Shipments'!O:O, 'Arrived Shipments'!B:B=$B420),3),
    IFERROR(
        INDEX(FILTER('POed not arrived'!D:D, 'POed not arrived'!A:A=$B420),3),
        """"
    )
)"),"")</f>
        <v/>
      </c>
      <c r="Q420" s="202"/>
      <c r="R420" s="206" t="str">
        <f>IFERROR(__xludf.DUMMYFUNCTION("IFERROR(
    INDEX(FILTER('Arrived Shipments'!O:O, 'Arrived Shipments'!B:B=$B420),4),
    IFERROR(
        INDEX(FILTER('POed not arrived'!D:D, 'POed not arrived'!A:A=$B420),4),
        """"
    )
)"),"")</f>
        <v/>
      </c>
      <c r="S420" s="202"/>
      <c r="T420" s="202">
        <f t="shared" si="8"/>
        <v>0</v>
      </c>
      <c r="U420" s="198"/>
      <c r="V420" s="199"/>
      <c r="W420" s="197"/>
      <c r="X420" s="197"/>
      <c r="Y420" s="199"/>
      <c r="Z420" s="199"/>
      <c r="AA420" s="204" t="str">
        <f t="shared" si="4"/>
        <v/>
      </c>
      <c r="AB420" s="198"/>
      <c r="AC420" s="199"/>
      <c r="AD420" s="199"/>
      <c r="AE420" s="199"/>
      <c r="AF420" s="199"/>
      <c r="AG420" s="199"/>
      <c r="AH420" s="199"/>
      <c r="AI420" s="199"/>
      <c r="AJ420" s="199"/>
      <c r="AK420" s="199"/>
      <c r="AL420" s="199"/>
      <c r="AM420" s="198"/>
      <c r="AN420" s="197"/>
      <c r="AO420" s="197"/>
      <c r="AP420" s="197"/>
      <c r="AQ420" s="197"/>
      <c r="AR420" s="197"/>
      <c r="AS420" s="197"/>
    </row>
    <row r="421">
      <c r="A421" s="198" t="str">
        <f t="shared" si="1"/>
        <v/>
      </c>
      <c r="B421" s="205"/>
      <c r="C421" s="198"/>
      <c r="D421" s="199"/>
      <c r="E421" s="213"/>
      <c r="F421" s="198"/>
      <c r="G421" s="198"/>
      <c r="H421" s="199"/>
      <c r="I421" s="207"/>
      <c r="J421" s="199"/>
      <c r="K421" s="202"/>
      <c r="L421" s="205" t="str">
        <f>IFERROR(__xludf.DUMMYFUNCTION("IFERROR(
    INDEX(FILTER('Arrived Shipments'!O:O, 'Arrived Shipments'!B:B=$B421),1),
    IFERROR(
        INDEX(FILTER('POed not arrived'!D:D, 'POed not arrived'!A:A=$B421),1),
        """"
    )
)"),"")</f>
        <v/>
      </c>
      <c r="M421" s="202"/>
      <c r="N421" s="223" t="str">
        <f>IFERROR(__xludf.DUMMYFUNCTION("IFERROR(
    INDEX(FILTER('Arrived Shipments'!O:O, 'Arrived Shipments'!B:B=$B421),2),
    IFERROR(
        INDEX(FILTER('POed not arrived'!D:D, 'POed not arrived'!A:A=$B421),2),
        """"
    )
)"),"")</f>
        <v/>
      </c>
      <c r="O421" s="202"/>
      <c r="P421" s="202" t="str">
        <f>IFERROR(__xludf.DUMMYFUNCTION("IFERROR(
    INDEX(FILTER('Arrived Shipments'!O:O, 'Arrived Shipments'!B:B=$B421),3),
    IFERROR(
        INDEX(FILTER('POed not arrived'!D:D, 'POed not arrived'!A:A=$B421),3),
        """"
    )
)"),"")</f>
        <v/>
      </c>
      <c r="Q421" s="202"/>
      <c r="R421" s="206" t="str">
        <f>IFERROR(__xludf.DUMMYFUNCTION("IFERROR(
    INDEX(FILTER('Arrived Shipments'!O:O, 'Arrived Shipments'!B:B=$B421),4),
    IFERROR(
        INDEX(FILTER('POed not arrived'!D:D, 'POed not arrived'!A:A=$B421),4),
        """"
    )
)"),"")</f>
        <v/>
      </c>
      <c r="S421" s="202"/>
      <c r="T421" s="202">
        <f t="shared" si="8"/>
        <v>0</v>
      </c>
      <c r="U421" s="198"/>
      <c r="V421" s="199"/>
      <c r="W421" s="197"/>
      <c r="X421" s="197"/>
      <c r="Y421" s="199"/>
      <c r="Z421" s="199"/>
      <c r="AA421" s="204" t="str">
        <f t="shared" si="4"/>
        <v/>
      </c>
      <c r="AB421" s="198"/>
      <c r="AC421" s="199"/>
      <c r="AD421" s="199"/>
      <c r="AE421" s="199"/>
      <c r="AF421" s="199"/>
      <c r="AG421" s="199"/>
      <c r="AH421" s="199"/>
      <c r="AI421" s="199"/>
      <c r="AJ421" s="199"/>
      <c r="AK421" s="199"/>
      <c r="AL421" s="199"/>
      <c r="AM421" s="198"/>
      <c r="AN421" s="197"/>
      <c r="AO421" s="197"/>
      <c r="AP421" s="197"/>
      <c r="AQ421" s="197"/>
      <c r="AR421" s="197"/>
      <c r="AS421" s="197"/>
    </row>
    <row r="422">
      <c r="A422" s="198" t="str">
        <f t="shared" si="1"/>
        <v/>
      </c>
      <c r="B422" s="205"/>
      <c r="C422" s="198"/>
      <c r="D422" s="199"/>
      <c r="E422" s="213"/>
      <c r="F422" s="198"/>
      <c r="G422" s="198"/>
      <c r="H422" s="199"/>
      <c r="I422" s="207"/>
      <c r="J422" s="199"/>
      <c r="K422" s="202"/>
      <c r="L422" s="205" t="str">
        <f>IFERROR(__xludf.DUMMYFUNCTION("IFERROR(
    INDEX(FILTER('Arrived Shipments'!O:O, 'Arrived Shipments'!B:B=$B422),1),
    IFERROR(
        INDEX(FILTER('POed not arrived'!D:D, 'POed not arrived'!A:A=$B422),1),
        """"
    )
)"),"")</f>
        <v/>
      </c>
      <c r="M422" s="202"/>
      <c r="N422" s="223" t="str">
        <f>IFERROR(__xludf.DUMMYFUNCTION("IFERROR(
    INDEX(FILTER('Arrived Shipments'!O:O, 'Arrived Shipments'!B:B=$B422),2),
    IFERROR(
        INDEX(FILTER('POed not arrived'!D:D, 'POed not arrived'!A:A=$B422),2),
        """"
    )
)"),"")</f>
        <v/>
      </c>
      <c r="O422" s="202"/>
      <c r="P422" s="202" t="str">
        <f>IFERROR(__xludf.DUMMYFUNCTION("IFERROR(
    INDEX(FILTER('Arrived Shipments'!O:O, 'Arrived Shipments'!B:B=$B422),3),
    IFERROR(
        INDEX(FILTER('POed not arrived'!D:D, 'POed not arrived'!A:A=$B422),3),
        """"
    )
)"),"")</f>
        <v/>
      </c>
      <c r="Q422" s="202"/>
      <c r="R422" s="206" t="str">
        <f>IFERROR(__xludf.DUMMYFUNCTION("IFERROR(
    INDEX(FILTER('Arrived Shipments'!O:O, 'Arrived Shipments'!B:B=$B422),4),
    IFERROR(
        INDEX(FILTER('POed not arrived'!D:D, 'POed not arrived'!A:A=$B422),4),
        """"
    )
)"),"")</f>
        <v/>
      </c>
      <c r="S422" s="202"/>
      <c r="T422" s="202">
        <f t="shared" si="8"/>
        <v>0</v>
      </c>
      <c r="U422" s="198"/>
      <c r="V422" s="199"/>
      <c r="W422" s="197"/>
      <c r="X422" s="197"/>
      <c r="Y422" s="199"/>
      <c r="Z422" s="199"/>
      <c r="AA422" s="204" t="str">
        <f t="shared" si="4"/>
        <v/>
      </c>
      <c r="AB422" s="198"/>
      <c r="AC422" s="199"/>
      <c r="AD422" s="199"/>
      <c r="AE422" s="199"/>
      <c r="AF422" s="199"/>
      <c r="AG422" s="199"/>
      <c r="AH422" s="199"/>
      <c r="AI422" s="199"/>
      <c r="AJ422" s="199"/>
      <c r="AK422" s="199"/>
      <c r="AL422" s="199"/>
      <c r="AM422" s="198"/>
      <c r="AN422" s="197"/>
      <c r="AO422" s="197"/>
      <c r="AP422" s="197"/>
      <c r="AQ422" s="197"/>
      <c r="AR422" s="197"/>
      <c r="AS422" s="197"/>
    </row>
    <row r="423">
      <c r="A423" s="198" t="str">
        <f t="shared" si="1"/>
        <v/>
      </c>
      <c r="B423" s="205"/>
      <c r="C423" s="198"/>
      <c r="D423" s="199"/>
      <c r="E423" s="213"/>
      <c r="F423" s="198"/>
      <c r="G423" s="198"/>
      <c r="H423" s="199"/>
      <c r="I423" s="207"/>
      <c r="J423" s="199"/>
      <c r="K423" s="202"/>
      <c r="L423" s="205" t="str">
        <f>IFERROR(__xludf.DUMMYFUNCTION("IFERROR(
    INDEX(FILTER('Arrived Shipments'!O:O, 'Arrived Shipments'!B:B=$B423),1),
    IFERROR(
        INDEX(FILTER('POed not arrived'!D:D, 'POed not arrived'!A:A=$B423),1),
        """"
    )
)"),"")</f>
        <v/>
      </c>
      <c r="M423" s="202"/>
      <c r="N423" s="223" t="str">
        <f>IFERROR(__xludf.DUMMYFUNCTION("IFERROR(
    INDEX(FILTER('Arrived Shipments'!O:O, 'Arrived Shipments'!B:B=$B423),2),
    IFERROR(
        INDEX(FILTER('POed not arrived'!D:D, 'POed not arrived'!A:A=$B423),2),
        """"
    )
)"),"")</f>
        <v/>
      </c>
      <c r="O423" s="202"/>
      <c r="P423" s="202" t="str">
        <f>IFERROR(__xludf.DUMMYFUNCTION("IFERROR(
    INDEX(FILTER('Arrived Shipments'!O:O, 'Arrived Shipments'!B:B=$B423),3),
    IFERROR(
        INDEX(FILTER('POed not arrived'!D:D, 'POed not arrived'!A:A=$B423),3),
        """"
    )
)"),"")</f>
        <v/>
      </c>
      <c r="Q423" s="202"/>
      <c r="R423" s="206" t="str">
        <f>IFERROR(__xludf.DUMMYFUNCTION("IFERROR(
    INDEX(FILTER('Arrived Shipments'!O:O, 'Arrived Shipments'!B:B=$B423),4),
    IFERROR(
        INDEX(FILTER('POed not arrived'!D:D, 'POed not arrived'!A:A=$B423),4),
        """"
    )
)"),"")</f>
        <v/>
      </c>
      <c r="S423" s="202"/>
      <c r="T423" s="202">
        <f t="shared" si="8"/>
        <v>0</v>
      </c>
      <c r="U423" s="198"/>
      <c r="V423" s="199"/>
      <c r="W423" s="197"/>
      <c r="X423" s="197"/>
      <c r="Y423" s="199"/>
      <c r="Z423" s="199"/>
      <c r="AA423" s="204" t="str">
        <f t="shared" si="4"/>
        <v/>
      </c>
      <c r="AB423" s="198"/>
      <c r="AC423" s="199"/>
      <c r="AD423" s="199"/>
      <c r="AE423" s="199"/>
      <c r="AF423" s="199"/>
      <c r="AG423" s="199"/>
      <c r="AH423" s="199"/>
      <c r="AI423" s="199"/>
      <c r="AJ423" s="199"/>
      <c r="AK423" s="199"/>
      <c r="AL423" s="199"/>
      <c r="AM423" s="198"/>
      <c r="AN423" s="197"/>
      <c r="AO423" s="197"/>
      <c r="AP423" s="197"/>
      <c r="AQ423" s="197"/>
      <c r="AR423" s="197"/>
      <c r="AS423" s="197"/>
    </row>
    <row r="424">
      <c r="A424" s="198" t="str">
        <f t="shared" si="1"/>
        <v/>
      </c>
      <c r="B424" s="205"/>
      <c r="C424" s="198"/>
      <c r="D424" s="199"/>
      <c r="E424" s="213"/>
      <c r="F424" s="198"/>
      <c r="G424" s="198"/>
      <c r="H424" s="199"/>
      <c r="I424" s="207"/>
      <c r="J424" s="199"/>
      <c r="K424" s="202"/>
      <c r="L424" s="205" t="str">
        <f>IFERROR(__xludf.DUMMYFUNCTION("IFERROR(
    INDEX(FILTER('Arrived Shipments'!O:O, 'Arrived Shipments'!B:B=$B424),1),
    IFERROR(
        INDEX(FILTER('POed not arrived'!D:D, 'POed not arrived'!A:A=$B424),1),
        """"
    )
)"),"")</f>
        <v/>
      </c>
      <c r="M424" s="202"/>
      <c r="N424" s="223" t="str">
        <f>IFERROR(__xludf.DUMMYFUNCTION("IFERROR(
    INDEX(FILTER('Arrived Shipments'!O:O, 'Arrived Shipments'!B:B=$B424),2),
    IFERROR(
        INDEX(FILTER('POed not arrived'!D:D, 'POed not arrived'!A:A=$B424),2),
        """"
    )
)"),"")</f>
        <v/>
      </c>
      <c r="O424" s="202"/>
      <c r="P424" s="202" t="str">
        <f>IFERROR(__xludf.DUMMYFUNCTION("IFERROR(
    INDEX(FILTER('Arrived Shipments'!O:O, 'Arrived Shipments'!B:B=$B424),3),
    IFERROR(
        INDEX(FILTER('POed not arrived'!D:D, 'POed not arrived'!A:A=$B424),3),
        """"
    )
)"),"")</f>
        <v/>
      </c>
      <c r="Q424" s="202"/>
      <c r="R424" s="206" t="str">
        <f>IFERROR(__xludf.DUMMYFUNCTION("IFERROR(
    INDEX(FILTER('Arrived Shipments'!O:O, 'Arrived Shipments'!B:B=$B424),4),
    IFERROR(
        INDEX(FILTER('POed not arrived'!D:D, 'POed not arrived'!A:A=$B424),4),
        """"
    )
)"),"")</f>
        <v/>
      </c>
      <c r="S424" s="202"/>
      <c r="T424" s="202">
        <f t="shared" si="8"/>
        <v>0</v>
      </c>
      <c r="U424" s="198"/>
      <c r="V424" s="199"/>
      <c r="W424" s="197"/>
      <c r="X424" s="197"/>
      <c r="Y424" s="199"/>
      <c r="Z424" s="199"/>
      <c r="AA424" s="204" t="str">
        <f t="shared" si="4"/>
        <v/>
      </c>
      <c r="AB424" s="198"/>
      <c r="AC424" s="199"/>
      <c r="AD424" s="199"/>
      <c r="AE424" s="199"/>
      <c r="AF424" s="199"/>
      <c r="AG424" s="199"/>
      <c r="AH424" s="199"/>
      <c r="AI424" s="199"/>
      <c r="AJ424" s="199"/>
      <c r="AK424" s="199"/>
      <c r="AL424" s="199"/>
      <c r="AM424" s="198"/>
      <c r="AN424" s="197"/>
      <c r="AO424" s="197"/>
      <c r="AP424" s="197"/>
      <c r="AQ424" s="197"/>
      <c r="AR424" s="197"/>
      <c r="AS424" s="197"/>
    </row>
    <row r="425">
      <c r="A425" s="198" t="str">
        <f t="shared" si="1"/>
        <v/>
      </c>
      <c r="B425" s="205"/>
      <c r="C425" s="198"/>
      <c r="D425" s="199"/>
      <c r="E425" s="213"/>
      <c r="F425" s="198"/>
      <c r="G425" s="198"/>
      <c r="H425" s="199"/>
      <c r="I425" s="207"/>
      <c r="J425" s="199"/>
      <c r="K425" s="202"/>
      <c r="L425" s="205" t="str">
        <f>IFERROR(__xludf.DUMMYFUNCTION("IFERROR(
    INDEX(FILTER('Arrived Shipments'!O:O, 'Arrived Shipments'!B:B=$B425),1),
    IFERROR(
        INDEX(FILTER('POed not arrived'!D:D, 'POed not arrived'!A:A=$B425),1),
        """"
    )
)"),"")</f>
        <v/>
      </c>
      <c r="M425" s="202"/>
      <c r="N425" s="223" t="str">
        <f>IFERROR(__xludf.DUMMYFUNCTION("IFERROR(
    INDEX(FILTER('Arrived Shipments'!O:O, 'Arrived Shipments'!B:B=$B425),2),
    IFERROR(
        INDEX(FILTER('POed not arrived'!D:D, 'POed not arrived'!A:A=$B425),2),
        """"
    )
)"),"")</f>
        <v/>
      </c>
      <c r="O425" s="202"/>
      <c r="P425" s="202" t="str">
        <f>IFERROR(__xludf.DUMMYFUNCTION("IFERROR(
    INDEX(FILTER('Arrived Shipments'!O:O, 'Arrived Shipments'!B:B=$B425),3),
    IFERROR(
        INDEX(FILTER('POed not arrived'!D:D, 'POed not arrived'!A:A=$B425),3),
        """"
    )
)"),"")</f>
        <v/>
      </c>
      <c r="Q425" s="202"/>
      <c r="R425" s="206" t="str">
        <f>IFERROR(__xludf.DUMMYFUNCTION("IFERROR(
    INDEX(FILTER('Arrived Shipments'!O:O, 'Arrived Shipments'!B:B=$B425),4),
    IFERROR(
        INDEX(FILTER('POed not arrived'!D:D, 'POed not arrived'!A:A=$B425),4),
        """"
    )
)"),"")</f>
        <v/>
      </c>
      <c r="S425" s="202"/>
      <c r="T425" s="202">
        <f t="shared" si="8"/>
        <v>0</v>
      </c>
      <c r="U425" s="198"/>
      <c r="V425" s="199"/>
      <c r="W425" s="197"/>
      <c r="X425" s="197"/>
      <c r="Y425" s="199"/>
      <c r="Z425" s="199"/>
      <c r="AA425" s="204" t="str">
        <f t="shared" si="4"/>
        <v/>
      </c>
      <c r="AB425" s="198"/>
      <c r="AC425" s="199"/>
      <c r="AD425" s="199"/>
      <c r="AE425" s="199"/>
      <c r="AF425" s="199"/>
      <c r="AG425" s="199"/>
      <c r="AH425" s="199"/>
      <c r="AI425" s="199"/>
      <c r="AJ425" s="199"/>
      <c r="AK425" s="199"/>
      <c r="AL425" s="199"/>
      <c r="AM425" s="198"/>
      <c r="AN425" s="197"/>
      <c r="AO425" s="197"/>
      <c r="AP425" s="197"/>
      <c r="AQ425" s="197"/>
      <c r="AR425" s="197"/>
      <c r="AS425" s="197"/>
    </row>
    <row r="426">
      <c r="A426" s="198" t="str">
        <f t="shared" si="1"/>
        <v/>
      </c>
      <c r="B426" s="205"/>
      <c r="C426" s="198"/>
      <c r="D426" s="199"/>
      <c r="E426" s="213"/>
      <c r="F426" s="198"/>
      <c r="G426" s="198"/>
      <c r="H426" s="199"/>
      <c r="I426" s="207"/>
      <c r="J426" s="199"/>
      <c r="K426" s="202"/>
      <c r="L426" s="205" t="str">
        <f>IFERROR(__xludf.DUMMYFUNCTION("IFERROR(
    INDEX(FILTER('Arrived Shipments'!O:O, 'Arrived Shipments'!B:B=$B426),1),
    IFERROR(
        INDEX(FILTER('POed not arrived'!D:D, 'POed not arrived'!A:A=$B426),1),
        """"
    )
)"),"")</f>
        <v/>
      </c>
      <c r="M426" s="202"/>
      <c r="N426" s="223" t="str">
        <f>IFERROR(__xludf.DUMMYFUNCTION("IFERROR(
    INDEX(FILTER('Arrived Shipments'!O:O, 'Arrived Shipments'!B:B=$B426),2),
    IFERROR(
        INDEX(FILTER('POed not arrived'!D:D, 'POed not arrived'!A:A=$B426),2),
        """"
    )
)"),"")</f>
        <v/>
      </c>
      <c r="O426" s="202"/>
      <c r="P426" s="202" t="str">
        <f>IFERROR(__xludf.DUMMYFUNCTION("IFERROR(
    INDEX(FILTER('Arrived Shipments'!O:O, 'Arrived Shipments'!B:B=$B426),3),
    IFERROR(
        INDEX(FILTER('POed not arrived'!D:D, 'POed not arrived'!A:A=$B426),3),
        """"
    )
)"),"")</f>
        <v/>
      </c>
      <c r="Q426" s="202"/>
      <c r="R426" s="206" t="str">
        <f>IFERROR(__xludf.DUMMYFUNCTION("IFERROR(
    INDEX(FILTER('Arrived Shipments'!O:O, 'Arrived Shipments'!B:B=$B426),4),
    IFERROR(
        INDEX(FILTER('POed not arrived'!D:D, 'POed not arrived'!A:A=$B426),4),
        """"
    )
)"),"")</f>
        <v/>
      </c>
      <c r="S426" s="202"/>
      <c r="T426" s="202">
        <f t="shared" si="8"/>
        <v>0</v>
      </c>
      <c r="U426" s="198"/>
      <c r="V426" s="199"/>
      <c r="W426" s="197"/>
      <c r="X426" s="197"/>
      <c r="Y426" s="199"/>
      <c r="Z426" s="199"/>
      <c r="AA426" s="204" t="str">
        <f t="shared" si="4"/>
        <v/>
      </c>
      <c r="AB426" s="198"/>
      <c r="AC426" s="199"/>
      <c r="AD426" s="199"/>
      <c r="AE426" s="199"/>
      <c r="AF426" s="199"/>
      <c r="AG426" s="199"/>
      <c r="AH426" s="199"/>
      <c r="AI426" s="199"/>
      <c r="AJ426" s="199"/>
      <c r="AK426" s="199"/>
      <c r="AL426" s="199"/>
      <c r="AM426" s="198"/>
      <c r="AN426" s="197"/>
      <c r="AO426" s="197"/>
      <c r="AP426" s="197"/>
      <c r="AQ426" s="197"/>
      <c r="AR426" s="197"/>
      <c r="AS426" s="197"/>
    </row>
    <row r="427">
      <c r="A427" s="198" t="str">
        <f t="shared" si="1"/>
        <v/>
      </c>
      <c r="B427" s="205"/>
      <c r="C427" s="198"/>
      <c r="D427" s="199"/>
      <c r="E427" s="213"/>
      <c r="F427" s="198"/>
      <c r="G427" s="198"/>
      <c r="H427" s="199"/>
      <c r="I427" s="207"/>
      <c r="J427" s="199"/>
      <c r="K427" s="202"/>
      <c r="L427" s="205" t="str">
        <f>IFERROR(__xludf.DUMMYFUNCTION("IFERROR(
    INDEX(FILTER('Arrived Shipments'!O:O, 'Arrived Shipments'!B:B=$B427),1),
    IFERROR(
        INDEX(FILTER('POed not arrived'!D:D, 'POed not arrived'!A:A=$B427),1),
        """"
    )
)"),"")</f>
        <v/>
      </c>
      <c r="M427" s="202"/>
      <c r="N427" s="223" t="str">
        <f>IFERROR(__xludf.DUMMYFUNCTION("IFERROR(
    INDEX(FILTER('Arrived Shipments'!O:O, 'Arrived Shipments'!B:B=$B427),2),
    IFERROR(
        INDEX(FILTER('POed not arrived'!D:D, 'POed not arrived'!A:A=$B427),2),
        """"
    )
)"),"")</f>
        <v/>
      </c>
      <c r="O427" s="202"/>
      <c r="P427" s="202" t="str">
        <f>IFERROR(__xludf.DUMMYFUNCTION("IFERROR(
    INDEX(FILTER('Arrived Shipments'!O:O, 'Arrived Shipments'!B:B=$B427),3),
    IFERROR(
        INDEX(FILTER('POed not arrived'!D:D, 'POed not arrived'!A:A=$B427),3),
        """"
    )
)"),"")</f>
        <v/>
      </c>
      <c r="Q427" s="202"/>
      <c r="R427" s="206" t="str">
        <f>IFERROR(__xludf.DUMMYFUNCTION("IFERROR(
    INDEX(FILTER('Arrived Shipments'!O:O, 'Arrived Shipments'!B:B=$B427),4),
    IFERROR(
        INDEX(FILTER('POed not arrived'!D:D, 'POed not arrived'!A:A=$B427),4),
        """"
    )
)"),"")</f>
        <v/>
      </c>
      <c r="S427" s="202"/>
      <c r="T427" s="202">
        <f t="shared" si="8"/>
        <v>0</v>
      </c>
      <c r="U427" s="198"/>
      <c r="V427" s="199"/>
      <c r="W427" s="197"/>
      <c r="X427" s="197"/>
      <c r="Y427" s="199"/>
      <c r="Z427" s="199"/>
      <c r="AA427" s="204" t="str">
        <f t="shared" si="4"/>
        <v/>
      </c>
      <c r="AB427" s="198"/>
      <c r="AC427" s="199"/>
      <c r="AD427" s="199"/>
      <c r="AE427" s="199"/>
      <c r="AF427" s="199"/>
      <c r="AG427" s="199"/>
      <c r="AH427" s="199"/>
      <c r="AI427" s="199"/>
      <c r="AJ427" s="199"/>
      <c r="AK427" s="199"/>
      <c r="AL427" s="199"/>
      <c r="AM427" s="198"/>
      <c r="AN427" s="197"/>
      <c r="AO427" s="197"/>
      <c r="AP427" s="197"/>
      <c r="AQ427" s="197"/>
      <c r="AR427" s="197"/>
      <c r="AS427" s="197"/>
    </row>
    <row r="428">
      <c r="A428" s="198" t="str">
        <f t="shared" si="1"/>
        <v/>
      </c>
      <c r="B428" s="205"/>
      <c r="C428" s="198"/>
      <c r="D428" s="199"/>
      <c r="E428" s="213"/>
      <c r="F428" s="198"/>
      <c r="G428" s="198"/>
      <c r="H428" s="199"/>
      <c r="I428" s="207"/>
      <c r="J428" s="199"/>
      <c r="K428" s="202"/>
      <c r="L428" s="205" t="str">
        <f>IFERROR(__xludf.DUMMYFUNCTION("IFERROR(
    INDEX(FILTER('Arrived Shipments'!O:O, 'Arrived Shipments'!B:B=$B428),1),
    IFERROR(
        INDEX(FILTER('POed not arrived'!D:D, 'POed not arrived'!A:A=$B428),1),
        """"
    )
)"),"")</f>
        <v/>
      </c>
      <c r="M428" s="202"/>
      <c r="N428" s="223" t="str">
        <f>IFERROR(__xludf.DUMMYFUNCTION("IFERROR(
    INDEX(FILTER('Arrived Shipments'!O:O, 'Arrived Shipments'!B:B=$B428),2),
    IFERROR(
        INDEX(FILTER('POed not arrived'!D:D, 'POed not arrived'!A:A=$B428),2),
        """"
    )
)"),"")</f>
        <v/>
      </c>
      <c r="O428" s="202"/>
      <c r="P428" s="202" t="str">
        <f>IFERROR(__xludf.DUMMYFUNCTION("IFERROR(
    INDEX(FILTER('Arrived Shipments'!O:O, 'Arrived Shipments'!B:B=$B428),3),
    IFERROR(
        INDEX(FILTER('POed not arrived'!D:D, 'POed not arrived'!A:A=$B428),3),
        """"
    )
)"),"")</f>
        <v/>
      </c>
      <c r="Q428" s="202"/>
      <c r="R428" s="206" t="str">
        <f>IFERROR(__xludf.DUMMYFUNCTION("IFERROR(
    INDEX(FILTER('Arrived Shipments'!O:O, 'Arrived Shipments'!B:B=$B428),4),
    IFERROR(
        INDEX(FILTER('POed not arrived'!D:D, 'POed not arrived'!A:A=$B428),4),
        """"
    )
)"),"")</f>
        <v/>
      </c>
      <c r="S428" s="202"/>
      <c r="T428" s="202">
        <f t="shared" si="8"/>
        <v>0</v>
      </c>
      <c r="U428" s="198"/>
      <c r="V428" s="199"/>
      <c r="W428" s="197"/>
      <c r="X428" s="197"/>
      <c r="Y428" s="199"/>
      <c r="Z428" s="199"/>
      <c r="AA428" s="204" t="str">
        <f t="shared" si="4"/>
        <v/>
      </c>
      <c r="AB428" s="198"/>
      <c r="AC428" s="199"/>
      <c r="AD428" s="199"/>
      <c r="AE428" s="199"/>
      <c r="AF428" s="199"/>
      <c r="AG428" s="199"/>
      <c r="AH428" s="199"/>
      <c r="AI428" s="199"/>
      <c r="AJ428" s="199"/>
      <c r="AK428" s="199"/>
      <c r="AL428" s="199"/>
      <c r="AM428" s="198"/>
      <c r="AN428" s="197"/>
      <c r="AO428" s="197"/>
      <c r="AP428" s="197"/>
      <c r="AQ428" s="197"/>
      <c r="AR428" s="197"/>
      <c r="AS428" s="197"/>
    </row>
    <row r="429">
      <c r="A429" s="198" t="str">
        <f t="shared" si="1"/>
        <v/>
      </c>
      <c r="B429" s="205"/>
      <c r="C429" s="198"/>
      <c r="D429" s="199"/>
      <c r="E429" s="213"/>
      <c r="F429" s="198"/>
      <c r="G429" s="198"/>
      <c r="H429" s="199"/>
      <c r="I429" s="207"/>
      <c r="J429" s="199"/>
      <c r="K429" s="202"/>
      <c r="L429" s="205" t="str">
        <f>IFERROR(__xludf.DUMMYFUNCTION("IFERROR(
    INDEX(FILTER('Arrived Shipments'!O:O, 'Arrived Shipments'!B:B=$B429),1),
    IFERROR(
        INDEX(FILTER('POed not arrived'!D:D, 'POed not arrived'!A:A=$B429),1),
        """"
    )
)"),"")</f>
        <v/>
      </c>
      <c r="M429" s="202"/>
      <c r="N429" s="223" t="str">
        <f>IFERROR(__xludf.DUMMYFUNCTION("IFERROR(
    INDEX(FILTER('Arrived Shipments'!O:O, 'Arrived Shipments'!B:B=$B429),2),
    IFERROR(
        INDEX(FILTER('POed not arrived'!D:D, 'POed not arrived'!A:A=$B429),2),
        """"
    )
)"),"")</f>
        <v/>
      </c>
      <c r="O429" s="202"/>
      <c r="P429" s="202" t="str">
        <f>IFERROR(__xludf.DUMMYFUNCTION("IFERROR(
    INDEX(FILTER('Arrived Shipments'!O:O, 'Arrived Shipments'!B:B=$B429),3),
    IFERROR(
        INDEX(FILTER('POed not arrived'!D:D, 'POed not arrived'!A:A=$B429),3),
        """"
    )
)"),"")</f>
        <v/>
      </c>
      <c r="Q429" s="202"/>
      <c r="R429" s="206" t="str">
        <f>IFERROR(__xludf.DUMMYFUNCTION("IFERROR(
    INDEX(FILTER('Arrived Shipments'!O:O, 'Arrived Shipments'!B:B=$B429),4),
    IFERROR(
        INDEX(FILTER('POed not arrived'!D:D, 'POed not arrived'!A:A=$B429),4),
        """"
    )
)"),"")</f>
        <v/>
      </c>
      <c r="S429" s="202"/>
      <c r="T429" s="202">
        <f t="shared" si="8"/>
        <v>0</v>
      </c>
      <c r="U429" s="198"/>
      <c r="V429" s="199"/>
      <c r="W429" s="197"/>
      <c r="X429" s="197"/>
      <c r="Y429" s="199"/>
      <c r="Z429" s="199"/>
      <c r="AA429" s="204" t="str">
        <f t="shared" si="4"/>
        <v/>
      </c>
      <c r="AB429" s="198"/>
      <c r="AC429" s="199"/>
      <c r="AD429" s="199"/>
      <c r="AE429" s="199"/>
      <c r="AF429" s="199"/>
      <c r="AG429" s="199"/>
      <c r="AH429" s="199"/>
      <c r="AI429" s="199"/>
      <c r="AJ429" s="199"/>
      <c r="AK429" s="199"/>
      <c r="AL429" s="199"/>
      <c r="AM429" s="198"/>
      <c r="AN429" s="197"/>
      <c r="AO429" s="197"/>
      <c r="AP429" s="197"/>
      <c r="AQ429" s="197"/>
      <c r="AR429" s="197"/>
      <c r="AS429" s="197"/>
    </row>
    <row r="430">
      <c r="A430" s="198" t="str">
        <f t="shared" si="1"/>
        <v/>
      </c>
      <c r="B430" s="205"/>
      <c r="C430" s="198"/>
      <c r="D430" s="199"/>
      <c r="E430" s="213"/>
      <c r="F430" s="198"/>
      <c r="G430" s="198"/>
      <c r="H430" s="199"/>
      <c r="I430" s="207"/>
      <c r="J430" s="199"/>
      <c r="K430" s="202"/>
      <c r="L430" s="205" t="str">
        <f>IFERROR(__xludf.DUMMYFUNCTION("IFERROR(
    INDEX(FILTER('Arrived Shipments'!O:O, 'Arrived Shipments'!B:B=$B430),1),
    IFERROR(
        INDEX(FILTER('POed not arrived'!D:D, 'POed not arrived'!A:A=$B430),1),
        """"
    )
)"),"")</f>
        <v/>
      </c>
      <c r="M430" s="202"/>
      <c r="N430" s="223" t="str">
        <f>IFERROR(__xludf.DUMMYFUNCTION("IFERROR(
    INDEX(FILTER('Arrived Shipments'!O:O, 'Arrived Shipments'!B:B=$B430),2),
    IFERROR(
        INDEX(FILTER('POed not arrived'!D:D, 'POed not arrived'!A:A=$B430),2),
        """"
    )
)"),"")</f>
        <v/>
      </c>
      <c r="O430" s="202"/>
      <c r="P430" s="202" t="str">
        <f>IFERROR(__xludf.DUMMYFUNCTION("IFERROR(
    INDEX(FILTER('Arrived Shipments'!O:O, 'Arrived Shipments'!B:B=$B430),3),
    IFERROR(
        INDEX(FILTER('POed not arrived'!D:D, 'POed not arrived'!A:A=$B430),3),
        """"
    )
)"),"")</f>
        <v/>
      </c>
      <c r="Q430" s="202"/>
      <c r="R430" s="206" t="str">
        <f>IFERROR(__xludf.DUMMYFUNCTION("IFERROR(
    INDEX(FILTER('Arrived Shipments'!O:O, 'Arrived Shipments'!B:B=$B430),4),
    IFERROR(
        INDEX(FILTER('POed not arrived'!D:D, 'POed not arrived'!A:A=$B430),4),
        """"
    )
)"),"")</f>
        <v/>
      </c>
      <c r="S430" s="202"/>
      <c r="T430" s="202">
        <f t="shared" si="8"/>
        <v>0</v>
      </c>
      <c r="U430" s="198"/>
      <c r="V430" s="199"/>
      <c r="W430" s="197"/>
      <c r="X430" s="197"/>
      <c r="Y430" s="199"/>
      <c r="Z430" s="199"/>
      <c r="AA430" s="204" t="str">
        <f t="shared" si="4"/>
        <v/>
      </c>
      <c r="AB430" s="198"/>
      <c r="AC430" s="199"/>
      <c r="AD430" s="199"/>
      <c r="AE430" s="199"/>
      <c r="AF430" s="199"/>
      <c r="AG430" s="199"/>
      <c r="AH430" s="199"/>
      <c r="AI430" s="199"/>
      <c r="AJ430" s="199"/>
      <c r="AK430" s="199"/>
      <c r="AL430" s="199"/>
      <c r="AM430" s="198"/>
      <c r="AN430" s="197"/>
      <c r="AO430" s="197"/>
      <c r="AP430" s="197"/>
      <c r="AQ430" s="197"/>
      <c r="AR430" s="197"/>
      <c r="AS430" s="197"/>
    </row>
    <row r="431">
      <c r="A431" s="198" t="str">
        <f t="shared" si="1"/>
        <v/>
      </c>
      <c r="B431" s="205"/>
      <c r="C431" s="198"/>
      <c r="D431" s="199"/>
      <c r="E431" s="213"/>
      <c r="F431" s="198"/>
      <c r="G431" s="198"/>
      <c r="H431" s="199"/>
      <c r="I431" s="207"/>
      <c r="J431" s="199"/>
      <c r="K431" s="202"/>
      <c r="L431" s="205" t="str">
        <f>IFERROR(__xludf.DUMMYFUNCTION("IFERROR(
    INDEX(FILTER('Arrived Shipments'!O:O, 'Arrived Shipments'!B:B=$B431),1),
    IFERROR(
        INDEX(FILTER('POed not arrived'!D:D, 'POed not arrived'!A:A=$B431),1),
        """"
    )
)"),"")</f>
        <v/>
      </c>
      <c r="M431" s="202"/>
      <c r="N431" s="223" t="str">
        <f>IFERROR(__xludf.DUMMYFUNCTION("IFERROR(
    INDEX(FILTER('Arrived Shipments'!O:O, 'Arrived Shipments'!B:B=$B431),2),
    IFERROR(
        INDEX(FILTER('POed not arrived'!D:D, 'POed not arrived'!A:A=$B431),2),
        """"
    )
)"),"")</f>
        <v/>
      </c>
      <c r="O431" s="202"/>
      <c r="P431" s="202" t="str">
        <f>IFERROR(__xludf.DUMMYFUNCTION("IFERROR(
    INDEX(FILTER('Arrived Shipments'!O:O, 'Arrived Shipments'!B:B=$B431),3),
    IFERROR(
        INDEX(FILTER('POed not arrived'!D:D, 'POed not arrived'!A:A=$B431),3),
        """"
    )
)"),"")</f>
        <v/>
      </c>
      <c r="Q431" s="202"/>
      <c r="R431" s="206" t="str">
        <f>IFERROR(__xludf.DUMMYFUNCTION("IFERROR(
    INDEX(FILTER('Arrived Shipments'!O:O, 'Arrived Shipments'!B:B=$B431),4),
    IFERROR(
        INDEX(FILTER('POed not arrived'!D:D, 'POed not arrived'!A:A=$B431),4),
        """"
    )
)"),"")</f>
        <v/>
      </c>
      <c r="S431" s="202"/>
      <c r="T431" s="202">
        <f t="shared" si="8"/>
        <v>0</v>
      </c>
      <c r="U431" s="198"/>
      <c r="V431" s="199"/>
      <c r="W431" s="197"/>
      <c r="X431" s="197"/>
      <c r="Y431" s="199"/>
      <c r="Z431" s="199"/>
      <c r="AA431" s="204" t="str">
        <f t="shared" si="4"/>
        <v/>
      </c>
      <c r="AB431" s="198"/>
      <c r="AC431" s="199"/>
      <c r="AD431" s="199"/>
      <c r="AE431" s="199"/>
      <c r="AF431" s="199"/>
      <c r="AG431" s="199"/>
      <c r="AH431" s="199"/>
      <c r="AI431" s="199"/>
      <c r="AJ431" s="199"/>
      <c r="AK431" s="199"/>
      <c r="AL431" s="199"/>
      <c r="AM431" s="198"/>
      <c r="AN431" s="197"/>
      <c r="AO431" s="197"/>
      <c r="AP431" s="197"/>
      <c r="AQ431" s="197"/>
      <c r="AR431" s="197"/>
      <c r="AS431" s="197"/>
    </row>
    <row r="432">
      <c r="A432" s="198" t="str">
        <f t="shared" si="1"/>
        <v/>
      </c>
      <c r="B432" s="205"/>
      <c r="C432" s="198"/>
      <c r="D432" s="199"/>
      <c r="E432" s="213"/>
      <c r="F432" s="198"/>
      <c r="G432" s="198"/>
      <c r="H432" s="199"/>
      <c r="I432" s="207"/>
      <c r="J432" s="199"/>
      <c r="K432" s="202"/>
      <c r="L432" s="205" t="str">
        <f>IFERROR(__xludf.DUMMYFUNCTION("IFERROR(
    INDEX(FILTER('Arrived Shipments'!O:O, 'Arrived Shipments'!B:B=$B432),1),
    IFERROR(
        INDEX(FILTER('POed not arrived'!D:D, 'POed not arrived'!A:A=$B432),1),
        """"
    )
)"),"")</f>
        <v/>
      </c>
      <c r="M432" s="202"/>
      <c r="N432" s="223" t="str">
        <f>IFERROR(__xludf.DUMMYFUNCTION("IFERROR(
    INDEX(FILTER('Arrived Shipments'!O:O, 'Arrived Shipments'!B:B=$B432),2),
    IFERROR(
        INDEX(FILTER('POed not arrived'!D:D, 'POed not arrived'!A:A=$B432),2),
        """"
    )
)"),"")</f>
        <v/>
      </c>
      <c r="O432" s="202"/>
      <c r="P432" s="202" t="str">
        <f>IFERROR(__xludf.DUMMYFUNCTION("IFERROR(
    INDEX(FILTER('Arrived Shipments'!O:O, 'Arrived Shipments'!B:B=$B432),3),
    IFERROR(
        INDEX(FILTER('POed not arrived'!D:D, 'POed not arrived'!A:A=$B432),3),
        """"
    )
)"),"")</f>
        <v/>
      </c>
      <c r="Q432" s="202"/>
      <c r="R432" s="206" t="str">
        <f>IFERROR(__xludf.DUMMYFUNCTION("IFERROR(
    INDEX(FILTER('Arrived Shipments'!O:O, 'Arrived Shipments'!B:B=$B432),4),
    IFERROR(
        INDEX(FILTER('POed not arrived'!D:D, 'POed not arrived'!A:A=$B432),4),
        """"
    )
)"),"")</f>
        <v/>
      </c>
      <c r="S432" s="202"/>
      <c r="T432" s="202">
        <f t="shared" si="8"/>
        <v>0</v>
      </c>
      <c r="U432" s="198"/>
      <c r="V432" s="199"/>
      <c r="W432" s="197"/>
      <c r="X432" s="197"/>
      <c r="Y432" s="199"/>
      <c r="Z432" s="199"/>
      <c r="AA432" s="204" t="str">
        <f t="shared" si="4"/>
        <v/>
      </c>
      <c r="AB432" s="198"/>
      <c r="AC432" s="199"/>
      <c r="AD432" s="199"/>
      <c r="AE432" s="199"/>
      <c r="AF432" s="199"/>
      <c r="AG432" s="199"/>
      <c r="AH432" s="199"/>
      <c r="AI432" s="199"/>
      <c r="AJ432" s="199"/>
      <c r="AK432" s="199"/>
      <c r="AL432" s="199"/>
      <c r="AM432" s="198"/>
      <c r="AN432" s="197"/>
      <c r="AO432" s="197"/>
      <c r="AP432" s="197"/>
      <c r="AQ432" s="197"/>
      <c r="AR432" s="197"/>
      <c r="AS432" s="197"/>
    </row>
    <row r="433">
      <c r="A433" s="198" t="str">
        <f t="shared" si="1"/>
        <v/>
      </c>
      <c r="B433" s="205"/>
      <c r="C433" s="198"/>
      <c r="D433" s="199"/>
      <c r="E433" s="213"/>
      <c r="F433" s="198"/>
      <c r="G433" s="198"/>
      <c r="H433" s="199"/>
      <c r="I433" s="207"/>
      <c r="J433" s="199"/>
      <c r="K433" s="202"/>
      <c r="L433" s="205" t="str">
        <f>IFERROR(__xludf.DUMMYFUNCTION("IFERROR(
    INDEX(FILTER('Arrived Shipments'!O:O, 'Arrived Shipments'!B:B=$B433),1),
    IFERROR(
        INDEX(FILTER('POed not arrived'!D:D, 'POed not arrived'!A:A=$B433),1),
        """"
    )
)"),"")</f>
        <v/>
      </c>
      <c r="M433" s="202"/>
      <c r="N433" s="223" t="str">
        <f>IFERROR(__xludf.DUMMYFUNCTION("IFERROR(
    INDEX(FILTER('Arrived Shipments'!O:O, 'Arrived Shipments'!B:B=$B433),2),
    IFERROR(
        INDEX(FILTER('POed not arrived'!D:D, 'POed not arrived'!A:A=$B433),2),
        """"
    )
)"),"")</f>
        <v/>
      </c>
      <c r="O433" s="202"/>
      <c r="P433" s="202" t="str">
        <f>IFERROR(__xludf.DUMMYFUNCTION("IFERROR(
    INDEX(FILTER('Arrived Shipments'!O:O, 'Arrived Shipments'!B:B=$B433),3),
    IFERROR(
        INDEX(FILTER('POed not arrived'!D:D, 'POed not arrived'!A:A=$B433),3),
        """"
    )
)"),"")</f>
        <v/>
      </c>
      <c r="Q433" s="202"/>
      <c r="R433" s="206" t="str">
        <f>IFERROR(__xludf.DUMMYFUNCTION("IFERROR(
    INDEX(FILTER('Arrived Shipments'!O:O, 'Arrived Shipments'!B:B=$B433),4),
    IFERROR(
        INDEX(FILTER('POed not arrived'!D:D, 'POed not arrived'!A:A=$B433),4),
        """"
    )
)"),"")</f>
        <v/>
      </c>
      <c r="S433" s="202"/>
      <c r="T433" s="202">
        <f t="shared" si="8"/>
        <v>0</v>
      </c>
      <c r="U433" s="198"/>
      <c r="V433" s="199"/>
      <c r="W433" s="197"/>
      <c r="X433" s="197"/>
      <c r="Y433" s="199"/>
      <c r="Z433" s="199"/>
      <c r="AA433" s="204" t="str">
        <f t="shared" si="4"/>
        <v/>
      </c>
      <c r="AB433" s="198"/>
      <c r="AC433" s="199"/>
      <c r="AD433" s="199"/>
      <c r="AE433" s="199"/>
      <c r="AF433" s="199"/>
      <c r="AG433" s="199"/>
      <c r="AH433" s="199"/>
      <c r="AI433" s="199"/>
      <c r="AJ433" s="199"/>
      <c r="AK433" s="199"/>
      <c r="AL433" s="199"/>
      <c r="AM433" s="198"/>
      <c r="AN433" s="197"/>
      <c r="AO433" s="197"/>
      <c r="AP433" s="197"/>
      <c r="AQ433" s="197"/>
      <c r="AR433" s="197"/>
      <c r="AS433" s="197"/>
    </row>
    <row r="434">
      <c r="A434" s="198" t="str">
        <f t="shared" si="1"/>
        <v/>
      </c>
      <c r="B434" s="205"/>
      <c r="C434" s="198"/>
      <c r="D434" s="199"/>
      <c r="E434" s="213"/>
      <c r="F434" s="198"/>
      <c r="G434" s="198"/>
      <c r="H434" s="199"/>
      <c r="I434" s="207"/>
      <c r="J434" s="199"/>
      <c r="K434" s="202"/>
      <c r="L434" s="205" t="str">
        <f>IFERROR(__xludf.DUMMYFUNCTION("IFERROR(
    INDEX(FILTER('Arrived Shipments'!O:O, 'Arrived Shipments'!B:B=$B434),1),
    IFERROR(
        INDEX(FILTER('POed not arrived'!D:D, 'POed not arrived'!A:A=$B434),1),
        """"
    )
)"),"")</f>
        <v/>
      </c>
      <c r="M434" s="202"/>
      <c r="N434" s="223" t="str">
        <f>IFERROR(__xludf.DUMMYFUNCTION("IFERROR(
    INDEX(FILTER('Arrived Shipments'!O:O, 'Arrived Shipments'!B:B=$B434),2),
    IFERROR(
        INDEX(FILTER('POed not arrived'!D:D, 'POed not arrived'!A:A=$B434),2),
        """"
    )
)"),"")</f>
        <v/>
      </c>
      <c r="O434" s="202"/>
      <c r="P434" s="202" t="str">
        <f>IFERROR(__xludf.DUMMYFUNCTION("IFERROR(
    INDEX(FILTER('Arrived Shipments'!O:O, 'Arrived Shipments'!B:B=$B434),3),
    IFERROR(
        INDEX(FILTER('POed not arrived'!D:D, 'POed not arrived'!A:A=$B434),3),
        """"
    )
)"),"")</f>
        <v/>
      </c>
      <c r="Q434" s="202"/>
      <c r="R434" s="206" t="str">
        <f>IFERROR(__xludf.DUMMYFUNCTION("IFERROR(
    INDEX(FILTER('Arrived Shipments'!O:O, 'Arrived Shipments'!B:B=$B434),4),
    IFERROR(
        INDEX(FILTER('POed not arrived'!D:D, 'POed not arrived'!A:A=$B434),4),
        """"
    )
)"),"")</f>
        <v/>
      </c>
      <c r="S434" s="202"/>
      <c r="T434" s="202">
        <f t="shared" si="8"/>
        <v>0</v>
      </c>
      <c r="U434" s="198"/>
      <c r="V434" s="199"/>
      <c r="W434" s="197"/>
      <c r="X434" s="197"/>
      <c r="Y434" s="199"/>
      <c r="Z434" s="199"/>
      <c r="AA434" s="204" t="str">
        <f t="shared" si="4"/>
        <v/>
      </c>
      <c r="AB434" s="198"/>
      <c r="AC434" s="199"/>
      <c r="AD434" s="199"/>
      <c r="AE434" s="199"/>
      <c r="AF434" s="199"/>
      <c r="AG434" s="199"/>
      <c r="AH434" s="199"/>
      <c r="AI434" s="199"/>
      <c r="AJ434" s="199"/>
      <c r="AK434" s="199"/>
      <c r="AL434" s="199"/>
      <c r="AM434" s="198"/>
      <c r="AN434" s="197"/>
      <c r="AO434" s="197"/>
      <c r="AP434" s="197"/>
      <c r="AQ434" s="197"/>
      <c r="AR434" s="197"/>
      <c r="AS434" s="197"/>
    </row>
    <row r="435">
      <c r="A435" s="198" t="str">
        <f t="shared" si="1"/>
        <v/>
      </c>
      <c r="B435" s="205"/>
      <c r="C435" s="198"/>
      <c r="D435" s="199"/>
      <c r="E435" s="213"/>
      <c r="F435" s="198"/>
      <c r="G435" s="198"/>
      <c r="H435" s="199"/>
      <c r="I435" s="207"/>
      <c r="J435" s="199"/>
      <c r="K435" s="202"/>
      <c r="L435" s="205" t="str">
        <f>IFERROR(__xludf.DUMMYFUNCTION("IFERROR(
    INDEX(FILTER('Arrived Shipments'!O:O, 'Arrived Shipments'!B:B=$B435),1),
    IFERROR(
        INDEX(FILTER('POed not arrived'!D:D, 'POed not arrived'!A:A=$B435),1),
        """"
    )
)"),"")</f>
        <v/>
      </c>
      <c r="M435" s="202"/>
      <c r="N435" s="223" t="str">
        <f>IFERROR(__xludf.DUMMYFUNCTION("IFERROR(
    INDEX(FILTER('Arrived Shipments'!O:O, 'Arrived Shipments'!B:B=$B435),2),
    IFERROR(
        INDEX(FILTER('POed not arrived'!D:D, 'POed not arrived'!A:A=$B435),2),
        """"
    )
)"),"")</f>
        <v/>
      </c>
      <c r="O435" s="202"/>
      <c r="P435" s="202" t="str">
        <f>IFERROR(__xludf.DUMMYFUNCTION("IFERROR(
    INDEX(FILTER('Arrived Shipments'!O:O, 'Arrived Shipments'!B:B=$B435),3),
    IFERROR(
        INDEX(FILTER('POed not arrived'!D:D, 'POed not arrived'!A:A=$B435),3),
        """"
    )
)"),"")</f>
        <v/>
      </c>
      <c r="Q435" s="202"/>
      <c r="R435" s="206" t="str">
        <f>IFERROR(__xludf.DUMMYFUNCTION("IFERROR(
    INDEX(FILTER('Arrived Shipments'!O:O, 'Arrived Shipments'!B:B=$B435),4),
    IFERROR(
        INDEX(FILTER('POed not arrived'!D:D, 'POed not arrived'!A:A=$B435),4),
        """"
    )
)"),"")</f>
        <v/>
      </c>
      <c r="S435" s="202"/>
      <c r="T435" s="202">
        <f t="shared" si="8"/>
        <v>0</v>
      </c>
      <c r="U435" s="198"/>
      <c r="V435" s="199"/>
      <c r="W435" s="197"/>
      <c r="X435" s="197"/>
      <c r="Y435" s="199"/>
      <c r="Z435" s="199"/>
      <c r="AA435" s="204" t="str">
        <f t="shared" si="4"/>
        <v/>
      </c>
      <c r="AB435" s="198"/>
      <c r="AC435" s="199"/>
      <c r="AD435" s="199"/>
      <c r="AE435" s="199"/>
      <c r="AF435" s="199"/>
      <c r="AG435" s="199"/>
      <c r="AH435" s="199"/>
      <c r="AI435" s="199"/>
      <c r="AJ435" s="199"/>
      <c r="AK435" s="199"/>
      <c r="AL435" s="199"/>
      <c r="AM435" s="198"/>
      <c r="AN435" s="197"/>
      <c r="AO435" s="197"/>
      <c r="AP435" s="197"/>
      <c r="AQ435" s="197"/>
      <c r="AR435" s="197"/>
      <c r="AS435" s="197"/>
    </row>
    <row r="436">
      <c r="A436" s="198" t="str">
        <f t="shared" si="1"/>
        <v/>
      </c>
      <c r="B436" s="205"/>
      <c r="C436" s="198"/>
      <c r="D436" s="199"/>
      <c r="E436" s="213"/>
      <c r="F436" s="198"/>
      <c r="G436" s="198"/>
      <c r="H436" s="199"/>
      <c r="I436" s="207"/>
      <c r="J436" s="199"/>
      <c r="K436" s="202"/>
      <c r="L436" s="205" t="str">
        <f>IFERROR(__xludf.DUMMYFUNCTION("IFERROR(
    INDEX(FILTER('Arrived Shipments'!O:O, 'Arrived Shipments'!B:B=$B436),1),
    IFERROR(
        INDEX(FILTER('POed not arrived'!D:D, 'POed not arrived'!A:A=$B436),1),
        """"
    )
)"),"")</f>
        <v/>
      </c>
      <c r="M436" s="202"/>
      <c r="N436" s="223" t="str">
        <f>IFERROR(__xludf.DUMMYFUNCTION("IFERROR(
    INDEX(FILTER('Arrived Shipments'!O:O, 'Arrived Shipments'!B:B=$B436),2),
    IFERROR(
        INDEX(FILTER('POed not arrived'!D:D, 'POed not arrived'!A:A=$B436),2),
        """"
    )
)"),"")</f>
        <v/>
      </c>
      <c r="O436" s="202"/>
      <c r="P436" s="202" t="str">
        <f>IFERROR(__xludf.DUMMYFUNCTION("IFERROR(
    INDEX(FILTER('Arrived Shipments'!O:O, 'Arrived Shipments'!B:B=$B436),3),
    IFERROR(
        INDEX(FILTER('POed not arrived'!D:D, 'POed not arrived'!A:A=$B436),3),
        """"
    )
)"),"")</f>
        <v/>
      </c>
      <c r="Q436" s="202"/>
      <c r="R436" s="206" t="str">
        <f>IFERROR(__xludf.DUMMYFUNCTION("IFERROR(
    INDEX(FILTER('Arrived Shipments'!O:O, 'Arrived Shipments'!B:B=$B436),4),
    IFERROR(
        INDEX(FILTER('POed not arrived'!D:D, 'POed not arrived'!A:A=$B436),4),
        """"
    )
)"),"")</f>
        <v/>
      </c>
      <c r="S436" s="202"/>
      <c r="T436" s="202">
        <f t="shared" si="8"/>
        <v>0</v>
      </c>
      <c r="U436" s="198"/>
      <c r="V436" s="199"/>
      <c r="W436" s="197"/>
      <c r="X436" s="197"/>
      <c r="Y436" s="199"/>
      <c r="Z436" s="199"/>
      <c r="AA436" s="204" t="str">
        <f t="shared" si="4"/>
        <v/>
      </c>
      <c r="AB436" s="198"/>
      <c r="AC436" s="199"/>
      <c r="AD436" s="199"/>
      <c r="AE436" s="199"/>
      <c r="AF436" s="199"/>
      <c r="AG436" s="199"/>
      <c r="AH436" s="199"/>
      <c r="AI436" s="199"/>
      <c r="AJ436" s="199"/>
      <c r="AK436" s="199"/>
      <c r="AL436" s="199"/>
      <c r="AM436" s="198"/>
      <c r="AN436" s="197"/>
      <c r="AO436" s="197"/>
      <c r="AP436" s="197"/>
      <c r="AQ436" s="197"/>
      <c r="AR436" s="197"/>
      <c r="AS436" s="197"/>
    </row>
    <row r="437">
      <c r="A437" s="198" t="str">
        <f t="shared" si="1"/>
        <v/>
      </c>
      <c r="B437" s="205"/>
      <c r="C437" s="198"/>
      <c r="D437" s="199"/>
      <c r="E437" s="213"/>
      <c r="F437" s="198"/>
      <c r="G437" s="198"/>
      <c r="H437" s="199"/>
      <c r="I437" s="207"/>
      <c r="J437" s="199"/>
      <c r="K437" s="202"/>
      <c r="L437" s="205" t="str">
        <f>IFERROR(__xludf.DUMMYFUNCTION("IFERROR(
    INDEX(FILTER('Arrived Shipments'!O:O, 'Arrived Shipments'!B:B=$B437),1),
    IFERROR(
        INDEX(FILTER('POed not arrived'!D:D, 'POed not arrived'!A:A=$B437),1),
        """"
    )
)"),"")</f>
        <v/>
      </c>
      <c r="M437" s="202"/>
      <c r="N437" s="223" t="str">
        <f>IFERROR(__xludf.DUMMYFUNCTION("IFERROR(
    INDEX(FILTER('Arrived Shipments'!O:O, 'Arrived Shipments'!B:B=$B437),2),
    IFERROR(
        INDEX(FILTER('POed not arrived'!D:D, 'POed not arrived'!A:A=$B437),2),
        """"
    )
)"),"")</f>
        <v/>
      </c>
      <c r="O437" s="202"/>
      <c r="P437" s="202" t="str">
        <f>IFERROR(__xludf.DUMMYFUNCTION("IFERROR(
    INDEX(FILTER('Arrived Shipments'!O:O, 'Arrived Shipments'!B:B=$B437),3),
    IFERROR(
        INDEX(FILTER('POed not arrived'!D:D, 'POed not arrived'!A:A=$B437),3),
        """"
    )
)"),"")</f>
        <v/>
      </c>
      <c r="Q437" s="202"/>
      <c r="R437" s="206" t="str">
        <f>IFERROR(__xludf.DUMMYFUNCTION("IFERROR(
    INDEX(FILTER('Arrived Shipments'!O:O, 'Arrived Shipments'!B:B=$B437),4),
    IFERROR(
        INDEX(FILTER('POed not arrived'!D:D, 'POed not arrived'!A:A=$B437),4),
        """"
    )
)"),"")</f>
        <v/>
      </c>
      <c r="S437" s="202"/>
      <c r="T437" s="202">
        <f t="shared" si="8"/>
        <v>0</v>
      </c>
      <c r="U437" s="198"/>
      <c r="V437" s="199"/>
      <c r="W437" s="197"/>
      <c r="X437" s="197"/>
      <c r="Y437" s="199"/>
      <c r="Z437" s="199"/>
      <c r="AA437" s="204" t="str">
        <f t="shared" si="4"/>
        <v/>
      </c>
      <c r="AB437" s="198"/>
      <c r="AC437" s="199"/>
      <c r="AD437" s="199"/>
      <c r="AE437" s="199"/>
      <c r="AF437" s="199"/>
      <c r="AG437" s="199"/>
      <c r="AH437" s="199"/>
      <c r="AI437" s="199"/>
      <c r="AJ437" s="199"/>
      <c r="AK437" s="199"/>
      <c r="AL437" s="199"/>
      <c r="AM437" s="198"/>
      <c r="AN437" s="197"/>
      <c r="AO437" s="197"/>
      <c r="AP437" s="197"/>
      <c r="AQ437" s="197"/>
      <c r="AR437" s="197"/>
      <c r="AS437" s="197"/>
    </row>
    <row r="438">
      <c r="A438" s="198" t="str">
        <f t="shared" si="1"/>
        <v/>
      </c>
      <c r="B438" s="205"/>
      <c r="C438" s="198"/>
      <c r="D438" s="199"/>
      <c r="E438" s="213"/>
      <c r="F438" s="198"/>
      <c r="G438" s="198"/>
      <c r="H438" s="199"/>
      <c r="I438" s="207"/>
      <c r="J438" s="199"/>
      <c r="K438" s="202"/>
      <c r="L438" s="205" t="str">
        <f>IFERROR(__xludf.DUMMYFUNCTION("IFERROR(
    INDEX(FILTER('Arrived Shipments'!O:O, 'Arrived Shipments'!B:B=$B438),1),
    IFERROR(
        INDEX(FILTER('POed not arrived'!D:D, 'POed not arrived'!A:A=$B438),1),
        """"
    )
)"),"")</f>
        <v/>
      </c>
      <c r="M438" s="202"/>
      <c r="N438" s="223" t="str">
        <f>IFERROR(__xludf.DUMMYFUNCTION("IFERROR(
    INDEX(FILTER('Arrived Shipments'!O:O, 'Arrived Shipments'!B:B=$B438),2),
    IFERROR(
        INDEX(FILTER('POed not arrived'!D:D, 'POed not arrived'!A:A=$B438),2),
        """"
    )
)"),"")</f>
        <v/>
      </c>
      <c r="O438" s="202"/>
      <c r="P438" s="202" t="str">
        <f>IFERROR(__xludf.DUMMYFUNCTION("IFERROR(
    INDEX(FILTER('Arrived Shipments'!O:O, 'Arrived Shipments'!B:B=$B438),3),
    IFERROR(
        INDEX(FILTER('POed not arrived'!D:D, 'POed not arrived'!A:A=$B438),3),
        """"
    )
)"),"")</f>
        <v/>
      </c>
      <c r="Q438" s="202"/>
      <c r="R438" s="206" t="str">
        <f>IFERROR(__xludf.DUMMYFUNCTION("IFERROR(
    INDEX(FILTER('Arrived Shipments'!O:O, 'Arrived Shipments'!B:B=$B438),4),
    IFERROR(
        INDEX(FILTER('POed not arrived'!D:D, 'POed not arrived'!A:A=$B438),4),
        """"
    )
)"),"")</f>
        <v/>
      </c>
      <c r="S438" s="202"/>
      <c r="T438" s="202">
        <f t="shared" si="8"/>
        <v>0</v>
      </c>
      <c r="U438" s="198"/>
      <c r="V438" s="199"/>
      <c r="W438" s="197"/>
      <c r="X438" s="197"/>
      <c r="Y438" s="199"/>
      <c r="Z438" s="199"/>
      <c r="AA438" s="204" t="str">
        <f t="shared" si="4"/>
        <v/>
      </c>
      <c r="AB438" s="198"/>
      <c r="AC438" s="199"/>
      <c r="AD438" s="199"/>
      <c r="AE438" s="199"/>
      <c r="AF438" s="199"/>
      <c r="AG438" s="199"/>
      <c r="AH438" s="199"/>
      <c r="AI438" s="199"/>
      <c r="AJ438" s="199"/>
      <c r="AK438" s="199"/>
      <c r="AL438" s="199"/>
      <c r="AM438" s="198"/>
      <c r="AN438" s="197"/>
      <c r="AO438" s="197"/>
      <c r="AP438" s="197"/>
      <c r="AQ438" s="197"/>
      <c r="AR438" s="197"/>
      <c r="AS438" s="197"/>
    </row>
    <row r="439">
      <c r="A439" s="198" t="str">
        <f t="shared" si="1"/>
        <v/>
      </c>
      <c r="B439" s="205"/>
      <c r="C439" s="198"/>
      <c r="D439" s="199"/>
      <c r="E439" s="213"/>
      <c r="F439" s="198"/>
      <c r="G439" s="198"/>
      <c r="H439" s="199"/>
      <c r="I439" s="207"/>
      <c r="J439" s="199"/>
      <c r="K439" s="202"/>
      <c r="L439" s="205" t="str">
        <f>IFERROR(__xludf.DUMMYFUNCTION("IFERROR(
    INDEX(FILTER('Arrived Shipments'!O:O, 'Arrived Shipments'!B:B=$B439),1),
    IFERROR(
        INDEX(FILTER('POed not arrived'!D:D, 'POed not arrived'!A:A=$B439),1),
        """"
    )
)"),"")</f>
        <v/>
      </c>
      <c r="M439" s="202"/>
      <c r="N439" s="223" t="str">
        <f>IFERROR(__xludf.DUMMYFUNCTION("IFERROR(
    INDEX(FILTER('Arrived Shipments'!O:O, 'Arrived Shipments'!B:B=$B439),2),
    IFERROR(
        INDEX(FILTER('POed not arrived'!D:D, 'POed not arrived'!A:A=$B439),2),
        """"
    )
)"),"")</f>
        <v/>
      </c>
      <c r="O439" s="202"/>
      <c r="P439" s="202" t="str">
        <f>IFERROR(__xludf.DUMMYFUNCTION("IFERROR(
    INDEX(FILTER('Arrived Shipments'!O:O, 'Arrived Shipments'!B:B=$B439),3),
    IFERROR(
        INDEX(FILTER('POed not arrived'!D:D, 'POed not arrived'!A:A=$B439),3),
        """"
    )
)"),"")</f>
        <v/>
      </c>
      <c r="Q439" s="202"/>
      <c r="R439" s="206" t="str">
        <f>IFERROR(__xludf.DUMMYFUNCTION("IFERROR(
    INDEX(FILTER('Arrived Shipments'!O:O, 'Arrived Shipments'!B:B=$B439),4),
    IFERROR(
        INDEX(FILTER('POed not arrived'!D:D, 'POed not arrived'!A:A=$B439),4),
        """"
    )
)"),"")</f>
        <v/>
      </c>
      <c r="S439" s="202"/>
      <c r="T439" s="202">
        <f t="shared" si="8"/>
        <v>0</v>
      </c>
      <c r="U439" s="198"/>
      <c r="V439" s="199"/>
      <c r="W439" s="197"/>
      <c r="X439" s="197"/>
      <c r="Y439" s="199"/>
      <c r="Z439" s="199"/>
      <c r="AA439" s="204" t="str">
        <f t="shared" si="4"/>
        <v/>
      </c>
      <c r="AB439" s="198"/>
      <c r="AC439" s="199"/>
      <c r="AD439" s="199"/>
      <c r="AE439" s="199"/>
      <c r="AF439" s="199"/>
      <c r="AG439" s="199"/>
      <c r="AH439" s="199"/>
      <c r="AI439" s="199"/>
      <c r="AJ439" s="199"/>
      <c r="AK439" s="199"/>
      <c r="AL439" s="199"/>
      <c r="AM439" s="198"/>
      <c r="AN439" s="197"/>
      <c r="AO439" s="197"/>
      <c r="AP439" s="197"/>
      <c r="AQ439" s="197"/>
      <c r="AR439" s="197"/>
      <c r="AS439" s="197"/>
    </row>
    <row r="440">
      <c r="A440" s="198" t="str">
        <f t="shared" si="1"/>
        <v/>
      </c>
      <c r="B440" s="205"/>
      <c r="C440" s="198"/>
      <c r="D440" s="199"/>
      <c r="E440" s="213"/>
      <c r="F440" s="198"/>
      <c r="G440" s="198"/>
      <c r="H440" s="199"/>
      <c r="I440" s="207"/>
      <c r="J440" s="199"/>
      <c r="K440" s="202"/>
      <c r="L440" s="205" t="str">
        <f>IFERROR(__xludf.DUMMYFUNCTION("IFERROR(
    INDEX(FILTER('Arrived Shipments'!O:O, 'Arrived Shipments'!B:B=$B440),1),
    IFERROR(
        INDEX(FILTER('POed not arrived'!D:D, 'POed not arrived'!A:A=$B440),1),
        """"
    )
)"),"")</f>
        <v/>
      </c>
      <c r="M440" s="202"/>
      <c r="N440" s="223" t="str">
        <f>IFERROR(__xludf.DUMMYFUNCTION("IFERROR(
    INDEX(FILTER('Arrived Shipments'!O:O, 'Arrived Shipments'!B:B=$B440),2),
    IFERROR(
        INDEX(FILTER('POed not arrived'!D:D, 'POed not arrived'!A:A=$B440),2),
        """"
    )
)"),"")</f>
        <v/>
      </c>
      <c r="O440" s="202"/>
      <c r="P440" s="202" t="str">
        <f>IFERROR(__xludf.DUMMYFUNCTION("IFERROR(
    INDEX(FILTER('Arrived Shipments'!O:O, 'Arrived Shipments'!B:B=$B440),3),
    IFERROR(
        INDEX(FILTER('POed not arrived'!D:D, 'POed not arrived'!A:A=$B440),3),
        """"
    )
)"),"")</f>
        <v/>
      </c>
      <c r="Q440" s="202"/>
      <c r="R440" s="206" t="str">
        <f>IFERROR(__xludf.DUMMYFUNCTION("IFERROR(
    INDEX(FILTER('Arrived Shipments'!O:O, 'Arrived Shipments'!B:B=$B440),4),
    IFERROR(
        INDEX(FILTER('POed not arrived'!D:D, 'POed not arrived'!A:A=$B440),4),
        """"
    )
)"),"")</f>
        <v/>
      </c>
      <c r="S440" s="202"/>
      <c r="T440" s="202">
        <f t="shared" si="8"/>
        <v>0</v>
      </c>
      <c r="U440" s="198"/>
      <c r="V440" s="199"/>
      <c r="W440" s="197"/>
      <c r="X440" s="197"/>
      <c r="Y440" s="199"/>
      <c r="Z440" s="199"/>
      <c r="AA440" s="204" t="str">
        <f t="shared" si="4"/>
        <v/>
      </c>
      <c r="AB440" s="198"/>
      <c r="AC440" s="199"/>
      <c r="AD440" s="199"/>
      <c r="AE440" s="199"/>
      <c r="AF440" s="199"/>
      <c r="AG440" s="199"/>
      <c r="AH440" s="199"/>
      <c r="AI440" s="199"/>
      <c r="AJ440" s="199"/>
      <c r="AK440" s="199"/>
      <c r="AL440" s="199"/>
      <c r="AM440" s="198"/>
      <c r="AN440" s="197"/>
      <c r="AO440" s="197"/>
      <c r="AP440" s="197"/>
      <c r="AQ440" s="197"/>
      <c r="AR440" s="197"/>
      <c r="AS440" s="197"/>
    </row>
    <row r="441">
      <c r="A441" s="198" t="str">
        <f t="shared" si="1"/>
        <v/>
      </c>
      <c r="B441" s="205"/>
      <c r="C441" s="198"/>
      <c r="D441" s="199"/>
      <c r="E441" s="213"/>
      <c r="F441" s="198"/>
      <c r="G441" s="198"/>
      <c r="H441" s="199"/>
      <c r="I441" s="207"/>
      <c r="J441" s="199"/>
      <c r="K441" s="202"/>
      <c r="L441" s="205" t="str">
        <f>IFERROR(__xludf.DUMMYFUNCTION("IFERROR(
    INDEX(FILTER('Arrived Shipments'!O:O, 'Arrived Shipments'!B:B=$B441),1),
    IFERROR(
        INDEX(FILTER('POed not arrived'!D:D, 'POed not arrived'!A:A=$B441),1),
        """"
    )
)"),"")</f>
        <v/>
      </c>
      <c r="M441" s="202"/>
      <c r="N441" s="223" t="str">
        <f>IFERROR(__xludf.DUMMYFUNCTION("IFERROR(
    INDEX(FILTER('Arrived Shipments'!O:O, 'Arrived Shipments'!B:B=$B441),2),
    IFERROR(
        INDEX(FILTER('POed not arrived'!D:D, 'POed not arrived'!A:A=$B441),2),
        """"
    )
)"),"")</f>
        <v/>
      </c>
      <c r="O441" s="202"/>
      <c r="P441" s="202" t="str">
        <f>IFERROR(__xludf.DUMMYFUNCTION("IFERROR(
    INDEX(FILTER('Arrived Shipments'!O:O, 'Arrived Shipments'!B:B=$B441),3),
    IFERROR(
        INDEX(FILTER('POed not arrived'!D:D, 'POed not arrived'!A:A=$B441),3),
        """"
    )
)"),"")</f>
        <v/>
      </c>
      <c r="Q441" s="202"/>
      <c r="R441" s="206" t="str">
        <f>IFERROR(__xludf.DUMMYFUNCTION("IFERROR(
    INDEX(FILTER('Arrived Shipments'!O:O, 'Arrived Shipments'!B:B=$B441),4),
    IFERROR(
        INDEX(FILTER('POed not arrived'!D:D, 'POed not arrived'!A:A=$B441),4),
        """"
    )
)"),"")</f>
        <v/>
      </c>
      <c r="S441" s="202"/>
      <c r="T441" s="202">
        <f t="shared" si="8"/>
        <v>0</v>
      </c>
      <c r="U441" s="198"/>
      <c r="V441" s="199"/>
      <c r="W441" s="197"/>
      <c r="X441" s="197"/>
      <c r="Y441" s="199"/>
      <c r="Z441" s="199"/>
      <c r="AA441" s="204" t="str">
        <f t="shared" si="4"/>
        <v/>
      </c>
      <c r="AB441" s="198"/>
      <c r="AC441" s="199"/>
      <c r="AD441" s="199"/>
      <c r="AE441" s="199"/>
      <c r="AF441" s="199"/>
      <c r="AG441" s="199"/>
      <c r="AH441" s="199"/>
      <c r="AI441" s="199"/>
      <c r="AJ441" s="199"/>
      <c r="AK441" s="199"/>
      <c r="AL441" s="199"/>
      <c r="AM441" s="198"/>
      <c r="AN441" s="197"/>
      <c r="AO441" s="197"/>
      <c r="AP441" s="197"/>
      <c r="AQ441" s="197"/>
      <c r="AR441" s="197"/>
      <c r="AS441" s="197"/>
    </row>
    <row r="442">
      <c r="A442" s="198" t="str">
        <f t="shared" si="1"/>
        <v/>
      </c>
      <c r="B442" s="205"/>
      <c r="C442" s="198"/>
      <c r="D442" s="199"/>
      <c r="E442" s="213"/>
      <c r="F442" s="198"/>
      <c r="G442" s="198"/>
      <c r="H442" s="199"/>
      <c r="I442" s="207"/>
      <c r="J442" s="199"/>
      <c r="K442" s="202"/>
      <c r="L442" s="205" t="str">
        <f>IFERROR(__xludf.DUMMYFUNCTION("IFERROR(
    INDEX(FILTER('Arrived Shipments'!O:O, 'Arrived Shipments'!B:B=$B442),1),
    IFERROR(
        INDEX(FILTER('POed not arrived'!D:D, 'POed not arrived'!A:A=$B442),1),
        """"
    )
)"),"")</f>
        <v/>
      </c>
      <c r="M442" s="202"/>
      <c r="N442" s="223" t="str">
        <f>IFERROR(__xludf.DUMMYFUNCTION("IFERROR(
    INDEX(FILTER('Arrived Shipments'!O:O, 'Arrived Shipments'!B:B=$B442),2),
    IFERROR(
        INDEX(FILTER('POed not arrived'!D:D, 'POed not arrived'!A:A=$B442),2),
        """"
    )
)"),"")</f>
        <v/>
      </c>
      <c r="O442" s="202"/>
      <c r="P442" s="202" t="str">
        <f>IFERROR(__xludf.DUMMYFUNCTION("IFERROR(
    INDEX(FILTER('Arrived Shipments'!O:O, 'Arrived Shipments'!B:B=$B442),3),
    IFERROR(
        INDEX(FILTER('POed not arrived'!D:D, 'POed not arrived'!A:A=$B442),3),
        """"
    )
)"),"")</f>
        <v/>
      </c>
      <c r="Q442" s="202"/>
      <c r="R442" s="206" t="str">
        <f>IFERROR(__xludf.DUMMYFUNCTION("IFERROR(
    INDEX(FILTER('Arrived Shipments'!O:O, 'Arrived Shipments'!B:B=$B442),4),
    IFERROR(
        INDEX(FILTER('POed not arrived'!D:D, 'POed not arrived'!A:A=$B442),4),
        """"
    )
)"),"")</f>
        <v/>
      </c>
      <c r="S442" s="202"/>
      <c r="T442" s="202">
        <f t="shared" si="8"/>
        <v>0</v>
      </c>
      <c r="U442" s="198"/>
      <c r="V442" s="199"/>
      <c r="W442" s="197"/>
      <c r="X442" s="197"/>
      <c r="Y442" s="199"/>
      <c r="Z442" s="199"/>
      <c r="AA442" s="204" t="str">
        <f t="shared" si="4"/>
        <v/>
      </c>
      <c r="AB442" s="198"/>
      <c r="AC442" s="199"/>
      <c r="AD442" s="199"/>
      <c r="AE442" s="199"/>
      <c r="AF442" s="199"/>
      <c r="AG442" s="199"/>
      <c r="AH442" s="199"/>
      <c r="AI442" s="199"/>
      <c r="AJ442" s="199"/>
      <c r="AK442" s="199"/>
      <c r="AL442" s="199"/>
      <c r="AM442" s="198"/>
      <c r="AN442" s="197"/>
      <c r="AO442" s="197"/>
      <c r="AP442" s="197"/>
      <c r="AQ442" s="197"/>
      <c r="AR442" s="197"/>
      <c r="AS442" s="197"/>
    </row>
    <row r="443">
      <c r="A443" s="198" t="str">
        <f t="shared" si="1"/>
        <v/>
      </c>
      <c r="B443" s="205"/>
      <c r="C443" s="198"/>
      <c r="D443" s="199"/>
      <c r="E443" s="213"/>
      <c r="F443" s="198"/>
      <c r="G443" s="198"/>
      <c r="H443" s="199"/>
      <c r="I443" s="207"/>
      <c r="J443" s="199"/>
      <c r="K443" s="202"/>
      <c r="L443" s="205" t="str">
        <f>IFERROR(__xludf.DUMMYFUNCTION("IFERROR(
    INDEX(FILTER('Arrived Shipments'!O:O, 'Arrived Shipments'!B:B=$B443),1),
    IFERROR(
        INDEX(FILTER('POed not arrived'!D:D, 'POed not arrived'!A:A=$B443),1),
        """"
    )
)"),"")</f>
        <v/>
      </c>
      <c r="M443" s="202"/>
      <c r="N443" s="223" t="str">
        <f>IFERROR(__xludf.DUMMYFUNCTION("IFERROR(
    INDEX(FILTER('Arrived Shipments'!O:O, 'Arrived Shipments'!B:B=$B443),2),
    IFERROR(
        INDEX(FILTER('POed not arrived'!D:D, 'POed not arrived'!A:A=$B443),2),
        """"
    )
)"),"")</f>
        <v/>
      </c>
      <c r="O443" s="202"/>
      <c r="P443" s="202" t="str">
        <f>IFERROR(__xludf.DUMMYFUNCTION("IFERROR(
    INDEX(FILTER('Arrived Shipments'!O:O, 'Arrived Shipments'!B:B=$B443),3),
    IFERROR(
        INDEX(FILTER('POed not arrived'!D:D, 'POed not arrived'!A:A=$B443),3),
        """"
    )
)"),"")</f>
        <v/>
      </c>
      <c r="Q443" s="202"/>
      <c r="R443" s="206" t="str">
        <f>IFERROR(__xludf.DUMMYFUNCTION("IFERROR(
    INDEX(FILTER('Arrived Shipments'!O:O, 'Arrived Shipments'!B:B=$B443),4),
    IFERROR(
        INDEX(FILTER('POed not arrived'!D:D, 'POed not arrived'!A:A=$B443),4),
        """"
    )
)"),"")</f>
        <v/>
      </c>
      <c r="S443" s="202"/>
      <c r="T443" s="202">
        <f t="shared" si="8"/>
        <v>0</v>
      </c>
      <c r="U443" s="198"/>
      <c r="V443" s="199"/>
      <c r="W443" s="197"/>
      <c r="X443" s="197"/>
      <c r="Y443" s="199"/>
      <c r="Z443" s="199"/>
      <c r="AA443" s="204" t="str">
        <f t="shared" si="4"/>
        <v/>
      </c>
      <c r="AB443" s="198"/>
      <c r="AC443" s="199"/>
      <c r="AD443" s="199"/>
      <c r="AE443" s="199"/>
      <c r="AF443" s="199"/>
      <c r="AG443" s="199"/>
      <c r="AH443" s="199"/>
      <c r="AI443" s="199"/>
      <c r="AJ443" s="199"/>
      <c r="AK443" s="199"/>
      <c r="AL443" s="199"/>
      <c r="AM443" s="198"/>
      <c r="AN443" s="197"/>
      <c r="AO443" s="197"/>
      <c r="AP443" s="197"/>
      <c r="AQ443" s="197"/>
      <c r="AR443" s="197"/>
      <c r="AS443" s="197"/>
    </row>
    <row r="444">
      <c r="A444" s="198" t="str">
        <f t="shared" si="1"/>
        <v/>
      </c>
      <c r="B444" s="205"/>
      <c r="C444" s="198"/>
      <c r="D444" s="199"/>
      <c r="E444" s="213"/>
      <c r="F444" s="198"/>
      <c r="G444" s="198"/>
      <c r="H444" s="199"/>
      <c r="I444" s="207"/>
      <c r="J444" s="199"/>
      <c r="K444" s="202"/>
      <c r="L444" s="205" t="str">
        <f>IFERROR(__xludf.DUMMYFUNCTION("IFERROR(
    INDEX(FILTER('Arrived Shipments'!O:O, 'Arrived Shipments'!B:B=$B444),1),
    IFERROR(
        INDEX(FILTER('POed not arrived'!D:D, 'POed not arrived'!A:A=$B444),1),
        """"
    )
)"),"")</f>
        <v/>
      </c>
      <c r="M444" s="202"/>
      <c r="N444" s="223" t="str">
        <f>IFERROR(__xludf.DUMMYFUNCTION("IFERROR(
    INDEX(FILTER('Arrived Shipments'!O:O, 'Arrived Shipments'!B:B=$B444),2),
    IFERROR(
        INDEX(FILTER('POed not arrived'!D:D, 'POed not arrived'!A:A=$B444),2),
        """"
    )
)"),"")</f>
        <v/>
      </c>
      <c r="O444" s="202"/>
      <c r="P444" s="202" t="str">
        <f>IFERROR(__xludf.DUMMYFUNCTION("IFERROR(
    INDEX(FILTER('Arrived Shipments'!O:O, 'Arrived Shipments'!B:B=$B444),3),
    IFERROR(
        INDEX(FILTER('POed not arrived'!D:D, 'POed not arrived'!A:A=$B444),3),
        """"
    )
)"),"")</f>
        <v/>
      </c>
      <c r="Q444" s="202"/>
      <c r="R444" s="206" t="str">
        <f>IFERROR(__xludf.DUMMYFUNCTION("IFERROR(
    INDEX(FILTER('Arrived Shipments'!O:O, 'Arrived Shipments'!B:B=$B444),4),
    IFERROR(
        INDEX(FILTER('POed not arrived'!D:D, 'POed not arrived'!A:A=$B444),4),
        """"
    )
)"),"")</f>
        <v/>
      </c>
      <c r="S444" s="202"/>
      <c r="T444" s="202">
        <f t="shared" si="8"/>
        <v>0</v>
      </c>
      <c r="U444" s="198"/>
      <c r="V444" s="199"/>
      <c r="W444" s="197"/>
      <c r="X444" s="197"/>
      <c r="Y444" s="199"/>
      <c r="Z444" s="199"/>
      <c r="AA444" s="204" t="str">
        <f t="shared" si="4"/>
        <v/>
      </c>
      <c r="AB444" s="198"/>
      <c r="AC444" s="199"/>
      <c r="AD444" s="199"/>
      <c r="AE444" s="199"/>
      <c r="AF444" s="199"/>
      <c r="AG444" s="199"/>
      <c r="AH444" s="199"/>
      <c r="AI444" s="199"/>
      <c r="AJ444" s="199"/>
      <c r="AK444" s="199"/>
      <c r="AL444" s="199"/>
      <c r="AM444" s="198"/>
      <c r="AN444" s="197"/>
      <c r="AO444" s="197"/>
      <c r="AP444" s="197"/>
      <c r="AQ444" s="197"/>
      <c r="AR444" s="197"/>
      <c r="AS444" s="197"/>
    </row>
    <row r="445">
      <c r="A445" s="198" t="str">
        <f t="shared" si="1"/>
        <v/>
      </c>
      <c r="B445" s="205"/>
      <c r="C445" s="198"/>
      <c r="D445" s="199"/>
      <c r="E445" s="213"/>
      <c r="F445" s="198"/>
      <c r="G445" s="198"/>
      <c r="H445" s="199"/>
      <c r="I445" s="207"/>
      <c r="J445" s="199"/>
      <c r="K445" s="202"/>
      <c r="L445" s="205" t="str">
        <f>IFERROR(__xludf.DUMMYFUNCTION("IFERROR(
    INDEX(FILTER('Arrived Shipments'!O:O, 'Arrived Shipments'!B:B=$B445),1),
    IFERROR(
        INDEX(FILTER('POed not arrived'!D:D, 'POed not arrived'!A:A=$B445),1),
        """"
    )
)"),"")</f>
        <v/>
      </c>
      <c r="M445" s="202"/>
      <c r="N445" s="223" t="str">
        <f>IFERROR(__xludf.DUMMYFUNCTION("IFERROR(
    INDEX(FILTER('Arrived Shipments'!O:O, 'Arrived Shipments'!B:B=$B445),2),
    IFERROR(
        INDEX(FILTER('POed not arrived'!D:D, 'POed not arrived'!A:A=$B445),2),
        """"
    )
)"),"")</f>
        <v/>
      </c>
      <c r="O445" s="202"/>
      <c r="P445" s="202" t="str">
        <f>IFERROR(__xludf.DUMMYFUNCTION("IFERROR(
    INDEX(FILTER('Arrived Shipments'!O:O, 'Arrived Shipments'!B:B=$B445),3),
    IFERROR(
        INDEX(FILTER('POed not arrived'!D:D, 'POed not arrived'!A:A=$B445),3),
        """"
    )
)"),"")</f>
        <v/>
      </c>
      <c r="Q445" s="202"/>
      <c r="R445" s="206" t="str">
        <f>IFERROR(__xludf.DUMMYFUNCTION("IFERROR(
    INDEX(FILTER('Arrived Shipments'!O:O, 'Arrived Shipments'!B:B=$B445),4),
    IFERROR(
        INDEX(FILTER('POed not arrived'!D:D, 'POed not arrived'!A:A=$B445),4),
        """"
    )
)"),"")</f>
        <v/>
      </c>
      <c r="S445" s="202"/>
      <c r="T445" s="202">
        <f t="shared" si="8"/>
        <v>0</v>
      </c>
      <c r="U445" s="198"/>
      <c r="V445" s="199"/>
      <c r="W445" s="197"/>
      <c r="X445" s="197"/>
      <c r="Y445" s="199"/>
      <c r="Z445" s="199"/>
      <c r="AA445" s="204" t="str">
        <f t="shared" si="4"/>
        <v/>
      </c>
      <c r="AB445" s="198"/>
      <c r="AC445" s="199"/>
      <c r="AD445" s="199"/>
      <c r="AE445" s="199"/>
      <c r="AF445" s="199"/>
      <c r="AG445" s="199"/>
      <c r="AH445" s="199"/>
      <c r="AI445" s="199"/>
      <c r="AJ445" s="199"/>
      <c r="AK445" s="199"/>
      <c r="AL445" s="199"/>
      <c r="AM445" s="198"/>
      <c r="AN445" s="197"/>
      <c r="AO445" s="197"/>
      <c r="AP445" s="197"/>
      <c r="AQ445" s="197"/>
      <c r="AR445" s="197"/>
      <c r="AS445" s="197"/>
    </row>
    <row r="446">
      <c r="A446" s="198" t="str">
        <f t="shared" si="1"/>
        <v/>
      </c>
      <c r="B446" s="205"/>
      <c r="C446" s="198"/>
      <c r="D446" s="199"/>
      <c r="E446" s="213"/>
      <c r="F446" s="198"/>
      <c r="G446" s="198"/>
      <c r="H446" s="199"/>
      <c r="I446" s="207"/>
      <c r="J446" s="199"/>
      <c r="K446" s="202"/>
      <c r="L446" s="205" t="str">
        <f>IFERROR(__xludf.DUMMYFUNCTION("IFERROR(
    INDEX(FILTER('Arrived Shipments'!O:O, 'Arrived Shipments'!B:B=$B446),1),
    IFERROR(
        INDEX(FILTER('POed not arrived'!D:D, 'POed not arrived'!A:A=$B446),1),
        """"
    )
)"),"")</f>
        <v/>
      </c>
      <c r="M446" s="202"/>
      <c r="N446" s="223" t="str">
        <f>IFERROR(__xludf.DUMMYFUNCTION("IFERROR(
    INDEX(FILTER('Arrived Shipments'!O:O, 'Arrived Shipments'!B:B=$B446),2),
    IFERROR(
        INDEX(FILTER('POed not arrived'!D:D, 'POed not arrived'!A:A=$B446),2),
        """"
    )
)"),"")</f>
        <v/>
      </c>
      <c r="O446" s="202"/>
      <c r="P446" s="202" t="str">
        <f>IFERROR(__xludf.DUMMYFUNCTION("IFERROR(
    INDEX(FILTER('Arrived Shipments'!O:O, 'Arrived Shipments'!B:B=$B446),3),
    IFERROR(
        INDEX(FILTER('POed not arrived'!D:D, 'POed not arrived'!A:A=$B446),3),
        """"
    )
)"),"")</f>
        <v/>
      </c>
      <c r="Q446" s="202"/>
      <c r="R446" s="206" t="str">
        <f>IFERROR(__xludf.DUMMYFUNCTION("IFERROR(
    INDEX(FILTER('Arrived Shipments'!O:O, 'Arrived Shipments'!B:B=$B446),4),
    IFERROR(
        INDEX(FILTER('POed not arrived'!D:D, 'POed not arrived'!A:A=$B446),4),
        """"
    )
)"),"")</f>
        <v/>
      </c>
      <c r="S446" s="202"/>
      <c r="T446" s="202">
        <f t="shared" si="8"/>
        <v>0</v>
      </c>
      <c r="U446" s="198"/>
      <c r="V446" s="199"/>
      <c r="W446" s="197"/>
      <c r="X446" s="197"/>
      <c r="Y446" s="199"/>
      <c r="Z446" s="199"/>
      <c r="AA446" s="204" t="str">
        <f t="shared" si="4"/>
        <v/>
      </c>
      <c r="AB446" s="198"/>
      <c r="AC446" s="199"/>
      <c r="AD446" s="199"/>
      <c r="AE446" s="199"/>
      <c r="AF446" s="199"/>
      <c r="AG446" s="199"/>
      <c r="AH446" s="199"/>
      <c r="AI446" s="199"/>
      <c r="AJ446" s="199"/>
      <c r="AK446" s="199"/>
      <c r="AL446" s="199"/>
      <c r="AM446" s="198"/>
      <c r="AN446" s="197"/>
      <c r="AO446" s="197"/>
      <c r="AP446" s="197"/>
      <c r="AQ446" s="197"/>
      <c r="AR446" s="197"/>
      <c r="AS446" s="197"/>
    </row>
    <row r="447">
      <c r="A447" s="198" t="str">
        <f t="shared" si="1"/>
        <v/>
      </c>
      <c r="B447" s="205"/>
      <c r="C447" s="198"/>
      <c r="D447" s="199"/>
      <c r="E447" s="213"/>
      <c r="F447" s="198"/>
      <c r="G447" s="198"/>
      <c r="H447" s="199"/>
      <c r="I447" s="207"/>
      <c r="J447" s="199"/>
      <c r="K447" s="202"/>
      <c r="L447" s="205" t="str">
        <f>IFERROR(__xludf.DUMMYFUNCTION("IFERROR(
    INDEX(FILTER('Arrived Shipments'!O:O, 'Arrived Shipments'!B:B=$B447),1),
    IFERROR(
        INDEX(FILTER('POed not arrived'!D:D, 'POed not arrived'!A:A=$B447),1),
        """"
    )
)"),"")</f>
        <v/>
      </c>
      <c r="M447" s="202"/>
      <c r="N447" s="223" t="str">
        <f>IFERROR(__xludf.DUMMYFUNCTION("IFERROR(
    INDEX(FILTER('Arrived Shipments'!O:O, 'Arrived Shipments'!B:B=$B447),2),
    IFERROR(
        INDEX(FILTER('POed not arrived'!D:D, 'POed not arrived'!A:A=$B447),2),
        """"
    )
)"),"")</f>
        <v/>
      </c>
      <c r="O447" s="202"/>
      <c r="P447" s="202" t="str">
        <f>IFERROR(__xludf.DUMMYFUNCTION("IFERROR(
    INDEX(FILTER('Arrived Shipments'!O:O, 'Arrived Shipments'!B:B=$B447),3),
    IFERROR(
        INDEX(FILTER('POed not arrived'!D:D, 'POed not arrived'!A:A=$B447),3),
        """"
    )
)"),"")</f>
        <v/>
      </c>
      <c r="Q447" s="202"/>
      <c r="R447" s="206" t="str">
        <f>IFERROR(__xludf.DUMMYFUNCTION("IFERROR(
    INDEX(FILTER('Arrived Shipments'!O:O, 'Arrived Shipments'!B:B=$B447),4),
    IFERROR(
        INDEX(FILTER('POed not arrived'!D:D, 'POed not arrived'!A:A=$B447),4),
        """"
    )
)"),"")</f>
        <v/>
      </c>
      <c r="S447" s="202"/>
      <c r="T447" s="202">
        <f t="shared" si="8"/>
        <v>0</v>
      </c>
      <c r="U447" s="198"/>
      <c r="V447" s="199"/>
      <c r="W447" s="197"/>
      <c r="X447" s="197"/>
      <c r="Y447" s="199"/>
      <c r="Z447" s="199"/>
      <c r="AA447" s="204" t="str">
        <f t="shared" si="4"/>
        <v/>
      </c>
      <c r="AB447" s="198"/>
      <c r="AC447" s="199"/>
      <c r="AD447" s="199"/>
      <c r="AE447" s="199"/>
      <c r="AF447" s="199"/>
      <c r="AG447" s="199"/>
      <c r="AH447" s="199"/>
      <c r="AI447" s="199"/>
      <c r="AJ447" s="199"/>
      <c r="AK447" s="199"/>
      <c r="AL447" s="199"/>
      <c r="AM447" s="198"/>
      <c r="AN447" s="197"/>
      <c r="AO447" s="197"/>
      <c r="AP447" s="197"/>
      <c r="AQ447" s="197"/>
      <c r="AR447" s="197"/>
      <c r="AS447" s="197"/>
    </row>
    <row r="448">
      <c r="A448" s="198" t="str">
        <f t="shared" si="1"/>
        <v/>
      </c>
      <c r="B448" s="205"/>
      <c r="C448" s="198"/>
      <c r="D448" s="199"/>
      <c r="E448" s="213"/>
      <c r="F448" s="198"/>
      <c r="G448" s="198"/>
      <c r="H448" s="199"/>
      <c r="I448" s="207"/>
      <c r="J448" s="199"/>
      <c r="K448" s="202"/>
      <c r="L448" s="205" t="str">
        <f>IFERROR(__xludf.DUMMYFUNCTION("IFERROR(
    INDEX(FILTER('Arrived Shipments'!O:O, 'Arrived Shipments'!B:B=$B448),1),
    IFERROR(
        INDEX(FILTER('POed not arrived'!D:D, 'POed not arrived'!A:A=$B448),1),
        """"
    )
)"),"")</f>
        <v/>
      </c>
      <c r="M448" s="202"/>
      <c r="N448" s="223" t="str">
        <f>IFERROR(__xludf.DUMMYFUNCTION("IFERROR(
    INDEX(FILTER('Arrived Shipments'!O:O, 'Arrived Shipments'!B:B=$B448),2),
    IFERROR(
        INDEX(FILTER('POed not arrived'!D:D, 'POed not arrived'!A:A=$B448),2),
        """"
    )
)"),"")</f>
        <v/>
      </c>
      <c r="O448" s="202"/>
      <c r="P448" s="202" t="str">
        <f>IFERROR(__xludf.DUMMYFUNCTION("IFERROR(
    INDEX(FILTER('Arrived Shipments'!O:O, 'Arrived Shipments'!B:B=$B448),3),
    IFERROR(
        INDEX(FILTER('POed not arrived'!D:D, 'POed not arrived'!A:A=$B448),3),
        """"
    )
)"),"")</f>
        <v/>
      </c>
      <c r="Q448" s="202"/>
      <c r="R448" s="206" t="str">
        <f>IFERROR(__xludf.DUMMYFUNCTION("IFERROR(
    INDEX(FILTER('Arrived Shipments'!O:O, 'Arrived Shipments'!B:B=$B448),4),
    IFERROR(
        INDEX(FILTER('POed not arrived'!D:D, 'POed not arrived'!A:A=$B448),4),
        """"
    )
)"),"")</f>
        <v/>
      </c>
      <c r="S448" s="202"/>
      <c r="T448" s="202">
        <f t="shared" si="8"/>
        <v>0</v>
      </c>
      <c r="U448" s="198"/>
      <c r="V448" s="199"/>
      <c r="W448" s="197"/>
      <c r="X448" s="197"/>
      <c r="Y448" s="199"/>
      <c r="Z448" s="199"/>
      <c r="AA448" s="204" t="str">
        <f t="shared" si="4"/>
        <v/>
      </c>
      <c r="AB448" s="198"/>
      <c r="AC448" s="199"/>
      <c r="AD448" s="199"/>
      <c r="AE448" s="199"/>
      <c r="AF448" s="199"/>
      <c r="AG448" s="199"/>
      <c r="AH448" s="199"/>
      <c r="AI448" s="199"/>
      <c r="AJ448" s="199"/>
      <c r="AK448" s="199"/>
      <c r="AL448" s="199"/>
      <c r="AM448" s="198"/>
      <c r="AN448" s="197"/>
      <c r="AO448" s="197"/>
      <c r="AP448" s="197"/>
      <c r="AQ448" s="197"/>
      <c r="AR448" s="197"/>
      <c r="AS448" s="197"/>
    </row>
    <row r="449">
      <c r="A449" s="198" t="str">
        <f t="shared" si="1"/>
        <v/>
      </c>
      <c r="B449" s="205"/>
      <c r="C449" s="198"/>
      <c r="D449" s="199"/>
      <c r="E449" s="213"/>
      <c r="F449" s="198"/>
      <c r="G449" s="198"/>
      <c r="H449" s="199"/>
      <c r="I449" s="207"/>
      <c r="J449" s="199"/>
      <c r="K449" s="202"/>
      <c r="L449" s="205" t="str">
        <f>IFERROR(__xludf.DUMMYFUNCTION("IFERROR(
    INDEX(FILTER('Arrived Shipments'!O:O, 'Arrived Shipments'!B:B=$B449),1),
    IFERROR(
        INDEX(FILTER('POed not arrived'!D:D, 'POed not arrived'!A:A=$B449),1),
        """"
    )
)"),"")</f>
        <v/>
      </c>
      <c r="M449" s="202"/>
      <c r="N449" s="223" t="str">
        <f>IFERROR(__xludf.DUMMYFUNCTION("IFERROR(
    INDEX(FILTER('Arrived Shipments'!O:O, 'Arrived Shipments'!B:B=$B449),2),
    IFERROR(
        INDEX(FILTER('POed not arrived'!D:D, 'POed not arrived'!A:A=$B449),2),
        """"
    )
)"),"")</f>
        <v/>
      </c>
      <c r="O449" s="202"/>
      <c r="P449" s="202" t="str">
        <f>IFERROR(__xludf.DUMMYFUNCTION("IFERROR(
    INDEX(FILTER('Arrived Shipments'!O:O, 'Arrived Shipments'!B:B=$B449),3),
    IFERROR(
        INDEX(FILTER('POed not arrived'!D:D, 'POed not arrived'!A:A=$B449),3),
        """"
    )
)"),"")</f>
        <v/>
      </c>
      <c r="Q449" s="202"/>
      <c r="R449" s="206" t="str">
        <f>IFERROR(__xludf.DUMMYFUNCTION("IFERROR(
    INDEX(FILTER('Arrived Shipments'!O:O, 'Arrived Shipments'!B:B=$B449),4),
    IFERROR(
        INDEX(FILTER('POed not arrived'!D:D, 'POed not arrived'!A:A=$B449),4),
        """"
    )
)"),"")</f>
        <v/>
      </c>
      <c r="S449" s="202"/>
      <c r="T449" s="202">
        <f t="shared" si="8"/>
        <v>0</v>
      </c>
      <c r="U449" s="198"/>
      <c r="V449" s="199"/>
      <c r="W449" s="197"/>
      <c r="X449" s="197"/>
      <c r="Y449" s="199"/>
      <c r="Z449" s="199"/>
      <c r="AA449" s="204" t="str">
        <f t="shared" si="4"/>
        <v/>
      </c>
      <c r="AB449" s="198"/>
      <c r="AC449" s="199"/>
      <c r="AD449" s="199"/>
      <c r="AE449" s="199"/>
      <c r="AF449" s="199"/>
      <c r="AG449" s="199"/>
      <c r="AH449" s="199"/>
      <c r="AI449" s="199"/>
      <c r="AJ449" s="199"/>
      <c r="AK449" s="199"/>
      <c r="AL449" s="199"/>
      <c r="AM449" s="198"/>
      <c r="AN449" s="197"/>
      <c r="AO449" s="197"/>
      <c r="AP449" s="197"/>
      <c r="AQ449" s="197"/>
      <c r="AR449" s="197"/>
      <c r="AS449" s="197"/>
    </row>
    <row r="450">
      <c r="A450" s="198" t="str">
        <f t="shared" si="1"/>
        <v/>
      </c>
      <c r="B450" s="205"/>
      <c r="C450" s="198"/>
      <c r="D450" s="199"/>
      <c r="E450" s="213"/>
      <c r="F450" s="198"/>
      <c r="G450" s="198"/>
      <c r="H450" s="199"/>
      <c r="I450" s="207"/>
      <c r="J450" s="199"/>
      <c r="K450" s="202"/>
      <c r="L450" s="205" t="str">
        <f>IFERROR(__xludf.DUMMYFUNCTION("IFERROR(
    INDEX(FILTER('Arrived Shipments'!O:O, 'Arrived Shipments'!B:B=$B450),1),
    IFERROR(
        INDEX(FILTER('POed not arrived'!D:D, 'POed not arrived'!A:A=$B450),1),
        """"
    )
)"),"")</f>
        <v/>
      </c>
      <c r="M450" s="202"/>
      <c r="N450" s="223" t="str">
        <f>IFERROR(__xludf.DUMMYFUNCTION("IFERROR(
    INDEX(FILTER('Arrived Shipments'!O:O, 'Arrived Shipments'!B:B=$B450),2),
    IFERROR(
        INDEX(FILTER('POed not arrived'!D:D, 'POed not arrived'!A:A=$B450),2),
        """"
    )
)"),"")</f>
        <v/>
      </c>
      <c r="O450" s="202"/>
      <c r="P450" s="202" t="str">
        <f>IFERROR(__xludf.DUMMYFUNCTION("IFERROR(
    INDEX(FILTER('Arrived Shipments'!O:O, 'Arrived Shipments'!B:B=$B450),3),
    IFERROR(
        INDEX(FILTER('POed not arrived'!D:D, 'POed not arrived'!A:A=$B450),3),
        """"
    )
)"),"")</f>
        <v/>
      </c>
      <c r="Q450" s="202"/>
      <c r="R450" s="206" t="str">
        <f>IFERROR(__xludf.DUMMYFUNCTION("IFERROR(
    INDEX(FILTER('Arrived Shipments'!O:O, 'Arrived Shipments'!B:B=$B450),4),
    IFERROR(
        INDEX(FILTER('POed not arrived'!D:D, 'POed not arrived'!A:A=$B450),4),
        """"
    )
)"),"")</f>
        <v/>
      </c>
      <c r="S450" s="202"/>
      <c r="T450" s="202">
        <f t="shared" si="8"/>
        <v>0</v>
      </c>
      <c r="U450" s="198"/>
      <c r="V450" s="199"/>
      <c r="W450" s="197"/>
      <c r="X450" s="197"/>
      <c r="Y450" s="199"/>
      <c r="Z450" s="199"/>
      <c r="AA450" s="204" t="str">
        <f t="shared" si="4"/>
        <v/>
      </c>
      <c r="AB450" s="198"/>
      <c r="AC450" s="199"/>
      <c r="AD450" s="199"/>
      <c r="AE450" s="199"/>
      <c r="AF450" s="199"/>
      <c r="AG450" s="199"/>
      <c r="AH450" s="199"/>
      <c r="AI450" s="199"/>
      <c r="AJ450" s="199"/>
      <c r="AK450" s="199"/>
      <c r="AL450" s="199"/>
      <c r="AM450" s="198"/>
      <c r="AN450" s="197"/>
      <c r="AO450" s="197"/>
      <c r="AP450" s="197"/>
      <c r="AQ450" s="197"/>
      <c r="AR450" s="197"/>
      <c r="AS450" s="197"/>
    </row>
    <row r="451">
      <c r="A451" s="198" t="str">
        <f t="shared" si="1"/>
        <v/>
      </c>
      <c r="B451" s="205"/>
      <c r="C451" s="198"/>
      <c r="D451" s="199"/>
      <c r="E451" s="213"/>
      <c r="F451" s="198"/>
      <c r="G451" s="198"/>
      <c r="H451" s="199"/>
      <c r="I451" s="207"/>
      <c r="J451" s="199"/>
      <c r="K451" s="202"/>
      <c r="L451" s="205" t="str">
        <f>IFERROR(__xludf.DUMMYFUNCTION("IFERROR(
    INDEX(FILTER('Arrived Shipments'!O:O, 'Arrived Shipments'!B:B=$B451),1),
    IFERROR(
        INDEX(FILTER('POed not arrived'!D:D, 'POed not arrived'!A:A=$B451),1),
        """"
    )
)"),"")</f>
        <v/>
      </c>
      <c r="M451" s="202"/>
      <c r="N451" s="223" t="str">
        <f>IFERROR(__xludf.DUMMYFUNCTION("IFERROR(
    INDEX(FILTER('Arrived Shipments'!O:O, 'Arrived Shipments'!B:B=$B451),2),
    IFERROR(
        INDEX(FILTER('POed not arrived'!D:D, 'POed not arrived'!A:A=$B451),2),
        """"
    )
)"),"")</f>
        <v/>
      </c>
      <c r="O451" s="202"/>
      <c r="P451" s="202" t="str">
        <f>IFERROR(__xludf.DUMMYFUNCTION("IFERROR(
    INDEX(FILTER('Arrived Shipments'!O:O, 'Arrived Shipments'!B:B=$B451),3),
    IFERROR(
        INDEX(FILTER('POed not arrived'!D:D, 'POed not arrived'!A:A=$B451),3),
        """"
    )
)"),"")</f>
        <v/>
      </c>
      <c r="Q451" s="202"/>
      <c r="R451" s="206" t="str">
        <f>IFERROR(__xludf.DUMMYFUNCTION("IFERROR(
    INDEX(FILTER('Arrived Shipments'!O:O, 'Arrived Shipments'!B:B=$B451),4),
    IFERROR(
        INDEX(FILTER('POed not arrived'!D:D, 'POed not arrived'!A:A=$B451),4),
        """"
    )
)"),"")</f>
        <v/>
      </c>
      <c r="S451" s="202"/>
      <c r="T451" s="202">
        <f t="shared" si="8"/>
        <v>0</v>
      </c>
      <c r="U451" s="198"/>
      <c r="V451" s="199"/>
      <c r="W451" s="197"/>
      <c r="X451" s="197"/>
      <c r="Y451" s="199"/>
      <c r="Z451" s="199"/>
      <c r="AA451" s="204" t="str">
        <f t="shared" si="4"/>
        <v/>
      </c>
      <c r="AB451" s="198"/>
      <c r="AC451" s="199"/>
      <c r="AD451" s="199"/>
      <c r="AE451" s="199"/>
      <c r="AF451" s="199"/>
      <c r="AG451" s="199"/>
      <c r="AH451" s="199"/>
      <c r="AI451" s="199"/>
      <c r="AJ451" s="199"/>
      <c r="AK451" s="199"/>
      <c r="AL451" s="199"/>
      <c r="AM451" s="198"/>
      <c r="AN451" s="197"/>
      <c r="AO451" s="197"/>
      <c r="AP451" s="197"/>
      <c r="AQ451" s="197"/>
      <c r="AR451" s="197"/>
      <c r="AS451" s="197"/>
    </row>
    <row r="452">
      <c r="A452" s="198" t="str">
        <f t="shared" si="1"/>
        <v/>
      </c>
      <c r="B452" s="205"/>
      <c r="C452" s="198"/>
      <c r="D452" s="199"/>
      <c r="E452" s="213"/>
      <c r="F452" s="198"/>
      <c r="G452" s="198"/>
      <c r="H452" s="199"/>
      <c r="I452" s="207"/>
      <c r="J452" s="199"/>
      <c r="K452" s="202"/>
      <c r="L452" s="205" t="str">
        <f>IFERROR(__xludf.DUMMYFUNCTION("IFERROR(
    INDEX(FILTER('Arrived Shipments'!O:O, 'Arrived Shipments'!B:B=$B452),1),
    IFERROR(
        INDEX(FILTER('POed not arrived'!D:D, 'POed not arrived'!A:A=$B452),1),
        """"
    )
)"),"")</f>
        <v/>
      </c>
      <c r="M452" s="202"/>
      <c r="N452" s="223" t="str">
        <f>IFERROR(__xludf.DUMMYFUNCTION("IFERROR(
    INDEX(FILTER('Arrived Shipments'!O:O, 'Arrived Shipments'!B:B=$B452),2),
    IFERROR(
        INDEX(FILTER('POed not arrived'!D:D, 'POed not arrived'!A:A=$B452),2),
        """"
    )
)"),"")</f>
        <v/>
      </c>
      <c r="O452" s="202"/>
      <c r="P452" s="202" t="str">
        <f>IFERROR(__xludf.DUMMYFUNCTION("IFERROR(
    INDEX(FILTER('Arrived Shipments'!O:O, 'Arrived Shipments'!B:B=$B452),3),
    IFERROR(
        INDEX(FILTER('POed not arrived'!D:D, 'POed not arrived'!A:A=$B452),3),
        """"
    )
)"),"")</f>
        <v/>
      </c>
      <c r="Q452" s="202"/>
      <c r="R452" s="206" t="str">
        <f>IFERROR(__xludf.DUMMYFUNCTION("IFERROR(
    INDEX(FILTER('Arrived Shipments'!O:O, 'Arrived Shipments'!B:B=$B452),4),
    IFERROR(
        INDEX(FILTER('POed not arrived'!D:D, 'POed not arrived'!A:A=$B452),4),
        """"
    )
)"),"")</f>
        <v/>
      </c>
      <c r="S452" s="202"/>
      <c r="T452" s="202">
        <f t="shared" si="8"/>
        <v>0</v>
      </c>
      <c r="U452" s="198"/>
      <c r="V452" s="199"/>
      <c r="W452" s="197"/>
      <c r="X452" s="197"/>
      <c r="Y452" s="199"/>
      <c r="Z452" s="199"/>
      <c r="AA452" s="204" t="str">
        <f t="shared" si="4"/>
        <v/>
      </c>
      <c r="AB452" s="198"/>
      <c r="AC452" s="199"/>
      <c r="AD452" s="199"/>
      <c r="AE452" s="199"/>
      <c r="AF452" s="199"/>
      <c r="AG452" s="199"/>
      <c r="AH452" s="199"/>
      <c r="AI452" s="199"/>
      <c r="AJ452" s="199"/>
      <c r="AK452" s="199"/>
      <c r="AL452" s="199"/>
      <c r="AM452" s="198"/>
      <c r="AN452" s="197"/>
      <c r="AO452" s="197"/>
      <c r="AP452" s="197"/>
      <c r="AQ452" s="197"/>
      <c r="AR452" s="197"/>
      <c r="AS452" s="197"/>
    </row>
    <row r="453">
      <c r="A453" s="198" t="str">
        <f t="shared" si="1"/>
        <v/>
      </c>
      <c r="B453" s="205"/>
      <c r="C453" s="198"/>
      <c r="D453" s="199"/>
      <c r="E453" s="213"/>
      <c r="F453" s="198"/>
      <c r="G453" s="198"/>
      <c r="H453" s="199"/>
      <c r="I453" s="207"/>
      <c r="J453" s="199"/>
      <c r="K453" s="202"/>
      <c r="L453" s="205" t="str">
        <f>IFERROR(__xludf.DUMMYFUNCTION("IFERROR(
    INDEX(FILTER('Arrived Shipments'!O:O, 'Arrived Shipments'!B:B=$B453),1),
    IFERROR(
        INDEX(FILTER('POed not arrived'!D:D, 'POed not arrived'!A:A=$B453),1),
        """"
    )
)"),"")</f>
        <v/>
      </c>
      <c r="M453" s="202"/>
      <c r="N453" s="223" t="str">
        <f>IFERROR(__xludf.DUMMYFUNCTION("IFERROR(
    INDEX(FILTER('Arrived Shipments'!O:O, 'Arrived Shipments'!B:B=$B453),2),
    IFERROR(
        INDEX(FILTER('POed not arrived'!D:D, 'POed not arrived'!A:A=$B453),2),
        """"
    )
)"),"")</f>
        <v/>
      </c>
      <c r="O453" s="202"/>
      <c r="P453" s="202" t="str">
        <f>IFERROR(__xludf.DUMMYFUNCTION("IFERROR(
    INDEX(FILTER('Arrived Shipments'!O:O, 'Arrived Shipments'!B:B=$B453),3),
    IFERROR(
        INDEX(FILTER('POed not arrived'!D:D, 'POed not arrived'!A:A=$B453),3),
        """"
    )
)"),"")</f>
        <v/>
      </c>
      <c r="Q453" s="202"/>
      <c r="R453" s="206" t="str">
        <f>IFERROR(__xludf.DUMMYFUNCTION("IFERROR(
    INDEX(FILTER('Arrived Shipments'!O:O, 'Arrived Shipments'!B:B=$B453),4),
    IFERROR(
        INDEX(FILTER('POed not arrived'!D:D, 'POed not arrived'!A:A=$B453),4),
        """"
    )
)"),"")</f>
        <v/>
      </c>
      <c r="S453" s="202"/>
      <c r="T453" s="202">
        <f t="shared" si="8"/>
        <v>0</v>
      </c>
      <c r="U453" s="198"/>
      <c r="V453" s="199"/>
      <c r="W453" s="197"/>
      <c r="X453" s="197"/>
      <c r="Y453" s="199"/>
      <c r="Z453" s="199"/>
      <c r="AA453" s="204" t="str">
        <f t="shared" si="4"/>
        <v/>
      </c>
      <c r="AB453" s="198"/>
      <c r="AC453" s="199"/>
      <c r="AD453" s="199"/>
      <c r="AE453" s="199"/>
      <c r="AF453" s="199"/>
      <c r="AG453" s="199"/>
      <c r="AH453" s="199"/>
      <c r="AI453" s="199"/>
      <c r="AJ453" s="199"/>
      <c r="AK453" s="199"/>
      <c r="AL453" s="199"/>
      <c r="AM453" s="198"/>
      <c r="AN453" s="197"/>
      <c r="AO453" s="197"/>
      <c r="AP453" s="197"/>
      <c r="AQ453" s="197"/>
      <c r="AR453" s="197"/>
      <c r="AS453" s="197"/>
    </row>
    <row r="454">
      <c r="A454" s="198" t="str">
        <f t="shared" si="1"/>
        <v/>
      </c>
      <c r="B454" s="205"/>
      <c r="C454" s="198"/>
      <c r="D454" s="199"/>
      <c r="E454" s="213"/>
      <c r="F454" s="198"/>
      <c r="G454" s="198"/>
      <c r="H454" s="199"/>
      <c r="I454" s="207"/>
      <c r="J454" s="199"/>
      <c r="K454" s="202"/>
      <c r="L454" s="205" t="str">
        <f>IFERROR(__xludf.DUMMYFUNCTION("IFERROR(
    INDEX(FILTER('Arrived Shipments'!O:O, 'Arrived Shipments'!B:B=$B454),1),
    IFERROR(
        INDEX(FILTER('POed not arrived'!D:D, 'POed not arrived'!A:A=$B454),1),
        """"
    )
)"),"")</f>
        <v/>
      </c>
      <c r="M454" s="202"/>
      <c r="N454" s="223" t="str">
        <f>IFERROR(__xludf.DUMMYFUNCTION("IFERROR(
    INDEX(FILTER('Arrived Shipments'!O:O, 'Arrived Shipments'!B:B=$B454),2),
    IFERROR(
        INDEX(FILTER('POed not arrived'!D:D, 'POed not arrived'!A:A=$B454),2),
        """"
    )
)"),"")</f>
        <v/>
      </c>
      <c r="O454" s="202"/>
      <c r="P454" s="202" t="str">
        <f>IFERROR(__xludf.DUMMYFUNCTION("IFERROR(
    INDEX(FILTER('Arrived Shipments'!O:O, 'Arrived Shipments'!B:B=$B454),3),
    IFERROR(
        INDEX(FILTER('POed not arrived'!D:D, 'POed not arrived'!A:A=$B454),3),
        """"
    )
)"),"")</f>
        <v/>
      </c>
      <c r="Q454" s="202"/>
      <c r="R454" s="206" t="str">
        <f>IFERROR(__xludf.DUMMYFUNCTION("IFERROR(
    INDEX(FILTER('Arrived Shipments'!O:O, 'Arrived Shipments'!B:B=$B454),4),
    IFERROR(
        INDEX(FILTER('POed not arrived'!D:D, 'POed not arrived'!A:A=$B454),4),
        """"
    )
)"),"")</f>
        <v/>
      </c>
      <c r="S454" s="202"/>
      <c r="T454" s="202">
        <f t="shared" si="8"/>
        <v>0</v>
      </c>
      <c r="U454" s="198"/>
      <c r="V454" s="199"/>
      <c r="W454" s="197"/>
      <c r="X454" s="197"/>
      <c r="Y454" s="199"/>
      <c r="Z454" s="199"/>
      <c r="AA454" s="204" t="str">
        <f t="shared" si="4"/>
        <v/>
      </c>
      <c r="AB454" s="198"/>
      <c r="AC454" s="199"/>
      <c r="AD454" s="199"/>
      <c r="AE454" s="199"/>
      <c r="AF454" s="199"/>
      <c r="AG454" s="199"/>
      <c r="AH454" s="199"/>
      <c r="AI454" s="199"/>
      <c r="AJ454" s="199"/>
      <c r="AK454" s="199"/>
      <c r="AL454" s="199"/>
      <c r="AM454" s="198"/>
      <c r="AN454" s="197"/>
      <c r="AO454" s="197"/>
      <c r="AP454" s="197"/>
      <c r="AQ454" s="197"/>
      <c r="AR454" s="197"/>
      <c r="AS454" s="197"/>
    </row>
    <row r="455">
      <c r="A455" s="198" t="str">
        <f t="shared" si="1"/>
        <v/>
      </c>
      <c r="B455" s="205"/>
      <c r="C455" s="198"/>
      <c r="D455" s="199"/>
      <c r="E455" s="213"/>
      <c r="F455" s="198"/>
      <c r="G455" s="198"/>
      <c r="H455" s="199"/>
      <c r="I455" s="207"/>
      <c r="J455" s="199"/>
      <c r="K455" s="202"/>
      <c r="L455" s="205" t="str">
        <f>IFERROR(__xludf.DUMMYFUNCTION("IFERROR(
    INDEX(FILTER('Arrived Shipments'!O:O, 'Arrived Shipments'!B:B=$B455),1),
    IFERROR(
        INDEX(FILTER('POed not arrived'!D:D, 'POed not arrived'!A:A=$B455),1),
        """"
    )
)"),"")</f>
        <v/>
      </c>
      <c r="M455" s="202"/>
      <c r="N455" s="223" t="str">
        <f>IFERROR(__xludf.DUMMYFUNCTION("IFERROR(
    INDEX(FILTER('Arrived Shipments'!O:O, 'Arrived Shipments'!B:B=$B455),2),
    IFERROR(
        INDEX(FILTER('POed not arrived'!D:D, 'POed not arrived'!A:A=$B455),2),
        """"
    )
)"),"")</f>
        <v/>
      </c>
      <c r="O455" s="202"/>
      <c r="P455" s="202" t="str">
        <f>IFERROR(__xludf.DUMMYFUNCTION("IFERROR(
    INDEX(FILTER('Arrived Shipments'!O:O, 'Arrived Shipments'!B:B=$B455),3),
    IFERROR(
        INDEX(FILTER('POed not arrived'!D:D, 'POed not arrived'!A:A=$B455),3),
        """"
    )
)"),"")</f>
        <v/>
      </c>
      <c r="Q455" s="202"/>
      <c r="R455" s="206" t="str">
        <f>IFERROR(__xludf.DUMMYFUNCTION("IFERROR(
    INDEX(FILTER('Arrived Shipments'!O:O, 'Arrived Shipments'!B:B=$B455),4),
    IFERROR(
        INDEX(FILTER('POed not arrived'!D:D, 'POed not arrived'!A:A=$B455),4),
        """"
    )
)"),"")</f>
        <v/>
      </c>
      <c r="S455" s="202"/>
      <c r="T455" s="202">
        <f t="shared" si="8"/>
        <v>0</v>
      </c>
      <c r="U455" s="198"/>
      <c r="V455" s="199"/>
      <c r="W455" s="197"/>
      <c r="X455" s="197"/>
      <c r="Y455" s="199"/>
      <c r="Z455" s="199"/>
      <c r="AA455" s="204" t="str">
        <f t="shared" si="4"/>
        <v/>
      </c>
      <c r="AB455" s="198"/>
      <c r="AC455" s="199"/>
      <c r="AD455" s="199"/>
      <c r="AE455" s="199"/>
      <c r="AF455" s="199"/>
      <c r="AG455" s="199"/>
      <c r="AH455" s="199"/>
      <c r="AI455" s="199"/>
      <c r="AJ455" s="199"/>
      <c r="AK455" s="199"/>
      <c r="AL455" s="199"/>
      <c r="AM455" s="198"/>
      <c r="AN455" s="197"/>
      <c r="AO455" s="197"/>
      <c r="AP455" s="197"/>
      <c r="AQ455" s="197"/>
      <c r="AR455" s="197"/>
      <c r="AS455" s="197"/>
    </row>
    <row r="456">
      <c r="A456" s="198" t="str">
        <f t="shared" si="1"/>
        <v/>
      </c>
      <c r="B456" s="205"/>
      <c r="C456" s="198"/>
      <c r="D456" s="199"/>
      <c r="E456" s="213"/>
      <c r="F456" s="198"/>
      <c r="G456" s="198"/>
      <c r="H456" s="199"/>
      <c r="I456" s="207"/>
      <c r="J456" s="199"/>
      <c r="K456" s="202"/>
      <c r="L456" s="205" t="str">
        <f>IFERROR(__xludf.DUMMYFUNCTION("IFERROR(
    INDEX(FILTER('Arrived Shipments'!O:O, 'Arrived Shipments'!B:B=$B456),1),
    IFERROR(
        INDEX(FILTER('POed not arrived'!D:D, 'POed not arrived'!A:A=$B456),1),
        """"
    )
)"),"")</f>
        <v/>
      </c>
      <c r="M456" s="202"/>
      <c r="N456" s="223" t="str">
        <f>IFERROR(__xludf.DUMMYFUNCTION("IFERROR(
    INDEX(FILTER('Arrived Shipments'!O:O, 'Arrived Shipments'!B:B=$B456),2),
    IFERROR(
        INDEX(FILTER('POed not arrived'!D:D, 'POed not arrived'!A:A=$B456),2),
        """"
    )
)"),"")</f>
        <v/>
      </c>
      <c r="O456" s="202"/>
      <c r="P456" s="202" t="str">
        <f>IFERROR(__xludf.DUMMYFUNCTION("IFERROR(
    INDEX(FILTER('Arrived Shipments'!O:O, 'Arrived Shipments'!B:B=$B456),3),
    IFERROR(
        INDEX(FILTER('POed not arrived'!D:D, 'POed not arrived'!A:A=$B456),3),
        """"
    )
)"),"")</f>
        <v/>
      </c>
      <c r="Q456" s="202"/>
      <c r="R456" s="206" t="str">
        <f>IFERROR(__xludf.DUMMYFUNCTION("IFERROR(
    INDEX(FILTER('Arrived Shipments'!O:O, 'Arrived Shipments'!B:B=$B456),4),
    IFERROR(
        INDEX(FILTER('POed not arrived'!D:D, 'POed not arrived'!A:A=$B456),4),
        """"
    )
)"),"")</f>
        <v/>
      </c>
      <c r="S456" s="202"/>
      <c r="T456" s="202">
        <f t="shared" si="8"/>
        <v>0</v>
      </c>
      <c r="U456" s="198"/>
      <c r="V456" s="199"/>
      <c r="W456" s="197"/>
      <c r="X456" s="197"/>
      <c r="Y456" s="199"/>
      <c r="Z456" s="199"/>
      <c r="AA456" s="204" t="str">
        <f t="shared" si="4"/>
        <v/>
      </c>
      <c r="AB456" s="198"/>
      <c r="AC456" s="199"/>
      <c r="AD456" s="199"/>
      <c r="AE456" s="199"/>
      <c r="AF456" s="199"/>
      <c r="AG456" s="199"/>
      <c r="AH456" s="199"/>
      <c r="AI456" s="199"/>
      <c r="AJ456" s="199"/>
      <c r="AK456" s="199"/>
      <c r="AL456" s="199"/>
      <c r="AM456" s="198"/>
      <c r="AN456" s="197"/>
      <c r="AO456" s="197"/>
      <c r="AP456" s="197"/>
      <c r="AQ456" s="197"/>
      <c r="AR456" s="197"/>
      <c r="AS456" s="197"/>
    </row>
    <row r="457">
      <c r="A457" s="198" t="str">
        <f t="shared" si="1"/>
        <v/>
      </c>
      <c r="B457" s="205"/>
      <c r="C457" s="198"/>
      <c r="D457" s="199"/>
      <c r="E457" s="213"/>
      <c r="F457" s="198"/>
      <c r="G457" s="198"/>
      <c r="H457" s="199"/>
      <c r="I457" s="207"/>
      <c r="J457" s="199"/>
      <c r="K457" s="202"/>
      <c r="L457" s="205" t="str">
        <f>IFERROR(__xludf.DUMMYFUNCTION("IFERROR(
    INDEX(FILTER('Arrived Shipments'!O:O, 'Arrived Shipments'!B:B=$B457),1),
    IFERROR(
        INDEX(FILTER('POed not arrived'!D:D, 'POed not arrived'!A:A=$B457),1),
        """"
    )
)"),"")</f>
        <v/>
      </c>
      <c r="M457" s="202"/>
      <c r="N457" s="223" t="str">
        <f>IFERROR(__xludf.DUMMYFUNCTION("IFERROR(
    INDEX(FILTER('Arrived Shipments'!O:O, 'Arrived Shipments'!B:B=$B457),2),
    IFERROR(
        INDEX(FILTER('POed not arrived'!D:D, 'POed not arrived'!A:A=$B457),2),
        """"
    )
)"),"")</f>
        <v/>
      </c>
      <c r="O457" s="202"/>
      <c r="P457" s="202" t="str">
        <f>IFERROR(__xludf.DUMMYFUNCTION("IFERROR(
    INDEX(FILTER('Arrived Shipments'!O:O, 'Arrived Shipments'!B:B=$B457),3),
    IFERROR(
        INDEX(FILTER('POed not arrived'!D:D, 'POed not arrived'!A:A=$B457),3),
        """"
    )
)"),"")</f>
        <v/>
      </c>
      <c r="Q457" s="202"/>
      <c r="R457" s="206" t="str">
        <f>IFERROR(__xludf.DUMMYFUNCTION("IFERROR(
    INDEX(FILTER('Arrived Shipments'!O:O, 'Arrived Shipments'!B:B=$B457),4),
    IFERROR(
        INDEX(FILTER('POed not arrived'!D:D, 'POed not arrived'!A:A=$B457),4),
        """"
    )
)"),"")</f>
        <v/>
      </c>
      <c r="S457" s="202"/>
      <c r="T457" s="202">
        <f t="shared" si="8"/>
        <v>0</v>
      </c>
      <c r="U457" s="198"/>
      <c r="V457" s="199"/>
      <c r="W457" s="197"/>
      <c r="X457" s="197"/>
      <c r="Y457" s="199"/>
      <c r="Z457" s="199"/>
      <c r="AA457" s="204" t="str">
        <f t="shared" si="4"/>
        <v/>
      </c>
      <c r="AB457" s="198"/>
      <c r="AC457" s="199"/>
      <c r="AD457" s="199"/>
      <c r="AE457" s="199"/>
      <c r="AF457" s="199"/>
      <c r="AG457" s="199"/>
      <c r="AH457" s="199"/>
      <c r="AI457" s="199"/>
      <c r="AJ457" s="199"/>
      <c r="AK457" s="199"/>
      <c r="AL457" s="199"/>
      <c r="AM457" s="198"/>
      <c r="AN457" s="197"/>
      <c r="AO457" s="197"/>
      <c r="AP457" s="197"/>
      <c r="AQ457" s="197"/>
      <c r="AR457" s="197"/>
      <c r="AS457" s="197"/>
    </row>
    <row r="458">
      <c r="A458" s="198" t="str">
        <f t="shared" si="1"/>
        <v/>
      </c>
      <c r="B458" s="205"/>
      <c r="C458" s="198"/>
      <c r="D458" s="199"/>
      <c r="E458" s="213"/>
      <c r="F458" s="198"/>
      <c r="G458" s="198"/>
      <c r="H458" s="199"/>
      <c r="I458" s="207"/>
      <c r="J458" s="199"/>
      <c r="K458" s="202"/>
      <c r="L458" s="205" t="str">
        <f>IFERROR(__xludf.DUMMYFUNCTION("IFERROR(
    INDEX(FILTER('Arrived Shipments'!O:O, 'Arrived Shipments'!B:B=$B458),1),
    IFERROR(
        INDEX(FILTER('POed not arrived'!D:D, 'POed not arrived'!A:A=$B458),1),
        """"
    )
)"),"")</f>
        <v/>
      </c>
      <c r="M458" s="202"/>
      <c r="N458" s="223" t="str">
        <f>IFERROR(__xludf.DUMMYFUNCTION("IFERROR(
    INDEX(FILTER('Arrived Shipments'!O:O, 'Arrived Shipments'!B:B=$B458),2),
    IFERROR(
        INDEX(FILTER('POed not arrived'!D:D, 'POed not arrived'!A:A=$B458),2),
        """"
    )
)"),"")</f>
        <v/>
      </c>
      <c r="O458" s="202"/>
      <c r="P458" s="202" t="str">
        <f>IFERROR(__xludf.DUMMYFUNCTION("IFERROR(
    INDEX(FILTER('Arrived Shipments'!O:O, 'Arrived Shipments'!B:B=$B458),3),
    IFERROR(
        INDEX(FILTER('POed not arrived'!D:D, 'POed not arrived'!A:A=$B458),3),
        """"
    )
)"),"")</f>
        <v/>
      </c>
      <c r="Q458" s="202"/>
      <c r="R458" s="206" t="str">
        <f>IFERROR(__xludf.DUMMYFUNCTION("IFERROR(
    INDEX(FILTER('Arrived Shipments'!O:O, 'Arrived Shipments'!B:B=$B458),4),
    IFERROR(
        INDEX(FILTER('POed not arrived'!D:D, 'POed not arrived'!A:A=$B458),4),
        """"
    )
)"),"")</f>
        <v/>
      </c>
      <c r="S458" s="202"/>
      <c r="T458" s="202">
        <f t="shared" si="8"/>
        <v>0</v>
      </c>
      <c r="U458" s="198"/>
      <c r="V458" s="199"/>
      <c r="W458" s="197"/>
      <c r="X458" s="197"/>
      <c r="Y458" s="199"/>
      <c r="Z458" s="199"/>
      <c r="AA458" s="204" t="str">
        <f t="shared" si="4"/>
        <v/>
      </c>
      <c r="AB458" s="198"/>
      <c r="AC458" s="199"/>
      <c r="AD458" s="199"/>
      <c r="AE458" s="199"/>
      <c r="AF458" s="199"/>
      <c r="AG458" s="199"/>
      <c r="AH458" s="199"/>
      <c r="AI458" s="199"/>
      <c r="AJ458" s="199"/>
      <c r="AK458" s="199"/>
      <c r="AL458" s="199"/>
      <c r="AM458" s="198"/>
      <c r="AN458" s="197"/>
      <c r="AO458" s="197"/>
      <c r="AP458" s="197"/>
      <c r="AQ458" s="197"/>
      <c r="AR458" s="197"/>
      <c r="AS458" s="197"/>
    </row>
    <row r="459">
      <c r="A459" s="198" t="str">
        <f t="shared" si="1"/>
        <v/>
      </c>
      <c r="B459" s="205"/>
      <c r="C459" s="198"/>
      <c r="D459" s="199"/>
      <c r="E459" s="213"/>
      <c r="F459" s="198"/>
      <c r="G459" s="198"/>
      <c r="H459" s="199"/>
      <c r="I459" s="207"/>
      <c r="J459" s="199"/>
      <c r="K459" s="202"/>
      <c r="L459" s="205" t="str">
        <f>IFERROR(__xludf.DUMMYFUNCTION("IFERROR(
    INDEX(FILTER('Arrived Shipments'!O:O, 'Arrived Shipments'!B:B=$B459),1),
    IFERROR(
        INDEX(FILTER('POed not arrived'!D:D, 'POed not arrived'!A:A=$B459),1),
        """"
    )
)"),"")</f>
        <v/>
      </c>
      <c r="M459" s="202"/>
      <c r="N459" s="223" t="str">
        <f>IFERROR(__xludf.DUMMYFUNCTION("IFERROR(
    INDEX(FILTER('Arrived Shipments'!O:O, 'Arrived Shipments'!B:B=$B459),2),
    IFERROR(
        INDEX(FILTER('POed not arrived'!D:D, 'POed not arrived'!A:A=$B459),2),
        """"
    )
)"),"")</f>
        <v/>
      </c>
      <c r="O459" s="202"/>
      <c r="P459" s="202" t="str">
        <f>IFERROR(__xludf.DUMMYFUNCTION("IFERROR(
    INDEX(FILTER('Arrived Shipments'!O:O, 'Arrived Shipments'!B:B=$B459),3),
    IFERROR(
        INDEX(FILTER('POed not arrived'!D:D, 'POed not arrived'!A:A=$B459),3),
        """"
    )
)"),"")</f>
        <v/>
      </c>
      <c r="Q459" s="202"/>
      <c r="R459" s="206" t="str">
        <f>IFERROR(__xludf.DUMMYFUNCTION("IFERROR(
    INDEX(FILTER('Arrived Shipments'!O:O, 'Arrived Shipments'!B:B=$B459),4),
    IFERROR(
        INDEX(FILTER('POed not arrived'!D:D, 'POed not arrived'!A:A=$B459),4),
        """"
    )
)"),"")</f>
        <v/>
      </c>
      <c r="S459" s="202"/>
      <c r="T459" s="202">
        <f t="shared" si="8"/>
        <v>0</v>
      </c>
      <c r="U459" s="198"/>
      <c r="V459" s="199"/>
      <c r="W459" s="197"/>
      <c r="X459" s="197"/>
      <c r="Y459" s="199"/>
      <c r="Z459" s="199"/>
      <c r="AA459" s="204" t="str">
        <f t="shared" si="4"/>
        <v/>
      </c>
      <c r="AB459" s="198"/>
      <c r="AC459" s="199"/>
      <c r="AD459" s="199"/>
      <c r="AE459" s="199"/>
      <c r="AF459" s="199"/>
      <c r="AG459" s="199"/>
      <c r="AH459" s="199"/>
      <c r="AI459" s="199"/>
      <c r="AJ459" s="199"/>
      <c r="AK459" s="199"/>
      <c r="AL459" s="199"/>
      <c r="AM459" s="198"/>
      <c r="AN459" s="197"/>
      <c r="AO459" s="197"/>
      <c r="AP459" s="197"/>
      <c r="AQ459" s="197"/>
      <c r="AR459" s="197"/>
      <c r="AS459" s="197"/>
    </row>
    <row r="460">
      <c r="A460" s="198" t="str">
        <f t="shared" si="1"/>
        <v/>
      </c>
      <c r="B460" s="205"/>
      <c r="C460" s="198"/>
      <c r="D460" s="199"/>
      <c r="E460" s="213"/>
      <c r="F460" s="198"/>
      <c r="G460" s="198"/>
      <c r="H460" s="199"/>
      <c r="I460" s="207"/>
      <c r="J460" s="199"/>
      <c r="K460" s="202"/>
      <c r="L460" s="205" t="str">
        <f>IFERROR(__xludf.DUMMYFUNCTION("IFERROR(
    INDEX(FILTER('Arrived Shipments'!O:O, 'Arrived Shipments'!B:B=$B460),1),
    IFERROR(
        INDEX(FILTER('POed not arrived'!D:D, 'POed not arrived'!A:A=$B460),1),
        """"
    )
)"),"")</f>
        <v/>
      </c>
      <c r="M460" s="202"/>
      <c r="N460" s="223" t="str">
        <f>IFERROR(__xludf.DUMMYFUNCTION("IFERROR(
    INDEX(FILTER('Arrived Shipments'!O:O, 'Arrived Shipments'!B:B=$B460),2),
    IFERROR(
        INDEX(FILTER('POed not arrived'!D:D, 'POed not arrived'!A:A=$B460),2),
        """"
    )
)"),"")</f>
        <v/>
      </c>
      <c r="O460" s="202"/>
      <c r="P460" s="202" t="str">
        <f>IFERROR(__xludf.DUMMYFUNCTION("IFERROR(
    INDEX(FILTER('Arrived Shipments'!O:O, 'Arrived Shipments'!B:B=$B460),3),
    IFERROR(
        INDEX(FILTER('POed not arrived'!D:D, 'POed not arrived'!A:A=$B460),3),
        """"
    )
)"),"")</f>
        <v/>
      </c>
      <c r="Q460" s="202"/>
      <c r="R460" s="206" t="str">
        <f>IFERROR(__xludf.DUMMYFUNCTION("IFERROR(
    INDEX(FILTER('Arrived Shipments'!O:O, 'Arrived Shipments'!B:B=$B460),4),
    IFERROR(
        INDEX(FILTER('POed not arrived'!D:D, 'POed not arrived'!A:A=$B460),4),
        """"
    )
)"),"")</f>
        <v/>
      </c>
      <c r="S460" s="202"/>
      <c r="T460" s="202">
        <f t="shared" si="8"/>
        <v>0</v>
      </c>
      <c r="U460" s="198"/>
      <c r="V460" s="199"/>
      <c r="W460" s="197"/>
      <c r="X460" s="197"/>
      <c r="Y460" s="199"/>
      <c r="Z460" s="199"/>
      <c r="AA460" s="204" t="str">
        <f t="shared" si="4"/>
        <v/>
      </c>
      <c r="AB460" s="198"/>
      <c r="AC460" s="199"/>
      <c r="AD460" s="199"/>
      <c r="AE460" s="199"/>
      <c r="AF460" s="199"/>
      <c r="AG460" s="199"/>
      <c r="AH460" s="199"/>
      <c r="AI460" s="199"/>
      <c r="AJ460" s="199"/>
      <c r="AK460" s="199"/>
      <c r="AL460" s="199"/>
      <c r="AM460" s="198"/>
      <c r="AN460" s="197"/>
      <c r="AO460" s="197"/>
      <c r="AP460" s="197"/>
      <c r="AQ460" s="197"/>
      <c r="AR460" s="197"/>
      <c r="AS460" s="197"/>
    </row>
    <row r="461">
      <c r="A461" s="198" t="str">
        <f t="shared" si="1"/>
        <v/>
      </c>
      <c r="B461" s="205"/>
      <c r="C461" s="198"/>
      <c r="D461" s="199"/>
      <c r="E461" s="213"/>
      <c r="F461" s="198"/>
      <c r="G461" s="198"/>
      <c r="H461" s="199"/>
      <c r="I461" s="207"/>
      <c r="J461" s="199"/>
      <c r="K461" s="202"/>
      <c r="L461" s="205" t="str">
        <f>IFERROR(__xludf.DUMMYFUNCTION("IFERROR(
    INDEX(FILTER('Arrived Shipments'!O:O, 'Arrived Shipments'!B:B=$B461),1),
    IFERROR(
        INDEX(FILTER('POed not arrived'!D:D, 'POed not arrived'!A:A=$B461),1),
        """"
    )
)"),"")</f>
        <v/>
      </c>
      <c r="M461" s="202"/>
      <c r="N461" s="223" t="str">
        <f>IFERROR(__xludf.DUMMYFUNCTION("IFERROR(
    INDEX(FILTER('Arrived Shipments'!O:O, 'Arrived Shipments'!B:B=$B461),2),
    IFERROR(
        INDEX(FILTER('POed not arrived'!D:D, 'POed not arrived'!A:A=$B461),2),
        """"
    )
)"),"")</f>
        <v/>
      </c>
      <c r="O461" s="202"/>
      <c r="P461" s="202" t="str">
        <f>IFERROR(__xludf.DUMMYFUNCTION("IFERROR(
    INDEX(FILTER('Arrived Shipments'!O:O, 'Arrived Shipments'!B:B=$B461),3),
    IFERROR(
        INDEX(FILTER('POed not arrived'!D:D, 'POed not arrived'!A:A=$B461),3),
        """"
    )
)"),"")</f>
        <v/>
      </c>
      <c r="Q461" s="202"/>
      <c r="R461" s="206" t="str">
        <f>IFERROR(__xludf.DUMMYFUNCTION("IFERROR(
    INDEX(FILTER('Arrived Shipments'!O:O, 'Arrived Shipments'!B:B=$B461),4),
    IFERROR(
        INDEX(FILTER('POed not arrived'!D:D, 'POed not arrived'!A:A=$B461),4),
        """"
    )
)"),"")</f>
        <v/>
      </c>
      <c r="S461" s="202"/>
      <c r="T461" s="202">
        <f t="shared" si="8"/>
        <v>0</v>
      </c>
      <c r="U461" s="198"/>
      <c r="V461" s="199"/>
      <c r="W461" s="197"/>
      <c r="X461" s="197"/>
      <c r="Y461" s="199"/>
      <c r="Z461" s="199"/>
      <c r="AA461" s="204" t="str">
        <f t="shared" si="4"/>
        <v/>
      </c>
      <c r="AB461" s="198"/>
      <c r="AC461" s="199"/>
      <c r="AD461" s="199"/>
      <c r="AE461" s="199"/>
      <c r="AF461" s="199"/>
      <c r="AG461" s="199"/>
      <c r="AH461" s="199"/>
      <c r="AI461" s="199"/>
      <c r="AJ461" s="199"/>
      <c r="AK461" s="199"/>
      <c r="AL461" s="199"/>
      <c r="AM461" s="198"/>
      <c r="AN461" s="197"/>
      <c r="AO461" s="197"/>
      <c r="AP461" s="197"/>
      <c r="AQ461" s="197"/>
      <c r="AR461" s="197"/>
      <c r="AS461" s="197"/>
    </row>
    <row r="462">
      <c r="A462" s="198" t="str">
        <f t="shared" si="1"/>
        <v/>
      </c>
      <c r="B462" s="205"/>
      <c r="C462" s="198"/>
      <c r="D462" s="199"/>
      <c r="E462" s="213"/>
      <c r="F462" s="198"/>
      <c r="G462" s="198"/>
      <c r="H462" s="199"/>
      <c r="I462" s="207"/>
      <c r="J462" s="199"/>
      <c r="K462" s="202"/>
      <c r="L462" s="205" t="str">
        <f>IFERROR(__xludf.DUMMYFUNCTION("IFERROR(
    INDEX(FILTER('Arrived Shipments'!O:O, 'Arrived Shipments'!B:B=$B462),1),
    IFERROR(
        INDEX(FILTER('POed not arrived'!D:D, 'POed not arrived'!A:A=$B462),1),
        """"
    )
)"),"")</f>
        <v/>
      </c>
      <c r="M462" s="202"/>
      <c r="N462" s="223" t="str">
        <f>IFERROR(__xludf.DUMMYFUNCTION("IFERROR(
    INDEX(FILTER('Arrived Shipments'!O:O, 'Arrived Shipments'!B:B=$B462),2),
    IFERROR(
        INDEX(FILTER('POed not arrived'!D:D, 'POed not arrived'!A:A=$B462),2),
        """"
    )
)"),"")</f>
        <v/>
      </c>
      <c r="O462" s="202"/>
      <c r="P462" s="202" t="str">
        <f>IFERROR(__xludf.DUMMYFUNCTION("IFERROR(
    INDEX(FILTER('Arrived Shipments'!O:O, 'Arrived Shipments'!B:B=$B462),3),
    IFERROR(
        INDEX(FILTER('POed not arrived'!D:D, 'POed not arrived'!A:A=$B462),3),
        """"
    )
)"),"")</f>
        <v/>
      </c>
      <c r="Q462" s="202"/>
      <c r="R462" s="206" t="str">
        <f>IFERROR(__xludf.DUMMYFUNCTION("IFERROR(
    INDEX(FILTER('Arrived Shipments'!O:O, 'Arrived Shipments'!B:B=$B462),4),
    IFERROR(
        INDEX(FILTER('POed not arrived'!D:D, 'POed not arrived'!A:A=$B462),4),
        """"
    )
)"),"")</f>
        <v/>
      </c>
      <c r="S462" s="202"/>
      <c r="T462" s="202">
        <f t="shared" si="8"/>
        <v>0</v>
      </c>
      <c r="U462" s="198"/>
      <c r="V462" s="199"/>
      <c r="W462" s="197"/>
      <c r="X462" s="197"/>
      <c r="Y462" s="199"/>
      <c r="Z462" s="199"/>
      <c r="AA462" s="204" t="str">
        <f t="shared" si="4"/>
        <v/>
      </c>
      <c r="AB462" s="198"/>
      <c r="AC462" s="199"/>
      <c r="AD462" s="199"/>
      <c r="AE462" s="199"/>
      <c r="AF462" s="199"/>
      <c r="AG462" s="199"/>
      <c r="AH462" s="199"/>
      <c r="AI462" s="199"/>
      <c r="AJ462" s="199"/>
      <c r="AK462" s="199"/>
      <c r="AL462" s="199"/>
      <c r="AM462" s="198"/>
      <c r="AN462" s="197"/>
      <c r="AO462" s="197"/>
      <c r="AP462" s="197"/>
      <c r="AQ462" s="197"/>
      <c r="AR462" s="197"/>
      <c r="AS462" s="197"/>
    </row>
    <row r="463">
      <c r="A463" s="198" t="str">
        <f t="shared" si="1"/>
        <v/>
      </c>
      <c r="B463" s="205"/>
      <c r="C463" s="198"/>
      <c r="D463" s="199"/>
      <c r="E463" s="213"/>
      <c r="F463" s="198"/>
      <c r="G463" s="198"/>
      <c r="H463" s="199"/>
      <c r="I463" s="207"/>
      <c r="J463" s="199"/>
      <c r="K463" s="202"/>
      <c r="L463" s="205" t="str">
        <f>IFERROR(__xludf.DUMMYFUNCTION("IFERROR(
    INDEX(FILTER('Arrived Shipments'!O:O, 'Arrived Shipments'!B:B=$B463),1),
    IFERROR(
        INDEX(FILTER('POed not arrived'!D:D, 'POed not arrived'!A:A=$B463),1),
        """"
    )
)"),"")</f>
        <v/>
      </c>
      <c r="M463" s="202"/>
      <c r="N463" s="223" t="str">
        <f>IFERROR(__xludf.DUMMYFUNCTION("IFERROR(
    INDEX(FILTER('Arrived Shipments'!O:O, 'Arrived Shipments'!B:B=$B463),2),
    IFERROR(
        INDEX(FILTER('POed not arrived'!D:D, 'POed not arrived'!A:A=$B463),2),
        """"
    )
)"),"")</f>
        <v/>
      </c>
      <c r="O463" s="202"/>
      <c r="P463" s="202" t="str">
        <f>IFERROR(__xludf.DUMMYFUNCTION("IFERROR(
    INDEX(FILTER('Arrived Shipments'!O:O, 'Arrived Shipments'!B:B=$B463),3),
    IFERROR(
        INDEX(FILTER('POed not arrived'!D:D, 'POed not arrived'!A:A=$B463),3),
        """"
    )
)"),"")</f>
        <v/>
      </c>
      <c r="Q463" s="202"/>
      <c r="R463" s="206" t="str">
        <f>IFERROR(__xludf.DUMMYFUNCTION("IFERROR(
    INDEX(FILTER('Arrived Shipments'!O:O, 'Arrived Shipments'!B:B=$B463),4),
    IFERROR(
        INDEX(FILTER('POed not arrived'!D:D, 'POed not arrived'!A:A=$B463),4),
        """"
    )
)"),"")</f>
        <v/>
      </c>
      <c r="S463" s="202"/>
      <c r="T463" s="202">
        <f t="shared" si="8"/>
        <v>0</v>
      </c>
      <c r="U463" s="198"/>
      <c r="V463" s="199"/>
      <c r="W463" s="197"/>
      <c r="X463" s="197"/>
      <c r="Y463" s="199"/>
      <c r="Z463" s="199"/>
      <c r="AA463" s="204" t="str">
        <f t="shared" si="4"/>
        <v/>
      </c>
      <c r="AB463" s="198"/>
      <c r="AC463" s="199"/>
      <c r="AD463" s="199"/>
      <c r="AE463" s="199"/>
      <c r="AF463" s="199"/>
      <c r="AG463" s="199"/>
      <c r="AH463" s="199"/>
      <c r="AI463" s="199"/>
      <c r="AJ463" s="199"/>
      <c r="AK463" s="199"/>
      <c r="AL463" s="199"/>
      <c r="AM463" s="198"/>
      <c r="AN463" s="197"/>
      <c r="AO463" s="197"/>
      <c r="AP463" s="197"/>
      <c r="AQ463" s="197"/>
      <c r="AR463" s="197"/>
      <c r="AS463" s="197"/>
    </row>
    <row r="464">
      <c r="A464" s="198" t="str">
        <f t="shared" si="1"/>
        <v/>
      </c>
      <c r="B464" s="205"/>
      <c r="C464" s="198"/>
      <c r="D464" s="199"/>
      <c r="E464" s="213"/>
      <c r="F464" s="198"/>
      <c r="G464" s="198"/>
      <c r="H464" s="199"/>
      <c r="I464" s="207"/>
      <c r="J464" s="199"/>
      <c r="K464" s="202"/>
      <c r="L464" s="205" t="str">
        <f>IFERROR(__xludf.DUMMYFUNCTION("IFERROR(
    INDEX(FILTER('Arrived Shipments'!O:O, 'Arrived Shipments'!B:B=$B464),1),
    IFERROR(
        INDEX(FILTER('POed not arrived'!D:D, 'POed not arrived'!A:A=$B464),1),
        """"
    )
)"),"")</f>
        <v/>
      </c>
      <c r="M464" s="202"/>
      <c r="N464" s="223" t="str">
        <f>IFERROR(__xludf.DUMMYFUNCTION("IFERROR(
    INDEX(FILTER('Arrived Shipments'!O:O, 'Arrived Shipments'!B:B=$B464),2),
    IFERROR(
        INDEX(FILTER('POed not arrived'!D:D, 'POed not arrived'!A:A=$B464),2),
        """"
    )
)"),"")</f>
        <v/>
      </c>
      <c r="O464" s="202"/>
      <c r="P464" s="202" t="str">
        <f>IFERROR(__xludf.DUMMYFUNCTION("IFERROR(
    INDEX(FILTER('Arrived Shipments'!O:O, 'Arrived Shipments'!B:B=$B464),3),
    IFERROR(
        INDEX(FILTER('POed not arrived'!D:D, 'POed not arrived'!A:A=$B464),3),
        """"
    )
)"),"")</f>
        <v/>
      </c>
      <c r="Q464" s="202"/>
      <c r="R464" s="206" t="str">
        <f>IFERROR(__xludf.DUMMYFUNCTION("IFERROR(
    INDEX(FILTER('Arrived Shipments'!O:O, 'Arrived Shipments'!B:B=$B464),4),
    IFERROR(
        INDEX(FILTER('POed not arrived'!D:D, 'POed not arrived'!A:A=$B464),4),
        """"
    )
)"),"")</f>
        <v/>
      </c>
      <c r="S464" s="202"/>
      <c r="T464" s="202">
        <f t="shared" si="8"/>
        <v>0</v>
      </c>
      <c r="U464" s="198"/>
      <c r="V464" s="199"/>
      <c r="W464" s="197"/>
      <c r="X464" s="197"/>
      <c r="Y464" s="199"/>
      <c r="Z464" s="199"/>
      <c r="AA464" s="204" t="str">
        <f t="shared" si="4"/>
        <v/>
      </c>
      <c r="AB464" s="198"/>
      <c r="AC464" s="199"/>
      <c r="AD464" s="199"/>
      <c r="AE464" s="199"/>
      <c r="AF464" s="199"/>
      <c r="AG464" s="199"/>
      <c r="AH464" s="199"/>
      <c r="AI464" s="199"/>
      <c r="AJ464" s="199"/>
      <c r="AK464" s="199"/>
      <c r="AL464" s="199"/>
      <c r="AM464" s="198"/>
      <c r="AN464" s="197"/>
      <c r="AO464" s="197"/>
      <c r="AP464" s="197"/>
      <c r="AQ464" s="197"/>
      <c r="AR464" s="197"/>
      <c r="AS464" s="197"/>
    </row>
    <row r="465">
      <c r="A465" s="198" t="str">
        <f t="shared" si="1"/>
        <v/>
      </c>
      <c r="B465" s="205"/>
      <c r="C465" s="198"/>
      <c r="D465" s="199"/>
      <c r="E465" s="213"/>
      <c r="F465" s="198"/>
      <c r="G465" s="198"/>
      <c r="H465" s="199"/>
      <c r="I465" s="207"/>
      <c r="J465" s="199"/>
      <c r="K465" s="202"/>
      <c r="L465" s="205" t="str">
        <f>IFERROR(__xludf.DUMMYFUNCTION("IFERROR(
    INDEX(FILTER('Arrived Shipments'!O:O, 'Arrived Shipments'!B:B=$B465),1),
    IFERROR(
        INDEX(FILTER('POed not arrived'!D:D, 'POed not arrived'!A:A=$B465),1),
        """"
    )
)"),"")</f>
        <v/>
      </c>
      <c r="M465" s="202"/>
      <c r="N465" s="223" t="str">
        <f>IFERROR(__xludf.DUMMYFUNCTION("IFERROR(
    INDEX(FILTER('Arrived Shipments'!O:O, 'Arrived Shipments'!B:B=$B465),2),
    IFERROR(
        INDEX(FILTER('POed not arrived'!D:D, 'POed not arrived'!A:A=$B465),2),
        """"
    )
)"),"")</f>
        <v/>
      </c>
      <c r="O465" s="202"/>
      <c r="P465" s="202" t="str">
        <f>IFERROR(__xludf.DUMMYFUNCTION("IFERROR(
    INDEX(FILTER('Arrived Shipments'!O:O, 'Arrived Shipments'!B:B=$B465),3),
    IFERROR(
        INDEX(FILTER('POed not arrived'!D:D, 'POed not arrived'!A:A=$B465),3),
        """"
    )
)"),"")</f>
        <v/>
      </c>
      <c r="Q465" s="202"/>
      <c r="R465" s="206" t="str">
        <f>IFERROR(__xludf.DUMMYFUNCTION("IFERROR(
    INDEX(FILTER('Arrived Shipments'!O:O, 'Arrived Shipments'!B:B=$B465),4),
    IFERROR(
        INDEX(FILTER('POed not arrived'!D:D, 'POed not arrived'!A:A=$B465),4),
        """"
    )
)"),"")</f>
        <v/>
      </c>
      <c r="S465" s="202"/>
      <c r="T465" s="202">
        <f t="shared" si="8"/>
        <v>0</v>
      </c>
      <c r="U465" s="198"/>
      <c r="V465" s="199"/>
      <c r="W465" s="197"/>
      <c r="X465" s="197"/>
      <c r="Y465" s="199"/>
      <c r="Z465" s="199"/>
      <c r="AA465" s="204" t="str">
        <f t="shared" si="4"/>
        <v/>
      </c>
      <c r="AB465" s="198"/>
      <c r="AC465" s="199"/>
      <c r="AD465" s="199"/>
      <c r="AE465" s="199"/>
      <c r="AF465" s="199"/>
      <c r="AG465" s="199"/>
      <c r="AH465" s="199"/>
      <c r="AI465" s="199"/>
      <c r="AJ465" s="199"/>
      <c r="AK465" s="199"/>
      <c r="AL465" s="199"/>
      <c r="AM465" s="198"/>
      <c r="AN465" s="197"/>
      <c r="AO465" s="197"/>
      <c r="AP465" s="197"/>
      <c r="AQ465" s="197"/>
      <c r="AR465" s="197"/>
      <c r="AS465" s="197"/>
    </row>
    <row r="466">
      <c r="A466" s="198" t="str">
        <f t="shared" si="1"/>
        <v/>
      </c>
      <c r="B466" s="205"/>
      <c r="C466" s="198"/>
      <c r="D466" s="199"/>
      <c r="E466" s="213"/>
      <c r="F466" s="198"/>
      <c r="G466" s="198"/>
      <c r="H466" s="199"/>
      <c r="I466" s="207"/>
      <c r="J466" s="199"/>
      <c r="K466" s="202"/>
      <c r="L466" s="205" t="str">
        <f>IFERROR(__xludf.DUMMYFUNCTION("IFERROR(
    INDEX(FILTER('Arrived Shipments'!O:O, 'Arrived Shipments'!B:B=$B466),1),
    IFERROR(
        INDEX(FILTER('POed not arrived'!D:D, 'POed not arrived'!A:A=$B466),1),
        """"
    )
)"),"")</f>
        <v/>
      </c>
      <c r="M466" s="202"/>
      <c r="N466" s="223" t="str">
        <f>IFERROR(__xludf.DUMMYFUNCTION("IFERROR(
    INDEX(FILTER('Arrived Shipments'!O:O, 'Arrived Shipments'!B:B=$B466),2),
    IFERROR(
        INDEX(FILTER('POed not arrived'!D:D, 'POed not arrived'!A:A=$B466),2),
        """"
    )
)"),"")</f>
        <v/>
      </c>
      <c r="O466" s="202"/>
      <c r="P466" s="202" t="str">
        <f>IFERROR(__xludf.DUMMYFUNCTION("IFERROR(
    INDEX(FILTER('Arrived Shipments'!O:O, 'Arrived Shipments'!B:B=$B466),3),
    IFERROR(
        INDEX(FILTER('POed not arrived'!D:D, 'POed not arrived'!A:A=$B466),3),
        """"
    )
)"),"")</f>
        <v/>
      </c>
      <c r="Q466" s="202"/>
      <c r="R466" s="206" t="str">
        <f>IFERROR(__xludf.DUMMYFUNCTION("IFERROR(
    INDEX(FILTER('Arrived Shipments'!O:O, 'Arrived Shipments'!B:B=$B466),4),
    IFERROR(
        INDEX(FILTER('POed not arrived'!D:D, 'POed not arrived'!A:A=$B466),4),
        """"
    )
)"),"")</f>
        <v/>
      </c>
      <c r="S466" s="202"/>
      <c r="T466" s="202">
        <f t="shared" si="8"/>
        <v>0</v>
      </c>
      <c r="U466" s="198"/>
      <c r="V466" s="199"/>
      <c r="W466" s="197"/>
      <c r="X466" s="197"/>
      <c r="Y466" s="199"/>
      <c r="Z466" s="199"/>
      <c r="AA466" s="204" t="str">
        <f t="shared" si="4"/>
        <v/>
      </c>
      <c r="AB466" s="198"/>
      <c r="AC466" s="199"/>
      <c r="AD466" s="199"/>
      <c r="AE466" s="199"/>
      <c r="AF466" s="199"/>
      <c r="AG466" s="199"/>
      <c r="AH466" s="199"/>
      <c r="AI466" s="199"/>
      <c r="AJ466" s="199"/>
      <c r="AK466" s="199"/>
      <c r="AL466" s="199"/>
      <c r="AM466" s="198"/>
      <c r="AN466" s="197"/>
      <c r="AO466" s="197"/>
      <c r="AP466" s="197"/>
      <c r="AQ466" s="197"/>
      <c r="AR466" s="197"/>
      <c r="AS466" s="197"/>
    </row>
    <row r="467">
      <c r="A467" s="198" t="str">
        <f t="shared" si="1"/>
        <v/>
      </c>
      <c r="B467" s="205"/>
      <c r="C467" s="198"/>
      <c r="D467" s="199"/>
      <c r="E467" s="213"/>
      <c r="F467" s="198"/>
      <c r="G467" s="198"/>
      <c r="H467" s="199"/>
      <c r="I467" s="207"/>
      <c r="J467" s="199"/>
      <c r="K467" s="202"/>
      <c r="L467" s="205" t="str">
        <f>IFERROR(__xludf.DUMMYFUNCTION("IFERROR(
    INDEX(FILTER('Arrived Shipments'!O:O, 'Arrived Shipments'!B:B=$B467),1),
    IFERROR(
        INDEX(FILTER('POed not arrived'!D:D, 'POed not arrived'!A:A=$B467),1),
        """"
    )
)"),"")</f>
        <v/>
      </c>
      <c r="M467" s="202"/>
      <c r="N467" s="223" t="str">
        <f>IFERROR(__xludf.DUMMYFUNCTION("IFERROR(
    INDEX(FILTER('Arrived Shipments'!O:O, 'Arrived Shipments'!B:B=$B467),2),
    IFERROR(
        INDEX(FILTER('POed not arrived'!D:D, 'POed not arrived'!A:A=$B467),2),
        """"
    )
)"),"")</f>
        <v/>
      </c>
      <c r="O467" s="202"/>
      <c r="P467" s="202" t="str">
        <f>IFERROR(__xludf.DUMMYFUNCTION("IFERROR(
    INDEX(FILTER('Arrived Shipments'!O:O, 'Arrived Shipments'!B:B=$B467),3),
    IFERROR(
        INDEX(FILTER('POed not arrived'!D:D, 'POed not arrived'!A:A=$B467),3),
        """"
    )
)"),"")</f>
        <v/>
      </c>
      <c r="Q467" s="202"/>
      <c r="R467" s="206" t="str">
        <f>IFERROR(__xludf.DUMMYFUNCTION("IFERROR(
    INDEX(FILTER('Arrived Shipments'!O:O, 'Arrived Shipments'!B:B=$B467),4),
    IFERROR(
        INDEX(FILTER('POed not arrived'!D:D, 'POed not arrived'!A:A=$B467),4),
        """"
    )
)"),"")</f>
        <v/>
      </c>
      <c r="S467" s="202"/>
      <c r="T467" s="202">
        <f t="shared" si="8"/>
        <v>0</v>
      </c>
      <c r="U467" s="198"/>
      <c r="V467" s="199"/>
      <c r="W467" s="197"/>
      <c r="X467" s="197"/>
      <c r="Y467" s="199"/>
      <c r="Z467" s="199"/>
      <c r="AA467" s="204" t="str">
        <f t="shared" si="4"/>
        <v/>
      </c>
      <c r="AB467" s="198"/>
      <c r="AC467" s="199"/>
      <c r="AD467" s="199"/>
      <c r="AE467" s="199"/>
      <c r="AF467" s="199"/>
      <c r="AG467" s="199"/>
      <c r="AH467" s="199"/>
      <c r="AI467" s="199"/>
      <c r="AJ467" s="199"/>
      <c r="AK467" s="199"/>
      <c r="AL467" s="199"/>
      <c r="AM467" s="198"/>
      <c r="AN467" s="197"/>
      <c r="AO467" s="197"/>
      <c r="AP467" s="197"/>
      <c r="AQ467" s="197"/>
      <c r="AR467" s="197"/>
      <c r="AS467" s="197"/>
    </row>
    <row r="468">
      <c r="A468" s="198" t="str">
        <f t="shared" si="1"/>
        <v/>
      </c>
      <c r="B468" s="205"/>
      <c r="C468" s="198"/>
      <c r="D468" s="199"/>
      <c r="E468" s="213"/>
      <c r="F468" s="198"/>
      <c r="G468" s="198"/>
      <c r="H468" s="199"/>
      <c r="I468" s="207"/>
      <c r="J468" s="199"/>
      <c r="K468" s="202"/>
      <c r="L468" s="205" t="str">
        <f>IFERROR(__xludf.DUMMYFUNCTION("IFERROR(
    INDEX(FILTER('Arrived Shipments'!O:O, 'Arrived Shipments'!B:B=$B468),1),
    IFERROR(
        INDEX(FILTER('POed not arrived'!D:D, 'POed not arrived'!A:A=$B468),1),
        """"
    )
)"),"")</f>
        <v/>
      </c>
      <c r="M468" s="202"/>
      <c r="N468" s="223" t="str">
        <f>IFERROR(__xludf.DUMMYFUNCTION("IFERROR(
    INDEX(FILTER('Arrived Shipments'!O:O, 'Arrived Shipments'!B:B=$B468),2),
    IFERROR(
        INDEX(FILTER('POed not arrived'!D:D, 'POed not arrived'!A:A=$B468),2),
        """"
    )
)"),"")</f>
        <v/>
      </c>
      <c r="O468" s="202"/>
      <c r="P468" s="202" t="str">
        <f>IFERROR(__xludf.DUMMYFUNCTION("IFERROR(
    INDEX(FILTER('Arrived Shipments'!O:O, 'Arrived Shipments'!B:B=$B468),3),
    IFERROR(
        INDEX(FILTER('POed not arrived'!D:D, 'POed not arrived'!A:A=$B468),3),
        """"
    )
)"),"")</f>
        <v/>
      </c>
      <c r="Q468" s="202"/>
      <c r="R468" s="206" t="str">
        <f>IFERROR(__xludf.DUMMYFUNCTION("IFERROR(
    INDEX(FILTER('Arrived Shipments'!O:O, 'Arrived Shipments'!B:B=$B468),4),
    IFERROR(
        INDEX(FILTER('POed not arrived'!D:D, 'POed not arrived'!A:A=$B468),4),
        """"
    )
)"),"")</f>
        <v/>
      </c>
      <c r="S468" s="202"/>
      <c r="T468" s="202">
        <f t="shared" si="8"/>
        <v>0</v>
      </c>
      <c r="U468" s="198"/>
      <c r="V468" s="199"/>
      <c r="W468" s="197"/>
      <c r="X468" s="197"/>
      <c r="Y468" s="199"/>
      <c r="Z468" s="199"/>
      <c r="AA468" s="204" t="str">
        <f t="shared" si="4"/>
        <v/>
      </c>
      <c r="AB468" s="198"/>
      <c r="AC468" s="199"/>
      <c r="AD468" s="199"/>
      <c r="AE468" s="199"/>
      <c r="AF468" s="199"/>
      <c r="AG468" s="199"/>
      <c r="AH468" s="199"/>
      <c r="AI468" s="199"/>
      <c r="AJ468" s="199"/>
      <c r="AK468" s="199"/>
      <c r="AL468" s="199"/>
      <c r="AM468" s="198"/>
      <c r="AN468" s="197"/>
      <c r="AO468" s="197"/>
      <c r="AP468" s="197"/>
      <c r="AQ468" s="197"/>
      <c r="AR468" s="197"/>
      <c r="AS468" s="197"/>
    </row>
    <row r="469">
      <c r="A469" s="198" t="str">
        <f t="shared" si="1"/>
        <v/>
      </c>
      <c r="B469" s="205"/>
      <c r="C469" s="198"/>
      <c r="D469" s="199"/>
      <c r="E469" s="213"/>
      <c r="F469" s="198"/>
      <c r="G469" s="198"/>
      <c r="H469" s="199"/>
      <c r="I469" s="207"/>
      <c r="J469" s="199"/>
      <c r="K469" s="202"/>
      <c r="L469" s="205" t="str">
        <f>IFERROR(__xludf.DUMMYFUNCTION("IFERROR(
    INDEX(FILTER('Arrived Shipments'!O:O, 'Arrived Shipments'!B:B=$B469),1),
    IFERROR(
        INDEX(FILTER('POed not arrived'!D:D, 'POed not arrived'!A:A=$B469),1),
        """"
    )
)"),"")</f>
        <v/>
      </c>
      <c r="M469" s="202"/>
      <c r="N469" s="223" t="str">
        <f>IFERROR(__xludf.DUMMYFUNCTION("IFERROR(
    INDEX(FILTER('Arrived Shipments'!O:O, 'Arrived Shipments'!B:B=$B469),2),
    IFERROR(
        INDEX(FILTER('POed not arrived'!D:D, 'POed not arrived'!A:A=$B469),2),
        """"
    )
)"),"")</f>
        <v/>
      </c>
      <c r="O469" s="202"/>
      <c r="P469" s="202" t="str">
        <f>IFERROR(__xludf.DUMMYFUNCTION("IFERROR(
    INDEX(FILTER('Arrived Shipments'!O:O, 'Arrived Shipments'!B:B=$B469),3),
    IFERROR(
        INDEX(FILTER('POed not arrived'!D:D, 'POed not arrived'!A:A=$B469),3),
        """"
    )
)"),"")</f>
        <v/>
      </c>
      <c r="Q469" s="202"/>
      <c r="R469" s="206" t="str">
        <f>IFERROR(__xludf.DUMMYFUNCTION("IFERROR(
    INDEX(FILTER('Arrived Shipments'!O:O, 'Arrived Shipments'!B:B=$B469),4),
    IFERROR(
        INDEX(FILTER('POed not arrived'!D:D, 'POed not arrived'!A:A=$B469),4),
        """"
    )
)"),"")</f>
        <v/>
      </c>
      <c r="S469" s="202"/>
      <c r="T469" s="202">
        <f t="shared" si="8"/>
        <v>0</v>
      </c>
      <c r="U469" s="198"/>
      <c r="V469" s="199"/>
      <c r="W469" s="197"/>
      <c r="X469" s="197"/>
      <c r="Y469" s="199"/>
      <c r="Z469" s="199"/>
      <c r="AA469" s="204" t="str">
        <f t="shared" si="4"/>
        <v/>
      </c>
      <c r="AB469" s="198"/>
      <c r="AC469" s="199"/>
      <c r="AD469" s="199"/>
      <c r="AE469" s="199"/>
      <c r="AF469" s="199"/>
      <c r="AG469" s="199"/>
      <c r="AH469" s="199"/>
      <c r="AI469" s="199"/>
      <c r="AJ469" s="199"/>
      <c r="AK469" s="199"/>
      <c r="AL469" s="199"/>
      <c r="AM469" s="198"/>
      <c r="AN469" s="197"/>
      <c r="AO469" s="197"/>
      <c r="AP469" s="197"/>
      <c r="AQ469" s="197"/>
      <c r="AR469" s="197"/>
      <c r="AS469" s="197"/>
    </row>
    <row r="470">
      <c r="A470" s="198" t="str">
        <f t="shared" si="1"/>
        <v/>
      </c>
      <c r="B470" s="205"/>
      <c r="C470" s="198"/>
      <c r="D470" s="199"/>
      <c r="E470" s="213"/>
      <c r="F470" s="198"/>
      <c r="G470" s="198"/>
      <c r="H470" s="199"/>
      <c r="I470" s="207"/>
      <c r="J470" s="199"/>
      <c r="K470" s="202"/>
      <c r="L470" s="205" t="str">
        <f>IFERROR(__xludf.DUMMYFUNCTION("IFERROR(
    INDEX(FILTER('Arrived Shipments'!O:O, 'Arrived Shipments'!B:B=$B470),1),
    IFERROR(
        INDEX(FILTER('POed not arrived'!D:D, 'POed not arrived'!A:A=$B470),1),
        """"
    )
)"),"")</f>
        <v/>
      </c>
      <c r="M470" s="202"/>
      <c r="N470" s="223" t="str">
        <f>IFERROR(__xludf.DUMMYFUNCTION("IFERROR(
    INDEX(FILTER('Arrived Shipments'!O:O, 'Arrived Shipments'!B:B=$B470),2),
    IFERROR(
        INDEX(FILTER('POed not arrived'!D:D, 'POed not arrived'!A:A=$B470),2),
        """"
    )
)"),"")</f>
        <v/>
      </c>
      <c r="O470" s="202"/>
      <c r="P470" s="202" t="str">
        <f>IFERROR(__xludf.DUMMYFUNCTION("IFERROR(
    INDEX(FILTER('Arrived Shipments'!O:O, 'Arrived Shipments'!B:B=$B470),3),
    IFERROR(
        INDEX(FILTER('POed not arrived'!D:D, 'POed not arrived'!A:A=$B470),3),
        """"
    )
)"),"")</f>
        <v/>
      </c>
      <c r="Q470" s="202"/>
      <c r="R470" s="206" t="str">
        <f>IFERROR(__xludf.DUMMYFUNCTION("IFERROR(
    INDEX(FILTER('Arrived Shipments'!O:O, 'Arrived Shipments'!B:B=$B470),4),
    IFERROR(
        INDEX(FILTER('POed not arrived'!D:D, 'POed not arrived'!A:A=$B470),4),
        """"
    )
)"),"")</f>
        <v/>
      </c>
      <c r="S470" s="202"/>
      <c r="T470" s="202">
        <f t="shared" si="8"/>
        <v>0</v>
      </c>
      <c r="U470" s="198"/>
      <c r="V470" s="199"/>
      <c r="W470" s="197"/>
      <c r="X470" s="197"/>
      <c r="Y470" s="199"/>
      <c r="Z470" s="199"/>
      <c r="AA470" s="204" t="str">
        <f t="shared" si="4"/>
        <v/>
      </c>
      <c r="AB470" s="198"/>
      <c r="AC470" s="199"/>
      <c r="AD470" s="199"/>
      <c r="AE470" s="199"/>
      <c r="AF470" s="199"/>
      <c r="AG470" s="199"/>
      <c r="AH470" s="199"/>
      <c r="AI470" s="199"/>
      <c r="AJ470" s="199"/>
      <c r="AK470" s="199"/>
      <c r="AL470" s="199"/>
      <c r="AM470" s="198"/>
      <c r="AN470" s="197"/>
      <c r="AO470" s="197"/>
      <c r="AP470" s="197"/>
      <c r="AQ470" s="197"/>
      <c r="AR470" s="197"/>
      <c r="AS470" s="197"/>
    </row>
    <row r="471">
      <c r="A471" s="198" t="str">
        <f t="shared" si="1"/>
        <v/>
      </c>
      <c r="B471" s="205"/>
      <c r="C471" s="198"/>
      <c r="D471" s="199"/>
      <c r="E471" s="213"/>
      <c r="F471" s="198"/>
      <c r="G471" s="198"/>
      <c r="H471" s="199"/>
      <c r="I471" s="207"/>
      <c r="J471" s="199"/>
      <c r="K471" s="202"/>
      <c r="L471" s="205" t="str">
        <f>IFERROR(__xludf.DUMMYFUNCTION("IFERROR(
    INDEX(FILTER('Arrived Shipments'!O:O, 'Arrived Shipments'!B:B=$B471),1),
    IFERROR(
        INDEX(FILTER('POed not arrived'!D:D, 'POed not arrived'!A:A=$B471),1),
        """"
    )
)"),"")</f>
        <v/>
      </c>
      <c r="M471" s="202"/>
      <c r="N471" s="223" t="str">
        <f>IFERROR(__xludf.DUMMYFUNCTION("IFERROR(
    INDEX(FILTER('Arrived Shipments'!O:O, 'Arrived Shipments'!B:B=$B471),2),
    IFERROR(
        INDEX(FILTER('POed not arrived'!D:D, 'POed not arrived'!A:A=$B471),2),
        """"
    )
)"),"")</f>
        <v/>
      </c>
      <c r="O471" s="202"/>
      <c r="P471" s="202" t="str">
        <f>IFERROR(__xludf.DUMMYFUNCTION("IFERROR(
    INDEX(FILTER('Arrived Shipments'!O:O, 'Arrived Shipments'!B:B=$B471),3),
    IFERROR(
        INDEX(FILTER('POed not arrived'!D:D, 'POed not arrived'!A:A=$B471),3),
        """"
    )
)"),"")</f>
        <v/>
      </c>
      <c r="Q471" s="202"/>
      <c r="R471" s="206" t="str">
        <f>IFERROR(__xludf.DUMMYFUNCTION("IFERROR(
    INDEX(FILTER('Arrived Shipments'!O:O, 'Arrived Shipments'!B:B=$B471),4),
    IFERROR(
        INDEX(FILTER('POed not arrived'!D:D, 'POed not arrived'!A:A=$B471),4),
        """"
    )
)"),"")</f>
        <v/>
      </c>
      <c r="S471" s="202"/>
      <c r="T471" s="202">
        <f t="shared" si="8"/>
        <v>0</v>
      </c>
      <c r="U471" s="198"/>
      <c r="V471" s="199"/>
      <c r="W471" s="197"/>
      <c r="X471" s="197"/>
      <c r="Y471" s="199"/>
      <c r="Z471" s="199"/>
      <c r="AA471" s="204" t="str">
        <f t="shared" si="4"/>
        <v/>
      </c>
      <c r="AB471" s="198"/>
      <c r="AC471" s="199"/>
      <c r="AD471" s="199"/>
      <c r="AE471" s="199"/>
      <c r="AF471" s="199"/>
      <c r="AG471" s="199"/>
      <c r="AH471" s="199"/>
      <c r="AI471" s="199"/>
      <c r="AJ471" s="199"/>
      <c r="AK471" s="199"/>
      <c r="AL471" s="199"/>
      <c r="AM471" s="198"/>
      <c r="AN471" s="197"/>
      <c r="AO471" s="197"/>
      <c r="AP471" s="197"/>
      <c r="AQ471" s="197"/>
      <c r="AR471" s="197"/>
      <c r="AS471" s="197"/>
    </row>
    <row r="472">
      <c r="A472" s="198" t="str">
        <f t="shared" si="1"/>
        <v/>
      </c>
      <c r="B472" s="205"/>
      <c r="C472" s="198"/>
      <c r="D472" s="199"/>
      <c r="E472" s="213"/>
      <c r="F472" s="198"/>
      <c r="G472" s="198"/>
      <c r="H472" s="199"/>
      <c r="I472" s="207"/>
      <c r="J472" s="199"/>
      <c r="K472" s="202"/>
      <c r="L472" s="205" t="str">
        <f>IFERROR(__xludf.DUMMYFUNCTION("IFERROR(
    INDEX(FILTER('Arrived Shipments'!O:O, 'Arrived Shipments'!B:B=$B472),1),
    IFERROR(
        INDEX(FILTER('POed not arrived'!D:D, 'POed not arrived'!A:A=$B472),1),
        """"
    )
)"),"")</f>
        <v/>
      </c>
      <c r="M472" s="202"/>
      <c r="N472" s="223" t="str">
        <f>IFERROR(__xludf.DUMMYFUNCTION("IFERROR(
    INDEX(FILTER('Arrived Shipments'!O:O, 'Arrived Shipments'!B:B=$B472),2),
    IFERROR(
        INDEX(FILTER('POed not arrived'!D:D, 'POed not arrived'!A:A=$B472),2),
        """"
    )
)"),"")</f>
        <v/>
      </c>
      <c r="O472" s="202"/>
      <c r="P472" s="202" t="str">
        <f>IFERROR(__xludf.DUMMYFUNCTION("IFERROR(
    INDEX(FILTER('Arrived Shipments'!O:O, 'Arrived Shipments'!B:B=$B472),3),
    IFERROR(
        INDEX(FILTER('POed not arrived'!D:D, 'POed not arrived'!A:A=$B472),3),
        """"
    )
)"),"")</f>
        <v/>
      </c>
      <c r="Q472" s="202"/>
      <c r="R472" s="206" t="str">
        <f>IFERROR(__xludf.DUMMYFUNCTION("IFERROR(
    INDEX(FILTER('Arrived Shipments'!O:O, 'Arrived Shipments'!B:B=$B472),4),
    IFERROR(
        INDEX(FILTER('POed not arrived'!D:D, 'POed not arrived'!A:A=$B472),4),
        """"
    )
)"),"")</f>
        <v/>
      </c>
      <c r="S472" s="202"/>
      <c r="T472" s="202">
        <f t="shared" si="8"/>
        <v>0</v>
      </c>
      <c r="U472" s="198"/>
      <c r="V472" s="199"/>
      <c r="W472" s="197"/>
      <c r="X472" s="197"/>
      <c r="Y472" s="199"/>
      <c r="Z472" s="199"/>
      <c r="AA472" s="204" t="str">
        <f t="shared" si="4"/>
        <v/>
      </c>
      <c r="AB472" s="198"/>
      <c r="AC472" s="199"/>
      <c r="AD472" s="199"/>
      <c r="AE472" s="199"/>
      <c r="AF472" s="199"/>
      <c r="AG472" s="199"/>
      <c r="AH472" s="199"/>
      <c r="AI472" s="199"/>
      <c r="AJ472" s="199"/>
      <c r="AK472" s="199"/>
      <c r="AL472" s="199"/>
      <c r="AM472" s="198"/>
      <c r="AN472" s="197"/>
      <c r="AO472" s="197"/>
      <c r="AP472" s="197"/>
      <c r="AQ472" s="197"/>
      <c r="AR472" s="197"/>
      <c r="AS472" s="197"/>
    </row>
    <row r="473">
      <c r="A473" s="198" t="str">
        <f t="shared" si="1"/>
        <v/>
      </c>
      <c r="B473" s="205"/>
      <c r="C473" s="198"/>
      <c r="D473" s="199"/>
      <c r="E473" s="213"/>
      <c r="F473" s="198"/>
      <c r="G473" s="198"/>
      <c r="H473" s="199"/>
      <c r="I473" s="207"/>
      <c r="J473" s="199"/>
      <c r="K473" s="202"/>
      <c r="L473" s="205" t="str">
        <f>IFERROR(__xludf.DUMMYFUNCTION("IFERROR(
    INDEX(FILTER('Arrived Shipments'!O:O, 'Arrived Shipments'!B:B=$B473),1),
    IFERROR(
        INDEX(FILTER('POed not arrived'!D:D, 'POed not arrived'!A:A=$B473),1),
        """"
    )
)"),"")</f>
        <v/>
      </c>
      <c r="M473" s="202"/>
      <c r="N473" s="223" t="str">
        <f>IFERROR(__xludf.DUMMYFUNCTION("IFERROR(
    INDEX(FILTER('Arrived Shipments'!O:O, 'Arrived Shipments'!B:B=$B473),2),
    IFERROR(
        INDEX(FILTER('POed not arrived'!D:D, 'POed not arrived'!A:A=$B473),2),
        """"
    )
)"),"")</f>
        <v/>
      </c>
      <c r="O473" s="202"/>
      <c r="P473" s="202" t="str">
        <f>IFERROR(__xludf.DUMMYFUNCTION("IFERROR(
    INDEX(FILTER('Arrived Shipments'!O:O, 'Arrived Shipments'!B:B=$B473),3),
    IFERROR(
        INDEX(FILTER('POed not arrived'!D:D, 'POed not arrived'!A:A=$B473),3),
        """"
    )
)"),"")</f>
        <v/>
      </c>
      <c r="Q473" s="202"/>
      <c r="R473" s="206" t="str">
        <f>IFERROR(__xludf.DUMMYFUNCTION("IFERROR(
    INDEX(FILTER('Arrived Shipments'!O:O, 'Arrived Shipments'!B:B=$B473),4),
    IFERROR(
        INDEX(FILTER('POed not arrived'!D:D, 'POed not arrived'!A:A=$B473),4),
        """"
    )
)"),"")</f>
        <v/>
      </c>
      <c r="S473" s="202"/>
      <c r="T473" s="202">
        <f t="shared" si="8"/>
        <v>0</v>
      </c>
      <c r="U473" s="198"/>
      <c r="V473" s="199"/>
      <c r="W473" s="197"/>
      <c r="X473" s="197"/>
      <c r="Y473" s="199"/>
      <c r="Z473" s="199"/>
      <c r="AA473" s="204" t="str">
        <f t="shared" si="4"/>
        <v/>
      </c>
      <c r="AB473" s="198"/>
      <c r="AC473" s="199"/>
      <c r="AD473" s="199"/>
      <c r="AE473" s="199"/>
      <c r="AF473" s="199"/>
      <c r="AG473" s="199"/>
      <c r="AH473" s="199"/>
      <c r="AI473" s="199"/>
      <c r="AJ473" s="199"/>
      <c r="AK473" s="199"/>
      <c r="AL473" s="199"/>
      <c r="AM473" s="198"/>
      <c r="AN473" s="197"/>
      <c r="AO473" s="197"/>
      <c r="AP473" s="197"/>
      <c r="AQ473" s="197"/>
      <c r="AR473" s="197"/>
      <c r="AS473" s="197"/>
    </row>
    <row r="474">
      <c r="A474" s="198" t="str">
        <f t="shared" si="1"/>
        <v/>
      </c>
      <c r="B474" s="205"/>
      <c r="C474" s="198"/>
      <c r="D474" s="199"/>
      <c r="E474" s="213"/>
      <c r="F474" s="198"/>
      <c r="G474" s="198"/>
      <c r="H474" s="199"/>
      <c r="I474" s="207"/>
      <c r="J474" s="199"/>
      <c r="K474" s="202"/>
      <c r="L474" s="205" t="str">
        <f>IFERROR(__xludf.DUMMYFUNCTION("IFERROR(
    INDEX(FILTER('Arrived Shipments'!O:O, 'Arrived Shipments'!B:B=$B474),1),
    IFERROR(
        INDEX(FILTER('POed not arrived'!D:D, 'POed not arrived'!A:A=$B474),1),
        """"
    )
)"),"")</f>
        <v/>
      </c>
      <c r="M474" s="202"/>
      <c r="N474" s="223" t="str">
        <f>IFERROR(__xludf.DUMMYFUNCTION("IFERROR(
    INDEX(FILTER('Arrived Shipments'!O:O, 'Arrived Shipments'!B:B=$B474),2),
    IFERROR(
        INDEX(FILTER('POed not arrived'!D:D, 'POed not arrived'!A:A=$B474),2),
        """"
    )
)"),"")</f>
        <v/>
      </c>
      <c r="O474" s="202"/>
      <c r="P474" s="202" t="str">
        <f>IFERROR(__xludf.DUMMYFUNCTION("IFERROR(
    INDEX(FILTER('Arrived Shipments'!O:O, 'Arrived Shipments'!B:B=$B474),3),
    IFERROR(
        INDEX(FILTER('POed not arrived'!D:D, 'POed not arrived'!A:A=$B474),3),
        """"
    )
)"),"")</f>
        <v/>
      </c>
      <c r="Q474" s="202"/>
      <c r="R474" s="206" t="str">
        <f>IFERROR(__xludf.DUMMYFUNCTION("IFERROR(
    INDEX(FILTER('Arrived Shipments'!O:O, 'Arrived Shipments'!B:B=$B474),4),
    IFERROR(
        INDEX(FILTER('POed not arrived'!D:D, 'POed not arrived'!A:A=$B474),4),
        """"
    )
)"),"")</f>
        <v/>
      </c>
      <c r="S474" s="202"/>
      <c r="T474" s="202">
        <f t="shared" si="8"/>
        <v>0</v>
      </c>
      <c r="U474" s="198"/>
      <c r="V474" s="199"/>
      <c r="W474" s="197"/>
      <c r="X474" s="197"/>
      <c r="Y474" s="199"/>
      <c r="Z474" s="199"/>
      <c r="AA474" s="204" t="str">
        <f t="shared" si="4"/>
        <v/>
      </c>
      <c r="AB474" s="198"/>
      <c r="AC474" s="199"/>
      <c r="AD474" s="199"/>
      <c r="AE474" s="199"/>
      <c r="AF474" s="199"/>
      <c r="AG474" s="199"/>
      <c r="AH474" s="199"/>
      <c r="AI474" s="199"/>
      <c r="AJ474" s="199"/>
      <c r="AK474" s="199"/>
      <c r="AL474" s="199"/>
      <c r="AM474" s="198"/>
      <c r="AN474" s="197"/>
      <c r="AO474" s="197"/>
      <c r="AP474" s="197"/>
      <c r="AQ474" s="197"/>
      <c r="AR474" s="197"/>
      <c r="AS474" s="197"/>
    </row>
    <row r="475">
      <c r="A475" s="198" t="str">
        <f t="shared" si="1"/>
        <v/>
      </c>
      <c r="B475" s="205"/>
      <c r="C475" s="198"/>
      <c r="D475" s="199"/>
      <c r="E475" s="213"/>
      <c r="F475" s="198"/>
      <c r="G475" s="198"/>
      <c r="H475" s="199"/>
      <c r="I475" s="207"/>
      <c r="J475" s="199"/>
      <c r="K475" s="202"/>
      <c r="L475" s="205" t="str">
        <f>IFERROR(__xludf.DUMMYFUNCTION("IFERROR(
    INDEX(FILTER('Arrived Shipments'!O:O, 'Arrived Shipments'!B:B=$B475),1),
    IFERROR(
        INDEX(FILTER('POed not arrived'!D:D, 'POed not arrived'!A:A=$B475),1),
        """"
    )
)"),"")</f>
        <v/>
      </c>
      <c r="M475" s="202"/>
      <c r="N475" s="223" t="str">
        <f>IFERROR(__xludf.DUMMYFUNCTION("IFERROR(
    INDEX(FILTER('Arrived Shipments'!O:O, 'Arrived Shipments'!B:B=$B475),2),
    IFERROR(
        INDEX(FILTER('POed not arrived'!D:D, 'POed not arrived'!A:A=$B475),2),
        """"
    )
)"),"")</f>
        <v/>
      </c>
      <c r="O475" s="202"/>
      <c r="P475" s="202" t="str">
        <f>IFERROR(__xludf.DUMMYFUNCTION("IFERROR(
    INDEX(FILTER('Arrived Shipments'!O:O, 'Arrived Shipments'!B:B=$B475),3),
    IFERROR(
        INDEX(FILTER('POed not arrived'!D:D, 'POed not arrived'!A:A=$B475),3),
        """"
    )
)"),"")</f>
        <v/>
      </c>
      <c r="Q475" s="202"/>
      <c r="R475" s="206" t="str">
        <f>IFERROR(__xludf.DUMMYFUNCTION("IFERROR(
    INDEX(FILTER('Arrived Shipments'!O:O, 'Arrived Shipments'!B:B=$B475),4),
    IFERROR(
        INDEX(FILTER('POed not arrived'!D:D, 'POed not arrived'!A:A=$B475),4),
        """"
    )
)"),"")</f>
        <v/>
      </c>
      <c r="S475" s="202"/>
      <c r="T475" s="202">
        <f t="shared" si="8"/>
        <v>0</v>
      </c>
      <c r="U475" s="198"/>
      <c r="V475" s="199"/>
      <c r="W475" s="197"/>
      <c r="X475" s="197"/>
      <c r="Y475" s="199"/>
      <c r="Z475" s="199"/>
      <c r="AA475" s="204" t="str">
        <f t="shared" si="4"/>
        <v/>
      </c>
      <c r="AB475" s="198"/>
      <c r="AC475" s="199"/>
      <c r="AD475" s="199"/>
      <c r="AE475" s="199"/>
      <c r="AF475" s="199"/>
      <c r="AG475" s="199"/>
      <c r="AH475" s="199"/>
      <c r="AI475" s="199"/>
      <c r="AJ475" s="199"/>
      <c r="AK475" s="199"/>
      <c r="AL475" s="199"/>
      <c r="AM475" s="198"/>
      <c r="AN475" s="197"/>
      <c r="AO475" s="197"/>
      <c r="AP475" s="197"/>
      <c r="AQ475" s="197"/>
      <c r="AR475" s="197"/>
      <c r="AS475" s="197"/>
    </row>
    <row r="476">
      <c r="A476" s="198" t="str">
        <f t="shared" si="1"/>
        <v/>
      </c>
      <c r="B476" s="205"/>
      <c r="C476" s="198"/>
      <c r="D476" s="199"/>
      <c r="E476" s="213"/>
      <c r="F476" s="198"/>
      <c r="G476" s="198"/>
      <c r="H476" s="199"/>
      <c r="I476" s="207"/>
      <c r="J476" s="199"/>
      <c r="K476" s="202"/>
      <c r="L476" s="205" t="str">
        <f>IFERROR(__xludf.DUMMYFUNCTION("IFERROR(
    INDEX(FILTER('Arrived Shipments'!O:O, 'Arrived Shipments'!B:B=$B476),1),
    IFERROR(
        INDEX(FILTER('POed not arrived'!D:D, 'POed not arrived'!A:A=$B476),1),
        """"
    )
)"),"")</f>
        <v/>
      </c>
      <c r="M476" s="202"/>
      <c r="N476" s="223" t="str">
        <f>IFERROR(__xludf.DUMMYFUNCTION("IFERROR(
    INDEX(FILTER('Arrived Shipments'!O:O, 'Arrived Shipments'!B:B=$B476),2),
    IFERROR(
        INDEX(FILTER('POed not arrived'!D:D, 'POed not arrived'!A:A=$B476),2),
        """"
    )
)"),"")</f>
        <v/>
      </c>
      <c r="O476" s="202"/>
      <c r="P476" s="202" t="str">
        <f>IFERROR(__xludf.DUMMYFUNCTION("IFERROR(
    INDEX(FILTER('Arrived Shipments'!O:O, 'Arrived Shipments'!B:B=$B476),3),
    IFERROR(
        INDEX(FILTER('POed not arrived'!D:D, 'POed not arrived'!A:A=$B476),3),
        """"
    )
)"),"")</f>
        <v/>
      </c>
      <c r="Q476" s="202"/>
      <c r="R476" s="206" t="str">
        <f>IFERROR(__xludf.DUMMYFUNCTION("IFERROR(
    INDEX(FILTER('Arrived Shipments'!O:O, 'Arrived Shipments'!B:B=$B476),4),
    IFERROR(
        INDEX(FILTER('POed not arrived'!D:D, 'POed not arrived'!A:A=$B476),4),
        """"
    )
)"),"")</f>
        <v/>
      </c>
      <c r="S476" s="202"/>
      <c r="T476" s="202">
        <f t="shared" si="8"/>
        <v>0</v>
      </c>
      <c r="U476" s="198"/>
      <c r="V476" s="199"/>
      <c r="W476" s="197"/>
      <c r="X476" s="197"/>
      <c r="Y476" s="199"/>
      <c r="Z476" s="199"/>
      <c r="AA476" s="204" t="str">
        <f t="shared" si="4"/>
        <v/>
      </c>
      <c r="AB476" s="198"/>
      <c r="AC476" s="199"/>
      <c r="AD476" s="199"/>
      <c r="AE476" s="199"/>
      <c r="AF476" s="199"/>
      <c r="AG476" s="199"/>
      <c r="AH476" s="199"/>
      <c r="AI476" s="199"/>
      <c r="AJ476" s="199"/>
      <c r="AK476" s="199"/>
      <c r="AL476" s="199"/>
      <c r="AM476" s="198"/>
      <c r="AN476" s="197"/>
      <c r="AO476" s="197"/>
      <c r="AP476" s="197"/>
      <c r="AQ476" s="197"/>
      <c r="AR476" s="197"/>
      <c r="AS476" s="197"/>
    </row>
    <row r="477">
      <c r="A477" s="198" t="str">
        <f t="shared" si="1"/>
        <v/>
      </c>
      <c r="B477" s="205"/>
      <c r="C477" s="198"/>
      <c r="D477" s="199"/>
      <c r="E477" s="213"/>
      <c r="F477" s="198"/>
      <c r="G477" s="198"/>
      <c r="H477" s="199"/>
      <c r="I477" s="207"/>
      <c r="J477" s="199"/>
      <c r="K477" s="202"/>
      <c r="L477" s="205" t="str">
        <f>IFERROR(__xludf.DUMMYFUNCTION("IFERROR(
    INDEX(FILTER('Arrived Shipments'!O:O, 'Arrived Shipments'!B:B=$B477),1),
    IFERROR(
        INDEX(FILTER('POed not arrived'!D:D, 'POed not arrived'!A:A=$B477),1),
        """"
    )
)"),"")</f>
        <v/>
      </c>
      <c r="M477" s="202"/>
      <c r="N477" s="223" t="str">
        <f>IFERROR(__xludf.DUMMYFUNCTION("IFERROR(
    INDEX(FILTER('Arrived Shipments'!O:O, 'Arrived Shipments'!B:B=$B477),2),
    IFERROR(
        INDEX(FILTER('POed not arrived'!D:D, 'POed not arrived'!A:A=$B477),2),
        """"
    )
)"),"")</f>
        <v/>
      </c>
      <c r="O477" s="202"/>
      <c r="P477" s="202" t="str">
        <f>IFERROR(__xludf.DUMMYFUNCTION("IFERROR(
    INDEX(FILTER('Arrived Shipments'!O:O, 'Arrived Shipments'!B:B=$B477),3),
    IFERROR(
        INDEX(FILTER('POed not arrived'!D:D, 'POed not arrived'!A:A=$B477),3),
        """"
    )
)"),"")</f>
        <v/>
      </c>
      <c r="Q477" s="202"/>
      <c r="R477" s="206" t="str">
        <f>IFERROR(__xludf.DUMMYFUNCTION("IFERROR(
    INDEX(FILTER('Arrived Shipments'!O:O, 'Arrived Shipments'!B:B=$B477),4),
    IFERROR(
        INDEX(FILTER('POed not arrived'!D:D, 'POed not arrived'!A:A=$B477),4),
        """"
    )
)"),"")</f>
        <v/>
      </c>
      <c r="S477" s="202"/>
      <c r="T477" s="202">
        <f t="shared" si="8"/>
        <v>0</v>
      </c>
      <c r="U477" s="198"/>
      <c r="V477" s="199"/>
      <c r="W477" s="197"/>
      <c r="X477" s="197"/>
      <c r="Y477" s="199"/>
      <c r="Z477" s="199"/>
      <c r="AA477" s="204" t="str">
        <f t="shared" si="4"/>
        <v/>
      </c>
      <c r="AB477" s="198"/>
      <c r="AC477" s="199"/>
      <c r="AD477" s="199"/>
      <c r="AE477" s="199"/>
      <c r="AF477" s="199"/>
      <c r="AG477" s="199"/>
      <c r="AH477" s="199"/>
      <c r="AI477" s="199"/>
      <c r="AJ477" s="199"/>
      <c r="AK477" s="199"/>
      <c r="AL477" s="199"/>
      <c r="AM477" s="198"/>
      <c r="AN477" s="197"/>
      <c r="AO477" s="197"/>
      <c r="AP477" s="197"/>
      <c r="AQ477" s="197"/>
      <c r="AR477" s="197"/>
      <c r="AS477" s="197"/>
    </row>
    <row r="478">
      <c r="A478" s="198" t="str">
        <f t="shared" si="1"/>
        <v/>
      </c>
      <c r="B478" s="205"/>
      <c r="C478" s="198"/>
      <c r="D478" s="199"/>
      <c r="E478" s="213"/>
      <c r="F478" s="198"/>
      <c r="G478" s="198"/>
      <c r="H478" s="199"/>
      <c r="I478" s="207"/>
      <c r="J478" s="199"/>
      <c r="K478" s="202"/>
      <c r="L478" s="205" t="str">
        <f>IFERROR(__xludf.DUMMYFUNCTION("IFERROR(
    INDEX(FILTER('Arrived Shipments'!O:O, 'Arrived Shipments'!B:B=$B478),1),
    IFERROR(
        INDEX(FILTER('POed not arrived'!D:D, 'POed not arrived'!A:A=$B478),1),
        """"
    )
)"),"")</f>
        <v/>
      </c>
      <c r="M478" s="202"/>
      <c r="N478" s="223" t="str">
        <f>IFERROR(__xludf.DUMMYFUNCTION("IFERROR(
    INDEX(FILTER('Arrived Shipments'!O:O, 'Arrived Shipments'!B:B=$B478),2),
    IFERROR(
        INDEX(FILTER('POed not arrived'!D:D, 'POed not arrived'!A:A=$B478),2),
        """"
    )
)"),"")</f>
        <v/>
      </c>
      <c r="O478" s="202"/>
      <c r="P478" s="202" t="str">
        <f>IFERROR(__xludf.DUMMYFUNCTION("IFERROR(
    INDEX(FILTER('Arrived Shipments'!O:O, 'Arrived Shipments'!B:B=$B478),3),
    IFERROR(
        INDEX(FILTER('POed not arrived'!D:D, 'POed not arrived'!A:A=$B478),3),
        """"
    )
)"),"")</f>
        <v/>
      </c>
      <c r="Q478" s="202"/>
      <c r="R478" s="206" t="str">
        <f>IFERROR(__xludf.DUMMYFUNCTION("IFERROR(
    INDEX(FILTER('Arrived Shipments'!O:O, 'Arrived Shipments'!B:B=$B478),4),
    IFERROR(
        INDEX(FILTER('POed not arrived'!D:D, 'POed not arrived'!A:A=$B478),4),
        """"
    )
)"),"")</f>
        <v/>
      </c>
      <c r="S478" s="202"/>
      <c r="T478" s="202">
        <f t="shared" si="8"/>
        <v>0</v>
      </c>
      <c r="U478" s="198"/>
      <c r="V478" s="199"/>
      <c r="W478" s="197"/>
      <c r="X478" s="197"/>
      <c r="Y478" s="199"/>
      <c r="Z478" s="199"/>
      <c r="AA478" s="204" t="str">
        <f t="shared" si="4"/>
        <v/>
      </c>
      <c r="AB478" s="198"/>
      <c r="AC478" s="199"/>
      <c r="AD478" s="199"/>
      <c r="AE478" s="199"/>
      <c r="AF478" s="199"/>
      <c r="AG478" s="199"/>
      <c r="AH478" s="199"/>
      <c r="AI478" s="199"/>
      <c r="AJ478" s="199"/>
      <c r="AK478" s="199"/>
      <c r="AL478" s="199"/>
      <c r="AM478" s="198"/>
      <c r="AN478" s="197"/>
      <c r="AO478" s="197"/>
      <c r="AP478" s="197"/>
      <c r="AQ478" s="197"/>
      <c r="AR478" s="197"/>
      <c r="AS478" s="197"/>
    </row>
    <row r="479">
      <c r="A479" s="198" t="str">
        <f t="shared" si="1"/>
        <v/>
      </c>
      <c r="B479" s="205"/>
      <c r="C479" s="198"/>
      <c r="D479" s="199"/>
      <c r="E479" s="213"/>
      <c r="F479" s="198"/>
      <c r="G479" s="198"/>
      <c r="H479" s="199"/>
      <c r="I479" s="207"/>
      <c r="J479" s="199"/>
      <c r="K479" s="202"/>
      <c r="L479" s="205" t="str">
        <f>IFERROR(__xludf.DUMMYFUNCTION("IFERROR(
    INDEX(FILTER('Arrived Shipments'!O:O, 'Arrived Shipments'!B:B=$B479),1),
    IFERROR(
        INDEX(FILTER('POed not arrived'!D:D, 'POed not arrived'!A:A=$B479),1),
        """"
    )
)"),"")</f>
        <v/>
      </c>
      <c r="M479" s="202"/>
      <c r="N479" s="223" t="str">
        <f>IFERROR(__xludf.DUMMYFUNCTION("IFERROR(
    INDEX(FILTER('Arrived Shipments'!O:O, 'Arrived Shipments'!B:B=$B479),2),
    IFERROR(
        INDEX(FILTER('POed not arrived'!D:D, 'POed not arrived'!A:A=$B479),2),
        """"
    )
)"),"")</f>
        <v/>
      </c>
      <c r="O479" s="202"/>
      <c r="P479" s="202" t="str">
        <f>IFERROR(__xludf.DUMMYFUNCTION("IFERROR(
    INDEX(FILTER('Arrived Shipments'!O:O, 'Arrived Shipments'!B:B=$B479),3),
    IFERROR(
        INDEX(FILTER('POed not arrived'!D:D, 'POed not arrived'!A:A=$B479),3),
        """"
    )
)"),"")</f>
        <v/>
      </c>
      <c r="Q479" s="202"/>
      <c r="R479" s="206" t="str">
        <f>IFERROR(__xludf.DUMMYFUNCTION("IFERROR(
    INDEX(FILTER('Arrived Shipments'!O:O, 'Arrived Shipments'!B:B=$B479),4),
    IFERROR(
        INDEX(FILTER('POed not arrived'!D:D, 'POed not arrived'!A:A=$B479),4),
        """"
    )
)"),"")</f>
        <v/>
      </c>
      <c r="S479" s="202"/>
      <c r="T479" s="202">
        <f t="shared" si="8"/>
        <v>0</v>
      </c>
      <c r="U479" s="198"/>
      <c r="V479" s="199"/>
      <c r="W479" s="197"/>
      <c r="X479" s="197"/>
      <c r="Y479" s="199"/>
      <c r="Z479" s="199"/>
      <c r="AA479" s="204" t="str">
        <f t="shared" si="4"/>
        <v/>
      </c>
      <c r="AB479" s="198"/>
      <c r="AC479" s="199"/>
      <c r="AD479" s="199"/>
      <c r="AE479" s="199"/>
      <c r="AF479" s="199"/>
      <c r="AG479" s="199"/>
      <c r="AH479" s="199"/>
      <c r="AI479" s="199"/>
      <c r="AJ479" s="199"/>
      <c r="AK479" s="199"/>
      <c r="AL479" s="199"/>
      <c r="AM479" s="198"/>
      <c r="AN479" s="197"/>
      <c r="AO479" s="197"/>
      <c r="AP479" s="197"/>
      <c r="AQ479" s="197"/>
      <c r="AR479" s="197"/>
      <c r="AS479" s="197"/>
    </row>
    <row r="480">
      <c r="A480" s="198" t="str">
        <f t="shared" si="1"/>
        <v/>
      </c>
      <c r="B480" s="205"/>
      <c r="C480" s="198"/>
      <c r="D480" s="199"/>
      <c r="E480" s="213"/>
      <c r="F480" s="198"/>
      <c r="G480" s="198"/>
      <c r="H480" s="199"/>
      <c r="I480" s="207"/>
      <c r="J480" s="199"/>
      <c r="K480" s="202"/>
      <c r="L480" s="205" t="str">
        <f>IFERROR(__xludf.DUMMYFUNCTION("IFERROR(
    INDEX(FILTER('Arrived Shipments'!O:O, 'Arrived Shipments'!B:B=$B480),1),
    IFERROR(
        INDEX(FILTER('POed not arrived'!D:D, 'POed not arrived'!A:A=$B480),1),
        """"
    )
)"),"")</f>
        <v/>
      </c>
      <c r="M480" s="202"/>
      <c r="N480" s="223" t="str">
        <f>IFERROR(__xludf.DUMMYFUNCTION("IFERROR(
    INDEX(FILTER('Arrived Shipments'!O:O, 'Arrived Shipments'!B:B=$B480),2),
    IFERROR(
        INDEX(FILTER('POed not arrived'!D:D, 'POed not arrived'!A:A=$B480),2),
        """"
    )
)"),"")</f>
        <v/>
      </c>
      <c r="O480" s="202"/>
      <c r="P480" s="202" t="str">
        <f>IFERROR(__xludf.DUMMYFUNCTION("IFERROR(
    INDEX(FILTER('Arrived Shipments'!O:O, 'Arrived Shipments'!B:B=$B480),3),
    IFERROR(
        INDEX(FILTER('POed not arrived'!D:D, 'POed not arrived'!A:A=$B480),3),
        """"
    )
)"),"")</f>
        <v/>
      </c>
      <c r="Q480" s="202"/>
      <c r="R480" s="206" t="str">
        <f>IFERROR(__xludf.DUMMYFUNCTION("IFERROR(
    INDEX(FILTER('Arrived Shipments'!O:O, 'Arrived Shipments'!B:B=$B480),4),
    IFERROR(
        INDEX(FILTER('POed not arrived'!D:D, 'POed not arrived'!A:A=$B480),4),
        """"
    )
)"),"")</f>
        <v/>
      </c>
      <c r="S480" s="202"/>
      <c r="T480" s="202">
        <f t="shared" si="8"/>
        <v>0</v>
      </c>
      <c r="U480" s="198"/>
      <c r="V480" s="199"/>
      <c r="W480" s="197"/>
      <c r="X480" s="197"/>
      <c r="Y480" s="199"/>
      <c r="Z480" s="199"/>
      <c r="AA480" s="204" t="str">
        <f t="shared" si="4"/>
        <v/>
      </c>
      <c r="AB480" s="198"/>
      <c r="AC480" s="199"/>
      <c r="AD480" s="199"/>
      <c r="AE480" s="199"/>
      <c r="AF480" s="199"/>
      <c r="AG480" s="199"/>
      <c r="AH480" s="199"/>
      <c r="AI480" s="199"/>
      <c r="AJ480" s="199"/>
      <c r="AK480" s="199"/>
      <c r="AL480" s="199"/>
      <c r="AM480" s="198"/>
      <c r="AN480" s="197"/>
      <c r="AO480" s="197"/>
      <c r="AP480" s="197"/>
      <c r="AQ480" s="197"/>
      <c r="AR480" s="197"/>
      <c r="AS480" s="197"/>
    </row>
    <row r="481">
      <c r="A481" s="198" t="str">
        <f t="shared" si="1"/>
        <v/>
      </c>
      <c r="B481" s="205"/>
      <c r="C481" s="198"/>
      <c r="D481" s="199"/>
      <c r="E481" s="213"/>
      <c r="F481" s="198"/>
      <c r="G481" s="198"/>
      <c r="H481" s="199"/>
      <c r="I481" s="207"/>
      <c r="J481" s="199"/>
      <c r="K481" s="202"/>
      <c r="L481" s="205" t="str">
        <f>IFERROR(__xludf.DUMMYFUNCTION("IFERROR(
    INDEX(FILTER('Arrived Shipments'!O:O, 'Arrived Shipments'!B:B=$B481),1),
    IFERROR(
        INDEX(FILTER('POed not arrived'!D:D, 'POed not arrived'!A:A=$B481),1),
        """"
    )
)"),"")</f>
        <v/>
      </c>
      <c r="M481" s="202"/>
      <c r="N481" s="223" t="str">
        <f>IFERROR(__xludf.DUMMYFUNCTION("IFERROR(
    INDEX(FILTER('Arrived Shipments'!O:O, 'Arrived Shipments'!B:B=$B481),2),
    IFERROR(
        INDEX(FILTER('POed not arrived'!D:D, 'POed not arrived'!A:A=$B481),2),
        """"
    )
)"),"")</f>
        <v/>
      </c>
      <c r="O481" s="202"/>
      <c r="P481" s="202" t="str">
        <f>IFERROR(__xludf.DUMMYFUNCTION("IFERROR(
    INDEX(FILTER('Arrived Shipments'!O:O, 'Arrived Shipments'!B:B=$B481),3),
    IFERROR(
        INDEX(FILTER('POed not arrived'!D:D, 'POed not arrived'!A:A=$B481),3),
        """"
    )
)"),"")</f>
        <v/>
      </c>
      <c r="Q481" s="202"/>
      <c r="R481" s="206" t="str">
        <f>IFERROR(__xludf.DUMMYFUNCTION("IFERROR(
    INDEX(FILTER('Arrived Shipments'!O:O, 'Arrived Shipments'!B:B=$B481),4),
    IFERROR(
        INDEX(FILTER('POed not arrived'!D:D, 'POed not arrived'!A:A=$B481),4),
        """"
    )
)"),"")</f>
        <v/>
      </c>
      <c r="S481" s="202"/>
      <c r="T481" s="202">
        <f t="shared" si="8"/>
        <v>0</v>
      </c>
      <c r="U481" s="198"/>
      <c r="V481" s="199"/>
      <c r="W481" s="197"/>
      <c r="X481" s="197"/>
      <c r="Y481" s="199"/>
      <c r="Z481" s="199"/>
      <c r="AA481" s="204" t="str">
        <f t="shared" si="4"/>
        <v/>
      </c>
      <c r="AB481" s="198"/>
      <c r="AC481" s="199"/>
      <c r="AD481" s="199"/>
      <c r="AE481" s="199"/>
      <c r="AF481" s="199"/>
      <c r="AG481" s="199"/>
      <c r="AH481" s="199"/>
      <c r="AI481" s="199"/>
      <c r="AJ481" s="199"/>
      <c r="AK481" s="199"/>
      <c r="AL481" s="199"/>
      <c r="AM481" s="198"/>
      <c r="AN481" s="197"/>
      <c r="AO481" s="197"/>
      <c r="AP481" s="197"/>
      <c r="AQ481" s="197"/>
      <c r="AR481" s="197"/>
      <c r="AS481" s="197"/>
    </row>
    <row r="482">
      <c r="A482" s="198" t="str">
        <f t="shared" si="1"/>
        <v/>
      </c>
      <c r="B482" s="205"/>
      <c r="C482" s="198"/>
      <c r="D482" s="199"/>
      <c r="E482" s="213"/>
      <c r="F482" s="198"/>
      <c r="G482" s="198"/>
      <c r="H482" s="199"/>
      <c r="I482" s="207"/>
      <c r="J482" s="199"/>
      <c r="K482" s="202"/>
      <c r="L482" s="205" t="str">
        <f>IFERROR(__xludf.DUMMYFUNCTION("IFERROR(
    INDEX(FILTER('Arrived Shipments'!O:O, 'Arrived Shipments'!B:B=$B482),1),
    IFERROR(
        INDEX(FILTER('POed not arrived'!D:D, 'POed not arrived'!A:A=$B482),1),
        """"
    )
)"),"")</f>
        <v/>
      </c>
      <c r="M482" s="202"/>
      <c r="N482" s="223" t="str">
        <f>IFERROR(__xludf.DUMMYFUNCTION("IFERROR(
    INDEX(FILTER('Arrived Shipments'!O:O, 'Arrived Shipments'!B:B=$B482),2),
    IFERROR(
        INDEX(FILTER('POed not arrived'!D:D, 'POed not arrived'!A:A=$B482),2),
        """"
    )
)"),"")</f>
        <v/>
      </c>
      <c r="O482" s="202"/>
      <c r="P482" s="202" t="str">
        <f>IFERROR(__xludf.DUMMYFUNCTION("IFERROR(
    INDEX(FILTER('Arrived Shipments'!O:O, 'Arrived Shipments'!B:B=$B482),3),
    IFERROR(
        INDEX(FILTER('POed not arrived'!D:D, 'POed not arrived'!A:A=$B482),3),
        """"
    )
)"),"")</f>
        <v/>
      </c>
      <c r="Q482" s="202"/>
      <c r="R482" s="206" t="str">
        <f>IFERROR(__xludf.DUMMYFUNCTION("IFERROR(
    INDEX(FILTER('Arrived Shipments'!O:O, 'Arrived Shipments'!B:B=$B482),4),
    IFERROR(
        INDEX(FILTER('POed not arrived'!D:D, 'POed not arrived'!A:A=$B482),4),
        """"
    )
)"),"")</f>
        <v/>
      </c>
      <c r="S482" s="202"/>
      <c r="T482" s="202">
        <f t="shared" si="8"/>
        <v>0</v>
      </c>
      <c r="U482" s="198"/>
      <c r="V482" s="199"/>
      <c r="W482" s="197"/>
      <c r="X482" s="197"/>
      <c r="Y482" s="199"/>
      <c r="Z482" s="199"/>
      <c r="AA482" s="204" t="str">
        <f t="shared" si="4"/>
        <v/>
      </c>
      <c r="AB482" s="198"/>
      <c r="AC482" s="199"/>
      <c r="AD482" s="199"/>
      <c r="AE482" s="199"/>
      <c r="AF482" s="199"/>
      <c r="AG482" s="199"/>
      <c r="AH482" s="199"/>
      <c r="AI482" s="199"/>
      <c r="AJ482" s="199"/>
      <c r="AK482" s="199"/>
      <c r="AL482" s="199"/>
      <c r="AM482" s="198"/>
      <c r="AN482" s="197"/>
      <c r="AO482" s="197"/>
      <c r="AP482" s="197"/>
      <c r="AQ482" s="197"/>
      <c r="AR482" s="197"/>
      <c r="AS482" s="197"/>
    </row>
    <row r="483">
      <c r="A483" s="198" t="str">
        <f t="shared" si="1"/>
        <v/>
      </c>
      <c r="B483" s="205"/>
      <c r="C483" s="198"/>
      <c r="D483" s="199"/>
      <c r="E483" s="213"/>
      <c r="F483" s="198"/>
      <c r="G483" s="198"/>
      <c r="H483" s="199"/>
      <c r="I483" s="207"/>
      <c r="J483" s="199"/>
      <c r="K483" s="202"/>
      <c r="L483" s="205" t="str">
        <f>IFERROR(__xludf.DUMMYFUNCTION("IFERROR(
    INDEX(FILTER('Arrived Shipments'!O:O, 'Arrived Shipments'!B:B=$B483),1),
    IFERROR(
        INDEX(FILTER('POed not arrived'!D:D, 'POed not arrived'!A:A=$B483),1),
        """"
    )
)"),"")</f>
        <v/>
      </c>
      <c r="M483" s="202"/>
      <c r="N483" s="223" t="str">
        <f>IFERROR(__xludf.DUMMYFUNCTION("IFERROR(
    INDEX(FILTER('Arrived Shipments'!O:O, 'Arrived Shipments'!B:B=$B483),2),
    IFERROR(
        INDEX(FILTER('POed not arrived'!D:D, 'POed not arrived'!A:A=$B483),2),
        """"
    )
)"),"")</f>
        <v/>
      </c>
      <c r="O483" s="202"/>
      <c r="P483" s="202" t="str">
        <f>IFERROR(__xludf.DUMMYFUNCTION("IFERROR(
    INDEX(FILTER('Arrived Shipments'!O:O, 'Arrived Shipments'!B:B=$B483),3),
    IFERROR(
        INDEX(FILTER('POed not arrived'!D:D, 'POed not arrived'!A:A=$B483),3),
        """"
    )
)"),"")</f>
        <v/>
      </c>
      <c r="Q483" s="202"/>
      <c r="R483" s="206" t="str">
        <f>IFERROR(__xludf.DUMMYFUNCTION("IFERROR(
    INDEX(FILTER('Arrived Shipments'!O:O, 'Arrived Shipments'!B:B=$B483),4),
    IFERROR(
        INDEX(FILTER('POed not arrived'!D:D, 'POed not arrived'!A:A=$B483),4),
        """"
    )
)"),"")</f>
        <v/>
      </c>
      <c r="S483" s="202"/>
      <c r="T483" s="202">
        <f t="shared" si="8"/>
        <v>0</v>
      </c>
      <c r="U483" s="198"/>
      <c r="V483" s="199"/>
      <c r="W483" s="197"/>
      <c r="X483" s="197"/>
      <c r="Y483" s="199"/>
      <c r="Z483" s="199"/>
      <c r="AA483" s="204" t="str">
        <f t="shared" si="4"/>
        <v/>
      </c>
      <c r="AB483" s="198"/>
      <c r="AC483" s="199"/>
      <c r="AD483" s="199"/>
      <c r="AE483" s="199"/>
      <c r="AF483" s="199"/>
      <c r="AG483" s="199"/>
      <c r="AH483" s="199"/>
      <c r="AI483" s="199"/>
      <c r="AJ483" s="199"/>
      <c r="AK483" s="199"/>
      <c r="AL483" s="199"/>
      <c r="AM483" s="198"/>
      <c r="AN483" s="197"/>
      <c r="AO483" s="197"/>
      <c r="AP483" s="197"/>
      <c r="AQ483" s="197"/>
      <c r="AR483" s="197"/>
      <c r="AS483" s="197"/>
    </row>
    <row r="484">
      <c r="A484" s="198" t="str">
        <f t="shared" si="1"/>
        <v/>
      </c>
      <c r="B484" s="205"/>
      <c r="C484" s="198"/>
      <c r="D484" s="199"/>
      <c r="E484" s="213"/>
      <c r="F484" s="198"/>
      <c r="G484" s="198"/>
      <c r="H484" s="199"/>
      <c r="I484" s="207"/>
      <c r="J484" s="199"/>
      <c r="K484" s="202"/>
      <c r="L484" s="205" t="str">
        <f>IFERROR(__xludf.DUMMYFUNCTION("IFERROR(
    INDEX(FILTER('Arrived Shipments'!O:O, 'Arrived Shipments'!B:B=$B484),1),
    IFERROR(
        INDEX(FILTER('POed not arrived'!D:D, 'POed not arrived'!A:A=$B484),1),
        """"
    )
)"),"")</f>
        <v/>
      </c>
      <c r="M484" s="202"/>
      <c r="N484" s="223" t="str">
        <f>IFERROR(__xludf.DUMMYFUNCTION("IFERROR(
    INDEX(FILTER('Arrived Shipments'!O:O, 'Arrived Shipments'!B:B=$B484),2),
    IFERROR(
        INDEX(FILTER('POed not arrived'!D:D, 'POed not arrived'!A:A=$B484),2),
        """"
    )
)"),"")</f>
        <v/>
      </c>
      <c r="O484" s="202"/>
      <c r="P484" s="202" t="str">
        <f>IFERROR(__xludf.DUMMYFUNCTION("IFERROR(
    INDEX(FILTER('Arrived Shipments'!O:O, 'Arrived Shipments'!B:B=$B484),3),
    IFERROR(
        INDEX(FILTER('POed not arrived'!D:D, 'POed not arrived'!A:A=$B484),3),
        """"
    )
)"),"")</f>
        <v/>
      </c>
      <c r="Q484" s="202"/>
      <c r="R484" s="206" t="str">
        <f>IFERROR(__xludf.DUMMYFUNCTION("IFERROR(
    INDEX(FILTER('Arrived Shipments'!O:O, 'Arrived Shipments'!B:B=$B484),4),
    IFERROR(
        INDEX(FILTER('POed not arrived'!D:D, 'POed not arrived'!A:A=$B484),4),
        """"
    )
)"),"")</f>
        <v/>
      </c>
      <c r="S484" s="202"/>
      <c r="T484" s="202">
        <f t="shared" si="8"/>
        <v>0</v>
      </c>
      <c r="U484" s="198"/>
      <c r="V484" s="199"/>
      <c r="W484" s="197"/>
      <c r="X484" s="197"/>
      <c r="Y484" s="199"/>
      <c r="Z484" s="199"/>
      <c r="AA484" s="204" t="str">
        <f t="shared" si="4"/>
        <v/>
      </c>
      <c r="AB484" s="198"/>
      <c r="AC484" s="199"/>
      <c r="AD484" s="199"/>
      <c r="AE484" s="199"/>
      <c r="AF484" s="199"/>
      <c r="AG484" s="199"/>
      <c r="AH484" s="199"/>
      <c r="AI484" s="199"/>
      <c r="AJ484" s="199"/>
      <c r="AK484" s="199"/>
      <c r="AL484" s="199"/>
      <c r="AM484" s="198"/>
      <c r="AN484" s="197"/>
      <c r="AO484" s="197"/>
      <c r="AP484" s="197"/>
      <c r="AQ484" s="197"/>
      <c r="AR484" s="197"/>
      <c r="AS484" s="197"/>
    </row>
    <row r="485">
      <c r="A485" s="198" t="str">
        <f t="shared" si="1"/>
        <v/>
      </c>
      <c r="B485" s="205"/>
      <c r="C485" s="198"/>
      <c r="D485" s="199"/>
      <c r="E485" s="213"/>
      <c r="F485" s="198"/>
      <c r="G485" s="198"/>
      <c r="H485" s="199"/>
      <c r="I485" s="207"/>
      <c r="J485" s="199"/>
      <c r="K485" s="202"/>
      <c r="L485" s="205" t="str">
        <f>IFERROR(__xludf.DUMMYFUNCTION("IFERROR(
    INDEX(FILTER('Arrived Shipments'!O:O, 'Arrived Shipments'!B:B=$B485),1),
    IFERROR(
        INDEX(FILTER('POed not arrived'!D:D, 'POed not arrived'!A:A=$B485),1),
        """"
    )
)"),"")</f>
        <v/>
      </c>
      <c r="M485" s="202"/>
      <c r="N485" s="223" t="str">
        <f>IFERROR(__xludf.DUMMYFUNCTION("IFERROR(
    INDEX(FILTER('Arrived Shipments'!O:O, 'Arrived Shipments'!B:B=$B485),2),
    IFERROR(
        INDEX(FILTER('POed not arrived'!D:D, 'POed not arrived'!A:A=$B485),2),
        """"
    )
)"),"")</f>
        <v/>
      </c>
      <c r="O485" s="202"/>
      <c r="P485" s="202" t="str">
        <f>IFERROR(__xludf.DUMMYFUNCTION("IFERROR(
    INDEX(FILTER('Arrived Shipments'!O:O, 'Arrived Shipments'!B:B=$B485),3),
    IFERROR(
        INDEX(FILTER('POed not arrived'!D:D, 'POed not arrived'!A:A=$B485),3),
        """"
    )
)"),"")</f>
        <v/>
      </c>
      <c r="Q485" s="202"/>
      <c r="R485" s="206" t="str">
        <f>IFERROR(__xludf.DUMMYFUNCTION("IFERROR(
    INDEX(FILTER('Arrived Shipments'!O:O, 'Arrived Shipments'!B:B=$B485),4),
    IFERROR(
        INDEX(FILTER('POed not arrived'!D:D, 'POed not arrived'!A:A=$B485),4),
        """"
    )
)"),"")</f>
        <v/>
      </c>
      <c r="S485" s="202"/>
      <c r="T485" s="202">
        <f t="shared" si="8"/>
        <v>0</v>
      </c>
      <c r="U485" s="198"/>
      <c r="V485" s="199"/>
      <c r="W485" s="197"/>
      <c r="X485" s="197"/>
      <c r="Y485" s="199"/>
      <c r="Z485" s="199"/>
      <c r="AA485" s="204" t="str">
        <f t="shared" si="4"/>
        <v/>
      </c>
      <c r="AB485" s="198"/>
      <c r="AC485" s="199"/>
      <c r="AD485" s="199"/>
      <c r="AE485" s="199"/>
      <c r="AF485" s="199"/>
      <c r="AG485" s="199"/>
      <c r="AH485" s="199"/>
      <c r="AI485" s="199"/>
      <c r="AJ485" s="199"/>
      <c r="AK485" s="199"/>
      <c r="AL485" s="199"/>
      <c r="AM485" s="198"/>
      <c r="AN485" s="197"/>
      <c r="AO485" s="197"/>
      <c r="AP485" s="197"/>
      <c r="AQ485" s="197"/>
      <c r="AR485" s="197"/>
      <c r="AS485" s="197"/>
    </row>
    <row r="486">
      <c r="A486" s="198" t="str">
        <f t="shared" si="1"/>
        <v/>
      </c>
      <c r="B486" s="205"/>
      <c r="C486" s="198"/>
      <c r="D486" s="199"/>
      <c r="E486" s="213"/>
      <c r="F486" s="198"/>
      <c r="G486" s="198"/>
      <c r="H486" s="199"/>
      <c r="I486" s="207"/>
      <c r="J486" s="199"/>
      <c r="K486" s="202"/>
      <c r="L486" s="205" t="str">
        <f>IFERROR(__xludf.DUMMYFUNCTION("IFERROR(
    INDEX(FILTER('Arrived Shipments'!O:O, 'Arrived Shipments'!B:B=$B486),1),
    IFERROR(
        INDEX(FILTER('POed not arrived'!D:D, 'POed not arrived'!A:A=$B486),1),
        """"
    )
)"),"")</f>
        <v/>
      </c>
      <c r="M486" s="202"/>
      <c r="N486" s="223" t="str">
        <f>IFERROR(__xludf.DUMMYFUNCTION("IFERROR(
    INDEX(FILTER('Arrived Shipments'!O:O, 'Arrived Shipments'!B:B=$B486),2),
    IFERROR(
        INDEX(FILTER('POed not arrived'!D:D, 'POed not arrived'!A:A=$B486),2),
        """"
    )
)"),"")</f>
        <v/>
      </c>
      <c r="O486" s="202"/>
      <c r="P486" s="202" t="str">
        <f>IFERROR(__xludf.DUMMYFUNCTION("IFERROR(
    INDEX(FILTER('Arrived Shipments'!O:O, 'Arrived Shipments'!B:B=$B486),3),
    IFERROR(
        INDEX(FILTER('POed not arrived'!D:D, 'POed not arrived'!A:A=$B486),3),
        """"
    )
)"),"")</f>
        <v/>
      </c>
      <c r="Q486" s="202"/>
      <c r="R486" s="206" t="str">
        <f>IFERROR(__xludf.DUMMYFUNCTION("IFERROR(
    INDEX(FILTER('Arrived Shipments'!O:O, 'Arrived Shipments'!B:B=$B486),4),
    IFERROR(
        INDEX(FILTER('POed not arrived'!D:D, 'POed not arrived'!A:A=$B486),4),
        """"
    )
)"),"")</f>
        <v/>
      </c>
      <c r="S486" s="202"/>
      <c r="T486" s="202">
        <f t="shared" si="8"/>
        <v>0</v>
      </c>
      <c r="U486" s="198"/>
      <c r="V486" s="199"/>
      <c r="W486" s="197"/>
      <c r="X486" s="197"/>
      <c r="Y486" s="199"/>
      <c r="Z486" s="199"/>
      <c r="AA486" s="204" t="str">
        <f t="shared" si="4"/>
        <v/>
      </c>
      <c r="AB486" s="198"/>
      <c r="AC486" s="199"/>
      <c r="AD486" s="199"/>
      <c r="AE486" s="199"/>
      <c r="AF486" s="199"/>
      <c r="AG486" s="199"/>
      <c r="AH486" s="199"/>
      <c r="AI486" s="199"/>
      <c r="AJ486" s="199"/>
      <c r="AK486" s="199"/>
      <c r="AL486" s="199"/>
      <c r="AM486" s="198"/>
      <c r="AN486" s="197"/>
      <c r="AO486" s="197"/>
      <c r="AP486" s="197"/>
      <c r="AQ486" s="197"/>
      <c r="AR486" s="197"/>
      <c r="AS486" s="197"/>
    </row>
    <row r="487">
      <c r="A487" s="198" t="str">
        <f t="shared" si="1"/>
        <v/>
      </c>
      <c r="B487" s="205"/>
      <c r="C487" s="198"/>
      <c r="D487" s="199"/>
      <c r="E487" s="213"/>
      <c r="F487" s="198"/>
      <c r="G487" s="198"/>
      <c r="H487" s="199"/>
      <c r="I487" s="207"/>
      <c r="J487" s="199"/>
      <c r="K487" s="202"/>
      <c r="L487" s="205" t="str">
        <f>IFERROR(__xludf.DUMMYFUNCTION("IFERROR(
    INDEX(FILTER('Arrived Shipments'!O:O, 'Arrived Shipments'!B:B=$B487),1),
    IFERROR(
        INDEX(FILTER('POed not arrived'!D:D, 'POed not arrived'!A:A=$B487),1),
        """"
    )
)"),"")</f>
        <v/>
      </c>
      <c r="M487" s="202"/>
      <c r="N487" s="223" t="str">
        <f>IFERROR(__xludf.DUMMYFUNCTION("IFERROR(
    INDEX(FILTER('Arrived Shipments'!O:O, 'Arrived Shipments'!B:B=$B487),2),
    IFERROR(
        INDEX(FILTER('POed not arrived'!D:D, 'POed not arrived'!A:A=$B487),2),
        """"
    )
)"),"")</f>
        <v/>
      </c>
      <c r="O487" s="202"/>
      <c r="P487" s="202" t="str">
        <f>IFERROR(__xludf.DUMMYFUNCTION("IFERROR(
    INDEX(FILTER('Arrived Shipments'!O:O, 'Arrived Shipments'!B:B=$B487),3),
    IFERROR(
        INDEX(FILTER('POed not arrived'!D:D, 'POed not arrived'!A:A=$B487),3),
        """"
    )
)"),"")</f>
        <v/>
      </c>
      <c r="Q487" s="202"/>
      <c r="R487" s="206" t="str">
        <f>IFERROR(__xludf.DUMMYFUNCTION("IFERROR(
    INDEX(FILTER('Arrived Shipments'!O:O, 'Arrived Shipments'!B:B=$B487),4),
    IFERROR(
        INDEX(FILTER('POed not arrived'!D:D, 'POed not arrived'!A:A=$B487),4),
        """"
    )
)"),"")</f>
        <v/>
      </c>
      <c r="S487" s="202"/>
      <c r="T487" s="202">
        <f t="shared" si="8"/>
        <v>0</v>
      </c>
      <c r="U487" s="198"/>
      <c r="V487" s="199"/>
      <c r="W487" s="197"/>
      <c r="X487" s="197"/>
      <c r="Y487" s="199"/>
      <c r="Z487" s="199"/>
      <c r="AA487" s="204" t="str">
        <f t="shared" si="4"/>
        <v/>
      </c>
      <c r="AB487" s="198"/>
      <c r="AC487" s="199"/>
      <c r="AD487" s="199"/>
      <c r="AE487" s="199"/>
      <c r="AF487" s="199"/>
      <c r="AG487" s="199"/>
      <c r="AH487" s="199"/>
      <c r="AI487" s="199"/>
      <c r="AJ487" s="199"/>
      <c r="AK487" s="199"/>
      <c r="AL487" s="199"/>
      <c r="AM487" s="198"/>
      <c r="AN487" s="197"/>
      <c r="AO487" s="197"/>
      <c r="AP487" s="197"/>
      <c r="AQ487" s="197"/>
      <c r="AR487" s="197"/>
      <c r="AS487" s="197"/>
    </row>
    <row r="488">
      <c r="A488" s="198" t="str">
        <f t="shared" si="1"/>
        <v/>
      </c>
      <c r="B488" s="205"/>
      <c r="C488" s="198"/>
      <c r="D488" s="199"/>
      <c r="E488" s="213"/>
      <c r="F488" s="198"/>
      <c r="G488" s="198"/>
      <c r="H488" s="199"/>
      <c r="I488" s="207"/>
      <c r="J488" s="199"/>
      <c r="K488" s="202"/>
      <c r="L488" s="205" t="str">
        <f>IFERROR(__xludf.DUMMYFUNCTION("IFERROR(
    INDEX(FILTER('Arrived Shipments'!O:O, 'Arrived Shipments'!B:B=$B488),1),
    IFERROR(
        INDEX(FILTER('POed not arrived'!D:D, 'POed not arrived'!A:A=$B488),1),
        """"
    )
)"),"")</f>
        <v/>
      </c>
      <c r="M488" s="202"/>
      <c r="N488" s="223" t="str">
        <f>IFERROR(__xludf.DUMMYFUNCTION("IFERROR(
    INDEX(FILTER('Arrived Shipments'!O:O, 'Arrived Shipments'!B:B=$B488),2),
    IFERROR(
        INDEX(FILTER('POed not arrived'!D:D, 'POed not arrived'!A:A=$B488),2),
        """"
    )
)"),"")</f>
        <v/>
      </c>
      <c r="O488" s="202"/>
      <c r="P488" s="202" t="str">
        <f>IFERROR(__xludf.DUMMYFUNCTION("IFERROR(
    INDEX(FILTER('Arrived Shipments'!O:O, 'Arrived Shipments'!B:B=$B488),3),
    IFERROR(
        INDEX(FILTER('POed not arrived'!D:D, 'POed not arrived'!A:A=$B488),3),
        """"
    )
)"),"")</f>
        <v/>
      </c>
      <c r="Q488" s="202"/>
      <c r="R488" s="206" t="str">
        <f>IFERROR(__xludf.DUMMYFUNCTION("IFERROR(
    INDEX(FILTER('Arrived Shipments'!O:O, 'Arrived Shipments'!B:B=$B488),4),
    IFERROR(
        INDEX(FILTER('POed not arrived'!D:D, 'POed not arrived'!A:A=$B488),4),
        """"
    )
)"),"")</f>
        <v/>
      </c>
      <c r="S488" s="202"/>
      <c r="T488" s="202">
        <f t="shared" si="8"/>
        <v>0</v>
      </c>
      <c r="U488" s="198"/>
      <c r="V488" s="199"/>
      <c r="W488" s="197"/>
      <c r="X488" s="197"/>
      <c r="Y488" s="199"/>
      <c r="Z488" s="199"/>
      <c r="AA488" s="204" t="str">
        <f t="shared" si="4"/>
        <v/>
      </c>
      <c r="AB488" s="198"/>
      <c r="AC488" s="199"/>
      <c r="AD488" s="199"/>
      <c r="AE488" s="199"/>
      <c r="AF488" s="199"/>
      <c r="AG488" s="199"/>
      <c r="AH488" s="199"/>
      <c r="AI488" s="199"/>
      <c r="AJ488" s="199"/>
      <c r="AK488" s="199"/>
      <c r="AL488" s="199"/>
      <c r="AM488" s="198"/>
      <c r="AN488" s="197"/>
      <c r="AO488" s="197"/>
      <c r="AP488" s="197"/>
      <c r="AQ488" s="197"/>
      <c r="AR488" s="197"/>
      <c r="AS488" s="197"/>
    </row>
    <row r="489">
      <c r="A489" s="198" t="str">
        <f t="shared" si="1"/>
        <v/>
      </c>
      <c r="B489" s="205"/>
      <c r="C489" s="198"/>
      <c r="D489" s="199"/>
      <c r="E489" s="213"/>
      <c r="F489" s="198"/>
      <c r="G489" s="198"/>
      <c r="H489" s="199"/>
      <c r="I489" s="207"/>
      <c r="J489" s="199"/>
      <c r="K489" s="202"/>
      <c r="L489" s="205" t="str">
        <f>IFERROR(__xludf.DUMMYFUNCTION("IFERROR(
    INDEX(FILTER('Arrived Shipments'!O:O, 'Arrived Shipments'!B:B=$B489),1),
    IFERROR(
        INDEX(FILTER('POed not arrived'!D:D, 'POed not arrived'!A:A=$B489),1),
        """"
    )
)"),"")</f>
        <v/>
      </c>
      <c r="M489" s="202"/>
      <c r="N489" s="223" t="str">
        <f>IFERROR(__xludf.DUMMYFUNCTION("IFERROR(
    INDEX(FILTER('Arrived Shipments'!O:O, 'Arrived Shipments'!B:B=$B489),2),
    IFERROR(
        INDEX(FILTER('POed not arrived'!D:D, 'POed not arrived'!A:A=$B489),2),
        """"
    )
)"),"")</f>
        <v/>
      </c>
      <c r="O489" s="202"/>
      <c r="P489" s="202" t="str">
        <f>IFERROR(__xludf.DUMMYFUNCTION("IFERROR(
    INDEX(FILTER('Arrived Shipments'!O:O, 'Arrived Shipments'!B:B=$B489),3),
    IFERROR(
        INDEX(FILTER('POed not arrived'!D:D, 'POed not arrived'!A:A=$B489),3),
        """"
    )
)"),"")</f>
        <v/>
      </c>
      <c r="Q489" s="202"/>
      <c r="R489" s="206" t="str">
        <f>IFERROR(__xludf.DUMMYFUNCTION("IFERROR(
    INDEX(FILTER('Arrived Shipments'!O:O, 'Arrived Shipments'!B:B=$B489),4),
    IFERROR(
        INDEX(FILTER('POed not arrived'!D:D, 'POed not arrived'!A:A=$B489),4),
        """"
    )
)"),"")</f>
        <v/>
      </c>
      <c r="S489" s="202"/>
      <c r="T489" s="202">
        <f t="shared" si="8"/>
        <v>0</v>
      </c>
      <c r="U489" s="198"/>
      <c r="V489" s="199"/>
      <c r="W489" s="197"/>
      <c r="X489" s="197"/>
      <c r="Y489" s="199"/>
      <c r="Z489" s="199"/>
      <c r="AA489" s="204" t="str">
        <f t="shared" si="4"/>
        <v/>
      </c>
      <c r="AB489" s="198"/>
      <c r="AC489" s="199"/>
      <c r="AD489" s="199"/>
      <c r="AE489" s="199"/>
      <c r="AF489" s="199"/>
      <c r="AG489" s="199"/>
      <c r="AH489" s="199"/>
      <c r="AI489" s="199"/>
      <c r="AJ489" s="199"/>
      <c r="AK489" s="199"/>
      <c r="AL489" s="199"/>
      <c r="AM489" s="198"/>
      <c r="AN489" s="197"/>
      <c r="AO489" s="197"/>
      <c r="AP489" s="197"/>
      <c r="AQ489" s="197"/>
      <c r="AR489" s="197"/>
      <c r="AS489" s="197"/>
    </row>
    <row r="490">
      <c r="A490" s="198" t="str">
        <f t="shared" si="1"/>
        <v/>
      </c>
      <c r="B490" s="205"/>
      <c r="C490" s="198"/>
      <c r="D490" s="199"/>
      <c r="E490" s="213"/>
      <c r="F490" s="198"/>
      <c r="G490" s="198"/>
      <c r="H490" s="199"/>
      <c r="I490" s="207"/>
      <c r="J490" s="199"/>
      <c r="K490" s="202"/>
      <c r="L490" s="205" t="str">
        <f>IFERROR(__xludf.DUMMYFUNCTION("IFERROR(
    INDEX(FILTER('Arrived Shipments'!O:O, 'Arrived Shipments'!B:B=$B490),1),
    IFERROR(
        INDEX(FILTER('POed not arrived'!D:D, 'POed not arrived'!A:A=$B490),1),
        """"
    )
)"),"")</f>
        <v/>
      </c>
      <c r="M490" s="202"/>
      <c r="N490" s="223" t="str">
        <f>IFERROR(__xludf.DUMMYFUNCTION("IFERROR(
    INDEX(FILTER('Arrived Shipments'!O:O, 'Arrived Shipments'!B:B=$B490),2),
    IFERROR(
        INDEX(FILTER('POed not arrived'!D:D, 'POed not arrived'!A:A=$B490),2),
        """"
    )
)"),"")</f>
        <v/>
      </c>
      <c r="O490" s="202"/>
      <c r="P490" s="202" t="str">
        <f>IFERROR(__xludf.DUMMYFUNCTION("IFERROR(
    INDEX(FILTER('Arrived Shipments'!O:O, 'Arrived Shipments'!B:B=$B490),3),
    IFERROR(
        INDEX(FILTER('POed not arrived'!D:D, 'POed not arrived'!A:A=$B490),3),
        """"
    )
)"),"")</f>
        <v/>
      </c>
      <c r="Q490" s="202"/>
      <c r="R490" s="206" t="str">
        <f>IFERROR(__xludf.DUMMYFUNCTION("IFERROR(
    INDEX(FILTER('Arrived Shipments'!O:O, 'Arrived Shipments'!B:B=$B490),4),
    IFERROR(
        INDEX(FILTER('POed not arrived'!D:D, 'POed not arrived'!A:A=$B490),4),
        """"
    )
)"),"")</f>
        <v/>
      </c>
      <c r="S490" s="202"/>
      <c r="T490" s="202">
        <f t="shared" si="8"/>
        <v>0</v>
      </c>
      <c r="U490" s="198"/>
      <c r="V490" s="199"/>
      <c r="W490" s="197"/>
      <c r="X490" s="197"/>
      <c r="Y490" s="199"/>
      <c r="Z490" s="199"/>
      <c r="AA490" s="204" t="str">
        <f t="shared" si="4"/>
        <v/>
      </c>
      <c r="AB490" s="198"/>
      <c r="AC490" s="199"/>
      <c r="AD490" s="199"/>
      <c r="AE490" s="199"/>
      <c r="AF490" s="199"/>
      <c r="AG490" s="199"/>
      <c r="AH490" s="199"/>
      <c r="AI490" s="199"/>
      <c r="AJ490" s="199"/>
      <c r="AK490" s="199"/>
      <c r="AL490" s="199"/>
      <c r="AM490" s="198"/>
      <c r="AN490" s="197"/>
      <c r="AO490" s="197"/>
      <c r="AP490" s="197"/>
      <c r="AQ490" s="197"/>
      <c r="AR490" s="197"/>
      <c r="AS490" s="197"/>
    </row>
    <row r="491">
      <c r="A491" s="198" t="str">
        <f t="shared" si="1"/>
        <v/>
      </c>
      <c r="B491" s="205"/>
      <c r="C491" s="198"/>
      <c r="D491" s="199"/>
      <c r="E491" s="213"/>
      <c r="F491" s="198"/>
      <c r="G491" s="198"/>
      <c r="H491" s="199"/>
      <c r="I491" s="207"/>
      <c r="J491" s="199"/>
      <c r="K491" s="202"/>
      <c r="L491" s="205" t="str">
        <f>IFERROR(__xludf.DUMMYFUNCTION("IFERROR(
    INDEX(FILTER('Arrived Shipments'!O:O, 'Arrived Shipments'!B:B=$B491),1),
    IFERROR(
        INDEX(FILTER('POed not arrived'!D:D, 'POed not arrived'!A:A=$B491),1),
        """"
    )
)"),"")</f>
        <v/>
      </c>
      <c r="M491" s="202"/>
      <c r="N491" s="223" t="str">
        <f>IFERROR(__xludf.DUMMYFUNCTION("IFERROR(
    INDEX(FILTER('Arrived Shipments'!O:O, 'Arrived Shipments'!B:B=$B491),2),
    IFERROR(
        INDEX(FILTER('POed not arrived'!D:D, 'POed not arrived'!A:A=$B491),2),
        """"
    )
)"),"")</f>
        <v/>
      </c>
      <c r="O491" s="202"/>
      <c r="P491" s="202" t="str">
        <f>IFERROR(__xludf.DUMMYFUNCTION("IFERROR(
    INDEX(FILTER('Arrived Shipments'!O:O, 'Arrived Shipments'!B:B=$B491),3),
    IFERROR(
        INDEX(FILTER('POed not arrived'!D:D, 'POed not arrived'!A:A=$B491),3),
        """"
    )
)"),"")</f>
        <v/>
      </c>
      <c r="Q491" s="202"/>
      <c r="R491" s="206" t="str">
        <f>IFERROR(__xludf.DUMMYFUNCTION("IFERROR(
    INDEX(FILTER('Arrived Shipments'!O:O, 'Arrived Shipments'!B:B=$B491),4),
    IFERROR(
        INDEX(FILTER('POed not arrived'!D:D, 'POed not arrived'!A:A=$B491),4),
        """"
    )
)"),"")</f>
        <v/>
      </c>
      <c r="S491" s="202"/>
      <c r="T491" s="202">
        <f t="shared" si="8"/>
        <v>0</v>
      </c>
      <c r="U491" s="198"/>
      <c r="V491" s="199"/>
      <c r="W491" s="197"/>
      <c r="X491" s="197"/>
      <c r="Y491" s="199"/>
      <c r="Z491" s="199"/>
      <c r="AA491" s="204" t="str">
        <f t="shared" si="4"/>
        <v/>
      </c>
      <c r="AB491" s="198"/>
      <c r="AC491" s="199"/>
      <c r="AD491" s="199"/>
      <c r="AE491" s="199"/>
      <c r="AF491" s="199"/>
      <c r="AG491" s="199"/>
      <c r="AH491" s="199"/>
      <c r="AI491" s="199"/>
      <c r="AJ491" s="199"/>
      <c r="AK491" s="199"/>
      <c r="AL491" s="199"/>
      <c r="AM491" s="198"/>
      <c r="AN491" s="197"/>
      <c r="AO491" s="197"/>
      <c r="AP491" s="197"/>
      <c r="AQ491" s="197"/>
      <c r="AR491" s="197"/>
      <c r="AS491" s="197"/>
    </row>
    <row r="492">
      <c r="A492" s="198" t="str">
        <f t="shared" si="1"/>
        <v/>
      </c>
      <c r="B492" s="205"/>
      <c r="C492" s="198"/>
      <c r="D492" s="199"/>
      <c r="E492" s="213"/>
      <c r="F492" s="198"/>
      <c r="G492" s="198"/>
      <c r="H492" s="199"/>
      <c r="I492" s="207"/>
      <c r="J492" s="199"/>
      <c r="K492" s="202"/>
      <c r="L492" s="205" t="str">
        <f>IFERROR(__xludf.DUMMYFUNCTION("IFERROR(
    INDEX(FILTER('Arrived Shipments'!O:O, 'Arrived Shipments'!B:B=$B492),1),
    IFERROR(
        INDEX(FILTER('POed not arrived'!D:D, 'POed not arrived'!A:A=$B492),1),
        """"
    )
)"),"")</f>
        <v/>
      </c>
      <c r="M492" s="202"/>
      <c r="N492" s="223" t="str">
        <f>IFERROR(__xludf.DUMMYFUNCTION("IFERROR(
    INDEX(FILTER('Arrived Shipments'!O:O, 'Arrived Shipments'!B:B=$B492),2),
    IFERROR(
        INDEX(FILTER('POed not arrived'!D:D, 'POed not arrived'!A:A=$B492),2),
        """"
    )
)"),"")</f>
        <v/>
      </c>
      <c r="O492" s="202"/>
      <c r="P492" s="202" t="str">
        <f>IFERROR(__xludf.DUMMYFUNCTION("IFERROR(
    INDEX(FILTER('Arrived Shipments'!O:O, 'Arrived Shipments'!B:B=$B492),3),
    IFERROR(
        INDEX(FILTER('POed not arrived'!D:D, 'POed not arrived'!A:A=$B492),3),
        """"
    )
)"),"")</f>
        <v/>
      </c>
      <c r="Q492" s="202"/>
      <c r="R492" s="206" t="str">
        <f>IFERROR(__xludf.DUMMYFUNCTION("IFERROR(
    INDEX(FILTER('Arrived Shipments'!O:O, 'Arrived Shipments'!B:B=$B492),4),
    IFERROR(
        INDEX(FILTER('POed not arrived'!D:D, 'POed not arrived'!A:A=$B492),4),
        """"
    )
)"),"")</f>
        <v/>
      </c>
      <c r="S492" s="202"/>
      <c r="T492" s="202">
        <f t="shared" si="8"/>
        <v>0</v>
      </c>
      <c r="U492" s="198"/>
      <c r="V492" s="199"/>
      <c r="W492" s="197"/>
      <c r="X492" s="197"/>
      <c r="Y492" s="199"/>
      <c r="Z492" s="199"/>
      <c r="AA492" s="204" t="str">
        <f t="shared" si="4"/>
        <v/>
      </c>
      <c r="AB492" s="198"/>
      <c r="AC492" s="199"/>
      <c r="AD492" s="199"/>
      <c r="AE492" s="199"/>
      <c r="AF492" s="199"/>
      <c r="AG492" s="199"/>
      <c r="AH492" s="199"/>
      <c r="AI492" s="199"/>
      <c r="AJ492" s="199"/>
      <c r="AK492" s="199"/>
      <c r="AL492" s="199"/>
      <c r="AM492" s="198"/>
      <c r="AN492" s="197"/>
      <c r="AO492" s="197"/>
      <c r="AP492" s="197"/>
      <c r="AQ492" s="197"/>
      <c r="AR492" s="197"/>
      <c r="AS492" s="197"/>
    </row>
    <row r="493">
      <c r="A493" s="198" t="str">
        <f t="shared" si="1"/>
        <v/>
      </c>
      <c r="B493" s="205"/>
      <c r="C493" s="198"/>
      <c r="D493" s="199"/>
      <c r="E493" s="213"/>
      <c r="F493" s="198"/>
      <c r="G493" s="198"/>
      <c r="H493" s="199"/>
      <c r="I493" s="207"/>
      <c r="J493" s="199"/>
      <c r="K493" s="202"/>
      <c r="L493" s="205" t="str">
        <f>IFERROR(__xludf.DUMMYFUNCTION("IFERROR(
    INDEX(FILTER('Arrived Shipments'!O:O, 'Arrived Shipments'!B:B=$B493),1),
    IFERROR(
        INDEX(FILTER('POed not arrived'!D:D, 'POed not arrived'!A:A=$B493),1),
        """"
    )
)"),"")</f>
        <v/>
      </c>
      <c r="M493" s="202"/>
      <c r="N493" s="223" t="str">
        <f>IFERROR(__xludf.DUMMYFUNCTION("IFERROR(
    INDEX(FILTER('Arrived Shipments'!O:O, 'Arrived Shipments'!B:B=$B493),2),
    IFERROR(
        INDEX(FILTER('POed not arrived'!D:D, 'POed not arrived'!A:A=$B493),2),
        """"
    )
)"),"")</f>
        <v/>
      </c>
      <c r="O493" s="202"/>
      <c r="P493" s="202" t="str">
        <f>IFERROR(__xludf.DUMMYFUNCTION("IFERROR(
    INDEX(FILTER('Arrived Shipments'!O:O, 'Arrived Shipments'!B:B=$B493),3),
    IFERROR(
        INDEX(FILTER('POed not arrived'!D:D, 'POed not arrived'!A:A=$B493),3),
        """"
    )
)"),"")</f>
        <v/>
      </c>
      <c r="Q493" s="202"/>
      <c r="R493" s="206" t="str">
        <f>IFERROR(__xludf.DUMMYFUNCTION("IFERROR(
    INDEX(FILTER('Arrived Shipments'!O:O, 'Arrived Shipments'!B:B=$B493),4),
    IFERROR(
        INDEX(FILTER('POed not arrived'!D:D, 'POed not arrived'!A:A=$B493),4),
        """"
    )
)"),"")</f>
        <v/>
      </c>
      <c r="S493" s="202"/>
      <c r="T493" s="202">
        <f t="shared" si="8"/>
        <v>0</v>
      </c>
      <c r="U493" s="198"/>
      <c r="V493" s="199"/>
      <c r="W493" s="197"/>
      <c r="X493" s="197"/>
      <c r="Y493" s="199"/>
      <c r="Z493" s="199"/>
      <c r="AA493" s="204" t="str">
        <f t="shared" si="4"/>
        <v/>
      </c>
      <c r="AB493" s="198"/>
      <c r="AC493" s="199"/>
      <c r="AD493" s="199"/>
      <c r="AE493" s="199"/>
      <c r="AF493" s="199"/>
      <c r="AG493" s="199"/>
      <c r="AH493" s="199"/>
      <c r="AI493" s="199"/>
      <c r="AJ493" s="199"/>
      <c r="AK493" s="199"/>
      <c r="AL493" s="199"/>
      <c r="AM493" s="198"/>
      <c r="AN493" s="197"/>
      <c r="AO493" s="197"/>
      <c r="AP493" s="197"/>
      <c r="AQ493" s="197"/>
      <c r="AR493" s="197"/>
      <c r="AS493" s="197"/>
    </row>
    <row r="494">
      <c r="A494" s="198" t="str">
        <f t="shared" si="1"/>
        <v/>
      </c>
      <c r="B494" s="205"/>
      <c r="C494" s="198"/>
      <c r="D494" s="199"/>
      <c r="E494" s="213"/>
      <c r="F494" s="198"/>
      <c r="G494" s="198"/>
      <c r="H494" s="199"/>
      <c r="I494" s="207"/>
      <c r="J494" s="199"/>
      <c r="K494" s="202"/>
      <c r="L494" s="205" t="str">
        <f>IFERROR(__xludf.DUMMYFUNCTION("IFERROR(
    INDEX(FILTER('Arrived Shipments'!O:O, 'Arrived Shipments'!B:B=$B494),1),
    IFERROR(
        INDEX(FILTER('POed not arrived'!D:D, 'POed not arrived'!A:A=$B494),1),
        """"
    )
)"),"")</f>
        <v/>
      </c>
      <c r="M494" s="202"/>
      <c r="N494" s="223" t="str">
        <f>IFERROR(__xludf.DUMMYFUNCTION("IFERROR(
    INDEX(FILTER('Arrived Shipments'!O:O, 'Arrived Shipments'!B:B=$B494),2),
    IFERROR(
        INDEX(FILTER('POed not arrived'!D:D, 'POed not arrived'!A:A=$B494),2),
        """"
    )
)"),"")</f>
        <v/>
      </c>
      <c r="O494" s="202"/>
      <c r="P494" s="202" t="str">
        <f>IFERROR(__xludf.DUMMYFUNCTION("IFERROR(
    INDEX(FILTER('Arrived Shipments'!O:O, 'Arrived Shipments'!B:B=$B494),3),
    IFERROR(
        INDEX(FILTER('POed not arrived'!D:D, 'POed not arrived'!A:A=$B494),3),
        """"
    )
)"),"")</f>
        <v/>
      </c>
      <c r="Q494" s="202"/>
      <c r="R494" s="206" t="str">
        <f>IFERROR(__xludf.DUMMYFUNCTION("IFERROR(
    INDEX(FILTER('Arrived Shipments'!O:O, 'Arrived Shipments'!B:B=$B494),4),
    IFERROR(
        INDEX(FILTER('POed not arrived'!D:D, 'POed not arrived'!A:A=$B494),4),
        """"
    )
)"),"")</f>
        <v/>
      </c>
      <c r="S494" s="202"/>
      <c r="T494" s="202">
        <f t="shared" si="8"/>
        <v>0</v>
      </c>
      <c r="U494" s="198"/>
      <c r="V494" s="199"/>
      <c r="W494" s="197"/>
      <c r="X494" s="197"/>
      <c r="Y494" s="199"/>
      <c r="Z494" s="199"/>
      <c r="AA494" s="204" t="str">
        <f t="shared" si="4"/>
        <v/>
      </c>
      <c r="AB494" s="198"/>
      <c r="AC494" s="199"/>
      <c r="AD494" s="199"/>
      <c r="AE494" s="199"/>
      <c r="AF494" s="199"/>
      <c r="AG494" s="199"/>
      <c r="AH494" s="199"/>
      <c r="AI494" s="199"/>
      <c r="AJ494" s="199"/>
      <c r="AK494" s="199"/>
      <c r="AL494" s="199"/>
      <c r="AM494" s="198"/>
      <c r="AN494" s="197"/>
      <c r="AO494" s="197"/>
      <c r="AP494" s="197"/>
      <c r="AQ494" s="197"/>
      <c r="AR494" s="197"/>
      <c r="AS494" s="197"/>
    </row>
    <row r="495">
      <c r="A495" s="198" t="str">
        <f t="shared" si="1"/>
        <v/>
      </c>
      <c r="B495" s="205"/>
      <c r="C495" s="198"/>
      <c r="D495" s="199"/>
      <c r="E495" s="213"/>
      <c r="F495" s="198"/>
      <c r="G495" s="198"/>
      <c r="H495" s="199"/>
      <c r="I495" s="207"/>
      <c r="J495" s="199"/>
      <c r="K495" s="202"/>
      <c r="L495" s="205" t="str">
        <f>IFERROR(__xludf.DUMMYFUNCTION("IFERROR(
    INDEX(FILTER('Arrived Shipments'!O:O, 'Arrived Shipments'!B:B=$B495),1),
    IFERROR(
        INDEX(FILTER('POed not arrived'!D:D, 'POed not arrived'!A:A=$B495),1),
        """"
    )
)"),"")</f>
        <v/>
      </c>
      <c r="M495" s="202"/>
      <c r="N495" s="223" t="str">
        <f>IFERROR(__xludf.DUMMYFUNCTION("IFERROR(
    INDEX(FILTER('Arrived Shipments'!O:O, 'Arrived Shipments'!B:B=$B495),2),
    IFERROR(
        INDEX(FILTER('POed not arrived'!D:D, 'POed not arrived'!A:A=$B495),2),
        """"
    )
)"),"")</f>
        <v/>
      </c>
      <c r="O495" s="202"/>
      <c r="P495" s="202" t="str">
        <f>IFERROR(__xludf.DUMMYFUNCTION("IFERROR(
    INDEX(FILTER('Arrived Shipments'!O:O, 'Arrived Shipments'!B:B=$B495),3),
    IFERROR(
        INDEX(FILTER('POed not arrived'!D:D, 'POed not arrived'!A:A=$B495),3),
        """"
    )
)"),"")</f>
        <v/>
      </c>
      <c r="Q495" s="202"/>
      <c r="R495" s="206" t="str">
        <f>IFERROR(__xludf.DUMMYFUNCTION("IFERROR(
    INDEX(FILTER('Arrived Shipments'!O:O, 'Arrived Shipments'!B:B=$B495),4),
    IFERROR(
        INDEX(FILTER('POed not arrived'!D:D, 'POed not arrived'!A:A=$B495),4),
        """"
    )
)"),"")</f>
        <v/>
      </c>
      <c r="S495" s="202"/>
      <c r="T495" s="202">
        <f t="shared" si="8"/>
        <v>0</v>
      </c>
      <c r="U495" s="198"/>
      <c r="V495" s="199"/>
      <c r="W495" s="197"/>
      <c r="X495" s="197"/>
      <c r="Y495" s="199"/>
      <c r="Z495" s="199"/>
      <c r="AA495" s="204" t="str">
        <f t="shared" si="4"/>
        <v/>
      </c>
      <c r="AB495" s="198"/>
      <c r="AC495" s="199"/>
      <c r="AD495" s="199"/>
      <c r="AE495" s="199"/>
      <c r="AF495" s="199"/>
      <c r="AG495" s="199"/>
      <c r="AH495" s="199"/>
      <c r="AI495" s="199"/>
      <c r="AJ495" s="199"/>
      <c r="AK495" s="199"/>
      <c r="AL495" s="199"/>
      <c r="AM495" s="198"/>
      <c r="AN495" s="197"/>
      <c r="AO495" s="197"/>
      <c r="AP495" s="197"/>
      <c r="AQ495" s="197"/>
      <c r="AR495" s="197"/>
      <c r="AS495" s="197"/>
    </row>
    <row r="496">
      <c r="A496" s="198" t="str">
        <f t="shared" si="1"/>
        <v/>
      </c>
      <c r="B496" s="205"/>
      <c r="C496" s="198"/>
      <c r="D496" s="199"/>
      <c r="E496" s="213"/>
      <c r="F496" s="198"/>
      <c r="G496" s="198"/>
      <c r="H496" s="199"/>
      <c r="I496" s="207"/>
      <c r="J496" s="199"/>
      <c r="K496" s="202"/>
      <c r="L496" s="205" t="str">
        <f>IFERROR(__xludf.DUMMYFUNCTION("IFERROR(
    INDEX(FILTER('Arrived Shipments'!O:O, 'Arrived Shipments'!B:B=$B496),1),
    IFERROR(
        INDEX(FILTER('POed not arrived'!D:D, 'POed not arrived'!A:A=$B496),1),
        """"
    )
)"),"")</f>
        <v/>
      </c>
      <c r="M496" s="202"/>
      <c r="N496" s="223" t="str">
        <f>IFERROR(__xludf.DUMMYFUNCTION("IFERROR(
    INDEX(FILTER('Arrived Shipments'!O:O, 'Arrived Shipments'!B:B=$B496),2),
    IFERROR(
        INDEX(FILTER('POed not arrived'!D:D, 'POed not arrived'!A:A=$B496),2),
        """"
    )
)"),"")</f>
        <v/>
      </c>
      <c r="O496" s="202"/>
      <c r="P496" s="202" t="str">
        <f>IFERROR(__xludf.DUMMYFUNCTION("IFERROR(
    INDEX(FILTER('Arrived Shipments'!O:O, 'Arrived Shipments'!B:B=$B496),3),
    IFERROR(
        INDEX(FILTER('POed not arrived'!D:D, 'POed not arrived'!A:A=$B496),3),
        """"
    )
)"),"")</f>
        <v/>
      </c>
      <c r="Q496" s="202"/>
      <c r="R496" s="206" t="str">
        <f>IFERROR(__xludf.DUMMYFUNCTION("IFERROR(
    INDEX(FILTER('Arrived Shipments'!O:O, 'Arrived Shipments'!B:B=$B496),4),
    IFERROR(
        INDEX(FILTER('POed not arrived'!D:D, 'POed not arrived'!A:A=$B496),4),
        """"
    )
)"),"")</f>
        <v/>
      </c>
      <c r="S496" s="202"/>
      <c r="T496" s="202">
        <f t="shared" si="8"/>
        <v>0</v>
      </c>
      <c r="U496" s="198"/>
      <c r="V496" s="199"/>
      <c r="W496" s="197"/>
      <c r="X496" s="197"/>
      <c r="Y496" s="199"/>
      <c r="Z496" s="199"/>
      <c r="AA496" s="204" t="str">
        <f t="shared" si="4"/>
        <v/>
      </c>
      <c r="AB496" s="198"/>
      <c r="AC496" s="199"/>
      <c r="AD496" s="199"/>
      <c r="AE496" s="199"/>
      <c r="AF496" s="199"/>
      <c r="AG496" s="199"/>
      <c r="AH496" s="199"/>
      <c r="AI496" s="199"/>
      <c r="AJ496" s="199"/>
      <c r="AK496" s="199"/>
      <c r="AL496" s="199"/>
      <c r="AM496" s="198"/>
      <c r="AN496" s="197"/>
      <c r="AO496" s="197"/>
      <c r="AP496" s="197"/>
      <c r="AQ496" s="197"/>
      <c r="AR496" s="197"/>
      <c r="AS496" s="197"/>
    </row>
    <row r="497">
      <c r="A497" s="198" t="str">
        <f t="shared" si="1"/>
        <v/>
      </c>
      <c r="B497" s="205"/>
      <c r="C497" s="198"/>
      <c r="D497" s="199"/>
      <c r="E497" s="213"/>
      <c r="F497" s="198"/>
      <c r="G497" s="198"/>
      <c r="H497" s="199"/>
      <c r="I497" s="207"/>
      <c r="J497" s="199"/>
      <c r="K497" s="202"/>
      <c r="L497" s="205" t="str">
        <f>IFERROR(__xludf.DUMMYFUNCTION("IFERROR(
    INDEX(FILTER('Arrived Shipments'!O:O, 'Arrived Shipments'!B:B=$B497),1),
    IFERROR(
        INDEX(FILTER('POed not arrived'!D:D, 'POed not arrived'!A:A=$B497),1),
        """"
    )
)"),"")</f>
        <v/>
      </c>
      <c r="M497" s="202"/>
      <c r="N497" s="223" t="str">
        <f>IFERROR(__xludf.DUMMYFUNCTION("IFERROR(
    INDEX(FILTER('Arrived Shipments'!O:O, 'Arrived Shipments'!B:B=$B497),2),
    IFERROR(
        INDEX(FILTER('POed not arrived'!D:D, 'POed not arrived'!A:A=$B497),2),
        """"
    )
)"),"")</f>
        <v/>
      </c>
      <c r="O497" s="202"/>
      <c r="P497" s="202" t="str">
        <f>IFERROR(__xludf.DUMMYFUNCTION("IFERROR(
    INDEX(FILTER('Arrived Shipments'!O:O, 'Arrived Shipments'!B:B=$B497),3),
    IFERROR(
        INDEX(FILTER('POed not arrived'!D:D, 'POed not arrived'!A:A=$B497),3),
        """"
    )
)"),"")</f>
        <v/>
      </c>
      <c r="Q497" s="202"/>
      <c r="R497" s="206" t="str">
        <f>IFERROR(__xludf.DUMMYFUNCTION("IFERROR(
    INDEX(FILTER('Arrived Shipments'!O:O, 'Arrived Shipments'!B:B=$B497),4),
    IFERROR(
        INDEX(FILTER('POed not arrived'!D:D, 'POed not arrived'!A:A=$B497),4),
        """"
    )
)"),"")</f>
        <v/>
      </c>
      <c r="S497" s="202"/>
      <c r="T497" s="202">
        <f t="shared" si="8"/>
        <v>0</v>
      </c>
      <c r="U497" s="198"/>
      <c r="V497" s="199"/>
      <c r="W497" s="197"/>
      <c r="X497" s="197"/>
      <c r="Y497" s="199"/>
      <c r="Z497" s="199"/>
      <c r="AA497" s="204" t="str">
        <f t="shared" si="4"/>
        <v/>
      </c>
      <c r="AB497" s="198"/>
      <c r="AC497" s="199"/>
      <c r="AD497" s="199"/>
      <c r="AE497" s="199"/>
      <c r="AF497" s="199"/>
      <c r="AG497" s="199"/>
      <c r="AH497" s="199"/>
      <c r="AI497" s="199"/>
      <c r="AJ497" s="199"/>
      <c r="AK497" s="199"/>
      <c r="AL497" s="199"/>
      <c r="AM497" s="198"/>
      <c r="AN497" s="197"/>
      <c r="AO497" s="197"/>
      <c r="AP497" s="197"/>
      <c r="AQ497" s="197"/>
      <c r="AR497" s="197"/>
      <c r="AS497" s="197"/>
    </row>
    <row r="498">
      <c r="A498" s="198" t="str">
        <f t="shared" si="1"/>
        <v/>
      </c>
      <c r="B498" s="205"/>
      <c r="C498" s="198"/>
      <c r="D498" s="199"/>
      <c r="E498" s="213"/>
      <c r="F498" s="198"/>
      <c r="G498" s="198"/>
      <c r="H498" s="199"/>
      <c r="I498" s="207"/>
      <c r="J498" s="199"/>
      <c r="K498" s="202"/>
      <c r="L498" s="205" t="str">
        <f>IFERROR(__xludf.DUMMYFUNCTION("IFERROR(
    INDEX(FILTER('Arrived Shipments'!O:O, 'Arrived Shipments'!B:B=$B498),1),
    IFERROR(
        INDEX(FILTER('POed not arrived'!D:D, 'POed not arrived'!A:A=$B498),1),
        """"
    )
)"),"")</f>
        <v/>
      </c>
      <c r="M498" s="202"/>
      <c r="N498" s="223" t="str">
        <f>IFERROR(__xludf.DUMMYFUNCTION("IFERROR(
    INDEX(FILTER('Arrived Shipments'!O:O, 'Arrived Shipments'!B:B=$B498),2),
    IFERROR(
        INDEX(FILTER('POed not arrived'!D:D, 'POed not arrived'!A:A=$B498),2),
        """"
    )
)"),"")</f>
        <v/>
      </c>
      <c r="O498" s="202"/>
      <c r="P498" s="202" t="str">
        <f>IFERROR(__xludf.DUMMYFUNCTION("IFERROR(
    INDEX(FILTER('Arrived Shipments'!O:O, 'Arrived Shipments'!B:B=$B498),3),
    IFERROR(
        INDEX(FILTER('POed not arrived'!D:D, 'POed not arrived'!A:A=$B498),3),
        """"
    )
)"),"")</f>
        <v/>
      </c>
      <c r="Q498" s="202"/>
      <c r="R498" s="206" t="str">
        <f>IFERROR(__xludf.DUMMYFUNCTION("IFERROR(
    INDEX(FILTER('Arrived Shipments'!O:O, 'Arrived Shipments'!B:B=$B498),4),
    IFERROR(
        INDEX(FILTER('POed not arrived'!D:D, 'POed not arrived'!A:A=$B498),4),
        """"
    )
)"),"")</f>
        <v/>
      </c>
      <c r="S498" s="202"/>
      <c r="T498" s="202">
        <f t="shared" si="8"/>
        <v>0</v>
      </c>
      <c r="U498" s="198"/>
      <c r="V498" s="199"/>
      <c r="W498" s="197"/>
      <c r="X498" s="197"/>
      <c r="Y498" s="199"/>
      <c r="Z498" s="199"/>
      <c r="AA498" s="204" t="str">
        <f t="shared" si="4"/>
        <v/>
      </c>
      <c r="AB498" s="198"/>
      <c r="AC498" s="199"/>
      <c r="AD498" s="199"/>
      <c r="AE498" s="199"/>
      <c r="AF498" s="199"/>
      <c r="AG498" s="199"/>
      <c r="AH498" s="199"/>
      <c r="AI498" s="199"/>
      <c r="AJ498" s="199"/>
      <c r="AK498" s="199"/>
      <c r="AL498" s="199"/>
      <c r="AM498" s="198"/>
      <c r="AN498" s="197"/>
      <c r="AO498" s="197"/>
      <c r="AP498" s="197"/>
      <c r="AQ498" s="197"/>
      <c r="AR498" s="197"/>
      <c r="AS498" s="197"/>
    </row>
    <row r="499">
      <c r="A499" s="198" t="str">
        <f t="shared" si="1"/>
        <v/>
      </c>
      <c r="B499" s="205"/>
      <c r="C499" s="198"/>
      <c r="D499" s="199"/>
      <c r="E499" s="213"/>
      <c r="F499" s="198"/>
      <c r="G499" s="198"/>
      <c r="H499" s="199"/>
      <c r="I499" s="207"/>
      <c r="J499" s="199"/>
      <c r="K499" s="202"/>
      <c r="L499" s="205" t="str">
        <f>IFERROR(__xludf.DUMMYFUNCTION("IFERROR(
    INDEX(FILTER('Arrived Shipments'!O:O, 'Arrived Shipments'!B:B=$B499),1),
    IFERROR(
        INDEX(FILTER('POed not arrived'!D:D, 'POed not arrived'!A:A=$B499),1),
        """"
    )
)"),"")</f>
        <v/>
      </c>
      <c r="M499" s="202"/>
      <c r="N499" s="223" t="str">
        <f>IFERROR(__xludf.DUMMYFUNCTION("IFERROR(
    INDEX(FILTER('Arrived Shipments'!O:O, 'Arrived Shipments'!B:B=$B499),2),
    IFERROR(
        INDEX(FILTER('POed not arrived'!D:D, 'POed not arrived'!A:A=$B499),2),
        """"
    )
)"),"")</f>
        <v/>
      </c>
      <c r="O499" s="202"/>
      <c r="P499" s="202" t="str">
        <f>IFERROR(__xludf.DUMMYFUNCTION("IFERROR(
    INDEX(FILTER('Arrived Shipments'!O:O, 'Arrived Shipments'!B:B=$B499),3),
    IFERROR(
        INDEX(FILTER('POed not arrived'!D:D, 'POed not arrived'!A:A=$B499),3),
        """"
    )
)"),"")</f>
        <v/>
      </c>
      <c r="Q499" s="202"/>
      <c r="R499" s="206" t="str">
        <f>IFERROR(__xludf.DUMMYFUNCTION("IFERROR(
    INDEX(FILTER('Arrived Shipments'!O:O, 'Arrived Shipments'!B:B=$B499),4),
    IFERROR(
        INDEX(FILTER('POed not arrived'!D:D, 'POed not arrived'!A:A=$B499),4),
        """"
    )
)"),"")</f>
        <v/>
      </c>
      <c r="S499" s="202"/>
      <c r="T499" s="202">
        <f t="shared" si="8"/>
        <v>0</v>
      </c>
      <c r="U499" s="198"/>
      <c r="V499" s="199"/>
      <c r="W499" s="197"/>
      <c r="X499" s="197"/>
      <c r="Y499" s="199"/>
      <c r="Z499" s="199"/>
      <c r="AA499" s="204" t="str">
        <f t="shared" si="4"/>
        <v/>
      </c>
      <c r="AB499" s="198"/>
      <c r="AC499" s="199"/>
      <c r="AD499" s="199"/>
      <c r="AE499" s="199"/>
      <c r="AF499" s="199"/>
      <c r="AG499" s="199"/>
      <c r="AH499" s="199"/>
      <c r="AI499" s="199"/>
      <c r="AJ499" s="199"/>
      <c r="AK499" s="199"/>
      <c r="AL499" s="199"/>
      <c r="AM499" s="198"/>
      <c r="AN499" s="197"/>
      <c r="AO499" s="197"/>
      <c r="AP499" s="197"/>
      <c r="AQ499" s="197"/>
      <c r="AR499" s="197"/>
      <c r="AS499" s="197"/>
    </row>
    <row r="500">
      <c r="A500" s="198" t="str">
        <f t="shared" si="1"/>
        <v/>
      </c>
      <c r="B500" s="205"/>
      <c r="C500" s="198"/>
      <c r="D500" s="199"/>
      <c r="E500" s="213"/>
      <c r="F500" s="198"/>
      <c r="G500" s="198"/>
      <c r="H500" s="199"/>
      <c r="I500" s="207"/>
      <c r="J500" s="199"/>
      <c r="K500" s="202"/>
      <c r="L500" s="205" t="str">
        <f>IFERROR(__xludf.DUMMYFUNCTION("IFERROR(
    INDEX(FILTER('Arrived Shipments'!O:O, 'Arrived Shipments'!B:B=$B500),1),
    IFERROR(
        INDEX(FILTER('POed not arrived'!D:D, 'POed not arrived'!A:A=$B500),1),
        """"
    )
)"),"")</f>
        <v/>
      </c>
      <c r="M500" s="202"/>
      <c r="N500" s="223" t="str">
        <f>IFERROR(__xludf.DUMMYFUNCTION("IFERROR(
    INDEX(FILTER('Arrived Shipments'!O:O, 'Arrived Shipments'!B:B=$B500),2),
    IFERROR(
        INDEX(FILTER('POed not arrived'!D:D, 'POed not arrived'!A:A=$B500),2),
        """"
    )
)"),"")</f>
        <v/>
      </c>
      <c r="O500" s="202"/>
      <c r="P500" s="202" t="str">
        <f>IFERROR(__xludf.DUMMYFUNCTION("IFERROR(
    INDEX(FILTER('Arrived Shipments'!O:O, 'Arrived Shipments'!B:B=$B500),3),
    IFERROR(
        INDEX(FILTER('POed not arrived'!D:D, 'POed not arrived'!A:A=$B500),3),
        """"
    )
)"),"")</f>
        <v/>
      </c>
      <c r="Q500" s="202"/>
      <c r="R500" s="206" t="str">
        <f>IFERROR(__xludf.DUMMYFUNCTION("IFERROR(
    INDEX(FILTER('Arrived Shipments'!O:O, 'Arrived Shipments'!B:B=$B500),4),
    IFERROR(
        INDEX(FILTER('POed not arrived'!D:D, 'POed not arrived'!A:A=$B500),4),
        """"
    )
)"),"")</f>
        <v/>
      </c>
      <c r="S500" s="202"/>
      <c r="T500" s="202">
        <f t="shared" si="8"/>
        <v>0</v>
      </c>
      <c r="U500" s="198"/>
      <c r="V500" s="199"/>
      <c r="W500" s="197"/>
      <c r="X500" s="197"/>
      <c r="Y500" s="199"/>
      <c r="Z500" s="199"/>
      <c r="AA500" s="204" t="str">
        <f t="shared" si="4"/>
        <v/>
      </c>
      <c r="AB500" s="198"/>
      <c r="AC500" s="199"/>
      <c r="AD500" s="199"/>
      <c r="AE500" s="199"/>
      <c r="AF500" s="199"/>
      <c r="AG500" s="199"/>
      <c r="AH500" s="199"/>
      <c r="AI500" s="199"/>
      <c r="AJ500" s="199"/>
      <c r="AK500" s="199"/>
      <c r="AL500" s="199"/>
      <c r="AM500" s="198"/>
      <c r="AN500" s="197"/>
      <c r="AO500" s="197"/>
      <c r="AP500" s="197"/>
      <c r="AQ500" s="197"/>
      <c r="AR500" s="197"/>
      <c r="AS500" s="197"/>
    </row>
    <row r="501">
      <c r="A501" s="198" t="str">
        <f t="shared" si="1"/>
        <v/>
      </c>
      <c r="B501" s="205"/>
      <c r="C501" s="198"/>
      <c r="D501" s="199"/>
      <c r="E501" s="213"/>
      <c r="F501" s="198"/>
      <c r="G501" s="198"/>
      <c r="H501" s="199"/>
      <c r="I501" s="207"/>
      <c r="J501" s="199"/>
      <c r="K501" s="202"/>
      <c r="L501" s="205" t="str">
        <f>IFERROR(__xludf.DUMMYFUNCTION("IFERROR(
    INDEX(FILTER('Arrived Shipments'!O:O, 'Arrived Shipments'!B:B=$B501),1),
    IFERROR(
        INDEX(FILTER('POed not arrived'!D:D, 'POed not arrived'!A:A=$B501),1),
        """"
    )
)"),"")</f>
        <v/>
      </c>
      <c r="M501" s="202"/>
      <c r="N501" s="223" t="str">
        <f>IFERROR(__xludf.DUMMYFUNCTION("IFERROR(
    INDEX(FILTER('Arrived Shipments'!O:O, 'Arrived Shipments'!B:B=$B501),2),
    IFERROR(
        INDEX(FILTER('POed not arrived'!D:D, 'POed not arrived'!A:A=$B501),2),
        """"
    )
)"),"")</f>
        <v/>
      </c>
      <c r="O501" s="202"/>
      <c r="P501" s="202" t="str">
        <f>IFERROR(__xludf.DUMMYFUNCTION("IFERROR(
    INDEX(FILTER('Arrived Shipments'!O:O, 'Arrived Shipments'!B:B=$B501),3),
    IFERROR(
        INDEX(FILTER('POed not arrived'!D:D, 'POed not arrived'!A:A=$B501),3),
        """"
    )
)"),"")</f>
        <v/>
      </c>
      <c r="Q501" s="202"/>
      <c r="R501" s="206" t="str">
        <f>IFERROR(__xludf.DUMMYFUNCTION("IFERROR(
    INDEX(FILTER('Arrived Shipments'!O:O, 'Arrived Shipments'!B:B=$B501),4),
    IFERROR(
        INDEX(FILTER('POed not arrived'!D:D, 'POed not arrived'!A:A=$B501),4),
        """"
    )
)"),"")</f>
        <v/>
      </c>
      <c r="S501" s="202"/>
      <c r="T501" s="202">
        <f t="shared" si="8"/>
        <v>0</v>
      </c>
      <c r="U501" s="198"/>
      <c r="V501" s="199"/>
      <c r="W501" s="197"/>
      <c r="X501" s="197"/>
      <c r="Y501" s="199"/>
      <c r="Z501" s="199"/>
      <c r="AA501" s="204" t="str">
        <f t="shared" si="4"/>
        <v/>
      </c>
      <c r="AB501" s="198"/>
      <c r="AC501" s="199"/>
      <c r="AD501" s="199"/>
      <c r="AE501" s="199"/>
      <c r="AF501" s="199"/>
      <c r="AG501" s="199"/>
      <c r="AH501" s="199"/>
      <c r="AI501" s="199"/>
      <c r="AJ501" s="199"/>
      <c r="AK501" s="199"/>
      <c r="AL501" s="199"/>
      <c r="AM501" s="198"/>
      <c r="AN501" s="197"/>
      <c r="AO501" s="197"/>
      <c r="AP501" s="197"/>
      <c r="AQ501" s="197"/>
      <c r="AR501" s="197"/>
      <c r="AS501" s="197"/>
    </row>
    <row r="502">
      <c r="A502" s="198" t="str">
        <f t="shared" si="1"/>
        <v/>
      </c>
      <c r="B502" s="205"/>
      <c r="C502" s="198"/>
      <c r="D502" s="199"/>
      <c r="E502" s="213"/>
      <c r="F502" s="198"/>
      <c r="G502" s="198"/>
      <c r="H502" s="199"/>
      <c r="I502" s="207"/>
      <c r="J502" s="199"/>
      <c r="K502" s="202"/>
      <c r="L502" s="205" t="str">
        <f>IFERROR(__xludf.DUMMYFUNCTION("IFERROR(
    INDEX(FILTER('Arrived Shipments'!O:O, 'Arrived Shipments'!B:B=$B502),1),
    IFERROR(
        INDEX(FILTER('POed not arrived'!D:D, 'POed not arrived'!A:A=$B502),1),
        """"
    )
)"),"")</f>
        <v/>
      </c>
      <c r="M502" s="202"/>
      <c r="N502" s="223" t="str">
        <f>IFERROR(__xludf.DUMMYFUNCTION("IFERROR(
    INDEX(FILTER('Arrived Shipments'!O:O, 'Arrived Shipments'!B:B=$B502),2),
    IFERROR(
        INDEX(FILTER('POed not arrived'!D:D, 'POed not arrived'!A:A=$B502),2),
        """"
    )
)"),"")</f>
        <v/>
      </c>
      <c r="O502" s="202"/>
      <c r="P502" s="202" t="str">
        <f>IFERROR(__xludf.DUMMYFUNCTION("IFERROR(
    INDEX(FILTER('Arrived Shipments'!O:O, 'Arrived Shipments'!B:B=$B502),3),
    IFERROR(
        INDEX(FILTER('POed not arrived'!D:D, 'POed not arrived'!A:A=$B502),3),
        """"
    )
)"),"")</f>
        <v/>
      </c>
      <c r="Q502" s="202"/>
      <c r="R502" s="206" t="str">
        <f>IFERROR(__xludf.DUMMYFUNCTION("IFERROR(
    INDEX(FILTER('Arrived Shipments'!O:O, 'Arrived Shipments'!B:B=$B502),4),
    IFERROR(
        INDEX(FILTER('POed not arrived'!D:D, 'POed not arrived'!A:A=$B502),4),
        """"
    )
)"),"")</f>
        <v/>
      </c>
      <c r="S502" s="202"/>
      <c r="T502" s="202">
        <f t="shared" si="8"/>
        <v>0</v>
      </c>
      <c r="U502" s="198"/>
      <c r="V502" s="199"/>
      <c r="W502" s="197"/>
      <c r="X502" s="197"/>
      <c r="Y502" s="199"/>
      <c r="Z502" s="199"/>
      <c r="AA502" s="204" t="str">
        <f t="shared" si="4"/>
        <v/>
      </c>
      <c r="AB502" s="198"/>
      <c r="AC502" s="199"/>
      <c r="AD502" s="199"/>
      <c r="AE502" s="199"/>
      <c r="AF502" s="199"/>
      <c r="AG502" s="199"/>
      <c r="AH502" s="199"/>
      <c r="AI502" s="199"/>
      <c r="AJ502" s="199"/>
      <c r="AK502" s="199"/>
      <c r="AL502" s="199"/>
      <c r="AM502" s="198"/>
      <c r="AN502" s="197"/>
      <c r="AO502" s="197"/>
      <c r="AP502" s="197"/>
      <c r="AQ502" s="197"/>
      <c r="AR502" s="197"/>
      <c r="AS502" s="197"/>
    </row>
    <row r="503">
      <c r="A503" s="198" t="str">
        <f t="shared" si="1"/>
        <v/>
      </c>
      <c r="B503" s="205"/>
      <c r="C503" s="198"/>
      <c r="D503" s="199"/>
      <c r="E503" s="213"/>
      <c r="F503" s="198"/>
      <c r="G503" s="198"/>
      <c r="H503" s="199"/>
      <c r="I503" s="207"/>
      <c r="J503" s="199"/>
      <c r="K503" s="202"/>
      <c r="L503" s="205" t="str">
        <f>IFERROR(__xludf.DUMMYFUNCTION("IFERROR(
    INDEX(FILTER('Arrived Shipments'!O:O, 'Arrived Shipments'!B:B=$B503),1),
    IFERROR(
        INDEX(FILTER('POed not arrived'!D:D, 'POed not arrived'!A:A=$B503),1),
        """"
    )
)"),"")</f>
        <v/>
      </c>
      <c r="M503" s="202"/>
      <c r="N503" s="223" t="str">
        <f>IFERROR(__xludf.DUMMYFUNCTION("IFERROR(
    INDEX(FILTER('Arrived Shipments'!O:O, 'Arrived Shipments'!B:B=$B503),2),
    IFERROR(
        INDEX(FILTER('POed not arrived'!D:D, 'POed not arrived'!A:A=$B503),2),
        """"
    )
)"),"")</f>
        <v/>
      </c>
      <c r="O503" s="202"/>
      <c r="P503" s="202" t="str">
        <f>IFERROR(__xludf.DUMMYFUNCTION("IFERROR(
    INDEX(FILTER('Arrived Shipments'!O:O, 'Arrived Shipments'!B:B=$B503),3),
    IFERROR(
        INDEX(FILTER('POed not arrived'!D:D, 'POed not arrived'!A:A=$B503),3),
        """"
    )
)"),"")</f>
        <v/>
      </c>
      <c r="Q503" s="202"/>
      <c r="R503" s="206" t="str">
        <f>IFERROR(__xludf.DUMMYFUNCTION("IFERROR(
    INDEX(FILTER('Arrived Shipments'!O:O, 'Arrived Shipments'!B:B=$B503),4),
    IFERROR(
        INDEX(FILTER('POed not arrived'!D:D, 'POed not arrived'!A:A=$B503),4),
        """"
    )
)"),"")</f>
        <v/>
      </c>
      <c r="S503" s="202"/>
      <c r="T503" s="202">
        <f t="shared" si="8"/>
        <v>0</v>
      </c>
      <c r="U503" s="198"/>
      <c r="V503" s="199"/>
      <c r="W503" s="197"/>
      <c r="X503" s="197"/>
      <c r="Y503" s="199"/>
      <c r="Z503" s="199"/>
      <c r="AA503" s="204" t="str">
        <f t="shared" si="4"/>
        <v/>
      </c>
      <c r="AB503" s="198"/>
      <c r="AC503" s="199"/>
      <c r="AD503" s="199"/>
      <c r="AE503" s="199"/>
      <c r="AF503" s="199"/>
      <c r="AG503" s="199"/>
      <c r="AH503" s="199"/>
      <c r="AI503" s="199"/>
      <c r="AJ503" s="199"/>
      <c r="AK503" s="199"/>
      <c r="AL503" s="199"/>
      <c r="AM503" s="198"/>
      <c r="AN503" s="197"/>
      <c r="AO503" s="197"/>
      <c r="AP503" s="197"/>
      <c r="AQ503" s="197"/>
      <c r="AR503" s="197"/>
      <c r="AS503" s="197"/>
    </row>
    <row r="504">
      <c r="A504" s="198" t="str">
        <f t="shared" si="1"/>
        <v/>
      </c>
      <c r="B504" s="205"/>
      <c r="C504" s="198"/>
      <c r="D504" s="199"/>
      <c r="E504" s="213"/>
      <c r="F504" s="198"/>
      <c r="G504" s="198"/>
      <c r="H504" s="199"/>
      <c r="I504" s="207"/>
      <c r="J504" s="199"/>
      <c r="K504" s="202"/>
      <c r="L504" s="205" t="str">
        <f>IFERROR(__xludf.DUMMYFUNCTION("IFERROR(
    INDEX(FILTER('Arrived Shipments'!O:O, 'Arrived Shipments'!B:B=$B504),1),
    IFERROR(
        INDEX(FILTER('POed not arrived'!D:D, 'POed not arrived'!A:A=$B504),1),
        """"
    )
)"),"")</f>
        <v/>
      </c>
      <c r="M504" s="202"/>
      <c r="N504" s="223" t="str">
        <f>IFERROR(__xludf.DUMMYFUNCTION("IFERROR(
    INDEX(FILTER('Arrived Shipments'!O:O, 'Arrived Shipments'!B:B=$B504),2),
    IFERROR(
        INDEX(FILTER('POed not arrived'!D:D, 'POed not arrived'!A:A=$B504),2),
        """"
    )
)"),"")</f>
        <v/>
      </c>
      <c r="O504" s="202"/>
      <c r="P504" s="202" t="str">
        <f>IFERROR(__xludf.DUMMYFUNCTION("IFERROR(
    INDEX(FILTER('Arrived Shipments'!O:O, 'Arrived Shipments'!B:B=$B504),3),
    IFERROR(
        INDEX(FILTER('POed not arrived'!D:D, 'POed not arrived'!A:A=$B504),3),
        """"
    )
)"),"")</f>
        <v/>
      </c>
      <c r="Q504" s="202"/>
      <c r="R504" s="206" t="str">
        <f>IFERROR(__xludf.DUMMYFUNCTION("IFERROR(
    INDEX(FILTER('Arrived Shipments'!O:O, 'Arrived Shipments'!B:B=$B504),4),
    IFERROR(
        INDEX(FILTER('POed not arrived'!D:D, 'POed not arrived'!A:A=$B504),4),
        """"
    )
)"),"")</f>
        <v/>
      </c>
      <c r="S504" s="202"/>
      <c r="T504" s="202">
        <f t="shared" si="8"/>
        <v>0</v>
      </c>
      <c r="U504" s="198"/>
      <c r="V504" s="199"/>
      <c r="W504" s="197"/>
      <c r="X504" s="197"/>
      <c r="Y504" s="199"/>
      <c r="Z504" s="199"/>
      <c r="AA504" s="204" t="str">
        <f t="shared" si="4"/>
        <v/>
      </c>
      <c r="AB504" s="198"/>
      <c r="AC504" s="199"/>
      <c r="AD504" s="199"/>
      <c r="AE504" s="199"/>
      <c r="AF504" s="199"/>
      <c r="AG504" s="199"/>
      <c r="AH504" s="199"/>
      <c r="AI504" s="199"/>
      <c r="AJ504" s="199"/>
      <c r="AK504" s="199"/>
      <c r="AL504" s="199"/>
      <c r="AM504" s="198"/>
      <c r="AN504" s="197"/>
      <c r="AO504" s="197"/>
      <c r="AP504" s="197"/>
      <c r="AQ504" s="197"/>
      <c r="AR504" s="197"/>
      <c r="AS504" s="197"/>
    </row>
    <row r="505">
      <c r="A505" s="198" t="str">
        <f t="shared" si="1"/>
        <v/>
      </c>
      <c r="B505" s="205"/>
      <c r="C505" s="198"/>
      <c r="D505" s="199"/>
      <c r="E505" s="213"/>
      <c r="F505" s="198"/>
      <c r="G505" s="198"/>
      <c r="H505" s="199"/>
      <c r="I505" s="207"/>
      <c r="J505" s="199"/>
      <c r="K505" s="202"/>
      <c r="L505" s="205" t="str">
        <f>IFERROR(__xludf.DUMMYFUNCTION("IFERROR(
    INDEX(FILTER('Arrived Shipments'!O:O, 'Arrived Shipments'!B:B=$B505),1),
    IFERROR(
        INDEX(FILTER('POed not arrived'!D:D, 'POed not arrived'!A:A=$B505),1),
        """"
    )
)"),"")</f>
        <v/>
      </c>
      <c r="M505" s="202"/>
      <c r="N505" s="223" t="str">
        <f>IFERROR(__xludf.DUMMYFUNCTION("IFERROR(
    INDEX(FILTER('Arrived Shipments'!O:O, 'Arrived Shipments'!B:B=$B505),2),
    IFERROR(
        INDEX(FILTER('POed not arrived'!D:D, 'POed not arrived'!A:A=$B505),2),
        """"
    )
)"),"")</f>
        <v/>
      </c>
      <c r="O505" s="202"/>
      <c r="P505" s="202" t="str">
        <f>IFERROR(__xludf.DUMMYFUNCTION("IFERROR(
    INDEX(FILTER('Arrived Shipments'!O:O, 'Arrived Shipments'!B:B=$B505),3),
    IFERROR(
        INDEX(FILTER('POed not arrived'!D:D, 'POed not arrived'!A:A=$B505),3),
        """"
    )
)"),"")</f>
        <v/>
      </c>
      <c r="Q505" s="202"/>
      <c r="R505" s="206" t="str">
        <f>IFERROR(__xludf.DUMMYFUNCTION("IFERROR(
    INDEX(FILTER('Arrived Shipments'!O:O, 'Arrived Shipments'!B:B=$B505),4),
    IFERROR(
        INDEX(FILTER('POed not arrived'!D:D, 'POed not arrived'!A:A=$B505),4),
        """"
    )
)"),"")</f>
        <v/>
      </c>
      <c r="S505" s="202"/>
      <c r="T505" s="202">
        <f t="shared" si="8"/>
        <v>0</v>
      </c>
      <c r="U505" s="198"/>
      <c r="V505" s="199"/>
      <c r="W505" s="197"/>
      <c r="X505" s="197"/>
      <c r="Y505" s="199"/>
      <c r="Z505" s="199"/>
      <c r="AA505" s="204" t="str">
        <f t="shared" si="4"/>
        <v/>
      </c>
      <c r="AB505" s="198"/>
      <c r="AC505" s="199"/>
      <c r="AD505" s="199"/>
      <c r="AE505" s="199"/>
      <c r="AF505" s="199"/>
      <c r="AG505" s="199"/>
      <c r="AH505" s="199"/>
      <c r="AI505" s="199"/>
      <c r="AJ505" s="199"/>
      <c r="AK505" s="199"/>
      <c r="AL505" s="199"/>
      <c r="AM505" s="198"/>
      <c r="AN505" s="197"/>
      <c r="AO505" s="197"/>
      <c r="AP505" s="197"/>
      <c r="AQ505" s="197"/>
      <c r="AR505" s="197"/>
      <c r="AS505" s="197"/>
    </row>
    <row r="506">
      <c r="A506" s="198" t="str">
        <f t="shared" si="1"/>
        <v/>
      </c>
      <c r="B506" s="205"/>
      <c r="C506" s="198"/>
      <c r="D506" s="199"/>
      <c r="E506" s="213"/>
      <c r="F506" s="198"/>
      <c r="G506" s="198"/>
      <c r="H506" s="199"/>
      <c r="I506" s="207"/>
      <c r="J506" s="199"/>
      <c r="K506" s="202"/>
      <c r="L506" s="205" t="str">
        <f>IFERROR(__xludf.DUMMYFUNCTION("IFERROR(
    INDEX(FILTER('Arrived Shipments'!O:O, 'Arrived Shipments'!B:B=$B506),1),
    IFERROR(
        INDEX(FILTER('POed not arrived'!D:D, 'POed not arrived'!A:A=$B506),1),
        """"
    )
)"),"")</f>
        <v/>
      </c>
      <c r="M506" s="202"/>
      <c r="N506" s="223" t="str">
        <f>IFERROR(__xludf.DUMMYFUNCTION("IFERROR(
    INDEX(FILTER('Arrived Shipments'!O:O, 'Arrived Shipments'!B:B=$B506),2),
    IFERROR(
        INDEX(FILTER('POed not arrived'!D:D, 'POed not arrived'!A:A=$B506),2),
        """"
    )
)"),"")</f>
        <v/>
      </c>
      <c r="O506" s="202"/>
      <c r="P506" s="202" t="str">
        <f>IFERROR(__xludf.DUMMYFUNCTION("IFERROR(
    INDEX(FILTER('Arrived Shipments'!O:O, 'Arrived Shipments'!B:B=$B506),3),
    IFERROR(
        INDEX(FILTER('POed not arrived'!D:D, 'POed not arrived'!A:A=$B506),3),
        """"
    )
)"),"")</f>
        <v/>
      </c>
      <c r="Q506" s="202"/>
      <c r="R506" s="206" t="str">
        <f>IFERROR(__xludf.DUMMYFUNCTION("IFERROR(
    INDEX(FILTER('Arrived Shipments'!O:O, 'Arrived Shipments'!B:B=$B506),4),
    IFERROR(
        INDEX(FILTER('POed not arrived'!D:D, 'POed not arrived'!A:A=$B506),4),
        """"
    )
)"),"")</f>
        <v/>
      </c>
      <c r="S506" s="202"/>
      <c r="T506" s="202">
        <f t="shared" si="8"/>
        <v>0</v>
      </c>
      <c r="U506" s="198"/>
      <c r="V506" s="199"/>
      <c r="W506" s="197"/>
      <c r="X506" s="197"/>
      <c r="Y506" s="199"/>
      <c r="Z506" s="199"/>
      <c r="AA506" s="204" t="str">
        <f t="shared" si="4"/>
        <v/>
      </c>
      <c r="AB506" s="198"/>
      <c r="AC506" s="199"/>
      <c r="AD506" s="199"/>
      <c r="AE506" s="199"/>
      <c r="AF506" s="199"/>
      <c r="AG506" s="199"/>
      <c r="AH506" s="199"/>
      <c r="AI506" s="199"/>
      <c r="AJ506" s="199"/>
      <c r="AK506" s="199"/>
      <c r="AL506" s="199"/>
      <c r="AM506" s="198"/>
      <c r="AN506" s="197"/>
      <c r="AO506" s="197"/>
      <c r="AP506" s="197"/>
      <c r="AQ506" s="197"/>
      <c r="AR506" s="197"/>
      <c r="AS506" s="197"/>
    </row>
    <row r="507">
      <c r="A507" s="198" t="str">
        <f t="shared" si="1"/>
        <v/>
      </c>
      <c r="B507" s="205"/>
      <c r="C507" s="198"/>
      <c r="D507" s="199"/>
      <c r="E507" s="213"/>
      <c r="F507" s="198"/>
      <c r="G507" s="198"/>
      <c r="H507" s="199"/>
      <c r="I507" s="207"/>
      <c r="J507" s="199"/>
      <c r="K507" s="202"/>
      <c r="L507" s="205" t="str">
        <f>IFERROR(__xludf.DUMMYFUNCTION("IFERROR(
    INDEX(FILTER('Arrived Shipments'!O:O, 'Arrived Shipments'!B:B=$B507),1),
    IFERROR(
        INDEX(FILTER('POed not arrived'!D:D, 'POed not arrived'!A:A=$B507),1),
        """"
    )
)"),"")</f>
        <v/>
      </c>
      <c r="M507" s="202"/>
      <c r="N507" s="223" t="str">
        <f>IFERROR(__xludf.DUMMYFUNCTION("IFERROR(
    INDEX(FILTER('Arrived Shipments'!O:O, 'Arrived Shipments'!B:B=$B507),2),
    IFERROR(
        INDEX(FILTER('POed not arrived'!D:D, 'POed not arrived'!A:A=$B507),2),
        """"
    )
)"),"")</f>
        <v/>
      </c>
      <c r="O507" s="202"/>
      <c r="P507" s="202" t="str">
        <f>IFERROR(__xludf.DUMMYFUNCTION("IFERROR(
    INDEX(FILTER('Arrived Shipments'!O:O, 'Arrived Shipments'!B:B=$B507),3),
    IFERROR(
        INDEX(FILTER('POed not arrived'!D:D, 'POed not arrived'!A:A=$B507),3),
        """"
    )
)"),"")</f>
        <v/>
      </c>
      <c r="Q507" s="202"/>
      <c r="R507" s="206" t="str">
        <f>IFERROR(__xludf.DUMMYFUNCTION("IFERROR(
    INDEX(FILTER('Arrived Shipments'!O:O, 'Arrived Shipments'!B:B=$B507),4),
    IFERROR(
        INDEX(FILTER('POed not arrived'!D:D, 'POed not arrived'!A:A=$B507),4),
        """"
    )
)"),"")</f>
        <v/>
      </c>
      <c r="S507" s="202"/>
      <c r="T507" s="202">
        <f t="shared" si="8"/>
        <v>0</v>
      </c>
      <c r="U507" s="198"/>
      <c r="V507" s="199"/>
      <c r="W507" s="197"/>
      <c r="X507" s="197"/>
      <c r="Y507" s="199"/>
      <c r="Z507" s="199"/>
      <c r="AA507" s="204" t="str">
        <f t="shared" si="4"/>
        <v/>
      </c>
      <c r="AB507" s="198"/>
      <c r="AC507" s="199"/>
      <c r="AD507" s="199"/>
      <c r="AE507" s="199"/>
      <c r="AF507" s="199"/>
      <c r="AG507" s="199"/>
      <c r="AH507" s="199"/>
      <c r="AI507" s="199"/>
      <c r="AJ507" s="199"/>
      <c r="AK507" s="199"/>
      <c r="AL507" s="199"/>
      <c r="AM507" s="198"/>
      <c r="AN507" s="197"/>
      <c r="AO507" s="197"/>
      <c r="AP507" s="197"/>
      <c r="AQ507" s="197"/>
      <c r="AR507" s="197"/>
      <c r="AS507" s="197"/>
    </row>
    <row r="508">
      <c r="A508" s="198" t="str">
        <f t="shared" si="1"/>
        <v/>
      </c>
      <c r="B508" s="205"/>
      <c r="C508" s="198"/>
      <c r="D508" s="199"/>
      <c r="E508" s="213"/>
      <c r="F508" s="198"/>
      <c r="G508" s="198"/>
      <c r="H508" s="199"/>
      <c r="I508" s="207"/>
      <c r="J508" s="199"/>
      <c r="K508" s="202"/>
      <c r="L508" s="205" t="str">
        <f>IFERROR(__xludf.DUMMYFUNCTION("IFERROR(
    INDEX(FILTER('Arrived Shipments'!O:O, 'Arrived Shipments'!B:B=$B508),1),
    IFERROR(
        INDEX(FILTER('POed not arrived'!D:D, 'POed not arrived'!A:A=$B508),1),
        """"
    )
)"),"")</f>
        <v/>
      </c>
      <c r="M508" s="202"/>
      <c r="N508" s="223" t="str">
        <f>IFERROR(__xludf.DUMMYFUNCTION("IFERROR(
    INDEX(FILTER('Arrived Shipments'!O:O, 'Arrived Shipments'!B:B=$B508),2),
    IFERROR(
        INDEX(FILTER('POed not arrived'!D:D, 'POed not arrived'!A:A=$B508),2),
        """"
    )
)"),"")</f>
        <v/>
      </c>
      <c r="O508" s="202"/>
      <c r="P508" s="202" t="str">
        <f>IFERROR(__xludf.DUMMYFUNCTION("IFERROR(
    INDEX(FILTER('Arrived Shipments'!O:O, 'Arrived Shipments'!B:B=$B508),3),
    IFERROR(
        INDEX(FILTER('POed not arrived'!D:D, 'POed not arrived'!A:A=$B508),3),
        """"
    )
)"),"")</f>
        <v/>
      </c>
      <c r="Q508" s="202"/>
      <c r="R508" s="206" t="str">
        <f>IFERROR(__xludf.DUMMYFUNCTION("IFERROR(
    INDEX(FILTER('Arrived Shipments'!O:O, 'Arrived Shipments'!B:B=$B508),4),
    IFERROR(
        INDEX(FILTER('POed not arrived'!D:D, 'POed not arrived'!A:A=$B508),4),
        """"
    )
)"),"")</f>
        <v/>
      </c>
      <c r="S508" s="202"/>
      <c r="T508" s="202">
        <f t="shared" si="8"/>
        <v>0</v>
      </c>
      <c r="U508" s="198"/>
      <c r="V508" s="199"/>
      <c r="W508" s="197"/>
      <c r="X508" s="197"/>
      <c r="Y508" s="199"/>
      <c r="Z508" s="199"/>
      <c r="AA508" s="204" t="str">
        <f t="shared" si="4"/>
        <v/>
      </c>
      <c r="AB508" s="198"/>
      <c r="AC508" s="199"/>
      <c r="AD508" s="199"/>
      <c r="AE508" s="199"/>
      <c r="AF508" s="199"/>
      <c r="AG508" s="199"/>
      <c r="AH508" s="199"/>
      <c r="AI508" s="199"/>
      <c r="AJ508" s="199"/>
      <c r="AK508" s="199"/>
      <c r="AL508" s="199"/>
      <c r="AM508" s="198"/>
      <c r="AN508" s="197"/>
      <c r="AO508" s="197"/>
      <c r="AP508" s="197"/>
      <c r="AQ508" s="197"/>
      <c r="AR508" s="197"/>
      <c r="AS508" s="197"/>
    </row>
    <row r="509">
      <c r="A509" s="198" t="str">
        <f t="shared" si="1"/>
        <v/>
      </c>
      <c r="B509" s="205"/>
      <c r="C509" s="198"/>
      <c r="D509" s="199"/>
      <c r="E509" s="213"/>
      <c r="F509" s="198"/>
      <c r="G509" s="198"/>
      <c r="H509" s="199"/>
      <c r="I509" s="207"/>
      <c r="J509" s="199"/>
      <c r="K509" s="202"/>
      <c r="L509" s="205" t="str">
        <f>IFERROR(__xludf.DUMMYFUNCTION("IFERROR(
    INDEX(FILTER('Arrived Shipments'!O:O, 'Arrived Shipments'!B:B=$B509),1),
    IFERROR(
        INDEX(FILTER('POed not arrived'!D:D, 'POed not arrived'!A:A=$B509),1),
        """"
    )
)"),"")</f>
        <v/>
      </c>
      <c r="M509" s="202"/>
      <c r="N509" s="223" t="str">
        <f>IFERROR(__xludf.DUMMYFUNCTION("IFERROR(
    INDEX(FILTER('Arrived Shipments'!O:O, 'Arrived Shipments'!B:B=$B509),2),
    IFERROR(
        INDEX(FILTER('POed not arrived'!D:D, 'POed not arrived'!A:A=$B509),2),
        """"
    )
)"),"")</f>
        <v/>
      </c>
      <c r="O509" s="202"/>
      <c r="P509" s="202" t="str">
        <f>IFERROR(__xludf.DUMMYFUNCTION("IFERROR(
    INDEX(FILTER('Arrived Shipments'!O:O, 'Arrived Shipments'!B:B=$B509),3),
    IFERROR(
        INDEX(FILTER('POed not arrived'!D:D, 'POed not arrived'!A:A=$B509),3),
        """"
    )
)"),"")</f>
        <v/>
      </c>
      <c r="Q509" s="202"/>
      <c r="R509" s="206" t="str">
        <f>IFERROR(__xludf.DUMMYFUNCTION("IFERROR(
    INDEX(FILTER('Arrived Shipments'!O:O, 'Arrived Shipments'!B:B=$B509),4),
    IFERROR(
        INDEX(FILTER('POed not arrived'!D:D, 'POed not arrived'!A:A=$B509),4),
        """"
    )
)"),"")</f>
        <v/>
      </c>
      <c r="S509" s="202"/>
      <c r="T509" s="202">
        <f t="shared" si="8"/>
        <v>0</v>
      </c>
      <c r="U509" s="198"/>
      <c r="V509" s="199"/>
      <c r="W509" s="197"/>
      <c r="X509" s="197"/>
      <c r="Y509" s="199"/>
      <c r="Z509" s="199"/>
      <c r="AA509" s="204" t="str">
        <f t="shared" si="4"/>
        <v/>
      </c>
      <c r="AB509" s="198"/>
      <c r="AC509" s="199"/>
      <c r="AD509" s="199"/>
      <c r="AE509" s="199"/>
      <c r="AF509" s="199"/>
      <c r="AG509" s="199"/>
      <c r="AH509" s="199"/>
      <c r="AI509" s="199"/>
      <c r="AJ509" s="199"/>
      <c r="AK509" s="199"/>
      <c r="AL509" s="199"/>
      <c r="AM509" s="198"/>
      <c r="AN509" s="197"/>
      <c r="AO509" s="197"/>
      <c r="AP509" s="197"/>
      <c r="AQ509" s="197"/>
      <c r="AR509" s="197"/>
      <c r="AS509" s="197"/>
    </row>
    <row r="510">
      <c r="A510" s="198" t="str">
        <f t="shared" si="1"/>
        <v/>
      </c>
      <c r="B510" s="205"/>
      <c r="C510" s="198"/>
      <c r="D510" s="199"/>
      <c r="E510" s="213"/>
      <c r="F510" s="198"/>
      <c r="G510" s="198"/>
      <c r="H510" s="199"/>
      <c r="I510" s="207"/>
      <c r="J510" s="199"/>
      <c r="K510" s="202"/>
      <c r="L510" s="205" t="str">
        <f>IFERROR(__xludf.DUMMYFUNCTION("IFERROR(
    INDEX(FILTER('Arrived Shipments'!O:O, 'Arrived Shipments'!B:B=$B510),1),
    IFERROR(
        INDEX(FILTER('POed not arrived'!D:D, 'POed not arrived'!A:A=$B510),1),
        """"
    )
)"),"")</f>
        <v/>
      </c>
      <c r="M510" s="202"/>
      <c r="N510" s="223" t="str">
        <f>IFERROR(__xludf.DUMMYFUNCTION("IFERROR(
    INDEX(FILTER('Arrived Shipments'!O:O, 'Arrived Shipments'!B:B=$B510),2),
    IFERROR(
        INDEX(FILTER('POed not arrived'!D:D, 'POed not arrived'!A:A=$B510),2),
        """"
    )
)"),"")</f>
        <v/>
      </c>
      <c r="O510" s="202"/>
      <c r="P510" s="202" t="str">
        <f>IFERROR(__xludf.DUMMYFUNCTION("IFERROR(
    INDEX(FILTER('Arrived Shipments'!O:O, 'Arrived Shipments'!B:B=$B510),3),
    IFERROR(
        INDEX(FILTER('POed not arrived'!D:D, 'POed not arrived'!A:A=$B510),3),
        """"
    )
)"),"")</f>
        <v/>
      </c>
      <c r="Q510" s="202"/>
      <c r="R510" s="206" t="str">
        <f>IFERROR(__xludf.DUMMYFUNCTION("IFERROR(
    INDEX(FILTER('Arrived Shipments'!O:O, 'Arrived Shipments'!B:B=$B510),4),
    IFERROR(
        INDEX(FILTER('POed not arrived'!D:D, 'POed not arrived'!A:A=$B510),4),
        """"
    )
)"),"")</f>
        <v/>
      </c>
      <c r="S510" s="202"/>
      <c r="T510" s="202">
        <f t="shared" si="8"/>
        <v>0</v>
      </c>
      <c r="U510" s="198"/>
      <c r="V510" s="199"/>
      <c r="W510" s="197"/>
      <c r="X510" s="197"/>
      <c r="Y510" s="199"/>
      <c r="Z510" s="199"/>
      <c r="AA510" s="204" t="str">
        <f t="shared" si="4"/>
        <v/>
      </c>
      <c r="AB510" s="198"/>
      <c r="AC510" s="199"/>
      <c r="AD510" s="199"/>
      <c r="AE510" s="199"/>
      <c r="AF510" s="199"/>
      <c r="AG510" s="199"/>
      <c r="AH510" s="199"/>
      <c r="AI510" s="199"/>
      <c r="AJ510" s="199"/>
      <c r="AK510" s="199"/>
      <c r="AL510" s="199"/>
      <c r="AM510" s="198"/>
      <c r="AN510" s="197"/>
      <c r="AO510" s="197"/>
      <c r="AP510" s="197"/>
      <c r="AQ510" s="197"/>
      <c r="AR510" s="197"/>
      <c r="AS510" s="197"/>
    </row>
    <row r="511">
      <c r="A511" s="198" t="str">
        <f t="shared" si="1"/>
        <v/>
      </c>
      <c r="B511" s="205"/>
      <c r="C511" s="198"/>
      <c r="D511" s="199"/>
      <c r="E511" s="213"/>
      <c r="F511" s="198"/>
      <c r="G511" s="198"/>
      <c r="H511" s="199"/>
      <c r="I511" s="207"/>
      <c r="J511" s="199"/>
      <c r="K511" s="202"/>
      <c r="L511" s="205" t="str">
        <f>IFERROR(__xludf.DUMMYFUNCTION("IFERROR(
    INDEX(FILTER('Arrived Shipments'!O:O, 'Arrived Shipments'!B:B=$B511),1),
    IFERROR(
        INDEX(FILTER('POed not arrived'!D:D, 'POed not arrived'!A:A=$B511),1),
        """"
    )
)"),"")</f>
        <v/>
      </c>
      <c r="M511" s="202"/>
      <c r="N511" s="223" t="str">
        <f>IFERROR(__xludf.DUMMYFUNCTION("IFERROR(
    INDEX(FILTER('Arrived Shipments'!O:O, 'Arrived Shipments'!B:B=$B511),2),
    IFERROR(
        INDEX(FILTER('POed not arrived'!D:D, 'POed not arrived'!A:A=$B511),2),
        """"
    )
)"),"")</f>
        <v/>
      </c>
      <c r="O511" s="202"/>
      <c r="P511" s="202" t="str">
        <f>IFERROR(__xludf.DUMMYFUNCTION("IFERROR(
    INDEX(FILTER('Arrived Shipments'!O:O, 'Arrived Shipments'!B:B=$B511),3),
    IFERROR(
        INDEX(FILTER('POed not arrived'!D:D, 'POed not arrived'!A:A=$B511),3),
        """"
    )
)"),"")</f>
        <v/>
      </c>
      <c r="Q511" s="202"/>
      <c r="R511" s="206" t="str">
        <f>IFERROR(__xludf.DUMMYFUNCTION("IFERROR(
    INDEX(FILTER('Arrived Shipments'!O:O, 'Arrived Shipments'!B:B=$B511),4),
    IFERROR(
        INDEX(FILTER('POed not arrived'!D:D, 'POed not arrived'!A:A=$B511),4),
        """"
    )
)"),"")</f>
        <v/>
      </c>
      <c r="S511" s="202"/>
      <c r="T511" s="202">
        <f t="shared" si="8"/>
        <v>0</v>
      </c>
      <c r="U511" s="198"/>
      <c r="V511" s="199"/>
      <c r="W511" s="197"/>
      <c r="X511" s="197"/>
      <c r="Y511" s="199"/>
      <c r="Z511" s="199"/>
      <c r="AA511" s="204" t="str">
        <f t="shared" si="4"/>
        <v/>
      </c>
      <c r="AB511" s="198"/>
      <c r="AC511" s="199"/>
      <c r="AD511" s="199"/>
      <c r="AE511" s="199"/>
      <c r="AF511" s="199"/>
      <c r="AG511" s="199"/>
      <c r="AH511" s="199"/>
      <c r="AI511" s="199"/>
      <c r="AJ511" s="199"/>
      <c r="AK511" s="199"/>
      <c r="AL511" s="199"/>
      <c r="AM511" s="198"/>
      <c r="AN511" s="197"/>
      <c r="AO511" s="197"/>
      <c r="AP511" s="197"/>
      <c r="AQ511" s="197"/>
      <c r="AR511" s="197"/>
      <c r="AS511" s="197"/>
    </row>
    <row r="512">
      <c r="A512" s="198" t="str">
        <f t="shared" si="1"/>
        <v/>
      </c>
      <c r="B512" s="205"/>
      <c r="C512" s="198"/>
      <c r="D512" s="199"/>
      <c r="E512" s="213"/>
      <c r="F512" s="198"/>
      <c r="G512" s="198"/>
      <c r="H512" s="199"/>
      <c r="I512" s="207"/>
      <c r="J512" s="199"/>
      <c r="K512" s="202"/>
      <c r="L512" s="205" t="str">
        <f>IFERROR(__xludf.DUMMYFUNCTION("IFERROR(
    INDEX(FILTER('Arrived Shipments'!O:O, 'Arrived Shipments'!B:B=$B512),1),
    IFERROR(
        INDEX(FILTER('POed not arrived'!D:D, 'POed not arrived'!A:A=$B512),1),
        """"
    )
)"),"")</f>
        <v/>
      </c>
      <c r="M512" s="202"/>
      <c r="N512" s="223" t="str">
        <f>IFERROR(__xludf.DUMMYFUNCTION("IFERROR(
    INDEX(FILTER('Arrived Shipments'!O:O, 'Arrived Shipments'!B:B=$B512),2),
    IFERROR(
        INDEX(FILTER('POed not arrived'!D:D, 'POed not arrived'!A:A=$B512),2),
        """"
    )
)"),"")</f>
        <v/>
      </c>
      <c r="O512" s="202"/>
      <c r="P512" s="202" t="str">
        <f>IFERROR(__xludf.DUMMYFUNCTION("IFERROR(
    INDEX(FILTER('Arrived Shipments'!O:O, 'Arrived Shipments'!B:B=$B512),3),
    IFERROR(
        INDEX(FILTER('POed not arrived'!D:D, 'POed not arrived'!A:A=$B512),3),
        """"
    )
)"),"")</f>
        <v/>
      </c>
      <c r="Q512" s="202"/>
      <c r="R512" s="206" t="str">
        <f>IFERROR(__xludf.DUMMYFUNCTION("IFERROR(
    INDEX(FILTER('Arrived Shipments'!O:O, 'Arrived Shipments'!B:B=$B512),4),
    IFERROR(
        INDEX(FILTER('POed not arrived'!D:D, 'POed not arrived'!A:A=$B512),4),
        """"
    )
)"),"")</f>
        <v/>
      </c>
      <c r="S512" s="202"/>
      <c r="T512" s="202">
        <f t="shared" si="8"/>
        <v>0</v>
      </c>
      <c r="U512" s="198"/>
      <c r="V512" s="199"/>
      <c r="W512" s="197"/>
      <c r="X512" s="197"/>
      <c r="Y512" s="199"/>
      <c r="Z512" s="199"/>
      <c r="AA512" s="204" t="str">
        <f t="shared" si="4"/>
        <v/>
      </c>
      <c r="AB512" s="198"/>
      <c r="AC512" s="199"/>
      <c r="AD512" s="199"/>
      <c r="AE512" s="199"/>
      <c r="AF512" s="199"/>
      <c r="AG512" s="199"/>
      <c r="AH512" s="199"/>
      <c r="AI512" s="199"/>
      <c r="AJ512" s="199"/>
      <c r="AK512" s="199"/>
      <c r="AL512" s="199"/>
      <c r="AM512" s="198"/>
      <c r="AN512" s="197"/>
      <c r="AO512" s="197"/>
      <c r="AP512" s="197"/>
      <c r="AQ512" s="197"/>
      <c r="AR512" s="197"/>
      <c r="AS512" s="197"/>
    </row>
    <row r="513">
      <c r="A513" s="198" t="str">
        <f t="shared" si="1"/>
        <v/>
      </c>
      <c r="B513" s="205"/>
      <c r="C513" s="198"/>
      <c r="D513" s="199"/>
      <c r="E513" s="213"/>
      <c r="F513" s="198"/>
      <c r="G513" s="198"/>
      <c r="H513" s="199"/>
      <c r="I513" s="207"/>
      <c r="J513" s="199"/>
      <c r="K513" s="202"/>
      <c r="L513" s="205" t="str">
        <f>IFERROR(__xludf.DUMMYFUNCTION("IFERROR(
    INDEX(FILTER('Arrived Shipments'!O:O, 'Arrived Shipments'!B:B=$B513),1),
    IFERROR(
        INDEX(FILTER('POed not arrived'!D:D, 'POed not arrived'!A:A=$B513),1),
        """"
    )
)"),"")</f>
        <v/>
      </c>
      <c r="M513" s="202"/>
      <c r="N513" s="223" t="str">
        <f>IFERROR(__xludf.DUMMYFUNCTION("IFERROR(
    INDEX(FILTER('Arrived Shipments'!O:O, 'Arrived Shipments'!B:B=$B513),2),
    IFERROR(
        INDEX(FILTER('POed not arrived'!D:D, 'POed not arrived'!A:A=$B513),2),
        """"
    )
)"),"")</f>
        <v/>
      </c>
      <c r="O513" s="202"/>
      <c r="P513" s="202" t="str">
        <f>IFERROR(__xludf.DUMMYFUNCTION("IFERROR(
    INDEX(FILTER('Arrived Shipments'!O:O, 'Arrived Shipments'!B:B=$B513),3),
    IFERROR(
        INDEX(FILTER('POed not arrived'!D:D, 'POed not arrived'!A:A=$B513),3),
        """"
    )
)"),"")</f>
        <v/>
      </c>
      <c r="Q513" s="202"/>
      <c r="R513" s="206" t="str">
        <f>IFERROR(__xludf.DUMMYFUNCTION("IFERROR(
    INDEX(FILTER('Arrived Shipments'!O:O, 'Arrived Shipments'!B:B=$B513),4),
    IFERROR(
        INDEX(FILTER('POed not arrived'!D:D, 'POed not arrived'!A:A=$B513),4),
        """"
    )
)"),"")</f>
        <v/>
      </c>
      <c r="S513" s="202"/>
      <c r="T513" s="202">
        <f t="shared" si="8"/>
        <v>0</v>
      </c>
      <c r="U513" s="198"/>
      <c r="V513" s="199"/>
      <c r="W513" s="197"/>
      <c r="X513" s="197"/>
      <c r="Y513" s="199"/>
      <c r="Z513" s="199"/>
      <c r="AA513" s="204" t="str">
        <f t="shared" si="4"/>
        <v/>
      </c>
      <c r="AB513" s="198"/>
      <c r="AC513" s="199"/>
      <c r="AD513" s="199"/>
      <c r="AE513" s="199"/>
      <c r="AF513" s="199"/>
      <c r="AG513" s="199"/>
      <c r="AH513" s="199"/>
      <c r="AI513" s="199"/>
      <c r="AJ513" s="199"/>
      <c r="AK513" s="199"/>
      <c r="AL513" s="199"/>
      <c r="AM513" s="198"/>
      <c r="AN513" s="197"/>
      <c r="AO513" s="197"/>
      <c r="AP513" s="197"/>
      <c r="AQ513" s="197"/>
      <c r="AR513" s="197"/>
      <c r="AS513" s="197"/>
    </row>
    <row r="514">
      <c r="A514" s="198" t="str">
        <f t="shared" si="1"/>
        <v/>
      </c>
      <c r="B514" s="205"/>
      <c r="C514" s="198"/>
      <c r="D514" s="199"/>
      <c r="E514" s="213"/>
      <c r="F514" s="198"/>
      <c r="G514" s="198"/>
      <c r="H514" s="199"/>
      <c r="I514" s="207"/>
      <c r="J514" s="199"/>
      <c r="K514" s="202"/>
      <c r="L514" s="205" t="str">
        <f>IFERROR(__xludf.DUMMYFUNCTION("IFERROR(
    INDEX(FILTER('Arrived Shipments'!O:O, 'Arrived Shipments'!B:B=$B514),1),
    IFERROR(
        INDEX(FILTER('POed not arrived'!D:D, 'POed not arrived'!A:A=$B514),1),
        """"
    )
)"),"")</f>
        <v/>
      </c>
      <c r="M514" s="202"/>
      <c r="N514" s="223" t="str">
        <f>IFERROR(__xludf.DUMMYFUNCTION("IFERROR(
    INDEX(FILTER('Arrived Shipments'!O:O, 'Arrived Shipments'!B:B=$B514),2),
    IFERROR(
        INDEX(FILTER('POed not arrived'!D:D, 'POed not arrived'!A:A=$B514),2),
        """"
    )
)"),"")</f>
        <v/>
      </c>
      <c r="O514" s="202"/>
      <c r="P514" s="202" t="str">
        <f>IFERROR(__xludf.DUMMYFUNCTION("IFERROR(
    INDEX(FILTER('Arrived Shipments'!O:O, 'Arrived Shipments'!B:B=$B514),3),
    IFERROR(
        INDEX(FILTER('POed not arrived'!D:D, 'POed not arrived'!A:A=$B514),3),
        """"
    )
)"),"")</f>
        <v/>
      </c>
      <c r="Q514" s="202"/>
      <c r="R514" s="206" t="str">
        <f>IFERROR(__xludf.DUMMYFUNCTION("IFERROR(
    INDEX(FILTER('Arrived Shipments'!O:O, 'Arrived Shipments'!B:B=$B514),4),
    IFERROR(
        INDEX(FILTER('POed not arrived'!D:D, 'POed not arrived'!A:A=$B514),4),
        """"
    )
)"),"")</f>
        <v/>
      </c>
      <c r="S514" s="202"/>
      <c r="T514" s="202">
        <f t="shared" si="8"/>
        <v>0</v>
      </c>
      <c r="U514" s="198"/>
      <c r="V514" s="199"/>
      <c r="W514" s="197"/>
      <c r="X514" s="197"/>
      <c r="Y514" s="199"/>
      <c r="Z514" s="199"/>
      <c r="AA514" s="204" t="str">
        <f t="shared" si="4"/>
        <v/>
      </c>
      <c r="AB514" s="198"/>
      <c r="AC514" s="199"/>
      <c r="AD514" s="199"/>
      <c r="AE514" s="199"/>
      <c r="AF514" s="199"/>
      <c r="AG514" s="199"/>
      <c r="AH514" s="199"/>
      <c r="AI514" s="199"/>
      <c r="AJ514" s="199"/>
      <c r="AK514" s="199"/>
      <c r="AL514" s="199"/>
      <c r="AM514" s="198"/>
      <c r="AN514" s="197"/>
      <c r="AO514" s="197"/>
      <c r="AP514" s="197"/>
      <c r="AQ514" s="197"/>
      <c r="AR514" s="197"/>
      <c r="AS514" s="197"/>
    </row>
    <row r="515">
      <c r="A515" s="198" t="str">
        <f t="shared" si="1"/>
        <v/>
      </c>
      <c r="B515" s="205"/>
      <c r="C515" s="198"/>
      <c r="D515" s="199"/>
      <c r="E515" s="213"/>
      <c r="F515" s="198"/>
      <c r="G515" s="198"/>
      <c r="H515" s="199"/>
      <c r="I515" s="207"/>
      <c r="J515" s="199"/>
      <c r="K515" s="202"/>
      <c r="L515" s="205" t="str">
        <f>IFERROR(__xludf.DUMMYFUNCTION("IFERROR(
    INDEX(FILTER('Arrived Shipments'!O:O, 'Arrived Shipments'!B:B=$B515),1),
    IFERROR(
        INDEX(FILTER('POed not arrived'!D:D, 'POed not arrived'!A:A=$B515),1),
        """"
    )
)"),"")</f>
        <v/>
      </c>
      <c r="M515" s="202"/>
      <c r="N515" s="223" t="str">
        <f>IFERROR(__xludf.DUMMYFUNCTION("IFERROR(
    INDEX(FILTER('Arrived Shipments'!O:O, 'Arrived Shipments'!B:B=$B515),2),
    IFERROR(
        INDEX(FILTER('POed not arrived'!D:D, 'POed not arrived'!A:A=$B515),2),
        """"
    )
)"),"")</f>
        <v/>
      </c>
      <c r="O515" s="202"/>
      <c r="P515" s="202" t="str">
        <f>IFERROR(__xludf.DUMMYFUNCTION("IFERROR(
    INDEX(FILTER('Arrived Shipments'!O:O, 'Arrived Shipments'!B:B=$B515),3),
    IFERROR(
        INDEX(FILTER('POed not arrived'!D:D, 'POed not arrived'!A:A=$B515),3),
        """"
    )
)"),"")</f>
        <v/>
      </c>
      <c r="Q515" s="202"/>
      <c r="R515" s="206" t="str">
        <f>IFERROR(__xludf.DUMMYFUNCTION("IFERROR(
    INDEX(FILTER('Arrived Shipments'!O:O, 'Arrived Shipments'!B:B=$B515),4),
    IFERROR(
        INDEX(FILTER('POed not arrived'!D:D, 'POed not arrived'!A:A=$B515),4),
        """"
    )
)"),"")</f>
        <v/>
      </c>
      <c r="S515" s="202"/>
      <c r="T515" s="202">
        <f t="shared" si="8"/>
        <v>0</v>
      </c>
      <c r="U515" s="198"/>
      <c r="V515" s="199"/>
      <c r="W515" s="197"/>
      <c r="X515" s="197"/>
      <c r="Y515" s="199"/>
      <c r="Z515" s="199"/>
      <c r="AA515" s="204" t="str">
        <f t="shared" si="4"/>
        <v/>
      </c>
      <c r="AB515" s="198"/>
      <c r="AC515" s="199"/>
      <c r="AD515" s="199"/>
      <c r="AE515" s="199"/>
      <c r="AF515" s="199"/>
      <c r="AG515" s="199"/>
      <c r="AH515" s="199"/>
      <c r="AI515" s="199"/>
      <c r="AJ515" s="199"/>
      <c r="AK515" s="199"/>
      <c r="AL515" s="199"/>
      <c r="AM515" s="198"/>
      <c r="AN515" s="197"/>
      <c r="AO515" s="197"/>
      <c r="AP515" s="197"/>
      <c r="AQ515" s="197"/>
      <c r="AR515" s="197"/>
      <c r="AS515" s="197"/>
    </row>
    <row r="516">
      <c r="A516" s="198" t="str">
        <f t="shared" si="1"/>
        <v/>
      </c>
      <c r="B516" s="205"/>
      <c r="C516" s="198"/>
      <c r="D516" s="199"/>
      <c r="E516" s="213"/>
      <c r="F516" s="198"/>
      <c r="G516" s="198"/>
      <c r="H516" s="199"/>
      <c r="I516" s="207"/>
      <c r="J516" s="199"/>
      <c r="K516" s="202"/>
      <c r="L516" s="205" t="str">
        <f>IFERROR(__xludf.DUMMYFUNCTION("IFERROR(
    INDEX(FILTER('Arrived Shipments'!O:O, 'Arrived Shipments'!B:B=$B516),1),
    IFERROR(
        INDEX(FILTER('POed not arrived'!D:D, 'POed not arrived'!A:A=$B516),1),
        """"
    )
)"),"")</f>
        <v/>
      </c>
      <c r="M516" s="202"/>
      <c r="N516" s="223" t="str">
        <f>IFERROR(__xludf.DUMMYFUNCTION("IFERROR(
    INDEX(FILTER('Arrived Shipments'!O:O, 'Arrived Shipments'!B:B=$B516),2),
    IFERROR(
        INDEX(FILTER('POed not arrived'!D:D, 'POed not arrived'!A:A=$B516),2),
        """"
    )
)"),"")</f>
        <v/>
      </c>
      <c r="O516" s="202"/>
      <c r="P516" s="202" t="str">
        <f>IFERROR(__xludf.DUMMYFUNCTION("IFERROR(
    INDEX(FILTER('Arrived Shipments'!O:O, 'Arrived Shipments'!B:B=$B516),3),
    IFERROR(
        INDEX(FILTER('POed not arrived'!D:D, 'POed not arrived'!A:A=$B516),3),
        """"
    )
)"),"")</f>
        <v/>
      </c>
      <c r="Q516" s="202"/>
      <c r="R516" s="206" t="str">
        <f>IFERROR(__xludf.DUMMYFUNCTION("IFERROR(
    INDEX(FILTER('Arrived Shipments'!O:O, 'Arrived Shipments'!B:B=$B516),4),
    IFERROR(
        INDEX(FILTER('POed not arrived'!D:D, 'POed not arrived'!A:A=$B516),4),
        """"
    )
)"),"")</f>
        <v/>
      </c>
      <c r="S516" s="202"/>
      <c r="T516" s="202">
        <f t="shared" si="8"/>
        <v>0</v>
      </c>
      <c r="U516" s="198"/>
      <c r="V516" s="199"/>
      <c r="W516" s="197"/>
      <c r="X516" s="197"/>
      <c r="Y516" s="199"/>
      <c r="Z516" s="199"/>
      <c r="AA516" s="204" t="str">
        <f t="shared" si="4"/>
        <v/>
      </c>
      <c r="AB516" s="198"/>
      <c r="AC516" s="199"/>
      <c r="AD516" s="199"/>
      <c r="AE516" s="199"/>
      <c r="AF516" s="199"/>
      <c r="AG516" s="199"/>
      <c r="AH516" s="199"/>
      <c r="AI516" s="199"/>
      <c r="AJ516" s="199"/>
      <c r="AK516" s="199"/>
      <c r="AL516" s="199"/>
      <c r="AM516" s="198"/>
      <c r="AN516" s="197"/>
      <c r="AO516" s="197"/>
      <c r="AP516" s="197"/>
      <c r="AQ516" s="197"/>
      <c r="AR516" s="197"/>
      <c r="AS516" s="197"/>
    </row>
    <row r="517">
      <c r="A517" s="198" t="str">
        <f t="shared" si="1"/>
        <v/>
      </c>
      <c r="B517" s="205"/>
      <c r="C517" s="198"/>
      <c r="D517" s="199"/>
      <c r="E517" s="213"/>
      <c r="F517" s="198"/>
      <c r="G517" s="198"/>
      <c r="H517" s="199"/>
      <c r="I517" s="207"/>
      <c r="J517" s="199"/>
      <c r="K517" s="202"/>
      <c r="L517" s="205" t="str">
        <f>IFERROR(__xludf.DUMMYFUNCTION("IFERROR(
    INDEX(FILTER('Arrived Shipments'!O:O, 'Arrived Shipments'!B:B=$B517),1),
    IFERROR(
        INDEX(FILTER('POed not arrived'!D:D, 'POed not arrived'!A:A=$B517),1),
        """"
    )
)"),"")</f>
        <v/>
      </c>
      <c r="M517" s="202"/>
      <c r="N517" s="223" t="str">
        <f>IFERROR(__xludf.DUMMYFUNCTION("IFERROR(
    INDEX(FILTER('Arrived Shipments'!O:O, 'Arrived Shipments'!B:B=$B517),2),
    IFERROR(
        INDEX(FILTER('POed not arrived'!D:D, 'POed not arrived'!A:A=$B517),2),
        """"
    )
)"),"")</f>
        <v/>
      </c>
      <c r="O517" s="202"/>
      <c r="P517" s="202" t="str">
        <f>IFERROR(__xludf.DUMMYFUNCTION("IFERROR(
    INDEX(FILTER('Arrived Shipments'!O:O, 'Arrived Shipments'!B:B=$B517),3),
    IFERROR(
        INDEX(FILTER('POed not arrived'!D:D, 'POed not arrived'!A:A=$B517),3),
        """"
    )
)"),"")</f>
        <v/>
      </c>
      <c r="Q517" s="202"/>
      <c r="R517" s="206" t="str">
        <f>IFERROR(__xludf.DUMMYFUNCTION("IFERROR(
    INDEX(FILTER('Arrived Shipments'!O:O, 'Arrived Shipments'!B:B=$B517),4),
    IFERROR(
        INDEX(FILTER('POed not arrived'!D:D, 'POed not arrived'!A:A=$B517),4),
        """"
    )
)"),"")</f>
        <v/>
      </c>
      <c r="S517" s="202"/>
      <c r="T517" s="202">
        <f t="shared" si="8"/>
        <v>0</v>
      </c>
      <c r="U517" s="198"/>
      <c r="V517" s="199"/>
      <c r="W517" s="197"/>
      <c r="X517" s="197"/>
      <c r="Y517" s="199"/>
      <c r="Z517" s="199"/>
      <c r="AA517" s="204" t="str">
        <f t="shared" si="4"/>
        <v/>
      </c>
      <c r="AB517" s="198"/>
      <c r="AC517" s="199"/>
      <c r="AD517" s="199"/>
      <c r="AE517" s="199"/>
      <c r="AF517" s="199"/>
      <c r="AG517" s="199"/>
      <c r="AH517" s="199"/>
      <c r="AI517" s="199"/>
      <c r="AJ517" s="199"/>
      <c r="AK517" s="199"/>
      <c r="AL517" s="199"/>
      <c r="AM517" s="198"/>
      <c r="AN517" s="197"/>
      <c r="AO517" s="197"/>
      <c r="AP517" s="197"/>
      <c r="AQ517" s="197"/>
      <c r="AR517" s="197"/>
      <c r="AS517" s="197"/>
    </row>
    <row r="518">
      <c r="A518" s="198" t="str">
        <f t="shared" si="1"/>
        <v/>
      </c>
      <c r="B518" s="205"/>
      <c r="C518" s="198"/>
      <c r="D518" s="199"/>
      <c r="E518" s="213"/>
      <c r="F518" s="198"/>
      <c r="G518" s="198"/>
      <c r="H518" s="199"/>
      <c r="I518" s="207"/>
      <c r="J518" s="199"/>
      <c r="K518" s="202"/>
      <c r="L518" s="205" t="str">
        <f>IFERROR(__xludf.DUMMYFUNCTION("IFERROR(
    INDEX(FILTER('Arrived Shipments'!O:O, 'Arrived Shipments'!B:B=$B518),1),
    IFERROR(
        INDEX(FILTER('POed not arrived'!D:D, 'POed not arrived'!A:A=$B518),1),
        """"
    )
)"),"")</f>
        <v/>
      </c>
      <c r="M518" s="202"/>
      <c r="N518" s="223" t="str">
        <f>IFERROR(__xludf.DUMMYFUNCTION("IFERROR(
    INDEX(FILTER('Arrived Shipments'!O:O, 'Arrived Shipments'!B:B=$B518),2),
    IFERROR(
        INDEX(FILTER('POed not arrived'!D:D, 'POed not arrived'!A:A=$B518),2),
        """"
    )
)"),"")</f>
        <v/>
      </c>
      <c r="O518" s="202"/>
      <c r="P518" s="202" t="str">
        <f>IFERROR(__xludf.DUMMYFUNCTION("IFERROR(
    INDEX(FILTER('Arrived Shipments'!O:O, 'Arrived Shipments'!B:B=$B518),3),
    IFERROR(
        INDEX(FILTER('POed not arrived'!D:D, 'POed not arrived'!A:A=$B518),3),
        """"
    )
)"),"")</f>
        <v/>
      </c>
      <c r="Q518" s="202"/>
      <c r="R518" s="206" t="str">
        <f>IFERROR(__xludf.DUMMYFUNCTION("IFERROR(
    INDEX(FILTER('Arrived Shipments'!O:O, 'Arrived Shipments'!B:B=$B518),4),
    IFERROR(
        INDEX(FILTER('POed not arrived'!D:D, 'POed not arrived'!A:A=$B518),4),
        """"
    )
)"),"")</f>
        <v/>
      </c>
      <c r="S518" s="202"/>
      <c r="T518" s="202">
        <f t="shared" si="8"/>
        <v>0</v>
      </c>
      <c r="U518" s="198"/>
      <c r="V518" s="199"/>
      <c r="W518" s="197"/>
      <c r="X518" s="197"/>
      <c r="Y518" s="199"/>
      <c r="Z518" s="199"/>
      <c r="AA518" s="204" t="str">
        <f t="shared" si="4"/>
        <v/>
      </c>
      <c r="AB518" s="198"/>
      <c r="AC518" s="199"/>
      <c r="AD518" s="199"/>
      <c r="AE518" s="199"/>
      <c r="AF518" s="199"/>
      <c r="AG518" s="199"/>
      <c r="AH518" s="199"/>
      <c r="AI518" s="199"/>
      <c r="AJ518" s="199"/>
      <c r="AK518" s="199"/>
      <c r="AL518" s="199"/>
      <c r="AM518" s="198"/>
      <c r="AN518" s="197"/>
      <c r="AO518" s="197"/>
      <c r="AP518" s="197"/>
      <c r="AQ518" s="197"/>
      <c r="AR518" s="197"/>
      <c r="AS518" s="197"/>
    </row>
    <row r="519">
      <c r="A519" s="198" t="str">
        <f t="shared" si="1"/>
        <v/>
      </c>
      <c r="B519" s="205"/>
      <c r="C519" s="198"/>
      <c r="D519" s="199"/>
      <c r="E519" s="213"/>
      <c r="F519" s="198"/>
      <c r="G519" s="198"/>
      <c r="H519" s="199"/>
      <c r="I519" s="207"/>
      <c r="J519" s="199"/>
      <c r="K519" s="202"/>
      <c r="L519" s="205" t="str">
        <f>IFERROR(__xludf.DUMMYFUNCTION("IFERROR(
    INDEX(FILTER('Arrived Shipments'!O:O, 'Arrived Shipments'!B:B=$B519),1),
    IFERROR(
        INDEX(FILTER('POed not arrived'!D:D, 'POed not arrived'!A:A=$B519),1),
        """"
    )
)"),"")</f>
        <v/>
      </c>
      <c r="M519" s="202"/>
      <c r="N519" s="223" t="str">
        <f>IFERROR(__xludf.DUMMYFUNCTION("IFERROR(
    INDEX(FILTER('Arrived Shipments'!O:O, 'Arrived Shipments'!B:B=$B519),2),
    IFERROR(
        INDEX(FILTER('POed not arrived'!D:D, 'POed not arrived'!A:A=$B519),2),
        """"
    )
)"),"")</f>
        <v/>
      </c>
      <c r="O519" s="202"/>
      <c r="P519" s="202" t="str">
        <f>IFERROR(__xludf.DUMMYFUNCTION("IFERROR(
    INDEX(FILTER('Arrived Shipments'!O:O, 'Arrived Shipments'!B:B=$B519),3),
    IFERROR(
        INDEX(FILTER('POed not arrived'!D:D, 'POed not arrived'!A:A=$B519),3),
        """"
    )
)"),"")</f>
        <v/>
      </c>
      <c r="Q519" s="202"/>
      <c r="R519" s="206" t="str">
        <f>IFERROR(__xludf.DUMMYFUNCTION("IFERROR(
    INDEX(FILTER('Arrived Shipments'!O:O, 'Arrived Shipments'!B:B=$B519),4),
    IFERROR(
        INDEX(FILTER('POed not arrived'!D:D, 'POed not arrived'!A:A=$B519),4),
        """"
    )
)"),"")</f>
        <v/>
      </c>
      <c r="S519" s="202"/>
      <c r="T519" s="202">
        <f t="shared" si="8"/>
        <v>0</v>
      </c>
      <c r="U519" s="198"/>
      <c r="V519" s="199"/>
      <c r="W519" s="197"/>
      <c r="X519" s="197"/>
      <c r="Y519" s="199"/>
      <c r="Z519" s="199"/>
      <c r="AA519" s="204" t="str">
        <f t="shared" si="4"/>
        <v/>
      </c>
      <c r="AB519" s="198"/>
      <c r="AC519" s="199"/>
      <c r="AD519" s="199"/>
      <c r="AE519" s="199"/>
      <c r="AF519" s="199"/>
      <c r="AG519" s="199"/>
      <c r="AH519" s="199"/>
      <c r="AI519" s="199"/>
      <c r="AJ519" s="199"/>
      <c r="AK519" s="199"/>
      <c r="AL519" s="199"/>
      <c r="AM519" s="198"/>
      <c r="AN519" s="197"/>
      <c r="AO519" s="197"/>
      <c r="AP519" s="197"/>
      <c r="AQ519" s="197"/>
      <c r="AR519" s="197"/>
      <c r="AS519" s="197"/>
    </row>
    <row r="520">
      <c r="A520" s="198" t="str">
        <f t="shared" si="1"/>
        <v/>
      </c>
      <c r="B520" s="205"/>
      <c r="C520" s="198"/>
      <c r="D520" s="199"/>
      <c r="E520" s="213"/>
      <c r="F520" s="198"/>
      <c r="G520" s="198"/>
      <c r="H520" s="199"/>
      <c r="I520" s="207"/>
      <c r="J520" s="199"/>
      <c r="K520" s="202"/>
      <c r="L520" s="205" t="str">
        <f>IFERROR(__xludf.DUMMYFUNCTION("IFERROR(
    INDEX(FILTER('Arrived Shipments'!O:O, 'Arrived Shipments'!B:B=$B520),1),
    IFERROR(
        INDEX(FILTER('POed not arrived'!D:D, 'POed not arrived'!A:A=$B520),1),
        """"
    )
)"),"")</f>
        <v/>
      </c>
      <c r="M520" s="202"/>
      <c r="N520" s="223" t="str">
        <f>IFERROR(__xludf.DUMMYFUNCTION("IFERROR(
    INDEX(FILTER('Arrived Shipments'!O:O, 'Arrived Shipments'!B:B=$B520),2),
    IFERROR(
        INDEX(FILTER('POed not arrived'!D:D, 'POed not arrived'!A:A=$B520),2),
        """"
    )
)"),"")</f>
        <v/>
      </c>
      <c r="O520" s="202"/>
      <c r="P520" s="202" t="str">
        <f>IFERROR(__xludf.DUMMYFUNCTION("IFERROR(
    INDEX(FILTER('Arrived Shipments'!O:O, 'Arrived Shipments'!B:B=$B520),3),
    IFERROR(
        INDEX(FILTER('POed not arrived'!D:D, 'POed not arrived'!A:A=$B520),3),
        """"
    )
)"),"")</f>
        <v/>
      </c>
      <c r="Q520" s="202"/>
      <c r="R520" s="206" t="str">
        <f>IFERROR(__xludf.DUMMYFUNCTION("IFERROR(
    INDEX(FILTER('Arrived Shipments'!O:O, 'Arrived Shipments'!B:B=$B520),4),
    IFERROR(
        INDEX(FILTER('POed not arrived'!D:D, 'POed not arrived'!A:A=$B520),4),
        """"
    )
)"),"")</f>
        <v/>
      </c>
      <c r="S520" s="202"/>
      <c r="T520" s="202">
        <f t="shared" si="8"/>
        <v>0</v>
      </c>
      <c r="U520" s="198"/>
      <c r="V520" s="199"/>
      <c r="W520" s="197"/>
      <c r="X520" s="197"/>
      <c r="Y520" s="199"/>
      <c r="Z520" s="199"/>
      <c r="AA520" s="204" t="str">
        <f t="shared" si="4"/>
        <v/>
      </c>
      <c r="AB520" s="198"/>
      <c r="AC520" s="199"/>
      <c r="AD520" s="199"/>
      <c r="AE520" s="199"/>
      <c r="AF520" s="199"/>
      <c r="AG520" s="199"/>
      <c r="AH520" s="199"/>
      <c r="AI520" s="199"/>
      <c r="AJ520" s="199"/>
      <c r="AK520" s="199"/>
      <c r="AL520" s="199"/>
      <c r="AM520" s="198"/>
      <c r="AN520" s="197"/>
      <c r="AO520" s="197"/>
      <c r="AP520" s="197"/>
      <c r="AQ520" s="197"/>
      <c r="AR520" s="197"/>
      <c r="AS520" s="197"/>
    </row>
    <row r="521">
      <c r="A521" s="198" t="str">
        <f t="shared" si="1"/>
        <v/>
      </c>
      <c r="B521" s="205"/>
      <c r="C521" s="198"/>
      <c r="D521" s="199"/>
      <c r="E521" s="213"/>
      <c r="F521" s="198"/>
      <c r="G521" s="198"/>
      <c r="H521" s="199"/>
      <c r="I521" s="207"/>
      <c r="J521" s="199"/>
      <c r="K521" s="202"/>
      <c r="L521" s="205" t="str">
        <f>IFERROR(__xludf.DUMMYFUNCTION("IFERROR(
    INDEX(FILTER('Arrived Shipments'!O:O, 'Arrived Shipments'!B:B=$B521),1),
    IFERROR(
        INDEX(FILTER('POed not arrived'!D:D, 'POed not arrived'!A:A=$B521),1),
        """"
    )
)"),"")</f>
        <v/>
      </c>
      <c r="M521" s="202"/>
      <c r="N521" s="223" t="str">
        <f>IFERROR(__xludf.DUMMYFUNCTION("IFERROR(
    INDEX(FILTER('Arrived Shipments'!O:O, 'Arrived Shipments'!B:B=$B521),2),
    IFERROR(
        INDEX(FILTER('POed not arrived'!D:D, 'POed not arrived'!A:A=$B521),2),
        """"
    )
)"),"")</f>
        <v/>
      </c>
      <c r="O521" s="202"/>
      <c r="P521" s="202" t="str">
        <f>IFERROR(__xludf.DUMMYFUNCTION("IFERROR(
    INDEX(FILTER('Arrived Shipments'!O:O, 'Arrived Shipments'!B:B=$B521),3),
    IFERROR(
        INDEX(FILTER('POed not arrived'!D:D, 'POed not arrived'!A:A=$B521),3),
        """"
    )
)"),"")</f>
        <v/>
      </c>
      <c r="Q521" s="202"/>
      <c r="R521" s="206" t="str">
        <f>IFERROR(__xludf.DUMMYFUNCTION("IFERROR(
    INDEX(FILTER('Arrived Shipments'!O:O, 'Arrived Shipments'!B:B=$B521),4),
    IFERROR(
        INDEX(FILTER('POed not arrived'!D:D, 'POed not arrived'!A:A=$B521),4),
        """"
    )
)"),"")</f>
        <v/>
      </c>
      <c r="S521" s="202"/>
      <c r="T521" s="202">
        <f t="shared" si="8"/>
        <v>0</v>
      </c>
      <c r="U521" s="198"/>
      <c r="V521" s="199"/>
      <c r="W521" s="197"/>
      <c r="X521" s="197"/>
      <c r="Y521" s="199"/>
      <c r="Z521" s="199"/>
      <c r="AA521" s="204" t="str">
        <f t="shared" si="4"/>
        <v/>
      </c>
      <c r="AB521" s="198"/>
      <c r="AC521" s="199"/>
      <c r="AD521" s="199"/>
      <c r="AE521" s="199"/>
      <c r="AF521" s="199"/>
      <c r="AG521" s="199"/>
      <c r="AH521" s="199"/>
      <c r="AI521" s="199"/>
      <c r="AJ521" s="199"/>
      <c r="AK521" s="199"/>
      <c r="AL521" s="199"/>
      <c r="AM521" s="198"/>
      <c r="AN521" s="197"/>
      <c r="AO521" s="197"/>
      <c r="AP521" s="197"/>
      <c r="AQ521" s="197"/>
      <c r="AR521" s="197"/>
      <c r="AS521" s="197"/>
    </row>
    <row r="522">
      <c r="A522" s="198" t="str">
        <f t="shared" si="1"/>
        <v/>
      </c>
      <c r="B522" s="205"/>
      <c r="C522" s="198"/>
      <c r="D522" s="199"/>
      <c r="E522" s="213"/>
      <c r="F522" s="198"/>
      <c r="G522" s="198"/>
      <c r="H522" s="199"/>
      <c r="I522" s="207"/>
      <c r="J522" s="199"/>
      <c r="K522" s="202"/>
      <c r="L522" s="205" t="str">
        <f>IFERROR(__xludf.DUMMYFUNCTION("IFERROR(
    INDEX(FILTER('Arrived Shipments'!O:O, 'Arrived Shipments'!B:B=$B522),1),
    IFERROR(
        INDEX(FILTER('POed not arrived'!D:D, 'POed not arrived'!A:A=$B522),1),
        """"
    )
)"),"")</f>
        <v/>
      </c>
      <c r="M522" s="202"/>
      <c r="N522" s="223" t="str">
        <f>IFERROR(__xludf.DUMMYFUNCTION("IFERROR(
    INDEX(FILTER('Arrived Shipments'!O:O, 'Arrived Shipments'!B:B=$B522),2),
    IFERROR(
        INDEX(FILTER('POed not arrived'!D:D, 'POed not arrived'!A:A=$B522),2),
        """"
    )
)"),"")</f>
        <v/>
      </c>
      <c r="O522" s="202"/>
      <c r="P522" s="202" t="str">
        <f>IFERROR(__xludf.DUMMYFUNCTION("IFERROR(
    INDEX(FILTER('Arrived Shipments'!O:O, 'Arrived Shipments'!B:B=$B522),3),
    IFERROR(
        INDEX(FILTER('POed not arrived'!D:D, 'POed not arrived'!A:A=$B522),3),
        """"
    )
)"),"")</f>
        <v/>
      </c>
      <c r="Q522" s="202"/>
      <c r="R522" s="206" t="str">
        <f>IFERROR(__xludf.DUMMYFUNCTION("IFERROR(
    INDEX(FILTER('Arrived Shipments'!O:O, 'Arrived Shipments'!B:B=$B522),4),
    IFERROR(
        INDEX(FILTER('POed not arrived'!D:D, 'POed not arrived'!A:A=$B522),4),
        """"
    )
)"),"")</f>
        <v/>
      </c>
      <c r="S522" s="202"/>
      <c r="T522" s="202">
        <f t="shared" si="8"/>
        <v>0</v>
      </c>
      <c r="U522" s="198"/>
      <c r="V522" s="199"/>
      <c r="W522" s="197"/>
      <c r="X522" s="197"/>
      <c r="Y522" s="199"/>
      <c r="Z522" s="199"/>
      <c r="AA522" s="204" t="str">
        <f t="shared" si="4"/>
        <v/>
      </c>
      <c r="AB522" s="198"/>
      <c r="AC522" s="199"/>
      <c r="AD522" s="199"/>
      <c r="AE522" s="199"/>
      <c r="AF522" s="199"/>
      <c r="AG522" s="199"/>
      <c r="AH522" s="199"/>
      <c r="AI522" s="199"/>
      <c r="AJ522" s="199"/>
      <c r="AK522" s="199"/>
      <c r="AL522" s="199"/>
      <c r="AM522" s="198"/>
      <c r="AN522" s="197"/>
      <c r="AO522" s="197"/>
      <c r="AP522" s="197"/>
      <c r="AQ522" s="197"/>
      <c r="AR522" s="197"/>
      <c r="AS522" s="197"/>
    </row>
    <row r="523">
      <c r="A523" s="198" t="str">
        <f t="shared" si="1"/>
        <v/>
      </c>
      <c r="B523" s="205"/>
      <c r="C523" s="198"/>
      <c r="D523" s="199"/>
      <c r="E523" s="213"/>
      <c r="F523" s="198"/>
      <c r="G523" s="198"/>
      <c r="H523" s="199"/>
      <c r="I523" s="207"/>
      <c r="J523" s="199"/>
      <c r="K523" s="202"/>
      <c r="L523" s="205" t="str">
        <f>IFERROR(__xludf.DUMMYFUNCTION("IFERROR(
    INDEX(FILTER('Arrived Shipments'!O:O, 'Arrived Shipments'!B:B=$B523),1),
    IFERROR(
        INDEX(FILTER('POed not arrived'!D:D, 'POed not arrived'!A:A=$B523),1),
        """"
    )
)"),"")</f>
        <v/>
      </c>
      <c r="M523" s="202"/>
      <c r="N523" s="223" t="str">
        <f>IFERROR(__xludf.DUMMYFUNCTION("IFERROR(
    INDEX(FILTER('Arrived Shipments'!O:O, 'Arrived Shipments'!B:B=$B523),2),
    IFERROR(
        INDEX(FILTER('POed not arrived'!D:D, 'POed not arrived'!A:A=$B523),2),
        """"
    )
)"),"")</f>
        <v/>
      </c>
      <c r="O523" s="202"/>
      <c r="P523" s="202" t="str">
        <f>IFERROR(__xludf.DUMMYFUNCTION("IFERROR(
    INDEX(FILTER('Arrived Shipments'!O:O, 'Arrived Shipments'!B:B=$B523),3),
    IFERROR(
        INDEX(FILTER('POed not arrived'!D:D, 'POed not arrived'!A:A=$B523),3),
        """"
    )
)"),"")</f>
        <v/>
      </c>
      <c r="Q523" s="202"/>
      <c r="R523" s="206" t="str">
        <f>IFERROR(__xludf.DUMMYFUNCTION("IFERROR(
    INDEX(FILTER('Arrived Shipments'!O:O, 'Arrived Shipments'!B:B=$B523),4),
    IFERROR(
        INDEX(FILTER('POed not arrived'!D:D, 'POed not arrived'!A:A=$B523),4),
        """"
    )
)"),"")</f>
        <v/>
      </c>
      <c r="S523" s="202"/>
      <c r="T523" s="202">
        <f t="shared" si="8"/>
        <v>0</v>
      </c>
      <c r="U523" s="198"/>
      <c r="V523" s="199"/>
      <c r="W523" s="197"/>
      <c r="X523" s="197"/>
      <c r="Y523" s="199"/>
      <c r="Z523" s="199"/>
      <c r="AA523" s="204" t="str">
        <f t="shared" si="4"/>
        <v/>
      </c>
      <c r="AB523" s="198"/>
      <c r="AC523" s="199"/>
      <c r="AD523" s="199"/>
      <c r="AE523" s="199"/>
      <c r="AF523" s="199"/>
      <c r="AG523" s="199"/>
      <c r="AH523" s="199"/>
      <c r="AI523" s="199"/>
      <c r="AJ523" s="199"/>
      <c r="AK523" s="199"/>
      <c r="AL523" s="199"/>
      <c r="AM523" s="198"/>
      <c r="AN523" s="197"/>
      <c r="AO523" s="197"/>
      <c r="AP523" s="197"/>
      <c r="AQ523" s="197"/>
      <c r="AR523" s="197"/>
      <c r="AS523" s="197"/>
    </row>
    <row r="524">
      <c r="A524" s="198" t="str">
        <f t="shared" si="1"/>
        <v/>
      </c>
      <c r="B524" s="205"/>
      <c r="C524" s="198"/>
      <c r="D524" s="199"/>
      <c r="E524" s="213"/>
      <c r="F524" s="198"/>
      <c r="G524" s="198"/>
      <c r="H524" s="199"/>
      <c r="I524" s="207"/>
      <c r="J524" s="199"/>
      <c r="K524" s="202"/>
      <c r="L524" s="205" t="str">
        <f>IFERROR(__xludf.DUMMYFUNCTION("IFERROR(
    INDEX(FILTER('Arrived Shipments'!O:O, 'Arrived Shipments'!B:B=$B524),1),
    IFERROR(
        INDEX(FILTER('POed not arrived'!D:D, 'POed not arrived'!A:A=$B524),1),
        """"
    )
)"),"")</f>
        <v/>
      </c>
      <c r="M524" s="202"/>
      <c r="N524" s="223" t="str">
        <f>IFERROR(__xludf.DUMMYFUNCTION("IFERROR(
    INDEX(FILTER('Arrived Shipments'!O:O, 'Arrived Shipments'!B:B=$B524),2),
    IFERROR(
        INDEX(FILTER('POed not arrived'!D:D, 'POed not arrived'!A:A=$B524),2),
        """"
    )
)"),"")</f>
        <v/>
      </c>
      <c r="O524" s="202"/>
      <c r="P524" s="202" t="str">
        <f>IFERROR(__xludf.DUMMYFUNCTION("IFERROR(
    INDEX(FILTER('Arrived Shipments'!O:O, 'Arrived Shipments'!B:B=$B524),3),
    IFERROR(
        INDEX(FILTER('POed not arrived'!D:D, 'POed not arrived'!A:A=$B524),3),
        """"
    )
)"),"")</f>
        <v/>
      </c>
      <c r="Q524" s="202"/>
      <c r="R524" s="206" t="str">
        <f>IFERROR(__xludf.DUMMYFUNCTION("IFERROR(
    INDEX(FILTER('Arrived Shipments'!O:O, 'Arrived Shipments'!B:B=$B524),4),
    IFERROR(
        INDEX(FILTER('POed not arrived'!D:D, 'POed not arrived'!A:A=$B524),4),
        """"
    )
)"),"")</f>
        <v/>
      </c>
      <c r="S524" s="202"/>
      <c r="T524" s="202">
        <f t="shared" si="8"/>
        <v>0</v>
      </c>
      <c r="U524" s="198"/>
      <c r="V524" s="199"/>
      <c r="W524" s="197"/>
      <c r="X524" s="197"/>
      <c r="Y524" s="199"/>
      <c r="Z524" s="199"/>
      <c r="AA524" s="204" t="str">
        <f t="shared" si="4"/>
        <v/>
      </c>
      <c r="AB524" s="198"/>
      <c r="AC524" s="199"/>
      <c r="AD524" s="199"/>
      <c r="AE524" s="199"/>
      <c r="AF524" s="199"/>
      <c r="AG524" s="199"/>
      <c r="AH524" s="199"/>
      <c r="AI524" s="199"/>
      <c r="AJ524" s="199"/>
      <c r="AK524" s="199"/>
      <c r="AL524" s="199"/>
      <c r="AM524" s="198"/>
      <c r="AN524" s="197"/>
      <c r="AO524" s="197"/>
      <c r="AP524" s="197"/>
      <c r="AQ524" s="197"/>
      <c r="AR524" s="197"/>
      <c r="AS524" s="197"/>
    </row>
    <row r="525">
      <c r="A525" s="198" t="str">
        <f t="shared" si="1"/>
        <v/>
      </c>
      <c r="B525" s="205"/>
      <c r="C525" s="198"/>
      <c r="D525" s="199"/>
      <c r="E525" s="213"/>
      <c r="F525" s="198"/>
      <c r="G525" s="198"/>
      <c r="H525" s="199"/>
      <c r="I525" s="207"/>
      <c r="J525" s="199"/>
      <c r="K525" s="202"/>
      <c r="L525" s="205" t="str">
        <f>IFERROR(__xludf.DUMMYFUNCTION("IFERROR(
    INDEX(FILTER('Arrived Shipments'!O:O, 'Arrived Shipments'!B:B=$B525),1),
    IFERROR(
        INDEX(FILTER('POed not arrived'!D:D, 'POed not arrived'!A:A=$B525),1),
        """"
    )
)"),"")</f>
        <v/>
      </c>
      <c r="M525" s="202"/>
      <c r="N525" s="223" t="str">
        <f>IFERROR(__xludf.DUMMYFUNCTION("IFERROR(
    INDEX(FILTER('Arrived Shipments'!O:O, 'Arrived Shipments'!B:B=$B525),2),
    IFERROR(
        INDEX(FILTER('POed not arrived'!D:D, 'POed not arrived'!A:A=$B525),2),
        """"
    )
)"),"")</f>
        <v/>
      </c>
      <c r="O525" s="202"/>
      <c r="P525" s="202" t="str">
        <f>IFERROR(__xludf.DUMMYFUNCTION("IFERROR(
    INDEX(FILTER('Arrived Shipments'!O:O, 'Arrived Shipments'!B:B=$B525),3),
    IFERROR(
        INDEX(FILTER('POed not arrived'!D:D, 'POed not arrived'!A:A=$B525),3),
        """"
    )
)"),"")</f>
        <v/>
      </c>
      <c r="Q525" s="202"/>
      <c r="R525" s="206" t="str">
        <f>IFERROR(__xludf.DUMMYFUNCTION("IFERROR(
    INDEX(FILTER('Arrived Shipments'!O:O, 'Arrived Shipments'!B:B=$B525),4),
    IFERROR(
        INDEX(FILTER('POed not arrived'!D:D, 'POed not arrived'!A:A=$B525),4),
        """"
    )
)"),"")</f>
        <v/>
      </c>
      <c r="S525" s="202"/>
      <c r="T525" s="202">
        <f t="shared" si="8"/>
        <v>0</v>
      </c>
      <c r="U525" s="198"/>
      <c r="V525" s="199"/>
      <c r="W525" s="197"/>
      <c r="X525" s="197"/>
      <c r="Y525" s="199"/>
      <c r="Z525" s="199"/>
      <c r="AA525" s="204" t="str">
        <f t="shared" si="4"/>
        <v/>
      </c>
      <c r="AB525" s="198"/>
      <c r="AC525" s="199"/>
      <c r="AD525" s="199"/>
      <c r="AE525" s="199"/>
      <c r="AF525" s="199"/>
      <c r="AG525" s="199"/>
      <c r="AH525" s="199"/>
      <c r="AI525" s="199"/>
      <c r="AJ525" s="199"/>
      <c r="AK525" s="199"/>
      <c r="AL525" s="199"/>
      <c r="AM525" s="198"/>
      <c r="AN525" s="197"/>
      <c r="AO525" s="197"/>
      <c r="AP525" s="197"/>
      <c r="AQ525" s="197"/>
      <c r="AR525" s="197"/>
      <c r="AS525" s="197"/>
    </row>
    <row r="526">
      <c r="A526" s="198" t="str">
        <f t="shared" si="1"/>
        <v/>
      </c>
      <c r="B526" s="205"/>
      <c r="C526" s="198"/>
      <c r="D526" s="199"/>
      <c r="E526" s="213"/>
      <c r="F526" s="198"/>
      <c r="G526" s="198"/>
      <c r="H526" s="199"/>
      <c r="I526" s="207"/>
      <c r="J526" s="199"/>
      <c r="K526" s="202"/>
      <c r="L526" s="205" t="str">
        <f>IFERROR(__xludf.DUMMYFUNCTION("IFERROR(
    INDEX(FILTER('Arrived Shipments'!O:O, 'Arrived Shipments'!B:B=$B526),1),
    IFERROR(
        INDEX(FILTER('POed not arrived'!D:D, 'POed not arrived'!A:A=$B526),1),
        """"
    )
)"),"")</f>
        <v/>
      </c>
      <c r="M526" s="202"/>
      <c r="N526" s="223" t="str">
        <f>IFERROR(__xludf.DUMMYFUNCTION("IFERROR(
    INDEX(FILTER('Arrived Shipments'!O:O, 'Arrived Shipments'!B:B=$B526),2),
    IFERROR(
        INDEX(FILTER('POed not arrived'!D:D, 'POed not arrived'!A:A=$B526),2),
        """"
    )
)"),"")</f>
        <v/>
      </c>
      <c r="O526" s="202"/>
      <c r="P526" s="202" t="str">
        <f>IFERROR(__xludf.DUMMYFUNCTION("IFERROR(
    INDEX(FILTER('Arrived Shipments'!O:O, 'Arrived Shipments'!B:B=$B526),3),
    IFERROR(
        INDEX(FILTER('POed not arrived'!D:D, 'POed not arrived'!A:A=$B526),3),
        """"
    )
)"),"")</f>
        <v/>
      </c>
      <c r="Q526" s="202"/>
      <c r="R526" s="206" t="str">
        <f>IFERROR(__xludf.DUMMYFUNCTION("IFERROR(
    INDEX(FILTER('Arrived Shipments'!O:O, 'Arrived Shipments'!B:B=$B526),4),
    IFERROR(
        INDEX(FILTER('POed not arrived'!D:D, 'POed not arrived'!A:A=$B526),4),
        """"
    )
)"),"")</f>
        <v/>
      </c>
      <c r="S526" s="202"/>
      <c r="T526" s="202">
        <f t="shared" si="8"/>
        <v>0</v>
      </c>
      <c r="U526" s="198"/>
      <c r="V526" s="199"/>
      <c r="W526" s="197"/>
      <c r="X526" s="197"/>
      <c r="Y526" s="199"/>
      <c r="Z526" s="199"/>
      <c r="AA526" s="204" t="str">
        <f t="shared" si="4"/>
        <v/>
      </c>
      <c r="AB526" s="198"/>
      <c r="AC526" s="199"/>
      <c r="AD526" s="199"/>
      <c r="AE526" s="199"/>
      <c r="AF526" s="199"/>
      <c r="AG526" s="199"/>
      <c r="AH526" s="199"/>
      <c r="AI526" s="199"/>
      <c r="AJ526" s="199"/>
      <c r="AK526" s="199"/>
      <c r="AL526" s="199"/>
      <c r="AM526" s="198"/>
      <c r="AN526" s="197"/>
      <c r="AO526" s="197"/>
      <c r="AP526" s="197"/>
      <c r="AQ526" s="197"/>
      <c r="AR526" s="197"/>
      <c r="AS526" s="197"/>
    </row>
    <row r="527">
      <c r="A527" s="198" t="str">
        <f t="shared" si="1"/>
        <v/>
      </c>
      <c r="B527" s="205"/>
      <c r="C527" s="198"/>
      <c r="D527" s="199"/>
      <c r="E527" s="213"/>
      <c r="F527" s="198"/>
      <c r="G527" s="198"/>
      <c r="H527" s="199"/>
      <c r="I527" s="207"/>
      <c r="J527" s="199"/>
      <c r="K527" s="202"/>
      <c r="L527" s="205" t="str">
        <f>IFERROR(__xludf.DUMMYFUNCTION("IFERROR(
    INDEX(FILTER('Arrived Shipments'!O:O, 'Arrived Shipments'!B:B=$B527),1),
    IFERROR(
        INDEX(FILTER('POed not arrived'!D:D, 'POed not arrived'!A:A=$B527),1),
        """"
    )
)"),"")</f>
        <v/>
      </c>
      <c r="M527" s="202"/>
      <c r="N527" s="223" t="str">
        <f>IFERROR(__xludf.DUMMYFUNCTION("IFERROR(
    INDEX(FILTER('Arrived Shipments'!O:O, 'Arrived Shipments'!B:B=$B527),2),
    IFERROR(
        INDEX(FILTER('POed not arrived'!D:D, 'POed not arrived'!A:A=$B527),2),
        """"
    )
)"),"")</f>
        <v/>
      </c>
      <c r="O527" s="202"/>
      <c r="P527" s="202" t="str">
        <f>IFERROR(__xludf.DUMMYFUNCTION("IFERROR(
    INDEX(FILTER('Arrived Shipments'!O:O, 'Arrived Shipments'!B:B=$B527),3),
    IFERROR(
        INDEX(FILTER('POed not arrived'!D:D, 'POed not arrived'!A:A=$B527),3),
        """"
    )
)"),"")</f>
        <v/>
      </c>
      <c r="Q527" s="202"/>
      <c r="R527" s="206" t="str">
        <f>IFERROR(__xludf.DUMMYFUNCTION("IFERROR(
    INDEX(FILTER('Arrived Shipments'!O:O, 'Arrived Shipments'!B:B=$B527),4),
    IFERROR(
        INDEX(FILTER('POed not arrived'!D:D, 'POed not arrived'!A:A=$B527),4),
        """"
    )
)"),"")</f>
        <v/>
      </c>
      <c r="S527" s="202"/>
      <c r="T527" s="202">
        <f t="shared" si="8"/>
        <v>0</v>
      </c>
      <c r="U527" s="198"/>
      <c r="V527" s="199"/>
      <c r="W527" s="197"/>
      <c r="X527" s="197"/>
      <c r="Y527" s="199"/>
      <c r="Z527" s="199"/>
      <c r="AA527" s="204" t="str">
        <f t="shared" si="4"/>
        <v/>
      </c>
      <c r="AB527" s="198"/>
      <c r="AC527" s="199"/>
      <c r="AD527" s="199"/>
      <c r="AE527" s="199"/>
      <c r="AF527" s="199"/>
      <c r="AG527" s="199"/>
      <c r="AH527" s="199"/>
      <c r="AI527" s="199"/>
      <c r="AJ527" s="199"/>
      <c r="AK527" s="199"/>
      <c r="AL527" s="199"/>
      <c r="AM527" s="198"/>
      <c r="AN527" s="197"/>
      <c r="AO527" s="197"/>
      <c r="AP527" s="197"/>
      <c r="AQ527" s="197"/>
      <c r="AR527" s="197"/>
      <c r="AS527" s="197"/>
    </row>
    <row r="528">
      <c r="A528" s="198" t="str">
        <f t="shared" si="1"/>
        <v/>
      </c>
      <c r="B528" s="205"/>
      <c r="C528" s="198"/>
      <c r="D528" s="199"/>
      <c r="E528" s="213"/>
      <c r="F528" s="198"/>
      <c r="G528" s="198"/>
      <c r="H528" s="199"/>
      <c r="I528" s="207"/>
      <c r="J528" s="199"/>
      <c r="K528" s="202"/>
      <c r="L528" s="205" t="str">
        <f>IFERROR(__xludf.DUMMYFUNCTION("IFERROR(
    INDEX(FILTER('Arrived Shipments'!O:O, 'Arrived Shipments'!B:B=$B528),1),
    IFERROR(
        INDEX(FILTER('POed not arrived'!D:D, 'POed not arrived'!A:A=$B528),1),
        """"
    )
)"),"")</f>
        <v/>
      </c>
      <c r="M528" s="202"/>
      <c r="N528" s="223" t="str">
        <f>IFERROR(__xludf.DUMMYFUNCTION("IFERROR(
    INDEX(FILTER('Arrived Shipments'!O:O, 'Arrived Shipments'!B:B=$B528),2),
    IFERROR(
        INDEX(FILTER('POed not arrived'!D:D, 'POed not arrived'!A:A=$B528),2),
        """"
    )
)"),"")</f>
        <v/>
      </c>
      <c r="O528" s="202"/>
      <c r="P528" s="202" t="str">
        <f>IFERROR(__xludf.DUMMYFUNCTION("IFERROR(
    INDEX(FILTER('Arrived Shipments'!O:O, 'Arrived Shipments'!B:B=$B528),3),
    IFERROR(
        INDEX(FILTER('POed not arrived'!D:D, 'POed not arrived'!A:A=$B528),3),
        """"
    )
)"),"")</f>
        <v/>
      </c>
      <c r="Q528" s="202"/>
      <c r="R528" s="206" t="str">
        <f>IFERROR(__xludf.DUMMYFUNCTION("IFERROR(
    INDEX(FILTER('Arrived Shipments'!O:O, 'Arrived Shipments'!B:B=$B528),4),
    IFERROR(
        INDEX(FILTER('POed not arrived'!D:D, 'POed not arrived'!A:A=$B528),4),
        """"
    )
)"),"")</f>
        <v/>
      </c>
      <c r="S528" s="202"/>
      <c r="T528" s="202">
        <f t="shared" si="8"/>
        <v>0</v>
      </c>
      <c r="U528" s="198"/>
      <c r="V528" s="199"/>
      <c r="W528" s="197"/>
      <c r="X528" s="197"/>
      <c r="Y528" s="199"/>
      <c r="Z528" s="199"/>
      <c r="AA528" s="204" t="str">
        <f t="shared" si="4"/>
        <v/>
      </c>
      <c r="AB528" s="198"/>
      <c r="AC528" s="199"/>
      <c r="AD528" s="199"/>
      <c r="AE528" s="199"/>
      <c r="AF528" s="199"/>
      <c r="AG528" s="199"/>
      <c r="AH528" s="199"/>
      <c r="AI528" s="199"/>
      <c r="AJ528" s="199"/>
      <c r="AK528" s="199"/>
      <c r="AL528" s="199"/>
      <c r="AM528" s="198"/>
      <c r="AN528" s="197"/>
      <c r="AO528" s="197"/>
      <c r="AP528" s="197"/>
      <c r="AQ528" s="197"/>
      <c r="AR528" s="197"/>
      <c r="AS528" s="197"/>
    </row>
    <row r="529">
      <c r="A529" s="198" t="str">
        <f t="shared" si="1"/>
        <v/>
      </c>
      <c r="B529" s="205"/>
      <c r="C529" s="198"/>
      <c r="D529" s="199"/>
      <c r="E529" s="213"/>
      <c r="F529" s="198"/>
      <c r="G529" s="198"/>
      <c r="H529" s="199"/>
      <c r="I529" s="207"/>
      <c r="J529" s="199"/>
      <c r="K529" s="202"/>
      <c r="L529" s="205" t="str">
        <f>IFERROR(__xludf.DUMMYFUNCTION("IFERROR(
    INDEX(FILTER('Arrived Shipments'!O:O, 'Arrived Shipments'!B:B=$B529),1),
    IFERROR(
        INDEX(FILTER('POed not arrived'!D:D, 'POed not arrived'!A:A=$B529),1),
        """"
    )
)"),"")</f>
        <v/>
      </c>
      <c r="M529" s="202"/>
      <c r="N529" s="223" t="str">
        <f>IFERROR(__xludf.DUMMYFUNCTION("IFERROR(
    INDEX(FILTER('Arrived Shipments'!O:O, 'Arrived Shipments'!B:B=$B529),2),
    IFERROR(
        INDEX(FILTER('POed not arrived'!D:D, 'POed not arrived'!A:A=$B529),2),
        """"
    )
)"),"")</f>
        <v/>
      </c>
      <c r="O529" s="202"/>
      <c r="P529" s="202" t="str">
        <f>IFERROR(__xludf.DUMMYFUNCTION("IFERROR(
    INDEX(FILTER('Arrived Shipments'!O:O, 'Arrived Shipments'!B:B=$B529),3),
    IFERROR(
        INDEX(FILTER('POed not arrived'!D:D, 'POed not arrived'!A:A=$B529),3),
        """"
    )
)"),"")</f>
        <v/>
      </c>
      <c r="Q529" s="202"/>
      <c r="R529" s="206" t="str">
        <f>IFERROR(__xludf.DUMMYFUNCTION("IFERROR(
    INDEX(FILTER('Arrived Shipments'!O:O, 'Arrived Shipments'!B:B=$B529),4),
    IFERROR(
        INDEX(FILTER('POed not arrived'!D:D, 'POed not arrived'!A:A=$B529),4),
        """"
    )
)"),"")</f>
        <v/>
      </c>
      <c r="S529" s="202"/>
      <c r="T529" s="202">
        <f t="shared" si="8"/>
        <v>0</v>
      </c>
      <c r="U529" s="198"/>
      <c r="V529" s="199"/>
      <c r="W529" s="197"/>
      <c r="X529" s="197"/>
      <c r="Y529" s="199"/>
      <c r="Z529" s="199"/>
      <c r="AA529" s="204" t="str">
        <f t="shared" si="4"/>
        <v/>
      </c>
      <c r="AB529" s="198"/>
      <c r="AC529" s="199"/>
      <c r="AD529" s="199"/>
      <c r="AE529" s="199"/>
      <c r="AF529" s="199"/>
      <c r="AG529" s="199"/>
      <c r="AH529" s="199"/>
      <c r="AI529" s="199"/>
      <c r="AJ529" s="199"/>
      <c r="AK529" s="199"/>
      <c r="AL529" s="199"/>
      <c r="AM529" s="198"/>
      <c r="AN529" s="197"/>
      <c r="AO529" s="197"/>
      <c r="AP529" s="197"/>
      <c r="AQ529" s="197"/>
      <c r="AR529" s="197"/>
      <c r="AS529" s="197"/>
    </row>
    <row r="530">
      <c r="A530" s="198" t="str">
        <f t="shared" si="1"/>
        <v/>
      </c>
      <c r="B530" s="205"/>
      <c r="C530" s="198"/>
      <c r="D530" s="199"/>
      <c r="E530" s="213"/>
      <c r="F530" s="198"/>
      <c r="G530" s="198"/>
      <c r="H530" s="199"/>
      <c r="I530" s="207"/>
      <c r="J530" s="199"/>
      <c r="K530" s="202"/>
      <c r="L530" s="205" t="str">
        <f>IFERROR(__xludf.DUMMYFUNCTION("IFERROR(
    INDEX(FILTER('Arrived Shipments'!O:O, 'Arrived Shipments'!B:B=$B530),1),
    IFERROR(
        INDEX(FILTER('POed not arrived'!D:D, 'POed not arrived'!A:A=$B530),1),
        """"
    )
)"),"")</f>
        <v/>
      </c>
      <c r="M530" s="202"/>
      <c r="N530" s="223" t="str">
        <f>IFERROR(__xludf.DUMMYFUNCTION("IFERROR(
    INDEX(FILTER('Arrived Shipments'!O:O, 'Arrived Shipments'!B:B=$B530),2),
    IFERROR(
        INDEX(FILTER('POed not arrived'!D:D, 'POed not arrived'!A:A=$B530),2),
        """"
    )
)"),"")</f>
        <v/>
      </c>
      <c r="O530" s="202"/>
      <c r="P530" s="202" t="str">
        <f>IFERROR(__xludf.DUMMYFUNCTION("IFERROR(
    INDEX(FILTER('Arrived Shipments'!O:O, 'Arrived Shipments'!B:B=$B530),3),
    IFERROR(
        INDEX(FILTER('POed not arrived'!D:D, 'POed not arrived'!A:A=$B530),3),
        """"
    )
)"),"")</f>
        <v/>
      </c>
      <c r="Q530" s="202"/>
      <c r="R530" s="206" t="str">
        <f>IFERROR(__xludf.DUMMYFUNCTION("IFERROR(
    INDEX(FILTER('Arrived Shipments'!O:O, 'Arrived Shipments'!B:B=$B530),4),
    IFERROR(
        INDEX(FILTER('POed not arrived'!D:D, 'POed not arrived'!A:A=$B530),4),
        """"
    )
)"),"")</f>
        <v/>
      </c>
      <c r="S530" s="202"/>
      <c r="T530" s="202">
        <f t="shared" si="8"/>
        <v>0</v>
      </c>
      <c r="U530" s="198"/>
      <c r="V530" s="199"/>
      <c r="W530" s="197"/>
      <c r="X530" s="197"/>
      <c r="Y530" s="199"/>
      <c r="Z530" s="199"/>
      <c r="AA530" s="204" t="str">
        <f t="shared" si="4"/>
        <v/>
      </c>
      <c r="AB530" s="198"/>
      <c r="AC530" s="199"/>
      <c r="AD530" s="199"/>
      <c r="AE530" s="199"/>
      <c r="AF530" s="199"/>
      <c r="AG530" s="199"/>
      <c r="AH530" s="199"/>
      <c r="AI530" s="199"/>
      <c r="AJ530" s="199"/>
      <c r="AK530" s="199"/>
      <c r="AL530" s="199"/>
      <c r="AM530" s="198"/>
      <c r="AN530" s="197"/>
      <c r="AO530" s="197"/>
      <c r="AP530" s="197"/>
      <c r="AQ530" s="197"/>
      <c r="AR530" s="197"/>
      <c r="AS530" s="197"/>
    </row>
    <row r="531">
      <c r="A531" s="198" t="str">
        <f t="shared" si="1"/>
        <v/>
      </c>
      <c r="B531" s="205"/>
      <c r="C531" s="198"/>
      <c r="D531" s="199"/>
      <c r="E531" s="213"/>
      <c r="F531" s="198"/>
      <c r="G531" s="198"/>
      <c r="H531" s="199"/>
      <c r="I531" s="207"/>
      <c r="J531" s="199"/>
      <c r="K531" s="202"/>
      <c r="L531" s="205" t="str">
        <f>IFERROR(__xludf.DUMMYFUNCTION("IFERROR(
    INDEX(FILTER('Arrived Shipments'!O:O, 'Arrived Shipments'!B:B=$B531),1),
    IFERROR(
        INDEX(FILTER('POed not arrived'!D:D, 'POed not arrived'!A:A=$B531),1),
        """"
    )
)"),"")</f>
        <v/>
      </c>
      <c r="M531" s="202"/>
      <c r="N531" s="223" t="str">
        <f>IFERROR(__xludf.DUMMYFUNCTION("IFERROR(
    INDEX(FILTER('Arrived Shipments'!O:O, 'Arrived Shipments'!B:B=$B531),2),
    IFERROR(
        INDEX(FILTER('POed not arrived'!D:D, 'POed not arrived'!A:A=$B531),2),
        """"
    )
)"),"")</f>
        <v/>
      </c>
      <c r="O531" s="202"/>
      <c r="P531" s="202" t="str">
        <f>IFERROR(__xludf.DUMMYFUNCTION("IFERROR(
    INDEX(FILTER('Arrived Shipments'!O:O, 'Arrived Shipments'!B:B=$B531),3),
    IFERROR(
        INDEX(FILTER('POed not arrived'!D:D, 'POed not arrived'!A:A=$B531),3),
        """"
    )
)"),"")</f>
        <v/>
      </c>
      <c r="Q531" s="202"/>
      <c r="R531" s="206" t="str">
        <f>IFERROR(__xludf.DUMMYFUNCTION("IFERROR(
    INDEX(FILTER('Arrived Shipments'!O:O, 'Arrived Shipments'!B:B=$B531),4),
    IFERROR(
        INDEX(FILTER('POed not arrived'!D:D, 'POed not arrived'!A:A=$B531),4),
        """"
    )
)"),"")</f>
        <v/>
      </c>
      <c r="S531" s="202"/>
      <c r="T531" s="202">
        <f t="shared" si="8"/>
        <v>0</v>
      </c>
      <c r="U531" s="198"/>
      <c r="V531" s="199"/>
      <c r="W531" s="197"/>
      <c r="X531" s="197"/>
      <c r="Y531" s="199"/>
      <c r="Z531" s="199"/>
      <c r="AA531" s="204" t="str">
        <f t="shared" si="4"/>
        <v/>
      </c>
      <c r="AB531" s="198"/>
      <c r="AC531" s="199"/>
      <c r="AD531" s="199"/>
      <c r="AE531" s="199"/>
      <c r="AF531" s="199"/>
      <c r="AG531" s="199"/>
      <c r="AH531" s="199"/>
      <c r="AI531" s="199"/>
      <c r="AJ531" s="199"/>
      <c r="AK531" s="199"/>
      <c r="AL531" s="199"/>
      <c r="AM531" s="198"/>
      <c r="AN531" s="197"/>
      <c r="AO531" s="197"/>
      <c r="AP531" s="197"/>
      <c r="AQ531" s="197"/>
      <c r="AR531" s="197"/>
      <c r="AS531" s="197"/>
    </row>
    <row r="532">
      <c r="A532" s="198" t="str">
        <f t="shared" si="1"/>
        <v/>
      </c>
      <c r="B532" s="205"/>
      <c r="C532" s="198"/>
      <c r="D532" s="199"/>
      <c r="E532" s="213"/>
      <c r="F532" s="198"/>
      <c r="G532" s="198"/>
      <c r="H532" s="199"/>
      <c r="I532" s="207"/>
      <c r="J532" s="199"/>
      <c r="K532" s="202"/>
      <c r="L532" s="205" t="str">
        <f>IFERROR(__xludf.DUMMYFUNCTION("IFERROR(
    INDEX(FILTER('Arrived Shipments'!O:O, 'Arrived Shipments'!B:B=$B532),1),
    IFERROR(
        INDEX(FILTER('POed not arrived'!D:D, 'POed not arrived'!A:A=$B532),1),
        """"
    )
)"),"")</f>
        <v/>
      </c>
      <c r="M532" s="202"/>
      <c r="N532" s="223" t="str">
        <f>IFERROR(__xludf.DUMMYFUNCTION("IFERROR(
    INDEX(FILTER('Arrived Shipments'!O:O, 'Arrived Shipments'!B:B=$B532),2),
    IFERROR(
        INDEX(FILTER('POed not arrived'!D:D, 'POed not arrived'!A:A=$B532),2),
        """"
    )
)"),"")</f>
        <v/>
      </c>
      <c r="O532" s="202"/>
      <c r="P532" s="202" t="str">
        <f>IFERROR(__xludf.DUMMYFUNCTION("IFERROR(
    INDEX(FILTER('Arrived Shipments'!O:O, 'Arrived Shipments'!B:B=$B532),3),
    IFERROR(
        INDEX(FILTER('POed not arrived'!D:D, 'POed not arrived'!A:A=$B532),3),
        """"
    )
)"),"")</f>
        <v/>
      </c>
      <c r="Q532" s="202"/>
      <c r="R532" s="206" t="str">
        <f>IFERROR(__xludf.DUMMYFUNCTION("IFERROR(
    INDEX(FILTER('Arrived Shipments'!O:O, 'Arrived Shipments'!B:B=$B532),4),
    IFERROR(
        INDEX(FILTER('POed not arrived'!D:D, 'POed not arrived'!A:A=$B532),4),
        """"
    )
)"),"")</f>
        <v/>
      </c>
      <c r="S532" s="202"/>
      <c r="T532" s="202">
        <f t="shared" si="8"/>
        <v>0</v>
      </c>
      <c r="U532" s="198"/>
      <c r="V532" s="199"/>
      <c r="W532" s="197"/>
      <c r="X532" s="197"/>
      <c r="Y532" s="199"/>
      <c r="Z532" s="199"/>
      <c r="AA532" s="204" t="str">
        <f t="shared" si="4"/>
        <v/>
      </c>
      <c r="AB532" s="198"/>
      <c r="AC532" s="199"/>
      <c r="AD532" s="199"/>
      <c r="AE532" s="199"/>
      <c r="AF532" s="199"/>
      <c r="AG532" s="199"/>
      <c r="AH532" s="199"/>
      <c r="AI532" s="199"/>
      <c r="AJ532" s="199"/>
      <c r="AK532" s="199"/>
      <c r="AL532" s="199"/>
      <c r="AM532" s="198"/>
      <c r="AN532" s="197"/>
      <c r="AO532" s="197"/>
      <c r="AP532" s="197"/>
      <c r="AQ532" s="197"/>
      <c r="AR532" s="197"/>
      <c r="AS532" s="197"/>
    </row>
    <row r="533">
      <c r="A533" s="198" t="str">
        <f t="shared" si="1"/>
        <v/>
      </c>
      <c r="B533" s="205"/>
      <c r="C533" s="198"/>
      <c r="D533" s="199"/>
      <c r="E533" s="213"/>
      <c r="F533" s="198"/>
      <c r="G533" s="198"/>
      <c r="H533" s="199"/>
      <c r="I533" s="207"/>
      <c r="J533" s="199"/>
      <c r="K533" s="202"/>
      <c r="L533" s="205" t="str">
        <f>IFERROR(__xludf.DUMMYFUNCTION("IFERROR(
    INDEX(FILTER('Arrived Shipments'!O:O, 'Arrived Shipments'!B:B=$B533),1),
    IFERROR(
        INDEX(FILTER('POed not arrived'!D:D, 'POed not arrived'!A:A=$B533),1),
        """"
    )
)"),"")</f>
        <v/>
      </c>
      <c r="M533" s="202"/>
      <c r="N533" s="223" t="str">
        <f>IFERROR(__xludf.DUMMYFUNCTION("IFERROR(
    INDEX(FILTER('Arrived Shipments'!O:O, 'Arrived Shipments'!B:B=$B533),2),
    IFERROR(
        INDEX(FILTER('POed not arrived'!D:D, 'POed not arrived'!A:A=$B533),2),
        """"
    )
)"),"")</f>
        <v/>
      </c>
      <c r="O533" s="202"/>
      <c r="P533" s="202" t="str">
        <f>IFERROR(__xludf.DUMMYFUNCTION("IFERROR(
    INDEX(FILTER('Arrived Shipments'!O:O, 'Arrived Shipments'!B:B=$B533),3),
    IFERROR(
        INDEX(FILTER('POed not arrived'!D:D, 'POed not arrived'!A:A=$B533),3),
        """"
    )
)"),"")</f>
        <v/>
      </c>
      <c r="Q533" s="202"/>
      <c r="R533" s="206" t="str">
        <f>IFERROR(__xludf.DUMMYFUNCTION("IFERROR(
    INDEX(FILTER('Arrived Shipments'!O:O, 'Arrived Shipments'!B:B=$B533),4),
    IFERROR(
        INDEX(FILTER('POed not arrived'!D:D, 'POed not arrived'!A:A=$B533),4),
        """"
    )
)"),"")</f>
        <v/>
      </c>
      <c r="S533" s="202"/>
      <c r="T533" s="202">
        <f t="shared" si="8"/>
        <v>0</v>
      </c>
      <c r="U533" s="198"/>
      <c r="V533" s="199"/>
      <c r="W533" s="197"/>
      <c r="X533" s="197"/>
      <c r="Y533" s="199"/>
      <c r="Z533" s="199"/>
      <c r="AA533" s="204" t="str">
        <f t="shared" si="4"/>
        <v/>
      </c>
      <c r="AB533" s="198"/>
      <c r="AC533" s="199"/>
      <c r="AD533" s="199"/>
      <c r="AE533" s="199"/>
      <c r="AF533" s="199"/>
      <c r="AG533" s="199"/>
      <c r="AH533" s="199"/>
      <c r="AI533" s="199"/>
      <c r="AJ533" s="199"/>
      <c r="AK533" s="199"/>
      <c r="AL533" s="199"/>
      <c r="AM533" s="198"/>
      <c r="AN533" s="197"/>
      <c r="AO533" s="197"/>
      <c r="AP533" s="197"/>
      <c r="AQ533" s="197"/>
      <c r="AR533" s="197"/>
      <c r="AS533" s="197"/>
    </row>
    <row r="534">
      <c r="A534" s="198" t="str">
        <f t="shared" si="1"/>
        <v/>
      </c>
      <c r="B534" s="205"/>
      <c r="C534" s="198"/>
      <c r="D534" s="199"/>
      <c r="E534" s="213"/>
      <c r="F534" s="198"/>
      <c r="G534" s="198"/>
      <c r="H534" s="199"/>
      <c r="I534" s="207"/>
      <c r="J534" s="199"/>
      <c r="K534" s="202"/>
      <c r="L534" s="205" t="str">
        <f>IFERROR(__xludf.DUMMYFUNCTION("IFERROR(
    INDEX(FILTER('Arrived Shipments'!O:O, 'Arrived Shipments'!B:B=$B534),1),
    IFERROR(
        INDEX(FILTER('POed not arrived'!D:D, 'POed not arrived'!A:A=$B534),1),
        """"
    )
)"),"")</f>
        <v/>
      </c>
      <c r="M534" s="202"/>
      <c r="N534" s="223" t="str">
        <f>IFERROR(__xludf.DUMMYFUNCTION("IFERROR(
    INDEX(FILTER('Arrived Shipments'!O:O, 'Arrived Shipments'!B:B=$B534),2),
    IFERROR(
        INDEX(FILTER('POed not arrived'!D:D, 'POed not arrived'!A:A=$B534),2),
        """"
    )
)"),"")</f>
        <v/>
      </c>
      <c r="O534" s="202"/>
      <c r="P534" s="202" t="str">
        <f>IFERROR(__xludf.DUMMYFUNCTION("IFERROR(
    INDEX(FILTER('Arrived Shipments'!O:O, 'Arrived Shipments'!B:B=$B534),3),
    IFERROR(
        INDEX(FILTER('POed not arrived'!D:D, 'POed not arrived'!A:A=$B534),3),
        """"
    )
)"),"")</f>
        <v/>
      </c>
      <c r="Q534" s="202"/>
      <c r="R534" s="206" t="str">
        <f>IFERROR(__xludf.DUMMYFUNCTION("IFERROR(
    INDEX(FILTER('Arrived Shipments'!O:O, 'Arrived Shipments'!B:B=$B534),4),
    IFERROR(
        INDEX(FILTER('POed not arrived'!D:D, 'POed not arrived'!A:A=$B534),4),
        """"
    )
)"),"")</f>
        <v/>
      </c>
      <c r="S534" s="202"/>
      <c r="T534" s="202">
        <f t="shared" si="8"/>
        <v>0</v>
      </c>
      <c r="U534" s="198"/>
      <c r="V534" s="199"/>
      <c r="W534" s="197"/>
      <c r="X534" s="197"/>
      <c r="Y534" s="199"/>
      <c r="Z534" s="199"/>
      <c r="AA534" s="204" t="str">
        <f t="shared" si="4"/>
        <v/>
      </c>
      <c r="AB534" s="198"/>
      <c r="AC534" s="199"/>
      <c r="AD534" s="199"/>
      <c r="AE534" s="199"/>
      <c r="AF534" s="199"/>
      <c r="AG534" s="199"/>
      <c r="AH534" s="199"/>
      <c r="AI534" s="199"/>
      <c r="AJ534" s="199"/>
      <c r="AK534" s="199"/>
      <c r="AL534" s="199"/>
      <c r="AM534" s="198"/>
      <c r="AN534" s="197"/>
      <c r="AO534" s="197"/>
      <c r="AP534" s="197"/>
      <c r="AQ534" s="197"/>
      <c r="AR534" s="197"/>
      <c r="AS534" s="197"/>
    </row>
    <row r="535">
      <c r="A535" s="198" t="str">
        <f t="shared" si="1"/>
        <v/>
      </c>
      <c r="B535" s="205"/>
      <c r="C535" s="198"/>
      <c r="D535" s="199"/>
      <c r="E535" s="213"/>
      <c r="F535" s="198"/>
      <c r="G535" s="198"/>
      <c r="H535" s="199"/>
      <c r="I535" s="207"/>
      <c r="J535" s="199"/>
      <c r="K535" s="202"/>
      <c r="L535" s="205" t="str">
        <f>IFERROR(__xludf.DUMMYFUNCTION("IFERROR(
    INDEX(FILTER('Arrived Shipments'!O:O, 'Arrived Shipments'!B:B=$B535),1),
    IFERROR(
        INDEX(FILTER('POed not arrived'!D:D, 'POed not arrived'!A:A=$B535),1),
        """"
    )
)"),"")</f>
        <v/>
      </c>
      <c r="M535" s="202"/>
      <c r="N535" s="223" t="str">
        <f>IFERROR(__xludf.DUMMYFUNCTION("IFERROR(
    INDEX(FILTER('Arrived Shipments'!O:O, 'Arrived Shipments'!B:B=$B535),2),
    IFERROR(
        INDEX(FILTER('POed not arrived'!D:D, 'POed not arrived'!A:A=$B535),2),
        """"
    )
)"),"")</f>
        <v/>
      </c>
      <c r="O535" s="202"/>
      <c r="P535" s="202" t="str">
        <f>IFERROR(__xludf.DUMMYFUNCTION("IFERROR(
    INDEX(FILTER('Arrived Shipments'!O:O, 'Arrived Shipments'!B:B=$B535),3),
    IFERROR(
        INDEX(FILTER('POed not arrived'!D:D, 'POed not arrived'!A:A=$B535),3),
        """"
    )
)"),"")</f>
        <v/>
      </c>
      <c r="Q535" s="202"/>
      <c r="R535" s="206" t="str">
        <f>IFERROR(__xludf.DUMMYFUNCTION("IFERROR(
    INDEX(FILTER('Arrived Shipments'!O:O, 'Arrived Shipments'!B:B=$B535),4),
    IFERROR(
        INDEX(FILTER('POed not arrived'!D:D, 'POed not arrived'!A:A=$B535),4),
        """"
    )
)"),"")</f>
        <v/>
      </c>
      <c r="S535" s="202"/>
      <c r="T535" s="202">
        <f t="shared" si="8"/>
        <v>0</v>
      </c>
      <c r="U535" s="198"/>
      <c r="V535" s="199"/>
      <c r="W535" s="197"/>
      <c r="X535" s="197"/>
      <c r="Y535" s="199"/>
      <c r="Z535" s="199"/>
      <c r="AA535" s="204" t="str">
        <f t="shared" si="4"/>
        <v/>
      </c>
      <c r="AB535" s="198"/>
      <c r="AC535" s="199"/>
      <c r="AD535" s="199"/>
      <c r="AE535" s="199"/>
      <c r="AF535" s="199"/>
      <c r="AG535" s="199"/>
      <c r="AH535" s="199"/>
      <c r="AI535" s="199"/>
      <c r="AJ535" s="199"/>
      <c r="AK535" s="199"/>
      <c r="AL535" s="199"/>
      <c r="AM535" s="198"/>
      <c r="AN535" s="197"/>
      <c r="AO535" s="197"/>
      <c r="AP535" s="197"/>
      <c r="AQ535" s="197"/>
      <c r="AR535" s="197"/>
      <c r="AS535" s="197"/>
    </row>
    <row r="536">
      <c r="A536" s="198" t="str">
        <f t="shared" si="1"/>
        <v/>
      </c>
      <c r="B536" s="205"/>
      <c r="C536" s="198"/>
      <c r="D536" s="199"/>
      <c r="E536" s="213"/>
      <c r="F536" s="198"/>
      <c r="G536" s="198"/>
      <c r="H536" s="199"/>
      <c r="I536" s="207"/>
      <c r="J536" s="199"/>
      <c r="K536" s="202"/>
      <c r="L536" s="205" t="str">
        <f>IFERROR(__xludf.DUMMYFUNCTION("IFERROR(
    INDEX(FILTER('Arrived Shipments'!O:O, 'Arrived Shipments'!B:B=$B536),1),
    IFERROR(
        INDEX(FILTER('POed not arrived'!D:D, 'POed not arrived'!A:A=$B536),1),
        """"
    )
)"),"")</f>
        <v/>
      </c>
      <c r="M536" s="202"/>
      <c r="N536" s="223" t="str">
        <f>IFERROR(__xludf.DUMMYFUNCTION("IFERROR(
    INDEX(FILTER('Arrived Shipments'!O:O, 'Arrived Shipments'!B:B=$B536),2),
    IFERROR(
        INDEX(FILTER('POed not arrived'!D:D, 'POed not arrived'!A:A=$B536),2),
        """"
    )
)"),"")</f>
        <v/>
      </c>
      <c r="O536" s="202"/>
      <c r="P536" s="202" t="str">
        <f>IFERROR(__xludf.DUMMYFUNCTION("IFERROR(
    INDEX(FILTER('Arrived Shipments'!O:O, 'Arrived Shipments'!B:B=$B536),3),
    IFERROR(
        INDEX(FILTER('POed not arrived'!D:D, 'POed not arrived'!A:A=$B536),3),
        """"
    )
)"),"")</f>
        <v/>
      </c>
      <c r="Q536" s="202"/>
      <c r="R536" s="206" t="str">
        <f>IFERROR(__xludf.DUMMYFUNCTION("IFERROR(
    INDEX(FILTER('Arrived Shipments'!O:O, 'Arrived Shipments'!B:B=$B536),4),
    IFERROR(
        INDEX(FILTER('POed not arrived'!D:D, 'POed not arrived'!A:A=$B536),4),
        """"
    )
)"),"")</f>
        <v/>
      </c>
      <c r="S536" s="202"/>
      <c r="T536" s="202">
        <f t="shared" si="8"/>
        <v>0</v>
      </c>
      <c r="U536" s="198"/>
      <c r="V536" s="199"/>
      <c r="W536" s="197"/>
      <c r="X536" s="197"/>
      <c r="Y536" s="199"/>
      <c r="Z536" s="199"/>
      <c r="AA536" s="204" t="str">
        <f t="shared" si="4"/>
        <v/>
      </c>
      <c r="AB536" s="198"/>
      <c r="AC536" s="199"/>
      <c r="AD536" s="199"/>
      <c r="AE536" s="199"/>
      <c r="AF536" s="199"/>
      <c r="AG536" s="199"/>
      <c r="AH536" s="199"/>
      <c r="AI536" s="199"/>
      <c r="AJ536" s="199"/>
      <c r="AK536" s="199"/>
      <c r="AL536" s="199"/>
      <c r="AM536" s="198"/>
      <c r="AN536" s="197"/>
      <c r="AO536" s="197"/>
      <c r="AP536" s="197"/>
      <c r="AQ536" s="197"/>
      <c r="AR536" s="197"/>
      <c r="AS536" s="197"/>
    </row>
    <row r="537">
      <c r="A537" s="198" t="str">
        <f t="shared" si="1"/>
        <v/>
      </c>
      <c r="B537" s="205"/>
      <c r="C537" s="198"/>
      <c r="D537" s="199"/>
      <c r="E537" s="213"/>
      <c r="F537" s="198"/>
      <c r="G537" s="198"/>
      <c r="H537" s="199"/>
      <c r="I537" s="207"/>
      <c r="J537" s="199"/>
      <c r="K537" s="202"/>
      <c r="L537" s="205" t="str">
        <f>IFERROR(__xludf.DUMMYFUNCTION("IFERROR(
    INDEX(FILTER('Arrived Shipments'!O:O, 'Arrived Shipments'!B:B=$B537),1),
    IFERROR(
        INDEX(FILTER('POed not arrived'!D:D, 'POed not arrived'!A:A=$B537),1),
        """"
    )
)"),"")</f>
        <v/>
      </c>
      <c r="M537" s="202"/>
      <c r="N537" s="223" t="str">
        <f>IFERROR(__xludf.DUMMYFUNCTION("IFERROR(
    INDEX(FILTER('Arrived Shipments'!O:O, 'Arrived Shipments'!B:B=$B537),2),
    IFERROR(
        INDEX(FILTER('POed not arrived'!D:D, 'POed not arrived'!A:A=$B537),2),
        """"
    )
)"),"")</f>
        <v/>
      </c>
      <c r="O537" s="202"/>
      <c r="P537" s="202" t="str">
        <f>IFERROR(__xludf.DUMMYFUNCTION("IFERROR(
    INDEX(FILTER('Arrived Shipments'!O:O, 'Arrived Shipments'!B:B=$B537),3),
    IFERROR(
        INDEX(FILTER('POed not arrived'!D:D, 'POed not arrived'!A:A=$B537),3),
        """"
    )
)"),"")</f>
        <v/>
      </c>
      <c r="Q537" s="202"/>
      <c r="R537" s="206" t="str">
        <f>IFERROR(__xludf.DUMMYFUNCTION("IFERROR(
    INDEX(FILTER('Arrived Shipments'!O:O, 'Arrived Shipments'!B:B=$B537),4),
    IFERROR(
        INDEX(FILTER('POed not arrived'!D:D, 'POed not arrived'!A:A=$B537),4),
        """"
    )
)"),"")</f>
        <v/>
      </c>
      <c r="S537" s="202"/>
      <c r="T537" s="202">
        <f t="shared" si="8"/>
        <v>0</v>
      </c>
      <c r="U537" s="198"/>
      <c r="V537" s="199"/>
      <c r="W537" s="197"/>
      <c r="X537" s="197"/>
      <c r="Y537" s="199"/>
      <c r="Z537" s="199"/>
      <c r="AA537" s="204" t="str">
        <f t="shared" si="4"/>
        <v/>
      </c>
      <c r="AB537" s="198"/>
      <c r="AC537" s="199"/>
      <c r="AD537" s="199"/>
      <c r="AE537" s="199"/>
      <c r="AF537" s="199"/>
      <c r="AG537" s="199"/>
      <c r="AH537" s="199"/>
      <c r="AI537" s="199"/>
      <c r="AJ537" s="199"/>
      <c r="AK537" s="199"/>
      <c r="AL537" s="199"/>
      <c r="AM537" s="198"/>
      <c r="AN537" s="197"/>
      <c r="AO537" s="197"/>
      <c r="AP537" s="197"/>
      <c r="AQ537" s="197"/>
      <c r="AR537" s="197"/>
      <c r="AS537" s="197"/>
    </row>
    <row r="538">
      <c r="A538" s="198" t="str">
        <f t="shared" si="1"/>
        <v/>
      </c>
      <c r="B538" s="205"/>
      <c r="C538" s="198"/>
      <c r="D538" s="199"/>
      <c r="E538" s="213"/>
      <c r="F538" s="198"/>
      <c r="G538" s="198"/>
      <c r="H538" s="199"/>
      <c r="I538" s="207"/>
      <c r="J538" s="199"/>
      <c r="K538" s="202"/>
      <c r="L538" s="205" t="str">
        <f>IFERROR(__xludf.DUMMYFUNCTION("IFERROR(
    INDEX(FILTER('Arrived Shipments'!O:O, 'Arrived Shipments'!B:B=$B538),1),
    IFERROR(
        INDEX(FILTER('POed not arrived'!D:D, 'POed not arrived'!A:A=$B538),1),
        """"
    )
)"),"")</f>
        <v/>
      </c>
      <c r="M538" s="202"/>
      <c r="N538" s="223" t="str">
        <f>IFERROR(__xludf.DUMMYFUNCTION("IFERROR(
    INDEX(FILTER('Arrived Shipments'!O:O, 'Arrived Shipments'!B:B=$B538),2),
    IFERROR(
        INDEX(FILTER('POed not arrived'!D:D, 'POed not arrived'!A:A=$B538),2),
        """"
    )
)"),"")</f>
        <v/>
      </c>
      <c r="O538" s="202"/>
      <c r="P538" s="202" t="str">
        <f>IFERROR(__xludf.DUMMYFUNCTION("IFERROR(
    INDEX(FILTER('Arrived Shipments'!O:O, 'Arrived Shipments'!B:B=$B538),3),
    IFERROR(
        INDEX(FILTER('POed not arrived'!D:D, 'POed not arrived'!A:A=$B538),3),
        """"
    )
)"),"")</f>
        <v/>
      </c>
      <c r="Q538" s="202"/>
      <c r="R538" s="206" t="str">
        <f>IFERROR(__xludf.DUMMYFUNCTION("IFERROR(
    INDEX(FILTER('Arrived Shipments'!O:O, 'Arrived Shipments'!B:B=$B538),4),
    IFERROR(
        INDEX(FILTER('POed not arrived'!D:D, 'POed not arrived'!A:A=$B538),4),
        """"
    )
)"),"")</f>
        <v/>
      </c>
      <c r="S538" s="202"/>
      <c r="T538" s="202">
        <f t="shared" si="8"/>
        <v>0</v>
      </c>
      <c r="U538" s="198"/>
      <c r="V538" s="199"/>
      <c r="W538" s="197"/>
      <c r="X538" s="197"/>
      <c r="Y538" s="199"/>
      <c r="Z538" s="199"/>
      <c r="AA538" s="204" t="str">
        <f t="shared" si="4"/>
        <v/>
      </c>
      <c r="AB538" s="198"/>
      <c r="AC538" s="199"/>
      <c r="AD538" s="199"/>
      <c r="AE538" s="199"/>
      <c r="AF538" s="199"/>
      <c r="AG538" s="199"/>
      <c r="AH538" s="199"/>
      <c r="AI538" s="199"/>
      <c r="AJ538" s="199"/>
      <c r="AK538" s="199"/>
      <c r="AL538" s="199"/>
      <c r="AM538" s="198"/>
      <c r="AN538" s="197"/>
      <c r="AO538" s="197"/>
      <c r="AP538" s="197"/>
      <c r="AQ538" s="197"/>
      <c r="AR538" s="197"/>
      <c r="AS538" s="197"/>
    </row>
    <row r="539">
      <c r="A539" s="198" t="str">
        <f t="shared" si="1"/>
        <v/>
      </c>
      <c r="B539" s="205"/>
      <c r="C539" s="198"/>
      <c r="D539" s="199"/>
      <c r="E539" s="213"/>
      <c r="F539" s="198"/>
      <c r="G539" s="198"/>
      <c r="H539" s="199"/>
      <c r="I539" s="207"/>
      <c r="J539" s="199"/>
      <c r="K539" s="202"/>
      <c r="L539" s="205" t="str">
        <f>IFERROR(__xludf.DUMMYFUNCTION("IFERROR(
    INDEX(FILTER('Arrived Shipments'!O:O, 'Arrived Shipments'!B:B=$B539),1),
    IFERROR(
        INDEX(FILTER('POed not arrived'!D:D, 'POed not arrived'!A:A=$B539),1),
        """"
    )
)"),"")</f>
        <v/>
      </c>
      <c r="M539" s="202"/>
      <c r="N539" s="223" t="str">
        <f>IFERROR(__xludf.DUMMYFUNCTION("IFERROR(
    INDEX(FILTER('Arrived Shipments'!O:O, 'Arrived Shipments'!B:B=$B539),2),
    IFERROR(
        INDEX(FILTER('POed not arrived'!D:D, 'POed not arrived'!A:A=$B539),2),
        """"
    )
)"),"")</f>
        <v/>
      </c>
      <c r="O539" s="202"/>
      <c r="P539" s="202" t="str">
        <f>IFERROR(__xludf.DUMMYFUNCTION("IFERROR(
    INDEX(FILTER('Arrived Shipments'!O:O, 'Arrived Shipments'!B:B=$B539),3),
    IFERROR(
        INDEX(FILTER('POed not arrived'!D:D, 'POed not arrived'!A:A=$B539),3),
        """"
    )
)"),"")</f>
        <v/>
      </c>
      <c r="Q539" s="202"/>
      <c r="R539" s="206" t="str">
        <f>IFERROR(__xludf.DUMMYFUNCTION("IFERROR(
    INDEX(FILTER('Arrived Shipments'!O:O, 'Arrived Shipments'!B:B=$B539),4),
    IFERROR(
        INDEX(FILTER('POed not arrived'!D:D, 'POed not arrived'!A:A=$B539),4),
        """"
    )
)"),"")</f>
        <v/>
      </c>
      <c r="S539" s="202"/>
      <c r="T539" s="202">
        <f t="shared" si="8"/>
        <v>0</v>
      </c>
      <c r="U539" s="198"/>
      <c r="V539" s="199"/>
      <c r="W539" s="197"/>
      <c r="X539" s="197"/>
      <c r="Y539" s="199"/>
      <c r="Z539" s="199"/>
      <c r="AA539" s="204" t="str">
        <f t="shared" si="4"/>
        <v/>
      </c>
      <c r="AB539" s="198"/>
      <c r="AC539" s="199"/>
      <c r="AD539" s="199"/>
      <c r="AE539" s="199"/>
      <c r="AF539" s="199"/>
      <c r="AG539" s="199"/>
      <c r="AH539" s="199"/>
      <c r="AI539" s="199"/>
      <c r="AJ539" s="199"/>
      <c r="AK539" s="199"/>
      <c r="AL539" s="199"/>
      <c r="AM539" s="198"/>
      <c r="AN539" s="197"/>
      <c r="AO539" s="197"/>
      <c r="AP539" s="197"/>
      <c r="AQ539" s="197"/>
      <c r="AR539" s="197"/>
      <c r="AS539" s="197"/>
    </row>
    <row r="540">
      <c r="A540" s="198" t="str">
        <f t="shared" si="1"/>
        <v/>
      </c>
      <c r="B540" s="205"/>
      <c r="C540" s="198"/>
      <c r="D540" s="199"/>
      <c r="E540" s="213"/>
      <c r="F540" s="198"/>
      <c r="G540" s="198"/>
      <c r="H540" s="199"/>
      <c r="I540" s="207"/>
      <c r="J540" s="199"/>
      <c r="K540" s="202"/>
      <c r="L540" s="205" t="str">
        <f>IFERROR(__xludf.DUMMYFUNCTION("IFERROR(
    INDEX(FILTER('Arrived Shipments'!O:O, 'Arrived Shipments'!B:B=$B540),1),
    IFERROR(
        INDEX(FILTER('POed not arrived'!D:D, 'POed not arrived'!A:A=$B540),1),
        """"
    )
)"),"")</f>
        <v/>
      </c>
      <c r="M540" s="202"/>
      <c r="N540" s="223" t="str">
        <f>IFERROR(__xludf.DUMMYFUNCTION("IFERROR(
    INDEX(FILTER('Arrived Shipments'!O:O, 'Arrived Shipments'!B:B=$B540),2),
    IFERROR(
        INDEX(FILTER('POed not arrived'!D:D, 'POed not arrived'!A:A=$B540),2),
        """"
    )
)"),"")</f>
        <v/>
      </c>
      <c r="O540" s="202"/>
      <c r="P540" s="202" t="str">
        <f>IFERROR(__xludf.DUMMYFUNCTION("IFERROR(
    INDEX(FILTER('Arrived Shipments'!O:O, 'Arrived Shipments'!B:B=$B540),3),
    IFERROR(
        INDEX(FILTER('POed not arrived'!D:D, 'POed not arrived'!A:A=$B540),3),
        """"
    )
)"),"")</f>
        <v/>
      </c>
      <c r="Q540" s="202"/>
      <c r="R540" s="206" t="str">
        <f>IFERROR(__xludf.DUMMYFUNCTION("IFERROR(
    INDEX(FILTER('Arrived Shipments'!O:O, 'Arrived Shipments'!B:B=$B540),4),
    IFERROR(
        INDEX(FILTER('POed not arrived'!D:D, 'POed not arrived'!A:A=$B540),4),
        """"
    )
)"),"")</f>
        <v/>
      </c>
      <c r="S540" s="202"/>
      <c r="T540" s="202">
        <f t="shared" si="8"/>
        <v>0</v>
      </c>
      <c r="U540" s="198"/>
      <c r="V540" s="199"/>
      <c r="W540" s="197"/>
      <c r="X540" s="197"/>
      <c r="Y540" s="199"/>
      <c r="Z540" s="199"/>
      <c r="AA540" s="204" t="str">
        <f t="shared" si="4"/>
        <v/>
      </c>
      <c r="AB540" s="198"/>
      <c r="AC540" s="199"/>
      <c r="AD540" s="199"/>
      <c r="AE540" s="199"/>
      <c r="AF540" s="199"/>
      <c r="AG540" s="199"/>
      <c r="AH540" s="199"/>
      <c r="AI540" s="199"/>
      <c r="AJ540" s="199"/>
      <c r="AK540" s="199"/>
      <c r="AL540" s="199"/>
      <c r="AM540" s="198"/>
      <c r="AN540" s="197"/>
      <c r="AO540" s="197"/>
      <c r="AP540" s="197"/>
      <c r="AQ540" s="197"/>
      <c r="AR540" s="197"/>
      <c r="AS540" s="197"/>
    </row>
    <row r="541">
      <c r="A541" s="198" t="str">
        <f t="shared" si="1"/>
        <v/>
      </c>
      <c r="B541" s="205"/>
      <c r="C541" s="198"/>
      <c r="D541" s="199"/>
      <c r="E541" s="213"/>
      <c r="F541" s="198"/>
      <c r="G541" s="198"/>
      <c r="H541" s="199"/>
      <c r="I541" s="207"/>
      <c r="J541" s="199"/>
      <c r="K541" s="202"/>
      <c r="L541" s="205" t="str">
        <f>IFERROR(__xludf.DUMMYFUNCTION("IFERROR(
    INDEX(FILTER('Arrived Shipments'!O:O, 'Arrived Shipments'!B:B=$B541),1),
    IFERROR(
        INDEX(FILTER('POed not arrived'!D:D, 'POed not arrived'!A:A=$B541),1),
        """"
    )
)"),"")</f>
        <v/>
      </c>
      <c r="M541" s="202"/>
      <c r="N541" s="223" t="str">
        <f>IFERROR(__xludf.DUMMYFUNCTION("IFERROR(
    INDEX(FILTER('Arrived Shipments'!O:O, 'Arrived Shipments'!B:B=$B541),2),
    IFERROR(
        INDEX(FILTER('POed not arrived'!D:D, 'POed not arrived'!A:A=$B541),2),
        """"
    )
)"),"")</f>
        <v/>
      </c>
      <c r="O541" s="202"/>
      <c r="P541" s="202" t="str">
        <f>IFERROR(__xludf.DUMMYFUNCTION("IFERROR(
    INDEX(FILTER('Arrived Shipments'!O:O, 'Arrived Shipments'!B:B=$B541),3),
    IFERROR(
        INDEX(FILTER('POed not arrived'!D:D, 'POed not arrived'!A:A=$B541),3),
        """"
    )
)"),"")</f>
        <v/>
      </c>
      <c r="Q541" s="202"/>
      <c r="R541" s="206" t="str">
        <f>IFERROR(__xludf.DUMMYFUNCTION("IFERROR(
    INDEX(FILTER('Arrived Shipments'!O:O, 'Arrived Shipments'!B:B=$B541),4),
    IFERROR(
        INDEX(FILTER('POed not arrived'!D:D, 'POed not arrived'!A:A=$B541),4),
        """"
    )
)"),"")</f>
        <v/>
      </c>
      <c r="S541" s="202"/>
      <c r="T541" s="202">
        <f t="shared" si="8"/>
        <v>0</v>
      </c>
      <c r="U541" s="198"/>
      <c r="V541" s="199"/>
      <c r="W541" s="197"/>
      <c r="X541" s="197"/>
      <c r="Y541" s="199"/>
      <c r="Z541" s="199"/>
      <c r="AA541" s="204" t="str">
        <f t="shared" si="4"/>
        <v/>
      </c>
      <c r="AB541" s="198"/>
      <c r="AC541" s="199"/>
      <c r="AD541" s="199"/>
      <c r="AE541" s="199"/>
      <c r="AF541" s="199"/>
      <c r="AG541" s="199"/>
      <c r="AH541" s="199"/>
      <c r="AI541" s="199"/>
      <c r="AJ541" s="199"/>
      <c r="AK541" s="199"/>
      <c r="AL541" s="199"/>
      <c r="AM541" s="198"/>
      <c r="AN541" s="197"/>
      <c r="AO541" s="197"/>
      <c r="AP541" s="197"/>
      <c r="AQ541" s="197"/>
      <c r="AR541" s="197"/>
      <c r="AS541" s="197"/>
    </row>
    <row r="542">
      <c r="A542" s="198" t="str">
        <f t="shared" si="1"/>
        <v/>
      </c>
      <c r="B542" s="205"/>
      <c r="C542" s="198"/>
      <c r="D542" s="199"/>
      <c r="E542" s="213"/>
      <c r="F542" s="198"/>
      <c r="G542" s="198"/>
      <c r="H542" s="199"/>
      <c r="I542" s="207"/>
      <c r="J542" s="199"/>
      <c r="K542" s="202"/>
      <c r="L542" s="205" t="str">
        <f>IFERROR(__xludf.DUMMYFUNCTION("IFERROR(
    INDEX(FILTER('Arrived Shipments'!O:O, 'Arrived Shipments'!B:B=$B542),1),
    IFERROR(
        INDEX(FILTER('POed not arrived'!D:D, 'POed not arrived'!A:A=$B542),1),
        """"
    )
)"),"")</f>
        <v/>
      </c>
      <c r="M542" s="202"/>
      <c r="N542" s="223" t="str">
        <f>IFERROR(__xludf.DUMMYFUNCTION("IFERROR(
    INDEX(FILTER('Arrived Shipments'!O:O, 'Arrived Shipments'!B:B=$B542),2),
    IFERROR(
        INDEX(FILTER('POed not arrived'!D:D, 'POed not arrived'!A:A=$B542),2),
        """"
    )
)"),"")</f>
        <v/>
      </c>
      <c r="O542" s="202"/>
      <c r="P542" s="202" t="str">
        <f>IFERROR(__xludf.DUMMYFUNCTION("IFERROR(
    INDEX(FILTER('Arrived Shipments'!O:O, 'Arrived Shipments'!B:B=$B542),3),
    IFERROR(
        INDEX(FILTER('POed not arrived'!D:D, 'POed not arrived'!A:A=$B542),3),
        """"
    )
)"),"")</f>
        <v/>
      </c>
      <c r="Q542" s="202"/>
      <c r="R542" s="206" t="str">
        <f>IFERROR(__xludf.DUMMYFUNCTION("IFERROR(
    INDEX(FILTER('Arrived Shipments'!O:O, 'Arrived Shipments'!B:B=$B542),4),
    IFERROR(
        INDEX(FILTER('POed not arrived'!D:D, 'POed not arrived'!A:A=$B542),4),
        """"
    )
)"),"")</f>
        <v/>
      </c>
      <c r="S542" s="202"/>
      <c r="T542" s="202">
        <f t="shared" si="8"/>
        <v>0</v>
      </c>
      <c r="U542" s="198"/>
      <c r="V542" s="199"/>
      <c r="W542" s="197"/>
      <c r="X542" s="197"/>
      <c r="Y542" s="199"/>
      <c r="Z542" s="199"/>
      <c r="AA542" s="204" t="str">
        <f t="shared" si="4"/>
        <v/>
      </c>
      <c r="AB542" s="198"/>
      <c r="AC542" s="199"/>
      <c r="AD542" s="199"/>
      <c r="AE542" s="199"/>
      <c r="AF542" s="199"/>
      <c r="AG542" s="199"/>
      <c r="AH542" s="199"/>
      <c r="AI542" s="199"/>
      <c r="AJ542" s="199"/>
      <c r="AK542" s="199"/>
      <c r="AL542" s="199"/>
      <c r="AM542" s="198"/>
      <c r="AN542" s="197"/>
      <c r="AO542" s="197"/>
      <c r="AP542" s="197"/>
      <c r="AQ542" s="197"/>
      <c r="AR542" s="197"/>
      <c r="AS542" s="197"/>
    </row>
    <row r="543">
      <c r="A543" s="198" t="str">
        <f t="shared" si="1"/>
        <v/>
      </c>
      <c r="B543" s="205"/>
      <c r="C543" s="198"/>
      <c r="D543" s="199"/>
      <c r="E543" s="213"/>
      <c r="F543" s="198"/>
      <c r="G543" s="198"/>
      <c r="H543" s="199"/>
      <c r="I543" s="207"/>
      <c r="J543" s="199"/>
      <c r="K543" s="202"/>
      <c r="L543" s="205" t="str">
        <f>IFERROR(__xludf.DUMMYFUNCTION("IFERROR(
    INDEX(FILTER('Arrived Shipments'!O:O, 'Arrived Shipments'!B:B=$B543),1),
    IFERROR(
        INDEX(FILTER('POed not arrived'!D:D, 'POed not arrived'!A:A=$B543),1),
        """"
    )
)"),"")</f>
        <v/>
      </c>
      <c r="M543" s="202"/>
      <c r="N543" s="223" t="str">
        <f>IFERROR(__xludf.DUMMYFUNCTION("IFERROR(
    INDEX(FILTER('Arrived Shipments'!O:O, 'Arrived Shipments'!B:B=$B543),2),
    IFERROR(
        INDEX(FILTER('POed not arrived'!D:D, 'POed not arrived'!A:A=$B543),2),
        """"
    )
)"),"")</f>
        <v/>
      </c>
      <c r="O543" s="202"/>
      <c r="P543" s="202" t="str">
        <f>IFERROR(__xludf.DUMMYFUNCTION("IFERROR(
    INDEX(FILTER('Arrived Shipments'!O:O, 'Arrived Shipments'!B:B=$B543),3),
    IFERROR(
        INDEX(FILTER('POed not arrived'!D:D, 'POed not arrived'!A:A=$B543),3),
        """"
    )
)"),"")</f>
        <v/>
      </c>
      <c r="Q543" s="202"/>
      <c r="R543" s="206" t="str">
        <f>IFERROR(__xludf.DUMMYFUNCTION("IFERROR(
    INDEX(FILTER('Arrived Shipments'!O:O, 'Arrived Shipments'!B:B=$B543),4),
    IFERROR(
        INDEX(FILTER('POed not arrived'!D:D, 'POed not arrived'!A:A=$B543),4),
        """"
    )
)"),"")</f>
        <v/>
      </c>
      <c r="S543" s="202"/>
      <c r="T543" s="202">
        <f t="shared" si="8"/>
        <v>0</v>
      </c>
      <c r="U543" s="198"/>
      <c r="V543" s="199"/>
      <c r="W543" s="197"/>
      <c r="X543" s="197"/>
      <c r="Y543" s="199"/>
      <c r="Z543" s="199"/>
      <c r="AA543" s="204" t="str">
        <f t="shared" si="4"/>
        <v/>
      </c>
      <c r="AB543" s="198"/>
      <c r="AC543" s="199"/>
      <c r="AD543" s="199"/>
      <c r="AE543" s="199"/>
      <c r="AF543" s="199"/>
      <c r="AG543" s="199"/>
      <c r="AH543" s="199"/>
      <c r="AI543" s="199"/>
      <c r="AJ543" s="199"/>
      <c r="AK543" s="199"/>
      <c r="AL543" s="199"/>
      <c r="AM543" s="198"/>
      <c r="AN543" s="197"/>
      <c r="AO543" s="197"/>
      <c r="AP543" s="197"/>
      <c r="AQ543" s="197"/>
      <c r="AR543" s="197"/>
      <c r="AS543" s="197"/>
    </row>
    <row r="544">
      <c r="A544" s="198" t="str">
        <f t="shared" si="1"/>
        <v/>
      </c>
      <c r="B544" s="205"/>
      <c r="C544" s="198"/>
      <c r="D544" s="199"/>
      <c r="E544" s="213"/>
      <c r="F544" s="198"/>
      <c r="G544" s="198"/>
      <c r="H544" s="199"/>
      <c r="I544" s="207"/>
      <c r="J544" s="199"/>
      <c r="K544" s="202"/>
      <c r="L544" s="205" t="str">
        <f>IFERROR(__xludf.DUMMYFUNCTION("IFERROR(
    INDEX(FILTER('Arrived Shipments'!O:O, 'Arrived Shipments'!B:B=$B544),1),
    IFERROR(
        INDEX(FILTER('POed not arrived'!D:D, 'POed not arrived'!A:A=$B544),1),
        """"
    )
)"),"")</f>
        <v/>
      </c>
      <c r="M544" s="202"/>
      <c r="N544" s="223" t="str">
        <f>IFERROR(__xludf.DUMMYFUNCTION("IFERROR(
    INDEX(FILTER('Arrived Shipments'!O:O, 'Arrived Shipments'!B:B=$B544),2),
    IFERROR(
        INDEX(FILTER('POed not arrived'!D:D, 'POed not arrived'!A:A=$B544),2),
        """"
    )
)"),"")</f>
        <v/>
      </c>
      <c r="O544" s="202"/>
      <c r="P544" s="202" t="str">
        <f>IFERROR(__xludf.DUMMYFUNCTION("IFERROR(
    INDEX(FILTER('Arrived Shipments'!O:O, 'Arrived Shipments'!B:B=$B544),3),
    IFERROR(
        INDEX(FILTER('POed not arrived'!D:D, 'POed not arrived'!A:A=$B544),3),
        """"
    )
)"),"")</f>
        <v/>
      </c>
      <c r="Q544" s="202"/>
      <c r="R544" s="206" t="str">
        <f>IFERROR(__xludf.DUMMYFUNCTION("IFERROR(
    INDEX(FILTER('Arrived Shipments'!O:O, 'Arrived Shipments'!B:B=$B544),4),
    IFERROR(
        INDEX(FILTER('POed not arrived'!D:D, 'POed not arrived'!A:A=$B544),4),
        """"
    )
)"),"")</f>
        <v/>
      </c>
      <c r="S544" s="202"/>
      <c r="T544" s="202">
        <f t="shared" si="8"/>
        <v>0</v>
      </c>
      <c r="U544" s="198"/>
      <c r="V544" s="199"/>
      <c r="W544" s="197"/>
      <c r="X544" s="197"/>
      <c r="Y544" s="199"/>
      <c r="Z544" s="199"/>
      <c r="AA544" s="204" t="str">
        <f t="shared" si="4"/>
        <v/>
      </c>
      <c r="AB544" s="198"/>
      <c r="AC544" s="199"/>
      <c r="AD544" s="199"/>
      <c r="AE544" s="199"/>
      <c r="AF544" s="199"/>
      <c r="AG544" s="199"/>
      <c r="AH544" s="199"/>
      <c r="AI544" s="199"/>
      <c r="AJ544" s="199"/>
      <c r="AK544" s="199"/>
      <c r="AL544" s="199"/>
      <c r="AM544" s="198"/>
      <c r="AN544" s="197"/>
      <c r="AO544" s="197"/>
      <c r="AP544" s="197"/>
      <c r="AQ544" s="197"/>
      <c r="AR544" s="197"/>
      <c r="AS544" s="197"/>
    </row>
    <row r="545">
      <c r="A545" s="198" t="str">
        <f t="shared" si="1"/>
        <v/>
      </c>
      <c r="B545" s="205"/>
      <c r="C545" s="198"/>
      <c r="D545" s="199"/>
      <c r="E545" s="213"/>
      <c r="F545" s="198"/>
      <c r="G545" s="198"/>
      <c r="H545" s="199"/>
      <c r="I545" s="207"/>
      <c r="J545" s="199"/>
      <c r="K545" s="202"/>
      <c r="L545" s="205" t="str">
        <f>IFERROR(__xludf.DUMMYFUNCTION("IFERROR(
    INDEX(FILTER('Arrived Shipments'!O:O, 'Arrived Shipments'!B:B=$B545),1),
    IFERROR(
        INDEX(FILTER('POed not arrived'!D:D, 'POed not arrived'!A:A=$B545),1),
        """"
    )
)"),"")</f>
        <v/>
      </c>
      <c r="M545" s="202"/>
      <c r="N545" s="223" t="str">
        <f>IFERROR(__xludf.DUMMYFUNCTION("IFERROR(
    INDEX(FILTER('Arrived Shipments'!O:O, 'Arrived Shipments'!B:B=$B545),2),
    IFERROR(
        INDEX(FILTER('POed not arrived'!D:D, 'POed not arrived'!A:A=$B545),2),
        """"
    )
)"),"")</f>
        <v/>
      </c>
      <c r="O545" s="202"/>
      <c r="P545" s="202" t="str">
        <f>IFERROR(__xludf.DUMMYFUNCTION("IFERROR(
    INDEX(FILTER('Arrived Shipments'!O:O, 'Arrived Shipments'!B:B=$B545),3),
    IFERROR(
        INDEX(FILTER('POed not arrived'!D:D, 'POed not arrived'!A:A=$B545),3),
        """"
    )
)"),"")</f>
        <v/>
      </c>
      <c r="Q545" s="202"/>
      <c r="R545" s="206" t="str">
        <f>IFERROR(__xludf.DUMMYFUNCTION("IFERROR(
    INDEX(FILTER('Arrived Shipments'!O:O, 'Arrived Shipments'!B:B=$B545),4),
    IFERROR(
        INDEX(FILTER('POed not arrived'!D:D, 'POed not arrived'!A:A=$B545),4),
        """"
    )
)"),"")</f>
        <v/>
      </c>
      <c r="S545" s="202"/>
      <c r="T545" s="202">
        <f t="shared" si="8"/>
        <v>0</v>
      </c>
      <c r="U545" s="198"/>
      <c r="V545" s="199"/>
      <c r="W545" s="197"/>
      <c r="X545" s="197"/>
      <c r="Y545" s="199"/>
      <c r="Z545" s="199"/>
      <c r="AA545" s="204" t="str">
        <f t="shared" si="4"/>
        <v/>
      </c>
      <c r="AB545" s="198"/>
      <c r="AC545" s="199"/>
      <c r="AD545" s="199"/>
      <c r="AE545" s="199"/>
      <c r="AF545" s="199"/>
      <c r="AG545" s="199"/>
      <c r="AH545" s="199"/>
      <c r="AI545" s="199"/>
      <c r="AJ545" s="199"/>
      <c r="AK545" s="199"/>
      <c r="AL545" s="199"/>
      <c r="AM545" s="198"/>
      <c r="AN545" s="197"/>
      <c r="AO545" s="197"/>
      <c r="AP545" s="197"/>
      <c r="AQ545" s="197"/>
      <c r="AR545" s="197"/>
      <c r="AS545" s="197"/>
    </row>
    <row r="546">
      <c r="A546" s="198" t="str">
        <f t="shared" si="1"/>
        <v/>
      </c>
      <c r="B546" s="205"/>
      <c r="C546" s="198"/>
      <c r="D546" s="199"/>
      <c r="E546" s="213"/>
      <c r="F546" s="198"/>
      <c r="G546" s="198"/>
      <c r="H546" s="199"/>
      <c r="I546" s="207"/>
      <c r="J546" s="199"/>
      <c r="K546" s="202"/>
      <c r="L546" s="205" t="str">
        <f>IFERROR(__xludf.DUMMYFUNCTION("IFERROR(
    INDEX(FILTER('Arrived Shipments'!O:O, 'Arrived Shipments'!B:B=$B546),1),
    IFERROR(
        INDEX(FILTER('POed not arrived'!D:D, 'POed not arrived'!A:A=$B546),1),
        """"
    )
)"),"")</f>
        <v/>
      </c>
      <c r="M546" s="202"/>
      <c r="N546" s="223" t="str">
        <f>IFERROR(__xludf.DUMMYFUNCTION("IFERROR(
    INDEX(FILTER('Arrived Shipments'!O:O, 'Arrived Shipments'!B:B=$B546),2),
    IFERROR(
        INDEX(FILTER('POed not arrived'!D:D, 'POed not arrived'!A:A=$B546),2),
        """"
    )
)"),"")</f>
        <v/>
      </c>
      <c r="O546" s="202"/>
      <c r="P546" s="202" t="str">
        <f>IFERROR(__xludf.DUMMYFUNCTION("IFERROR(
    INDEX(FILTER('Arrived Shipments'!O:O, 'Arrived Shipments'!B:B=$B546),3),
    IFERROR(
        INDEX(FILTER('POed not arrived'!D:D, 'POed not arrived'!A:A=$B546),3),
        """"
    )
)"),"")</f>
        <v/>
      </c>
      <c r="Q546" s="202"/>
      <c r="R546" s="206" t="str">
        <f>IFERROR(__xludf.DUMMYFUNCTION("IFERROR(
    INDEX(FILTER('Arrived Shipments'!O:O, 'Arrived Shipments'!B:B=$B546),4),
    IFERROR(
        INDEX(FILTER('POed not arrived'!D:D, 'POed not arrived'!A:A=$B546),4),
        """"
    )
)"),"")</f>
        <v/>
      </c>
      <c r="S546" s="202"/>
      <c r="T546" s="202">
        <f t="shared" si="8"/>
        <v>0</v>
      </c>
      <c r="U546" s="198"/>
      <c r="V546" s="199"/>
      <c r="W546" s="197"/>
      <c r="X546" s="197"/>
      <c r="Y546" s="199"/>
      <c r="Z546" s="199"/>
      <c r="AA546" s="204" t="str">
        <f t="shared" si="4"/>
        <v/>
      </c>
      <c r="AB546" s="198"/>
      <c r="AC546" s="199"/>
      <c r="AD546" s="199"/>
      <c r="AE546" s="199"/>
      <c r="AF546" s="199"/>
      <c r="AG546" s="199"/>
      <c r="AH546" s="199"/>
      <c r="AI546" s="199"/>
      <c r="AJ546" s="199"/>
      <c r="AK546" s="199"/>
      <c r="AL546" s="199"/>
      <c r="AM546" s="198"/>
      <c r="AN546" s="197"/>
      <c r="AO546" s="197"/>
      <c r="AP546" s="197"/>
      <c r="AQ546" s="197"/>
      <c r="AR546" s="197"/>
      <c r="AS546" s="197"/>
    </row>
    <row r="547">
      <c r="A547" s="198" t="str">
        <f t="shared" si="1"/>
        <v/>
      </c>
      <c r="B547" s="205"/>
      <c r="C547" s="198"/>
      <c r="D547" s="199"/>
      <c r="E547" s="213"/>
      <c r="F547" s="198"/>
      <c r="G547" s="198"/>
      <c r="H547" s="199"/>
      <c r="I547" s="207"/>
      <c r="J547" s="199"/>
      <c r="K547" s="202"/>
      <c r="L547" s="205" t="str">
        <f>IFERROR(__xludf.DUMMYFUNCTION("IFERROR(
    INDEX(FILTER('Arrived Shipments'!O:O, 'Arrived Shipments'!B:B=$B547),1),
    IFERROR(
        INDEX(FILTER('POed not arrived'!D:D, 'POed not arrived'!A:A=$B547),1),
        """"
    )
)"),"")</f>
        <v/>
      </c>
      <c r="M547" s="202"/>
      <c r="N547" s="223" t="str">
        <f>IFERROR(__xludf.DUMMYFUNCTION("IFERROR(
    INDEX(FILTER('Arrived Shipments'!O:O, 'Arrived Shipments'!B:B=$B547),2),
    IFERROR(
        INDEX(FILTER('POed not arrived'!D:D, 'POed not arrived'!A:A=$B547),2),
        """"
    )
)"),"")</f>
        <v/>
      </c>
      <c r="O547" s="202"/>
      <c r="P547" s="202" t="str">
        <f>IFERROR(__xludf.DUMMYFUNCTION("IFERROR(
    INDEX(FILTER('Arrived Shipments'!O:O, 'Arrived Shipments'!B:B=$B547),3),
    IFERROR(
        INDEX(FILTER('POed not arrived'!D:D, 'POed not arrived'!A:A=$B547),3),
        """"
    )
)"),"")</f>
        <v/>
      </c>
      <c r="Q547" s="202"/>
      <c r="R547" s="206" t="str">
        <f>IFERROR(__xludf.DUMMYFUNCTION("IFERROR(
    INDEX(FILTER('Arrived Shipments'!O:O, 'Arrived Shipments'!B:B=$B547),4),
    IFERROR(
        INDEX(FILTER('POed not arrived'!D:D, 'POed not arrived'!A:A=$B547),4),
        """"
    )
)"),"")</f>
        <v/>
      </c>
      <c r="S547" s="202"/>
      <c r="T547" s="202">
        <f t="shared" si="8"/>
        <v>0</v>
      </c>
      <c r="U547" s="198"/>
      <c r="V547" s="199"/>
      <c r="W547" s="197"/>
      <c r="X547" s="197"/>
      <c r="Y547" s="199"/>
      <c r="Z547" s="199"/>
      <c r="AA547" s="204" t="str">
        <f t="shared" si="4"/>
        <v/>
      </c>
      <c r="AB547" s="198"/>
      <c r="AC547" s="199"/>
      <c r="AD547" s="199"/>
      <c r="AE547" s="199"/>
      <c r="AF547" s="199"/>
      <c r="AG547" s="199"/>
      <c r="AH547" s="199"/>
      <c r="AI547" s="199"/>
      <c r="AJ547" s="199"/>
      <c r="AK547" s="199"/>
      <c r="AL547" s="199"/>
      <c r="AM547" s="198"/>
      <c r="AN547" s="197"/>
      <c r="AO547" s="197"/>
      <c r="AP547" s="197"/>
      <c r="AQ547" s="197"/>
      <c r="AR547" s="197"/>
      <c r="AS547" s="197"/>
    </row>
    <row r="548">
      <c r="A548" s="198" t="str">
        <f t="shared" si="1"/>
        <v/>
      </c>
      <c r="B548" s="205"/>
      <c r="C548" s="198"/>
      <c r="D548" s="199"/>
      <c r="E548" s="213"/>
      <c r="F548" s="198"/>
      <c r="G548" s="198"/>
      <c r="H548" s="199"/>
      <c r="I548" s="207"/>
      <c r="J548" s="199"/>
      <c r="K548" s="202"/>
      <c r="L548" s="205" t="str">
        <f>IFERROR(__xludf.DUMMYFUNCTION("IFERROR(
    INDEX(FILTER('Arrived Shipments'!O:O, 'Arrived Shipments'!B:B=$B548),1),
    IFERROR(
        INDEX(FILTER('POed not arrived'!D:D, 'POed not arrived'!A:A=$B548),1),
        """"
    )
)"),"")</f>
        <v/>
      </c>
      <c r="M548" s="202"/>
      <c r="N548" s="223" t="str">
        <f>IFERROR(__xludf.DUMMYFUNCTION("IFERROR(
    INDEX(FILTER('Arrived Shipments'!O:O, 'Arrived Shipments'!B:B=$B548),2),
    IFERROR(
        INDEX(FILTER('POed not arrived'!D:D, 'POed not arrived'!A:A=$B548),2),
        """"
    )
)"),"")</f>
        <v/>
      </c>
      <c r="O548" s="202"/>
      <c r="P548" s="202" t="str">
        <f>IFERROR(__xludf.DUMMYFUNCTION("IFERROR(
    INDEX(FILTER('Arrived Shipments'!O:O, 'Arrived Shipments'!B:B=$B548),3),
    IFERROR(
        INDEX(FILTER('POed not arrived'!D:D, 'POed not arrived'!A:A=$B548),3),
        """"
    )
)"),"")</f>
        <v/>
      </c>
      <c r="Q548" s="202"/>
      <c r="R548" s="206" t="str">
        <f>IFERROR(__xludf.DUMMYFUNCTION("IFERROR(
    INDEX(FILTER('Arrived Shipments'!O:O, 'Arrived Shipments'!B:B=$B548),4),
    IFERROR(
        INDEX(FILTER('POed not arrived'!D:D, 'POed not arrived'!A:A=$B548),4),
        """"
    )
)"),"")</f>
        <v/>
      </c>
      <c r="S548" s="202"/>
      <c r="T548" s="202">
        <f t="shared" si="8"/>
        <v>0</v>
      </c>
      <c r="U548" s="198"/>
      <c r="V548" s="199"/>
      <c r="W548" s="197"/>
      <c r="X548" s="197"/>
      <c r="Y548" s="199"/>
      <c r="Z548" s="199"/>
      <c r="AA548" s="204" t="str">
        <f t="shared" si="4"/>
        <v/>
      </c>
      <c r="AB548" s="198"/>
      <c r="AC548" s="199"/>
      <c r="AD548" s="199"/>
      <c r="AE548" s="199"/>
      <c r="AF548" s="199"/>
      <c r="AG548" s="199"/>
      <c r="AH548" s="199"/>
      <c r="AI548" s="199"/>
      <c r="AJ548" s="199"/>
      <c r="AK548" s="199"/>
      <c r="AL548" s="199"/>
      <c r="AM548" s="198"/>
      <c r="AN548" s="197"/>
      <c r="AO548" s="197"/>
      <c r="AP548" s="197"/>
      <c r="AQ548" s="197"/>
      <c r="AR548" s="197"/>
      <c r="AS548" s="197"/>
    </row>
    <row r="549">
      <c r="A549" s="198" t="str">
        <f t="shared" si="1"/>
        <v/>
      </c>
      <c r="B549" s="205"/>
      <c r="C549" s="198"/>
      <c r="D549" s="199"/>
      <c r="E549" s="213"/>
      <c r="F549" s="198"/>
      <c r="G549" s="198"/>
      <c r="H549" s="199"/>
      <c r="I549" s="207"/>
      <c r="J549" s="199"/>
      <c r="K549" s="202"/>
      <c r="L549" s="205" t="str">
        <f>IFERROR(__xludf.DUMMYFUNCTION("IFERROR(
    INDEX(FILTER('Arrived Shipments'!O:O, 'Arrived Shipments'!B:B=$B549),1),
    IFERROR(
        INDEX(FILTER('POed not arrived'!D:D, 'POed not arrived'!A:A=$B549),1),
        """"
    )
)"),"")</f>
        <v/>
      </c>
      <c r="M549" s="202"/>
      <c r="N549" s="223" t="str">
        <f>IFERROR(__xludf.DUMMYFUNCTION("IFERROR(
    INDEX(FILTER('Arrived Shipments'!O:O, 'Arrived Shipments'!B:B=$B549),2),
    IFERROR(
        INDEX(FILTER('POed not arrived'!D:D, 'POed not arrived'!A:A=$B549),2),
        """"
    )
)"),"")</f>
        <v/>
      </c>
      <c r="O549" s="202"/>
      <c r="P549" s="202" t="str">
        <f>IFERROR(__xludf.DUMMYFUNCTION("IFERROR(
    INDEX(FILTER('Arrived Shipments'!O:O, 'Arrived Shipments'!B:B=$B549),3),
    IFERROR(
        INDEX(FILTER('POed not arrived'!D:D, 'POed not arrived'!A:A=$B549),3),
        """"
    )
)"),"")</f>
        <v/>
      </c>
      <c r="Q549" s="202"/>
      <c r="R549" s="206" t="str">
        <f>IFERROR(__xludf.DUMMYFUNCTION("IFERROR(
    INDEX(FILTER('Arrived Shipments'!O:O, 'Arrived Shipments'!B:B=$B549),4),
    IFERROR(
        INDEX(FILTER('POed not arrived'!D:D, 'POed not arrived'!A:A=$B549),4),
        """"
    )
)"),"")</f>
        <v/>
      </c>
      <c r="S549" s="202"/>
      <c r="T549" s="202">
        <f t="shared" si="8"/>
        <v>0</v>
      </c>
      <c r="U549" s="198"/>
      <c r="V549" s="199"/>
      <c r="W549" s="197"/>
      <c r="X549" s="197"/>
      <c r="Y549" s="199"/>
      <c r="Z549" s="199"/>
      <c r="AA549" s="204" t="str">
        <f t="shared" si="4"/>
        <v/>
      </c>
      <c r="AB549" s="198"/>
      <c r="AC549" s="199"/>
      <c r="AD549" s="199"/>
      <c r="AE549" s="199"/>
      <c r="AF549" s="199"/>
      <c r="AG549" s="199"/>
      <c r="AH549" s="199"/>
      <c r="AI549" s="199"/>
      <c r="AJ549" s="199"/>
      <c r="AK549" s="199"/>
      <c r="AL549" s="199"/>
      <c r="AM549" s="198"/>
      <c r="AN549" s="197"/>
      <c r="AO549" s="197"/>
      <c r="AP549" s="197"/>
      <c r="AQ549" s="197"/>
      <c r="AR549" s="197"/>
      <c r="AS549" s="197"/>
    </row>
    <row r="550">
      <c r="A550" s="198" t="str">
        <f t="shared" si="1"/>
        <v/>
      </c>
      <c r="B550" s="205"/>
      <c r="C550" s="198"/>
      <c r="D550" s="199"/>
      <c r="E550" s="213"/>
      <c r="F550" s="198"/>
      <c r="G550" s="198"/>
      <c r="H550" s="199"/>
      <c r="I550" s="207"/>
      <c r="J550" s="199"/>
      <c r="K550" s="202"/>
      <c r="L550" s="205" t="str">
        <f>IFERROR(__xludf.DUMMYFUNCTION("IFERROR(
    INDEX(FILTER('Arrived Shipments'!O:O, 'Arrived Shipments'!B:B=$B550),1),
    IFERROR(
        INDEX(FILTER('POed not arrived'!D:D, 'POed not arrived'!A:A=$B550),1),
        """"
    )
)"),"")</f>
        <v/>
      </c>
      <c r="M550" s="202"/>
      <c r="N550" s="223" t="str">
        <f>IFERROR(__xludf.DUMMYFUNCTION("IFERROR(
    INDEX(FILTER('Arrived Shipments'!O:O, 'Arrived Shipments'!B:B=$B550),2),
    IFERROR(
        INDEX(FILTER('POed not arrived'!D:D, 'POed not arrived'!A:A=$B550),2),
        """"
    )
)"),"")</f>
        <v/>
      </c>
      <c r="O550" s="202"/>
      <c r="P550" s="202" t="str">
        <f>IFERROR(__xludf.DUMMYFUNCTION("IFERROR(
    INDEX(FILTER('Arrived Shipments'!O:O, 'Arrived Shipments'!B:B=$B550),3),
    IFERROR(
        INDEX(FILTER('POed not arrived'!D:D, 'POed not arrived'!A:A=$B550),3),
        """"
    )
)"),"")</f>
        <v/>
      </c>
      <c r="Q550" s="202"/>
      <c r="R550" s="206" t="str">
        <f>IFERROR(__xludf.DUMMYFUNCTION("IFERROR(
    INDEX(FILTER('Arrived Shipments'!O:O, 'Arrived Shipments'!B:B=$B550),4),
    IFERROR(
        INDEX(FILTER('POed not arrived'!D:D, 'POed not arrived'!A:A=$B550),4),
        """"
    )
)"),"")</f>
        <v/>
      </c>
      <c r="S550" s="202"/>
      <c r="T550" s="202">
        <f t="shared" si="8"/>
        <v>0</v>
      </c>
      <c r="U550" s="198"/>
      <c r="V550" s="199"/>
      <c r="W550" s="197"/>
      <c r="X550" s="197"/>
      <c r="Y550" s="199"/>
      <c r="Z550" s="199"/>
      <c r="AA550" s="204" t="str">
        <f t="shared" si="4"/>
        <v/>
      </c>
      <c r="AB550" s="198"/>
      <c r="AC550" s="199"/>
      <c r="AD550" s="199"/>
      <c r="AE550" s="199"/>
      <c r="AF550" s="199"/>
      <c r="AG550" s="199"/>
      <c r="AH550" s="199"/>
      <c r="AI550" s="199"/>
      <c r="AJ550" s="199"/>
      <c r="AK550" s="199"/>
      <c r="AL550" s="199"/>
      <c r="AM550" s="198"/>
      <c r="AN550" s="197"/>
      <c r="AO550" s="197"/>
      <c r="AP550" s="197"/>
      <c r="AQ550" s="197"/>
      <c r="AR550" s="197"/>
      <c r="AS550" s="197"/>
    </row>
    <row r="551">
      <c r="A551" s="198" t="str">
        <f t="shared" si="1"/>
        <v/>
      </c>
      <c r="B551" s="205"/>
      <c r="C551" s="198"/>
      <c r="D551" s="199"/>
      <c r="E551" s="213"/>
      <c r="F551" s="198"/>
      <c r="G551" s="198"/>
      <c r="H551" s="199"/>
      <c r="I551" s="207"/>
      <c r="J551" s="199"/>
      <c r="K551" s="202"/>
      <c r="L551" s="205" t="str">
        <f>IFERROR(__xludf.DUMMYFUNCTION("IFERROR(
    INDEX(FILTER('Arrived Shipments'!O:O, 'Arrived Shipments'!B:B=$B551),1),
    IFERROR(
        INDEX(FILTER('POed not arrived'!D:D, 'POed not arrived'!A:A=$B551),1),
        """"
    )
)"),"")</f>
        <v/>
      </c>
      <c r="M551" s="202"/>
      <c r="N551" s="223" t="str">
        <f>IFERROR(__xludf.DUMMYFUNCTION("IFERROR(
    INDEX(FILTER('Arrived Shipments'!O:O, 'Arrived Shipments'!B:B=$B551),2),
    IFERROR(
        INDEX(FILTER('POed not arrived'!D:D, 'POed not arrived'!A:A=$B551),2),
        """"
    )
)"),"")</f>
        <v/>
      </c>
      <c r="O551" s="202"/>
      <c r="P551" s="202" t="str">
        <f>IFERROR(__xludf.DUMMYFUNCTION("IFERROR(
    INDEX(FILTER('Arrived Shipments'!O:O, 'Arrived Shipments'!B:B=$B551),3),
    IFERROR(
        INDEX(FILTER('POed not arrived'!D:D, 'POed not arrived'!A:A=$B551),3),
        """"
    )
)"),"")</f>
        <v/>
      </c>
      <c r="Q551" s="202"/>
      <c r="R551" s="206" t="str">
        <f>IFERROR(__xludf.DUMMYFUNCTION("IFERROR(
    INDEX(FILTER('Arrived Shipments'!O:O, 'Arrived Shipments'!B:B=$B551),4),
    IFERROR(
        INDEX(FILTER('POed not arrived'!D:D, 'POed not arrived'!A:A=$B551),4),
        """"
    )
)"),"")</f>
        <v/>
      </c>
      <c r="S551" s="202"/>
      <c r="T551" s="202">
        <f t="shared" si="8"/>
        <v>0</v>
      </c>
      <c r="U551" s="198"/>
      <c r="V551" s="199"/>
      <c r="W551" s="197"/>
      <c r="X551" s="197"/>
      <c r="Y551" s="199"/>
      <c r="Z551" s="199"/>
      <c r="AA551" s="204" t="str">
        <f t="shared" si="4"/>
        <v/>
      </c>
      <c r="AB551" s="198"/>
      <c r="AC551" s="199"/>
      <c r="AD551" s="199"/>
      <c r="AE551" s="199"/>
      <c r="AF551" s="199"/>
      <c r="AG551" s="199"/>
      <c r="AH551" s="199"/>
      <c r="AI551" s="199"/>
      <c r="AJ551" s="199"/>
      <c r="AK551" s="199"/>
      <c r="AL551" s="199"/>
      <c r="AM551" s="198"/>
      <c r="AN551" s="197"/>
      <c r="AO551" s="197"/>
      <c r="AP551" s="197"/>
      <c r="AQ551" s="197"/>
      <c r="AR551" s="197"/>
      <c r="AS551" s="197"/>
    </row>
    <row r="552">
      <c r="A552" s="198" t="str">
        <f t="shared" si="1"/>
        <v/>
      </c>
      <c r="B552" s="205"/>
      <c r="C552" s="198"/>
      <c r="D552" s="199"/>
      <c r="E552" s="213"/>
      <c r="F552" s="198"/>
      <c r="G552" s="198"/>
      <c r="H552" s="199"/>
      <c r="I552" s="207"/>
      <c r="J552" s="199"/>
      <c r="K552" s="202"/>
      <c r="L552" s="205" t="str">
        <f>IFERROR(__xludf.DUMMYFUNCTION("IFERROR(
    INDEX(FILTER('Arrived Shipments'!O:O, 'Arrived Shipments'!B:B=$B552),1),
    IFERROR(
        INDEX(FILTER('POed not arrived'!D:D, 'POed not arrived'!A:A=$B552),1),
        """"
    )
)"),"")</f>
        <v/>
      </c>
      <c r="M552" s="202"/>
      <c r="N552" s="223" t="str">
        <f>IFERROR(__xludf.DUMMYFUNCTION("IFERROR(
    INDEX(FILTER('Arrived Shipments'!O:O, 'Arrived Shipments'!B:B=$B552),2),
    IFERROR(
        INDEX(FILTER('POed not arrived'!D:D, 'POed not arrived'!A:A=$B552),2),
        """"
    )
)"),"")</f>
        <v/>
      </c>
      <c r="O552" s="202"/>
      <c r="P552" s="202" t="str">
        <f>IFERROR(__xludf.DUMMYFUNCTION("IFERROR(
    INDEX(FILTER('Arrived Shipments'!O:O, 'Arrived Shipments'!B:B=$B552),3),
    IFERROR(
        INDEX(FILTER('POed not arrived'!D:D, 'POed not arrived'!A:A=$B552),3),
        """"
    )
)"),"")</f>
        <v/>
      </c>
      <c r="Q552" s="202"/>
      <c r="R552" s="206" t="str">
        <f>IFERROR(__xludf.DUMMYFUNCTION("IFERROR(
    INDEX(FILTER('Arrived Shipments'!O:O, 'Arrived Shipments'!B:B=$B552),4),
    IFERROR(
        INDEX(FILTER('POed not arrived'!D:D, 'POed not arrived'!A:A=$B552),4),
        """"
    )
)"),"")</f>
        <v/>
      </c>
      <c r="S552" s="202"/>
      <c r="T552" s="202">
        <f t="shared" si="8"/>
        <v>0</v>
      </c>
      <c r="U552" s="198"/>
      <c r="V552" s="199"/>
      <c r="W552" s="197"/>
      <c r="X552" s="197"/>
      <c r="Y552" s="199"/>
      <c r="Z552" s="199"/>
      <c r="AA552" s="204" t="str">
        <f t="shared" si="4"/>
        <v/>
      </c>
      <c r="AB552" s="198"/>
      <c r="AC552" s="199"/>
      <c r="AD552" s="199"/>
      <c r="AE552" s="199"/>
      <c r="AF552" s="199"/>
      <c r="AG552" s="199"/>
      <c r="AH552" s="199"/>
      <c r="AI552" s="199"/>
      <c r="AJ552" s="199"/>
      <c r="AK552" s="199"/>
      <c r="AL552" s="199"/>
      <c r="AM552" s="198"/>
      <c r="AN552" s="197"/>
      <c r="AO552" s="197"/>
      <c r="AP552" s="197"/>
      <c r="AQ552" s="197"/>
      <c r="AR552" s="197"/>
      <c r="AS552" s="197"/>
    </row>
    <row r="553">
      <c r="A553" s="198" t="str">
        <f t="shared" si="1"/>
        <v/>
      </c>
      <c r="B553" s="205"/>
      <c r="C553" s="198"/>
      <c r="D553" s="199"/>
      <c r="E553" s="213"/>
      <c r="F553" s="198"/>
      <c r="G553" s="198"/>
      <c r="H553" s="199"/>
      <c r="I553" s="207"/>
      <c r="J553" s="199"/>
      <c r="K553" s="202"/>
      <c r="L553" s="205" t="str">
        <f>IFERROR(__xludf.DUMMYFUNCTION("IFERROR(
    INDEX(FILTER('Arrived Shipments'!O:O, 'Arrived Shipments'!B:B=$B553),1),
    IFERROR(
        INDEX(FILTER('POed not arrived'!D:D, 'POed not arrived'!A:A=$B553),1),
        """"
    )
)"),"")</f>
        <v/>
      </c>
      <c r="M553" s="202"/>
      <c r="N553" s="223" t="str">
        <f>IFERROR(__xludf.DUMMYFUNCTION("IFERROR(
    INDEX(FILTER('Arrived Shipments'!O:O, 'Arrived Shipments'!B:B=$B553),2),
    IFERROR(
        INDEX(FILTER('POed not arrived'!D:D, 'POed not arrived'!A:A=$B553),2),
        """"
    )
)"),"")</f>
        <v/>
      </c>
      <c r="O553" s="202"/>
      <c r="P553" s="202" t="str">
        <f>IFERROR(__xludf.DUMMYFUNCTION("IFERROR(
    INDEX(FILTER('Arrived Shipments'!O:O, 'Arrived Shipments'!B:B=$B553),3),
    IFERROR(
        INDEX(FILTER('POed not arrived'!D:D, 'POed not arrived'!A:A=$B553),3),
        """"
    )
)"),"")</f>
        <v/>
      </c>
      <c r="Q553" s="202"/>
      <c r="R553" s="206" t="str">
        <f>IFERROR(__xludf.DUMMYFUNCTION("IFERROR(
    INDEX(FILTER('Arrived Shipments'!O:O, 'Arrived Shipments'!B:B=$B553),4),
    IFERROR(
        INDEX(FILTER('POed not arrived'!D:D, 'POed not arrived'!A:A=$B553),4),
        """"
    )
)"),"")</f>
        <v/>
      </c>
      <c r="S553" s="202"/>
      <c r="T553" s="202">
        <f t="shared" si="8"/>
        <v>0</v>
      </c>
      <c r="U553" s="198"/>
      <c r="V553" s="199"/>
      <c r="W553" s="197"/>
      <c r="X553" s="197"/>
      <c r="Y553" s="199"/>
      <c r="Z553" s="199"/>
      <c r="AA553" s="204" t="str">
        <f t="shared" si="4"/>
        <v/>
      </c>
      <c r="AB553" s="198"/>
      <c r="AC553" s="199"/>
      <c r="AD553" s="199"/>
      <c r="AE553" s="199"/>
      <c r="AF553" s="199"/>
      <c r="AG553" s="199"/>
      <c r="AH553" s="199"/>
      <c r="AI553" s="199"/>
      <c r="AJ553" s="199"/>
      <c r="AK553" s="199"/>
      <c r="AL553" s="199"/>
      <c r="AM553" s="198"/>
      <c r="AN553" s="197"/>
      <c r="AO553" s="197"/>
      <c r="AP553" s="197"/>
      <c r="AQ553" s="197"/>
      <c r="AR553" s="197"/>
      <c r="AS553" s="197"/>
    </row>
    <row r="554">
      <c r="A554" s="198" t="str">
        <f t="shared" si="1"/>
        <v/>
      </c>
      <c r="B554" s="205"/>
      <c r="C554" s="198"/>
      <c r="D554" s="199"/>
      <c r="E554" s="213"/>
      <c r="F554" s="198"/>
      <c r="G554" s="198"/>
      <c r="H554" s="199"/>
      <c r="I554" s="207"/>
      <c r="J554" s="199"/>
      <c r="K554" s="202"/>
      <c r="L554" s="205" t="str">
        <f>IFERROR(__xludf.DUMMYFUNCTION("IFERROR(
    INDEX(FILTER('Arrived Shipments'!O:O, 'Arrived Shipments'!B:B=$B554),1),
    IFERROR(
        INDEX(FILTER('POed not arrived'!D:D, 'POed not arrived'!A:A=$B554),1),
        """"
    )
)"),"")</f>
        <v/>
      </c>
      <c r="M554" s="202"/>
      <c r="N554" s="223" t="str">
        <f>IFERROR(__xludf.DUMMYFUNCTION("IFERROR(
    INDEX(FILTER('Arrived Shipments'!O:O, 'Arrived Shipments'!B:B=$B554),2),
    IFERROR(
        INDEX(FILTER('POed not arrived'!D:D, 'POed not arrived'!A:A=$B554),2),
        """"
    )
)"),"")</f>
        <v/>
      </c>
      <c r="O554" s="202"/>
      <c r="P554" s="202" t="str">
        <f>IFERROR(__xludf.DUMMYFUNCTION("IFERROR(
    INDEX(FILTER('Arrived Shipments'!O:O, 'Arrived Shipments'!B:B=$B554),3),
    IFERROR(
        INDEX(FILTER('POed not arrived'!D:D, 'POed not arrived'!A:A=$B554),3),
        """"
    )
)"),"")</f>
        <v/>
      </c>
      <c r="Q554" s="202"/>
      <c r="R554" s="206" t="str">
        <f>IFERROR(__xludf.DUMMYFUNCTION("IFERROR(
    INDEX(FILTER('Arrived Shipments'!O:O, 'Arrived Shipments'!B:B=$B554),4),
    IFERROR(
        INDEX(FILTER('POed not arrived'!D:D, 'POed not arrived'!A:A=$B554),4),
        """"
    )
)"),"")</f>
        <v/>
      </c>
      <c r="S554" s="202"/>
      <c r="T554" s="202">
        <f t="shared" si="8"/>
        <v>0</v>
      </c>
      <c r="U554" s="198"/>
      <c r="V554" s="199"/>
      <c r="W554" s="197"/>
      <c r="X554" s="197"/>
      <c r="Y554" s="199"/>
      <c r="Z554" s="199"/>
      <c r="AA554" s="204" t="str">
        <f t="shared" si="4"/>
        <v/>
      </c>
      <c r="AB554" s="198"/>
      <c r="AC554" s="199"/>
      <c r="AD554" s="199"/>
      <c r="AE554" s="199"/>
      <c r="AF554" s="199"/>
      <c r="AG554" s="199"/>
      <c r="AH554" s="199"/>
      <c r="AI554" s="199"/>
      <c r="AJ554" s="199"/>
      <c r="AK554" s="199"/>
      <c r="AL554" s="199"/>
      <c r="AM554" s="198"/>
      <c r="AN554" s="197"/>
      <c r="AO554" s="197"/>
      <c r="AP554" s="197"/>
      <c r="AQ554" s="197"/>
      <c r="AR554" s="197"/>
      <c r="AS554" s="197"/>
    </row>
    <row r="555">
      <c r="A555" s="198" t="str">
        <f t="shared" si="1"/>
        <v/>
      </c>
      <c r="B555" s="205"/>
      <c r="C555" s="198"/>
      <c r="D555" s="199"/>
      <c r="E555" s="213"/>
      <c r="F555" s="198"/>
      <c r="G555" s="198"/>
      <c r="H555" s="199"/>
      <c r="I555" s="207"/>
      <c r="J555" s="199"/>
      <c r="K555" s="202"/>
      <c r="L555" s="205" t="str">
        <f>IFERROR(__xludf.DUMMYFUNCTION("IFERROR(
    INDEX(FILTER('Arrived Shipments'!O:O, 'Arrived Shipments'!B:B=$B555),1),
    IFERROR(
        INDEX(FILTER('POed not arrived'!D:D, 'POed not arrived'!A:A=$B555),1),
        """"
    )
)"),"")</f>
        <v/>
      </c>
      <c r="M555" s="202"/>
      <c r="N555" s="223" t="str">
        <f>IFERROR(__xludf.DUMMYFUNCTION("IFERROR(
    INDEX(FILTER('Arrived Shipments'!O:O, 'Arrived Shipments'!B:B=$B555),2),
    IFERROR(
        INDEX(FILTER('POed not arrived'!D:D, 'POed not arrived'!A:A=$B555),2),
        """"
    )
)"),"")</f>
        <v/>
      </c>
      <c r="O555" s="202"/>
      <c r="P555" s="202" t="str">
        <f>IFERROR(__xludf.DUMMYFUNCTION("IFERROR(
    INDEX(FILTER('Arrived Shipments'!O:O, 'Arrived Shipments'!B:B=$B555),3),
    IFERROR(
        INDEX(FILTER('POed not arrived'!D:D, 'POed not arrived'!A:A=$B555),3),
        """"
    )
)"),"")</f>
        <v/>
      </c>
      <c r="Q555" s="202"/>
      <c r="R555" s="206" t="str">
        <f>IFERROR(__xludf.DUMMYFUNCTION("IFERROR(
    INDEX(FILTER('Arrived Shipments'!O:O, 'Arrived Shipments'!B:B=$B555),4),
    IFERROR(
        INDEX(FILTER('POed not arrived'!D:D, 'POed not arrived'!A:A=$B555),4),
        """"
    )
)"),"")</f>
        <v/>
      </c>
      <c r="S555" s="202"/>
      <c r="T555" s="202">
        <f t="shared" si="8"/>
        <v>0</v>
      </c>
      <c r="U555" s="198"/>
      <c r="V555" s="199"/>
      <c r="W555" s="197"/>
      <c r="X555" s="197"/>
      <c r="Y555" s="199"/>
      <c r="Z555" s="199"/>
      <c r="AA555" s="204" t="str">
        <f t="shared" si="4"/>
        <v/>
      </c>
      <c r="AB555" s="198"/>
      <c r="AC555" s="199"/>
      <c r="AD555" s="199"/>
      <c r="AE555" s="199"/>
      <c r="AF555" s="199"/>
      <c r="AG555" s="199"/>
      <c r="AH555" s="199"/>
      <c r="AI555" s="199"/>
      <c r="AJ555" s="199"/>
      <c r="AK555" s="199"/>
      <c r="AL555" s="199"/>
      <c r="AM555" s="198"/>
      <c r="AN555" s="197"/>
      <c r="AO555" s="197"/>
      <c r="AP555" s="197"/>
      <c r="AQ555" s="197"/>
      <c r="AR555" s="197"/>
      <c r="AS555" s="197"/>
    </row>
    <row r="556">
      <c r="A556" s="198" t="str">
        <f t="shared" si="1"/>
        <v/>
      </c>
      <c r="B556" s="205"/>
      <c r="C556" s="198"/>
      <c r="D556" s="199"/>
      <c r="E556" s="213"/>
      <c r="F556" s="198"/>
      <c r="G556" s="198"/>
      <c r="H556" s="199"/>
      <c r="I556" s="207"/>
      <c r="J556" s="199"/>
      <c r="K556" s="202"/>
      <c r="L556" s="205" t="str">
        <f>IFERROR(__xludf.DUMMYFUNCTION("IFERROR(
    INDEX(FILTER('Arrived Shipments'!O:O, 'Arrived Shipments'!B:B=$B556),1),
    IFERROR(
        INDEX(FILTER('POed not arrived'!D:D, 'POed not arrived'!A:A=$B556),1),
        """"
    )
)"),"")</f>
        <v/>
      </c>
      <c r="M556" s="202"/>
      <c r="N556" s="223" t="str">
        <f>IFERROR(__xludf.DUMMYFUNCTION("IFERROR(
    INDEX(FILTER('Arrived Shipments'!O:O, 'Arrived Shipments'!B:B=$B556),2),
    IFERROR(
        INDEX(FILTER('POed not arrived'!D:D, 'POed not arrived'!A:A=$B556),2),
        """"
    )
)"),"")</f>
        <v/>
      </c>
      <c r="O556" s="202"/>
      <c r="P556" s="202" t="str">
        <f>IFERROR(__xludf.DUMMYFUNCTION("IFERROR(
    INDEX(FILTER('Arrived Shipments'!O:O, 'Arrived Shipments'!B:B=$B556),3),
    IFERROR(
        INDEX(FILTER('POed not arrived'!D:D, 'POed not arrived'!A:A=$B556),3),
        """"
    )
)"),"")</f>
        <v/>
      </c>
      <c r="Q556" s="202"/>
      <c r="R556" s="206" t="str">
        <f>IFERROR(__xludf.DUMMYFUNCTION("IFERROR(
    INDEX(FILTER('Arrived Shipments'!O:O, 'Arrived Shipments'!B:B=$B556),4),
    IFERROR(
        INDEX(FILTER('POed not arrived'!D:D, 'POed not arrived'!A:A=$B556),4),
        """"
    )
)"),"")</f>
        <v/>
      </c>
      <c r="S556" s="202"/>
      <c r="T556" s="202">
        <f t="shared" si="8"/>
        <v>0</v>
      </c>
      <c r="U556" s="198"/>
      <c r="V556" s="199"/>
      <c r="W556" s="197"/>
      <c r="X556" s="197"/>
      <c r="Y556" s="199"/>
      <c r="Z556" s="199"/>
      <c r="AA556" s="204" t="str">
        <f t="shared" si="4"/>
        <v/>
      </c>
      <c r="AB556" s="198"/>
      <c r="AC556" s="199"/>
      <c r="AD556" s="199"/>
      <c r="AE556" s="199"/>
      <c r="AF556" s="199"/>
      <c r="AG556" s="199"/>
      <c r="AH556" s="199"/>
      <c r="AI556" s="199"/>
      <c r="AJ556" s="199"/>
      <c r="AK556" s="199"/>
      <c r="AL556" s="199"/>
      <c r="AM556" s="198"/>
      <c r="AN556" s="197"/>
      <c r="AO556" s="197"/>
      <c r="AP556" s="197"/>
      <c r="AQ556" s="197"/>
      <c r="AR556" s="197"/>
      <c r="AS556" s="197"/>
    </row>
    <row r="557">
      <c r="A557" s="198" t="str">
        <f t="shared" si="1"/>
        <v/>
      </c>
      <c r="B557" s="205"/>
      <c r="C557" s="198"/>
      <c r="D557" s="199"/>
      <c r="E557" s="213"/>
      <c r="F557" s="198"/>
      <c r="G557" s="198"/>
      <c r="H557" s="199"/>
      <c r="I557" s="207"/>
      <c r="J557" s="199"/>
      <c r="K557" s="202"/>
      <c r="L557" s="205" t="str">
        <f>IFERROR(__xludf.DUMMYFUNCTION("IFERROR(
    INDEX(FILTER('Arrived Shipments'!O:O, 'Arrived Shipments'!B:B=$B557),1),
    IFERROR(
        INDEX(FILTER('POed not arrived'!D:D, 'POed not arrived'!A:A=$B557),1),
        """"
    )
)"),"")</f>
        <v/>
      </c>
      <c r="M557" s="202"/>
      <c r="N557" s="223" t="str">
        <f>IFERROR(__xludf.DUMMYFUNCTION("IFERROR(
    INDEX(FILTER('Arrived Shipments'!O:O, 'Arrived Shipments'!B:B=$B557),2),
    IFERROR(
        INDEX(FILTER('POed not arrived'!D:D, 'POed not arrived'!A:A=$B557),2),
        """"
    )
)"),"")</f>
        <v/>
      </c>
      <c r="O557" s="202"/>
      <c r="P557" s="202" t="str">
        <f>IFERROR(__xludf.DUMMYFUNCTION("IFERROR(
    INDEX(FILTER('Arrived Shipments'!O:O, 'Arrived Shipments'!B:B=$B557),3),
    IFERROR(
        INDEX(FILTER('POed not arrived'!D:D, 'POed not arrived'!A:A=$B557),3),
        """"
    )
)"),"")</f>
        <v/>
      </c>
      <c r="Q557" s="202"/>
      <c r="R557" s="206" t="str">
        <f>IFERROR(__xludf.DUMMYFUNCTION("IFERROR(
    INDEX(FILTER('Arrived Shipments'!O:O, 'Arrived Shipments'!B:B=$B557),4),
    IFERROR(
        INDEX(FILTER('POed not arrived'!D:D, 'POed not arrived'!A:A=$B557),4),
        """"
    )
)"),"")</f>
        <v/>
      </c>
      <c r="S557" s="202"/>
      <c r="T557" s="202">
        <f t="shared" si="8"/>
        <v>0</v>
      </c>
      <c r="U557" s="198"/>
      <c r="V557" s="199"/>
      <c r="W557" s="197"/>
      <c r="X557" s="197"/>
      <c r="Y557" s="199"/>
      <c r="Z557" s="199"/>
      <c r="AA557" s="204" t="str">
        <f t="shared" si="4"/>
        <v/>
      </c>
      <c r="AB557" s="198"/>
      <c r="AC557" s="199"/>
      <c r="AD557" s="199"/>
      <c r="AE557" s="199"/>
      <c r="AF557" s="199"/>
      <c r="AG557" s="199"/>
      <c r="AH557" s="199"/>
      <c r="AI557" s="199"/>
      <c r="AJ557" s="199"/>
      <c r="AK557" s="199"/>
      <c r="AL557" s="199"/>
      <c r="AM557" s="198"/>
      <c r="AN557" s="197"/>
      <c r="AO557" s="197"/>
      <c r="AP557" s="197"/>
      <c r="AQ557" s="197"/>
      <c r="AR557" s="197"/>
      <c r="AS557" s="197"/>
    </row>
    <row r="558">
      <c r="A558" s="198" t="str">
        <f t="shared" si="1"/>
        <v/>
      </c>
      <c r="B558" s="205"/>
      <c r="C558" s="198"/>
      <c r="D558" s="199"/>
      <c r="E558" s="213"/>
      <c r="F558" s="198"/>
      <c r="G558" s="198"/>
      <c r="H558" s="199"/>
      <c r="I558" s="207"/>
      <c r="J558" s="199"/>
      <c r="K558" s="202"/>
      <c r="L558" s="205" t="str">
        <f>IFERROR(__xludf.DUMMYFUNCTION("IFERROR(
    INDEX(FILTER('Arrived Shipments'!O:O, 'Arrived Shipments'!B:B=$B558),1),
    IFERROR(
        INDEX(FILTER('POed not arrived'!D:D, 'POed not arrived'!A:A=$B558),1),
        """"
    )
)"),"")</f>
        <v/>
      </c>
      <c r="M558" s="202"/>
      <c r="N558" s="223" t="str">
        <f>IFERROR(__xludf.DUMMYFUNCTION("IFERROR(
    INDEX(FILTER('Arrived Shipments'!O:O, 'Arrived Shipments'!B:B=$B558),2),
    IFERROR(
        INDEX(FILTER('POed not arrived'!D:D, 'POed not arrived'!A:A=$B558),2),
        """"
    )
)"),"")</f>
        <v/>
      </c>
      <c r="O558" s="202"/>
      <c r="P558" s="202" t="str">
        <f>IFERROR(__xludf.DUMMYFUNCTION("IFERROR(
    INDEX(FILTER('Arrived Shipments'!O:O, 'Arrived Shipments'!B:B=$B558),3),
    IFERROR(
        INDEX(FILTER('POed not arrived'!D:D, 'POed not arrived'!A:A=$B558),3),
        """"
    )
)"),"")</f>
        <v/>
      </c>
      <c r="Q558" s="202"/>
      <c r="R558" s="206" t="str">
        <f>IFERROR(__xludf.DUMMYFUNCTION("IFERROR(
    INDEX(FILTER('Arrived Shipments'!O:O, 'Arrived Shipments'!B:B=$B558),4),
    IFERROR(
        INDEX(FILTER('POed not arrived'!D:D, 'POed not arrived'!A:A=$B558),4),
        """"
    )
)"),"")</f>
        <v/>
      </c>
      <c r="S558" s="202"/>
      <c r="T558" s="202">
        <f t="shared" si="8"/>
        <v>0</v>
      </c>
      <c r="U558" s="198"/>
      <c r="V558" s="199"/>
      <c r="W558" s="197"/>
      <c r="X558" s="197"/>
      <c r="Y558" s="199"/>
      <c r="Z558" s="199"/>
      <c r="AA558" s="204" t="str">
        <f t="shared" si="4"/>
        <v/>
      </c>
      <c r="AB558" s="198"/>
      <c r="AC558" s="199"/>
      <c r="AD558" s="199"/>
      <c r="AE558" s="199"/>
      <c r="AF558" s="199"/>
      <c r="AG558" s="199"/>
      <c r="AH558" s="199"/>
      <c r="AI558" s="199"/>
      <c r="AJ558" s="199"/>
      <c r="AK558" s="199"/>
      <c r="AL558" s="199"/>
      <c r="AM558" s="198"/>
      <c r="AN558" s="197"/>
      <c r="AO558" s="197"/>
      <c r="AP558" s="197"/>
      <c r="AQ558" s="197"/>
      <c r="AR558" s="197"/>
      <c r="AS558" s="197"/>
    </row>
    <row r="559">
      <c r="A559" s="198" t="str">
        <f t="shared" si="1"/>
        <v/>
      </c>
      <c r="B559" s="205"/>
      <c r="C559" s="198"/>
      <c r="D559" s="199"/>
      <c r="E559" s="213"/>
      <c r="F559" s="198"/>
      <c r="G559" s="198"/>
      <c r="H559" s="199"/>
      <c r="I559" s="207"/>
      <c r="J559" s="199"/>
      <c r="K559" s="202"/>
      <c r="L559" s="205" t="str">
        <f>IFERROR(__xludf.DUMMYFUNCTION("IFERROR(
    INDEX(FILTER('Arrived Shipments'!O:O, 'Arrived Shipments'!B:B=$B559),1),
    IFERROR(
        INDEX(FILTER('POed not arrived'!D:D, 'POed not arrived'!A:A=$B559),1),
        """"
    )
)"),"")</f>
        <v/>
      </c>
      <c r="M559" s="202"/>
      <c r="N559" s="223" t="str">
        <f>IFERROR(__xludf.DUMMYFUNCTION("IFERROR(
    INDEX(FILTER('Arrived Shipments'!O:O, 'Arrived Shipments'!B:B=$B559),2),
    IFERROR(
        INDEX(FILTER('POed not arrived'!D:D, 'POed not arrived'!A:A=$B559),2),
        """"
    )
)"),"")</f>
        <v/>
      </c>
      <c r="O559" s="202"/>
      <c r="P559" s="202" t="str">
        <f>IFERROR(__xludf.DUMMYFUNCTION("IFERROR(
    INDEX(FILTER('Arrived Shipments'!O:O, 'Arrived Shipments'!B:B=$B559),3),
    IFERROR(
        INDEX(FILTER('POed not arrived'!D:D, 'POed not arrived'!A:A=$B559),3),
        """"
    )
)"),"")</f>
        <v/>
      </c>
      <c r="Q559" s="202"/>
      <c r="R559" s="206" t="str">
        <f>IFERROR(__xludf.DUMMYFUNCTION("IFERROR(
    INDEX(FILTER('Arrived Shipments'!O:O, 'Arrived Shipments'!B:B=$B559),4),
    IFERROR(
        INDEX(FILTER('POed not arrived'!D:D, 'POed not arrived'!A:A=$B559),4),
        """"
    )
)"),"")</f>
        <v/>
      </c>
      <c r="S559" s="202"/>
      <c r="T559" s="202">
        <f t="shared" si="8"/>
        <v>0</v>
      </c>
      <c r="U559" s="198"/>
      <c r="V559" s="199"/>
      <c r="W559" s="197"/>
      <c r="X559" s="197"/>
      <c r="Y559" s="199"/>
      <c r="Z559" s="199"/>
      <c r="AA559" s="204" t="str">
        <f t="shared" si="4"/>
        <v/>
      </c>
      <c r="AB559" s="198"/>
      <c r="AC559" s="199"/>
      <c r="AD559" s="199"/>
      <c r="AE559" s="199"/>
      <c r="AF559" s="199"/>
      <c r="AG559" s="199"/>
      <c r="AH559" s="199"/>
      <c r="AI559" s="199"/>
      <c r="AJ559" s="199"/>
      <c r="AK559" s="199"/>
      <c r="AL559" s="199"/>
      <c r="AM559" s="198"/>
      <c r="AN559" s="197"/>
      <c r="AO559" s="197"/>
      <c r="AP559" s="197"/>
      <c r="AQ559" s="197"/>
      <c r="AR559" s="197"/>
      <c r="AS559" s="197"/>
    </row>
    <row r="560">
      <c r="A560" s="198" t="str">
        <f t="shared" si="1"/>
        <v/>
      </c>
      <c r="B560" s="205"/>
      <c r="C560" s="198"/>
      <c r="D560" s="199"/>
      <c r="E560" s="213"/>
      <c r="F560" s="198"/>
      <c r="G560" s="198"/>
      <c r="H560" s="199"/>
      <c r="I560" s="207"/>
      <c r="J560" s="199"/>
      <c r="K560" s="202"/>
      <c r="L560" s="205" t="str">
        <f>IFERROR(__xludf.DUMMYFUNCTION("IFERROR(
    INDEX(FILTER('Arrived Shipments'!O:O, 'Arrived Shipments'!B:B=$B560),1),
    IFERROR(
        INDEX(FILTER('POed not arrived'!D:D, 'POed not arrived'!A:A=$B560),1),
        """"
    )
)"),"")</f>
        <v/>
      </c>
      <c r="M560" s="202"/>
      <c r="N560" s="223" t="str">
        <f>IFERROR(__xludf.DUMMYFUNCTION("IFERROR(
    INDEX(FILTER('Arrived Shipments'!O:O, 'Arrived Shipments'!B:B=$B560),2),
    IFERROR(
        INDEX(FILTER('POed not arrived'!D:D, 'POed not arrived'!A:A=$B560),2),
        """"
    )
)"),"")</f>
        <v/>
      </c>
      <c r="O560" s="202"/>
      <c r="P560" s="202" t="str">
        <f>IFERROR(__xludf.DUMMYFUNCTION("IFERROR(
    INDEX(FILTER('Arrived Shipments'!O:O, 'Arrived Shipments'!B:B=$B560),3),
    IFERROR(
        INDEX(FILTER('POed not arrived'!D:D, 'POed not arrived'!A:A=$B560),3),
        """"
    )
)"),"")</f>
        <v/>
      </c>
      <c r="Q560" s="202"/>
      <c r="R560" s="206" t="str">
        <f>IFERROR(__xludf.DUMMYFUNCTION("IFERROR(
    INDEX(FILTER('Arrived Shipments'!O:O, 'Arrived Shipments'!B:B=$B560),4),
    IFERROR(
        INDEX(FILTER('POed not arrived'!D:D, 'POed not arrived'!A:A=$B560),4),
        """"
    )
)"),"")</f>
        <v/>
      </c>
      <c r="S560" s="202"/>
      <c r="T560" s="202">
        <f t="shared" si="8"/>
        <v>0</v>
      </c>
      <c r="U560" s="198"/>
      <c r="V560" s="199"/>
      <c r="W560" s="197"/>
      <c r="X560" s="197"/>
      <c r="Y560" s="199"/>
      <c r="Z560" s="199"/>
      <c r="AA560" s="204" t="str">
        <f t="shared" si="4"/>
        <v/>
      </c>
      <c r="AB560" s="198"/>
      <c r="AC560" s="199"/>
      <c r="AD560" s="199"/>
      <c r="AE560" s="199"/>
      <c r="AF560" s="199"/>
      <c r="AG560" s="199"/>
      <c r="AH560" s="199"/>
      <c r="AI560" s="199"/>
      <c r="AJ560" s="199"/>
      <c r="AK560" s="199"/>
      <c r="AL560" s="199"/>
      <c r="AM560" s="198"/>
      <c r="AN560" s="197"/>
      <c r="AO560" s="197"/>
      <c r="AP560" s="197"/>
      <c r="AQ560" s="197"/>
      <c r="AR560" s="197"/>
      <c r="AS560" s="197"/>
    </row>
    <row r="561">
      <c r="A561" s="198" t="str">
        <f t="shared" si="1"/>
        <v/>
      </c>
      <c r="B561" s="205"/>
      <c r="C561" s="198"/>
      <c r="D561" s="199"/>
      <c r="E561" s="213"/>
      <c r="F561" s="198"/>
      <c r="G561" s="198"/>
      <c r="H561" s="199"/>
      <c r="I561" s="207"/>
      <c r="J561" s="199"/>
      <c r="K561" s="202"/>
      <c r="L561" s="205" t="str">
        <f>IFERROR(__xludf.DUMMYFUNCTION("IFERROR(
    INDEX(FILTER('Arrived Shipments'!O:O, 'Arrived Shipments'!B:B=$B561),1),
    IFERROR(
        INDEX(FILTER('POed not arrived'!D:D, 'POed not arrived'!A:A=$B561),1),
        """"
    )
)"),"")</f>
        <v/>
      </c>
      <c r="M561" s="202"/>
      <c r="N561" s="223" t="str">
        <f>IFERROR(__xludf.DUMMYFUNCTION("IFERROR(
    INDEX(FILTER('Arrived Shipments'!O:O, 'Arrived Shipments'!B:B=$B561),2),
    IFERROR(
        INDEX(FILTER('POed not arrived'!D:D, 'POed not arrived'!A:A=$B561),2),
        """"
    )
)"),"")</f>
        <v/>
      </c>
      <c r="O561" s="202"/>
      <c r="P561" s="202" t="str">
        <f>IFERROR(__xludf.DUMMYFUNCTION("IFERROR(
    INDEX(FILTER('Arrived Shipments'!O:O, 'Arrived Shipments'!B:B=$B561),3),
    IFERROR(
        INDEX(FILTER('POed not arrived'!D:D, 'POed not arrived'!A:A=$B561),3),
        """"
    )
)"),"")</f>
        <v/>
      </c>
      <c r="Q561" s="202"/>
      <c r="R561" s="206" t="str">
        <f>IFERROR(__xludf.DUMMYFUNCTION("IFERROR(
    INDEX(FILTER('Arrived Shipments'!O:O, 'Arrived Shipments'!B:B=$B561),4),
    IFERROR(
        INDEX(FILTER('POed not arrived'!D:D, 'POed not arrived'!A:A=$B561),4),
        """"
    )
)"),"")</f>
        <v/>
      </c>
      <c r="S561" s="202"/>
      <c r="T561" s="202">
        <f t="shared" si="8"/>
        <v>0</v>
      </c>
      <c r="U561" s="198"/>
      <c r="V561" s="199"/>
      <c r="W561" s="197"/>
      <c r="X561" s="197"/>
      <c r="Y561" s="199"/>
      <c r="Z561" s="199"/>
      <c r="AA561" s="204" t="str">
        <f t="shared" si="4"/>
        <v/>
      </c>
      <c r="AB561" s="198"/>
      <c r="AC561" s="199"/>
      <c r="AD561" s="199"/>
      <c r="AE561" s="199"/>
      <c r="AF561" s="199"/>
      <c r="AG561" s="199"/>
      <c r="AH561" s="199"/>
      <c r="AI561" s="199"/>
      <c r="AJ561" s="199"/>
      <c r="AK561" s="199"/>
      <c r="AL561" s="199"/>
      <c r="AM561" s="198"/>
      <c r="AN561" s="197"/>
      <c r="AO561" s="197"/>
      <c r="AP561" s="197"/>
      <c r="AQ561" s="197"/>
      <c r="AR561" s="197"/>
      <c r="AS561" s="197"/>
    </row>
    <row r="562">
      <c r="A562" s="198" t="str">
        <f t="shared" si="1"/>
        <v/>
      </c>
      <c r="B562" s="205"/>
      <c r="C562" s="198"/>
      <c r="D562" s="199"/>
      <c r="E562" s="213"/>
      <c r="F562" s="198"/>
      <c r="G562" s="198"/>
      <c r="H562" s="199"/>
      <c r="I562" s="207"/>
      <c r="J562" s="199"/>
      <c r="K562" s="202"/>
      <c r="L562" s="205" t="str">
        <f>IFERROR(__xludf.DUMMYFUNCTION("IFERROR(
    INDEX(FILTER('Arrived Shipments'!O:O, 'Arrived Shipments'!B:B=$B562),1),
    IFERROR(
        INDEX(FILTER('POed not arrived'!D:D, 'POed not arrived'!A:A=$B562),1),
        """"
    )
)"),"")</f>
        <v/>
      </c>
      <c r="M562" s="202"/>
      <c r="N562" s="223" t="str">
        <f>IFERROR(__xludf.DUMMYFUNCTION("IFERROR(
    INDEX(FILTER('Arrived Shipments'!O:O, 'Arrived Shipments'!B:B=$B562),2),
    IFERROR(
        INDEX(FILTER('POed not arrived'!D:D, 'POed not arrived'!A:A=$B562),2),
        """"
    )
)"),"")</f>
        <v/>
      </c>
      <c r="O562" s="202"/>
      <c r="P562" s="202" t="str">
        <f>IFERROR(__xludf.DUMMYFUNCTION("IFERROR(
    INDEX(FILTER('Arrived Shipments'!O:O, 'Arrived Shipments'!B:B=$B562),3),
    IFERROR(
        INDEX(FILTER('POed not arrived'!D:D, 'POed not arrived'!A:A=$B562),3),
        """"
    )
)"),"")</f>
        <v/>
      </c>
      <c r="Q562" s="202"/>
      <c r="R562" s="206" t="str">
        <f>IFERROR(__xludf.DUMMYFUNCTION("IFERROR(
    INDEX(FILTER('Arrived Shipments'!O:O, 'Arrived Shipments'!B:B=$B562),4),
    IFERROR(
        INDEX(FILTER('POed not arrived'!D:D, 'POed not arrived'!A:A=$B562),4),
        """"
    )
)"),"")</f>
        <v/>
      </c>
      <c r="S562" s="202"/>
      <c r="T562" s="202">
        <f t="shared" si="8"/>
        <v>0</v>
      </c>
      <c r="U562" s="198"/>
      <c r="V562" s="199"/>
      <c r="W562" s="197"/>
      <c r="X562" s="197"/>
      <c r="Y562" s="199"/>
      <c r="Z562" s="199"/>
      <c r="AA562" s="204" t="str">
        <f t="shared" si="4"/>
        <v/>
      </c>
      <c r="AB562" s="198"/>
      <c r="AC562" s="199"/>
      <c r="AD562" s="199"/>
      <c r="AE562" s="199"/>
      <c r="AF562" s="199"/>
      <c r="AG562" s="199"/>
      <c r="AH562" s="199"/>
      <c r="AI562" s="199"/>
      <c r="AJ562" s="199"/>
      <c r="AK562" s="199"/>
      <c r="AL562" s="199"/>
      <c r="AM562" s="198"/>
      <c r="AN562" s="197"/>
      <c r="AO562" s="197"/>
      <c r="AP562" s="197"/>
      <c r="AQ562" s="197"/>
      <c r="AR562" s="197"/>
      <c r="AS562" s="197"/>
    </row>
    <row r="563">
      <c r="A563" s="198" t="str">
        <f t="shared" si="1"/>
        <v/>
      </c>
      <c r="B563" s="205"/>
      <c r="C563" s="198"/>
      <c r="D563" s="199"/>
      <c r="E563" s="213"/>
      <c r="F563" s="198"/>
      <c r="G563" s="198"/>
      <c r="H563" s="199"/>
      <c r="I563" s="207"/>
      <c r="J563" s="199"/>
      <c r="K563" s="202"/>
      <c r="L563" s="205" t="str">
        <f>IFERROR(__xludf.DUMMYFUNCTION("IFERROR(
    INDEX(FILTER('Arrived Shipments'!O:O, 'Arrived Shipments'!B:B=$B563),1),
    IFERROR(
        INDEX(FILTER('POed not arrived'!D:D, 'POed not arrived'!A:A=$B563),1),
        """"
    )
)"),"")</f>
        <v/>
      </c>
      <c r="M563" s="202"/>
      <c r="N563" s="223" t="str">
        <f>IFERROR(__xludf.DUMMYFUNCTION("IFERROR(
    INDEX(FILTER('Arrived Shipments'!O:O, 'Arrived Shipments'!B:B=$B563),2),
    IFERROR(
        INDEX(FILTER('POed not arrived'!D:D, 'POed not arrived'!A:A=$B563),2),
        """"
    )
)"),"")</f>
        <v/>
      </c>
      <c r="O563" s="202"/>
      <c r="P563" s="202" t="str">
        <f>IFERROR(__xludf.DUMMYFUNCTION("IFERROR(
    INDEX(FILTER('Arrived Shipments'!O:O, 'Arrived Shipments'!B:B=$B563),3),
    IFERROR(
        INDEX(FILTER('POed not arrived'!D:D, 'POed not arrived'!A:A=$B563),3),
        """"
    )
)"),"")</f>
        <v/>
      </c>
      <c r="Q563" s="202"/>
      <c r="R563" s="206" t="str">
        <f>IFERROR(__xludf.DUMMYFUNCTION("IFERROR(
    INDEX(FILTER('Arrived Shipments'!O:O, 'Arrived Shipments'!B:B=$B563),4),
    IFERROR(
        INDEX(FILTER('POed not arrived'!D:D, 'POed not arrived'!A:A=$B563),4),
        """"
    )
)"),"")</f>
        <v/>
      </c>
      <c r="S563" s="202"/>
      <c r="T563" s="202">
        <f t="shared" si="8"/>
        <v>0</v>
      </c>
      <c r="U563" s="198"/>
      <c r="V563" s="199"/>
      <c r="W563" s="197"/>
      <c r="X563" s="197"/>
      <c r="Y563" s="199"/>
      <c r="Z563" s="199"/>
      <c r="AA563" s="204" t="str">
        <f t="shared" si="4"/>
        <v/>
      </c>
      <c r="AB563" s="198"/>
      <c r="AC563" s="199"/>
      <c r="AD563" s="199"/>
      <c r="AE563" s="199"/>
      <c r="AF563" s="199"/>
      <c r="AG563" s="199"/>
      <c r="AH563" s="199"/>
      <c r="AI563" s="199"/>
      <c r="AJ563" s="199"/>
      <c r="AK563" s="199"/>
      <c r="AL563" s="199"/>
      <c r="AM563" s="198"/>
      <c r="AN563" s="197"/>
      <c r="AO563" s="197"/>
      <c r="AP563" s="197"/>
      <c r="AQ563" s="197"/>
      <c r="AR563" s="197"/>
      <c r="AS563" s="197"/>
    </row>
    <row r="564">
      <c r="A564" s="198" t="str">
        <f t="shared" si="1"/>
        <v/>
      </c>
      <c r="B564" s="205"/>
      <c r="C564" s="198"/>
      <c r="D564" s="199"/>
      <c r="E564" s="213"/>
      <c r="F564" s="198"/>
      <c r="G564" s="198"/>
      <c r="H564" s="199"/>
      <c r="I564" s="207"/>
      <c r="J564" s="199"/>
      <c r="K564" s="202"/>
      <c r="L564" s="205" t="str">
        <f>IFERROR(__xludf.DUMMYFUNCTION("IFERROR(
    INDEX(FILTER('Arrived Shipments'!O:O, 'Arrived Shipments'!B:B=$B564),1),
    IFERROR(
        INDEX(FILTER('POed not arrived'!D:D, 'POed not arrived'!A:A=$B564),1),
        """"
    )
)"),"")</f>
        <v/>
      </c>
      <c r="M564" s="202"/>
      <c r="N564" s="223" t="str">
        <f>IFERROR(__xludf.DUMMYFUNCTION("IFERROR(
    INDEX(FILTER('Arrived Shipments'!O:O, 'Arrived Shipments'!B:B=$B564),2),
    IFERROR(
        INDEX(FILTER('POed not arrived'!D:D, 'POed not arrived'!A:A=$B564),2),
        """"
    )
)"),"")</f>
        <v/>
      </c>
      <c r="O564" s="202"/>
      <c r="P564" s="202" t="str">
        <f>IFERROR(__xludf.DUMMYFUNCTION("IFERROR(
    INDEX(FILTER('Arrived Shipments'!O:O, 'Arrived Shipments'!B:B=$B564),3),
    IFERROR(
        INDEX(FILTER('POed not arrived'!D:D, 'POed not arrived'!A:A=$B564),3),
        """"
    )
)"),"")</f>
        <v/>
      </c>
      <c r="Q564" s="202"/>
      <c r="R564" s="206" t="str">
        <f>IFERROR(__xludf.DUMMYFUNCTION("IFERROR(
    INDEX(FILTER('Arrived Shipments'!O:O, 'Arrived Shipments'!B:B=$B564),4),
    IFERROR(
        INDEX(FILTER('POed not arrived'!D:D, 'POed not arrived'!A:A=$B564),4),
        """"
    )
)"),"")</f>
        <v/>
      </c>
      <c r="S564" s="202"/>
      <c r="T564" s="202">
        <f t="shared" si="8"/>
        <v>0</v>
      </c>
      <c r="U564" s="198"/>
      <c r="V564" s="199"/>
      <c r="W564" s="197"/>
      <c r="X564" s="197"/>
      <c r="Y564" s="199"/>
      <c r="Z564" s="199"/>
      <c r="AA564" s="204" t="str">
        <f t="shared" si="4"/>
        <v/>
      </c>
      <c r="AB564" s="198"/>
      <c r="AC564" s="199"/>
      <c r="AD564" s="199"/>
      <c r="AE564" s="199"/>
      <c r="AF564" s="199"/>
      <c r="AG564" s="199"/>
      <c r="AH564" s="199"/>
      <c r="AI564" s="199"/>
      <c r="AJ564" s="199"/>
      <c r="AK564" s="199"/>
      <c r="AL564" s="199"/>
      <c r="AM564" s="198"/>
      <c r="AN564" s="197"/>
      <c r="AO564" s="197"/>
      <c r="AP564" s="197"/>
      <c r="AQ564" s="197"/>
      <c r="AR564" s="197"/>
      <c r="AS564" s="197"/>
    </row>
    <row r="565">
      <c r="A565" s="198" t="str">
        <f t="shared" si="1"/>
        <v/>
      </c>
      <c r="B565" s="205"/>
      <c r="C565" s="198"/>
      <c r="D565" s="199"/>
      <c r="E565" s="213"/>
      <c r="F565" s="198"/>
      <c r="G565" s="198"/>
      <c r="H565" s="199"/>
      <c r="I565" s="207"/>
      <c r="J565" s="199"/>
      <c r="K565" s="202"/>
      <c r="L565" s="205" t="str">
        <f>IFERROR(__xludf.DUMMYFUNCTION("IFERROR(
    INDEX(FILTER('Arrived Shipments'!O:O, 'Arrived Shipments'!B:B=$B565),1),
    IFERROR(
        INDEX(FILTER('POed not arrived'!D:D, 'POed not arrived'!A:A=$B565),1),
        """"
    )
)"),"")</f>
        <v/>
      </c>
      <c r="M565" s="202"/>
      <c r="N565" s="223" t="str">
        <f>IFERROR(__xludf.DUMMYFUNCTION("IFERROR(
    INDEX(FILTER('Arrived Shipments'!O:O, 'Arrived Shipments'!B:B=$B565),2),
    IFERROR(
        INDEX(FILTER('POed not arrived'!D:D, 'POed not arrived'!A:A=$B565),2),
        """"
    )
)"),"")</f>
        <v/>
      </c>
      <c r="O565" s="202"/>
      <c r="P565" s="202" t="str">
        <f>IFERROR(__xludf.DUMMYFUNCTION("IFERROR(
    INDEX(FILTER('Arrived Shipments'!O:O, 'Arrived Shipments'!B:B=$B565),3),
    IFERROR(
        INDEX(FILTER('POed not arrived'!D:D, 'POed not arrived'!A:A=$B565),3),
        """"
    )
)"),"")</f>
        <v/>
      </c>
      <c r="Q565" s="202"/>
      <c r="R565" s="206" t="str">
        <f>IFERROR(__xludf.DUMMYFUNCTION("IFERROR(
    INDEX(FILTER('Arrived Shipments'!O:O, 'Arrived Shipments'!B:B=$B565),4),
    IFERROR(
        INDEX(FILTER('POed not arrived'!D:D, 'POed not arrived'!A:A=$B565),4),
        """"
    )
)"),"")</f>
        <v/>
      </c>
      <c r="S565" s="202"/>
      <c r="T565" s="202">
        <f t="shared" si="8"/>
        <v>0</v>
      </c>
      <c r="U565" s="198"/>
      <c r="V565" s="199"/>
      <c r="W565" s="197"/>
      <c r="X565" s="197"/>
      <c r="Y565" s="199"/>
      <c r="Z565" s="199"/>
      <c r="AA565" s="204" t="str">
        <f t="shared" si="4"/>
        <v/>
      </c>
      <c r="AB565" s="198"/>
      <c r="AC565" s="199"/>
      <c r="AD565" s="199"/>
      <c r="AE565" s="199"/>
      <c r="AF565" s="199"/>
      <c r="AG565" s="199"/>
      <c r="AH565" s="199"/>
      <c r="AI565" s="199"/>
      <c r="AJ565" s="199"/>
      <c r="AK565" s="199"/>
      <c r="AL565" s="199"/>
      <c r="AM565" s="198"/>
      <c r="AN565" s="197"/>
      <c r="AO565" s="197"/>
      <c r="AP565" s="197"/>
      <c r="AQ565" s="197"/>
      <c r="AR565" s="197"/>
      <c r="AS565" s="197"/>
    </row>
    <row r="566">
      <c r="A566" s="198" t="str">
        <f t="shared" si="1"/>
        <v/>
      </c>
      <c r="B566" s="205"/>
      <c r="C566" s="198"/>
      <c r="D566" s="199"/>
      <c r="E566" s="213"/>
      <c r="F566" s="198"/>
      <c r="G566" s="198"/>
      <c r="H566" s="199"/>
      <c r="I566" s="207"/>
      <c r="J566" s="199"/>
      <c r="K566" s="202"/>
      <c r="L566" s="205" t="str">
        <f>IFERROR(__xludf.DUMMYFUNCTION("IFERROR(
    INDEX(FILTER('Arrived Shipments'!O:O, 'Arrived Shipments'!B:B=$B566),1),
    IFERROR(
        INDEX(FILTER('POed not arrived'!D:D, 'POed not arrived'!A:A=$B566),1),
        """"
    )
)"),"")</f>
        <v/>
      </c>
      <c r="M566" s="202"/>
      <c r="N566" s="223" t="str">
        <f>IFERROR(__xludf.DUMMYFUNCTION("IFERROR(
    INDEX(FILTER('Arrived Shipments'!O:O, 'Arrived Shipments'!B:B=$B566),2),
    IFERROR(
        INDEX(FILTER('POed not arrived'!D:D, 'POed not arrived'!A:A=$B566),2),
        """"
    )
)"),"")</f>
        <v/>
      </c>
      <c r="O566" s="202"/>
      <c r="P566" s="202" t="str">
        <f>IFERROR(__xludf.DUMMYFUNCTION("IFERROR(
    INDEX(FILTER('Arrived Shipments'!O:O, 'Arrived Shipments'!B:B=$B566),3),
    IFERROR(
        INDEX(FILTER('POed not arrived'!D:D, 'POed not arrived'!A:A=$B566),3),
        """"
    )
)"),"")</f>
        <v/>
      </c>
      <c r="Q566" s="202"/>
      <c r="R566" s="206" t="str">
        <f>IFERROR(__xludf.DUMMYFUNCTION("IFERROR(
    INDEX(FILTER('Arrived Shipments'!O:O, 'Arrived Shipments'!B:B=$B566),4),
    IFERROR(
        INDEX(FILTER('POed not arrived'!D:D, 'POed not arrived'!A:A=$B566),4),
        """"
    )
)"),"")</f>
        <v/>
      </c>
      <c r="S566" s="202"/>
      <c r="T566" s="202">
        <f t="shared" si="8"/>
        <v>0</v>
      </c>
      <c r="U566" s="198"/>
      <c r="V566" s="199"/>
      <c r="W566" s="197"/>
      <c r="X566" s="197"/>
      <c r="Y566" s="199"/>
      <c r="Z566" s="199"/>
      <c r="AA566" s="204" t="str">
        <f t="shared" si="4"/>
        <v/>
      </c>
      <c r="AB566" s="198"/>
      <c r="AC566" s="199"/>
      <c r="AD566" s="199"/>
      <c r="AE566" s="199"/>
      <c r="AF566" s="199"/>
      <c r="AG566" s="199"/>
      <c r="AH566" s="199"/>
      <c r="AI566" s="199"/>
      <c r="AJ566" s="199"/>
      <c r="AK566" s="199"/>
      <c r="AL566" s="199"/>
      <c r="AM566" s="198"/>
      <c r="AN566" s="197"/>
      <c r="AO566" s="197"/>
      <c r="AP566" s="197"/>
      <c r="AQ566" s="197"/>
      <c r="AR566" s="197"/>
      <c r="AS566" s="197"/>
    </row>
    <row r="567">
      <c r="A567" s="198" t="str">
        <f t="shared" si="1"/>
        <v/>
      </c>
      <c r="B567" s="205"/>
      <c r="C567" s="198"/>
      <c r="D567" s="199"/>
      <c r="E567" s="213"/>
      <c r="F567" s="198"/>
      <c r="G567" s="198"/>
      <c r="H567" s="199"/>
      <c r="I567" s="207"/>
      <c r="J567" s="199"/>
      <c r="K567" s="202"/>
      <c r="L567" s="205" t="str">
        <f>IFERROR(__xludf.DUMMYFUNCTION("IFERROR(
    INDEX(FILTER('Arrived Shipments'!O:O, 'Arrived Shipments'!B:B=$B567),1),
    IFERROR(
        INDEX(FILTER('POed not arrived'!D:D, 'POed not arrived'!A:A=$B567),1),
        """"
    )
)"),"")</f>
        <v/>
      </c>
      <c r="M567" s="202"/>
      <c r="N567" s="223" t="str">
        <f>IFERROR(__xludf.DUMMYFUNCTION("IFERROR(
    INDEX(FILTER('Arrived Shipments'!O:O, 'Arrived Shipments'!B:B=$B567),2),
    IFERROR(
        INDEX(FILTER('POed not arrived'!D:D, 'POed not arrived'!A:A=$B567),2),
        """"
    )
)"),"")</f>
        <v/>
      </c>
      <c r="O567" s="202"/>
      <c r="P567" s="202" t="str">
        <f>IFERROR(__xludf.DUMMYFUNCTION("IFERROR(
    INDEX(FILTER('Arrived Shipments'!O:O, 'Arrived Shipments'!B:B=$B567),3),
    IFERROR(
        INDEX(FILTER('POed not arrived'!D:D, 'POed not arrived'!A:A=$B567),3),
        """"
    )
)"),"")</f>
        <v/>
      </c>
      <c r="Q567" s="202"/>
      <c r="R567" s="206" t="str">
        <f>IFERROR(__xludf.DUMMYFUNCTION("IFERROR(
    INDEX(FILTER('Arrived Shipments'!O:O, 'Arrived Shipments'!B:B=$B567),4),
    IFERROR(
        INDEX(FILTER('POed not arrived'!D:D, 'POed not arrived'!A:A=$B567),4),
        """"
    )
)"),"")</f>
        <v/>
      </c>
      <c r="S567" s="202"/>
      <c r="T567" s="202">
        <f t="shared" si="8"/>
        <v>0</v>
      </c>
      <c r="U567" s="198"/>
      <c r="V567" s="199"/>
      <c r="W567" s="197"/>
      <c r="X567" s="197"/>
      <c r="Y567" s="199"/>
      <c r="Z567" s="199"/>
      <c r="AA567" s="204" t="str">
        <f t="shared" si="4"/>
        <v/>
      </c>
      <c r="AB567" s="198"/>
      <c r="AC567" s="199"/>
      <c r="AD567" s="199"/>
      <c r="AE567" s="199"/>
      <c r="AF567" s="199"/>
      <c r="AG567" s="199"/>
      <c r="AH567" s="199"/>
      <c r="AI567" s="199"/>
      <c r="AJ567" s="199"/>
      <c r="AK567" s="199"/>
      <c r="AL567" s="199"/>
      <c r="AM567" s="198"/>
      <c r="AN567" s="197"/>
      <c r="AO567" s="197"/>
      <c r="AP567" s="197"/>
      <c r="AQ567" s="197"/>
      <c r="AR567" s="197"/>
      <c r="AS567" s="197"/>
    </row>
    <row r="568">
      <c r="A568" s="198" t="str">
        <f t="shared" si="1"/>
        <v/>
      </c>
      <c r="B568" s="205"/>
      <c r="C568" s="198"/>
      <c r="D568" s="199"/>
      <c r="E568" s="213"/>
      <c r="F568" s="198"/>
      <c r="G568" s="198"/>
      <c r="H568" s="199"/>
      <c r="I568" s="207"/>
      <c r="J568" s="199"/>
      <c r="K568" s="202"/>
      <c r="L568" s="205" t="str">
        <f>IFERROR(__xludf.DUMMYFUNCTION("IFERROR(
    INDEX(FILTER('Arrived Shipments'!O:O, 'Arrived Shipments'!B:B=$B568),1),
    IFERROR(
        INDEX(FILTER('POed not arrived'!D:D, 'POed not arrived'!A:A=$B568),1),
        """"
    )
)"),"")</f>
        <v/>
      </c>
      <c r="M568" s="202"/>
      <c r="N568" s="223" t="str">
        <f>IFERROR(__xludf.DUMMYFUNCTION("IFERROR(
    INDEX(FILTER('Arrived Shipments'!O:O, 'Arrived Shipments'!B:B=$B568),2),
    IFERROR(
        INDEX(FILTER('POed not arrived'!D:D, 'POed not arrived'!A:A=$B568),2),
        """"
    )
)"),"")</f>
        <v/>
      </c>
      <c r="O568" s="202"/>
      <c r="P568" s="202" t="str">
        <f>IFERROR(__xludf.DUMMYFUNCTION("IFERROR(
    INDEX(FILTER('Arrived Shipments'!O:O, 'Arrived Shipments'!B:B=$B568),3),
    IFERROR(
        INDEX(FILTER('POed not arrived'!D:D, 'POed not arrived'!A:A=$B568),3),
        """"
    )
)"),"")</f>
        <v/>
      </c>
      <c r="Q568" s="202"/>
      <c r="R568" s="206" t="str">
        <f>IFERROR(__xludf.DUMMYFUNCTION("IFERROR(
    INDEX(FILTER('Arrived Shipments'!O:O, 'Arrived Shipments'!B:B=$B568),4),
    IFERROR(
        INDEX(FILTER('POed not arrived'!D:D, 'POed not arrived'!A:A=$B568),4),
        """"
    )
)"),"")</f>
        <v/>
      </c>
      <c r="S568" s="202"/>
      <c r="T568" s="202">
        <f t="shared" si="8"/>
        <v>0</v>
      </c>
      <c r="U568" s="198"/>
      <c r="V568" s="199"/>
      <c r="W568" s="197"/>
      <c r="X568" s="197"/>
      <c r="Y568" s="199"/>
      <c r="Z568" s="199"/>
      <c r="AA568" s="204" t="str">
        <f t="shared" si="4"/>
        <v/>
      </c>
      <c r="AB568" s="198"/>
      <c r="AC568" s="199"/>
      <c r="AD568" s="199"/>
      <c r="AE568" s="199"/>
      <c r="AF568" s="199"/>
      <c r="AG568" s="199"/>
      <c r="AH568" s="199"/>
      <c r="AI568" s="199"/>
      <c r="AJ568" s="199"/>
      <c r="AK568" s="199"/>
      <c r="AL568" s="199"/>
      <c r="AM568" s="198"/>
      <c r="AN568" s="197"/>
      <c r="AO568" s="197"/>
      <c r="AP568" s="197"/>
      <c r="AQ568" s="197"/>
      <c r="AR568" s="197"/>
      <c r="AS568" s="197"/>
    </row>
    <row r="569">
      <c r="A569" s="198" t="str">
        <f t="shared" si="1"/>
        <v/>
      </c>
      <c r="B569" s="205"/>
      <c r="C569" s="198"/>
      <c r="D569" s="199"/>
      <c r="E569" s="213"/>
      <c r="F569" s="198"/>
      <c r="G569" s="198"/>
      <c r="H569" s="199"/>
      <c r="I569" s="207"/>
      <c r="J569" s="199"/>
      <c r="K569" s="202"/>
      <c r="L569" s="205" t="str">
        <f>IFERROR(__xludf.DUMMYFUNCTION("IFERROR(
    INDEX(FILTER('Arrived Shipments'!O:O, 'Arrived Shipments'!B:B=$B569),1),
    IFERROR(
        INDEX(FILTER('POed not arrived'!D:D, 'POed not arrived'!A:A=$B569),1),
        """"
    )
)"),"")</f>
        <v/>
      </c>
      <c r="M569" s="202"/>
      <c r="N569" s="223" t="str">
        <f>IFERROR(__xludf.DUMMYFUNCTION("IFERROR(
    INDEX(FILTER('Arrived Shipments'!O:O, 'Arrived Shipments'!B:B=$B569),2),
    IFERROR(
        INDEX(FILTER('POed not arrived'!D:D, 'POed not arrived'!A:A=$B569),2),
        """"
    )
)"),"")</f>
        <v/>
      </c>
      <c r="O569" s="202"/>
      <c r="P569" s="202" t="str">
        <f>IFERROR(__xludf.DUMMYFUNCTION("IFERROR(
    INDEX(FILTER('Arrived Shipments'!O:O, 'Arrived Shipments'!B:B=$B569),3),
    IFERROR(
        INDEX(FILTER('POed not arrived'!D:D, 'POed not arrived'!A:A=$B569),3),
        """"
    )
)"),"")</f>
        <v/>
      </c>
      <c r="Q569" s="202"/>
      <c r="R569" s="206" t="str">
        <f>IFERROR(__xludf.DUMMYFUNCTION("IFERROR(
    INDEX(FILTER('Arrived Shipments'!O:O, 'Arrived Shipments'!B:B=$B569),4),
    IFERROR(
        INDEX(FILTER('POed not arrived'!D:D, 'POed not arrived'!A:A=$B569),4),
        """"
    )
)"),"")</f>
        <v/>
      </c>
      <c r="S569" s="202"/>
      <c r="T569" s="202">
        <f t="shared" si="8"/>
        <v>0</v>
      </c>
      <c r="U569" s="198"/>
      <c r="V569" s="199"/>
      <c r="W569" s="197"/>
      <c r="X569" s="197"/>
      <c r="Y569" s="199"/>
      <c r="Z569" s="199"/>
      <c r="AA569" s="204" t="str">
        <f t="shared" si="4"/>
        <v/>
      </c>
      <c r="AB569" s="198"/>
      <c r="AC569" s="199"/>
      <c r="AD569" s="199"/>
      <c r="AE569" s="199"/>
      <c r="AF569" s="199"/>
      <c r="AG569" s="199"/>
      <c r="AH569" s="199"/>
      <c r="AI569" s="199"/>
      <c r="AJ569" s="199"/>
      <c r="AK569" s="199"/>
      <c r="AL569" s="199"/>
      <c r="AM569" s="198"/>
      <c r="AN569" s="197"/>
      <c r="AO569" s="197"/>
      <c r="AP569" s="197"/>
      <c r="AQ569" s="197"/>
      <c r="AR569" s="197"/>
      <c r="AS569" s="197"/>
    </row>
    <row r="570">
      <c r="A570" s="198" t="str">
        <f t="shared" si="1"/>
        <v/>
      </c>
      <c r="B570" s="205"/>
      <c r="C570" s="198"/>
      <c r="D570" s="199"/>
      <c r="E570" s="213"/>
      <c r="F570" s="198"/>
      <c r="G570" s="198"/>
      <c r="H570" s="199"/>
      <c r="I570" s="207"/>
      <c r="J570" s="199"/>
      <c r="K570" s="202"/>
      <c r="L570" s="205" t="str">
        <f>IFERROR(__xludf.DUMMYFUNCTION("IFERROR(
    INDEX(FILTER('Arrived Shipments'!O:O, 'Arrived Shipments'!B:B=$B570),1),
    IFERROR(
        INDEX(FILTER('POed not arrived'!D:D, 'POed not arrived'!A:A=$B570),1),
        """"
    )
)"),"")</f>
        <v/>
      </c>
      <c r="M570" s="202"/>
      <c r="N570" s="223" t="str">
        <f>IFERROR(__xludf.DUMMYFUNCTION("IFERROR(
    INDEX(FILTER('Arrived Shipments'!O:O, 'Arrived Shipments'!B:B=$B570),2),
    IFERROR(
        INDEX(FILTER('POed not arrived'!D:D, 'POed not arrived'!A:A=$B570),2),
        """"
    )
)"),"")</f>
        <v/>
      </c>
      <c r="O570" s="202"/>
      <c r="P570" s="202" t="str">
        <f>IFERROR(__xludf.DUMMYFUNCTION("IFERROR(
    INDEX(FILTER('Arrived Shipments'!O:O, 'Arrived Shipments'!B:B=$B570),3),
    IFERROR(
        INDEX(FILTER('POed not arrived'!D:D, 'POed not arrived'!A:A=$B570),3),
        """"
    )
)"),"")</f>
        <v/>
      </c>
      <c r="Q570" s="202"/>
      <c r="R570" s="206" t="str">
        <f>IFERROR(__xludf.DUMMYFUNCTION("IFERROR(
    INDEX(FILTER('Arrived Shipments'!O:O, 'Arrived Shipments'!B:B=$B570),4),
    IFERROR(
        INDEX(FILTER('POed not arrived'!D:D, 'POed not arrived'!A:A=$B570),4),
        """"
    )
)"),"")</f>
        <v/>
      </c>
      <c r="S570" s="202"/>
      <c r="T570" s="202">
        <f t="shared" si="8"/>
        <v>0</v>
      </c>
      <c r="U570" s="198"/>
      <c r="V570" s="199"/>
      <c r="W570" s="197"/>
      <c r="X570" s="197"/>
      <c r="Y570" s="199"/>
      <c r="Z570" s="199"/>
      <c r="AA570" s="204" t="str">
        <f t="shared" si="4"/>
        <v/>
      </c>
      <c r="AB570" s="198"/>
      <c r="AC570" s="199"/>
      <c r="AD570" s="199"/>
      <c r="AE570" s="199"/>
      <c r="AF570" s="199"/>
      <c r="AG570" s="199"/>
      <c r="AH570" s="199"/>
      <c r="AI570" s="199"/>
      <c r="AJ570" s="199"/>
      <c r="AK570" s="199"/>
      <c r="AL570" s="199"/>
      <c r="AM570" s="198"/>
      <c r="AN570" s="197"/>
      <c r="AO570" s="197"/>
      <c r="AP570" s="197"/>
      <c r="AQ570" s="197"/>
      <c r="AR570" s="197"/>
      <c r="AS570" s="197"/>
    </row>
    <row r="571">
      <c r="A571" s="198" t="str">
        <f t="shared" si="1"/>
        <v/>
      </c>
      <c r="B571" s="205"/>
      <c r="C571" s="198"/>
      <c r="D571" s="199"/>
      <c r="E571" s="213"/>
      <c r="F571" s="198"/>
      <c r="G571" s="198"/>
      <c r="H571" s="199"/>
      <c r="I571" s="207"/>
      <c r="J571" s="199"/>
      <c r="K571" s="202"/>
      <c r="L571" s="205" t="str">
        <f>IFERROR(__xludf.DUMMYFUNCTION("IFERROR(
    INDEX(FILTER('Arrived Shipments'!O:O, 'Arrived Shipments'!B:B=$B571),1),
    IFERROR(
        INDEX(FILTER('POed not arrived'!D:D, 'POed not arrived'!A:A=$B571),1),
        """"
    )
)"),"")</f>
        <v/>
      </c>
      <c r="M571" s="202"/>
      <c r="N571" s="223" t="str">
        <f>IFERROR(__xludf.DUMMYFUNCTION("IFERROR(
    INDEX(FILTER('Arrived Shipments'!O:O, 'Arrived Shipments'!B:B=$B571),2),
    IFERROR(
        INDEX(FILTER('POed not arrived'!D:D, 'POed not arrived'!A:A=$B571),2),
        """"
    )
)"),"")</f>
        <v/>
      </c>
      <c r="O571" s="202"/>
      <c r="P571" s="202" t="str">
        <f>IFERROR(__xludf.DUMMYFUNCTION("IFERROR(
    INDEX(FILTER('Arrived Shipments'!O:O, 'Arrived Shipments'!B:B=$B571),3),
    IFERROR(
        INDEX(FILTER('POed not arrived'!D:D, 'POed not arrived'!A:A=$B571),3),
        """"
    )
)"),"")</f>
        <v/>
      </c>
      <c r="Q571" s="202"/>
      <c r="R571" s="206" t="str">
        <f>IFERROR(__xludf.DUMMYFUNCTION("IFERROR(
    INDEX(FILTER('Arrived Shipments'!O:O, 'Arrived Shipments'!B:B=$B571),4),
    IFERROR(
        INDEX(FILTER('POed not arrived'!D:D, 'POed not arrived'!A:A=$B571),4),
        """"
    )
)"),"")</f>
        <v/>
      </c>
      <c r="S571" s="202"/>
      <c r="T571" s="202">
        <f t="shared" si="8"/>
        <v>0</v>
      </c>
      <c r="U571" s="198"/>
      <c r="V571" s="199"/>
      <c r="W571" s="197"/>
      <c r="X571" s="197"/>
      <c r="Y571" s="199"/>
      <c r="Z571" s="199"/>
      <c r="AA571" s="204" t="str">
        <f t="shared" si="4"/>
        <v/>
      </c>
      <c r="AB571" s="198"/>
      <c r="AC571" s="199"/>
      <c r="AD571" s="199"/>
      <c r="AE571" s="199"/>
      <c r="AF571" s="199"/>
      <c r="AG571" s="199"/>
      <c r="AH571" s="199"/>
      <c r="AI571" s="199"/>
      <c r="AJ571" s="199"/>
      <c r="AK571" s="199"/>
      <c r="AL571" s="199"/>
      <c r="AM571" s="198"/>
      <c r="AN571" s="197"/>
      <c r="AO571" s="197"/>
      <c r="AP571" s="197"/>
      <c r="AQ571" s="197"/>
      <c r="AR571" s="197"/>
      <c r="AS571" s="197"/>
    </row>
    <row r="572">
      <c r="A572" s="198" t="str">
        <f t="shared" si="1"/>
        <v/>
      </c>
      <c r="B572" s="205"/>
      <c r="C572" s="198"/>
      <c r="D572" s="199"/>
      <c r="E572" s="213"/>
      <c r="F572" s="198"/>
      <c r="G572" s="198"/>
      <c r="H572" s="199"/>
      <c r="I572" s="207"/>
      <c r="J572" s="199"/>
      <c r="K572" s="202"/>
      <c r="L572" s="205" t="str">
        <f>IFERROR(__xludf.DUMMYFUNCTION("IFERROR(
    INDEX(FILTER('Arrived Shipments'!O:O, 'Arrived Shipments'!B:B=$B572),1),
    IFERROR(
        INDEX(FILTER('POed not arrived'!D:D, 'POed not arrived'!A:A=$B572),1),
        """"
    )
)"),"")</f>
        <v/>
      </c>
      <c r="M572" s="202"/>
      <c r="N572" s="223" t="str">
        <f>IFERROR(__xludf.DUMMYFUNCTION("IFERROR(
    INDEX(FILTER('Arrived Shipments'!O:O, 'Arrived Shipments'!B:B=$B572),2),
    IFERROR(
        INDEX(FILTER('POed not arrived'!D:D, 'POed not arrived'!A:A=$B572),2),
        """"
    )
)"),"")</f>
        <v/>
      </c>
      <c r="O572" s="202"/>
      <c r="P572" s="202" t="str">
        <f>IFERROR(__xludf.DUMMYFUNCTION("IFERROR(
    INDEX(FILTER('Arrived Shipments'!O:O, 'Arrived Shipments'!B:B=$B572),3),
    IFERROR(
        INDEX(FILTER('POed not arrived'!D:D, 'POed not arrived'!A:A=$B572),3),
        """"
    )
)"),"")</f>
        <v/>
      </c>
      <c r="Q572" s="202"/>
      <c r="R572" s="206" t="str">
        <f>IFERROR(__xludf.DUMMYFUNCTION("IFERROR(
    INDEX(FILTER('Arrived Shipments'!O:O, 'Arrived Shipments'!B:B=$B572),4),
    IFERROR(
        INDEX(FILTER('POed not arrived'!D:D, 'POed not arrived'!A:A=$B572),4),
        """"
    )
)"),"")</f>
        <v/>
      </c>
      <c r="S572" s="202"/>
      <c r="T572" s="202">
        <f t="shared" si="8"/>
        <v>0</v>
      </c>
      <c r="U572" s="198"/>
      <c r="V572" s="199"/>
      <c r="W572" s="197"/>
      <c r="X572" s="197"/>
      <c r="Y572" s="199"/>
      <c r="Z572" s="199"/>
      <c r="AA572" s="204" t="str">
        <f t="shared" si="4"/>
        <v/>
      </c>
      <c r="AB572" s="198"/>
      <c r="AC572" s="199"/>
      <c r="AD572" s="199"/>
      <c r="AE572" s="199"/>
      <c r="AF572" s="199"/>
      <c r="AG572" s="199"/>
      <c r="AH572" s="199"/>
      <c r="AI572" s="199"/>
      <c r="AJ572" s="199"/>
      <c r="AK572" s="199"/>
      <c r="AL572" s="199"/>
      <c r="AM572" s="198"/>
      <c r="AN572" s="197"/>
      <c r="AO572" s="197"/>
      <c r="AP572" s="197"/>
      <c r="AQ572" s="197"/>
      <c r="AR572" s="197"/>
      <c r="AS572" s="197"/>
    </row>
    <row r="573">
      <c r="A573" s="198" t="str">
        <f t="shared" si="1"/>
        <v/>
      </c>
      <c r="B573" s="205"/>
      <c r="C573" s="198"/>
      <c r="D573" s="199"/>
      <c r="E573" s="213"/>
      <c r="F573" s="198"/>
      <c r="G573" s="198"/>
      <c r="H573" s="199"/>
      <c r="I573" s="207"/>
      <c r="J573" s="199"/>
      <c r="K573" s="202"/>
      <c r="L573" s="205" t="str">
        <f>IFERROR(__xludf.DUMMYFUNCTION("IFERROR(
    INDEX(FILTER('Arrived Shipments'!O:O, 'Arrived Shipments'!B:B=$B573),1),
    IFERROR(
        INDEX(FILTER('POed not arrived'!D:D, 'POed not arrived'!A:A=$B573),1),
        """"
    )
)"),"")</f>
        <v/>
      </c>
      <c r="M573" s="202"/>
      <c r="N573" s="223" t="str">
        <f>IFERROR(__xludf.DUMMYFUNCTION("IFERROR(
    INDEX(FILTER('Arrived Shipments'!O:O, 'Arrived Shipments'!B:B=$B573),2),
    IFERROR(
        INDEX(FILTER('POed not arrived'!D:D, 'POed not arrived'!A:A=$B573),2),
        """"
    )
)"),"")</f>
        <v/>
      </c>
      <c r="O573" s="202"/>
      <c r="P573" s="202" t="str">
        <f>IFERROR(__xludf.DUMMYFUNCTION("IFERROR(
    INDEX(FILTER('Arrived Shipments'!O:O, 'Arrived Shipments'!B:B=$B573),3),
    IFERROR(
        INDEX(FILTER('POed not arrived'!D:D, 'POed not arrived'!A:A=$B573),3),
        """"
    )
)"),"")</f>
        <v/>
      </c>
      <c r="Q573" s="202"/>
      <c r="R573" s="206" t="str">
        <f>IFERROR(__xludf.DUMMYFUNCTION("IFERROR(
    INDEX(FILTER('Arrived Shipments'!O:O, 'Arrived Shipments'!B:B=$B573),4),
    IFERROR(
        INDEX(FILTER('POed not arrived'!D:D, 'POed not arrived'!A:A=$B573),4),
        """"
    )
)"),"")</f>
        <v/>
      </c>
      <c r="S573" s="202"/>
      <c r="T573" s="202">
        <f t="shared" si="8"/>
        <v>0</v>
      </c>
      <c r="U573" s="198"/>
      <c r="V573" s="199"/>
      <c r="W573" s="197"/>
      <c r="X573" s="197"/>
      <c r="Y573" s="199"/>
      <c r="Z573" s="199"/>
      <c r="AA573" s="204" t="str">
        <f t="shared" si="4"/>
        <v/>
      </c>
      <c r="AB573" s="198"/>
      <c r="AC573" s="199"/>
      <c r="AD573" s="199"/>
      <c r="AE573" s="199"/>
      <c r="AF573" s="199"/>
      <c r="AG573" s="199"/>
      <c r="AH573" s="199"/>
      <c r="AI573" s="199"/>
      <c r="AJ573" s="199"/>
      <c r="AK573" s="199"/>
      <c r="AL573" s="199"/>
      <c r="AM573" s="198"/>
      <c r="AN573" s="197"/>
      <c r="AO573" s="197"/>
      <c r="AP573" s="197"/>
      <c r="AQ573" s="197"/>
      <c r="AR573" s="197"/>
      <c r="AS573" s="197"/>
    </row>
    <row r="574">
      <c r="A574" s="198" t="str">
        <f t="shared" si="1"/>
        <v/>
      </c>
      <c r="B574" s="205"/>
      <c r="C574" s="198"/>
      <c r="D574" s="199"/>
      <c r="E574" s="213"/>
      <c r="F574" s="198"/>
      <c r="G574" s="198"/>
      <c r="H574" s="199"/>
      <c r="I574" s="207"/>
      <c r="J574" s="199"/>
      <c r="K574" s="202"/>
      <c r="L574" s="205" t="str">
        <f>IFERROR(__xludf.DUMMYFUNCTION("IFERROR(
    INDEX(FILTER('Arrived Shipments'!O:O, 'Arrived Shipments'!B:B=$B574),1),
    IFERROR(
        INDEX(FILTER('POed not arrived'!D:D, 'POed not arrived'!A:A=$B574),1),
        """"
    )
)"),"")</f>
        <v/>
      </c>
      <c r="M574" s="202"/>
      <c r="N574" s="223" t="str">
        <f>IFERROR(__xludf.DUMMYFUNCTION("IFERROR(
    INDEX(FILTER('Arrived Shipments'!O:O, 'Arrived Shipments'!B:B=$B574),2),
    IFERROR(
        INDEX(FILTER('POed not arrived'!D:D, 'POed not arrived'!A:A=$B574),2),
        """"
    )
)"),"")</f>
        <v/>
      </c>
      <c r="O574" s="202"/>
      <c r="P574" s="202" t="str">
        <f>IFERROR(__xludf.DUMMYFUNCTION("IFERROR(
    INDEX(FILTER('Arrived Shipments'!O:O, 'Arrived Shipments'!B:B=$B574),3),
    IFERROR(
        INDEX(FILTER('POed not arrived'!D:D, 'POed not arrived'!A:A=$B574),3),
        """"
    )
)"),"")</f>
        <v/>
      </c>
      <c r="Q574" s="202"/>
      <c r="R574" s="206" t="str">
        <f>IFERROR(__xludf.DUMMYFUNCTION("IFERROR(
    INDEX(FILTER('Arrived Shipments'!O:O, 'Arrived Shipments'!B:B=$B574),4),
    IFERROR(
        INDEX(FILTER('POed not arrived'!D:D, 'POed not arrived'!A:A=$B574),4),
        """"
    )
)"),"")</f>
        <v/>
      </c>
      <c r="S574" s="202"/>
      <c r="T574" s="202">
        <f t="shared" si="8"/>
        <v>0</v>
      </c>
      <c r="U574" s="198"/>
      <c r="V574" s="199"/>
      <c r="W574" s="197"/>
      <c r="X574" s="197"/>
      <c r="Y574" s="199"/>
      <c r="Z574" s="199"/>
      <c r="AA574" s="204" t="str">
        <f t="shared" si="4"/>
        <v/>
      </c>
      <c r="AB574" s="198"/>
      <c r="AC574" s="199"/>
      <c r="AD574" s="199"/>
      <c r="AE574" s="199"/>
      <c r="AF574" s="199"/>
      <c r="AG574" s="199"/>
      <c r="AH574" s="199"/>
      <c r="AI574" s="199"/>
      <c r="AJ574" s="199"/>
      <c r="AK574" s="199"/>
      <c r="AL574" s="199"/>
      <c r="AM574" s="198"/>
      <c r="AN574" s="197"/>
      <c r="AO574" s="197"/>
      <c r="AP574" s="197"/>
      <c r="AQ574" s="197"/>
      <c r="AR574" s="197"/>
      <c r="AS574" s="197"/>
    </row>
    <row r="575">
      <c r="A575" s="198" t="str">
        <f t="shared" si="1"/>
        <v/>
      </c>
      <c r="B575" s="205"/>
      <c r="C575" s="198"/>
      <c r="D575" s="199"/>
      <c r="E575" s="213"/>
      <c r="F575" s="198"/>
      <c r="G575" s="198"/>
      <c r="H575" s="199"/>
      <c r="I575" s="207"/>
      <c r="J575" s="199"/>
      <c r="K575" s="202"/>
      <c r="L575" s="205" t="str">
        <f>IFERROR(__xludf.DUMMYFUNCTION("IFERROR(
    INDEX(FILTER('Arrived Shipments'!O:O, 'Arrived Shipments'!B:B=$B575),1),
    IFERROR(
        INDEX(FILTER('POed not arrived'!D:D, 'POed not arrived'!A:A=$B575),1),
        """"
    )
)"),"")</f>
        <v/>
      </c>
      <c r="M575" s="202"/>
      <c r="N575" s="223" t="str">
        <f>IFERROR(__xludf.DUMMYFUNCTION("IFERROR(
    INDEX(FILTER('Arrived Shipments'!O:O, 'Arrived Shipments'!B:B=$B575),2),
    IFERROR(
        INDEX(FILTER('POed not arrived'!D:D, 'POed not arrived'!A:A=$B575),2),
        """"
    )
)"),"")</f>
        <v/>
      </c>
      <c r="O575" s="202"/>
      <c r="P575" s="202" t="str">
        <f>IFERROR(__xludf.DUMMYFUNCTION("IFERROR(
    INDEX(FILTER('Arrived Shipments'!O:O, 'Arrived Shipments'!B:B=$B575),3),
    IFERROR(
        INDEX(FILTER('POed not arrived'!D:D, 'POed not arrived'!A:A=$B575),3),
        """"
    )
)"),"")</f>
        <v/>
      </c>
      <c r="Q575" s="202"/>
      <c r="R575" s="206" t="str">
        <f>IFERROR(__xludf.DUMMYFUNCTION("IFERROR(
    INDEX(FILTER('Arrived Shipments'!O:O, 'Arrived Shipments'!B:B=$B575),4),
    IFERROR(
        INDEX(FILTER('POed not arrived'!D:D, 'POed not arrived'!A:A=$B575),4),
        """"
    )
)"),"")</f>
        <v/>
      </c>
      <c r="S575" s="202"/>
      <c r="T575" s="202">
        <f t="shared" si="8"/>
        <v>0</v>
      </c>
      <c r="U575" s="198"/>
      <c r="V575" s="199"/>
      <c r="W575" s="197"/>
      <c r="X575" s="197"/>
      <c r="Y575" s="199"/>
      <c r="Z575" s="199"/>
      <c r="AA575" s="204" t="str">
        <f t="shared" si="4"/>
        <v/>
      </c>
      <c r="AB575" s="198"/>
      <c r="AC575" s="199"/>
      <c r="AD575" s="199"/>
      <c r="AE575" s="199"/>
      <c r="AF575" s="199"/>
      <c r="AG575" s="199"/>
      <c r="AH575" s="199"/>
      <c r="AI575" s="199"/>
      <c r="AJ575" s="199"/>
      <c r="AK575" s="199"/>
      <c r="AL575" s="199"/>
      <c r="AM575" s="198"/>
      <c r="AN575" s="197"/>
      <c r="AO575" s="197"/>
      <c r="AP575" s="197"/>
      <c r="AQ575" s="197"/>
      <c r="AR575" s="197"/>
      <c r="AS575" s="197"/>
    </row>
    <row r="576">
      <c r="A576" s="198" t="str">
        <f t="shared" si="1"/>
        <v/>
      </c>
      <c r="B576" s="205"/>
      <c r="C576" s="198"/>
      <c r="D576" s="199"/>
      <c r="E576" s="213"/>
      <c r="F576" s="198"/>
      <c r="G576" s="198"/>
      <c r="H576" s="199"/>
      <c r="I576" s="207"/>
      <c r="J576" s="199"/>
      <c r="K576" s="202"/>
      <c r="L576" s="205" t="str">
        <f>IFERROR(__xludf.DUMMYFUNCTION("IFERROR(
    INDEX(FILTER('Arrived Shipments'!O:O, 'Arrived Shipments'!B:B=$B576),1),
    IFERROR(
        INDEX(FILTER('POed not arrived'!D:D, 'POed not arrived'!A:A=$B576),1),
        """"
    )
)"),"")</f>
        <v/>
      </c>
      <c r="M576" s="202"/>
      <c r="N576" s="223" t="str">
        <f>IFERROR(__xludf.DUMMYFUNCTION("IFERROR(
    INDEX(FILTER('Arrived Shipments'!O:O, 'Arrived Shipments'!B:B=$B576),2),
    IFERROR(
        INDEX(FILTER('POed not arrived'!D:D, 'POed not arrived'!A:A=$B576),2),
        """"
    )
)"),"")</f>
        <v/>
      </c>
      <c r="O576" s="202"/>
      <c r="P576" s="202" t="str">
        <f>IFERROR(__xludf.DUMMYFUNCTION("IFERROR(
    INDEX(FILTER('Arrived Shipments'!O:O, 'Arrived Shipments'!B:B=$B576),3),
    IFERROR(
        INDEX(FILTER('POed not arrived'!D:D, 'POed not arrived'!A:A=$B576),3),
        """"
    )
)"),"")</f>
        <v/>
      </c>
      <c r="Q576" s="202"/>
      <c r="R576" s="206" t="str">
        <f>IFERROR(__xludf.DUMMYFUNCTION("IFERROR(
    INDEX(FILTER('Arrived Shipments'!O:O, 'Arrived Shipments'!B:B=$B576),4),
    IFERROR(
        INDEX(FILTER('POed not arrived'!D:D, 'POed not arrived'!A:A=$B576),4),
        """"
    )
)"),"")</f>
        <v/>
      </c>
      <c r="S576" s="202"/>
      <c r="T576" s="202">
        <f t="shared" si="8"/>
        <v>0</v>
      </c>
      <c r="U576" s="198"/>
      <c r="V576" s="199"/>
      <c r="W576" s="197"/>
      <c r="X576" s="197"/>
      <c r="Y576" s="199"/>
      <c r="Z576" s="199"/>
      <c r="AA576" s="204" t="str">
        <f t="shared" si="4"/>
        <v/>
      </c>
      <c r="AB576" s="198"/>
      <c r="AC576" s="199"/>
      <c r="AD576" s="199"/>
      <c r="AE576" s="199"/>
      <c r="AF576" s="199"/>
      <c r="AG576" s="199"/>
      <c r="AH576" s="199"/>
      <c r="AI576" s="199"/>
      <c r="AJ576" s="199"/>
      <c r="AK576" s="199"/>
      <c r="AL576" s="199"/>
      <c r="AM576" s="198"/>
      <c r="AN576" s="197"/>
      <c r="AO576" s="197"/>
      <c r="AP576" s="197"/>
      <c r="AQ576" s="197"/>
      <c r="AR576" s="197"/>
      <c r="AS576" s="197"/>
    </row>
    <row r="577">
      <c r="A577" s="198" t="str">
        <f t="shared" si="1"/>
        <v/>
      </c>
      <c r="B577" s="205"/>
      <c r="C577" s="198"/>
      <c r="D577" s="199"/>
      <c r="E577" s="213"/>
      <c r="F577" s="198"/>
      <c r="G577" s="198"/>
      <c r="H577" s="199"/>
      <c r="I577" s="207"/>
      <c r="J577" s="199"/>
      <c r="K577" s="202"/>
      <c r="L577" s="205" t="str">
        <f>IFERROR(__xludf.DUMMYFUNCTION("IFERROR(
    INDEX(FILTER('Arrived Shipments'!O:O, 'Arrived Shipments'!B:B=$B577),1),
    IFERROR(
        INDEX(FILTER('POed not arrived'!D:D, 'POed not arrived'!A:A=$B577),1),
        """"
    )
)"),"")</f>
        <v/>
      </c>
      <c r="M577" s="202"/>
      <c r="N577" s="223" t="str">
        <f>IFERROR(__xludf.DUMMYFUNCTION("IFERROR(
    INDEX(FILTER('Arrived Shipments'!O:O, 'Arrived Shipments'!B:B=$B577),2),
    IFERROR(
        INDEX(FILTER('POed not arrived'!D:D, 'POed not arrived'!A:A=$B577),2),
        """"
    )
)"),"")</f>
        <v/>
      </c>
      <c r="O577" s="202"/>
      <c r="P577" s="202" t="str">
        <f>IFERROR(__xludf.DUMMYFUNCTION("IFERROR(
    INDEX(FILTER('Arrived Shipments'!O:O, 'Arrived Shipments'!B:B=$B577),3),
    IFERROR(
        INDEX(FILTER('POed not arrived'!D:D, 'POed not arrived'!A:A=$B577),3),
        """"
    )
)"),"")</f>
        <v/>
      </c>
      <c r="Q577" s="202"/>
      <c r="R577" s="206" t="str">
        <f>IFERROR(__xludf.DUMMYFUNCTION("IFERROR(
    INDEX(FILTER('Arrived Shipments'!O:O, 'Arrived Shipments'!B:B=$B577),4),
    IFERROR(
        INDEX(FILTER('POed not arrived'!D:D, 'POed not arrived'!A:A=$B577),4),
        """"
    )
)"),"")</f>
        <v/>
      </c>
      <c r="S577" s="202"/>
      <c r="T577" s="202">
        <f t="shared" si="8"/>
        <v>0</v>
      </c>
      <c r="U577" s="198"/>
      <c r="V577" s="199"/>
      <c r="W577" s="197"/>
      <c r="X577" s="197"/>
      <c r="Y577" s="199"/>
      <c r="Z577" s="199"/>
      <c r="AA577" s="204" t="str">
        <f t="shared" si="4"/>
        <v/>
      </c>
      <c r="AB577" s="198"/>
      <c r="AC577" s="199"/>
      <c r="AD577" s="199"/>
      <c r="AE577" s="199"/>
      <c r="AF577" s="199"/>
      <c r="AG577" s="199"/>
      <c r="AH577" s="199"/>
      <c r="AI577" s="199"/>
      <c r="AJ577" s="199"/>
      <c r="AK577" s="199"/>
      <c r="AL577" s="199"/>
      <c r="AM577" s="198"/>
      <c r="AN577" s="197"/>
      <c r="AO577" s="197"/>
      <c r="AP577" s="197"/>
      <c r="AQ577" s="197"/>
      <c r="AR577" s="197"/>
      <c r="AS577" s="197"/>
    </row>
    <row r="578">
      <c r="A578" s="198" t="str">
        <f t="shared" si="1"/>
        <v/>
      </c>
      <c r="B578" s="205"/>
      <c r="C578" s="198"/>
      <c r="D578" s="199"/>
      <c r="E578" s="213"/>
      <c r="F578" s="198"/>
      <c r="G578" s="198"/>
      <c r="H578" s="199"/>
      <c r="I578" s="207"/>
      <c r="J578" s="199"/>
      <c r="K578" s="202"/>
      <c r="L578" s="205" t="str">
        <f>IFERROR(__xludf.DUMMYFUNCTION("IFERROR(
    INDEX(FILTER('Arrived Shipments'!O:O, 'Arrived Shipments'!B:B=$B578),1),
    IFERROR(
        INDEX(FILTER('POed not arrived'!D:D, 'POed not arrived'!A:A=$B578),1),
        """"
    )
)"),"")</f>
        <v/>
      </c>
      <c r="M578" s="202"/>
      <c r="N578" s="223" t="str">
        <f>IFERROR(__xludf.DUMMYFUNCTION("IFERROR(
    INDEX(FILTER('Arrived Shipments'!O:O, 'Arrived Shipments'!B:B=$B578),2),
    IFERROR(
        INDEX(FILTER('POed not arrived'!D:D, 'POed not arrived'!A:A=$B578),2),
        """"
    )
)"),"")</f>
        <v/>
      </c>
      <c r="O578" s="202"/>
      <c r="P578" s="202" t="str">
        <f>IFERROR(__xludf.DUMMYFUNCTION("IFERROR(
    INDEX(FILTER('Arrived Shipments'!O:O, 'Arrived Shipments'!B:B=$B578),3),
    IFERROR(
        INDEX(FILTER('POed not arrived'!D:D, 'POed not arrived'!A:A=$B578),3),
        """"
    )
)"),"")</f>
        <v/>
      </c>
      <c r="Q578" s="202"/>
      <c r="R578" s="206" t="str">
        <f>IFERROR(__xludf.DUMMYFUNCTION("IFERROR(
    INDEX(FILTER('Arrived Shipments'!O:O, 'Arrived Shipments'!B:B=$B578),4),
    IFERROR(
        INDEX(FILTER('POed not arrived'!D:D, 'POed not arrived'!A:A=$B578),4),
        """"
    )
)"),"")</f>
        <v/>
      </c>
      <c r="S578" s="202"/>
      <c r="T578" s="202">
        <f t="shared" si="8"/>
        <v>0</v>
      </c>
      <c r="U578" s="198"/>
      <c r="V578" s="199"/>
      <c r="W578" s="197"/>
      <c r="X578" s="197"/>
      <c r="Y578" s="199"/>
      <c r="Z578" s="199"/>
      <c r="AA578" s="204" t="str">
        <f t="shared" si="4"/>
        <v/>
      </c>
      <c r="AB578" s="198"/>
      <c r="AC578" s="199"/>
      <c r="AD578" s="199"/>
      <c r="AE578" s="199"/>
      <c r="AF578" s="199"/>
      <c r="AG578" s="199"/>
      <c r="AH578" s="199"/>
      <c r="AI578" s="199"/>
      <c r="AJ578" s="199"/>
      <c r="AK578" s="199"/>
      <c r="AL578" s="199"/>
      <c r="AM578" s="198"/>
      <c r="AN578" s="197"/>
      <c r="AO578" s="197"/>
      <c r="AP578" s="197"/>
      <c r="AQ578" s="197"/>
      <c r="AR578" s="197"/>
      <c r="AS578" s="197"/>
    </row>
    <row r="579">
      <c r="A579" s="198" t="str">
        <f t="shared" si="1"/>
        <v/>
      </c>
      <c r="B579" s="205"/>
      <c r="C579" s="198"/>
      <c r="D579" s="199"/>
      <c r="E579" s="213"/>
      <c r="F579" s="198"/>
      <c r="G579" s="198"/>
      <c r="H579" s="199"/>
      <c r="I579" s="207"/>
      <c r="J579" s="199"/>
      <c r="K579" s="202"/>
      <c r="L579" s="205" t="str">
        <f>IFERROR(__xludf.DUMMYFUNCTION("IFERROR(
    INDEX(FILTER('Arrived Shipments'!O:O, 'Arrived Shipments'!B:B=$B579),1),
    IFERROR(
        INDEX(FILTER('POed not arrived'!D:D, 'POed not arrived'!A:A=$B579),1),
        """"
    )
)"),"")</f>
        <v/>
      </c>
      <c r="M579" s="202"/>
      <c r="N579" s="223" t="str">
        <f>IFERROR(__xludf.DUMMYFUNCTION("IFERROR(
    INDEX(FILTER('Arrived Shipments'!O:O, 'Arrived Shipments'!B:B=$B579),2),
    IFERROR(
        INDEX(FILTER('POed not arrived'!D:D, 'POed not arrived'!A:A=$B579),2),
        """"
    )
)"),"")</f>
        <v/>
      </c>
      <c r="O579" s="202"/>
      <c r="P579" s="202" t="str">
        <f>IFERROR(__xludf.DUMMYFUNCTION("IFERROR(
    INDEX(FILTER('Arrived Shipments'!O:O, 'Arrived Shipments'!B:B=$B579),3),
    IFERROR(
        INDEX(FILTER('POed not arrived'!D:D, 'POed not arrived'!A:A=$B579),3),
        """"
    )
)"),"")</f>
        <v/>
      </c>
      <c r="Q579" s="202"/>
      <c r="R579" s="206" t="str">
        <f>IFERROR(__xludf.DUMMYFUNCTION("IFERROR(
    INDEX(FILTER('Arrived Shipments'!O:O, 'Arrived Shipments'!B:B=$B579),4),
    IFERROR(
        INDEX(FILTER('POed not arrived'!D:D, 'POed not arrived'!A:A=$B579),4),
        """"
    )
)"),"")</f>
        <v/>
      </c>
      <c r="S579" s="202"/>
      <c r="T579" s="202">
        <f t="shared" si="8"/>
        <v>0</v>
      </c>
      <c r="U579" s="198"/>
      <c r="V579" s="199"/>
      <c r="W579" s="197"/>
      <c r="X579" s="197"/>
      <c r="Y579" s="199"/>
      <c r="Z579" s="199"/>
      <c r="AA579" s="204" t="str">
        <f t="shared" si="4"/>
        <v/>
      </c>
      <c r="AB579" s="198"/>
      <c r="AC579" s="199"/>
      <c r="AD579" s="199"/>
      <c r="AE579" s="199"/>
      <c r="AF579" s="199"/>
      <c r="AG579" s="199"/>
      <c r="AH579" s="199"/>
      <c r="AI579" s="199"/>
      <c r="AJ579" s="199"/>
      <c r="AK579" s="199"/>
      <c r="AL579" s="199"/>
      <c r="AM579" s="198"/>
      <c r="AN579" s="197"/>
      <c r="AO579" s="197"/>
      <c r="AP579" s="197"/>
      <c r="AQ579" s="197"/>
      <c r="AR579" s="197"/>
      <c r="AS579" s="197"/>
    </row>
    <row r="580">
      <c r="A580" s="198" t="str">
        <f t="shared" si="1"/>
        <v/>
      </c>
      <c r="B580" s="205"/>
      <c r="C580" s="198"/>
      <c r="D580" s="199"/>
      <c r="E580" s="213"/>
      <c r="F580" s="198"/>
      <c r="G580" s="198"/>
      <c r="H580" s="199"/>
      <c r="I580" s="207"/>
      <c r="J580" s="199"/>
      <c r="K580" s="202"/>
      <c r="L580" s="205" t="str">
        <f>IFERROR(__xludf.DUMMYFUNCTION("IFERROR(
    INDEX(FILTER('Arrived Shipments'!O:O, 'Arrived Shipments'!B:B=$B580),1),
    IFERROR(
        INDEX(FILTER('POed not arrived'!D:D, 'POed not arrived'!A:A=$B580),1),
        """"
    )
)"),"")</f>
        <v/>
      </c>
      <c r="M580" s="202"/>
      <c r="N580" s="223" t="str">
        <f>IFERROR(__xludf.DUMMYFUNCTION("IFERROR(
    INDEX(FILTER('Arrived Shipments'!O:O, 'Arrived Shipments'!B:B=$B580),2),
    IFERROR(
        INDEX(FILTER('POed not arrived'!D:D, 'POed not arrived'!A:A=$B580),2),
        """"
    )
)"),"")</f>
        <v/>
      </c>
      <c r="O580" s="202"/>
      <c r="P580" s="202" t="str">
        <f>IFERROR(__xludf.DUMMYFUNCTION("IFERROR(
    INDEX(FILTER('Arrived Shipments'!O:O, 'Arrived Shipments'!B:B=$B580),3),
    IFERROR(
        INDEX(FILTER('POed not arrived'!D:D, 'POed not arrived'!A:A=$B580),3),
        """"
    )
)"),"")</f>
        <v/>
      </c>
      <c r="Q580" s="202"/>
      <c r="R580" s="206" t="str">
        <f>IFERROR(__xludf.DUMMYFUNCTION("IFERROR(
    INDEX(FILTER('Arrived Shipments'!O:O, 'Arrived Shipments'!B:B=$B580),4),
    IFERROR(
        INDEX(FILTER('POed not arrived'!D:D, 'POed not arrived'!A:A=$B580),4),
        """"
    )
)"),"")</f>
        <v/>
      </c>
      <c r="S580" s="202"/>
      <c r="T580" s="202">
        <f t="shared" si="8"/>
        <v>0</v>
      </c>
      <c r="U580" s="198"/>
      <c r="V580" s="199"/>
      <c r="W580" s="197"/>
      <c r="X580" s="197"/>
      <c r="Y580" s="199"/>
      <c r="Z580" s="199"/>
      <c r="AA580" s="204" t="str">
        <f t="shared" si="4"/>
        <v/>
      </c>
      <c r="AB580" s="198"/>
      <c r="AC580" s="199"/>
      <c r="AD580" s="199"/>
      <c r="AE580" s="199"/>
      <c r="AF580" s="199"/>
      <c r="AG580" s="199"/>
      <c r="AH580" s="199"/>
      <c r="AI580" s="199"/>
      <c r="AJ580" s="199"/>
      <c r="AK580" s="199"/>
      <c r="AL580" s="199"/>
      <c r="AM580" s="198"/>
      <c r="AN580" s="197"/>
      <c r="AO580" s="197"/>
      <c r="AP580" s="197"/>
      <c r="AQ580" s="197"/>
      <c r="AR580" s="197"/>
      <c r="AS580" s="197"/>
    </row>
    <row r="581">
      <c r="A581" s="198" t="str">
        <f t="shared" si="1"/>
        <v/>
      </c>
      <c r="B581" s="205"/>
      <c r="C581" s="198"/>
      <c r="D581" s="199"/>
      <c r="E581" s="213"/>
      <c r="F581" s="198"/>
      <c r="G581" s="198"/>
      <c r="H581" s="199"/>
      <c r="I581" s="207"/>
      <c r="J581" s="199"/>
      <c r="K581" s="202"/>
      <c r="L581" s="205" t="str">
        <f>IFERROR(__xludf.DUMMYFUNCTION("IFERROR(
    INDEX(FILTER('Arrived Shipments'!O:O, 'Arrived Shipments'!B:B=$B581),1),
    IFERROR(
        INDEX(FILTER('POed not arrived'!D:D, 'POed not arrived'!A:A=$B581),1),
        """"
    )
)"),"")</f>
        <v/>
      </c>
      <c r="M581" s="202"/>
      <c r="N581" s="223" t="str">
        <f>IFERROR(__xludf.DUMMYFUNCTION("IFERROR(
    INDEX(FILTER('Arrived Shipments'!O:O, 'Arrived Shipments'!B:B=$B581),2),
    IFERROR(
        INDEX(FILTER('POed not arrived'!D:D, 'POed not arrived'!A:A=$B581),2),
        """"
    )
)"),"")</f>
        <v/>
      </c>
      <c r="O581" s="202"/>
      <c r="P581" s="202" t="str">
        <f>IFERROR(__xludf.DUMMYFUNCTION("IFERROR(
    INDEX(FILTER('Arrived Shipments'!O:O, 'Arrived Shipments'!B:B=$B581),3),
    IFERROR(
        INDEX(FILTER('POed not arrived'!D:D, 'POed not arrived'!A:A=$B581),3),
        """"
    )
)"),"")</f>
        <v/>
      </c>
      <c r="Q581" s="202"/>
      <c r="R581" s="206" t="str">
        <f>IFERROR(__xludf.DUMMYFUNCTION("IFERROR(
    INDEX(FILTER('Arrived Shipments'!O:O, 'Arrived Shipments'!B:B=$B581),4),
    IFERROR(
        INDEX(FILTER('POed not arrived'!D:D, 'POed not arrived'!A:A=$B581),4),
        """"
    )
)"),"")</f>
        <v/>
      </c>
      <c r="S581" s="202"/>
      <c r="T581" s="202">
        <f t="shared" si="8"/>
        <v>0</v>
      </c>
      <c r="U581" s="198"/>
      <c r="V581" s="199"/>
      <c r="W581" s="197"/>
      <c r="X581" s="197"/>
      <c r="Y581" s="199"/>
      <c r="Z581" s="199"/>
      <c r="AA581" s="204" t="str">
        <f t="shared" si="4"/>
        <v/>
      </c>
      <c r="AB581" s="198"/>
      <c r="AC581" s="199"/>
      <c r="AD581" s="199"/>
      <c r="AE581" s="199"/>
      <c r="AF581" s="199"/>
      <c r="AG581" s="199"/>
      <c r="AH581" s="199"/>
      <c r="AI581" s="199"/>
      <c r="AJ581" s="199"/>
      <c r="AK581" s="199"/>
      <c r="AL581" s="199"/>
      <c r="AM581" s="198"/>
      <c r="AN581" s="197"/>
      <c r="AO581" s="197"/>
      <c r="AP581" s="197"/>
      <c r="AQ581" s="197"/>
      <c r="AR581" s="197"/>
      <c r="AS581" s="197"/>
    </row>
    <row r="582">
      <c r="A582" s="198" t="str">
        <f t="shared" si="1"/>
        <v/>
      </c>
      <c r="B582" s="205"/>
      <c r="C582" s="198"/>
      <c r="D582" s="199"/>
      <c r="E582" s="213"/>
      <c r="F582" s="198"/>
      <c r="G582" s="198"/>
      <c r="H582" s="199"/>
      <c r="I582" s="207"/>
      <c r="J582" s="199"/>
      <c r="K582" s="202"/>
      <c r="L582" s="205" t="str">
        <f>IFERROR(__xludf.DUMMYFUNCTION("IFERROR(
    INDEX(FILTER('Arrived Shipments'!O:O, 'Arrived Shipments'!B:B=$B582),1),
    IFERROR(
        INDEX(FILTER('POed not arrived'!D:D, 'POed not arrived'!A:A=$B582),1),
        """"
    )
)"),"")</f>
        <v/>
      </c>
      <c r="M582" s="202"/>
      <c r="N582" s="223" t="str">
        <f>IFERROR(__xludf.DUMMYFUNCTION("IFERROR(
    INDEX(FILTER('Arrived Shipments'!O:O, 'Arrived Shipments'!B:B=$B582),2),
    IFERROR(
        INDEX(FILTER('POed not arrived'!D:D, 'POed not arrived'!A:A=$B582),2),
        """"
    )
)"),"")</f>
        <v/>
      </c>
      <c r="O582" s="202"/>
      <c r="P582" s="202" t="str">
        <f>IFERROR(__xludf.DUMMYFUNCTION("IFERROR(
    INDEX(FILTER('Arrived Shipments'!O:O, 'Arrived Shipments'!B:B=$B582),3),
    IFERROR(
        INDEX(FILTER('POed not arrived'!D:D, 'POed not arrived'!A:A=$B582),3),
        """"
    )
)"),"")</f>
        <v/>
      </c>
      <c r="Q582" s="202"/>
      <c r="R582" s="206" t="str">
        <f>IFERROR(__xludf.DUMMYFUNCTION("IFERROR(
    INDEX(FILTER('Arrived Shipments'!O:O, 'Arrived Shipments'!B:B=$B582),4),
    IFERROR(
        INDEX(FILTER('POed not arrived'!D:D, 'POed not arrived'!A:A=$B582),4),
        """"
    )
)"),"")</f>
        <v/>
      </c>
      <c r="S582" s="202"/>
      <c r="T582" s="202">
        <f t="shared" si="8"/>
        <v>0</v>
      </c>
      <c r="U582" s="198"/>
      <c r="V582" s="199"/>
      <c r="W582" s="197"/>
      <c r="X582" s="197"/>
      <c r="Y582" s="199"/>
      <c r="Z582" s="199"/>
      <c r="AA582" s="204" t="str">
        <f t="shared" si="4"/>
        <v/>
      </c>
      <c r="AB582" s="198"/>
      <c r="AC582" s="199"/>
      <c r="AD582" s="199"/>
      <c r="AE582" s="199"/>
      <c r="AF582" s="199"/>
      <c r="AG582" s="199"/>
      <c r="AH582" s="199"/>
      <c r="AI582" s="199"/>
      <c r="AJ582" s="199"/>
      <c r="AK582" s="199"/>
      <c r="AL582" s="199"/>
      <c r="AM582" s="198"/>
      <c r="AN582" s="197"/>
      <c r="AO582" s="197"/>
      <c r="AP582" s="197"/>
      <c r="AQ582" s="197"/>
      <c r="AR582" s="197"/>
      <c r="AS582" s="197"/>
    </row>
    <row r="583">
      <c r="A583" s="198" t="str">
        <f t="shared" si="1"/>
        <v/>
      </c>
      <c r="B583" s="205"/>
      <c r="C583" s="198"/>
      <c r="D583" s="199"/>
      <c r="E583" s="213"/>
      <c r="F583" s="198"/>
      <c r="G583" s="198"/>
      <c r="H583" s="199"/>
      <c r="I583" s="207"/>
      <c r="J583" s="199"/>
      <c r="K583" s="202"/>
      <c r="L583" s="205" t="str">
        <f>IFERROR(__xludf.DUMMYFUNCTION("IFERROR(
    INDEX(FILTER('Arrived Shipments'!O:O, 'Arrived Shipments'!B:B=$B583),1),
    IFERROR(
        INDEX(FILTER('POed not arrived'!D:D, 'POed not arrived'!A:A=$B583),1),
        """"
    )
)"),"")</f>
        <v/>
      </c>
      <c r="M583" s="202"/>
      <c r="N583" s="223" t="str">
        <f>IFERROR(__xludf.DUMMYFUNCTION("IFERROR(
    INDEX(FILTER('Arrived Shipments'!O:O, 'Arrived Shipments'!B:B=$B583),2),
    IFERROR(
        INDEX(FILTER('POed not arrived'!D:D, 'POed not arrived'!A:A=$B583),2),
        """"
    )
)"),"")</f>
        <v/>
      </c>
      <c r="O583" s="202"/>
      <c r="P583" s="202" t="str">
        <f>IFERROR(__xludf.DUMMYFUNCTION("IFERROR(
    INDEX(FILTER('Arrived Shipments'!O:O, 'Arrived Shipments'!B:B=$B583),3),
    IFERROR(
        INDEX(FILTER('POed not arrived'!D:D, 'POed not arrived'!A:A=$B583),3),
        """"
    )
)"),"")</f>
        <v/>
      </c>
      <c r="Q583" s="202"/>
      <c r="R583" s="206" t="str">
        <f>IFERROR(__xludf.DUMMYFUNCTION("IFERROR(
    INDEX(FILTER('Arrived Shipments'!O:O, 'Arrived Shipments'!B:B=$B583),4),
    IFERROR(
        INDEX(FILTER('POed not arrived'!D:D, 'POed not arrived'!A:A=$B583),4),
        """"
    )
)"),"")</f>
        <v/>
      </c>
      <c r="S583" s="202"/>
      <c r="T583" s="202">
        <f t="shared" si="8"/>
        <v>0</v>
      </c>
      <c r="U583" s="198"/>
      <c r="V583" s="199"/>
      <c r="W583" s="197"/>
      <c r="X583" s="197"/>
      <c r="Y583" s="199"/>
      <c r="Z583" s="199"/>
      <c r="AA583" s="204" t="str">
        <f t="shared" si="4"/>
        <v/>
      </c>
      <c r="AB583" s="198"/>
      <c r="AC583" s="199"/>
      <c r="AD583" s="199"/>
      <c r="AE583" s="199"/>
      <c r="AF583" s="199"/>
      <c r="AG583" s="199"/>
      <c r="AH583" s="199"/>
      <c r="AI583" s="199"/>
      <c r="AJ583" s="199"/>
      <c r="AK583" s="199"/>
      <c r="AL583" s="199"/>
      <c r="AM583" s="198"/>
      <c r="AN583" s="197"/>
      <c r="AO583" s="197"/>
      <c r="AP583" s="197"/>
      <c r="AQ583" s="197"/>
      <c r="AR583" s="197"/>
      <c r="AS583" s="197"/>
    </row>
    <row r="584">
      <c r="A584" s="198" t="str">
        <f t="shared" si="1"/>
        <v/>
      </c>
      <c r="B584" s="205"/>
      <c r="C584" s="198"/>
      <c r="D584" s="199"/>
      <c r="E584" s="213"/>
      <c r="F584" s="198"/>
      <c r="G584" s="198"/>
      <c r="H584" s="199"/>
      <c r="I584" s="207"/>
      <c r="J584" s="199"/>
      <c r="K584" s="202"/>
      <c r="L584" s="205" t="str">
        <f>IFERROR(__xludf.DUMMYFUNCTION("IFERROR(
    INDEX(FILTER('Arrived Shipments'!O:O, 'Arrived Shipments'!B:B=$B584),1),
    IFERROR(
        INDEX(FILTER('POed not arrived'!D:D, 'POed not arrived'!A:A=$B584),1),
        """"
    )
)"),"")</f>
        <v/>
      </c>
      <c r="M584" s="202"/>
      <c r="N584" s="223" t="str">
        <f>IFERROR(__xludf.DUMMYFUNCTION("IFERROR(
    INDEX(FILTER('Arrived Shipments'!O:O, 'Arrived Shipments'!B:B=$B584),2),
    IFERROR(
        INDEX(FILTER('POed not arrived'!D:D, 'POed not arrived'!A:A=$B584),2),
        """"
    )
)"),"")</f>
        <v/>
      </c>
      <c r="O584" s="202"/>
      <c r="P584" s="202" t="str">
        <f>IFERROR(__xludf.DUMMYFUNCTION("IFERROR(
    INDEX(FILTER('Arrived Shipments'!O:O, 'Arrived Shipments'!B:B=$B584),3),
    IFERROR(
        INDEX(FILTER('POed not arrived'!D:D, 'POed not arrived'!A:A=$B584),3),
        """"
    )
)"),"")</f>
        <v/>
      </c>
      <c r="Q584" s="202"/>
      <c r="R584" s="206" t="str">
        <f>IFERROR(__xludf.DUMMYFUNCTION("IFERROR(
    INDEX(FILTER('Arrived Shipments'!O:O, 'Arrived Shipments'!B:B=$B584),4),
    IFERROR(
        INDEX(FILTER('POed not arrived'!D:D, 'POed not arrived'!A:A=$B584),4),
        """"
    )
)"),"")</f>
        <v/>
      </c>
      <c r="S584" s="202"/>
      <c r="T584" s="202">
        <f t="shared" si="8"/>
        <v>0</v>
      </c>
      <c r="U584" s="198"/>
      <c r="V584" s="199"/>
      <c r="W584" s="197"/>
      <c r="X584" s="197"/>
      <c r="Y584" s="199"/>
      <c r="Z584" s="199"/>
      <c r="AA584" s="204" t="str">
        <f t="shared" si="4"/>
        <v/>
      </c>
      <c r="AB584" s="198"/>
      <c r="AC584" s="199"/>
      <c r="AD584" s="199"/>
      <c r="AE584" s="199"/>
      <c r="AF584" s="199"/>
      <c r="AG584" s="199"/>
      <c r="AH584" s="199"/>
      <c r="AI584" s="199"/>
      <c r="AJ584" s="199"/>
      <c r="AK584" s="199"/>
      <c r="AL584" s="199"/>
      <c r="AM584" s="198"/>
      <c r="AN584" s="197"/>
      <c r="AO584" s="197"/>
      <c r="AP584" s="197"/>
      <c r="AQ584" s="197"/>
      <c r="AR584" s="197"/>
      <c r="AS584" s="197"/>
    </row>
    <row r="585">
      <c r="A585" s="198" t="str">
        <f t="shared" si="1"/>
        <v/>
      </c>
      <c r="B585" s="205"/>
      <c r="C585" s="198"/>
      <c r="D585" s="199"/>
      <c r="E585" s="213"/>
      <c r="F585" s="198"/>
      <c r="G585" s="198"/>
      <c r="H585" s="199"/>
      <c r="I585" s="207"/>
      <c r="J585" s="199"/>
      <c r="K585" s="202"/>
      <c r="L585" s="205" t="str">
        <f>IFERROR(__xludf.DUMMYFUNCTION("IFERROR(
    INDEX(FILTER('Arrived Shipments'!O:O, 'Arrived Shipments'!B:B=$B585),1),
    IFERROR(
        INDEX(FILTER('POed not arrived'!D:D, 'POed not arrived'!A:A=$B585),1),
        """"
    )
)"),"")</f>
        <v/>
      </c>
      <c r="M585" s="202"/>
      <c r="N585" s="223" t="str">
        <f>IFERROR(__xludf.DUMMYFUNCTION("IFERROR(
    INDEX(FILTER('Arrived Shipments'!O:O, 'Arrived Shipments'!B:B=$B585),2),
    IFERROR(
        INDEX(FILTER('POed not arrived'!D:D, 'POed not arrived'!A:A=$B585),2),
        """"
    )
)"),"")</f>
        <v/>
      </c>
      <c r="O585" s="202"/>
      <c r="P585" s="202" t="str">
        <f>IFERROR(__xludf.DUMMYFUNCTION("IFERROR(
    INDEX(FILTER('Arrived Shipments'!O:O, 'Arrived Shipments'!B:B=$B585),3),
    IFERROR(
        INDEX(FILTER('POed not arrived'!D:D, 'POed not arrived'!A:A=$B585),3),
        """"
    )
)"),"")</f>
        <v/>
      </c>
      <c r="Q585" s="202"/>
      <c r="R585" s="206" t="str">
        <f>IFERROR(__xludf.DUMMYFUNCTION("IFERROR(
    INDEX(FILTER('Arrived Shipments'!O:O, 'Arrived Shipments'!B:B=$B585),4),
    IFERROR(
        INDEX(FILTER('POed not arrived'!D:D, 'POed not arrived'!A:A=$B585),4),
        """"
    )
)"),"")</f>
        <v/>
      </c>
      <c r="S585" s="202"/>
      <c r="T585" s="202">
        <f t="shared" si="8"/>
        <v>0</v>
      </c>
      <c r="U585" s="198"/>
      <c r="V585" s="199"/>
      <c r="W585" s="197"/>
      <c r="X585" s="197"/>
      <c r="Y585" s="199"/>
      <c r="Z585" s="199"/>
      <c r="AA585" s="204" t="str">
        <f t="shared" si="4"/>
        <v/>
      </c>
      <c r="AB585" s="198"/>
      <c r="AC585" s="199"/>
      <c r="AD585" s="199"/>
      <c r="AE585" s="199"/>
      <c r="AF585" s="199"/>
      <c r="AG585" s="199"/>
      <c r="AH585" s="199"/>
      <c r="AI585" s="199"/>
      <c r="AJ585" s="199"/>
      <c r="AK585" s="199"/>
      <c r="AL585" s="199"/>
      <c r="AM585" s="198"/>
      <c r="AN585" s="197"/>
      <c r="AO585" s="197"/>
      <c r="AP585" s="197"/>
      <c r="AQ585" s="197"/>
      <c r="AR585" s="197"/>
      <c r="AS585" s="197"/>
    </row>
    <row r="586">
      <c r="A586" s="198" t="str">
        <f t="shared" si="1"/>
        <v/>
      </c>
      <c r="B586" s="205"/>
      <c r="C586" s="198"/>
      <c r="D586" s="199"/>
      <c r="E586" s="213"/>
      <c r="F586" s="198"/>
      <c r="G586" s="198"/>
      <c r="H586" s="199"/>
      <c r="I586" s="207"/>
      <c r="J586" s="199"/>
      <c r="K586" s="202"/>
      <c r="L586" s="205" t="str">
        <f>IFERROR(__xludf.DUMMYFUNCTION("IFERROR(
    INDEX(FILTER('Arrived Shipments'!O:O, 'Arrived Shipments'!B:B=$B586),1),
    IFERROR(
        INDEX(FILTER('POed not arrived'!D:D, 'POed not arrived'!A:A=$B586),1),
        """"
    )
)"),"")</f>
        <v/>
      </c>
      <c r="M586" s="202"/>
      <c r="N586" s="223" t="str">
        <f>IFERROR(__xludf.DUMMYFUNCTION("IFERROR(
    INDEX(FILTER('Arrived Shipments'!O:O, 'Arrived Shipments'!B:B=$B586),2),
    IFERROR(
        INDEX(FILTER('POed not arrived'!D:D, 'POed not arrived'!A:A=$B586),2),
        """"
    )
)"),"")</f>
        <v/>
      </c>
      <c r="O586" s="202"/>
      <c r="P586" s="202" t="str">
        <f>IFERROR(__xludf.DUMMYFUNCTION("IFERROR(
    INDEX(FILTER('Arrived Shipments'!O:O, 'Arrived Shipments'!B:B=$B586),3),
    IFERROR(
        INDEX(FILTER('POed not arrived'!D:D, 'POed not arrived'!A:A=$B586),3),
        """"
    )
)"),"")</f>
        <v/>
      </c>
      <c r="Q586" s="202"/>
      <c r="R586" s="206" t="str">
        <f>IFERROR(__xludf.DUMMYFUNCTION("IFERROR(
    INDEX(FILTER('Arrived Shipments'!O:O, 'Arrived Shipments'!B:B=$B586),4),
    IFERROR(
        INDEX(FILTER('POed not arrived'!D:D, 'POed not arrived'!A:A=$B586),4),
        """"
    )
)"),"")</f>
        <v/>
      </c>
      <c r="S586" s="202"/>
      <c r="T586" s="202">
        <f t="shared" si="8"/>
        <v>0</v>
      </c>
      <c r="U586" s="198"/>
      <c r="V586" s="199"/>
      <c r="W586" s="197"/>
      <c r="X586" s="197"/>
      <c r="Y586" s="199"/>
      <c r="Z586" s="199"/>
      <c r="AA586" s="204" t="str">
        <f t="shared" si="4"/>
        <v/>
      </c>
      <c r="AB586" s="198"/>
      <c r="AC586" s="199"/>
      <c r="AD586" s="199"/>
      <c r="AE586" s="199"/>
      <c r="AF586" s="199"/>
      <c r="AG586" s="199"/>
      <c r="AH586" s="199"/>
      <c r="AI586" s="199"/>
      <c r="AJ586" s="199"/>
      <c r="AK586" s="199"/>
      <c r="AL586" s="199"/>
      <c r="AM586" s="198"/>
      <c r="AN586" s="197"/>
      <c r="AO586" s="197"/>
      <c r="AP586" s="197"/>
      <c r="AQ586" s="197"/>
      <c r="AR586" s="197"/>
      <c r="AS586" s="197"/>
    </row>
    <row r="587">
      <c r="A587" s="198" t="str">
        <f t="shared" si="1"/>
        <v/>
      </c>
      <c r="B587" s="205"/>
      <c r="C587" s="198"/>
      <c r="D587" s="199"/>
      <c r="E587" s="213"/>
      <c r="F587" s="198"/>
      <c r="G587" s="198"/>
      <c r="H587" s="199"/>
      <c r="I587" s="207"/>
      <c r="J587" s="199"/>
      <c r="K587" s="202"/>
      <c r="L587" s="205" t="str">
        <f>IFERROR(__xludf.DUMMYFUNCTION("IFERROR(
    INDEX(FILTER('Arrived Shipments'!O:O, 'Arrived Shipments'!B:B=$B587),1),
    IFERROR(
        INDEX(FILTER('POed not arrived'!D:D, 'POed not arrived'!A:A=$B587),1),
        """"
    )
)"),"")</f>
        <v/>
      </c>
      <c r="M587" s="202"/>
      <c r="N587" s="223" t="str">
        <f>IFERROR(__xludf.DUMMYFUNCTION("IFERROR(
    INDEX(FILTER('Arrived Shipments'!O:O, 'Arrived Shipments'!B:B=$B587),2),
    IFERROR(
        INDEX(FILTER('POed not arrived'!D:D, 'POed not arrived'!A:A=$B587),2),
        """"
    )
)"),"")</f>
        <v/>
      </c>
      <c r="O587" s="202"/>
      <c r="P587" s="202" t="str">
        <f>IFERROR(__xludf.DUMMYFUNCTION("IFERROR(
    INDEX(FILTER('Arrived Shipments'!O:O, 'Arrived Shipments'!B:B=$B587),3),
    IFERROR(
        INDEX(FILTER('POed not arrived'!D:D, 'POed not arrived'!A:A=$B587),3),
        """"
    )
)"),"")</f>
        <v/>
      </c>
      <c r="Q587" s="202"/>
      <c r="R587" s="206" t="str">
        <f>IFERROR(__xludf.DUMMYFUNCTION("IFERROR(
    INDEX(FILTER('Arrived Shipments'!O:O, 'Arrived Shipments'!B:B=$B587),4),
    IFERROR(
        INDEX(FILTER('POed not arrived'!D:D, 'POed not arrived'!A:A=$B587),4),
        """"
    )
)"),"")</f>
        <v/>
      </c>
      <c r="S587" s="202"/>
      <c r="T587" s="202">
        <f t="shared" si="8"/>
        <v>0</v>
      </c>
      <c r="U587" s="198"/>
      <c r="V587" s="199"/>
      <c r="W587" s="197"/>
      <c r="X587" s="197"/>
      <c r="Y587" s="199"/>
      <c r="Z587" s="199"/>
      <c r="AA587" s="204" t="str">
        <f t="shared" si="4"/>
        <v/>
      </c>
      <c r="AB587" s="198"/>
      <c r="AC587" s="199"/>
      <c r="AD587" s="199"/>
      <c r="AE587" s="199"/>
      <c r="AF587" s="199"/>
      <c r="AG587" s="199"/>
      <c r="AH587" s="199"/>
      <c r="AI587" s="199"/>
      <c r="AJ587" s="199"/>
      <c r="AK587" s="199"/>
      <c r="AL587" s="199"/>
      <c r="AM587" s="198"/>
      <c r="AN587" s="197"/>
      <c r="AO587" s="197"/>
      <c r="AP587" s="197"/>
      <c r="AQ587" s="197"/>
      <c r="AR587" s="197"/>
      <c r="AS587" s="197"/>
    </row>
    <row r="588">
      <c r="A588" s="198" t="str">
        <f t="shared" si="1"/>
        <v/>
      </c>
      <c r="B588" s="205"/>
      <c r="C588" s="198"/>
      <c r="D588" s="199"/>
      <c r="E588" s="213"/>
      <c r="F588" s="198"/>
      <c r="G588" s="198"/>
      <c r="H588" s="199"/>
      <c r="I588" s="207"/>
      <c r="J588" s="199"/>
      <c r="K588" s="202"/>
      <c r="L588" s="205" t="str">
        <f>IFERROR(__xludf.DUMMYFUNCTION("IFERROR(
    INDEX(FILTER('Arrived Shipments'!O:O, 'Arrived Shipments'!B:B=$B588),1),
    IFERROR(
        INDEX(FILTER('POed not arrived'!D:D, 'POed not arrived'!A:A=$B588),1),
        """"
    )
)"),"")</f>
        <v/>
      </c>
      <c r="M588" s="202"/>
      <c r="N588" s="223" t="str">
        <f>IFERROR(__xludf.DUMMYFUNCTION("IFERROR(
    INDEX(FILTER('Arrived Shipments'!O:O, 'Arrived Shipments'!B:B=$B588),2),
    IFERROR(
        INDEX(FILTER('POed not arrived'!D:D, 'POed not arrived'!A:A=$B588),2),
        """"
    )
)"),"")</f>
        <v/>
      </c>
      <c r="O588" s="202"/>
      <c r="P588" s="202" t="str">
        <f>IFERROR(__xludf.DUMMYFUNCTION("IFERROR(
    INDEX(FILTER('Arrived Shipments'!O:O, 'Arrived Shipments'!B:B=$B588),3),
    IFERROR(
        INDEX(FILTER('POed not arrived'!D:D, 'POed not arrived'!A:A=$B588),3),
        """"
    )
)"),"")</f>
        <v/>
      </c>
      <c r="Q588" s="202"/>
      <c r="R588" s="206" t="str">
        <f>IFERROR(__xludf.DUMMYFUNCTION("IFERROR(
    INDEX(FILTER('Arrived Shipments'!O:O, 'Arrived Shipments'!B:B=$B588),4),
    IFERROR(
        INDEX(FILTER('POed not arrived'!D:D, 'POed not arrived'!A:A=$B588),4),
        """"
    )
)"),"")</f>
        <v/>
      </c>
      <c r="S588" s="202"/>
      <c r="T588" s="202">
        <f t="shared" si="8"/>
        <v>0</v>
      </c>
      <c r="U588" s="198"/>
      <c r="V588" s="199"/>
      <c r="W588" s="197"/>
      <c r="X588" s="197"/>
      <c r="Y588" s="199"/>
      <c r="Z588" s="199"/>
      <c r="AA588" s="204" t="str">
        <f t="shared" si="4"/>
        <v/>
      </c>
      <c r="AB588" s="198"/>
      <c r="AC588" s="199"/>
      <c r="AD588" s="199"/>
      <c r="AE588" s="199"/>
      <c r="AF588" s="199"/>
      <c r="AG588" s="199"/>
      <c r="AH588" s="199"/>
      <c r="AI588" s="199"/>
      <c r="AJ588" s="199"/>
      <c r="AK588" s="199"/>
      <c r="AL588" s="199"/>
      <c r="AM588" s="198"/>
      <c r="AN588" s="197"/>
      <c r="AO588" s="197"/>
      <c r="AP588" s="197"/>
      <c r="AQ588" s="197"/>
      <c r="AR588" s="197"/>
      <c r="AS588" s="197"/>
    </row>
    <row r="589">
      <c r="A589" s="198" t="str">
        <f t="shared" si="1"/>
        <v/>
      </c>
      <c r="B589" s="205"/>
      <c r="C589" s="198"/>
      <c r="D589" s="199"/>
      <c r="E589" s="213"/>
      <c r="F589" s="198"/>
      <c r="G589" s="198"/>
      <c r="H589" s="199"/>
      <c r="I589" s="207"/>
      <c r="J589" s="199"/>
      <c r="K589" s="202"/>
      <c r="L589" s="205" t="str">
        <f>IFERROR(__xludf.DUMMYFUNCTION("IFERROR(
    INDEX(FILTER('Arrived Shipments'!O:O, 'Arrived Shipments'!B:B=$B589),1),
    IFERROR(
        INDEX(FILTER('POed not arrived'!D:D, 'POed not arrived'!A:A=$B589),1),
        """"
    )
)"),"")</f>
        <v/>
      </c>
      <c r="M589" s="202"/>
      <c r="N589" s="223" t="str">
        <f>IFERROR(__xludf.DUMMYFUNCTION("IFERROR(
    INDEX(FILTER('Arrived Shipments'!O:O, 'Arrived Shipments'!B:B=$B589),2),
    IFERROR(
        INDEX(FILTER('POed not arrived'!D:D, 'POed not arrived'!A:A=$B589),2),
        """"
    )
)"),"")</f>
        <v/>
      </c>
      <c r="O589" s="202"/>
      <c r="P589" s="202" t="str">
        <f>IFERROR(__xludf.DUMMYFUNCTION("IFERROR(
    INDEX(FILTER('Arrived Shipments'!O:O, 'Arrived Shipments'!B:B=$B589),3),
    IFERROR(
        INDEX(FILTER('POed not arrived'!D:D, 'POed not arrived'!A:A=$B589),3),
        """"
    )
)"),"")</f>
        <v/>
      </c>
      <c r="Q589" s="202"/>
      <c r="R589" s="206" t="str">
        <f>IFERROR(__xludf.DUMMYFUNCTION("IFERROR(
    INDEX(FILTER('Arrived Shipments'!O:O, 'Arrived Shipments'!B:B=$B589),4),
    IFERROR(
        INDEX(FILTER('POed not arrived'!D:D, 'POed not arrived'!A:A=$B589),4),
        """"
    )
)"),"")</f>
        <v/>
      </c>
      <c r="S589" s="202"/>
      <c r="T589" s="202">
        <f t="shared" si="8"/>
        <v>0</v>
      </c>
      <c r="U589" s="198"/>
      <c r="V589" s="199"/>
      <c r="W589" s="197"/>
      <c r="X589" s="197"/>
      <c r="Y589" s="199"/>
      <c r="Z589" s="199"/>
      <c r="AA589" s="204" t="str">
        <f t="shared" si="4"/>
        <v/>
      </c>
      <c r="AB589" s="198"/>
      <c r="AC589" s="199"/>
      <c r="AD589" s="199"/>
      <c r="AE589" s="199"/>
      <c r="AF589" s="199"/>
      <c r="AG589" s="199"/>
      <c r="AH589" s="199"/>
      <c r="AI589" s="199"/>
      <c r="AJ589" s="199"/>
      <c r="AK589" s="199"/>
      <c r="AL589" s="199"/>
      <c r="AM589" s="198"/>
      <c r="AN589" s="197"/>
      <c r="AO589" s="197"/>
      <c r="AP589" s="197"/>
      <c r="AQ589" s="197"/>
      <c r="AR589" s="197"/>
      <c r="AS589" s="197"/>
    </row>
    <row r="590">
      <c r="A590" s="198" t="str">
        <f t="shared" si="1"/>
        <v/>
      </c>
      <c r="B590" s="205"/>
      <c r="C590" s="198"/>
      <c r="D590" s="199"/>
      <c r="E590" s="213"/>
      <c r="F590" s="198"/>
      <c r="G590" s="198"/>
      <c r="H590" s="199"/>
      <c r="I590" s="207"/>
      <c r="J590" s="199"/>
      <c r="K590" s="202"/>
      <c r="L590" s="205" t="str">
        <f>IFERROR(__xludf.DUMMYFUNCTION("IFERROR(
    INDEX(FILTER('Arrived Shipments'!O:O, 'Arrived Shipments'!B:B=$B590),1),
    IFERROR(
        INDEX(FILTER('POed not arrived'!D:D, 'POed not arrived'!A:A=$B590),1),
        """"
    )
)"),"")</f>
        <v/>
      </c>
      <c r="M590" s="202"/>
      <c r="N590" s="223" t="str">
        <f>IFERROR(__xludf.DUMMYFUNCTION("IFERROR(
    INDEX(FILTER('Arrived Shipments'!O:O, 'Arrived Shipments'!B:B=$B590),2),
    IFERROR(
        INDEX(FILTER('POed not arrived'!D:D, 'POed not arrived'!A:A=$B590),2),
        """"
    )
)"),"")</f>
        <v/>
      </c>
      <c r="O590" s="202"/>
      <c r="P590" s="202" t="str">
        <f>IFERROR(__xludf.DUMMYFUNCTION("IFERROR(
    INDEX(FILTER('Arrived Shipments'!O:O, 'Arrived Shipments'!B:B=$B590),3),
    IFERROR(
        INDEX(FILTER('POed not arrived'!D:D, 'POed not arrived'!A:A=$B590),3),
        """"
    )
)"),"")</f>
        <v/>
      </c>
      <c r="Q590" s="202"/>
      <c r="R590" s="206" t="str">
        <f>IFERROR(__xludf.DUMMYFUNCTION("IFERROR(
    INDEX(FILTER('Arrived Shipments'!O:O, 'Arrived Shipments'!B:B=$B590),4),
    IFERROR(
        INDEX(FILTER('POed not arrived'!D:D, 'POed not arrived'!A:A=$B590),4),
        """"
    )
)"),"")</f>
        <v/>
      </c>
      <c r="S590" s="202"/>
      <c r="T590" s="202">
        <f t="shared" si="8"/>
        <v>0</v>
      </c>
      <c r="U590" s="198"/>
      <c r="V590" s="199"/>
      <c r="W590" s="197"/>
      <c r="X590" s="197"/>
      <c r="Y590" s="199"/>
      <c r="Z590" s="199"/>
      <c r="AA590" s="204" t="str">
        <f t="shared" si="4"/>
        <v/>
      </c>
      <c r="AB590" s="198"/>
      <c r="AC590" s="199"/>
      <c r="AD590" s="199"/>
      <c r="AE590" s="199"/>
      <c r="AF590" s="199"/>
      <c r="AG590" s="199"/>
      <c r="AH590" s="199"/>
      <c r="AI590" s="199"/>
      <c r="AJ590" s="199"/>
      <c r="AK590" s="199"/>
      <c r="AL590" s="199"/>
      <c r="AM590" s="198"/>
      <c r="AN590" s="197"/>
      <c r="AO590" s="197"/>
      <c r="AP590" s="197"/>
      <c r="AQ590" s="197"/>
      <c r="AR590" s="197"/>
      <c r="AS590" s="197"/>
    </row>
    <row r="591">
      <c r="A591" s="198" t="str">
        <f t="shared" si="1"/>
        <v/>
      </c>
      <c r="B591" s="205"/>
      <c r="C591" s="198"/>
      <c r="D591" s="199"/>
      <c r="E591" s="213"/>
      <c r="F591" s="198"/>
      <c r="G591" s="198"/>
      <c r="H591" s="199"/>
      <c r="I591" s="207"/>
      <c r="J591" s="199"/>
      <c r="K591" s="202"/>
      <c r="L591" s="205" t="str">
        <f>IFERROR(__xludf.DUMMYFUNCTION("IFERROR(
    INDEX(FILTER('Arrived Shipments'!O:O, 'Arrived Shipments'!B:B=$B591),1),
    IFERROR(
        INDEX(FILTER('POed not arrived'!D:D, 'POed not arrived'!A:A=$B591),1),
        """"
    )
)"),"")</f>
        <v/>
      </c>
      <c r="M591" s="202"/>
      <c r="N591" s="223" t="str">
        <f>IFERROR(__xludf.DUMMYFUNCTION("IFERROR(
    INDEX(FILTER('Arrived Shipments'!O:O, 'Arrived Shipments'!B:B=$B591),2),
    IFERROR(
        INDEX(FILTER('POed not arrived'!D:D, 'POed not arrived'!A:A=$B591),2),
        """"
    )
)"),"")</f>
        <v/>
      </c>
      <c r="O591" s="202"/>
      <c r="P591" s="202" t="str">
        <f>IFERROR(__xludf.DUMMYFUNCTION("IFERROR(
    INDEX(FILTER('Arrived Shipments'!O:O, 'Arrived Shipments'!B:B=$B591),3),
    IFERROR(
        INDEX(FILTER('POed not arrived'!D:D, 'POed not arrived'!A:A=$B591),3),
        """"
    )
)"),"")</f>
        <v/>
      </c>
      <c r="Q591" s="202"/>
      <c r="R591" s="206" t="str">
        <f>IFERROR(__xludf.DUMMYFUNCTION("IFERROR(
    INDEX(FILTER('Arrived Shipments'!O:O, 'Arrived Shipments'!B:B=$B591),4),
    IFERROR(
        INDEX(FILTER('POed not arrived'!D:D, 'POed not arrived'!A:A=$B591),4),
        """"
    )
)"),"")</f>
        <v/>
      </c>
      <c r="S591" s="202"/>
      <c r="T591" s="202">
        <f t="shared" si="8"/>
        <v>0</v>
      </c>
      <c r="U591" s="198"/>
      <c r="V591" s="199"/>
      <c r="W591" s="197"/>
      <c r="X591" s="197"/>
      <c r="Y591" s="199"/>
      <c r="Z591" s="199"/>
      <c r="AA591" s="204" t="str">
        <f t="shared" si="4"/>
        <v/>
      </c>
      <c r="AB591" s="198"/>
      <c r="AC591" s="199"/>
      <c r="AD591" s="199"/>
      <c r="AE591" s="199"/>
      <c r="AF591" s="199"/>
      <c r="AG591" s="199"/>
      <c r="AH591" s="199"/>
      <c r="AI591" s="199"/>
      <c r="AJ591" s="199"/>
      <c r="AK591" s="199"/>
      <c r="AL591" s="199"/>
      <c r="AM591" s="198"/>
      <c r="AN591" s="197"/>
      <c r="AO591" s="197"/>
      <c r="AP591" s="197"/>
      <c r="AQ591" s="197"/>
      <c r="AR591" s="197"/>
      <c r="AS591" s="197"/>
    </row>
    <row r="592">
      <c r="A592" s="198" t="str">
        <f t="shared" si="1"/>
        <v/>
      </c>
      <c r="B592" s="205"/>
      <c r="C592" s="198"/>
      <c r="D592" s="199"/>
      <c r="E592" s="213"/>
      <c r="F592" s="198"/>
      <c r="G592" s="198"/>
      <c r="H592" s="199"/>
      <c r="I592" s="207"/>
      <c r="J592" s="199"/>
      <c r="K592" s="202"/>
      <c r="L592" s="205" t="str">
        <f>IFERROR(__xludf.DUMMYFUNCTION("IFERROR(
    INDEX(FILTER('Arrived Shipments'!O:O, 'Arrived Shipments'!B:B=$B592),1),
    IFERROR(
        INDEX(FILTER('POed not arrived'!D:D, 'POed not arrived'!A:A=$B592),1),
        """"
    )
)"),"")</f>
        <v/>
      </c>
      <c r="M592" s="202"/>
      <c r="N592" s="223" t="str">
        <f>IFERROR(__xludf.DUMMYFUNCTION("IFERROR(
    INDEX(FILTER('Arrived Shipments'!O:O, 'Arrived Shipments'!B:B=$B592),2),
    IFERROR(
        INDEX(FILTER('POed not arrived'!D:D, 'POed not arrived'!A:A=$B592),2),
        """"
    )
)"),"")</f>
        <v/>
      </c>
      <c r="O592" s="202"/>
      <c r="P592" s="202" t="str">
        <f>IFERROR(__xludf.DUMMYFUNCTION("IFERROR(
    INDEX(FILTER('Arrived Shipments'!O:O, 'Arrived Shipments'!B:B=$B592),3),
    IFERROR(
        INDEX(FILTER('POed not arrived'!D:D, 'POed not arrived'!A:A=$B592),3),
        """"
    )
)"),"")</f>
        <v/>
      </c>
      <c r="Q592" s="202"/>
      <c r="R592" s="206" t="str">
        <f>IFERROR(__xludf.DUMMYFUNCTION("IFERROR(
    INDEX(FILTER('Arrived Shipments'!O:O, 'Arrived Shipments'!B:B=$B592),4),
    IFERROR(
        INDEX(FILTER('POed not arrived'!D:D, 'POed not arrived'!A:A=$B592),4),
        """"
    )
)"),"")</f>
        <v/>
      </c>
      <c r="S592" s="202"/>
      <c r="T592" s="202">
        <f t="shared" si="8"/>
        <v>0</v>
      </c>
      <c r="U592" s="198"/>
      <c r="V592" s="199"/>
      <c r="W592" s="197"/>
      <c r="X592" s="197"/>
      <c r="Y592" s="199"/>
      <c r="Z592" s="199"/>
      <c r="AA592" s="204" t="str">
        <f t="shared" si="4"/>
        <v/>
      </c>
      <c r="AB592" s="198"/>
      <c r="AC592" s="199"/>
      <c r="AD592" s="199"/>
      <c r="AE592" s="199"/>
      <c r="AF592" s="199"/>
      <c r="AG592" s="199"/>
      <c r="AH592" s="199"/>
      <c r="AI592" s="199"/>
      <c r="AJ592" s="199"/>
      <c r="AK592" s="199"/>
      <c r="AL592" s="199"/>
      <c r="AM592" s="198"/>
      <c r="AN592" s="197"/>
      <c r="AO592" s="197"/>
      <c r="AP592" s="197"/>
      <c r="AQ592" s="197"/>
      <c r="AR592" s="197"/>
      <c r="AS592" s="197"/>
    </row>
    <row r="593">
      <c r="A593" s="198" t="str">
        <f t="shared" si="1"/>
        <v/>
      </c>
      <c r="B593" s="205"/>
      <c r="C593" s="198"/>
      <c r="D593" s="199"/>
      <c r="E593" s="213"/>
      <c r="F593" s="198"/>
      <c r="G593" s="198"/>
      <c r="H593" s="199"/>
      <c r="I593" s="207"/>
      <c r="J593" s="199"/>
      <c r="K593" s="202"/>
      <c r="L593" s="205" t="str">
        <f>IFERROR(__xludf.DUMMYFUNCTION("IFERROR(
    INDEX(FILTER('Arrived Shipments'!O:O, 'Arrived Shipments'!B:B=$B593),1),
    IFERROR(
        INDEX(FILTER('POed not arrived'!D:D, 'POed not arrived'!A:A=$B593),1),
        """"
    )
)"),"")</f>
        <v/>
      </c>
      <c r="M593" s="202"/>
      <c r="N593" s="223" t="str">
        <f>IFERROR(__xludf.DUMMYFUNCTION("IFERROR(
    INDEX(FILTER('Arrived Shipments'!O:O, 'Arrived Shipments'!B:B=$B593),2),
    IFERROR(
        INDEX(FILTER('POed not arrived'!D:D, 'POed not arrived'!A:A=$B593),2),
        """"
    )
)"),"")</f>
        <v/>
      </c>
      <c r="O593" s="202"/>
      <c r="P593" s="202" t="str">
        <f>IFERROR(__xludf.DUMMYFUNCTION("IFERROR(
    INDEX(FILTER('Arrived Shipments'!O:O, 'Arrived Shipments'!B:B=$B593),3),
    IFERROR(
        INDEX(FILTER('POed not arrived'!D:D, 'POed not arrived'!A:A=$B593),3),
        """"
    )
)"),"")</f>
        <v/>
      </c>
      <c r="Q593" s="202"/>
      <c r="R593" s="206" t="str">
        <f>IFERROR(__xludf.DUMMYFUNCTION("IFERROR(
    INDEX(FILTER('Arrived Shipments'!O:O, 'Arrived Shipments'!B:B=$B593),4),
    IFERROR(
        INDEX(FILTER('POed not arrived'!D:D, 'POed not arrived'!A:A=$B593),4),
        """"
    )
)"),"")</f>
        <v/>
      </c>
      <c r="S593" s="202"/>
      <c r="T593" s="202">
        <f t="shared" si="8"/>
        <v>0</v>
      </c>
      <c r="U593" s="198"/>
      <c r="V593" s="199"/>
      <c r="W593" s="197"/>
      <c r="X593" s="197"/>
      <c r="Y593" s="199"/>
      <c r="Z593" s="199"/>
      <c r="AA593" s="204" t="str">
        <f t="shared" si="4"/>
        <v/>
      </c>
      <c r="AB593" s="198"/>
      <c r="AC593" s="199"/>
      <c r="AD593" s="199"/>
      <c r="AE593" s="199"/>
      <c r="AF593" s="199"/>
      <c r="AG593" s="199"/>
      <c r="AH593" s="199"/>
      <c r="AI593" s="199"/>
      <c r="AJ593" s="199"/>
      <c r="AK593" s="199"/>
      <c r="AL593" s="199"/>
      <c r="AM593" s="198"/>
      <c r="AN593" s="197"/>
      <c r="AO593" s="197"/>
      <c r="AP593" s="197"/>
      <c r="AQ593" s="197"/>
      <c r="AR593" s="197"/>
      <c r="AS593" s="197"/>
    </row>
    <row r="594">
      <c r="A594" s="198" t="str">
        <f t="shared" si="1"/>
        <v/>
      </c>
      <c r="B594" s="205"/>
      <c r="C594" s="198"/>
      <c r="D594" s="199"/>
      <c r="E594" s="213"/>
      <c r="F594" s="198"/>
      <c r="G594" s="198"/>
      <c r="H594" s="199"/>
      <c r="I594" s="207"/>
      <c r="J594" s="199"/>
      <c r="K594" s="202"/>
      <c r="L594" s="205" t="str">
        <f>IFERROR(__xludf.DUMMYFUNCTION("IFERROR(
    INDEX(FILTER('Arrived Shipments'!O:O, 'Arrived Shipments'!B:B=$B594),1),
    IFERROR(
        INDEX(FILTER('POed not arrived'!D:D, 'POed not arrived'!A:A=$B594),1),
        """"
    )
)"),"")</f>
        <v/>
      </c>
      <c r="M594" s="202"/>
      <c r="N594" s="223" t="str">
        <f>IFERROR(__xludf.DUMMYFUNCTION("IFERROR(
    INDEX(FILTER('Arrived Shipments'!O:O, 'Arrived Shipments'!B:B=$B594),2),
    IFERROR(
        INDEX(FILTER('POed not arrived'!D:D, 'POed not arrived'!A:A=$B594),2),
        """"
    )
)"),"")</f>
        <v/>
      </c>
      <c r="O594" s="202"/>
      <c r="P594" s="202" t="str">
        <f>IFERROR(__xludf.DUMMYFUNCTION("IFERROR(
    INDEX(FILTER('Arrived Shipments'!O:O, 'Arrived Shipments'!B:B=$B594),3),
    IFERROR(
        INDEX(FILTER('POed not arrived'!D:D, 'POed not arrived'!A:A=$B594),3),
        """"
    )
)"),"")</f>
        <v/>
      </c>
      <c r="Q594" s="202"/>
      <c r="R594" s="206" t="str">
        <f>IFERROR(__xludf.DUMMYFUNCTION("IFERROR(
    INDEX(FILTER('Arrived Shipments'!O:O, 'Arrived Shipments'!B:B=$B594),4),
    IFERROR(
        INDEX(FILTER('POed not arrived'!D:D, 'POed not arrived'!A:A=$B594),4),
        """"
    )
)"),"")</f>
        <v/>
      </c>
      <c r="S594" s="202"/>
      <c r="T594" s="202">
        <f t="shared" si="8"/>
        <v>0</v>
      </c>
      <c r="U594" s="198"/>
      <c r="V594" s="199"/>
      <c r="W594" s="197"/>
      <c r="X594" s="197"/>
      <c r="Y594" s="199"/>
      <c r="Z594" s="199"/>
      <c r="AA594" s="204" t="str">
        <f t="shared" si="4"/>
        <v/>
      </c>
      <c r="AB594" s="198"/>
      <c r="AC594" s="199"/>
      <c r="AD594" s="199"/>
      <c r="AE594" s="199"/>
      <c r="AF594" s="199"/>
      <c r="AG594" s="199"/>
      <c r="AH594" s="199"/>
      <c r="AI594" s="199"/>
      <c r="AJ594" s="199"/>
      <c r="AK594" s="199"/>
      <c r="AL594" s="199"/>
      <c r="AM594" s="198"/>
      <c r="AN594" s="197"/>
      <c r="AO594" s="197"/>
      <c r="AP594" s="197"/>
      <c r="AQ594" s="197"/>
      <c r="AR594" s="197"/>
      <c r="AS594" s="197"/>
    </row>
    <row r="595">
      <c r="A595" s="198" t="str">
        <f t="shared" si="1"/>
        <v/>
      </c>
      <c r="B595" s="205"/>
      <c r="C595" s="198"/>
      <c r="D595" s="199"/>
      <c r="E595" s="213"/>
      <c r="F595" s="198"/>
      <c r="G595" s="198"/>
      <c r="H595" s="199"/>
      <c r="I595" s="207"/>
      <c r="J595" s="199"/>
      <c r="K595" s="202"/>
      <c r="L595" s="205" t="str">
        <f>IFERROR(__xludf.DUMMYFUNCTION("IFERROR(
    INDEX(FILTER('Arrived Shipments'!O:O, 'Arrived Shipments'!B:B=$B595),1),
    IFERROR(
        INDEX(FILTER('POed not arrived'!D:D, 'POed not arrived'!A:A=$B595),1),
        """"
    )
)"),"")</f>
        <v/>
      </c>
      <c r="M595" s="202"/>
      <c r="N595" s="223" t="str">
        <f>IFERROR(__xludf.DUMMYFUNCTION("IFERROR(
    INDEX(FILTER('Arrived Shipments'!O:O, 'Arrived Shipments'!B:B=$B595),2),
    IFERROR(
        INDEX(FILTER('POed not arrived'!D:D, 'POed not arrived'!A:A=$B595),2),
        """"
    )
)"),"")</f>
        <v/>
      </c>
      <c r="O595" s="202"/>
      <c r="P595" s="202" t="str">
        <f>IFERROR(__xludf.DUMMYFUNCTION("IFERROR(
    INDEX(FILTER('Arrived Shipments'!O:O, 'Arrived Shipments'!B:B=$B595),3),
    IFERROR(
        INDEX(FILTER('POed not arrived'!D:D, 'POed not arrived'!A:A=$B595),3),
        """"
    )
)"),"")</f>
        <v/>
      </c>
      <c r="Q595" s="202"/>
      <c r="R595" s="206" t="str">
        <f>IFERROR(__xludf.DUMMYFUNCTION("IFERROR(
    INDEX(FILTER('Arrived Shipments'!O:O, 'Arrived Shipments'!B:B=$B595),4),
    IFERROR(
        INDEX(FILTER('POed not arrived'!D:D, 'POed not arrived'!A:A=$B595),4),
        """"
    )
)"),"")</f>
        <v/>
      </c>
      <c r="S595" s="202"/>
      <c r="T595" s="202">
        <f t="shared" si="8"/>
        <v>0</v>
      </c>
      <c r="U595" s="198"/>
      <c r="V595" s="199"/>
      <c r="W595" s="197"/>
      <c r="X595" s="197"/>
      <c r="Y595" s="199"/>
      <c r="Z595" s="199"/>
      <c r="AA595" s="204" t="str">
        <f t="shared" si="4"/>
        <v/>
      </c>
      <c r="AB595" s="198"/>
      <c r="AC595" s="199"/>
      <c r="AD595" s="199"/>
      <c r="AE595" s="199"/>
      <c r="AF595" s="199"/>
      <c r="AG595" s="199"/>
      <c r="AH595" s="199"/>
      <c r="AI595" s="199"/>
      <c r="AJ595" s="199"/>
      <c r="AK595" s="199"/>
      <c r="AL595" s="199"/>
      <c r="AM595" s="198"/>
      <c r="AN595" s="197"/>
      <c r="AO595" s="197"/>
      <c r="AP595" s="197"/>
      <c r="AQ595" s="197"/>
      <c r="AR595" s="197"/>
      <c r="AS595" s="197"/>
    </row>
    <row r="596">
      <c r="A596" s="198" t="str">
        <f t="shared" si="1"/>
        <v/>
      </c>
      <c r="B596" s="205"/>
      <c r="C596" s="198"/>
      <c r="D596" s="199"/>
      <c r="E596" s="213"/>
      <c r="F596" s="198"/>
      <c r="G596" s="198"/>
      <c r="H596" s="199"/>
      <c r="I596" s="207"/>
      <c r="J596" s="199"/>
      <c r="K596" s="202"/>
      <c r="L596" s="205" t="str">
        <f>IFERROR(__xludf.DUMMYFUNCTION("IFERROR(
    INDEX(FILTER('Arrived Shipments'!O:O, 'Arrived Shipments'!B:B=$B596),1),
    IFERROR(
        INDEX(FILTER('POed not arrived'!D:D, 'POed not arrived'!A:A=$B596),1),
        """"
    )
)"),"")</f>
        <v/>
      </c>
      <c r="M596" s="202"/>
      <c r="N596" s="223" t="str">
        <f>IFERROR(__xludf.DUMMYFUNCTION("IFERROR(
    INDEX(FILTER('Arrived Shipments'!O:O, 'Arrived Shipments'!B:B=$B596),2),
    IFERROR(
        INDEX(FILTER('POed not arrived'!D:D, 'POed not arrived'!A:A=$B596),2),
        """"
    )
)"),"")</f>
        <v/>
      </c>
      <c r="O596" s="202"/>
      <c r="P596" s="202" t="str">
        <f>IFERROR(__xludf.DUMMYFUNCTION("IFERROR(
    INDEX(FILTER('Arrived Shipments'!O:O, 'Arrived Shipments'!B:B=$B596),3),
    IFERROR(
        INDEX(FILTER('POed not arrived'!D:D, 'POed not arrived'!A:A=$B596),3),
        """"
    )
)"),"")</f>
        <v/>
      </c>
      <c r="Q596" s="202"/>
      <c r="R596" s="206" t="str">
        <f>IFERROR(__xludf.DUMMYFUNCTION("IFERROR(
    INDEX(FILTER('Arrived Shipments'!O:O, 'Arrived Shipments'!B:B=$B596),4),
    IFERROR(
        INDEX(FILTER('POed not arrived'!D:D, 'POed not arrived'!A:A=$B596),4),
        """"
    )
)"),"")</f>
        <v/>
      </c>
      <c r="S596" s="202"/>
      <c r="T596" s="202">
        <f t="shared" si="8"/>
        <v>0</v>
      </c>
      <c r="U596" s="198"/>
      <c r="V596" s="199"/>
      <c r="W596" s="197"/>
      <c r="X596" s="197"/>
      <c r="Y596" s="199"/>
      <c r="Z596" s="199"/>
      <c r="AA596" s="204" t="str">
        <f t="shared" si="4"/>
        <v/>
      </c>
      <c r="AB596" s="198"/>
      <c r="AC596" s="199"/>
      <c r="AD596" s="199"/>
      <c r="AE596" s="199"/>
      <c r="AF596" s="199"/>
      <c r="AG596" s="199"/>
      <c r="AH596" s="199"/>
      <c r="AI596" s="199"/>
      <c r="AJ596" s="199"/>
      <c r="AK596" s="199"/>
      <c r="AL596" s="199"/>
      <c r="AM596" s="198"/>
      <c r="AN596" s="197"/>
      <c r="AO596" s="197"/>
      <c r="AP596" s="197"/>
      <c r="AQ596" s="197"/>
      <c r="AR596" s="197"/>
      <c r="AS596" s="197"/>
    </row>
    <row r="597">
      <c r="A597" s="198" t="str">
        <f t="shared" si="1"/>
        <v/>
      </c>
      <c r="B597" s="205"/>
      <c r="C597" s="198"/>
      <c r="D597" s="199"/>
      <c r="E597" s="213"/>
      <c r="F597" s="198"/>
      <c r="G597" s="198"/>
      <c r="H597" s="199"/>
      <c r="I597" s="207"/>
      <c r="J597" s="199"/>
      <c r="K597" s="202"/>
      <c r="L597" s="205" t="str">
        <f>IFERROR(__xludf.DUMMYFUNCTION("IFERROR(
    INDEX(FILTER('Arrived Shipments'!O:O, 'Arrived Shipments'!B:B=$B597),1),
    IFERROR(
        INDEX(FILTER('POed not arrived'!D:D, 'POed not arrived'!A:A=$B597),1),
        """"
    )
)"),"")</f>
        <v/>
      </c>
      <c r="M597" s="202"/>
      <c r="N597" s="223" t="str">
        <f>IFERROR(__xludf.DUMMYFUNCTION("IFERROR(
    INDEX(FILTER('Arrived Shipments'!O:O, 'Arrived Shipments'!B:B=$B597),2),
    IFERROR(
        INDEX(FILTER('POed not arrived'!D:D, 'POed not arrived'!A:A=$B597),2),
        """"
    )
)"),"")</f>
        <v/>
      </c>
      <c r="O597" s="202"/>
      <c r="P597" s="202" t="str">
        <f>IFERROR(__xludf.DUMMYFUNCTION("IFERROR(
    INDEX(FILTER('Arrived Shipments'!O:O, 'Arrived Shipments'!B:B=$B597),3),
    IFERROR(
        INDEX(FILTER('POed not arrived'!D:D, 'POed not arrived'!A:A=$B597),3),
        """"
    )
)"),"")</f>
        <v/>
      </c>
      <c r="Q597" s="202"/>
      <c r="R597" s="206" t="str">
        <f>IFERROR(__xludf.DUMMYFUNCTION("IFERROR(
    INDEX(FILTER('Arrived Shipments'!O:O, 'Arrived Shipments'!B:B=$B597),4),
    IFERROR(
        INDEX(FILTER('POed not arrived'!D:D, 'POed not arrived'!A:A=$B597),4),
        """"
    )
)"),"")</f>
        <v/>
      </c>
      <c r="S597" s="202"/>
      <c r="T597" s="202">
        <f t="shared" si="8"/>
        <v>0</v>
      </c>
      <c r="U597" s="198"/>
      <c r="V597" s="199"/>
      <c r="W597" s="197"/>
      <c r="X597" s="197"/>
      <c r="Y597" s="199"/>
      <c r="Z597" s="199"/>
      <c r="AA597" s="204" t="str">
        <f t="shared" si="4"/>
        <v/>
      </c>
      <c r="AB597" s="198"/>
      <c r="AC597" s="199"/>
      <c r="AD597" s="199"/>
      <c r="AE597" s="199"/>
      <c r="AF597" s="199"/>
      <c r="AG597" s="199"/>
      <c r="AH597" s="199"/>
      <c r="AI597" s="199"/>
      <c r="AJ597" s="199"/>
      <c r="AK597" s="199"/>
      <c r="AL597" s="199"/>
      <c r="AM597" s="198"/>
      <c r="AN597" s="197"/>
      <c r="AO597" s="197"/>
      <c r="AP597" s="197"/>
      <c r="AQ597" s="197"/>
      <c r="AR597" s="197"/>
      <c r="AS597" s="197"/>
    </row>
    <row r="598">
      <c r="A598" s="198" t="str">
        <f t="shared" si="1"/>
        <v/>
      </c>
      <c r="B598" s="205"/>
      <c r="C598" s="198"/>
      <c r="D598" s="199"/>
      <c r="E598" s="213"/>
      <c r="F598" s="198"/>
      <c r="G598" s="198"/>
      <c r="H598" s="199"/>
      <c r="I598" s="207"/>
      <c r="J598" s="199"/>
      <c r="K598" s="202"/>
      <c r="L598" s="205" t="str">
        <f>IFERROR(__xludf.DUMMYFUNCTION("IFERROR(
    INDEX(FILTER('Arrived Shipments'!O:O, 'Arrived Shipments'!B:B=$B598),1),
    IFERROR(
        INDEX(FILTER('POed not arrived'!D:D, 'POed not arrived'!A:A=$B598),1),
        """"
    )
)"),"")</f>
        <v/>
      </c>
      <c r="M598" s="202"/>
      <c r="N598" s="223" t="str">
        <f>IFERROR(__xludf.DUMMYFUNCTION("IFERROR(
    INDEX(FILTER('Arrived Shipments'!O:O, 'Arrived Shipments'!B:B=$B598),2),
    IFERROR(
        INDEX(FILTER('POed not arrived'!D:D, 'POed not arrived'!A:A=$B598),2),
        """"
    )
)"),"")</f>
        <v/>
      </c>
      <c r="O598" s="202"/>
      <c r="P598" s="202" t="str">
        <f>IFERROR(__xludf.DUMMYFUNCTION("IFERROR(
    INDEX(FILTER('Arrived Shipments'!O:O, 'Arrived Shipments'!B:B=$B598),3),
    IFERROR(
        INDEX(FILTER('POed not arrived'!D:D, 'POed not arrived'!A:A=$B598),3),
        """"
    )
)"),"")</f>
        <v/>
      </c>
      <c r="Q598" s="202"/>
      <c r="R598" s="206" t="str">
        <f>IFERROR(__xludf.DUMMYFUNCTION("IFERROR(
    INDEX(FILTER('Arrived Shipments'!O:O, 'Arrived Shipments'!B:B=$B598),4),
    IFERROR(
        INDEX(FILTER('POed not arrived'!D:D, 'POed not arrived'!A:A=$B598),4),
        """"
    )
)"),"")</f>
        <v/>
      </c>
      <c r="S598" s="202"/>
      <c r="T598" s="202">
        <f t="shared" si="8"/>
        <v>0</v>
      </c>
      <c r="U598" s="198"/>
      <c r="V598" s="199"/>
      <c r="W598" s="197"/>
      <c r="X598" s="197"/>
      <c r="Y598" s="199"/>
      <c r="Z598" s="199"/>
      <c r="AA598" s="204" t="str">
        <f t="shared" si="4"/>
        <v/>
      </c>
      <c r="AB598" s="198"/>
      <c r="AC598" s="199"/>
      <c r="AD598" s="199"/>
      <c r="AE598" s="199"/>
      <c r="AF598" s="199"/>
      <c r="AG598" s="199"/>
      <c r="AH598" s="199"/>
      <c r="AI598" s="199"/>
      <c r="AJ598" s="199"/>
      <c r="AK598" s="199"/>
      <c r="AL598" s="199"/>
      <c r="AM598" s="198"/>
      <c r="AN598" s="197"/>
      <c r="AO598" s="197"/>
      <c r="AP598" s="197"/>
      <c r="AQ598" s="197"/>
      <c r="AR598" s="197"/>
      <c r="AS598" s="197"/>
    </row>
    <row r="599">
      <c r="A599" s="198" t="str">
        <f t="shared" si="1"/>
        <v/>
      </c>
      <c r="B599" s="205"/>
      <c r="C599" s="198"/>
      <c r="D599" s="199"/>
      <c r="E599" s="213"/>
      <c r="F599" s="198"/>
      <c r="G599" s="198"/>
      <c r="H599" s="199"/>
      <c r="I599" s="207"/>
      <c r="J599" s="199"/>
      <c r="K599" s="202"/>
      <c r="L599" s="205" t="str">
        <f>IFERROR(__xludf.DUMMYFUNCTION("IFERROR(
    INDEX(FILTER('Arrived Shipments'!O:O, 'Arrived Shipments'!B:B=$B599),1),
    IFERROR(
        INDEX(FILTER('POed not arrived'!D:D, 'POed not arrived'!A:A=$B599),1),
        """"
    )
)"),"")</f>
        <v/>
      </c>
      <c r="M599" s="202"/>
      <c r="N599" s="223" t="str">
        <f>IFERROR(__xludf.DUMMYFUNCTION("IFERROR(
    INDEX(FILTER('Arrived Shipments'!O:O, 'Arrived Shipments'!B:B=$B599),2),
    IFERROR(
        INDEX(FILTER('POed not arrived'!D:D, 'POed not arrived'!A:A=$B599),2),
        """"
    )
)"),"")</f>
        <v/>
      </c>
      <c r="O599" s="202"/>
      <c r="P599" s="202" t="str">
        <f>IFERROR(__xludf.DUMMYFUNCTION("IFERROR(
    INDEX(FILTER('Arrived Shipments'!O:O, 'Arrived Shipments'!B:B=$B599),3),
    IFERROR(
        INDEX(FILTER('POed not arrived'!D:D, 'POed not arrived'!A:A=$B599),3),
        """"
    )
)"),"")</f>
        <v/>
      </c>
      <c r="Q599" s="202"/>
      <c r="R599" s="206" t="str">
        <f>IFERROR(__xludf.DUMMYFUNCTION("IFERROR(
    INDEX(FILTER('Arrived Shipments'!O:O, 'Arrived Shipments'!B:B=$B599),4),
    IFERROR(
        INDEX(FILTER('POed not arrived'!D:D, 'POed not arrived'!A:A=$B599),4),
        """"
    )
)"),"")</f>
        <v/>
      </c>
      <c r="S599" s="202"/>
      <c r="T599" s="202">
        <f t="shared" si="8"/>
        <v>0</v>
      </c>
      <c r="U599" s="198"/>
      <c r="V599" s="199"/>
      <c r="W599" s="197"/>
      <c r="X599" s="197"/>
      <c r="Y599" s="199"/>
      <c r="Z599" s="199"/>
      <c r="AA599" s="204" t="str">
        <f t="shared" si="4"/>
        <v/>
      </c>
      <c r="AB599" s="198"/>
      <c r="AC599" s="199"/>
      <c r="AD599" s="199"/>
      <c r="AE599" s="199"/>
      <c r="AF599" s="199"/>
      <c r="AG599" s="199"/>
      <c r="AH599" s="199"/>
      <c r="AI599" s="199"/>
      <c r="AJ599" s="199"/>
      <c r="AK599" s="199"/>
      <c r="AL599" s="199"/>
      <c r="AM599" s="198"/>
      <c r="AN599" s="197"/>
      <c r="AO599" s="197"/>
      <c r="AP599" s="197"/>
      <c r="AQ599" s="197"/>
      <c r="AR599" s="197"/>
      <c r="AS599" s="197"/>
    </row>
    <row r="600">
      <c r="A600" s="198" t="str">
        <f t="shared" si="1"/>
        <v/>
      </c>
      <c r="B600" s="205"/>
      <c r="C600" s="198"/>
      <c r="D600" s="199"/>
      <c r="E600" s="213"/>
      <c r="F600" s="198"/>
      <c r="G600" s="198"/>
      <c r="H600" s="199"/>
      <c r="I600" s="207"/>
      <c r="J600" s="199"/>
      <c r="K600" s="202"/>
      <c r="L600" s="205" t="str">
        <f>IFERROR(__xludf.DUMMYFUNCTION("IFERROR(
    INDEX(FILTER('Arrived Shipments'!O:O, 'Arrived Shipments'!B:B=$B600),1),
    IFERROR(
        INDEX(FILTER('POed not arrived'!D:D, 'POed not arrived'!A:A=$B600),1),
        """"
    )
)"),"")</f>
        <v/>
      </c>
      <c r="M600" s="202"/>
      <c r="N600" s="223" t="str">
        <f>IFERROR(__xludf.DUMMYFUNCTION("IFERROR(
    INDEX(FILTER('Arrived Shipments'!O:O, 'Arrived Shipments'!B:B=$B600),2),
    IFERROR(
        INDEX(FILTER('POed not arrived'!D:D, 'POed not arrived'!A:A=$B600),2),
        """"
    )
)"),"")</f>
        <v/>
      </c>
      <c r="O600" s="202"/>
      <c r="P600" s="202" t="str">
        <f>IFERROR(__xludf.DUMMYFUNCTION("IFERROR(
    INDEX(FILTER('Arrived Shipments'!O:O, 'Arrived Shipments'!B:B=$B600),3),
    IFERROR(
        INDEX(FILTER('POed not arrived'!D:D, 'POed not arrived'!A:A=$B600),3),
        """"
    )
)"),"")</f>
        <v/>
      </c>
      <c r="Q600" s="202"/>
      <c r="R600" s="206" t="str">
        <f>IFERROR(__xludf.DUMMYFUNCTION("IFERROR(
    INDEX(FILTER('Arrived Shipments'!O:O, 'Arrived Shipments'!B:B=$B600),4),
    IFERROR(
        INDEX(FILTER('POed not arrived'!D:D, 'POed not arrived'!A:A=$B600),4),
        """"
    )
)"),"")</f>
        <v/>
      </c>
      <c r="S600" s="202"/>
      <c r="T600" s="202">
        <f t="shared" si="8"/>
        <v>0</v>
      </c>
      <c r="U600" s="198"/>
      <c r="V600" s="199"/>
      <c r="W600" s="197"/>
      <c r="X600" s="197"/>
      <c r="Y600" s="199"/>
      <c r="Z600" s="199"/>
      <c r="AA600" s="204" t="str">
        <f t="shared" si="4"/>
        <v/>
      </c>
      <c r="AB600" s="198"/>
      <c r="AC600" s="199"/>
      <c r="AD600" s="199"/>
      <c r="AE600" s="199"/>
      <c r="AF600" s="199"/>
      <c r="AG600" s="199"/>
      <c r="AH600" s="199"/>
      <c r="AI600" s="199"/>
      <c r="AJ600" s="199"/>
      <c r="AK600" s="199"/>
      <c r="AL600" s="199"/>
      <c r="AM600" s="198"/>
      <c r="AN600" s="197"/>
      <c r="AO600" s="197"/>
      <c r="AP600" s="197"/>
      <c r="AQ600" s="197"/>
      <c r="AR600" s="197"/>
      <c r="AS600" s="197"/>
    </row>
    <row r="601">
      <c r="A601" s="198" t="str">
        <f t="shared" si="1"/>
        <v/>
      </c>
      <c r="B601" s="205"/>
      <c r="C601" s="198"/>
      <c r="D601" s="199"/>
      <c r="E601" s="213"/>
      <c r="F601" s="198"/>
      <c r="G601" s="198"/>
      <c r="H601" s="199"/>
      <c r="I601" s="207"/>
      <c r="J601" s="199"/>
      <c r="K601" s="202"/>
      <c r="L601" s="205" t="str">
        <f>IFERROR(__xludf.DUMMYFUNCTION("IFERROR(
    INDEX(FILTER('Arrived Shipments'!O:O, 'Arrived Shipments'!B:B=$B601),1),
    IFERROR(
        INDEX(FILTER('POed not arrived'!D:D, 'POed not arrived'!A:A=$B601),1),
        """"
    )
)"),"")</f>
        <v/>
      </c>
      <c r="M601" s="202"/>
      <c r="N601" s="223" t="str">
        <f>IFERROR(__xludf.DUMMYFUNCTION("IFERROR(
    INDEX(FILTER('Arrived Shipments'!O:O, 'Arrived Shipments'!B:B=$B601),2),
    IFERROR(
        INDEX(FILTER('POed not arrived'!D:D, 'POed not arrived'!A:A=$B601),2),
        """"
    )
)"),"")</f>
        <v/>
      </c>
      <c r="O601" s="202"/>
      <c r="P601" s="202" t="str">
        <f>IFERROR(__xludf.DUMMYFUNCTION("IFERROR(
    INDEX(FILTER('Arrived Shipments'!O:O, 'Arrived Shipments'!B:B=$B601),3),
    IFERROR(
        INDEX(FILTER('POed not arrived'!D:D, 'POed not arrived'!A:A=$B601),3),
        """"
    )
)"),"")</f>
        <v/>
      </c>
      <c r="Q601" s="202"/>
      <c r="R601" s="206" t="str">
        <f>IFERROR(__xludf.DUMMYFUNCTION("IFERROR(
    INDEX(FILTER('Arrived Shipments'!O:O, 'Arrived Shipments'!B:B=$B601),4),
    IFERROR(
        INDEX(FILTER('POed not arrived'!D:D, 'POed not arrived'!A:A=$B601),4),
        """"
    )
)"),"")</f>
        <v/>
      </c>
      <c r="S601" s="202"/>
      <c r="T601" s="202">
        <f t="shared" si="8"/>
        <v>0</v>
      </c>
      <c r="U601" s="198"/>
      <c r="V601" s="199"/>
      <c r="W601" s="197"/>
      <c r="X601" s="197"/>
      <c r="Y601" s="199"/>
      <c r="Z601" s="199"/>
      <c r="AA601" s="204" t="str">
        <f t="shared" si="4"/>
        <v/>
      </c>
      <c r="AB601" s="198"/>
      <c r="AC601" s="199"/>
      <c r="AD601" s="199"/>
      <c r="AE601" s="199"/>
      <c r="AF601" s="199"/>
      <c r="AG601" s="199"/>
      <c r="AH601" s="199"/>
      <c r="AI601" s="199"/>
      <c r="AJ601" s="199"/>
      <c r="AK601" s="199"/>
      <c r="AL601" s="199"/>
      <c r="AM601" s="198"/>
      <c r="AN601" s="197"/>
      <c r="AO601" s="197"/>
      <c r="AP601" s="197"/>
      <c r="AQ601" s="197"/>
      <c r="AR601" s="197"/>
      <c r="AS601" s="197"/>
    </row>
    <row r="602">
      <c r="A602" s="198" t="str">
        <f t="shared" si="1"/>
        <v/>
      </c>
      <c r="B602" s="205"/>
      <c r="C602" s="198"/>
      <c r="D602" s="199"/>
      <c r="E602" s="213"/>
      <c r="F602" s="198"/>
      <c r="G602" s="198"/>
      <c r="H602" s="199"/>
      <c r="I602" s="207"/>
      <c r="J602" s="199"/>
      <c r="K602" s="202"/>
      <c r="L602" s="205" t="str">
        <f>IFERROR(__xludf.DUMMYFUNCTION("IFERROR(
    INDEX(FILTER('Arrived Shipments'!O:O, 'Arrived Shipments'!B:B=$B602),1),
    IFERROR(
        INDEX(FILTER('POed not arrived'!D:D, 'POed not arrived'!A:A=$B602),1),
        """"
    )
)"),"")</f>
        <v/>
      </c>
      <c r="M602" s="202"/>
      <c r="N602" s="223" t="str">
        <f>IFERROR(__xludf.DUMMYFUNCTION("IFERROR(
    INDEX(FILTER('Arrived Shipments'!O:O, 'Arrived Shipments'!B:B=$B602),2),
    IFERROR(
        INDEX(FILTER('POed not arrived'!D:D, 'POed not arrived'!A:A=$B602),2),
        """"
    )
)"),"")</f>
        <v/>
      </c>
      <c r="O602" s="202"/>
      <c r="P602" s="202" t="str">
        <f>IFERROR(__xludf.DUMMYFUNCTION("IFERROR(
    INDEX(FILTER('Arrived Shipments'!O:O, 'Arrived Shipments'!B:B=$B602),3),
    IFERROR(
        INDEX(FILTER('POed not arrived'!D:D, 'POed not arrived'!A:A=$B602),3),
        """"
    )
)"),"")</f>
        <v/>
      </c>
      <c r="Q602" s="202"/>
      <c r="R602" s="206" t="str">
        <f>IFERROR(__xludf.DUMMYFUNCTION("IFERROR(
    INDEX(FILTER('Arrived Shipments'!O:O, 'Arrived Shipments'!B:B=$B602),4),
    IFERROR(
        INDEX(FILTER('POed not arrived'!D:D, 'POed not arrived'!A:A=$B602),4),
        """"
    )
)"),"")</f>
        <v/>
      </c>
      <c r="S602" s="202"/>
      <c r="T602" s="202">
        <f t="shared" si="8"/>
        <v>0</v>
      </c>
      <c r="U602" s="198"/>
      <c r="V602" s="199"/>
      <c r="W602" s="197"/>
      <c r="X602" s="197"/>
      <c r="Y602" s="199"/>
      <c r="Z602" s="199"/>
      <c r="AA602" s="204" t="str">
        <f t="shared" si="4"/>
        <v/>
      </c>
      <c r="AB602" s="198"/>
      <c r="AC602" s="199"/>
      <c r="AD602" s="199"/>
      <c r="AE602" s="199"/>
      <c r="AF602" s="199"/>
      <c r="AG602" s="199"/>
      <c r="AH602" s="199"/>
      <c r="AI602" s="199"/>
      <c r="AJ602" s="199"/>
      <c r="AK602" s="199"/>
      <c r="AL602" s="199"/>
      <c r="AM602" s="198"/>
      <c r="AN602" s="197"/>
      <c r="AO602" s="197"/>
      <c r="AP602" s="197"/>
      <c r="AQ602" s="197"/>
      <c r="AR602" s="197"/>
      <c r="AS602" s="197"/>
    </row>
    <row r="603">
      <c r="A603" s="198" t="str">
        <f t="shared" si="1"/>
        <v/>
      </c>
      <c r="B603" s="205"/>
      <c r="C603" s="198"/>
      <c r="D603" s="199"/>
      <c r="E603" s="213"/>
      <c r="F603" s="198"/>
      <c r="G603" s="198"/>
      <c r="H603" s="199"/>
      <c r="I603" s="207"/>
      <c r="J603" s="199"/>
      <c r="K603" s="202"/>
      <c r="L603" s="205" t="str">
        <f>IFERROR(__xludf.DUMMYFUNCTION("IFERROR(
    INDEX(FILTER('Arrived Shipments'!O:O, 'Arrived Shipments'!B:B=$B603),1),
    IFERROR(
        INDEX(FILTER('POed not arrived'!D:D, 'POed not arrived'!A:A=$B603),1),
        """"
    )
)"),"")</f>
        <v/>
      </c>
      <c r="M603" s="202"/>
      <c r="N603" s="223" t="str">
        <f>IFERROR(__xludf.DUMMYFUNCTION("IFERROR(
    INDEX(FILTER('Arrived Shipments'!O:O, 'Arrived Shipments'!B:B=$B603),2),
    IFERROR(
        INDEX(FILTER('POed not arrived'!D:D, 'POed not arrived'!A:A=$B603),2),
        """"
    )
)"),"")</f>
        <v/>
      </c>
      <c r="O603" s="202"/>
      <c r="P603" s="202" t="str">
        <f>IFERROR(__xludf.DUMMYFUNCTION("IFERROR(
    INDEX(FILTER('Arrived Shipments'!O:O, 'Arrived Shipments'!B:B=$B603),3),
    IFERROR(
        INDEX(FILTER('POed not arrived'!D:D, 'POed not arrived'!A:A=$B603),3),
        """"
    )
)"),"")</f>
        <v/>
      </c>
      <c r="Q603" s="202"/>
      <c r="R603" s="206" t="str">
        <f>IFERROR(__xludf.DUMMYFUNCTION("IFERROR(
    INDEX(FILTER('Arrived Shipments'!O:O, 'Arrived Shipments'!B:B=$B603),4),
    IFERROR(
        INDEX(FILTER('POed not arrived'!D:D, 'POed not arrived'!A:A=$B603),4),
        """"
    )
)"),"")</f>
        <v/>
      </c>
      <c r="S603" s="202"/>
      <c r="T603" s="202">
        <f t="shared" si="8"/>
        <v>0</v>
      </c>
      <c r="U603" s="198"/>
      <c r="V603" s="199"/>
      <c r="W603" s="197"/>
      <c r="X603" s="197"/>
      <c r="Y603" s="199"/>
      <c r="Z603" s="199"/>
      <c r="AA603" s="204" t="str">
        <f t="shared" si="4"/>
        <v/>
      </c>
      <c r="AB603" s="198"/>
      <c r="AC603" s="199"/>
      <c r="AD603" s="199"/>
      <c r="AE603" s="199"/>
      <c r="AF603" s="199"/>
      <c r="AG603" s="199"/>
      <c r="AH603" s="199"/>
      <c r="AI603" s="199"/>
      <c r="AJ603" s="199"/>
      <c r="AK603" s="199"/>
      <c r="AL603" s="199"/>
      <c r="AM603" s="198"/>
      <c r="AN603" s="197"/>
      <c r="AO603" s="197"/>
      <c r="AP603" s="197"/>
      <c r="AQ603" s="197"/>
      <c r="AR603" s="197"/>
      <c r="AS603" s="197"/>
    </row>
    <row r="604">
      <c r="A604" s="198" t="str">
        <f t="shared" si="1"/>
        <v/>
      </c>
      <c r="B604" s="205"/>
      <c r="C604" s="198"/>
      <c r="D604" s="199"/>
      <c r="E604" s="213"/>
      <c r="F604" s="198"/>
      <c r="G604" s="198"/>
      <c r="H604" s="199"/>
      <c r="I604" s="207"/>
      <c r="J604" s="199"/>
      <c r="K604" s="202"/>
      <c r="L604" s="205" t="str">
        <f>IFERROR(__xludf.DUMMYFUNCTION("IFERROR(
    INDEX(FILTER('Arrived Shipments'!O:O, 'Arrived Shipments'!B:B=$B604),1),
    IFERROR(
        INDEX(FILTER('POed not arrived'!D:D, 'POed not arrived'!A:A=$B604),1),
        """"
    )
)"),"")</f>
        <v/>
      </c>
      <c r="M604" s="202"/>
      <c r="N604" s="223" t="str">
        <f>IFERROR(__xludf.DUMMYFUNCTION("IFERROR(
    INDEX(FILTER('Arrived Shipments'!O:O, 'Arrived Shipments'!B:B=$B604),2),
    IFERROR(
        INDEX(FILTER('POed not arrived'!D:D, 'POed not arrived'!A:A=$B604),2),
        """"
    )
)"),"")</f>
        <v/>
      </c>
      <c r="O604" s="202"/>
      <c r="P604" s="202" t="str">
        <f>IFERROR(__xludf.DUMMYFUNCTION("IFERROR(
    INDEX(FILTER('Arrived Shipments'!O:O, 'Arrived Shipments'!B:B=$B604),3),
    IFERROR(
        INDEX(FILTER('POed not arrived'!D:D, 'POed not arrived'!A:A=$B604),3),
        """"
    )
)"),"")</f>
        <v/>
      </c>
      <c r="Q604" s="202"/>
      <c r="R604" s="206" t="str">
        <f>IFERROR(__xludf.DUMMYFUNCTION("IFERROR(
    INDEX(FILTER('Arrived Shipments'!O:O, 'Arrived Shipments'!B:B=$B604),4),
    IFERROR(
        INDEX(FILTER('POed not arrived'!D:D, 'POed not arrived'!A:A=$B604),4),
        """"
    )
)"),"")</f>
        <v/>
      </c>
      <c r="S604" s="202"/>
      <c r="T604" s="202">
        <f t="shared" si="8"/>
        <v>0</v>
      </c>
      <c r="U604" s="198"/>
      <c r="V604" s="199"/>
      <c r="W604" s="197"/>
      <c r="X604" s="197"/>
      <c r="Y604" s="199"/>
      <c r="Z604" s="199"/>
      <c r="AA604" s="204" t="str">
        <f t="shared" si="4"/>
        <v/>
      </c>
      <c r="AB604" s="198"/>
      <c r="AC604" s="199"/>
      <c r="AD604" s="199"/>
      <c r="AE604" s="199"/>
      <c r="AF604" s="199"/>
      <c r="AG604" s="199"/>
      <c r="AH604" s="199"/>
      <c r="AI604" s="199"/>
      <c r="AJ604" s="199"/>
      <c r="AK604" s="199"/>
      <c r="AL604" s="199"/>
      <c r="AM604" s="198"/>
      <c r="AN604" s="197"/>
      <c r="AO604" s="197"/>
      <c r="AP604" s="197"/>
      <c r="AQ604" s="197"/>
      <c r="AR604" s="197"/>
      <c r="AS604" s="197"/>
    </row>
    <row r="605">
      <c r="A605" s="198" t="str">
        <f t="shared" si="1"/>
        <v/>
      </c>
      <c r="B605" s="205"/>
      <c r="C605" s="198"/>
      <c r="D605" s="199"/>
      <c r="E605" s="213"/>
      <c r="F605" s="198"/>
      <c r="G605" s="198"/>
      <c r="H605" s="199"/>
      <c r="I605" s="207"/>
      <c r="J605" s="199"/>
      <c r="K605" s="202"/>
      <c r="L605" s="205" t="str">
        <f>IFERROR(__xludf.DUMMYFUNCTION("IFERROR(
    INDEX(FILTER('Arrived Shipments'!O:O, 'Arrived Shipments'!B:B=$B605),1),
    IFERROR(
        INDEX(FILTER('POed not arrived'!D:D, 'POed not arrived'!A:A=$B605),1),
        """"
    )
)"),"")</f>
        <v/>
      </c>
      <c r="M605" s="202"/>
      <c r="N605" s="223" t="str">
        <f>IFERROR(__xludf.DUMMYFUNCTION("IFERROR(
    INDEX(FILTER('Arrived Shipments'!O:O, 'Arrived Shipments'!B:B=$B605),2),
    IFERROR(
        INDEX(FILTER('POed not arrived'!D:D, 'POed not arrived'!A:A=$B605),2),
        """"
    )
)"),"")</f>
        <v/>
      </c>
      <c r="O605" s="202"/>
      <c r="P605" s="202" t="str">
        <f>IFERROR(__xludf.DUMMYFUNCTION("IFERROR(
    INDEX(FILTER('Arrived Shipments'!O:O, 'Arrived Shipments'!B:B=$B605),3),
    IFERROR(
        INDEX(FILTER('POed not arrived'!D:D, 'POed not arrived'!A:A=$B605),3),
        """"
    )
)"),"")</f>
        <v/>
      </c>
      <c r="Q605" s="202"/>
      <c r="R605" s="206" t="str">
        <f>IFERROR(__xludf.DUMMYFUNCTION("IFERROR(
    INDEX(FILTER('Arrived Shipments'!O:O, 'Arrived Shipments'!B:B=$B605),4),
    IFERROR(
        INDEX(FILTER('POed not arrived'!D:D, 'POed not arrived'!A:A=$B605),4),
        """"
    )
)"),"")</f>
        <v/>
      </c>
      <c r="S605" s="202"/>
      <c r="T605" s="202">
        <f t="shared" si="8"/>
        <v>0</v>
      </c>
      <c r="U605" s="198"/>
      <c r="V605" s="199"/>
      <c r="W605" s="197"/>
      <c r="X605" s="197"/>
      <c r="Y605" s="199"/>
      <c r="Z605" s="199"/>
      <c r="AA605" s="204" t="str">
        <f t="shared" si="4"/>
        <v/>
      </c>
      <c r="AB605" s="198"/>
      <c r="AC605" s="199"/>
      <c r="AD605" s="199"/>
      <c r="AE605" s="199"/>
      <c r="AF605" s="199"/>
      <c r="AG605" s="199"/>
      <c r="AH605" s="199"/>
      <c r="AI605" s="199"/>
      <c r="AJ605" s="199"/>
      <c r="AK605" s="199"/>
      <c r="AL605" s="199"/>
      <c r="AM605" s="198"/>
      <c r="AN605" s="197"/>
      <c r="AO605" s="197"/>
      <c r="AP605" s="197"/>
      <c r="AQ605" s="197"/>
      <c r="AR605" s="197"/>
      <c r="AS605" s="197"/>
    </row>
    <row r="606">
      <c r="A606" s="198" t="str">
        <f t="shared" si="1"/>
        <v/>
      </c>
      <c r="B606" s="205"/>
      <c r="C606" s="198"/>
      <c r="D606" s="199"/>
      <c r="E606" s="213"/>
      <c r="F606" s="198"/>
      <c r="G606" s="198"/>
      <c r="H606" s="199"/>
      <c r="I606" s="207"/>
      <c r="J606" s="199"/>
      <c r="K606" s="202"/>
      <c r="L606" s="205" t="str">
        <f>IFERROR(__xludf.DUMMYFUNCTION("IFERROR(
    INDEX(FILTER('Arrived Shipments'!O:O, 'Arrived Shipments'!B:B=$B606),1),
    IFERROR(
        INDEX(FILTER('POed not arrived'!D:D, 'POed not arrived'!A:A=$B606),1),
        """"
    )
)"),"")</f>
        <v/>
      </c>
      <c r="M606" s="202"/>
      <c r="N606" s="223" t="str">
        <f>IFERROR(__xludf.DUMMYFUNCTION("IFERROR(
    INDEX(FILTER('Arrived Shipments'!O:O, 'Arrived Shipments'!B:B=$B606),2),
    IFERROR(
        INDEX(FILTER('POed not arrived'!D:D, 'POed not arrived'!A:A=$B606),2),
        """"
    )
)"),"")</f>
        <v/>
      </c>
      <c r="O606" s="202"/>
      <c r="P606" s="202" t="str">
        <f>IFERROR(__xludf.DUMMYFUNCTION("IFERROR(
    INDEX(FILTER('Arrived Shipments'!O:O, 'Arrived Shipments'!B:B=$B606),3),
    IFERROR(
        INDEX(FILTER('POed not arrived'!D:D, 'POed not arrived'!A:A=$B606),3),
        """"
    )
)"),"")</f>
        <v/>
      </c>
      <c r="Q606" s="202"/>
      <c r="R606" s="206" t="str">
        <f>IFERROR(__xludf.DUMMYFUNCTION("IFERROR(
    INDEX(FILTER('Arrived Shipments'!O:O, 'Arrived Shipments'!B:B=$B606),4),
    IFERROR(
        INDEX(FILTER('POed not arrived'!D:D, 'POed not arrived'!A:A=$B606),4),
        """"
    )
)"),"")</f>
        <v/>
      </c>
      <c r="S606" s="202"/>
      <c r="T606" s="202">
        <f t="shared" si="8"/>
        <v>0</v>
      </c>
      <c r="U606" s="198"/>
      <c r="V606" s="199"/>
      <c r="W606" s="197"/>
      <c r="X606" s="197"/>
      <c r="Y606" s="199"/>
      <c r="Z606" s="199"/>
      <c r="AA606" s="204" t="str">
        <f t="shared" si="4"/>
        <v/>
      </c>
      <c r="AB606" s="198"/>
      <c r="AC606" s="199"/>
      <c r="AD606" s="199"/>
      <c r="AE606" s="199"/>
      <c r="AF606" s="199"/>
      <c r="AG606" s="199"/>
      <c r="AH606" s="199"/>
      <c r="AI606" s="199"/>
      <c r="AJ606" s="199"/>
      <c r="AK606" s="199"/>
      <c r="AL606" s="199"/>
      <c r="AM606" s="198"/>
      <c r="AN606" s="197"/>
      <c r="AO606" s="197"/>
      <c r="AP606" s="197"/>
      <c r="AQ606" s="197"/>
      <c r="AR606" s="197"/>
      <c r="AS606" s="197"/>
    </row>
    <row r="607">
      <c r="A607" s="198" t="str">
        <f t="shared" si="1"/>
        <v/>
      </c>
      <c r="B607" s="205"/>
      <c r="C607" s="198"/>
      <c r="D607" s="199"/>
      <c r="E607" s="213"/>
      <c r="F607" s="198"/>
      <c r="G607" s="198"/>
      <c r="H607" s="199"/>
      <c r="I607" s="207"/>
      <c r="J607" s="199"/>
      <c r="K607" s="202"/>
      <c r="L607" s="205" t="str">
        <f>IFERROR(__xludf.DUMMYFUNCTION("IFERROR(
    INDEX(FILTER('Arrived Shipments'!O:O, 'Arrived Shipments'!B:B=$B607),1),
    IFERROR(
        INDEX(FILTER('POed not arrived'!D:D, 'POed not arrived'!A:A=$B607),1),
        """"
    )
)"),"")</f>
        <v/>
      </c>
      <c r="M607" s="202"/>
      <c r="N607" s="223" t="str">
        <f>IFERROR(__xludf.DUMMYFUNCTION("IFERROR(
    INDEX(FILTER('Arrived Shipments'!O:O, 'Arrived Shipments'!B:B=$B607),2),
    IFERROR(
        INDEX(FILTER('POed not arrived'!D:D, 'POed not arrived'!A:A=$B607),2),
        """"
    )
)"),"")</f>
        <v/>
      </c>
      <c r="O607" s="202"/>
      <c r="P607" s="202" t="str">
        <f>IFERROR(__xludf.DUMMYFUNCTION("IFERROR(
    INDEX(FILTER('Arrived Shipments'!O:O, 'Arrived Shipments'!B:B=$B607),3),
    IFERROR(
        INDEX(FILTER('POed not arrived'!D:D, 'POed not arrived'!A:A=$B607),3),
        """"
    )
)"),"")</f>
        <v/>
      </c>
      <c r="Q607" s="202"/>
      <c r="R607" s="206" t="str">
        <f>IFERROR(__xludf.DUMMYFUNCTION("IFERROR(
    INDEX(FILTER('Arrived Shipments'!O:O, 'Arrived Shipments'!B:B=$B607),4),
    IFERROR(
        INDEX(FILTER('POed not arrived'!D:D, 'POed not arrived'!A:A=$B607),4),
        """"
    )
)"),"")</f>
        <v/>
      </c>
      <c r="S607" s="202"/>
      <c r="T607" s="202">
        <f t="shared" si="8"/>
        <v>0</v>
      </c>
      <c r="U607" s="198"/>
      <c r="V607" s="199"/>
      <c r="W607" s="197"/>
      <c r="X607" s="197"/>
      <c r="Y607" s="199"/>
      <c r="Z607" s="199"/>
      <c r="AA607" s="204" t="str">
        <f t="shared" si="4"/>
        <v/>
      </c>
      <c r="AB607" s="198"/>
      <c r="AC607" s="199"/>
      <c r="AD607" s="199"/>
      <c r="AE607" s="199"/>
      <c r="AF607" s="199"/>
      <c r="AG607" s="199"/>
      <c r="AH607" s="199"/>
      <c r="AI607" s="199"/>
      <c r="AJ607" s="199"/>
      <c r="AK607" s="199"/>
      <c r="AL607" s="199"/>
      <c r="AM607" s="198"/>
      <c r="AN607" s="197"/>
      <c r="AO607" s="197"/>
      <c r="AP607" s="197"/>
      <c r="AQ607" s="197"/>
      <c r="AR607" s="197"/>
      <c r="AS607" s="197"/>
    </row>
    <row r="608">
      <c r="A608" s="198" t="str">
        <f t="shared" si="1"/>
        <v/>
      </c>
      <c r="B608" s="205"/>
      <c r="C608" s="198"/>
      <c r="D608" s="199"/>
      <c r="E608" s="213"/>
      <c r="F608" s="198"/>
      <c r="G608" s="198"/>
      <c r="H608" s="199"/>
      <c r="I608" s="207"/>
      <c r="J608" s="199"/>
      <c r="K608" s="202"/>
      <c r="L608" s="205" t="str">
        <f>IFERROR(__xludf.DUMMYFUNCTION("IFERROR(
    INDEX(FILTER('Arrived Shipments'!O:O, 'Arrived Shipments'!B:B=$B608),1),
    IFERROR(
        INDEX(FILTER('POed not arrived'!D:D, 'POed not arrived'!A:A=$B608),1),
        """"
    )
)"),"")</f>
        <v/>
      </c>
      <c r="M608" s="202"/>
      <c r="N608" s="223" t="str">
        <f>IFERROR(__xludf.DUMMYFUNCTION("IFERROR(
    INDEX(FILTER('Arrived Shipments'!O:O, 'Arrived Shipments'!B:B=$B608),2),
    IFERROR(
        INDEX(FILTER('POed not arrived'!D:D, 'POed not arrived'!A:A=$B608),2),
        """"
    )
)"),"")</f>
        <v/>
      </c>
      <c r="O608" s="202"/>
      <c r="P608" s="202" t="str">
        <f>IFERROR(__xludf.DUMMYFUNCTION("IFERROR(
    INDEX(FILTER('Arrived Shipments'!O:O, 'Arrived Shipments'!B:B=$B608),3),
    IFERROR(
        INDEX(FILTER('POed not arrived'!D:D, 'POed not arrived'!A:A=$B608),3),
        """"
    )
)"),"")</f>
        <v/>
      </c>
      <c r="Q608" s="202"/>
      <c r="R608" s="206" t="str">
        <f>IFERROR(__xludf.DUMMYFUNCTION("IFERROR(
    INDEX(FILTER('Arrived Shipments'!O:O, 'Arrived Shipments'!B:B=$B608),4),
    IFERROR(
        INDEX(FILTER('POed not arrived'!D:D, 'POed not arrived'!A:A=$B608),4),
        """"
    )
)"),"")</f>
        <v/>
      </c>
      <c r="S608" s="202"/>
      <c r="T608" s="202">
        <f t="shared" si="8"/>
        <v>0</v>
      </c>
      <c r="U608" s="198"/>
      <c r="V608" s="199"/>
      <c r="W608" s="197"/>
      <c r="X608" s="197"/>
      <c r="Y608" s="199"/>
      <c r="Z608" s="199"/>
      <c r="AA608" s="204" t="str">
        <f t="shared" si="4"/>
        <v/>
      </c>
      <c r="AB608" s="198"/>
      <c r="AC608" s="199"/>
      <c r="AD608" s="199"/>
      <c r="AE608" s="199"/>
      <c r="AF608" s="199"/>
      <c r="AG608" s="199"/>
      <c r="AH608" s="199"/>
      <c r="AI608" s="199"/>
      <c r="AJ608" s="199"/>
      <c r="AK608" s="199"/>
      <c r="AL608" s="199"/>
      <c r="AM608" s="198"/>
      <c r="AN608" s="197"/>
      <c r="AO608" s="197"/>
      <c r="AP608" s="197"/>
      <c r="AQ608" s="197"/>
      <c r="AR608" s="197"/>
      <c r="AS608" s="197"/>
    </row>
    <row r="609">
      <c r="A609" s="198" t="str">
        <f t="shared" si="1"/>
        <v/>
      </c>
      <c r="B609" s="205"/>
      <c r="C609" s="198"/>
      <c r="D609" s="199"/>
      <c r="E609" s="213"/>
      <c r="F609" s="198"/>
      <c r="G609" s="198"/>
      <c r="H609" s="199"/>
      <c r="I609" s="207"/>
      <c r="J609" s="199"/>
      <c r="K609" s="202"/>
      <c r="L609" s="205" t="str">
        <f>IFERROR(__xludf.DUMMYFUNCTION("IFERROR(
    INDEX(FILTER('Arrived Shipments'!O:O, 'Arrived Shipments'!B:B=$B609),1),
    IFERROR(
        INDEX(FILTER('POed not arrived'!D:D, 'POed not arrived'!A:A=$B609),1),
        """"
    )
)"),"")</f>
        <v/>
      </c>
      <c r="M609" s="202"/>
      <c r="N609" s="223" t="str">
        <f>IFERROR(__xludf.DUMMYFUNCTION("IFERROR(
    INDEX(FILTER('Arrived Shipments'!O:O, 'Arrived Shipments'!B:B=$B609),2),
    IFERROR(
        INDEX(FILTER('POed not arrived'!D:D, 'POed not arrived'!A:A=$B609),2),
        """"
    )
)"),"")</f>
        <v/>
      </c>
      <c r="O609" s="202"/>
      <c r="P609" s="202" t="str">
        <f>IFERROR(__xludf.DUMMYFUNCTION("IFERROR(
    INDEX(FILTER('Arrived Shipments'!O:O, 'Arrived Shipments'!B:B=$B609),3),
    IFERROR(
        INDEX(FILTER('POed not arrived'!D:D, 'POed not arrived'!A:A=$B609),3),
        """"
    )
)"),"")</f>
        <v/>
      </c>
      <c r="Q609" s="202"/>
      <c r="R609" s="206" t="str">
        <f>IFERROR(__xludf.DUMMYFUNCTION("IFERROR(
    INDEX(FILTER('Arrived Shipments'!O:O, 'Arrived Shipments'!B:B=$B609),4),
    IFERROR(
        INDEX(FILTER('POed not arrived'!D:D, 'POed not arrived'!A:A=$B609),4),
        """"
    )
)"),"")</f>
        <v/>
      </c>
      <c r="S609" s="202"/>
      <c r="T609" s="202">
        <f t="shared" si="8"/>
        <v>0</v>
      </c>
      <c r="U609" s="198"/>
      <c r="V609" s="199"/>
      <c r="W609" s="197"/>
      <c r="X609" s="197"/>
      <c r="Y609" s="199"/>
      <c r="Z609" s="199"/>
      <c r="AA609" s="204" t="str">
        <f t="shared" si="4"/>
        <v/>
      </c>
      <c r="AB609" s="198"/>
      <c r="AC609" s="199"/>
      <c r="AD609" s="199"/>
      <c r="AE609" s="199"/>
      <c r="AF609" s="199"/>
      <c r="AG609" s="199"/>
      <c r="AH609" s="199"/>
      <c r="AI609" s="199"/>
      <c r="AJ609" s="199"/>
      <c r="AK609" s="199"/>
      <c r="AL609" s="199"/>
      <c r="AM609" s="198"/>
      <c r="AN609" s="197"/>
      <c r="AO609" s="197"/>
      <c r="AP609" s="197"/>
      <c r="AQ609" s="197"/>
      <c r="AR609" s="197"/>
      <c r="AS609" s="197"/>
    </row>
    <row r="610">
      <c r="A610" s="198" t="str">
        <f t="shared" si="1"/>
        <v/>
      </c>
      <c r="B610" s="205"/>
      <c r="C610" s="198"/>
      <c r="D610" s="199"/>
      <c r="E610" s="213"/>
      <c r="F610" s="198"/>
      <c r="G610" s="198"/>
      <c r="H610" s="199"/>
      <c r="I610" s="207"/>
      <c r="J610" s="199"/>
      <c r="K610" s="202"/>
      <c r="L610" s="205" t="str">
        <f>IFERROR(__xludf.DUMMYFUNCTION("IFERROR(
    INDEX(FILTER('Arrived Shipments'!O:O, 'Arrived Shipments'!B:B=$B610),1),
    IFERROR(
        INDEX(FILTER('POed not arrived'!D:D, 'POed not arrived'!A:A=$B610),1),
        """"
    )
)"),"")</f>
        <v/>
      </c>
      <c r="M610" s="202"/>
      <c r="N610" s="223" t="str">
        <f>IFERROR(__xludf.DUMMYFUNCTION("IFERROR(
    INDEX(FILTER('Arrived Shipments'!O:O, 'Arrived Shipments'!B:B=$B610),2),
    IFERROR(
        INDEX(FILTER('POed not arrived'!D:D, 'POed not arrived'!A:A=$B610),2),
        """"
    )
)"),"")</f>
        <v/>
      </c>
      <c r="O610" s="202"/>
      <c r="P610" s="202" t="str">
        <f>IFERROR(__xludf.DUMMYFUNCTION("IFERROR(
    INDEX(FILTER('Arrived Shipments'!O:O, 'Arrived Shipments'!B:B=$B610),3),
    IFERROR(
        INDEX(FILTER('POed not arrived'!D:D, 'POed not arrived'!A:A=$B610),3),
        """"
    )
)"),"")</f>
        <v/>
      </c>
      <c r="Q610" s="202"/>
      <c r="R610" s="206" t="str">
        <f>IFERROR(__xludf.DUMMYFUNCTION("IFERROR(
    INDEX(FILTER('Arrived Shipments'!O:O, 'Arrived Shipments'!B:B=$B610),4),
    IFERROR(
        INDEX(FILTER('POed not arrived'!D:D, 'POed not arrived'!A:A=$B610),4),
        """"
    )
)"),"")</f>
        <v/>
      </c>
      <c r="S610" s="202"/>
      <c r="T610" s="202">
        <f t="shared" si="8"/>
        <v>0</v>
      </c>
      <c r="U610" s="198"/>
      <c r="V610" s="199"/>
      <c r="W610" s="197"/>
      <c r="X610" s="197"/>
      <c r="Y610" s="199"/>
      <c r="Z610" s="199"/>
      <c r="AA610" s="204" t="str">
        <f t="shared" si="4"/>
        <v/>
      </c>
      <c r="AB610" s="198"/>
      <c r="AC610" s="199"/>
      <c r="AD610" s="199"/>
      <c r="AE610" s="199"/>
      <c r="AF610" s="199"/>
      <c r="AG610" s="199"/>
      <c r="AH610" s="199"/>
      <c r="AI610" s="199"/>
      <c r="AJ610" s="199"/>
      <c r="AK610" s="199"/>
      <c r="AL610" s="199"/>
      <c r="AM610" s="198"/>
      <c r="AN610" s="197"/>
      <c r="AO610" s="197"/>
      <c r="AP610" s="197"/>
      <c r="AQ610" s="197"/>
      <c r="AR610" s="197"/>
      <c r="AS610" s="197"/>
    </row>
    <row r="611">
      <c r="A611" s="198" t="str">
        <f t="shared" si="1"/>
        <v/>
      </c>
      <c r="B611" s="205"/>
      <c r="C611" s="198"/>
      <c r="D611" s="199"/>
      <c r="E611" s="213"/>
      <c r="F611" s="198"/>
      <c r="G611" s="198"/>
      <c r="H611" s="199"/>
      <c r="I611" s="207"/>
      <c r="J611" s="199"/>
      <c r="K611" s="202"/>
      <c r="L611" s="205" t="str">
        <f>IFERROR(__xludf.DUMMYFUNCTION("IFERROR(
    INDEX(FILTER('Arrived Shipments'!O:O, 'Arrived Shipments'!B:B=$B611),1),
    IFERROR(
        INDEX(FILTER('POed not arrived'!D:D, 'POed not arrived'!A:A=$B611),1),
        """"
    )
)"),"")</f>
        <v/>
      </c>
      <c r="M611" s="202"/>
      <c r="N611" s="223" t="str">
        <f>IFERROR(__xludf.DUMMYFUNCTION("IFERROR(
    INDEX(FILTER('Arrived Shipments'!O:O, 'Arrived Shipments'!B:B=$B611),2),
    IFERROR(
        INDEX(FILTER('POed not arrived'!D:D, 'POed not arrived'!A:A=$B611),2),
        """"
    )
)"),"")</f>
        <v/>
      </c>
      <c r="O611" s="202"/>
      <c r="P611" s="202" t="str">
        <f>IFERROR(__xludf.DUMMYFUNCTION("IFERROR(
    INDEX(FILTER('Arrived Shipments'!O:O, 'Arrived Shipments'!B:B=$B611),3),
    IFERROR(
        INDEX(FILTER('POed not arrived'!D:D, 'POed not arrived'!A:A=$B611),3),
        """"
    )
)"),"")</f>
        <v/>
      </c>
      <c r="Q611" s="202"/>
      <c r="R611" s="206" t="str">
        <f>IFERROR(__xludf.DUMMYFUNCTION("IFERROR(
    INDEX(FILTER('Arrived Shipments'!O:O, 'Arrived Shipments'!B:B=$B611),4),
    IFERROR(
        INDEX(FILTER('POed not arrived'!D:D, 'POed not arrived'!A:A=$B611),4),
        """"
    )
)"),"")</f>
        <v/>
      </c>
      <c r="S611" s="202"/>
      <c r="T611" s="202">
        <f t="shared" si="8"/>
        <v>0</v>
      </c>
      <c r="U611" s="198"/>
      <c r="V611" s="199"/>
      <c r="W611" s="197"/>
      <c r="X611" s="197"/>
      <c r="Y611" s="199"/>
      <c r="Z611" s="199"/>
      <c r="AA611" s="204" t="str">
        <f t="shared" si="4"/>
        <v/>
      </c>
      <c r="AB611" s="198"/>
      <c r="AC611" s="199"/>
      <c r="AD611" s="199"/>
      <c r="AE611" s="199"/>
      <c r="AF611" s="199"/>
      <c r="AG611" s="199"/>
      <c r="AH611" s="199"/>
      <c r="AI611" s="199"/>
      <c r="AJ611" s="199"/>
      <c r="AK611" s="199"/>
      <c r="AL611" s="199"/>
      <c r="AM611" s="198"/>
      <c r="AN611" s="197"/>
      <c r="AO611" s="197"/>
      <c r="AP611" s="197"/>
      <c r="AQ611" s="197"/>
      <c r="AR611" s="197"/>
      <c r="AS611" s="197"/>
    </row>
    <row r="612">
      <c r="A612" s="198" t="str">
        <f t="shared" si="1"/>
        <v/>
      </c>
      <c r="B612" s="205"/>
      <c r="C612" s="198"/>
      <c r="D612" s="199"/>
      <c r="E612" s="213"/>
      <c r="F612" s="198"/>
      <c r="G612" s="198"/>
      <c r="H612" s="199"/>
      <c r="I612" s="207"/>
      <c r="J612" s="199"/>
      <c r="K612" s="202"/>
      <c r="L612" s="205" t="str">
        <f>IFERROR(__xludf.DUMMYFUNCTION("IFERROR(
    INDEX(FILTER('Arrived Shipments'!O:O, 'Arrived Shipments'!B:B=$B612),1),
    IFERROR(
        INDEX(FILTER('POed not arrived'!D:D, 'POed not arrived'!A:A=$B612),1),
        """"
    )
)"),"")</f>
        <v/>
      </c>
      <c r="M612" s="202"/>
      <c r="N612" s="223" t="str">
        <f>IFERROR(__xludf.DUMMYFUNCTION("IFERROR(
    INDEX(FILTER('Arrived Shipments'!O:O, 'Arrived Shipments'!B:B=$B612),2),
    IFERROR(
        INDEX(FILTER('POed not arrived'!D:D, 'POed not arrived'!A:A=$B612),2),
        """"
    )
)"),"")</f>
        <v/>
      </c>
      <c r="O612" s="202"/>
      <c r="P612" s="202" t="str">
        <f>IFERROR(__xludf.DUMMYFUNCTION("IFERROR(
    INDEX(FILTER('Arrived Shipments'!O:O, 'Arrived Shipments'!B:B=$B612),3),
    IFERROR(
        INDEX(FILTER('POed not arrived'!D:D, 'POed not arrived'!A:A=$B612),3),
        """"
    )
)"),"")</f>
        <v/>
      </c>
      <c r="Q612" s="202"/>
      <c r="R612" s="206" t="str">
        <f>IFERROR(__xludf.DUMMYFUNCTION("IFERROR(
    INDEX(FILTER('Arrived Shipments'!O:O, 'Arrived Shipments'!B:B=$B612),4),
    IFERROR(
        INDEX(FILTER('POed not arrived'!D:D, 'POed not arrived'!A:A=$B612),4),
        """"
    )
)"),"")</f>
        <v/>
      </c>
      <c r="S612" s="202"/>
      <c r="T612" s="202">
        <f t="shared" si="8"/>
        <v>0</v>
      </c>
      <c r="U612" s="198"/>
      <c r="V612" s="199"/>
      <c r="W612" s="197"/>
      <c r="X612" s="197"/>
      <c r="Y612" s="199"/>
      <c r="Z612" s="199"/>
      <c r="AA612" s="204" t="str">
        <f t="shared" si="4"/>
        <v/>
      </c>
      <c r="AB612" s="198"/>
      <c r="AC612" s="199"/>
      <c r="AD612" s="199"/>
      <c r="AE612" s="199"/>
      <c r="AF612" s="199"/>
      <c r="AG612" s="199"/>
      <c r="AH612" s="199"/>
      <c r="AI612" s="199"/>
      <c r="AJ612" s="199"/>
      <c r="AK612" s="199"/>
      <c r="AL612" s="199"/>
      <c r="AM612" s="198"/>
      <c r="AN612" s="197"/>
      <c r="AO612" s="197"/>
      <c r="AP612" s="197"/>
      <c r="AQ612" s="197"/>
      <c r="AR612" s="197"/>
      <c r="AS612" s="197"/>
    </row>
    <row r="613">
      <c r="A613" s="198" t="str">
        <f t="shared" si="1"/>
        <v/>
      </c>
      <c r="B613" s="205"/>
      <c r="C613" s="198"/>
      <c r="D613" s="199"/>
      <c r="E613" s="213"/>
      <c r="F613" s="198"/>
      <c r="G613" s="198"/>
      <c r="H613" s="199"/>
      <c r="I613" s="207"/>
      <c r="J613" s="199"/>
      <c r="K613" s="202"/>
      <c r="L613" s="205" t="str">
        <f>IFERROR(__xludf.DUMMYFUNCTION("IFERROR(
    INDEX(FILTER('Arrived Shipments'!O:O, 'Arrived Shipments'!B:B=$B613),1),
    IFERROR(
        INDEX(FILTER('POed not arrived'!D:D, 'POed not arrived'!A:A=$B613),1),
        """"
    )
)"),"")</f>
        <v/>
      </c>
      <c r="M613" s="202"/>
      <c r="N613" s="223" t="str">
        <f>IFERROR(__xludf.DUMMYFUNCTION("IFERROR(
    INDEX(FILTER('Arrived Shipments'!O:O, 'Arrived Shipments'!B:B=$B613),2),
    IFERROR(
        INDEX(FILTER('POed not arrived'!D:D, 'POed not arrived'!A:A=$B613),2),
        """"
    )
)"),"")</f>
        <v/>
      </c>
      <c r="O613" s="202"/>
      <c r="P613" s="202" t="str">
        <f>IFERROR(__xludf.DUMMYFUNCTION("IFERROR(
    INDEX(FILTER('Arrived Shipments'!O:O, 'Arrived Shipments'!B:B=$B613),3),
    IFERROR(
        INDEX(FILTER('POed not arrived'!D:D, 'POed not arrived'!A:A=$B613),3),
        """"
    )
)"),"")</f>
        <v/>
      </c>
      <c r="Q613" s="202"/>
      <c r="R613" s="206" t="str">
        <f>IFERROR(__xludf.DUMMYFUNCTION("IFERROR(
    INDEX(FILTER('Arrived Shipments'!O:O, 'Arrived Shipments'!B:B=$B613),4),
    IFERROR(
        INDEX(FILTER('POed not arrived'!D:D, 'POed not arrived'!A:A=$B613),4),
        """"
    )
)"),"")</f>
        <v/>
      </c>
      <c r="S613" s="202"/>
      <c r="T613" s="202">
        <f t="shared" si="8"/>
        <v>0</v>
      </c>
      <c r="U613" s="198"/>
      <c r="V613" s="199"/>
      <c r="W613" s="197"/>
      <c r="X613" s="197"/>
      <c r="Y613" s="199"/>
      <c r="Z613" s="199"/>
      <c r="AA613" s="204" t="str">
        <f t="shared" si="4"/>
        <v/>
      </c>
      <c r="AB613" s="198"/>
      <c r="AC613" s="199"/>
      <c r="AD613" s="199"/>
      <c r="AE613" s="199"/>
      <c r="AF613" s="199"/>
      <c r="AG613" s="199"/>
      <c r="AH613" s="199"/>
      <c r="AI613" s="199"/>
      <c r="AJ613" s="199"/>
      <c r="AK613" s="199"/>
      <c r="AL613" s="199"/>
      <c r="AM613" s="198"/>
      <c r="AN613" s="197"/>
      <c r="AO613" s="197"/>
      <c r="AP613" s="197"/>
      <c r="AQ613" s="197"/>
      <c r="AR613" s="197"/>
      <c r="AS613" s="197"/>
    </row>
    <row r="614">
      <c r="A614" s="198" t="str">
        <f t="shared" si="1"/>
        <v/>
      </c>
      <c r="B614" s="205"/>
      <c r="C614" s="198"/>
      <c r="D614" s="199"/>
      <c r="E614" s="213"/>
      <c r="F614" s="198"/>
      <c r="G614" s="198"/>
      <c r="H614" s="199"/>
      <c r="I614" s="207"/>
      <c r="J614" s="199"/>
      <c r="K614" s="202"/>
      <c r="L614" s="205" t="str">
        <f>IFERROR(__xludf.DUMMYFUNCTION("IFERROR(
    INDEX(FILTER('Arrived Shipments'!O:O, 'Arrived Shipments'!B:B=$B614),1),
    IFERROR(
        INDEX(FILTER('POed not arrived'!D:D, 'POed not arrived'!A:A=$B614),1),
        """"
    )
)"),"")</f>
        <v/>
      </c>
      <c r="M614" s="202"/>
      <c r="N614" s="223" t="str">
        <f>IFERROR(__xludf.DUMMYFUNCTION("IFERROR(
    INDEX(FILTER('Arrived Shipments'!O:O, 'Arrived Shipments'!B:B=$B614),2),
    IFERROR(
        INDEX(FILTER('POed not arrived'!D:D, 'POed not arrived'!A:A=$B614),2),
        """"
    )
)"),"")</f>
        <v/>
      </c>
      <c r="O614" s="202"/>
      <c r="P614" s="202" t="str">
        <f>IFERROR(__xludf.DUMMYFUNCTION("IFERROR(
    INDEX(FILTER('Arrived Shipments'!O:O, 'Arrived Shipments'!B:B=$B614),3),
    IFERROR(
        INDEX(FILTER('POed not arrived'!D:D, 'POed not arrived'!A:A=$B614),3),
        """"
    )
)"),"")</f>
        <v/>
      </c>
      <c r="Q614" s="202"/>
      <c r="R614" s="206" t="str">
        <f>IFERROR(__xludf.DUMMYFUNCTION("IFERROR(
    INDEX(FILTER('Arrived Shipments'!O:O, 'Arrived Shipments'!B:B=$B614),4),
    IFERROR(
        INDEX(FILTER('POed not arrived'!D:D, 'POed not arrived'!A:A=$B614),4),
        """"
    )
)"),"")</f>
        <v/>
      </c>
      <c r="S614" s="202"/>
      <c r="T614" s="202">
        <f t="shared" si="8"/>
        <v>0</v>
      </c>
      <c r="U614" s="198"/>
      <c r="V614" s="199"/>
      <c r="W614" s="197"/>
      <c r="X614" s="197"/>
      <c r="Y614" s="199"/>
      <c r="Z614" s="199"/>
      <c r="AA614" s="204" t="str">
        <f t="shared" si="4"/>
        <v/>
      </c>
      <c r="AB614" s="198"/>
      <c r="AC614" s="199"/>
      <c r="AD614" s="199"/>
      <c r="AE614" s="199"/>
      <c r="AF614" s="199"/>
      <c r="AG614" s="199"/>
      <c r="AH614" s="199"/>
      <c r="AI614" s="199"/>
      <c r="AJ614" s="199"/>
      <c r="AK614" s="199"/>
      <c r="AL614" s="199"/>
      <c r="AM614" s="198"/>
      <c r="AN614" s="197"/>
      <c r="AO614" s="197"/>
      <c r="AP614" s="197"/>
      <c r="AQ614" s="197"/>
      <c r="AR614" s="197"/>
      <c r="AS614" s="197"/>
    </row>
    <row r="615">
      <c r="A615" s="198" t="str">
        <f t="shared" si="1"/>
        <v/>
      </c>
      <c r="B615" s="205"/>
      <c r="C615" s="198"/>
      <c r="D615" s="199"/>
      <c r="E615" s="213"/>
      <c r="F615" s="198"/>
      <c r="G615" s="198"/>
      <c r="H615" s="199"/>
      <c r="I615" s="207"/>
      <c r="J615" s="199"/>
      <c r="K615" s="202"/>
      <c r="L615" s="205" t="str">
        <f>IFERROR(__xludf.DUMMYFUNCTION("IFERROR(
    INDEX(FILTER('Arrived Shipments'!O:O, 'Arrived Shipments'!B:B=$B615),1),
    IFERROR(
        INDEX(FILTER('POed not arrived'!D:D, 'POed not arrived'!A:A=$B615),1),
        """"
    )
)"),"")</f>
        <v/>
      </c>
      <c r="M615" s="202"/>
      <c r="N615" s="223" t="str">
        <f>IFERROR(__xludf.DUMMYFUNCTION("IFERROR(
    INDEX(FILTER('Arrived Shipments'!O:O, 'Arrived Shipments'!B:B=$B615),2),
    IFERROR(
        INDEX(FILTER('POed not arrived'!D:D, 'POed not arrived'!A:A=$B615),2),
        """"
    )
)"),"")</f>
        <v/>
      </c>
      <c r="O615" s="202"/>
      <c r="P615" s="202" t="str">
        <f>IFERROR(__xludf.DUMMYFUNCTION("IFERROR(
    INDEX(FILTER('Arrived Shipments'!O:O, 'Arrived Shipments'!B:B=$B615),3),
    IFERROR(
        INDEX(FILTER('POed not arrived'!D:D, 'POed not arrived'!A:A=$B615),3),
        """"
    )
)"),"")</f>
        <v/>
      </c>
      <c r="Q615" s="202"/>
      <c r="R615" s="206" t="str">
        <f>IFERROR(__xludf.DUMMYFUNCTION("IFERROR(
    INDEX(FILTER('Arrived Shipments'!O:O, 'Arrived Shipments'!B:B=$B615),4),
    IFERROR(
        INDEX(FILTER('POed not arrived'!D:D, 'POed not arrived'!A:A=$B615),4),
        """"
    )
)"),"")</f>
        <v/>
      </c>
      <c r="S615" s="202"/>
      <c r="T615" s="202">
        <f t="shared" si="8"/>
        <v>0</v>
      </c>
      <c r="U615" s="198"/>
      <c r="V615" s="199"/>
      <c r="W615" s="197"/>
      <c r="X615" s="197"/>
      <c r="Y615" s="199"/>
      <c r="Z615" s="199"/>
      <c r="AA615" s="204" t="str">
        <f t="shared" si="4"/>
        <v/>
      </c>
      <c r="AB615" s="198"/>
      <c r="AC615" s="199"/>
      <c r="AD615" s="199"/>
      <c r="AE615" s="199"/>
      <c r="AF615" s="199"/>
      <c r="AG615" s="199"/>
      <c r="AH615" s="199"/>
      <c r="AI615" s="199"/>
      <c r="AJ615" s="199"/>
      <c r="AK615" s="199"/>
      <c r="AL615" s="199"/>
      <c r="AM615" s="198"/>
      <c r="AN615" s="197"/>
      <c r="AO615" s="197"/>
      <c r="AP615" s="197"/>
      <c r="AQ615" s="197"/>
      <c r="AR615" s="197"/>
      <c r="AS615" s="197"/>
    </row>
    <row r="616">
      <c r="A616" s="198" t="str">
        <f t="shared" si="1"/>
        <v/>
      </c>
      <c r="B616" s="205"/>
      <c r="C616" s="198"/>
      <c r="D616" s="199"/>
      <c r="E616" s="213"/>
      <c r="F616" s="198"/>
      <c r="G616" s="198"/>
      <c r="H616" s="199"/>
      <c r="I616" s="207"/>
      <c r="J616" s="199"/>
      <c r="K616" s="202"/>
      <c r="L616" s="205" t="str">
        <f>IFERROR(__xludf.DUMMYFUNCTION("IFERROR(
    INDEX(FILTER('Arrived Shipments'!O:O, 'Arrived Shipments'!B:B=$B616),1),
    IFERROR(
        INDEX(FILTER('POed not arrived'!D:D, 'POed not arrived'!A:A=$B616),1),
        """"
    )
)"),"")</f>
        <v/>
      </c>
      <c r="M616" s="202"/>
      <c r="N616" s="223" t="str">
        <f>IFERROR(__xludf.DUMMYFUNCTION("IFERROR(
    INDEX(FILTER('Arrived Shipments'!O:O, 'Arrived Shipments'!B:B=$B616),2),
    IFERROR(
        INDEX(FILTER('POed not arrived'!D:D, 'POed not arrived'!A:A=$B616),2),
        """"
    )
)"),"")</f>
        <v/>
      </c>
      <c r="O616" s="202"/>
      <c r="P616" s="202" t="str">
        <f>IFERROR(__xludf.DUMMYFUNCTION("IFERROR(
    INDEX(FILTER('Arrived Shipments'!O:O, 'Arrived Shipments'!B:B=$B616),3),
    IFERROR(
        INDEX(FILTER('POed not arrived'!D:D, 'POed not arrived'!A:A=$B616),3),
        """"
    )
)"),"")</f>
        <v/>
      </c>
      <c r="Q616" s="202"/>
      <c r="R616" s="206" t="str">
        <f>IFERROR(__xludf.DUMMYFUNCTION("IFERROR(
    INDEX(FILTER('Arrived Shipments'!O:O, 'Arrived Shipments'!B:B=$B616),4),
    IFERROR(
        INDEX(FILTER('POed not arrived'!D:D, 'POed not arrived'!A:A=$B616),4),
        """"
    )
)"),"")</f>
        <v/>
      </c>
      <c r="S616" s="202"/>
      <c r="T616" s="202">
        <f t="shared" si="8"/>
        <v>0</v>
      </c>
      <c r="U616" s="198"/>
      <c r="V616" s="199"/>
      <c r="W616" s="197"/>
      <c r="X616" s="197"/>
      <c r="Y616" s="199"/>
      <c r="Z616" s="199"/>
      <c r="AA616" s="204" t="str">
        <f t="shared" si="4"/>
        <v/>
      </c>
      <c r="AB616" s="198"/>
      <c r="AC616" s="199"/>
      <c r="AD616" s="199"/>
      <c r="AE616" s="199"/>
      <c r="AF616" s="199"/>
      <c r="AG616" s="199"/>
      <c r="AH616" s="199"/>
      <c r="AI616" s="199"/>
      <c r="AJ616" s="199"/>
      <c r="AK616" s="199"/>
      <c r="AL616" s="199"/>
      <c r="AM616" s="198"/>
      <c r="AN616" s="197"/>
      <c r="AO616" s="197"/>
      <c r="AP616" s="197"/>
      <c r="AQ616" s="197"/>
      <c r="AR616" s="197"/>
      <c r="AS616" s="197"/>
    </row>
    <row r="617">
      <c r="A617" s="198" t="str">
        <f t="shared" si="1"/>
        <v/>
      </c>
      <c r="B617" s="205"/>
      <c r="C617" s="198"/>
      <c r="D617" s="199"/>
      <c r="E617" s="213"/>
      <c r="F617" s="198"/>
      <c r="G617" s="198"/>
      <c r="H617" s="199"/>
      <c r="I617" s="207"/>
      <c r="J617" s="199"/>
      <c r="K617" s="202"/>
      <c r="L617" s="205" t="str">
        <f>IFERROR(__xludf.DUMMYFUNCTION("IFERROR(
    INDEX(FILTER('Arrived Shipments'!O:O, 'Arrived Shipments'!B:B=$B617),1),
    IFERROR(
        INDEX(FILTER('POed not arrived'!D:D, 'POed not arrived'!A:A=$B617),1),
        """"
    )
)"),"")</f>
        <v/>
      </c>
      <c r="M617" s="202"/>
      <c r="N617" s="223" t="str">
        <f>IFERROR(__xludf.DUMMYFUNCTION("IFERROR(
    INDEX(FILTER('Arrived Shipments'!O:O, 'Arrived Shipments'!B:B=$B617),2),
    IFERROR(
        INDEX(FILTER('POed not arrived'!D:D, 'POed not arrived'!A:A=$B617),2),
        """"
    )
)"),"")</f>
        <v/>
      </c>
      <c r="O617" s="202"/>
      <c r="P617" s="202" t="str">
        <f>IFERROR(__xludf.DUMMYFUNCTION("IFERROR(
    INDEX(FILTER('Arrived Shipments'!O:O, 'Arrived Shipments'!B:B=$B617),3),
    IFERROR(
        INDEX(FILTER('POed not arrived'!D:D, 'POed not arrived'!A:A=$B617),3),
        """"
    )
)"),"")</f>
        <v/>
      </c>
      <c r="Q617" s="202"/>
      <c r="R617" s="206" t="str">
        <f>IFERROR(__xludf.DUMMYFUNCTION("IFERROR(
    INDEX(FILTER('Arrived Shipments'!O:O, 'Arrived Shipments'!B:B=$B617),4),
    IFERROR(
        INDEX(FILTER('POed not arrived'!D:D, 'POed not arrived'!A:A=$B617),4),
        """"
    )
)"),"")</f>
        <v/>
      </c>
      <c r="S617" s="202"/>
      <c r="T617" s="202">
        <f t="shared" si="8"/>
        <v>0</v>
      </c>
      <c r="U617" s="198"/>
      <c r="V617" s="199"/>
      <c r="W617" s="197"/>
      <c r="X617" s="197"/>
      <c r="Y617" s="199"/>
      <c r="Z617" s="199"/>
      <c r="AA617" s="204" t="str">
        <f t="shared" si="4"/>
        <v/>
      </c>
      <c r="AB617" s="198"/>
      <c r="AC617" s="199"/>
      <c r="AD617" s="199"/>
      <c r="AE617" s="199"/>
      <c r="AF617" s="199"/>
      <c r="AG617" s="199"/>
      <c r="AH617" s="199"/>
      <c r="AI617" s="199"/>
      <c r="AJ617" s="199"/>
      <c r="AK617" s="199"/>
      <c r="AL617" s="199"/>
      <c r="AM617" s="198"/>
      <c r="AN617" s="197"/>
      <c r="AO617" s="197"/>
      <c r="AP617" s="197"/>
      <c r="AQ617" s="197"/>
      <c r="AR617" s="197"/>
      <c r="AS617" s="197"/>
    </row>
    <row r="618">
      <c r="A618" s="198" t="str">
        <f t="shared" si="1"/>
        <v/>
      </c>
      <c r="B618" s="205"/>
      <c r="C618" s="198"/>
      <c r="D618" s="199"/>
      <c r="E618" s="213"/>
      <c r="F618" s="198"/>
      <c r="G618" s="198"/>
      <c r="H618" s="199"/>
      <c r="I618" s="207"/>
      <c r="J618" s="199"/>
      <c r="K618" s="202"/>
      <c r="L618" s="205" t="str">
        <f>IFERROR(__xludf.DUMMYFUNCTION("IFERROR(
    INDEX(FILTER('Arrived Shipments'!O:O, 'Arrived Shipments'!B:B=$B618),1),
    IFERROR(
        INDEX(FILTER('POed not arrived'!D:D, 'POed not arrived'!A:A=$B618),1),
        """"
    )
)"),"")</f>
        <v/>
      </c>
      <c r="M618" s="202"/>
      <c r="N618" s="223" t="str">
        <f>IFERROR(__xludf.DUMMYFUNCTION("IFERROR(
    INDEX(FILTER('Arrived Shipments'!O:O, 'Arrived Shipments'!B:B=$B618),2),
    IFERROR(
        INDEX(FILTER('POed not arrived'!D:D, 'POed not arrived'!A:A=$B618),2),
        """"
    )
)"),"")</f>
        <v/>
      </c>
      <c r="O618" s="202"/>
      <c r="P618" s="202" t="str">
        <f>IFERROR(__xludf.DUMMYFUNCTION("IFERROR(
    INDEX(FILTER('Arrived Shipments'!O:O, 'Arrived Shipments'!B:B=$B618),3),
    IFERROR(
        INDEX(FILTER('POed not arrived'!D:D, 'POed not arrived'!A:A=$B618),3),
        """"
    )
)"),"")</f>
        <v/>
      </c>
      <c r="Q618" s="202"/>
      <c r="R618" s="206" t="str">
        <f>IFERROR(__xludf.DUMMYFUNCTION("IFERROR(
    INDEX(FILTER('Arrived Shipments'!O:O, 'Arrived Shipments'!B:B=$B618),4),
    IFERROR(
        INDEX(FILTER('POed not arrived'!D:D, 'POed not arrived'!A:A=$B618),4),
        """"
    )
)"),"")</f>
        <v/>
      </c>
      <c r="S618" s="202"/>
      <c r="T618" s="202">
        <f t="shared" si="8"/>
        <v>0</v>
      </c>
      <c r="U618" s="198"/>
      <c r="V618" s="199"/>
      <c r="W618" s="197"/>
      <c r="X618" s="197"/>
      <c r="Y618" s="199"/>
      <c r="Z618" s="199"/>
      <c r="AA618" s="204" t="str">
        <f t="shared" si="4"/>
        <v/>
      </c>
      <c r="AB618" s="198"/>
      <c r="AC618" s="199"/>
      <c r="AD618" s="199"/>
      <c r="AE618" s="199"/>
      <c r="AF618" s="199"/>
      <c r="AG618" s="199"/>
      <c r="AH618" s="199"/>
      <c r="AI618" s="199"/>
      <c r="AJ618" s="199"/>
      <c r="AK618" s="199"/>
      <c r="AL618" s="199"/>
      <c r="AM618" s="198"/>
      <c r="AN618" s="197"/>
      <c r="AO618" s="197"/>
      <c r="AP618" s="197"/>
      <c r="AQ618" s="197"/>
      <c r="AR618" s="197"/>
      <c r="AS618" s="197"/>
    </row>
    <row r="619">
      <c r="A619" s="198" t="str">
        <f t="shared" si="1"/>
        <v/>
      </c>
      <c r="B619" s="205"/>
      <c r="C619" s="198"/>
      <c r="D619" s="199"/>
      <c r="E619" s="213"/>
      <c r="F619" s="198"/>
      <c r="G619" s="198"/>
      <c r="H619" s="199"/>
      <c r="I619" s="207"/>
      <c r="J619" s="199"/>
      <c r="K619" s="202"/>
      <c r="L619" s="205" t="str">
        <f>IFERROR(__xludf.DUMMYFUNCTION("IFERROR(
    INDEX(FILTER('Arrived Shipments'!O:O, 'Arrived Shipments'!B:B=$B619),1),
    IFERROR(
        INDEX(FILTER('POed not arrived'!D:D, 'POed not arrived'!A:A=$B619),1),
        """"
    )
)"),"")</f>
        <v/>
      </c>
      <c r="M619" s="202"/>
      <c r="N619" s="223" t="str">
        <f>IFERROR(__xludf.DUMMYFUNCTION("IFERROR(
    INDEX(FILTER('Arrived Shipments'!O:O, 'Arrived Shipments'!B:B=$B619),2),
    IFERROR(
        INDEX(FILTER('POed not arrived'!D:D, 'POed not arrived'!A:A=$B619),2),
        """"
    )
)"),"")</f>
        <v/>
      </c>
      <c r="O619" s="202"/>
      <c r="P619" s="202" t="str">
        <f>IFERROR(__xludf.DUMMYFUNCTION("IFERROR(
    INDEX(FILTER('Arrived Shipments'!O:O, 'Arrived Shipments'!B:B=$B619),3),
    IFERROR(
        INDEX(FILTER('POed not arrived'!D:D, 'POed not arrived'!A:A=$B619),3),
        """"
    )
)"),"")</f>
        <v/>
      </c>
      <c r="Q619" s="202"/>
      <c r="R619" s="206" t="str">
        <f>IFERROR(__xludf.DUMMYFUNCTION("IFERROR(
    INDEX(FILTER('Arrived Shipments'!O:O, 'Arrived Shipments'!B:B=$B619),4),
    IFERROR(
        INDEX(FILTER('POed not arrived'!D:D, 'POed not arrived'!A:A=$B619),4),
        """"
    )
)"),"")</f>
        <v/>
      </c>
      <c r="S619" s="202"/>
      <c r="T619" s="202">
        <f t="shared" si="8"/>
        <v>0</v>
      </c>
      <c r="U619" s="198"/>
      <c r="V619" s="199"/>
      <c r="W619" s="197"/>
      <c r="X619" s="197"/>
      <c r="Y619" s="199"/>
      <c r="Z619" s="199"/>
      <c r="AA619" s="204" t="str">
        <f t="shared" si="4"/>
        <v/>
      </c>
      <c r="AB619" s="198"/>
      <c r="AC619" s="199"/>
      <c r="AD619" s="199"/>
      <c r="AE619" s="199"/>
      <c r="AF619" s="199"/>
      <c r="AG619" s="199"/>
      <c r="AH619" s="199"/>
      <c r="AI619" s="199"/>
      <c r="AJ619" s="199"/>
      <c r="AK619" s="199"/>
      <c r="AL619" s="199"/>
      <c r="AM619" s="198"/>
      <c r="AN619" s="197"/>
      <c r="AO619" s="197"/>
      <c r="AP619" s="197"/>
      <c r="AQ619" s="197"/>
      <c r="AR619" s="197"/>
      <c r="AS619" s="197"/>
    </row>
    <row r="620">
      <c r="A620" s="198" t="str">
        <f t="shared" si="1"/>
        <v/>
      </c>
      <c r="B620" s="205"/>
      <c r="C620" s="198"/>
      <c r="D620" s="199"/>
      <c r="E620" s="213"/>
      <c r="F620" s="198"/>
      <c r="G620" s="198"/>
      <c r="H620" s="199"/>
      <c r="I620" s="207"/>
      <c r="J620" s="199"/>
      <c r="K620" s="202"/>
      <c r="L620" s="205" t="str">
        <f>IFERROR(__xludf.DUMMYFUNCTION("IFERROR(
    INDEX(FILTER('Arrived Shipments'!O:O, 'Arrived Shipments'!B:B=$B620),1),
    IFERROR(
        INDEX(FILTER('POed not arrived'!D:D, 'POed not arrived'!A:A=$B620),1),
        """"
    )
)"),"")</f>
        <v/>
      </c>
      <c r="M620" s="202"/>
      <c r="N620" s="223" t="str">
        <f>IFERROR(__xludf.DUMMYFUNCTION("IFERROR(
    INDEX(FILTER('Arrived Shipments'!O:O, 'Arrived Shipments'!B:B=$B620),2),
    IFERROR(
        INDEX(FILTER('POed not arrived'!D:D, 'POed not arrived'!A:A=$B620),2),
        """"
    )
)"),"")</f>
        <v/>
      </c>
      <c r="O620" s="202"/>
      <c r="P620" s="202" t="str">
        <f>IFERROR(__xludf.DUMMYFUNCTION("IFERROR(
    INDEX(FILTER('Arrived Shipments'!O:O, 'Arrived Shipments'!B:B=$B620),3),
    IFERROR(
        INDEX(FILTER('POed not arrived'!D:D, 'POed not arrived'!A:A=$B620),3),
        """"
    )
)"),"")</f>
        <v/>
      </c>
      <c r="Q620" s="202"/>
      <c r="R620" s="206" t="str">
        <f>IFERROR(__xludf.DUMMYFUNCTION("IFERROR(
    INDEX(FILTER('Arrived Shipments'!O:O, 'Arrived Shipments'!B:B=$B620),4),
    IFERROR(
        INDEX(FILTER('POed not arrived'!D:D, 'POed not arrived'!A:A=$B620),4),
        """"
    )
)"),"")</f>
        <v/>
      </c>
      <c r="S620" s="202"/>
      <c r="T620" s="202">
        <f t="shared" si="8"/>
        <v>0</v>
      </c>
      <c r="U620" s="198"/>
      <c r="V620" s="199"/>
      <c r="W620" s="197"/>
      <c r="X620" s="197"/>
      <c r="Y620" s="199"/>
      <c r="Z620" s="199"/>
      <c r="AA620" s="204" t="str">
        <f t="shared" si="4"/>
        <v/>
      </c>
      <c r="AB620" s="198"/>
      <c r="AC620" s="199"/>
      <c r="AD620" s="199"/>
      <c r="AE620" s="199"/>
      <c r="AF620" s="199"/>
      <c r="AG620" s="199"/>
      <c r="AH620" s="199"/>
      <c r="AI620" s="199"/>
      <c r="AJ620" s="199"/>
      <c r="AK620" s="199"/>
      <c r="AL620" s="199"/>
      <c r="AM620" s="198"/>
      <c r="AN620" s="197"/>
      <c r="AO620" s="197"/>
      <c r="AP620" s="197"/>
      <c r="AQ620" s="197"/>
      <c r="AR620" s="197"/>
      <c r="AS620" s="197"/>
    </row>
    <row r="621">
      <c r="A621" s="198" t="str">
        <f t="shared" si="1"/>
        <v/>
      </c>
      <c r="B621" s="205"/>
      <c r="C621" s="198"/>
      <c r="D621" s="199"/>
      <c r="E621" s="213"/>
      <c r="F621" s="198"/>
      <c r="G621" s="198"/>
      <c r="H621" s="199"/>
      <c r="I621" s="207"/>
      <c r="J621" s="199"/>
      <c r="K621" s="202"/>
      <c r="L621" s="205" t="str">
        <f>IFERROR(__xludf.DUMMYFUNCTION("IFERROR(
    INDEX(FILTER('Arrived Shipments'!O:O, 'Arrived Shipments'!B:B=$B621),1),
    IFERROR(
        INDEX(FILTER('POed not arrived'!D:D, 'POed not arrived'!A:A=$B621),1),
        """"
    )
)"),"")</f>
        <v/>
      </c>
      <c r="M621" s="202"/>
      <c r="N621" s="223" t="str">
        <f>IFERROR(__xludf.DUMMYFUNCTION("IFERROR(
    INDEX(FILTER('Arrived Shipments'!O:O, 'Arrived Shipments'!B:B=$B621),2),
    IFERROR(
        INDEX(FILTER('POed not arrived'!D:D, 'POed not arrived'!A:A=$B621),2),
        """"
    )
)"),"")</f>
        <v/>
      </c>
      <c r="O621" s="202"/>
      <c r="P621" s="202" t="str">
        <f>IFERROR(__xludf.DUMMYFUNCTION("IFERROR(
    INDEX(FILTER('Arrived Shipments'!O:O, 'Arrived Shipments'!B:B=$B621),3),
    IFERROR(
        INDEX(FILTER('POed not arrived'!D:D, 'POed not arrived'!A:A=$B621),3),
        """"
    )
)"),"")</f>
        <v/>
      </c>
      <c r="Q621" s="202"/>
      <c r="R621" s="206" t="str">
        <f>IFERROR(__xludf.DUMMYFUNCTION("IFERROR(
    INDEX(FILTER('Arrived Shipments'!O:O, 'Arrived Shipments'!B:B=$B621),4),
    IFERROR(
        INDEX(FILTER('POed not arrived'!D:D, 'POed not arrived'!A:A=$B621),4),
        """"
    )
)"),"")</f>
        <v/>
      </c>
      <c r="S621" s="202"/>
      <c r="T621" s="202">
        <f t="shared" si="8"/>
        <v>0</v>
      </c>
      <c r="U621" s="198"/>
      <c r="V621" s="199"/>
      <c r="W621" s="197"/>
      <c r="X621" s="197"/>
      <c r="Y621" s="199"/>
      <c r="Z621" s="199"/>
      <c r="AA621" s="204" t="str">
        <f t="shared" si="4"/>
        <v/>
      </c>
      <c r="AB621" s="198"/>
      <c r="AC621" s="199"/>
      <c r="AD621" s="199"/>
      <c r="AE621" s="199"/>
      <c r="AF621" s="199"/>
      <c r="AG621" s="199"/>
      <c r="AH621" s="199"/>
      <c r="AI621" s="199"/>
      <c r="AJ621" s="199"/>
      <c r="AK621" s="199"/>
      <c r="AL621" s="199"/>
      <c r="AM621" s="198"/>
      <c r="AN621" s="197"/>
      <c r="AO621" s="197"/>
      <c r="AP621" s="197"/>
      <c r="AQ621" s="197"/>
      <c r="AR621" s="197"/>
      <c r="AS621" s="197"/>
    </row>
    <row r="622">
      <c r="A622" s="198" t="str">
        <f t="shared" si="1"/>
        <v/>
      </c>
      <c r="B622" s="205"/>
      <c r="C622" s="198"/>
      <c r="D622" s="199"/>
      <c r="E622" s="213"/>
      <c r="F622" s="198"/>
      <c r="G622" s="198"/>
      <c r="H622" s="199"/>
      <c r="I622" s="207"/>
      <c r="J622" s="199"/>
      <c r="K622" s="202"/>
      <c r="L622" s="205" t="str">
        <f>IFERROR(__xludf.DUMMYFUNCTION("IFERROR(
    INDEX(FILTER('Arrived Shipments'!O:O, 'Arrived Shipments'!B:B=$B622),1),
    IFERROR(
        INDEX(FILTER('POed not arrived'!D:D, 'POed not arrived'!A:A=$B622),1),
        """"
    )
)"),"")</f>
        <v/>
      </c>
      <c r="M622" s="202"/>
      <c r="N622" s="223" t="str">
        <f>IFERROR(__xludf.DUMMYFUNCTION("IFERROR(
    INDEX(FILTER('Arrived Shipments'!O:O, 'Arrived Shipments'!B:B=$B622),2),
    IFERROR(
        INDEX(FILTER('POed not arrived'!D:D, 'POed not arrived'!A:A=$B622),2),
        """"
    )
)"),"")</f>
        <v/>
      </c>
      <c r="O622" s="202"/>
      <c r="P622" s="202" t="str">
        <f>IFERROR(__xludf.DUMMYFUNCTION("IFERROR(
    INDEX(FILTER('Arrived Shipments'!O:O, 'Arrived Shipments'!B:B=$B622),3),
    IFERROR(
        INDEX(FILTER('POed not arrived'!D:D, 'POed not arrived'!A:A=$B622),3),
        """"
    )
)"),"")</f>
        <v/>
      </c>
      <c r="Q622" s="202"/>
      <c r="R622" s="206" t="str">
        <f>IFERROR(__xludf.DUMMYFUNCTION("IFERROR(
    INDEX(FILTER('Arrived Shipments'!O:O, 'Arrived Shipments'!B:B=$B622),4),
    IFERROR(
        INDEX(FILTER('POed not arrived'!D:D, 'POed not arrived'!A:A=$B622),4),
        """"
    )
)"),"")</f>
        <v/>
      </c>
      <c r="S622" s="202"/>
      <c r="T622" s="202">
        <f t="shared" si="8"/>
        <v>0</v>
      </c>
      <c r="U622" s="198"/>
      <c r="V622" s="199"/>
      <c r="W622" s="197"/>
      <c r="X622" s="197"/>
      <c r="Y622" s="199"/>
      <c r="Z622" s="199"/>
      <c r="AA622" s="204" t="str">
        <f t="shared" si="4"/>
        <v/>
      </c>
      <c r="AB622" s="198"/>
      <c r="AC622" s="199"/>
      <c r="AD622" s="199"/>
      <c r="AE622" s="199"/>
      <c r="AF622" s="199"/>
      <c r="AG622" s="199"/>
      <c r="AH622" s="199"/>
      <c r="AI622" s="199"/>
      <c r="AJ622" s="199"/>
      <c r="AK622" s="199"/>
      <c r="AL622" s="199"/>
      <c r="AM622" s="198"/>
      <c r="AN622" s="197"/>
      <c r="AO622" s="197"/>
      <c r="AP622" s="197"/>
      <c r="AQ622" s="197"/>
      <c r="AR622" s="197"/>
      <c r="AS622" s="197"/>
    </row>
    <row r="623">
      <c r="A623" s="198" t="str">
        <f t="shared" si="1"/>
        <v/>
      </c>
      <c r="B623" s="205"/>
      <c r="C623" s="198"/>
      <c r="D623" s="199"/>
      <c r="E623" s="213"/>
      <c r="F623" s="198"/>
      <c r="G623" s="198"/>
      <c r="H623" s="199"/>
      <c r="I623" s="207"/>
      <c r="J623" s="199"/>
      <c r="K623" s="202"/>
      <c r="L623" s="205" t="str">
        <f>IFERROR(__xludf.DUMMYFUNCTION("IFERROR(
    INDEX(FILTER('Arrived Shipments'!O:O, 'Arrived Shipments'!B:B=$B623),1),
    IFERROR(
        INDEX(FILTER('POed not arrived'!D:D, 'POed not arrived'!A:A=$B623),1),
        """"
    )
)"),"")</f>
        <v/>
      </c>
      <c r="M623" s="202"/>
      <c r="N623" s="223" t="str">
        <f>IFERROR(__xludf.DUMMYFUNCTION("IFERROR(
    INDEX(FILTER('Arrived Shipments'!O:O, 'Arrived Shipments'!B:B=$B623),2),
    IFERROR(
        INDEX(FILTER('POed not arrived'!D:D, 'POed not arrived'!A:A=$B623),2),
        """"
    )
)"),"")</f>
        <v/>
      </c>
      <c r="O623" s="202"/>
      <c r="P623" s="202" t="str">
        <f>IFERROR(__xludf.DUMMYFUNCTION("IFERROR(
    INDEX(FILTER('Arrived Shipments'!O:O, 'Arrived Shipments'!B:B=$B623),3),
    IFERROR(
        INDEX(FILTER('POed not arrived'!D:D, 'POed not arrived'!A:A=$B623),3),
        """"
    )
)"),"")</f>
        <v/>
      </c>
      <c r="Q623" s="202"/>
      <c r="R623" s="206" t="str">
        <f>IFERROR(__xludf.DUMMYFUNCTION("IFERROR(
    INDEX(FILTER('Arrived Shipments'!O:O, 'Arrived Shipments'!B:B=$B623),4),
    IFERROR(
        INDEX(FILTER('POed not arrived'!D:D, 'POed not arrived'!A:A=$B623),4),
        """"
    )
)"),"")</f>
        <v/>
      </c>
      <c r="S623" s="202"/>
      <c r="T623" s="202">
        <f t="shared" si="8"/>
        <v>0</v>
      </c>
      <c r="U623" s="198"/>
      <c r="V623" s="199"/>
      <c r="W623" s="197"/>
      <c r="X623" s="197"/>
      <c r="Y623" s="199"/>
      <c r="Z623" s="199"/>
      <c r="AA623" s="204" t="str">
        <f t="shared" si="4"/>
        <v/>
      </c>
      <c r="AB623" s="198"/>
      <c r="AC623" s="199"/>
      <c r="AD623" s="199"/>
      <c r="AE623" s="199"/>
      <c r="AF623" s="199"/>
      <c r="AG623" s="199"/>
      <c r="AH623" s="199"/>
      <c r="AI623" s="199"/>
      <c r="AJ623" s="199"/>
      <c r="AK623" s="199"/>
      <c r="AL623" s="199"/>
      <c r="AM623" s="198"/>
      <c r="AN623" s="197"/>
      <c r="AO623" s="197"/>
      <c r="AP623" s="197"/>
      <c r="AQ623" s="197"/>
      <c r="AR623" s="197"/>
      <c r="AS623" s="197"/>
    </row>
    <row r="624">
      <c r="A624" s="198" t="str">
        <f t="shared" si="1"/>
        <v/>
      </c>
      <c r="B624" s="205"/>
      <c r="C624" s="198"/>
      <c r="D624" s="199"/>
      <c r="E624" s="213"/>
      <c r="F624" s="198"/>
      <c r="G624" s="198"/>
      <c r="H624" s="199"/>
      <c r="I624" s="207"/>
      <c r="J624" s="199"/>
      <c r="K624" s="202"/>
      <c r="L624" s="205" t="str">
        <f>IFERROR(__xludf.DUMMYFUNCTION("IFERROR(
    INDEX(FILTER('Arrived Shipments'!O:O, 'Arrived Shipments'!B:B=$B624),1),
    IFERROR(
        INDEX(FILTER('POed not arrived'!D:D, 'POed not arrived'!A:A=$B624),1),
        """"
    )
)"),"")</f>
        <v/>
      </c>
      <c r="M624" s="202"/>
      <c r="N624" s="223" t="str">
        <f>IFERROR(__xludf.DUMMYFUNCTION("IFERROR(
    INDEX(FILTER('Arrived Shipments'!O:O, 'Arrived Shipments'!B:B=$B624),2),
    IFERROR(
        INDEX(FILTER('POed not arrived'!D:D, 'POed not arrived'!A:A=$B624),2),
        """"
    )
)"),"")</f>
        <v/>
      </c>
      <c r="O624" s="202"/>
      <c r="P624" s="202" t="str">
        <f>IFERROR(__xludf.DUMMYFUNCTION("IFERROR(
    INDEX(FILTER('Arrived Shipments'!O:O, 'Arrived Shipments'!B:B=$B624),3),
    IFERROR(
        INDEX(FILTER('POed not arrived'!D:D, 'POed not arrived'!A:A=$B624),3),
        """"
    )
)"),"")</f>
        <v/>
      </c>
      <c r="Q624" s="202"/>
      <c r="R624" s="206" t="str">
        <f>IFERROR(__xludf.DUMMYFUNCTION("IFERROR(
    INDEX(FILTER('Arrived Shipments'!O:O, 'Arrived Shipments'!B:B=$B624),4),
    IFERROR(
        INDEX(FILTER('POed not arrived'!D:D, 'POed not arrived'!A:A=$B624),4),
        """"
    )
)"),"")</f>
        <v/>
      </c>
      <c r="S624" s="202"/>
      <c r="T624" s="202">
        <f t="shared" si="8"/>
        <v>0</v>
      </c>
      <c r="U624" s="198"/>
      <c r="V624" s="199"/>
      <c r="W624" s="197"/>
      <c r="X624" s="197"/>
      <c r="Y624" s="199"/>
      <c r="Z624" s="199"/>
      <c r="AA624" s="204" t="str">
        <f t="shared" si="4"/>
        <v/>
      </c>
      <c r="AB624" s="198"/>
      <c r="AC624" s="199"/>
      <c r="AD624" s="199"/>
      <c r="AE624" s="199"/>
      <c r="AF624" s="199"/>
      <c r="AG624" s="199"/>
      <c r="AH624" s="199"/>
      <c r="AI624" s="199"/>
      <c r="AJ624" s="199"/>
      <c r="AK624" s="199"/>
      <c r="AL624" s="199"/>
      <c r="AM624" s="198"/>
      <c r="AN624" s="197"/>
      <c r="AO624" s="197"/>
      <c r="AP624" s="197"/>
      <c r="AQ624" s="197"/>
      <c r="AR624" s="197"/>
      <c r="AS624" s="197"/>
    </row>
    <row r="625">
      <c r="A625" s="198" t="str">
        <f t="shared" si="1"/>
        <v/>
      </c>
      <c r="B625" s="205"/>
      <c r="C625" s="198"/>
      <c r="D625" s="199"/>
      <c r="E625" s="213"/>
      <c r="F625" s="198"/>
      <c r="G625" s="198"/>
      <c r="H625" s="199"/>
      <c r="I625" s="207"/>
      <c r="J625" s="199"/>
      <c r="K625" s="202"/>
      <c r="L625" s="205" t="str">
        <f>IFERROR(__xludf.DUMMYFUNCTION("IFERROR(
    INDEX(FILTER('Arrived Shipments'!O:O, 'Arrived Shipments'!B:B=$B625),1),
    IFERROR(
        INDEX(FILTER('POed not arrived'!D:D, 'POed not arrived'!A:A=$B625),1),
        """"
    )
)"),"")</f>
        <v/>
      </c>
      <c r="M625" s="202"/>
      <c r="N625" s="223" t="str">
        <f>IFERROR(__xludf.DUMMYFUNCTION("IFERROR(
    INDEX(FILTER('Arrived Shipments'!O:O, 'Arrived Shipments'!B:B=$B625),2),
    IFERROR(
        INDEX(FILTER('POed not arrived'!D:D, 'POed not arrived'!A:A=$B625),2),
        """"
    )
)"),"")</f>
        <v/>
      </c>
      <c r="O625" s="202"/>
      <c r="P625" s="202" t="str">
        <f>IFERROR(__xludf.DUMMYFUNCTION("IFERROR(
    INDEX(FILTER('Arrived Shipments'!O:O, 'Arrived Shipments'!B:B=$B625),3),
    IFERROR(
        INDEX(FILTER('POed not arrived'!D:D, 'POed not arrived'!A:A=$B625),3),
        """"
    )
)"),"")</f>
        <v/>
      </c>
      <c r="Q625" s="202"/>
      <c r="R625" s="206" t="str">
        <f>IFERROR(__xludf.DUMMYFUNCTION("IFERROR(
    INDEX(FILTER('Arrived Shipments'!O:O, 'Arrived Shipments'!B:B=$B625),4),
    IFERROR(
        INDEX(FILTER('POed not arrived'!D:D, 'POed not arrived'!A:A=$B625),4),
        """"
    )
)"),"")</f>
        <v/>
      </c>
      <c r="S625" s="202"/>
      <c r="T625" s="202">
        <f t="shared" si="8"/>
        <v>0</v>
      </c>
      <c r="U625" s="198"/>
      <c r="V625" s="199"/>
      <c r="W625" s="197"/>
      <c r="X625" s="197"/>
      <c r="Y625" s="199"/>
      <c r="Z625" s="199"/>
      <c r="AA625" s="204" t="str">
        <f t="shared" si="4"/>
        <v/>
      </c>
      <c r="AB625" s="198"/>
      <c r="AC625" s="199"/>
      <c r="AD625" s="199"/>
      <c r="AE625" s="199"/>
      <c r="AF625" s="199"/>
      <c r="AG625" s="199"/>
      <c r="AH625" s="199"/>
      <c r="AI625" s="199"/>
      <c r="AJ625" s="199"/>
      <c r="AK625" s="199"/>
      <c r="AL625" s="199"/>
      <c r="AM625" s="198"/>
      <c r="AN625" s="197"/>
      <c r="AO625" s="197"/>
      <c r="AP625" s="197"/>
      <c r="AQ625" s="197"/>
      <c r="AR625" s="197"/>
      <c r="AS625" s="197"/>
    </row>
    <row r="626">
      <c r="A626" s="198" t="str">
        <f t="shared" si="1"/>
        <v/>
      </c>
      <c r="B626" s="205"/>
      <c r="C626" s="198"/>
      <c r="D626" s="199"/>
      <c r="E626" s="213"/>
      <c r="F626" s="198"/>
      <c r="G626" s="198"/>
      <c r="H626" s="199"/>
      <c r="I626" s="207"/>
      <c r="J626" s="199"/>
      <c r="K626" s="202"/>
      <c r="L626" s="205" t="str">
        <f>IFERROR(__xludf.DUMMYFUNCTION("IFERROR(
    INDEX(FILTER('Arrived Shipments'!O:O, 'Arrived Shipments'!B:B=$B626),1),
    IFERROR(
        INDEX(FILTER('POed not arrived'!D:D, 'POed not arrived'!A:A=$B626),1),
        """"
    )
)"),"")</f>
        <v/>
      </c>
      <c r="M626" s="202"/>
      <c r="N626" s="223" t="str">
        <f>IFERROR(__xludf.DUMMYFUNCTION("IFERROR(
    INDEX(FILTER('Arrived Shipments'!O:O, 'Arrived Shipments'!B:B=$B626),2),
    IFERROR(
        INDEX(FILTER('POed not arrived'!D:D, 'POed not arrived'!A:A=$B626),2),
        """"
    )
)"),"")</f>
        <v/>
      </c>
      <c r="O626" s="202"/>
      <c r="P626" s="202" t="str">
        <f>IFERROR(__xludf.DUMMYFUNCTION("IFERROR(
    INDEX(FILTER('Arrived Shipments'!O:O, 'Arrived Shipments'!B:B=$B626),3),
    IFERROR(
        INDEX(FILTER('POed not arrived'!D:D, 'POed not arrived'!A:A=$B626),3),
        """"
    )
)"),"")</f>
        <v/>
      </c>
      <c r="Q626" s="202"/>
      <c r="R626" s="206" t="str">
        <f>IFERROR(__xludf.DUMMYFUNCTION("IFERROR(
    INDEX(FILTER('Arrived Shipments'!O:O, 'Arrived Shipments'!B:B=$B626),4),
    IFERROR(
        INDEX(FILTER('POed not arrived'!D:D, 'POed not arrived'!A:A=$B626),4),
        """"
    )
)"),"")</f>
        <v/>
      </c>
      <c r="S626" s="202"/>
      <c r="T626" s="202">
        <f t="shared" si="8"/>
        <v>0</v>
      </c>
      <c r="U626" s="198"/>
      <c r="V626" s="199"/>
      <c r="W626" s="197"/>
      <c r="X626" s="197"/>
      <c r="Y626" s="199"/>
      <c r="Z626" s="199"/>
      <c r="AA626" s="204" t="str">
        <f t="shared" si="4"/>
        <v/>
      </c>
      <c r="AB626" s="198"/>
      <c r="AC626" s="199"/>
      <c r="AD626" s="199"/>
      <c r="AE626" s="199"/>
      <c r="AF626" s="199"/>
      <c r="AG626" s="199"/>
      <c r="AH626" s="199"/>
      <c r="AI626" s="199"/>
      <c r="AJ626" s="199"/>
      <c r="AK626" s="199"/>
      <c r="AL626" s="199"/>
      <c r="AM626" s="198"/>
      <c r="AN626" s="197"/>
      <c r="AO626" s="197"/>
      <c r="AP626" s="197"/>
      <c r="AQ626" s="197"/>
      <c r="AR626" s="197"/>
      <c r="AS626" s="197"/>
    </row>
    <row r="627">
      <c r="A627" s="198" t="str">
        <f t="shared" si="1"/>
        <v/>
      </c>
      <c r="B627" s="205"/>
      <c r="C627" s="198"/>
      <c r="D627" s="199"/>
      <c r="E627" s="213"/>
      <c r="F627" s="198"/>
      <c r="G627" s="198"/>
      <c r="H627" s="199"/>
      <c r="I627" s="207"/>
      <c r="J627" s="199"/>
      <c r="K627" s="202"/>
      <c r="L627" s="205" t="str">
        <f>IFERROR(__xludf.DUMMYFUNCTION("IFERROR(
    INDEX(FILTER('Arrived Shipments'!O:O, 'Arrived Shipments'!B:B=$B627),1),
    IFERROR(
        INDEX(FILTER('POed not arrived'!D:D, 'POed not arrived'!A:A=$B627),1),
        """"
    )
)"),"")</f>
        <v/>
      </c>
      <c r="M627" s="202"/>
      <c r="N627" s="223" t="str">
        <f>IFERROR(__xludf.DUMMYFUNCTION("IFERROR(
    INDEX(FILTER('Arrived Shipments'!O:O, 'Arrived Shipments'!B:B=$B627),2),
    IFERROR(
        INDEX(FILTER('POed not arrived'!D:D, 'POed not arrived'!A:A=$B627),2),
        """"
    )
)"),"")</f>
        <v/>
      </c>
      <c r="O627" s="202"/>
      <c r="P627" s="202" t="str">
        <f>IFERROR(__xludf.DUMMYFUNCTION("IFERROR(
    INDEX(FILTER('Arrived Shipments'!O:O, 'Arrived Shipments'!B:B=$B627),3),
    IFERROR(
        INDEX(FILTER('POed not arrived'!D:D, 'POed not arrived'!A:A=$B627),3),
        """"
    )
)"),"")</f>
        <v/>
      </c>
      <c r="Q627" s="202"/>
      <c r="R627" s="206" t="str">
        <f>IFERROR(__xludf.DUMMYFUNCTION("IFERROR(
    INDEX(FILTER('Arrived Shipments'!O:O, 'Arrived Shipments'!B:B=$B627),4),
    IFERROR(
        INDEX(FILTER('POed not arrived'!D:D, 'POed not arrived'!A:A=$B627),4),
        """"
    )
)"),"")</f>
        <v/>
      </c>
      <c r="S627" s="202"/>
      <c r="T627" s="202">
        <f t="shared" si="8"/>
        <v>0</v>
      </c>
      <c r="U627" s="198"/>
      <c r="V627" s="199"/>
      <c r="W627" s="197"/>
      <c r="X627" s="197"/>
      <c r="Y627" s="199"/>
      <c r="Z627" s="199"/>
      <c r="AA627" s="204" t="str">
        <f t="shared" si="4"/>
        <v/>
      </c>
      <c r="AB627" s="198"/>
      <c r="AC627" s="199"/>
      <c r="AD627" s="199"/>
      <c r="AE627" s="199"/>
      <c r="AF627" s="199"/>
      <c r="AG627" s="199"/>
      <c r="AH627" s="199"/>
      <c r="AI627" s="199"/>
      <c r="AJ627" s="199"/>
      <c r="AK627" s="199"/>
      <c r="AL627" s="199"/>
      <c r="AM627" s="198"/>
      <c r="AN627" s="197"/>
      <c r="AO627" s="197"/>
      <c r="AP627" s="197"/>
      <c r="AQ627" s="197"/>
      <c r="AR627" s="197"/>
      <c r="AS627" s="197"/>
    </row>
    <row r="628">
      <c r="A628" s="198" t="str">
        <f t="shared" si="1"/>
        <v/>
      </c>
      <c r="B628" s="205"/>
      <c r="C628" s="198"/>
      <c r="D628" s="199"/>
      <c r="E628" s="213"/>
      <c r="F628" s="198"/>
      <c r="G628" s="198"/>
      <c r="H628" s="199"/>
      <c r="I628" s="207"/>
      <c r="J628" s="199"/>
      <c r="K628" s="202"/>
      <c r="L628" s="205" t="str">
        <f>IFERROR(__xludf.DUMMYFUNCTION("IFERROR(
    INDEX(FILTER('Arrived Shipments'!O:O, 'Arrived Shipments'!B:B=$B628),1),
    IFERROR(
        INDEX(FILTER('POed not arrived'!D:D, 'POed not arrived'!A:A=$B628),1),
        """"
    )
)"),"")</f>
        <v/>
      </c>
      <c r="M628" s="202"/>
      <c r="N628" s="223" t="str">
        <f>IFERROR(__xludf.DUMMYFUNCTION("IFERROR(
    INDEX(FILTER('Arrived Shipments'!O:O, 'Arrived Shipments'!B:B=$B628),2),
    IFERROR(
        INDEX(FILTER('POed not arrived'!D:D, 'POed not arrived'!A:A=$B628),2),
        """"
    )
)"),"")</f>
        <v/>
      </c>
      <c r="O628" s="202"/>
      <c r="P628" s="202" t="str">
        <f>IFERROR(__xludf.DUMMYFUNCTION("IFERROR(
    INDEX(FILTER('Arrived Shipments'!O:O, 'Arrived Shipments'!B:B=$B628),3),
    IFERROR(
        INDEX(FILTER('POed not arrived'!D:D, 'POed not arrived'!A:A=$B628),3),
        """"
    )
)"),"")</f>
        <v/>
      </c>
      <c r="Q628" s="202"/>
      <c r="R628" s="206" t="str">
        <f>IFERROR(__xludf.DUMMYFUNCTION("IFERROR(
    INDEX(FILTER('Arrived Shipments'!O:O, 'Arrived Shipments'!B:B=$B628),4),
    IFERROR(
        INDEX(FILTER('POed not arrived'!D:D, 'POed not arrived'!A:A=$B628),4),
        """"
    )
)"),"")</f>
        <v/>
      </c>
      <c r="S628" s="202"/>
      <c r="T628" s="202">
        <f t="shared" si="8"/>
        <v>0</v>
      </c>
      <c r="U628" s="198"/>
      <c r="V628" s="199"/>
      <c r="W628" s="197"/>
      <c r="X628" s="197"/>
      <c r="Y628" s="199"/>
      <c r="Z628" s="199"/>
      <c r="AA628" s="204" t="str">
        <f t="shared" si="4"/>
        <v/>
      </c>
      <c r="AB628" s="198"/>
      <c r="AC628" s="199"/>
      <c r="AD628" s="199"/>
      <c r="AE628" s="199"/>
      <c r="AF628" s="199"/>
      <c r="AG628" s="199"/>
      <c r="AH628" s="199"/>
      <c r="AI628" s="199"/>
      <c r="AJ628" s="199"/>
      <c r="AK628" s="199"/>
      <c r="AL628" s="199"/>
      <c r="AM628" s="198"/>
      <c r="AN628" s="197"/>
      <c r="AO628" s="197"/>
      <c r="AP628" s="197"/>
      <c r="AQ628" s="197"/>
      <c r="AR628" s="197"/>
      <c r="AS628" s="197"/>
    </row>
    <row r="629">
      <c r="A629" s="198" t="str">
        <f t="shared" si="1"/>
        <v/>
      </c>
      <c r="B629" s="205"/>
      <c r="C629" s="198"/>
      <c r="D629" s="199"/>
      <c r="E629" s="213"/>
      <c r="F629" s="198"/>
      <c r="G629" s="198"/>
      <c r="H629" s="199"/>
      <c r="I629" s="207"/>
      <c r="J629" s="199"/>
      <c r="K629" s="202"/>
      <c r="L629" s="205" t="str">
        <f>IFERROR(__xludf.DUMMYFUNCTION("IFERROR(
    INDEX(FILTER('Arrived Shipments'!O:O, 'Arrived Shipments'!B:B=$B629),1),
    IFERROR(
        INDEX(FILTER('POed not arrived'!D:D, 'POed not arrived'!A:A=$B629),1),
        """"
    )
)"),"")</f>
        <v/>
      </c>
      <c r="M629" s="202"/>
      <c r="N629" s="223" t="str">
        <f>IFERROR(__xludf.DUMMYFUNCTION("IFERROR(
    INDEX(FILTER('Arrived Shipments'!O:O, 'Arrived Shipments'!B:B=$B629),2),
    IFERROR(
        INDEX(FILTER('POed not arrived'!D:D, 'POed not arrived'!A:A=$B629),2),
        """"
    )
)"),"")</f>
        <v/>
      </c>
      <c r="O629" s="202"/>
      <c r="P629" s="202" t="str">
        <f>IFERROR(__xludf.DUMMYFUNCTION("IFERROR(
    INDEX(FILTER('Arrived Shipments'!O:O, 'Arrived Shipments'!B:B=$B629),3),
    IFERROR(
        INDEX(FILTER('POed not arrived'!D:D, 'POed not arrived'!A:A=$B629),3),
        """"
    )
)"),"")</f>
        <v/>
      </c>
      <c r="Q629" s="202"/>
      <c r="R629" s="206" t="str">
        <f>IFERROR(__xludf.DUMMYFUNCTION("IFERROR(
    INDEX(FILTER('Arrived Shipments'!O:O, 'Arrived Shipments'!B:B=$B629),4),
    IFERROR(
        INDEX(FILTER('POed not arrived'!D:D, 'POed not arrived'!A:A=$B629),4),
        """"
    )
)"),"")</f>
        <v/>
      </c>
      <c r="S629" s="202"/>
      <c r="T629" s="202">
        <f t="shared" si="8"/>
        <v>0</v>
      </c>
      <c r="U629" s="198"/>
      <c r="V629" s="199"/>
      <c r="W629" s="197"/>
      <c r="X629" s="197"/>
      <c r="Y629" s="199"/>
      <c r="Z629" s="199"/>
      <c r="AA629" s="204" t="str">
        <f t="shared" si="4"/>
        <v/>
      </c>
      <c r="AB629" s="198"/>
      <c r="AC629" s="199"/>
      <c r="AD629" s="199"/>
      <c r="AE629" s="199"/>
      <c r="AF629" s="199"/>
      <c r="AG629" s="199"/>
      <c r="AH629" s="199"/>
      <c r="AI629" s="199"/>
      <c r="AJ629" s="199"/>
      <c r="AK629" s="199"/>
      <c r="AL629" s="199"/>
      <c r="AM629" s="198"/>
      <c r="AN629" s="197"/>
      <c r="AO629" s="197"/>
      <c r="AP629" s="197"/>
      <c r="AQ629" s="197"/>
      <c r="AR629" s="197"/>
      <c r="AS629" s="197"/>
    </row>
    <row r="630">
      <c r="A630" s="198" t="str">
        <f t="shared" si="1"/>
        <v/>
      </c>
      <c r="B630" s="205"/>
      <c r="C630" s="198"/>
      <c r="D630" s="199"/>
      <c r="E630" s="213"/>
      <c r="F630" s="198"/>
      <c r="G630" s="198"/>
      <c r="H630" s="199"/>
      <c r="I630" s="207"/>
      <c r="J630" s="199"/>
      <c r="K630" s="202"/>
      <c r="L630" s="205" t="str">
        <f>IFERROR(__xludf.DUMMYFUNCTION("IFERROR(
    INDEX(FILTER('Arrived Shipments'!O:O, 'Arrived Shipments'!B:B=$B630),1),
    IFERROR(
        INDEX(FILTER('POed not arrived'!D:D, 'POed not arrived'!A:A=$B630),1),
        """"
    )
)"),"")</f>
        <v/>
      </c>
      <c r="M630" s="202"/>
      <c r="N630" s="223" t="str">
        <f>IFERROR(__xludf.DUMMYFUNCTION("IFERROR(
    INDEX(FILTER('Arrived Shipments'!O:O, 'Arrived Shipments'!B:B=$B630),2),
    IFERROR(
        INDEX(FILTER('POed not arrived'!D:D, 'POed not arrived'!A:A=$B630),2),
        """"
    )
)"),"")</f>
        <v/>
      </c>
      <c r="O630" s="202"/>
      <c r="P630" s="202" t="str">
        <f>IFERROR(__xludf.DUMMYFUNCTION("IFERROR(
    INDEX(FILTER('Arrived Shipments'!O:O, 'Arrived Shipments'!B:B=$B630),3),
    IFERROR(
        INDEX(FILTER('POed not arrived'!D:D, 'POed not arrived'!A:A=$B630),3),
        """"
    )
)"),"")</f>
        <v/>
      </c>
      <c r="Q630" s="202"/>
      <c r="R630" s="206" t="str">
        <f>IFERROR(__xludf.DUMMYFUNCTION("IFERROR(
    INDEX(FILTER('Arrived Shipments'!O:O, 'Arrived Shipments'!B:B=$B630),4),
    IFERROR(
        INDEX(FILTER('POed not arrived'!D:D, 'POed not arrived'!A:A=$B630),4),
        """"
    )
)"),"")</f>
        <v/>
      </c>
      <c r="S630" s="202"/>
      <c r="T630" s="202">
        <f t="shared" si="8"/>
        <v>0</v>
      </c>
      <c r="U630" s="198"/>
      <c r="V630" s="199"/>
      <c r="W630" s="197"/>
      <c r="X630" s="197"/>
      <c r="Y630" s="199"/>
      <c r="Z630" s="199"/>
      <c r="AA630" s="204" t="str">
        <f t="shared" si="4"/>
        <v/>
      </c>
      <c r="AB630" s="198"/>
      <c r="AC630" s="199"/>
      <c r="AD630" s="199"/>
      <c r="AE630" s="199"/>
      <c r="AF630" s="199"/>
      <c r="AG630" s="199"/>
      <c r="AH630" s="199"/>
      <c r="AI630" s="199"/>
      <c r="AJ630" s="199"/>
      <c r="AK630" s="199"/>
      <c r="AL630" s="199"/>
      <c r="AM630" s="198"/>
      <c r="AN630" s="197"/>
      <c r="AO630" s="197"/>
      <c r="AP630" s="197"/>
      <c r="AQ630" s="197"/>
      <c r="AR630" s="197"/>
      <c r="AS630" s="197"/>
    </row>
    <row r="631">
      <c r="A631" s="198" t="str">
        <f t="shared" si="1"/>
        <v/>
      </c>
      <c r="B631" s="205"/>
      <c r="C631" s="198"/>
      <c r="D631" s="199"/>
      <c r="E631" s="213"/>
      <c r="F631" s="198"/>
      <c r="G631" s="198"/>
      <c r="H631" s="199"/>
      <c r="I631" s="207"/>
      <c r="J631" s="199"/>
      <c r="K631" s="202"/>
      <c r="L631" s="205" t="str">
        <f>IFERROR(__xludf.DUMMYFUNCTION("IFERROR(
    INDEX(FILTER('Arrived Shipments'!O:O, 'Arrived Shipments'!B:B=$B631),1),
    IFERROR(
        INDEX(FILTER('POed not arrived'!D:D, 'POed not arrived'!A:A=$B631),1),
        """"
    )
)"),"")</f>
        <v/>
      </c>
      <c r="M631" s="202"/>
      <c r="N631" s="223" t="str">
        <f>IFERROR(__xludf.DUMMYFUNCTION("IFERROR(
    INDEX(FILTER('Arrived Shipments'!O:O, 'Arrived Shipments'!B:B=$B631),2),
    IFERROR(
        INDEX(FILTER('POed not arrived'!D:D, 'POed not arrived'!A:A=$B631),2),
        """"
    )
)"),"")</f>
        <v/>
      </c>
      <c r="O631" s="202"/>
      <c r="P631" s="202" t="str">
        <f>IFERROR(__xludf.DUMMYFUNCTION("IFERROR(
    INDEX(FILTER('Arrived Shipments'!O:O, 'Arrived Shipments'!B:B=$B631),3),
    IFERROR(
        INDEX(FILTER('POed not arrived'!D:D, 'POed not arrived'!A:A=$B631),3),
        """"
    )
)"),"")</f>
        <v/>
      </c>
      <c r="Q631" s="202"/>
      <c r="R631" s="206" t="str">
        <f>IFERROR(__xludf.DUMMYFUNCTION("IFERROR(
    INDEX(FILTER('Arrived Shipments'!O:O, 'Arrived Shipments'!B:B=$B631),4),
    IFERROR(
        INDEX(FILTER('POed not arrived'!D:D, 'POed not arrived'!A:A=$B631),4),
        """"
    )
)"),"")</f>
        <v/>
      </c>
      <c r="S631" s="202"/>
      <c r="T631" s="202">
        <f t="shared" si="8"/>
        <v>0</v>
      </c>
      <c r="U631" s="198"/>
      <c r="V631" s="199"/>
      <c r="W631" s="197"/>
      <c r="X631" s="197"/>
      <c r="Y631" s="199"/>
      <c r="Z631" s="199"/>
      <c r="AA631" s="204" t="str">
        <f t="shared" si="4"/>
        <v/>
      </c>
      <c r="AB631" s="198"/>
      <c r="AC631" s="199"/>
      <c r="AD631" s="199"/>
      <c r="AE631" s="199"/>
      <c r="AF631" s="199"/>
      <c r="AG631" s="199"/>
      <c r="AH631" s="199"/>
      <c r="AI631" s="199"/>
      <c r="AJ631" s="199"/>
      <c r="AK631" s="199"/>
      <c r="AL631" s="199"/>
      <c r="AM631" s="198"/>
      <c r="AN631" s="197"/>
      <c r="AO631" s="197"/>
      <c r="AP631" s="197"/>
      <c r="AQ631" s="197"/>
      <c r="AR631" s="197"/>
      <c r="AS631" s="197"/>
    </row>
    <row r="632">
      <c r="A632" s="198" t="str">
        <f t="shared" si="1"/>
        <v/>
      </c>
      <c r="B632" s="205"/>
      <c r="C632" s="198"/>
      <c r="D632" s="199"/>
      <c r="E632" s="213"/>
      <c r="F632" s="198"/>
      <c r="G632" s="198"/>
      <c r="H632" s="199"/>
      <c r="I632" s="207"/>
      <c r="J632" s="199"/>
      <c r="K632" s="202"/>
      <c r="L632" s="205" t="str">
        <f>IFERROR(__xludf.DUMMYFUNCTION("IFERROR(
    INDEX(FILTER('Arrived Shipments'!O:O, 'Arrived Shipments'!B:B=$B632),1),
    IFERROR(
        INDEX(FILTER('POed not arrived'!D:D, 'POed not arrived'!A:A=$B632),1),
        """"
    )
)"),"")</f>
        <v/>
      </c>
      <c r="M632" s="202"/>
      <c r="N632" s="223" t="str">
        <f>IFERROR(__xludf.DUMMYFUNCTION("IFERROR(
    INDEX(FILTER('Arrived Shipments'!O:O, 'Arrived Shipments'!B:B=$B632),2),
    IFERROR(
        INDEX(FILTER('POed not arrived'!D:D, 'POed not arrived'!A:A=$B632),2),
        """"
    )
)"),"")</f>
        <v/>
      </c>
      <c r="O632" s="202"/>
      <c r="P632" s="202" t="str">
        <f>IFERROR(__xludf.DUMMYFUNCTION("IFERROR(
    INDEX(FILTER('Arrived Shipments'!O:O, 'Arrived Shipments'!B:B=$B632),3),
    IFERROR(
        INDEX(FILTER('POed not arrived'!D:D, 'POed not arrived'!A:A=$B632),3),
        """"
    )
)"),"")</f>
        <v/>
      </c>
      <c r="Q632" s="202"/>
      <c r="R632" s="206" t="str">
        <f>IFERROR(__xludf.DUMMYFUNCTION("IFERROR(
    INDEX(FILTER('Arrived Shipments'!O:O, 'Arrived Shipments'!B:B=$B632),4),
    IFERROR(
        INDEX(FILTER('POed not arrived'!D:D, 'POed not arrived'!A:A=$B632),4),
        """"
    )
)"),"")</f>
        <v/>
      </c>
      <c r="S632" s="202"/>
      <c r="T632" s="202">
        <f t="shared" si="8"/>
        <v>0</v>
      </c>
      <c r="U632" s="198"/>
      <c r="V632" s="199"/>
      <c r="W632" s="197"/>
      <c r="X632" s="197"/>
      <c r="Y632" s="199"/>
      <c r="Z632" s="199"/>
      <c r="AA632" s="204" t="str">
        <f t="shared" si="4"/>
        <v/>
      </c>
      <c r="AB632" s="198"/>
      <c r="AC632" s="199"/>
      <c r="AD632" s="199"/>
      <c r="AE632" s="199"/>
      <c r="AF632" s="199"/>
      <c r="AG632" s="199"/>
      <c r="AH632" s="199"/>
      <c r="AI632" s="199"/>
      <c r="AJ632" s="199"/>
      <c r="AK632" s="199"/>
      <c r="AL632" s="199"/>
      <c r="AM632" s="198"/>
      <c r="AN632" s="197"/>
      <c r="AO632" s="197"/>
      <c r="AP632" s="197"/>
      <c r="AQ632" s="197"/>
      <c r="AR632" s="197"/>
      <c r="AS632" s="197"/>
    </row>
    <row r="633">
      <c r="A633" s="198" t="str">
        <f t="shared" si="1"/>
        <v/>
      </c>
      <c r="B633" s="205"/>
      <c r="C633" s="198"/>
      <c r="D633" s="199"/>
      <c r="E633" s="213"/>
      <c r="F633" s="198"/>
      <c r="G633" s="198"/>
      <c r="H633" s="199"/>
      <c r="I633" s="207"/>
      <c r="J633" s="199"/>
      <c r="K633" s="202"/>
      <c r="L633" s="205" t="str">
        <f>IFERROR(__xludf.DUMMYFUNCTION("IFERROR(
    INDEX(FILTER('Arrived Shipments'!O:O, 'Arrived Shipments'!B:B=$B633),1),
    IFERROR(
        INDEX(FILTER('POed not arrived'!D:D, 'POed not arrived'!A:A=$B633),1),
        """"
    )
)"),"")</f>
        <v/>
      </c>
      <c r="M633" s="202"/>
      <c r="N633" s="223" t="str">
        <f>IFERROR(__xludf.DUMMYFUNCTION("IFERROR(
    INDEX(FILTER('Arrived Shipments'!O:O, 'Arrived Shipments'!B:B=$B633),2),
    IFERROR(
        INDEX(FILTER('POed not arrived'!D:D, 'POed not arrived'!A:A=$B633),2),
        """"
    )
)"),"")</f>
        <v/>
      </c>
      <c r="O633" s="202"/>
      <c r="P633" s="202" t="str">
        <f>IFERROR(__xludf.DUMMYFUNCTION("IFERROR(
    INDEX(FILTER('Arrived Shipments'!O:O, 'Arrived Shipments'!B:B=$B633),3),
    IFERROR(
        INDEX(FILTER('POed not arrived'!D:D, 'POed not arrived'!A:A=$B633),3),
        """"
    )
)"),"")</f>
        <v/>
      </c>
      <c r="Q633" s="202"/>
      <c r="R633" s="206" t="str">
        <f>IFERROR(__xludf.DUMMYFUNCTION("IFERROR(
    INDEX(FILTER('Arrived Shipments'!O:O, 'Arrived Shipments'!B:B=$B633),4),
    IFERROR(
        INDEX(FILTER('POed not arrived'!D:D, 'POed not arrived'!A:A=$B633),4),
        """"
    )
)"),"")</f>
        <v/>
      </c>
      <c r="S633" s="202"/>
      <c r="T633" s="202">
        <f t="shared" si="8"/>
        <v>0</v>
      </c>
      <c r="U633" s="198"/>
      <c r="V633" s="199"/>
      <c r="W633" s="197"/>
      <c r="X633" s="197"/>
      <c r="Y633" s="199"/>
      <c r="Z633" s="199"/>
      <c r="AA633" s="204" t="str">
        <f t="shared" si="4"/>
        <v/>
      </c>
      <c r="AB633" s="198"/>
      <c r="AC633" s="199"/>
      <c r="AD633" s="199"/>
      <c r="AE633" s="199"/>
      <c r="AF633" s="199"/>
      <c r="AG633" s="199"/>
      <c r="AH633" s="199"/>
      <c r="AI633" s="199"/>
      <c r="AJ633" s="199"/>
      <c r="AK633" s="199"/>
      <c r="AL633" s="199"/>
      <c r="AM633" s="198"/>
      <c r="AN633" s="197"/>
      <c r="AO633" s="197"/>
      <c r="AP633" s="197"/>
      <c r="AQ633" s="197"/>
      <c r="AR633" s="197"/>
      <c r="AS633" s="197"/>
    </row>
    <row r="634">
      <c r="A634" s="198" t="str">
        <f t="shared" si="1"/>
        <v/>
      </c>
      <c r="B634" s="205"/>
      <c r="C634" s="198"/>
      <c r="D634" s="199"/>
      <c r="E634" s="213"/>
      <c r="F634" s="198"/>
      <c r="G634" s="198"/>
      <c r="H634" s="199"/>
      <c r="I634" s="207"/>
      <c r="J634" s="199"/>
      <c r="K634" s="202"/>
      <c r="L634" s="205" t="str">
        <f>IFERROR(__xludf.DUMMYFUNCTION("IFERROR(
    INDEX(FILTER('Arrived Shipments'!O:O, 'Arrived Shipments'!B:B=$B634),1),
    IFERROR(
        INDEX(FILTER('POed not arrived'!D:D, 'POed not arrived'!A:A=$B634),1),
        """"
    )
)"),"")</f>
        <v/>
      </c>
      <c r="M634" s="202"/>
      <c r="N634" s="223" t="str">
        <f>IFERROR(__xludf.DUMMYFUNCTION("IFERROR(
    INDEX(FILTER('Arrived Shipments'!O:O, 'Arrived Shipments'!B:B=$B634),2),
    IFERROR(
        INDEX(FILTER('POed not arrived'!D:D, 'POed not arrived'!A:A=$B634),2),
        """"
    )
)"),"")</f>
        <v/>
      </c>
      <c r="O634" s="202"/>
      <c r="P634" s="202" t="str">
        <f>IFERROR(__xludf.DUMMYFUNCTION("IFERROR(
    INDEX(FILTER('Arrived Shipments'!O:O, 'Arrived Shipments'!B:B=$B634),3),
    IFERROR(
        INDEX(FILTER('POed not arrived'!D:D, 'POed not arrived'!A:A=$B634),3),
        """"
    )
)"),"")</f>
        <v/>
      </c>
      <c r="Q634" s="202"/>
      <c r="R634" s="206" t="str">
        <f>IFERROR(__xludf.DUMMYFUNCTION("IFERROR(
    INDEX(FILTER('Arrived Shipments'!O:O, 'Arrived Shipments'!B:B=$B634),4),
    IFERROR(
        INDEX(FILTER('POed not arrived'!D:D, 'POed not arrived'!A:A=$B634),4),
        """"
    )
)"),"")</f>
        <v/>
      </c>
      <c r="S634" s="202"/>
      <c r="T634" s="202">
        <f t="shared" si="8"/>
        <v>0</v>
      </c>
      <c r="U634" s="198"/>
      <c r="V634" s="199"/>
      <c r="W634" s="197"/>
      <c r="X634" s="197"/>
      <c r="Y634" s="199"/>
      <c r="Z634" s="199"/>
      <c r="AA634" s="204" t="str">
        <f t="shared" si="4"/>
        <v/>
      </c>
      <c r="AB634" s="198"/>
      <c r="AC634" s="199"/>
      <c r="AD634" s="199"/>
      <c r="AE634" s="199"/>
      <c r="AF634" s="199"/>
      <c r="AG634" s="199"/>
      <c r="AH634" s="199"/>
      <c r="AI634" s="199"/>
      <c r="AJ634" s="199"/>
      <c r="AK634" s="199"/>
      <c r="AL634" s="199"/>
      <c r="AM634" s="198"/>
      <c r="AN634" s="197"/>
      <c r="AO634" s="197"/>
      <c r="AP634" s="197"/>
      <c r="AQ634" s="197"/>
      <c r="AR634" s="197"/>
      <c r="AS634" s="197"/>
    </row>
    <row r="635">
      <c r="A635" s="198" t="str">
        <f t="shared" si="1"/>
        <v/>
      </c>
      <c r="B635" s="205"/>
      <c r="C635" s="198"/>
      <c r="D635" s="199"/>
      <c r="E635" s="213"/>
      <c r="F635" s="198"/>
      <c r="G635" s="198"/>
      <c r="H635" s="199"/>
      <c r="I635" s="207"/>
      <c r="J635" s="199"/>
      <c r="K635" s="202"/>
      <c r="L635" s="205" t="str">
        <f>IFERROR(__xludf.DUMMYFUNCTION("IFERROR(
    INDEX(FILTER('Arrived Shipments'!O:O, 'Arrived Shipments'!B:B=$B635),1),
    IFERROR(
        INDEX(FILTER('POed not arrived'!D:D, 'POed not arrived'!A:A=$B635),1),
        """"
    )
)"),"")</f>
        <v/>
      </c>
      <c r="M635" s="202"/>
      <c r="N635" s="223" t="str">
        <f>IFERROR(__xludf.DUMMYFUNCTION("IFERROR(
    INDEX(FILTER('Arrived Shipments'!O:O, 'Arrived Shipments'!B:B=$B635),2),
    IFERROR(
        INDEX(FILTER('POed not arrived'!D:D, 'POed not arrived'!A:A=$B635),2),
        """"
    )
)"),"")</f>
        <v/>
      </c>
      <c r="O635" s="202"/>
      <c r="P635" s="202" t="str">
        <f>IFERROR(__xludf.DUMMYFUNCTION("IFERROR(
    INDEX(FILTER('Arrived Shipments'!O:O, 'Arrived Shipments'!B:B=$B635),3),
    IFERROR(
        INDEX(FILTER('POed not arrived'!D:D, 'POed not arrived'!A:A=$B635),3),
        """"
    )
)"),"")</f>
        <v/>
      </c>
      <c r="Q635" s="202"/>
      <c r="R635" s="206" t="str">
        <f>IFERROR(__xludf.DUMMYFUNCTION("IFERROR(
    INDEX(FILTER('Arrived Shipments'!O:O, 'Arrived Shipments'!B:B=$B635),4),
    IFERROR(
        INDEX(FILTER('POed not arrived'!D:D, 'POed not arrived'!A:A=$B635),4),
        """"
    )
)"),"")</f>
        <v/>
      </c>
      <c r="S635" s="202"/>
      <c r="T635" s="202">
        <f t="shared" si="8"/>
        <v>0</v>
      </c>
      <c r="U635" s="198"/>
      <c r="V635" s="199"/>
      <c r="W635" s="197"/>
      <c r="X635" s="197"/>
      <c r="Y635" s="199"/>
      <c r="Z635" s="199"/>
      <c r="AA635" s="204" t="str">
        <f t="shared" si="4"/>
        <v/>
      </c>
      <c r="AB635" s="198"/>
      <c r="AC635" s="199"/>
      <c r="AD635" s="199"/>
      <c r="AE635" s="199"/>
      <c r="AF635" s="199"/>
      <c r="AG635" s="199"/>
      <c r="AH635" s="199"/>
      <c r="AI635" s="199"/>
      <c r="AJ635" s="199"/>
      <c r="AK635" s="199"/>
      <c r="AL635" s="199"/>
      <c r="AM635" s="198"/>
      <c r="AN635" s="197"/>
      <c r="AO635" s="197"/>
      <c r="AP635" s="197"/>
      <c r="AQ635" s="197"/>
      <c r="AR635" s="197"/>
      <c r="AS635" s="197"/>
    </row>
    <row r="636">
      <c r="A636" s="198" t="str">
        <f t="shared" si="1"/>
        <v/>
      </c>
      <c r="B636" s="205"/>
      <c r="C636" s="198"/>
      <c r="D636" s="199"/>
      <c r="E636" s="213"/>
      <c r="F636" s="198"/>
      <c r="G636" s="198"/>
      <c r="H636" s="199"/>
      <c r="I636" s="207"/>
      <c r="J636" s="199"/>
      <c r="K636" s="202"/>
      <c r="L636" s="205" t="str">
        <f>IFERROR(__xludf.DUMMYFUNCTION("IFERROR(
    INDEX(FILTER('Arrived Shipments'!O:O, 'Arrived Shipments'!B:B=$B636),1),
    IFERROR(
        INDEX(FILTER('POed not arrived'!D:D, 'POed not arrived'!A:A=$B636),1),
        """"
    )
)"),"")</f>
        <v/>
      </c>
      <c r="M636" s="202"/>
      <c r="N636" s="223" t="str">
        <f>IFERROR(__xludf.DUMMYFUNCTION("IFERROR(
    INDEX(FILTER('Arrived Shipments'!O:O, 'Arrived Shipments'!B:B=$B636),2),
    IFERROR(
        INDEX(FILTER('POed not arrived'!D:D, 'POed not arrived'!A:A=$B636),2),
        """"
    )
)"),"")</f>
        <v/>
      </c>
      <c r="O636" s="202"/>
      <c r="P636" s="202" t="str">
        <f>IFERROR(__xludf.DUMMYFUNCTION("IFERROR(
    INDEX(FILTER('Arrived Shipments'!O:O, 'Arrived Shipments'!B:B=$B636),3),
    IFERROR(
        INDEX(FILTER('POed not arrived'!D:D, 'POed not arrived'!A:A=$B636),3),
        """"
    )
)"),"")</f>
        <v/>
      </c>
      <c r="Q636" s="202"/>
      <c r="R636" s="206" t="str">
        <f>IFERROR(__xludf.DUMMYFUNCTION("IFERROR(
    INDEX(FILTER('Arrived Shipments'!O:O, 'Arrived Shipments'!B:B=$B636),4),
    IFERROR(
        INDEX(FILTER('POed not arrived'!D:D, 'POed not arrived'!A:A=$B636),4),
        """"
    )
)"),"")</f>
        <v/>
      </c>
      <c r="S636" s="202"/>
      <c r="T636" s="202">
        <f t="shared" si="8"/>
        <v>0</v>
      </c>
      <c r="U636" s="198"/>
      <c r="V636" s="199"/>
      <c r="W636" s="197"/>
      <c r="X636" s="197"/>
      <c r="Y636" s="199"/>
      <c r="Z636" s="199"/>
      <c r="AA636" s="204" t="str">
        <f t="shared" si="4"/>
        <v/>
      </c>
      <c r="AB636" s="198"/>
      <c r="AC636" s="199"/>
      <c r="AD636" s="199"/>
      <c r="AE636" s="199"/>
      <c r="AF636" s="199"/>
      <c r="AG636" s="199"/>
      <c r="AH636" s="199"/>
      <c r="AI636" s="199"/>
      <c r="AJ636" s="199"/>
      <c r="AK636" s="199"/>
      <c r="AL636" s="199"/>
      <c r="AM636" s="198"/>
      <c r="AN636" s="197"/>
      <c r="AO636" s="197"/>
      <c r="AP636" s="197"/>
      <c r="AQ636" s="197"/>
      <c r="AR636" s="197"/>
      <c r="AS636" s="197"/>
    </row>
    <row r="637">
      <c r="A637" s="198" t="str">
        <f t="shared" si="1"/>
        <v/>
      </c>
      <c r="B637" s="205"/>
      <c r="C637" s="198"/>
      <c r="D637" s="199"/>
      <c r="E637" s="213"/>
      <c r="F637" s="198"/>
      <c r="G637" s="198"/>
      <c r="H637" s="199"/>
      <c r="I637" s="207"/>
      <c r="J637" s="199"/>
      <c r="K637" s="202"/>
      <c r="L637" s="205" t="str">
        <f>IFERROR(__xludf.DUMMYFUNCTION("IFERROR(
    INDEX(FILTER('Arrived Shipments'!O:O, 'Arrived Shipments'!B:B=$B637),1),
    IFERROR(
        INDEX(FILTER('POed not arrived'!D:D, 'POed not arrived'!A:A=$B637),1),
        """"
    )
)"),"")</f>
        <v/>
      </c>
      <c r="M637" s="202"/>
      <c r="N637" s="223" t="str">
        <f>IFERROR(__xludf.DUMMYFUNCTION("IFERROR(
    INDEX(FILTER('Arrived Shipments'!O:O, 'Arrived Shipments'!B:B=$B637),2),
    IFERROR(
        INDEX(FILTER('POed not arrived'!D:D, 'POed not arrived'!A:A=$B637),2),
        """"
    )
)"),"")</f>
        <v/>
      </c>
      <c r="O637" s="202"/>
      <c r="P637" s="202" t="str">
        <f>IFERROR(__xludf.DUMMYFUNCTION("IFERROR(
    INDEX(FILTER('Arrived Shipments'!O:O, 'Arrived Shipments'!B:B=$B637),3),
    IFERROR(
        INDEX(FILTER('POed not arrived'!D:D, 'POed not arrived'!A:A=$B637),3),
        """"
    )
)"),"")</f>
        <v/>
      </c>
      <c r="Q637" s="202"/>
      <c r="R637" s="206" t="str">
        <f>IFERROR(__xludf.DUMMYFUNCTION("IFERROR(
    INDEX(FILTER('Arrived Shipments'!O:O, 'Arrived Shipments'!B:B=$B637),4),
    IFERROR(
        INDEX(FILTER('POed not arrived'!D:D, 'POed not arrived'!A:A=$B637),4),
        """"
    )
)"),"")</f>
        <v/>
      </c>
      <c r="S637" s="202"/>
      <c r="T637" s="202">
        <f t="shared" si="8"/>
        <v>0</v>
      </c>
      <c r="U637" s="198"/>
      <c r="V637" s="199"/>
      <c r="W637" s="197"/>
      <c r="X637" s="197"/>
      <c r="Y637" s="199"/>
      <c r="Z637" s="199"/>
      <c r="AA637" s="204" t="str">
        <f t="shared" si="4"/>
        <v/>
      </c>
      <c r="AB637" s="198"/>
      <c r="AC637" s="199"/>
      <c r="AD637" s="199"/>
      <c r="AE637" s="199"/>
      <c r="AF637" s="199"/>
      <c r="AG637" s="199"/>
      <c r="AH637" s="199"/>
      <c r="AI637" s="199"/>
      <c r="AJ637" s="199"/>
      <c r="AK637" s="199"/>
      <c r="AL637" s="199"/>
      <c r="AM637" s="198"/>
      <c r="AN637" s="197"/>
      <c r="AO637" s="197"/>
      <c r="AP637" s="197"/>
      <c r="AQ637" s="197"/>
      <c r="AR637" s="197"/>
      <c r="AS637" s="197"/>
    </row>
    <row r="638">
      <c r="A638" s="198" t="str">
        <f t="shared" si="1"/>
        <v/>
      </c>
      <c r="B638" s="205"/>
      <c r="C638" s="198"/>
      <c r="D638" s="199"/>
      <c r="E638" s="213"/>
      <c r="F638" s="198"/>
      <c r="G638" s="198"/>
      <c r="H638" s="199"/>
      <c r="I638" s="207"/>
      <c r="J638" s="199"/>
      <c r="K638" s="202"/>
      <c r="L638" s="205" t="str">
        <f>IFERROR(__xludf.DUMMYFUNCTION("IFERROR(
    INDEX(FILTER('Arrived Shipments'!O:O, 'Arrived Shipments'!B:B=$B638),1),
    IFERROR(
        INDEX(FILTER('POed not arrived'!D:D, 'POed not arrived'!A:A=$B638),1),
        """"
    )
)"),"")</f>
        <v/>
      </c>
      <c r="M638" s="202"/>
      <c r="N638" s="223" t="str">
        <f>IFERROR(__xludf.DUMMYFUNCTION("IFERROR(
    INDEX(FILTER('Arrived Shipments'!O:O, 'Arrived Shipments'!B:B=$B638),2),
    IFERROR(
        INDEX(FILTER('POed not arrived'!D:D, 'POed not arrived'!A:A=$B638),2),
        """"
    )
)"),"")</f>
        <v/>
      </c>
      <c r="O638" s="202"/>
      <c r="P638" s="202" t="str">
        <f>IFERROR(__xludf.DUMMYFUNCTION("IFERROR(
    INDEX(FILTER('Arrived Shipments'!O:O, 'Arrived Shipments'!B:B=$B638),3),
    IFERROR(
        INDEX(FILTER('POed not arrived'!D:D, 'POed not arrived'!A:A=$B638),3),
        """"
    )
)"),"")</f>
        <v/>
      </c>
      <c r="Q638" s="202"/>
      <c r="R638" s="206" t="str">
        <f>IFERROR(__xludf.DUMMYFUNCTION("IFERROR(
    INDEX(FILTER('Arrived Shipments'!O:O, 'Arrived Shipments'!B:B=$B638),4),
    IFERROR(
        INDEX(FILTER('POed not arrived'!D:D, 'POed not arrived'!A:A=$B638),4),
        """"
    )
)"),"")</f>
        <v/>
      </c>
      <c r="S638" s="202"/>
      <c r="T638" s="202">
        <f t="shared" si="8"/>
        <v>0</v>
      </c>
      <c r="U638" s="198"/>
      <c r="V638" s="199"/>
      <c r="W638" s="197"/>
      <c r="X638" s="197"/>
      <c r="Y638" s="199"/>
      <c r="Z638" s="199"/>
      <c r="AA638" s="204" t="str">
        <f t="shared" si="4"/>
        <v/>
      </c>
      <c r="AB638" s="198"/>
      <c r="AC638" s="199"/>
      <c r="AD638" s="199"/>
      <c r="AE638" s="199"/>
      <c r="AF638" s="199"/>
      <c r="AG638" s="199"/>
      <c r="AH638" s="199"/>
      <c r="AI638" s="199"/>
      <c r="AJ638" s="199"/>
      <c r="AK638" s="199"/>
      <c r="AL638" s="199"/>
      <c r="AM638" s="198"/>
      <c r="AN638" s="197"/>
      <c r="AO638" s="197"/>
      <c r="AP638" s="197"/>
      <c r="AQ638" s="197"/>
      <c r="AR638" s="197"/>
      <c r="AS638" s="197"/>
    </row>
    <row r="639">
      <c r="A639" s="198" t="str">
        <f t="shared" si="1"/>
        <v/>
      </c>
      <c r="B639" s="205"/>
      <c r="C639" s="198"/>
      <c r="D639" s="199"/>
      <c r="E639" s="213"/>
      <c r="F639" s="198"/>
      <c r="G639" s="198"/>
      <c r="H639" s="199"/>
      <c r="I639" s="207"/>
      <c r="J639" s="199"/>
      <c r="K639" s="202"/>
      <c r="L639" s="205" t="str">
        <f>IFERROR(__xludf.DUMMYFUNCTION("IFERROR(
    INDEX(FILTER('Arrived Shipments'!O:O, 'Arrived Shipments'!B:B=$B639),1),
    IFERROR(
        INDEX(FILTER('POed not arrived'!D:D, 'POed not arrived'!A:A=$B639),1),
        """"
    )
)"),"")</f>
        <v/>
      </c>
      <c r="M639" s="202"/>
      <c r="N639" s="223" t="str">
        <f>IFERROR(__xludf.DUMMYFUNCTION("IFERROR(
    INDEX(FILTER('Arrived Shipments'!O:O, 'Arrived Shipments'!B:B=$B639),2),
    IFERROR(
        INDEX(FILTER('POed not arrived'!D:D, 'POed not arrived'!A:A=$B639),2),
        """"
    )
)"),"")</f>
        <v/>
      </c>
      <c r="O639" s="202"/>
      <c r="P639" s="202" t="str">
        <f>IFERROR(__xludf.DUMMYFUNCTION("IFERROR(
    INDEX(FILTER('Arrived Shipments'!O:O, 'Arrived Shipments'!B:B=$B639),3),
    IFERROR(
        INDEX(FILTER('POed not arrived'!D:D, 'POed not arrived'!A:A=$B639),3),
        """"
    )
)"),"")</f>
        <v/>
      </c>
      <c r="Q639" s="202"/>
      <c r="R639" s="206" t="str">
        <f>IFERROR(__xludf.DUMMYFUNCTION("IFERROR(
    INDEX(FILTER('Arrived Shipments'!O:O, 'Arrived Shipments'!B:B=$B639),4),
    IFERROR(
        INDEX(FILTER('POed not arrived'!D:D, 'POed not arrived'!A:A=$B639),4),
        """"
    )
)"),"")</f>
        <v/>
      </c>
      <c r="S639" s="202"/>
      <c r="T639" s="202">
        <f t="shared" si="8"/>
        <v>0</v>
      </c>
      <c r="U639" s="198"/>
      <c r="V639" s="199"/>
      <c r="W639" s="197"/>
      <c r="X639" s="197"/>
      <c r="Y639" s="199"/>
      <c r="Z639" s="199"/>
      <c r="AA639" s="204" t="str">
        <f t="shared" si="4"/>
        <v/>
      </c>
      <c r="AB639" s="198"/>
      <c r="AC639" s="199"/>
      <c r="AD639" s="199"/>
      <c r="AE639" s="199"/>
      <c r="AF639" s="199"/>
      <c r="AG639" s="199"/>
      <c r="AH639" s="199"/>
      <c r="AI639" s="199"/>
      <c r="AJ639" s="199"/>
      <c r="AK639" s="199"/>
      <c r="AL639" s="199"/>
      <c r="AM639" s="198"/>
      <c r="AN639" s="197"/>
      <c r="AO639" s="197"/>
      <c r="AP639" s="197"/>
      <c r="AQ639" s="197"/>
      <c r="AR639" s="197"/>
      <c r="AS639" s="197"/>
    </row>
    <row r="640">
      <c r="A640" s="198" t="str">
        <f t="shared" si="1"/>
        <v/>
      </c>
      <c r="B640" s="205"/>
      <c r="C640" s="198"/>
      <c r="D640" s="199"/>
      <c r="E640" s="213"/>
      <c r="F640" s="198"/>
      <c r="G640" s="198"/>
      <c r="H640" s="199"/>
      <c r="I640" s="207"/>
      <c r="J640" s="199"/>
      <c r="K640" s="202"/>
      <c r="L640" s="205" t="str">
        <f>IFERROR(__xludf.DUMMYFUNCTION("IFERROR(
    INDEX(FILTER('Arrived Shipments'!O:O, 'Arrived Shipments'!B:B=$B640),1),
    IFERROR(
        INDEX(FILTER('POed not arrived'!D:D, 'POed not arrived'!A:A=$B640),1),
        """"
    )
)"),"")</f>
        <v/>
      </c>
      <c r="M640" s="202"/>
      <c r="N640" s="223" t="str">
        <f>IFERROR(__xludf.DUMMYFUNCTION("IFERROR(
    INDEX(FILTER('Arrived Shipments'!O:O, 'Arrived Shipments'!B:B=$B640),2),
    IFERROR(
        INDEX(FILTER('POed not arrived'!D:D, 'POed not arrived'!A:A=$B640),2),
        """"
    )
)"),"")</f>
        <v/>
      </c>
      <c r="O640" s="202"/>
      <c r="P640" s="202" t="str">
        <f>IFERROR(__xludf.DUMMYFUNCTION("IFERROR(
    INDEX(FILTER('Arrived Shipments'!O:O, 'Arrived Shipments'!B:B=$B640),3),
    IFERROR(
        INDEX(FILTER('POed not arrived'!D:D, 'POed not arrived'!A:A=$B640),3),
        """"
    )
)"),"")</f>
        <v/>
      </c>
      <c r="Q640" s="202"/>
      <c r="R640" s="206" t="str">
        <f>IFERROR(__xludf.DUMMYFUNCTION("IFERROR(
    INDEX(FILTER('Arrived Shipments'!O:O, 'Arrived Shipments'!B:B=$B640),4),
    IFERROR(
        INDEX(FILTER('POed not arrived'!D:D, 'POed not arrived'!A:A=$B640),4),
        """"
    )
)"),"")</f>
        <v/>
      </c>
      <c r="S640" s="202"/>
      <c r="T640" s="202">
        <f t="shared" si="8"/>
        <v>0</v>
      </c>
      <c r="U640" s="198"/>
      <c r="V640" s="199"/>
      <c r="W640" s="197"/>
      <c r="X640" s="197"/>
      <c r="Y640" s="199"/>
      <c r="Z640" s="199"/>
      <c r="AA640" s="204" t="str">
        <f t="shared" si="4"/>
        <v/>
      </c>
      <c r="AB640" s="198"/>
      <c r="AC640" s="199"/>
      <c r="AD640" s="199"/>
      <c r="AE640" s="199"/>
      <c r="AF640" s="199"/>
      <c r="AG640" s="199"/>
      <c r="AH640" s="199"/>
      <c r="AI640" s="199"/>
      <c r="AJ640" s="199"/>
      <c r="AK640" s="199"/>
      <c r="AL640" s="199"/>
      <c r="AM640" s="198"/>
      <c r="AN640" s="197"/>
      <c r="AO640" s="197"/>
      <c r="AP640" s="197"/>
      <c r="AQ640" s="197"/>
      <c r="AR640" s="197"/>
      <c r="AS640" s="197"/>
    </row>
    <row r="641">
      <c r="A641" s="198" t="str">
        <f t="shared" si="1"/>
        <v/>
      </c>
      <c r="B641" s="205"/>
      <c r="C641" s="198"/>
      <c r="D641" s="199"/>
      <c r="E641" s="213"/>
      <c r="F641" s="198"/>
      <c r="G641" s="198"/>
      <c r="H641" s="199"/>
      <c r="I641" s="207"/>
      <c r="J641" s="199"/>
      <c r="K641" s="202"/>
      <c r="L641" s="205" t="str">
        <f>IFERROR(__xludf.DUMMYFUNCTION("IFERROR(
    INDEX(FILTER('Arrived Shipments'!O:O, 'Arrived Shipments'!B:B=$B641),1),
    IFERROR(
        INDEX(FILTER('POed not arrived'!D:D, 'POed not arrived'!A:A=$B641),1),
        """"
    )
)"),"")</f>
        <v/>
      </c>
      <c r="M641" s="202"/>
      <c r="N641" s="223" t="str">
        <f>IFERROR(__xludf.DUMMYFUNCTION("IFERROR(
    INDEX(FILTER('Arrived Shipments'!O:O, 'Arrived Shipments'!B:B=$B641),2),
    IFERROR(
        INDEX(FILTER('POed not arrived'!D:D, 'POed not arrived'!A:A=$B641),2),
        """"
    )
)"),"")</f>
        <v/>
      </c>
      <c r="O641" s="202"/>
      <c r="P641" s="202" t="str">
        <f>IFERROR(__xludf.DUMMYFUNCTION("IFERROR(
    INDEX(FILTER('Arrived Shipments'!O:O, 'Arrived Shipments'!B:B=$B641),3),
    IFERROR(
        INDEX(FILTER('POed not arrived'!D:D, 'POed not arrived'!A:A=$B641),3),
        """"
    )
)"),"")</f>
        <v/>
      </c>
      <c r="Q641" s="202"/>
      <c r="R641" s="206" t="str">
        <f>IFERROR(__xludf.DUMMYFUNCTION("IFERROR(
    INDEX(FILTER('Arrived Shipments'!O:O, 'Arrived Shipments'!B:B=$B641),4),
    IFERROR(
        INDEX(FILTER('POed not arrived'!D:D, 'POed not arrived'!A:A=$B641),4),
        """"
    )
)"),"")</f>
        <v/>
      </c>
      <c r="S641" s="202"/>
      <c r="T641" s="202">
        <f t="shared" si="8"/>
        <v>0</v>
      </c>
      <c r="U641" s="198"/>
      <c r="V641" s="199"/>
      <c r="W641" s="197"/>
      <c r="X641" s="197"/>
      <c r="Y641" s="199"/>
      <c r="Z641" s="199"/>
      <c r="AA641" s="204" t="str">
        <f t="shared" si="4"/>
        <v/>
      </c>
      <c r="AB641" s="198"/>
      <c r="AC641" s="199"/>
      <c r="AD641" s="199"/>
      <c r="AE641" s="199"/>
      <c r="AF641" s="199"/>
      <c r="AG641" s="199"/>
      <c r="AH641" s="199"/>
      <c r="AI641" s="199"/>
      <c r="AJ641" s="199"/>
      <c r="AK641" s="199"/>
      <c r="AL641" s="199"/>
      <c r="AM641" s="198"/>
      <c r="AN641" s="197"/>
      <c r="AO641" s="197"/>
      <c r="AP641" s="197"/>
      <c r="AQ641" s="197"/>
      <c r="AR641" s="197"/>
      <c r="AS641" s="197"/>
    </row>
    <row r="642">
      <c r="A642" s="198" t="str">
        <f t="shared" si="1"/>
        <v/>
      </c>
      <c r="B642" s="205"/>
      <c r="C642" s="198"/>
      <c r="D642" s="199"/>
      <c r="E642" s="213"/>
      <c r="F642" s="198"/>
      <c r="G642" s="198"/>
      <c r="H642" s="199"/>
      <c r="I642" s="207"/>
      <c r="J642" s="199"/>
      <c r="K642" s="202"/>
      <c r="L642" s="205" t="str">
        <f>IFERROR(__xludf.DUMMYFUNCTION("IFERROR(
    INDEX(FILTER('Arrived Shipments'!O:O, 'Arrived Shipments'!B:B=$B642),1),
    IFERROR(
        INDEX(FILTER('POed not arrived'!D:D, 'POed not arrived'!A:A=$B642),1),
        """"
    )
)"),"")</f>
        <v/>
      </c>
      <c r="M642" s="202"/>
      <c r="N642" s="223" t="str">
        <f>IFERROR(__xludf.DUMMYFUNCTION("IFERROR(
    INDEX(FILTER('Arrived Shipments'!O:O, 'Arrived Shipments'!B:B=$B642),2),
    IFERROR(
        INDEX(FILTER('POed not arrived'!D:D, 'POed not arrived'!A:A=$B642),2),
        """"
    )
)"),"")</f>
        <v/>
      </c>
      <c r="O642" s="202"/>
      <c r="P642" s="202" t="str">
        <f>IFERROR(__xludf.DUMMYFUNCTION("IFERROR(
    INDEX(FILTER('Arrived Shipments'!O:O, 'Arrived Shipments'!B:B=$B642),3),
    IFERROR(
        INDEX(FILTER('POed not arrived'!D:D, 'POed not arrived'!A:A=$B642),3),
        """"
    )
)"),"")</f>
        <v/>
      </c>
      <c r="Q642" s="202"/>
      <c r="R642" s="206" t="str">
        <f>IFERROR(__xludf.DUMMYFUNCTION("IFERROR(
    INDEX(FILTER('Arrived Shipments'!O:O, 'Arrived Shipments'!B:B=$B642),4),
    IFERROR(
        INDEX(FILTER('POed not arrived'!D:D, 'POed not arrived'!A:A=$B642),4),
        """"
    )
)"),"")</f>
        <v/>
      </c>
      <c r="S642" s="202"/>
      <c r="T642" s="202">
        <f t="shared" si="8"/>
        <v>0</v>
      </c>
      <c r="U642" s="198"/>
      <c r="V642" s="199"/>
      <c r="W642" s="197"/>
      <c r="X642" s="197"/>
      <c r="Y642" s="199"/>
      <c r="Z642" s="199"/>
      <c r="AA642" s="204" t="str">
        <f t="shared" si="4"/>
        <v/>
      </c>
      <c r="AB642" s="198"/>
      <c r="AC642" s="199"/>
      <c r="AD642" s="199"/>
      <c r="AE642" s="199"/>
      <c r="AF642" s="199"/>
      <c r="AG642" s="199"/>
      <c r="AH642" s="199"/>
      <c r="AI642" s="199"/>
      <c r="AJ642" s="199"/>
      <c r="AK642" s="199"/>
      <c r="AL642" s="199"/>
      <c r="AM642" s="198"/>
      <c r="AN642" s="197"/>
      <c r="AO642" s="197"/>
      <c r="AP642" s="197"/>
      <c r="AQ642" s="197"/>
      <c r="AR642" s="197"/>
      <c r="AS642" s="197"/>
    </row>
    <row r="643">
      <c r="A643" s="198" t="str">
        <f t="shared" si="1"/>
        <v/>
      </c>
      <c r="B643" s="205"/>
      <c r="C643" s="198"/>
      <c r="D643" s="199"/>
      <c r="E643" s="213"/>
      <c r="F643" s="198"/>
      <c r="G643" s="198"/>
      <c r="H643" s="199"/>
      <c r="I643" s="207"/>
      <c r="J643" s="199"/>
      <c r="K643" s="202"/>
      <c r="L643" s="205" t="str">
        <f>IFERROR(__xludf.DUMMYFUNCTION("IFERROR(
    INDEX(FILTER('Arrived Shipments'!O:O, 'Arrived Shipments'!B:B=$B643),1),
    IFERROR(
        INDEX(FILTER('POed not arrived'!D:D, 'POed not arrived'!A:A=$B643),1),
        """"
    )
)"),"")</f>
        <v/>
      </c>
      <c r="M643" s="202"/>
      <c r="N643" s="223" t="str">
        <f>IFERROR(__xludf.DUMMYFUNCTION("IFERROR(
    INDEX(FILTER('Arrived Shipments'!O:O, 'Arrived Shipments'!B:B=$B643),2),
    IFERROR(
        INDEX(FILTER('POed not arrived'!D:D, 'POed not arrived'!A:A=$B643),2),
        """"
    )
)"),"")</f>
        <v/>
      </c>
      <c r="O643" s="202"/>
      <c r="P643" s="202" t="str">
        <f>IFERROR(__xludf.DUMMYFUNCTION("IFERROR(
    INDEX(FILTER('Arrived Shipments'!O:O, 'Arrived Shipments'!B:B=$B643),3),
    IFERROR(
        INDEX(FILTER('POed not arrived'!D:D, 'POed not arrived'!A:A=$B643),3),
        """"
    )
)"),"")</f>
        <v/>
      </c>
      <c r="Q643" s="202"/>
      <c r="R643" s="206" t="str">
        <f>IFERROR(__xludf.DUMMYFUNCTION("IFERROR(
    INDEX(FILTER('Arrived Shipments'!O:O, 'Arrived Shipments'!B:B=$B643),4),
    IFERROR(
        INDEX(FILTER('POed not arrived'!D:D, 'POed not arrived'!A:A=$B643),4),
        """"
    )
)"),"")</f>
        <v/>
      </c>
      <c r="S643" s="202"/>
      <c r="T643" s="202">
        <f t="shared" si="8"/>
        <v>0</v>
      </c>
      <c r="U643" s="198"/>
      <c r="V643" s="199"/>
      <c r="W643" s="197"/>
      <c r="X643" s="197"/>
      <c r="Y643" s="199"/>
      <c r="Z643" s="199"/>
      <c r="AA643" s="204" t="str">
        <f t="shared" si="4"/>
        <v/>
      </c>
      <c r="AB643" s="198"/>
      <c r="AC643" s="199"/>
      <c r="AD643" s="199"/>
      <c r="AE643" s="199"/>
      <c r="AF643" s="199"/>
      <c r="AG643" s="199"/>
      <c r="AH643" s="199"/>
      <c r="AI643" s="199"/>
      <c r="AJ643" s="199"/>
      <c r="AK643" s="199"/>
      <c r="AL643" s="199"/>
      <c r="AM643" s="198"/>
      <c r="AN643" s="197"/>
      <c r="AO643" s="197"/>
      <c r="AP643" s="197"/>
      <c r="AQ643" s="197"/>
      <c r="AR643" s="197"/>
      <c r="AS643" s="197"/>
    </row>
    <row r="644">
      <c r="A644" s="198" t="str">
        <f t="shared" si="1"/>
        <v/>
      </c>
      <c r="B644" s="205"/>
      <c r="C644" s="198"/>
      <c r="D644" s="199"/>
      <c r="E644" s="213"/>
      <c r="F644" s="198"/>
      <c r="G644" s="198"/>
      <c r="H644" s="199"/>
      <c r="I644" s="207"/>
      <c r="J644" s="199"/>
      <c r="K644" s="202"/>
      <c r="L644" s="205" t="str">
        <f>IFERROR(__xludf.DUMMYFUNCTION("IFERROR(
    INDEX(FILTER('Arrived Shipments'!O:O, 'Arrived Shipments'!B:B=$B644),1),
    IFERROR(
        INDEX(FILTER('POed not arrived'!D:D, 'POed not arrived'!A:A=$B644),1),
        """"
    )
)"),"")</f>
        <v/>
      </c>
      <c r="M644" s="202"/>
      <c r="N644" s="223" t="str">
        <f>IFERROR(__xludf.DUMMYFUNCTION("IFERROR(
    INDEX(FILTER('Arrived Shipments'!O:O, 'Arrived Shipments'!B:B=$B644),2),
    IFERROR(
        INDEX(FILTER('POed not arrived'!D:D, 'POed not arrived'!A:A=$B644),2),
        """"
    )
)"),"")</f>
        <v/>
      </c>
      <c r="O644" s="202"/>
      <c r="P644" s="202" t="str">
        <f>IFERROR(__xludf.DUMMYFUNCTION("IFERROR(
    INDEX(FILTER('Arrived Shipments'!O:O, 'Arrived Shipments'!B:B=$B644),3),
    IFERROR(
        INDEX(FILTER('POed not arrived'!D:D, 'POed not arrived'!A:A=$B644),3),
        """"
    )
)"),"")</f>
        <v/>
      </c>
      <c r="Q644" s="202"/>
      <c r="R644" s="206" t="str">
        <f>IFERROR(__xludf.DUMMYFUNCTION("IFERROR(
    INDEX(FILTER('Arrived Shipments'!O:O, 'Arrived Shipments'!B:B=$B644),4),
    IFERROR(
        INDEX(FILTER('POed not arrived'!D:D, 'POed not arrived'!A:A=$B644),4),
        """"
    )
)"),"")</f>
        <v/>
      </c>
      <c r="S644" s="202"/>
      <c r="T644" s="202">
        <f t="shared" si="8"/>
        <v>0</v>
      </c>
      <c r="U644" s="198"/>
      <c r="V644" s="199"/>
      <c r="W644" s="197"/>
      <c r="X644" s="197"/>
      <c r="Y644" s="199"/>
      <c r="Z644" s="199"/>
      <c r="AA644" s="204" t="str">
        <f t="shared" si="4"/>
        <v/>
      </c>
      <c r="AB644" s="198"/>
      <c r="AC644" s="199"/>
      <c r="AD644" s="199"/>
      <c r="AE644" s="199"/>
      <c r="AF644" s="199"/>
      <c r="AG644" s="199"/>
      <c r="AH644" s="199"/>
      <c r="AI644" s="199"/>
      <c r="AJ644" s="199"/>
      <c r="AK644" s="199"/>
      <c r="AL644" s="199"/>
      <c r="AM644" s="198"/>
      <c r="AN644" s="197"/>
      <c r="AO644" s="197"/>
      <c r="AP644" s="197"/>
      <c r="AQ644" s="197"/>
      <c r="AR644" s="197"/>
      <c r="AS644" s="197"/>
    </row>
    <row r="645">
      <c r="A645" s="198" t="str">
        <f t="shared" si="1"/>
        <v/>
      </c>
      <c r="B645" s="205"/>
      <c r="C645" s="198"/>
      <c r="D645" s="199"/>
      <c r="E645" s="213"/>
      <c r="F645" s="198"/>
      <c r="G645" s="198"/>
      <c r="H645" s="199"/>
      <c r="I645" s="207"/>
      <c r="J645" s="199"/>
      <c r="K645" s="202"/>
      <c r="L645" s="205" t="str">
        <f>IFERROR(__xludf.DUMMYFUNCTION("IFERROR(
    INDEX(FILTER('Arrived Shipments'!O:O, 'Arrived Shipments'!B:B=$B645),1),
    IFERROR(
        INDEX(FILTER('POed not arrived'!D:D, 'POed not arrived'!A:A=$B645),1),
        """"
    )
)"),"")</f>
        <v/>
      </c>
      <c r="M645" s="202"/>
      <c r="N645" s="223" t="str">
        <f>IFERROR(__xludf.DUMMYFUNCTION("IFERROR(
    INDEX(FILTER('Arrived Shipments'!O:O, 'Arrived Shipments'!B:B=$B645),2),
    IFERROR(
        INDEX(FILTER('POed not arrived'!D:D, 'POed not arrived'!A:A=$B645),2),
        """"
    )
)"),"")</f>
        <v/>
      </c>
      <c r="O645" s="202"/>
      <c r="P645" s="202" t="str">
        <f>IFERROR(__xludf.DUMMYFUNCTION("IFERROR(
    INDEX(FILTER('Arrived Shipments'!O:O, 'Arrived Shipments'!B:B=$B645),3),
    IFERROR(
        INDEX(FILTER('POed not arrived'!D:D, 'POed not arrived'!A:A=$B645),3),
        """"
    )
)"),"")</f>
        <v/>
      </c>
      <c r="Q645" s="202"/>
      <c r="R645" s="206" t="str">
        <f>IFERROR(__xludf.DUMMYFUNCTION("IFERROR(
    INDEX(FILTER('Arrived Shipments'!O:O, 'Arrived Shipments'!B:B=$B645),4),
    IFERROR(
        INDEX(FILTER('POed not arrived'!D:D, 'POed not arrived'!A:A=$B645),4),
        """"
    )
)"),"")</f>
        <v/>
      </c>
      <c r="S645" s="202"/>
      <c r="T645" s="202">
        <f t="shared" si="8"/>
        <v>0</v>
      </c>
      <c r="U645" s="198"/>
      <c r="V645" s="199"/>
      <c r="W645" s="197"/>
      <c r="X645" s="197"/>
      <c r="Y645" s="199"/>
      <c r="Z645" s="199"/>
      <c r="AA645" s="204" t="str">
        <f t="shared" si="4"/>
        <v/>
      </c>
      <c r="AB645" s="198"/>
      <c r="AC645" s="199"/>
      <c r="AD645" s="199"/>
      <c r="AE645" s="199"/>
      <c r="AF645" s="199"/>
      <c r="AG645" s="199"/>
      <c r="AH645" s="199"/>
      <c r="AI645" s="199"/>
      <c r="AJ645" s="199"/>
      <c r="AK645" s="199"/>
      <c r="AL645" s="199"/>
      <c r="AM645" s="198"/>
      <c r="AN645" s="197"/>
      <c r="AO645" s="197"/>
      <c r="AP645" s="197"/>
      <c r="AQ645" s="197"/>
      <c r="AR645" s="197"/>
      <c r="AS645" s="197"/>
    </row>
    <row r="646">
      <c r="A646" s="198" t="str">
        <f t="shared" si="1"/>
        <v/>
      </c>
      <c r="B646" s="205"/>
      <c r="C646" s="198"/>
      <c r="D646" s="199"/>
      <c r="E646" s="213"/>
      <c r="F646" s="198"/>
      <c r="G646" s="198"/>
      <c r="H646" s="199"/>
      <c r="I646" s="207"/>
      <c r="J646" s="199"/>
      <c r="K646" s="202"/>
      <c r="L646" s="205" t="str">
        <f>IFERROR(__xludf.DUMMYFUNCTION("IFERROR(
    INDEX(FILTER('Arrived Shipments'!O:O, 'Arrived Shipments'!B:B=$B646),1),
    IFERROR(
        INDEX(FILTER('POed not arrived'!D:D, 'POed not arrived'!A:A=$B646),1),
        """"
    )
)"),"")</f>
        <v/>
      </c>
      <c r="M646" s="202"/>
      <c r="N646" s="223" t="str">
        <f>IFERROR(__xludf.DUMMYFUNCTION("IFERROR(
    INDEX(FILTER('Arrived Shipments'!O:O, 'Arrived Shipments'!B:B=$B646),2),
    IFERROR(
        INDEX(FILTER('POed not arrived'!D:D, 'POed not arrived'!A:A=$B646),2),
        """"
    )
)"),"")</f>
        <v/>
      </c>
      <c r="O646" s="202"/>
      <c r="P646" s="202" t="str">
        <f>IFERROR(__xludf.DUMMYFUNCTION("IFERROR(
    INDEX(FILTER('Arrived Shipments'!O:O, 'Arrived Shipments'!B:B=$B646),3),
    IFERROR(
        INDEX(FILTER('POed not arrived'!D:D, 'POed not arrived'!A:A=$B646),3),
        """"
    )
)"),"")</f>
        <v/>
      </c>
      <c r="Q646" s="202"/>
      <c r="R646" s="206" t="str">
        <f>IFERROR(__xludf.DUMMYFUNCTION("IFERROR(
    INDEX(FILTER('Arrived Shipments'!O:O, 'Arrived Shipments'!B:B=$B646),4),
    IFERROR(
        INDEX(FILTER('POed not arrived'!D:D, 'POed not arrived'!A:A=$B646),4),
        """"
    )
)"),"")</f>
        <v/>
      </c>
      <c r="S646" s="202"/>
      <c r="T646" s="202">
        <f t="shared" si="8"/>
        <v>0</v>
      </c>
      <c r="U646" s="198"/>
      <c r="V646" s="199"/>
      <c r="W646" s="197"/>
      <c r="X646" s="197"/>
      <c r="Y646" s="199"/>
      <c r="Z646" s="199"/>
      <c r="AA646" s="204" t="str">
        <f t="shared" si="4"/>
        <v/>
      </c>
      <c r="AB646" s="198"/>
      <c r="AC646" s="199"/>
      <c r="AD646" s="199"/>
      <c r="AE646" s="199"/>
      <c r="AF646" s="199"/>
      <c r="AG646" s="199"/>
      <c r="AH646" s="199"/>
      <c r="AI646" s="199"/>
      <c r="AJ646" s="199"/>
      <c r="AK646" s="199"/>
      <c r="AL646" s="199"/>
      <c r="AM646" s="198"/>
      <c r="AN646" s="197"/>
      <c r="AO646" s="197"/>
      <c r="AP646" s="197"/>
      <c r="AQ646" s="197"/>
      <c r="AR646" s="197"/>
      <c r="AS646" s="197"/>
    </row>
    <row r="647">
      <c r="A647" s="198" t="str">
        <f t="shared" si="1"/>
        <v/>
      </c>
      <c r="B647" s="205"/>
      <c r="C647" s="198"/>
      <c r="D647" s="199"/>
      <c r="E647" s="213"/>
      <c r="F647" s="198"/>
      <c r="G647" s="198"/>
      <c r="H647" s="199"/>
      <c r="I647" s="207"/>
      <c r="J647" s="199"/>
      <c r="K647" s="202"/>
      <c r="L647" s="205" t="str">
        <f>IFERROR(__xludf.DUMMYFUNCTION("IFERROR(
    INDEX(FILTER('Arrived Shipments'!O:O, 'Arrived Shipments'!B:B=$B647),1),
    IFERROR(
        INDEX(FILTER('POed not arrived'!D:D, 'POed not arrived'!A:A=$B647),1),
        """"
    )
)"),"")</f>
        <v/>
      </c>
      <c r="M647" s="202"/>
      <c r="N647" s="223" t="str">
        <f>IFERROR(__xludf.DUMMYFUNCTION("IFERROR(
    INDEX(FILTER('Arrived Shipments'!O:O, 'Arrived Shipments'!B:B=$B647),2),
    IFERROR(
        INDEX(FILTER('POed not arrived'!D:D, 'POed not arrived'!A:A=$B647),2),
        """"
    )
)"),"")</f>
        <v/>
      </c>
      <c r="O647" s="202"/>
      <c r="P647" s="202" t="str">
        <f>IFERROR(__xludf.DUMMYFUNCTION("IFERROR(
    INDEX(FILTER('Arrived Shipments'!O:O, 'Arrived Shipments'!B:B=$B647),3),
    IFERROR(
        INDEX(FILTER('POed not arrived'!D:D, 'POed not arrived'!A:A=$B647),3),
        """"
    )
)"),"")</f>
        <v/>
      </c>
      <c r="Q647" s="202"/>
      <c r="R647" s="206" t="str">
        <f>IFERROR(__xludf.DUMMYFUNCTION("IFERROR(
    INDEX(FILTER('Arrived Shipments'!O:O, 'Arrived Shipments'!B:B=$B647),4),
    IFERROR(
        INDEX(FILTER('POed not arrived'!D:D, 'POed not arrived'!A:A=$B647),4),
        """"
    )
)"),"")</f>
        <v/>
      </c>
      <c r="S647" s="202"/>
      <c r="T647" s="202">
        <f t="shared" si="8"/>
        <v>0</v>
      </c>
      <c r="U647" s="198"/>
      <c r="V647" s="199"/>
      <c r="W647" s="197"/>
      <c r="X647" s="197"/>
      <c r="Y647" s="199"/>
      <c r="Z647" s="199"/>
      <c r="AA647" s="204" t="str">
        <f t="shared" si="4"/>
        <v/>
      </c>
      <c r="AB647" s="198"/>
      <c r="AC647" s="199"/>
      <c r="AD647" s="199"/>
      <c r="AE647" s="199"/>
      <c r="AF647" s="199"/>
      <c r="AG647" s="199"/>
      <c r="AH647" s="199"/>
      <c r="AI647" s="199"/>
      <c r="AJ647" s="199"/>
      <c r="AK647" s="199"/>
      <c r="AL647" s="199"/>
      <c r="AM647" s="198"/>
      <c r="AN647" s="197"/>
      <c r="AO647" s="197"/>
      <c r="AP647" s="197"/>
      <c r="AQ647" s="197"/>
      <c r="AR647" s="197"/>
      <c r="AS647" s="197"/>
    </row>
    <row r="648">
      <c r="A648" s="198" t="str">
        <f t="shared" si="1"/>
        <v/>
      </c>
      <c r="B648" s="205"/>
      <c r="C648" s="198"/>
      <c r="D648" s="199"/>
      <c r="E648" s="213"/>
      <c r="F648" s="198"/>
      <c r="G648" s="198"/>
      <c r="H648" s="199"/>
      <c r="I648" s="207"/>
      <c r="J648" s="199"/>
      <c r="K648" s="202"/>
      <c r="L648" s="205" t="str">
        <f>IFERROR(__xludf.DUMMYFUNCTION("IFERROR(
    INDEX(FILTER('Arrived Shipments'!O:O, 'Arrived Shipments'!B:B=$B648),1),
    IFERROR(
        INDEX(FILTER('POed not arrived'!D:D, 'POed not arrived'!A:A=$B648),1),
        """"
    )
)"),"")</f>
        <v/>
      </c>
      <c r="M648" s="202"/>
      <c r="N648" s="223" t="str">
        <f>IFERROR(__xludf.DUMMYFUNCTION("IFERROR(
    INDEX(FILTER('Arrived Shipments'!O:O, 'Arrived Shipments'!B:B=$B648),2),
    IFERROR(
        INDEX(FILTER('POed not arrived'!D:D, 'POed not arrived'!A:A=$B648),2),
        """"
    )
)"),"")</f>
        <v/>
      </c>
      <c r="O648" s="202"/>
      <c r="P648" s="202" t="str">
        <f>IFERROR(__xludf.DUMMYFUNCTION("IFERROR(
    INDEX(FILTER('Arrived Shipments'!O:O, 'Arrived Shipments'!B:B=$B648),3),
    IFERROR(
        INDEX(FILTER('POed not arrived'!D:D, 'POed not arrived'!A:A=$B648),3),
        """"
    )
)"),"")</f>
        <v/>
      </c>
      <c r="Q648" s="202"/>
      <c r="R648" s="206" t="str">
        <f>IFERROR(__xludf.DUMMYFUNCTION("IFERROR(
    INDEX(FILTER('Arrived Shipments'!O:O, 'Arrived Shipments'!B:B=$B648),4),
    IFERROR(
        INDEX(FILTER('POed not arrived'!D:D, 'POed not arrived'!A:A=$B648),4),
        """"
    )
)"),"")</f>
        <v/>
      </c>
      <c r="S648" s="202"/>
      <c r="T648" s="202">
        <f t="shared" si="8"/>
        <v>0</v>
      </c>
      <c r="U648" s="198"/>
      <c r="V648" s="199"/>
      <c r="W648" s="197"/>
      <c r="X648" s="197"/>
      <c r="Y648" s="199"/>
      <c r="Z648" s="199"/>
      <c r="AA648" s="204" t="str">
        <f t="shared" si="4"/>
        <v/>
      </c>
      <c r="AB648" s="198"/>
      <c r="AC648" s="199"/>
      <c r="AD648" s="199"/>
      <c r="AE648" s="199"/>
      <c r="AF648" s="199"/>
      <c r="AG648" s="199"/>
      <c r="AH648" s="199"/>
      <c r="AI648" s="199"/>
      <c r="AJ648" s="199"/>
      <c r="AK648" s="199"/>
      <c r="AL648" s="199"/>
      <c r="AM648" s="198"/>
      <c r="AN648" s="197"/>
      <c r="AO648" s="197"/>
      <c r="AP648" s="197"/>
      <c r="AQ648" s="197"/>
      <c r="AR648" s="197"/>
      <c r="AS648" s="197"/>
    </row>
    <row r="649">
      <c r="A649" s="198" t="str">
        <f t="shared" si="1"/>
        <v/>
      </c>
      <c r="B649" s="205"/>
      <c r="C649" s="198"/>
      <c r="D649" s="199"/>
      <c r="E649" s="213"/>
      <c r="F649" s="198"/>
      <c r="G649" s="198"/>
      <c r="H649" s="199"/>
      <c r="I649" s="207"/>
      <c r="J649" s="199"/>
      <c r="K649" s="202"/>
      <c r="L649" s="205" t="str">
        <f>IFERROR(__xludf.DUMMYFUNCTION("IFERROR(
    INDEX(FILTER('Arrived Shipments'!O:O, 'Arrived Shipments'!B:B=$B649),1),
    IFERROR(
        INDEX(FILTER('POed not arrived'!D:D, 'POed not arrived'!A:A=$B649),1),
        """"
    )
)"),"")</f>
        <v/>
      </c>
      <c r="M649" s="202"/>
      <c r="N649" s="223" t="str">
        <f>IFERROR(__xludf.DUMMYFUNCTION("IFERROR(
    INDEX(FILTER('Arrived Shipments'!O:O, 'Arrived Shipments'!B:B=$B649),2),
    IFERROR(
        INDEX(FILTER('POed not arrived'!D:D, 'POed not arrived'!A:A=$B649),2),
        """"
    )
)"),"")</f>
        <v/>
      </c>
      <c r="O649" s="202"/>
      <c r="P649" s="202" t="str">
        <f>IFERROR(__xludf.DUMMYFUNCTION("IFERROR(
    INDEX(FILTER('Arrived Shipments'!O:O, 'Arrived Shipments'!B:B=$B649),3),
    IFERROR(
        INDEX(FILTER('POed not arrived'!D:D, 'POed not arrived'!A:A=$B649),3),
        """"
    )
)"),"")</f>
        <v/>
      </c>
      <c r="Q649" s="202"/>
      <c r="R649" s="206" t="str">
        <f>IFERROR(__xludf.DUMMYFUNCTION("IFERROR(
    INDEX(FILTER('Arrived Shipments'!O:O, 'Arrived Shipments'!B:B=$B649),4),
    IFERROR(
        INDEX(FILTER('POed not arrived'!D:D, 'POed not arrived'!A:A=$B649),4),
        """"
    )
)"),"")</f>
        <v/>
      </c>
      <c r="S649" s="202"/>
      <c r="T649" s="202">
        <f t="shared" si="8"/>
        <v>0</v>
      </c>
      <c r="U649" s="198"/>
      <c r="V649" s="199"/>
      <c r="W649" s="197"/>
      <c r="X649" s="197"/>
      <c r="Y649" s="199"/>
      <c r="Z649" s="199"/>
      <c r="AA649" s="204" t="str">
        <f t="shared" si="4"/>
        <v/>
      </c>
      <c r="AB649" s="198"/>
      <c r="AC649" s="199"/>
      <c r="AD649" s="199"/>
      <c r="AE649" s="199"/>
      <c r="AF649" s="199"/>
      <c r="AG649" s="199"/>
      <c r="AH649" s="199"/>
      <c r="AI649" s="199"/>
      <c r="AJ649" s="199"/>
      <c r="AK649" s="199"/>
      <c r="AL649" s="199"/>
      <c r="AM649" s="198"/>
      <c r="AN649" s="197"/>
      <c r="AO649" s="197"/>
      <c r="AP649" s="197"/>
      <c r="AQ649" s="197"/>
      <c r="AR649" s="197"/>
      <c r="AS649" s="197"/>
    </row>
    <row r="650">
      <c r="A650" s="198" t="str">
        <f t="shared" si="1"/>
        <v/>
      </c>
      <c r="B650" s="205"/>
      <c r="C650" s="198"/>
      <c r="D650" s="199"/>
      <c r="E650" s="213"/>
      <c r="F650" s="198"/>
      <c r="G650" s="198"/>
      <c r="H650" s="199"/>
      <c r="I650" s="207"/>
      <c r="J650" s="199"/>
      <c r="K650" s="202"/>
      <c r="L650" s="205" t="str">
        <f>IFERROR(__xludf.DUMMYFUNCTION("IFERROR(
    INDEX(FILTER('Arrived Shipments'!O:O, 'Arrived Shipments'!B:B=$B650),1),
    IFERROR(
        INDEX(FILTER('POed not arrived'!D:D, 'POed not arrived'!A:A=$B650),1),
        """"
    )
)"),"")</f>
        <v/>
      </c>
      <c r="M650" s="202"/>
      <c r="N650" s="223" t="str">
        <f>IFERROR(__xludf.DUMMYFUNCTION("IFERROR(
    INDEX(FILTER('Arrived Shipments'!O:O, 'Arrived Shipments'!B:B=$B650),2),
    IFERROR(
        INDEX(FILTER('POed not arrived'!D:D, 'POed not arrived'!A:A=$B650),2),
        """"
    )
)"),"")</f>
        <v/>
      </c>
      <c r="O650" s="202"/>
      <c r="P650" s="202" t="str">
        <f>IFERROR(__xludf.DUMMYFUNCTION("IFERROR(
    INDEX(FILTER('Arrived Shipments'!O:O, 'Arrived Shipments'!B:B=$B650),3),
    IFERROR(
        INDEX(FILTER('POed not arrived'!D:D, 'POed not arrived'!A:A=$B650),3),
        """"
    )
)"),"")</f>
        <v/>
      </c>
      <c r="Q650" s="202"/>
      <c r="R650" s="206" t="str">
        <f>IFERROR(__xludf.DUMMYFUNCTION("IFERROR(
    INDEX(FILTER('Arrived Shipments'!O:O, 'Arrived Shipments'!B:B=$B650),4),
    IFERROR(
        INDEX(FILTER('POed not arrived'!D:D, 'POed not arrived'!A:A=$B650),4),
        """"
    )
)"),"")</f>
        <v/>
      </c>
      <c r="S650" s="202"/>
      <c r="T650" s="202">
        <f t="shared" si="8"/>
        <v>0</v>
      </c>
      <c r="U650" s="198"/>
      <c r="V650" s="199"/>
      <c r="W650" s="197"/>
      <c r="X650" s="197"/>
      <c r="Y650" s="199"/>
      <c r="Z650" s="199"/>
      <c r="AA650" s="204" t="str">
        <f t="shared" si="4"/>
        <v/>
      </c>
      <c r="AB650" s="198"/>
      <c r="AC650" s="199"/>
      <c r="AD650" s="199"/>
      <c r="AE650" s="199"/>
      <c r="AF650" s="199"/>
      <c r="AG650" s="199"/>
      <c r="AH650" s="199"/>
      <c r="AI650" s="199"/>
      <c r="AJ650" s="199"/>
      <c r="AK650" s="199"/>
      <c r="AL650" s="199"/>
      <c r="AM650" s="198"/>
      <c r="AN650" s="197"/>
      <c r="AO650" s="197"/>
      <c r="AP650" s="197"/>
      <c r="AQ650" s="197"/>
      <c r="AR650" s="197"/>
      <c r="AS650" s="197"/>
    </row>
    <row r="651">
      <c r="A651" s="198" t="str">
        <f t="shared" si="1"/>
        <v/>
      </c>
      <c r="B651" s="205"/>
      <c r="C651" s="198"/>
      <c r="D651" s="199"/>
      <c r="E651" s="213"/>
      <c r="F651" s="198"/>
      <c r="G651" s="198"/>
      <c r="H651" s="199"/>
      <c r="I651" s="207"/>
      <c r="J651" s="199"/>
      <c r="K651" s="202"/>
      <c r="L651" s="205" t="str">
        <f>IFERROR(__xludf.DUMMYFUNCTION("IFERROR(
    INDEX(FILTER('Arrived Shipments'!O:O, 'Arrived Shipments'!B:B=$B651),1),
    IFERROR(
        INDEX(FILTER('POed not arrived'!D:D, 'POed not arrived'!A:A=$B651),1),
        """"
    )
)"),"")</f>
        <v/>
      </c>
      <c r="M651" s="202"/>
      <c r="N651" s="223" t="str">
        <f>IFERROR(__xludf.DUMMYFUNCTION("IFERROR(
    INDEX(FILTER('Arrived Shipments'!O:O, 'Arrived Shipments'!B:B=$B651),2),
    IFERROR(
        INDEX(FILTER('POed not arrived'!D:D, 'POed not arrived'!A:A=$B651),2),
        """"
    )
)"),"")</f>
        <v/>
      </c>
      <c r="O651" s="202"/>
      <c r="P651" s="202" t="str">
        <f>IFERROR(__xludf.DUMMYFUNCTION("IFERROR(
    INDEX(FILTER('Arrived Shipments'!O:O, 'Arrived Shipments'!B:B=$B651),3),
    IFERROR(
        INDEX(FILTER('POed not arrived'!D:D, 'POed not arrived'!A:A=$B651),3),
        """"
    )
)"),"")</f>
        <v/>
      </c>
      <c r="Q651" s="202"/>
      <c r="R651" s="206" t="str">
        <f>IFERROR(__xludf.DUMMYFUNCTION("IFERROR(
    INDEX(FILTER('Arrived Shipments'!O:O, 'Arrived Shipments'!B:B=$B651),4),
    IFERROR(
        INDEX(FILTER('POed not arrived'!D:D, 'POed not arrived'!A:A=$B651),4),
        """"
    )
)"),"")</f>
        <v/>
      </c>
      <c r="S651" s="202"/>
      <c r="T651" s="202">
        <f t="shared" si="8"/>
        <v>0</v>
      </c>
      <c r="U651" s="198"/>
      <c r="V651" s="199"/>
      <c r="W651" s="197"/>
      <c r="X651" s="197"/>
      <c r="Y651" s="199"/>
      <c r="Z651" s="199"/>
      <c r="AA651" s="204" t="str">
        <f t="shared" si="4"/>
        <v/>
      </c>
      <c r="AB651" s="198"/>
      <c r="AC651" s="199"/>
      <c r="AD651" s="199"/>
      <c r="AE651" s="199"/>
      <c r="AF651" s="199"/>
      <c r="AG651" s="199"/>
      <c r="AH651" s="199"/>
      <c r="AI651" s="199"/>
      <c r="AJ651" s="199"/>
      <c r="AK651" s="199"/>
      <c r="AL651" s="199"/>
      <c r="AM651" s="198"/>
      <c r="AN651" s="197"/>
      <c r="AO651" s="197"/>
      <c r="AP651" s="197"/>
      <c r="AQ651" s="197"/>
      <c r="AR651" s="197"/>
      <c r="AS651" s="197"/>
    </row>
    <row r="652">
      <c r="A652" s="198" t="str">
        <f t="shared" si="1"/>
        <v/>
      </c>
      <c r="B652" s="205"/>
      <c r="C652" s="198"/>
      <c r="D652" s="199"/>
      <c r="E652" s="213"/>
      <c r="F652" s="198"/>
      <c r="G652" s="198"/>
      <c r="H652" s="199"/>
      <c r="I652" s="207"/>
      <c r="J652" s="199"/>
      <c r="K652" s="202"/>
      <c r="L652" s="205" t="str">
        <f>IFERROR(__xludf.DUMMYFUNCTION("IFERROR(
    INDEX(FILTER('Arrived Shipments'!O:O, 'Arrived Shipments'!B:B=$B652),1),
    IFERROR(
        INDEX(FILTER('POed not arrived'!D:D, 'POed not arrived'!A:A=$B652),1),
        """"
    )
)"),"")</f>
        <v/>
      </c>
      <c r="M652" s="202"/>
      <c r="N652" s="223" t="str">
        <f>IFERROR(__xludf.DUMMYFUNCTION("IFERROR(
    INDEX(FILTER('Arrived Shipments'!O:O, 'Arrived Shipments'!B:B=$B652),2),
    IFERROR(
        INDEX(FILTER('POed not arrived'!D:D, 'POed not arrived'!A:A=$B652),2),
        """"
    )
)"),"")</f>
        <v/>
      </c>
      <c r="O652" s="202"/>
      <c r="P652" s="202" t="str">
        <f>IFERROR(__xludf.DUMMYFUNCTION("IFERROR(
    INDEX(FILTER('Arrived Shipments'!O:O, 'Arrived Shipments'!B:B=$B652),3),
    IFERROR(
        INDEX(FILTER('POed not arrived'!D:D, 'POed not arrived'!A:A=$B652),3),
        """"
    )
)"),"")</f>
        <v/>
      </c>
      <c r="Q652" s="202"/>
      <c r="R652" s="206" t="str">
        <f>IFERROR(__xludf.DUMMYFUNCTION("IFERROR(
    INDEX(FILTER('Arrived Shipments'!O:O, 'Arrived Shipments'!B:B=$B652),4),
    IFERROR(
        INDEX(FILTER('POed not arrived'!D:D, 'POed not arrived'!A:A=$B652),4),
        """"
    )
)"),"")</f>
        <v/>
      </c>
      <c r="S652" s="202"/>
      <c r="T652" s="202">
        <f t="shared" si="8"/>
        <v>0</v>
      </c>
      <c r="U652" s="198"/>
      <c r="V652" s="199"/>
      <c r="W652" s="197"/>
      <c r="X652" s="197"/>
      <c r="Y652" s="199"/>
      <c r="Z652" s="199"/>
      <c r="AA652" s="204" t="str">
        <f t="shared" si="4"/>
        <v/>
      </c>
      <c r="AB652" s="198"/>
      <c r="AC652" s="199"/>
      <c r="AD652" s="199"/>
      <c r="AE652" s="199"/>
      <c r="AF652" s="199"/>
      <c r="AG652" s="199"/>
      <c r="AH652" s="199"/>
      <c r="AI652" s="199"/>
      <c r="AJ652" s="199"/>
      <c r="AK652" s="199"/>
      <c r="AL652" s="199"/>
      <c r="AM652" s="198"/>
      <c r="AN652" s="197"/>
      <c r="AO652" s="197"/>
      <c r="AP652" s="197"/>
      <c r="AQ652" s="197"/>
      <c r="AR652" s="197"/>
      <c r="AS652" s="197"/>
    </row>
    <row r="653">
      <c r="A653" s="198" t="str">
        <f t="shared" si="1"/>
        <v/>
      </c>
      <c r="B653" s="205"/>
      <c r="C653" s="198"/>
      <c r="D653" s="199"/>
      <c r="E653" s="213"/>
      <c r="F653" s="198"/>
      <c r="G653" s="198"/>
      <c r="H653" s="199"/>
      <c r="I653" s="207"/>
      <c r="J653" s="199"/>
      <c r="K653" s="202"/>
      <c r="L653" s="205" t="str">
        <f>IFERROR(__xludf.DUMMYFUNCTION("IFERROR(
    INDEX(FILTER('Arrived Shipments'!O:O, 'Arrived Shipments'!B:B=$B653),1),
    IFERROR(
        INDEX(FILTER('POed not arrived'!D:D, 'POed not arrived'!A:A=$B653),1),
        """"
    )
)"),"")</f>
        <v/>
      </c>
      <c r="M653" s="202"/>
      <c r="N653" s="223" t="str">
        <f>IFERROR(__xludf.DUMMYFUNCTION("IFERROR(
    INDEX(FILTER('Arrived Shipments'!O:O, 'Arrived Shipments'!B:B=$B653),2),
    IFERROR(
        INDEX(FILTER('POed not arrived'!D:D, 'POed not arrived'!A:A=$B653),2),
        """"
    )
)"),"")</f>
        <v/>
      </c>
      <c r="O653" s="202"/>
      <c r="P653" s="202" t="str">
        <f>IFERROR(__xludf.DUMMYFUNCTION("IFERROR(
    INDEX(FILTER('Arrived Shipments'!O:O, 'Arrived Shipments'!B:B=$B653),3),
    IFERROR(
        INDEX(FILTER('POed not arrived'!D:D, 'POed not arrived'!A:A=$B653),3),
        """"
    )
)"),"")</f>
        <v/>
      </c>
      <c r="Q653" s="202"/>
      <c r="R653" s="206" t="str">
        <f>IFERROR(__xludf.DUMMYFUNCTION("IFERROR(
    INDEX(FILTER('Arrived Shipments'!O:O, 'Arrived Shipments'!B:B=$B653),4),
    IFERROR(
        INDEX(FILTER('POed not arrived'!D:D, 'POed not arrived'!A:A=$B653),4),
        """"
    )
)"),"")</f>
        <v/>
      </c>
      <c r="S653" s="202"/>
      <c r="T653" s="202">
        <f t="shared" si="8"/>
        <v>0</v>
      </c>
      <c r="U653" s="198"/>
      <c r="V653" s="199"/>
      <c r="W653" s="197"/>
      <c r="X653" s="197"/>
      <c r="Y653" s="199"/>
      <c r="Z653" s="199"/>
      <c r="AA653" s="204" t="str">
        <f t="shared" si="4"/>
        <v/>
      </c>
      <c r="AB653" s="198"/>
      <c r="AC653" s="199"/>
      <c r="AD653" s="199"/>
      <c r="AE653" s="199"/>
      <c r="AF653" s="199"/>
      <c r="AG653" s="199"/>
      <c r="AH653" s="199"/>
      <c r="AI653" s="199"/>
      <c r="AJ653" s="199"/>
      <c r="AK653" s="199"/>
      <c r="AL653" s="199"/>
      <c r="AM653" s="198"/>
      <c r="AN653" s="197"/>
      <c r="AO653" s="197"/>
      <c r="AP653" s="197"/>
      <c r="AQ653" s="197"/>
      <c r="AR653" s="197"/>
      <c r="AS653" s="197"/>
    </row>
    <row r="654">
      <c r="A654" s="198" t="str">
        <f t="shared" si="1"/>
        <v/>
      </c>
      <c r="B654" s="205"/>
      <c r="C654" s="198"/>
      <c r="D654" s="199"/>
      <c r="E654" s="213"/>
      <c r="F654" s="198"/>
      <c r="G654" s="198"/>
      <c r="H654" s="199"/>
      <c r="I654" s="207"/>
      <c r="J654" s="199"/>
      <c r="K654" s="202"/>
      <c r="L654" s="205" t="str">
        <f>IFERROR(__xludf.DUMMYFUNCTION("IFERROR(
    INDEX(FILTER('Arrived Shipments'!O:O, 'Arrived Shipments'!B:B=$B654),1),
    IFERROR(
        INDEX(FILTER('POed not arrived'!D:D, 'POed not arrived'!A:A=$B654),1),
        """"
    )
)"),"")</f>
        <v/>
      </c>
      <c r="M654" s="202"/>
      <c r="N654" s="223" t="str">
        <f>IFERROR(__xludf.DUMMYFUNCTION("IFERROR(
    INDEX(FILTER('Arrived Shipments'!O:O, 'Arrived Shipments'!B:B=$B654),2),
    IFERROR(
        INDEX(FILTER('POed not arrived'!D:D, 'POed not arrived'!A:A=$B654),2),
        """"
    )
)"),"")</f>
        <v/>
      </c>
      <c r="O654" s="202"/>
      <c r="P654" s="202" t="str">
        <f>IFERROR(__xludf.DUMMYFUNCTION("IFERROR(
    INDEX(FILTER('Arrived Shipments'!O:O, 'Arrived Shipments'!B:B=$B654),3),
    IFERROR(
        INDEX(FILTER('POed not arrived'!D:D, 'POed not arrived'!A:A=$B654),3),
        """"
    )
)"),"")</f>
        <v/>
      </c>
      <c r="Q654" s="202"/>
      <c r="R654" s="206" t="str">
        <f>IFERROR(__xludf.DUMMYFUNCTION("IFERROR(
    INDEX(FILTER('Arrived Shipments'!O:O, 'Arrived Shipments'!B:B=$B654),4),
    IFERROR(
        INDEX(FILTER('POed not arrived'!D:D, 'POed not arrived'!A:A=$B654),4),
        """"
    )
)"),"")</f>
        <v/>
      </c>
      <c r="S654" s="202"/>
      <c r="T654" s="202">
        <f t="shared" si="8"/>
        <v>0</v>
      </c>
      <c r="U654" s="198"/>
      <c r="V654" s="199"/>
      <c r="W654" s="197"/>
      <c r="X654" s="197"/>
      <c r="Y654" s="199"/>
      <c r="Z654" s="199"/>
      <c r="AA654" s="204" t="str">
        <f t="shared" si="4"/>
        <v/>
      </c>
      <c r="AB654" s="198"/>
      <c r="AC654" s="199"/>
      <c r="AD654" s="199"/>
      <c r="AE654" s="199"/>
      <c r="AF654" s="199"/>
      <c r="AG654" s="199"/>
      <c r="AH654" s="199"/>
      <c r="AI654" s="199"/>
      <c r="AJ654" s="199"/>
      <c r="AK654" s="199"/>
      <c r="AL654" s="199"/>
      <c r="AM654" s="198"/>
      <c r="AN654" s="197"/>
      <c r="AO654" s="197"/>
      <c r="AP654" s="197"/>
      <c r="AQ654" s="197"/>
      <c r="AR654" s="197"/>
      <c r="AS654" s="197"/>
    </row>
    <row r="655">
      <c r="A655" s="198" t="str">
        <f t="shared" si="1"/>
        <v/>
      </c>
      <c r="B655" s="205"/>
      <c r="C655" s="198"/>
      <c r="D655" s="199"/>
      <c r="E655" s="213"/>
      <c r="F655" s="198"/>
      <c r="G655" s="198"/>
      <c r="H655" s="199"/>
      <c r="I655" s="207"/>
      <c r="J655" s="199"/>
      <c r="K655" s="202"/>
      <c r="L655" s="205" t="str">
        <f>IFERROR(__xludf.DUMMYFUNCTION("IFERROR(
    INDEX(FILTER('Arrived Shipments'!O:O, 'Arrived Shipments'!B:B=$B655),1),
    IFERROR(
        INDEX(FILTER('POed not arrived'!D:D, 'POed not arrived'!A:A=$B655),1),
        """"
    )
)"),"")</f>
        <v/>
      </c>
      <c r="M655" s="202"/>
      <c r="N655" s="223" t="str">
        <f>IFERROR(__xludf.DUMMYFUNCTION("IFERROR(
    INDEX(FILTER('Arrived Shipments'!O:O, 'Arrived Shipments'!B:B=$B655),2),
    IFERROR(
        INDEX(FILTER('POed not arrived'!D:D, 'POed not arrived'!A:A=$B655),2),
        """"
    )
)"),"")</f>
        <v/>
      </c>
      <c r="O655" s="202"/>
      <c r="P655" s="202" t="str">
        <f>IFERROR(__xludf.DUMMYFUNCTION("IFERROR(
    INDEX(FILTER('Arrived Shipments'!O:O, 'Arrived Shipments'!B:B=$B655),3),
    IFERROR(
        INDEX(FILTER('POed not arrived'!D:D, 'POed not arrived'!A:A=$B655),3),
        """"
    )
)"),"")</f>
        <v/>
      </c>
      <c r="Q655" s="202"/>
      <c r="R655" s="206" t="str">
        <f>IFERROR(__xludf.DUMMYFUNCTION("IFERROR(
    INDEX(FILTER('Arrived Shipments'!O:O, 'Arrived Shipments'!B:B=$B655),4),
    IFERROR(
        INDEX(FILTER('POed not arrived'!D:D, 'POed not arrived'!A:A=$B655),4),
        """"
    )
)"),"")</f>
        <v/>
      </c>
      <c r="S655" s="202"/>
      <c r="T655" s="202">
        <f t="shared" si="8"/>
        <v>0</v>
      </c>
      <c r="U655" s="198"/>
      <c r="V655" s="199"/>
      <c r="W655" s="197"/>
      <c r="X655" s="197"/>
      <c r="Y655" s="199"/>
      <c r="Z655" s="199"/>
      <c r="AA655" s="204" t="str">
        <f t="shared" si="4"/>
        <v/>
      </c>
      <c r="AB655" s="198"/>
      <c r="AC655" s="199"/>
      <c r="AD655" s="199"/>
      <c r="AE655" s="199"/>
      <c r="AF655" s="199"/>
      <c r="AG655" s="199"/>
      <c r="AH655" s="199"/>
      <c r="AI655" s="199"/>
      <c r="AJ655" s="199"/>
      <c r="AK655" s="199"/>
      <c r="AL655" s="199"/>
      <c r="AM655" s="198"/>
      <c r="AN655" s="197"/>
      <c r="AO655" s="197"/>
      <c r="AP655" s="197"/>
      <c r="AQ655" s="197"/>
      <c r="AR655" s="197"/>
      <c r="AS655" s="197"/>
    </row>
    <row r="656">
      <c r="A656" s="198" t="str">
        <f t="shared" si="1"/>
        <v/>
      </c>
      <c r="B656" s="205"/>
      <c r="C656" s="198"/>
      <c r="D656" s="199"/>
      <c r="E656" s="213"/>
      <c r="F656" s="198"/>
      <c r="G656" s="198"/>
      <c r="H656" s="199"/>
      <c r="I656" s="207"/>
      <c r="J656" s="199"/>
      <c r="K656" s="202"/>
      <c r="L656" s="205" t="str">
        <f>IFERROR(__xludf.DUMMYFUNCTION("IFERROR(
    INDEX(FILTER('Arrived Shipments'!O:O, 'Arrived Shipments'!B:B=$B656),1),
    IFERROR(
        INDEX(FILTER('POed not arrived'!D:D, 'POed not arrived'!A:A=$B656),1),
        """"
    )
)"),"")</f>
        <v/>
      </c>
      <c r="M656" s="202"/>
      <c r="N656" s="223" t="str">
        <f>IFERROR(__xludf.DUMMYFUNCTION("IFERROR(
    INDEX(FILTER('Arrived Shipments'!O:O, 'Arrived Shipments'!B:B=$B656),2),
    IFERROR(
        INDEX(FILTER('POed not arrived'!D:D, 'POed not arrived'!A:A=$B656),2),
        """"
    )
)"),"")</f>
        <v/>
      </c>
      <c r="O656" s="202"/>
      <c r="P656" s="202" t="str">
        <f>IFERROR(__xludf.DUMMYFUNCTION("IFERROR(
    INDEX(FILTER('Arrived Shipments'!O:O, 'Arrived Shipments'!B:B=$B656),3),
    IFERROR(
        INDEX(FILTER('POed not arrived'!D:D, 'POed not arrived'!A:A=$B656),3),
        """"
    )
)"),"")</f>
        <v/>
      </c>
      <c r="Q656" s="202"/>
      <c r="R656" s="206" t="str">
        <f>IFERROR(__xludf.DUMMYFUNCTION("IFERROR(
    INDEX(FILTER('Arrived Shipments'!O:O, 'Arrived Shipments'!B:B=$B656),4),
    IFERROR(
        INDEX(FILTER('POed not arrived'!D:D, 'POed not arrived'!A:A=$B656),4),
        """"
    )
)"),"")</f>
        <v/>
      </c>
      <c r="S656" s="202"/>
      <c r="T656" s="202">
        <f t="shared" si="8"/>
        <v>0</v>
      </c>
      <c r="U656" s="198"/>
      <c r="V656" s="199"/>
      <c r="W656" s="197"/>
      <c r="X656" s="197"/>
      <c r="Y656" s="199"/>
      <c r="Z656" s="199"/>
      <c r="AA656" s="204" t="str">
        <f t="shared" si="4"/>
        <v/>
      </c>
      <c r="AB656" s="198"/>
      <c r="AC656" s="199"/>
      <c r="AD656" s="199"/>
      <c r="AE656" s="199"/>
      <c r="AF656" s="199"/>
      <c r="AG656" s="199"/>
      <c r="AH656" s="199"/>
      <c r="AI656" s="199"/>
      <c r="AJ656" s="199"/>
      <c r="AK656" s="199"/>
      <c r="AL656" s="199"/>
      <c r="AM656" s="198"/>
      <c r="AN656" s="197"/>
      <c r="AO656" s="197"/>
      <c r="AP656" s="197"/>
      <c r="AQ656" s="197"/>
      <c r="AR656" s="197"/>
      <c r="AS656" s="197"/>
    </row>
    <row r="657">
      <c r="A657" s="198" t="str">
        <f t="shared" si="1"/>
        <v/>
      </c>
      <c r="B657" s="205"/>
      <c r="C657" s="198"/>
      <c r="D657" s="199"/>
      <c r="E657" s="213"/>
      <c r="F657" s="198"/>
      <c r="G657" s="198"/>
      <c r="H657" s="199"/>
      <c r="I657" s="207"/>
      <c r="J657" s="199"/>
      <c r="K657" s="202"/>
      <c r="L657" s="205" t="str">
        <f>IFERROR(__xludf.DUMMYFUNCTION("IFERROR(
    INDEX(FILTER('Arrived Shipments'!O:O, 'Arrived Shipments'!B:B=$B657),1),
    IFERROR(
        INDEX(FILTER('POed not arrived'!D:D, 'POed not arrived'!A:A=$B657),1),
        """"
    )
)"),"")</f>
        <v/>
      </c>
      <c r="M657" s="202"/>
      <c r="N657" s="223" t="str">
        <f>IFERROR(__xludf.DUMMYFUNCTION("IFERROR(
    INDEX(FILTER('Arrived Shipments'!O:O, 'Arrived Shipments'!B:B=$B657),2),
    IFERROR(
        INDEX(FILTER('POed not arrived'!D:D, 'POed not arrived'!A:A=$B657),2),
        """"
    )
)"),"")</f>
        <v/>
      </c>
      <c r="O657" s="202"/>
      <c r="P657" s="202" t="str">
        <f>IFERROR(__xludf.DUMMYFUNCTION("IFERROR(
    INDEX(FILTER('Arrived Shipments'!O:O, 'Arrived Shipments'!B:B=$B657),3),
    IFERROR(
        INDEX(FILTER('POed not arrived'!D:D, 'POed not arrived'!A:A=$B657),3),
        """"
    )
)"),"")</f>
        <v/>
      </c>
      <c r="Q657" s="202"/>
      <c r="R657" s="206" t="str">
        <f>IFERROR(__xludf.DUMMYFUNCTION("IFERROR(
    INDEX(FILTER('Arrived Shipments'!O:O, 'Arrived Shipments'!B:B=$B657),4),
    IFERROR(
        INDEX(FILTER('POed not arrived'!D:D, 'POed not arrived'!A:A=$B657),4),
        """"
    )
)"),"")</f>
        <v/>
      </c>
      <c r="S657" s="202"/>
      <c r="T657" s="202">
        <f t="shared" si="8"/>
        <v>0</v>
      </c>
      <c r="U657" s="198"/>
      <c r="V657" s="199"/>
      <c r="W657" s="197"/>
      <c r="X657" s="197"/>
      <c r="Y657" s="199"/>
      <c r="Z657" s="199"/>
      <c r="AA657" s="204" t="str">
        <f t="shared" si="4"/>
        <v/>
      </c>
      <c r="AB657" s="198"/>
      <c r="AC657" s="199"/>
      <c r="AD657" s="199"/>
      <c r="AE657" s="199"/>
      <c r="AF657" s="199"/>
      <c r="AG657" s="199"/>
      <c r="AH657" s="199"/>
      <c r="AI657" s="199"/>
      <c r="AJ657" s="199"/>
      <c r="AK657" s="199"/>
      <c r="AL657" s="199"/>
      <c r="AM657" s="198"/>
      <c r="AN657" s="197"/>
      <c r="AO657" s="197"/>
      <c r="AP657" s="197"/>
      <c r="AQ657" s="197"/>
      <c r="AR657" s="197"/>
      <c r="AS657" s="197"/>
    </row>
    <row r="658">
      <c r="A658" s="198" t="str">
        <f t="shared" si="1"/>
        <v/>
      </c>
      <c r="B658" s="205"/>
      <c r="C658" s="198"/>
      <c r="D658" s="199"/>
      <c r="E658" s="213"/>
      <c r="F658" s="198"/>
      <c r="G658" s="198"/>
      <c r="H658" s="199"/>
      <c r="I658" s="207"/>
      <c r="J658" s="199"/>
      <c r="K658" s="202"/>
      <c r="L658" s="205" t="str">
        <f>IFERROR(__xludf.DUMMYFUNCTION("IFERROR(
    INDEX(FILTER('Arrived Shipments'!O:O, 'Arrived Shipments'!B:B=$B658),1),
    IFERROR(
        INDEX(FILTER('POed not arrived'!D:D, 'POed not arrived'!A:A=$B658),1),
        """"
    )
)"),"")</f>
        <v/>
      </c>
      <c r="M658" s="202"/>
      <c r="N658" s="223" t="str">
        <f>IFERROR(__xludf.DUMMYFUNCTION("IFERROR(
    INDEX(FILTER('Arrived Shipments'!O:O, 'Arrived Shipments'!B:B=$B658),2),
    IFERROR(
        INDEX(FILTER('POed not arrived'!D:D, 'POed not arrived'!A:A=$B658),2),
        """"
    )
)"),"")</f>
        <v/>
      </c>
      <c r="O658" s="202"/>
      <c r="P658" s="202" t="str">
        <f>IFERROR(__xludf.DUMMYFUNCTION("IFERROR(
    INDEX(FILTER('Arrived Shipments'!O:O, 'Arrived Shipments'!B:B=$B658),3),
    IFERROR(
        INDEX(FILTER('POed not arrived'!D:D, 'POed not arrived'!A:A=$B658),3),
        """"
    )
)"),"")</f>
        <v/>
      </c>
      <c r="Q658" s="202"/>
      <c r="R658" s="206" t="str">
        <f>IFERROR(__xludf.DUMMYFUNCTION("IFERROR(
    INDEX(FILTER('Arrived Shipments'!O:O, 'Arrived Shipments'!B:B=$B658),4),
    IFERROR(
        INDEX(FILTER('POed not arrived'!D:D, 'POed not arrived'!A:A=$B658),4),
        """"
    )
)"),"")</f>
        <v/>
      </c>
      <c r="S658" s="202"/>
      <c r="T658" s="202">
        <f t="shared" si="8"/>
        <v>0</v>
      </c>
      <c r="U658" s="198"/>
      <c r="V658" s="199"/>
      <c r="W658" s="197"/>
      <c r="X658" s="197"/>
      <c r="Y658" s="199"/>
      <c r="Z658" s="199"/>
      <c r="AA658" s="204" t="str">
        <f t="shared" si="4"/>
        <v/>
      </c>
      <c r="AB658" s="198"/>
      <c r="AC658" s="199"/>
      <c r="AD658" s="199"/>
      <c r="AE658" s="199"/>
      <c r="AF658" s="199"/>
      <c r="AG658" s="199"/>
      <c r="AH658" s="199"/>
      <c r="AI658" s="199"/>
      <c r="AJ658" s="199"/>
      <c r="AK658" s="199"/>
      <c r="AL658" s="199"/>
      <c r="AM658" s="198"/>
      <c r="AN658" s="197"/>
      <c r="AO658" s="197"/>
      <c r="AP658" s="197"/>
      <c r="AQ658" s="197"/>
      <c r="AR658" s="197"/>
      <c r="AS658" s="197"/>
    </row>
    <row r="659">
      <c r="A659" s="198" t="str">
        <f t="shared" si="1"/>
        <v/>
      </c>
      <c r="B659" s="205"/>
      <c r="C659" s="198"/>
      <c r="D659" s="199"/>
      <c r="E659" s="213"/>
      <c r="F659" s="198"/>
      <c r="G659" s="198"/>
      <c r="H659" s="199"/>
      <c r="I659" s="207"/>
      <c r="J659" s="199"/>
      <c r="K659" s="202"/>
      <c r="L659" s="205" t="str">
        <f>IFERROR(__xludf.DUMMYFUNCTION("IFERROR(
    INDEX(FILTER('Arrived Shipments'!O:O, 'Arrived Shipments'!B:B=$B659),1),
    IFERROR(
        INDEX(FILTER('POed not arrived'!D:D, 'POed not arrived'!A:A=$B659),1),
        """"
    )
)"),"")</f>
        <v/>
      </c>
      <c r="M659" s="202"/>
      <c r="N659" s="223" t="str">
        <f>IFERROR(__xludf.DUMMYFUNCTION("IFERROR(
    INDEX(FILTER('Arrived Shipments'!O:O, 'Arrived Shipments'!B:B=$B659),2),
    IFERROR(
        INDEX(FILTER('POed not arrived'!D:D, 'POed not arrived'!A:A=$B659),2),
        """"
    )
)"),"")</f>
        <v/>
      </c>
      <c r="O659" s="202"/>
      <c r="P659" s="202" t="str">
        <f>IFERROR(__xludf.DUMMYFUNCTION("IFERROR(
    INDEX(FILTER('Arrived Shipments'!O:O, 'Arrived Shipments'!B:B=$B659),3),
    IFERROR(
        INDEX(FILTER('POed not arrived'!D:D, 'POed not arrived'!A:A=$B659),3),
        """"
    )
)"),"")</f>
        <v/>
      </c>
      <c r="Q659" s="202"/>
      <c r="R659" s="206" t="str">
        <f>IFERROR(__xludf.DUMMYFUNCTION("IFERROR(
    INDEX(FILTER('Arrived Shipments'!O:O, 'Arrived Shipments'!B:B=$B659),4),
    IFERROR(
        INDEX(FILTER('POed not arrived'!D:D, 'POed not arrived'!A:A=$B659),4),
        """"
    )
)"),"")</f>
        <v/>
      </c>
      <c r="S659" s="202"/>
      <c r="T659" s="202">
        <f t="shared" si="8"/>
        <v>0</v>
      </c>
      <c r="U659" s="198"/>
      <c r="V659" s="199"/>
      <c r="W659" s="197"/>
      <c r="X659" s="197"/>
      <c r="Y659" s="199"/>
      <c r="Z659" s="199"/>
      <c r="AA659" s="204" t="str">
        <f t="shared" si="4"/>
        <v/>
      </c>
      <c r="AB659" s="198"/>
      <c r="AC659" s="199"/>
      <c r="AD659" s="199"/>
      <c r="AE659" s="199"/>
      <c r="AF659" s="199"/>
      <c r="AG659" s="199"/>
      <c r="AH659" s="199"/>
      <c r="AI659" s="199"/>
      <c r="AJ659" s="199"/>
      <c r="AK659" s="199"/>
      <c r="AL659" s="199"/>
      <c r="AM659" s="198"/>
      <c r="AN659" s="197"/>
      <c r="AO659" s="197"/>
      <c r="AP659" s="197"/>
      <c r="AQ659" s="197"/>
      <c r="AR659" s="197"/>
      <c r="AS659" s="197"/>
    </row>
    <row r="660">
      <c r="A660" s="198" t="str">
        <f t="shared" si="1"/>
        <v/>
      </c>
      <c r="B660" s="205"/>
      <c r="C660" s="198"/>
      <c r="D660" s="199"/>
      <c r="E660" s="213"/>
      <c r="F660" s="198"/>
      <c r="G660" s="198"/>
      <c r="H660" s="199"/>
      <c r="I660" s="207"/>
      <c r="J660" s="199"/>
      <c r="K660" s="202"/>
      <c r="L660" s="205" t="str">
        <f>IFERROR(__xludf.DUMMYFUNCTION("IFERROR(
    INDEX(FILTER('Arrived Shipments'!O:O, 'Arrived Shipments'!B:B=$B660),1),
    IFERROR(
        INDEX(FILTER('POed not arrived'!D:D, 'POed not arrived'!A:A=$B660),1),
        """"
    )
)"),"")</f>
        <v/>
      </c>
      <c r="M660" s="202"/>
      <c r="N660" s="223" t="str">
        <f>IFERROR(__xludf.DUMMYFUNCTION("IFERROR(
    INDEX(FILTER('Arrived Shipments'!O:O, 'Arrived Shipments'!B:B=$B660),2),
    IFERROR(
        INDEX(FILTER('POed not arrived'!D:D, 'POed not arrived'!A:A=$B660),2),
        """"
    )
)"),"")</f>
        <v/>
      </c>
      <c r="O660" s="202"/>
      <c r="P660" s="202" t="str">
        <f>IFERROR(__xludf.DUMMYFUNCTION("IFERROR(
    INDEX(FILTER('Arrived Shipments'!O:O, 'Arrived Shipments'!B:B=$B660),3),
    IFERROR(
        INDEX(FILTER('POed not arrived'!D:D, 'POed not arrived'!A:A=$B660),3),
        """"
    )
)"),"")</f>
        <v/>
      </c>
      <c r="Q660" s="202"/>
      <c r="R660" s="206" t="str">
        <f>IFERROR(__xludf.DUMMYFUNCTION("IFERROR(
    INDEX(FILTER('Arrived Shipments'!O:O, 'Arrived Shipments'!B:B=$B660),4),
    IFERROR(
        INDEX(FILTER('POed not arrived'!D:D, 'POed not arrived'!A:A=$B660),4),
        """"
    )
)"),"")</f>
        <v/>
      </c>
      <c r="S660" s="202"/>
      <c r="T660" s="202">
        <f t="shared" si="8"/>
        <v>0</v>
      </c>
      <c r="U660" s="198"/>
      <c r="V660" s="199"/>
      <c r="W660" s="197"/>
      <c r="X660" s="197"/>
      <c r="Y660" s="199"/>
      <c r="Z660" s="199"/>
      <c r="AA660" s="204" t="str">
        <f t="shared" si="4"/>
        <v/>
      </c>
      <c r="AB660" s="198"/>
      <c r="AC660" s="199"/>
      <c r="AD660" s="199"/>
      <c r="AE660" s="199"/>
      <c r="AF660" s="199"/>
      <c r="AG660" s="199"/>
      <c r="AH660" s="199"/>
      <c r="AI660" s="199"/>
      <c r="AJ660" s="199"/>
      <c r="AK660" s="199"/>
      <c r="AL660" s="199"/>
      <c r="AM660" s="198"/>
      <c r="AN660" s="197"/>
      <c r="AO660" s="197"/>
      <c r="AP660" s="197"/>
      <c r="AQ660" s="197"/>
      <c r="AR660" s="197"/>
      <c r="AS660" s="197"/>
    </row>
    <row r="661">
      <c r="A661" s="198" t="str">
        <f t="shared" si="1"/>
        <v/>
      </c>
      <c r="B661" s="205"/>
      <c r="C661" s="198"/>
      <c r="D661" s="199"/>
      <c r="E661" s="213"/>
      <c r="F661" s="198"/>
      <c r="G661" s="198"/>
      <c r="H661" s="199"/>
      <c r="I661" s="207"/>
      <c r="J661" s="199"/>
      <c r="K661" s="202"/>
      <c r="L661" s="205" t="str">
        <f>IFERROR(__xludf.DUMMYFUNCTION("IFERROR(
    INDEX(FILTER('Arrived Shipments'!O:O, 'Arrived Shipments'!B:B=$B661),1),
    IFERROR(
        INDEX(FILTER('POed not arrived'!D:D, 'POed not arrived'!A:A=$B661),1),
        """"
    )
)"),"")</f>
        <v/>
      </c>
      <c r="M661" s="202"/>
      <c r="N661" s="223" t="str">
        <f>IFERROR(__xludf.DUMMYFUNCTION("IFERROR(
    INDEX(FILTER('Arrived Shipments'!O:O, 'Arrived Shipments'!B:B=$B661),2),
    IFERROR(
        INDEX(FILTER('POed not arrived'!D:D, 'POed not arrived'!A:A=$B661),2),
        """"
    )
)"),"")</f>
        <v/>
      </c>
      <c r="O661" s="202"/>
      <c r="P661" s="202" t="str">
        <f>IFERROR(__xludf.DUMMYFUNCTION("IFERROR(
    INDEX(FILTER('Arrived Shipments'!O:O, 'Arrived Shipments'!B:B=$B661),3),
    IFERROR(
        INDEX(FILTER('POed not arrived'!D:D, 'POed not arrived'!A:A=$B661),3),
        """"
    )
)"),"")</f>
        <v/>
      </c>
      <c r="Q661" s="202"/>
      <c r="R661" s="206" t="str">
        <f>IFERROR(__xludf.DUMMYFUNCTION("IFERROR(
    INDEX(FILTER('Arrived Shipments'!O:O, 'Arrived Shipments'!B:B=$B661),4),
    IFERROR(
        INDEX(FILTER('POed not arrived'!D:D, 'POed not arrived'!A:A=$B661),4),
        """"
    )
)"),"")</f>
        <v/>
      </c>
      <c r="S661" s="202"/>
      <c r="T661" s="202">
        <f t="shared" si="8"/>
        <v>0</v>
      </c>
      <c r="U661" s="198"/>
      <c r="V661" s="199"/>
      <c r="W661" s="197"/>
      <c r="X661" s="197"/>
      <c r="Y661" s="199"/>
      <c r="Z661" s="199"/>
      <c r="AA661" s="204" t="str">
        <f t="shared" si="4"/>
        <v/>
      </c>
      <c r="AB661" s="198"/>
      <c r="AC661" s="199"/>
      <c r="AD661" s="199"/>
      <c r="AE661" s="199"/>
      <c r="AF661" s="199"/>
      <c r="AG661" s="199"/>
      <c r="AH661" s="199"/>
      <c r="AI661" s="199"/>
      <c r="AJ661" s="199"/>
      <c r="AK661" s="199"/>
      <c r="AL661" s="199"/>
      <c r="AM661" s="198"/>
      <c r="AN661" s="197"/>
      <c r="AO661" s="197"/>
      <c r="AP661" s="197"/>
      <c r="AQ661" s="197"/>
      <c r="AR661" s="197"/>
      <c r="AS661" s="197"/>
    </row>
    <row r="662">
      <c r="A662" s="198" t="str">
        <f t="shared" si="1"/>
        <v/>
      </c>
      <c r="B662" s="205"/>
      <c r="C662" s="198"/>
      <c r="D662" s="199"/>
      <c r="E662" s="213"/>
      <c r="F662" s="198"/>
      <c r="G662" s="198"/>
      <c r="H662" s="199"/>
      <c r="I662" s="207"/>
      <c r="J662" s="199"/>
      <c r="K662" s="202"/>
      <c r="L662" s="205" t="str">
        <f>IFERROR(__xludf.DUMMYFUNCTION("IFERROR(
    INDEX(FILTER('Arrived Shipments'!O:O, 'Arrived Shipments'!B:B=$B662),1),
    IFERROR(
        INDEX(FILTER('POed not arrived'!D:D, 'POed not arrived'!A:A=$B662),1),
        """"
    )
)"),"")</f>
        <v/>
      </c>
      <c r="M662" s="202"/>
      <c r="N662" s="223" t="str">
        <f>IFERROR(__xludf.DUMMYFUNCTION("IFERROR(
    INDEX(FILTER('Arrived Shipments'!O:O, 'Arrived Shipments'!B:B=$B662),2),
    IFERROR(
        INDEX(FILTER('POed not arrived'!D:D, 'POed not arrived'!A:A=$B662),2),
        """"
    )
)"),"")</f>
        <v/>
      </c>
      <c r="O662" s="202"/>
      <c r="P662" s="202" t="str">
        <f>IFERROR(__xludf.DUMMYFUNCTION("IFERROR(
    INDEX(FILTER('Arrived Shipments'!O:O, 'Arrived Shipments'!B:B=$B662),3),
    IFERROR(
        INDEX(FILTER('POed not arrived'!D:D, 'POed not arrived'!A:A=$B662),3),
        """"
    )
)"),"")</f>
        <v/>
      </c>
      <c r="Q662" s="202"/>
      <c r="R662" s="206" t="str">
        <f>IFERROR(__xludf.DUMMYFUNCTION("IFERROR(
    INDEX(FILTER('Arrived Shipments'!O:O, 'Arrived Shipments'!B:B=$B662),4),
    IFERROR(
        INDEX(FILTER('POed not arrived'!D:D, 'POed not arrived'!A:A=$B662),4),
        """"
    )
)"),"")</f>
        <v/>
      </c>
      <c r="S662" s="202"/>
      <c r="T662" s="202">
        <f t="shared" si="8"/>
        <v>0</v>
      </c>
      <c r="U662" s="198"/>
      <c r="V662" s="199"/>
      <c r="W662" s="197"/>
      <c r="X662" s="197"/>
      <c r="Y662" s="199"/>
      <c r="Z662" s="199"/>
      <c r="AA662" s="204" t="str">
        <f t="shared" si="4"/>
        <v/>
      </c>
      <c r="AB662" s="198"/>
      <c r="AC662" s="199"/>
      <c r="AD662" s="199"/>
      <c r="AE662" s="199"/>
      <c r="AF662" s="199"/>
      <c r="AG662" s="199"/>
      <c r="AH662" s="199"/>
      <c r="AI662" s="199"/>
      <c r="AJ662" s="199"/>
      <c r="AK662" s="199"/>
      <c r="AL662" s="199"/>
      <c r="AM662" s="198"/>
      <c r="AN662" s="197"/>
      <c r="AO662" s="197"/>
      <c r="AP662" s="197"/>
      <c r="AQ662" s="197"/>
      <c r="AR662" s="197"/>
      <c r="AS662" s="197"/>
    </row>
    <row r="663">
      <c r="A663" s="198" t="str">
        <f t="shared" si="1"/>
        <v/>
      </c>
      <c r="B663" s="205"/>
      <c r="C663" s="198"/>
      <c r="D663" s="199"/>
      <c r="E663" s="213"/>
      <c r="F663" s="198"/>
      <c r="G663" s="198"/>
      <c r="H663" s="199"/>
      <c r="I663" s="207"/>
      <c r="J663" s="199"/>
      <c r="K663" s="202"/>
      <c r="L663" s="205" t="str">
        <f>IFERROR(__xludf.DUMMYFUNCTION("IFERROR(
    INDEX(FILTER('Arrived Shipments'!O:O, 'Arrived Shipments'!B:B=$B663),1),
    IFERROR(
        INDEX(FILTER('POed not arrived'!D:D, 'POed not arrived'!A:A=$B663),1),
        """"
    )
)"),"")</f>
        <v/>
      </c>
      <c r="M663" s="202"/>
      <c r="N663" s="223" t="str">
        <f>IFERROR(__xludf.DUMMYFUNCTION("IFERROR(
    INDEX(FILTER('Arrived Shipments'!O:O, 'Arrived Shipments'!B:B=$B663),2),
    IFERROR(
        INDEX(FILTER('POed not arrived'!D:D, 'POed not arrived'!A:A=$B663),2),
        """"
    )
)"),"")</f>
        <v/>
      </c>
      <c r="O663" s="202"/>
      <c r="P663" s="202" t="str">
        <f>IFERROR(__xludf.DUMMYFUNCTION("IFERROR(
    INDEX(FILTER('Arrived Shipments'!O:O, 'Arrived Shipments'!B:B=$B663),3),
    IFERROR(
        INDEX(FILTER('POed not arrived'!D:D, 'POed not arrived'!A:A=$B663),3),
        """"
    )
)"),"")</f>
        <v/>
      </c>
      <c r="Q663" s="202"/>
      <c r="R663" s="206" t="str">
        <f>IFERROR(__xludf.DUMMYFUNCTION("IFERROR(
    INDEX(FILTER('Arrived Shipments'!O:O, 'Arrived Shipments'!B:B=$B663),4),
    IFERROR(
        INDEX(FILTER('POed not arrived'!D:D, 'POed not arrived'!A:A=$B663),4),
        """"
    )
)"),"")</f>
        <v/>
      </c>
      <c r="S663" s="202"/>
      <c r="T663" s="202">
        <f t="shared" si="8"/>
        <v>0</v>
      </c>
      <c r="U663" s="198"/>
      <c r="V663" s="199"/>
      <c r="W663" s="197"/>
      <c r="X663" s="197"/>
      <c r="Y663" s="199"/>
      <c r="Z663" s="199"/>
      <c r="AA663" s="204" t="str">
        <f t="shared" si="4"/>
        <v/>
      </c>
      <c r="AB663" s="198"/>
      <c r="AC663" s="199"/>
      <c r="AD663" s="199"/>
      <c r="AE663" s="199"/>
      <c r="AF663" s="199"/>
      <c r="AG663" s="199"/>
      <c r="AH663" s="199"/>
      <c r="AI663" s="199"/>
      <c r="AJ663" s="199"/>
      <c r="AK663" s="199"/>
      <c r="AL663" s="199"/>
      <c r="AM663" s="198"/>
      <c r="AN663" s="197"/>
      <c r="AO663" s="197"/>
      <c r="AP663" s="197"/>
      <c r="AQ663" s="197"/>
      <c r="AR663" s="197"/>
      <c r="AS663" s="197"/>
    </row>
    <row r="664">
      <c r="A664" s="198" t="str">
        <f t="shared" si="1"/>
        <v/>
      </c>
      <c r="B664" s="205"/>
      <c r="C664" s="198"/>
      <c r="D664" s="199"/>
      <c r="E664" s="213"/>
      <c r="F664" s="198"/>
      <c r="G664" s="198"/>
      <c r="H664" s="199"/>
      <c r="I664" s="207"/>
      <c r="J664" s="199"/>
      <c r="K664" s="202"/>
      <c r="L664" s="205" t="str">
        <f>IFERROR(__xludf.DUMMYFUNCTION("IFERROR(
    INDEX(FILTER('Arrived Shipments'!O:O, 'Arrived Shipments'!B:B=$B664),1),
    IFERROR(
        INDEX(FILTER('POed not arrived'!D:D, 'POed not arrived'!A:A=$B664),1),
        """"
    )
)"),"")</f>
        <v/>
      </c>
      <c r="M664" s="202"/>
      <c r="N664" s="223" t="str">
        <f>IFERROR(__xludf.DUMMYFUNCTION("IFERROR(
    INDEX(FILTER('Arrived Shipments'!O:O, 'Arrived Shipments'!B:B=$B664),2),
    IFERROR(
        INDEX(FILTER('POed not arrived'!D:D, 'POed not arrived'!A:A=$B664),2),
        """"
    )
)"),"")</f>
        <v/>
      </c>
      <c r="O664" s="202"/>
      <c r="P664" s="202" t="str">
        <f>IFERROR(__xludf.DUMMYFUNCTION("IFERROR(
    INDEX(FILTER('Arrived Shipments'!O:O, 'Arrived Shipments'!B:B=$B664),3),
    IFERROR(
        INDEX(FILTER('POed not arrived'!D:D, 'POed not arrived'!A:A=$B664),3),
        """"
    )
)"),"")</f>
        <v/>
      </c>
      <c r="Q664" s="202"/>
      <c r="R664" s="206" t="str">
        <f>IFERROR(__xludf.DUMMYFUNCTION("IFERROR(
    INDEX(FILTER('Arrived Shipments'!O:O, 'Arrived Shipments'!B:B=$B664),4),
    IFERROR(
        INDEX(FILTER('POed not arrived'!D:D, 'POed not arrived'!A:A=$B664),4),
        """"
    )
)"),"")</f>
        <v/>
      </c>
      <c r="S664" s="202"/>
      <c r="T664" s="202">
        <f t="shared" si="8"/>
        <v>0</v>
      </c>
      <c r="U664" s="198"/>
      <c r="V664" s="199"/>
      <c r="W664" s="197"/>
      <c r="X664" s="197"/>
      <c r="Y664" s="199"/>
      <c r="Z664" s="199"/>
      <c r="AA664" s="204" t="str">
        <f t="shared" si="4"/>
        <v/>
      </c>
      <c r="AB664" s="198"/>
      <c r="AC664" s="199"/>
      <c r="AD664" s="199"/>
      <c r="AE664" s="199"/>
      <c r="AF664" s="199"/>
      <c r="AG664" s="199"/>
      <c r="AH664" s="199"/>
      <c r="AI664" s="199"/>
      <c r="AJ664" s="199"/>
      <c r="AK664" s="199"/>
      <c r="AL664" s="199"/>
      <c r="AM664" s="198"/>
      <c r="AN664" s="197"/>
      <c r="AO664" s="197"/>
      <c r="AP664" s="197"/>
      <c r="AQ664" s="197"/>
      <c r="AR664" s="197"/>
      <c r="AS664" s="197"/>
    </row>
    <row r="665">
      <c r="A665" s="198" t="str">
        <f t="shared" si="1"/>
        <v/>
      </c>
      <c r="B665" s="205"/>
      <c r="C665" s="198"/>
      <c r="D665" s="199"/>
      <c r="E665" s="213"/>
      <c r="F665" s="198"/>
      <c r="G665" s="198"/>
      <c r="H665" s="199"/>
      <c r="I665" s="207"/>
      <c r="J665" s="199"/>
      <c r="K665" s="202"/>
      <c r="L665" s="205" t="str">
        <f>IFERROR(__xludf.DUMMYFUNCTION("IFERROR(
    INDEX(FILTER('Arrived Shipments'!O:O, 'Arrived Shipments'!B:B=$B665),1),
    IFERROR(
        INDEX(FILTER('POed not arrived'!D:D, 'POed not arrived'!A:A=$B665),1),
        """"
    )
)"),"")</f>
        <v/>
      </c>
      <c r="M665" s="202"/>
      <c r="N665" s="223" t="str">
        <f>IFERROR(__xludf.DUMMYFUNCTION("IFERROR(
    INDEX(FILTER('Arrived Shipments'!O:O, 'Arrived Shipments'!B:B=$B665),2),
    IFERROR(
        INDEX(FILTER('POed not arrived'!D:D, 'POed not arrived'!A:A=$B665),2),
        """"
    )
)"),"")</f>
        <v/>
      </c>
      <c r="O665" s="202"/>
      <c r="P665" s="202" t="str">
        <f>IFERROR(__xludf.DUMMYFUNCTION("IFERROR(
    INDEX(FILTER('Arrived Shipments'!O:O, 'Arrived Shipments'!B:B=$B665),3),
    IFERROR(
        INDEX(FILTER('POed not arrived'!D:D, 'POed not arrived'!A:A=$B665),3),
        """"
    )
)"),"")</f>
        <v/>
      </c>
      <c r="Q665" s="202"/>
      <c r="R665" s="206" t="str">
        <f>IFERROR(__xludf.DUMMYFUNCTION("IFERROR(
    INDEX(FILTER('Arrived Shipments'!O:O, 'Arrived Shipments'!B:B=$B665),4),
    IFERROR(
        INDEX(FILTER('POed not arrived'!D:D, 'POed not arrived'!A:A=$B665),4),
        """"
    )
)"),"")</f>
        <v/>
      </c>
      <c r="S665" s="202"/>
      <c r="T665" s="202">
        <f t="shared" si="8"/>
        <v>0</v>
      </c>
      <c r="U665" s="198"/>
      <c r="V665" s="199"/>
      <c r="W665" s="197"/>
      <c r="X665" s="197"/>
      <c r="Y665" s="199"/>
      <c r="Z665" s="199"/>
      <c r="AA665" s="204" t="str">
        <f t="shared" si="4"/>
        <v/>
      </c>
      <c r="AB665" s="198"/>
      <c r="AC665" s="199"/>
      <c r="AD665" s="199"/>
      <c r="AE665" s="199"/>
      <c r="AF665" s="199"/>
      <c r="AG665" s="199"/>
      <c r="AH665" s="199"/>
      <c r="AI665" s="199"/>
      <c r="AJ665" s="199"/>
      <c r="AK665" s="199"/>
      <c r="AL665" s="199"/>
      <c r="AM665" s="198"/>
      <c r="AN665" s="197"/>
      <c r="AO665" s="197"/>
      <c r="AP665" s="197"/>
      <c r="AQ665" s="197"/>
      <c r="AR665" s="197"/>
      <c r="AS665" s="197"/>
    </row>
    <row r="666">
      <c r="A666" s="198" t="str">
        <f t="shared" si="1"/>
        <v/>
      </c>
      <c r="B666" s="205"/>
      <c r="C666" s="198"/>
      <c r="D666" s="199"/>
      <c r="E666" s="213"/>
      <c r="F666" s="198"/>
      <c r="G666" s="198"/>
      <c r="H666" s="199"/>
      <c r="I666" s="207"/>
      <c r="J666" s="199"/>
      <c r="K666" s="202"/>
      <c r="L666" s="205" t="str">
        <f>IFERROR(__xludf.DUMMYFUNCTION("IFERROR(
    INDEX(FILTER('Arrived Shipments'!O:O, 'Arrived Shipments'!B:B=$B666),1),
    IFERROR(
        INDEX(FILTER('POed not arrived'!D:D, 'POed not arrived'!A:A=$B666),1),
        """"
    )
)"),"")</f>
        <v/>
      </c>
      <c r="M666" s="202"/>
      <c r="N666" s="223" t="str">
        <f>IFERROR(__xludf.DUMMYFUNCTION("IFERROR(
    INDEX(FILTER('Arrived Shipments'!O:O, 'Arrived Shipments'!B:B=$B666),2),
    IFERROR(
        INDEX(FILTER('POed not arrived'!D:D, 'POed not arrived'!A:A=$B666),2),
        """"
    )
)"),"")</f>
        <v/>
      </c>
      <c r="O666" s="202"/>
      <c r="P666" s="202" t="str">
        <f>IFERROR(__xludf.DUMMYFUNCTION("IFERROR(
    INDEX(FILTER('Arrived Shipments'!O:O, 'Arrived Shipments'!B:B=$B666),3),
    IFERROR(
        INDEX(FILTER('POed not arrived'!D:D, 'POed not arrived'!A:A=$B666),3),
        """"
    )
)"),"")</f>
        <v/>
      </c>
      <c r="Q666" s="202"/>
      <c r="R666" s="206" t="str">
        <f>IFERROR(__xludf.DUMMYFUNCTION("IFERROR(
    INDEX(FILTER('Arrived Shipments'!O:O, 'Arrived Shipments'!B:B=$B666),4),
    IFERROR(
        INDEX(FILTER('POed not arrived'!D:D, 'POed not arrived'!A:A=$B666),4),
        """"
    )
)"),"")</f>
        <v/>
      </c>
      <c r="S666" s="202"/>
      <c r="T666" s="202">
        <f t="shared" si="8"/>
        <v>0</v>
      </c>
      <c r="U666" s="198"/>
      <c r="V666" s="199"/>
      <c r="W666" s="197"/>
      <c r="X666" s="197"/>
      <c r="Y666" s="199"/>
      <c r="Z666" s="199"/>
      <c r="AA666" s="204" t="str">
        <f t="shared" si="4"/>
        <v/>
      </c>
      <c r="AB666" s="198"/>
      <c r="AC666" s="199"/>
      <c r="AD666" s="199"/>
      <c r="AE666" s="199"/>
      <c r="AF666" s="199"/>
      <c r="AG666" s="199"/>
      <c r="AH666" s="199"/>
      <c r="AI666" s="199"/>
      <c r="AJ666" s="199"/>
      <c r="AK666" s="199"/>
      <c r="AL666" s="199"/>
      <c r="AM666" s="198"/>
      <c r="AN666" s="197"/>
      <c r="AO666" s="197"/>
      <c r="AP666" s="197"/>
      <c r="AQ666" s="197"/>
      <c r="AR666" s="197"/>
      <c r="AS666" s="197"/>
    </row>
    <row r="667">
      <c r="A667" s="198" t="str">
        <f t="shared" si="1"/>
        <v/>
      </c>
      <c r="B667" s="205"/>
      <c r="C667" s="198"/>
      <c r="D667" s="199"/>
      <c r="E667" s="213"/>
      <c r="F667" s="198"/>
      <c r="G667" s="198"/>
      <c r="H667" s="199"/>
      <c r="I667" s="207"/>
      <c r="J667" s="199"/>
      <c r="K667" s="202"/>
      <c r="L667" s="205" t="str">
        <f>IFERROR(__xludf.DUMMYFUNCTION("IFERROR(
    INDEX(FILTER('Arrived Shipments'!O:O, 'Arrived Shipments'!B:B=$B667),1),
    IFERROR(
        INDEX(FILTER('POed not arrived'!D:D, 'POed not arrived'!A:A=$B667),1),
        """"
    )
)"),"")</f>
        <v/>
      </c>
      <c r="M667" s="202"/>
      <c r="N667" s="223" t="str">
        <f>IFERROR(__xludf.DUMMYFUNCTION("IFERROR(
    INDEX(FILTER('Arrived Shipments'!O:O, 'Arrived Shipments'!B:B=$B667),2),
    IFERROR(
        INDEX(FILTER('POed not arrived'!D:D, 'POed not arrived'!A:A=$B667),2),
        """"
    )
)"),"")</f>
        <v/>
      </c>
      <c r="O667" s="202"/>
      <c r="P667" s="202" t="str">
        <f>IFERROR(__xludf.DUMMYFUNCTION("IFERROR(
    INDEX(FILTER('Arrived Shipments'!O:O, 'Arrived Shipments'!B:B=$B667),3),
    IFERROR(
        INDEX(FILTER('POed not arrived'!D:D, 'POed not arrived'!A:A=$B667),3),
        """"
    )
)"),"")</f>
        <v/>
      </c>
      <c r="Q667" s="202"/>
      <c r="R667" s="206" t="str">
        <f>IFERROR(__xludf.DUMMYFUNCTION("IFERROR(
    INDEX(FILTER('Arrived Shipments'!O:O, 'Arrived Shipments'!B:B=$B667),4),
    IFERROR(
        INDEX(FILTER('POed not arrived'!D:D, 'POed not arrived'!A:A=$B667),4),
        """"
    )
)"),"")</f>
        <v/>
      </c>
      <c r="S667" s="202"/>
      <c r="T667" s="202">
        <f t="shared" si="8"/>
        <v>0</v>
      </c>
      <c r="U667" s="198"/>
      <c r="V667" s="199"/>
      <c r="W667" s="197"/>
      <c r="X667" s="197"/>
      <c r="Y667" s="199"/>
      <c r="Z667" s="199"/>
      <c r="AA667" s="204" t="str">
        <f t="shared" si="4"/>
        <v/>
      </c>
      <c r="AB667" s="198"/>
      <c r="AC667" s="199"/>
      <c r="AD667" s="199"/>
      <c r="AE667" s="199"/>
      <c r="AF667" s="199"/>
      <c r="AG667" s="199"/>
      <c r="AH667" s="199"/>
      <c r="AI667" s="199"/>
      <c r="AJ667" s="199"/>
      <c r="AK667" s="199"/>
      <c r="AL667" s="199"/>
      <c r="AM667" s="198"/>
      <c r="AN667" s="197"/>
      <c r="AO667" s="197"/>
      <c r="AP667" s="197"/>
      <c r="AQ667" s="197"/>
      <c r="AR667" s="197"/>
      <c r="AS667" s="197"/>
    </row>
    <row r="668">
      <c r="A668" s="198" t="str">
        <f t="shared" si="1"/>
        <v/>
      </c>
      <c r="B668" s="205"/>
      <c r="C668" s="198"/>
      <c r="D668" s="199"/>
      <c r="E668" s="213"/>
      <c r="F668" s="198"/>
      <c r="G668" s="198"/>
      <c r="H668" s="199"/>
      <c r="I668" s="207"/>
      <c r="J668" s="199"/>
      <c r="K668" s="202"/>
      <c r="L668" s="205" t="str">
        <f>IFERROR(__xludf.DUMMYFUNCTION("IFERROR(
    INDEX(FILTER('Arrived Shipments'!O:O, 'Arrived Shipments'!B:B=$B668),1),
    IFERROR(
        INDEX(FILTER('POed not arrived'!D:D, 'POed not arrived'!A:A=$B668),1),
        """"
    )
)"),"")</f>
        <v/>
      </c>
      <c r="M668" s="202"/>
      <c r="N668" s="223" t="str">
        <f>IFERROR(__xludf.DUMMYFUNCTION("IFERROR(
    INDEX(FILTER('Arrived Shipments'!O:O, 'Arrived Shipments'!B:B=$B668),2),
    IFERROR(
        INDEX(FILTER('POed not arrived'!D:D, 'POed not arrived'!A:A=$B668),2),
        """"
    )
)"),"")</f>
        <v/>
      </c>
      <c r="O668" s="202"/>
      <c r="P668" s="202" t="str">
        <f>IFERROR(__xludf.DUMMYFUNCTION("IFERROR(
    INDEX(FILTER('Arrived Shipments'!O:O, 'Arrived Shipments'!B:B=$B668),3),
    IFERROR(
        INDEX(FILTER('POed not arrived'!D:D, 'POed not arrived'!A:A=$B668),3),
        """"
    )
)"),"")</f>
        <v/>
      </c>
      <c r="Q668" s="202"/>
      <c r="R668" s="206" t="str">
        <f>IFERROR(__xludf.DUMMYFUNCTION("IFERROR(
    INDEX(FILTER('Arrived Shipments'!O:O, 'Arrived Shipments'!B:B=$B668),4),
    IFERROR(
        INDEX(FILTER('POed not arrived'!D:D, 'POed not arrived'!A:A=$B668),4),
        """"
    )
)"),"")</f>
        <v/>
      </c>
      <c r="S668" s="202"/>
      <c r="T668" s="202">
        <f t="shared" si="8"/>
        <v>0</v>
      </c>
      <c r="U668" s="198"/>
      <c r="V668" s="199"/>
      <c r="W668" s="197"/>
      <c r="X668" s="197"/>
      <c r="Y668" s="199"/>
      <c r="Z668" s="199"/>
      <c r="AA668" s="204" t="str">
        <f t="shared" si="4"/>
        <v/>
      </c>
      <c r="AB668" s="198"/>
      <c r="AC668" s="199"/>
      <c r="AD668" s="199"/>
      <c r="AE668" s="199"/>
      <c r="AF668" s="199"/>
      <c r="AG668" s="199"/>
      <c r="AH668" s="199"/>
      <c r="AI668" s="199"/>
      <c r="AJ668" s="199"/>
      <c r="AK668" s="199"/>
      <c r="AL668" s="199"/>
      <c r="AM668" s="198"/>
      <c r="AN668" s="197"/>
      <c r="AO668" s="197"/>
      <c r="AP668" s="197"/>
      <c r="AQ668" s="197"/>
      <c r="AR668" s="197"/>
      <c r="AS668" s="197"/>
    </row>
    <row r="669">
      <c r="A669" s="198" t="str">
        <f t="shared" si="1"/>
        <v/>
      </c>
      <c r="B669" s="205"/>
      <c r="C669" s="198"/>
      <c r="D669" s="199"/>
      <c r="E669" s="213"/>
      <c r="F669" s="198"/>
      <c r="G669" s="198"/>
      <c r="H669" s="199"/>
      <c r="I669" s="207"/>
      <c r="J669" s="199"/>
      <c r="K669" s="202"/>
      <c r="L669" s="205" t="str">
        <f>IFERROR(__xludf.DUMMYFUNCTION("IFERROR(
    INDEX(FILTER('Arrived Shipments'!O:O, 'Arrived Shipments'!B:B=$B669),1),
    IFERROR(
        INDEX(FILTER('POed not arrived'!D:D, 'POed not arrived'!A:A=$B669),1),
        """"
    )
)"),"")</f>
        <v/>
      </c>
      <c r="M669" s="202"/>
      <c r="N669" s="223" t="str">
        <f>IFERROR(__xludf.DUMMYFUNCTION("IFERROR(
    INDEX(FILTER('Arrived Shipments'!O:O, 'Arrived Shipments'!B:B=$B669),2),
    IFERROR(
        INDEX(FILTER('POed not arrived'!D:D, 'POed not arrived'!A:A=$B669),2),
        """"
    )
)"),"")</f>
        <v/>
      </c>
      <c r="O669" s="202"/>
      <c r="P669" s="202" t="str">
        <f>IFERROR(__xludf.DUMMYFUNCTION("IFERROR(
    INDEX(FILTER('Arrived Shipments'!O:O, 'Arrived Shipments'!B:B=$B669),3),
    IFERROR(
        INDEX(FILTER('POed not arrived'!D:D, 'POed not arrived'!A:A=$B669),3),
        """"
    )
)"),"")</f>
        <v/>
      </c>
      <c r="Q669" s="202"/>
      <c r="R669" s="206" t="str">
        <f>IFERROR(__xludf.DUMMYFUNCTION("IFERROR(
    INDEX(FILTER('Arrived Shipments'!O:O, 'Arrived Shipments'!B:B=$B669),4),
    IFERROR(
        INDEX(FILTER('POed not arrived'!D:D, 'POed not arrived'!A:A=$B669),4),
        """"
    )
)"),"")</f>
        <v/>
      </c>
      <c r="S669" s="202"/>
      <c r="T669" s="202">
        <f t="shared" si="8"/>
        <v>0</v>
      </c>
      <c r="U669" s="198"/>
      <c r="V669" s="199"/>
      <c r="W669" s="197"/>
      <c r="X669" s="197"/>
      <c r="Y669" s="199"/>
      <c r="Z669" s="199"/>
      <c r="AA669" s="204" t="str">
        <f t="shared" si="4"/>
        <v/>
      </c>
      <c r="AB669" s="198"/>
      <c r="AC669" s="199"/>
      <c r="AD669" s="199"/>
      <c r="AE669" s="199"/>
      <c r="AF669" s="199"/>
      <c r="AG669" s="199"/>
      <c r="AH669" s="199"/>
      <c r="AI669" s="199"/>
      <c r="AJ669" s="199"/>
      <c r="AK669" s="199"/>
      <c r="AL669" s="199"/>
      <c r="AM669" s="198"/>
      <c r="AN669" s="197"/>
      <c r="AO669" s="197"/>
      <c r="AP669" s="197"/>
      <c r="AQ669" s="197"/>
      <c r="AR669" s="197"/>
      <c r="AS669" s="197"/>
    </row>
    <row r="670">
      <c r="A670" s="198" t="str">
        <f t="shared" si="1"/>
        <v/>
      </c>
      <c r="B670" s="205"/>
      <c r="C670" s="198"/>
      <c r="D670" s="199"/>
      <c r="E670" s="213"/>
      <c r="F670" s="198"/>
      <c r="G670" s="198"/>
      <c r="H670" s="199"/>
      <c r="I670" s="207"/>
      <c r="J670" s="199"/>
      <c r="K670" s="202"/>
      <c r="L670" s="205" t="str">
        <f>IFERROR(__xludf.DUMMYFUNCTION("IFERROR(
    INDEX(FILTER('Arrived Shipments'!O:O, 'Arrived Shipments'!B:B=$B670),1),
    IFERROR(
        INDEX(FILTER('POed not arrived'!D:D, 'POed not arrived'!A:A=$B670),1),
        """"
    )
)"),"")</f>
        <v/>
      </c>
      <c r="M670" s="202"/>
      <c r="N670" s="223" t="str">
        <f>IFERROR(__xludf.DUMMYFUNCTION("IFERROR(
    INDEX(FILTER('Arrived Shipments'!O:O, 'Arrived Shipments'!B:B=$B670),2),
    IFERROR(
        INDEX(FILTER('POed not arrived'!D:D, 'POed not arrived'!A:A=$B670),2),
        """"
    )
)"),"")</f>
        <v/>
      </c>
      <c r="O670" s="202"/>
      <c r="P670" s="202" t="str">
        <f>IFERROR(__xludf.DUMMYFUNCTION("IFERROR(
    INDEX(FILTER('Arrived Shipments'!O:O, 'Arrived Shipments'!B:B=$B670),3),
    IFERROR(
        INDEX(FILTER('POed not arrived'!D:D, 'POed not arrived'!A:A=$B670),3),
        """"
    )
)"),"")</f>
        <v/>
      </c>
      <c r="Q670" s="202"/>
      <c r="R670" s="206" t="str">
        <f>IFERROR(__xludf.DUMMYFUNCTION("IFERROR(
    INDEX(FILTER('Arrived Shipments'!O:O, 'Arrived Shipments'!B:B=$B670),4),
    IFERROR(
        INDEX(FILTER('POed not arrived'!D:D, 'POed not arrived'!A:A=$B670),4),
        """"
    )
)"),"")</f>
        <v/>
      </c>
      <c r="S670" s="202"/>
      <c r="T670" s="202">
        <f t="shared" si="8"/>
        <v>0</v>
      </c>
      <c r="U670" s="198"/>
      <c r="V670" s="199"/>
      <c r="W670" s="197"/>
      <c r="X670" s="197"/>
      <c r="Y670" s="199"/>
      <c r="Z670" s="199"/>
      <c r="AA670" s="204" t="str">
        <f t="shared" si="4"/>
        <v/>
      </c>
      <c r="AB670" s="198"/>
      <c r="AC670" s="199"/>
      <c r="AD670" s="199"/>
      <c r="AE670" s="199"/>
      <c r="AF670" s="199"/>
      <c r="AG670" s="199"/>
      <c r="AH670" s="199"/>
      <c r="AI670" s="199"/>
      <c r="AJ670" s="199"/>
      <c r="AK670" s="199"/>
      <c r="AL670" s="199"/>
      <c r="AM670" s="198"/>
      <c r="AN670" s="197"/>
      <c r="AO670" s="197"/>
      <c r="AP670" s="197"/>
      <c r="AQ670" s="197"/>
      <c r="AR670" s="197"/>
      <c r="AS670" s="197"/>
    </row>
    <row r="671">
      <c r="A671" s="198" t="str">
        <f t="shared" si="1"/>
        <v/>
      </c>
      <c r="B671" s="205"/>
      <c r="C671" s="198"/>
      <c r="D671" s="199"/>
      <c r="E671" s="213"/>
      <c r="F671" s="198"/>
      <c r="G671" s="198"/>
      <c r="H671" s="199"/>
      <c r="I671" s="207"/>
      <c r="J671" s="199"/>
      <c r="K671" s="202"/>
      <c r="L671" s="205" t="str">
        <f>IFERROR(__xludf.DUMMYFUNCTION("IFERROR(
    INDEX(FILTER('Arrived Shipments'!O:O, 'Arrived Shipments'!B:B=$B671),1),
    IFERROR(
        INDEX(FILTER('POed not arrived'!D:D, 'POed not arrived'!A:A=$B671),1),
        """"
    )
)"),"")</f>
        <v/>
      </c>
      <c r="M671" s="202"/>
      <c r="N671" s="223" t="str">
        <f>IFERROR(__xludf.DUMMYFUNCTION("IFERROR(
    INDEX(FILTER('Arrived Shipments'!O:O, 'Arrived Shipments'!B:B=$B671),2),
    IFERROR(
        INDEX(FILTER('POed not arrived'!D:D, 'POed not arrived'!A:A=$B671),2),
        """"
    )
)"),"")</f>
        <v/>
      </c>
      <c r="O671" s="202"/>
      <c r="P671" s="202" t="str">
        <f>IFERROR(__xludf.DUMMYFUNCTION("IFERROR(
    INDEX(FILTER('Arrived Shipments'!O:O, 'Arrived Shipments'!B:B=$B671),3),
    IFERROR(
        INDEX(FILTER('POed not arrived'!D:D, 'POed not arrived'!A:A=$B671),3),
        """"
    )
)"),"")</f>
        <v/>
      </c>
      <c r="Q671" s="202"/>
      <c r="R671" s="206" t="str">
        <f>IFERROR(__xludf.DUMMYFUNCTION("IFERROR(
    INDEX(FILTER('Arrived Shipments'!O:O, 'Arrived Shipments'!B:B=$B671),4),
    IFERROR(
        INDEX(FILTER('POed not arrived'!D:D, 'POed not arrived'!A:A=$B671),4),
        """"
    )
)"),"")</f>
        <v/>
      </c>
      <c r="S671" s="202"/>
      <c r="T671" s="202">
        <f t="shared" si="8"/>
        <v>0</v>
      </c>
      <c r="U671" s="198"/>
      <c r="V671" s="199"/>
      <c r="W671" s="197"/>
      <c r="X671" s="197"/>
      <c r="Y671" s="199"/>
      <c r="Z671" s="199"/>
      <c r="AA671" s="204" t="str">
        <f t="shared" si="4"/>
        <v/>
      </c>
      <c r="AB671" s="198"/>
      <c r="AC671" s="199"/>
      <c r="AD671" s="199"/>
      <c r="AE671" s="199"/>
      <c r="AF671" s="199"/>
      <c r="AG671" s="199"/>
      <c r="AH671" s="199"/>
      <c r="AI671" s="199"/>
      <c r="AJ671" s="199"/>
      <c r="AK671" s="199"/>
      <c r="AL671" s="199"/>
      <c r="AM671" s="198"/>
      <c r="AN671" s="197"/>
      <c r="AO671" s="197"/>
      <c r="AP671" s="197"/>
      <c r="AQ671" s="197"/>
      <c r="AR671" s="197"/>
      <c r="AS671" s="197"/>
    </row>
    <row r="672">
      <c r="A672" s="198" t="str">
        <f t="shared" si="1"/>
        <v/>
      </c>
      <c r="B672" s="205"/>
      <c r="C672" s="198"/>
      <c r="D672" s="199"/>
      <c r="E672" s="213"/>
      <c r="F672" s="198"/>
      <c r="G672" s="198"/>
      <c r="H672" s="199"/>
      <c r="I672" s="207"/>
      <c r="J672" s="199"/>
      <c r="K672" s="202"/>
      <c r="L672" s="205" t="str">
        <f>IFERROR(__xludf.DUMMYFUNCTION("IFERROR(
    INDEX(FILTER('Arrived Shipments'!O:O, 'Arrived Shipments'!B:B=$B672),1),
    IFERROR(
        INDEX(FILTER('POed not arrived'!D:D, 'POed not arrived'!A:A=$B672),1),
        """"
    )
)"),"")</f>
        <v/>
      </c>
      <c r="M672" s="202"/>
      <c r="N672" s="223" t="str">
        <f>IFERROR(__xludf.DUMMYFUNCTION("IFERROR(
    INDEX(FILTER('Arrived Shipments'!O:O, 'Arrived Shipments'!B:B=$B672),2),
    IFERROR(
        INDEX(FILTER('POed not arrived'!D:D, 'POed not arrived'!A:A=$B672),2),
        """"
    )
)"),"")</f>
        <v/>
      </c>
      <c r="O672" s="202"/>
      <c r="P672" s="202" t="str">
        <f>IFERROR(__xludf.DUMMYFUNCTION("IFERROR(
    INDEX(FILTER('Arrived Shipments'!O:O, 'Arrived Shipments'!B:B=$B672),3),
    IFERROR(
        INDEX(FILTER('POed not arrived'!D:D, 'POed not arrived'!A:A=$B672),3),
        """"
    )
)"),"")</f>
        <v/>
      </c>
      <c r="Q672" s="202"/>
      <c r="R672" s="206" t="str">
        <f>IFERROR(__xludf.DUMMYFUNCTION("IFERROR(
    INDEX(FILTER('Arrived Shipments'!O:O, 'Arrived Shipments'!B:B=$B672),4),
    IFERROR(
        INDEX(FILTER('POed not arrived'!D:D, 'POed not arrived'!A:A=$B672),4),
        """"
    )
)"),"")</f>
        <v/>
      </c>
      <c r="S672" s="202"/>
      <c r="T672" s="202">
        <f t="shared" si="8"/>
        <v>0</v>
      </c>
      <c r="U672" s="198"/>
      <c r="V672" s="199"/>
      <c r="W672" s="197"/>
      <c r="X672" s="197"/>
      <c r="Y672" s="199"/>
      <c r="Z672" s="199"/>
      <c r="AA672" s="204" t="str">
        <f t="shared" si="4"/>
        <v/>
      </c>
      <c r="AB672" s="198"/>
      <c r="AC672" s="199"/>
      <c r="AD672" s="199"/>
      <c r="AE672" s="199"/>
      <c r="AF672" s="199"/>
      <c r="AG672" s="199"/>
      <c r="AH672" s="199"/>
      <c r="AI672" s="199"/>
      <c r="AJ672" s="199"/>
      <c r="AK672" s="199"/>
      <c r="AL672" s="199"/>
      <c r="AM672" s="198"/>
      <c r="AN672" s="197"/>
      <c r="AO672" s="197"/>
      <c r="AP672" s="197"/>
      <c r="AQ672" s="197"/>
      <c r="AR672" s="197"/>
      <c r="AS672" s="197"/>
    </row>
    <row r="673">
      <c r="A673" s="198" t="str">
        <f t="shared" si="1"/>
        <v/>
      </c>
      <c r="B673" s="205"/>
      <c r="C673" s="198"/>
      <c r="D673" s="199"/>
      <c r="E673" s="213"/>
      <c r="F673" s="198"/>
      <c r="G673" s="198"/>
      <c r="H673" s="199"/>
      <c r="I673" s="207"/>
      <c r="J673" s="199"/>
      <c r="K673" s="202"/>
      <c r="L673" s="205" t="str">
        <f>IFERROR(__xludf.DUMMYFUNCTION("IFERROR(
    INDEX(FILTER('Arrived Shipments'!O:O, 'Arrived Shipments'!B:B=$B673),1),
    IFERROR(
        INDEX(FILTER('POed not arrived'!D:D, 'POed not arrived'!A:A=$B673),1),
        """"
    )
)"),"")</f>
        <v/>
      </c>
      <c r="M673" s="202"/>
      <c r="N673" s="223" t="str">
        <f>IFERROR(__xludf.DUMMYFUNCTION("IFERROR(
    INDEX(FILTER('Arrived Shipments'!O:O, 'Arrived Shipments'!B:B=$B673),2),
    IFERROR(
        INDEX(FILTER('POed not arrived'!D:D, 'POed not arrived'!A:A=$B673),2),
        """"
    )
)"),"")</f>
        <v/>
      </c>
      <c r="O673" s="202"/>
      <c r="P673" s="202" t="str">
        <f>IFERROR(__xludf.DUMMYFUNCTION("IFERROR(
    INDEX(FILTER('Arrived Shipments'!O:O, 'Arrived Shipments'!B:B=$B673),3),
    IFERROR(
        INDEX(FILTER('POed not arrived'!D:D, 'POed not arrived'!A:A=$B673),3),
        """"
    )
)"),"")</f>
        <v/>
      </c>
      <c r="Q673" s="202"/>
      <c r="R673" s="206" t="str">
        <f>IFERROR(__xludf.DUMMYFUNCTION("IFERROR(
    INDEX(FILTER('Arrived Shipments'!O:O, 'Arrived Shipments'!B:B=$B673),4),
    IFERROR(
        INDEX(FILTER('POed not arrived'!D:D, 'POed not arrived'!A:A=$B673),4),
        """"
    )
)"),"")</f>
        <v/>
      </c>
      <c r="S673" s="202"/>
      <c r="T673" s="202">
        <f t="shared" si="8"/>
        <v>0</v>
      </c>
      <c r="U673" s="198"/>
      <c r="V673" s="199"/>
      <c r="W673" s="197"/>
      <c r="X673" s="197"/>
      <c r="Y673" s="199"/>
      <c r="Z673" s="199"/>
      <c r="AA673" s="204" t="str">
        <f t="shared" si="4"/>
        <v/>
      </c>
      <c r="AB673" s="198"/>
      <c r="AC673" s="199"/>
      <c r="AD673" s="199"/>
      <c r="AE673" s="199"/>
      <c r="AF673" s="199"/>
      <c r="AG673" s="199"/>
      <c r="AH673" s="199"/>
      <c r="AI673" s="199"/>
      <c r="AJ673" s="199"/>
      <c r="AK673" s="199"/>
      <c r="AL673" s="199"/>
      <c r="AM673" s="198"/>
      <c r="AN673" s="197"/>
      <c r="AO673" s="197"/>
      <c r="AP673" s="197"/>
      <c r="AQ673" s="197"/>
      <c r="AR673" s="197"/>
      <c r="AS673" s="197"/>
    </row>
    <row r="674">
      <c r="A674" s="198" t="str">
        <f t="shared" si="1"/>
        <v/>
      </c>
      <c r="B674" s="205"/>
      <c r="C674" s="198"/>
      <c r="D674" s="199"/>
      <c r="E674" s="213"/>
      <c r="F674" s="198"/>
      <c r="G674" s="198"/>
      <c r="H674" s="199"/>
      <c r="I674" s="207"/>
      <c r="J674" s="199"/>
      <c r="K674" s="202"/>
      <c r="L674" s="205" t="str">
        <f>IFERROR(__xludf.DUMMYFUNCTION("IFERROR(
    INDEX(FILTER('Arrived Shipments'!O:O, 'Arrived Shipments'!B:B=$B674),1),
    IFERROR(
        INDEX(FILTER('POed not arrived'!D:D, 'POed not arrived'!A:A=$B674),1),
        """"
    )
)"),"")</f>
        <v/>
      </c>
      <c r="M674" s="202"/>
      <c r="N674" s="223" t="str">
        <f>IFERROR(__xludf.DUMMYFUNCTION("IFERROR(
    INDEX(FILTER('Arrived Shipments'!O:O, 'Arrived Shipments'!B:B=$B674),2),
    IFERROR(
        INDEX(FILTER('POed not arrived'!D:D, 'POed not arrived'!A:A=$B674),2),
        """"
    )
)"),"")</f>
        <v/>
      </c>
      <c r="O674" s="202"/>
      <c r="P674" s="202" t="str">
        <f>IFERROR(__xludf.DUMMYFUNCTION("IFERROR(
    INDEX(FILTER('Arrived Shipments'!O:O, 'Arrived Shipments'!B:B=$B674),3),
    IFERROR(
        INDEX(FILTER('POed not arrived'!D:D, 'POed not arrived'!A:A=$B674),3),
        """"
    )
)"),"")</f>
        <v/>
      </c>
      <c r="Q674" s="202"/>
      <c r="R674" s="206" t="str">
        <f>IFERROR(__xludf.DUMMYFUNCTION("IFERROR(
    INDEX(FILTER('Arrived Shipments'!O:O, 'Arrived Shipments'!B:B=$B674),4),
    IFERROR(
        INDEX(FILTER('POed not arrived'!D:D, 'POed not arrived'!A:A=$B674),4),
        """"
    )
)"),"")</f>
        <v/>
      </c>
      <c r="S674" s="202"/>
      <c r="T674" s="202">
        <f t="shared" si="8"/>
        <v>0</v>
      </c>
      <c r="U674" s="198"/>
      <c r="V674" s="199"/>
      <c r="W674" s="197"/>
      <c r="X674" s="197"/>
      <c r="Y674" s="199"/>
      <c r="Z674" s="199"/>
      <c r="AA674" s="204" t="str">
        <f t="shared" si="4"/>
        <v/>
      </c>
      <c r="AB674" s="198"/>
      <c r="AC674" s="199"/>
      <c r="AD674" s="199"/>
      <c r="AE674" s="199"/>
      <c r="AF674" s="199"/>
      <c r="AG674" s="199"/>
      <c r="AH674" s="199"/>
      <c r="AI674" s="199"/>
      <c r="AJ674" s="199"/>
      <c r="AK674" s="199"/>
      <c r="AL674" s="199"/>
      <c r="AM674" s="198"/>
      <c r="AN674" s="197"/>
      <c r="AO674" s="197"/>
      <c r="AP674" s="197"/>
      <c r="AQ674" s="197"/>
      <c r="AR674" s="197"/>
      <c r="AS674" s="197"/>
    </row>
    <row r="675">
      <c r="A675" s="198" t="str">
        <f t="shared" si="1"/>
        <v/>
      </c>
      <c r="B675" s="205"/>
      <c r="C675" s="198"/>
      <c r="D675" s="199"/>
      <c r="E675" s="213"/>
      <c r="F675" s="198"/>
      <c r="G675" s="198"/>
      <c r="H675" s="199"/>
      <c r="I675" s="207"/>
      <c r="J675" s="199"/>
      <c r="K675" s="202"/>
      <c r="L675" s="205" t="str">
        <f>IFERROR(__xludf.DUMMYFUNCTION("IFERROR(
    INDEX(FILTER('Arrived Shipments'!O:O, 'Arrived Shipments'!B:B=$B675),1),
    IFERROR(
        INDEX(FILTER('POed not arrived'!D:D, 'POed not arrived'!A:A=$B675),1),
        """"
    )
)"),"")</f>
        <v/>
      </c>
      <c r="M675" s="202"/>
      <c r="N675" s="223" t="str">
        <f>IFERROR(__xludf.DUMMYFUNCTION("IFERROR(
    INDEX(FILTER('Arrived Shipments'!O:O, 'Arrived Shipments'!B:B=$B675),2),
    IFERROR(
        INDEX(FILTER('POed not arrived'!D:D, 'POed not arrived'!A:A=$B675),2),
        """"
    )
)"),"")</f>
        <v/>
      </c>
      <c r="O675" s="202"/>
      <c r="P675" s="202" t="str">
        <f>IFERROR(__xludf.DUMMYFUNCTION("IFERROR(
    INDEX(FILTER('Arrived Shipments'!O:O, 'Arrived Shipments'!B:B=$B675),3),
    IFERROR(
        INDEX(FILTER('POed not arrived'!D:D, 'POed not arrived'!A:A=$B675),3),
        """"
    )
)"),"")</f>
        <v/>
      </c>
      <c r="Q675" s="202"/>
      <c r="R675" s="206" t="str">
        <f>IFERROR(__xludf.DUMMYFUNCTION("IFERROR(
    INDEX(FILTER('Arrived Shipments'!O:O, 'Arrived Shipments'!B:B=$B675),4),
    IFERROR(
        INDEX(FILTER('POed not arrived'!D:D, 'POed not arrived'!A:A=$B675),4),
        """"
    )
)"),"")</f>
        <v/>
      </c>
      <c r="S675" s="202"/>
      <c r="T675" s="202">
        <f t="shared" si="8"/>
        <v>0</v>
      </c>
      <c r="U675" s="198"/>
      <c r="V675" s="199"/>
      <c r="W675" s="197"/>
      <c r="X675" s="197"/>
      <c r="Y675" s="199"/>
      <c r="Z675" s="199"/>
      <c r="AA675" s="204" t="str">
        <f t="shared" si="4"/>
        <v/>
      </c>
      <c r="AB675" s="198"/>
      <c r="AC675" s="199"/>
      <c r="AD675" s="199"/>
      <c r="AE675" s="199"/>
      <c r="AF675" s="199"/>
      <c r="AG675" s="199"/>
      <c r="AH675" s="199"/>
      <c r="AI675" s="199"/>
      <c r="AJ675" s="199"/>
      <c r="AK675" s="199"/>
      <c r="AL675" s="199"/>
      <c r="AM675" s="198"/>
      <c r="AN675" s="197"/>
      <c r="AO675" s="197"/>
      <c r="AP675" s="197"/>
      <c r="AQ675" s="197"/>
      <c r="AR675" s="197"/>
      <c r="AS675" s="197"/>
    </row>
    <row r="676">
      <c r="A676" s="198" t="str">
        <f t="shared" si="1"/>
        <v/>
      </c>
      <c r="B676" s="205"/>
      <c r="C676" s="198"/>
      <c r="D676" s="199"/>
      <c r="E676" s="213"/>
      <c r="F676" s="198"/>
      <c r="G676" s="198"/>
      <c r="H676" s="199"/>
      <c r="I676" s="207"/>
      <c r="J676" s="199"/>
      <c r="K676" s="202"/>
      <c r="L676" s="205" t="str">
        <f>IFERROR(__xludf.DUMMYFUNCTION("IFERROR(
    INDEX(FILTER('Arrived Shipments'!O:O, 'Arrived Shipments'!B:B=$B676),1),
    IFERROR(
        INDEX(FILTER('POed not arrived'!D:D, 'POed not arrived'!A:A=$B676),1),
        """"
    )
)"),"")</f>
        <v/>
      </c>
      <c r="M676" s="202"/>
      <c r="N676" s="223" t="str">
        <f>IFERROR(__xludf.DUMMYFUNCTION("IFERROR(
    INDEX(FILTER('Arrived Shipments'!O:O, 'Arrived Shipments'!B:B=$B676),2),
    IFERROR(
        INDEX(FILTER('POed not arrived'!D:D, 'POed not arrived'!A:A=$B676),2),
        """"
    )
)"),"")</f>
        <v/>
      </c>
      <c r="O676" s="202"/>
      <c r="P676" s="202" t="str">
        <f>IFERROR(__xludf.DUMMYFUNCTION("IFERROR(
    INDEX(FILTER('Arrived Shipments'!O:O, 'Arrived Shipments'!B:B=$B676),3),
    IFERROR(
        INDEX(FILTER('POed not arrived'!D:D, 'POed not arrived'!A:A=$B676),3),
        """"
    )
)"),"")</f>
        <v/>
      </c>
      <c r="Q676" s="202"/>
      <c r="R676" s="206" t="str">
        <f>IFERROR(__xludf.DUMMYFUNCTION("IFERROR(
    INDEX(FILTER('Arrived Shipments'!O:O, 'Arrived Shipments'!B:B=$B676),4),
    IFERROR(
        INDEX(FILTER('POed not arrived'!D:D, 'POed not arrived'!A:A=$B676),4),
        """"
    )
)"),"")</f>
        <v/>
      </c>
      <c r="S676" s="202"/>
      <c r="T676" s="202">
        <f t="shared" si="8"/>
        <v>0</v>
      </c>
      <c r="U676" s="198"/>
      <c r="V676" s="199"/>
      <c r="W676" s="197"/>
      <c r="X676" s="197"/>
      <c r="Y676" s="199"/>
      <c r="Z676" s="199"/>
      <c r="AA676" s="204" t="str">
        <f t="shared" si="4"/>
        <v/>
      </c>
      <c r="AB676" s="198"/>
      <c r="AC676" s="199"/>
      <c r="AD676" s="199"/>
      <c r="AE676" s="199"/>
      <c r="AF676" s="199"/>
      <c r="AG676" s="199"/>
      <c r="AH676" s="199"/>
      <c r="AI676" s="199"/>
      <c r="AJ676" s="199"/>
      <c r="AK676" s="199"/>
      <c r="AL676" s="199"/>
      <c r="AM676" s="198"/>
      <c r="AN676" s="197"/>
      <c r="AO676" s="197"/>
      <c r="AP676" s="197"/>
      <c r="AQ676" s="197"/>
      <c r="AR676" s="197"/>
      <c r="AS676" s="197"/>
    </row>
    <row r="677">
      <c r="A677" s="198" t="str">
        <f t="shared" si="1"/>
        <v/>
      </c>
      <c r="B677" s="205"/>
      <c r="C677" s="198"/>
      <c r="D677" s="199"/>
      <c r="E677" s="213"/>
      <c r="F677" s="198"/>
      <c r="G677" s="198"/>
      <c r="H677" s="199"/>
      <c r="I677" s="207"/>
      <c r="J677" s="199"/>
      <c r="K677" s="202"/>
      <c r="L677" s="205" t="str">
        <f>IFERROR(__xludf.DUMMYFUNCTION("IFERROR(
    INDEX(FILTER('Arrived Shipments'!O:O, 'Arrived Shipments'!B:B=$B677),1),
    IFERROR(
        INDEX(FILTER('POed not arrived'!D:D, 'POed not arrived'!A:A=$B677),1),
        """"
    )
)"),"")</f>
        <v/>
      </c>
      <c r="M677" s="202"/>
      <c r="N677" s="223" t="str">
        <f>IFERROR(__xludf.DUMMYFUNCTION("IFERROR(
    INDEX(FILTER('Arrived Shipments'!O:O, 'Arrived Shipments'!B:B=$B677),2),
    IFERROR(
        INDEX(FILTER('POed not arrived'!D:D, 'POed not arrived'!A:A=$B677),2),
        """"
    )
)"),"")</f>
        <v/>
      </c>
      <c r="O677" s="202"/>
      <c r="P677" s="202" t="str">
        <f>IFERROR(__xludf.DUMMYFUNCTION("IFERROR(
    INDEX(FILTER('Arrived Shipments'!O:O, 'Arrived Shipments'!B:B=$B677),3),
    IFERROR(
        INDEX(FILTER('POed not arrived'!D:D, 'POed not arrived'!A:A=$B677),3),
        """"
    )
)"),"")</f>
        <v/>
      </c>
      <c r="Q677" s="202"/>
      <c r="R677" s="206" t="str">
        <f>IFERROR(__xludf.DUMMYFUNCTION("IFERROR(
    INDEX(FILTER('Arrived Shipments'!O:O, 'Arrived Shipments'!B:B=$B677),4),
    IFERROR(
        INDEX(FILTER('POed not arrived'!D:D, 'POed not arrived'!A:A=$B677),4),
        """"
    )
)"),"")</f>
        <v/>
      </c>
      <c r="S677" s="202"/>
      <c r="T677" s="202">
        <f t="shared" si="8"/>
        <v>0</v>
      </c>
      <c r="U677" s="198"/>
      <c r="V677" s="199"/>
      <c r="W677" s="197"/>
      <c r="X677" s="197"/>
      <c r="Y677" s="199"/>
      <c r="Z677" s="199"/>
      <c r="AA677" s="204" t="str">
        <f t="shared" si="4"/>
        <v/>
      </c>
      <c r="AB677" s="198"/>
      <c r="AC677" s="199"/>
      <c r="AD677" s="199"/>
      <c r="AE677" s="199"/>
      <c r="AF677" s="199"/>
      <c r="AG677" s="199"/>
      <c r="AH677" s="199"/>
      <c r="AI677" s="199"/>
      <c r="AJ677" s="199"/>
      <c r="AK677" s="199"/>
      <c r="AL677" s="199"/>
      <c r="AM677" s="198"/>
      <c r="AN677" s="197"/>
      <c r="AO677" s="197"/>
      <c r="AP677" s="197"/>
      <c r="AQ677" s="197"/>
      <c r="AR677" s="197"/>
      <c r="AS677" s="197"/>
    </row>
    <row r="678">
      <c r="A678" s="198" t="str">
        <f t="shared" si="1"/>
        <v/>
      </c>
      <c r="B678" s="205"/>
      <c r="C678" s="198"/>
      <c r="D678" s="199"/>
      <c r="E678" s="213"/>
      <c r="F678" s="198"/>
      <c r="G678" s="198"/>
      <c r="H678" s="199"/>
      <c r="I678" s="207"/>
      <c r="J678" s="199"/>
      <c r="K678" s="202"/>
      <c r="L678" s="205" t="str">
        <f>IFERROR(__xludf.DUMMYFUNCTION("IFERROR(
    INDEX(FILTER('Arrived Shipments'!O:O, 'Arrived Shipments'!B:B=$B678),1),
    IFERROR(
        INDEX(FILTER('POed not arrived'!D:D, 'POed not arrived'!A:A=$B678),1),
        """"
    )
)"),"")</f>
        <v/>
      </c>
      <c r="M678" s="202"/>
      <c r="N678" s="223" t="str">
        <f>IFERROR(__xludf.DUMMYFUNCTION("IFERROR(
    INDEX(FILTER('Arrived Shipments'!O:O, 'Arrived Shipments'!B:B=$B678),2),
    IFERROR(
        INDEX(FILTER('POed not arrived'!D:D, 'POed not arrived'!A:A=$B678),2),
        """"
    )
)"),"")</f>
        <v/>
      </c>
      <c r="O678" s="202"/>
      <c r="P678" s="202" t="str">
        <f>IFERROR(__xludf.DUMMYFUNCTION("IFERROR(
    INDEX(FILTER('Arrived Shipments'!O:O, 'Arrived Shipments'!B:B=$B678),3),
    IFERROR(
        INDEX(FILTER('POed not arrived'!D:D, 'POed not arrived'!A:A=$B678),3),
        """"
    )
)"),"")</f>
        <v/>
      </c>
      <c r="Q678" s="202"/>
      <c r="R678" s="206" t="str">
        <f>IFERROR(__xludf.DUMMYFUNCTION("IFERROR(
    INDEX(FILTER('Arrived Shipments'!O:O, 'Arrived Shipments'!B:B=$B678),4),
    IFERROR(
        INDEX(FILTER('POed not arrived'!D:D, 'POed not arrived'!A:A=$B678),4),
        """"
    )
)"),"")</f>
        <v/>
      </c>
      <c r="S678" s="202"/>
      <c r="T678" s="202">
        <f t="shared" si="8"/>
        <v>0</v>
      </c>
      <c r="U678" s="198"/>
      <c r="V678" s="199"/>
      <c r="W678" s="197"/>
      <c r="X678" s="197"/>
      <c r="Y678" s="199"/>
      <c r="Z678" s="199"/>
      <c r="AA678" s="204" t="str">
        <f t="shared" si="4"/>
        <v/>
      </c>
      <c r="AB678" s="198"/>
      <c r="AC678" s="199"/>
      <c r="AD678" s="199"/>
      <c r="AE678" s="199"/>
      <c r="AF678" s="199"/>
      <c r="AG678" s="199"/>
      <c r="AH678" s="199"/>
      <c r="AI678" s="199"/>
      <c r="AJ678" s="199"/>
      <c r="AK678" s="199"/>
      <c r="AL678" s="199"/>
      <c r="AM678" s="198"/>
      <c r="AN678" s="197"/>
      <c r="AO678" s="197"/>
      <c r="AP678" s="197"/>
      <c r="AQ678" s="197"/>
      <c r="AR678" s="197"/>
      <c r="AS678" s="197"/>
    </row>
    <row r="679">
      <c r="A679" s="198" t="str">
        <f t="shared" si="1"/>
        <v/>
      </c>
      <c r="B679" s="205"/>
      <c r="C679" s="198"/>
      <c r="D679" s="199"/>
      <c r="E679" s="213"/>
      <c r="F679" s="198"/>
      <c r="G679" s="198"/>
      <c r="H679" s="199"/>
      <c r="I679" s="207"/>
      <c r="J679" s="199"/>
      <c r="K679" s="202"/>
      <c r="L679" s="205" t="str">
        <f>IFERROR(__xludf.DUMMYFUNCTION("IFERROR(
    INDEX(FILTER('Arrived Shipments'!O:O, 'Arrived Shipments'!B:B=$B679),1),
    IFERROR(
        INDEX(FILTER('POed not arrived'!D:D, 'POed not arrived'!A:A=$B679),1),
        """"
    )
)"),"")</f>
        <v/>
      </c>
      <c r="M679" s="202"/>
      <c r="N679" s="223" t="str">
        <f>IFERROR(__xludf.DUMMYFUNCTION("IFERROR(
    INDEX(FILTER('Arrived Shipments'!O:O, 'Arrived Shipments'!B:B=$B679),2),
    IFERROR(
        INDEX(FILTER('POed not arrived'!D:D, 'POed not arrived'!A:A=$B679),2),
        """"
    )
)"),"")</f>
        <v/>
      </c>
      <c r="O679" s="202"/>
      <c r="P679" s="202" t="str">
        <f>IFERROR(__xludf.DUMMYFUNCTION("IFERROR(
    INDEX(FILTER('Arrived Shipments'!O:O, 'Arrived Shipments'!B:B=$B679),3),
    IFERROR(
        INDEX(FILTER('POed not arrived'!D:D, 'POed not arrived'!A:A=$B679),3),
        """"
    )
)"),"")</f>
        <v/>
      </c>
      <c r="Q679" s="202"/>
      <c r="R679" s="206" t="str">
        <f>IFERROR(__xludf.DUMMYFUNCTION("IFERROR(
    INDEX(FILTER('Arrived Shipments'!O:O, 'Arrived Shipments'!B:B=$B679),4),
    IFERROR(
        INDEX(FILTER('POed not arrived'!D:D, 'POed not arrived'!A:A=$B679),4),
        """"
    )
)"),"")</f>
        <v/>
      </c>
      <c r="S679" s="202"/>
      <c r="T679" s="202">
        <f t="shared" si="8"/>
        <v>0</v>
      </c>
      <c r="U679" s="198"/>
      <c r="V679" s="199"/>
      <c r="W679" s="197"/>
      <c r="X679" s="197"/>
      <c r="Y679" s="199"/>
      <c r="Z679" s="199"/>
      <c r="AA679" s="204" t="str">
        <f t="shared" si="4"/>
        <v/>
      </c>
      <c r="AB679" s="198"/>
      <c r="AC679" s="199"/>
      <c r="AD679" s="199"/>
      <c r="AE679" s="199"/>
      <c r="AF679" s="199"/>
      <c r="AG679" s="199"/>
      <c r="AH679" s="199"/>
      <c r="AI679" s="199"/>
      <c r="AJ679" s="199"/>
      <c r="AK679" s="199"/>
      <c r="AL679" s="199"/>
      <c r="AM679" s="198"/>
      <c r="AN679" s="197"/>
      <c r="AO679" s="197"/>
      <c r="AP679" s="197"/>
      <c r="AQ679" s="197"/>
      <c r="AR679" s="197"/>
      <c r="AS679" s="197"/>
    </row>
    <row r="680">
      <c r="A680" s="198" t="str">
        <f t="shared" si="1"/>
        <v/>
      </c>
      <c r="B680" s="205"/>
      <c r="C680" s="198"/>
      <c r="D680" s="199"/>
      <c r="E680" s="213"/>
      <c r="F680" s="198"/>
      <c r="G680" s="198"/>
      <c r="H680" s="199"/>
      <c r="I680" s="207"/>
      <c r="J680" s="199"/>
      <c r="K680" s="202"/>
      <c r="L680" s="205" t="str">
        <f>IFERROR(__xludf.DUMMYFUNCTION("IFERROR(
    INDEX(FILTER('Arrived Shipments'!O:O, 'Arrived Shipments'!B:B=$B680),1),
    IFERROR(
        INDEX(FILTER('POed not arrived'!D:D, 'POed not arrived'!A:A=$B680),1),
        """"
    )
)"),"")</f>
        <v/>
      </c>
      <c r="M680" s="202"/>
      <c r="N680" s="223" t="str">
        <f>IFERROR(__xludf.DUMMYFUNCTION("IFERROR(
    INDEX(FILTER('Arrived Shipments'!O:O, 'Arrived Shipments'!B:B=$B680),2),
    IFERROR(
        INDEX(FILTER('POed not arrived'!D:D, 'POed not arrived'!A:A=$B680),2),
        """"
    )
)"),"")</f>
        <v/>
      </c>
      <c r="O680" s="202"/>
      <c r="P680" s="202" t="str">
        <f>IFERROR(__xludf.DUMMYFUNCTION("IFERROR(
    INDEX(FILTER('Arrived Shipments'!O:O, 'Arrived Shipments'!B:B=$B680),3),
    IFERROR(
        INDEX(FILTER('POed not arrived'!D:D, 'POed not arrived'!A:A=$B680),3),
        """"
    )
)"),"")</f>
        <v/>
      </c>
      <c r="Q680" s="202"/>
      <c r="R680" s="206" t="str">
        <f>IFERROR(__xludf.DUMMYFUNCTION("IFERROR(
    INDEX(FILTER('Arrived Shipments'!O:O, 'Arrived Shipments'!B:B=$B680),4),
    IFERROR(
        INDEX(FILTER('POed not arrived'!D:D, 'POed not arrived'!A:A=$B680),4),
        """"
    )
)"),"")</f>
        <v/>
      </c>
      <c r="S680" s="202"/>
      <c r="T680" s="202">
        <f t="shared" si="8"/>
        <v>0</v>
      </c>
      <c r="U680" s="198"/>
      <c r="V680" s="199"/>
      <c r="W680" s="197"/>
      <c r="X680" s="197"/>
      <c r="Y680" s="199"/>
      <c r="Z680" s="199"/>
      <c r="AA680" s="204" t="str">
        <f t="shared" si="4"/>
        <v/>
      </c>
      <c r="AB680" s="198"/>
      <c r="AC680" s="199"/>
      <c r="AD680" s="199"/>
      <c r="AE680" s="199"/>
      <c r="AF680" s="199"/>
      <c r="AG680" s="199"/>
      <c r="AH680" s="199"/>
      <c r="AI680" s="199"/>
      <c r="AJ680" s="199"/>
      <c r="AK680" s="199"/>
      <c r="AL680" s="199"/>
      <c r="AM680" s="198"/>
      <c r="AN680" s="197"/>
      <c r="AO680" s="197"/>
      <c r="AP680" s="197"/>
      <c r="AQ680" s="197"/>
      <c r="AR680" s="197"/>
      <c r="AS680" s="197"/>
    </row>
    <row r="681">
      <c r="A681" s="198" t="str">
        <f t="shared" si="1"/>
        <v/>
      </c>
      <c r="B681" s="205"/>
      <c r="C681" s="198"/>
      <c r="D681" s="199"/>
      <c r="E681" s="213"/>
      <c r="F681" s="198"/>
      <c r="G681" s="198"/>
      <c r="H681" s="199"/>
      <c r="I681" s="207"/>
      <c r="J681" s="199"/>
      <c r="K681" s="202"/>
      <c r="L681" s="205" t="str">
        <f>IFERROR(__xludf.DUMMYFUNCTION("IFERROR(
    INDEX(FILTER('Arrived Shipments'!O:O, 'Arrived Shipments'!B:B=$B681),1),
    IFERROR(
        INDEX(FILTER('POed not arrived'!D:D, 'POed not arrived'!A:A=$B681),1),
        """"
    )
)"),"")</f>
        <v/>
      </c>
      <c r="M681" s="202"/>
      <c r="N681" s="223" t="str">
        <f>IFERROR(__xludf.DUMMYFUNCTION("IFERROR(
    INDEX(FILTER('Arrived Shipments'!O:O, 'Arrived Shipments'!B:B=$B681),2),
    IFERROR(
        INDEX(FILTER('POed not arrived'!D:D, 'POed not arrived'!A:A=$B681),2),
        """"
    )
)"),"")</f>
        <v/>
      </c>
      <c r="O681" s="202"/>
      <c r="P681" s="202" t="str">
        <f>IFERROR(__xludf.DUMMYFUNCTION("IFERROR(
    INDEX(FILTER('Arrived Shipments'!O:O, 'Arrived Shipments'!B:B=$B681),3),
    IFERROR(
        INDEX(FILTER('POed not arrived'!D:D, 'POed not arrived'!A:A=$B681),3),
        """"
    )
)"),"")</f>
        <v/>
      </c>
      <c r="Q681" s="202"/>
      <c r="R681" s="206" t="str">
        <f>IFERROR(__xludf.DUMMYFUNCTION("IFERROR(
    INDEX(FILTER('Arrived Shipments'!O:O, 'Arrived Shipments'!B:B=$B681),4),
    IFERROR(
        INDEX(FILTER('POed not arrived'!D:D, 'POed not arrived'!A:A=$B681),4),
        """"
    )
)"),"")</f>
        <v/>
      </c>
      <c r="S681" s="202"/>
      <c r="T681" s="202">
        <f t="shared" si="8"/>
        <v>0</v>
      </c>
      <c r="U681" s="198"/>
      <c r="V681" s="199"/>
      <c r="W681" s="197"/>
      <c r="X681" s="197"/>
      <c r="Y681" s="199"/>
      <c r="Z681" s="199"/>
      <c r="AA681" s="204" t="str">
        <f t="shared" si="4"/>
        <v/>
      </c>
      <c r="AB681" s="198"/>
      <c r="AC681" s="199"/>
      <c r="AD681" s="199"/>
      <c r="AE681" s="199"/>
      <c r="AF681" s="199"/>
      <c r="AG681" s="199"/>
      <c r="AH681" s="199"/>
      <c r="AI681" s="199"/>
      <c r="AJ681" s="199"/>
      <c r="AK681" s="199"/>
      <c r="AL681" s="199"/>
      <c r="AM681" s="198"/>
      <c r="AN681" s="197"/>
      <c r="AO681" s="197"/>
      <c r="AP681" s="197"/>
      <c r="AQ681" s="197"/>
      <c r="AR681" s="197"/>
      <c r="AS681" s="197"/>
    </row>
    <row r="682">
      <c r="A682" s="198" t="str">
        <f t="shared" si="1"/>
        <v/>
      </c>
      <c r="B682" s="205"/>
      <c r="C682" s="198"/>
      <c r="D682" s="199"/>
      <c r="E682" s="213"/>
      <c r="F682" s="198"/>
      <c r="G682" s="198"/>
      <c r="H682" s="199"/>
      <c r="I682" s="207"/>
      <c r="J682" s="199"/>
      <c r="K682" s="202"/>
      <c r="L682" s="205" t="str">
        <f>IFERROR(__xludf.DUMMYFUNCTION("IFERROR(
    INDEX(FILTER('Arrived Shipments'!O:O, 'Arrived Shipments'!B:B=$B682),1),
    IFERROR(
        INDEX(FILTER('POed not arrived'!D:D, 'POed not arrived'!A:A=$B682),1),
        """"
    )
)"),"")</f>
        <v/>
      </c>
      <c r="M682" s="202"/>
      <c r="N682" s="223" t="str">
        <f>IFERROR(__xludf.DUMMYFUNCTION("IFERROR(
    INDEX(FILTER('Arrived Shipments'!O:O, 'Arrived Shipments'!B:B=$B682),2),
    IFERROR(
        INDEX(FILTER('POed not arrived'!D:D, 'POed not arrived'!A:A=$B682),2),
        """"
    )
)"),"")</f>
        <v/>
      </c>
      <c r="O682" s="202"/>
      <c r="P682" s="202" t="str">
        <f>IFERROR(__xludf.DUMMYFUNCTION("IFERROR(
    INDEX(FILTER('Arrived Shipments'!O:O, 'Arrived Shipments'!B:B=$B682),3),
    IFERROR(
        INDEX(FILTER('POed not arrived'!D:D, 'POed not arrived'!A:A=$B682),3),
        """"
    )
)"),"")</f>
        <v/>
      </c>
      <c r="Q682" s="202"/>
      <c r="R682" s="206" t="str">
        <f>IFERROR(__xludf.DUMMYFUNCTION("IFERROR(
    INDEX(FILTER('Arrived Shipments'!O:O, 'Arrived Shipments'!B:B=$B682),4),
    IFERROR(
        INDEX(FILTER('POed not arrived'!D:D, 'POed not arrived'!A:A=$B682),4),
        """"
    )
)"),"")</f>
        <v/>
      </c>
      <c r="S682" s="202"/>
      <c r="T682" s="202">
        <f t="shared" si="8"/>
        <v>0</v>
      </c>
      <c r="U682" s="198"/>
      <c r="V682" s="199"/>
      <c r="W682" s="197"/>
      <c r="X682" s="197"/>
      <c r="Y682" s="199"/>
      <c r="Z682" s="199"/>
      <c r="AA682" s="204" t="str">
        <f t="shared" si="4"/>
        <v/>
      </c>
      <c r="AB682" s="198"/>
      <c r="AC682" s="199"/>
      <c r="AD682" s="199"/>
      <c r="AE682" s="199"/>
      <c r="AF682" s="199"/>
      <c r="AG682" s="199"/>
      <c r="AH682" s="199"/>
      <c r="AI682" s="199"/>
      <c r="AJ682" s="199"/>
      <c r="AK682" s="199"/>
      <c r="AL682" s="199"/>
      <c r="AM682" s="198"/>
      <c r="AN682" s="197"/>
      <c r="AO682" s="197"/>
      <c r="AP682" s="197"/>
      <c r="AQ682" s="197"/>
      <c r="AR682" s="197"/>
      <c r="AS682" s="197"/>
    </row>
    <row r="683">
      <c r="A683" s="198" t="str">
        <f t="shared" si="1"/>
        <v/>
      </c>
      <c r="B683" s="205"/>
      <c r="C683" s="198"/>
      <c r="D683" s="199"/>
      <c r="E683" s="213"/>
      <c r="F683" s="198"/>
      <c r="G683" s="198"/>
      <c r="H683" s="199"/>
      <c r="I683" s="207"/>
      <c r="J683" s="199"/>
      <c r="K683" s="202"/>
      <c r="L683" s="205" t="str">
        <f>IFERROR(__xludf.DUMMYFUNCTION("IFERROR(
    INDEX(FILTER('Arrived Shipments'!O:O, 'Arrived Shipments'!B:B=$B683),1),
    IFERROR(
        INDEX(FILTER('POed not arrived'!D:D, 'POed not arrived'!A:A=$B683),1),
        """"
    )
)"),"")</f>
        <v/>
      </c>
      <c r="M683" s="202"/>
      <c r="N683" s="223" t="str">
        <f>IFERROR(__xludf.DUMMYFUNCTION("IFERROR(
    INDEX(FILTER('Arrived Shipments'!O:O, 'Arrived Shipments'!B:B=$B683),2),
    IFERROR(
        INDEX(FILTER('POed not arrived'!D:D, 'POed not arrived'!A:A=$B683),2),
        """"
    )
)"),"")</f>
        <v/>
      </c>
      <c r="O683" s="202"/>
      <c r="P683" s="202" t="str">
        <f>IFERROR(__xludf.DUMMYFUNCTION("IFERROR(
    INDEX(FILTER('Arrived Shipments'!O:O, 'Arrived Shipments'!B:B=$B683),3),
    IFERROR(
        INDEX(FILTER('POed not arrived'!D:D, 'POed not arrived'!A:A=$B683),3),
        """"
    )
)"),"")</f>
        <v/>
      </c>
      <c r="Q683" s="202"/>
      <c r="R683" s="206" t="str">
        <f>IFERROR(__xludf.DUMMYFUNCTION("IFERROR(
    INDEX(FILTER('Arrived Shipments'!O:O, 'Arrived Shipments'!B:B=$B683),4),
    IFERROR(
        INDEX(FILTER('POed not arrived'!D:D, 'POed not arrived'!A:A=$B683),4),
        """"
    )
)"),"")</f>
        <v/>
      </c>
      <c r="S683" s="202"/>
      <c r="T683" s="202">
        <f t="shared" si="8"/>
        <v>0</v>
      </c>
      <c r="U683" s="198"/>
      <c r="V683" s="199"/>
      <c r="W683" s="197"/>
      <c r="X683" s="197"/>
      <c r="Y683" s="199"/>
      <c r="Z683" s="199"/>
      <c r="AA683" s="204" t="str">
        <f t="shared" si="4"/>
        <v/>
      </c>
      <c r="AB683" s="198"/>
      <c r="AC683" s="199"/>
      <c r="AD683" s="199"/>
      <c r="AE683" s="199"/>
      <c r="AF683" s="199"/>
      <c r="AG683" s="199"/>
      <c r="AH683" s="199"/>
      <c r="AI683" s="199"/>
      <c r="AJ683" s="199"/>
      <c r="AK683" s="199"/>
      <c r="AL683" s="199"/>
      <c r="AM683" s="198"/>
      <c r="AN683" s="197"/>
      <c r="AO683" s="197"/>
      <c r="AP683" s="197"/>
      <c r="AQ683" s="197"/>
      <c r="AR683" s="197"/>
      <c r="AS683" s="197"/>
    </row>
    <row r="684">
      <c r="A684" s="198" t="str">
        <f t="shared" si="1"/>
        <v/>
      </c>
      <c r="B684" s="205"/>
      <c r="C684" s="198"/>
      <c r="D684" s="199"/>
      <c r="E684" s="213"/>
      <c r="F684" s="198"/>
      <c r="G684" s="198"/>
      <c r="H684" s="199"/>
      <c r="I684" s="207"/>
      <c r="J684" s="199"/>
      <c r="K684" s="202"/>
      <c r="L684" s="205" t="str">
        <f>IFERROR(__xludf.DUMMYFUNCTION("IFERROR(
    INDEX(FILTER('Arrived Shipments'!O:O, 'Arrived Shipments'!B:B=$B684),1),
    IFERROR(
        INDEX(FILTER('POed not arrived'!D:D, 'POed not arrived'!A:A=$B684),1),
        """"
    )
)"),"")</f>
        <v/>
      </c>
      <c r="M684" s="202"/>
      <c r="N684" s="223" t="str">
        <f>IFERROR(__xludf.DUMMYFUNCTION("IFERROR(
    INDEX(FILTER('Arrived Shipments'!O:O, 'Arrived Shipments'!B:B=$B684),2),
    IFERROR(
        INDEX(FILTER('POed not arrived'!D:D, 'POed not arrived'!A:A=$B684),2),
        """"
    )
)"),"")</f>
        <v/>
      </c>
      <c r="O684" s="202"/>
      <c r="P684" s="202" t="str">
        <f>IFERROR(__xludf.DUMMYFUNCTION("IFERROR(
    INDEX(FILTER('Arrived Shipments'!O:O, 'Arrived Shipments'!B:B=$B684),3),
    IFERROR(
        INDEX(FILTER('POed not arrived'!D:D, 'POed not arrived'!A:A=$B684),3),
        """"
    )
)"),"")</f>
        <v/>
      </c>
      <c r="Q684" s="202"/>
      <c r="R684" s="206" t="str">
        <f>IFERROR(__xludf.DUMMYFUNCTION("IFERROR(
    INDEX(FILTER('Arrived Shipments'!O:O, 'Arrived Shipments'!B:B=$B684),4),
    IFERROR(
        INDEX(FILTER('POed not arrived'!D:D, 'POed not arrived'!A:A=$B684),4),
        """"
    )
)"),"")</f>
        <v/>
      </c>
      <c r="S684" s="202"/>
      <c r="T684" s="202">
        <f t="shared" si="8"/>
        <v>0</v>
      </c>
      <c r="U684" s="198"/>
      <c r="V684" s="199"/>
      <c r="W684" s="197"/>
      <c r="X684" s="197"/>
      <c r="Y684" s="199"/>
      <c r="Z684" s="199"/>
      <c r="AA684" s="204" t="str">
        <f t="shared" si="4"/>
        <v/>
      </c>
      <c r="AB684" s="198"/>
      <c r="AC684" s="199"/>
      <c r="AD684" s="199"/>
      <c r="AE684" s="199"/>
      <c r="AF684" s="199"/>
      <c r="AG684" s="199"/>
      <c r="AH684" s="199"/>
      <c r="AI684" s="199"/>
      <c r="AJ684" s="199"/>
      <c r="AK684" s="199"/>
      <c r="AL684" s="199"/>
      <c r="AM684" s="198"/>
      <c r="AN684" s="197"/>
      <c r="AO684" s="197"/>
      <c r="AP684" s="197"/>
      <c r="AQ684" s="197"/>
      <c r="AR684" s="197"/>
      <c r="AS684" s="197"/>
    </row>
    <row r="685">
      <c r="A685" s="198" t="str">
        <f t="shared" si="1"/>
        <v/>
      </c>
      <c r="B685" s="205"/>
      <c r="C685" s="198"/>
      <c r="D685" s="199"/>
      <c r="E685" s="213"/>
      <c r="F685" s="198"/>
      <c r="G685" s="198"/>
      <c r="H685" s="199"/>
      <c r="I685" s="207"/>
      <c r="J685" s="199"/>
      <c r="K685" s="202"/>
      <c r="L685" s="205" t="str">
        <f>IFERROR(__xludf.DUMMYFUNCTION("IFERROR(
    INDEX(FILTER('Arrived Shipments'!O:O, 'Arrived Shipments'!B:B=$B685),1),
    IFERROR(
        INDEX(FILTER('POed not arrived'!D:D, 'POed not arrived'!A:A=$B685),1),
        """"
    )
)"),"")</f>
        <v/>
      </c>
      <c r="M685" s="202"/>
      <c r="N685" s="223" t="str">
        <f>IFERROR(__xludf.DUMMYFUNCTION("IFERROR(
    INDEX(FILTER('Arrived Shipments'!O:O, 'Arrived Shipments'!B:B=$B685),2),
    IFERROR(
        INDEX(FILTER('POed not arrived'!D:D, 'POed not arrived'!A:A=$B685),2),
        """"
    )
)"),"")</f>
        <v/>
      </c>
      <c r="O685" s="202"/>
      <c r="P685" s="202" t="str">
        <f>IFERROR(__xludf.DUMMYFUNCTION("IFERROR(
    INDEX(FILTER('Arrived Shipments'!O:O, 'Arrived Shipments'!B:B=$B685),3),
    IFERROR(
        INDEX(FILTER('POed not arrived'!D:D, 'POed not arrived'!A:A=$B685),3),
        """"
    )
)"),"")</f>
        <v/>
      </c>
      <c r="Q685" s="202"/>
      <c r="R685" s="206" t="str">
        <f>IFERROR(__xludf.DUMMYFUNCTION("IFERROR(
    INDEX(FILTER('Arrived Shipments'!O:O, 'Arrived Shipments'!B:B=$B685),4),
    IFERROR(
        INDEX(FILTER('POed not arrived'!D:D, 'POed not arrived'!A:A=$B685),4),
        """"
    )
)"),"")</f>
        <v/>
      </c>
      <c r="S685" s="202"/>
      <c r="T685" s="202">
        <f t="shared" si="8"/>
        <v>0</v>
      </c>
      <c r="U685" s="198"/>
      <c r="V685" s="199"/>
      <c r="W685" s="197"/>
      <c r="X685" s="197"/>
      <c r="Y685" s="199"/>
      <c r="Z685" s="199"/>
      <c r="AA685" s="204" t="str">
        <f t="shared" si="4"/>
        <v/>
      </c>
      <c r="AB685" s="198"/>
      <c r="AC685" s="199"/>
      <c r="AD685" s="199"/>
      <c r="AE685" s="199"/>
      <c r="AF685" s="199"/>
      <c r="AG685" s="199"/>
      <c r="AH685" s="199"/>
      <c r="AI685" s="199"/>
      <c r="AJ685" s="199"/>
      <c r="AK685" s="199"/>
      <c r="AL685" s="199"/>
      <c r="AM685" s="198"/>
      <c r="AN685" s="197"/>
      <c r="AO685" s="197"/>
      <c r="AP685" s="197"/>
      <c r="AQ685" s="197"/>
      <c r="AR685" s="197"/>
      <c r="AS685" s="197"/>
    </row>
    <row r="686">
      <c r="A686" s="198" t="str">
        <f t="shared" si="1"/>
        <v/>
      </c>
      <c r="B686" s="205"/>
      <c r="C686" s="198"/>
      <c r="D686" s="199"/>
      <c r="E686" s="213"/>
      <c r="F686" s="198"/>
      <c r="G686" s="198"/>
      <c r="H686" s="199"/>
      <c r="I686" s="207"/>
      <c r="J686" s="199"/>
      <c r="K686" s="202"/>
      <c r="L686" s="205" t="str">
        <f>IFERROR(__xludf.DUMMYFUNCTION("IFERROR(
    INDEX(FILTER('Arrived Shipments'!O:O, 'Arrived Shipments'!B:B=$B686),1),
    IFERROR(
        INDEX(FILTER('POed not arrived'!D:D, 'POed not arrived'!A:A=$B686),1),
        """"
    )
)"),"")</f>
        <v/>
      </c>
      <c r="M686" s="202"/>
      <c r="N686" s="223" t="str">
        <f>IFERROR(__xludf.DUMMYFUNCTION("IFERROR(
    INDEX(FILTER('Arrived Shipments'!O:O, 'Arrived Shipments'!B:B=$B686),2),
    IFERROR(
        INDEX(FILTER('POed not arrived'!D:D, 'POed not arrived'!A:A=$B686),2),
        """"
    )
)"),"")</f>
        <v/>
      </c>
      <c r="O686" s="202"/>
      <c r="P686" s="202" t="str">
        <f>IFERROR(__xludf.DUMMYFUNCTION("IFERROR(
    INDEX(FILTER('Arrived Shipments'!O:O, 'Arrived Shipments'!B:B=$B686),3),
    IFERROR(
        INDEX(FILTER('POed not arrived'!D:D, 'POed not arrived'!A:A=$B686),3),
        """"
    )
)"),"")</f>
        <v/>
      </c>
      <c r="Q686" s="202"/>
      <c r="R686" s="206" t="str">
        <f>IFERROR(__xludf.DUMMYFUNCTION("IFERROR(
    INDEX(FILTER('Arrived Shipments'!O:O, 'Arrived Shipments'!B:B=$B686),4),
    IFERROR(
        INDEX(FILTER('POed not arrived'!D:D, 'POed not arrived'!A:A=$B686),4),
        """"
    )
)"),"")</f>
        <v/>
      </c>
      <c r="S686" s="202"/>
      <c r="T686" s="202">
        <f t="shared" si="8"/>
        <v>0</v>
      </c>
      <c r="U686" s="198"/>
      <c r="V686" s="199"/>
      <c r="W686" s="197"/>
      <c r="X686" s="197"/>
      <c r="Y686" s="199"/>
      <c r="Z686" s="199"/>
      <c r="AA686" s="204" t="str">
        <f t="shared" si="4"/>
        <v/>
      </c>
      <c r="AB686" s="198"/>
      <c r="AC686" s="199"/>
      <c r="AD686" s="199"/>
      <c r="AE686" s="199"/>
      <c r="AF686" s="199"/>
      <c r="AG686" s="199"/>
      <c r="AH686" s="199"/>
      <c r="AI686" s="199"/>
      <c r="AJ686" s="199"/>
      <c r="AK686" s="199"/>
      <c r="AL686" s="199"/>
      <c r="AM686" s="198"/>
      <c r="AN686" s="197"/>
      <c r="AO686" s="197"/>
      <c r="AP686" s="197"/>
      <c r="AQ686" s="197"/>
      <c r="AR686" s="197"/>
      <c r="AS686" s="197"/>
    </row>
    <row r="687">
      <c r="A687" s="198" t="str">
        <f t="shared" si="1"/>
        <v/>
      </c>
      <c r="B687" s="205"/>
      <c r="C687" s="198"/>
      <c r="D687" s="199"/>
      <c r="E687" s="213"/>
      <c r="F687" s="198"/>
      <c r="G687" s="198"/>
      <c r="H687" s="199"/>
      <c r="I687" s="207"/>
      <c r="J687" s="199"/>
      <c r="K687" s="202"/>
      <c r="L687" s="205" t="str">
        <f>IFERROR(__xludf.DUMMYFUNCTION("IFERROR(
    INDEX(FILTER('Arrived Shipments'!O:O, 'Arrived Shipments'!B:B=$B687),1),
    IFERROR(
        INDEX(FILTER('POed not arrived'!D:D, 'POed not arrived'!A:A=$B687),1),
        """"
    )
)"),"")</f>
        <v/>
      </c>
      <c r="M687" s="202"/>
      <c r="N687" s="223" t="str">
        <f>IFERROR(__xludf.DUMMYFUNCTION("IFERROR(
    INDEX(FILTER('Arrived Shipments'!O:O, 'Arrived Shipments'!B:B=$B687),2),
    IFERROR(
        INDEX(FILTER('POed not arrived'!D:D, 'POed not arrived'!A:A=$B687),2),
        """"
    )
)"),"")</f>
        <v/>
      </c>
      <c r="O687" s="202"/>
      <c r="P687" s="202" t="str">
        <f>IFERROR(__xludf.DUMMYFUNCTION("IFERROR(
    INDEX(FILTER('Arrived Shipments'!O:O, 'Arrived Shipments'!B:B=$B687),3),
    IFERROR(
        INDEX(FILTER('POed not arrived'!D:D, 'POed not arrived'!A:A=$B687),3),
        """"
    )
)"),"")</f>
        <v/>
      </c>
      <c r="Q687" s="202"/>
      <c r="R687" s="206" t="str">
        <f>IFERROR(__xludf.DUMMYFUNCTION("IFERROR(
    INDEX(FILTER('Arrived Shipments'!O:O, 'Arrived Shipments'!B:B=$B687),4),
    IFERROR(
        INDEX(FILTER('POed not arrived'!D:D, 'POed not arrived'!A:A=$B687),4),
        """"
    )
)"),"")</f>
        <v/>
      </c>
      <c r="S687" s="202"/>
      <c r="T687" s="202">
        <f t="shared" si="8"/>
        <v>0</v>
      </c>
      <c r="U687" s="198"/>
      <c r="V687" s="199"/>
      <c r="W687" s="197"/>
      <c r="X687" s="197"/>
      <c r="Y687" s="199"/>
      <c r="Z687" s="199"/>
      <c r="AA687" s="204" t="str">
        <f t="shared" si="4"/>
        <v/>
      </c>
      <c r="AB687" s="198"/>
      <c r="AC687" s="199"/>
      <c r="AD687" s="199"/>
      <c r="AE687" s="199"/>
      <c r="AF687" s="199"/>
      <c r="AG687" s="199"/>
      <c r="AH687" s="199"/>
      <c r="AI687" s="199"/>
      <c r="AJ687" s="199"/>
      <c r="AK687" s="199"/>
      <c r="AL687" s="199"/>
      <c r="AM687" s="198"/>
      <c r="AN687" s="197"/>
      <c r="AO687" s="197"/>
      <c r="AP687" s="197"/>
      <c r="AQ687" s="197"/>
      <c r="AR687" s="197"/>
      <c r="AS687" s="197"/>
    </row>
    <row r="688">
      <c r="A688" s="198" t="str">
        <f t="shared" si="1"/>
        <v/>
      </c>
      <c r="B688" s="205"/>
      <c r="C688" s="198"/>
      <c r="D688" s="199"/>
      <c r="E688" s="213"/>
      <c r="F688" s="198"/>
      <c r="G688" s="198"/>
      <c r="H688" s="199"/>
      <c r="I688" s="207"/>
      <c r="J688" s="199"/>
      <c r="K688" s="202"/>
      <c r="L688" s="205" t="str">
        <f>IFERROR(__xludf.DUMMYFUNCTION("IFERROR(
    INDEX(FILTER('Arrived Shipments'!O:O, 'Arrived Shipments'!B:B=$B688),1),
    IFERROR(
        INDEX(FILTER('POed not arrived'!D:D, 'POed not arrived'!A:A=$B688),1),
        """"
    )
)"),"")</f>
        <v/>
      </c>
      <c r="M688" s="202"/>
      <c r="N688" s="223" t="str">
        <f>IFERROR(__xludf.DUMMYFUNCTION("IFERROR(
    INDEX(FILTER('Arrived Shipments'!O:O, 'Arrived Shipments'!B:B=$B688),2),
    IFERROR(
        INDEX(FILTER('POed not arrived'!D:D, 'POed not arrived'!A:A=$B688),2),
        """"
    )
)"),"")</f>
        <v/>
      </c>
      <c r="O688" s="202"/>
      <c r="P688" s="202" t="str">
        <f>IFERROR(__xludf.DUMMYFUNCTION("IFERROR(
    INDEX(FILTER('Arrived Shipments'!O:O, 'Arrived Shipments'!B:B=$B688),3),
    IFERROR(
        INDEX(FILTER('POed not arrived'!D:D, 'POed not arrived'!A:A=$B688),3),
        """"
    )
)"),"")</f>
        <v/>
      </c>
      <c r="Q688" s="202"/>
      <c r="R688" s="206" t="str">
        <f>IFERROR(__xludf.DUMMYFUNCTION("IFERROR(
    INDEX(FILTER('Arrived Shipments'!O:O, 'Arrived Shipments'!B:B=$B688),4),
    IFERROR(
        INDEX(FILTER('POed not arrived'!D:D, 'POed not arrived'!A:A=$B688),4),
        """"
    )
)"),"")</f>
        <v/>
      </c>
      <c r="S688" s="202"/>
      <c r="T688" s="202">
        <f t="shared" si="8"/>
        <v>0</v>
      </c>
      <c r="U688" s="198"/>
      <c r="V688" s="199"/>
      <c r="W688" s="197"/>
      <c r="X688" s="197"/>
      <c r="Y688" s="199"/>
      <c r="Z688" s="199"/>
      <c r="AA688" s="204" t="str">
        <f t="shared" si="4"/>
        <v/>
      </c>
      <c r="AB688" s="198"/>
      <c r="AC688" s="199"/>
      <c r="AD688" s="199"/>
      <c r="AE688" s="199"/>
      <c r="AF688" s="199"/>
      <c r="AG688" s="199"/>
      <c r="AH688" s="199"/>
      <c r="AI688" s="199"/>
      <c r="AJ688" s="199"/>
      <c r="AK688" s="199"/>
      <c r="AL688" s="199"/>
      <c r="AM688" s="198"/>
      <c r="AN688" s="197"/>
      <c r="AO688" s="197"/>
      <c r="AP688" s="197"/>
      <c r="AQ688" s="197"/>
      <c r="AR688" s="197"/>
      <c r="AS688" s="197"/>
    </row>
    <row r="689">
      <c r="A689" s="198" t="str">
        <f t="shared" si="1"/>
        <v/>
      </c>
      <c r="B689" s="205"/>
      <c r="C689" s="198"/>
      <c r="D689" s="199"/>
      <c r="E689" s="213"/>
      <c r="F689" s="198"/>
      <c r="G689" s="198"/>
      <c r="H689" s="199"/>
      <c r="I689" s="207"/>
      <c r="J689" s="199"/>
      <c r="K689" s="202"/>
      <c r="L689" s="205" t="str">
        <f>IFERROR(__xludf.DUMMYFUNCTION("IFERROR(
    INDEX(FILTER('Arrived Shipments'!O:O, 'Arrived Shipments'!B:B=$B689),1),
    IFERROR(
        INDEX(FILTER('POed not arrived'!D:D, 'POed not arrived'!A:A=$B689),1),
        """"
    )
)"),"")</f>
        <v/>
      </c>
      <c r="M689" s="202"/>
      <c r="N689" s="223" t="str">
        <f>IFERROR(__xludf.DUMMYFUNCTION("IFERROR(
    INDEX(FILTER('Arrived Shipments'!O:O, 'Arrived Shipments'!B:B=$B689),2),
    IFERROR(
        INDEX(FILTER('POed not arrived'!D:D, 'POed not arrived'!A:A=$B689),2),
        """"
    )
)"),"")</f>
        <v/>
      </c>
      <c r="O689" s="202"/>
      <c r="P689" s="202" t="str">
        <f>IFERROR(__xludf.DUMMYFUNCTION("IFERROR(
    INDEX(FILTER('Arrived Shipments'!O:O, 'Arrived Shipments'!B:B=$B689),3),
    IFERROR(
        INDEX(FILTER('POed not arrived'!D:D, 'POed not arrived'!A:A=$B689),3),
        """"
    )
)"),"")</f>
        <v/>
      </c>
      <c r="Q689" s="202"/>
      <c r="R689" s="206" t="str">
        <f>IFERROR(__xludf.DUMMYFUNCTION("IFERROR(
    INDEX(FILTER('Arrived Shipments'!O:O, 'Arrived Shipments'!B:B=$B689),4),
    IFERROR(
        INDEX(FILTER('POed not arrived'!D:D, 'POed not arrived'!A:A=$B689),4),
        """"
    )
)"),"")</f>
        <v/>
      </c>
      <c r="S689" s="202"/>
      <c r="T689" s="202">
        <f t="shared" si="8"/>
        <v>0</v>
      </c>
      <c r="U689" s="198"/>
      <c r="V689" s="199"/>
      <c r="W689" s="197"/>
      <c r="X689" s="197"/>
      <c r="Y689" s="199"/>
      <c r="Z689" s="199"/>
      <c r="AA689" s="204" t="str">
        <f t="shared" si="4"/>
        <v/>
      </c>
      <c r="AB689" s="198"/>
      <c r="AC689" s="199"/>
      <c r="AD689" s="199"/>
      <c r="AE689" s="199"/>
      <c r="AF689" s="199"/>
      <c r="AG689" s="199"/>
      <c r="AH689" s="199"/>
      <c r="AI689" s="199"/>
      <c r="AJ689" s="199"/>
      <c r="AK689" s="199"/>
      <c r="AL689" s="199"/>
      <c r="AM689" s="198"/>
      <c r="AN689" s="197"/>
      <c r="AO689" s="197"/>
      <c r="AP689" s="197"/>
      <c r="AQ689" s="197"/>
      <c r="AR689" s="197"/>
      <c r="AS689" s="197"/>
    </row>
    <row r="690">
      <c r="A690" s="198" t="str">
        <f t="shared" si="1"/>
        <v/>
      </c>
      <c r="B690" s="205"/>
      <c r="C690" s="198"/>
      <c r="D690" s="199"/>
      <c r="E690" s="213"/>
      <c r="F690" s="198"/>
      <c r="G690" s="198"/>
      <c r="H690" s="199"/>
      <c r="I690" s="207"/>
      <c r="J690" s="199"/>
      <c r="K690" s="202"/>
      <c r="L690" s="205" t="str">
        <f>IFERROR(__xludf.DUMMYFUNCTION("IFERROR(
    INDEX(FILTER('Arrived Shipments'!O:O, 'Arrived Shipments'!B:B=$B690),1),
    IFERROR(
        INDEX(FILTER('POed not arrived'!D:D, 'POed not arrived'!A:A=$B690),1),
        """"
    )
)"),"")</f>
        <v/>
      </c>
      <c r="M690" s="202"/>
      <c r="N690" s="223" t="str">
        <f>IFERROR(__xludf.DUMMYFUNCTION("IFERROR(
    INDEX(FILTER('Arrived Shipments'!O:O, 'Arrived Shipments'!B:B=$B690),2),
    IFERROR(
        INDEX(FILTER('POed not arrived'!D:D, 'POed not arrived'!A:A=$B690),2),
        """"
    )
)"),"")</f>
        <v/>
      </c>
      <c r="O690" s="202"/>
      <c r="P690" s="202" t="str">
        <f>IFERROR(__xludf.DUMMYFUNCTION("IFERROR(
    INDEX(FILTER('Arrived Shipments'!O:O, 'Arrived Shipments'!B:B=$B690),3),
    IFERROR(
        INDEX(FILTER('POed not arrived'!D:D, 'POed not arrived'!A:A=$B690),3),
        """"
    )
)"),"")</f>
        <v/>
      </c>
      <c r="Q690" s="202"/>
      <c r="R690" s="206" t="str">
        <f>IFERROR(__xludf.DUMMYFUNCTION("IFERROR(
    INDEX(FILTER('Arrived Shipments'!O:O, 'Arrived Shipments'!B:B=$B690),4),
    IFERROR(
        INDEX(FILTER('POed not arrived'!D:D, 'POed not arrived'!A:A=$B690),4),
        """"
    )
)"),"")</f>
        <v/>
      </c>
      <c r="S690" s="202"/>
      <c r="T690" s="202">
        <f t="shared" si="8"/>
        <v>0</v>
      </c>
      <c r="U690" s="198"/>
      <c r="V690" s="199"/>
      <c r="W690" s="197"/>
      <c r="X690" s="197"/>
      <c r="Y690" s="199"/>
      <c r="Z690" s="199"/>
      <c r="AA690" s="204" t="str">
        <f t="shared" si="4"/>
        <v/>
      </c>
      <c r="AB690" s="198"/>
      <c r="AC690" s="199"/>
      <c r="AD690" s="199"/>
      <c r="AE690" s="199"/>
      <c r="AF690" s="199"/>
      <c r="AG690" s="199"/>
      <c r="AH690" s="199"/>
      <c r="AI690" s="199"/>
      <c r="AJ690" s="199"/>
      <c r="AK690" s="199"/>
      <c r="AL690" s="199"/>
      <c r="AM690" s="198"/>
      <c r="AN690" s="197"/>
      <c r="AO690" s="197"/>
      <c r="AP690" s="197"/>
      <c r="AQ690" s="197"/>
      <c r="AR690" s="197"/>
      <c r="AS690" s="197"/>
    </row>
    <row r="691">
      <c r="A691" s="198" t="str">
        <f t="shared" si="1"/>
        <v/>
      </c>
      <c r="B691" s="205"/>
      <c r="C691" s="198"/>
      <c r="D691" s="199"/>
      <c r="E691" s="213"/>
      <c r="F691" s="198"/>
      <c r="G691" s="198"/>
      <c r="H691" s="199"/>
      <c r="I691" s="207"/>
      <c r="J691" s="199"/>
      <c r="K691" s="202"/>
      <c r="L691" s="205" t="str">
        <f>IFERROR(__xludf.DUMMYFUNCTION("IFERROR(
    INDEX(FILTER('Arrived Shipments'!O:O, 'Arrived Shipments'!B:B=$B691),1),
    IFERROR(
        INDEX(FILTER('POed not arrived'!D:D, 'POed not arrived'!A:A=$B691),1),
        """"
    )
)"),"")</f>
        <v/>
      </c>
      <c r="M691" s="202"/>
      <c r="N691" s="223" t="str">
        <f>IFERROR(__xludf.DUMMYFUNCTION("IFERROR(
    INDEX(FILTER('Arrived Shipments'!O:O, 'Arrived Shipments'!B:B=$B691),2),
    IFERROR(
        INDEX(FILTER('POed not arrived'!D:D, 'POed not arrived'!A:A=$B691),2),
        """"
    )
)"),"")</f>
        <v/>
      </c>
      <c r="O691" s="202"/>
      <c r="P691" s="202" t="str">
        <f>IFERROR(__xludf.DUMMYFUNCTION("IFERROR(
    INDEX(FILTER('Arrived Shipments'!O:O, 'Arrived Shipments'!B:B=$B691),3),
    IFERROR(
        INDEX(FILTER('POed not arrived'!D:D, 'POed not arrived'!A:A=$B691),3),
        """"
    )
)"),"")</f>
        <v/>
      </c>
      <c r="Q691" s="202"/>
      <c r="R691" s="206" t="str">
        <f>IFERROR(__xludf.DUMMYFUNCTION("IFERROR(
    INDEX(FILTER('Arrived Shipments'!O:O, 'Arrived Shipments'!B:B=$B691),4),
    IFERROR(
        INDEX(FILTER('POed not arrived'!D:D, 'POed not arrived'!A:A=$B691),4),
        """"
    )
)"),"")</f>
        <v/>
      </c>
      <c r="S691" s="202"/>
      <c r="T691" s="202">
        <f t="shared" si="8"/>
        <v>0</v>
      </c>
      <c r="U691" s="198"/>
      <c r="V691" s="199"/>
      <c r="W691" s="197"/>
      <c r="X691" s="197"/>
      <c r="Y691" s="199"/>
      <c r="Z691" s="199"/>
      <c r="AA691" s="204" t="str">
        <f t="shared" si="4"/>
        <v/>
      </c>
      <c r="AB691" s="198"/>
      <c r="AC691" s="199"/>
      <c r="AD691" s="199"/>
      <c r="AE691" s="199"/>
      <c r="AF691" s="199"/>
      <c r="AG691" s="199"/>
      <c r="AH691" s="199"/>
      <c r="AI691" s="199"/>
      <c r="AJ691" s="199"/>
      <c r="AK691" s="199"/>
      <c r="AL691" s="199"/>
      <c r="AM691" s="198"/>
      <c r="AN691" s="197"/>
      <c r="AO691" s="197"/>
      <c r="AP691" s="197"/>
      <c r="AQ691" s="197"/>
      <c r="AR691" s="197"/>
      <c r="AS691" s="197"/>
    </row>
    <row r="692">
      <c r="A692" s="198" t="str">
        <f t="shared" si="1"/>
        <v/>
      </c>
      <c r="B692" s="205"/>
      <c r="C692" s="198"/>
      <c r="D692" s="199"/>
      <c r="E692" s="213"/>
      <c r="F692" s="198"/>
      <c r="G692" s="198"/>
      <c r="H692" s="199"/>
      <c r="I692" s="207"/>
      <c r="J692" s="199"/>
      <c r="K692" s="202"/>
      <c r="L692" s="205" t="str">
        <f>IFERROR(__xludf.DUMMYFUNCTION("IFERROR(
    INDEX(FILTER('Arrived Shipments'!O:O, 'Arrived Shipments'!B:B=$B692),1),
    IFERROR(
        INDEX(FILTER('POed not arrived'!D:D, 'POed not arrived'!A:A=$B692),1),
        """"
    )
)"),"")</f>
        <v/>
      </c>
      <c r="M692" s="202"/>
      <c r="N692" s="223" t="str">
        <f>IFERROR(__xludf.DUMMYFUNCTION("IFERROR(
    INDEX(FILTER('Arrived Shipments'!O:O, 'Arrived Shipments'!B:B=$B692),2),
    IFERROR(
        INDEX(FILTER('POed not arrived'!D:D, 'POed not arrived'!A:A=$B692),2),
        """"
    )
)"),"")</f>
        <v/>
      </c>
      <c r="O692" s="202"/>
      <c r="P692" s="202" t="str">
        <f>IFERROR(__xludf.DUMMYFUNCTION("IFERROR(
    INDEX(FILTER('Arrived Shipments'!O:O, 'Arrived Shipments'!B:B=$B692),3),
    IFERROR(
        INDEX(FILTER('POed not arrived'!D:D, 'POed not arrived'!A:A=$B692),3),
        """"
    )
)"),"")</f>
        <v/>
      </c>
      <c r="Q692" s="202"/>
      <c r="R692" s="206" t="str">
        <f>IFERROR(__xludf.DUMMYFUNCTION("IFERROR(
    INDEX(FILTER('Arrived Shipments'!O:O, 'Arrived Shipments'!B:B=$B692),4),
    IFERROR(
        INDEX(FILTER('POed not arrived'!D:D, 'POed not arrived'!A:A=$B692),4),
        """"
    )
)"),"")</f>
        <v/>
      </c>
      <c r="S692" s="202"/>
      <c r="T692" s="202">
        <f t="shared" si="8"/>
        <v>0</v>
      </c>
      <c r="U692" s="198"/>
      <c r="V692" s="199"/>
      <c r="W692" s="197"/>
      <c r="X692" s="197"/>
      <c r="Y692" s="199"/>
      <c r="Z692" s="199"/>
      <c r="AA692" s="204" t="str">
        <f t="shared" si="4"/>
        <v/>
      </c>
      <c r="AB692" s="198"/>
      <c r="AC692" s="199"/>
      <c r="AD692" s="199"/>
      <c r="AE692" s="199"/>
      <c r="AF692" s="199"/>
      <c r="AG692" s="199"/>
      <c r="AH692" s="199"/>
      <c r="AI692" s="199"/>
      <c r="AJ692" s="199"/>
      <c r="AK692" s="199"/>
      <c r="AL692" s="199"/>
      <c r="AM692" s="198"/>
      <c r="AN692" s="197"/>
      <c r="AO692" s="197"/>
      <c r="AP692" s="197"/>
      <c r="AQ692" s="197"/>
      <c r="AR692" s="197"/>
      <c r="AS692" s="197"/>
    </row>
    <row r="693">
      <c r="A693" s="198" t="str">
        <f t="shared" si="1"/>
        <v/>
      </c>
      <c r="B693" s="205"/>
      <c r="C693" s="198"/>
      <c r="D693" s="199"/>
      <c r="E693" s="213"/>
      <c r="F693" s="198"/>
      <c r="G693" s="198"/>
      <c r="H693" s="199"/>
      <c r="I693" s="207"/>
      <c r="J693" s="199"/>
      <c r="K693" s="202"/>
      <c r="L693" s="205" t="str">
        <f>IFERROR(__xludf.DUMMYFUNCTION("IFERROR(
    INDEX(FILTER('Arrived Shipments'!O:O, 'Arrived Shipments'!B:B=$B693),1),
    IFERROR(
        INDEX(FILTER('POed not arrived'!D:D, 'POed not arrived'!A:A=$B693),1),
        """"
    )
)"),"")</f>
        <v/>
      </c>
      <c r="M693" s="202"/>
      <c r="N693" s="223" t="str">
        <f>IFERROR(__xludf.DUMMYFUNCTION("IFERROR(
    INDEX(FILTER('Arrived Shipments'!O:O, 'Arrived Shipments'!B:B=$B693),2),
    IFERROR(
        INDEX(FILTER('POed not arrived'!D:D, 'POed not arrived'!A:A=$B693),2),
        """"
    )
)"),"")</f>
        <v/>
      </c>
      <c r="O693" s="202"/>
      <c r="P693" s="202" t="str">
        <f>IFERROR(__xludf.DUMMYFUNCTION("IFERROR(
    INDEX(FILTER('Arrived Shipments'!O:O, 'Arrived Shipments'!B:B=$B693),3),
    IFERROR(
        INDEX(FILTER('POed not arrived'!D:D, 'POed not arrived'!A:A=$B693),3),
        """"
    )
)"),"")</f>
        <v/>
      </c>
      <c r="Q693" s="202"/>
      <c r="R693" s="206" t="str">
        <f>IFERROR(__xludf.DUMMYFUNCTION("IFERROR(
    INDEX(FILTER('Arrived Shipments'!O:O, 'Arrived Shipments'!B:B=$B693),4),
    IFERROR(
        INDEX(FILTER('POed not arrived'!D:D, 'POed not arrived'!A:A=$B693),4),
        """"
    )
)"),"")</f>
        <v/>
      </c>
      <c r="S693" s="202"/>
      <c r="T693" s="202">
        <f t="shared" si="8"/>
        <v>0</v>
      </c>
      <c r="U693" s="198"/>
      <c r="V693" s="199"/>
      <c r="W693" s="197"/>
      <c r="X693" s="197"/>
      <c r="Y693" s="199"/>
      <c r="Z693" s="199"/>
      <c r="AA693" s="204" t="str">
        <f t="shared" si="4"/>
        <v/>
      </c>
      <c r="AB693" s="198"/>
      <c r="AC693" s="199"/>
      <c r="AD693" s="199"/>
      <c r="AE693" s="199"/>
      <c r="AF693" s="199"/>
      <c r="AG693" s="199"/>
      <c r="AH693" s="199"/>
      <c r="AI693" s="199"/>
      <c r="AJ693" s="199"/>
      <c r="AK693" s="199"/>
      <c r="AL693" s="199"/>
      <c r="AM693" s="198"/>
      <c r="AN693" s="197"/>
      <c r="AO693" s="197"/>
      <c r="AP693" s="197"/>
      <c r="AQ693" s="197"/>
      <c r="AR693" s="197"/>
      <c r="AS693" s="197"/>
    </row>
    <row r="694">
      <c r="A694" s="198" t="str">
        <f t="shared" si="1"/>
        <v/>
      </c>
      <c r="B694" s="205"/>
      <c r="C694" s="198"/>
      <c r="D694" s="199"/>
      <c r="E694" s="213"/>
      <c r="F694" s="198"/>
      <c r="G694" s="198"/>
      <c r="H694" s="199"/>
      <c r="I694" s="207"/>
      <c r="J694" s="199"/>
      <c r="K694" s="202"/>
      <c r="L694" s="205" t="str">
        <f>IFERROR(__xludf.DUMMYFUNCTION("IFERROR(
    INDEX(FILTER('Arrived Shipments'!O:O, 'Arrived Shipments'!B:B=$B694),1),
    IFERROR(
        INDEX(FILTER('POed not arrived'!D:D, 'POed not arrived'!A:A=$B694),1),
        """"
    )
)"),"")</f>
        <v/>
      </c>
      <c r="M694" s="202"/>
      <c r="N694" s="223" t="str">
        <f>IFERROR(__xludf.DUMMYFUNCTION("IFERROR(
    INDEX(FILTER('Arrived Shipments'!O:O, 'Arrived Shipments'!B:B=$B694),2),
    IFERROR(
        INDEX(FILTER('POed not arrived'!D:D, 'POed not arrived'!A:A=$B694),2),
        """"
    )
)"),"")</f>
        <v/>
      </c>
      <c r="O694" s="202"/>
      <c r="P694" s="202" t="str">
        <f>IFERROR(__xludf.DUMMYFUNCTION("IFERROR(
    INDEX(FILTER('Arrived Shipments'!O:O, 'Arrived Shipments'!B:B=$B694),3),
    IFERROR(
        INDEX(FILTER('POed not arrived'!D:D, 'POed not arrived'!A:A=$B694),3),
        """"
    )
)"),"")</f>
        <v/>
      </c>
      <c r="Q694" s="202"/>
      <c r="R694" s="206" t="str">
        <f>IFERROR(__xludf.DUMMYFUNCTION("IFERROR(
    INDEX(FILTER('Arrived Shipments'!O:O, 'Arrived Shipments'!B:B=$B694),4),
    IFERROR(
        INDEX(FILTER('POed not arrived'!D:D, 'POed not arrived'!A:A=$B694),4),
        """"
    )
)"),"")</f>
        <v/>
      </c>
      <c r="S694" s="202"/>
      <c r="T694" s="202">
        <f t="shared" si="8"/>
        <v>0</v>
      </c>
      <c r="U694" s="198"/>
      <c r="V694" s="199"/>
      <c r="W694" s="197"/>
      <c r="X694" s="197"/>
      <c r="Y694" s="199"/>
      <c r="Z694" s="199"/>
      <c r="AA694" s="204" t="str">
        <f t="shared" si="4"/>
        <v/>
      </c>
      <c r="AB694" s="198"/>
      <c r="AC694" s="199"/>
      <c r="AD694" s="199"/>
      <c r="AE694" s="199"/>
      <c r="AF694" s="199"/>
      <c r="AG694" s="199"/>
      <c r="AH694" s="199"/>
      <c r="AI694" s="199"/>
      <c r="AJ694" s="199"/>
      <c r="AK694" s="199"/>
      <c r="AL694" s="199"/>
      <c r="AM694" s="198"/>
      <c r="AN694" s="197"/>
      <c r="AO694" s="197"/>
      <c r="AP694" s="197"/>
      <c r="AQ694" s="197"/>
      <c r="AR694" s="197"/>
      <c r="AS694" s="197"/>
    </row>
    <row r="695">
      <c r="A695" s="198" t="str">
        <f t="shared" si="1"/>
        <v/>
      </c>
      <c r="B695" s="205"/>
      <c r="C695" s="198"/>
      <c r="D695" s="199"/>
      <c r="E695" s="213"/>
      <c r="F695" s="198"/>
      <c r="G695" s="198"/>
      <c r="H695" s="199"/>
      <c r="I695" s="207"/>
      <c r="J695" s="199"/>
      <c r="K695" s="202"/>
      <c r="L695" s="205" t="str">
        <f>IFERROR(__xludf.DUMMYFUNCTION("IFERROR(
    INDEX(FILTER('Arrived Shipments'!O:O, 'Arrived Shipments'!B:B=$B695),1),
    IFERROR(
        INDEX(FILTER('POed not arrived'!D:D, 'POed not arrived'!A:A=$B695),1),
        """"
    )
)"),"")</f>
        <v/>
      </c>
      <c r="M695" s="202"/>
      <c r="N695" s="223" t="str">
        <f>IFERROR(__xludf.DUMMYFUNCTION("IFERROR(
    INDEX(FILTER('Arrived Shipments'!O:O, 'Arrived Shipments'!B:B=$B695),2),
    IFERROR(
        INDEX(FILTER('POed not arrived'!D:D, 'POed not arrived'!A:A=$B695),2),
        """"
    )
)"),"")</f>
        <v/>
      </c>
      <c r="O695" s="202"/>
      <c r="P695" s="202" t="str">
        <f>IFERROR(__xludf.DUMMYFUNCTION("IFERROR(
    INDEX(FILTER('Arrived Shipments'!O:O, 'Arrived Shipments'!B:B=$B695),3),
    IFERROR(
        INDEX(FILTER('POed not arrived'!D:D, 'POed not arrived'!A:A=$B695),3),
        """"
    )
)"),"")</f>
        <v/>
      </c>
      <c r="Q695" s="202"/>
      <c r="R695" s="206" t="str">
        <f>IFERROR(__xludf.DUMMYFUNCTION("IFERROR(
    INDEX(FILTER('Arrived Shipments'!O:O, 'Arrived Shipments'!B:B=$B695),4),
    IFERROR(
        INDEX(FILTER('POed not arrived'!D:D, 'POed not arrived'!A:A=$B695),4),
        """"
    )
)"),"")</f>
        <v/>
      </c>
      <c r="S695" s="202"/>
      <c r="T695" s="202">
        <f t="shared" si="8"/>
        <v>0</v>
      </c>
      <c r="U695" s="198"/>
      <c r="V695" s="199"/>
      <c r="W695" s="197"/>
      <c r="X695" s="197"/>
      <c r="Y695" s="199"/>
      <c r="Z695" s="199"/>
      <c r="AA695" s="204" t="str">
        <f t="shared" si="4"/>
        <v/>
      </c>
      <c r="AB695" s="198"/>
      <c r="AC695" s="199"/>
      <c r="AD695" s="199"/>
      <c r="AE695" s="199"/>
      <c r="AF695" s="199"/>
      <c r="AG695" s="199"/>
      <c r="AH695" s="199"/>
      <c r="AI695" s="199"/>
      <c r="AJ695" s="199"/>
      <c r="AK695" s="199"/>
      <c r="AL695" s="199"/>
      <c r="AM695" s="198"/>
      <c r="AN695" s="197"/>
      <c r="AO695" s="197"/>
      <c r="AP695" s="197"/>
      <c r="AQ695" s="197"/>
      <c r="AR695" s="197"/>
      <c r="AS695" s="197"/>
    </row>
    <row r="696">
      <c r="A696" s="198" t="str">
        <f t="shared" si="1"/>
        <v/>
      </c>
      <c r="B696" s="205"/>
      <c r="C696" s="198"/>
      <c r="D696" s="199"/>
      <c r="E696" s="213"/>
      <c r="F696" s="198"/>
      <c r="G696" s="198"/>
      <c r="H696" s="199"/>
      <c r="I696" s="207"/>
      <c r="J696" s="199"/>
      <c r="K696" s="202"/>
      <c r="L696" s="205" t="str">
        <f>IFERROR(__xludf.DUMMYFUNCTION("IFERROR(
    INDEX(FILTER('Arrived Shipments'!O:O, 'Arrived Shipments'!B:B=$B696),1),
    IFERROR(
        INDEX(FILTER('POed not arrived'!D:D, 'POed not arrived'!A:A=$B696),1),
        """"
    )
)"),"")</f>
        <v/>
      </c>
      <c r="M696" s="202"/>
      <c r="N696" s="223" t="str">
        <f>IFERROR(__xludf.DUMMYFUNCTION("IFERROR(
    INDEX(FILTER('Arrived Shipments'!O:O, 'Arrived Shipments'!B:B=$B696),2),
    IFERROR(
        INDEX(FILTER('POed not arrived'!D:D, 'POed not arrived'!A:A=$B696),2),
        """"
    )
)"),"")</f>
        <v/>
      </c>
      <c r="O696" s="202"/>
      <c r="P696" s="202" t="str">
        <f>IFERROR(__xludf.DUMMYFUNCTION("IFERROR(
    INDEX(FILTER('Arrived Shipments'!O:O, 'Arrived Shipments'!B:B=$B696),3),
    IFERROR(
        INDEX(FILTER('POed not arrived'!D:D, 'POed not arrived'!A:A=$B696),3),
        """"
    )
)"),"")</f>
        <v/>
      </c>
      <c r="Q696" s="202"/>
      <c r="R696" s="206" t="str">
        <f>IFERROR(__xludf.DUMMYFUNCTION("IFERROR(
    INDEX(FILTER('Arrived Shipments'!O:O, 'Arrived Shipments'!B:B=$B696),4),
    IFERROR(
        INDEX(FILTER('POed not arrived'!D:D, 'POed not arrived'!A:A=$B696),4),
        """"
    )
)"),"")</f>
        <v/>
      </c>
      <c r="S696" s="202"/>
      <c r="T696" s="202">
        <f t="shared" si="8"/>
        <v>0</v>
      </c>
      <c r="U696" s="198"/>
      <c r="V696" s="199"/>
      <c r="W696" s="197"/>
      <c r="X696" s="197"/>
      <c r="Y696" s="199"/>
      <c r="Z696" s="199"/>
      <c r="AA696" s="204" t="str">
        <f t="shared" si="4"/>
        <v/>
      </c>
      <c r="AB696" s="198"/>
      <c r="AC696" s="199"/>
      <c r="AD696" s="199"/>
      <c r="AE696" s="199"/>
      <c r="AF696" s="199"/>
      <c r="AG696" s="199"/>
      <c r="AH696" s="199"/>
      <c r="AI696" s="199"/>
      <c r="AJ696" s="199"/>
      <c r="AK696" s="199"/>
      <c r="AL696" s="199"/>
      <c r="AM696" s="198"/>
      <c r="AN696" s="197"/>
      <c r="AO696" s="197"/>
      <c r="AP696" s="197"/>
      <c r="AQ696" s="197"/>
      <c r="AR696" s="197"/>
      <c r="AS696" s="197"/>
    </row>
    <row r="697">
      <c r="A697" s="198" t="str">
        <f t="shared" si="1"/>
        <v/>
      </c>
      <c r="B697" s="205"/>
      <c r="C697" s="198"/>
      <c r="D697" s="199"/>
      <c r="E697" s="213"/>
      <c r="F697" s="198"/>
      <c r="G697" s="198"/>
      <c r="H697" s="199"/>
      <c r="I697" s="207"/>
      <c r="J697" s="199"/>
      <c r="K697" s="202"/>
      <c r="L697" s="205" t="str">
        <f>IFERROR(__xludf.DUMMYFUNCTION("IFERROR(
    INDEX(FILTER('Arrived Shipments'!O:O, 'Arrived Shipments'!B:B=$B697),1),
    IFERROR(
        INDEX(FILTER('POed not arrived'!D:D, 'POed not arrived'!A:A=$B697),1),
        """"
    )
)"),"")</f>
        <v/>
      </c>
      <c r="M697" s="202"/>
      <c r="N697" s="223" t="str">
        <f>IFERROR(__xludf.DUMMYFUNCTION("IFERROR(
    INDEX(FILTER('Arrived Shipments'!O:O, 'Arrived Shipments'!B:B=$B697),2),
    IFERROR(
        INDEX(FILTER('POed not arrived'!D:D, 'POed not arrived'!A:A=$B697),2),
        """"
    )
)"),"")</f>
        <v/>
      </c>
      <c r="O697" s="202"/>
      <c r="P697" s="202" t="str">
        <f>IFERROR(__xludf.DUMMYFUNCTION("IFERROR(
    INDEX(FILTER('Arrived Shipments'!O:O, 'Arrived Shipments'!B:B=$B697),3),
    IFERROR(
        INDEX(FILTER('POed not arrived'!D:D, 'POed not arrived'!A:A=$B697),3),
        """"
    )
)"),"")</f>
        <v/>
      </c>
      <c r="Q697" s="202"/>
      <c r="R697" s="206" t="str">
        <f>IFERROR(__xludf.DUMMYFUNCTION("IFERROR(
    INDEX(FILTER('Arrived Shipments'!O:O, 'Arrived Shipments'!B:B=$B697),4),
    IFERROR(
        INDEX(FILTER('POed not arrived'!D:D, 'POed not arrived'!A:A=$B697),4),
        """"
    )
)"),"")</f>
        <v/>
      </c>
      <c r="S697" s="202"/>
      <c r="T697" s="202">
        <f t="shared" si="8"/>
        <v>0</v>
      </c>
      <c r="U697" s="198"/>
      <c r="V697" s="199"/>
      <c r="W697" s="197"/>
      <c r="X697" s="197"/>
      <c r="Y697" s="199"/>
      <c r="Z697" s="199"/>
      <c r="AA697" s="204" t="str">
        <f t="shared" si="4"/>
        <v/>
      </c>
      <c r="AB697" s="198"/>
      <c r="AC697" s="199"/>
      <c r="AD697" s="199"/>
      <c r="AE697" s="199"/>
      <c r="AF697" s="199"/>
      <c r="AG697" s="199"/>
      <c r="AH697" s="199"/>
      <c r="AI697" s="199"/>
      <c r="AJ697" s="199"/>
      <c r="AK697" s="199"/>
      <c r="AL697" s="199"/>
      <c r="AM697" s="198"/>
      <c r="AN697" s="197"/>
      <c r="AO697" s="197"/>
      <c r="AP697" s="197"/>
      <c r="AQ697" s="197"/>
      <c r="AR697" s="197"/>
      <c r="AS697" s="197"/>
    </row>
    <row r="698">
      <c r="A698" s="198" t="str">
        <f t="shared" si="1"/>
        <v/>
      </c>
      <c r="B698" s="205"/>
      <c r="C698" s="198"/>
      <c r="D698" s="199"/>
      <c r="E698" s="213"/>
      <c r="F698" s="198"/>
      <c r="G698" s="198"/>
      <c r="H698" s="199"/>
      <c r="I698" s="207"/>
      <c r="J698" s="199"/>
      <c r="K698" s="202"/>
      <c r="L698" s="205" t="str">
        <f>IFERROR(__xludf.DUMMYFUNCTION("IFERROR(
    INDEX(FILTER('Arrived Shipments'!O:O, 'Arrived Shipments'!B:B=$B698),1),
    IFERROR(
        INDEX(FILTER('POed not arrived'!D:D, 'POed not arrived'!A:A=$B698),1),
        """"
    )
)"),"")</f>
        <v/>
      </c>
      <c r="M698" s="202"/>
      <c r="N698" s="223" t="str">
        <f>IFERROR(__xludf.DUMMYFUNCTION("IFERROR(
    INDEX(FILTER('Arrived Shipments'!O:O, 'Arrived Shipments'!B:B=$B698),2),
    IFERROR(
        INDEX(FILTER('POed not arrived'!D:D, 'POed not arrived'!A:A=$B698),2),
        """"
    )
)"),"")</f>
        <v/>
      </c>
      <c r="O698" s="202"/>
      <c r="P698" s="202" t="str">
        <f>IFERROR(__xludf.DUMMYFUNCTION("IFERROR(
    INDEX(FILTER('Arrived Shipments'!O:O, 'Arrived Shipments'!B:B=$B698),3),
    IFERROR(
        INDEX(FILTER('POed not arrived'!D:D, 'POed not arrived'!A:A=$B698),3),
        """"
    )
)"),"")</f>
        <v/>
      </c>
      <c r="Q698" s="202"/>
      <c r="R698" s="206" t="str">
        <f>IFERROR(__xludf.DUMMYFUNCTION("IFERROR(
    INDEX(FILTER('Arrived Shipments'!O:O, 'Arrived Shipments'!B:B=$B698),4),
    IFERROR(
        INDEX(FILTER('POed not arrived'!D:D, 'POed not arrived'!A:A=$B698),4),
        """"
    )
)"),"")</f>
        <v/>
      </c>
      <c r="S698" s="202"/>
      <c r="T698" s="202">
        <f t="shared" si="8"/>
        <v>0</v>
      </c>
      <c r="U698" s="198"/>
      <c r="V698" s="199"/>
      <c r="W698" s="197"/>
      <c r="X698" s="197"/>
      <c r="Y698" s="199"/>
      <c r="Z698" s="199"/>
      <c r="AA698" s="204" t="str">
        <f t="shared" si="4"/>
        <v/>
      </c>
      <c r="AB698" s="198"/>
      <c r="AC698" s="199"/>
      <c r="AD698" s="199"/>
      <c r="AE698" s="199"/>
      <c r="AF698" s="199"/>
      <c r="AG698" s="199"/>
      <c r="AH698" s="199"/>
      <c r="AI698" s="199"/>
      <c r="AJ698" s="199"/>
      <c r="AK698" s="199"/>
      <c r="AL698" s="199"/>
      <c r="AM698" s="198"/>
      <c r="AN698" s="197"/>
      <c r="AO698" s="197"/>
      <c r="AP698" s="197"/>
      <c r="AQ698" s="197"/>
      <c r="AR698" s="197"/>
      <c r="AS698" s="197"/>
    </row>
    <row r="699">
      <c r="A699" s="198" t="str">
        <f t="shared" si="1"/>
        <v/>
      </c>
      <c r="B699" s="205"/>
      <c r="C699" s="198"/>
      <c r="D699" s="199"/>
      <c r="E699" s="213"/>
      <c r="F699" s="198"/>
      <c r="G699" s="198"/>
      <c r="H699" s="199"/>
      <c r="I699" s="207"/>
      <c r="J699" s="199"/>
      <c r="K699" s="202"/>
      <c r="L699" s="205" t="str">
        <f>IFERROR(__xludf.DUMMYFUNCTION("IFERROR(
    INDEX(FILTER('Arrived Shipments'!O:O, 'Arrived Shipments'!B:B=$B699),1),
    IFERROR(
        INDEX(FILTER('POed not arrived'!D:D, 'POed not arrived'!A:A=$B699),1),
        """"
    )
)"),"")</f>
        <v/>
      </c>
      <c r="M699" s="202"/>
      <c r="N699" s="223" t="str">
        <f>IFERROR(__xludf.DUMMYFUNCTION("IFERROR(
    INDEX(FILTER('Arrived Shipments'!O:O, 'Arrived Shipments'!B:B=$B699),2),
    IFERROR(
        INDEX(FILTER('POed not arrived'!D:D, 'POed not arrived'!A:A=$B699),2),
        """"
    )
)"),"")</f>
        <v/>
      </c>
      <c r="O699" s="202"/>
      <c r="P699" s="202" t="str">
        <f>IFERROR(__xludf.DUMMYFUNCTION("IFERROR(
    INDEX(FILTER('Arrived Shipments'!O:O, 'Arrived Shipments'!B:B=$B699),3),
    IFERROR(
        INDEX(FILTER('POed not arrived'!D:D, 'POed not arrived'!A:A=$B699),3),
        """"
    )
)"),"")</f>
        <v/>
      </c>
      <c r="Q699" s="202"/>
      <c r="R699" s="206" t="str">
        <f>IFERROR(__xludf.DUMMYFUNCTION("IFERROR(
    INDEX(FILTER('Arrived Shipments'!O:O, 'Arrived Shipments'!B:B=$B699),4),
    IFERROR(
        INDEX(FILTER('POed not arrived'!D:D, 'POed not arrived'!A:A=$B699),4),
        """"
    )
)"),"")</f>
        <v/>
      </c>
      <c r="S699" s="202"/>
      <c r="T699" s="202">
        <f t="shared" si="8"/>
        <v>0</v>
      </c>
      <c r="U699" s="198"/>
      <c r="V699" s="199"/>
      <c r="W699" s="197"/>
      <c r="X699" s="197"/>
      <c r="Y699" s="199"/>
      <c r="Z699" s="199"/>
      <c r="AA699" s="204" t="str">
        <f t="shared" si="4"/>
        <v/>
      </c>
      <c r="AB699" s="198"/>
      <c r="AC699" s="199"/>
      <c r="AD699" s="199"/>
      <c r="AE699" s="199"/>
      <c r="AF699" s="199"/>
      <c r="AG699" s="199"/>
      <c r="AH699" s="199"/>
      <c r="AI699" s="199"/>
      <c r="AJ699" s="199"/>
      <c r="AK699" s="199"/>
      <c r="AL699" s="199"/>
      <c r="AM699" s="198"/>
      <c r="AN699" s="197"/>
      <c r="AO699" s="197"/>
      <c r="AP699" s="197"/>
      <c r="AQ699" s="197"/>
      <c r="AR699" s="197"/>
      <c r="AS699" s="197"/>
    </row>
    <row r="700">
      <c r="A700" s="198" t="str">
        <f t="shared" si="1"/>
        <v/>
      </c>
      <c r="B700" s="205"/>
      <c r="C700" s="198"/>
      <c r="D700" s="199"/>
      <c r="E700" s="213"/>
      <c r="F700" s="198"/>
      <c r="G700" s="198"/>
      <c r="H700" s="199"/>
      <c r="I700" s="207"/>
      <c r="J700" s="199"/>
      <c r="K700" s="202"/>
      <c r="L700" s="205" t="str">
        <f>IFERROR(__xludf.DUMMYFUNCTION("IFERROR(
    INDEX(FILTER('Arrived Shipments'!O:O, 'Arrived Shipments'!B:B=$B700),1),
    IFERROR(
        INDEX(FILTER('POed not arrived'!D:D, 'POed not arrived'!A:A=$B700),1),
        """"
    )
)"),"")</f>
        <v/>
      </c>
      <c r="M700" s="202"/>
      <c r="N700" s="223" t="str">
        <f>IFERROR(__xludf.DUMMYFUNCTION("IFERROR(
    INDEX(FILTER('Arrived Shipments'!O:O, 'Arrived Shipments'!B:B=$B700),2),
    IFERROR(
        INDEX(FILTER('POed not arrived'!D:D, 'POed not arrived'!A:A=$B700),2),
        """"
    )
)"),"")</f>
        <v/>
      </c>
      <c r="O700" s="202"/>
      <c r="P700" s="202" t="str">
        <f>IFERROR(__xludf.DUMMYFUNCTION("IFERROR(
    INDEX(FILTER('Arrived Shipments'!O:O, 'Arrived Shipments'!B:B=$B700),3),
    IFERROR(
        INDEX(FILTER('POed not arrived'!D:D, 'POed not arrived'!A:A=$B700),3),
        """"
    )
)"),"")</f>
        <v/>
      </c>
      <c r="Q700" s="202"/>
      <c r="R700" s="206" t="str">
        <f>IFERROR(__xludf.DUMMYFUNCTION("IFERROR(
    INDEX(FILTER('Arrived Shipments'!O:O, 'Arrived Shipments'!B:B=$B700),4),
    IFERROR(
        INDEX(FILTER('POed not arrived'!D:D, 'POed not arrived'!A:A=$B700),4),
        """"
    )
)"),"")</f>
        <v/>
      </c>
      <c r="S700" s="202"/>
      <c r="T700" s="202">
        <f t="shared" si="8"/>
        <v>0</v>
      </c>
      <c r="U700" s="198"/>
      <c r="V700" s="199"/>
      <c r="W700" s="197"/>
      <c r="X700" s="197"/>
      <c r="Y700" s="199"/>
      <c r="Z700" s="199"/>
      <c r="AA700" s="204" t="str">
        <f t="shared" si="4"/>
        <v/>
      </c>
      <c r="AB700" s="198"/>
      <c r="AC700" s="199"/>
      <c r="AD700" s="199"/>
      <c r="AE700" s="199"/>
      <c r="AF700" s="199"/>
      <c r="AG700" s="199"/>
      <c r="AH700" s="199"/>
      <c r="AI700" s="199"/>
      <c r="AJ700" s="199"/>
      <c r="AK700" s="199"/>
      <c r="AL700" s="199"/>
      <c r="AM700" s="198"/>
      <c r="AN700" s="197"/>
      <c r="AO700" s="197"/>
      <c r="AP700" s="197"/>
      <c r="AQ700" s="197"/>
      <c r="AR700" s="197"/>
      <c r="AS700" s="197"/>
    </row>
    <row r="701">
      <c r="A701" s="198" t="str">
        <f t="shared" si="1"/>
        <v/>
      </c>
      <c r="B701" s="205"/>
      <c r="C701" s="198"/>
      <c r="D701" s="199"/>
      <c r="E701" s="213"/>
      <c r="F701" s="198"/>
      <c r="G701" s="198"/>
      <c r="H701" s="199"/>
      <c r="I701" s="207"/>
      <c r="J701" s="199"/>
      <c r="K701" s="202"/>
      <c r="L701" s="205" t="str">
        <f>IFERROR(__xludf.DUMMYFUNCTION("IFERROR(
    INDEX(FILTER('Arrived Shipments'!O:O, 'Arrived Shipments'!B:B=$B701),1),
    IFERROR(
        INDEX(FILTER('POed not arrived'!D:D, 'POed not arrived'!A:A=$B701),1),
        """"
    )
)"),"")</f>
        <v/>
      </c>
      <c r="M701" s="202"/>
      <c r="N701" s="223" t="str">
        <f>IFERROR(__xludf.DUMMYFUNCTION("IFERROR(
    INDEX(FILTER('Arrived Shipments'!O:O, 'Arrived Shipments'!B:B=$B701),2),
    IFERROR(
        INDEX(FILTER('POed not arrived'!D:D, 'POed not arrived'!A:A=$B701),2),
        """"
    )
)"),"")</f>
        <v/>
      </c>
      <c r="O701" s="202"/>
      <c r="P701" s="202" t="str">
        <f>IFERROR(__xludf.DUMMYFUNCTION("IFERROR(
    INDEX(FILTER('Arrived Shipments'!O:O, 'Arrived Shipments'!B:B=$B701),3),
    IFERROR(
        INDEX(FILTER('POed not arrived'!D:D, 'POed not arrived'!A:A=$B701),3),
        """"
    )
)"),"")</f>
        <v/>
      </c>
      <c r="Q701" s="202"/>
      <c r="R701" s="206" t="str">
        <f>IFERROR(__xludf.DUMMYFUNCTION("IFERROR(
    INDEX(FILTER('Arrived Shipments'!O:O, 'Arrived Shipments'!B:B=$B701),4),
    IFERROR(
        INDEX(FILTER('POed not arrived'!D:D, 'POed not arrived'!A:A=$B701),4),
        """"
    )
)"),"")</f>
        <v/>
      </c>
      <c r="S701" s="202"/>
      <c r="T701" s="202">
        <f t="shared" si="8"/>
        <v>0</v>
      </c>
      <c r="U701" s="198"/>
      <c r="V701" s="199"/>
      <c r="W701" s="197"/>
      <c r="X701" s="197"/>
      <c r="Y701" s="199"/>
      <c r="Z701" s="199"/>
      <c r="AA701" s="204" t="str">
        <f t="shared" si="4"/>
        <v/>
      </c>
      <c r="AB701" s="198"/>
      <c r="AC701" s="199"/>
      <c r="AD701" s="199"/>
      <c r="AE701" s="199"/>
      <c r="AF701" s="199"/>
      <c r="AG701" s="199"/>
      <c r="AH701" s="199"/>
      <c r="AI701" s="199"/>
      <c r="AJ701" s="199"/>
      <c r="AK701" s="199"/>
      <c r="AL701" s="199"/>
      <c r="AM701" s="198"/>
      <c r="AN701" s="197"/>
      <c r="AO701" s="197"/>
      <c r="AP701" s="197"/>
      <c r="AQ701" s="197"/>
      <c r="AR701" s="197"/>
      <c r="AS701" s="197"/>
    </row>
    <row r="702">
      <c r="A702" s="198" t="str">
        <f t="shared" si="1"/>
        <v/>
      </c>
      <c r="B702" s="205"/>
      <c r="C702" s="198"/>
      <c r="D702" s="199"/>
      <c r="E702" s="213"/>
      <c r="F702" s="198"/>
      <c r="G702" s="198"/>
      <c r="H702" s="199"/>
      <c r="I702" s="207"/>
      <c r="J702" s="199"/>
      <c r="K702" s="202"/>
      <c r="L702" s="205" t="str">
        <f>IFERROR(__xludf.DUMMYFUNCTION("IFERROR(
    INDEX(FILTER('Arrived Shipments'!O:O, 'Arrived Shipments'!B:B=$B702),1),
    IFERROR(
        INDEX(FILTER('POed not arrived'!D:D, 'POed not arrived'!A:A=$B702),1),
        """"
    )
)"),"")</f>
        <v/>
      </c>
      <c r="M702" s="202"/>
      <c r="N702" s="223" t="str">
        <f>IFERROR(__xludf.DUMMYFUNCTION("IFERROR(
    INDEX(FILTER('Arrived Shipments'!O:O, 'Arrived Shipments'!B:B=$B702),2),
    IFERROR(
        INDEX(FILTER('POed not arrived'!D:D, 'POed not arrived'!A:A=$B702),2),
        """"
    )
)"),"")</f>
        <v/>
      </c>
      <c r="O702" s="202"/>
      <c r="P702" s="202" t="str">
        <f>IFERROR(__xludf.DUMMYFUNCTION("IFERROR(
    INDEX(FILTER('Arrived Shipments'!O:O, 'Arrived Shipments'!B:B=$B702),3),
    IFERROR(
        INDEX(FILTER('POed not arrived'!D:D, 'POed not arrived'!A:A=$B702),3),
        """"
    )
)"),"")</f>
        <v/>
      </c>
      <c r="Q702" s="202"/>
      <c r="R702" s="206" t="str">
        <f>IFERROR(__xludf.DUMMYFUNCTION("IFERROR(
    INDEX(FILTER('Arrived Shipments'!O:O, 'Arrived Shipments'!B:B=$B702),4),
    IFERROR(
        INDEX(FILTER('POed not arrived'!D:D, 'POed not arrived'!A:A=$B702),4),
        """"
    )
)"),"")</f>
        <v/>
      </c>
      <c r="S702" s="202"/>
      <c r="T702" s="202">
        <f t="shared" si="8"/>
        <v>0</v>
      </c>
      <c r="U702" s="198"/>
      <c r="V702" s="199"/>
      <c r="W702" s="197"/>
      <c r="X702" s="197"/>
      <c r="Y702" s="199"/>
      <c r="Z702" s="199"/>
      <c r="AA702" s="204" t="str">
        <f t="shared" si="4"/>
        <v/>
      </c>
      <c r="AB702" s="198"/>
      <c r="AC702" s="199"/>
      <c r="AD702" s="199"/>
      <c r="AE702" s="199"/>
      <c r="AF702" s="199"/>
      <c r="AG702" s="199"/>
      <c r="AH702" s="199"/>
      <c r="AI702" s="199"/>
      <c r="AJ702" s="199"/>
      <c r="AK702" s="199"/>
      <c r="AL702" s="199"/>
      <c r="AM702" s="198"/>
      <c r="AN702" s="197"/>
      <c r="AO702" s="197"/>
      <c r="AP702" s="197"/>
      <c r="AQ702" s="197"/>
      <c r="AR702" s="197"/>
      <c r="AS702" s="197"/>
    </row>
    <row r="703">
      <c r="A703" s="198" t="str">
        <f t="shared" si="1"/>
        <v/>
      </c>
      <c r="B703" s="205"/>
      <c r="C703" s="198"/>
      <c r="D703" s="199"/>
      <c r="E703" s="213"/>
      <c r="F703" s="198"/>
      <c r="G703" s="198"/>
      <c r="H703" s="199"/>
      <c r="I703" s="207"/>
      <c r="J703" s="199"/>
      <c r="K703" s="202"/>
      <c r="L703" s="205" t="str">
        <f>IFERROR(__xludf.DUMMYFUNCTION("IFERROR(
    INDEX(FILTER('Arrived Shipments'!O:O, 'Arrived Shipments'!B:B=$B703),1),
    IFERROR(
        INDEX(FILTER('POed not arrived'!D:D, 'POed not arrived'!A:A=$B703),1),
        """"
    )
)"),"")</f>
        <v/>
      </c>
      <c r="M703" s="202"/>
      <c r="N703" s="223" t="str">
        <f>IFERROR(__xludf.DUMMYFUNCTION("IFERROR(
    INDEX(FILTER('Arrived Shipments'!O:O, 'Arrived Shipments'!B:B=$B703),2),
    IFERROR(
        INDEX(FILTER('POed not arrived'!D:D, 'POed not arrived'!A:A=$B703),2),
        """"
    )
)"),"")</f>
        <v/>
      </c>
      <c r="O703" s="202"/>
      <c r="P703" s="202" t="str">
        <f>IFERROR(__xludf.DUMMYFUNCTION("IFERROR(
    INDEX(FILTER('Arrived Shipments'!O:O, 'Arrived Shipments'!B:B=$B703),3),
    IFERROR(
        INDEX(FILTER('POed not arrived'!D:D, 'POed not arrived'!A:A=$B703),3),
        """"
    )
)"),"")</f>
        <v/>
      </c>
      <c r="Q703" s="202"/>
      <c r="R703" s="206" t="str">
        <f>IFERROR(__xludf.DUMMYFUNCTION("IFERROR(
    INDEX(FILTER('Arrived Shipments'!O:O, 'Arrived Shipments'!B:B=$B703),4),
    IFERROR(
        INDEX(FILTER('POed not arrived'!D:D, 'POed not arrived'!A:A=$B703),4),
        """"
    )
)"),"")</f>
        <v/>
      </c>
      <c r="S703" s="202"/>
      <c r="T703" s="202">
        <f t="shared" si="8"/>
        <v>0</v>
      </c>
      <c r="U703" s="198"/>
      <c r="V703" s="199"/>
      <c r="W703" s="197"/>
      <c r="X703" s="197"/>
      <c r="Y703" s="199"/>
      <c r="Z703" s="199"/>
      <c r="AA703" s="204" t="str">
        <f t="shared" si="4"/>
        <v/>
      </c>
      <c r="AB703" s="198"/>
      <c r="AC703" s="199"/>
      <c r="AD703" s="199"/>
      <c r="AE703" s="199"/>
      <c r="AF703" s="199"/>
      <c r="AG703" s="199"/>
      <c r="AH703" s="199"/>
      <c r="AI703" s="199"/>
      <c r="AJ703" s="199"/>
      <c r="AK703" s="199"/>
      <c r="AL703" s="199"/>
      <c r="AM703" s="198"/>
      <c r="AN703" s="197"/>
      <c r="AO703" s="197"/>
      <c r="AP703" s="197"/>
      <c r="AQ703" s="197"/>
      <c r="AR703" s="197"/>
      <c r="AS703" s="197"/>
    </row>
    <row r="704">
      <c r="A704" s="198" t="str">
        <f t="shared" si="1"/>
        <v/>
      </c>
      <c r="B704" s="205"/>
      <c r="C704" s="198"/>
      <c r="D704" s="199"/>
      <c r="E704" s="213"/>
      <c r="F704" s="198"/>
      <c r="G704" s="198"/>
      <c r="H704" s="199"/>
      <c r="I704" s="207"/>
      <c r="J704" s="199"/>
      <c r="K704" s="202"/>
      <c r="L704" s="205" t="str">
        <f>IFERROR(__xludf.DUMMYFUNCTION("IFERROR(
    INDEX(FILTER('Arrived Shipments'!O:O, 'Arrived Shipments'!B:B=$B704),1),
    IFERROR(
        INDEX(FILTER('POed not arrived'!D:D, 'POed not arrived'!A:A=$B704),1),
        """"
    )
)"),"")</f>
        <v/>
      </c>
      <c r="M704" s="202"/>
      <c r="N704" s="223" t="str">
        <f>IFERROR(__xludf.DUMMYFUNCTION("IFERROR(
    INDEX(FILTER('Arrived Shipments'!O:O, 'Arrived Shipments'!B:B=$B704),2),
    IFERROR(
        INDEX(FILTER('POed not arrived'!D:D, 'POed not arrived'!A:A=$B704),2),
        """"
    )
)"),"")</f>
        <v/>
      </c>
      <c r="O704" s="202"/>
      <c r="P704" s="202" t="str">
        <f>IFERROR(__xludf.DUMMYFUNCTION("IFERROR(
    INDEX(FILTER('Arrived Shipments'!O:O, 'Arrived Shipments'!B:B=$B704),3),
    IFERROR(
        INDEX(FILTER('POed not arrived'!D:D, 'POed not arrived'!A:A=$B704),3),
        """"
    )
)"),"")</f>
        <v/>
      </c>
      <c r="Q704" s="202"/>
      <c r="R704" s="206" t="str">
        <f>IFERROR(__xludf.DUMMYFUNCTION("IFERROR(
    INDEX(FILTER('Arrived Shipments'!O:O, 'Arrived Shipments'!B:B=$B704),4),
    IFERROR(
        INDEX(FILTER('POed not arrived'!D:D, 'POed not arrived'!A:A=$B704),4),
        """"
    )
)"),"")</f>
        <v/>
      </c>
      <c r="S704" s="202"/>
      <c r="T704" s="202">
        <f t="shared" si="8"/>
        <v>0</v>
      </c>
      <c r="U704" s="198"/>
      <c r="V704" s="199"/>
      <c r="W704" s="197"/>
      <c r="X704" s="197"/>
      <c r="Y704" s="199"/>
      <c r="Z704" s="199"/>
      <c r="AA704" s="204" t="str">
        <f t="shared" si="4"/>
        <v/>
      </c>
      <c r="AB704" s="198"/>
      <c r="AC704" s="199"/>
      <c r="AD704" s="199"/>
      <c r="AE704" s="199"/>
      <c r="AF704" s="199"/>
      <c r="AG704" s="199"/>
      <c r="AH704" s="199"/>
      <c r="AI704" s="199"/>
      <c r="AJ704" s="199"/>
      <c r="AK704" s="199"/>
      <c r="AL704" s="199"/>
      <c r="AM704" s="198"/>
      <c r="AN704" s="197"/>
      <c r="AO704" s="197"/>
      <c r="AP704" s="197"/>
      <c r="AQ704" s="197"/>
      <c r="AR704" s="197"/>
      <c r="AS704" s="197"/>
    </row>
    <row r="705">
      <c r="A705" s="198" t="str">
        <f t="shared" si="1"/>
        <v/>
      </c>
      <c r="B705" s="205"/>
      <c r="C705" s="198"/>
      <c r="D705" s="199"/>
      <c r="E705" s="213"/>
      <c r="F705" s="198"/>
      <c r="G705" s="198"/>
      <c r="H705" s="199"/>
      <c r="I705" s="207"/>
      <c r="J705" s="199"/>
      <c r="K705" s="202"/>
      <c r="L705" s="205" t="str">
        <f>IFERROR(__xludf.DUMMYFUNCTION("IFERROR(
    INDEX(FILTER('Arrived Shipments'!O:O, 'Arrived Shipments'!B:B=$B705),1),
    IFERROR(
        INDEX(FILTER('POed not arrived'!D:D, 'POed not arrived'!A:A=$B705),1),
        """"
    )
)"),"")</f>
        <v/>
      </c>
      <c r="M705" s="202"/>
      <c r="N705" s="223" t="str">
        <f>IFERROR(__xludf.DUMMYFUNCTION("IFERROR(
    INDEX(FILTER('Arrived Shipments'!O:O, 'Arrived Shipments'!B:B=$B705),2),
    IFERROR(
        INDEX(FILTER('POed not arrived'!D:D, 'POed not arrived'!A:A=$B705),2),
        """"
    )
)"),"")</f>
        <v/>
      </c>
      <c r="O705" s="202"/>
      <c r="P705" s="202" t="str">
        <f>IFERROR(__xludf.DUMMYFUNCTION("IFERROR(
    INDEX(FILTER('Arrived Shipments'!O:O, 'Arrived Shipments'!B:B=$B705),3),
    IFERROR(
        INDEX(FILTER('POed not arrived'!D:D, 'POed not arrived'!A:A=$B705),3),
        """"
    )
)"),"")</f>
        <v/>
      </c>
      <c r="Q705" s="202"/>
      <c r="R705" s="206" t="str">
        <f>IFERROR(__xludf.DUMMYFUNCTION("IFERROR(
    INDEX(FILTER('Arrived Shipments'!O:O, 'Arrived Shipments'!B:B=$B705),4),
    IFERROR(
        INDEX(FILTER('POed not arrived'!D:D, 'POed not arrived'!A:A=$B705),4),
        """"
    )
)"),"")</f>
        <v/>
      </c>
      <c r="S705" s="202"/>
      <c r="T705" s="202">
        <f t="shared" si="8"/>
        <v>0</v>
      </c>
      <c r="U705" s="198"/>
      <c r="V705" s="199"/>
      <c r="W705" s="197"/>
      <c r="X705" s="197"/>
      <c r="Y705" s="199"/>
      <c r="Z705" s="199"/>
      <c r="AA705" s="204" t="str">
        <f t="shared" si="4"/>
        <v/>
      </c>
      <c r="AB705" s="198"/>
      <c r="AC705" s="199"/>
      <c r="AD705" s="199"/>
      <c r="AE705" s="199"/>
      <c r="AF705" s="199"/>
      <c r="AG705" s="199"/>
      <c r="AH705" s="199"/>
      <c r="AI705" s="199"/>
      <c r="AJ705" s="199"/>
      <c r="AK705" s="199"/>
      <c r="AL705" s="199"/>
      <c r="AM705" s="198"/>
      <c r="AN705" s="197"/>
      <c r="AO705" s="197"/>
      <c r="AP705" s="197"/>
      <c r="AQ705" s="197"/>
      <c r="AR705" s="197"/>
      <c r="AS705" s="197"/>
    </row>
    <row r="706">
      <c r="A706" s="198" t="str">
        <f t="shared" si="1"/>
        <v/>
      </c>
      <c r="B706" s="205"/>
      <c r="C706" s="198"/>
      <c r="D706" s="199"/>
      <c r="E706" s="213"/>
      <c r="F706" s="198"/>
      <c r="G706" s="198"/>
      <c r="H706" s="199"/>
      <c r="I706" s="207"/>
      <c r="J706" s="199"/>
      <c r="K706" s="202"/>
      <c r="L706" s="205" t="str">
        <f>IFERROR(__xludf.DUMMYFUNCTION("IFERROR(
    INDEX(FILTER('Arrived Shipments'!O:O, 'Arrived Shipments'!B:B=$B706),1),
    IFERROR(
        INDEX(FILTER('POed not arrived'!D:D, 'POed not arrived'!A:A=$B706),1),
        """"
    )
)"),"")</f>
        <v/>
      </c>
      <c r="M706" s="202"/>
      <c r="N706" s="223" t="str">
        <f>IFERROR(__xludf.DUMMYFUNCTION("IFERROR(
    INDEX(FILTER('Arrived Shipments'!O:O, 'Arrived Shipments'!B:B=$B706),2),
    IFERROR(
        INDEX(FILTER('POed not arrived'!D:D, 'POed not arrived'!A:A=$B706),2),
        """"
    )
)"),"")</f>
        <v/>
      </c>
      <c r="O706" s="202"/>
      <c r="P706" s="202" t="str">
        <f>IFERROR(__xludf.DUMMYFUNCTION("IFERROR(
    INDEX(FILTER('Arrived Shipments'!O:O, 'Arrived Shipments'!B:B=$B706),3),
    IFERROR(
        INDEX(FILTER('POed not arrived'!D:D, 'POed not arrived'!A:A=$B706),3),
        """"
    )
)"),"")</f>
        <v/>
      </c>
      <c r="Q706" s="202"/>
      <c r="R706" s="206" t="str">
        <f>IFERROR(__xludf.DUMMYFUNCTION("IFERROR(
    INDEX(FILTER('Arrived Shipments'!O:O, 'Arrived Shipments'!B:B=$B706),4),
    IFERROR(
        INDEX(FILTER('POed not arrived'!D:D, 'POed not arrived'!A:A=$B706),4),
        """"
    )
)"),"")</f>
        <v/>
      </c>
      <c r="S706" s="202"/>
      <c r="T706" s="202">
        <f t="shared" si="8"/>
        <v>0</v>
      </c>
      <c r="U706" s="198"/>
      <c r="V706" s="199"/>
      <c r="W706" s="197"/>
      <c r="X706" s="197"/>
      <c r="Y706" s="199"/>
      <c r="Z706" s="199"/>
      <c r="AA706" s="204" t="str">
        <f t="shared" si="4"/>
        <v/>
      </c>
      <c r="AB706" s="198"/>
      <c r="AC706" s="199"/>
      <c r="AD706" s="199"/>
      <c r="AE706" s="199"/>
      <c r="AF706" s="199"/>
      <c r="AG706" s="199"/>
      <c r="AH706" s="199"/>
      <c r="AI706" s="199"/>
      <c r="AJ706" s="199"/>
      <c r="AK706" s="199"/>
      <c r="AL706" s="199"/>
      <c r="AM706" s="198"/>
      <c r="AN706" s="197"/>
      <c r="AO706" s="197"/>
      <c r="AP706" s="197"/>
      <c r="AQ706" s="197"/>
      <c r="AR706" s="197"/>
      <c r="AS706" s="197"/>
    </row>
    <row r="707">
      <c r="A707" s="198" t="str">
        <f t="shared" si="1"/>
        <v/>
      </c>
      <c r="B707" s="205"/>
      <c r="C707" s="198"/>
      <c r="D707" s="199"/>
      <c r="E707" s="213"/>
      <c r="F707" s="198"/>
      <c r="G707" s="198"/>
      <c r="H707" s="199"/>
      <c r="I707" s="207"/>
      <c r="J707" s="199"/>
      <c r="K707" s="202"/>
      <c r="L707" s="205" t="str">
        <f>IFERROR(__xludf.DUMMYFUNCTION("IFERROR(
    INDEX(FILTER('Arrived Shipments'!O:O, 'Arrived Shipments'!B:B=$B707),1),
    IFERROR(
        INDEX(FILTER('POed not arrived'!D:D, 'POed not arrived'!A:A=$B707),1),
        """"
    )
)"),"")</f>
        <v/>
      </c>
      <c r="M707" s="202"/>
      <c r="N707" s="223" t="str">
        <f>IFERROR(__xludf.DUMMYFUNCTION("IFERROR(
    INDEX(FILTER('Arrived Shipments'!O:O, 'Arrived Shipments'!B:B=$B707),2),
    IFERROR(
        INDEX(FILTER('POed not arrived'!D:D, 'POed not arrived'!A:A=$B707),2),
        """"
    )
)"),"")</f>
        <v/>
      </c>
      <c r="O707" s="202"/>
      <c r="P707" s="202" t="str">
        <f>IFERROR(__xludf.DUMMYFUNCTION("IFERROR(
    INDEX(FILTER('Arrived Shipments'!O:O, 'Arrived Shipments'!B:B=$B707),3),
    IFERROR(
        INDEX(FILTER('POed not arrived'!D:D, 'POed not arrived'!A:A=$B707),3),
        """"
    )
)"),"")</f>
        <v/>
      </c>
      <c r="Q707" s="202"/>
      <c r="R707" s="206" t="str">
        <f>IFERROR(__xludf.DUMMYFUNCTION("IFERROR(
    INDEX(FILTER('Arrived Shipments'!O:O, 'Arrived Shipments'!B:B=$B707),4),
    IFERROR(
        INDEX(FILTER('POed not arrived'!D:D, 'POed not arrived'!A:A=$B707),4),
        """"
    )
)"),"")</f>
        <v/>
      </c>
      <c r="S707" s="202"/>
      <c r="T707" s="202">
        <f t="shared" si="8"/>
        <v>0</v>
      </c>
      <c r="U707" s="198"/>
      <c r="V707" s="199"/>
      <c r="W707" s="197"/>
      <c r="X707" s="197"/>
      <c r="Y707" s="199"/>
      <c r="Z707" s="199"/>
      <c r="AA707" s="204" t="str">
        <f t="shared" si="4"/>
        <v/>
      </c>
      <c r="AB707" s="198"/>
      <c r="AC707" s="199"/>
      <c r="AD707" s="199"/>
      <c r="AE707" s="199"/>
      <c r="AF707" s="199"/>
      <c r="AG707" s="199"/>
      <c r="AH707" s="199"/>
      <c r="AI707" s="199"/>
      <c r="AJ707" s="199"/>
      <c r="AK707" s="199"/>
      <c r="AL707" s="199"/>
      <c r="AM707" s="198"/>
      <c r="AN707" s="197"/>
      <c r="AO707" s="197"/>
      <c r="AP707" s="197"/>
      <c r="AQ707" s="197"/>
      <c r="AR707" s="197"/>
      <c r="AS707" s="197"/>
    </row>
    <row r="708">
      <c r="A708" s="198" t="str">
        <f t="shared" si="1"/>
        <v/>
      </c>
      <c r="B708" s="205"/>
      <c r="C708" s="198"/>
      <c r="D708" s="199"/>
      <c r="E708" s="213"/>
      <c r="F708" s="198"/>
      <c r="G708" s="198"/>
      <c r="H708" s="199"/>
      <c r="I708" s="207"/>
      <c r="J708" s="199"/>
      <c r="K708" s="202"/>
      <c r="L708" s="205" t="str">
        <f>IFERROR(__xludf.DUMMYFUNCTION("IFERROR(
    INDEX(FILTER('Arrived Shipments'!O:O, 'Arrived Shipments'!B:B=$B708),1),
    IFERROR(
        INDEX(FILTER('POed not arrived'!D:D, 'POed not arrived'!A:A=$B708),1),
        """"
    )
)"),"")</f>
        <v/>
      </c>
      <c r="M708" s="202"/>
      <c r="N708" s="223" t="str">
        <f>IFERROR(__xludf.DUMMYFUNCTION("IFERROR(
    INDEX(FILTER('Arrived Shipments'!O:O, 'Arrived Shipments'!B:B=$B708),2),
    IFERROR(
        INDEX(FILTER('POed not arrived'!D:D, 'POed not arrived'!A:A=$B708),2),
        """"
    )
)"),"")</f>
        <v/>
      </c>
      <c r="O708" s="202"/>
      <c r="P708" s="202" t="str">
        <f>IFERROR(__xludf.DUMMYFUNCTION("IFERROR(
    INDEX(FILTER('Arrived Shipments'!O:O, 'Arrived Shipments'!B:B=$B708),3),
    IFERROR(
        INDEX(FILTER('POed not arrived'!D:D, 'POed not arrived'!A:A=$B708),3),
        """"
    )
)"),"")</f>
        <v/>
      </c>
      <c r="Q708" s="202"/>
      <c r="R708" s="206" t="str">
        <f>IFERROR(__xludf.DUMMYFUNCTION("IFERROR(
    INDEX(FILTER('Arrived Shipments'!O:O, 'Arrived Shipments'!B:B=$B708),4),
    IFERROR(
        INDEX(FILTER('POed not arrived'!D:D, 'POed not arrived'!A:A=$B708),4),
        """"
    )
)"),"")</f>
        <v/>
      </c>
      <c r="S708" s="202"/>
      <c r="T708" s="202">
        <f t="shared" si="8"/>
        <v>0</v>
      </c>
      <c r="U708" s="198"/>
      <c r="V708" s="199"/>
      <c r="W708" s="197"/>
      <c r="X708" s="197"/>
      <c r="Y708" s="199"/>
      <c r="Z708" s="199"/>
      <c r="AA708" s="204" t="str">
        <f t="shared" si="4"/>
        <v/>
      </c>
      <c r="AB708" s="198"/>
      <c r="AC708" s="199"/>
      <c r="AD708" s="199"/>
      <c r="AE708" s="199"/>
      <c r="AF708" s="199"/>
      <c r="AG708" s="199"/>
      <c r="AH708" s="199"/>
      <c r="AI708" s="199"/>
      <c r="AJ708" s="199"/>
      <c r="AK708" s="199"/>
      <c r="AL708" s="199"/>
      <c r="AM708" s="198"/>
      <c r="AN708" s="197"/>
      <c r="AO708" s="197"/>
      <c r="AP708" s="197"/>
      <c r="AQ708" s="197"/>
      <c r="AR708" s="197"/>
      <c r="AS708" s="197"/>
    </row>
    <row r="709">
      <c r="A709" s="198" t="str">
        <f t="shared" si="1"/>
        <v/>
      </c>
      <c r="B709" s="205"/>
      <c r="C709" s="198"/>
      <c r="D709" s="199"/>
      <c r="E709" s="213"/>
      <c r="F709" s="198"/>
      <c r="G709" s="198"/>
      <c r="H709" s="199"/>
      <c r="I709" s="207"/>
      <c r="J709" s="199"/>
      <c r="K709" s="202"/>
      <c r="L709" s="205" t="str">
        <f>IFERROR(__xludf.DUMMYFUNCTION("IFERROR(
    INDEX(FILTER('Arrived Shipments'!O:O, 'Arrived Shipments'!B:B=$B709),1),
    IFERROR(
        INDEX(FILTER('POed not arrived'!D:D, 'POed not arrived'!A:A=$B709),1),
        """"
    )
)"),"")</f>
        <v/>
      </c>
      <c r="M709" s="202"/>
      <c r="N709" s="223" t="str">
        <f>IFERROR(__xludf.DUMMYFUNCTION("IFERROR(
    INDEX(FILTER('Arrived Shipments'!O:O, 'Arrived Shipments'!B:B=$B709),2),
    IFERROR(
        INDEX(FILTER('POed not arrived'!D:D, 'POed not arrived'!A:A=$B709),2),
        """"
    )
)"),"")</f>
        <v/>
      </c>
      <c r="O709" s="202"/>
      <c r="P709" s="202" t="str">
        <f>IFERROR(__xludf.DUMMYFUNCTION("IFERROR(
    INDEX(FILTER('Arrived Shipments'!O:O, 'Arrived Shipments'!B:B=$B709),3),
    IFERROR(
        INDEX(FILTER('POed not arrived'!D:D, 'POed not arrived'!A:A=$B709),3),
        """"
    )
)"),"")</f>
        <v/>
      </c>
      <c r="Q709" s="202"/>
      <c r="R709" s="206" t="str">
        <f>IFERROR(__xludf.DUMMYFUNCTION("IFERROR(
    INDEX(FILTER('Arrived Shipments'!O:O, 'Arrived Shipments'!B:B=$B709),4),
    IFERROR(
        INDEX(FILTER('POed not arrived'!D:D, 'POed not arrived'!A:A=$B709),4),
        """"
    )
)"),"")</f>
        <v/>
      </c>
      <c r="S709" s="202"/>
      <c r="T709" s="202">
        <f t="shared" si="8"/>
        <v>0</v>
      </c>
      <c r="U709" s="198"/>
      <c r="V709" s="199"/>
      <c r="W709" s="197"/>
      <c r="X709" s="197"/>
      <c r="Y709" s="199"/>
      <c r="Z709" s="199"/>
      <c r="AA709" s="204" t="str">
        <f t="shared" si="4"/>
        <v/>
      </c>
      <c r="AB709" s="198"/>
      <c r="AC709" s="199"/>
      <c r="AD709" s="199"/>
      <c r="AE709" s="199"/>
      <c r="AF709" s="199"/>
      <c r="AG709" s="199"/>
      <c r="AH709" s="199"/>
      <c r="AI709" s="199"/>
      <c r="AJ709" s="199"/>
      <c r="AK709" s="199"/>
      <c r="AL709" s="199"/>
      <c r="AM709" s="198"/>
      <c r="AN709" s="197"/>
      <c r="AO709" s="197"/>
      <c r="AP709" s="197"/>
      <c r="AQ709" s="197"/>
      <c r="AR709" s="197"/>
      <c r="AS709" s="197"/>
    </row>
    <row r="710">
      <c r="A710" s="198" t="str">
        <f t="shared" si="1"/>
        <v/>
      </c>
      <c r="B710" s="205"/>
      <c r="C710" s="198"/>
      <c r="D710" s="199"/>
      <c r="E710" s="213"/>
      <c r="F710" s="198"/>
      <c r="G710" s="198"/>
      <c r="H710" s="199"/>
      <c r="I710" s="207"/>
      <c r="J710" s="199"/>
      <c r="K710" s="202"/>
      <c r="L710" s="205" t="str">
        <f>IFERROR(__xludf.DUMMYFUNCTION("IFERROR(
    INDEX(FILTER('Arrived Shipments'!O:O, 'Arrived Shipments'!B:B=$B710),1),
    IFERROR(
        INDEX(FILTER('POed not arrived'!D:D, 'POed not arrived'!A:A=$B710),1),
        """"
    )
)"),"")</f>
        <v/>
      </c>
      <c r="M710" s="202"/>
      <c r="N710" s="223" t="str">
        <f>IFERROR(__xludf.DUMMYFUNCTION("IFERROR(
    INDEX(FILTER('Arrived Shipments'!O:O, 'Arrived Shipments'!B:B=$B710),2),
    IFERROR(
        INDEX(FILTER('POed not arrived'!D:D, 'POed not arrived'!A:A=$B710),2),
        """"
    )
)"),"")</f>
        <v/>
      </c>
      <c r="O710" s="202"/>
      <c r="P710" s="202" t="str">
        <f>IFERROR(__xludf.DUMMYFUNCTION("IFERROR(
    INDEX(FILTER('Arrived Shipments'!O:O, 'Arrived Shipments'!B:B=$B710),3),
    IFERROR(
        INDEX(FILTER('POed not arrived'!D:D, 'POed not arrived'!A:A=$B710),3),
        """"
    )
)"),"")</f>
        <v/>
      </c>
      <c r="Q710" s="202"/>
      <c r="R710" s="206" t="str">
        <f>IFERROR(__xludf.DUMMYFUNCTION("IFERROR(
    INDEX(FILTER('Arrived Shipments'!O:O, 'Arrived Shipments'!B:B=$B710),4),
    IFERROR(
        INDEX(FILTER('POed not arrived'!D:D, 'POed not arrived'!A:A=$B710),4),
        """"
    )
)"),"")</f>
        <v/>
      </c>
      <c r="S710" s="202"/>
      <c r="T710" s="202">
        <f t="shared" si="8"/>
        <v>0</v>
      </c>
      <c r="U710" s="198"/>
      <c r="V710" s="199"/>
      <c r="W710" s="197"/>
      <c r="X710" s="197"/>
      <c r="Y710" s="199"/>
      <c r="Z710" s="199"/>
      <c r="AA710" s="204" t="str">
        <f t="shared" si="4"/>
        <v/>
      </c>
      <c r="AB710" s="198"/>
      <c r="AC710" s="199"/>
      <c r="AD710" s="199"/>
      <c r="AE710" s="199"/>
      <c r="AF710" s="199"/>
      <c r="AG710" s="199"/>
      <c r="AH710" s="199"/>
      <c r="AI710" s="199"/>
      <c r="AJ710" s="199"/>
      <c r="AK710" s="199"/>
      <c r="AL710" s="199"/>
      <c r="AM710" s="198"/>
      <c r="AN710" s="197"/>
      <c r="AO710" s="197"/>
      <c r="AP710" s="197"/>
      <c r="AQ710" s="197"/>
      <c r="AR710" s="197"/>
      <c r="AS710" s="197"/>
    </row>
    <row r="711">
      <c r="A711" s="198" t="str">
        <f t="shared" si="1"/>
        <v/>
      </c>
      <c r="B711" s="205"/>
      <c r="C711" s="198"/>
      <c r="D711" s="199"/>
      <c r="E711" s="213"/>
      <c r="F711" s="198"/>
      <c r="G711" s="198"/>
      <c r="H711" s="199"/>
      <c r="I711" s="207"/>
      <c r="J711" s="199"/>
      <c r="K711" s="202"/>
      <c r="L711" s="205" t="str">
        <f>IFERROR(__xludf.DUMMYFUNCTION("IFERROR(
    INDEX(FILTER('Arrived Shipments'!O:O, 'Arrived Shipments'!B:B=$B711),1),
    IFERROR(
        INDEX(FILTER('POed not arrived'!D:D, 'POed not arrived'!A:A=$B711),1),
        """"
    )
)"),"")</f>
        <v/>
      </c>
      <c r="M711" s="202"/>
      <c r="N711" s="223" t="str">
        <f>IFERROR(__xludf.DUMMYFUNCTION("IFERROR(
    INDEX(FILTER('Arrived Shipments'!O:O, 'Arrived Shipments'!B:B=$B711),2),
    IFERROR(
        INDEX(FILTER('POed not arrived'!D:D, 'POed not arrived'!A:A=$B711),2),
        """"
    )
)"),"")</f>
        <v/>
      </c>
      <c r="O711" s="202"/>
      <c r="P711" s="202" t="str">
        <f>IFERROR(__xludf.DUMMYFUNCTION("IFERROR(
    INDEX(FILTER('Arrived Shipments'!O:O, 'Arrived Shipments'!B:B=$B711),3),
    IFERROR(
        INDEX(FILTER('POed not arrived'!D:D, 'POed not arrived'!A:A=$B711),3),
        """"
    )
)"),"")</f>
        <v/>
      </c>
      <c r="Q711" s="202"/>
      <c r="R711" s="206" t="str">
        <f>IFERROR(__xludf.DUMMYFUNCTION("IFERROR(
    INDEX(FILTER('Arrived Shipments'!O:O, 'Arrived Shipments'!B:B=$B711),4),
    IFERROR(
        INDEX(FILTER('POed not arrived'!D:D, 'POed not arrived'!A:A=$B711),4),
        """"
    )
)"),"")</f>
        <v/>
      </c>
      <c r="S711" s="202"/>
      <c r="T711" s="202">
        <f t="shared" si="8"/>
        <v>0</v>
      </c>
      <c r="U711" s="198"/>
      <c r="V711" s="199"/>
      <c r="W711" s="197"/>
      <c r="X711" s="197"/>
      <c r="Y711" s="199"/>
      <c r="Z711" s="199"/>
      <c r="AA711" s="204" t="str">
        <f t="shared" si="4"/>
        <v/>
      </c>
      <c r="AB711" s="198"/>
      <c r="AC711" s="199"/>
      <c r="AD711" s="199"/>
      <c r="AE711" s="199"/>
      <c r="AF711" s="199"/>
      <c r="AG711" s="199"/>
      <c r="AH711" s="199"/>
      <c r="AI711" s="199"/>
      <c r="AJ711" s="199"/>
      <c r="AK711" s="199"/>
      <c r="AL711" s="199"/>
      <c r="AM711" s="198"/>
      <c r="AN711" s="197"/>
      <c r="AO711" s="197"/>
      <c r="AP711" s="197"/>
      <c r="AQ711" s="197"/>
      <c r="AR711" s="197"/>
      <c r="AS711" s="197"/>
    </row>
    <row r="712">
      <c r="A712" s="198" t="str">
        <f t="shared" si="1"/>
        <v/>
      </c>
      <c r="B712" s="205"/>
      <c r="C712" s="198"/>
      <c r="D712" s="199"/>
      <c r="E712" s="213"/>
      <c r="F712" s="198"/>
      <c r="G712" s="198"/>
      <c r="H712" s="199"/>
      <c r="I712" s="207"/>
      <c r="J712" s="199"/>
      <c r="K712" s="202"/>
      <c r="L712" s="205" t="str">
        <f>IFERROR(__xludf.DUMMYFUNCTION("IFERROR(
    INDEX(FILTER('Arrived Shipments'!O:O, 'Arrived Shipments'!B:B=$B712),1),
    IFERROR(
        INDEX(FILTER('POed not arrived'!D:D, 'POed not arrived'!A:A=$B712),1),
        """"
    )
)"),"")</f>
        <v/>
      </c>
      <c r="M712" s="202"/>
      <c r="N712" s="223" t="str">
        <f>IFERROR(__xludf.DUMMYFUNCTION("IFERROR(
    INDEX(FILTER('Arrived Shipments'!O:O, 'Arrived Shipments'!B:B=$B712),2),
    IFERROR(
        INDEX(FILTER('POed not arrived'!D:D, 'POed not arrived'!A:A=$B712),2),
        """"
    )
)"),"")</f>
        <v/>
      </c>
      <c r="O712" s="202"/>
      <c r="P712" s="202" t="str">
        <f>IFERROR(__xludf.DUMMYFUNCTION("IFERROR(
    INDEX(FILTER('Arrived Shipments'!O:O, 'Arrived Shipments'!B:B=$B712),3),
    IFERROR(
        INDEX(FILTER('POed not arrived'!D:D, 'POed not arrived'!A:A=$B712),3),
        """"
    )
)"),"")</f>
        <v/>
      </c>
      <c r="Q712" s="202"/>
      <c r="R712" s="206" t="str">
        <f>IFERROR(__xludf.DUMMYFUNCTION("IFERROR(
    INDEX(FILTER('Arrived Shipments'!O:O, 'Arrived Shipments'!B:B=$B712),4),
    IFERROR(
        INDEX(FILTER('POed not arrived'!D:D, 'POed not arrived'!A:A=$B712),4),
        """"
    )
)"),"")</f>
        <v/>
      </c>
      <c r="S712" s="202"/>
      <c r="T712" s="202">
        <f t="shared" si="8"/>
        <v>0</v>
      </c>
      <c r="U712" s="198"/>
      <c r="V712" s="199"/>
      <c r="W712" s="197"/>
      <c r="X712" s="197"/>
      <c r="Y712" s="199"/>
      <c r="Z712" s="199"/>
      <c r="AA712" s="204" t="str">
        <f t="shared" si="4"/>
        <v/>
      </c>
      <c r="AB712" s="198"/>
      <c r="AC712" s="199"/>
      <c r="AD712" s="199"/>
      <c r="AE712" s="199"/>
      <c r="AF712" s="199"/>
      <c r="AG712" s="199"/>
      <c r="AH712" s="199"/>
      <c r="AI712" s="199"/>
      <c r="AJ712" s="199"/>
      <c r="AK712" s="199"/>
      <c r="AL712" s="199"/>
      <c r="AM712" s="198"/>
      <c r="AN712" s="197"/>
      <c r="AO712" s="197"/>
      <c r="AP712" s="197"/>
      <c r="AQ712" s="197"/>
      <c r="AR712" s="197"/>
      <c r="AS712" s="197"/>
    </row>
    <row r="713">
      <c r="A713" s="198" t="str">
        <f t="shared" si="1"/>
        <v/>
      </c>
      <c r="B713" s="205"/>
      <c r="C713" s="198"/>
      <c r="D713" s="199"/>
      <c r="E713" s="213"/>
      <c r="F713" s="198"/>
      <c r="G713" s="198"/>
      <c r="H713" s="199"/>
      <c r="I713" s="207"/>
      <c r="J713" s="199"/>
      <c r="K713" s="202"/>
      <c r="L713" s="205" t="str">
        <f>IFERROR(__xludf.DUMMYFUNCTION("IFERROR(
    INDEX(FILTER('Arrived Shipments'!O:O, 'Arrived Shipments'!B:B=$B713),1),
    IFERROR(
        INDEX(FILTER('POed not arrived'!D:D, 'POed not arrived'!A:A=$B713),1),
        """"
    )
)"),"")</f>
        <v/>
      </c>
      <c r="M713" s="202"/>
      <c r="N713" s="223" t="str">
        <f>IFERROR(__xludf.DUMMYFUNCTION("IFERROR(
    INDEX(FILTER('Arrived Shipments'!O:O, 'Arrived Shipments'!B:B=$B713),2),
    IFERROR(
        INDEX(FILTER('POed not arrived'!D:D, 'POed not arrived'!A:A=$B713),2),
        """"
    )
)"),"")</f>
        <v/>
      </c>
      <c r="O713" s="202"/>
      <c r="P713" s="202" t="str">
        <f>IFERROR(__xludf.DUMMYFUNCTION("IFERROR(
    INDEX(FILTER('Arrived Shipments'!O:O, 'Arrived Shipments'!B:B=$B713),3),
    IFERROR(
        INDEX(FILTER('POed not arrived'!D:D, 'POed not arrived'!A:A=$B713),3),
        """"
    )
)"),"")</f>
        <v/>
      </c>
      <c r="Q713" s="202"/>
      <c r="R713" s="206" t="str">
        <f>IFERROR(__xludf.DUMMYFUNCTION("IFERROR(
    INDEX(FILTER('Arrived Shipments'!O:O, 'Arrived Shipments'!B:B=$B713),4),
    IFERROR(
        INDEX(FILTER('POed not arrived'!D:D, 'POed not arrived'!A:A=$B713),4),
        """"
    )
)"),"")</f>
        <v/>
      </c>
      <c r="S713" s="202"/>
      <c r="T713" s="202">
        <f t="shared" si="8"/>
        <v>0</v>
      </c>
      <c r="U713" s="198"/>
      <c r="V713" s="199"/>
      <c r="W713" s="197"/>
      <c r="X713" s="197"/>
      <c r="Y713" s="199"/>
      <c r="Z713" s="199"/>
      <c r="AA713" s="204" t="str">
        <f t="shared" si="4"/>
        <v/>
      </c>
      <c r="AB713" s="198"/>
      <c r="AC713" s="199"/>
      <c r="AD713" s="199"/>
      <c r="AE713" s="199"/>
      <c r="AF713" s="199"/>
      <c r="AG713" s="199"/>
      <c r="AH713" s="199"/>
      <c r="AI713" s="199"/>
      <c r="AJ713" s="199"/>
      <c r="AK713" s="199"/>
      <c r="AL713" s="199"/>
      <c r="AM713" s="198"/>
      <c r="AN713" s="197"/>
      <c r="AO713" s="197"/>
      <c r="AP713" s="197"/>
      <c r="AQ713" s="197"/>
      <c r="AR713" s="197"/>
      <c r="AS713" s="197"/>
    </row>
    <row r="714">
      <c r="A714" s="198" t="str">
        <f t="shared" si="1"/>
        <v/>
      </c>
      <c r="B714" s="205"/>
      <c r="C714" s="198"/>
      <c r="D714" s="199"/>
      <c r="E714" s="213"/>
      <c r="F714" s="198"/>
      <c r="G714" s="198"/>
      <c r="H714" s="199"/>
      <c r="I714" s="207"/>
      <c r="J714" s="199"/>
      <c r="K714" s="202"/>
      <c r="L714" s="205" t="str">
        <f>IFERROR(__xludf.DUMMYFUNCTION("IFERROR(
    INDEX(FILTER('Arrived Shipments'!O:O, 'Arrived Shipments'!B:B=$B714),1),
    IFERROR(
        INDEX(FILTER('POed not arrived'!D:D, 'POed not arrived'!A:A=$B714),1),
        """"
    )
)"),"")</f>
        <v/>
      </c>
      <c r="M714" s="202"/>
      <c r="N714" s="223" t="str">
        <f>IFERROR(__xludf.DUMMYFUNCTION("IFERROR(
    INDEX(FILTER('Arrived Shipments'!O:O, 'Arrived Shipments'!B:B=$B714),2),
    IFERROR(
        INDEX(FILTER('POed not arrived'!D:D, 'POed not arrived'!A:A=$B714),2),
        """"
    )
)"),"")</f>
        <v/>
      </c>
      <c r="O714" s="202"/>
      <c r="P714" s="202" t="str">
        <f>IFERROR(__xludf.DUMMYFUNCTION("IFERROR(
    INDEX(FILTER('Arrived Shipments'!O:O, 'Arrived Shipments'!B:B=$B714),3),
    IFERROR(
        INDEX(FILTER('POed not arrived'!D:D, 'POed not arrived'!A:A=$B714),3),
        """"
    )
)"),"")</f>
        <v/>
      </c>
      <c r="Q714" s="202"/>
      <c r="R714" s="206" t="str">
        <f>IFERROR(__xludf.DUMMYFUNCTION("IFERROR(
    INDEX(FILTER('Arrived Shipments'!O:O, 'Arrived Shipments'!B:B=$B714),4),
    IFERROR(
        INDEX(FILTER('POed not arrived'!D:D, 'POed not arrived'!A:A=$B714),4),
        """"
    )
)"),"")</f>
        <v/>
      </c>
      <c r="S714" s="202"/>
      <c r="T714" s="202">
        <f t="shared" si="8"/>
        <v>0</v>
      </c>
      <c r="U714" s="198"/>
      <c r="V714" s="199"/>
      <c r="W714" s="197"/>
      <c r="X714" s="197"/>
      <c r="Y714" s="199"/>
      <c r="Z714" s="199"/>
      <c r="AA714" s="204" t="str">
        <f t="shared" si="4"/>
        <v/>
      </c>
      <c r="AB714" s="198"/>
      <c r="AC714" s="199"/>
      <c r="AD714" s="199"/>
      <c r="AE714" s="199"/>
      <c r="AF714" s="199"/>
      <c r="AG714" s="199"/>
      <c r="AH714" s="199"/>
      <c r="AI714" s="199"/>
      <c r="AJ714" s="199"/>
      <c r="AK714" s="199"/>
      <c r="AL714" s="199"/>
      <c r="AM714" s="198"/>
      <c r="AN714" s="197"/>
      <c r="AO714" s="197"/>
      <c r="AP714" s="197"/>
      <c r="AQ714" s="197"/>
      <c r="AR714" s="197"/>
      <c r="AS714" s="197"/>
    </row>
    <row r="715">
      <c r="A715" s="198" t="str">
        <f t="shared" si="1"/>
        <v/>
      </c>
      <c r="B715" s="205"/>
      <c r="C715" s="198"/>
      <c r="D715" s="199"/>
      <c r="E715" s="213"/>
      <c r="F715" s="198"/>
      <c r="G715" s="198"/>
      <c r="H715" s="199"/>
      <c r="I715" s="207"/>
      <c r="J715" s="199"/>
      <c r="K715" s="202"/>
      <c r="L715" s="205" t="str">
        <f>IFERROR(__xludf.DUMMYFUNCTION("IFERROR(
    INDEX(FILTER('Arrived Shipments'!O:O, 'Arrived Shipments'!B:B=$B715),1),
    IFERROR(
        INDEX(FILTER('POed not arrived'!D:D, 'POed not arrived'!A:A=$B715),1),
        """"
    )
)"),"")</f>
        <v/>
      </c>
      <c r="M715" s="202"/>
      <c r="N715" s="223" t="str">
        <f>IFERROR(__xludf.DUMMYFUNCTION("IFERROR(
    INDEX(FILTER('Arrived Shipments'!O:O, 'Arrived Shipments'!B:B=$B715),2),
    IFERROR(
        INDEX(FILTER('POed not arrived'!D:D, 'POed not arrived'!A:A=$B715),2),
        """"
    )
)"),"")</f>
        <v/>
      </c>
      <c r="O715" s="202"/>
      <c r="P715" s="202" t="str">
        <f>IFERROR(__xludf.DUMMYFUNCTION("IFERROR(
    INDEX(FILTER('Arrived Shipments'!O:O, 'Arrived Shipments'!B:B=$B715),3),
    IFERROR(
        INDEX(FILTER('POed not arrived'!D:D, 'POed not arrived'!A:A=$B715),3),
        """"
    )
)"),"")</f>
        <v/>
      </c>
      <c r="Q715" s="202"/>
      <c r="R715" s="206" t="str">
        <f>IFERROR(__xludf.DUMMYFUNCTION("IFERROR(
    INDEX(FILTER('Arrived Shipments'!O:O, 'Arrived Shipments'!B:B=$B715),4),
    IFERROR(
        INDEX(FILTER('POed not arrived'!D:D, 'POed not arrived'!A:A=$B715),4),
        """"
    )
)"),"")</f>
        <v/>
      </c>
      <c r="S715" s="202"/>
      <c r="T715" s="202">
        <f t="shared" si="8"/>
        <v>0</v>
      </c>
      <c r="U715" s="198"/>
      <c r="V715" s="199"/>
      <c r="W715" s="197"/>
      <c r="X715" s="197"/>
      <c r="Y715" s="199"/>
      <c r="Z715" s="199"/>
      <c r="AA715" s="204" t="str">
        <f t="shared" si="4"/>
        <v/>
      </c>
      <c r="AB715" s="198"/>
      <c r="AC715" s="199"/>
      <c r="AD715" s="199"/>
      <c r="AE715" s="199"/>
      <c r="AF715" s="199"/>
      <c r="AG715" s="199"/>
      <c r="AH715" s="199"/>
      <c r="AI715" s="199"/>
      <c r="AJ715" s="199"/>
      <c r="AK715" s="199"/>
      <c r="AL715" s="199"/>
      <c r="AM715" s="198"/>
      <c r="AN715" s="197"/>
      <c r="AO715" s="197"/>
      <c r="AP715" s="197"/>
      <c r="AQ715" s="197"/>
      <c r="AR715" s="197"/>
      <c r="AS715" s="197"/>
    </row>
    <row r="716">
      <c r="A716" s="198" t="str">
        <f t="shared" si="1"/>
        <v/>
      </c>
      <c r="B716" s="205"/>
      <c r="C716" s="198"/>
      <c r="D716" s="199"/>
      <c r="E716" s="213"/>
      <c r="F716" s="198"/>
      <c r="G716" s="198"/>
      <c r="H716" s="199"/>
      <c r="I716" s="207"/>
      <c r="J716" s="199"/>
      <c r="K716" s="202"/>
      <c r="L716" s="205" t="str">
        <f>IFERROR(__xludf.DUMMYFUNCTION("IFERROR(
    INDEX(FILTER('Arrived Shipments'!O:O, 'Arrived Shipments'!B:B=$B716),1),
    IFERROR(
        INDEX(FILTER('POed not arrived'!D:D, 'POed not arrived'!A:A=$B716),1),
        """"
    )
)"),"")</f>
        <v/>
      </c>
      <c r="M716" s="202"/>
      <c r="N716" s="223" t="str">
        <f>IFERROR(__xludf.DUMMYFUNCTION("IFERROR(
    INDEX(FILTER('Arrived Shipments'!O:O, 'Arrived Shipments'!B:B=$B716),2),
    IFERROR(
        INDEX(FILTER('POed not arrived'!D:D, 'POed not arrived'!A:A=$B716),2),
        """"
    )
)"),"")</f>
        <v/>
      </c>
      <c r="O716" s="202"/>
      <c r="P716" s="202" t="str">
        <f>IFERROR(__xludf.DUMMYFUNCTION("IFERROR(
    INDEX(FILTER('Arrived Shipments'!O:O, 'Arrived Shipments'!B:B=$B716),3),
    IFERROR(
        INDEX(FILTER('POed not arrived'!D:D, 'POed not arrived'!A:A=$B716),3),
        """"
    )
)"),"")</f>
        <v/>
      </c>
      <c r="Q716" s="202"/>
      <c r="R716" s="206" t="str">
        <f>IFERROR(__xludf.DUMMYFUNCTION("IFERROR(
    INDEX(FILTER('Arrived Shipments'!O:O, 'Arrived Shipments'!B:B=$B716),4),
    IFERROR(
        INDEX(FILTER('POed not arrived'!D:D, 'POed not arrived'!A:A=$B716),4),
        """"
    )
)"),"")</f>
        <v/>
      </c>
      <c r="S716" s="202"/>
      <c r="T716" s="202">
        <f t="shared" si="8"/>
        <v>0</v>
      </c>
      <c r="U716" s="198"/>
      <c r="V716" s="199"/>
      <c r="W716" s="197"/>
      <c r="X716" s="197"/>
      <c r="Y716" s="199"/>
      <c r="Z716" s="199"/>
      <c r="AA716" s="204" t="str">
        <f t="shared" si="4"/>
        <v/>
      </c>
      <c r="AB716" s="198"/>
      <c r="AC716" s="199"/>
      <c r="AD716" s="199"/>
      <c r="AE716" s="199"/>
      <c r="AF716" s="199"/>
      <c r="AG716" s="199"/>
      <c r="AH716" s="199"/>
      <c r="AI716" s="199"/>
      <c r="AJ716" s="199"/>
      <c r="AK716" s="199"/>
      <c r="AL716" s="199"/>
      <c r="AM716" s="198"/>
      <c r="AN716" s="197"/>
      <c r="AO716" s="197"/>
      <c r="AP716" s="197"/>
      <c r="AQ716" s="197"/>
      <c r="AR716" s="197"/>
      <c r="AS716" s="197"/>
    </row>
    <row r="717">
      <c r="A717" s="198" t="str">
        <f t="shared" si="1"/>
        <v/>
      </c>
      <c r="B717" s="205"/>
      <c r="C717" s="198"/>
      <c r="D717" s="199"/>
      <c r="E717" s="213"/>
      <c r="F717" s="198"/>
      <c r="G717" s="198"/>
      <c r="H717" s="199"/>
      <c r="I717" s="207"/>
      <c r="J717" s="199"/>
      <c r="K717" s="202"/>
      <c r="L717" s="205" t="str">
        <f>IFERROR(__xludf.DUMMYFUNCTION("IFERROR(
    INDEX(FILTER('Arrived Shipments'!O:O, 'Arrived Shipments'!B:B=$B717),1),
    IFERROR(
        INDEX(FILTER('POed not arrived'!D:D, 'POed not arrived'!A:A=$B717),1),
        """"
    )
)"),"")</f>
        <v/>
      </c>
      <c r="M717" s="202"/>
      <c r="N717" s="223" t="str">
        <f>IFERROR(__xludf.DUMMYFUNCTION("IFERROR(
    INDEX(FILTER('Arrived Shipments'!O:O, 'Arrived Shipments'!B:B=$B717),2),
    IFERROR(
        INDEX(FILTER('POed not arrived'!D:D, 'POed not arrived'!A:A=$B717),2),
        """"
    )
)"),"")</f>
        <v/>
      </c>
      <c r="O717" s="202"/>
      <c r="P717" s="202" t="str">
        <f>IFERROR(__xludf.DUMMYFUNCTION("IFERROR(
    INDEX(FILTER('Arrived Shipments'!O:O, 'Arrived Shipments'!B:B=$B717),3),
    IFERROR(
        INDEX(FILTER('POed not arrived'!D:D, 'POed not arrived'!A:A=$B717),3),
        """"
    )
)"),"")</f>
        <v/>
      </c>
      <c r="Q717" s="202"/>
      <c r="R717" s="206" t="str">
        <f>IFERROR(__xludf.DUMMYFUNCTION("IFERROR(
    INDEX(FILTER('Arrived Shipments'!O:O, 'Arrived Shipments'!B:B=$B717),4),
    IFERROR(
        INDEX(FILTER('POed not arrived'!D:D, 'POed not arrived'!A:A=$B717),4),
        """"
    )
)"),"")</f>
        <v/>
      </c>
      <c r="S717" s="202"/>
      <c r="T717" s="202">
        <f t="shared" si="8"/>
        <v>0</v>
      </c>
      <c r="U717" s="198"/>
      <c r="V717" s="199"/>
      <c r="W717" s="197"/>
      <c r="X717" s="197"/>
      <c r="Y717" s="199"/>
      <c r="Z717" s="199"/>
      <c r="AA717" s="204" t="str">
        <f t="shared" si="4"/>
        <v/>
      </c>
      <c r="AB717" s="198"/>
      <c r="AC717" s="199"/>
      <c r="AD717" s="199"/>
      <c r="AE717" s="199"/>
      <c r="AF717" s="199"/>
      <c r="AG717" s="199"/>
      <c r="AH717" s="199"/>
      <c r="AI717" s="199"/>
      <c r="AJ717" s="199"/>
      <c r="AK717" s="199"/>
      <c r="AL717" s="199"/>
      <c r="AM717" s="198"/>
      <c r="AN717" s="197"/>
      <c r="AO717" s="197"/>
      <c r="AP717" s="197"/>
      <c r="AQ717" s="197"/>
      <c r="AR717" s="197"/>
      <c r="AS717" s="197"/>
    </row>
    <row r="718">
      <c r="A718" s="198" t="str">
        <f t="shared" si="1"/>
        <v/>
      </c>
      <c r="B718" s="205"/>
      <c r="C718" s="198"/>
      <c r="D718" s="199"/>
      <c r="E718" s="213"/>
      <c r="F718" s="198"/>
      <c r="G718" s="198"/>
      <c r="H718" s="199"/>
      <c r="I718" s="207"/>
      <c r="J718" s="199"/>
      <c r="K718" s="202"/>
      <c r="L718" s="205" t="str">
        <f>IFERROR(__xludf.DUMMYFUNCTION("IFERROR(
    INDEX(FILTER('Arrived Shipments'!O:O, 'Arrived Shipments'!B:B=$B718),1),
    IFERROR(
        INDEX(FILTER('POed not arrived'!D:D, 'POed not arrived'!A:A=$B718),1),
        """"
    )
)"),"")</f>
        <v/>
      </c>
      <c r="M718" s="202"/>
      <c r="N718" s="223" t="str">
        <f>IFERROR(__xludf.DUMMYFUNCTION("IFERROR(
    INDEX(FILTER('Arrived Shipments'!O:O, 'Arrived Shipments'!B:B=$B718),2),
    IFERROR(
        INDEX(FILTER('POed not arrived'!D:D, 'POed not arrived'!A:A=$B718),2),
        """"
    )
)"),"")</f>
        <v/>
      </c>
      <c r="O718" s="202"/>
      <c r="P718" s="202" t="str">
        <f>IFERROR(__xludf.DUMMYFUNCTION("IFERROR(
    INDEX(FILTER('Arrived Shipments'!O:O, 'Arrived Shipments'!B:B=$B718),3),
    IFERROR(
        INDEX(FILTER('POed not arrived'!D:D, 'POed not arrived'!A:A=$B718),3),
        """"
    )
)"),"")</f>
        <v/>
      </c>
      <c r="Q718" s="202"/>
      <c r="R718" s="206" t="str">
        <f>IFERROR(__xludf.DUMMYFUNCTION("IFERROR(
    INDEX(FILTER('Arrived Shipments'!O:O, 'Arrived Shipments'!B:B=$B718),4),
    IFERROR(
        INDEX(FILTER('POed not arrived'!D:D, 'POed not arrived'!A:A=$B718),4),
        """"
    )
)"),"")</f>
        <v/>
      </c>
      <c r="S718" s="202"/>
      <c r="T718" s="202">
        <f t="shared" si="8"/>
        <v>0</v>
      </c>
      <c r="U718" s="198"/>
      <c r="V718" s="199"/>
      <c r="W718" s="197"/>
      <c r="X718" s="197"/>
      <c r="Y718" s="199"/>
      <c r="Z718" s="199"/>
      <c r="AA718" s="204" t="str">
        <f t="shared" si="4"/>
        <v/>
      </c>
      <c r="AB718" s="198"/>
      <c r="AC718" s="199"/>
      <c r="AD718" s="199"/>
      <c r="AE718" s="199"/>
      <c r="AF718" s="199"/>
      <c r="AG718" s="199"/>
      <c r="AH718" s="199"/>
      <c r="AI718" s="199"/>
      <c r="AJ718" s="199"/>
      <c r="AK718" s="199"/>
      <c r="AL718" s="199"/>
      <c r="AM718" s="198"/>
      <c r="AN718" s="197"/>
      <c r="AO718" s="197"/>
      <c r="AP718" s="197"/>
      <c r="AQ718" s="197"/>
      <c r="AR718" s="197"/>
      <c r="AS718" s="197"/>
    </row>
    <row r="719">
      <c r="A719" s="198" t="str">
        <f t="shared" si="1"/>
        <v/>
      </c>
      <c r="B719" s="205"/>
      <c r="C719" s="198"/>
      <c r="D719" s="199"/>
      <c r="E719" s="213"/>
      <c r="F719" s="198"/>
      <c r="G719" s="198"/>
      <c r="H719" s="199"/>
      <c r="I719" s="207"/>
      <c r="J719" s="199"/>
      <c r="K719" s="202"/>
      <c r="L719" s="205" t="str">
        <f>IFERROR(__xludf.DUMMYFUNCTION("IFERROR(
    INDEX(FILTER('Arrived Shipments'!O:O, 'Arrived Shipments'!B:B=$B719),1),
    IFERROR(
        INDEX(FILTER('POed not arrived'!D:D, 'POed not arrived'!A:A=$B719),1),
        """"
    )
)"),"")</f>
        <v/>
      </c>
      <c r="M719" s="202"/>
      <c r="N719" s="223" t="str">
        <f>IFERROR(__xludf.DUMMYFUNCTION("IFERROR(
    INDEX(FILTER('Arrived Shipments'!O:O, 'Arrived Shipments'!B:B=$B719),2),
    IFERROR(
        INDEX(FILTER('POed not arrived'!D:D, 'POed not arrived'!A:A=$B719),2),
        """"
    )
)"),"")</f>
        <v/>
      </c>
      <c r="O719" s="202"/>
      <c r="P719" s="202" t="str">
        <f>IFERROR(__xludf.DUMMYFUNCTION("IFERROR(
    INDEX(FILTER('Arrived Shipments'!O:O, 'Arrived Shipments'!B:B=$B719),3),
    IFERROR(
        INDEX(FILTER('POed not arrived'!D:D, 'POed not arrived'!A:A=$B719),3),
        """"
    )
)"),"")</f>
        <v/>
      </c>
      <c r="Q719" s="202"/>
      <c r="R719" s="206" t="str">
        <f>IFERROR(__xludf.DUMMYFUNCTION("IFERROR(
    INDEX(FILTER('Arrived Shipments'!O:O, 'Arrived Shipments'!B:B=$B719),4),
    IFERROR(
        INDEX(FILTER('POed not arrived'!D:D, 'POed not arrived'!A:A=$B719),4),
        """"
    )
)"),"")</f>
        <v/>
      </c>
      <c r="S719" s="202"/>
      <c r="T719" s="202">
        <f t="shared" si="8"/>
        <v>0</v>
      </c>
      <c r="U719" s="198"/>
      <c r="V719" s="199"/>
      <c r="W719" s="197"/>
      <c r="X719" s="197"/>
      <c r="Y719" s="199"/>
      <c r="Z719" s="199"/>
      <c r="AA719" s="204" t="str">
        <f t="shared" si="4"/>
        <v/>
      </c>
      <c r="AB719" s="198"/>
      <c r="AC719" s="199"/>
      <c r="AD719" s="199"/>
      <c r="AE719" s="199"/>
      <c r="AF719" s="199"/>
      <c r="AG719" s="199"/>
      <c r="AH719" s="199"/>
      <c r="AI719" s="199"/>
      <c r="AJ719" s="199"/>
      <c r="AK719" s="199"/>
      <c r="AL719" s="199"/>
      <c r="AM719" s="198"/>
      <c r="AN719" s="197"/>
      <c r="AO719" s="197"/>
      <c r="AP719" s="197"/>
      <c r="AQ719" s="197"/>
      <c r="AR719" s="197"/>
      <c r="AS719" s="197"/>
    </row>
    <row r="720">
      <c r="A720" s="198" t="str">
        <f t="shared" si="1"/>
        <v/>
      </c>
      <c r="B720" s="205"/>
      <c r="C720" s="198"/>
      <c r="D720" s="199"/>
      <c r="E720" s="213"/>
      <c r="F720" s="198"/>
      <c r="G720" s="198"/>
      <c r="H720" s="199"/>
      <c r="I720" s="207"/>
      <c r="J720" s="199"/>
      <c r="K720" s="202"/>
      <c r="L720" s="205" t="str">
        <f>IFERROR(__xludf.DUMMYFUNCTION("IFERROR(
    INDEX(FILTER('Arrived Shipments'!O:O, 'Arrived Shipments'!B:B=$B720),1),
    IFERROR(
        INDEX(FILTER('POed not arrived'!D:D, 'POed not arrived'!A:A=$B720),1),
        """"
    )
)"),"")</f>
        <v/>
      </c>
      <c r="M720" s="202"/>
      <c r="N720" s="223" t="str">
        <f>IFERROR(__xludf.DUMMYFUNCTION("IFERROR(
    INDEX(FILTER('Arrived Shipments'!O:O, 'Arrived Shipments'!B:B=$B720),2),
    IFERROR(
        INDEX(FILTER('POed not arrived'!D:D, 'POed not arrived'!A:A=$B720),2),
        """"
    )
)"),"")</f>
        <v/>
      </c>
      <c r="O720" s="202"/>
      <c r="P720" s="202" t="str">
        <f>IFERROR(__xludf.DUMMYFUNCTION("IFERROR(
    INDEX(FILTER('Arrived Shipments'!O:O, 'Arrived Shipments'!B:B=$B720),3),
    IFERROR(
        INDEX(FILTER('POed not arrived'!D:D, 'POed not arrived'!A:A=$B720),3),
        """"
    )
)"),"")</f>
        <v/>
      </c>
      <c r="Q720" s="202"/>
      <c r="R720" s="206" t="str">
        <f>IFERROR(__xludf.DUMMYFUNCTION("IFERROR(
    INDEX(FILTER('Arrived Shipments'!O:O, 'Arrived Shipments'!B:B=$B720),4),
    IFERROR(
        INDEX(FILTER('POed not arrived'!D:D, 'POed not arrived'!A:A=$B720),4),
        """"
    )
)"),"")</f>
        <v/>
      </c>
      <c r="S720" s="202"/>
      <c r="T720" s="202">
        <f t="shared" si="8"/>
        <v>0</v>
      </c>
      <c r="U720" s="198"/>
      <c r="V720" s="199"/>
      <c r="W720" s="197"/>
      <c r="X720" s="197"/>
      <c r="Y720" s="199"/>
      <c r="Z720" s="199"/>
      <c r="AA720" s="204" t="str">
        <f t="shared" si="4"/>
        <v/>
      </c>
      <c r="AB720" s="198"/>
      <c r="AC720" s="199"/>
      <c r="AD720" s="199"/>
      <c r="AE720" s="199"/>
      <c r="AF720" s="199"/>
      <c r="AG720" s="199"/>
      <c r="AH720" s="199"/>
      <c r="AI720" s="199"/>
      <c r="AJ720" s="199"/>
      <c r="AK720" s="199"/>
      <c r="AL720" s="199"/>
      <c r="AM720" s="198"/>
      <c r="AN720" s="197"/>
      <c r="AO720" s="197"/>
      <c r="AP720" s="197"/>
      <c r="AQ720" s="197"/>
      <c r="AR720" s="197"/>
      <c r="AS720" s="197"/>
    </row>
    <row r="721">
      <c r="A721" s="198" t="str">
        <f t="shared" si="1"/>
        <v/>
      </c>
      <c r="B721" s="205"/>
      <c r="C721" s="198"/>
      <c r="D721" s="199"/>
      <c r="E721" s="213"/>
      <c r="F721" s="198"/>
      <c r="G721" s="198"/>
      <c r="H721" s="199"/>
      <c r="I721" s="207"/>
      <c r="J721" s="199"/>
      <c r="K721" s="202"/>
      <c r="L721" s="205" t="str">
        <f>IFERROR(__xludf.DUMMYFUNCTION("IFERROR(
    INDEX(FILTER('Arrived Shipments'!O:O, 'Arrived Shipments'!B:B=$B721),1),
    IFERROR(
        INDEX(FILTER('POed not arrived'!D:D, 'POed not arrived'!A:A=$B721),1),
        """"
    )
)"),"")</f>
        <v/>
      </c>
      <c r="M721" s="202"/>
      <c r="N721" s="223" t="str">
        <f>IFERROR(__xludf.DUMMYFUNCTION("IFERROR(
    INDEX(FILTER('Arrived Shipments'!O:O, 'Arrived Shipments'!B:B=$B721),2),
    IFERROR(
        INDEX(FILTER('POed not arrived'!D:D, 'POed not arrived'!A:A=$B721),2),
        """"
    )
)"),"")</f>
        <v/>
      </c>
      <c r="O721" s="202"/>
      <c r="P721" s="202" t="str">
        <f>IFERROR(__xludf.DUMMYFUNCTION("IFERROR(
    INDEX(FILTER('Arrived Shipments'!O:O, 'Arrived Shipments'!B:B=$B721),3),
    IFERROR(
        INDEX(FILTER('POed not arrived'!D:D, 'POed not arrived'!A:A=$B721),3),
        """"
    )
)"),"")</f>
        <v/>
      </c>
      <c r="Q721" s="202"/>
      <c r="R721" s="206" t="str">
        <f>IFERROR(__xludf.DUMMYFUNCTION("IFERROR(
    INDEX(FILTER('Arrived Shipments'!O:O, 'Arrived Shipments'!B:B=$B721),4),
    IFERROR(
        INDEX(FILTER('POed not arrived'!D:D, 'POed not arrived'!A:A=$B721),4),
        """"
    )
)"),"")</f>
        <v/>
      </c>
      <c r="S721" s="202"/>
      <c r="T721" s="202">
        <f t="shared" si="8"/>
        <v>0</v>
      </c>
      <c r="U721" s="198"/>
      <c r="V721" s="199"/>
      <c r="W721" s="197"/>
      <c r="X721" s="197"/>
      <c r="Y721" s="199"/>
      <c r="Z721" s="199"/>
      <c r="AA721" s="204" t="str">
        <f t="shared" si="4"/>
        <v/>
      </c>
      <c r="AB721" s="198"/>
      <c r="AC721" s="199"/>
      <c r="AD721" s="199"/>
      <c r="AE721" s="199"/>
      <c r="AF721" s="199"/>
      <c r="AG721" s="199"/>
      <c r="AH721" s="199"/>
      <c r="AI721" s="199"/>
      <c r="AJ721" s="199"/>
      <c r="AK721" s="199"/>
      <c r="AL721" s="199"/>
      <c r="AM721" s="198"/>
      <c r="AN721" s="197"/>
      <c r="AO721" s="197"/>
      <c r="AP721" s="197"/>
      <c r="AQ721" s="197"/>
      <c r="AR721" s="197"/>
      <c r="AS721" s="197"/>
    </row>
    <row r="722">
      <c r="A722" s="198" t="str">
        <f t="shared" si="1"/>
        <v/>
      </c>
      <c r="B722" s="205"/>
      <c r="C722" s="198"/>
      <c r="D722" s="199"/>
      <c r="E722" s="213"/>
      <c r="F722" s="198"/>
      <c r="G722" s="198"/>
      <c r="H722" s="199"/>
      <c r="I722" s="207"/>
      <c r="J722" s="199"/>
      <c r="K722" s="202"/>
      <c r="L722" s="205" t="str">
        <f>IFERROR(__xludf.DUMMYFUNCTION("IFERROR(
    INDEX(FILTER('Arrived Shipments'!O:O, 'Arrived Shipments'!B:B=$B722),1),
    IFERROR(
        INDEX(FILTER('POed not arrived'!D:D, 'POed not arrived'!A:A=$B722),1),
        """"
    )
)"),"")</f>
        <v/>
      </c>
      <c r="M722" s="202"/>
      <c r="N722" s="223" t="str">
        <f>IFERROR(__xludf.DUMMYFUNCTION("IFERROR(
    INDEX(FILTER('Arrived Shipments'!O:O, 'Arrived Shipments'!B:B=$B722),2),
    IFERROR(
        INDEX(FILTER('POed not arrived'!D:D, 'POed not arrived'!A:A=$B722),2),
        """"
    )
)"),"")</f>
        <v/>
      </c>
      <c r="O722" s="202"/>
      <c r="P722" s="202" t="str">
        <f>IFERROR(__xludf.DUMMYFUNCTION("IFERROR(
    INDEX(FILTER('Arrived Shipments'!O:O, 'Arrived Shipments'!B:B=$B722),3),
    IFERROR(
        INDEX(FILTER('POed not arrived'!D:D, 'POed not arrived'!A:A=$B722),3),
        """"
    )
)"),"")</f>
        <v/>
      </c>
      <c r="Q722" s="202"/>
      <c r="R722" s="206" t="str">
        <f>IFERROR(__xludf.DUMMYFUNCTION("IFERROR(
    INDEX(FILTER('Arrived Shipments'!O:O, 'Arrived Shipments'!B:B=$B722),4),
    IFERROR(
        INDEX(FILTER('POed not arrived'!D:D, 'POed not arrived'!A:A=$B722),4),
        """"
    )
)"),"")</f>
        <v/>
      </c>
      <c r="S722" s="202"/>
      <c r="T722" s="202">
        <f t="shared" si="8"/>
        <v>0</v>
      </c>
      <c r="U722" s="198"/>
      <c r="V722" s="199"/>
      <c r="W722" s="197"/>
      <c r="X722" s="197"/>
      <c r="Y722" s="199"/>
      <c r="Z722" s="199"/>
      <c r="AA722" s="204" t="str">
        <f t="shared" si="4"/>
        <v/>
      </c>
      <c r="AB722" s="198"/>
      <c r="AC722" s="199"/>
      <c r="AD722" s="199"/>
      <c r="AE722" s="199"/>
      <c r="AF722" s="199"/>
      <c r="AG722" s="199"/>
      <c r="AH722" s="199"/>
      <c r="AI722" s="199"/>
      <c r="AJ722" s="199"/>
      <c r="AK722" s="199"/>
      <c r="AL722" s="199"/>
      <c r="AM722" s="198"/>
      <c r="AN722" s="197"/>
      <c r="AO722" s="197"/>
      <c r="AP722" s="197"/>
      <c r="AQ722" s="197"/>
      <c r="AR722" s="197"/>
      <c r="AS722" s="197"/>
    </row>
    <row r="723">
      <c r="A723" s="198" t="str">
        <f t="shared" si="1"/>
        <v/>
      </c>
      <c r="B723" s="205"/>
      <c r="C723" s="198"/>
      <c r="D723" s="199"/>
      <c r="E723" s="213"/>
      <c r="F723" s="198"/>
      <c r="G723" s="198"/>
      <c r="H723" s="199"/>
      <c r="I723" s="207"/>
      <c r="J723" s="199"/>
      <c r="K723" s="202"/>
      <c r="L723" s="205" t="str">
        <f>IFERROR(__xludf.DUMMYFUNCTION("IFERROR(
    INDEX(FILTER('Arrived Shipments'!O:O, 'Arrived Shipments'!B:B=$B723),1),
    IFERROR(
        INDEX(FILTER('POed not arrived'!D:D, 'POed not arrived'!A:A=$B723),1),
        """"
    )
)"),"")</f>
        <v/>
      </c>
      <c r="M723" s="202"/>
      <c r="N723" s="223" t="str">
        <f>IFERROR(__xludf.DUMMYFUNCTION("IFERROR(
    INDEX(FILTER('Arrived Shipments'!O:O, 'Arrived Shipments'!B:B=$B723),2),
    IFERROR(
        INDEX(FILTER('POed not arrived'!D:D, 'POed not arrived'!A:A=$B723),2),
        """"
    )
)"),"")</f>
        <v/>
      </c>
      <c r="O723" s="202"/>
      <c r="P723" s="202" t="str">
        <f>IFERROR(__xludf.DUMMYFUNCTION("IFERROR(
    INDEX(FILTER('Arrived Shipments'!O:O, 'Arrived Shipments'!B:B=$B723),3),
    IFERROR(
        INDEX(FILTER('POed not arrived'!D:D, 'POed not arrived'!A:A=$B723),3),
        """"
    )
)"),"")</f>
        <v/>
      </c>
      <c r="Q723" s="202"/>
      <c r="R723" s="206" t="str">
        <f>IFERROR(__xludf.DUMMYFUNCTION("IFERROR(
    INDEX(FILTER('Arrived Shipments'!O:O, 'Arrived Shipments'!B:B=$B723),4),
    IFERROR(
        INDEX(FILTER('POed not arrived'!D:D, 'POed not arrived'!A:A=$B723),4),
        """"
    )
)"),"")</f>
        <v/>
      </c>
      <c r="S723" s="202"/>
      <c r="T723" s="202">
        <f t="shared" si="8"/>
        <v>0</v>
      </c>
      <c r="U723" s="198"/>
      <c r="V723" s="199"/>
      <c r="W723" s="197"/>
      <c r="X723" s="197"/>
      <c r="Y723" s="199"/>
      <c r="Z723" s="199"/>
      <c r="AA723" s="204" t="str">
        <f t="shared" si="4"/>
        <v/>
      </c>
      <c r="AB723" s="198"/>
      <c r="AC723" s="199"/>
      <c r="AD723" s="199"/>
      <c r="AE723" s="199"/>
      <c r="AF723" s="199"/>
      <c r="AG723" s="199"/>
      <c r="AH723" s="199"/>
      <c r="AI723" s="199"/>
      <c r="AJ723" s="199"/>
      <c r="AK723" s="199"/>
      <c r="AL723" s="199"/>
      <c r="AM723" s="198"/>
      <c r="AN723" s="197"/>
      <c r="AO723" s="197"/>
      <c r="AP723" s="197"/>
      <c r="AQ723" s="197"/>
      <c r="AR723" s="197"/>
      <c r="AS723" s="197"/>
    </row>
    <row r="724">
      <c r="A724" s="198" t="str">
        <f t="shared" si="1"/>
        <v/>
      </c>
      <c r="B724" s="205"/>
      <c r="C724" s="198"/>
      <c r="D724" s="199"/>
      <c r="E724" s="213"/>
      <c r="F724" s="198"/>
      <c r="G724" s="198"/>
      <c r="H724" s="199"/>
      <c r="I724" s="207"/>
      <c r="J724" s="199"/>
      <c r="K724" s="202"/>
      <c r="L724" s="205" t="str">
        <f>IFERROR(__xludf.DUMMYFUNCTION("IFERROR(
    INDEX(FILTER('Arrived Shipments'!O:O, 'Arrived Shipments'!B:B=$B724),1),
    IFERROR(
        INDEX(FILTER('POed not arrived'!D:D, 'POed not arrived'!A:A=$B724),1),
        """"
    )
)"),"")</f>
        <v/>
      </c>
      <c r="M724" s="202"/>
      <c r="N724" s="223" t="str">
        <f>IFERROR(__xludf.DUMMYFUNCTION("IFERROR(
    INDEX(FILTER('Arrived Shipments'!O:O, 'Arrived Shipments'!B:B=$B724),2),
    IFERROR(
        INDEX(FILTER('POed not arrived'!D:D, 'POed not arrived'!A:A=$B724),2),
        """"
    )
)"),"")</f>
        <v/>
      </c>
      <c r="O724" s="202"/>
      <c r="P724" s="202" t="str">
        <f>IFERROR(__xludf.DUMMYFUNCTION("IFERROR(
    INDEX(FILTER('Arrived Shipments'!O:O, 'Arrived Shipments'!B:B=$B724),3),
    IFERROR(
        INDEX(FILTER('POed not arrived'!D:D, 'POed not arrived'!A:A=$B724),3),
        """"
    )
)"),"")</f>
        <v/>
      </c>
      <c r="Q724" s="202"/>
      <c r="R724" s="206" t="str">
        <f>IFERROR(__xludf.DUMMYFUNCTION("IFERROR(
    INDEX(FILTER('Arrived Shipments'!O:O, 'Arrived Shipments'!B:B=$B724),4),
    IFERROR(
        INDEX(FILTER('POed not arrived'!D:D, 'POed not arrived'!A:A=$B724),4),
        """"
    )
)"),"")</f>
        <v/>
      </c>
      <c r="S724" s="202"/>
      <c r="T724" s="202">
        <f t="shared" si="8"/>
        <v>0</v>
      </c>
      <c r="U724" s="198"/>
      <c r="V724" s="199"/>
      <c r="W724" s="197"/>
      <c r="X724" s="197"/>
      <c r="Y724" s="199"/>
      <c r="Z724" s="199"/>
      <c r="AA724" s="204" t="str">
        <f t="shared" si="4"/>
        <v/>
      </c>
      <c r="AB724" s="198"/>
      <c r="AC724" s="199"/>
      <c r="AD724" s="199"/>
      <c r="AE724" s="199"/>
      <c r="AF724" s="199"/>
      <c r="AG724" s="199"/>
      <c r="AH724" s="199"/>
      <c r="AI724" s="199"/>
      <c r="AJ724" s="199"/>
      <c r="AK724" s="199"/>
      <c r="AL724" s="199"/>
      <c r="AM724" s="198"/>
      <c r="AN724" s="197"/>
      <c r="AO724" s="197"/>
      <c r="AP724" s="197"/>
      <c r="AQ724" s="197"/>
      <c r="AR724" s="197"/>
      <c r="AS724" s="197"/>
    </row>
    <row r="725">
      <c r="A725" s="198" t="str">
        <f t="shared" si="1"/>
        <v/>
      </c>
      <c r="B725" s="205"/>
      <c r="C725" s="198"/>
      <c r="D725" s="199"/>
      <c r="E725" s="213"/>
      <c r="F725" s="198"/>
      <c r="G725" s="198"/>
      <c r="H725" s="199"/>
      <c r="I725" s="207"/>
      <c r="J725" s="199"/>
      <c r="K725" s="202"/>
      <c r="L725" s="205" t="str">
        <f>IFERROR(__xludf.DUMMYFUNCTION("IFERROR(
    INDEX(FILTER('Arrived Shipments'!O:O, 'Arrived Shipments'!B:B=$B725),1),
    IFERROR(
        INDEX(FILTER('POed not arrived'!D:D, 'POed not arrived'!A:A=$B725),1),
        """"
    )
)"),"")</f>
        <v/>
      </c>
      <c r="M725" s="202"/>
      <c r="N725" s="223" t="str">
        <f>IFERROR(__xludf.DUMMYFUNCTION("IFERROR(
    INDEX(FILTER('Arrived Shipments'!O:O, 'Arrived Shipments'!B:B=$B725),2),
    IFERROR(
        INDEX(FILTER('POed not arrived'!D:D, 'POed not arrived'!A:A=$B725),2),
        """"
    )
)"),"")</f>
        <v/>
      </c>
      <c r="O725" s="202"/>
      <c r="P725" s="202" t="str">
        <f>IFERROR(__xludf.DUMMYFUNCTION("IFERROR(
    INDEX(FILTER('Arrived Shipments'!O:O, 'Arrived Shipments'!B:B=$B725),3),
    IFERROR(
        INDEX(FILTER('POed not arrived'!D:D, 'POed not arrived'!A:A=$B725),3),
        """"
    )
)"),"")</f>
        <v/>
      </c>
      <c r="Q725" s="202"/>
      <c r="R725" s="206" t="str">
        <f>IFERROR(__xludf.DUMMYFUNCTION("IFERROR(
    INDEX(FILTER('Arrived Shipments'!O:O, 'Arrived Shipments'!B:B=$B725),4),
    IFERROR(
        INDEX(FILTER('POed not arrived'!D:D, 'POed not arrived'!A:A=$B725),4),
        """"
    )
)"),"")</f>
        <v/>
      </c>
      <c r="S725" s="202"/>
      <c r="T725" s="202">
        <f t="shared" si="8"/>
        <v>0</v>
      </c>
      <c r="U725" s="198"/>
      <c r="V725" s="199"/>
      <c r="W725" s="197"/>
      <c r="X725" s="197"/>
      <c r="Y725" s="199"/>
      <c r="Z725" s="199"/>
      <c r="AA725" s="204" t="str">
        <f t="shared" si="4"/>
        <v/>
      </c>
      <c r="AB725" s="198"/>
      <c r="AC725" s="199"/>
      <c r="AD725" s="199"/>
      <c r="AE725" s="199"/>
      <c r="AF725" s="199"/>
      <c r="AG725" s="199"/>
      <c r="AH725" s="199"/>
      <c r="AI725" s="199"/>
      <c r="AJ725" s="199"/>
      <c r="AK725" s="199"/>
      <c r="AL725" s="199"/>
      <c r="AM725" s="198"/>
      <c r="AN725" s="197"/>
      <c r="AO725" s="197"/>
      <c r="AP725" s="197"/>
      <c r="AQ725" s="197"/>
      <c r="AR725" s="197"/>
      <c r="AS725" s="197"/>
    </row>
    <row r="726">
      <c r="A726" s="198" t="str">
        <f t="shared" si="1"/>
        <v/>
      </c>
      <c r="B726" s="205"/>
      <c r="C726" s="198"/>
      <c r="D726" s="199"/>
      <c r="E726" s="213"/>
      <c r="F726" s="198"/>
      <c r="G726" s="198"/>
      <c r="H726" s="199"/>
      <c r="I726" s="207"/>
      <c r="J726" s="199"/>
      <c r="K726" s="202"/>
      <c r="L726" s="205" t="str">
        <f>IFERROR(__xludf.DUMMYFUNCTION("IFERROR(
    INDEX(FILTER('Arrived Shipments'!O:O, 'Arrived Shipments'!B:B=$B726),1),
    IFERROR(
        INDEX(FILTER('POed not arrived'!D:D, 'POed not arrived'!A:A=$B726),1),
        """"
    )
)"),"")</f>
        <v/>
      </c>
      <c r="M726" s="202"/>
      <c r="N726" s="223" t="str">
        <f>IFERROR(__xludf.DUMMYFUNCTION("IFERROR(
    INDEX(FILTER('Arrived Shipments'!O:O, 'Arrived Shipments'!B:B=$B726),2),
    IFERROR(
        INDEX(FILTER('POed not arrived'!D:D, 'POed not arrived'!A:A=$B726),2),
        """"
    )
)"),"")</f>
        <v/>
      </c>
      <c r="O726" s="202"/>
      <c r="P726" s="202" t="str">
        <f>IFERROR(__xludf.DUMMYFUNCTION("IFERROR(
    INDEX(FILTER('Arrived Shipments'!O:O, 'Arrived Shipments'!B:B=$B726),3),
    IFERROR(
        INDEX(FILTER('POed not arrived'!D:D, 'POed not arrived'!A:A=$B726),3),
        """"
    )
)"),"")</f>
        <v/>
      </c>
      <c r="Q726" s="202"/>
      <c r="R726" s="206" t="str">
        <f>IFERROR(__xludf.DUMMYFUNCTION("IFERROR(
    INDEX(FILTER('Arrived Shipments'!O:O, 'Arrived Shipments'!B:B=$B726),4),
    IFERROR(
        INDEX(FILTER('POed not arrived'!D:D, 'POed not arrived'!A:A=$B726),4),
        """"
    )
)"),"")</f>
        <v/>
      </c>
      <c r="S726" s="202"/>
      <c r="T726" s="202">
        <f t="shared" si="8"/>
        <v>0</v>
      </c>
      <c r="U726" s="198"/>
      <c r="V726" s="199"/>
      <c r="W726" s="197"/>
      <c r="X726" s="197"/>
      <c r="Y726" s="199"/>
      <c r="Z726" s="199"/>
      <c r="AA726" s="204" t="str">
        <f t="shared" si="4"/>
        <v/>
      </c>
      <c r="AB726" s="198"/>
      <c r="AC726" s="199"/>
      <c r="AD726" s="199"/>
      <c r="AE726" s="199"/>
      <c r="AF726" s="199"/>
      <c r="AG726" s="199"/>
      <c r="AH726" s="199"/>
      <c r="AI726" s="199"/>
      <c r="AJ726" s="199"/>
      <c r="AK726" s="199"/>
      <c r="AL726" s="199"/>
      <c r="AM726" s="198"/>
      <c r="AN726" s="197"/>
      <c r="AO726" s="197"/>
      <c r="AP726" s="197"/>
      <c r="AQ726" s="197"/>
      <c r="AR726" s="197"/>
      <c r="AS726" s="197"/>
    </row>
    <row r="727">
      <c r="A727" s="198" t="str">
        <f t="shared" si="1"/>
        <v/>
      </c>
      <c r="B727" s="205"/>
      <c r="C727" s="198"/>
      <c r="D727" s="199"/>
      <c r="E727" s="213"/>
      <c r="F727" s="198"/>
      <c r="G727" s="198"/>
      <c r="H727" s="199"/>
      <c r="I727" s="207"/>
      <c r="J727" s="199"/>
      <c r="K727" s="202"/>
      <c r="L727" s="205" t="str">
        <f>IFERROR(__xludf.DUMMYFUNCTION("IFERROR(
    INDEX(FILTER('Arrived Shipments'!O:O, 'Arrived Shipments'!B:B=$B727),1),
    IFERROR(
        INDEX(FILTER('POed not arrived'!D:D, 'POed not arrived'!A:A=$B727),1),
        """"
    )
)"),"")</f>
        <v/>
      </c>
      <c r="M727" s="202"/>
      <c r="N727" s="223" t="str">
        <f>IFERROR(__xludf.DUMMYFUNCTION("IFERROR(
    INDEX(FILTER('Arrived Shipments'!O:O, 'Arrived Shipments'!B:B=$B727),2),
    IFERROR(
        INDEX(FILTER('POed not arrived'!D:D, 'POed not arrived'!A:A=$B727),2),
        """"
    )
)"),"")</f>
        <v/>
      </c>
      <c r="O727" s="202"/>
      <c r="P727" s="202" t="str">
        <f>IFERROR(__xludf.DUMMYFUNCTION("IFERROR(
    INDEX(FILTER('Arrived Shipments'!O:O, 'Arrived Shipments'!B:B=$B727),3),
    IFERROR(
        INDEX(FILTER('POed not arrived'!D:D, 'POed not arrived'!A:A=$B727),3),
        """"
    )
)"),"")</f>
        <v/>
      </c>
      <c r="Q727" s="202"/>
      <c r="R727" s="206" t="str">
        <f>IFERROR(__xludf.DUMMYFUNCTION("IFERROR(
    INDEX(FILTER('Arrived Shipments'!O:O, 'Arrived Shipments'!B:B=$B727),4),
    IFERROR(
        INDEX(FILTER('POed not arrived'!D:D, 'POed not arrived'!A:A=$B727),4),
        """"
    )
)"),"")</f>
        <v/>
      </c>
      <c r="S727" s="202"/>
      <c r="T727" s="202">
        <f t="shared" si="8"/>
        <v>0</v>
      </c>
      <c r="U727" s="198"/>
      <c r="V727" s="199"/>
      <c r="W727" s="197"/>
      <c r="X727" s="197"/>
      <c r="Y727" s="199"/>
      <c r="Z727" s="199"/>
      <c r="AA727" s="204" t="str">
        <f t="shared" si="4"/>
        <v/>
      </c>
      <c r="AB727" s="198"/>
      <c r="AC727" s="199"/>
      <c r="AD727" s="199"/>
      <c r="AE727" s="199"/>
      <c r="AF727" s="199"/>
      <c r="AG727" s="199"/>
      <c r="AH727" s="199"/>
      <c r="AI727" s="199"/>
      <c r="AJ727" s="199"/>
      <c r="AK727" s="199"/>
      <c r="AL727" s="199"/>
      <c r="AM727" s="198"/>
      <c r="AN727" s="197"/>
      <c r="AO727" s="197"/>
      <c r="AP727" s="197"/>
      <c r="AQ727" s="197"/>
      <c r="AR727" s="197"/>
      <c r="AS727" s="197"/>
    </row>
    <row r="728">
      <c r="A728" s="198" t="str">
        <f t="shared" si="1"/>
        <v/>
      </c>
      <c r="B728" s="205"/>
      <c r="C728" s="198"/>
      <c r="D728" s="199"/>
      <c r="E728" s="213"/>
      <c r="F728" s="198"/>
      <c r="G728" s="198"/>
      <c r="H728" s="199"/>
      <c r="I728" s="207"/>
      <c r="J728" s="199"/>
      <c r="K728" s="202"/>
      <c r="L728" s="205" t="str">
        <f>IFERROR(__xludf.DUMMYFUNCTION("IFERROR(
    INDEX(FILTER('Arrived Shipments'!O:O, 'Arrived Shipments'!B:B=$B728),1),
    IFERROR(
        INDEX(FILTER('POed not arrived'!D:D, 'POed not arrived'!A:A=$B728),1),
        """"
    )
)"),"")</f>
        <v/>
      </c>
      <c r="M728" s="202"/>
      <c r="N728" s="223" t="str">
        <f>IFERROR(__xludf.DUMMYFUNCTION("IFERROR(
    INDEX(FILTER('Arrived Shipments'!O:O, 'Arrived Shipments'!B:B=$B728),2),
    IFERROR(
        INDEX(FILTER('POed not arrived'!D:D, 'POed not arrived'!A:A=$B728),2),
        """"
    )
)"),"")</f>
        <v/>
      </c>
      <c r="O728" s="202"/>
      <c r="P728" s="202" t="str">
        <f>IFERROR(__xludf.DUMMYFUNCTION("IFERROR(
    INDEX(FILTER('Arrived Shipments'!O:O, 'Arrived Shipments'!B:B=$B728),3),
    IFERROR(
        INDEX(FILTER('POed not arrived'!D:D, 'POed not arrived'!A:A=$B728),3),
        """"
    )
)"),"")</f>
        <v/>
      </c>
      <c r="Q728" s="202"/>
      <c r="R728" s="206" t="str">
        <f>IFERROR(__xludf.DUMMYFUNCTION("IFERROR(
    INDEX(FILTER('Arrived Shipments'!O:O, 'Arrived Shipments'!B:B=$B728),4),
    IFERROR(
        INDEX(FILTER('POed not arrived'!D:D, 'POed not arrived'!A:A=$B728),4),
        """"
    )
)"),"")</f>
        <v/>
      </c>
      <c r="S728" s="202"/>
      <c r="T728" s="202">
        <f t="shared" si="8"/>
        <v>0</v>
      </c>
      <c r="U728" s="198"/>
      <c r="V728" s="199"/>
      <c r="W728" s="197"/>
      <c r="X728" s="197"/>
      <c r="Y728" s="199"/>
      <c r="Z728" s="199"/>
      <c r="AA728" s="204" t="str">
        <f t="shared" si="4"/>
        <v/>
      </c>
      <c r="AB728" s="198"/>
      <c r="AC728" s="199"/>
      <c r="AD728" s="199"/>
      <c r="AE728" s="199"/>
      <c r="AF728" s="199"/>
      <c r="AG728" s="199"/>
      <c r="AH728" s="199"/>
      <c r="AI728" s="199"/>
      <c r="AJ728" s="199"/>
      <c r="AK728" s="199"/>
      <c r="AL728" s="199"/>
      <c r="AM728" s="198"/>
      <c r="AN728" s="197"/>
      <c r="AO728" s="197"/>
      <c r="AP728" s="197"/>
      <c r="AQ728" s="197"/>
      <c r="AR728" s="197"/>
      <c r="AS728" s="197"/>
    </row>
    <row r="729">
      <c r="A729" s="198" t="str">
        <f t="shared" si="1"/>
        <v/>
      </c>
      <c r="B729" s="205"/>
      <c r="C729" s="198"/>
      <c r="D729" s="199"/>
      <c r="E729" s="213"/>
      <c r="F729" s="198"/>
      <c r="G729" s="198"/>
      <c r="H729" s="199"/>
      <c r="I729" s="207"/>
      <c r="J729" s="199"/>
      <c r="K729" s="202"/>
      <c r="L729" s="205" t="str">
        <f>IFERROR(__xludf.DUMMYFUNCTION("IFERROR(
    INDEX(FILTER('Arrived Shipments'!O:O, 'Arrived Shipments'!B:B=$B729),1),
    IFERROR(
        INDEX(FILTER('POed not arrived'!D:D, 'POed not arrived'!A:A=$B729),1),
        """"
    )
)"),"")</f>
        <v/>
      </c>
      <c r="M729" s="202"/>
      <c r="N729" s="223" t="str">
        <f>IFERROR(__xludf.DUMMYFUNCTION("IFERROR(
    INDEX(FILTER('Arrived Shipments'!O:O, 'Arrived Shipments'!B:B=$B729),2),
    IFERROR(
        INDEX(FILTER('POed not arrived'!D:D, 'POed not arrived'!A:A=$B729),2),
        """"
    )
)"),"")</f>
        <v/>
      </c>
      <c r="O729" s="202"/>
      <c r="P729" s="202" t="str">
        <f>IFERROR(__xludf.DUMMYFUNCTION("IFERROR(
    INDEX(FILTER('Arrived Shipments'!O:O, 'Arrived Shipments'!B:B=$B729),3),
    IFERROR(
        INDEX(FILTER('POed not arrived'!D:D, 'POed not arrived'!A:A=$B729),3),
        """"
    )
)"),"")</f>
        <v/>
      </c>
      <c r="Q729" s="202"/>
      <c r="R729" s="206" t="str">
        <f>IFERROR(__xludf.DUMMYFUNCTION("IFERROR(
    INDEX(FILTER('Arrived Shipments'!O:O, 'Arrived Shipments'!B:B=$B729),4),
    IFERROR(
        INDEX(FILTER('POed not arrived'!D:D, 'POed not arrived'!A:A=$B729),4),
        """"
    )
)"),"")</f>
        <v/>
      </c>
      <c r="S729" s="202"/>
      <c r="T729" s="202">
        <f t="shared" si="8"/>
        <v>0</v>
      </c>
      <c r="U729" s="198"/>
      <c r="V729" s="199"/>
      <c r="W729" s="197"/>
      <c r="X729" s="197"/>
      <c r="Y729" s="199"/>
      <c r="Z729" s="199"/>
      <c r="AA729" s="204" t="str">
        <f t="shared" si="4"/>
        <v/>
      </c>
      <c r="AB729" s="198"/>
      <c r="AC729" s="199"/>
      <c r="AD729" s="199"/>
      <c r="AE729" s="199"/>
      <c r="AF729" s="199"/>
      <c r="AG729" s="199"/>
      <c r="AH729" s="199"/>
      <c r="AI729" s="199"/>
      <c r="AJ729" s="199"/>
      <c r="AK729" s="199"/>
      <c r="AL729" s="199"/>
      <c r="AM729" s="198"/>
      <c r="AN729" s="197"/>
      <c r="AO729" s="197"/>
      <c r="AP729" s="197"/>
      <c r="AQ729" s="197"/>
      <c r="AR729" s="197"/>
      <c r="AS729" s="197"/>
    </row>
    <row r="730">
      <c r="A730" s="198" t="str">
        <f t="shared" si="1"/>
        <v/>
      </c>
      <c r="B730" s="205"/>
      <c r="C730" s="198"/>
      <c r="D730" s="199"/>
      <c r="E730" s="213"/>
      <c r="F730" s="198"/>
      <c r="G730" s="198"/>
      <c r="H730" s="199"/>
      <c r="I730" s="207"/>
      <c r="J730" s="199"/>
      <c r="K730" s="202"/>
      <c r="L730" s="205" t="str">
        <f>IFERROR(__xludf.DUMMYFUNCTION("IFERROR(
    INDEX(FILTER('Arrived Shipments'!O:O, 'Arrived Shipments'!B:B=$B730),1),
    IFERROR(
        INDEX(FILTER('POed not arrived'!D:D, 'POed not arrived'!A:A=$B730),1),
        """"
    )
)"),"")</f>
        <v/>
      </c>
      <c r="M730" s="202"/>
      <c r="N730" s="223" t="str">
        <f>IFERROR(__xludf.DUMMYFUNCTION("IFERROR(
    INDEX(FILTER('Arrived Shipments'!O:O, 'Arrived Shipments'!B:B=$B730),2),
    IFERROR(
        INDEX(FILTER('POed not arrived'!D:D, 'POed not arrived'!A:A=$B730),2),
        """"
    )
)"),"")</f>
        <v/>
      </c>
      <c r="O730" s="202"/>
      <c r="P730" s="202" t="str">
        <f>IFERROR(__xludf.DUMMYFUNCTION("IFERROR(
    INDEX(FILTER('Arrived Shipments'!O:O, 'Arrived Shipments'!B:B=$B730),3),
    IFERROR(
        INDEX(FILTER('POed not arrived'!D:D, 'POed not arrived'!A:A=$B730),3),
        """"
    )
)"),"")</f>
        <v/>
      </c>
      <c r="Q730" s="202"/>
      <c r="R730" s="206" t="str">
        <f>IFERROR(__xludf.DUMMYFUNCTION("IFERROR(
    INDEX(FILTER('Arrived Shipments'!O:O, 'Arrived Shipments'!B:B=$B730),4),
    IFERROR(
        INDEX(FILTER('POed not arrived'!D:D, 'POed not arrived'!A:A=$B730),4),
        """"
    )
)"),"")</f>
        <v/>
      </c>
      <c r="S730" s="202"/>
      <c r="T730" s="202">
        <f t="shared" si="8"/>
        <v>0</v>
      </c>
      <c r="U730" s="198"/>
      <c r="V730" s="199"/>
      <c r="W730" s="197"/>
      <c r="X730" s="197"/>
      <c r="Y730" s="199"/>
      <c r="Z730" s="199"/>
      <c r="AA730" s="204" t="str">
        <f t="shared" si="4"/>
        <v/>
      </c>
      <c r="AB730" s="198"/>
      <c r="AC730" s="199"/>
      <c r="AD730" s="199"/>
      <c r="AE730" s="199"/>
      <c r="AF730" s="199"/>
      <c r="AG730" s="199"/>
      <c r="AH730" s="199"/>
      <c r="AI730" s="199"/>
      <c r="AJ730" s="199"/>
      <c r="AK730" s="199"/>
      <c r="AL730" s="199"/>
      <c r="AM730" s="198"/>
      <c r="AN730" s="197"/>
      <c r="AO730" s="197"/>
      <c r="AP730" s="197"/>
      <c r="AQ730" s="197"/>
      <c r="AR730" s="197"/>
      <c r="AS730" s="197"/>
    </row>
    <row r="731">
      <c r="A731" s="198" t="str">
        <f t="shared" si="1"/>
        <v/>
      </c>
      <c r="B731" s="205"/>
      <c r="C731" s="198"/>
      <c r="D731" s="199"/>
      <c r="E731" s="213"/>
      <c r="F731" s="198"/>
      <c r="G731" s="198"/>
      <c r="H731" s="199"/>
      <c r="I731" s="207"/>
      <c r="J731" s="199"/>
      <c r="K731" s="202"/>
      <c r="L731" s="205" t="str">
        <f>IFERROR(__xludf.DUMMYFUNCTION("IFERROR(
    INDEX(FILTER('Arrived Shipments'!O:O, 'Arrived Shipments'!B:B=$B731),1),
    IFERROR(
        INDEX(FILTER('POed not arrived'!D:D, 'POed not arrived'!A:A=$B731),1),
        """"
    )
)"),"")</f>
        <v/>
      </c>
      <c r="M731" s="202"/>
      <c r="N731" s="223" t="str">
        <f>IFERROR(__xludf.DUMMYFUNCTION("IFERROR(
    INDEX(FILTER('Arrived Shipments'!O:O, 'Arrived Shipments'!B:B=$B731),2),
    IFERROR(
        INDEX(FILTER('POed not arrived'!D:D, 'POed not arrived'!A:A=$B731),2),
        """"
    )
)"),"")</f>
        <v/>
      </c>
      <c r="O731" s="202"/>
      <c r="P731" s="202" t="str">
        <f>IFERROR(__xludf.DUMMYFUNCTION("IFERROR(
    INDEX(FILTER('Arrived Shipments'!O:O, 'Arrived Shipments'!B:B=$B731),3),
    IFERROR(
        INDEX(FILTER('POed not arrived'!D:D, 'POed not arrived'!A:A=$B731),3),
        """"
    )
)"),"")</f>
        <v/>
      </c>
      <c r="Q731" s="202"/>
      <c r="R731" s="206" t="str">
        <f>IFERROR(__xludf.DUMMYFUNCTION("IFERROR(
    INDEX(FILTER('Arrived Shipments'!O:O, 'Arrived Shipments'!B:B=$B731),4),
    IFERROR(
        INDEX(FILTER('POed not arrived'!D:D, 'POed not arrived'!A:A=$B731),4),
        """"
    )
)"),"")</f>
        <v/>
      </c>
      <c r="S731" s="202"/>
      <c r="T731" s="202">
        <f t="shared" si="8"/>
        <v>0</v>
      </c>
      <c r="U731" s="198"/>
      <c r="V731" s="199"/>
      <c r="W731" s="197"/>
      <c r="X731" s="197"/>
      <c r="Y731" s="199"/>
      <c r="Z731" s="199"/>
      <c r="AA731" s="204" t="str">
        <f t="shared" si="4"/>
        <v/>
      </c>
      <c r="AB731" s="198"/>
      <c r="AC731" s="199"/>
      <c r="AD731" s="199"/>
      <c r="AE731" s="199"/>
      <c r="AF731" s="199"/>
      <c r="AG731" s="199"/>
      <c r="AH731" s="199"/>
      <c r="AI731" s="199"/>
      <c r="AJ731" s="199"/>
      <c r="AK731" s="199"/>
      <c r="AL731" s="199"/>
      <c r="AM731" s="198"/>
      <c r="AN731" s="197"/>
      <c r="AO731" s="197"/>
      <c r="AP731" s="197"/>
      <c r="AQ731" s="197"/>
      <c r="AR731" s="197"/>
      <c r="AS731" s="197"/>
    </row>
    <row r="732">
      <c r="A732" s="198" t="str">
        <f t="shared" si="1"/>
        <v/>
      </c>
      <c r="B732" s="205"/>
      <c r="C732" s="198"/>
      <c r="D732" s="199"/>
      <c r="E732" s="213"/>
      <c r="F732" s="198"/>
      <c r="G732" s="198"/>
      <c r="H732" s="199"/>
      <c r="I732" s="207"/>
      <c r="J732" s="199"/>
      <c r="K732" s="202"/>
      <c r="L732" s="205" t="str">
        <f>IFERROR(__xludf.DUMMYFUNCTION("IFERROR(
    INDEX(FILTER('Arrived Shipments'!O:O, 'Arrived Shipments'!B:B=$B732),1),
    IFERROR(
        INDEX(FILTER('POed not arrived'!D:D, 'POed not arrived'!A:A=$B732),1),
        """"
    )
)"),"")</f>
        <v/>
      </c>
      <c r="M732" s="202"/>
      <c r="N732" s="223" t="str">
        <f>IFERROR(__xludf.DUMMYFUNCTION("IFERROR(
    INDEX(FILTER('Arrived Shipments'!O:O, 'Arrived Shipments'!B:B=$B732),2),
    IFERROR(
        INDEX(FILTER('POed not arrived'!D:D, 'POed not arrived'!A:A=$B732),2),
        """"
    )
)"),"")</f>
        <v/>
      </c>
      <c r="O732" s="202"/>
      <c r="P732" s="202" t="str">
        <f>IFERROR(__xludf.DUMMYFUNCTION("IFERROR(
    INDEX(FILTER('Arrived Shipments'!O:O, 'Arrived Shipments'!B:B=$B732),3),
    IFERROR(
        INDEX(FILTER('POed not arrived'!D:D, 'POed not arrived'!A:A=$B732),3),
        """"
    )
)"),"")</f>
        <v/>
      </c>
      <c r="Q732" s="202"/>
      <c r="R732" s="206" t="str">
        <f>IFERROR(__xludf.DUMMYFUNCTION("IFERROR(
    INDEX(FILTER('Arrived Shipments'!O:O, 'Arrived Shipments'!B:B=$B732),4),
    IFERROR(
        INDEX(FILTER('POed not arrived'!D:D, 'POed not arrived'!A:A=$B732),4),
        """"
    )
)"),"")</f>
        <v/>
      </c>
      <c r="S732" s="202"/>
      <c r="T732" s="202">
        <f t="shared" si="8"/>
        <v>0</v>
      </c>
      <c r="U732" s="198"/>
      <c r="V732" s="199"/>
      <c r="W732" s="197"/>
      <c r="X732" s="197"/>
      <c r="Y732" s="199"/>
      <c r="Z732" s="199"/>
      <c r="AA732" s="204" t="str">
        <f t="shared" si="4"/>
        <v/>
      </c>
      <c r="AB732" s="198"/>
      <c r="AC732" s="199"/>
      <c r="AD732" s="199"/>
      <c r="AE732" s="199"/>
      <c r="AF732" s="199"/>
      <c r="AG732" s="199"/>
      <c r="AH732" s="199"/>
      <c r="AI732" s="199"/>
      <c r="AJ732" s="199"/>
      <c r="AK732" s="199"/>
      <c r="AL732" s="199"/>
      <c r="AM732" s="198"/>
      <c r="AN732" s="197"/>
      <c r="AO732" s="197"/>
      <c r="AP732" s="197"/>
      <c r="AQ732" s="197"/>
      <c r="AR732" s="197"/>
      <c r="AS732" s="197"/>
    </row>
    <row r="733">
      <c r="A733" s="198" t="str">
        <f t="shared" si="1"/>
        <v/>
      </c>
      <c r="B733" s="205"/>
      <c r="C733" s="198"/>
      <c r="D733" s="199"/>
      <c r="E733" s="213"/>
      <c r="F733" s="198"/>
      <c r="G733" s="198"/>
      <c r="H733" s="199"/>
      <c r="I733" s="207"/>
      <c r="J733" s="199"/>
      <c r="K733" s="202"/>
      <c r="L733" s="205" t="str">
        <f>IFERROR(__xludf.DUMMYFUNCTION("IFERROR(
    INDEX(FILTER('Arrived Shipments'!O:O, 'Arrived Shipments'!B:B=$B733),1),
    IFERROR(
        INDEX(FILTER('POed not arrived'!D:D, 'POed not arrived'!A:A=$B733),1),
        """"
    )
)"),"")</f>
        <v/>
      </c>
      <c r="M733" s="202"/>
      <c r="N733" s="223" t="str">
        <f>IFERROR(__xludf.DUMMYFUNCTION("IFERROR(
    INDEX(FILTER('Arrived Shipments'!O:O, 'Arrived Shipments'!B:B=$B733),2),
    IFERROR(
        INDEX(FILTER('POed not arrived'!D:D, 'POed not arrived'!A:A=$B733),2),
        """"
    )
)"),"")</f>
        <v/>
      </c>
      <c r="O733" s="202"/>
      <c r="P733" s="202" t="str">
        <f>IFERROR(__xludf.DUMMYFUNCTION("IFERROR(
    INDEX(FILTER('Arrived Shipments'!O:O, 'Arrived Shipments'!B:B=$B733),3),
    IFERROR(
        INDEX(FILTER('POed not arrived'!D:D, 'POed not arrived'!A:A=$B733),3),
        """"
    )
)"),"")</f>
        <v/>
      </c>
      <c r="Q733" s="202"/>
      <c r="R733" s="206" t="str">
        <f>IFERROR(__xludf.DUMMYFUNCTION("IFERROR(
    INDEX(FILTER('Arrived Shipments'!O:O, 'Arrived Shipments'!B:B=$B733),4),
    IFERROR(
        INDEX(FILTER('POed not arrived'!D:D, 'POed not arrived'!A:A=$B733),4),
        """"
    )
)"),"")</f>
        <v/>
      </c>
      <c r="S733" s="202"/>
      <c r="T733" s="202">
        <f t="shared" si="8"/>
        <v>0</v>
      </c>
      <c r="U733" s="198"/>
      <c r="V733" s="199"/>
      <c r="W733" s="197"/>
      <c r="X733" s="197"/>
      <c r="Y733" s="199"/>
      <c r="Z733" s="199"/>
      <c r="AA733" s="204" t="str">
        <f t="shared" si="4"/>
        <v/>
      </c>
      <c r="AB733" s="198"/>
      <c r="AC733" s="199"/>
      <c r="AD733" s="199"/>
      <c r="AE733" s="199"/>
      <c r="AF733" s="199"/>
      <c r="AG733" s="199"/>
      <c r="AH733" s="199"/>
      <c r="AI733" s="199"/>
      <c r="AJ733" s="199"/>
      <c r="AK733" s="199"/>
      <c r="AL733" s="199"/>
      <c r="AM733" s="198"/>
      <c r="AN733" s="197"/>
      <c r="AO733" s="197"/>
      <c r="AP733" s="197"/>
      <c r="AQ733" s="197"/>
      <c r="AR733" s="197"/>
      <c r="AS733" s="197"/>
    </row>
    <row r="734">
      <c r="A734" s="198" t="str">
        <f t="shared" si="1"/>
        <v/>
      </c>
      <c r="B734" s="205"/>
      <c r="C734" s="198"/>
      <c r="D734" s="199"/>
      <c r="E734" s="213"/>
      <c r="F734" s="198"/>
      <c r="G734" s="198"/>
      <c r="H734" s="199"/>
      <c r="I734" s="207"/>
      <c r="J734" s="199"/>
      <c r="K734" s="202"/>
      <c r="L734" s="205" t="str">
        <f>IFERROR(__xludf.DUMMYFUNCTION("IFERROR(
    INDEX(FILTER('Arrived Shipments'!O:O, 'Arrived Shipments'!B:B=$B734),1),
    IFERROR(
        INDEX(FILTER('POed not arrived'!D:D, 'POed not arrived'!A:A=$B734),1),
        """"
    )
)"),"")</f>
        <v/>
      </c>
      <c r="M734" s="202"/>
      <c r="N734" s="223" t="str">
        <f>IFERROR(__xludf.DUMMYFUNCTION("IFERROR(
    INDEX(FILTER('Arrived Shipments'!O:O, 'Arrived Shipments'!B:B=$B734),2),
    IFERROR(
        INDEX(FILTER('POed not arrived'!D:D, 'POed not arrived'!A:A=$B734),2),
        """"
    )
)"),"")</f>
        <v/>
      </c>
      <c r="O734" s="202"/>
      <c r="P734" s="202" t="str">
        <f>IFERROR(__xludf.DUMMYFUNCTION("IFERROR(
    INDEX(FILTER('Arrived Shipments'!O:O, 'Arrived Shipments'!B:B=$B734),3),
    IFERROR(
        INDEX(FILTER('POed not arrived'!D:D, 'POed not arrived'!A:A=$B734),3),
        """"
    )
)"),"")</f>
        <v/>
      </c>
      <c r="Q734" s="202"/>
      <c r="R734" s="206" t="str">
        <f>IFERROR(__xludf.DUMMYFUNCTION("IFERROR(
    INDEX(FILTER('Arrived Shipments'!O:O, 'Arrived Shipments'!B:B=$B734),4),
    IFERROR(
        INDEX(FILTER('POed not arrived'!D:D, 'POed not arrived'!A:A=$B734),4),
        """"
    )
)"),"")</f>
        <v/>
      </c>
      <c r="S734" s="202"/>
      <c r="T734" s="202">
        <f t="shared" si="8"/>
        <v>0</v>
      </c>
      <c r="U734" s="198"/>
      <c r="V734" s="199"/>
      <c r="W734" s="197"/>
      <c r="X734" s="197"/>
      <c r="Y734" s="199"/>
      <c r="Z734" s="199"/>
      <c r="AA734" s="204" t="str">
        <f t="shared" si="4"/>
        <v/>
      </c>
      <c r="AB734" s="198"/>
      <c r="AC734" s="199"/>
      <c r="AD734" s="199"/>
      <c r="AE734" s="199"/>
      <c r="AF734" s="199"/>
      <c r="AG734" s="199"/>
      <c r="AH734" s="199"/>
      <c r="AI734" s="199"/>
      <c r="AJ734" s="199"/>
      <c r="AK734" s="199"/>
      <c r="AL734" s="199"/>
      <c r="AM734" s="198"/>
      <c r="AN734" s="197"/>
      <c r="AO734" s="197"/>
      <c r="AP734" s="197"/>
      <c r="AQ734" s="197"/>
      <c r="AR734" s="197"/>
      <c r="AS734" s="197"/>
    </row>
    <row r="735">
      <c r="A735" s="198" t="str">
        <f t="shared" si="1"/>
        <v/>
      </c>
      <c r="B735" s="205"/>
      <c r="C735" s="198"/>
      <c r="D735" s="199"/>
      <c r="E735" s="213"/>
      <c r="F735" s="198"/>
      <c r="G735" s="198"/>
      <c r="H735" s="199"/>
      <c r="I735" s="207"/>
      <c r="J735" s="199"/>
      <c r="K735" s="202"/>
      <c r="L735" s="205" t="str">
        <f>IFERROR(__xludf.DUMMYFUNCTION("IFERROR(
    INDEX(FILTER('Arrived Shipments'!O:O, 'Arrived Shipments'!B:B=$B735),1),
    IFERROR(
        INDEX(FILTER('POed not arrived'!D:D, 'POed not arrived'!A:A=$B735),1),
        """"
    )
)"),"")</f>
        <v/>
      </c>
      <c r="M735" s="202"/>
      <c r="N735" s="223" t="str">
        <f>IFERROR(__xludf.DUMMYFUNCTION("IFERROR(
    INDEX(FILTER('Arrived Shipments'!O:O, 'Arrived Shipments'!B:B=$B735),2),
    IFERROR(
        INDEX(FILTER('POed not arrived'!D:D, 'POed not arrived'!A:A=$B735),2),
        """"
    )
)"),"")</f>
        <v/>
      </c>
      <c r="O735" s="202"/>
      <c r="P735" s="202" t="str">
        <f>IFERROR(__xludf.DUMMYFUNCTION("IFERROR(
    INDEX(FILTER('Arrived Shipments'!O:O, 'Arrived Shipments'!B:B=$B735),3),
    IFERROR(
        INDEX(FILTER('POed not arrived'!D:D, 'POed not arrived'!A:A=$B735),3),
        """"
    )
)"),"")</f>
        <v/>
      </c>
      <c r="Q735" s="202"/>
      <c r="R735" s="206" t="str">
        <f>IFERROR(__xludf.DUMMYFUNCTION("IFERROR(
    INDEX(FILTER('Arrived Shipments'!O:O, 'Arrived Shipments'!B:B=$B735),4),
    IFERROR(
        INDEX(FILTER('POed not arrived'!D:D, 'POed not arrived'!A:A=$B735),4),
        """"
    )
)"),"")</f>
        <v/>
      </c>
      <c r="S735" s="202"/>
      <c r="T735" s="202">
        <f t="shared" si="8"/>
        <v>0</v>
      </c>
      <c r="U735" s="198"/>
      <c r="V735" s="199"/>
      <c r="W735" s="197"/>
      <c r="X735" s="197"/>
      <c r="Y735" s="199"/>
      <c r="Z735" s="199"/>
      <c r="AA735" s="204" t="str">
        <f t="shared" si="4"/>
        <v/>
      </c>
      <c r="AB735" s="198"/>
      <c r="AC735" s="199"/>
      <c r="AD735" s="199"/>
      <c r="AE735" s="199"/>
      <c r="AF735" s="199"/>
      <c r="AG735" s="199"/>
      <c r="AH735" s="199"/>
      <c r="AI735" s="199"/>
      <c r="AJ735" s="199"/>
      <c r="AK735" s="199"/>
      <c r="AL735" s="199"/>
      <c r="AM735" s="198"/>
      <c r="AN735" s="197"/>
      <c r="AO735" s="197"/>
      <c r="AP735" s="197"/>
      <c r="AQ735" s="197"/>
      <c r="AR735" s="197"/>
      <c r="AS735" s="197"/>
    </row>
    <row r="736">
      <c r="A736" s="198" t="str">
        <f t="shared" si="1"/>
        <v/>
      </c>
      <c r="B736" s="205"/>
      <c r="C736" s="198"/>
      <c r="D736" s="199"/>
      <c r="E736" s="213"/>
      <c r="F736" s="198"/>
      <c r="G736" s="198"/>
      <c r="H736" s="199"/>
      <c r="I736" s="207"/>
      <c r="J736" s="199"/>
      <c r="K736" s="202"/>
      <c r="L736" s="205" t="str">
        <f>IFERROR(__xludf.DUMMYFUNCTION("IFERROR(
    INDEX(FILTER('Arrived Shipments'!O:O, 'Arrived Shipments'!B:B=$B736),1),
    IFERROR(
        INDEX(FILTER('POed not arrived'!D:D, 'POed not arrived'!A:A=$B736),1),
        """"
    )
)"),"")</f>
        <v/>
      </c>
      <c r="M736" s="202"/>
      <c r="N736" s="223" t="str">
        <f>IFERROR(__xludf.DUMMYFUNCTION("IFERROR(
    INDEX(FILTER('Arrived Shipments'!O:O, 'Arrived Shipments'!B:B=$B736),2),
    IFERROR(
        INDEX(FILTER('POed not arrived'!D:D, 'POed not arrived'!A:A=$B736),2),
        """"
    )
)"),"")</f>
        <v/>
      </c>
      <c r="O736" s="202"/>
      <c r="P736" s="202" t="str">
        <f>IFERROR(__xludf.DUMMYFUNCTION("IFERROR(
    INDEX(FILTER('Arrived Shipments'!O:O, 'Arrived Shipments'!B:B=$B736),3),
    IFERROR(
        INDEX(FILTER('POed not arrived'!D:D, 'POed not arrived'!A:A=$B736),3),
        """"
    )
)"),"")</f>
        <v/>
      </c>
      <c r="Q736" s="202"/>
      <c r="R736" s="206" t="str">
        <f>IFERROR(__xludf.DUMMYFUNCTION("IFERROR(
    INDEX(FILTER('Arrived Shipments'!O:O, 'Arrived Shipments'!B:B=$B736),4),
    IFERROR(
        INDEX(FILTER('POed not arrived'!D:D, 'POed not arrived'!A:A=$B736),4),
        """"
    )
)"),"")</f>
        <v/>
      </c>
      <c r="S736" s="202"/>
      <c r="T736" s="202">
        <f t="shared" si="8"/>
        <v>0</v>
      </c>
      <c r="U736" s="198"/>
      <c r="V736" s="199"/>
      <c r="W736" s="197"/>
      <c r="X736" s="197"/>
      <c r="Y736" s="199"/>
      <c r="Z736" s="199"/>
      <c r="AA736" s="204" t="str">
        <f t="shared" si="4"/>
        <v/>
      </c>
      <c r="AB736" s="198"/>
      <c r="AC736" s="199"/>
      <c r="AD736" s="199"/>
      <c r="AE736" s="199"/>
      <c r="AF736" s="199"/>
      <c r="AG736" s="199"/>
      <c r="AH736" s="199"/>
      <c r="AI736" s="199"/>
      <c r="AJ736" s="199"/>
      <c r="AK736" s="199"/>
      <c r="AL736" s="199"/>
      <c r="AM736" s="198"/>
      <c r="AN736" s="197"/>
      <c r="AO736" s="197"/>
      <c r="AP736" s="197"/>
      <c r="AQ736" s="197"/>
      <c r="AR736" s="197"/>
      <c r="AS736" s="197"/>
    </row>
    <row r="737">
      <c r="A737" s="198" t="str">
        <f t="shared" si="1"/>
        <v/>
      </c>
      <c r="B737" s="205"/>
      <c r="C737" s="198"/>
      <c r="D737" s="199"/>
      <c r="E737" s="213"/>
      <c r="F737" s="198"/>
      <c r="G737" s="198"/>
      <c r="H737" s="199"/>
      <c r="I737" s="207"/>
      <c r="J737" s="199"/>
      <c r="K737" s="202"/>
      <c r="L737" s="205" t="str">
        <f>IFERROR(__xludf.DUMMYFUNCTION("IFERROR(
    INDEX(FILTER('Arrived Shipments'!O:O, 'Arrived Shipments'!B:B=$B737),1),
    IFERROR(
        INDEX(FILTER('POed not arrived'!D:D, 'POed not arrived'!A:A=$B737),1),
        """"
    )
)"),"")</f>
        <v/>
      </c>
      <c r="M737" s="202"/>
      <c r="N737" s="223" t="str">
        <f>IFERROR(__xludf.DUMMYFUNCTION("IFERROR(
    INDEX(FILTER('Arrived Shipments'!O:O, 'Arrived Shipments'!B:B=$B737),2),
    IFERROR(
        INDEX(FILTER('POed not arrived'!D:D, 'POed not arrived'!A:A=$B737),2),
        """"
    )
)"),"")</f>
        <v/>
      </c>
      <c r="O737" s="202"/>
      <c r="P737" s="202" t="str">
        <f>IFERROR(__xludf.DUMMYFUNCTION("IFERROR(
    INDEX(FILTER('Arrived Shipments'!O:O, 'Arrived Shipments'!B:B=$B737),3),
    IFERROR(
        INDEX(FILTER('POed not arrived'!D:D, 'POed not arrived'!A:A=$B737),3),
        """"
    )
)"),"")</f>
        <v/>
      </c>
      <c r="Q737" s="202"/>
      <c r="R737" s="206" t="str">
        <f>IFERROR(__xludf.DUMMYFUNCTION("IFERROR(
    INDEX(FILTER('Arrived Shipments'!O:O, 'Arrived Shipments'!B:B=$B737),4),
    IFERROR(
        INDEX(FILTER('POed not arrived'!D:D, 'POed not arrived'!A:A=$B737),4),
        """"
    )
)"),"")</f>
        <v/>
      </c>
      <c r="S737" s="202"/>
      <c r="T737" s="202">
        <f t="shared" si="8"/>
        <v>0</v>
      </c>
      <c r="U737" s="198"/>
      <c r="V737" s="199"/>
      <c r="W737" s="197"/>
      <c r="X737" s="197"/>
      <c r="Y737" s="199"/>
      <c r="Z737" s="199"/>
      <c r="AA737" s="204" t="str">
        <f t="shared" si="4"/>
        <v/>
      </c>
      <c r="AB737" s="198"/>
      <c r="AC737" s="199"/>
      <c r="AD737" s="199"/>
      <c r="AE737" s="199"/>
      <c r="AF737" s="199"/>
      <c r="AG737" s="199"/>
      <c r="AH737" s="199"/>
      <c r="AI737" s="199"/>
      <c r="AJ737" s="199"/>
      <c r="AK737" s="199"/>
      <c r="AL737" s="199"/>
      <c r="AM737" s="198"/>
      <c r="AN737" s="197"/>
      <c r="AO737" s="197"/>
      <c r="AP737" s="197"/>
      <c r="AQ737" s="197"/>
      <c r="AR737" s="197"/>
      <c r="AS737" s="197"/>
    </row>
    <row r="738">
      <c r="A738" s="198" t="str">
        <f t="shared" si="1"/>
        <v/>
      </c>
      <c r="B738" s="205"/>
      <c r="C738" s="198"/>
      <c r="D738" s="199"/>
      <c r="E738" s="213"/>
      <c r="F738" s="198"/>
      <c r="G738" s="198"/>
      <c r="H738" s="199"/>
      <c r="I738" s="207"/>
      <c r="J738" s="199"/>
      <c r="K738" s="202"/>
      <c r="L738" s="205" t="str">
        <f>IFERROR(__xludf.DUMMYFUNCTION("IFERROR(
    INDEX(FILTER('Arrived Shipments'!O:O, 'Arrived Shipments'!B:B=$B738),1),
    IFERROR(
        INDEX(FILTER('POed not arrived'!D:D, 'POed not arrived'!A:A=$B738),1),
        """"
    )
)"),"")</f>
        <v/>
      </c>
      <c r="M738" s="202"/>
      <c r="N738" s="223" t="str">
        <f>IFERROR(__xludf.DUMMYFUNCTION("IFERROR(
    INDEX(FILTER('Arrived Shipments'!O:O, 'Arrived Shipments'!B:B=$B738),2),
    IFERROR(
        INDEX(FILTER('POed not arrived'!D:D, 'POed not arrived'!A:A=$B738),2),
        """"
    )
)"),"")</f>
        <v/>
      </c>
      <c r="O738" s="202"/>
      <c r="P738" s="202" t="str">
        <f>IFERROR(__xludf.DUMMYFUNCTION("IFERROR(
    INDEX(FILTER('Arrived Shipments'!O:O, 'Arrived Shipments'!B:B=$B738),3),
    IFERROR(
        INDEX(FILTER('POed not arrived'!D:D, 'POed not arrived'!A:A=$B738),3),
        """"
    )
)"),"")</f>
        <v/>
      </c>
      <c r="Q738" s="202"/>
      <c r="R738" s="206" t="str">
        <f>IFERROR(__xludf.DUMMYFUNCTION("IFERROR(
    INDEX(FILTER('Arrived Shipments'!O:O, 'Arrived Shipments'!B:B=$B738),4),
    IFERROR(
        INDEX(FILTER('POed not arrived'!D:D, 'POed not arrived'!A:A=$B738),4),
        """"
    )
)"),"")</f>
        <v/>
      </c>
      <c r="S738" s="202"/>
      <c r="T738" s="202">
        <f t="shared" si="8"/>
        <v>0</v>
      </c>
      <c r="U738" s="198"/>
      <c r="V738" s="199"/>
      <c r="W738" s="197"/>
      <c r="X738" s="197"/>
      <c r="Y738" s="199"/>
      <c r="Z738" s="199"/>
      <c r="AA738" s="204" t="str">
        <f t="shared" si="4"/>
        <v/>
      </c>
      <c r="AB738" s="198"/>
      <c r="AC738" s="199"/>
      <c r="AD738" s="199"/>
      <c r="AE738" s="199"/>
      <c r="AF738" s="199"/>
      <c r="AG738" s="199"/>
      <c r="AH738" s="199"/>
      <c r="AI738" s="199"/>
      <c r="AJ738" s="199"/>
      <c r="AK738" s="199"/>
      <c r="AL738" s="199"/>
      <c r="AM738" s="198"/>
      <c r="AN738" s="197"/>
      <c r="AO738" s="197"/>
      <c r="AP738" s="197"/>
      <c r="AQ738" s="197"/>
      <c r="AR738" s="197"/>
      <c r="AS738" s="197"/>
    </row>
    <row r="739">
      <c r="A739" s="198" t="str">
        <f t="shared" si="1"/>
        <v/>
      </c>
      <c r="B739" s="205"/>
      <c r="C739" s="198"/>
      <c r="D739" s="199"/>
      <c r="E739" s="213"/>
      <c r="F739" s="198"/>
      <c r="G739" s="198"/>
      <c r="H739" s="199"/>
      <c r="I739" s="207"/>
      <c r="J739" s="199"/>
      <c r="K739" s="202"/>
      <c r="L739" s="205" t="str">
        <f>IFERROR(__xludf.DUMMYFUNCTION("IFERROR(
    INDEX(FILTER('Arrived Shipments'!O:O, 'Arrived Shipments'!B:B=$B739),1),
    IFERROR(
        INDEX(FILTER('POed not arrived'!D:D, 'POed not arrived'!A:A=$B739),1),
        """"
    )
)"),"")</f>
        <v/>
      </c>
      <c r="M739" s="202"/>
      <c r="N739" s="223" t="str">
        <f>IFERROR(__xludf.DUMMYFUNCTION("IFERROR(
    INDEX(FILTER('Arrived Shipments'!O:O, 'Arrived Shipments'!B:B=$B739),2),
    IFERROR(
        INDEX(FILTER('POed not arrived'!D:D, 'POed not arrived'!A:A=$B739),2),
        """"
    )
)"),"")</f>
        <v/>
      </c>
      <c r="O739" s="202"/>
      <c r="P739" s="202" t="str">
        <f>IFERROR(__xludf.DUMMYFUNCTION("IFERROR(
    INDEX(FILTER('Arrived Shipments'!O:O, 'Arrived Shipments'!B:B=$B739),3),
    IFERROR(
        INDEX(FILTER('POed not arrived'!D:D, 'POed not arrived'!A:A=$B739),3),
        """"
    )
)"),"")</f>
        <v/>
      </c>
      <c r="Q739" s="202"/>
      <c r="R739" s="206" t="str">
        <f>IFERROR(__xludf.DUMMYFUNCTION("IFERROR(
    INDEX(FILTER('Arrived Shipments'!O:O, 'Arrived Shipments'!B:B=$B739),4),
    IFERROR(
        INDEX(FILTER('POed not arrived'!D:D, 'POed not arrived'!A:A=$B739),4),
        """"
    )
)"),"")</f>
        <v/>
      </c>
      <c r="S739" s="202"/>
      <c r="T739" s="202">
        <f t="shared" si="8"/>
        <v>0</v>
      </c>
      <c r="U739" s="198"/>
      <c r="V739" s="199"/>
      <c r="W739" s="197"/>
      <c r="X739" s="197"/>
      <c r="Y739" s="199"/>
      <c r="Z739" s="199"/>
      <c r="AA739" s="204" t="str">
        <f t="shared" si="4"/>
        <v/>
      </c>
      <c r="AB739" s="198"/>
      <c r="AC739" s="199"/>
      <c r="AD739" s="199"/>
      <c r="AE739" s="199"/>
      <c r="AF739" s="199"/>
      <c r="AG739" s="199"/>
      <c r="AH739" s="199"/>
      <c r="AI739" s="199"/>
      <c r="AJ739" s="199"/>
      <c r="AK739" s="199"/>
      <c r="AL739" s="199"/>
      <c r="AM739" s="198"/>
      <c r="AN739" s="197"/>
      <c r="AO739" s="197"/>
      <c r="AP739" s="197"/>
      <c r="AQ739" s="197"/>
      <c r="AR739" s="197"/>
      <c r="AS739" s="197"/>
    </row>
    <row r="740">
      <c r="A740" s="198" t="str">
        <f t="shared" si="1"/>
        <v/>
      </c>
      <c r="B740" s="205"/>
      <c r="C740" s="198"/>
      <c r="D740" s="199"/>
      <c r="E740" s="213"/>
      <c r="F740" s="198"/>
      <c r="G740" s="198"/>
      <c r="H740" s="199"/>
      <c r="I740" s="207"/>
      <c r="J740" s="199"/>
      <c r="K740" s="202"/>
      <c r="L740" s="205" t="str">
        <f>IFERROR(__xludf.DUMMYFUNCTION("IFERROR(
    INDEX(FILTER('Arrived Shipments'!O:O, 'Arrived Shipments'!B:B=$B740),1),
    IFERROR(
        INDEX(FILTER('POed not arrived'!D:D, 'POed not arrived'!A:A=$B740),1),
        """"
    )
)"),"")</f>
        <v/>
      </c>
      <c r="M740" s="202"/>
      <c r="N740" s="223" t="str">
        <f>IFERROR(__xludf.DUMMYFUNCTION("IFERROR(
    INDEX(FILTER('Arrived Shipments'!O:O, 'Arrived Shipments'!B:B=$B740),2),
    IFERROR(
        INDEX(FILTER('POed not arrived'!D:D, 'POed not arrived'!A:A=$B740),2),
        """"
    )
)"),"")</f>
        <v/>
      </c>
      <c r="O740" s="202"/>
      <c r="P740" s="202" t="str">
        <f>IFERROR(__xludf.DUMMYFUNCTION("IFERROR(
    INDEX(FILTER('Arrived Shipments'!O:O, 'Arrived Shipments'!B:B=$B740),3),
    IFERROR(
        INDEX(FILTER('POed not arrived'!D:D, 'POed not arrived'!A:A=$B740),3),
        """"
    )
)"),"")</f>
        <v/>
      </c>
      <c r="Q740" s="202"/>
      <c r="R740" s="206" t="str">
        <f>IFERROR(__xludf.DUMMYFUNCTION("IFERROR(
    INDEX(FILTER('Arrived Shipments'!O:O, 'Arrived Shipments'!B:B=$B740),4),
    IFERROR(
        INDEX(FILTER('POed not arrived'!D:D, 'POed not arrived'!A:A=$B740),4),
        """"
    )
)"),"")</f>
        <v/>
      </c>
      <c r="S740" s="202"/>
      <c r="T740" s="202">
        <f t="shared" si="8"/>
        <v>0</v>
      </c>
      <c r="U740" s="198"/>
      <c r="V740" s="199"/>
      <c r="W740" s="197"/>
      <c r="X740" s="197"/>
      <c r="Y740" s="199"/>
      <c r="Z740" s="199"/>
      <c r="AA740" s="204" t="str">
        <f t="shared" si="4"/>
        <v/>
      </c>
      <c r="AB740" s="198"/>
      <c r="AC740" s="199"/>
      <c r="AD740" s="199"/>
      <c r="AE740" s="199"/>
      <c r="AF740" s="199"/>
      <c r="AG740" s="199"/>
      <c r="AH740" s="199"/>
      <c r="AI740" s="199"/>
      <c r="AJ740" s="199"/>
      <c r="AK740" s="199"/>
      <c r="AL740" s="199"/>
      <c r="AM740" s="198"/>
      <c r="AN740" s="197"/>
      <c r="AO740" s="197"/>
      <c r="AP740" s="197"/>
      <c r="AQ740" s="197"/>
      <c r="AR740" s="197"/>
      <c r="AS740" s="197"/>
    </row>
    <row r="741">
      <c r="A741" s="198" t="str">
        <f t="shared" si="1"/>
        <v/>
      </c>
      <c r="B741" s="205"/>
      <c r="C741" s="198"/>
      <c r="D741" s="199"/>
      <c r="E741" s="213"/>
      <c r="F741" s="198"/>
      <c r="G741" s="198"/>
      <c r="H741" s="199"/>
      <c r="I741" s="207"/>
      <c r="J741" s="199"/>
      <c r="K741" s="202"/>
      <c r="L741" s="205" t="str">
        <f>IFERROR(__xludf.DUMMYFUNCTION("IFERROR(
    INDEX(FILTER('Arrived Shipments'!O:O, 'Arrived Shipments'!B:B=$B741),1),
    IFERROR(
        INDEX(FILTER('POed not arrived'!D:D, 'POed not arrived'!A:A=$B741),1),
        """"
    )
)"),"")</f>
        <v/>
      </c>
      <c r="M741" s="202"/>
      <c r="N741" s="223" t="str">
        <f>IFERROR(__xludf.DUMMYFUNCTION("IFERROR(
    INDEX(FILTER('Arrived Shipments'!O:O, 'Arrived Shipments'!B:B=$B741),2),
    IFERROR(
        INDEX(FILTER('POed not arrived'!D:D, 'POed not arrived'!A:A=$B741),2),
        """"
    )
)"),"")</f>
        <v/>
      </c>
      <c r="O741" s="202"/>
      <c r="P741" s="202" t="str">
        <f>IFERROR(__xludf.DUMMYFUNCTION("IFERROR(
    INDEX(FILTER('Arrived Shipments'!O:O, 'Arrived Shipments'!B:B=$B741),3),
    IFERROR(
        INDEX(FILTER('POed not arrived'!D:D, 'POed not arrived'!A:A=$B741),3),
        """"
    )
)"),"")</f>
        <v/>
      </c>
      <c r="Q741" s="202"/>
      <c r="R741" s="206" t="str">
        <f>IFERROR(__xludf.DUMMYFUNCTION("IFERROR(
    INDEX(FILTER('Arrived Shipments'!O:O, 'Arrived Shipments'!B:B=$B741),4),
    IFERROR(
        INDEX(FILTER('POed not arrived'!D:D, 'POed not arrived'!A:A=$B741),4),
        """"
    )
)"),"")</f>
        <v/>
      </c>
      <c r="S741" s="202"/>
      <c r="T741" s="202">
        <f t="shared" si="8"/>
        <v>0</v>
      </c>
      <c r="U741" s="198"/>
      <c r="V741" s="199"/>
      <c r="W741" s="197"/>
      <c r="X741" s="197"/>
      <c r="Y741" s="199"/>
      <c r="Z741" s="199"/>
      <c r="AA741" s="204" t="str">
        <f t="shared" si="4"/>
        <v/>
      </c>
      <c r="AB741" s="198"/>
      <c r="AC741" s="199"/>
      <c r="AD741" s="199"/>
      <c r="AE741" s="199"/>
      <c r="AF741" s="199"/>
      <c r="AG741" s="199"/>
      <c r="AH741" s="199"/>
      <c r="AI741" s="199"/>
      <c r="AJ741" s="199"/>
      <c r="AK741" s="199"/>
      <c r="AL741" s="199"/>
      <c r="AM741" s="198"/>
      <c r="AN741" s="197"/>
      <c r="AO741" s="197"/>
      <c r="AP741" s="197"/>
      <c r="AQ741" s="197"/>
      <c r="AR741" s="197"/>
      <c r="AS741" s="197"/>
    </row>
    <row r="742">
      <c r="A742" s="198" t="str">
        <f t="shared" si="1"/>
        <v/>
      </c>
      <c r="B742" s="205"/>
      <c r="C742" s="198"/>
      <c r="D742" s="199"/>
      <c r="E742" s="213"/>
      <c r="F742" s="198"/>
      <c r="G742" s="198"/>
      <c r="H742" s="199"/>
      <c r="I742" s="207"/>
      <c r="J742" s="199"/>
      <c r="K742" s="202"/>
      <c r="L742" s="205" t="str">
        <f>IFERROR(__xludf.DUMMYFUNCTION("IFERROR(
    INDEX(FILTER('Arrived Shipments'!O:O, 'Arrived Shipments'!B:B=$B742),1),
    IFERROR(
        INDEX(FILTER('POed not arrived'!D:D, 'POed not arrived'!A:A=$B742),1),
        """"
    )
)"),"")</f>
        <v/>
      </c>
      <c r="M742" s="202"/>
      <c r="N742" s="223" t="str">
        <f>IFERROR(__xludf.DUMMYFUNCTION("IFERROR(
    INDEX(FILTER('Arrived Shipments'!O:O, 'Arrived Shipments'!B:B=$B742),2),
    IFERROR(
        INDEX(FILTER('POed not arrived'!D:D, 'POed not arrived'!A:A=$B742),2),
        """"
    )
)"),"")</f>
        <v/>
      </c>
      <c r="O742" s="202"/>
      <c r="P742" s="202" t="str">
        <f>IFERROR(__xludf.DUMMYFUNCTION("IFERROR(
    INDEX(FILTER('Arrived Shipments'!O:O, 'Arrived Shipments'!B:B=$B742),3),
    IFERROR(
        INDEX(FILTER('POed not arrived'!D:D, 'POed not arrived'!A:A=$B742),3),
        """"
    )
)"),"")</f>
        <v/>
      </c>
      <c r="Q742" s="202"/>
      <c r="R742" s="206" t="str">
        <f>IFERROR(__xludf.DUMMYFUNCTION("IFERROR(
    INDEX(FILTER('Arrived Shipments'!O:O, 'Arrived Shipments'!B:B=$B742),4),
    IFERROR(
        INDEX(FILTER('POed not arrived'!D:D, 'POed not arrived'!A:A=$B742),4),
        """"
    )
)"),"")</f>
        <v/>
      </c>
      <c r="S742" s="202"/>
      <c r="T742" s="202">
        <f t="shared" si="8"/>
        <v>0</v>
      </c>
      <c r="U742" s="198"/>
      <c r="V742" s="199"/>
      <c r="W742" s="197"/>
      <c r="X742" s="197"/>
      <c r="Y742" s="199"/>
      <c r="Z742" s="199"/>
      <c r="AA742" s="204" t="str">
        <f t="shared" si="4"/>
        <v/>
      </c>
      <c r="AB742" s="198"/>
      <c r="AC742" s="199"/>
      <c r="AD742" s="199"/>
      <c r="AE742" s="199"/>
      <c r="AF742" s="199"/>
      <c r="AG742" s="199"/>
      <c r="AH742" s="199"/>
      <c r="AI742" s="199"/>
      <c r="AJ742" s="199"/>
      <c r="AK742" s="199"/>
      <c r="AL742" s="199"/>
      <c r="AM742" s="198"/>
      <c r="AN742" s="197"/>
      <c r="AO742" s="197"/>
      <c r="AP742" s="197"/>
      <c r="AQ742" s="197"/>
      <c r="AR742" s="197"/>
      <c r="AS742" s="197"/>
    </row>
    <row r="743">
      <c r="A743" s="198" t="str">
        <f t="shared" si="1"/>
        <v/>
      </c>
      <c r="B743" s="205"/>
      <c r="C743" s="198"/>
      <c r="D743" s="199"/>
      <c r="E743" s="213"/>
      <c r="F743" s="198"/>
      <c r="G743" s="198"/>
      <c r="H743" s="199"/>
      <c r="I743" s="207"/>
      <c r="J743" s="199"/>
      <c r="K743" s="202"/>
      <c r="L743" s="205" t="str">
        <f>IFERROR(__xludf.DUMMYFUNCTION("IFERROR(
    INDEX(FILTER('Arrived Shipments'!O:O, 'Arrived Shipments'!B:B=$B743),1),
    IFERROR(
        INDEX(FILTER('POed not arrived'!D:D, 'POed not arrived'!A:A=$B743),1),
        """"
    )
)"),"")</f>
        <v/>
      </c>
      <c r="M743" s="202"/>
      <c r="N743" s="223" t="str">
        <f>IFERROR(__xludf.DUMMYFUNCTION("IFERROR(
    INDEX(FILTER('Arrived Shipments'!O:O, 'Arrived Shipments'!B:B=$B743),2),
    IFERROR(
        INDEX(FILTER('POed not arrived'!D:D, 'POed not arrived'!A:A=$B743),2),
        """"
    )
)"),"")</f>
        <v/>
      </c>
      <c r="O743" s="202"/>
      <c r="P743" s="202" t="str">
        <f>IFERROR(__xludf.DUMMYFUNCTION("IFERROR(
    INDEX(FILTER('Arrived Shipments'!O:O, 'Arrived Shipments'!B:B=$B743),3),
    IFERROR(
        INDEX(FILTER('POed not arrived'!D:D, 'POed not arrived'!A:A=$B743),3),
        """"
    )
)"),"")</f>
        <v/>
      </c>
      <c r="Q743" s="202"/>
      <c r="R743" s="206" t="str">
        <f>IFERROR(__xludf.DUMMYFUNCTION("IFERROR(
    INDEX(FILTER('Arrived Shipments'!O:O, 'Arrived Shipments'!B:B=$B743),4),
    IFERROR(
        INDEX(FILTER('POed not arrived'!D:D, 'POed not arrived'!A:A=$B743),4),
        """"
    )
)"),"")</f>
        <v/>
      </c>
      <c r="S743" s="202"/>
      <c r="T743" s="202">
        <f t="shared" si="8"/>
        <v>0</v>
      </c>
      <c r="U743" s="198"/>
      <c r="V743" s="199"/>
      <c r="W743" s="197"/>
      <c r="X743" s="197"/>
      <c r="Y743" s="199"/>
      <c r="Z743" s="199"/>
      <c r="AA743" s="204" t="str">
        <f t="shared" si="4"/>
        <v/>
      </c>
      <c r="AB743" s="198"/>
      <c r="AC743" s="199"/>
      <c r="AD743" s="199"/>
      <c r="AE743" s="199"/>
      <c r="AF743" s="199"/>
      <c r="AG743" s="199"/>
      <c r="AH743" s="199"/>
      <c r="AI743" s="199"/>
      <c r="AJ743" s="199"/>
      <c r="AK743" s="199"/>
      <c r="AL743" s="199"/>
      <c r="AM743" s="198"/>
      <c r="AN743" s="197"/>
      <c r="AO743" s="197"/>
      <c r="AP743" s="197"/>
      <c r="AQ743" s="197"/>
      <c r="AR743" s="197"/>
      <c r="AS743" s="197"/>
    </row>
    <row r="744">
      <c r="A744" s="198" t="str">
        <f t="shared" si="1"/>
        <v/>
      </c>
      <c r="B744" s="205"/>
      <c r="C744" s="198"/>
      <c r="D744" s="199"/>
      <c r="E744" s="213"/>
      <c r="F744" s="198"/>
      <c r="G744" s="198"/>
      <c r="H744" s="199"/>
      <c r="I744" s="207"/>
      <c r="J744" s="199"/>
      <c r="K744" s="202"/>
      <c r="L744" s="205" t="str">
        <f>IFERROR(__xludf.DUMMYFUNCTION("IFERROR(
    INDEX(FILTER('Arrived Shipments'!O:O, 'Arrived Shipments'!B:B=$B744),1),
    IFERROR(
        INDEX(FILTER('POed not arrived'!D:D, 'POed not arrived'!A:A=$B744),1),
        """"
    )
)"),"")</f>
        <v/>
      </c>
      <c r="M744" s="202"/>
      <c r="N744" s="223" t="str">
        <f>IFERROR(__xludf.DUMMYFUNCTION("IFERROR(
    INDEX(FILTER('Arrived Shipments'!O:O, 'Arrived Shipments'!B:B=$B744),2),
    IFERROR(
        INDEX(FILTER('POed not arrived'!D:D, 'POed not arrived'!A:A=$B744),2),
        """"
    )
)"),"")</f>
        <v/>
      </c>
      <c r="O744" s="202"/>
      <c r="P744" s="202" t="str">
        <f>IFERROR(__xludf.DUMMYFUNCTION("IFERROR(
    INDEX(FILTER('Arrived Shipments'!O:O, 'Arrived Shipments'!B:B=$B744),3),
    IFERROR(
        INDEX(FILTER('POed not arrived'!D:D, 'POed not arrived'!A:A=$B744),3),
        """"
    )
)"),"")</f>
        <v/>
      </c>
      <c r="Q744" s="202"/>
      <c r="R744" s="206" t="str">
        <f>IFERROR(__xludf.DUMMYFUNCTION("IFERROR(
    INDEX(FILTER('Arrived Shipments'!O:O, 'Arrived Shipments'!B:B=$B744),4),
    IFERROR(
        INDEX(FILTER('POed not arrived'!D:D, 'POed not arrived'!A:A=$B744),4),
        """"
    )
)"),"")</f>
        <v/>
      </c>
      <c r="S744" s="202"/>
      <c r="T744" s="202">
        <f t="shared" si="8"/>
        <v>0</v>
      </c>
      <c r="U744" s="198"/>
      <c r="V744" s="199"/>
      <c r="W744" s="197"/>
      <c r="X744" s="197"/>
      <c r="Y744" s="199"/>
      <c r="Z744" s="199"/>
      <c r="AA744" s="204" t="str">
        <f t="shared" si="4"/>
        <v/>
      </c>
      <c r="AB744" s="198"/>
      <c r="AC744" s="199"/>
      <c r="AD744" s="199"/>
      <c r="AE744" s="199"/>
      <c r="AF744" s="199"/>
      <c r="AG744" s="199"/>
      <c r="AH744" s="199"/>
      <c r="AI744" s="199"/>
      <c r="AJ744" s="199"/>
      <c r="AK744" s="199"/>
      <c r="AL744" s="199"/>
      <c r="AM744" s="198"/>
      <c r="AN744" s="197"/>
      <c r="AO744" s="197"/>
      <c r="AP744" s="197"/>
      <c r="AQ744" s="197"/>
      <c r="AR744" s="197"/>
      <c r="AS744" s="197"/>
    </row>
    <row r="745">
      <c r="A745" s="198" t="str">
        <f t="shared" si="1"/>
        <v/>
      </c>
      <c r="B745" s="205"/>
      <c r="C745" s="198"/>
      <c r="D745" s="199"/>
      <c r="E745" s="213"/>
      <c r="F745" s="198"/>
      <c r="G745" s="198"/>
      <c r="H745" s="199"/>
      <c r="I745" s="207"/>
      <c r="J745" s="199"/>
      <c r="K745" s="202"/>
      <c r="L745" s="205" t="str">
        <f>IFERROR(__xludf.DUMMYFUNCTION("IFERROR(
    INDEX(FILTER('Arrived Shipments'!O:O, 'Arrived Shipments'!B:B=$B745),1),
    IFERROR(
        INDEX(FILTER('POed not arrived'!D:D, 'POed not arrived'!A:A=$B745),1),
        """"
    )
)"),"")</f>
        <v/>
      </c>
      <c r="M745" s="202"/>
      <c r="N745" s="223" t="str">
        <f>IFERROR(__xludf.DUMMYFUNCTION("IFERROR(
    INDEX(FILTER('Arrived Shipments'!O:O, 'Arrived Shipments'!B:B=$B745),2),
    IFERROR(
        INDEX(FILTER('POed not arrived'!D:D, 'POed not arrived'!A:A=$B745),2),
        """"
    )
)"),"")</f>
        <v/>
      </c>
      <c r="O745" s="202"/>
      <c r="P745" s="202" t="str">
        <f>IFERROR(__xludf.DUMMYFUNCTION("IFERROR(
    INDEX(FILTER('Arrived Shipments'!O:O, 'Arrived Shipments'!B:B=$B745),3),
    IFERROR(
        INDEX(FILTER('POed not arrived'!D:D, 'POed not arrived'!A:A=$B745),3),
        """"
    )
)"),"")</f>
        <v/>
      </c>
      <c r="Q745" s="202"/>
      <c r="R745" s="206" t="str">
        <f>IFERROR(__xludf.DUMMYFUNCTION("IFERROR(
    INDEX(FILTER('Arrived Shipments'!O:O, 'Arrived Shipments'!B:B=$B745),4),
    IFERROR(
        INDEX(FILTER('POed not arrived'!D:D, 'POed not arrived'!A:A=$B745),4),
        """"
    )
)"),"")</f>
        <v/>
      </c>
      <c r="S745" s="202"/>
      <c r="T745" s="202">
        <f t="shared" si="8"/>
        <v>0</v>
      </c>
      <c r="U745" s="198"/>
      <c r="V745" s="199"/>
      <c r="W745" s="197"/>
      <c r="X745" s="197"/>
      <c r="Y745" s="199"/>
      <c r="Z745" s="199"/>
      <c r="AA745" s="204" t="str">
        <f t="shared" si="4"/>
        <v/>
      </c>
      <c r="AB745" s="198"/>
      <c r="AC745" s="199"/>
      <c r="AD745" s="199"/>
      <c r="AE745" s="199"/>
      <c r="AF745" s="199"/>
      <c r="AG745" s="199"/>
      <c r="AH745" s="199"/>
      <c r="AI745" s="199"/>
      <c r="AJ745" s="199"/>
      <c r="AK745" s="199"/>
      <c r="AL745" s="199"/>
      <c r="AM745" s="198"/>
      <c r="AN745" s="197"/>
      <c r="AO745" s="197"/>
      <c r="AP745" s="197"/>
      <c r="AQ745" s="197"/>
      <c r="AR745" s="197"/>
      <c r="AS745" s="197"/>
    </row>
    <row r="746">
      <c r="A746" s="198" t="str">
        <f t="shared" si="1"/>
        <v/>
      </c>
      <c r="B746" s="205"/>
      <c r="C746" s="198"/>
      <c r="D746" s="199"/>
      <c r="E746" s="213"/>
      <c r="F746" s="198"/>
      <c r="G746" s="198"/>
      <c r="H746" s="199"/>
      <c r="I746" s="207"/>
      <c r="J746" s="199"/>
      <c r="K746" s="202"/>
      <c r="L746" s="205" t="str">
        <f>IFERROR(__xludf.DUMMYFUNCTION("IFERROR(
    INDEX(FILTER('Arrived Shipments'!O:O, 'Arrived Shipments'!B:B=$B746),1),
    IFERROR(
        INDEX(FILTER('POed not arrived'!D:D, 'POed not arrived'!A:A=$B746),1),
        """"
    )
)"),"")</f>
        <v/>
      </c>
      <c r="M746" s="202"/>
      <c r="N746" s="223" t="str">
        <f>IFERROR(__xludf.DUMMYFUNCTION("IFERROR(
    INDEX(FILTER('Arrived Shipments'!O:O, 'Arrived Shipments'!B:B=$B746),2),
    IFERROR(
        INDEX(FILTER('POed not arrived'!D:D, 'POed not arrived'!A:A=$B746),2),
        """"
    )
)"),"")</f>
        <v/>
      </c>
      <c r="O746" s="202"/>
      <c r="P746" s="202" t="str">
        <f>IFERROR(__xludf.DUMMYFUNCTION("IFERROR(
    INDEX(FILTER('Arrived Shipments'!O:O, 'Arrived Shipments'!B:B=$B746),3),
    IFERROR(
        INDEX(FILTER('POed not arrived'!D:D, 'POed not arrived'!A:A=$B746),3),
        """"
    )
)"),"")</f>
        <v/>
      </c>
      <c r="Q746" s="202"/>
      <c r="R746" s="206" t="str">
        <f>IFERROR(__xludf.DUMMYFUNCTION("IFERROR(
    INDEX(FILTER('Arrived Shipments'!O:O, 'Arrived Shipments'!B:B=$B746),4),
    IFERROR(
        INDEX(FILTER('POed not arrived'!D:D, 'POed not arrived'!A:A=$B746),4),
        """"
    )
)"),"")</f>
        <v/>
      </c>
      <c r="S746" s="202"/>
      <c r="T746" s="202">
        <f t="shared" si="8"/>
        <v>0</v>
      </c>
      <c r="U746" s="198"/>
      <c r="V746" s="199"/>
      <c r="W746" s="197"/>
      <c r="X746" s="197"/>
      <c r="Y746" s="199"/>
      <c r="Z746" s="199"/>
      <c r="AA746" s="204" t="str">
        <f t="shared" si="4"/>
        <v/>
      </c>
      <c r="AB746" s="198"/>
      <c r="AC746" s="199"/>
      <c r="AD746" s="199"/>
      <c r="AE746" s="199"/>
      <c r="AF746" s="199"/>
      <c r="AG746" s="199"/>
      <c r="AH746" s="199"/>
      <c r="AI746" s="199"/>
      <c r="AJ746" s="199"/>
      <c r="AK746" s="199"/>
      <c r="AL746" s="199"/>
      <c r="AM746" s="198"/>
      <c r="AN746" s="197"/>
      <c r="AO746" s="197"/>
      <c r="AP746" s="197"/>
      <c r="AQ746" s="197"/>
      <c r="AR746" s="197"/>
      <c r="AS746" s="197"/>
    </row>
    <row r="747">
      <c r="A747" s="198" t="str">
        <f t="shared" si="1"/>
        <v/>
      </c>
      <c r="B747" s="205"/>
      <c r="C747" s="198"/>
      <c r="D747" s="199"/>
      <c r="E747" s="213"/>
      <c r="F747" s="198"/>
      <c r="G747" s="198"/>
      <c r="H747" s="199"/>
      <c r="I747" s="207"/>
      <c r="J747" s="199"/>
      <c r="K747" s="202"/>
      <c r="L747" s="205" t="str">
        <f>IFERROR(__xludf.DUMMYFUNCTION("IFERROR(
    INDEX(FILTER('Arrived Shipments'!O:O, 'Arrived Shipments'!B:B=$B747),1),
    IFERROR(
        INDEX(FILTER('POed not arrived'!D:D, 'POed not arrived'!A:A=$B747),1),
        """"
    )
)"),"")</f>
        <v/>
      </c>
      <c r="M747" s="202"/>
      <c r="N747" s="223" t="str">
        <f>IFERROR(__xludf.DUMMYFUNCTION("IFERROR(
    INDEX(FILTER('Arrived Shipments'!O:O, 'Arrived Shipments'!B:B=$B747),2),
    IFERROR(
        INDEX(FILTER('POed not arrived'!D:D, 'POed not arrived'!A:A=$B747),2),
        """"
    )
)"),"")</f>
        <v/>
      </c>
      <c r="O747" s="202"/>
      <c r="P747" s="202" t="str">
        <f>IFERROR(__xludf.DUMMYFUNCTION("IFERROR(
    INDEX(FILTER('Arrived Shipments'!O:O, 'Arrived Shipments'!B:B=$B747),3),
    IFERROR(
        INDEX(FILTER('POed not arrived'!D:D, 'POed not arrived'!A:A=$B747),3),
        """"
    )
)"),"")</f>
        <v/>
      </c>
      <c r="Q747" s="202"/>
      <c r="R747" s="206" t="str">
        <f>IFERROR(__xludf.DUMMYFUNCTION("IFERROR(
    INDEX(FILTER('Arrived Shipments'!O:O, 'Arrived Shipments'!B:B=$B747),4),
    IFERROR(
        INDEX(FILTER('POed not arrived'!D:D, 'POed not arrived'!A:A=$B747),4),
        """"
    )
)"),"")</f>
        <v/>
      </c>
      <c r="S747" s="202"/>
      <c r="T747" s="202">
        <f t="shared" si="8"/>
        <v>0</v>
      </c>
      <c r="U747" s="198"/>
      <c r="V747" s="199"/>
      <c r="W747" s="197"/>
      <c r="X747" s="197"/>
      <c r="Y747" s="199"/>
      <c r="Z747" s="199"/>
      <c r="AA747" s="204" t="str">
        <f t="shared" si="4"/>
        <v/>
      </c>
      <c r="AB747" s="198"/>
      <c r="AC747" s="199"/>
      <c r="AD747" s="199"/>
      <c r="AE747" s="199"/>
      <c r="AF747" s="199"/>
      <c r="AG747" s="199"/>
      <c r="AH747" s="199"/>
      <c r="AI747" s="199"/>
      <c r="AJ747" s="199"/>
      <c r="AK747" s="199"/>
      <c r="AL747" s="199"/>
      <c r="AM747" s="198"/>
      <c r="AN747" s="197"/>
      <c r="AO747" s="197"/>
      <c r="AP747" s="197"/>
      <c r="AQ747" s="197"/>
      <c r="AR747" s="197"/>
      <c r="AS747" s="197"/>
    </row>
    <row r="748">
      <c r="A748" s="198" t="str">
        <f t="shared" si="1"/>
        <v/>
      </c>
      <c r="B748" s="205"/>
      <c r="C748" s="198"/>
      <c r="D748" s="199"/>
      <c r="E748" s="213"/>
      <c r="F748" s="198"/>
      <c r="G748" s="198"/>
      <c r="H748" s="199"/>
      <c r="I748" s="207"/>
      <c r="J748" s="199"/>
      <c r="K748" s="202"/>
      <c r="L748" s="205" t="str">
        <f>IFERROR(__xludf.DUMMYFUNCTION("IFERROR(
    INDEX(FILTER('Arrived Shipments'!O:O, 'Arrived Shipments'!B:B=$B748),1),
    IFERROR(
        INDEX(FILTER('POed not arrived'!D:D, 'POed not arrived'!A:A=$B748),1),
        """"
    )
)"),"")</f>
        <v/>
      </c>
      <c r="M748" s="202"/>
      <c r="N748" s="223" t="str">
        <f>IFERROR(__xludf.DUMMYFUNCTION("IFERROR(
    INDEX(FILTER('Arrived Shipments'!O:O, 'Arrived Shipments'!B:B=$B748),2),
    IFERROR(
        INDEX(FILTER('POed not arrived'!D:D, 'POed not arrived'!A:A=$B748),2),
        """"
    )
)"),"")</f>
        <v/>
      </c>
      <c r="O748" s="202"/>
      <c r="P748" s="202" t="str">
        <f>IFERROR(__xludf.DUMMYFUNCTION("IFERROR(
    INDEX(FILTER('Arrived Shipments'!O:O, 'Arrived Shipments'!B:B=$B748),3),
    IFERROR(
        INDEX(FILTER('POed not arrived'!D:D, 'POed not arrived'!A:A=$B748),3),
        """"
    )
)"),"")</f>
        <v/>
      </c>
      <c r="Q748" s="202"/>
      <c r="R748" s="206" t="str">
        <f>IFERROR(__xludf.DUMMYFUNCTION("IFERROR(
    INDEX(FILTER('Arrived Shipments'!O:O, 'Arrived Shipments'!B:B=$B748),4),
    IFERROR(
        INDEX(FILTER('POed not arrived'!D:D, 'POed not arrived'!A:A=$B748),4),
        """"
    )
)"),"")</f>
        <v/>
      </c>
      <c r="S748" s="202"/>
      <c r="T748" s="202">
        <f t="shared" si="8"/>
        <v>0</v>
      </c>
      <c r="U748" s="198"/>
      <c r="V748" s="199"/>
      <c r="W748" s="197"/>
      <c r="X748" s="197"/>
      <c r="Y748" s="199"/>
      <c r="Z748" s="199"/>
      <c r="AA748" s="204" t="str">
        <f t="shared" si="4"/>
        <v/>
      </c>
      <c r="AB748" s="198"/>
      <c r="AC748" s="199"/>
      <c r="AD748" s="199"/>
      <c r="AE748" s="199"/>
      <c r="AF748" s="199"/>
      <c r="AG748" s="199"/>
      <c r="AH748" s="199"/>
      <c r="AI748" s="199"/>
      <c r="AJ748" s="199"/>
      <c r="AK748" s="199"/>
      <c r="AL748" s="199"/>
      <c r="AM748" s="198"/>
      <c r="AN748" s="197"/>
      <c r="AO748" s="197"/>
      <c r="AP748" s="197"/>
      <c r="AQ748" s="197"/>
      <c r="AR748" s="197"/>
      <c r="AS748" s="197"/>
    </row>
    <row r="749">
      <c r="A749" s="198" t="str">
        <f t="shared" si="1"/>
        <v/>
      </c>
      <c r="B749" s="205"/>
      <c r="C749" s="198"/>
      <c r="D749" s="199"/>
      <c r="E749" s="213"/>
      <c r="F749" s="198"/>
      <c r="G749" s="198"/>
      <c r="H749" s="199"/>
      <c r="I749" s="207"/>
      <c r="J749" s="199"/>
      <c r="K749" s="202"/>
      <c r="L749" s="205" t="str">
        <f>IFERROR(__xludf.DUMMYFUNCTION("IFERROR(
    INDEX(FILTER('Arrived Shipments'!O:O, 'Arrived Shipments'!B:B=$B749),1),
    IFERROR(
        INDEX(FILTER('POed not arrived'!D:D, 'POed not arrived'!A:A=$B749),1),
        """"
    )
)"),"")</f>
        <v/>
      </c>
      <c r="M749" s="202"/>
      <c r="N749" s="223" t="str">
        <f>IFERROR(__xludf.DUMMYFUNCTION("IFERROR(
    INDEX(FILTER('Arrived Shipments'!O:O, 'Arrived Shipments'!B:B=$B749),2),
    IFERROR(
        INDEX(FILTER('POed not arrived'!D:D, 'POed not arrived'!A:A=$B749),2),
        """"
    )
)"),"")</f>
        <v/>
      </c>
      <c r="O749" s="202"/>
      <c r="P749" s="202" t="str">
        <f>IFERROR(__xludf.DUMMYFUNCTION("IFERROR(
    INDEX(FILTER('Arrived Shipments'!O:O, 'Arrived Shipments'!B:B=$B749),3),
    IFERROR(
        INDEX(FILTER('POed not arrived'!D:D, 'POed not arrived'!A:A=$B749),3),
        """"
    )
)"),"")</f>
        <v/>
      </c>
      <c r="Q749" s="202"/>
      <c r="R749" s="206" t="str">
        <f>IFERROR(__xludf.DUMMYFUNCTION("IFERROR(
    INDEX(FILTER('Arrived Shipments'!O:O, 'Arrived Shipments'!B:B=$B749),4),
    IFERROR(
        INDEX(FILTER('POed not arrived'!D:D, 'POed not arrived'!A:A=$B749),4),
        """"
    )
)"),"")</f>
        <v/>
      </c>
      <c r="S749" s="202"/>
      <c r="T749" s="202">
        <f t="shared" si="8"/>
        <v>0</v>
      </c>
      <c r="U749" s="198"/>
      <c r="V749" s="199"/>
      <c r="W749" s="197"/>
      <c r="X749" s="197"/>
      <c r="Y749" s="199"/>
      <c r="Z749" s="199"/>
      <c r="AA749" s="204" t="str">
        <f t="shared" si="4"/>
        <v/>
      </c>
      <c r="AB749" s="198"/>
      <c r="AC749" s="199"/>
      <c r="AD749" s="199"/>
      <c r="AE749" s="199"/>
      <c r="AF749" s="199"/>
      <c r="AG749" s="199"/>
      <c r="AH749" s="199"/>
      <c r="AI749" s="199"/>
      <c r="AJ749" s="199"/>
      <c r="AK749" s="199"/>
      <c r="AL749" s="199"/>
      <c r="AM749" s="198"/>
      <c r="AN749" s="197"/>
      <c r="AO749" s="197"/>
      <c r="AP749" s="197"/>
      <c r="AQ749" s="197"/>
      <c r="AR749" s="197"/>
      <c r="AS749" s="197"/>
    </row>
    <row r="750">
      <c r="A750" s="198" t="str">
        <f t="shared" si="1"/>
        <v/>
      </c>
      <c r="B750" s="205"/>
      <c r="C750" s="198"/>
      <c r="D750" s="199"/>
      <c r="E750" s="213"/>
      <c r="F750" s="198"/>
      <c r="G750" s="198"/>
      <c r="H750" s="199"/>
      <c r="I750" s="207"/>
      <c r="J750" s="199"/>
      <c r="K750" s="202"/>
      <c r="L750" s="205" t="str">
        <f>IFERROR(__xludf.DUMMYFUNCTION("IFERROR(
    INDEX(FILTER('Arrived Shipments'!O:O, 'Arrived Shipments'!B:B=$B750),1),
    IFERROR(
        INDEX(FILTER('POed not arrived'!D:D, 'POed not arrived'!A:A=$B750),1),
        """"
    )
)"),"")</f>
        <v/>
      </c>
      <c r="M750" s="202"/>
      <c r="N750" s="223" t="str">
        <f>IFERROR(__xludf.DUMMYFUNCTION("IFERROR(
    INDEX(FILTER('Arrived Shipments'!O:O, 'Arrived Shipments'!B:B=$B750),2),
    IFERROR(
        INDEX(FILTER('POed not arrived'!D:D, 'POed not arrived'!A:A=$B750),2),
        """"
    )
)"),"")</f>
        <v/>
      </c>
      <c r="O750" s="202"/>
      <c r="P750" s="202" t="str">
        <f>IFERROR(__xludf.DUMMYFUNCTION("IFERROR(
    INDEX(FILTER('Arrived Shipments'!O:O, 'Arrived Shipments'!B:B=$B750),3),
    IFERROR(
        INDEX(FILTER('POed not arrived'!D:D, 'POed not arrived'!A:A=$B750),3),
        """"
    )
)"),"")</f>
        <v/>
      </c>
      <c r="Q750" s="202"/>
      <c r="R750" s="206" t="str">
        <f>IFERROR(__xludf.DUMMYFUNCTION("IFERROR(
    INDEX(FILTER('Arrived Shipments'!O:O, 'Arrived Shipments'!B:B=$B750),4),
    IFERROR(
        INDEX(FILTER('POed not arrived'!D:D, 'POed not arrived'!A:A=$B750),4),
        """"
    )
)"),"")</f>
        <v/>
      </c>
      <c r="S750" s="202"/>
      <c r="T750" s="202">
        <f t="shared" si="8"/>
        <v>0</v>
      </c>
      <c r="U750" s="198"/>
      <c r="V750" s="199"/>
      <c r="W750" s="197"/>
      <c r="X750" s="197"/>
      <c r="Y750" s="199"/>
      <c r="Z750" s="199"/>
      <c r="AA750" s="204" t="str">
        <f t="shared" si="4"/>
        <v/>
      </c>
      <c r="AB750" s="198"/>
      <c r="AC750" s="199"/>
      <c r="AD750" s="199"/>
      <c r="AE750" s="199"/>
      <c r="AF750" s="199"/>
      <c r="AG750" s="199"/>
      <c r="AH750" s="199"/>
      <c r="AI750" s="199"/>
      <c r="AJ750" s="199"/>
      <c r="AK750" s="199"/>
      <c r="AL750" s="199"/>
      <c r="AM750" s="198"/>
      <c r="AN750" s="197"/>
      <c r="AO750" s="197"/>
      <c r="AP750" s="197"/>
      <c r="AQ750" s="197"/>
      <c r="AR750" s="197"/>
      <c r="AS750" s="197"/>
    </row>
    <row r="751">
      <c r="A751" s="198" t="str">
        <f t="shared" si="1"/>
        <v/>
      </c>
      <c r="B751" s="205"/>
      <c r="C751" s="198"/>
      <c r="D751" s="199"/>
      <c r="E751" s="213"/>
      <c r="F751" s="198"/>
      <c r="G751" s="198"/>
      <c r="H751" s="199"/>
      <c r="I751" s="207"/>
      <c r="J751" s="199"/>
      <c r="K751" s="202"/>
      <c r="L751" s="205" t="str">
        <f>IFERROR(__xludf.DUMMYFUNCTION("IFERROR(
    INDEX(FILTER('Arrived Shipments'!O:O, 'Arrived Shipments'!B:B=$B751),1),
    IFERROR(
        INDEX(FILTER('POed not arrived'!D:D, 'POed not arrived'!A:A=$B751),1),
        """"
    )
)"),"")</f>
        <v/>
      </c>
      <c r="M751" s="202"/>
      <c r="N751" s="223" t="str">
        <f>IFERROR(__xludf.DUMMYFUNCTION("IFERROR(
    INDEX(FILTER('Arrived Shipments'!O:O, 'Arrived Shipments'!B:B=$B751),2),
    IFERROR(
        INDEX(FILTER('POed not arrived'!D:D, 'POed not arrived'!A:A=$B751),2),
        """"
    )
)"),"")</f>
        <v/>
      </c>
      <c r="O751" s="202"/>
      <c r="P751" s="202" t="str">
        <f>IFERROR(__xludf.DUMMYFUNCTION("IFERROR(
    INDEX(FILTER('Arrived Shipments'!O:O, 'Arrived Shipments'!B:B=$B751),3),
    IFERROR(
        INDEX(FILTER('POed not arrived'!D:D, 'POed not arrived'!A:A=$B751),3),
        """"
    )
)"),"")</f>
        <v/>
      </c>
      <c r="Q751" s="202"/>
      <c r="R751" s="206" t="str">
        <f>IFERROR(__xludf.DUMMYFUNCTION("IFERROR(
    INDEX(FILTER('Arrived Shipments'!O:O, 'Arrived Shipments'!B:B=$B751),4),
    IFERROR(
        INDEX(FILTER('POed not arrived'!D:D, 'POed not arrived'!A:A=$B751),4),
        """"
    )
)"),"")</f>
        <v/>
      </c>
      <c r="S751" s="202"/>
      <c r="T751" s="202">
        <f t="shared" si="8"/>
        <v>0</v>
      </c>
      <c r="U751" s="198"/>
      <c r="V751" s="199"/>
      <c r="W751" s="197"/>
      <c r="X751" s="197"/>
      <c r="Y751" s="199"/>
      <c r="Z751" s="199"/>
      <c r="AA751" s="204" t="str">
        <f t="shared" si="4"/>
        <v/>
      </c>
      <c r="AB751" s="198"/>
      <c r="AC751" s="199"/>
      <c r="AD751" s="199"/>
      <c r="AE751" s="199"/>
      <c r="AF751" s="199"/>
      <c r="AG751" s="199"/>
      <c r="AH751" s="199"/>
      <c r="AI751" s="199"/>
      <c r="AJ751" s="199"/>
      <c r="AK751" s="199"/>
      <c r="AL751" s="199"/>
      <c r="AM751" s="198"/>
      <c r="AN751" s="197"/>
      <c r="AO751" s="197"/>
      <c r="AP751" s="197"/>
      <c r="AQ751" s="197"/>
      <c r="AR751" s="197"/>
      <c r="AS751" s="197"/>
    </row>
    <row r="752">
      <c r="A752" s="198" t="str">
        <f t="shared" si="1"/>
        <v/>
      </c>
      <c r="B752" s="205"/>
      <c r="C752" s="198"/>
      <c r="D752" s="199"/>
      <c r="E752" s="213"/>
      <c r="F752" s="198"/>
      <c r="G752" s="198"/>
      <c r="H752" s="199"/>
      <c r="I752" s="207"/>
      <c r="J752" s="199"/>
      <c r="K752" s="202"/>
      <c r="L752" s="205" t="str">
        <f>IFERROR(__xludf.DUMMYFUNCTION("IFERROR(
    INDEX(FILTER('Arrived Shipments'!O:O, 'Arrived Shipments'!B:B=$B752),1),
    IFERROR(
        INDEX(FILTER('POed not arrived'!D:D, 'POed not arrived'!A:A=$B752),1),
        """"
    )
)"),"")</f>
        <v/>
      </c>
      <c r="M752" s="202"/>
      <c r="N752" s="223" t="str">
        <f>IFERROR(__xludf.DUMMYFUNCTION("IFERROR(
    INDEX(FILTER('Arrived Shipments'!O:O, 'Arrived Shipments'!B:B=$B752),2),
    IFERROR(
        INDEX(FILTER('POed not arrived'!D:D, 'POed not arrived'!A:A=$B752),2),
        """"
    )
)"),"")</f>
        <v/>
      </c>
      <c r="O752" s="202"/>
      <c r="P752" s="202" t="str">
        <f>IFERROR(__xludf.DUMMYFUNCTION("IFERROR(
    INDEX(FILTER('Arrived Shipments'!O:O, 'Arrived Shipments'!B:B=$B752),3),
    IFERROR(
        INDEX(FILTER('POed not arrived'!D:D, 'POed not arrived'!A:A=$B752),3),
        """"
    )
)"),"")</f>
        <v/>
      </c>
      <c r="Q752" s="202"/>
      <c r="R752" s="206" t="str">
        <f>IFERROR(__xludf.DUMMYFUNCTION("IFERROR(
    INDEX(FILTER('Arrived Shipments'!O:O, 'Arrived Shipments'!B:B=$B752),4),
    IFERROR(
        INDEX(FILTER('POed not arrived'!D:D, 'POed not arrived'!A:A=$B752),4),
        """"
    )
)"),"")</f>
        <v/>
      </c>
      <c r="S752" s="202"/>
      <c r="T752" s="202">
        <f t="shared" si="8"/>
        <v>0</v>
      </c>
      <c r="U752" s="198"/>
      <c r="V752" s="199"/>
      <c r="W752" s="197"/>
      <c r="X752" s="197"/>
      <c r="Y752" s="199"/>
      <c r="Z752" s="199"/>
      <c r="AA752" s="204" t="str">
        <f t="shared" si="4"/>
        <v/>
      </c>
      <c r="AB752" s="198"/>
      <c r="AC752" s="199"/>
      <c r="AD752" s="199"/>
      <c r="AE752" s="199"/>
      <c r="AF752" s="199"/>
      <c r="AG752" s="199"/>
      <c r="AH752" s="199"/>
      <c r="AI752" s="199"/>
      <c r="AJ752" s="199"/>
      <c r="AK752" s="199"/>
      <c r="AL752" s="199"/>
      <c r="AM752" s="198"/>
      <c r="AN752" s="197"/>
      <c r="AO752" s="197"/>
      <c r="AP752" s="197"/>
      <c r="AQ752" s="197"/>
      <c r="AR752" s="197"/>
      <c r="AS752" s="197"/>
    </row>
    <row r="753">
      <c r="A753" s="198" t="str">
        <f t="shared" si="1"/>
        <v/>
      </c>
      <c r="B753" s="205"/>
      <c r="C753" s="198"/>
      <c r="D753" s="199"/>
      <c r="E753" s="213"/>
      <c r="F753" s="198"/>
      <c r="G753" s="198"/>
      <c r="H753" s="199"/>
      <c r="I753" s="207"/>
      <c r="J753" s="199"/>
      <c r="K753" s="202"/>
      <c r="L753" s="205" t="str">
        <f>IFERROR(__xludf.DUMMYFUNCTION("IFERROR(
    INDEX(FILTER('Arrived Shipments'!O:O, 'Arrived Shipments'!B:B=$B753),1),
    IFERROR(
        INDEX(FILTER('POed not arrived'!D:D, 'POed not arrived'!A:A=$B753),1),
        """"
    )
)"),"")</f>
        <v/>
      </c>
      <c r="M753" s="202"/>
      <c r="N753" s="223" t="str">
        <f>IFERROR(__xludf.DUMMYFUNCTION("IFERROR(
    INDEX(FILTER('Arrived Shipments'!O:O, 'Arrived Shipments'!B:B=$B753),2),
    IFERROR(
        INDEX(FILTER('POed not arrived'!D:D, 'POed not arrived'!A:A=$B753),2),
        """"
    )
)"),"")</f>
        <v/>
      </c>
      <c r="O753" s="202"/>
      <c r="P753" s="202" t="str">
        <f>IFERROR(__xludf.DUMMYFUNCTION("IFERROR(
    INDEX(FILTER('Arrived Shipments'!O:O, 'Arrived Shipments'!B:B=$B753),3),
    IFERROR(
        INDEX(FILTER('POed not arrived'!D:D, 'POed not arrived'!A:A=$B753),3),
        """"
    )
)"),"")</f>
        <v/>
      </c>
      <c r="Q753" s="202"/>
      <c r="R753" s="206" t="str">
        <f>IFERROR(__xludf.DUMMYFUNCTION("IFERROR(
    INDEX(FILTER('Arrived Shipments'!O:O, 'Arrived Shipments'!B:B=$B753),4),
    IFERROR(
        INDEX(FILTER('POed not arrived'!D:D, 'POed not arrived'!A:A=$B753),4),
        """"
    )
)"),"")</f>
        <v/>
      </c>
      <c r="S753" s="202"/>
      <c r="T753" s="202">
        <f t="shared" si="8"/>
        <v>0</v>
      </c>
      <c r="U753" s="198"/>
      <c r="V753" s="199"/>
      <c r="W753" s="197"/>
      <c r="X753" s="197"/>
      <c r="Y753" s="199"/>
      <c r="Z753" s="199"/>
      <c r="AA753" s="204" t="str">
        <f t="shared" si="4"/>
        <v/>
      </c>
      <c r="AB753" s="198"/>
      <c r="AC753" s="199"/>
      <c r="AD753" s="199"/>
      <c r="AE753" s="199"/>
      <c r="AF753" s="199"/>
      <c r="AG753" s="199"/>
      <c r="AH753" s="199"/>
      <c r="AI753" s="199"/>
      <c r="AJ753" s="199"/>
      <c r="AK753" s="199"/>
      <c r="AL753" s="199"/>
      <c r="AM753" s="198"/>
      <c r="AN753" s="197"/>
      <c r="AO753" s="197"/>
      <c r="AP753" s="197"/>
      <c r="AQ753" s="197"/>
      <c r="AR753" s="197"/>
      <c r="AS753" s="197"/>
    </row>
    <row r="754">
      <c r="A754" s="198" t="str">
        <f t="shared" si="1"/>
        <v/>
      </c>
      <c r="B754" s="205"/>
      <c r="C754" s="198"/>
      <c r="D754" s="199"/>
      <c r="E754" s="213"/>
      <c r="F754" s="198"/>
      <c r="G754" s="198"/>
      <c r="H754" s="199"/>
      <c r="I754" s="207"/>
      <c r="J754" s="199"/>
      <c r="K754" s="202"/>
      <c r="L754" s="205" t="str">
        <f>IFERROR(__xludf.DUMMYFUNCTION("IFERROR(
    INDEX(FILTER('Arrived Shipments'!O:O, 'Arrived Shipments'!B:B=$B754),1),
    IFERROR(
        INDEX(FILTER('POed not arrived'!D:D, 'POed not arrived'!A:A=$B754),1),
        """"
    )
)"),"")</f>
        <v/>
      </c>
      <c r="M754" s="202"/>
      <c r="N754" s="223" t="str">
        <f>IFERROR(__xludf.DUMMYFUNCTION("IFERROR(
    INDEX(FILTER('Arrived Shipments'!O:O, 'Arrived Shipments'!B:B=$B754),2),
    IFERROR(
        INDEX(FILTER('POed not arrived'!D:D, 'POed not arrived'!A:A=$B754),2),
        """"
    )
)"),"")</f>
        <v/>
      </c>
      <c r="O754" s="202"/>
      <c r="P754" s="202" t="str">
        <f>IFERROR(__xludf.DUMMYFUNCTION("IFERROR(
    INDEX(FILTER('Arrived Shipments'!O:O, 'Arrived Shipments'!B:B=$B754),3),
    IFERROR(
        INDEX(FILTER('POed not arrived'!D:D, 'POed not arrived'!A:A=$B754),3),
        """"
    )
)"),"")</f>
        <v/>
      </c>
      <c r="Q754" s="202"/>
      <c r="R754" s="206" t="str">
        <f>IFERROR(__xludf.DUMMYFUNCTION("IFERROR(
    INDEX(FILTER('Arrived Shipments'!O:O, 'Arrived Shipments'!B:B=$B754),4),
    IFERROR(
        INDEX(FILTER('POed not arrived'!D:D, 'POed not arrived'!A:A=$B754),4),
        """"
    )
)"),"")</f>
        <v/>
      </c>
      <c r="S754" s="202"/>
      <c r="T754" s="202">
        <f t="shared" si="8"/>
        <v>0</v>
      </c>
      <c r="U754" s="198"/>
      <c r="V754" s="199"/>
      <c r="W754" s="197"/>
      <c r="X754" s="197"/>
      <c r="Y754" s="199"/>
      <c r="Z754" s="199"/>
      <c r="AA754" s="204" t="str">
        <f t="shared" si="4"/>
        <v/>
      </c>
      <c r="AB754" s="198"/>
      <c r="AC754" s="199"/>
      <c r="AD754" s="199"/>
      <c r="AE754" s="199"/>
      <c r="AF754" s="199"/>
      <c r="AG754" s="199"/>
      <c r="AH754" s="199"/>
      <c r="AI754" s="199"/>
      <c r="AJ754" s="199"/>
      <c r="AK754" s="199"/>
      <c r="AL754" s="199"/>
      <c r="AM754" s="198"/>
      <c r="AN754" s="197"/>
      <c r="AO754" s="197"/>
      <c r="AP754" s="197"/>
      <c r="AQ754" s="197"/>
      <c r="AR754" s="197"/>
      <c r="AS754" s="197"/>
    </row>
    <row r="755">
      <c r="A755" s="198" t="str">
        <f t="shared" si="1"/>
        <v/>
      </c>
      <c r="B755" s="205"/>
      <c r="C755" s="198"/>
      <c r="D755" s="199"/>
      <c r="E755" s="213"/>
      <c r="F755" s="198"/>
      <c r="G755" s="198"/>
      <c r="H755" s="199"/>
      <c r="I755" s="207"/>
      <c r="J755" s="199"/>
      <c r="K755" s="202"/>
      <c r="L755" s="205" t="str">
        <f>IFERROR(__xludf.DUMMYFUNCTION("IFERROR(
    INDEX(FILTER('Arrived Shipments'!O:O, 'Arrived Shipments'!B:B=$B755),1),
    IFERROR(
        INDEX(FILTER('POed not arrived'!D:D, 'POed not arrived'!A:A=$B755),1),
        """"
    )
)"),"")</f>
        <v/>
      </c>
      <c r="M755" s="202"/>
      <c r="N755" s="223" t="str">
        <f>IFERROR(__xludf.DUMMYFUNCTION("IFERROR(
    INDEX(FILTER('Arrived Shipments'!O:O, 'Arrived Shipments'!B:B=$B755),2),
    IFERROR(
        INDEX(FILTER('POed not arrived'!D:D, 'POed not arrived'!A:A=$B755),2),
        """"
    )
)"),"")</f>
        <v/>
      </c>
      <c r="O755" s="202"/>
      <c r="P755" s="202" t="str">
        <f>IFERROR(__xludf.DUMMYFUNCTION("IFERROR(
    INDEX(FILTER('Arrived Shipments'!O:O, 'Arrived Shipments'!B:B=$B755),3),
    IFERROR(
        INDEX(FILTER('POed not arrived'!D:D, 'POed not arrived'!A:A=$B755),3),
        """"
    )
)"),"")</f>
        <v/>
      </c>
      <c r="Q755" s="202"/>
      <c r="R755" s="206" t="str">
        <f>IFERROR(__xludf.DUMMYFUNCTION("IFERROR(
    INDEX(FILTER('Arrived Shipments'!O:O, 'Arrived Shipments'!B:B=$B755),4),
    IFERROR(
        INDEX(FILTER('POed not arrived'!D:D, 'POed not arrived'!A:A=$B755),4),
        """"
    )
)"),"")</f>
        <v/>
      </c>
      <c r="S755" s="202"/>
      <c r="T755" s="202">
        <f t="shared" si="8"/>
        <v>0</v>
      </c>
      <c r="U755" s="198"/>
      <c r="V755" s="199"/>
      <c r="W755" s="197"/>
      <c r="X755" s="197"/>
      <c r="Y755" s="199"/>
      <c r="Z755" s="199"/>
      <c r="AA755" s="204" t="str">
        <f t="shared" si="4"/>
        <v/>
      </c>
      <c r="AB755" s="198"/>
      <c r="AC755" s="199"/>
      <c r="AD755" s="199"/>
      <c r="AE755" s="199"/>
      <c r="AF755" s="199"/>
      <c r="AG755" s="199"/>
      <c r="AH755" s="199"/>
      <c r="AI755" s="199"/>
      <c r="AJ755" s="199"/>
      <c r="AK755" s="199"/>
      <c r="AL755" s="199"/>
      <c r="AM755" s="198"/>
      <c r="AN755" s="197"/>
      <c r="AO755" s="197"/>
      <c r="AP755" s="197"/>
      <c r="AQ755" s="197"/>
      <c r="AR755" s="197"/>
      <c r="AS755" s="197"/>
    </row>
    <row r="756">
      <c r="A756" s="198" t="str">
        <f t="shared" si="1"/>
        <v/>
      </c>
      <c r="B756" s="205"/>
      <c r="C756" s="198"/>
      <c r="D756" s="199"/>
      <c r="E756" s="213"/>
      <c r="F756" s="198"/>
      <c r="G756" s="198"/>
      <c r="H756" s="199"/>
      <c r="I756" s="207"/>
      <c r="J756" s="199"/>
      <c r="K756" s="202"/>
      <c r="L756" s="205" t="str">
        <f>IFERROR(__xludf.DUMMYFUNCTION("IFERROR(
    INDEX(FILTER('Arrived Shipments'!O:O, 'Arrived Shipments'!B:B=$B756),1),
    IFERROR(
        INDEX(FILTER('POed not arrived'!D:D, 'POed not arrived'!A:A=$B756),1),
        """"
    )
)"),"")</f>
        <v/>
      </c>
      <c r="M756" s="202"/>
      <c r="N756" s="223" t="str">
        <f>IFERROR(__xludf.DUMMYFUNCTION("IFERROR(
    INDEX(FILTER('Arrived Shipments'!O:O, 'Arrived Shipments'!B:B=$B756),2),
    IFERROR(
        INDEX(FILTER('POed not arrived'!D:D, 'POed not arrived'!A:A=$B756),2),
        """"
    )
)"),"")</f>
        <v/>
      </c>
      <c r="O756" s="202"/>
      <c r="P756" s="202" t="str">
        <f>IFERROR(__xludf.DUMMYFUNCTION("IFERROR(
    INDEX(FILTER('Arrived Shipments'!O:O, 'Arrived Shipments'!B:B=$B756),3),
    IFERROR(
        INDEX(FILTER('POed not arrived'!D:D, 'POed not arrived'!A:A=$B756),3),
        """"
    )
)"),"")</f>
        <v/>
      </c>
      <c r="Q756" s="202"/>
      <c r="R756" s="206" t="str">
        <f>IFERROR(__xludf.DUMMYFUNCTION("IFERROR(
    INDEX(FILTER('Arrived Shipments'!O:O, 'Arrived Shipments'!B:B=$B756),4),
    IFERROR(
        INDEX(FILTER('POed not arrived'!D:D, 'POed not arrived'!A:A=$B756),4),
        """"
    )
)"),"")</f>
        <v/>
      </c>
      <c r="S756" s="202"/>
      <c r="T756" s="202">
        <f t="shared" si="8"/>
        <v>0</v>
      </c>
      <c r="U756" s="198"/>
      <c r="V756" s="199"/>
      <c r="W756" s="197"/>
      <c r="X756" s="197"/>
      <c r="Y756" s="199"/>
      <c r="Z756" s="199"/>
      <c r="AA756" s="204" t="str">
        <f t="shared" si="4"/>
        <v/>
      </c>
      <c r="AB756" s="198"/>
      <c r="AC756" s="199"/>
      <c r="AD756" s="199"/>
      <c r="AE756" s="199"/>
      <c r="AF756" s="199"/>
      <c r="AG756" s="199"/>
      <c r="AH756" s="199"/>
      <c r="AI756" s="199"/>
      <c r="AJ756" s="199"/>
      <c r="AK756" s="199"/>
      <c r="AL756" s="199"/>
      <c r="AM756" s="198"/>
      <c r="AN756" s="197"/>
      <c r="AO756" s="197"/>
      <c r="AP756" s="197"/>
      <c r="AQ756" s="197"/>
      <c r="AR756" s="197"/>
      <c r="AS756" s="197"/>
    </row>
    <row r="757">
      <c r="A757" s="198" t="str">
        <f t="shared" si="1"/>
        <v/>
      </c>
      <c r="B757" s="205"/>
      <c r="C757" s="198"/>
      <c r="D757" s="199"/>
      <c r="E757" s="213"/>
      <c r="F757" s="198"/>
      <c r="G757" s="198"/>
      <c r="H757" s="199"/>
      <c r="I757" s="207"/>
      <c r="J757" s="199"/>
      <c r="K757" s="202"/>
      <c r="L757" s="205" t="str">
        <f>IFERROR(__xludf.DUMMYFUNCTION("IFERROR(
    INDEX(FILTER('Arrived Shipments'!O:O, 'Arrived Shipments'!B:B=$B757),1),
    IFERROR(
        INDEX(FILTER('POed not arrived'!D:D, 'POed not arrived'!A:A=$B757),1),
        """"
    )
)"),"")</f>
        <v/>
      </c>
      <c r="M757" s="202"/>
      <c r="N757" s="223" t="str">
        <f>IFERROR(__xludf.DUMMYFUNCTION("IFERROR(
    INDEX(FILTER('Arrived Shipments'!O:O, 'Arrived Shipments'!B:B=$B757),2),
    IFERROR(
        INDEX(FILTER('POed not arrived'!D:D, 'POed not arrived'!A:A=$B757),2),
        """"
    )
)"),"")</f>
        <v/>
      </c>
      <c r="O757" s="202"/>
      <c r="P757" s="202" t="str">
        <f>IFERROR(__xludf.DUMMYFUNCTION("IFERROR(
    INDEX(FILTER('Arrived Shipments'!O:O, 'Arrived Shipments'!B:B=$B757),3),
    IFERROR(
        INDEX(FILTER('POed not arrived'!D:D, 'POed not arrived'!A:A=$B757),3),
        """"
    )
)"),"")</f>
        <v/>
      </c>
      <c r="Q757" s="202"/>
      <c r="R757" s="206" t="str">
        <f>IFERROR(__xludf.DUMMYFUNCTION("IFERROR(
    INDEX(FILTER('Arrived Shipments'!O:O, 'Arrived Shipments'!B:B=$B757),4),
    IFERROR(
        INDEX(FILTER('POed not arrived'!D:D, 'POed not arrived'!A:A=$B757),4),
        """"
    )
)"),"")</f>
        <v/>
      </c>
      <c r="S757" s="202"/>
      <c r="T757" s="202">
        <f t="shared" si="8"/>
        <v>0</v>
      </c>
      <c r="U757" s="198"/>
      <c r="V757" s="199"/>
      <c r="W757" s="197"/>
      <c r="X757" s="197"/>
      <c r="Y757" s="199"/>
      <c r="Z757" s="199"/>
      <c r="AA757" s="204" t="str">
        <f t="shared" si="4"/>
        <v/>
      </c>
      <c r="AB757" s="198"/>
      <c r="AC757" s="199"/>
      <c r="AD757" s="199"/>
      <c r="AE757" s="199"/>
      <c r="AF757" s="199"/>
      <c r="AG757" s="199"/>
      <c r="AH757" s="199"/>
      <c r="AI757" s="199"/>
      <c r="AJ757" s="199"/>
      <c r="AK757" s="199"/>
      <c r="AL757" s="199"/>
      <c r="AM757" s="198"/>
      <c r="AN757" s="197"/>
      <c r="AO757" s="197"/>
      <c r="AP757" s="197"/>
      <c r="AQ757" s="197"/>
      <c r="AR757" s="197"/>
      <c r="AS757" s="197"/>
    </row>
    <row r="758">
      <c r="A758" s="198" t="str">
        <f t="shared" si="1"/>
        <v/>
      </c>
      <c r="B758" s="205"/>
      <c r="C758" s="198"/>
      <c r="D758" s="199"/>
      <c r="E758" s="213"/>
      <c r="F758" s="198"/>
      <c r="G758" s="198"/>
      <c r="H758" s="199"/>
      <c r="I758" s="207"/>
      <c r="J758" s="199"/>
      <c r="K758" s="202"/>
      <c r="L758" s="205" t="str">
        <f>IFERROR(__xludf.DUMMYFUNCTION("IFERROR(
    INDEX(FILTER('Arrived Shipments'!O:O, 'Arrived Shipments'!B:B=$B758),1),
    IFERROR(
        INDEX(FILTER('POed not arrived'!D:D, 'POed not arrived'!A:A=$B758),1),
        """"
    )
)"),"")</f>
        <v/>
      </c>
      <c r="M758" s="202"/>
      <c r="N758" s="223" t="str">
        <f>IFERROR(__xludf.DUMMYFUNCTION("IFERROR(
    INDEX(FILTER('Arrived Shipments'!O:O, 'Arrived Shipments'!B:B=$B758),2),
    IFERROR(
        INDEX(FILTER('POed not arrived'!D:D, 'POed not arrived'!A:A=$B758),2),
        """"
    )
)"),"")</f>
        <v/>
      </c>
      <c r="O758" s="202"/>
      <c r="P758" s="202" t="str">
        <f>IFERROR(__xludf.DUMMYFUNCTION("IFERROR(
    INDEX(FILTER('Arrived Shipments'!O:O, 'Arrived Shipments'!B:B=$B758),3),
    IFERROR(
        INDEX(FILTER('POed not arrived'!D:D, 'POed not arrived'!A:A=$B758),3),
        """"
    )
)"),"")</f>
        <v/>
      </c>
      <c r="Q758" s="202"/>
      <c r="R758" s="206" t="str">
        <f>IFERROR(__xludf.DUMMYFUNCTION("IFERROR(
    INDEX(FILTER('Arrived Shipments'!O:O, 'Arrived Shipments'!B:B=$B758),4),
    IFERROR(
        INDEX(FILTER('POed not arrived'!D:D, 'POed not arrived'!A:A=$B758),4),
        """"
    )
)"),"")</f>
        <v/>
      </c>
      <c r="S758" s="202"/>
      <c r="T758" s="202">
        <f t="shared" si="8"/>
        <v>0</v>
      </c>
      <c r="U758" s="198"/>
      <c r="V758" s="199"/>
      <c r="W758" s="197"/>
      <c r="X758" s="197"/>
      <c r="Y758" s="199"/>
      <c r="Z758" s="199"/>
      <c r="AA758" s="204" t="str">
        <f t="shared" si="4"/>
        <v/>
      </c>
      <c r="AB758" s="198"/>
      <c r="AC758" s="199"/>
      <c r="AD758" s="199"/>
      <c r="AE758" s="199"/>
      <c r="AF758" s="199"/>
      <c r="AG758" s="199"/>
      <c r="AH758" s="199"/>
      <c r="AI758" s="199"/>
      <c r="AJ758" s="199"/>
      <c r="AK758" s="199"/>
      <c r="AL758" s="199"/>
      <c r="AM758" s="198"/>
      <c r="AN758" s="197"/>
      <c r="AO758" s="197"/>
      <c r="AP758" s="197"/>
      <c r="AQ758" s="197"/>
      <c r="AR758" s="197"/>
      <c r="AS758" s="197"/>
    </row>
    <row r="759">
      <c r="A759" s="198" t="str">
        <f t="shared" si="1"/>
        <v/>
      </c>
      <c r="B759" s="205"/>
      <c r="C759" s="198"/>
      <c r="D759" s="199"/>
      <c r="E759" s="213"/>
      <c r="F759" s="198"/>
      <c r="G759" s="198"/>
      <c r="H759" s="199"/>
      <c r="I759" s="207"/>
      <c r="J759" s="199"/>
      <c r="K759" s="202"/>
      <c r="L759" s="205" t="str">
        <f>IFERROR(__xludf.DUMMYFUNCTION("IFERROR(
    INDEX(FILTER('Arrived Shipments'!O:O, 'Arrived Shipments'!B:B=$B759),1),
    IFERROR(
        INDEX(FILTER('POed not arrived'!D:D, 'POed not arrived'!A:A=$B759),1),
        """"
    )
)"),"")</f>
        <v/>
      </c>
      <c r="M759" s="202"/>
      <c r="N759" s="223" t="str">
        <f>IFERROR(__xludf.DUMMYFUNCTION("IFERROR(
    INDEX(FILTER('Arrived Shipments'!O:O, 'Arrived Shipments'!B:B=$B759),2),
    IFERROR(
        INDEX(FILTER('POed not arrived'!D:D, 'POed not arrived'!A:A=$B759),2),
        """"
    )
)"),"")</f>
        <v/>
      </c>
      <c r="O759" s="202"/>
      <c r="P759" s="202" t="str">
        <f>IFERROR(__xludf.DUMMYFUNCTION("IFERROR(
    INDEX(FILTER('Arrived Shipments'!O:O, 'Arrived Shipments'!B:B=$B759),3),
    IFERROR(
        INDEX(FILTER('POed not arrived'!D:D, 'POed not arrived'!A:A=$B759),3),
        """"
    )
)"),"")</f>
        <v/>
      </c>
      <c r="Q759" s="202"/>
      <c r="R759" s="206" t="str">
        <f>IFERROR(__xludf.DUMMYFUNCTION("IFERROR(
    INDEX(FILTER('Arrived Shipments'!O:O, 'Arrived Shipments'!B:B=$B759),4),
    IFERROR(
        INDEX(FILTER('POed not arrived'!D:D, 'POed not arrived'!A:A=$B759),4),
        """"
    )
)"),"")</f>
        <v/>
      </c>
      <c r="S759" s="202"/>
      <c r="T759" s="202">
        <f t="shared" si="8"/>
        <v>0</v>
      </c>
      <c r="U759" s="198"/>
      <c r="V759" s="199"/>
      <c r="W759" s="197"/>
      <c r="X759" s="197"/>
      <c r="Y759" s="199"/>
      <c r="Z759" s="199"/>
      <c r="AA759" s="204" t="str">
        <f t="shared" si="4"/>
        <v/>
      </c>
      <c r="AB759" s="198"/>
      <c r="AC759" s="199"/>
      <c r="AD759" s="199"/>
      <c r="AE759" s="199"/>
      <c r="AF759" s="199"/>
      <c r="AG759" s="199"/>
      <c r="AH759" s="199"/>
      <c r="AI759" s="199"/>
      <c r="AJ759" s="199"/>
      <c r="AK759" s="199"/>
      <c r="AL759" s="199"/>
      <c r="AM759" s="198"/>
      <c r="AN759" s="197"/>
      <c r="AO759" s="197"/>
      <c r="AP759" s="197"/>
      <c r="AQ759" s="197"/>
      <c r="AR759" s="197"/>
      <c r="AS759" s="197"/>
    </row>
    <row r="760">
      <c r="A760" s="198" t="str">
        <f t="shared" si="1"/>
        <v/>
      </c>
      <c r="B760" s="205"/>
      <c r="C760" s="198"/>
      <c r="D760" s="199"/>
      <c r="E760" s="213"/>
      <c r="F760" s="198"/>
      <c r="G760" s="198"/>
      <c r="H760" s="199"/>
      <c r="I760" s="207"/>
      <c r="J760" s="199"/>
      <c r="K760" s="202"/>
      <c r="L760" s="205" t="str">
        <f>IFERROR(__xludf.DUMMYFUNCTION("IFERROR(
    INDEX(FILTER('Arrived Shipments'!O:O, 'Arrived Shipments'!B:B=$B760),1),
    IFERROR(
        INDEX(FILTER('POed not arrived'!D:D, 'POed not arrived'!A:A=$B760),1),
        """"
    )
)"),"")</f>
        <v/>
      </c>
      <c r="M760" s="202"/>
      <c r="N760" s="223" t="str">
        <f>IFERROR(__xludf.DUMMYFUNCTION("IFERROR(
    INDEX(FILTER('Arrived Shipments'!O:O, 'Arrived Shipments'!B:B=$B760),2),
    IFERROR(
        INDEX(FILTER('POed not arrived'!D:D, 'POed not arrived'!A:A=$B760),2),
        """"
    )
)"),"")</f>
        <v/>
      </c>
      <c r="O760" s="202"/>
      <c r="P760" s="202" t="str">
        <f>IFERROR(__xludf.DUMMYFUNCTION("IFERROR(
    INDEX(FILTER('Arrived Shipments'!O:O, 'Arrived Shipments'!B:B=$B760),3),
    IFERROR(
        INDEX(FILTER('POed not arrived'!D:D, 'POed not arrived'!A:A=$B760),3),
        """"
    )
)"),"")</f>
        <v/>
      </c>
      <c r="Q760" s="202"/>
      <c r="R760" s="206" t="str">
        <f>IFERROR(__xludf.DUMMYFUNCTION("IFERROR(
    INDEX(FILTER('Arrived Shipments'!O:O, 'Arrived Shipments'!B:B=$B760),4),
    IFERROR(
        INDEX(FILTER('POed not arrived'!D:D, 'POed not arrived'!A:A=$B760),4),
        """"
    )
)"),"")</f>
        <v/>
      </c>
      <c r="S760" s="202"/>
      <c r="T760" s="202">
        <f t="shared" si="8"/>
        <v>0</v>
      </c>
      <c r="U760" s="198"/>
      <c r="V760" s="199"/>
      <c r="W760" s="197"/>
      <c r="X760" s="197"/>
      <c r="Y760" s="199"/>
      <c r="Z760" s="199"/>
      <c r="AA760" s="204" t="str">
        <f t="shared" si="4"/>
        <v/>
      </c>
      <c r="AB760" s="198"/>
      <c r="AC760" s="199"/>
      <c r="AD760" s="199"/>
      <c r="AE760" s="199"/>
      <c r="AF760" s="199"/>
      <c r="AG760" s="199"/>
      <c r="AH760" s="199"/>
      <c r="AI760" s="199"/>
      <c r="AJ760" s="199"/>
      <c r="AK760" s="199"/>
      <c r="AL760" s="199"/>
      <c r="AM760" s="198"/>
      <c r="AN760" s="197"/>
      <c r="AO760" s="197"/>
      <c r="AP760" s="197"/>
      <c r="AQ760" s="197"/>
      <c r="AR760" s="197"/>
      <c r="AS760" s="197"/>
    </row>
    <row r="761">
      <c r="A761" s="198" t="str">
        <f t="shared" si="1"/>
        <v/>
      </c>
      <c r="B761" s="205"/>
      <c r="C761" s="198"/>
      <c r="D761" s="199"/>
      <c r="E761" s="213"/>
      <c r="F761" s="198"/>
      <c r="G761" s="198"/>
      <c r="H761" s="199"/>
      <c r="I761" s="207"/>
      <c r="J761" s="199"/>
      <c r="K761" s="202"/>
      <c r="L761" s="205" t="str">
        <f>IFERROR(__xludf.DUMMYFUNCTION("IFERROR(
    INDEX(FILTER('Arrived Shipments'!O:O, 'Arrived Shipments'!B:B=$B761),1),
    IFERROR(
        INDEX(FILTER('POed not arrived'!D:D, 'POed not arrived'!A:A=$B761),1),
        """"
    )
)"),"")</f>
        <v/>
      </c>
      <c r="M761" s="202"/>
      <c r="N761" s="223" t="str">
        <f>IFERROR(__xludf.DUMMYFUNCTION("IFERROR(
    INDEX(FILTER('Arrived Shipments'!O:O, 'Arrived Shipments'!B:B=$B761),2),
    IFERROR(
        INDEX(FILTER('POed not arrived'!D:D, 'POed not arrived'!A:A=$B761),2),
        """"
    )
)"),"")</f>
        <v/>
      </c>
      <c r="O761" s="202"/>
      <c r="P761" s="202" t="str">
        <f>IFERROR(__xludf.DUMMYFUNCTION("IFERROR(
    INDEX(FILTER('Arrived Shipments'!O:O, 'Arrived Shipments'!B:B=$B761),3),
    IFERROR(
        INDEX(FILTER('POed not arrived'!D:D, 'POed not arrived'!A:A=$B761),3),
        """"
    )
)"),"")</f>
        <v/>
      </c>
      <c r="Q761" s="202"/>
      <c r="R761" s="206" t="str">
        <f>IFERROR(__xludf.DUMMYFUNCTION("IFERROR(
    INDEX(FILTER('Arrived Shipments'!O:O, 'Arrived Shipments'!B:B=$B761),4),
    IFERROR(
        INDEX(FILTER('POed not arrived'!D:D, 'POed not arrived'!A:A=$B761),4),
        """"
    )
)"),"")</f>
        <v/>
      </c>
      <c r="S761" s="202"/>
      <c r="T761" s="202">
        <f t="shared" si="8"/>
        <v>0</v>
      </c>
      <c r="U761" s="198"/>
      <c r="V761" s="199"/>
      <c r="W761" s="197"/>
      <c r="X761" s="197"/>
      <c r="Y761" s="199"/>
      <c r="Z761" s="199"/>
      <c r="AA761" s="204" t="str">
        <f t="shared" si="4"/>
        <v/>
      </c>
      <c r="AB761" s="198"/>
      <c r="AC761" s="199"/>
      <c r="AD761" s="199"/>
      <c r="AE761" s="199"/>
      <c r="AF761" s="199"/>
      <c r="AG761" s="199"/>
      <c r="AH761" s="199"/>
      <c r="AI761" s="199"/>
      <c r="AJ761" s="199"/>
      <c r="AK761" s="199"/>
      <c r="AL761" s="199"/>
      <c r="AM761" s="198"/>
      <c r="AN761" s="197"/>
      <c r="AO761" s="197"/>
      <c r="AP761" s="197"/>
      <c r="AQ761" s="197"/>
      <c r="AR761" s="197"/>
      <c r="AS761" s="197"/>
    </row>
    <row r="762">
      <c r="A762" s="198" t="str">
        <f t="shared" si="1"/>
        <v/>
      </c>
      <c r="B762" s="205"/>
      <c r="C762" s="198"/>
      <c r="D762" s="199"/>
      <c r="E762" s="213"/>
      <c r="F762" s="198"/>
      <c r="G762" s="198"/>
      <c r="H762" s="199"/>
      <c r="I762" s="207"/>
      <c r="J762" s="199"/>
      <c r="K762" s="202"/>
      <c r="L762" s="205" t="str">
        <f>IFERROR(__xludf.DUMMYFUNCTION("IFERROR(
    INDEX(FILTER('Arrived Shipments'!O:O, 'Arrived Shipments'!B:B=$B762),1),
    IFERROR(
        INDEX(FILTER('POed not arrived'!D:D, 'POed not arrived'!A:A=$B762),1),
        """"
    )
)"),"")</f>
        <v/>
      </c>
      <c r="M762" s="202"/>
      <c r="N762" s="223" t="str">
        <f>IFERROR(__xludf.DUMMYFUNCTION("IFERROR(
    INDEX(FILTER('Arrived Shipments'!O:O, 'Arrived Shipments'!B:B=$B762),2),
    IFERROR(
        INDEX(FILTER('POed not arrived'!D:D, 'POed not arrived'!A:A=$B762),2),
        """"
    )
)"),"")</f>
        <v/>
      </c>
      <c r="O762" s="202"/>
      <c r="P762" s="202" t="str">
        <f>IFERROR(__xludf.DUMMYFUNCTION("IFERROR(
    INDEX(FILTER('Arrived Shipments'!O:O, 'Arrived Shipments'!B:B=$B762),3),
    IFERROR(
        INDEX(FILTER('POed not arrived'!D:D, 'POed not arrived'!A:A=$B762),3),
        """"
    )
)"),"")</f>
        <v/>
      </c>
      <c r="Q762" s="202"/>
      <c r="R762" s="206" t="str">
        <f>IFERROR(__xludf.DUMMYFUNCTION("IFERROR(
    INDEX(FILTER('Arrived Shipments'!O:O, 'Arrived Shipments'!B:B=$B762),4),
    IFERROR(
        INDEX(FILTER('POed not arrived'!D:D, 'POed not arrived'!A:A=$B762),4),
        """"
    )
)"),"")</f>
        <v/>
      </c>
      <c r="S762" s="202"/>
      <c r="T762" s="202">
        <f t="shared" si="8"/>
        <v>0</v>
      </c>
      <c r="U762" s="198"/>
      <c r="V762" s="199"/>
      <c r="W762" s="197"/>
      <c r="X762" s="197"/>
      <c r="Y762" s="199"/>
      <c r="Z762" s="199"/>
      <c r="AA762" s="204" t="str">
        <f t="shared" si="4"/>
        <v/>
      </c>
      <c r="AB762" s="198"/>
      <c r="AC762" s="199"/>
      <c r="AD762" s="199"/>
      <c r="AE762" s="199"/>
      <c r="AF762" s="199"/>
      <c r="AG762" s="199"/>
      <c r="AH762" s="199"/>
      <c r="AI762" s="199"/>
      <c r="AJ762" s="199"/>
      <c r="AK762" s="199"/>
      <c r="AL762" s="199"/>
      <c r="AM762" s="198"/>
      <c r="AN762" s="197"/>
      <c r="AO762" s="197"/>
      <c r="AP762" s="197"/>
      <c r="AQ762" s="197"/>
      <c r="AR762" s="197"/>
      <c r="AS762" s="197"/>
    </row>
    <row r="763">
      <c r="A763" s="198" t="str">
        <f t="shared" si="1"/>
        <v/>
      </c>
      <c r="B763" s="205"/>
      <c r="C763" s="198"/>
      <c r="D763" s="199"/>
      <c r="E763" s="213"/>
      <c r="F763" s="198"/>
      <c r="G763" s="198"/>
      <c r="H763" s="199"/>
      <c r="I763" s="207"/>
      <c r="J763" s="199"/>
      <c r="K763" s="202"/>
      <c r="L763" s="205" t="str">
        <f>IFERROR(__xludf.DUMMYFUNCTION("IFERROR(
    INDEX(FILTER('Arrived Shipments'!O:O, 'Arrived Shipments'!B:B=$B763),1),
    IFERROR(
        INDEX(FILTER('POed not arrived'!D:D, 'POed not arrived'!A:A=$B763),1),
        """"
    )
)"),"")</f>
        <v/>
      </c>
      <c r="M763" s="202"/>
      <c r="N763" s="223" t="str">
        <f>IFERROR(__xludf.DUMMYFUNCTION("IFERROR(
    INDEX(FILTER('Arrived Shipments'!O:O, 'Arrived Shipments'!B:B=$B763),2),
    IFERROR(
        INDEX(FILTER('POed not arrived'!D:D, 'POed not arrived'!A:A=$B763),2),
        """"
    )
)"),"")</f>
        <v/>
      </c>
      <c r="O763" s="202"/>
      <c r="P763" s="202" t="str">
        <f>IFERROR(__xludf.DUMMYFUNCTION("IFERROR(
    INDEX(FILTER('Arrived Shipments'!O:O, 'Arrived Shipments'!B:B=$B763),3),
    IFERROR(
        INDEX(FILTER('POed not arrived'!D:D, 'POed not arrived'!A:A=$B763),3),
        """"
    )
)"),"")</f>
        <v/>
      </c>
      <c r="Q763" s="202"/>
      <c r="R763" s="206" t="str">
        <f>IFERROR(__xludf.DUMMYFUNCTION("IFERROR(
    INDEX(FILTER('Arrived Shipments'!O:O, 'Arrived Shipments'!B:B=$B763),4),
    IFERROR(
        INDEX(FILTER('POed not arrived'!D:D, 'POed not arrived'!A:A=$B763),4),
        """"
    )
)"),"")</f>
        <v/>
      </c>
      <c r="S763" s="202"/>
      <c r="T763" s="202">
        <f t="shared" si="8"/>
        <v>0</v>
      </c>
      <c r="U763" s="198"/>
      <c r="V763" s="199"/>
      <c r="W763" s="197"/>
      <c r="X763" s="197"/>
      <c r="Y763" s="199"/>
      <c r="Z763" s="199"/>
      <c r="AA763" s="204" t="str">
        <f t="shared" si="4"/>
        <v/>
      </c>
      <c r="AB763" s="198"/>
      <c r="AC763" s="199"/>
      <c r="AD763" s="199"/>
      <c r="AE763" s="199"/>
      <c r="AF763" s="199"/>
      <c r="AG763" s="199"/>
      <c r="AH763" s="199"/>
      <c r="AI763" s="199"/>
      <c r="AJ763" s="199"/>
      <c r="AK763" s="199"/>
      <c r="AL763" s="199"/>
      <c r="AM763" s="198"/>
      <c r="AN763" s="197"/>
      <c r="AO763" s="197"/>
      <c r="AP763" s="197"/>
      <c r="AQ763" s="197"/>
      <c r="AR763" s="197"/>
      <c r="AS763" s="197"/>
    </row>
    <row r="764">
      <c r="A764" s="198" t="str">
        <f t="shared" si="1"/>
        <v/>
      </c>
      <c r="B764" s="205"/>
      <c r="C764" s="198"/>
      <c r="D764" s="199"/>
      <c r="E764" s="213"/>
      <c r="F764" s="198"/>
      <c r="G764" s="198"/>
      <c r="H764" s="199"/>
      <c r="I764" s="207"/>
      <c r="J764" s="199"/>
      <c r="K764" s="202"/>
      <c r="L764" s="205" t="str">
        <f>IFERROR(__xludf.DUMMYFUNCTION("IFERROR(
    INDEX(FILTER('Arrived Shipments'!O:O, 'Arrived Shipments'!B:B=$B764),1),
    IFERROR(
        INDEX(FILTER('POed not arrived'!D:D, 'POed not arrived'!A:A=$B764),1),
        """"
    )
)"),"")</f>
        <v/>
      </c>
      <c r="M764" s="202"/>
      <c r="N764" s="223" t="str">
        <f>IFERROR(__xludf.DUMMYFUNCTION("IFERROR(
    INDEX(FILTER('Arrived Shipments'!O:O, 'Arrived Shipments'!B:B=$B764),2),
    IFERROR(
        INDEX(FILTER('POed not arrived'!D:D, 'POed not arrived'!A:A=$B764),2),
        """"
    )
)"),"")</f>
        <v/>
      </c>
      <c r="O764" s="202"/>
      <c r="P764" s="202" t="str">
        <f>IFERROR(__xludf.DUMMYFUNCTION("IFERROR(
    INDEX(FILTER('Arrived Shipments'!O:O, 'Arrived Shipments'!B:B=$B764),3),
    IFERROR(
        INDEX(FILTER('POed not arrived'!D:D, 'POed not arrived'!A:A=$B764),3),
        """"
    )
)"),"")</f>
        <v/>
      </c>
      <c r="Q764" s="202"/>
      <c r="R764" s="206" t="str">
        <f>IFERROR(__xludf.DUMMYFUNCTION("IFERROR(
    INDEX(FILTER('Arrived Shipments'!O:O, 'Arrived Shipments'!B:B=$B764),4),
    IFERROR(
        INDEX(FILTER('POed not arrived'!D:D, 'POed not arrived'!A:A=$B764),4),
        """"
    )
)"),"")</f>
        <v/>
      </c>
      <c r="S764" s="202"/>
      <c r="T764" s="202">
        <f t="shared" si="8"/>
        <v>0</v>
      </c>
      <c r="U764" s="198"/>
      <c r="V764" s="199"/>
      <c r="W764" s="197"/>
      <c r="X764" s="197"/>
      <c r="Y764" s="199"/>
      <c r="Z764" s="199"/>
      <c r="AA764" s="204" t="str">
        <f t="shared" si="4"/>
        <v/>
      </c>
      <c r="AB764" s="198"/>
      <c r="AC764" s="199"/>
      <c r="AD764" s="199"/>
      <c r="AE764" s="199"/>
      <c r="AF764" s="199"/>
      <c r="AG764" s="199"/>
      <c r="AH764" s="199"/>
      <c r="AI764" s="199"/>
      <c r="AJ764" s="199"/>
      <c r="AK764" s="199"/>
      <c r="AL764" s="199"/>
      <c r="AM764" s="198"/>
      <c r="AN764" s="197"/>
      <c r="AO764" s="197"/>
      <c r="AP764" s="197"/>
      <c r="AQ764" s="197"/>
      <c r="AR764" s="197"/>
      <c r="AS764" s="197"/>
    </row>
    <row r="765">
      <c r="A765" s="198" t="str">
        <f t="shared" si="1"/>
        <v/>
      </c>
      <c r="B765" s="205"/>
      <c r="C765" s="198"/>
      <c r="D765" s="199"/>
      <c r="E765" s="213"/>
      <c r="F765" s="198"/>
      <c r="G765" s="198"/>
      <c r="H765" s="199"/>
      <c r="I765" s="207"/>
      <c r="J765" s="199"/>
      <c r="K765" s="202"/>
      <c r="L765" s="205" t="str">
        <f>IFERROR(__xludf.DUMMYFUNCTION("IFERROR(
    INDEX(FILTER('Arrived Shipments'!O:O, 'Arrived Shipments'!B:B=$B765),1),
    IFERROR(
        INDEX(FILTER('POed not arrived'!D:D, 'POed not arrived'!A:A=$B765),1),
        """"
    )
)"),"")</f>
        <v/>
      </c>
      <c r="M765" s="202"/>
      <c r="N765" s="223" t="str">
        <f>IFERROR(__xludf.DUMMYFUNCTION("IFERROR(
    INDEX(FILTER('Arrived Shipments'!O:O, 'Arrived Shipments'!B:B=$B765),2),
    IFERROR(
        INDEX(FILTER('POed not arrived'!D:D, 'POed not arrived'!A:A=$B765),2),
        """"
    )
)"),"")</f>
        <v/>
      </c>
      <c r="O765" s="202"/>
      <c r="P765" s="202" t="str">
        <f>IFERROR(__xludf.DUMMYFUNCTION("IFERROR(
    INDEX(FILTER('Arrived Shipments'!O:O, 'Arrived Shipments'!B:B=$B765),3),
    IFERROR(
        INDEX(FILTER('POed not arrived'!D:D, 'POed not arrived'!A:A=$B765),3),
        """"
    )
)"),"")</f>
        <v/>
      </c>
      <c r="Q765" s="202"/>
      <c r="R765" s="206" t="str">
        <f>IFERROR(__xludf.DUMMYFUNCTION("IFERROR(
    INDEX(FILTER('Arrived Shipments'!O:O, 'Arrived Shipments'!B:B=$B765),4),
    IFERROR(
        INDEX(FILTER('POed not arrived'!D:D, 'POed not arrived'!A:A=$B765),4),
        """"
    )
)"),"")</f>
        <v/>
      </c>
      <c r="S765" s="202"/>
      <c r="T765" s="202">
        <f t="shared" si="8"/>
        <v>0</v>
      </c>
      <c r="U765" s="198"/>
      <c r="V765" s="199"/>
      <c r="W765" s="197"/>
      <c r="X765" s="197"/>
      <c r="Y765" s="199"/>
      <c r="Z765" s="199"/>
      <c r="AA765" s="204" t="str">
        <f t="shared" si="4"/>
        <v/>
      </c>
      <c r="AB765" s="198"/>
      <c r="AC765" s="199"/>
      <c r="AD765" s="199"/>
      <c r="AE765" s="199"/>
      <c r="AF765" s="199"/>
      <c r="AG765" s="199"/>
      <c r="AH765" s="199"/>
      <c r="AI765" s="199"/>
      <c r="AJ765" s="199"/>
      <c r="AK765" s="199"/>
      <c r="AL765" s="199"/>
      <c r="AM765" s="198"/>
      <c r="AN765" s="197"/>
      <c r="AO765" s="197"/>
      <c r="AP765" s="197"/>
      <c r="AQ765" s="197"/>
      <c r="AR765" s="197"/>
      <c r="AS765" s="197"/>
    </row>
    <row r="766">
      <c r="A766" s="198" t="str">
        <f t="shared" si="1"/>
        <v/>
      </c>
      <c r="B766" s="205"/>
      <c r="C766" s="198"/>
      <c r="D766" s="199"/>
      <c r="E766" s="213"/>
      <c r="F766" s="198"/>
      <c r="G766" s="198"/>
      <c r="H766" s="199"/>
      <c r="I766" s="207"/>
      <c r="J766" s="199"/>
      <c r="K766" s="202"/>
      <c r="L766" s="205" t="str">
        <f>IFERROR(__xludf.DUMMYFUNCTION("IFERROR(
    INDEX(FILTER('Arrived Shipments'!O:O, 'Arrived Shipments'!B:B=$B766),1),
    IFERROR(
        INDEX(FILTER('POed not arrived'!D:D, 'POed not arrived'!A:A=$B766),1),
        """"
    )
)"),"")</f>
        <v/>
      </c>
      <c r="M766" s="202"/>
      <c r="N766" s="223" t="str">
        <f>IFERROR(__xludf.DUMMYFUNCTION("IFERROR(
    INDEX(FILTER('Arrived Shipments'!O:O, 'Arrived Shipments'!B:B=$B766),2),
    IFERROR(
        INDEX(FILTER('POed not arrived'!D:D, 'POed not arrived'!A:A=$B766),2),
        """"
    )
)"),"")</f>
        <v/>
      </c>
      <c r="O766" s="202"/>
      <c r="P766" s="202" t="str">
        <f>IFERROR(__xludf.DUMMYFUNCTION("IFERROR(
    INDEX(FILTER('Arrived Shipments'!O:O, 'Arrived Shipments'!B:B=$B766),3),
    IFERROR(
        INDEX(FILTER('POed not arrived'!D:D, 'POed not arrived'!A:A=$B766),3),
        """"
    )
)"),"")</f>
        <v/>
      </c>
      <c r="Q766" s="202"/>
      <c r="R766" s="206" t="str">
        <f>IFERROR(__xludf.DUMMYFUNCTION("IFERROR(
    INDEX(FILTER('Arrived Shipments'!O:O, 'Arrived Shipments'!B:B=$B766),4),
    IFERROR(
        INDEX(FILTER('POed not arrived'!D:D, 'POed not arrived'!A:A=$B766),4),
        """"
    )
)"),"")</f>
        <v/>
      </c>
      <c r="S766" s="202"/>
      <c r="T766" s="202">
        <f t="shared" si="8"/>
        <v>0</v>
      </c>
      <c r="U766" s="198"/>
      <c r="V766" s="199"/>
      <c r="W766" s="197"/>
      <c r="X766" s="197"/>
      <c r="Y766" s="199"/>
      <c r="Z766" s="199"/>
      <c r="AA766" s="204" t="str">
        <f t="shared" si="4"/>
        <v/>
      </c>
      <c r="AB766" s="198"/>
      <c r="AC766" s="199"/>
      <c r="AD766" s="199"/>
      <c r="AE766" s="199"/>
      <c r="AF766" s="199"/>
      <c r="AG766" s="199"/>
      <c r="AH766" s="199"/>
      <c r="AI766" s="199"/>
      <c r="AJ766" s="199"/>
      <c r="AK766" s="199"/>
      <c r="AL766" s="199"/>
      <c r="AM766" s="198"/>
      <c r="AN766" s="197"/>
      <c r="AO766" s="197"/>
      <c r="AP766" s="197"/>
      <c r="AQ766" s="197"/>
      <c r="AR766" s="197"/>
      <c r="AS766" s="197"/>
    </row>
    <row r="767">
      <c r="A767" s="198" t="str">
        <f t="shared" si="1"/>
        <v/>
      </c>
      <c r="B767" s="205"/>
      <c r="C767" s="198"/>
      <c r="D767" s="199"/>
      <c r="E767" s="213"/>
      <c r="F767" s="198"/>
      <c r="G767" s="198"/>
      <c r="H767" s="199"/>
      <c r="I767" s="207"/>
      <c r="J767" s="199"/>
      <c r="K767" s="202"/>
      <c r="L767" s="205" t="str">
        <f>IFERROR(__xludf.DUMMYFUNCTION("IFERROR(
    INDEX(FILTER('Arrived Shipments'!O:O, 'Arrived Shipments'!B:B=$B767),1),
    IFERROR(
        INDEX(FILTER('POed not arrived'!D:D, 'POed not arrived'!A:A=$B767),1),
        """"
    )
)"),"")</f>
        <v/>
      </c>
      <c r="M767" s="202"/>
      <c r="N767" s="223" t="str">
        <f>IFERROR(__xludf.DUMMYFUNCTION("IFERROR(
    INDEX(FILTER('Arrived Shipments'!O:O, 'Arrived Shipments'!B:B=$B767),2),
    IFERROR(
        INDEX(FILTER('POed not arrived'!D:D, 'POed not arrived'!A:A=$B767),2),
        """"
    )
)"),"")</f>
        <v/>
      </c>
      <c r="O767" s="202"/>
      <c r="P767" s="202" t="str">
        <f>IFERROR(__xludf.DUMMYFUNCTION("IFERROR(
    INDEX(FILTER('Arrived Shipments'!O:O, 'Arrived Shipments'!B:B=$B767),3),
    IFERROR(
        INDEX(FILTER('POed not arrived'!D:D, 'POed not arrived'!A:A=$B767),3),
        """"
    )
)"),"")</f>
        <v/>
      </c>
      <c r="Q767" s="202"/>
      <c r="R767" s="206" t="str">
        <f>IFERROR(__xludf.DUMMYFUNCTION("IFERROR(
    INDEX(FILTER('Arrived Shipments'!O:O, 'Arrived Shipments'!B:B=$B767),4),
    IFERROR(
        INDEX(FILTER('POed not arrived'!D:D, 'POed not arrived'!A:A=$B767),4),
        """"
    )
)"),"")</f>
        <v/>
      </c>
      <c r="S767" s="202"/>
      <c r="T767" s="202">
        <f t="shared" si="8"/>
        <v>0</v>
      </c>
      <c r="U767" s="198"/>
      <c r="V767" s="199"/>
      <c r="W767" s="197"/>
      <c r="X767" s="197"/>
      <c r="Y767" s="199"/>
      <c r="Z767" s="199"/>
      <c r="AA767" s="204" t="str">
        <f t="shared" si="4"/>
        <v/>
      </c>
      <c r="AB767" s="198"/>
      <c r="AC767" s="199"/>
      <c r="AD767" s="199"/>
      <c r="AE767" s="199"/>
      <c r="AF767" s="199"/>
      <c r="AG767" s="199"/>
      <c r="AH767" s="199"/>
      <c r="AI767" s="199"/>
      <c r="AJ767" s="199"/>
      <c r="AK767" s="199"/>
      <c r="AL767" s="199"/>
      <c r="AM767" s="198"/>
      <c r="AN767" s="197"/>
      <c r="AO767" s="197"/>
      <c r="AP767" s="197"/>
      <c r="AQ767" s="197"/>
      <c r="AR767" s="197"/>
      <c r="AS767" s="197"/>
    </row>
    <row r="768">
      <c r="A768" s="198" t="str">
        <f t="shared" si="1"/>
        <v/>
      </c>
      <c r="B768" s="205"/>
      <c r="C768" s="198"/>
      <c r="D768" s="199"/>
      <c r="E768" s="213"/>
      <c r="F768" s="198"/>
      <c r="G768" s="198"/>
      <c r="H768" s="199"/>
      <c r="I768" s="207"/>
      <c r="J768" s="199"/>
      <c r="K768" s="202"/>
      <c r="L768" s="205" t="str">
        <f>IFERROR(__xludf.DUMMYFUNCTION("IFERROR(
    INDEX(FILTER('Arrived Shipments'!O:O, 'Arrived Shipments'!B:B=$B768),1),
    IFERROR(
        INDEX(FILTER('POed not arrived'!D:D, 'POed not arrived'!A:A=$B768),1),
        """"
    )
)"),"")</f>
        <v/>
      </c>
      <c r="M768" s="202"/>
      <c r="N768" s="223" t="str">
        <f>IFERROR(__xludf.DUMMYFUNCTION("IFERROR(
    INDEX(FILTER('Arrived Shipments'!O:O, 'Arrived Shipments'!B:B=$B768),2),
    IFERROR(
        INDEX(FILTER('POed not arrived'!D:D, 'POed not arrived'!A:A=$B768),2),
        """"
    )
)"),"")</f>
        <v/>
      </c>
      <c r="O768" s="202"/>
      <c r="P768" s="202" t="str">
        <f>IFERROR(__xludf.DUMMYFUNCTION("IFERROR(
    INDEX(FILTER('Arrived Shipments'!O:O, 'Arrived Shipments'!B:B=$B768),3),
    IFERROR(
        INDEX(FILTER('POed not arrived'!D:D, 'POed not arrived'!A:A=$B768),3),
        """"
    )
)"),"")</f>
        <v/>
      </c>
      <c r="Q768" s="202"/>
      <c r="R768" s="206" t="str">
        <f>IFERROR(__xludf.DUMMYFUNCTION("IFERROR(
    INDEX(FILTER('Arrived Shipments'!O:O, 'Arrived Shipments'!B:B=$B768),4),
    IFERROR(
        INDEX(FILTER('POed not arrived'!D:D, 'POed not arrived'!A:A=$B768),4),
        """"
    )
)"),"")</f>
        <v/>
      </c>
      <c r="S768" s="202"/>
      <c r="T768" s="202">
        <f t="shared" si="8"/>
        <v>0</v>
      </c>
      <c r="U768" s="198"/>
      <c r="V768" s="199"/>
      <c r="W768" s="197"/>
      <c r="X768" s="197"/>
      <c r="Y768" s="199"/>
      <c r="Z768" s="199"/>
      <c r="AA768" s="204" t="str">
        <f t="shared" si="4"/>
        <v/>
      </c>
      <c r="AB768" s="198"/>
      <c r="AC768" s="199"/>
      <c r="AD768" s="199"/>
      <c r="AE768" s="199"/>
      <c r="AF768" s="199"/>
      <c r="AG768" s="199"/>
      <c r="AH768" s="199"/>
      <c r="AI768" s="199"/>
      <c r="AJ768" s="199"/>
      <c r="AK768" s="199"/>
      <c r="AL768" s="199"/>
      <c r="AM768" s="198"/>
      <c r="AN768" s="197"/>
      <c r="AO768" s="197"/>
      <c r="AP768" s="197"/>
      <c r="AQ768" s="197"/>
      <c r="AR768" s="197"/>
      <c r="AS768" s="197"/>
    </row>
    <row r="769">
      <c r="A769" s="198" t="str">
        <f t="shared" si="1"/>
        <v/>
      </c>
      <c r="B769" s="205"/>
      <c r="C769" s="198"/>
      <c r="D769" s="199"/>
      <c r="E769" s="213"/>
      <c r="F769" s="198"/>
      <c r="G769" s="198"/>
      <c r="H769" s="199"/>
      <c r="I769" s="207"/>
      <c r="J769" s="199"/>
      <c r="K769" s="202"/>
      <c r="L769" s="205" t="str">
        <f>IFERROR(__xludf.DUMMYFUNCTION("IFERROR(
    INDEX(FILTER('Arrived Shipments'!O:O, 'Arrived Shipments'!B:B=$B769),1),
    IFERROR(
        INDEX(FILTER('POed not arrived'!D:D, 'POed not arrived'!A:A=$B769),1),
        """"
    )
)"),"")</f>
        <v/>
      </c>
      <c r="M769" s="202"/>
      <c r="N769" s="223" t="str">
        <f>IFERROR(__xludf.DUMMYFUNCTION("IFERROR(
    INDEX(FILTER('Arrived Shipments'!O:O, 'Arrived Shipments'!B:B=$B769),2),
    IFERROR(
        INDEX(FILTER('POed not arrived'!D:D, 'POed not arrived'!A:A=$B769),2),
        """"
    )
)"),"")</f>
        <v/>
      </c>
      <c r="O769" s="202"/>
      <c r="P769" s="202" t="str">
        <f>IFERROR(__xludf.DUMMYFUNCTION("IFERROR(
    INDEX(FILTER('Arrived Shipments'!O:O, 'Arrived Shipments'!B:B=$B769),3),
    IFERROR(
        INDEX(FILTER('POed not arrived'!D:D, 'POed not arrived'!A:A=$B769),3),
        """"
    )
)"),"")</f>
        <v/>
      </c>
      <c r="Q769" s="202"/>
      <c r="R769" s="206" t="str">
        <f>IFERROR(__xludf.DUMMYFUNCTION("IFERROR(
    INDEX(FILTER('Arrived Shipments'!O:O, 'Arrived Shipments'!B:B=$B769),4),
    IFERROR(
        INDEX(FILTER('POed not arrived'!D:D, 'POed not arrived'!A:A=$B769),4),
        """"
    )
)"),"")</f>
        <v/>
      </c>
      <c r="S769" s="202"/>
      <c r="T769" s="202">
        <f t="shared" si="8"/>
        <v>0</v>
      </c>
      <c r="U769" s="198"/>
      <c r="V769" s="199"/>
      <c r="W769" s="197"/>
      <c r="X769" s="197"/>
      <c r="Y769" s="199"/>
      <c r="Z769" s="199"/>
      <c r="AA769" s="204" t="str">
        <f t="shared" si="4"/>
        <v/>
      </c>
      <c r="AB769" s="198"/>
      <c r="AC769" s="199"/>
      <c r="AD769" s="199"/>
      <c r="AE769" s="199"/>
      <c r="AF769" s="199"/>
      <c r="AG769" s="199"/>
      <c r="AH769" s="199"/>
      <c r="AI769" s="199"/>
      <c r="AJ769" s="199"/>
      <c r="AK769" s="199"/>
      <c r="AL769" s="199"/>
      <c r="AM769" s="198"/>
      <c r="AN769" s="197"/>
      <c r="AO769" s="197"/>
      <c r="AP769" s="197"/>
      <c r="AQ769" s="197"/>
      <c r="AR769" s="197"/>
      <c r="AS769" s="197"/>
    </row>
    <row r="770">
      <c r="A770" s="198" t="str">
        <f t="shared" si="1"/>
        <v/>
      </c>
      <c r="B770" s="205"/>
      <c r="C770" s="198"/>
      <c r="D770" s="199"/>
      <c r="E770" s="213"/>
      <c r="F770" s="198"/>
      <c r="G770" s="198"/>
      <c r="H770" s="199"/>
      <c r="I770" s="207"/>
      <c r="J770" s="199"/>
      <c r="K770" s="202"/>
      <c r="L770" s="205" t="str">
        <f>IFERROR(__xludf.DUMMYFUNCTION("IFERROR(
    INDEX(FILTER('Arrived Shipments'!O:O, 'Arrived Shipments'!B:B=$B770),1),
    IFERROR(
        INDEX(FILTER('POed not arrived'!D:D, 'POed not arrived'!A:A=$B770),1),
        """"
    )
)"),"")</f>
        <v/>
      </c>
      <c r="M770" s="202"/>
      <c r="N770" s="223" t="str">
        <f>IFERROR(__xludf.DUMMYFUNCTION("IFERROR(
    INDEX(FILTER('Arrived Shipments'!O:O, 'Arrived Shipments'!B:B=$B770),2),
    IFERROR(
        INDEX(FILTER('POed not arrived'!D:D, 'POed not arrived'!A:A=$B770),2),
        """"
    )
)"),"")</f>
        <v/>
      </c>
      <c r="O770" s="202"/>
      <c r="P770" s="202" t="str">
        <f>IFERROR(__xludf.DUMMYFUNCTION("IFERROR(
    INDEX(FILTER('Arrived Shipments'!O:O, 'Arrived Shipments'!B:B=$B770),3),
    IFERROR(
        INDEX(FILTER('POed not arrived'!D:D, 'POed not arrived'!A:A=$B770),3),
        """"
    )
)"),"")</f>
        <v/>
      </c>
      <c r="Q770" s="202"/>
      <c r="R770" s="206" t="str">
        <f>IFERROR(__xludf.DUMMYFUNCTION("IFERROR(
    INDEX(FILTER('Arrived Shipments'!O:O, 'Arrived Shipments'!B:B=$B770),4),
    IFERROR(
        INDEX(FILTER('POed not arrived'!D:D, 'POed not arrived'!A:A=$B770),4),
        """"
    )
)"),"")</f>
        <v/>
      </c>
      <c r="S770" s="202"/>
      <c r="T770" s="202">
        <f t="shared" si="8"/>
        <v>0</v>
      </c>
      <c r="U770" s="198"/>
      <c r="V770" s="199"/>
      <c r="W770" s="197"/>
      <c r="X770" s="197"/>
      <c r="Y770" s="199"/>
      <c r="Z770" s="199"/>
      <c r="AA770" s="204" t="str">
        <f t="shared" si="4"/>
        <v/>
      </c>
      <c r="AB770" s="198"/>
      <c r="AC770" s="199"/>
      <c r="AD770" s="199"/>
      <c r="AE770" s="199"/>
      <c r="AF770" s="199"/>
      <c r="AG770" s="199"/>
      <c r="AH770" s="199"/>
      <c r="AI770" s="199"/>
      <c r="AJ770" s="199"/>
      <c r="AK770" s="199"/>
      <c r="AL770" s="199"/>
      <c r="AM770" s="198"/>
      <c r="AN770" s="197"/>
      <c r="AO770" s="197"/>
      <c r="AP770" s="197"/>
      <c r="AQ770" s="197"/>
      <c r="AR770" s="197"/>
      <c r="AS770" s="197"/>
    </row>
    <row r="771">
      <c r="A771" s="198" t="str">
        <f t="shared" si="1"/>
        <v/>
      </c>
      <c r="B771" s="205"/>
      <c r="C771" s="198"/>
      <c r="D771" s="199"/>
      <c r="E771" s="213"/>
      <c r="F771" s="198"/>
      <c r="G771" s="198"/>
      <c r="H771" s="199"/>
      <c r="I771" s="207"/>
      <c r="J771" s="199"/>
      <c r="K771" s="202"/>
      <c r="L771" s="205" t="str">
        <f>IFERROR(__xludf.DUMMYFUNCTION("IFERROR(
    INDEX(FILTER('Arrived Shipments'!O:O, 'Arrived Shipments'!B:B=$B771),1),
    IFERROR(
        INDEX(FILTER('POed not arrived'!D:D, 'POed not arrived'!A:A=$B771),1),
        """"
    )
)"),"")</f>
        <v/>
      </c>
      <c r="M771" s="202"/>
      <c r="N771" s="223" t="str">
        <f>IFERROR(__xludf.DUMMYFUNCTION("IFERROR(
    INDEX(FILTER('Arrived Shipments'!O:O, 'Arrived Shipments'!B:B=$B771),2),
    IFERROR(
        INDEX(FILTER('POed not arrived'!D:D, 'POed not arrived'!A:A=$B771),2),
        """"
    )
)"),"")</f>
        <v/>
      </c>
      <c r="O771" s="202"/>
      <c r="P771" s="202" t="str">
        <f>IFERROR(__xludf.DUMMYFUNCTION("IFERROR(
    INDEX(FILTER('Arrived Shipments'!O:O, 'Arrived Shipments'!B:B=$B771),3),
    IFERROR(
        INDEX(FILTER('POed not arrived'!D:D, 'POed not arrived'!A:A=$B771),3),
        """"
    )
)"),"")</f>
        <v/>
      </c>
      <c r="Q771" s="202"/>
      <c r="R771" s="206" t="str">
        <f>IFERROR(__xludf.DUMMYFUNCTION("IFERROR(
    INDEX(FILTER('Arrived Shipments'!O:O, 'Arrived Shipments'!B:B=$B771),4),
    IFERROR(
        INDEX(FILTER('POed not arrived'!D:D, 'POed not arrived'!A:A=$B771),4),
        """"
    )
)"),"")</f>
        <v/>
      </c>
      <c r="S771" s="202"/>
      <c r="T771" s="202">
        <f t="shared" si="8"/>
        <v>0</v>
      </c>
      <c r="U771" s="198"/>
      <c r="V771" s="199"/>
      <c r="W771" s="197"/>
      <c r="X771" s="197"/>
      <c r="Y771" s="199"/>
      <c r="Z771" s="199"/>
      <c r="AA771" s="204" t="str">
        <f t="shared" si="4"/>
        <v/>
      </c>
      <c r="AB771" s="198"/>
      <c r="AC771" s="199"/>
      <c r="AD771" s="199"/>
      <c r="AE771" s="199"/>
      <c r="AF771" s="199"/>
      <c r="AG771" s="199"/>
      <c r="AH771" s="199"/>
      <c r="AI771" s="199"/>
      <c r="AJ771" s="199"/>
      <c r="AK771" s="199"/>
      <c r="AL771" s="199"/>
      <c r="AM771" s="198"/>
      <c r="AN771" s="197"/>
      <c r="AO771" s="197"/>
      <c r="AP771" s="197"/>
      <c r="AQ771" s="197"/>
      <c r="AR771" s="197"/>
      <c r="AS771" s="197"/>
    </row>
    <row r="772">
      <c r="A772" s="198" t="str">
        <f t="shared" si="1"/>
        <v/>
      </c>
      <c r="B772" s="205"/>
      <c r="C772" s="198"/>
      <c r="D772" s="199"/>
      <c r="E772" s="213"/>
      <c r="F772" s="198"/>
      <c r="G772" s="198"/>
      <c r="H772" s="199"/>
      <c r="I772" s="207"/>
      <c r="J772" s="199"/>
      <c r="K772" s="202"/>
      <c r="L772" s="205" t="str">
        <f>IFERROR(__xludf.DUMMYFUNCTION("IFERROR(
    INDEX(FILTER('Arrived Shipments'!O:O, 'Arrived Shipments'!B:B=$B772),1),
    IFERROR(
        INDEX(FILTER('POed not arrived'!D:D, 'POed not arrived'!A:A=$B772),1),
        """"
    )
)"),"")</f>
        <v/>
      </c>
      <c r="M772" s="202"/>
      <c r="N772" s="223" t="str">
        <f>IFERROR(__xludf.DUMMYFUNCTION("IFERROR(
    INDEX(FILTER('Arrived Shipments'!O:O, 'Arrived Shipments'!B:B=$B772),2),
    IFERROR(
        INDEX(FILTER('POed not arrived'!D:D, 'POed not arrived'!A:A=$B772),2),
        """"
    )
)"),"")</f>
        <v/>
      </c>
      <c r="O772" s="202"/>
      <c r="P772" s="202" t="str">
        <f>IFERROR(__xludf.DUMMYFUNCTION("IFERROR(
    INDEX(FILTER('Arrived Shipments'!O:O, 'Arrived Shipments'!B:B=$B772),3),
    IFERROR(
        INDEX(FILTER('POed not arrived'!D:D, 'POed not arrived'!A:A=$B772),3),
        """"
    )
)"),"")</f>
        <v/>
      </c>
      <c r="Q772" s="202"/>
      <c r="R772" s="206" t="str">
        <f>IFERROR(__xludf.DUMMYFUNCTION("IFERROR(
    INDEX(FILTER('Arrived Shipments'!O:O, 'Arrived Shipments'!B:B=$B772),4),
    IFERROR(
        INDEX(FILTER('POed not arrived'!D:D, 'POed not arrived'!A:A=$B772),4),
        """"
    )
)"),"")</f>
        <v/>
      </c>
      <c r="S772" s="202"/>
      <c r="T772" s="202">
        <f t="shared" si="8"/>
        <v>0</v>
      </c>
      <c r="U772" s="198"/>
      <c r="V772" s="199"/>
      <c r="W772" s="197"/>
      <c r="X772" s="197"/>
      <c r="Y772" s="199"/>
      <c r="Z772" s="199"/>
      <c r="AA772" s="204" t="str">
        <f t="shared" si="4"/>
        <v/>
      </c>
      <c r="AB772" s="198"/>
      <c r="AC772" s="199"/>
      <c r="AD772" s="199"/>
      <c r="AE772" s="199"/>
      <c r="AF772" s="199"/>
      <c r="AG772" s="199"/>
      <c r="AH772" s="199"/>
      <c r="AI772" s="199"/>
      <c r="AJ772" s="199"/>
      <c r="AK772" s="199"/>
      <c r="AL772" s="199"/>
      <c r="AM772" s="198"/>
      <c r="AN772" s="197"/>
      <c r="AO772" s="197"/>
      <c r="AP772" s="197"/>
      <c r="AQ772" s="197"/>
      <c r="AR772" s="197"/>
      <c r="AS772" s="197"/>
    </row>
    <row r="773">
      <c r="A773" s="198" t="str">
        <f t="shared" si="1"/>
        <v/>
      </c>
      <c r="B773" s="205"/>
      <c r="C773" s="198"/>
      <c r="D773" s="199"/>
      <c r="E773" s="213"/>
      <c r="F773" s="198"/>
      <c r="G773" s="198"/>
      <c r="H773" s="199"/>
      <c r="I773" s="207"/>
      <c r="J773" s="199"/>
      <c r="K773" s="202"/>
      <c r="L773" s="205" t="str">
        <f>IFERROR(__xludf.DUMMYFUNCTION("IFERROR(
    INDEX(FILTER('Arrived Shipments'!O:O, 'Arrived Shipments'!B:B=$B773),1),
    IFERROR(
        INDEX(FILTER('POed not arrived'!D:D, 'POed not arrived'!A:A=$B773),1),
        """"
    )
)"),"")</f>
        <v/>
      </c>
      <c r="M773" s="202"/>
      <c r="N773" s="223" t="str">
        <f>IFERROR(__xludf.DUMMYFUNCTION("IFERROR(
    INDEX(FILTER('Arrived Shipments'!O:O, 'Arrived Shipments'!B:B=$B773),2),
    IFERROR(
        INDEX(FILTER('POed not arrived'!D:D, 'POed not arrived'!A:A=$B773),2),
        """"
    )
)"),"")</f>
        <v/>
      </c>
      <c r="O773" s="202"/>
      <c r="P773" s="202" t="str">
        <f>IFERROR(__xludf.DUMMYFUNCTION("IFERROR(
    INDEX(FILTER('Arrived Shipments'!O:O, 'Arrived Shipments'!B:B=$B773),3),
    IFERROR(
        INDEX(FILTER('POed not arrived'!D:D, 'POed not arrived'!A:A=$B773),3),
        """"
    )
)"),"")</f>
        <v/>
      </c>
      <c r="Q773" s="202"/>
      <c r="R773" s="206" t="str">
        <f>IFERROR(__xludf.DUMMYFUNCTION("IFERROR(
    INDEX(FILTER('Arrived Shipments'!O:O, 'Arrived Shipments'!B:B=$B773),4),
    IFERROR(
        INDEX(FILTER('POed not arrived'!D:D, 'POed not arrived'!A:A=$B773),4),
        """"
    )
)"),"")</f>
        <v/>
      </c>
      <c r="S773" s="202"/>
      <c r="T773" s="202">
        <f t="shared" si="8"/>
        <v>0</v>
      </c>
      <c r="U773" s="198"/>
      <c r="V773" s="199"/>
      <c r="W773" s="197"/>
      <c r="X773" s="197"/>
      <c r="Y773" s="199"/>
      <c r="Z773" s="199"/>
      <c r="AA773" s="204" t="str">
        <f t="shared" si="4"/>
        <v/>
      </c>
      <c r="AB773" s="198"/>
      <c r="AC773" s="199"/>
      <c r="AD773" s="199"/>
      <c r="AE773" s="199"/>
      <c r="AF773" s="199"/>
      <c r="AG773" s="199"/>
      <c r="AH773" s="199"/>
      <c r="AI773" s="199"/>
      <c r="AJ773" s="199"/>
      <c r="AK773" s="199"/>
      <c r="AL773" s="199"/>
      <c r="AM773" s="198"/>
      <c r="AN773" s="197"/>
      <c r="AO773" s="197"/>
      <c r="AP773" s="197"/>
      <c r="AQ773" s="197"/>
      <c r="AR773" s="197"/>
      <c r="AS773" s="197"/>
    </row>
    <row r="774">
      <c r="A774" s="198" t="str">
        <f t="shared" si="1"/>
        <v/>
      </c>
      <c r="B774" s="205"/>
      <c r="C774" s="198"/>
      <c r="D774" s="199"/>
      <c r="E774" s="213"/>
      <c r="F774" s="198"/>
      <c r="G774" s="198"/>
      <c r="H774" s="199"/>
      <c r="I774" s="207"/>
      <c r="J774" s="199"/>
      <c r="K774" s="202"/>
      <c r="L774" s="205" t="str">
        <f>IFERROR(__xludf.DUMMYFUNCTION("IFERROR(
    INDEX(FILTER('Arrived Shipments'!O:O, 'Arrived Shipments'!B:B=$B774),1),
    IFERROR(
        INDEX(FILTER('POed not arrived'!D:D, 'POed not arrived'!A:A=$B774),1),
        """"
    )
)"),"")</f>
        <v/>
      </c>
      <c r="M774" s="202"/>
      <c r="N774" s="223" t="str">
        <f>IFERROR(__xludf.DUMMYFUNCTION("IFERROR(
    INDEX(FILTER('Arrived Shipments'!O:O, 'Arrived Shipments'!B:B=$B774),2),
    IFERROR(
        INDEX(FILTER('POed not arrived'!D:D, 'POed not arrived'!A:A=$B774),2),
        """"
    )
)"),"")</f>
        <v/>
      </c>
      <c r="O774" s="202"/>
      <c r="P774" s="202" t="str">
        <f>IFERROR(__xludf.DUMMYFUNCTION("IFERROR(
    INDEX(FILTER('Arrived Shipments'!O:O, 'Arrived Shipments'!B:B=$B774),3),
    IFERROR(
        INDEX(FILTER('POed not arrived'!D:D, 'POed not arrived'!A:A=$B774),3),
        """"
    )
)"),"")</f>
        <v/>
      </c>
      <c r="Q774" s="202"/>
      <c r="R774" s="206" t="str">
        <f>IFERROR(__xludf.DUMMYFUNCTION("IFERROR(
    INDEX(FILTER('Arrived Shipments'!O:O, 'Arrived Shipments'!B:B=$B774),4),
    IFERROR(
        INDEX(FILTER('POed not arrived'!D:D, 'POed not arrived'!A:A=$B774),4),
        """"
    )
)"),"")</f>
        <v/>
      </c>
      <c r="S774" s="202"/>
      <c r="T774" s="202">
        <f t="shared" si="8"/>
        <v>0</v>
      </c>
      <c r="U774" s="198"/>
      <c r="V774" s="199"/>
      <c r="W774" s="197"/>
      <c r="X774" s="197"/>
      <c r="Y774" s="199"/>
      <c r="Z774" s="199"/>
      <c r="AA774" s="204" t="str">
        <f t="shared" si="4"/>
        <v/>
      </c>
      <c r="AB774" s="198"/>
      <c r="AC774" s="199"/>
      <c r="AD774" s="199"/>
      <c r="AE774" s="199"/>
      <c r="AF774" s="199"/>
      <c r="AG774" s="199"/>
      <c r="AH774" s="199"/>
      <c r="AI774" s="199"/>
      <c r="AJ774" s="199"/>
      <c r="AK774" s="199"/>
      <c r="AL774" s="199"/>
      <c r="AM774" s="198"/>
      <c r="AN774" s="197"/>
      <c r="AO774" s="197"/>
      <c r="AP774" s="197"/>
      <c r="AQ774" s="197"/>
      <c r="AR774" s="197"/>
      <c r="AS774" s="197"/>
    </row>
    <row r="775">
      <c r="A775" s="198" t="str">
        <f t="shared" si="1"/>
        <v/>
      </c>
      <c r="B775" s="205"/>
      <c r="C775" s="198"/>
      <c r="D775" s="199"/>
      <c r="E775" s="213"/>
      <c r="F775" s="198"/>
      <c r="G775" s="198"/>
      <c r="H775" s="199"/>
      <c r="I775" s="207"/>
      <c r="J775" s="199"/>
      <c r="K775" s="202"/>
      <c r="L775" s="205" t="str">
        <f>IFERROR(__xludf.DUMMYFUNCTION("IFERROR(
    INDEX(FILTER('Arrived Shipments'!O:O, 'Arrived Shipments'!B:B=$B775),1),
    IFERROR(
        INDEX(FILTER('POed not arrived'!D:D, 'POed not arrived'!A:A=$B775),1),
        """"
    )
)"),"")</f>
        <v/>
      </c>
      <c r="M775" s="202"/>
      <c r="N775" s="223" t="str">
        <f>IFERROR(__xludf.DUMMYFUNCTION("IFERROR(
    INDEX(FILTER('Arrived Shipments'!O:O, 'Arrived Shipments'!B:B=$B775),2),
    IFERROR(
        INDEX(FILTER('POed not arrived'!D:D, 'POed not arrived'!A:A=$B775),2),
        """"
    )
)"),"")</f>
        <v/>
      </c>
      <c r="O775" s="202"/>
      <c r="P775" s="202" t="str">
        <f>IFERROR(__xludf.DUMMYFUNCTION("IFERROR(
    INDEX(FILTER('Arrived Shipments'!O:O, 'Arrived Shipments'!B:B=$B775),3),
    IFERROR(
        INDEX(FILTER('POed not arrived'!D:D, 'POed not arrived'!A:A=$B775),3),
        """"
    )
)"),"")</f>
        <v/>
      </c>
      <c r="Q775" s="202"/>
      <c r="R775" s="206" t="str">
        <f>IFERROR(__xludf.DUMMYFUNCTION("IFERROR(
    INDEX(FILTER('Arrived Shipments'!O:O, 'Arrived Shipments'!B:B=$B775),4),
    IFERROR(
        INDEX(FILTER('POed not arrived'!D:D, 'POed not arrived'!A:A=$B775),4),
        """"
    )
)"),"")</f>
        <v/>
      </c>
      <c r="S775" s="202"/>
      <c r="T775" s="202">
        <f t="shared" si="8"/>
        <v>0</v>
      </c>
      <c r="U775" s="198"/>
      <c r="V775" s="199"/>
      <c r="W775" s="197"/>
      <c r="X775" s="197"/>
      <c r="Y775" s="199"/>
      <c r="Z775" s="199"/>
      <c r="AA775" s="204" t="str">
        <f t="shared" si="4"/>
        <v/>
      </c>
      <c r="AB775" s="198"/>
      <c r="AC775" s="199"/>
      <c r="AD775" s="199"/>
      <c r="AE775" s="199"/>
      <c r="AF775" s="199"/>
      <c r="AG775" s="199"/>
      <c r="AH775" s="199"/>
      <c r="AI775" s="199"/>
      <c r="AJ775" s="199"/>
      <c r="AK775" s="199"/>
      <c r="AL775" s="199"/>
      <c r="AM775" s="198"/>
      <c r="AN775" s="197"/>
      <c r="AO775" s="197"/>
      <c r="AP775" s="197"/>
      <c r="AQ775" s="197"/>
      <c r="AR775" s="197"/>
      <c r="AS775" s="197"/>
    </row>
    <row r="776">
      <c r="A776" s="198" t="str">
        <f t="shared" si="1"/>
        <v/>
      </c>
      <c r="B776" s="205"/>
      <c r="C776" s="198"/>
      <c r="D776" s="199"/>
      <c r="E776" s="213"/>
      <c r="F776" s="198"/>
      <c r="G776" s="198"/>
      <c r="H776" s="199"/>
      <c r="I776" s="207"/>
      <c r="J776" s="199"/>
      <c r="K776" s="202"/>
      <c r="L776" s="205" t="str">
        <f>IFERROR(__xludf.DUMMYFUNCTION("IFERROR(
    INDEX(FILTER('Arrived Shipments'!O:O, 'Arrived Shipments'!B:B=$B776),1),
    IFERROR(
        INDEX(FILTER('POed not arrived'!D:D, 'POed not arrived'!A:A=$B776),1),
        """"
    )
)"),"")</f>
        <v/>
      </c>
      <c r="M776" s="202"/>
      <c r="N776" s="223" t="str">
        <f>IFERROR(__xludf.DUMMYFUNCTION("IFERROR(
    INDEX(FILTER('Arrived Shipments'!O:O, 'Arrived Shipments'!B:B=$B776),2),
    IFERROR(
        INDEX(FILTER('POed not arrived'!D:D, 'POed not arrived'!A:A=$B776),2),
        """"
    )
)"),"")</f>
        <v/>
      </c>
      <c r="O776" s="202"/>
      <c r="P776" s="202" t="str">
        <f>IFERROR(__xludf.DUMMYFUNCTION("IFERROR(
    INDEX(FILTER('Arrived Shipments'!O:O, 'Arrived Shipments'!B:B=$B776),3),
    IFERROR(
        INDEX(FILTER('POed not arrived'!D:D, 'POed not arrived'!A:A=$B776),3),
        """"
    )
)"),"")</f>
        <v/>
      </c>
      <c r="Q776" s="202"/>
      <c r="R776" s="206" t="str">
        <f>IFERROR(__xludf.DUMMYFUNCTION("IFERROR(
    INDEX(FILTER('Arrived Shipments'!O:O, 'Arrived Shipments'!B:B=$B776),4),
    IFERROR(
        INDEX(FILTER('POed not arrived'!D:D, 'POed not arrived'!A:A=$B776),4),
        """"
    )
)"),"")</f>
        <v/>
      </c>
      <c r="S776" s="202"/>
      <c r="T776" s="202">
        <f t="shared" si="8"/>
        <v>0</v>
      </c>
      <c r="U776" s="198"/>
      <c r="V776" s="199"/>
      <c r="W776" s="197"/>
      <c r="X776" s="197"/>
      <c r="Y776" s="199"/>
      <c r="Z776" s="199"/>
      <c r="AA776" s="204" t="str">
        <f t="shared" si="4"/>
        <v/>
      </c>
      <c r="AB776" s="198"/>
      <c r="AC776" s="199"/>
      <c r="AD776" s="199"/>
      <c r="AE776" s="199"/>
      <c r="AF776" s="199"/>
      <c r="AG776" s="199"/>
      <c r="AH776" s="199"/>
      <c r="AI776" s="199"/>
      <c r="AJ776" s="199"/>
      <c r="AK776" s="199"/>
      <c r="AL776" s="199"/>
      <c r="AM776" s="198"/>
      <c r="AN776" s="197"/>
      <c r="AO776" s="197"/>
      <c r="AP776" s="197"/>
      <c r="AQ776" s="197"/>
      <c r="AR776" s="197"/>
      <c r="AS776" s="197"/>
    </row>
    <row r="777">
      <c r="A777" s="198" t="str">
        <f t="shared" si="1"/>
        <v/>
      </c>
      <c r="B777" s="205"/>
      <c r="C777" s="198"/>
      <c r="D777" s="199"/>
      <c r="E777" s="213"/>
      <c r="F777" s="198"/>
      <c r="G777" s="198"/>
      <c r="H777" s="199"/>
      <c r="I777" s="207"/>
      <c r="J777" s="199"/>
      <c r="K777" s="202"/>
      <c r="L777" s="205" t="str">
        <f>IFERROR(__xludf.DUMMYFUNCTION("IFERROR(
    INDEX(FILTER('Arrived Shipments'!O:O, 'Arrived Shipments'!B:B=$B777),1),
    IFERROR(
        INDEX(FILTER('POed not arrived'!D:D, 'POed not arrived'!A:A=$B777),1),
        """"
    )
)"),"")</f>
        <v/>
      </c>
      <c r="M777" s="202"/>
      <c r="N777" s="223" t="str">
        <f>IFERROR(__xludf.DUMMYFUNCTION("IFERROR(
    INDEX(FILTER('Arrived Shipments'!O:O, 'Arrived Shipments'!B:B=$B777),2),
    IFERROR(
        INDEX(FILTER('POed not arrived'!D:D, 'POed not arrived'!A:A=$B777),2),
        """"
    )
)"),"")</f>
        <v/>
      </c>
      <c r="O777" s="202"/>
      <c r="P777" s="202" t="str">
        <f>IFERROR(__xludf.DUMMYFUNCTION("IFERROR(
    INDEX(FILTER('Arrived Shipments'!O:O, 'Arrived Shipments'!B:B=$B777),3),
    IFERROR(
        INDEX(FILTER('POed not arrived'!D:D, 'POed not arrived'!A:A=$B777),3),
        """"
    )
)"),"")</f>
        <v/>
      </c>
      <c r="Q777" s="202"/>
      <c r="R777" s="206" t="str">
        <f>IFERROR(__xludf.DUMMYFUNCTION("IFERROR(
    INDEX(FILTER('Arrived Shipments'!O:O, 'Arrived Shipments'!B:B=$B777),4),
    IFERROR(
        INDEX(FILTER('POed not arrived'!D:D, 'POed not arrived'!A:A=$B777),4),
        """"
    )
)"),"")</f>
        <v/>
      </c>
      <c r="S777" s="202"/>
      <c r="T777" s="202">
        <f t="shared" si="8"/>
        <v>0</v>
      </c>
      <c r="U777" s="198"/>
      <c r="V777" s="199"/>
      <c r="W777" s="197"/>
      <c r="X777" s="197"/>
      <c r="Y777" s="199"/>
      <c r="Z777" s="199"/>
      <c r="AA777" s="204" t="str">
        <f t="shared" si="4"/>
        <v/>
      </c>
      <c r="AB777" s="198"/>
      <c r="AC777" s="199"/>
      <c r="AD777" s="199"/>
      <c r="AE777" s="199"/>
      <c r="AF777" s="199"/>
      <c r="AG777" s="199"/>
      <c r="AH777" s="199"/>
      <c r="AI777" s="199"/>
      <c r="AJ777" s="199"/>
      <c r="AK777" s="199"/>
      <c r="AL777" s="199"/>
      <c r="AM777" s="198"/>
      <c r="AN777" s="197"/>
      <c r="AO777" s="197"/>
      <c r="AP777" s="197"/>
      <c r="AQ777" s="197"/>
      <c r="AR777" s="197"/>
      <c r="AS777" s="197"/>
    </row>
    <row r="778">
      <c r="A778" s="198" t="str">
        <f t="shared" si="1"/>
        <v/>
      </c>
      <c r="B778" s="205"/>
      <c r="C778" s="198"/>
      <c r="D778" s="199"/>
      <c r="E778" s="213"/>
      <c r="F778" s="198"/>
      <c r="G778" s="198"/>
      <c r="H778" s="199"/>
      <c r="I778" s="207"/>
      <c r="J778" s="199"/>
      <c r="K778" s="202"/>
      <c r="L778" s="205" t="str">
        <f>IFERROR(__xludf.DUMMYFUNCTION("IFERROR(
    INDEX(FILTER('Arrived Shipments'!O:O, 'Arrived Shipments'!B:B=$B778),1),
    IFERROR(
        INDEX(FILTER('POed not arrived'!D:D, 'POed not arrived'!A:A=$B778),1),
        """"
    )
)"),"")</f>
        <v/>
      </c>
      <c r="M778" s="202"/>
      <c r="N778" s="223" t="str">
        <f>IFERROR(__xludf.DUMMYFUNCTION("IFERROR(
    INDEX(FILTER('Arrived Shipments'!O:O, 'Arrived Shipments'!B:B=$B778),2),
    IFERROR(
        INDEX(FILTER('POed not arrived'!D:D, 'POed not arrived'!A:A=$B778),2),
        """"
    )
)"),"")</f>
        <v/>
      </c>
      <c r="O778" s="202"/>
      <c r="P778" s="202" t="str">
        <f>IFERROR(__xludf.DUMMYFUNCTION("IFERROR(
    INDEX(FILTER('Arrived Shipments'!O:O, 'Arrived Shipments'!B:B=$B778),3),
    IFERROR(
        INDEX(FILTER('POed not arrived'!D:D, 'POed not arrived'!A:A=$B778),3),
        """"
    )
)"),"")</f>
        <v/>
      </c>
      <c r="Q778" s="202"/>
      <c r="R778" s="206" t="str">
        <f>IFERROR(__xludf.DUMMYFUNCTION("IFERROR(
    INDEX(FILTER('Arrived Shipments'!O:O, 'Arrived Shipments'!B:B=$B778),4),
    IFERROR(
        INDEX(FILTER('POed not arrived'!D:D, 'POed not arrived'!A:A=$B778),4),
        """"
    )
)"),"")</f>
        <v/>
      </c>
      <c r="S778" s="202"/>
      <c r="T778" s="202">
        <f t="shared" si="8"/>
        <v>0</v>
      </c>
      <c r="U778" s="198"/>
      <c r="V778" s="199"/>
      <c r="W778" s="197"/>
      <c r="X778" s="197"/>
      <c r="Y778" s="199"/>
      <c r="Z778" s="199"/>
      <c r="AA778" s="204" t="str">
        <f t="shared" si="4"/>
        <v/>
      </c>
      <c r="AB778" s="198"/>
      <c r="AC778" s="199"/>
      <c r="AD778" s="199"/>
      <c r="AE778" s="199"/>
      <c r="AF778" s="199"/>
      <c r="AG778" s="199"/>
      <c r="AH778" s="199"/>
      <c r="AI778" s="199"/>
      <c r="AJ778" s="199"/>
      <c r="AK778" s="199"/>
      <c r="AL778" s="199"/>
      <c r="AM778" s="198"/>
      <c r="AN778" s="197"/>
      <c r="AO778" s="197"/>
      <c r="AP778" s="197"/>
      <c r="AQ778" s="197"/>
      <c r="AR778" s="197"/>
      <c r="AS778" s="197"/>
    </row>
    <row r="779">
      <c r="A779" s="198" t="str">
        <f t="shared" si="1"/>
        <v/>
      </c>
      <c r="B779" s="205"/>
      <c r="C779" s="198"/>
      <c r="D779" s="199"/>
      <c r="E779" s="213"/>
      <c r="F779" s="198"/>
      <c r="G779" s="198"/>
      <c r="H779" s="199"/>
      <c r="I779" s="207"/>
      <c r="J779" s="199"/>
      <c r="K779" s="202"/>
      <c r="L779" s="205" t="str">
        <f>IFERROR(__xludf.DUMMYFUNCTION("IFERROR(
    INDEX(FILTER('Arrived Shipments'!O:O, 'Arrived Shipments'!B:B=$B779),1),
    IFERROR(
        INDEX(FILTER('POed not arrived'!D:D, 'POed not arrived'!A:A=$B779),1),
        """"
    )
)"),"")</f>
        <v/>
      </c>
      <c r="M779" s="202"/>
      <c r="N779" s="223" t="str">
        <f>IFERROR(__xludf.DUMMYFUNCTION("IFERROR(
    INDEX(FILTER('Arrived Shipments'!O:O, 'Arrived Shipments'!B:B=$B779),2),
    IFERROR(
        INDEX(FILTER('POed not arrived'!D:D, 'POed not arrived'!A:A=$B779),2),
        """"
    )
)"),"")</f>
        <v/>
      </c>
      <c r="O779" s="202"/>
      <c r="P779" s="202" t="str">
        <f>IFERROR(__xludf.DUMMYFUNCTION("IFERROR(
    INDEX(FILTER('Arrived Shipments'!O:O, 'Arrived Shipments'!B:B=$B779),3),
    IFERROR(
        INDEX(FILTER('POed not arrived'!D:D, 'POed not arrived'!A:A=$B779),3),
        """"
    )
)"),"")</f>
        <v/>
      </c>
      <c r="Q779" s="202"/>
      <c r="R779" s="206" t="str">
        <f>IFERROR(__xludf.DUMMYFUNCTION("IFERROR(
    INDEX(FILTER('Arrived Shipments'!O:O, 'Arrived Shipments'!B:B=$B779),4),
    IFERROR(
        INDEX(FILTER('POed not arrived'!D:D, 'POed not arrived'!A:A=$B779),4),
        """"
    )
)"),"")</f>
        <v/>
      </c>
      <c r="S779" s="202"/>
      <c r="T779" s="202">
        <f t="shared" si="8"/>
        <v>0</v>
      </c>
      <c r="U779" s="198"/>
      <c r="V779" s="199"/>
      <c r="W779" s="197"/>
      <c r="X779" s="197"/>
      <c r="Y779" s="199"/>
      <c r="Z779" s="199"/>
      <c r="AA779" s="204" t="str">
        <f t="shared" si="4"/>
        <v/>
      </c>
      <c r="AB779" s="198"/>
      <c r="AC779" s="199"/>
      <c r="AD779" s="199"/>
      <c r="AE779" s="199"/>
      <c r="AF779" s="199"/>
      <c r="AG779" s="199"/>
      <c r="AH779" s="199"/>
      <c r="AI779" s="199"/>
      <c r="AJ779" s="199"/>
      <c r="AK779" s="199"/>
      <c r="AL779" s="199"/>
      <c r="AM779" s="198"/>
      <c r="AN779" s="197"/>
      <c r="AO779" s="197"/>
      <c r="AP779" s="197"/>
      <c r="AQ779" s="197"/>
      <c r="AR779" s="197"/>
      <c r="AS779" s="197"/>
    </row>
    <row r="780">
      <c r="A780" s="198" t="str">
        <f t="shared" si="1"/>
        <v/>
      </c>
      <c r="B780" s="205"/>
      <c r="C780" s="198"/>
      <c r="D780" s="199"/>
      <c r="E780" s="213"/>
      <c r="F780" s="198"/>
      <c r="G780" s="198"/>
      <c r="H780" s="199"/>
      <c r="I780" s="207"/>
      <c r="J780" s="199"/>
      <c r="K780" s="202"/>
      <c r="L780" s="205" t="str">
        <f>IFERROR(__xludf.DUMMYFUNCTION("IFERROR(
    INDEX(FILTER('Arrived Shipments'!O:O, 'Arrived Shipments'!B:B=$B780),1),
    IFERROR(
        INDEX(FILTER('POed not arrived'!D:D, 'POed not arrived'!A:A=$B780),1),
        """"
    )
)"),"")</f>
        <v/>
      </c>
      <c r="M780" s="202"/>
      <c r="N780" s="223" t="str">
        <f>IFERROR(__xludf.DUMMYFUNCTION("IFERROR(
    INDEX(FILTER('Arrived Shipments'!O:O, 'Arrived Shipments'!B:B=$B780),2),
    IFERROR(
        INDEX(FILTER('POed not arrived'!D:D, 'POed not arrived'!A:A=$B780),2),
        """"
    )
)"),"")</f>
        <v/>
      </c>
      <c r="O780" s="202"/>
      <c r="P780" s="202" t="str">
        <f>IFERROR(__xludf.DUMMYFUNCTION("IFERROR(
    INDEX(FILTER('Arrived Shipments'!O:O, 'Arrived Shipments'!B:B=$B780),3),
    IFERROR(
        INDEX(FILTER('POed not arrived'!D:D, 'POed not arrived'!A:A=$B780),3),
        """"
    )
)"),"")</f>
        <v/>
      </c>
      <c r="Q780" s="202"/>
      <c r="R780" s="206" t="str">
        <f>IFERROR(__xludf.DUMMYFUNCTION("IFERROR(
    INDEX(FILTER('Arrived Shipments'!O:O, 'Arrived Shipments'!B:B=$B780),4),
    IFERROR(
        INDEX(FILTER('POed not arrived'!D:D, 'POed not arrived'!A:A=$B780),4),
        """"
    )
)"),"")</f>
        <v/>
      </c>
      <c r="S780" s="202"/>
      <c r="T780" s="202">
        <f t="shared" si="8"/>
        <v>0</v>
      </c>
      <c r="U780" s="198"/>
      <c r="V780" s="199"/>
      <c r="W780" s="197"/>
      <c r="X780" s="197"/>
      <c r="Y780" s="199"/>
      <c r="Z780" s="199"/>
      <c r="AA780" s="204" t="str">
        <f t="shared" si="4"/>
        <v/>
      </c>
      <c r="AB780" s="198"/>
      <c r="AC780" s="199"/>
      <c r="AD780" s="199"/>
      <c r="AE780" s="199"/>
      <c r="AF780" s="199"/>
      <c r="AG780" s="199"/>
      <c r="AH780" s="199"/>
      <c r="AI780" s="199"/>
      <c r="AJ780" s="199"/>
      <c r="AK780" s="199"/>
      <c r="AL780" s="199"/>
      <c r="AM780" s="198"/>
      <c r="AN780" s="197"/>
      <c r="AO780" s="197"/>
      <c r="AP780" s="197"/>
      <c r="AQ780" s="197"/>
      <c r="AR780" s="197"/>
      <c r="AS780" s="197"/>
    </row>
    <row r="781">
      <c r="A781" s="198" t="str">
        <f t="shared" si="1"/>
        <v/>
      </c>
      <c r="B781" s="205"/>
      <c r="C781" s="198"/>
      <c r="D781" s="199"/>
      <c r="E781" s="213"/>
      <c r="F781" s="198"/>
      <c r="G781" s="198"/>
      <c r="H781" s="199"/>
      <c r="I781" s="207"/>
      <c r="J781" s="199"/>
      <c r="K781" s="202"/>
      <c r="L781" s="205" t="str">
        <f>IFERROR(__xludf.DUMMYFUNCTION("IFERROR(
    INDEX(FILTER('Arrived Shipments'!O:O, 'Arrived Shipments'!B:B=$B781),1),
    IFERROR(
        INDEX(FILTER('POed not arrived'!D:D, 'POed not arrived'!A:A=$B781),1),
        """"
    )
)"),"")</f>
        <v/>
      </c>
      <c r="M781" s="202"/>
      <c r="N781" s="223" t="str">
        <f>IFERROR(__xludf.DUMMYFUNCTION("IFERROR(
    INDEX(FILTER('Arrived Shipments'!O:O, 'Arrived Shipments'!B:B=$B781),2),
    IFERROR(
        INDEX(FILTER('POed not arrived'!D:D, 'POed not arrived'!A:A=$B781),2),
        """"
    )
)"),"")</f>
        <v/>
      </c>
      <c r="O781" s="202"/>
      <c r="P781" s="202" t="str">
        <f>IFERROR(__xludf.DUMMYFUNCTION("IFERROR(
    INDEX(FILTER('Arrived Shipments'!O:O, 'Arrived Shipments'!B:B=$B781),3),
    IFERROR(
        INDEX(FILTER('POed not arrived'!D:D, 'POed not arrived'!A:A=$B781),3),
        """"
    )
)"),"")</f>
        <v/>
      </c>
      <c r="Q781" s="202"/>
      <c r="R781" s="206" t="str">
        <f>IFERROR(__xludf.DUMMYFUNCTION("IFERROR(
    INDEX(FILTER('Arrived Shipments'!O:O, 'Arrived Shipments'!B:B=$B781),4),
    IFERROR(
        INDEX(FILTER('POed not arrived'!D:D, 'POed not arrived'!A:A=$B781),4),
        """"
    )
)"),"")</f>
        <v/>
      </c>
      <c r="S781" s="202"/>
      <c r="T781" s="202">
        <f t="shared" si="8"/>
        <v>0</v>
      </c>
      <c r="U781" s="198"/>
      <c r="V781" s="199"/>
      <c r="W781" s="197"/>
      <c r="X781" s="197"/>
      <c r="Y781" s="199"/>
      <c r="Z781" s="199"/>
      <c r="AA781" s="204" t="str">
        <f t="shared" si="4"/>
        <v/>
      </c>
      <c r="AB781" s="198"/>
      <c r="AC781" s="199"/>
      <c r="AD781" s="199"/>
      <c r="AE781" s="199"/>
      <c r="AF781" s="199"/>
      <c r="AG781" s="199"/>
      <c r="AH781" s="199"/>
      <c r="AI781" s="199"/>
      <c r="AJ781" s="199"/>
      <c r="AK781" s="199"/>
      <c r="AL781" s="199"/>
      <c r="AM781" s="198"/>
      <c r="AN781" s="197"/>
      <c r="AO781" s="197"/>
      <c r="AP781" s="197"/>
      <c r="AQ781" s="197"/>
      <c r="AR781" s="197"/>
      <c r="AS781" s="197"/>
    </row>
    <row r="782">
      <c r="A782" s="198" t="str">
        <f t="shared" si="1"/>
        <v/>
      </c>
      <c r="B782" s="205"/>
      <c r="C782" s="198"/>
      <c r="D782" s="199"/>
      <c r="E782" s="213"/>
      <c r="F782" s="198"/>
      <c r="G782" s="198"/>
      <c r="H782" s="199"/>
      <c r="I782" s="207"/>
      <c r="J782" s="199"/>
      <c r="K782" s="202"/>
      <c r="L782" s="205" t="str">
        <f>IFERROR(__xludf.DUMMYFUNCTION("IFERROR(
    INDEX(FILTER('Arrived Shipments'!O:O, 'Arrived Shipments'!B:B=$B782),1),
    IFERROR(
        INDEX(FILTER('POed not arrived'!D:D, 'POed not arrived'!A:A=$B782),1),
        """"
    )
)"),"")</f>
        <v/>
      </c>
      <c r="M782" s="202"/>
      <c r="N782" s="223" t="str">
        <f>IFERROR(__xludf.DUMMYFUNCTION("IFERROR(
    INDEX(FILTER('Arrived Shipments'!O:O, 'Arrived Shipments'!B:B=$B782),2),
    IFERROR(
        INDEX(FILTER('POed not arrived'!D:D, 'POed not arrived'!A:A=$B782),2),
        """"
    )
)"),"")</f>
        <v/>
      </c>
      <c r="O782" s="202"/>
      <c r="P782" s="202" t="str">
        <f>IFERROR(__xludf.DUMMYFUNCTION("IFERROR(
    INDEX(FILTER('Arrived Shipments'!O:O, 'Arrived Shipments'!B:B=$B782),3),
    IFERROR(
        INDEX(FILTER('POed not arrived'!D:D, 'POed not arrived'!A:A=$B782),3),
        """"
    )
)"),"")</f>
        <v/>
      </c>
      <c r="Q782" s="202"/>
      <c r="R782" s="206" t="str">
        <f>IFERROR(__xludf.DUMMYFUNCTION("IFERROR(
    INDEX(FILTER('Arrived Shipments'!O:O, 'Arrived Shipments'!B:B=$B782),4),
    IFERROR(
        INDEX(FILTER('POed not arrived'!D:D, 'POed not arrived'!A:A=$B782),4),
        """"
    )
)"),"")</f>
        <v/>
      </c>
      <c r="S782" s="202"/>
      <c r="T782" s="202">
        <f t="shared" si="8"/>
        <v>0</v>
      </c>
      <c r="U782" s="198"/>
      <c r="V782" s="199"/>
      <c r="W782" s="197"/>
      <c r="X782" s="197"/>
      <c r="Y782" s="199"/>
      <c r="Z782" s="199"/>
      <c r="AA782" s="204" t="str">
        <f t="shared" si="4"/>
        <v/>
      </c>
      <c r="AB782" s="198"/>
      <c r="AC782" s="199"/>
      <c r="AD782" s="199"/>
      <c r="AE782" s="199"/>
      <c r="AF782" s="199"/>
      <c r="AG782" s="199"/>
      <c r="AH782" s="199"/>
      <c r="AI782" s="199"/>
      <c r="AJ782" s="199"/>
      <c r="AK782" s="199"/>
      <c r="AL782" s="199"/>
      <c r="AM782" s="198"/>
      <c r="AN782" s="197"/>
      <c r="AO782" s="197"/>
      <c r="AP782" s="197"/>
      <c r="AQ782" s="197"/>
      <c r="AR782" s="197"/>
      <c r="AS782" s="197"/>
    </row>
    <row r="783">
      <c r="A783" s="198" t="str">
        <f t="shared" si="1"/>
        <v/>
      </c>
      <c r="B783" s="205"/>
      <c r="C783" s="198"/>
      <c r="D783" s="199"/>
      <c r="E783" s="213"/>
      <c r="F783" s="198"/>
      <c r="G783" s="198"/>
      <c r="H783" s="199"/>
      <c r="I783" s="207"/>
      <c r="J783" s="199"/>
      <c r="K783" s="202"/>
      <c r="L783" s="205" t="str">
        <f>IFERROR(__xludf.DUMMYFUNCTION("IFERROR(
    INDEX(FILTER('Arrived Shipments'!O:O, 'Arrived Shipments'!B:B=$B783),1),
    IFERROR(
        INDEX(FILTER('POed not arrived'!D:D, 'POed not arrived'!A:A=$B783),1),
        """"
    )
)"),"")</f>
        <v/>
      </c>
      <c r="M783" s="202"/>
      <c r="N783" s="223" t="str">
        <f>IFERROR(__xludf.DUMMYFUNCTION("IFERROR(
    INDEX(FILTER('Arrived Shipments'!O:O, 'Arrived Shipments'!B:B=$B783),2),
    IFERROR(
        INDEX(FILTER('POed not arrived'!D:D, 'POed not arrived'!A:A=$B783),2),
        """"
    )
)"),"")</f>
        <v/>
      </c>
      <c r="O783" s="202"/>
      <c r="P783" s="202" t="str">
        <f>IFERROR(__xludf.DUMMYFUNCTION("IFERROR(
    INDEX(FILTER('Arrived Shipments'!O:O, 'Arrived Shipments'!B:B=$B783),3),
    IFERROR(
        INDEX(FILTER('POed not arrived'!D:D, 'POed not arrived'!A:A=$B783),3),
        """"
    )
)"),"")</f>
        <v/>
      </c>
      <c r="Q783" s="202"/>
      <c r="R783" s="206" t="str">
        <f>IFERROR(__xludf.DUMMYFUNCTION("IFERROR(
    INDEX(FILTER('Arrived Shipments'!O:O, 'Arrived Shipments'!B:B=$B783),4),
    IFERROR(
        INDEX(FILTER('POed not arrived'!D:D, 'POed not arrived'!A:A=$B783),4),
        """"
    )
)"),"")</f>
        <v/>
      </c>
      <c r="S783" s="202"/>
      <c r="T783" s="202">
        <f t="shared" si="8"/>
        <v>0</v>
      </c>
      <c r="U783" s="198"/>
      <c r="V783" s="199"/>
      <c r="W783" s="197"/>
      <c r="X783" s="197"/>
      <c r="Y783" s="199"/>
      <c r="Z783" s="199"/>
      <c r="AA783" s="204" t="str">
        <f t="shared" si="4"/>
        <v/>
      </c>
      <c r="AB783" s="198"/>
      <c r="AC783" s="199"/>
      <c r="AD783" s="199"/>
      <c r="AE783" s="199"/>
      <c r="AF783" s="199"/>
      <c r="AG783" s="199"/>
      <c r="AH783" s="199"/>
      <c r="AI783" s="199"/>
      <c r="AJ783" s="199"/>
      <c r="AK783" s="199"/>
      <c r="AL783" s="199"/>
      <c r="AM783" s="198"/>
      <c r="AN783" s="197"/>
      <c r="AO783" s="197"/>
      <c r="AP783" s="197"/>
      <c r="AQ783" s="197"/>
      <c r="AR783" s="197"/>
      <c r="AS783" s="197"/>
    </row>
    <row r="784">
      <c r="A784" s="198" t="str">
        <f t="shared" si="1"/>
        <v/>
      </c>
      <c r="B784" s="205"/>
      <c r="C784" s="198"/>
      <c r="D784" s="199"/>
      <c r="E784" s="213"/>
      <c r="F784" s="198"/>
      <c r="G784" s="198"/>
      <c r="H784" s="199"/>
      <c r="I784" s="207"/>
      <c r="J784" s="199"/>
      <c r="K784" s="202"/>
      <c r="L784" s="205" t="str">
        <f>IFERROR(__xludf.DUMMYFUNCTION("IFERROR(
    INDEX(FILTER('Arrived Shipments'!O:O, 'Arrived Shipments'!B:B=$B784),1),
    IFERROR(
        INDEX(FILTER('POed not arrived'!D:D, 'POed not arrived'!A:A=$B784),1),
        """"
    )
)"),"")</f>
        <v/>
      </c>
      <c r="M784" s="202"/>
      <c r="N784" s="223" t="str">
        <f>IFERROR(__xludf.DUMMYFUNCTION("IFERROR(
    INDEX(FILTER('Arrived Shipments'!O:O, 'Arrived Shipments'!B:B=$B784),2),
    IFERROR(
        INDEX(FILTER('POed not arrived'!D:D, 'POed not arrived'!A:A=$B784),2),
        """"
    )
)"),"")</f>
        <v/>
      </c>
      <c r="O784" s="202"/>
      <c r="P784" s="202" t="str">
        <f>IFERROR(__xludf.DUMMYFUNCTION("IFERROR(
    INDEX(FILTER('Arrived Shipments'!O:O, 'Arrived Shipments'!B:B=$B784),3),
    IFERROR(
        INDEX(FILTER('POed not arrived'!D:D, 'POed not arrived'!A:A=$B784),3),
        """"
    )
)"),"")</f>
        <v/>
      </c>
      <c r="Q784" s="202"/>
      <c r="R784" s="206" t="str">
        <f>IFERROR(__xludf.DUMMYFUNCTION("IFERROR(
    INDEX(FILTER('Arrived Shipments'!O:O, 'Arrived Shipments'!B:B=$B784),4),
    IFERROR(
        INDEX(FILTER('POed not arrived'!D:D, 'POed not arrived'!A:A=$B784),4),
        """"
    )
)"),"")</f>
        <v/>
      </c>
      <c r="S784" s="202"/>
      <c r="T784" s="202">
        <f t="shared" si="8"/>
        <v>0</v>
      </c>
      <c r="U784" s="198"/>
      <c r="V784" s="199"/>
      <c r="W784" s="197"/>
      <c r="X784" s="197"/>
      <c r="Y784" s="199"/>
      <c r="Z784" s="199"/>
      <c r="AA784" s="204" t="str">
        <f t="shared" si="4"/>
        <v/>
      </c>
      <c r="AB784" s="198"/>
      <c r="AC784" s="199"/>
      <c r="AD784" s="199"/>
      <c r="AE784" s="199"/>
      <c r="AF784" s="199"/>
      <c r="AG784" s="199"/>
      <c r="AH784" s="199"/>
      <c r="AI784" s="199"/>
      <c r="AJ784" s="199"/>
      <c r="AK784" s="199"/>
      <c r="AL784" s="199"/>
      <c r="AM784" s="198"/>
      <c r="AN784" s="197"/>
      <c r="AO784" s="197"/>
      <c r="AP784" s="197"/>
      <c r="AQ784" s="197"/>
      <c r="AR784" s="197"/>
      <c r="AS784" s="197"/>
    </row>
    <row r="785">
      <c r="A785" s="198" t="str">
        <f t="shared" si="1"/>
        <v/>
      </c>
      <c r="B785" s="205"/>
      <c r="C785" s="198"/>
      <c r="D785" s="199"/>
      <c r="E785" s="213"/>
      <c r="F785" s="198"/>
      <c r="G785" s="198"/>
      <c r="H785" s="199"/>
      <c r="I785" s="207"/>
      <c r="J785" s="199"/>
      <c r="K785" s="202"/>
      <c r="L785" s="205" t="str">
        <f>IFERROR(__xludf.DUMMYFUNCTION("IFERROR(
    INDEX(FILTER('Arrived Shipments'!O:O, 'Arrived Shipments'!B:B=$B785),1),
    IFERROR(
        INDEX(FILTER('POed not arrived'!D:D, 'POed not arrived'!A:A=$B785),1),
        """"
    )
)"),"")</f>
        <v/>
      </c>
      <c r="M785" s="202"/>
      <c r="N785" s="223" t="str">
        <f>IFERROR(__xludf.DUMMYFUNCTION("IFERROR(
    INDEX(FILTER('Arrived Shipments'!O:O, 'Arrived Shipments'!B:B=$B785),2),
    IFERROR(
        INDEX(FILTER('POed not arrived'!D:D, 'POed not arrived'!A:A=$B785),2),
        """"
    )
)"),"")</f>
        <v/>
      </c>
      <c r="O785" s="202"/>
      <c r="P785" s="202" t="str">
        <f>IFERROR(__xludf.DUMMYFUNCTION("IFERROR(
    INDEX(FILTER('Arrived Shipments'!O:O, 'Arrived Shipments'!B:B=$B785),3),
    IFERROR(
        INDEX(FILTER('POed not arrived'!D:D, 'POed not arrived'!A:A=$B785),3),
        """"
    )
)"),"")</f>
        <v/>
      </c>
      <c r="Q785" s="202"/>
      <c r="R785" s="206" t="str">
        <f>IFERROR(__xludf.DUMMYFUNCTION("IFERROR(
    INDEX(FILTER('Arrived Shipments'!O:O, 'Arrived Shipments'!B:B=$B785),4),
    IFERROR(
        INDEX(FILTER('POed not arrived'!D:D, 'POed not arrived'!A:A=$B785),4),
        """"
    )
)"),"")</f>
        <v/>
      </c>
      <c r="S785" s="202"/>
      <c r="T785" s="202">
        <f t="shared" si="8"/>
        <v>0</v>
      </c>
      <c r="U785" s="198"/>
      <c r="V785" s="199"/>
      <c r="W785" s="197"/>
      <c r="X785" s="197"/>
      <c r="Y785" s="199"/>
      <c r="Z785" s="199"/>
      <c r="AA785" s="204" t="str">
        <f t="shared" si="4"/>
        <v/>
      </c>
      <c r="AB785" s="198"/>
      <c r="AC785" s="199"/>
      <c r="AD785" s="199"/>
      <c r="AE785" s="199"/>
      <c r="AF785" s="199"/>
      <c r="AG785" s="199"/>
      <c r="AH785" s="199"/>
      <c r="AI785" s="199"/>
      <c r="AJ785" s="199"/>
      <c r="AK785" s="199"/>
      <c r="AL785" s="199"/>
      <c r="AM785" s="198"/>
      <c r="AN785" s="197"/>
      <c r="AO785" s="197"/>
      <c r="AP785" s="197"/>
      <c r="AQ785" s="197"/>
      <c r="AR785" s="197"/>
      <c r="AS785" s="197"/>
    </row>
    <row r="786">
      <c r="A786" s="198" t="str">
        <f t="shared" si="1"/>
        <v/>
      </c>
      <c r="B786" s="205"/>
      <c r="C786" s="198"/>
      <c r="D786" s="199"/>
      <c r="E786" s="213"/>
      <c r="F786" s="198"/>
      <c r="G786" s="198"/>
      <c r="H786" s="199"/>
      <c r="I786" s="207"/>
      <c r="J786" s="199"/>
      <c r="K786" s="202"/>
      <c r="L786" s="205" t="str">
        <f>IFERROR(__xludf.DUMMYFUNCTION("IFERROR(
    INDEX(FILTER('Arrived Shipments'!O:O, 'Arrived Shipments'!B:B=$B786),1),
    IFERROR(
        INDEX(FILTER('POed not arrived'!D:D, 'POed not arrived'!A:A=$B786),1),
        """"
    )
)"),"")</f>
        <v/>
      </c>
      <c r="M786" s="202"/>
      <c r="N786" s="223" t="str">
        <f>IFERROR(__xludf.DUMMYFUNCTION("IFERROR(
    INDEX(FILTER('Arrived Shipments'!O:O, 'Arrived Shipments'!B:B=$B786),2),
    IFERROR(
        INDEX(FILTER('POed not arrived'!D:D, 'POed not arrived'!A:A=$B786),2),
        """"
    )
)"),"")</f>
        <v/>
      </c>
      <c r="O786" s="202"/>
      <c r="P786" s="202" t="str">
        <f>IFERROR(__xludf.DUMMYFUNCTION("IFERROR(
    INDEX(FILTER('Arrived Shipments'!O:O, 'Arrived Shipments'!B:B=$B786),3),
    IFERROR(
        INDEX(FILTER('POed not arrived'!D:D, 'POed not arrived'!A:A=$B786),3),
        """"
    )
)"),"")</f>
        <v/>
      </c>
      <c r="Q786" s="202"/>
      <c r="R786" s="206" t="str">
        <f>IFERROR(__xludf.DUMMYFUNCTION("IFERROR(
    INDEX(FILTER('Arrived Shipments'!O:O, 'Arrived Shipments'!B:B=$B786),4),
    IFERROR(
        INDEX(FILTER('POed not arrived'!D:D, 'POed not arrived'!A:A=$B786),4),
        """"
    )
)"),"")</f>
        <v/>
      </c>
      <c r="S786" s="202"/>
      <c r="T786" s="202">
        <f t="shared" si="8"/>
        <v>0</v>
      </c>
      <c r="U786" s="198"/>
      <c r="V786" s="199"/>
      <c r="W786" s="197"/>
      <c r="X786" s="197"/>
      <c r="Y786" s="199"/>
      <c r="Z786" s="199"/>
      <c r="AA786" s="204" t="str">
        <f t="shared" si="4"/>
        <v/>
      </c>
      <c r="AB786" s="198"/>
      <c r="AC786" s="199"/>
      <c r="AD786" s="199"/>
      <c r="AE786" s="199"/>
      <c r="AF786" s="199"/>
      <c r="AG786" s="199"/>
      <c r="AH786" s="199"/>
      <c r="AI786" s="199"/>
      <c r="AJ786" s="199"/>
      <c r="AK786" s="199"/>
      <c r="AL786" s="199"/>
      <c r="AM786" s="198"/>
      <c r="AN786" s="197"/>
      <c r="AO786" s="197"/>
      <c r="AP786" s="197"/>
      <c r="AQ786" s="197"/>
      <c r="AR786" s="197"/>
      <c r="AS786" s="197"/>
    </row>
    <row r="787">
      <c r="A787" s="198" t="str">
        <f t="shared" si="1"/>
        <v/>
      </c>
      <c r="B787" s="205"/>
      <c r="C787" s="198"/>
      <c r="D787" s="199"/>
      <c r="E787" s="213"/>
      <c r="F787" s="198"/>
      <c r="G787" s="198"/>
      <c r="H787" s="199"/>
      <c r="I787" s="207"/>
      <c r="J787" s="199"/>
      <c r="K787" s="202"/>
      <c r="L787" s="205" t="str">
        <f>IFERROR(__xludf.DUMMYFUNCTION("IFERROR(
    INDEX(FILTER('Arrived Shipments'!O:O, 'Arrived Shipments'!B:B=$B787),1),
    IFERROR(
        INDEX(FILTER('POed not arrived'!D:D, 'POed not arrived'!A:A=$B787),1),
        """"
    )
)"),"")</f>
        <v/>
      </c>
      <c r="M787" s="202"/>
      <c r="N787" s="223" t="str">
        <f>IFERROR(__xludf.DUMMYFUNCTION("IFERROR(
    INDEX(FILTER('Arrived Shipments'!O:O, 'Arrived Shipments'!B:B=$B787),2),
    IFERROR(
        INDEX(FILTER('POed not arrived'!D:D, 'POed not arrived'!A:A=$B787),2),
        """"
    )
)"),"")</f>
        <v/>
      </c>
      <c r="O787" s="202"/>
      <c r="P787" s="202" t="str">
        <f>IFERROR(__xludf.DUMMYFUNCTION("IFERROR(
    INDEX(FILTER('Arrived Shipments'!O:O, 'Arrived Shipments'!B:B=$B787),3),
    IFERROR(
        INDEX(FILTER('POed not arrived'!D:D, 'POed not arrived'!A:A=$B787),3),
        """"
    )
)"),"")</f>
        <v/>
      </c>
      <c r="Q787" s="202"/>
      <c r="R787" s="206" t="str">
        <f>IFERROR(__xludf.DUMMYFUNCTION("IFERROR(
    INDEX(FILTER('Arrived Shipments'!O:O, 'Arrived Shipments'!B:B=$B787),4),
    IFERROR(
        INDEX(FILTER('POed not arrived'!D:D, 'POed not arrived'!A:A=$B787),4),
        """"
    )
)"),"")</f>
        <v/>
      </c>
      <c r="S787" s="202"/>
      <c r="T787" s="202">
        <f t="shared" si="8"/>
        <v>0</v>
      </c>
      <c r="U787" s="198"/>
      <c r="V787" s="199"/>
      <c r="W787" s="197"/>
      <c r="X787" s="197"/>
      <c r="Y787" s="199"/>
      <c r="Z787" s="199"/>
      <c r="AA787" s="204" t="str">
        <f t="shared" si="4"/>
        <v/>
      </c>
      <c r="AB787" s="198"/>
      <c r="AC787" s="199"/>
      <c r="AD787" s="199"/>
      <c r="AE787" s="199"/>
      <c r="AF787" s="199"/>
      <c r="AG787" s="199"/>
      <c r="AH787" s="199"/>
      <c r="AI787" s="199"/>
      <c r="AJ787" s="199"/>
      <c r="AK787" s="199"/>
      <c r="AL787" s="199"/>
      <c r="AM787" s="198"/>
      <c r="AN787" s="197"/>
      <c r="AO787" s="197"/>
      <c r="AP787" s="197"/>
      <c r="AQ787" s="197"/>
      <c r="AR787" s="197"/>
      <c r="AS787" s="197"/>
    </row>
    <row r="788">
      <c r="A788" s="198" t="str">
        <f t="shared" si="1"/>
        <v/>
      </c>
      <c r="B788" s="205"/>
      <c r="C788" s="198"/>
      <c r="D788" s="199"/>
      <c r="E788" s="213"/>
      <c r="F788" s="198"/>
      <c r="G788" s="198"/>
      <c r="H788" s="199"/>
      <c r="I788" s="207"/>
      <c r="J788" s="199"/>
      <c r="K788" s="202"/>
      <c r="L788" s="205" t="str">
        <f>IFERROR(__xludf.DUMMYFUNCTION("IFERROR(
    INDEX(FILTER('Arrived Shipments'!O:O, 'Arrived Shipments'!B:B=$B788),1),
    IFERROR(
        INDEX(FILTER('POed not arrived'!D:D, 'POed not arrived'!A:A=$B788),1),
        """"
    )
)"),"")</f>
        <v/>
      </c>
      <c r="M788" s="202"/>
      <c r="N788" s="223" t="str">
        <f>IFERROR(__xludf.DUMMYFUNCTION("IFERROR(
    INDEX(FILTER('Arrived Shipments'!O:O, 'Arrived Shipments'!B:B=$B788),2),
    IFERROR(
        INDEX(FILTER('POed not arrived'!D:D, 'POed not arrived'!A:A=$B788),2),
        """"
    )
)"),"")</f>
        <v/>
      </c>
      <c r="O788" s="202"/>
      <c r="P788" s="202" t="str">
        <f>IFERROR(__xludf.DUMMYFUNCTION("IFERROR(
    INDEX(FILTER('Arrived Shipments'!O:O, 'Arrived Shipments'!B:B=$B788),3),
    IFERROR(
        INDEX(FILTER('POed not arrived'!D:D, 'POed not arrived'!A:A=$B788),3),
        """"
    )
)"),"")</f>
        <v/>
      </c>
      <c r="Q788" s="202"/>
      <c r="R788" s="206" t="str">
        <f>IFERROR(__xludf.DUMMYFUNCTION("IFERROR(
    INDEX(FILTER('Arrived Shipments'!O:O, 'Arrived Shipments'!B:B=$B788),4),
    IFERROR(
        INDEX(FILTER('POed not arrived'!D:D, 'POed not arrived'!A:A=$B788),4),
        """"
    )
)"),"")</f>
        <v/>
      </c>
      <c r="S788" s="202"/>
      <c r="T788" s="202">
        <f t="shared" si="8"/>
        <v>0</v>
      </c>
      <c r="U788" s="198"/>
      <c r="V788" s="199"/>
      <c r="W788" s="197"/>
      <c r="X788" s="197"/>
      <c r="Y788" s="199"/>
      <c r="Z788" s="199"/>
      <c r="AA788" s="204" t="str">
        <f t="shared" si="4"/>
        <v/>
      </c>
      <c r="AB788" s="198"/>
      <c r="AC788" s="199"/>
      <c r="AD788" s="199"/>
      <c r="AE788" s="199"/>
      <c r="AF788" s="199"/>
      <c r="AG788" s="199"/>
      <c r="AH788" s="199"/>
      <c r="AI788" s="199"/>
      <c r="AJ788" s="199"/>
      <c r="AK788" s="199"/>
      <c r="AL788" s="199"/>
      <c r="AM788" s="198"/>
      <c r="AN788" s="197"/>
      <c r="AO788" s="197"/>
      <c r="AP788" s="197"/>
      <c r="AQ788" s="197"/>
      <c r="AR788" s="197"/>
      <c r="AS788" s="197"/>
    </row>
    <row r="789">
      <c r="A789" s="198" t="str">
        <f t="shared" si="1"/>
        <v/>
      </c>
      <c r="B789" s="205"/>
      <c r="C789" s="198"/>
      <c r="D789" s="199"/>
      <c r="E789" s="213"/>
      <c r="F789" s="198"/>
      <c r="G789" s="198"/>
      <c r="H789" s="199"/>
      <c r="I789" s="207"/>
      <c r="J789" s="199"/>
      <c r="K789" s="202"/>
      <c r="L789" s="205" t="str">
        <f>IFERROR(__xludf.DUMMYFUNCTION("IFERROR(
    INDEX(FILTER('Arrived Shipments'!O:O, 'Arrived Shipments'!B:B=$B789),1),
    IFERROR(
        INDEX(FILTER('POed not arrived'!D:D, 'POed not arrived'!A:A=$B789),1),
        """"
    )
)"),"")</f>
        <v/>
      </c>
      <c r="M789" s="202"/>
      <c r="N789" s="223" t="str">
        <f>IFERROR(__xludf.DUMMYFUNCTION("IFERROR(
    INDEX(FILTER('Arrived Shipments'!O:O, 'Arrived Shipments'!B:B=$B789),2),
    IFERROR(
        INDEX(FILTER('POed not arrived'!D:D, 'POed not arrived'!A:A=$B789),2),
        """"
    )
)"),"")</f>
        <v/>
      </c>
      <c r="O789" s="202"/>
      <c r="P789" s="202" t="str">
        <f>IFERROR(__xludf.DUMMYFUNCTION("IFERROR(
    INDEX(FILTER('Arrived Shipments'!O:O, 'Arrived Shipments'!B:B=$B789),3),
    IFERROR(
        INDEX(FILTER('POed not arrived'!D:D, 'POed not arrived'!A:A=$B789),3),
        """"
    )
)"),"")</f>
        <v/>
      </c>
      <c r="Q789" s="202"/>
      <c r="R789" s="206" t="str">
        <f>IFERROR(__xludf.DUMMYFUNCTION("IFERROR(
    INDEX(FILTER('Arrived Shipments'!O:O, 'Arrived Shipments'!B:B=$B789),4),
    IFERROR(
        INDEX(FILTER('POed not arrived'!D:D, 'POed not arrived'!A:A=$B789),4),
        """"
    )
)"),"")</f>
        <v/>
      </c>
      <c r="S789" s="202"/>
      <c r="T789" s="202">
        <f t="shared" si="8"/>
        <v>0</v>
      </c>
      <c r="U789" s="198"/>
      <c r="V789" s="199"/>
      <c r="W789" s="197"/>
      <c r="X789" s="197"/>
      <c r="Y789" s="199"/>
      <c r="Z789" s="199"/>
      <c r="AA789" s="204" t="str">
        <f t="shared" si="4"/>
        <v/>
      </c>
      <c r="AB789" s="198"/>
      <c r="AC789" s="199"/>
      <c r="AD789" s="199"/>
      <c r="AE789" s="199"/>
      <c r="AF789" s="199"/>
      <c r="AG789" s="199"/>
      <c r="AH789" s="199"/>
      <c r="AI789" s="199"/>
      <c r="AJ789" s="199"/>
      <c r="AK789" s="199"/>
      <c r="AL789" s="199"/>
      <c r="AM789" s="198"/>
      <c r="AN789" s="197"/>
      <c r="AO789" s="197"/>
      <c r="AP789" s="197"/>
      <c r="AQ789" s="197"/>
      <c r="AR789" s="197"/>
      <c r="AS789" s="197"/>
    </row>
    <row r="790">
      <c r="A790" s="198" t="str">
        <f t="shared" si="1"/>
        <v/>
      </c>
      <c r="B790" s="205"/>
      <c r="C790" s="198"/>
      <c r="D790" s="199"/>
      <c r="E790" s="213"/>
      <c r="F790" s="198"/>
      <c r="G790" s="198"/>
      <c r="H790" s="199"/>
      <c r="I790" s="207"/>
      <c r="J790" s="199"/>
      <c r="K790" s="202"/>
      <c r="L790" s="205" t="str">
        <f>IFERROR(__xludf.DUMMYFUNCTION("IFERROR(
    INDEX(FILTER('Arrived Shipments'!O:O, 'Arrived Shipments'!B:B=$B790),1),
    IFERROR(
        INDEX(FILTER('POed not arrived'!D:D, 'POed not arrived'!A:A=$B790),1),
        """"
    )
)"),"")</f>
        <v/>
      </c>
      <c r="M790" s="202"/>
      <c r="N790" s="223" t="str">
        <f>IFERROR(__xludf.DUMMYFUNCTION("IFERROR(
    INDEX(FILTER('Arrived Shipments'!O:O, 'Arrived Shipments'!B:B=$B790),2),
    IFERROR(
        INDEX(FILTER('POed not arrived'!D:D, 'POed not arrived'!A:A=$B790),2),
        """"
    )
)"),"")</f>
        <v/>
      </c>
      <c r="O790" s="202"/>
      <c r="P790" s="202" t="str">
        <f>IFERROR(__xludf.DUMMYFUNCTION("IFERROR(
    INDEX(FILTER('Arrived Shipments'!O:O, 'Arrived Shipments'!B:B=$B790),3),
    IFERROR(
        INDEX(FILTER('POed not arrived'!D:D, 'POed not arrived'!A:A=$B790),3),
        """"
    )
)"),"")</f>
        <v/>
      </c>
      <c r="Q790" s="202"/>
      <c r="R790" s="206" t="str">
        <f>IFERROR(__xludf.DUMMYFUNCTION("IFERROR(
    INDEX(FILTER('Arrived Shipments'!O:O, 'Arrived Shipments'!B:B=$B790),4),
    IFERROR(
        INDEX(FILTER('POed not arrived'!D:D, 'POed not arrived'!A:A=$B790),4),
        """"
    )
)"),"")</f>
        <v/>
      </c>
      <c r="S790" s="202"/>
      <c r="T790" s="202">
        <f t="shared" si="8"/>
        <v>0</v>
      </c>
      <c r="U790" s="198"/>
      <c r="V790" s="199"/>
      <c r="W790" s="197"/>
      <c r="X790" s="197"/>
      <c r="Y790" s="199"/>
      <c r="Z790" s="199"/>
      <c r="AA790" s="204" t="str">
        <f t="shared" si="4"/>
        <v/>
      </c>
      <c r="AB790" s="198"/>
      <c r="AC790" s="199"/>
      <c r="AD790" s="199"/>
      <c r="AE790" s="199"/>
      <c r="AF790" s="199"/>
      <c r="AG790" s="199"/>
      <c r="AH790" s="199"/>
      <c r="AI790" s="199"/>
      <c r="AJ790" s="199"/>
      <c r="AK790" s="199"/>
      <c r="AL790" s="199"/>
      <c r="AM790" s="198"/>
      <c r="AN790" s="197"/>
      <c r="AO790" s="197"/>
      <c r="AP790" s="197"/>
      <c r="AQ790" s="197"/>
      <c r="AR790" s="197"/>
      <c r="AS790" s="197"/>
    </row>
    <row r="791">
      <c r="A791" s="198" t="str">
        <f t="shared" si="1"/>
        <v/>
      </c>
      <c r="B791" s="205"/>
      <c r="C791" s="198"/>
      <c r="D791" s="199"/>
      <c r="E791" s="213"/>
      <c r="F791" s="198"/>
      <c r="G791" s="198"/>
      <c r="H791" s="199"/>
      <c r="I791" s="207"/>
      <c r="J791" s="199"/>
      <c r="K791" s="202"/>
      <c r="L791" s="205" t="str">
        <f>IFERROR(__xludf.DUMMYFUNCTION("IFERROR(
    INDEX(FILTER('Arrived Shipments'!O:O, 'Arrived Shipments'!B:B=$B791),1),
    IFERROR(
        INDEX(FILTER('POed not arrived'!D:D, 'POed not arrived'!A:A=$B791),1),
        """"
    )
)"),"")</f>
        <v/>
      </c>
      <c r="M791" s="202"/>
      <c r="N791" s="223" t="str">
        <f>IFERROR(__xludf.DUMMYFUNCTION("IFERROR(
    INDEX(FILTER('Arrived Shipments'!O:O, 'Arrived Shipments'!B:B=$B791),2),
    IFERROR(
        INDEX(FILTER('POed not arrived'!D:D, 'POed not arrived'!A:A=$B791),2),
        """"
    )
)"),"")</f>
        <v/>
      </c>
      <c r="O791" s="202"/>
      <c r="P791" s="202" t="str">
        <f>IFERROR(__xludf.DUMMYFUNCTION("IFERROR(
    INDEX(FILTER('Arrived Shipments'!O:O, 'Arrived Shipments'!B:B=$B791),3),
    IFERROR(
        INDEX(FILTER('POed not arrived'!D:D, 'POed not arrived'!A:A=$B791),3),
        """"
    )
)"),"")</f>
        <v/>
      </c>
      <c r="Q791" s="202"/>
      <c r="R791" s="206" t="str">
        <f>IFERROR(__xludf.DUMMYFUNCTION("IFERROR(
    INDEX(FILTER('Arrived Shipments'!O:O, 'Arrived Shipments'!B:B=$B791),4),
    IFERROR(
        INDEX(FILTER('POed not arrived'!D:D, 'POed not arrived'!A:A=$B791),4),
        """"
    )
)"),"")</f>
        <v/>
      </c>
      <c r="S791" s="202"/>
      <c r="T791" s="202">
        <f t="shared" si="8"/>
        <v>0</v>
      </c>
      <c r="U791" s="198"/>
      <c r="V791" s="199"/>
      <c r="W791" s="197"/>
      <c r="X791" s="197"/>
      <c r="Y791" s="199"/>
      <c r="Z791" s="199"/>
      <c r="AA791" s="204" t="str">
        <f t="shared" si="4"/>
        <v/>
      </c>
      <c r="AB791" s="198"/>
      <c r="AC791" s="199"/>
      <c r="AD791" s="199"/>
      <c r="AE791" s="199"/>
      <c r="AF791" s="199"/>
      <c r="AG791" s="199"/>
      <c r="AH791" s="199"/>
      <c r="AI791" s="199"/>
      <c r="AJ791" s="199"/>
      <c r="AK791" s="199"/>
      <c r="AL791" s="199"/>
      <c r="AM791" s="198"/>
      <c r="AN791" s="197"/>
      <c r="AO791" s="197"/>
      <c r="AP791" s="197"/>
      <c r="AQ791" s="197"/>
      <c r="AR791" s="197"/>
      <c r="AS791" s="197"/>
    </row>
    <row r="792">
      <c r="A792" s="198" t="str">
        <f t="shared" si="1"/>
        <v/>
      </c>
      <c r="B792" s="205"/>
      <c r="C792" s="198"/>
      <c r="D792" s="199"/>
      <c r="E792" s="213"/>
      <c r="F792" s="198"/>
      <c r="G792" s="198"/>
      <c r="H792" s="199"/>
      <c r="I792" s="207"/>
      <c r="J792" s="199"/>
      <c r="K792" s="202"/>
      <c r="L792" s="205" t="str">
        <f>IFERROR(__xludf.DUMMYFUNCTION("IFERROR(
    INDEX(FILTER('Arrived Shipments'!O:O, 'Arrived Shipments'!B:B=$B792),1),
    IFERROR(
        INDEX(FILTER('POed not arrived'!D:D, 'POed not arrived'!A:A=$B792),1),
        """"
    )
)"),"")</f>
        <v/>
      </c>
      <c r="M792" s="202"/>
      <c r="N792" s="223" t="str">
        <f>IFERROR(__xludf.DUMMYFUNCTION("IFERROR(
    INDEX(FILTER('Arrived Shipments'!O:O, 'Arrived Shipments'!B:B=$B792),2),
    IFERROR(
        INDEX(FILTER('POed not arrived'!D:D, 'POed not arrived'!A:A=$B792),2),
        """"
    )
)"),"")</f>
        <v/>
      </c>
      <c r="O792" s="202"/>
      <c r="P792" s="202" t="str">
        <f>IFERROR(__xludf.DUMMYFUNCTION("IFERROR(
    INDEX(FILTER('Arrived Shipments'!O:O, 'Arrived Shipments'!B:B=$B792),3),
    IFERROR(
        INDEX(FILTER('POed not arrived'!D:D, 'POed not arrived'!A:A=$B792),3),
        """"
    )
)"),"")</f>
        <v/>
      </c>
      <c r="Q792" s="202"/>
      <c r="R792" s="206" t="str">
        <f>IFERROR(__xludf.DUMMYFUNCTION("IFERROR(
    INDEX(FILTER('Arrived Shipments'!O:O, 'Arrived Shipments'!B:B=$B792),4),
    IFERROR(
        INDEX(FILTER('POed not arrived'!D:D, 'POed not arrived'!A:A=$B792),4),
        """"
    )
)"),"")</f>
        <v/>
      </c>
      <c r="S792" s="202"/>
      <c r="T792" s="202">
        <f t="shared" si="8"/>
        <v>0</v>
      </c>
      <c r="U792" s="198"/>
      <c r="V792" s="199"/>
      <c r="W792" s="197"/>
      <c r="X792" s="197"/>
      <c r="Y792" s="199"/>
      <c r="Z792" s="199"/>
      <c r="AA792" s="204" t="str">
        <f t="shared" si="4"/>
        <v/>
      </c>
      <c r="AB792" s="198"/>
      <c r="AC792" s="199"/>
      <c r="AD792" s="199"/>
      <c r="AE792" s="199"/>
      <c r="AF792" s="199"/>
      <c r="AG792" s="199"/>
      <c r="AH792" s="199"/>
      <c r="AI792" s="199"/>
      <c r="AJ792" s="199"/>
      <c r="AK792" s="199"/>
      <c r="AL792" s="199"/>
      <c r="AM792" s="198"/>
      <c r="AN792" s="197"/>
      <c r="AO792" s="197"/>
      <c r="AP792" s="197"/>
      <c r="AQ792" s="197"/>
      <c r="AR792" s="197"/>
      <c r="AS792" s="197"/>
    </row>
    <row r="793">
      <c r="A793" s="198" t="str">
        <f t="shared" si="1"/>
        <v/>
      </c>
      <c r="B793" s="205"/>
      <c r="C793" s="198"/>
      <c r="D793" s="199"/>
      <c r="E793" s="213"/>
      <c r="F793" s="198"/>
      <c r="G793" s="198"/>
      <c r="H793" s="199"/>
      <c r="I793" s="207"/>
      <c r="J793" s="199"/>
      <c r="K793" s="202"/>
      <c r="L793" s="205" t="str">
        <f>IFERROR(__xludf.DUMMYFUNCTION("IFERROR(
    INDEX(FILTER('Arrived Shipments'!O:O, 'Arrived Shipments'!B:B=$B793),1),
    IFERROR(
        INDEX(FILTER('POed not arrived'!D:D, 'POed not arrived'!A:A=$B793),1),
        """"
    )
)"),"")</f>
        <v/>
      </c>
      <c r="M793" s="202"/>
      <c r="N793" s="223" t="str">
        <f>IFERROR(__xludf.DUMMYFUNCTION("IFERROR(
    INDEX(FILTER('Arrived Shipments'!O:O, 'Arrived Shipments'!B:B=$B793),2),
    IFERROR(
        INDEX(FILTER('POed not arrived'!D:D, 'POed not arrived'!A:A=$B793),2),
        """"
    )
)"),"")</f>
        <v/>
      </c>
      <c r="O793" s="202"/>
      <c r="P793" s="202" t="str">
        <f>IFERROR(__xludf.DUMMYFUNCTION("IFERROR(
    INDEX(FILTER('Arrived Shipments'!O:O, 'Arrived Shipments'!B:B=$B793),3),
    IFERROR(
        INDEX(FILTER('POed not arrived'!D:D, 'POed not arrived'!A:A=$B793),3),
        """"
    )
)"),"")</f>
        <v/>
      </c>
      <c r="Q793" s="202"/>
      <c r="R793" s="206" t="str">
        <f>IFERROR(__xludf.DUMMYFUNCTION("IFERROR(
    INDEX(FILTER('Arrived Shipments'!O:O, 'Arrived Shipments'!B:B=$B793),4),
    IFERROR(
        INDEX(FILTER('POed not arrived'!D:D, 'POed not arrived'!A:A=$B793),4),
        """"
    )
)"),"")</f>
        <v/>
      </c>
      <c r="S793" s="202"/>
      <c r="T793" s="202">
        <f t="shared" si="8"/>
        <v>0</v>
      </c>
      <c r="U793" s="198"/>
      <c r="V793" s="199"/>
      <c r="W793" s="197"/>
      <c r="X793" s="197"/>
      <c r="Y793" s="199"/>
      <c r="Z793" s="199"/>
      <c r="AA793" s="204" t="str">
        <f t="shared" si="4"/>
        <v/>
      </c>
      <c r="AB793" s="198"/>
      <c r="AC793" s="199"/>
      <c r="AD793" s="199"/>
      <c r="AE793" s="199"/>
      <c r="AF793" s="199"/>
      <c r="AG793" s="199"/>
      <c r="AH793" s="199"/>
      <c r="AI793" s="199"/>
      <c r="AJ793" s="199"/>
      <c r="AK793" s="199"/>
      <c r="AL793" s="199"/>
      <c r="AM793" s="198"/>
      <c r="AN793" s="197"/>
      <c r="AO793" s="197"/>
      <c r="AP793" s="197"/>
      <c r="AQ793" s="197"/>
      <c r="AR793" s="197"/>
      <c r="AS793" s="197"/>
    </row>
    <row r="794">
      <c r="A794" s="198" t="str">
        <f t="shared" si="1"/>
        <v/>
      </c>
      <c r="B794" s="205"/>
      <c r="C794" s="198"/>
      <c r="D794" s="199"/>
      <c r="E794" s="213"/>
      <c r="F794" s="198"/>
      <c r="G794" s="198"/>
      <c r="H794" s="199"/>
      <c r="I794" s="207"/>
      <c r="J794" s="199"/>
      <c r="K794" s="202"/>
      <c r="L794" s="205" t="str">
        <f>IFERROR(__xludf.DUMMYFUNCTION("IFERROR(
    INDEX(FILTER('Arrived Shipments'!O:O, 'Arrived Shipments'!B:B=$B794),1),
    IFERROR(
        INDEX(FILTER('POed not arrived'!D:D, 'POed not arrived'!A:A=$B794),1),
        """"
    )
)"),"")</f>
        <v/>
      </c>
      <c r="M794" s="202"/>
      <c r="N794" s="223" t="str">
        <f>IFERROR(__xludf.DUMMYFUNCTION("IFERROR(
    INDEX(FILTER('Arrived Shipments'!O:O, 'Arrived Shipments'!B:B=$B794),2),
    IFERROR(
        INDEX(FILTER('POed not arrived'!D:D, 'POed not arrived'!A:A=$B794),2),
        """"
    )
)"),"")</f>
        <v/>
      </c>
      <c r="O794" s="202"/>
      <c r="P794" s="202" t="str">
        <f>IFERROR(__xludf.DUMMYFUNCTION("IFERROR(
    INDEX(FILTER('Arrived Shipments'!O:O, 'Arrived Shipments'!B:B=$B794),3),
    IFERROR(
        INDEX(FILTER('POed not arrived'!D:D, 'POed not arrived'!A:A=$B794),3),
        """"
    )
)"),"")</f>
        <v/>
      </c>
      <c r="Q794" s="202"/>
      <c r="R794" s="206" t="str">
        <f>IFERROR(__xludf.DUMMYFUNCTION("IFERROR(
    INDEX(FILTER('Arrived Shipments'!O:O, 'Arrived Shipments'!B:B=$B794),4),
    IFERROR(
        INDEX(FILTER('POed not arrived'!D:D, 'POed not arrived'!A:A=$B794),4),
        """"
    )
)"),"")</f>
        <v/>
      </c>
      <c r="S794" s="202"/>
      <c r="T794" s="202">
        <f t="shared" si="8"/>
        <v>0</v>
      </c>
      <c r="U794" s="198"/>
      <c r="V794" s="199"/>
      <c r="W794" s="197"/>
      <c r="X794" s="197"/>
      <c r="Y794" s="199"/>
      <c r="Z794" s="199"/>
      <c r="AA794" s="204" t="str">
        <f t="shared" si="4"/>
        <v/>
      </c>
      <c r="AB794" s="198"/>
      <c r="AC794" s="199"/>
      <c r="AD794" s="199"/>
      <c r="AE794" s="199"/>
      <c r="AF794" s="199"/>
      <c r="AG794" s="199"/>
      <c r="AH794" s="199"/>
      <c r="AI794" s="199"/>
      <c r="AJ794" s="199"/>
      <c r="AK794" s="199"/>
      <c r="AL794" s="199"/>
      <c r="AM794" s="198"/>
      <c r="AN794" s="197"/>
      <c r="AO794" s="197"/>
      <c r="AP794" s="197"/>
      <c r="AQ794" s="197"/>
      <c r="AR794" s="197"/>
      <c r="AS794" s="197"/>
    </row>
    <row r="795">
      <c r="A795" s="198" t="str">
        <f t="shared" si="1"/>
        <v/>
      </c>
      <c r="B795" s="205"/>
      <c r="C795" s="198"/>
      <c r="D795" s="199"/>
      <c r="E795" s="213"/>
      <c r="F795" s="198"/>
      <c r="G795" s="198"/>
      <c r="H795" s="199"/>
      <c r="I795" s="207"/>
      <c r="J795" s="199"/>
      <c r="K795" s="202"/>
      <c r="L795" s="205" t="str">
        <f>IFERROR(__xludf.DUMMYFUNCTION("IFERROR(
    INDEX(FILTER('Arrived Shipments'!O:O, 'Arrived Shipments'!B:B=$B795),1),
    IFERROR(
        INDEX(FILTER('POed not arrived'!D:D, 'POed not arrived'!A:A=$B795),1),
        """"
    )
)"),"")</f>
        <v/>
      </c>
      <c r="M795" s="202"/>
      <c r="N795" s="223" t="str">
        <f>IFERROR(__xludf.DUMMYFUNCTION("IFERROR(
    INDEX(FILTER('Arrived Shipments'!O:O, 'Arrived Shipments'!B:B=$B795),2),
    IFERROR(
        INDEX(FILTER('POed not arrived'!D:D, 'POed not arrived'!A:A=$B795),2),
        """"
    )
)"),"")</f>
        <v/>
      </c>
      <c r="O795" s="202"/>
      <c r="P795" s="202" t="str">
        <f>IFERROR(__xludf.DUMMYFUNCTION("IFERROR(
    INDEX(FILTER('Arrived Shipments'!O:O, 'Arrived Shipments'!B:B=$B795),3),
    IFERROR(
        INDEX(FILTER('POed not arrived'!D:D, 'POed not arrived'!A:A=$B795),3),
        """"
    )
)"),"")</f>
        <v/>
      </c>
      <c r="Q795" s="202"/>
      <c r="R795" s="206" t="str">
        <f>IFERROR(__xludf.DUMMYFUNCTION("IFERROR(
    INDEX(FILTER('Arrived Shipments'!O:O, 'Arrived Shipments'!B:B=$B795),4),
    IFERROR(
        INDEX(FILTER('POed not arrived'!D:D, 'POed not arrived'!A:A=$B795),4),
        """"
    )
)"),"")</f>
        <v/>
      </c>
      <c r="S795" s="202"/>
      <c r="T795" s="202">
        <f t="shared" si="8"/>
        <v>0</v>
      </c>
      <c r="U795" s="198"/>
      <c r="V795" s="199"/>
      <c r="W795" s="197"/>
      <c r="X795" s="197"/>
      <c r="Y795" s="199"/>
      <c r="Z795" s="199"/>
      <c r="AA795" s="204" t="str">
        <f t="shared" si="4"/>
        <v/>
      </c>
      <c r="AB795" s="198"/>
      <c r="AC795" s="199"/>
      <c r="AD795" s="199"/>
      <c r="AE795" s="199"/>
      <c r="AF795" s="199"/>
      <c r="AG795" s="199"/>
      <c r="AH795" s="199"/>
      <c r="AI795" s="199"/>
      <c r="AJ795" s="199"/>
      <c r="AK795" s="199"/>
      <c r="AL795" s="199"/>
      <c r="AM795" s="198"/>
      <c r="AN795" s="197"/>
      <c r="AO795" s="197"/>
      <c r="AP795" s="197"/>
      <c r="AQ795" s="197"/>
      <c r="AR795" s="197"/>
      <c r="AS795" s="197"/>
    </row>
    <row r="796">
      <c r="A796" s="198" t="str">
        <f t="shared" si="1"/>
        <v/>
      </c>
      <c r="B796" s="205"/>
      <c r="C796" s="198"/>
      <c r="D796" s="199"/>
      <c r="E796" s="213"/>
      <c r="F796" s="198"/>
      <c r="G796" s="198"/>
      <c r="H796" s="199"/>
      <c r="I796" s="207"/>
      <c r="J796" s="199"/>
      <c r="K796" s="202"/>
      <c r="L796" s="205" t="str">
        <f>IFERROR(__xludf.DUMMYFUNCTION("IFERROR(
    INDEX(FILTER('Arrived Shipments'!O:O, 'Arrived Shipments'!B:B=$B796),1),
    IFERROR(
        INDEX(FILTER('POed not arrived'!D:D, 'POed not arrived'!A:A=$B796),1),
        """"
    )
)"),"")</f>
        <v/>
      </c>
      <c r="M796" s="202"/>
      <c r="N796" s="223" t="str">
        <f>IFERROR(__xludf.DUMMYFUNCTION("IFERROR(
    INDEX(FILTER('Arrived Shipments'!O:O, 'Arrived Shipments'!B:B=$B796),2),
    IFERROR(
        INDEX(FILTER('POed not arrived'!D:D, 'POed not arrived'!A:A=$B796),2),
        """"
    )
)"),"")</f>
        <v/>
      </c>
      <c r="O796" s="202"/>
      <c r="P796" s="202" t="str">
        <f>IFERROR(__xludf.DUMMYFUNCTION("IFERROR(
    INDEX(FILTER('Arrived Shipments'!O:O, 'Arrived Shipments'!B:B=$B796),3),
    IFERROR(
        INDEX(FILTER('POed not arrived'!D:D, 'POed not arrived'!A:A=$B796),3),
        """"
    )
)"),"")</f>
        <v/>
      </c>
      <c r="Q796" s="202"/>
      <c r="R796" s="206" t="str">
        <f>IFERROR(__xludf.DUMMYFUNCTION("IFERROR(
    INDEX(FILTER('Arrived Shipments'!O:O, 'Arrived Shipments'!B:B=$B796),4),
    IFERROR(
        INDEX(FILTER('POed not arrived'!D:D, 'POed not arrived'!A:A=$B796),4),
        """"
    )
)"),"")</f>
        <v/>
      </c>
      <c r="S796" s="202"/>
      <c r="T796" s="202">
        <f t="shared" si="8"/>
        <v>0</v>
      </c>
      <c r="U796" s="198"/>
      <c r="V796" s="199"/>
      <c r="W796" s="197"/>
      <c r="X796" s="197"/>
      <c r="Y796" s="199"/>
      <c r="Z796" s="199"/>
      <c r="AA796" s="204" t="str">
        <f t="shared" si="4"/>
        <v/>
      </c>
      <c r="AB796" s="198"/>
      <c r="AC796" s="199"/>
      <c r="AD796" s="199"/>
      <c r="AE796" s="199"/>
      <c r="AF796" s="199"/>
      <c r="AG796" s="199"/>
      <c r="AH796" s="199"/>
      <c r="AI796" s="199"/>
      <c r="AJ796" s="199"/>
      <c r="AK796" s="199"/>
      <c r="AL796" s="199"/>
      <c r="AM796" s="198"/>
      <c r="AN796" s="197"/>
      <c r="AO796" s="197"/>
      <c r="AP796" s="197"/>
      <c r="AQ796" s="197"/>
      <c r="AR796" s="197"/>
      <c r="AS796" s="197"/>
    </row>
    <row r="797">
      <c r="A797" s="198" t="str">
        <f t="shared" si="1"/>
        <v/>
      </c>
      <c r="B797" s="205"/>
      <c r="C797" s="198"/>
      <c r="D797" s="199"/>
      <c r="E797" s="213"/>
      <c r="F797" s="198"/>
      <c r="G797" s="198"/>
      <c r="H797" s="199"/>
      <c r="I797" s="207"/>
      <c r="J797" s="199"/>
      <c r="K797" s="202"/>
      <c r="L797" s="205" t="str">
        <f>IFERROR(__xludf.DUMMYFUNCTION("IFERROR(
    INDEX(FILTER('Arrived Shipments'!O:O, 'Arrived Shipments'!B:B=$B797),1),
    IFERROR(
        INDEX(FILTER('POed not arrived'!D:D, 'POed not arrived'!A:A=$B797),1),
        """"
    )
)"),"")</f>
        <v/>
      </c>
      <c r="M797" s="202"/>
      <c r="N797" s="223" t="str">
        <f>IFERROR(__xludf.DUMMYFUNCTION("IFERROR(
    INDEX(FILTER('Arrived Shipments'!O:O, 'Arrived Shipments'!B:B=$B797),2),
    IFERROR(
        INDEX(FILTER('POed not arrived'!D:D, 'POed not arrived'!A:A=$B797),2),
        """"
    )
)"),"")</f>
        <v/>
      </c>
      <c r="O797" s="202"/>
      <c r="P797" s="202" t="str">
        <f>IFERROR(__xludf.DUMMYFUNCTION("IFERROR(
    INDEX(FILTER('Arrived Shipments'!O:O, 'Arrived Shipments'!B:B=$B797),3),
    IFERROR(
        INDEX(FILTER('POed not arrived'!D:D, 'POed not arrived'!A:A=$B797),3),
        """"
    )
)"),"")</f>
        <v/>
      </c>
      <c r="Q797" s="202"/>
      <c r="R797" s="206" t="str">
        <f>IFERROR(__xludf.DUMMYFUNCTION("IFERROR(
    INDEX(FILTER('Arrived Shipments'!O:O, 'Arrived Shipments'!B:B=$B797),4),
    IFERROR(
        INDEX(FILTER('POed not arrived'!D:D, 'POed not arrived'!A:A=$B797),4),
        """"
    )
)"),"")</f>
        <v/>
      </c>
      <c r="S797" s="202"/>
      <c r="T797" s="202">
        <f t="shared" si="8"/>
        <v>0</v>
      </c>
      <c r="U797" s="198"/>
      <c r="V797" s="199"/>
      <c r="W797" s="197"/>
      <c r="X797" s="197"/>
      <c r="Y797" s="199"/>
      <c r="Z797" s="199"/>
      <c r="AA797" s="204" t="str">
        <f t="shared" si="4"/>
        <v/>
      </c>
      <c r="AB797" s="198"/>
      <c r="AC797" s="199"/>
      <c r="AD797" s="199"/>
      <c r="AE797" s="199"/>
      <c r="AF797" s="199"/>
      <c r="AG797" s="199"/>
      <c r="AH797" s="199"/>
      <c r="AI797" s="199"/>
      <c r="AJ797" s="199"/>
      <c r="AK797" s="199"/>
      <c r="AL797" s="199"/>
      <c r="AM797" s="198"/>
      <c r="AN797" s="197"/>
      <c r="AO797" s="197"/>
      <c r="AP797" s="197"/>
      <c r="AQ797" s="197"/>
      <c r="AR797" s="197"/>
      <c r="AS797" s="197"/>
    </row>
    <row r="798">
      <c r="A798" s="198" t="str">
        <f t="shared" si="1"/>
        <v/>
      </c>
      <c r="B798" s="205"/>
      <c r="C798" s="198"/>
      <c r="D798" s="199"/>
      <c r="E798" s="213"/>
      <c r="F798" s="198"/>
      <c r="G798" s="198"/>
      <c r="H798" s="199"/>
      <c r="I798" s="207"/>
      <c r="J798" s="199"/>
      <c r="K798" s="202"/>
      <c r="L798" s="205" t="str">
        <f>IFERROR(__xludf.DUMMYFUNCTION("IFERROR(
    INDEX(FILTER('Arrived Shipments'!O:O, 'Arrived Shipments'!B:B=$B798),1),
    IFERROR(
        INDEX(FILTER('POed not arrived'!D:D, 'POed not arrived'!A:A=$B798),1),
        """"
    )
)"),"")</f>
        <v/>
      </c>
      <c r="M798" s="202"/>
      <c r="N798" s="223" t="str">
        <f>IFERROR(__xludf.DUMMYFUNCTION("IFERROR(
    INDEX(FILTER('Arrived Shipments'!O:O, 'Arrived Shipments'!B:B=$B798),2),
    IFERROR(
        INDEX(FILTER('POed not arrived'!D:D, 'POed not arrived'!A:A=$B798),2),
        """"
    )
)"),"")</f>
        <v/>
      </c>
      <c r="O798" s="202"/>
      <c r="P798" s="202" t="str">
        <f>IFERROR(__xludf.DUMMYFUNCTION("IFERROR(
    INDEX(FILTER('Arrived Shipments'!O:O, 'Arrived Shipments'!B:B=$B798),3),
    IFERROR(
        INDEX(FILTER('POed not arrived'!D:D, 'POed not arrived'!A:A=$B798),3),
        """"
    )
)"),"")</f>
        <v/>
      </c>
      <c r="Q798" s="202"/>
      <c r="R798" s="206" t="str">
        <f>IFERROR(__xludf.DUMMYFUNCTION("IFERROR(
    INDEX(FILTER('Arrived Shipments'!O:O, 'Arrived Shipments'!B:B=$B798),4),
    IFERROR(
        INDEX(FILTER('POed not arrived'!D:D, 'POed not arrived'!A:A=$B798),4),
        """"
    )
)"),"")</f>
        <v/>
      </c>
      <c r="S798" s="202"/>
      <c r="T798" s="202">
        <f t="shared" si="8"/>
        <v>0</v>
      </c>
      <c r="U798" s="198"/>
      <c r="V798" s="199"/>
      <c r="W798" s="197"/>
      <c r="X798" s="197"/>
      <c r="Y798" s="199"/>
      <c r="Z798" s="199"/>
      <c r="AA798" s="204" t="str">
        <f t="shared" si="4"/>
        <v/>
      </c>
      <c r="AB798" s="198"/>
      <c r="AC798" s="199"/>
      <c r="AD798" s="199"/>
      <c r="AE798" s="199"/>
      <c r="AF798" s="199"/>
      <c r="AG798" s="199"/>
      <c r="AH798" s="199"/>
      <c r="AI798" s="199"/>
      <c r="AJ798" s="199"/>
      <c r="AK798" s="199"/>
      <c r="AL798" s="199"/>
      <c r="AM798" s="198"/>
      <c r="AN798" s="197"/>
      <c r="AO798" s="197"/>
      <c r="AP798" s="197"/>
      <c r="AQ798" s="197"/>
      <c r="AR798" s="197"/>
      <c r="AS798" s="197"/>
    </row>
    <row r="799">
      <c r="A799" s="198" t="str">
        <f t="shared" si="1"/>
        <v/>
      </c>
      <c r="B799" s="205"/>
      <c r="C799" s="198"/>
      <c r="D799" s="199"/>
      <c r="E799" s="213"/>
      <c r="F799" s="198"/>
      <c r="G799" s="198"/>
      <c r="H799" s="199"/>
      <c r="I799" s="207"/>
      <c r="J799" s="199"/>
      <c r="K799" s="202"/>
      <c r="L799" s="205" t="str">
        <f>IFERROR(__xludf.DUMMYFUNCTION("IFERROR(
    INDEX(FILTER('Arrived Shipments'!O:O, 'Arrived Shipments'!B:B=$B799),1),
    IFERROR(
        INDEX(FILTER('POed not arrived'!D:D, 'POed not arrived'!A:A=$B799),1),
        """"
    )
)"),"")</f>
        <v/>
      </c>
      <c r="M799" s="202"/>
      <c r="N799" s="223" t="str">
        <f>IFERROR(__xludf.DUMMYFUNCTION("IFERROR(
    INDEX(FILTER('Arrived Shipments'!O:O, 'Arrived Shipments'!B:B=$B799),2),
    IFERROR(
        INDEX(FILTER('POed not arrived'!D:D, 'POed not arrived'!A:A=$B799),2),
        """"
    )
)"),"")</f>
        <v/>
      </c>
      <c r="O799" s="202"/>
      <c r="P799" s="202" t="str">
        <f>IFERROR(__xludf.DUMMYFUNCTION("IFERROR(
    INDEX(FILTER('Arrived Shipments'!O:O, 'Arrived Shipments'!B:B=$B799),3),
    IFERROR(
        INDEX(FILTER('POed not arrived'!D:D, 'POed not arrived'!A:A=$B799),3),
        """"
    )
)"),"")</f>
        <v/>
      </c>
      <c r="Q799" s="202"/>
      <c r="R799" s="206" t="str">
        <f>IFERROR(__xludf.DUMMYFUNCTION("IFERROR(
    INDEX(FILTER('Arrived Shipments'!O:O, 'Arrived Shipments'!B:B=$B799),4),
    IFERROR(
        INDEX(FILTER('POed not arrived'!D:D, 'POed not arrived'!A:A=$B799),4),
        """"
    )
)"),"")</f>
        <v/>
      </c>
      <c r="S799" s="202"/>
      <c r="T799" s="202">
        <f t="shared" si="8"/>
        <v>0</v>
      </c>
      <c r="U799" s="198"/>
      <c r="V799" s="199"/>
      <c r="W799" s="197"/>
      <c r="X799" s="197"/>
      <c r="Y799" s="199"/>
      <c r="Z799" s="199"/>
      <c r="AA799" s="204" t="str">
        <f t="shared" si="4"/>
        <v/>
      </c>
      <c r="AB799" s="198"/>
      <c r="AC799" s="199"/>
      <c r="AD799" s="199"/>
      <c r="AE799" s="199"/>
      <c r="AF799" s="199"/>
      <c r="AG799" s="199"/>
      <c r="AH799" s="199"/>
      <c r="AI799" s="199"/>
      <c r="AJ799" s="199"/>
      <c r="AK799" s="199"/>
      <c r="AL799" s="199"/>
      <c r="AM799" s="198"/>
      <c r="AN799" s="197"/>
      <c r="AO799" s="197"/>
      <c r="AP799" s="197"/>
      <c r="AQ799" s="197"/>
      <c r="AR799" s="197"/>
      <c r="AS799" s="197"/>
    </row>
    <row r="800">
      <c r="A800" s="198" t="str">
        <f t="shared" si="1"/>
        <v/>
      </c>
      <c r="B800" s="205"/>
      <c r="C800" s="198"/>
      <c r="D800" s="199"/>
      <c r="E800" s="213"/>
      <c r="F800" s="198"/>
      <c r="G800" s="198"/>
      <c r="H800" s="199"/>
      <c r="I800" s="207"/>
      <c r="J800" s="199"/>
      <c r="K800" s="202"/>
      <c r="L800" s="205" t="str">
        <f>IFERROR(__xludf.DUMMYFUNCTION("IFERROR(
    INDEX(FILTER('Arrived Shipments'!O:O, 'Arrived Shipments'!B:B=$B800),1),
    IFERROR(
        INDEX(FILTER('POed not arrived'!D:D, 'POed not arrived'!A:A=$B800),1),
        """"
    )
)"),"")</f>
        <v/>
      </c>
      <c r="M800" s="202"/>
      <c r="N800" s="223" t="str">
        <f>IFERROR(__xludf.DUMMYFUNCTION("IFERROR(
    INDEX(FILTER('Arrived Shipments'!O:O, 'Arrived Shipments'!B:B=$B800),2),
    IFERROR(
        INDEX(FILTER('POed not arrived'!D:D, 'POed not arrived'!A:A=$B800),2),
        """"
    )
)"),"")</f>
        <v/>
      </c>
      <c r="O800" s="202"/>
      <c r="P800" s="202" t="str">
        <f>IFERROR(__xludf.DUMMYFUNCTION("IFERROR(
    INDEX(FILTER('Arrived Shipments'!O:O, 'Arrived Shipments'!B:B=$B800),3),
    IFERROR(
        INDEX(FILTER('POed not arrived'!D:D, 'POed not arrived'!A:A=$B800),3),
        """"
    )
)"),"")</f>
        <v/>
      </c>
      <c r="Q800" s="202"/>
      <c r="R800" s="206" t="str">
        <f>IFERROR(__xludf.DUMMYFUNCTION("IFERROR(
    INDEX(FILTER('Arrived Shipments'!O:O, 'Arrived Shipments'!B:B=$B800),4),
    IFERROR(
        INDEX(FILTER('POed not arrived'!D:D, 'POed not arrived'!A:A=$B800),4),
        """"
    )
)"),"")</f>
        <v/>
      </c>
      <c r="S800" s="202"/>
      <c r="T800" s="202">
        <f t="shared" si="8"/>
        <v>0</v>
      </c>
      <c r="U800" s="198"/>
      <c r="V800" s="199"/>
      <c r="W800" s="197"/>
      <c r="X800" s="197"/>
      <c r="Y800" s="199"/>
      <c r="Z800" s="199"/>
      <c r="AA800" s="204" t="str">
        <f t="shared" si="4"/>
        <v/>
      </c>
      <c r="AB800" s="198"/>
      <c r="AC800" s="199"/>
      <c r="AD800" s="199"/>
      <c r="AE800" s="199"/>
      <c r="AF800" s="199"/>
      <c r="AG800" s="199"/>
      <c r="AH800" s="199"/>
      <c r="AI800" s="199"/>
      <c r="AJ800" s="199"/>
      <c r="AK800" s="199"/>
      <c r="AL800" s="199"/>
      <c r="AM800" s="198"/>
      <c r="AN800" s="197"/>
      <c r="AO800" s="197"/>
      <c r="AP800" s="197"/>
      <c r="AQ800" s="197"/>
      <c r="AR800" s="197"/>
      <c r="AS800" s="197"/>
    </row>
    <row r="801">
      <c r="A801" s="198" t="str">
        <f t="shared" si="1"/>
        <v/>
      </c>
      <c r="B801" s="205"/>
      <c r="C801" s="198"/>
      <c r="D801" s="199"/>
      <c r="E801" s="213"/>
      <c r="F801" s="198"/>
      <c r="G801" s="198"/>
      <c r="H801" s="199"/>
      <c r="I801" s="207"/>
      <c r="J801" s="199"/>
      <c r="K801" s="202"/>
      <c r="L801" s="205" t="str">
        <f>IFERROR(__xludf.DUMMYFUNCTION("IFERROR(
    INDEX(FILTER('Arrived Shipments'!O:O, 'Arrived Shipments'!B:B=$B801),1),
    IFERROR(
        INDEX(FILTER('POed not arrived'!D:D, 'POed not arrived'!A:A=$B801),1),
        """"
    )
)"),"")</f>
        <v/>
      </c>
      <c r="M801" s="202"/>
      <c r="N801" s="223" t="str">
        <f>IFERROR(__xludf.DUMMYFUNCTION("IFERROR(
    INDEX(FILTER('Arrived Shipments'!O:O, 'Arrived Shipments'!B:B=$B801),2),
    IFERROR(
        INDEX(FILTER('POed not arrived'!D:D, 'POed not arrived'!A:A=$B801),2),
        """"
    )
)"),"")</f>
        <v/>
      </c>
      <c r="O801" s="202"/>
      <c r="P801" s="202" t="str">
        <f>IFERROR(__xludf.DUMMYFUNCTION("IFERROR(
    INDEX(FILTER('Arrived Shipments'!O:O, 'Arrived Shipments'!B:B=$B801),3),
    IFERROR(
        INDEX(FILTER('POed not arrived'!D:D, 'POed not arrived'!A:A=$B801),3),
        """"
    )
)"),"")</f>
        <v/>
      </c>
      <c r="Q801" s="202"/>
      <c r="R801" s="206" t="str">
        <f>IFERROR(__xludf.DUMMYFUNCTION("IFERROR(
    INDEX(FILTER('Arrived Shipments'!O:O, 'Arrived Shipments'!B:B=$B801),4),
    IFERROR(
        INDEX(FILTER('POed not arrived'!D:D, 'POed not arrived'!A:A=$B801),4),
        """"
    )
)"),"")</f>
        <v/>
      </c>
      <c r="S801" s="202"/>
      <c r="T801" s="202">
        <f t="shared" si="8"/>
        <v>0</v>
      </c>
      <c r="U801" s="198"/>
      <c r="V801" s="199"/>
      <c r="W801" s="197"/>
      <c r="X801" s="197"/>
      <c r="Y801" s="199"/>
      <c r="Z801" s="199"/>
      <c r="AA801" s="204" t="str">
        <f t="shared" si="4"/>
        <v/>
      </c>
      <c r="AB801" s="198"/>
      <c r="AC801" s="199"/>
      <c r="AD801" s="199"/>
      <c r="AE801" s="199"/>
      <c r="AF801" s="199"/>
      <c r="AG801" s="199"/>
      <c r="AH801" s="199"/>
      <c r="AI801" s="199"/>
      <c r="AJ801" s="199"/>
      <c r="AK801" s="199"/>
      <c r="AL801" s="199"/>
      <c r="AM801" s="198"/>
      <c r="AN801" s="197"/>
      <c r="AO801" s="197"/>
      <c r="AP801" s="197"/>
      <c r="AQ801" s="197"/>
      <c r="AR801" s="197"/>
      <c r="AS801" s="197"/>
    </row>
    <row r="802">
      <c r="A802" s="198" t="str">
        <f t="shared" si="1"/>
        <v/>
      </c>
      <c r="B802" s="205"/>
      <c r="C802" s="198"/>
      <c r="D802" s="199"/>
      <c r="E802" s="213"/>
      <c r="F802" s="198"/>
      <c r="G802" s="198"/>
      <c r="H802" s="199"/>
      <c r="I802" s="207"/>
      <c r="J802" s="199"/>
      <c r="K802" s="202"/>
      <c r="L802" s="205" t="str">
        <f>IFERROR(__xludf.DUMMYFUNCTION("IFERROR(
    INDEX(FILTER('Arrived Shipments'!O:O, 'Arrived Shipments'!B:B=$B802),1),
    IFERROR(
        INDEX(FILTER('POed not arrived'!D:D, 'POed not arrived'!A:A=$B802),1),
        """"
    )
)"),"")</f>
        <v/>
      </c>
      <c r="M802" s="202"/>
      <c r="N802" s="223" t="str">
        <f>IFERROR(__xludf.DUMMYFUNCTION("IFERROR(
    INDEX(FILTER('Arrived Shipments'!O:O, 'Arrived Shipments'!B:B=$B802),2),
    IFERROR(
        INDEX(FILTER('POed not arrived'!D:D, 'POed not arrived'!A:A=$B802),2),
        """"
    )
)"),"")</f>
        <v/>
      </c>
      <c r="O802" s="202"/>
      <c r="P802" s="202" t="str">
        <f>IFERROR(__xludf.DUMMYFUNCTION("IFERROR(
    INDEX(FILTER('Arrived Shipments'!O:O, 'Arrived Shipments'!B:B=$B802),3),
    IFERROR(
        INDEX(FILTER('POed not arrived'!D:D, 'POed not arrived'!A:A=$B802),3),
        """"
    )
)"),"")</f>
        <v/>
      </c>
      <c r="Q802" s="202"/>
      <c r="R802" s="206" t="str">
        <f>IFERROR(__xludf.DUMMYFUNCTION("IFERROR(
    INDEX(FILTER('Arrived Shipments'!O:O, 'Arrived Shipments'!B:B=$B802),4),
    IFERROR(
        INDEX(FILTER('POed not arrived'!D:D, 'POed not arrived'!A:A=$B802),4),
        """"
    )
)"),"")</f>
        <v/>
      </c>
      <c r="S802" s="202"/>
      <c r="T802" s="202">
        <f t="shared" si="8"/>
        <v>0</v>
      </c>
      <c r="U802" s="198"/>
      <c r="V802" s="199"/>
      <c r="W802" s="197"/>
      <c r="X802" s="197"/>
      <c r="Y802" s="199"/>
      <c r="Z802" s="199"/>
      <c r="AA802" s="204" t="str">
        <f t="shared" si="4"/>
        <v/>
      </c>
      <c r="AB802" s="198"/>
      <c r="AC802" s="199"/>
      <c r="AD802" s="199"/>
      <c r="AE802" s="199"/>
      <c r="AF802" s="199"/>
      <c r="AG802" s="199"/>
      <c r="AH802" s="199"/>
      <c r="AI802" s="199"/>
      <c r="AJ802" s="199"/>
      <c r="AK802" s="199"/>
      <c r="AL802" s="199"/>
      <c r="AM802" s="198"/>
      <c r="AN802" s="197"/>
      <c r="AO802" s="197"/>
      <c r="AP802" s="197"/>
      <c r="AQ802" s="197"/>
      <c r="AR802" s="197"/>
      <c r="AS802" s="197"/>
    </row>
    <row r="803">
      <c r="A803" s="198" t="str">
        <f t="shared" si="1"/>
        <v/>
      </c>
      <c r="B803" s="205"/>
      <c r="C803" s="198"/>
      <c r="D803" s="199"/>
      <c r="E803" s="213"/>
      <c r="F803" s="198"/>
      <c r="G803" s="198"/>
      <c r="H803" s="199"/>
      <c r="I803" s="207"/>
      <c r="J803" s="199"/>
      <c r="K803" s="202"/>
      <c r="L803" s="205" t="str">
        <f>IFERROR(__xludf.DUMMYFUNCTION("IFERROR(
    INDEX(FILTER('Arrived Shipments'!O:O, 'Arrived Shipments'!B:B=$B803),1),
    IFERROR(
        INDEX(FILTER('POed not arrived'!D:D, 'POed not arrived'!A:A=$B803),1),
        """"
    )
)"),"")</f>
        <v/>
      </c>
      <c r="M803" s="202"/>
      <c r="N803" s="223" t="str">
        <f>IFERROR(__xludf.DUMMYFUNCTION("IFERROR(
    INDEX(FILTER('Arrived Shipments'!O:O, 'Arrived Shipments'!B:B=$B803),2),
    IFERROR(
        INDEX(FILTER('POed not arrived'!D:D, 'POed not arrived'!A:A=$B803),2),
        """"
    )
)"),"")</f>
        <v/>
      </c>
      <c r="O803" s="202"/>
      <c r="P803" s="202" t="str">
        <f>IFERROR(__xludf.DUMMYFUNCTION("IFERROR(
    INDEX(FILTER('Arrived Shipments'!O:O, 'Arrived Shipments'!B:B=$B803),3),
    IFERROR(
        INDEX(FILTER('POed not arrived'!D:D, 'POed not arrived'!A:A=$B803),3),
        """"
    )
)"),"")</f>
        <v/>
      </c>
      <c r="Q803" s="202"/>
      <c r="R803" s="206" t="str">
        <f>IFERROR(__xludf.DUMMYFUNCTION("IFERROR(
    INDEX(FILTER('Arrived Shipments'!O:O, 'Arrived Shipments'!B:B=$B803),4),
    IFERROR(
        INDEX(FILTER('POed not arrived'!D:D, 'POed not arrived'!A:A=$B803),4),
        """"
    )
)"),"")</f>
        <v/>
      </c>
      <c r="S803" s="202"/>
      <c r="T803" s="202">
        <f t="shared" si="8"/>
        <v>0</v>
      </c>
      <c r="U803" s="198"/>
      <c r="V803" s="199"/>
      <c r="W803" s="197"/>
      <c r="X803" s="197"/>
      <c r="Y803" s="199"/>
      <c r="Z803" s="199"/>
      <c r="AA803" s="204" t="str">
        <f t="shared" si="4"/>
        <v/>
      </c>
      <c r="AB803" s="198"/>
      <c r="AC803" s="199"/>
      <c r="AD803" s="199"/>
      <c r="AE803" s="199"/>
      <c r="AF803" s="199"/>
      <c r="AG803" s="199"/>
      <c r="AH803" s="199"/>
      <c r="AI803" s="199"/>
      <c r="AJ803" s="199"/>
      <c r="AK803" s="199"/>
      <c r="AL803" s="199"/>
      <c r="AM803" s="198"/>
      <c r="AN803" s="197"/>
      <c r="AO803" s="197"/>
      <c r="AP803" s="197"/>
      <c r="AQ803" s="197"/>
      <c r="AR803" s="197"/>
      <c r="AS803" s="197"/>
    </row>
    <row r="804">
      <c r="A804" s="198" t="str">
        <f t="shared" si="1"/>
        <v/>
      </c>
      <c r="B804" s="205"/>
      <c r="C804" s="198"/>
      <c r="D804" s="199"/>
      <c r="E804" s="213"/>
      <c r="F804" s="198"/>
      <c r="G804" s="198"/>
      <c r="H804" s="199"/>
      <c r="I804" s="207"/>
      <c r="J804" s="199"/>
      <c r="K804" s="202"/>
      <c r="L804" s="205" t="str">
        <f>IFERROR(__xludf.DUMMYFUNCTION("IFERROR(
    INDEX(FILTER('Arrived Shipments'!O:O, 'Arrived Shipments'!B:B=$B804),1),
    IFERROR(
        INDEX(FILTER('POed not arrived'!D:D, 'POed not arrived'!A:A=$B804),1),
        """"
    )
)"),"")</f>
        <v/>
      </c>
      <c r="M804" s="202"/>
      <c r="N804" s="223" t="str">
        <f>IFERROR(__xludf.DUMMYFUNCTION("IFERROR(
    INDEX(FILTER('Arrived Shipments'!O:O, 'Arrived Shipments'!B:B=$B804),2),
    IFERROR(
        INDEX(FILTER('POed not arrived'!D:D, 'POed not arrived'!A:A=$B804),2),
        """"
    )
)"),"")</f>
        <v/>
      </c>
      <c r="O804" s="202"/>
      <c r="P804" s="202" t="str">
        <f>IFERROR(__xludf.DUMMYFUNCTION("IFERROR(
    INDEX(FILTER('Arrived Shipments'!O:O, 'Arrived Shipments'!B:B=$B804),3),
    IFERROR(
        INDEX(FILTER('POed not arrived'!D:D, 'POed not arrived'!A:A=$B804),3),
        """"
    )
)"),"")</f>
        <v/>
      </c>
      <c r="Q804" s="202"/>
      <c r="R804" s="206" t="str">
        <f>IFERROR(__xludf.DUMMYFUNCTION("IFERROR(
    INDEX(FILTER('Arrived Shipments'!O:O, 'Arrived Shipments'!B:B=$B804),4),
    IFERROR(
        INDEX(FILTER('POed not arrived'!D:D, 'POed not arrived'!A:A=$B804),4),
        """"
    )
)"),"")</f>
        <v/>
      </c>
      <c r="S804" s="202"/>
      <c r="T804" s="202">
        <f t="shared" si="8"/>
        <v>0</v>
      </c>
      <c r="U804" s="198"/>
      <c r="V804" s="199"/>
      <c r="W804" s="197"/>
      <c r="X804" s="197"/>
      <c r="Y804" s="199"/>
      <c r="Z804" s="199"/>
      <c r="AA804" s="204" t="str">
        <f t="shared" si="4"/>
        <v/>
      </c>
      <c r="AB804" s="198"/>
      <c r="AC804" s="199"/>
      <c r="AD804" s="199"/>
      <c r="AE804" s="199"/>
      <c r="AF804" s="199"/>
      <c r="AG804" s="199"/>
      <c r="AH804" s="199"/>
      <c r="AI804" s="199"/>
      <c r="AJ804" s="199"/>
      <c r="AK804" s="199"/>
      <c r="AL804" s="199"/>
      <c r="AM804" s="198"/>
      <c r="AN804" s="197"/>
      <c r="AO804" s="197"/>
      <c r="AP804" s="197"/>
      <c r="AQ804" s="197"/>
      <c r="AR804" s="197"/>
      <c r="AS804" s="197"/>
    </row>
    <row r="805">
      <c r="A805" s="198" t="str">
        <f t="shared" si="1"/>
        <v/>
      </c>
      <c r="B805" s="205"/>
      <c r="C805" s="198"/>
      <c r="D805" s="199"/>
      <c r="E805" s="213"/>
      <c r="F805" s="198"/>
      <c r="G805" s="198"/>
      <c r="H805" s="199"/>
      <c r="I805" s="207"/>
      <c r="J805" s="199"/>
      <c r="K805" s="202"/>
      <c r="L805" s="205" t="str">
        <f>IFERROR(__xludf.DUMMYFUNCTION("IFERROR(
    INDEX(FILTER('Arrived Shipments'!O:O, 'Arrived Shipments'!B:B=$B805),1),
    IFERROR(
        INDEX(FILTER('POed not arrived'!D:D, 'POed not arrived'!A:A=$B805),1),
        """"
    )
)"),"")</f>
        <v/>
      </c>
      <c r="M805" s="202"/>
      <c r="N805" s="223" t="str">
        <f>IFERROR(__xludf.DUMMYFUNCTION("IFERROR(
    INDEX(FILTER('Arrived Shipments'!O:O, 'Arrived Shipments'!B:B=$B805),2),
    IFERROR(
        INDEX(FILTER('POed not arrived'!D:D, 'POed not arrived'!A:A=$B805),2),
        """"
    )
)"),"")</f>
        <v/>
      </c>
      <c r="O805" s="202"/>
      <c r="P805" s="202" t="str">
        <f>IFERROR(__xludf.DUMMYFUNCTION("IFERROR(
    INDEX(FILTER('Arrived Shipments'!O:O, 'Arrived Shipments'!B:B=$B805),3),
    IFERROR(
        INDEX(FILTER('POed not arrived'!D:D, 'POed not arrived'!A:A=$B805),3),
        """"
    )
)"),"")</f>
        <v/>
      </c>
      <c r="Q805" s="202"/>
      <c r="R805" s="206" t="str">
        <f>IFERROR(__xludf.DUMMYFUNCTION("IFERROR(
    INDEX(FILTER('Arrived Shipments'!O:O, 'Arrived Shipments'!B:B=$B805),4),
    IFERROR(
        INDEX(FILTER('POed not arrived'!D:D, 'POed not arrived'!A:A=$B805),4),
        """"
    )
)"),"")</f>
        <v/>
      </c>
      <c r="S805" s="202"/>
      <c r="T805" s="202">
        <f t="shared" si="8"/>
        <v>0</v>
      </c>
      <c r="U805" s="198"/>
      <c r="V805" s="199"/>
      <c r="W805" s="197"/>
      <c r="X805" s="197"/>
      <c r="Y805" s="199"/>
      <c r="Z805" s="199"/>
      <c r="AA805" s="204" t="str">
        <f t="shared" si="4"/>
        <v/>
      </c>
      <c r="AB805" s="198"/>
      <c r="AC805" s="199"/>
      <c r="AD805" s="199"/>
      <c r="AE805" s="199"/>
      <c r="AF805" s="199"/>
      <c r="AG805" s="199"/>
      <c r="AH805" s="199"/>
      <c r="AI805" s="199"/>
      <c r="AJ805" s="199"/>
      <c r="AK805" s="199"/>
      <c r="AL805" s="199"/>
      <c r="AM805" s="198"/>
      <c r="AN805" s="197"/>
      <c r="AO805" s="197"/>
      <c r="AP805" s="197"/>
      <c r="AQ805" s="197"/>
      <c r="AR805" s="197"/>
      <c r="AS805" s="197"/>
    </row>
    <row r="806">
      <c r="A806" s="198" t="str">
        <f t="shared" si="1"/>
        <v/>
      </c>
      <c r="B806" s="205"/>
      <c r="C806" s="198"/>
      <c r="D806" s="199"/>
      <c r="E806" s="213"/>
      <c r="F806" s="198"/>
      <c r="G806" s="198"/>
      <c r="H806" s="199"/>
      <c r="I806" s="207"/>
      <c r="J806" s="199"/>
      <c r="K806" s="202"/>
      <c r="L806" s="205" t="str">
        <f>IFERROR(__xludf.DUMMYFUNCTION("IFERROR(
    INDEX(FILTER('Arrived Shipments'!O:O, 'Arrived Shipments'!B:B=$B806),1),
    IFERROR(
        INDEX(FILTER('POed not arrived'!D:D, 'POed not arrived'!A:A=$B806),1),
        """"
    )
)"),"")</f>
        <v/>
      </c>
      <c r="M806" s="202"/>
      <c r="N806" s="223" t="str">
        <f>IFERROR(__xludf.DUMMYFUNCTION("IFERROR(
    INDEX(FILTER('Arrived Shipments'!O:O, 'Arrived Shipments'!B:B=$B806),2),
    IFERROR(
        INDEX(FILTER('POed not arrived'!D:D, 'POed not arrived'!A:A=$B806),2),
        """"
    )
)"),"")</f>
        <v/>
      </c>
      <c r="O806" s="202"/>
      <c r="P806" s="202" t="str">
        <f>IFERROR(__xludf.DUMMYFUNCTION("IFERROR(
    INDEX(FILTER('Arrived Shipments'!O:O, 'Arrived Shipments'!B:B=$B806),3),
    IFERROR(
        INDEX(FILTER('POed not arrived'!D:D, 'POed not arrived'!A:A=$B806),3),
        """"
    )
)"),"")</f>
        <v/>
      </c>
      <c r="Q806" s="202"/>
      <c r="R806" s="206" t="str">
        <f>IFERROR(__xludf.DUMMYFUNCTION("IFERROR(
    INDEX(FILTER('Arrived Shipments'!O:O, 'Arrived Shipments'!B:B=$B806),4),
    IFERROR(
        INDEX(FILTER('POed not arrived'!D:D, 'POed not arrived'!A:A=$B806),4),
        """"
    )
)"),"")</f>
        <v/>
      </c>
      <c r="S806" s="202"/>
      <c r="T806" s="202">
        <f t="shared" si="8"/>
        <v>0</v>
      </c>
      <c r="U806" s="198"/>
      <c r="V806" s="199"/>
      <c r="W806" s="197"/>
      <c r="X806" s="197"/>
      <c r="Y806" s="199"/>
      <c r="Z806" s="199"/>
      <c r="AA806" s="204" t="str">
        <f t="shared" si="4"/>
        <v/>
      </c>
      <c r="AB806" s="198"/>
      <c r="AC806" s="199"/>
      <c r="AD806" s="199"/>
      <c r="AE806" s="199"/>
      <c r="AF806" s="199"/>
      <c r="AG806" s="199"/>
      <c r="AH806" s="199"/>
      <c r="AI806" s="199"/>
      <c r="AJ806" s="199"/>
      <c r="AK806" s="199"/>
      <c r="AL806" s="199"/>
      <c r="AM806" s="198"/>
      <c r="AN806" s="197"/>
      <c r="AO806" s="197"/>
      <c r="AP806" s="197"/>
      <c r="AQ806" s="197"/>
      <c r="AR806" s="197"/>
      <c r="AS806" s="197"/>
    </row>
    <row r="807">
      <c r="A807" s="198" t="str">
        <f t="shared" si="1"/>
        <v/>
      </c>
      <c r="B807" s="205"/>
      <c r="C807" s="198"/>
      <c r="D807" s="199"/>
      <c r="E807" s="213"/>
      <c r="F807" s="198"/>
      <c r="G807" s="198"/>
      <c r="H807" s="199"/>
      <c r="I807" s="207"/>
      <c r="J807" s="199"/>
      <c r="K807" s="202"/>
      <c r="L807" s="205" t="str">
        <f>IFERROR(__xludf.DUMMYFUNCTION("IFERROR(
    INDEX(FILTER('Arrived Shipments'!O:O, 'Arrived Shipments'!B:B=$B807),1),
    IFERROR(
        INDEX(FILTER('POed not arrived'!D:D, 'POed not arrived'!A:A=$B807),1),
        """"
    )
)"),"")</f>
        <v/>
      </c>
      <c r="M807" s="202"/>
      <c r="N807" s="223" t="str">
        <f>IFERROR(__xludf.DUMMYFUNCTION("IFERROR(
    INDEX(FILTER('Arrived Shipments'!O:O, 'Arrived Shipments'!B:B=$B807),2),
    IFERROR(
        INDEX(FILTER('POed not arrived'!D:D, 'POed not arrived'!A:A=$B807),2),
        """"
    )
)"),"")</f>
        <v/>
      </c>
      <c r="O807" s="202"/>
      <c r="P807" s="202" t="str">
        <f>IFERROR(__xludf.DUMMYFUNCTION("IFERROR(
    INDEX(FILTER('Arrived Shipments'!O:O, 'Arrived Shipments'!B:B=$B807),3),
    IFERROR(
        INDEX(FILTER('POed not arrived'!D:D, 'POed not arrived'!A:A=$B807),3),
        """"
    )
)"),"")</f>
        <v/>
      </c>
      <c r="Q807" s="202"/>
      <c r="R807" s="206" t="str">
        <f>IFERROR(__xludf.DUMMYFUNCTION("IFERROR(
    INDEX(FILTER('Arrived Shipments'!O:O, 'Arrived Shipments'!B:B=$B807),4),
    IFERROR(
        INDEX(FILTER('POed not arrived'!D:D, 'POed not arrived'!A:A=$B807),4),
        """"
    )
)"),"")</f>
        <v/>
      </c>
      <c r="S807" s="202"/>
      <c r="T807" s="202">
        <f t="shared" si="8"/>
        <v>0</v>
      </c>
      <c r="U807" s="198"/>
      <c r="V807" s="199"/>
      <c r="W807" s="197"/>
      <c r="X807" s="197"/>
      <c r="Y807" s="199"/>
      <c r="Z807" s="199"/>
      <c r="AA807" s="204" t="str">
        <f t="shared" si="4"/>
        <v/>
      </c>
      <c r="AB807" s="198"/>
      <c r="AC807" s="199"/>
      <c r="AD807" s="199"/>
      <c r="AE807" s="199"/>
      <c r="AF807" s="199"/>
      <c r="AG807" s="199"/>
      <c r="AH807" s="199"/>
      <c r="AI807" s="199"/>
      <c r="AJ807" s="199"/>
      <c r="AK807" s="199"/>
      <c r="AL807" s="199"/>
      <c r="AM807" s="198"/>
      <c r="AN807" s="197"/>
      <c r="AO807" s="197"/>
      <c r="AP807" s="197"/>
      <c r="AQ807" s="197"/>
      <c r="AR807" s="197"/>
      <c r="AS807" s="197"/>
    </row>
    <row r="808">
      <c r="A808" s="198" t="str">
        <f t="shared" si="1"/>
        <v/>
      </c>
      <c r="B808" s="205"/>
      <c r="C808" s="198"/>
      <c r="D808" s="199"/>
      <c r="E808" s="213"/>
      <c r="F808" s="198"/>
      <c r="G808" s="198"/>
      <c r="H808" s="199"/>
      <c r="I808" s="207"/>
      <c r="J808" s="199"/>
      <c r="K808" s="202"/>
      <c r="L808" s="205" t="str">
        <f>IFERROR(__xludf.DUMMYFUNCTION("IFERROR(
    INDEX(FILTER('Arrived Shipments'!O:O, 'Arrived Shipments'!B:B=$B808),1),
    IFERROR(
        INDEX(FILTER('POed not arrived'!D:D, 'POed not arrived'!A:A=$B808),1),
        """"
    )
)"),"")</f>
        <v/>
      </c>
      <c r="M808" s="202"/>
      <c r="N808" s="223" t="str">
        <f>IFERROR(__xludf.DUMMYFUNCTION("IFERROR(
    INDEX(FILTER('Arrived Shipments'!O:O, 'Arrived Shipments'!B:B=$B808),2),
    IFERROR(
        INDEX(FILTER('POed not arrived'!D:D, 'POed not arrived'!A:A=$B808),2),
        """"
    )
)"),"")</f>
        <v/>
      </c>
      <c r="O808" s="202"/>
      <c r="P808" s="202" t="str">
        <f>IFERROR(__xludf.DUMMYFUNCTION("IFERROR(
    INDEX(FILTER('Arrived Shipments'!O:O, 'Arrived Shipments'!B:B=$B808),3),
    IFERROR(
        INDEX(FILTER('POed not arrived'!D:D, 'POed not arrived'!A:A=$B808),3),
        """"
    )
)"),"")</f>
        <v/>
      </c>
      <c r="Q808" s="202"/>
      <c r="R808" s="206" t="str">
        <f>IFERROR(__xludf.DUMMYFUNCTION("IFERROR(
    INDEX(FILTER('Arrived Shipments'!O:O, 'Arrived Shipments'!B:B=$B808),4),
    IFERROR(
        INDEX(FILTER('POed not arrived'!D:D, 'POed not arrived'!A:A=$B808),4),
        """"
    )
)"),"")</f>
        <v/>
      </c>
      <c r="S808" s="202"/>
      <c r="T808" s="202">
        <f t="shared" si="8"/>
        <v>0</v>
      </c>
      <c r="U808" s="198"/>
      <c r="V808" s="199"/>
      <c r="W808" s="197"/>
      <c r="X808" s="197"/>
      <c r="Y808" s="199"/>
      <c r="Z808" s="199"/>
      <c r="AA808" s="204" t="str">
        <f t="shared" si="4"/>
        <v/>
      </c>
      <c r="AB808" s="198"/>
      <c r="AC808" s="199"/>
      <c r="AD808" s="199"/>
      <c r="AE808" s="199"/>
      <c r="AF808" s="199"/>
      <c r="AG808" s="199"/>
      <c r="AH808" s="199"/>
      <c r="AI808" s="199"/>
      <c r="AJ808" s="199"/>
      <c r="AK808" s="199"/>
      <c r="AL808" s="199"/>
      <c r="AM808" s="198"/>
      <c r="AN808" s="197"/>
      <c r="AO808" s="197"/>
      <c r="AP808" s="197"/>
      <c r="AQ808" s="197"/>
      <c r="AR808" s="197"/>
      <c r="AS808" s="197"/>
    </row>
    <row r="809">
      <c r="A809" s="198" t="str">
        <f t="shared" si="1"/>
        <v/>
      </c>
      <c r="B809" s="205"/>
      <c r="C809" s="198"/>
      <c r="D809" s="199"/>
      <c r="E809" s="213"/>
      <c r="F809" s="198"/>
      <c r="G809" s="198"/>
      <c r="H809" s="199"/>
      <c r="I809" s="207"/>
      <c r="J809" s="199"/>
      <c r="K809" s="202"/>
      <c r="L809" s="205" t="str">
        <f>IFERROR(__xludf.DUMMYFUNCTION("IFERROR(
    INDEX(FILTER('Arrived Shipments'!O:O, 'Arrived Shipments'!B:B=$B809),1),
    IFERROR(
        INDEX(FILTER('POed not arrived'!D:D, 'POed not arrived'!A:A=$B809),1),
        """"
    )
)"),"")</f>
        <v/>
      </c>
      <c r="M809" s="202"/>
      <c r="N809" s="223" t="str">
        <f>IFERROR(__xludf.DUMMYFUNCTION("IFERROR(
    INDEX(FILTER('Arrived Shipments'!O:O, 'Arrived Shipments'!B:B=$B809),2),
    IFERROR(
        INDEX(FILTER('POed not arrived'!D:D, 'POed not arrived'!A:A=$B809),2),
        """"
    )
)"),"")</f>
        <v/>
      </c>
      <c r="O809" s="202"/>
      <c r="P809" s="202" t="str">
        <f>IFERROR(__xludf.DUMMYFUNCTION("IFERROR(
    INDEX(FILTER('Arrived Shipments'!O:O, 'Arrived Shipments'!B:B=$B809),3),
    IFERROR(
        INDEX(FILTER('POed not arrived'!D:D, 'POed not arrived'!A:A=$B809),3),
        """"
    )
)"),"")</f>
        <v/>
      </c>
      <c r="Q809" s="202"/>
      <c r="R809" s="206" t="str">
        <f>IFERROR(__xludf.DUMMYFUNCTION("IFERROR(
    INDEX(FILTER('Arrived Shipments'!O:O, 'Arrived Shipments'!B:B=$B809),4),
    IFERROR(
        INDEX(FILTER('POed not arrived'!D:D, 'POed not arrived'!A:A=$B809),4),
        """"
    )
)"),"")</f>
        <v/>
      </c>
      <c r="S809" s="202"/>
      <c r="T809" s="202">
        <f t="shared" si="8"/>
        <v>0</v>
      </c>
      <c r="U809" s="198"/>
      <c r="V809" s="199"/>
      <c r="W809" s="197"/>
      <c r="X809" s="197"/>
      <c r="Y809" s="199"/>
      <c r="Z809" s="199"/>
      <c r="AA809" s="204" t="str">
        <f t="shared" si="4"/>
        <v/>
      </c>
      <c r="AB809" s="198"/>
      <c r="AC809" s="199"/>
      <c r="AD809" s="199"/>
      <c r="AE809" s="199"/>
      <c r="AF809" s="199"/>
      <c r="AG809" s="199"/>
      <c r="AH809" s="199"/>
      <c r="AI809" s="199"/>
      <c r="AJ809" s="199"/>
      <c r="AK809" s="199"/>
      <c r="AL809" s="199"/>
      <c r="AM809" s="198"/>
      <c r="AN809" s="197"/>
      <c r="AO809" s="197"/>
      <c r="AP809" s="197"/>
      <c r="AQ809" s="197"/>
      <c r="AR809" s="197"/>
      <c r="AS809" s="197"/>
    </row>
    <row r="810">
      <c r="A810" s="198" t="str">
        <f t="shared" si="1"/>
        <v/>
      </c>
      <c r="B810" s="205"/>
      <c r="C810" s="198"/>
      <c r="D810" s="199"/>
      <c r="E810" s="213"/>
      <c r="F810" s="198"/>
      <c r="G810" s="198"/>
      <c r="H810" s="199"/>
      <c r="I810" s="207"/>
      <c r="J810" s="199"/>
      <c r="K810" s="202"/>
      <c r="L810" s="205" t="str">
        <f>IFERROR(__xludf.DUMMYFUNCTION("IFERROR(
    INDEX(FILTER('Arrived Shipments'!O:O, 'Arrived Shipments'!B:B=$B810),1),
    IFERROR(
        INDEX(FILTER('POed not arrived'!D:D, 'POed not arrived'!A:A=$B810),1),
        """"
    )
)"),"")</f>
        <v/>
      </c>
      <c r="M810" s="202"/>
      <c r="N810" s="223" t="str">
        <f>IFERROR(__xludf.DUMMYFUNCTION("IFERROR(
    INDEX(FILTER('Arrived Shipments'!O:O, 'Arrived Shipments'!B:B=$B810),2),
    IFERROR(
        INDEX(FILTER('POed not arrived'!D:D, 'POed not arrived'!A:A=$B810),2),
        """"
    )
)"),"")</f>
        <v/>
      </c>
      <c r="O810" s="202"/>
      <c r="P810" s="202" t="str">
        <f>IFERROR(__xludf.DUMMYFUNCTION("IFERROR(
    INDEX(FILTER('Arrived Shipments'!O:O, 'Arrived Shipments'!B:B=$B810),3),
    IFERROR(
        INDEX(FILTER('POed not arrived'!D:D, 'POed not arrived'!A:A=$B810),3),
        """"
    )
)"),"")</f>
        <v/>
      </c>
      <c r="Q810" s="202"/>
      <c r="R810" s="206" t="str">
        <f>IFERROR(__xludf.DUMMYFUNCTION("IFERROR(
    INDEX(FILTER('Arrived Shipments'!O:O, 'Arrived Shipments'!B:B=$B810),4),
    IFERROR(
        INDEX(FILTER('POed not arrived'!D:D, 'POed not arrived'!A:A=$B810),4),
        """"
    )
)"),"")</f>
        <v/>
      </c>
      <c r="S810" s="202"/>
      <c r="T810" s="202">
        <f t="shared" si="8"/>
        <v>0</v>
      </c>
      <c r="U810" s="198"/>
      <c r="V810" s="199"/>
      <c r="W810" s="197"/>
      <c r="X810" s="197"/>
      <c r="Y810" s="199"/>
      <c r="Z810" s="199"/>
      <c r="AA810" s="204" t="str">
        <f t="shared" si="4"/>
        <v/>
      </c>
      <c r="AB810" s="198"/>
      <c r="AC810" s="199"/>
      <c r="AD810" s="199"/>
      <c r="AE810" s="199"/>
      <c r="AF810" s="199"/>
      <c r="AG810" s="199"/>
      <c r="AH810" s="199"/>
      <c r="AI810" s="199"/>
      <c r="AJ810" s="199"/>
      <c r="AK810" s="199"/>
      <c r="AL810" s="199"/>
      <c r="AM810" s="198"/>
      <c r="AN810" s="197"/>
      <c r="AO810" s="197"/>
      <c r="AP810" s="197"/>
      <c r="AQ810" s="197"/>
      <c r="AR810" s="197"/>
      <c r="AS810" s="197"/>
    </row>
    <row r="811">
      <c r="A811" s="198" t="str">
        <f t="shared" si="1"/>
        <v/>
      </c>
      <c r="B811" s="205"/>
      <c r="C811" s="198"/>
      <c r="D811" s="199"/>
      <c r="E811" s="213"/>
      <c r="F811" s="198"/>
      <c r="G811" s="198"/>
      <c r="H811" s="199"/>
      <c r="I811" s="207"/>
      <c r="J811" s="199"/>
      <c r="K811" s="202"/>
      <c r="L811" s="205" t="str">
        <f>IFERROR(__xludf.DUMMYFUNCTION("IFERROR(
    INDEX(FILTER('Arrived Shipments'!O:O, 'Arrived Shipments'!B:B=$B811),1),
    IFERROR(
        INDEX(FILTER('POed not arrived'!D:D, 'POed not arrived'!A:A=$B811),1),
        """"
    )
)"),"")</f>
        <v/>
      </c>
      <c r="M811" s="202"/>
      <c r="N811" s="223" t="str">
        <f>IFERROR(__xludf.DUMMYFUNCTION("IFERROR(
    INDEX(FILTER('Arrived Shipments'!O:O, 'Arrived Shipments'!B:B=$B811),2),
    IFERROR(
        INDEX(FILTER('POed not arrived'!D:D, 'POed not arrived'!A:A=$B811),2),
        """"
    )
)"),"")</f>
        <v/>
      </c>
      <c r="O811" s="202"/>
      <c r="P811" s="202" t="str">
        <f>IFERROR(__xludf.DUMMYFUNCTION("IFERROR(
    INDEX(FILTER('Arrived Shipments'!O:O, 'Arrived Shipments'!B:B=$B811),3),
    IFERROR(
        INDEX(FILTER('POed not arrived'!D:D, 'POed not arrived'!A:A=$B811),3),
        """"
    )
)"),"")</f>
        <v/>
      </c>
      <c r="Q811" s="202"/>
      <c r="R811" s="206" t="str">
        <f>IFERROR(__xludf.DUMMYFUNCTION("IFERROR(
    INDEX(FILTER('Arrived Shipments'!O:O, 'Arrived Shipments'!B:B=$B811),4),
    IFERROR(
        INDEX(FILTER('POed not arrived'!D:D, 'POed not arrived'!A:A=$B811),4),
        """"
    )
)"),"")</f>
        <v/>
      </c>
      <c r="S811" s="202"/>
      <c r="T811" s="202">
        <f t="shared" si="8"/>
        <v>0</v>
      </c>
      <c r="U811" s="198"/>
      <c r="V811" s="199"/>
      <c r="W811" s="197"/>
      <c r="X811" s="197"/>
      <c r="Y811" s="199"/>
      <c r="Z811" s="199"/>
      <c r="AA811" s="204" t="str">
        <f t="shared" si="4"/>
        <v/>
      </c>
      <c r="AB811" s="198"/>
      <c r="AC811" s="199"/>
      <c r="AD811" s="199"/>
      <c r="AE811" s="199"/>
      <c r="AF811" s="199"/>
      <c r="AG811" s="199"/>
      <c r="AH811" s="199"/>
      <c r="AI811" s="199"/>
      <c r="AJ811" s="199"/>
      <c r="AK811" s="199"/>
      <c r="AL811" s="199"/>
      <c r="AM811" s="198"/>
      <c r="AN811" s="197"/>
      <c r="AO811" s="197"/>
      <c r="AP811" s="197"/>
      <c r="AQ811" s="197"/>
      <c r="AR811" s="197"/>
      <c r="AS811" s="197"/>
    </row>
    <row r="812">
      <c r="A812" s="198" t="str">
        <f t="shared" si="1"/>
        <v/>
      </c>
      <c r="B812" s="205"/>
      <c r="C812" s="198"/>
      <c r="D812" s="199"/>
      <c r="E812" s="213"/>
      <c r="F812" s="198"/>
      <c r="G812" s="198"/>
      <c r="H812" s="199"/>
      <c r="I812" s="207"/>
      <c r="J812" s="199"/>
      <c r="K812" s="202"/>
      <c r="L812" s="205" t="str">
        <f>IFERROR(__xludf.DUMMYFUNCTION("IFERROR(
    INDEX(FILTER('Arrived Shipments'!O:O, 'Arrived Shipments'!B:B=$B812),1),
    IFERROR(
        INDEX(FILTER('POed not arrived'!D:D, 'POed not arrived'!A:A=$B812),1),
        """"
    )
)"),"")</f>
        <v/>
      </c>
      <c r="M812" s="202"/>
      <c r="N812" s="223" t="str">
        <f>IFERROR(__xludf.DUMMYFUNCTION("IFERROR(
    INDEX(FILTER('Arrived Shipments'!O:O, 'Arrived Shipments'!B:B=$B812),2),
    IFERROR(
        INDEX(FILTER('POed not arrived'!D:D, 'POed not arrived'!A:A=$B812),2),
        """"
    )
)"),"")</f>
        <v/>
      </c>
      <c r="O812" s="202"/>
      <c r="P812" s="202" t="str">
        <f>IFERROR(__xludf.DUMMYFUNCTION("IFERROR(
    INDEX(FILTER('Arrived Shipments'!O:O, 'Arrived Shipments'!B:B=$B812),3),
    IFERROR(
        INDEX(FILTER('POed not arrived'!D:D, 'POed not arrived'!A:A=$B812),3),
        """"
    )
)"),"")</f>
        <v/>
      </c>
      <c r="Q812" s="202"/>
      <c r="R812" s="206" t="str">
        <f>IFERROR(__xludf.DUMMYFUNCTION("IFERROR(
    INDEX(FILTER('Arrived Shipments'!O:O, 'Arrived Shipments'!B:B=$B812),4),
    IFERROR(
        INDEX(FILTER('POed not arrived'!D:D, 'POed not arrived'!A:A=$B812),4),
        """"
    )
)"),"")</f>
        <v/>
      </c>
      <c r="S812" s="202"/>
      <c r="T812" s="202">
        <f t="shared" si="8"/>
        <v>0</v>
      </c>
      <c r="U812" s="198"/>
      <c r="V812" s="199"/>
      <c r="W812" s="197"/>
      <c r="X812" s="197"/>
      <c r="Y812" s="199"/>
      <c r="Z812" s="199"/>
      <c r="AA812" s="204" t="str">
        <f t="shared" si="4"/>
        <v/>
      </c>
      <c r="AB812" s="198"/>
      <c r="AC812" s="199"/>
      <c r="AD812" s="199"/>
      <c r="AE812" s="199"/>
      <c r="AF812" s="199"/>
      <c r="AG812" s="199"/>
      <c r="AH812" s="199"/>
      <c r="AI812" s="199"/>
      <c r="AJ812" s="199"/>
      <c r="AK812" s="199"/>
      <c r="AL812" s="199"/>
      <c r="AM812" s="198"/>
      <c r="AN812" s="197"/>
      <c r="AO812" s="197"/>
      <c r="AP812" s="197"/>
      <c r="AQ812" s="197"/>
      <c r="AR812" s="197"/>
      <c r="AS812" s="197"/>
    </row>
    <row r="813">
      <c r="A813" s="198"/>
      <c r="B813" s="205"/>
      <c r="C813" s="198"/>
      <c r="D813" s="199"/>
      <c r="E813" s="213"/>
      <c r="F813" s="198"/>
      <c r="G813" s="198"/>
      <c r="H813" s="199"/>
      <c r="I813" s="207"/>
      <c r="J813" s="199"/>
      <c r="K813" s="202"/>
      <c r="L813" s="205" t="str">
        <f>IFERROR(__xludf.DUMMYFUNCTION("IFERROR(
    INDEX(FILTER('Arrived Shipments'!O:O, 'Arrived Shipments'!B:B=$B813),1),
    IFERROR(
        INDEX(FILTER('POed not arrived'!D:D, 'POed not arrived'!A:A=$B813),1),
        """"
    )
)"),"")</f>
        <v/>
      </c>
      <c r="M813" s="202"/>
      <c r="N813" s="223" t="str">
        <f>IFERROR(__xludf.DUMMYFUNCTION("IFERROR(
    INDEX(FILTER('Arrived Shipments'!O:O, 'Arrived Shipments'!B:B=$B813),2),
    IFERROR(
        INDEX(FILTER('POed not arrived'!D:D, 'POed not arrived'!A:A=$B813),2),
        """"
    )
)"),"")</f>
        <v/>
      </c>
      <c r="O813" s="202"/>
      <c r="P813" s="202" t="str">
        <f>IFERROR(__xludf.DUMMYFUNCTION("IFERROR(
    INDEX(FILTER('Arrived Shipments'!O:O, 'Arrived Shipments'!B:B=$B813),3),
    IFERROR(
        INDEX(FILTER('POed not arrived'!D:D, 'POed not arrived'!A:A=$B813),3),
        """"
    )
)"),"")</f>
        <v/>
      </c>
      <c r="Q813" s="202"/>
      <c r="R813" s="206" t="str">
        <f>IFERROR(__xludf.DUMMYFUNCTION("IFERROR(
    INDEX(FILTER('Arrived Shipments'!O:O, 'Arrived Shipments'!B:B=$B813),4),
    IFERROR(
        INDEX(FILTER('POed not arrived'!D:D, 'POed not arrived'!A:A=$B813),4),
        """"
    )
)"),"")</f>
        <v/>
      </c>
      <c r="S813" s="202"/>
      <c r="T813" s="202">
        <f t="shared" si="8"/>
        <v>0</v>
      </c>
      <c r="U813" s="198"/>
      <c r="V813" s="199"/>
      <c r="W813" s="197"/>
      <c r="X813" s="197"/>
      <c r="Y813" s="199"/>
      <c r="Z813" s="199"/>
      <c r="AA813" s="204" t="str">
        <f t="shared" si="4"/>
        <v/>
      </c>
      <c r="AB813" s="198"/>
      <c r="AC813" s="199"/>
      <c r="AD813" s="199"/>
      <c r="AE813" s="199"/>
      <c r="AF813" s="199"/>
      <c r="AG813" s="199"/>
      <c r="AH813" s="199"/>
      <c r="AI813" s="199"/>
      <c r="AJ813" s="199"/>
      <c r="AK813" s="199"/>
      <c r="AL813" s="199"/>
      <c r="AM813" s="198"/>
      <c r="AN813" s="197"/>
      <c r="AO813" s="197"/>
      <c r="AP813" s="197"/>
      <c r="AQ813" s="197"/>
      <c r="AR813" s="197"/>
      <c r="AS813" s="197"/>
    </row>
    <row r="814">
      <c r="A814" s="198"/>
      <c r="B814" s="205"/>
      <c r="C814" s="198"/>
      <c r="D814" s="199"/>
      <c r="E814" s="213"/>
      <c r="F814" s="198"/>
      <c r="G814" s="198"/>
      <c r="H814" s="199"/>
      <c r="I814" s="207"/>
      <c r="J814" s="199"/>
      <c r="K814" s="202"/>
      <c r="L814" s="205" t="str">
        <f>IFERROR(__xludf.DUMMYFUNCTION("IFERROR(
    INDEX(FILTER('Arrived Shipments'!O:O, 'Arrived Shipments'!B:B=$B814),1),
    IFERROR(
        INDEX(FILTER('POed not arrived'!D:D, 'POed not arrived'!A:A=$B814),1),
        """"
    )
)"),"")</f>
        <v/>
      </c>
      <c r="M814" s="202"/>
      <c r="N814" s="223" t="str">
        <f>IFERROR(__xludf.DUMMYFUNCTION("IFERROR(
    INDEX(FILTER('Arrived Shipments'!O:O, 'Arrived Shipments'!B:B=$B814),2),
    IFERROR(
        INDEX(FILTER('POed not arrived'!D:D, 'POed not arrived'!A:A=$B814),2),
        """"
    )
)"),"")</f>
        <v/>
      </c>
      <c r="O814" s="202"/>
      <c r="P814" s="202" t="str">
        <f>IFERROR(__xludf.DUMMYFUNCTION("IFERROR(
    INDEX(FILTER('Arrived Shipments'!O:O, 'Arrived Shipments'!B:B=$B814),3),
    IFERROR(
        INDEX(FILTER('POed not arrived'!D:D, 'POed not arrived'!A:A=$B814),3),
        """"
    )
)"),"")</f>
        <v/>
      </c>
      <c r="Q814" s="202"/>
      <c r="R814" s="206" t="str">
        <f>IFERROR(__xludf.DUMMYFUNCTION("IFERROR(
    INDEX(FILTER('Arrived Shipments'!O:O, 'Arrived Shipments'!B:B=$B814),4),
    IFERROR(
        INDEX(FILTER('POed not arrived'!D:D, 'POed not arrived'!A:A=$B814),4),
        """"
    )
)"),"")</f>
        <v/>
      </c>
      <c r="S814" s="202"/>
      <c r="T814" s="202">
        <f t="shared" si="8"/>
        <v>0</v>
      </c>
      <c r="U814" s="198"/>
      <c r="V814" s="199"/>
      <c r="W814" s="197"/>
      <c r="X814" s="197"/>
      <c r="Y814" s="199"/>
      <c r="Z814" s="199"/>
      <c r="AA814" s="204" t="str">
        <f t="shared" si="4"/>
        <v/>
      </c>
      <c r="AB814" s="198"/>
      <c r="AC814" s="199"/>
      <c r="AD814" s="199"/>
      <c r="AE814" s="199"/>
      <c r="AF814" s="199"/>
      <c r="AG814" s="199"/>
      <c r="AH814" s="199"/>
      <c r="AI814" s="199"/>
      <c r="AJ814" s="199"/>
      <c r="AK814" s="199"/>
      <c r="AL814" s="199"/>
      <c r="AM814" s="198"/>
      <c r="AN814" s="197"/>
      <c r="AO814" s="197"/>
      <c r="AP814" s="197"/>
      <c r="AQ814" s="197"/>
      <c r="AR814" s="197"/>
      <c r="AS814" s="197"/>
    </row>
    <row r="815">
      <c r="A815" s="198"/>
      <c r="B815" s="205"/>
      <c r="C815" s="198"/>
      <c r="D815" s="199"/>
      <c r="E815" s="213"/>
      <c r="F815" s="198"/>
      <c r="G815" s="198"/>
      <c r="H815" s="199"/>
      <c r="I815" s="207"/>
      <c r="J815" s="199"/>
      <c r="K815" s="202"/>
      <c r="L815" s="205" t="str">
        <f>IFERROR(__xludf.DUMMYFUNCTION("IFERROR(
    INDEX(FILTER('Arrived Shipments'!O:O, 'Arrived Shipments'!B:B=$B815),1),
    IFERROR(
        INDEX(FILTER('POed not arrived'!D:D, 'POed not arrived'!A:A=$B815),1),
        """"
    )
)"),"")</f>
        <v/>
      </c>
      <c r="M815" s="202"/>
      <c r="N815" s="223" t="str">
        <f>IFERROR(__xludf.DUMMYFUNCTION("IFERROR(
    INDEX(FILTER('Arrived Shipments'!O:O, 'Arrived Shipments'!B:B=$B815),2),
    IFERROR(
        INDEX(FILTER('POed not arrived'!D:D, 'POed not arrived'!A:A=$B815),2),
        """"
    )
)"),"")</f>
        <v/>
      </c>
      <c r="O815" s="202"/>
      <c r="P815" s="202" t="str">
        <f>IFERROR(__xludf.DUMMYFUNCTION("IFERROR(
    INDEX(FILTER('Arrived Shipments'!O:O, 'Arrived Shipments'!B:B=$B815),3),
    IFERROR(
        INDEX(FILTER('POed not arrived'!D:D, 'POed not arrived'!A:A=$B815),3),
        """"
    )
)"),"")</f>
        <v/>
      </c>
      <c r="Q815" s="202"/>
      <c r="R815" s="206" t="str">
        <f>IFERROR(__xludf.DUMMYFUNCTION("IFERROR(
    INDEX(FILTER('Arrived Shipments'!O:O, 'Arrived Shipments'!B:B=$B815),4),
    IFERROR(
        INDEX(FILTER('POed not arrived'!D:D, 'POed not arrived'!A:A=$B815),4),
        """"
    )
)"),"")</f>
        <v/>
      </c>
      <c r="S815" s="202"/>
      <c r="T815" s="202">
        <f t="shared" si="8"/>
        <v>0</v>
      </c>
      <c r="U815" s="198"/>
      <c r="V815" s="199"/>
      <c r="W815" s="197"/>
      <c r="X815" s="197"/>
      <c r="Y815" s="199"/>
      <c r="Z815" s="199"/>
      <c r="AA815" s="204" t="str">
        <f t="shared" si="4"/>
        <v/>
      </c>
      <c r="AB815" s="198"/>
      <c r="AC815" s="199"/>
      <c r="AD815" s="199"/>
      <c r="AE815" s="199"/>
      <c r="AF815" s="199"/>
      <c r="AG815" s="199"/>
      <c r="AH815" s="199"/>
      <c r="AI815" s="199"/>
      <c r="AJ815" s="199"/>
      <c r="AK815" s="199"/>
      <c r="AL815" s="199"/>
      <c r="AM815" s="198"/>
      <c r="AN815" s="197"/>
      <c r="AO815" s="197"/>
      <c r="AP815" s="197"/>
      <c r="AQ815" s="197"/>
      <c r="AR815" s="197"/>
      <c r="AS815" s="197"/>
    </row>
    <row r="816">
      <c r="A816" s="198"/>
      <c r="B816" s="205"/>
      <c r="C816" s="198"/>
      <c r="D816" s="199"/>
      <c r="E816" s="213"/>
      <c r="F816" s="198"/>
      <c r="G816" s="198"/>
      <c r="H816" s="199"/>
      <c r="I816" s="207"/>
      <c r="J816" s="199"/>
      <c r="K816" s="202"/>
      <c r="L816" s="205" t="str">
        <f>IFERROR(__xludf.DUMMYFUNCTION("IFERROR(
    INDEX(FILTER('Arrived Shipments'!O:O, 'Arrived Shipments'!B:B=$B816),1),
    IFERROR(
        INDEX(FILTER('POed not arrived'!D:D, 'POed not arrived'!A:A=$B816),1),
        """"
    )
)"),"")</f>
        <v/>
      </c>
      <c r="M816" s="202"/>
      <c r="N816" s="223" t="str">
        <f>IFERROR(__xludf.DUMMYFUNCTION("IFERROR(
    INDEX(FILTER('Arrived Shipments'!O:O, 'Arrived Shipments'!B:B=$B816),2),
    IFERROR(
        INDEX(FILTER('POed not arrived'!D:D, 'POed not arrived'!A:A=$B816),2),
        """"
    )
)"),"")</f>
        <v/>
      </c>
      <c r="O816" s="202"/>
      <c r="P816" s="202" t="str">
        <f>IFERROR(__xludf.DUMMYFUNCTION("IFERROR(
    INDEX(FILTER('Arrived Shipments'!O:O, 'Arrived Shipments'!B:B=$B816),3),
    IFERROR(
        INDEX(FILTER('POed not arrived'!D:D, 'POed not arrived'!A:A=$B816),3),
        """"
    )
)"),"")</f>
        <v/>
      </c>
      <c r="Q816" s="202"/>
      <c r="R816" s="206" t="str">
        <f>IFERROR(__xludf.DUMMYFUNCTION("IFERROR(
    INDEX(FILTER('Arrived Shipments'!O:O, 'Arrived Shipments'!B:B=$B816),4),
    IFERROR(
        INDEX(FILTER('POed not arrived'!D:D, 'POed not arrived'!A:A=$B816),4),
        """"
    )
)"),"")</f>
        <v/>
      </c>
      <c r="S816" s="202"/>
      <c r="T816" s="202">
        <f t="shared" si="8"/>
        <v>0</v>
      </c>
      <c r="U816" s="198"/>
      <c r="V816" s="199"/>
      <c r="W816" s="197"/>
      <c r="X816" s="197"/>
      <c r="Y816" s="199"/>
      <c r="Z816" s="199"/>
      <c r="AA816" s="204" t="str">
        <f t="shared" si="4"/>
        <v/>
      </c>
      <c r="AB816" s="198"/>
      <c r="AC816" s="199"/>
      <c r="AD816" s="199"/>
      <c r="AE816" s="199"/>
      <c r="AF816" s="199"/>
      <c r="AG816" s="199"/>
      <c r="AH816" s="199"/>
      <c r="AI816" s="199"/>
      <c r="AJ816" s="199"/>
      <c r="AK816" s="199"/>
      <c r="AL816" s="199"/>
      <c r="AM816" s="198"/>
      <c r="AN816" s="197"/>
      <c r="AO816" s="197"/>
      <c r="AP816" s="197"/>
      <c r="AQ816" s="197"/>
      <c r="AR816" s="197"/>
      <c r="AS816" s="197"/>
    </row>
    <row r="817">
      <c r="A817" s="198"/>
      <c r="B817" s="205"/>
      <c r="C817" s="198"/>
      <c r="D817" s="199"/>
      <c r="E817" s="213"/>
      <c r="F817" s="198"/>
      <c r="G817" s="198"/>
      <c r="H817" s="199"/>
      <c r="I817" s="207"/>
      <c r="J817" s="199"/>
      <c r="K817" s="202"/>
      <c r="L817" s="205" t="str">
        <f>IFERROR(__xludf.DUMMYFUNCTION("IFERROR(
    INDEX(FILTER('Arrived Shipments'!O:O, 'Arrived Shipments'!B:B=$B817),1),
    IFERROR(
        INDEX(FILTER('POed not arrived'!D:D, 'POed not arrived'!A:A=$B817),1),
        """"
    )
)"),"")</f>
        <v/>
      </c>
      <c r="M817" s="202"/>
      <c r="N817" s="223" t="str">
        <f>IFERROR(__xludf.DUMMYFUNCTION("IFERROR(
    INDEX(FILTER('Arrived Shipments'!O:O, 'Arrived Shipments'!B:B=$B817),2),
    IFERROR(
        INDEX(FILTER('POed not arrived'!D:D, 'POed not arrived'!A:A=$B817),2),
        """"
    )
)"),"")</f>
        <v/>
      </c>
      <c r="O817" s="202"/>
      <c r="P817" s="202" t="str">
        <f>IFERROR(__xludf.DUMMYFUNCTION("IFERROR(
    INDEX(FILTER('Arrived Shipments'!O:O, 'Arrived Shipments'!B:B=$B817),3),
    IFERROR(
        INDEX(FILTER('POed not arrived'!D:D, 'POed not arrived'!A:A=$B817),3),
        """"
    )
)"),"")</f>
        <v/>
      </c>
      <c r="Q817" s="202"/>
      <c r="R817" s="206" t="str">
        <f>IFERROR(__xludf.DUMMYFUNCTION("IFERROR(
    INDEX(FILTER('Arrived Shipments'!O:O, 'Arrived Shipments'!B:B=$B817),4),
    IFERROR(
        INDEX(FILTER('POed not arrived'!D:D, 'POed not arrived'!A:A=$B817),4),
        """"
    )
)"),"")</f>
        <v/>
      </c>
      <c r="S817" s="202"/>
      <c r="T817" s="202">
        <f t="shared" si="8"/>
        <v>0</v>
      </c>
      <c r="U817" s="198"/>
      <c r="V817" s="199"/>
      <c r="W817" s="197"/>
      <c r="X817" s="197"/>
      <c r="Y817" s="199"/>
      <c r="Z817" s="199"/>
      <c r="AA817" s="204" t="str">
        <f t="shared" si="4"/>
        <v/>
      </c>
      <c r="AB817" s="198"/>
      <c r="AC817" s="199"/>
      <c r="AD817" s="199"/>
      <c r="AE817" s="199"/>
      <c r="AF817" s="199"/>
      <c r="AG817" s="199"/>
      <c r="AH817" s="199"/>
      <c r="AI817" s="199"/>
      <c r="AJ817" s="199"/>
      <c r="AK817" s="199"/>
      <c r="AL817" s="199"/>
      <c r="AM817" s="198"/>
      <c r="AN817" s="197"/>
      <c r="AO817" s="197"/>
      <c r="AP817" s="197"/>
      <c r="AQ817" s="197"/>
      <c r="AR817" s="197"/>
      <c r="AS817" s="197"/>
    </row>
    <row r="818">
      <c r="A818" s="198"/>
      <c r="B818" s="205"/>
      <c r="C818" s="198"/>
      <c r="D818" s="199"/>
      <c r="E818" s="213"/>
      <c r="F818" s="198"/>
      <c r="G818" s="198"/>
      <c r="H818" s="199"/>
      <c r="I818" s="207"/>
      <c r="J818" s="199"/>
      <c r="K818" s="202"/>
      <c r="L818" s="205" t="str">
        <f>IFERROR(__xludf.DUMMYFUNCTION("IFERROR(
    INDEX(FILTER('Arrived Shipments'!O:O, 'Arrived Shipments'!B:B=$B818),1),
    IFERROR(
        INDEX(FILTER('POed not arrived'!D:D, 'POed not arrived'!A:A=$B818),1),
        """"
    )
)"),"")</f>
        <v/>
      </c>
      <c r="M818" s="202"/>
      <c r="N818" s="223" t="str">
        <f>IFERROR(__xludf.DUMMYFUNCTION("IFERROR(
    INDEX(FILTER('Arrived Shipments'!O:O, 'Arrived Shipments'!B:B=$B818),2),
    IFERROR(
        INDEX(FILTER('POed not arrived'!D:D, 'POed not arrived'!A:A=$B818),2),
        """"
    )
)"),"")</f>
        <v/>
      </c>
      <c r="O818" s="202"/>
      <c r="P818" s="202" t="str">
        <f>IFERROR(__xludf.DUMMYFUNCTION("IFERROR(
    INDEX(FILTER('Arrived Shipments'!O:O, 'Arrived Shipments'!B:B=$B818),3),
    IFERROR(
        INDEX(FILTER('POed not arrived'!D:D, 'POed not arrived'!A:A=$B818),3),
        """"
    )
)"),"")</f>
        <v/>
      </c>
      <c r="Q818" s="202"/>
      <c r="R818" s="206" t="str">
        <f>IFERROR(__xludf.DUMMYFUNCTION("IFERROR(
    INDEX(FILTER('Arrived Shipments'!O:O, 'Arrived Shipments'!B:B=$B818),4),
    IFERROR(
        INDEX(FILTER('POed not arrived'!D:D, 'POed not arrived'!A:A=$B818),4),
        """"
    )
)"),"")</f>
        <v/>
      </c>
      <c r="S818" s="202"/>
      <c r="T818" s="202">
        <f t="shared" si="8"/>
        <v>0</v>
      </c>
      <c r="U818" s="198"/>
      <c r="V818" s="199"/>
      <c r="W818" s="197"/>
      <c r="X818" s="197"/>
      <c r="Y818" s="199"/>
      <c r="Z818" s="199"/>
      <c r="AA818" s="204" t="str">
        <f t="shared" si="4"/>
        <v/>
      </c>
      <c r="AB818" s="198"/>
      <c r="AC818" s="199"/>
      <c r="AD818" s="199"/>
      <c r="AE818" s="199"/>
      <c r="AF818" s="199"/>
      <c r="AG818" s="199"/>
      <c r="AH818" s="199"/>
      <c r="AI818" s="199"/>
      <c r="AJ818" s="199"/>
      <c r="AK818" s="199"/>
      <c r="AL818" s="199"/>
      <c r="AM818" s="198"/>
      <c r="AN818" s="197"/>
      <c r="AO818" s="197"/>
      <c r="AP818" s="197"/>
      <c r="AQ818" s="197"/>
      <c r="AR818" s="197"/>
      <c r="AS818" s="197"/>
    </row>
    <row r="819">
      <c r="A819" s="198"/>
      <c r="B819" s="205"/>
      <c r="C819" s="198"/>
      <c r="D819" s="199"/>
      <c r="E819" s="213"/>
      <c r="F819" s="198"/>
      <c r="G819" s="198"/>
      <c r="H819" s="199"/>
      <c r="I819" s="207"/>
      <c r="J819" s="199"/>
      <c r="K819" s="202"/>
      <c r="L819" s="205" t="str">
        <f>IFERROR(__xludf.DUMMYFUNCTION("IFERROR(
    INDEX(FILTER('Arrived Shipments'!O:O, 'Arrived Shipments'!B:B=$B819),1),
    IFERROR(
        INDEX(FILTER('POed not arrived'!D:D, 'POed not arrived'!A:A=$B819),1),
        """"
    )
)"),"")</f>
        <v/>
      </c>
      <c r="M819" s="202"/>
      <c r="N819" s="223" t="str">
        <f>IFERROR(__xludf.DUMMYFUNCTION("IFERROR(
    INDEX(FILTER('Arrived Shipments'!O:O, 'Arrived Shipments'!B:B=$B819),2),
    IFERROR(
        INDEX(FILTER('POed not arrived'!D:D, 'POed not arrived'!A:A=$B819),2),
        """"
    )
)"),"")</f>
        <v/>
      </c>
      <c r="O819" s="202"/>
      <c r="P819" s="202" t="str">
        <f>IFERROR(__xludf.DUMMYFUNCTION("IFERROR(
    INDEX(FILTER('Arrived Shipments'!O:O, 'Arrived Shipments'!B:B=$B819),3),
    IFERROR(
        INDEX(FILTER('POed not arrived'!D:D, 'POed not arrived'!A:A=$B819),3),
        """"
    )
)"),"")</f>
        <v/>
      </c>
      <c r="Q819" s="202"/>
      <c r="R819" s="206" t="str">
        <f>IFERROR(__xludf.DUMMYFUNCTION("IFERROR(
    INDEX(FILTER('Arrived Shipments'!O:O, 'Arrived Shipments'!B:B=$B819),4),
    IFERROR(
        INDEX(FILTER('POed not arrived'!D:D, 'POed not arrived'!A:A=$B819),4),
        """"
    )
)"),"")</f>
        <v/>
      </c>
      <c r="S819" s="202"/>
      <c r="T819" s="202">
        <f t="shared" si="8"/>
        <v>0</v>
      </c>
      <c r="U819" s="198"/>
      <c r="V819" s="199"/>
      <c r="W819" s="197"/>
      <c r="X819" s="197"/>
      <c r="Y819" s="199"/>
      <c r="Z819" s="199"/>
      <c r="AA819" s="204" t="str">
        <f t="shared" si="4"/>
        <v/>
      </c>
      <c r="AB819" s="198"/>
      <c r="AC819" s="199"/>
      <c r="AD819" s="199"/>
      <c r="AE819" s="199"/>
      <c r="AF819" s="199"/>
      <c r="AG819" s="199"/>
      <c r="AH819" s="199"/>
      <c r="AI819" s="199"/>
      <c r="AJ819" s="199"/>
      <c r="AK819" s="199"/>
      <c r="AL819" s="199"/>
      <c r="AM819" s="198"/>
      <c r="AN819" s="197"/>
      <c r="AO819" s="197"/>
      <c r="AP819" s="197"/>
      <c r="AQ819" s="197"/>
      <c r="AR819" s="197"/>
      <c r="AS819" s="197"/>
    </row>
    <row r="820">
      <c r="A820" s="198"/>
      <c r="B820" s="205"/>
      <c r="C820" s="198"/>
      <c r="D820" s="199"/>
      <c r="E820" s="213"/>
      <c r="F820" s="198"/>
      <c r="G820" s="198"/>
      <c r="H820" s="199"/>
      <c r="I820" s="207"/>
      <c r="J820" s="199"/>
      <c r="K820" s="202"/>
      <c r="L820" s="205" t="str">
        <f>IFERROR(__xludf.DUMMYFUNCTION("IFERROR(
    INDEX(FILTER('Arrived Shipments'!O:O, 'Arrived Shipments'!B:B=$B820),1),
    IFERROR(
        INDEX(FILTER('POed not arrived'!D:D, 'POed not arrived'!A:A=$B820),1),
        """"
    )
)"),"")</f>
        <v/>
      </c>
      <c r="M820" s="202"/>
      <c r="N820" s="223" t="str">
        <f>IFERROR(__xludf.DUMMYFUNCTION("IFERROR(
    INDEX(FILTER('Arrived Shipments'!O:O, 'Arrived Shipments'!B:B=$B820),2),
    IFERROR(
        INDEX(FILTER('POed not arrived'!D:D, 'POed not arrived'!A:A=$B820),2),
        """"
    )
)"),"")</f>
        <v/>
      </c>
      <c r="O820" s="202"/>
      <c r="P820" s="202" t="str">
        <f>IFERROR(__xludf.DUMMYFUNCTION("IFERROR(
    INDEX(FILTER('Arrived Shipments'!O:O, 'Arrived Shipments'!B:B=$B820),3),
    IFERROR(
        INDEX(FILTER('POed not arrived'!D:D, 'POed not arrived'!A:A=$B820),3),
        """"
    )
)"),"")</f>
        <v/>
      </c>
      <c r="Q820" s="202"/>
      <c r="R820" s="206" t="str">
        <f>IFERROR(__xludf.DUMMYFUNCTION("IFERROR(
    INDEX(FILTER('Arrived Shipments'!O:O, 'Arrived Shipments'!B:B=$B820),4),
    IFERROR(
        INDEX(FILTER('POed not arrived'!D:D, 'POed not arrived'!A:A=$B820),4),
        """"
    )
)"),"")</f>
        <v/>
      </c>
      <c r="S820" s="202"/>
      <c r="T820" s="202">
        <f t="shared" si="8"/>
        <v>0</v>
      </c>
      <c r="U820" s="198"/>
      <c r="V820" s="199"/>
      <c r="W820" s="197"/>
      <c r="X820" s="197"/>
      <c r="Y820" s="199"/>
      <c r="Z820" s="199"/>
      <c r="AA820" s="204" t="str">
        <f t="shared" si="4"/>
        <v/>
      </c>
      <c r="AB820" s="198"/>
      <c r="AC820" s="199"/>
      <c r="AD820" s="199"/>
      <c r="AE820" s="199"/>
      <c r="AF820" s="199"/>
      <c r="AG820" s="199"/>
      <c r="AH820" s="199"/>
      <c r="AI820" s="199"/>
      <c r="AJ820" s="199"/>
      <c r="AK820" s="199"/>
      <c r="AL820" s="199"/>
      <c r="AM820" s="198"/>
      <c r="AN820" s="197"/>
      <c r="AO820" s="197"/>
      <c r="AP820" s="197"/>
      <c r="AQ820" s="197"/>
      <c r="AR820" s="197"/>
      <c r="AS820" s="197"/>
    </row>
    <row r="821">
      <c r="A821" s="198"/>
      <c r="B821" s="205"/>
      <c r="C821" s="198"/>
      <c r="D821" s="199"/>
      <c r="E821" s="213"/>
      <c r="F821" s="198"/>
      <c r="G821" s="198"/>
      <c r="H821" s="199"/>
      <c r="I821" s="207"/>
      <c r="J821" s="199"/>
      <c r="K821" s="202"/>
      <c r="L821" s="205" t="str">
        <f>IFERROR(__xludf.DUMMYFUNCTION("IFERROR(
    INDEX(FILTER('Arrived Shipments'!O:O, 'Arrived Shipments'!B:B=$B821),1),
    IFERROR(
        INDEX(FILTER('POed not arrived'!D:D, 'POed not arrived'!A:A=$B821),1),
        """"
    )
)"),"")</f>
        <v/>
      </c>
      <c r="M821" s="202"/>
      <c r="N821" s="223" t="str">
        <f>IFERROR(__xludf.DUMMYFUNCTION("IFERROR(
    INDEX(FILTER('Arrived Shipments'!O:O, 'Arrived Shipments'!B:B=$B821),2),
    IFERROR(
        INDEX(FILTER('POed not arrived'!D:D, 'POed not arrived'!A:A=$B821),2),
        """"
    )
)"),"")</f>
        <v/>
      </c>
      <c r="O821" s="202"/>
      <c r="P821" s="202" t="str">
        <f>IFERROR(__xludf.DUMMYFUNCTION("IFERROR(
    INDEX(FILTER('Arrived Shipments'!O:O, 'Arrived Shipments'!B:B=$B821),3),
    IFERROR(
        INDEX(FILTER('POed not arrived'!D:D, 'POed not arrived'!A:A=$B821),3),
        """"
    )
)"),"")</f>
        <v/>
      </c>
      <c r="Q821" s="202"/>
      <c r="R821" s="206" t="str">
        <f>IFERROR(__xludf.DUMMYFUNCTION("IFERROR(
    INDEX(FILTER('Arrived Shipments'!O:O, 'Arrived Shipments'!B:B=$B821),4),
    IFERROR(
        INDEX(FILTER('POed not arrived'!D:D, 'POed not arrived'!A:A=$B821),4),
        """"
    )
)"),"")</f>
        <v/>
      </c>
      <c r="S821" s="202"/>
      <c r="T821" s="202">
        <f t="shared" si="8"/>
        <v>0</v>
      </c>
      <c r="U821" s="198"/>
      <c r="V821" s="199"/>
      <c r="W821" s="197"/>
      <c r="X821" s="197"/>
      <c r="Y821" s="199"/>
      <c r="Z821" s="199"/>
      <c r="AA821" s="204" t="str">
        <f t="shared" si="4"/>
        <v/>
      </c>
      <c r="AB821" s="198"/>
      <c r="AC821" s="199"/>
      <c r="AD821" s="199"/>
      <c r="AE821" s="199"/>
      <c r="AF821" s="199"/>
      <c r="AG821" s="199"/>
      <c r="AH821" s="199"/>
      <c r="AI821" s="199"/>
      <c r="AJ821" s="199"/>
      <c r="AK821" s="199"/>
      <c r="AL821" s="199"/>
      <c r="AM821" s="198"/>
      <c r="AN821" s="197"/>
      <c r="AO821" s="197"/>
      <c r="AP821" s="197"/>
      <c r="AQ821" s="197"/>
      <c r="AR821" s="197"/>
      <c r="AS821" s="197"/>
    </row>
    <row r="822">
      <c r="A822" s="198"/>
      <c r="B822" s="205"/>
      <c r="C822" s="198"/>
      <c r="D822" s="199"/>
      <c r="E822" s="213"/>
      <c r="F822" s="198"/>
      <c r="G822" s="198"/>
      <c r="H822" s="199"/>
      <c r="I822" s="207"/>
      <c r="J822" s="199"/>
      <c r="K822" s="202"/>
      <c r="L822" s="205" t="str">
        <f>IFERROR(__xludf.DUMMYFUNCTION("IFERROR(
    INDEX(FILTER('Arrived Shipments'!O:O, 'Arrived Shipments'!B:B=$B822),1),
    IFERROR(
        INDEX(FILTER('POed not arrived'!D:D, 'POed not arrived'!A:A=$B822),1),
        """"
    )
)"),"")</f>
        <v/>
      </c>
      <c r="M822" s="202"/>
      <c r="N822" s="223" t="str">
        <f>IFERROR(__xludf.DUMMYFUNCTION("IFERROR(
    INDEX(FILTER('Arrived Shipments'!O:O, 'Arrived Shipments'!B:B=$B822),2),
    IFERROR(
        INDEX(FILTER('POed not arrived'!D:D, 'POed not arrived'!A:A=$B822),2),
        """"
    )
)"),"")</f>
        <v/>
      </c>
      <c r="O822" s="202"/>
      <c r="P822" s="202" t="str">
        <f>IFERROR(__xludf.DUMMYFUNCTION("IFERROR(
    INDEX(FILTER('Arrived Shipments'!O:O, 'Arrived Shipments'!B:B=$B822),3),
    IFERROR(
        INDEX(FILTER('POed not arrived'!D:D, 'POed not arrived'!A:A=$B822),3),
        """"
    )
)"),"")</f>
        <v/>
      </c>
      <c r="Q822" s="202"/>
      <c r="R822" s="206" t="str">
        <f>IFERROR(__xludf.DUMMYFUNCTION("IFERROR(
    INDEX(FILTER('Arrived Shipments'!O:O, 'Arrived Shipments'!B:B=$B822),4),
    IFERROR(
        INDEX(FILTER('POed not arrived'!D:D, 'POed not arrived'!A:A=$B822),4),
        """"
    )
)"),"")</f>
        <v/>
      </c>
      <c r="S822" s="202"/>
      <c r="T822" s="202">
        <f t="shared" si="8"/>
        <v>0</v>
      </c>
      <c r="U822" s="198"/>
      <c r="V822" s="199"/>
      <c r="W822" s="197"/>
      <c r="X822" s="197"/>
      <c r="Y822" s="199"/>
      <c r="Z822" s="199"/>
      <c r="AA822" s="204" t="str">
        <f t="shared" si="4"/>
        <v/>
      </c>
      <c r="AB822" s="198"/>
      <c r="AC822" s="199"/>
      <c r="AD822" s="199"/>
      <c r="AE822" s="199"/>
      <c r="AF822" s="199"/>
      <c r="AG822" s="199"/>
      <c r="AH822" s="199"/>
      <c r="AI822" s="199"/>
      <c r="AJ822" s="199"/>
      <c r="AK822" s="199"/>
      <c r="AL822" s="199"/>
      <c r="AM822" s="198"/>
      <c r="AN822" s="197"/>
      <c r="AO822" s="197"/>
      <c r="AP822" s="197"/>
      <c r="AQ822" s="197"/>
      <c r="AR822" s="197"/>
      <c r="AS822" s="197"/>
    </row>
    <row r="823">
      <c r="A823" s="198"/>
      <c r="B823" s="205"/>
      <c r="C823" s="198"/>
      <c r="D823" s="199"/>
      <c r="E823" s="213"/>
      <c r="F823" s="198"/>
      <c r="G823" s="198"/>
      <c r="H823" s="199"/>
      <c r="I823" s="207"/>
      <c r="J823" s="199"/>
      <c r="K823" s="202"/>
      <c r="L823" s="205" t="str">
        <f>IFERROR(__xludf.DUMMYFUNCTION("IFERROR(
    INDEX(FILTER('Arrived Shipments'!O:O, 'Arrived Shipments'!B:B=$B823),1),
    IFERROR(
        INDEX(FILTER('POed not arrived'!D:D, 'POed not arrived'!A:A=$B823),1),
        """"
    )
)"),"")</f>
        <v/>
      </c>
      <c r="M823" s="202"/>
      <c r="N823" s="223" t="str">
        <f>IFERROR(__xludf.DUMMYFUNCTION("IFERROR(
    INDEX(FILTER('Arrived Shipments'!O:O, 'Arrived Shipments'!B:B=$B823),2),
    IFERROR(
        INDEX(FILTER('POed not arrived'!D:D, 'POed not arrived'!A:A=$B823),2),
        """"
    )
)"),"")</f>
        <v/>
      </c>
      <c r="O823" s="202"/>
      <c r="P823" s="202" t="str">
        <f>IFERROR(__xludf.DUMMYFUNCTION("IFERROR(
    INDEX(FILTER('Arrived Shipments'!O:O, 'Arrived Shipments'!B:B=$B823),3),
    IFERROR(
        INDEX(FILTER('POed not arrived'!D:D, 'POed not arrived'!A:A=$B823),3),
        """"
    )
)"),"")</f>
        <v/>
      </c>
      <c r="Q823" s="202"/>
      <c r="R823" s="206" t="str">
        <f>IFERROR(__xludf.DUMMYFUNCTION("IFERROR(
    INDEX(FILTER('Arrived Shipments'!O:O, 'Arrived Shipments'!B:B=$B823),4),
    IFERROR(
        INDEX(FILTER('POed not arrived'!D:D, 'POed not arrived'!A:A=$B823),4),
        """"
    )
)"),"")</f>
        <v/>
      </c>
      <c r="S823" s="202"/>
      <c r="T823" s="202">
        <f t="shared" si="8"/>
        <v>0</v>
      </c>
      <c r="U823" s="198"/>
      <c r="V823" s="199"/>
      <c r="W823" s="197"/>
      <c r="X823" s="197"/>
      <c r="Y823" s="199"/>
      <c r="Z823" s="199"/>
      <c r="AA823" s="204" t="str">
        <f t="shared" si="4"/>
        <v/>
      </c>
      <c r="AB823" s="198"/>
      <c r="AC823" s="199"/>
      <c r="AD823" s="199"/>
      <c r="AE823" s="199"/>
      <c r="AF823" s="199"/>
      <c r="AG823" s="199"/>
      <c r="AH823" s="199"/>
      <c r="AI823" s="199"/>
      <c r="AJ823" s="199"/>
      <c r="AK823" s="199"/>
      <c r="AL823" s="199"/>
      <c r="AM823" s="198"/>
      <c r="AN823" s="197"/>
      <c r="AO823" s="197"/>
      <c r="AP823" s="197"/>
      <c r="AQ823" s="197"/>
      <c r="AR823" s="197"/>
      <c r="AS823" s="197"/>
    </row>
    <row r="824">
      <c r="A824" s="198"/>
      <c r="B824" s="205"/>
      <c r="C824" s="198"/>
      <c r="D824" s="199"/>
      <c r="E824" s="213"/>
      <c r="F824" s="198"/>
      <c r="G824" s="198"/>
      <c r="H824" s="199"/>
      <c r="I824" s="207"/>
      <c r="J824" s="199"/>
      <c r="K824" s="202"/>
      <c r="L824" s="205" t="str">
        <f>IFERROR(__xludf.DUMMYFUNCTION("IFERROR(
    INDEX(FILTER('Arrived Shipments'!O:O, 'Arrived Shipments'!B:B=$B824),1),
    IFERROR(
        INDEX(FILTER('POed not arrived'!D:D, 'POed not arrived'!A:A=$B824),1),
        """"
    )
)"),"")</f>
        <v/>
      </c>
      <c r="M824" s="202"/>
      <c r="N824" s="223" t="str">
        <f>IFERROR(__xludf.DUMMYFUNCTION("IFERROR(
    INDEX(FILTER('Arrived Shipments'!O:O, 'Arrived Shipments'!B:B=$B824),2),
    IFERROR(
        INDEX(FILTER('POed not arrived'!D:D, 'POed not arrived'!A:A=$B824),2),
        """"
    )
)"),"")</f>
        <v/>
      </c>
      <c r="O824" s="202"/>
      <c r="P824" s="202" t="str">
        <f>IFERROR(__xludf.DUMMYFUNCTION("IFERROR(
    INDEX(FILTER('Arrived Shipments'!O:O, 'Arrived Shipments'!B:B=$B824),3),
    IFERROR(
        INDEX(FILTER('POed not arrived'!D:D, 'POed not arrived'!A:A=$B824),3),
        """"
    )
)"),"")</f>
        <v/>
      </c>
      <c r="Q824" s="202"/>
      <c r="R824" s="206" t="str">
        <f>IFERROR(__xludf.DUMMYFUNCTION("IFERROR(
    INDEX(FILTER('Arrived Shipments'!O:O, 'Arrived Shipments'!B:B=$B824),4),
    IFERROR(
        INDEX(FILTER('POed not arrived'!D:D, 'POed not arrived'!A:A=$B824),4),
        """"
    )
)"),"")</f>
        <v/>
      </c>
      <c r="S824" s="202"/>
      <c r="T824" s="202">
        <f t="shared" si="8"/>
        <v>0</v>
      </c>
      <c r="U824" s="198"/>
      <c r="V824" s="199"/>
      <c r="W824" s="197"/>
      <c r="X824" s="197"/>
      <c r="Y824" s="199"/>
      <c r="Z824" s="199"/>
      <c r="AA824" s="204" t="str">
        <f t="shared" si="4"/>
        <v/>
      </c>
      <c r="AB824" s="198"/>
      <c r="AC824" s="199"/>
      <c r="AD824" s="199"/>
      <c r="AE824" s="199"/>
      <c r="AF824" s="199"/>
      <c r="AG824" s="199"/>
      <c r="AH824" s="199"/>
      <c r="AI824" s="199"/>
      <c r="AJ824" s="199"/>
      <c r="AK824" s="199"/>
      <c r="AL824" s="199"/>
      <c r="AM824" s="198"/>
      <c r="AN824" s="197"/>
      <c r="AO824" s="197"/>
      <c r="AP824" s="197"/>
      <c r="AQ824" s="197"/>
      <c r="AR824" s="197"/>
      <c r="AS824" s="197"/>
    </row>
    <row r="825">
      <c r="A825" s="198"/>
      <c r="B825" s="205"/>
      <c r="C825" s="198"/>
      <c r="D825" s="199"/>
      <c r="E825" s="213"/>
      <c r="F825" s="198"/>
      <c r="G825" s="198"/>
      <c r="H825" s="199"/>
      <c r="I825" s="207"/>
      <c r="J825" s="199"/>
      <c r="K825" s="202"/>
      <c r="L825" s="205" t="str">
        <f>IFERROR(__xludf.DUMMYFUNCTION("IFERROR(
    INDEX(FILTER('Arrived Shipments'!O:O, 'Arrived Shipments'!B:B=$B825),1),
    IFERROR(
        INDEX(FILTER('POed not arrived'!D:D, 'POed not arrived'!A:A=$B825),1),
        """"
    )
)"),"")</f>
        <v/>
      </c>
      <c r="M825" s="202"/>
      <c r="N825" s="223" t="str">
        <f>IFERROR(__xludf.DUMMYFUNCTION("IFERROR(
    INDEX(FILTER('Arrived Shipments'!O:O, 'Arrived Shipments'!B:B=$B825),2),
    IFERROR(
        INDEX(FILTER('POed not arrived'!D:D, 'POed not arrived'!A:A=$B825),2),
        """"
    )
)"),"")</f>
        <v/>
      </c>
      <c r="O825" s="202"/>
      <c r="P825" s="202" t="str">
        <f>IFERROR(__xludf.DUMMYFUNCTION("IFERROR(
    INDEX(FILTER('Arrived Shipments'!O:O, 'Arrived Shipments'!B:B=$B825),3),
    IFERROR(
        INDEX(FILTER('POed not arrived'!D:D, 'POed not arrived'!A:A=$B825),3),
        """"
    )
)"),"")</f>
        <v/>
      </c>
      <c r="Q825" s="202"/>
      <c r="R825" s="206" t="str">
        <f>IFERROR(__xludf.DUMMYFUNCTION("IFERROR(
    INDEX(FILTER('Arrived Shipments'!O:O, 'Arrived Shipments'!B:B=$B825),4),
    IFERROR(
        INDEX(FILTER('POed not arrived'!D:D, 'POed not arrived'!A:A=$B825),4),
        """"
    )
)"),"")</f>
        <v/>
      </c>
      <c r="S825" s="202"/>
      <c r="T825" s="202">
        <f t="shared" si="8"/>
        <v>0</v>
      </c>
      <c r="U825" s="198"/>
      <c r="V825" s="199"/>
      <c r="W825" s="197"/>
      <c r="X825" s="197"/>
      <c r="Y825" s="199"/>
      <c r="Z825" s="199"/>
      <c r="AA825" s="204" t="str">
        <f t="shared" si="4"/>
        <v/>
      </c>
      <c r="AB825" s="198"/>
      <c r="AC825" s="199"/>
      <c r="AD825" s="199"/>
      <c r="AE825" s="199"/>
      <c r="AF825" s="199"/>
      <c r="AG825" s="199"/>
      <c r="AH825" s="199"/>
      <c r="AI825" s="199"/>
      <c r="AJ825" s="199"/>
      <c r="AK825" s="199"/>
      <c r="AL825" s="199"/>
      <c r="AM825" s="198"/>
      <c r="AN825" s="197"/>
      <c r="AO825" s="197"/>
      <c r="AP825" s="197"/>
      <c r="AQ825" s="197"/>
      <c r="AR825" s="197"/>
      <c r="AS825" s="197"/>
    </row>
    <row r="826">
      <c r="A826" s="198"/>
      <c r="B826" s="205"/>
      <c r="C826" s="198"/>
      <c r="D826" s="199"/>
      <c r="E826" s="213"/>
      <c r="F826" s="198"/>
      <c r="G826" s="198"/>
      <c r="H826" s="199"/>
      <c r="I826" s="207"/>
      <c r="J826" s="199"/>
      <c r="K826" s="202"/>
      <c r="L826" s="205" t="str">
        <f>IFERROR(__xludf.DUMMYFUNCTION("IFERROR(
    INDEX(FILTER('Arrived Shipments'!O:O, 'Arrived Shipments'!B:B=$B826),1),
    IFERROR(
        INDEX(FILTER('POed not arrived'!D:D, 'POed not arrived'!A:A=$B826),1),
        """"
    )
)"),"")</f>
        <v/>
      </c>
      <c r="M826" s="202"/>
      <c r="N826" s="223" t="str">
        <f>IFERROR(__xludf.DUMMYFUNCTION("IFERROR(
    INDEX(FILTER('Arrived Shipments'!O:O, 'Arrived Shipments'!B:B=$B826),2),
    IFERROR(
        INDEX(FILTER('POed not arrived'!D:D, 'POed not arrived'!A:A=$B826),2),
        """"
    )
)"),"")</f>
        <v/>
      </c>
      <c r="O826" s="202"/>
      <c r="P826" s="202" t="str">
        <f>IFERROR(__xludf.DUMMYFUNCTION("IFERROR(
    INDEX(FILTER('Arrived Shipments'!O:O, 'Arrived Shipments'!B:B=$B826),3),
    IFERROR(
        INDEX(FILTER('POed not arrived'!D:D, 'POed not arrived'!A:A=$B826),3),
        """"
    )
)"),"")</f>
        <v/>
      </c>
      <c r="Q826" s="202"/>
      <c r="R826" s="206" t="str">
        <f>IFERROR(__xludf.DUMMYFUNCTION("IFERROR(
    INDEX(FILTER('Arrived Shipments'!O:O, 'Arrived Shipments'!B:B=$B826),4),
    IFERROR(
        INDEX(FILTER('POed not arrived'!D:D, 'POed not arrived'!A:A=$B826),4),
        """"
    )
)"),"")</f>
        <v/>
      </c>
      <c r="S826" s="202"/>
      <c r="T826" s="202">
        <f t="shared" si="8"/>
        <v>0</v>
      </c>
      <c r="U826" s="198"/>
      <c r="V826" s="199"/>
      <c r="W826" s="197"/>
      <c r="X826" s="197"/>
      <c r="Y826" s="199"/>
      <c r="Z826" s="199"/>
      <c r="AA826" s="204" t="str">
        <f t="shared" si="4"/>
        <v/>
      </c>
      <c r="AB826" s="198"/>
      <c r="AC826" s="199"/>
      <c r="AD826" s="199"/>
      <c r="AE826" s="199"/>
      <c r="AF826" s="199"/>
      <c r="AG826" s="199"/>
      <c r="AH826" s="199"/>
      <c r="AI826" s="199"/>
      <c r="AJ826" s="199"/>
      <c r="AK826" s="199"/>
      <c r="AL826" s="199"/>
      <c r="AM826" s="198"/>
      <c r="AN826" s="197"/>
      <c r="AO826" s="197"/>
      <c r="AP826" s="197"/>
      <c r="AQ826" s="197"/>
      <c r="AR826" s="197"/>
      <c r="AS826" s="197"/>
    </row>
    <row r="827">
      <c r="A827" s="198"/>
      <c r="B827" s="205"/>
      <c r="C827" s="198"/>
      <c r="D827" s="199"/>
      <c r="E827" s="213"/>
      <c r="F827" s="198"/>
      <c r="G827" s="198"/>
      <c r="H827" s="199"/>
      <c r="I827" s="207"/>
      <c r="J827" s="199"/>
      <c r="K827" s="202"/>
      <c r="L827" s="205" t="str">
        <f>IFERROR(__xludf.DUMMYFUNCTION("IFERROR(
    INDEX(FILTER('Arrived Shipments'!O:O, 'Arrived Shipments'!B:B=$B827),1),
    IFERROR(
        INDEX(FILTER('POed not arrived'!D:D, 'POed not arrived'!A:A=$B827),1),
        """"
    )
)"),"")</f>
        <v/>
      </c>
      <c r="M827" s="202"/>
      <c r="N827" s="223" t="str">
        <f>IFERROR(__xludf.DUMMYFUNCTION("IFERROR(
    INDEX(FILTER('Arrived Shipments'!O:O, 'Arrived Shipments'!B:B=$B827),2),
    IFERROR(
        INDEX(FILTER('POed not arrived'!D:D, 'POed not arrived'!A:A=$B827),2),
        """"
    )
)"),"")</f>
        <v/>
      </c>
      <c r="O827" s="202"/>
      <c r="P827" s="202" t="str">
        <f>IFERROR(__xludf.DUMMYFUNCTION("IFERROR(
    INDEX(FILTER('Arrived Shipments'!O:O, 'Arrived Shipments'!B:B=$B827),3),
    IFERROR(
        INDEX(FILTER('POed not arrived'!D:D, 'POed not arrived'!A:A=$B827),3),
        """"
    )
)"),"")</f>
        <v/>
      </c>
      <c r="Q827" s="202"/>
      <c r="R827" s="206" t="str">
        <f>IFERROR(__xludf.DUMMYFUNCTION("IFERROR(
    INDEX(FILTER('Arrived Shipments'!O:O, 'Arrived Shipments'!B:B=$B827),4),
    IFERROR(
        INDEX(FILTER('POed not arrived'!D:D, 'POed not arrived'!A:A=$B827),4),
        """"
    )
)"),"")</f>
        <v/>
      </c>
      <c r="S827" s="202"/>
      <c r="T827" s="202">
        <f t="shared" si="8"/>
        <v>0</v>
      </c>
      <c r="U827" s="198"/>
      <c r="V827" s="199"/>
      <c r="W827" s="197"/>
      <c r="X827" s="197"/>
      <c r="Y827" s="199"/>
      <c r="Z827" s="199"/>
      <c r="AA827" s="204" t="str">
        <f t="shared" si="4"/>
        <v/>
      </c>
      <c r="AB827" s="198"/>
      <c r="AC827" s="199"/>
      <c r="AD827" s="199"/>
      <c r="AE827" s="199"/>
      <c r="AF827" s="199"/>
      <c r="AG827" s="199"/>
      <c r="AH827" s="199"/>
      <c r="AI827" s="199"/>
      <c r="AJ827" s="199"/>
      <c r="AK827" s="199"/>
      <c r="AL827" s="199"/>
      <c r="AM827" s="198"/>
      <c r="AN827" s="197"/>
      <c r="AO827" s="197"/>
      <c r="AP827" s="197"/>
      <c r="AQ827" s="197"/>
      <c r="AR827" s="197"/>
      <c r="AS827" s="197"/>
    </row>
    <row r="828">
      <c r="A828" s="198"/>
      <c r="B828" s="205"/>
      <c r="C828" s="198"/>
      <c r="D828" s="199"/>
      <c r="E828" s="213"/>
      <c r="F828" s="198"/>
      <c r="G828" s="198"/>
      <c r="H828" s="199"/>
      <c r="I828" s="207"/>
      <c r="J828" s="199"/>
      <c r="K828" s="202"/>
      <c r="L828" s="205" t="str">
        <f>IFERROR(__xludf.DUMMYFUNCTION("IFERROR(
    INDEX(FILTER('Arrived Shipments'!O:O, 'Arrived Shipments'!B:B=$B828),1),
    IFERROR(
        INDEX(FILTER('POed not arrived'!D:D, 'POed not arrived'!A:A=$B828),1),
        """"
    )
)"),"")</f>
        <v/>
      </c>
      <c r="M828" s="202"/>
      <c r="N828" s="223" t="str">
        <f>IFERROR(__xludf.DUMMYFUNCTION("IFERROR(
    INDEX(FILTER('Arrived Shipments'!O:O, 'Arrived Shipments'!B:B=$B828),2),
    IFERROR(
        INDEX(FILTER('POed not arrived'!D:D, 'POed not arrived'!A:A=$B828),2),
        """"
    )
)"),"")</f>
        <v/>
      </c>
      <c r="O828" s="202"/>
      <c r="P828" s="202" t="str">
        <f>IFERROR(__xludf.DUMMYFUNCTION("IFERROR(
    INDEX(FILTER('Arrived Shipments'!O:O, 'Arrived Shipments'!B:B=$B828),3),
    IFERROR(
        INDEX(FILTER('POed not arrived'!D:D, 'POed not arrived'!A:A=$B828),3),
        """"
    )
)"),"")</f>
        <v/>
      </c>
      <c r="Q828" s="202"/>
      <c r="R828" s="206" t="str">
        <f>IFERROR(__xludf.DUMMYFUNCTION("IFERROR(
    INDEX(FILTER('Arrived Shipments'!O:O, 'Arrived Shipments'!B:B=$B828),4),
    IFERROR(
        INDEX(FILTER('POed not arrived'!D:D, 'POed not arrived'!A:A=$B828),4),
        """"
    )
)"),"")</f>
        <v/>
      </c>
      <c r="S828" s="202"/>
      <c r="T828" s="202">
        <f t="shared" si="8"/>
        <v>0</v>
      </c>
      <c r="U828" s="198"/>
      <c r="V828" s="199"/>
      <c r="W828" s="197"/>
      <c r="X828" s="197"/>
      <c r="Y828" s="199"/>
      <c r="Z828" s="199"/>
      <c r="AA828" s="204" t="str">
        <f t="shared" si="4"/>
        <v/>
      </c>
      <c r="AB828" s="198"/>
      <c r="AC828" s="199"/>
      <c r="AD828" s="199"/>
      <c r="AE828" s="199"/>
      <c r="AF828" s="199"/>
      <c r="AG828" s="199"/>
      <c r="AH828" s="199"/>
      <c r="AI828" s="199"/>
      <c r="AJ828" s="199"/>
      <c r="AK828" s="199"/>
      <c r="AL828" s="199"/>
      <c r="AM828" s="198"/>
      <c r="AN828" s="197"/>
      <c r="AO828" s="197"/>
      <c r="AP828" s="197"/>
      <c r="AQ828" s="197"/>
      <c r="AR828" s="197"/>
      <c r="AS828" s="197"/>
    </row>
    <row r="829">
      <c r="A829" s="198"/>
      <c r="B829" s="205"/>
      <c r="C829" s="198"/>
      <c r="D829" s="199"/>
      <c r="E829" s="213"/>
      <c r="F829" s="198"/>
      <c r="G829" s="198"/>
      <c r="H829" s="199"/>
      <c r="I829" s="207"/>
      <c r="J829" s="199"/>
      <c r="K829" s="202"/>
      <c r="L829" s="205" t="str">
        <f>IFERROR(__xludf.DUMMYFUNCTION("IFERROR(
    INDEX(FILTER('Arrived Shipments'!O:O, 'Arrived Shipments'!B:B=$B829),1),
    IFERROR(
        INDEX(FILTER('POed not arrived'!D:D, 'POed not arrived'!A:A=$B829),1),
        """"
    )
)"),"")</f>
        <v/>
      </c>
      <c r="M829" s="202"/>
      <c r="N829" s="223" t="str">
        <f>IFERROR(__xludf.DUMMYFUNCTION("IFERROR(
    INDEX(FILTER('Arrived Shipments'!O:O, 'Arrived Shipments'!B:B=$B829),2),
    IFERROR(
        INDEX(FILTER('POed not arrived'!D:D, 'POed not arrived'!A:A=$B829),2),
        """"
    )
)"),"")</f>
        <v/>
      </c>
      <c r="O829" s="202"/>
      <c r="P829" s="202" t="str">
        <f>IFERROR(__xludf.DUMMYFUNCTION("IFERROR(
    INDEX(FILTER('Arrived Shipments'!O:O, 'Arrived Shipments'!B:B=$B829),3),
    IFERROR(
        INDEX(FILTER('POed not arrived'!D:D, 'POed not arrived'!A:A=$B829),3),
        """"
    )
)"),"")</f>
        <v/>
      </c>
      <c r="Q829" s="202"/>
      <c r="R829" s="206" t="str">
        <f>IFERROR(__xludf.DUMMYFUNCTION("IFERROR(
    INDEX(FILTER('Arrived Shipments'!O:O, 'Arrived Shipments'!B:B=$B829),4),
    IFERROR(
        INDEX(FILTER('POed not arrived'!D:D, 'POed not arrived'!A:A=$B829),4),
        """"
    )
)"),"")</f>
        <v/>
      </c>
      <c r="S829" s="202"/>
      <c r="T829" s="202">
        <f t="shared" si="8"/>
        <v>0</v>
      </c>
      <c r="U829" s="198"/>
      <c r="V829" s="199"/>
      <c r="W829" s="197"/>
      <c r="X829" s="197"/>
      <c r="Y829" s="199"/>
      <c r="Z829" s="199"/>
      <c r="AA829" s="204" t="str">
        <f t="shared" si="4"/>
        <v/>
      </c>
      <c r="AB829" s="198"/>
      <c r="AC829" s="199"/>
      <c r="AD829" s="199"/>
      <c r="AE829" s="199"/>
      <c r="AF829" s="199"/>
      <c r="AG829" s="199"/>
      <c r="AH829" s="199"/>
      <c r="AI829" s="199"/>
      <c r="AJ829" s="199"/>
      <c r="AK829" s="199"/>
      <c r="AL829" s="199"/>
      <c r="AM829" s="198"/>
      <c r="AN829" s="197"/>
      <c r="AO829" s="197"/>
      <c r="AP829" s="197"/>
      <c r="AQ829" s="197"/>
      <c r="AR829" s="197"/>
      <c r="AS829" s="197"/>
    </row>
    <row r="830">
      <c r="A830" s="198"/>
      <c r="B830" s="205"/>
      <c r="C830" s="198"/>
      <c r="D830" s="199"/>
      <c r="E830" s="213"/>
      <c r="F830" s="198"/>
      <c r="G830" s="198"/>
      <c r="H830" s="199"/>
      <c r="I830" s="207"/>
      <c r="J830" s="199"/>
      <c r="K830" s="202"/>
      <c r="L830" s="205" t="str">
        <f>IFERROR(__xludf.DUMMYFUNCTION("IFERROR(
    INDEX(FILTER('Arrived Shipments'!O:O, 'Arrived Shipments'!B:B=$B830),1),
    IFERROR(
        INDEX(FILTER('POed not arrived'!D:D, 'POed not arrived'!A:A=$B830),1),
        """"
    )
)"),"")</f>
        <v/>
      </c>
      <c r="M830" s="202"/>
      <c r="N830" s="223" t="str">
        <f>IFERROR(__xludf.DUMMYFUNCTION("IFERROR(
    INDEX(FILTER('Arrived Shipments'!O:O, 'Arrived Shipments'!B:B=$B830),2),
    IFERROR(
        INDEX(FILTER('POed not arrived'!D:D, 'POed not arrived'!A:A=$B830),2),
        """"
    )
)"),"")</f>
        <v/>
      </c>
      <c r="O830" s="202"/>
      <c r="P830" s="202" t="str">
        <f>IFERROR(__xludf.DUMMYFUNCTION("IFERROR(
    INDEX(FILTER('Arrived Shipments'!O:O, 'Arrived Shipments'!B:B=$B830),3),
    IFERROR(
        INDEX(FILTER('POed not arrived'!D:D, 'POed not arrived'!A:A=$B830),3),
        """"
    )
)"),"")</f>
        <v/>
      </c>
      <c r="Q830" s="202"/>
      <c r="R830" s="206" t="str">
        <f>IFERROR(__xludf.DUMMYFUNCTION("IFERROR(
    INDEX(FILTER('Arrived Shipments'!O:O, 'Arrived Shipments'!B:B=$B830),4),
    IFERROR(
        INDEX(FILTER('POed not arrived'!D:D, 'POed not arrived'!A:A=$B830),4),
        """"
    )
)"),"")</f>
        <v/>
      </c>
      <c r="S830" s="202"/>
      <c r="T830" s="202">
        <f t="shared" si="8"/>
        <v>0</v>
      </c>
      <c r="U830" s="198"/>
      <c r="V830" s="199"/>
      <c r="W830" s="197"/>
      <c r="X830" s="197"/>
      <c r="Y830" s="199"/>
      <c r="Z830" s="199"/>
      <c r="AA830" s="204" t="str">
        <f t="shared" si="4"/>
        <v/>
      </c>
      <c r="AB830" s="198"/>
      <c r="AC830" s="199"/>
      <c r="AD830" s="199"/>
      <c r="AE830" s="199"/>
      <c r="AF830" s="199"/>
      <c r="AG830" s="199"/>
      <c r="AH830" s="199"/>
      <c r="AI830" s="199"/>
      <c r="AJ830" s="199"/>
      <c r="AK830" s="199"/>
      <c r="AL830" s="199"/>
      <c r="AM830" s="198"/>
      <c r="AN830" s="197"/>
      <c r="AO830" s="197"/>
      <c r="AP830" s="197"/>
      <c r="AQ830" s="197"/>
      <c r="AR830" s="197"/>
      <c r="AS830" s="197"/>
    </row>
    <row r="831">
      <c r="A831" s="198"/>
      <c r="B831" s="205"/>
      <c r="C831" s="198"/>
      <c r="D831" s="199"/>
      <c r="E831" s="213"/>
      <c r="F831" s="198"/>
      <c r="G831" s="198"/>
      <c r="H831" s="199"/>
      <c r="I831" s="207"/>
      <c r="J831" s="199"/>
      <c r="K831" s="202"/>
      <c r="L831" s="205" t="str">
        <f>IFERROR(__xludf.DUMMYFUNCTION("IFERROR(
    INDEX(FILTER('Arrived Shipments'!O:O, 'Arrived Shipments'!B:B=$B831),1),
    IFERROR(
        INDEX(FILTER('POed not arrived'!D:D, 'POed not arrived'!A:A=$B831),1),
        """"
    )
)"),"")</f>
        <v/>
      </c>
      <c r="M831" s="202"/>
      <c r="N831" s="223" t="str">
        <f>IFERROR(__xludf.DUMMYFUNCTION("IFERROR(
    INDEX(FILTER('Arrived Shipments'!O:O, 'Arrived Shipments'!B:B=$B831),2),
    IFERROR(
        INDEX(FILTER('POed not arrived'!D:D, 'POed not arrived'!A:A=$B831),2),
        """"
    )
)"),"")</f>
        <v/>
      </c>
      <c r="O831" s="202"/>
      <c r="P831" s="202" t="str">
        <f>IFERROR(__xludf.DUMMYFUNCTION("IFERROR(
    INDEX(FILTER('Arrived Shipments'!O:O, 'Arrived Shipments'!B:B=$B831),3),
    IFERROR(
        INDEX(FILTER('POed not arrived'!D:D, 'POed not arrived'!A:A=$B831),3),
        """"
    )
)"),"")</f>
        <v/>
      </c>
      <c r="Q831" s="202"/>
      <c r="R831" s="206" t="str">
        <f>IFERROR(__xludf.DUMMYFUNCTION("IFERROR(
    INDEX(FILTER('Arrived Shipments'!O:O, 'Arrived Shipments'!B:B=$B831),4),
    IFERROR(
        INDEX(FILTER('POed not arrived'!D:D, 'POed not arrived'!A:A=$B831),4),
        """"
    )
)"),"")</f>
        <v/>
      </c>
      <c r="S831" s="202"/>
      <c r="T831" s="202">
        <f t="shared" si="8"/>
        <v>0</v>
      </c>
      <c r="U831" s="198"/>
      <c r="V831" s="199"/>
      <c r="W831" s="197"/>
      <c r="X831" s="197"/>
      <c r="Y831" s="199"/>
      <c r="Z831" s="199"/>
      <c r="AA831" s="204" t="str">
        <f t="shared" si="4"/>
        <v/>
      </c>
      <c r="AB831" s="198"/>
      <c r="AC831" s="199"/>
      <c r="AD831" s="199"/>
      <c r="AE831" s="199"/>
      <c r="AF831" s="199"/>
      <c r="AG831" s="199"/>
      <c r="AH831" s="199"/>
      <c r="AI831" s="199"/>
      <c r="AJ831" s="199"/>
      <c r="AK831" s="199"/>
      <c r="AL831" s="199"/>
      <c r="AM831" s="198"/>
      <c r="AN831" s="197"/>
      <c r="AO831" s="197"/>
      <c r="AP831" s="197"/>
      <c r="AQ831" s="197"/>
      <c r="AR831" s="197"/>
      <c r="AS831" s="197"/>
    </row>
    <row r="832">
      <c r="A832" s="198"/>
      <c r="B832" s="205"/>
      <c r="C832" s="198"/>
      <c r="D832" s="199"/>
      <c r="E832" s="213"/>
      <c r="F832" s="198"/>
      <c r="G832" s="198"/>
      <c r="H832" s="199"/>
      <c r="I832" s="207"/>
      <c r="J832" s="199"/>
      <c r="K832" s="202"/>
      <c r="L832" s="205" t="str">
        <f>IFERROR(__xludf.DUMMYFUNCTION("IFERROR(
    INDEX(FILTER('Arrived Shipments'!O:O, 'Arrived Shipments'!B:B=$B832),1),
    IFERROR(
        INDEX(FILTER('POed not arrived'!D:D, 'POed not arrived'!A:A=$B832),1),
        """"
    )
)"),"")</f>
        <v/>
      </c>
      <c r="M832" s="202"/>
      <c r="N832" s="223" t="str">
        <f>IFERROR(__xludf.DUMMYFUNCTION("IFERROR(
    INDEX(FILTER('Arrived Shipments'!O:O, 'Arrived Shipments'!B:B=$B832),2),
    IFERROR(
        INDEX(FILTER('POed not arrived'!D:D, 'POed not arrived'!A:A=$B832),2),
        """"
    )
)"),"")</f>
        <v/>
      </c>
      <c r="O832" s="202"/>
      <c r="P832" s="202" t="str">
        <f>IFERROR(__xludf.DUMMYFUNCTION("IFERROR(
    INDEX(FILTER('Arrived Shipments'!O:O, 'Arrived Shipments'!B:B=$B832),3),
    IFERROR(
        INDEX(FILTER('POed not arrived'!D:D, 'POed not arrived'!A:A=$B832),3),
        """"
    )
)"),"")</f>
        <v/>
      </c>
      <c r="Q832" s="202"/>
      <c r="R832" s="206" t="str">
        <f>IFERROR(__xludf.DUMMYFUNCTION("IFERROR(
    INDEX(FILTER('Arrived Shipments'!O:O, 'Arrived Shipments'!B:B=$B832),4),
    IFERROR(
        INDEX(FILTER('POed not arrived'!D:D, 'POed not arrived'!A:A=$B832),4),
        """"
    )
)"),"")</f>
        <v/>
      </c>
      <c r="S832" s="202"/>
      <c r="T832" s="202">
        <f t="shared" si="8"/>
        <v>0</v>
      </c>
      <c r="U832" s="198"/>
      <c r="V832" s="199"/>
      <c r="W832" s="197"/>
      <c r="X832" s="197"/>
      <c r="Y832" s="199"/>
      <c r="Z832" s="199"/>
      <c r="AA832" s="204" t="str">
        <f t="shared" si="4"/>
        <v/>
      </c>
      <c r="AB832" s="198"/>
      <c r="AC832" s="199"/>
      <c r="AD832" s="199"/>
      <c r="AE832" s="199"/>
      <c r="AF832" s="199"/>
      <c r="AG832" s="199"/>
      <c r="AH832" s="199"/>
      <c r="AI832" s="199"/>
      <c r="AJ832" s="199"/>
      <c r="AK832" s="199"/>
      <c r="AL832" s="199"/>
      <c r="AM832" s="198"/>
      <c r="AN832" s="197"/>
      <c r="AO832" s="197"/>
      <c r="AP832" s="197"/>
      <c r="AQ832" s="197"/>
      <c r="AR832" s="197"/>
      <c r="AS832" s="197"/>
    </row>
    <row r="833">
      <c r="A833" s="198"/>
      <c r="B833" s="205"/>
      <c r="C833" s="198"/>
      <c r="D833" s="199"/>
      <c r="E833" s="213"/>
      <c r="F833" s="198"/>
      <c r="G833" s="198"/>
      <c r="H833" s="199"/>
      <c r="I833" s="207"/>
      <c r="J833" s="199"/>
      <c r="K833" s="202"/>
      <c r="L833" s="205" t="str">
        <f>IFERROR(__xludf.DUMMYFUNCTION("IFERROR(
    INDEX(FILTER('Arrived Shipments'!O:O, 'Arrived Shipments'!B:B=$B833),1),
    IFERROR(
        INDEX(FILTER('POed not arrived'!D:D, 'POed not arrived'!A:A=$B833),1),
        """"
    )
)"),"")</f>
        <v/>
      </c>
      <c r="M833" s="202"/>
      <c r="N833" s="223" t="str">
        <f>IFERROR(__xludf.DUMMYFUNCTION("IFERROR(
    INDEX(FILTER('Arrived Shipments'!O:O, 'Arrived Shipments'!B:B=$B833),2),
    IFERROR(
        INDEX(FILTER('POed not arrived'!D:D, 'POed not arrived'!A:A=$B833),2),
        """"
    )
)"),"")</f>
        <v/>
      </c>
      <c r="O833" s="202"/>
      <c r="P833" s="202" t="str">
        <f>IFERROR(__xludf.DUMMYFUNCTION("IFERROR(
    INDEX(FILTER('Arrived Shipments'!O:O, 'Arrived Shipments'!B:B=$B833),3),
    IFERROR(
        INDEX(FILTER('POed not arrived'!D:D, 'POed not arrived'!A:A=$B833),3),
        """"
    )
)"),"")</f>
        <v/>
      </c>
      <c r="Q833" s="202"/>
      <c r="R833" s="206" t="str">
        <f>IFERROR(__xludf.DUMMYFUNCTION("IFERROR(
    INDEX(FILTER('Arrived Shipments'!O:O, 'Arrived Shipments'!B:B=$B833),4),
    IFERROR(
        INDEX(FILTER('POed not arrived'!D:D, 'POed not arrived'!A:A=$B833),4),
        """"
    )
)"),"")</f>
        <v/>
      </c>
      <c r="S833" s="202"/>
      <c r="T833" s="202">
        <f t="shared" si="8"/>
        <v>0</v>
      </c>
      <c r="U833" s="198"/>
      <c r="V833" s="199"/>
      <c r="W833" s="197"/>
      <c r="X833" s="197"/>
      <c r="Y833" s="199"/>
      <c r="Z833" s="199"/>
      <c r="AA833" s="204" t="str">
        <f t="shared" si="4"/>
        <v/>
      </c>
      <c r="AB833" s="198"/>
      <c r="AC833" s="199"/>
      <c r="AD833" s="199"/>
      <c r="AE833" s="199"/>
      <c r="AF833" s="199"/>
      <c r="AG833" s="199"/>
      <c r="AH833" s="199"/>
      <c r="AI833" s="199"/>
      <c r="AJ833" s="199"/>
      <c r="AK833" s="199"/>
      <c r="AL833" s="199"/>
      <c r="AM833" s="198"/>
      <c r="AN833" s="197"/>
      <c r="AO833" s="197"/>
      <c r="AP833" s="197"/>
      <c r="AQ833" s="197"/>
      <c r="AR833" s="197"/>
      <c r="AS833" s="197"/>
    </row>
    <row r="834">
      <c r="A834" s="198"/>
      <c r="B834" s="205"/>
      <c r="C834" s="198"/>
      <c r="D834" s="199"/>
      <c r="E834" s="213"/>
      <c r="F834" s="198"/>
      <c r="G834" s="198"/>
      <c r="H834" s="199"/>
      <c r="I834" s="207"/>
      <c r="J834" s="199"/>
      <c r="K834" s="202"/>
      <c r="L834" s="205" t="str">
        <f>IFERROR(__xludf.DUMMYFUNCTION("IFERROR(
    INDEX(FILTER('Arrived Shipments'!O:O, 'Arrived Shipments'!B:B=$B834),1),
    IFERROR(
        INDEX(FILTER('POed not arrived'!D:D, 'POed not arrived'!A:A=$B834),1),
        """"
    )
)"),"")</f>
        <v/>
      </c>
      <c r="M834" s="202"/>
      <c r="N834" s="223" t="str">
        <f>IFERROR(__xludf.DUMMYFUNCTION("IFERROR(
    INDEX(FILTER('Arrived Shipments'!O:O, 'Arrived Shipments'!B:B=$B834),2),
    IFERROR(
        INDEX(FILTER('POed not arrived'!D:D, 'POed not arrived'!A:A=$B834),2),
        """"
    )
)"),"")</f>
        <v/>
      </c>
      <c r="O834" s="202"/>
      <c r="P834" s="202" t="str">
        <f>IFERROR(__xludf.DUMMYFUNCTION("IFERROR(
    INDEX(FILTER('Arrived Shipments'!O:O, 'Arrived Shipments'!B:B=$B834),3),
    IFERROR(
        INDEX(FILTER('POed not arrived'!D:D, 'POed not arrived'!A:A=$B834),3),
        """"
    )
)"),"")</f>
        <v/>
      </c>
      <c r="Q834" s="202"/>
      <c r="R834" s="206" t="str">
        <f>IFERROR(__xludf.DUMMYFUNCTION("IFERROR(
    INDEX(FILTER('Arrived Shipments'!O:O, 'Arrived Shipments'!B:B=$B834),4),
    IFERROR(
        INDEX(FILTER('POed not arrived'!D:D, 'POed not arrived'!A:A=$B834),4),
        """"
    )
)"),"")</f>
        <v/>
      </c>
      <c r="S834" s="202"/>
      <c r="T834" s="202">
        <f t="shared" si="8"/>
        <v>0</v>
      </c>
      <c r="U834" s="198"/>
      <c r="V834" s="199"/>
      <c r="W834" s="197"/>
      <c r="X834" s="197"/>
      <c r="Y834" s="199"/>
      <c r="Z834" s="199"/>
      <c r="AA834" s="204" t="str">
        <f t="shared" si="4"/>
        <v/>
      </c>
      <c r="AB834" s="198"/>
      <c r="AC834" s="199"/>
      <c r="AD834" s="199"/>
      <c r="AE834" s="199"/>
      <c r="AF834" s="199"/>
      <c r="AG834" s="199"/>
      <c r="AH834" s="199"/>
      <c r="AI834" s="199"/>
      <c r="AJ834" s="199"/>
      <c r="AK834" s="199"/>
      <c r="AL834" s="199"/>
      <c r="AM834" s="198"/>
      <c r="AN834" s="197"/>
      <c r="AO834" s="197"/>
      <c r="AP834" s="197"/>
      <c r="AQ834" s="197"/>
      <c r="AR834" s="197"/>
      <c r="AS834" s="197"/>
    </row>
    <row r="835">
      <c r="A835" s="198"/>
      <c r="B835" s="205"/>
      <c r="C835" s="198"/>
      <c r="D835" s="199"/>
      <c r="E835" s="213"/>
      <c r="F835" s="198"/>
      <c r="G835" s="198"/>
      <c r="H835" s="199"/>
      <c r="I835" s="207"/>
      <c r="J835" s="199"/>
      <c r="K835" s="202"/>
      <c r="L835" s="205" t="str">
        <f>IFERROR(__xludf.DUMMYFUNCTION("IFERROR(
    INDEX(FILTER('Arrived Shipments'!O:O, 'Arrived Shipments'!B:B=$B835),1),
    IFERROR(
        INDEX(FILTER('POed not arrived'!D:D, 'POed not arrived'!A:A=$B835),1),
        """"
    )
)"),"")</f>
        <v/>
      </c>
      <c r="M835" s="202"/>
      <c r="N835" s="223" t="str">
        <f>IFERROR(__xludf.DUMMYFUNCTION("IFERROR(
    INDEX(FILTER('Arrived Shipments'!O:O, 'Arrived Shipments'!B:B=$B835),2),
    IFERROR(
        INDEX(FILTER('POed not arrived'!D:D, 'POed not arrived'!A:A=$B835),2),
        """"
    )
)"),"")</f>
        <v/>
      </c>
      <c r="O835" s="202"/>
      <c r="P835" s="202" t="str">
        <f>IFERROR(__xludf.DUMMYFUNCTION("IFERROR(
    INDEX(FILTER('Arrived Shipments'!O:O, 'Arrived Shipments'!B:B=$B835),3),
    IFERROR(
        INDEX(FILTER('POed not arrived'!D:D, 'POed not arrived'!A:A=$B835),3),
        """"
    )
)"),"")</f>
        <v/>
      </c>
      <c r="Q835" s="202"/>
      <c r="R835" s="206" t="str">
        <f>IFERROR(__xludf.DUMMYFUNCTION("IFERROR(
    INDEX(FILTER('Arrived Shipments'!O:O, 'Arrived Shipments'!B:B=$B835),4),
    IFERROR(
        INDEX(FILTER('POed not arrived'!D:D, 'POed not arrived'!A:A=$B835),4),
        """"
    )
)"),"")</f>
        <v/>
      </c>
      <c r="S835" s="202"/>
      <c r="T835" s="202">
        <f t="shared" si="8"/>
        <v>0</v>
      </c>
      <c r="U835" s="198"/>
      <c r="V835" s="199"/>
      <c r="W835" s="197"/>
      <c r="X835" s="197"/>
      <c r="Y835" s="199"/>
      <c r="Z835" s="199"/>
      <c r="AA835" s="204" t="str">
        <f t="shared" si="4"/>
        <v/>
      </c>
      <c r="AB835" s="198"/>
      <c r="AC835" s="199"/>
      <c r="AD835" s="199"/>
      <c r="AE835" s="199"/>
      <c r="AF835" s="199"/>
      <c r="AG835" s="199"/>
      <c r="AH835" s="199"/>
      <c r="AI835" s="199"/>
      <c r="AJ835" s="199"/>
      <c r="AK835" s="199"/>
      <c r="AL835" s="199"/>
      <c r="AM835" s="198"/>
      <c r="AN835" s="197"/>
      <c r="AO835" s="197"/>
      <c r="AP835" s="197"/>
      <c r="AQ835" s="197"/>
      <c r="AR835" s="197"/>
      <c r="AS835" s="197"/>
    </row>
    <row r="836">
      <c r="A836" s="198"/>
      <c r="B836" s="205"/>
      <c r="C836" s="198"/>
      <c r="D836" s="199"/>
      <c r="E836" s="213"/>
      <c r="F836" s="198"/>
      <c r="G836" s="198"/>
      <c r="H836" s="199"/>
      <c r="I836" s="207"/>
      <c r="J836" s="199"/>
      <c r="K836" s="202"/>
      <c r="L836" s="205" t="str">
        <f>IFERROR(__xludf.DUMMYFUNCTION("IFERROR(
    INDEX(FILTER('Arrived Shipments'!O:O, 'Arrived Shipments'!B:B=$B836),1),
    IFERROR(
        INDEX(FILTER('POed not arrived'!D:D, 'POed not arrived'!A:A=$B836),1),
        """"
    )
)"),"")</f>
        <v/>
      </c>
      <c r="M836" s="202"/>
      <c r="N836" s="223" t="str">
        <f>IFERROR(__xludf.DUMMYFUNCTION("IFERROR(
    INDEX(FILTER('Arrived Shipments'!O:O, 'Arrived Shipments'!B:B=$B836),2),
    IFERROR(
        INDEX(FILTER('POed not arrived'!D:D, 'POed not arrived'!A:A=$B836),2),
        """"
    )
)"),"")</f>
        <v/>
      </c>
      <c r="O836" s="202"/>
      <c r="P836" s="202" t="str">
        <f>IFERROR(__xludf.DUMMYFUNCTION("IFERROR(
    INDEX(FILTER('Arrived Shipments'!O:O, 'Arrived Shipments'!B:B=$B836),3),
    IFERROR(
        INDEX(FILTER('POed not arrived'!D:D, 'POed not arrived'!A:A=$B836),3),
        """"
    )
)"),"")</f>
        <v/>
      </c>
      <c r="Q836" s="202"/>
      <c r="R836" s="206" t="str">
        <f>IFERROR(__xludf.DUMMYFUNCTION("IFERROR(
    INDEX(FILTER('Arrived Shipments'!O:O, 'Arrived Shipments'!B:B=$B836),4),
    IFERROR(
        INDEX(FILTER('POed not arrived'!D:D, 'POed not arrived'!A:A=$B836),4),
        """"
    )
)"),"")</f>
        <v/>
      </c>
      <c r="S836" s="202"/>
      <c r="T836" s="202">
        <f t="shared" si="8"/>
        <v>0</v>
      </c>
      <c r="U836" s="198"/>
      <c r="V836" s="199"/>
      <c r="W836" s="197"/>
      <c r="X836" s="197"/>
      <c r="Y836" s="199"/>
      <c r="Z836" s="199"/>
      <c r="AA836" s="204" t="str">
        <f t="shared" si="4"/>
        <v/>
      </c>
      <c r="AB836" s="198"/>
      <c r="AC836" s="199"/>
      <c r="AD836" s="199"/>
      <c r="AE836" s="199"/>
      <c r="AF836" s="199"/>
      <c r="AG836" s="199"/>
      <c r="AH836" s="199"/>
      <c r="AI836" s="199"/>
      <c r="AJ836" s="199"/>
      <c r="AK836" s="199"/>
      <c r="AL836" s="199"/>
      <c r="AM836" s="198"/>
      <c r="AN836" s="197"/>
      <c r="AO836" s="197"/>
      <c r="AP836" s="197"/>
      <c r="AQ836" s="197"/>
      <c r="AR836" s="197"/>
      <c r="AS836" s="197"/>
    </row>
    <row r="837">
      <c r="A837" s="198"/>
      <c r="B837" s="205"/>
      <c r="C837" s="198"/>
      <c r="D837" s="199"/>
      <c r="E837" s="213"/>
      <c r="F837" s="198"/>
      <c r="G837" s="198"/>
      <c r="H837" s="199"/>
      <c r="I837" s="207"/>
      <c r="J837" s="199"/>
      <c r="K837" s="202"/>
      <c r="L837" s="205" t="str">
        <f>IFERROR(__xludf.DUMMYFUNCTION("IFERROR(
    INDEX(FILTER('Arrived Shipments'!O:O, 'Arrived Shipments'!B:B=$B837),1),
    IFERROR(
        INDEX(FILTER('POed not arrived'!D:D, 'POed not arrived'!A:A=$B837),1),
        """"
    )
)"),"")</f>
        <v/>
      </c>
      <c r="M837" s="202"/>
      <c r="N837" s="223" t="str">
        <f>IFERROR(__xludf.DUMMYFUNCTION("IFERROR(
    INDEX(FILTER('Arrived Shipments'!O:O, 'Arrived Shipments'!B:B=$B837),2),
    IFERROR(
        INDEX(FILTER('POed not arrived'!D:D, 'POed not arrived'!A:A=$B837),2),
        """"
    )
)"),"")</f>
        <v/>
      </c>
      <c r="O837" s="202"/>
      <c r="P837" s="202" t="str">
        <f>IFERROR(__xludf.DUMMYFUNCTION("IFERROR(
    INDEX(FILTER('Arrived Shipments'!O:O, 'Arrived Shipments'!B:B=$B837),3),
    IFERROR(
        INDEX(FILTER('POed not arrived'!D:D, 'POed not arrived'!A:A=$B837),3),
        """"
    )
)"),"")</f>
        <v/>
      </c>
      <c r="Q837" s="202"/>
      <c r="R837" s="206" t="str">
        <f>IFERROR(__xludf.DUMMYFUNCTION("IFERROR(
    INDEX(FILTER('Arrived Shipments'!O:O, 'Arrived Shipments'!B:B=$B837),4),
    IFERROR(
        INDEX(FILTER('POed not arrived'!D:D, 'POed not arrived'!A:A=$B837),4),
        """"
    )
)"),"")</f>
        <v/>
      </c>
      <c r="S837" s="202"/>
      <c r="T837" s="202">
        <f t="shared" si="8"/>
        <v>0</v>
      </c>
      <c r="U837" s="198"/>
      <c r="V837" s="199"/>
      <c r="W837" s="197"/>
      <c r="X837" s="197"/>
      <c r="Y837" s="199"/>
      <c r="Z837" s="199"/>
      <c r="AA837" s="204" t="str">
        <f t="shared" si="4"/>
        <v/>
      </c>
      <c r="AB837" s="198"/>
      <c r="AC837" s="199"/>
      <c r="AD837" s="199"/>
      <c r="AE837" s="199"/>
      <c r="AF837" s="199"/>
      <c r="AG837" s="199"/>
      <c r="AH837" s="199"/>
      <c r="AI837" s="199"/>
      <c r="AJ837" s="199"/>
      <c r="AK837" s="199"/>
      <c r="AL837" s="199"/>
      <c r="AM837" s="198"/>
      <c r="AN837" s="197"/>
      <c r="AO837" s="197"/>
      <c r="AP837" s="197"/>
      <c r="AQ837" s="197"/>
      <c r="AR837" s="197"/>
      <c r="AS837" s="197"/>
    </row>
    <row r="838">
      <c r="A838" s="198"/>
      <c r="B838" s="205"/>
      <c r="C838" s="198"/>
      <c r="D838" s="199"/>
      <c r="E838" s="213"/>
      <c r="F838" s="198"/>
      <c r="G838" s="198"/>
      <c r="H838" s="199"/>
      <c r="I838" s="207"/>
      <c r="J838" s="199"/>
      <c r="K838" s="202"/>
      <c r="L838" s="205" t="str">
        <f>IFERROR(__xludf.DUMMYFUNCTION("IFERROR(
    INDEX(FILTER('Arrived Shipments'!O:O, 'Arrived Shipments'!B:B=$B838),1),
    IFERROR(
        INDEX(FILTER('POed not arrived'!D:D, 'POed not arrived'!A:A=$B838),1),
        """"
    )
)"),"")</f>
        <v/>
      </c>
      <c r="M838" s="202"/>
      <c r="N838" s="223" t="str">
        <f>IFERROR(__xludf.DUMMYFUNCTION("IFERROR(
    INDEX(FILTER('Arrived Shipments'!O:O, 'Arrived Shipments'!B:B=$B838),2),
    IFERROR(
        INDEX(FILTER('POed not arrived'!D:D, 'POed not arrived'!A:A=$B838),2),
        """"
    )
)"),"")</f>
        <v/>
      </c>
      <c r="O838" s="202"/>
      <c r="P838" s="202" t="str">
        <f>IFERROR(__xludf.DUMMYFUNCTION("IFERROR(
    INDEX(FILTER('Arrived Shipments'!O:O, 'Arrived Shipments'!B:B=$B838),3),
    IFERROR(
        INDEX(FILTER('POed not arrived'!D:D, 'POed not arrived'!A:A=$B838),3),
        """"
    )
)"),"")</f>
        <v/>
      </c>
      <c r="Q838" s="202"/>
      <c r="R838" s="206" t="str">
        <f>IFERROR(__xludf.DUMMYFUNCTION("IFERROR(
    INDEX(FILTER('Arrived Shipments'!O:O, 'Arrived Shipments'!B:B=$B838),4),
    IFERROR(
        INDEX(FILTER('POed not arrived'!D:D, 'POed not arrived'!A:A=$B838),4),
        """"
    )
)"),"")</f>
        <v/>
      </c>
      <c r="S838" s="202"/>
      <c r="T838" s="202">
        <f t="shared" si="8"/>
        <v>0</v>
      </c>
      <c r="U838" s="198"/>
      <c r="V838" s="199"/>
      <c r="W838" s="197"/>
      <c r="X838" s="197"/>
      <c r="Y838" s="199"/>
      <c r="Z838" s="199"/>
      <c r="AA838" s="204" t="str">
        <f t="shared" si="4"/>
        <v/>
      </c>
      <c r="AB838" s="198"/>
      <c r="AC838" s="199"/>
      <c r="AD838" s="199"/>
      <c r="AE838" s="199"/>
      <c r="AF838" s="199"/>
      <c r="AG838" s="199"/>
      <c r="AH838" s="199"/>
      <c r="AI838" s="199"/>
      <c r="AJ838" s="199"/>
      <c r="AK838" s="199"/>
      <c r="AL838" s="199"/>
      <c r="AM838" s="198"/>
      <c r="AN838" s="197"/>
      <c r="AO838" s="197"/>
      <c r="AP838" s="197"/>
      <c r="AQ838" s="197"/>
      <c r="AR838" s="197"/>
      <c r="AS838" s="197"/>
    </row>
    <row r="839">
      <c r="A839" s="198"/>
      <c r="B839" s="205"/>
      <c r="C839" s="198"/>
      <c r="D839" s="199"/>
      <c r="E839" s="213"/>
      <c r="F839" s="198"/>
      <c r="G839" s="198"/>
      <c r="H839" s="199"/>
      <c r="I839" s="207"/>
      <c r="J839" s="199"/>
      <c r="K839" s="202"/>
      <c r="L839" s="205" t="str">
        <f>IFERROR(__xludf.DUMMYFUNCTION("IFERROR(
    INDEX(FILTER('Arrived Shipments'!O:O, 'Arrived Shipments'!B:B=$B839),1),
    IFERROR(
        INDEX(FILTER('POed not arrived'!D:D, 'POed not arrived'!A:A=$B839),1),
        """"
    )
)"),"")</f>
        <v/>
      </c>
      <c r="M839" s="202"/>
      <c r="N839" s="223" t="str">
        <f>IFERROR(__xludf.DUMMYFUNCTION("IFERROR(
    INDEX(FILTER('Arrived Shipments'!O:O, 'Arrived Shipments'!B:B=$B839),2),
    IFERROR(
        INDEX(FILTER('POed not arrived'!D:D, 'POed not arrived'!A:A=$B839),2),
        """"
    )
)"),"")</f>
        <v/>
      </c>
      <c r="O839" s="202"/>
      <c r="P839" s="202" t="str">
        <f>IFERROR(__xludf.DUMMYFUNCTION("IFERROR(
    INDEX(FILTER('Arrived Shipments'!O:O, 'Arrived Shipments'!B:B=$B839),3),
    IFERROR(
        INDEX(FILTER('POed not arrived'!D:D, 'POed not arrived'!A:A=$B839),3),
        """"
    )
)"),"")</f>
        <v/>
      </c>
      <c r="Q839" s="202"/>
      <c r="R839" s="206" t="str">
        <f>IFERROR(__xludf.DUMMYFUNCTION("IFERROR(
    INDEX(FILTER('Arrived Shipments'!O:O, 'Arrived Shipments'!B:B=$B839),4),
    IFERROR(
        INDEX(FILTER('POed not arrived'!D:D, 'POed not arrived'!A:A=$B839),4),
        """"
    )
)"),"")</f>
        <v/>
      </c>
      <c r="S839" s="202"/>
      <c r="T839" s="202">
        <f t="shared" si="8"/>
        <v>0</v>
      </c>
      <c r="U839" s="198"/>
      <c r="V839" s="199"/>
      <c r="W839" s="197"/>
      <c r="X839" s="197"/>
      <c r="Y839" s="199"/>
      <c r="Z839" s="199"/>
      <c r="AA839" s="204" t="str">
        <f t="shared" si="4"/>
        <v/>
      </c>
      <c r="AB839" s="198"/>
      <c r="AC839" s="199"/>
      <c r="AD839" s="199"/>
      <c r="AE839" s="199"/>
      <c r="AF839" s="199"/>
      <c r="AG839" s="199"/>
      <c r="AH839" s="199"/>
      <c r="AI839" s="199"/>
      <c r="AJ839" s="199"/>
      <c r="AK839" s="199"/>
      <c r="AL839" s="199"/>
      <c r="AM839" s="198"/>
      <c r="AN839" s="197"/>
      <c r="AO839" s="197"/>
      <c r="AP839" s="197"/>
      <c r="AQ839" s="197"/>
      <c r="AR839" s="197"/>
      <c r="AS839" s="197"/>
    </row>
    <row r="840">
      <c r="A840" s="198"/>
      <c r="B840" s="205"/>
      <c r="C840" s="198"/>
      <c r="D840" s="199"/>
      <c r="E840" s="213"/>
      <c r="F840" s="198"/>
      <c r="G840" s="198"/>
      <c r="H840" s="199"/>
      <c r="I840" s="207"/>
      <c r="J840" s="199"/>
      <c r="K840" s="202"/>
      <c r="L840" s="205" t="str">
        <f>IFERROR(__xludf.DUMMYFUNCTION("IFERROR(
    INDEX(FILTER('Arrived Shipments'!O:O, 'Arrived Shipments'!B:B=$B840),1),
    IFERROR(
        INDEX(FILTER('POed not arrived'!D:D, 'POed not arrived'!A:A=$B840),1),
        """"
    )
)"),"")</f>
        <v/>
      </c>
      <c r="M840" s="202"/>
      <c r="N840" s="223" t="str">
        <f>IFERROR(__xludf.DUMMYFUNCTION("IFERROR(
    INDEX(FILTER('Arrived Shipments'!O:O, 'Arrived Shipments'!B:B=$B840),2),
    IFERROR(
        INDEX(FILTER('POed not arrived'!D:D, 'POed not arrived'!A:A=$B840),2),
        """"
    )
)"),"")</f>
        <v/>
      </c>
      <c r="O840" s="202"/>
      <c r="P840" s="202" t="str">
        <f>IFERROR(__xludf.DUMMYFUNCTION("IFERROR(
    INDEX(FILTER('Arrived Shipments'!O:O, 'Arrived Shipments'!B:B=$B840),3),
    IFERROR(
        INDEX(FILTER('POed not arrived'!D:D, 'POed not arrived'!A:A=$B840),3),
        """"
    )
)"),"")</f>
        <v/>
      </c>
      <c r="Q840" s="202"/>
      <c r="R840" s="206" t="str">
        <f>IFERROR(__xludf.DUMMYFUNCTION("IFERROR(
    INDEX(FILTER('Arrived Shipments'!O:O, 'Arrived Shipments'!B:B=$B840),4),
    IFERROR(
        INDEX(FILTER('POed not arrived'!D:D, 'POed not arrived'!A:A=$B840),4),
        """"
    )
)"),"")</f>
        <v/>
      </c>
      <c r="S840" s="202"/>
      <c r="T840" s="202">
        <f t="shared" si="8"/>
        <v>0</v>
      </c>
      <c r="U840" s="198"/>
      <c r="V840" s="199"/>
      <c r="W840" s="197"/>
      <c r="X840" s="197"/>
      <c r="Y840" s="199"/>
      <c r="Z840" s="199"/>
      <c r="AA840" s="204" t="str">
        <f t="shared" si="4"/>
        <v/>
      </c>
      <c r="AB840" s="198"/>
      <c r="AC840" s="199"/>
      <c r="AD840" s="199"/>
      <c r="AE840" s="199"/>
      <c r="AF840" s="199"/>
      <c r="AG840" s="199"/>
      <c r="AH840" s="199"/>
      <c r="AI840" s="199"/>
      <c r="AJ840" s="199"/>
      <c r="AK840" s="199"/>
      <c r="AL840" s="199"/>
      <c r="AM840" s="198"/>
      <c r="AN840" s="197"/>
      <c r="AO840" s="197"/>
      <c r="AP840" s="197"/>
      <c r="AQ840" s="197"/>
      <c r="AR840" s="197"/>
      <c r="AS840" s="197"/>
    </row>
    <row r="841">
      <c r="A841" s="198"/>
      <c r="B841" s="205"/>
      <c r="C841" s="198"/>
      <c r="D841" s="199"/>
      <c r="E841" s="213"/>
      <c r="F841" s="198"/>
      <c r="G841" s="198"/>
      <c r="H841" s="199"/>
      <c r="I841" s="207"/>
      <c r="J841" s="199"/>
      <c r="K841" s="202"/>
      <c r="L841" s="205" t="str">
        <f>IFERROR(__xludf.DUMMYFUNCTION("IFERROR(
    INDEX(FILTER('Arrived Shipments'!O:O, 'Arrived Shipments'!B:B=$B841),1),
    IFERROR(
        INDEX(FILTER('POed not arrived'!D:D, 'POed not arrived'!A:A=$B841),1),
        """"
    )
)"),"")</f>
        <v/>
      </c>
      <c r="M841" s="202"/>
      <c r="N841" s="223" t="str">
        <f>IFERROR(__xludf.DUMMYFUNCTION("IFERROR(
    INDEX(FILTER('Arrived Shipments'!O:O, 'Arrived Shipments'!B:B=$B841),2),
    IFERROR(
        INDEX(FILTER('POed not arrived'!D:D, 'POed not arrived'!A:A=$B841),2),
        """"
    )
)"),"")</f>
        <v/>
      </c>
      <c r="O841" s="202"/>
      <c r="P841" s="202" t="str">
        <f>IFERROR(__xludf.DUMMYFUNCTION("IFERROR(
    INDEX(FILTER('Arrived Shipments'!O:O, 'Arrived Shipments'!B:B=$B841),3),
    IFERROR(
        INDEX(FILTER('POed not arrived'!D:D, 'POed not arrived'!A:A=$B841),3),
        """"
    )
)"),"")</f>
        <v/>
      </c>
      <c r="Q841" s="202"/>
      <c r="R841" s="206" t="str">
        <f>IFERROR(__xludf.DUMMYFUNCTION("IFERROR(
    INDEX(FILTER('Arrived Shipments'!O:O, 'Arrived Shipments'!B:B=$B841),4),
    IFERROR(
        INDEX(FILTER('POed not arrived'!D:D, 'POed not arrived'!A:A=$B841),4),
        """"
    )
)"),"")</f>
        <v/>
      </c>
      <c r="S841" s="202"/>
      <c r="T841" s="202">
        <f t="shared" si="8"/>
        <v>0</v>
      </c>
      <c r="U841" s="198"/>
      <c r="V841" s="199"/>
      <c r="W841" s="197"/>
      <c r="X841" s="197"/>
      <c r="Y841" s="199"/>
      <c r="Z841" s="199"/>
      <c r="AA841" s="204" t="str">
        <f t="shared" si="4"/>
        <v/>
      </c>
      <c r="AB841" s="198"/>
      <c r="AC841" s="199"/>
      <c r="AD841" s="199"/>
      <c r="AE841" s="199"/>
      <c r="AF841" s="199"/>
      <c r="AG841" s="199"/>
      <c r="AH841" s="199"/>
      <c r="AI841" s="199"/>
      <c r="AJ841" s="199"/>
      <c r="AK841" s="199"/>
      <c r="AL841" s="199"/>
      <c r="AM841" s="198"/>
      <c r="AN841" s="197"/>
      <c r="AO841" s="197"/>
      <c r="AP841" s="197"/>
      <c r="AQ841" s="197"/>
      <c r="AR841" s="197"/>
      <c r="AS841" s="197"/>
    </row>
    <row r="842">
      <c r="A842" s="198"/>
      <c r="B842" s="205"/>
      <c r="C842" s="198"/>
      <c r="D842" s="199"/>
      <c r="E842" s="213"/>
      <c r="F842" s="198"/>
      <c r="G842" s="198"/>
      <c r="H842" s="199"/>
      <c r="I842" s="207"/>
      <c r="J842" s="199"/>
      <c r="K842" s="202"/>
      <c r="L842" s="205" t="str">
        <f>IFERROR(__xludf.DUMMYFUNCTION("IFERROR(
    INDEX(FILTER('Arrived Shipments'!O:O, 'Arrived Shipments'!B:B=$B842),1),
    IFERROR(
        INDEX(FILTER('POed not arrived'!D:D, 'POed not arrived'!A:A=$B842),1),
        """"
    )
)"),"")</f>
        <v/>
      </c>
      <c r="M842" s="202"/>
      <c r="N842" s="223" t="str">
        <f>IFERROR(__xludf.DUMMYFUNCTION("IFERROR(
    INDEX(FILTER('Arrived Shipments'!O:O, 'Arrived Shipments'!B:B=$B842),2),
    IFERROR(
        INDEX(FILTER('POed not arrived'!D:D, 'POed not arrived'!A:A=$B842),2),
        """"
    )
)"),"")</f>
        <v/>
      </c>
      <c r="O842" s="202"/>
      <c r="P842" s="202" t="str">
        <f>IFERROR(__xludf.DUMMYFUNCTION("IFERROR(
    INDEX(FILTER('Arrived Shipments'!O:O, 'Arrived Shipments'!B:B=$B842),3),
    IFERROR(
        INDEX(FILTER('POed not arrived'!D:D, 'POed not arrived'!A:A=$B842),3),
        """"
    )
)"),"")</f>
        <v/>
      </c>
      <c r="Q842" s="202"/>
      <c r="R842" s="206" t="str">
        <f>IFERROR(__xludf.DUMMYFUNCTION("IFERROR(
    INDEX(FILTER('Arrived Shipments'!O:O, 'Arrived Shipments'!B:B=$B842),4),
    IFERROR(
        INDEX(FILTER('POed not arrived'!D:D, 'POed not arrived'!A:A=$B842),4),
        """"
    )
)"),"")</f>
        <v/>
      </c>
      <c r="S842" s="202"/>
      <c r="T842" s="202">
        <f t="shared" si="8"/>
        <v>0</v>
      </c>
      <c r="U842" s="198"/>
      <c r="V842" s="199"/>
      <c r="W842" s="197"/>
      <c r="X842" s="197"/>
      <c r="Y842" s="199"/>
      <c r="Z842" s="199"/>
      <c r="AA842" s="204" t="str">
        <f t="shared" si="4"/>
        <v/>
      </c>
      <c r="AB842" s="198"/>
      <c r="AC842" s="199"/>
      <c r="AD842" s="199"/>
      <c r="AE842" s="199"/>
      <c r="AF842" s="199"/>
      <c r="AG842" s="199"/>
      <c r="AH842" s="199"/>
      <c r="AI842" s="199"/>
      <c r="AJ842" s="199"/>
      <c r="AK842" s="199"/>
      <c r="AL842" s="199"/>
      <c r="AM842" s="198"/>
      <c r="AN842" s="197"/>
      <c r="AO842" s="197"/>
      <c r="AP842" s="197"/>
      <c r="AQ842" s="197"/>
      <c r="AR842" s="197"/>
      <c r="AS842" s="197"/>
    </row>
    <row r="843">
      <c r="A843" s="198"/>
      <c r="B843" s="205"/>
      <c r="C843" s="198"/>
      <c r="D843" s="199"/>
      <c r="E843" s="213"/>
      <c r="F843" s="198"/>
      <c r="G843" s="198"/>
      <c r="H843" s="199"/>
      <c r="I843" s="207"/>
      <c r="J843" s="199"/>
      <c r="K843" s="202"/>
      <c r="L843" s="205" t="str">
        <f>IFERROR(__xludf.DUMMYFUNCTION("IFERROR(
    INDEX(FILTER('Arrived Shipments'!O:O, 'Arrived Shipments'!B:B=$B843),1),
    IFERROR(
        INDEX(FILTER('POed not arrived'!D:D, 'POed not arrived'!A:A=$B843),1),
        """"
    )
)"),"")</f>
        <v/>
      </c>
      <c r="M843" s="202"/>
      <c r="N843" s="223" t="str">
        <f>IFERROR(__xludf.DUMMYFUNCTION("IFERROR(
    INDEX(FILTER('Arrived Shipments'!O:O, 'Arrived Shipments'!B:B=$B843),2),
    IFERROR(
        INDEX(FILTER('POed not arrived'!D:D, 'POed not arrived'!A:A=$B843),2),
        """"
    )
)"),"")</f>
        <v/>
      </c>
      <c r="O843" s="202"/>
      <c r="P843" s="202" t="str">
        <f>IFERROR(__xludf.DUMMYFUNCTION("IFERROR(
    INDEX(FILTER('Arrived Shipments'!O:O, 'Arrived Shipments'!B:B=$B843),3),
    IFERROR(
        INDEX(FILTER('POed not arrived'!D:D, 'POed not arrived'!A:A=$B843),3),
        """"
    )
)"),"")</f>
        <v/>
      </c>
      <c r="Q843" s="202"/>
      <c r="R843" s="206" t="str">
        <f>IFERROR(__xludf.DUMMYFUNCTION("IFERROR(
    INDEX(FILTER('Arrived Shipments'!O:O, 'Arrived Shipments'!B:B=$B843),4),
    IFERROR(
        INDEX(FILTER('POed not arrived'!D:D, 'POed not arrived'!A:A=$B843),4),
        """"
    )
)"),"")</f>
        <v/>
      </c>
      <c r="S843" s="202"/>
      <c r="T843" s="202">
        <f t="shared" si="8"/>
        <v>0</v>
      </c>
      <c r="U843" s="198"/>
      <c r="V843" s="199"/>
      <c r="W843" s="197"/>
      <c r="X843" s="197"/>
      <c r="Y843" s="199"/>
      <c r="Z843" s="199"/>
      <c r="AA843" s="204" t="str">
        <f t="shared" si="4"/>
        <v/>
      </c>
      <c r="AB843" s="198"/>
      <c r="AC843" s="199"/>
      <c r="AD843" s="199"/>
      <c r="AE843" s="199"/>
      <c r="AF843" s="199"/>
      <c r="AG843" s="199"/>
      <c r="AH843" s="199"/>
      <c r="AI843" s="199"/>
      <c r="AJ843" s="199"/>
      <c r="AK843" s="199"/>
      <c r="AL843" s="199"/>
      <c r="AM843" s="198"/>
      <c r="AN843" s="197"/>
      <c r="AO843" s="197"/>
      <c r="AP843" s="197"/>
      <c r="AQ843" s="197"/>
      <c r="AR843" s="197"/>
      <c r="AS843" s="197"/>
    </row>
    <row r="844">
      <c r="A844" s="198"/>
      <c r="B844" s="205"/>
      <c r="C844" s="198"/>
      <c r="D844" s="199"/>
      <c r="E844" s="213"/>
      <c r="F844" s="198"/>
      <c r="G844" s="198"/>
      <c r="H844" s="199"/>
      <c r="I844" s="207"/>
      <c r="J844" s="199"/>
      <c r="K844" s="202"/>
      <c r="L844" s="205" t="str">
        <f>IFERROR(__xludf.DUMMYFUNCTION("IFERROR(
    INDEX(FILTER('Arrived Shipments'!O:O, 'Arrived Shipments'!B:B=$B844),1),
    IFERROR(
        INDEX(FILTER('POed not arrived'!D:D, 'POed not arrived'!A:A=$B844),1),
        """"
    )
)"),"")</f>
        <v/>
      </c>
      <c r="M844" s="202"/>
      <c r="N844" s="223" t="str">
        <f>IFERROR(__xludf.DUMMYFUNCTION("IFERROR(
    INDEX(FILTER('Arrived Shipments'!O:O, 'Arrived Shipments'!B:B=$B844),2),
    IFERROR(
        INDEX(FILTER('POed not arrived'!D:D, 'POed not arrived'!A:A=$B844),2),
        """"
    )
)"),"")</f>
        <v/>
      </c>
      <c r="O844" s="202"/>
      <c r="P844" s="202" t="str">
        <f>IFERROR(__xludf.DUMMYFUNCTION("IFERROR(
    INDEX(FILTER('Arrived Shipments'!O:O, 'Arrived Shipments'!B:B=$B844),3),
    IFERROR(
        INDEX(FILTER('POed not arrived'!D:D, 'POed not arrived'!A:A=$B844),3),
        """"
    )
)"),"")</f>
        <v/>
      </c>
      <c r="Q844" s="202"/>
      <c r="R844" s="206" t="str">
        <f>IFERROR(__xludf.DUMMYFUNCTION("IFERROR(
    INDEX(FILTER('Arrived Shipments'!O:O, 'Arrived Shipments'!B:B=$B844),4),
    IFERROR(
        INDEX(FILTER('POed not arrived'!D:D, 'POed not arrived'!A:A=$B844),4),
        """"
    )
)"),"")</f>
        <v/>
      </c>
      <c r="S844" s="202"/>
      <c r="T844" s="202">
        <f t="shared" si="8"/>
        <v>0</v>
      </c>
      <c r="U844" s="198"/>
      <c r="V844" s="199"/>
      <c r="W844" s="197"/>
      <c r="X844" s="197"/>
      <c r="Y844" s="199"/>
      <c r="Z844" s="199"/>
      <c r="AA844" s="204" t="str">
        <f t="shared" si="4"/>
        <v/>
      </c>
      <c r="AB844" s="198"/>
      <c r="AC844" s="199"/>
      <c r="AD844" s="199"/>
      <c r="AE844" s="199"/>
      <c r="AF844" s="199"/>
      <c r="AG844" s="199"/>
      <c r="AH844" s="199"/>
      <c r="AI844" s="199"/>
      <c r="AJ844" s="199"/>
      <c r="AK844" s="199"/>
      <c r="AL844" s="199"/>
      <c r="AM844" s="198"/>
      <c r="AN844" s="197"/>
      <c r="AO844" s="197"/>
      <c r="AP844" s="197"/>
      <c r="AQ844" s="197"/>
      <c r="AR844" s="197"/>
      <c r="AS844" s="197"/>
    </row>
    <row r="845">
      <c r="A845" s="198"/>
      <c r="B845" s="205"/>
      <c r="C845" s="198"/>
      <c r="D845" s="199"/>
      <c r="E845" s="213"/>
      <c r="F845" s="198"/>
      <c r="G845" s="198"/>
      <c r="H845" s="199"/>
      <c r="I845" s="207"/>
      <c r="J845" s="199"/>
      <c r="K845" s="202"/>
      <c r="L845" s="205" t="str">
        <f>IFERROR(__xludf.DUMMYFUNCTION("IFERROR(
    INDEX(FILTER('Arrived Shipments'!O:O, 'Arrived Shipments'!B:B=$B845),1),
    IFERROR(
        INDEX(FILTER('POed not arrived'!D:D, 'POed not arrived'!A:A=$B845),1),
        """"
    )
)"),"")</f>
        <v/>
      </c>
      <c r="M845" s="202"/>
      <c r="N845" s="223" t="str">
        <f>IFERROR(__xludf.DUMMYFUNCTION("IFERROR(
    INDEX(FILTER('Arrived Shipments'!O:O, 'Arrived Shipments'!B:B=$B845),2),
    IFERROR(
        INDEX(FILTER('POed not arrived'!D:D, 'POed not arrived'!A:A=$B845),2),
        """"
    )
)"),"")</f>
        <v/>
      </c>
      <c r="O845" s="202"/>
      <c r="P845" s="202" t="str">
        <f>IFERROR(__xludf.DUMMYFUNCTION("IFERROR(
    INDEX(FILTER('Arrived Shipments'!O:O, 'Arrived Shipments'!B:B=$B845),3),
    IFERROR(
        INDEX(FILTER('POed not arrived'!D:D, 'POed not arrived'!A:A=$B845),3),
        """"
    )
)"),"")</f>
        <v/>
      </c>
      <c r="Q845" s="202"/>
      <c r="R845" s="206" t="str">
        <f>IFERROR(__xludf.DUMMYFUNCTION("IFERROR(
    INDEX(FILTER('Arrived Shipments'!O:O, 'Arrived Shipments'!B:B=$B845),4),
    IFERROR(
        INDEX(FILTER('POed not arrived'!D:D, 'POed not arrived'!A:A=$B845),4),
        """"
    )
)"),"")</f>
        <v/>
      </c>
      <c r="S845" s="202"/>
      <c r="T845" s="202">
        <f t="shared" si="8"/>
        <v>0</v>
      </c>
      <c r="U845" s="198"/>
      <c r="V845" s="199"/>
      <c r="W845" s="197"/>
      <c r="X845" s="197"/>
      <c r="Y845" s="199"/>
      <c r="Z845" s="199"/>
      <c r="AA845" s="204" t="str">
        <f t="shared" si="4"/>
        <v/>
      </c>
      <c r="AB845" s="198"/>
      <c r="AC845" s="199"/>
      <c r="AD845" s="199"/>
      <c r="AE845" s="199"/>
      <c r="AF845" s="199"/>
      <c r="AG845" s="199"/>
      <c r="AH845" s="199"/>
      <c r="AI845" s="199"/>
      <c r="AJ845" s="199"/>
      <c r="AK845" s="199"/>
      <c r="AL845" s="199"/>
      <c r="AM845" s="198"/>
      <c r="AN845" s="197"/>
      <c r="AO845" s="197"/>
      <c r="AP845" s="197"/>
      <c r="AQ845" s="197"/>
      <c r="AR845" s="197"/>
      <c r="AS845" s="197"/>
    </row>
    <row r="846">
      <c r="A846" s="198"/>
      <c r="B846" s="205"/>
      <c r="C846" s="198"/>
      <c r="D846" s="199"/>
      <c r="E846" s="213"/>
      <c r="F846" s="198"/>
      <c r="G846" s="198"/>
      <c r="H846" s="199"/>
      <c r="I846" s="207"/>
      <c r="J846" s="199"/>
      <c r="K846" s="202"/>
      <c r="L846" s="205" t="str">
        <f>IFERROR(__xludf.DUMMYFUNCTION("IFERROR(
    INDEX(FILTER('Arrived Shipments'!O:O, 'Arrived Shipments'!B:B=$B846),1),
    IFERROR(
        INDEX(FILTER('POed not arrived'!D:D, 'POed not arrived'!A:A=$B846),1),
        """"
    )
)"),"")</f>
        <v/>
      </c>
      <c r="M846" s="202"/>
      <c r="N846" s="223" t="str">
        <f>IFERROR(__xludf.DUMMYFUNCTION("IFERROR(
    INDEX(FILTER('Arrived Shipments'!O:O, 'Arrived Shipments'!B:B=$B846),2),
    IFERROR(
        INDEX(FILTER('POed not arrived'!D:D, 'POed not arrived'!A:A=$B846),2),
        """"
    )
)"),"")</f>
        <v/>
      </c>
      <c r="O846" s="202"/>
      <c r="P846" s="202" t="str">
        <f>IFERROR(__xludf.DUMMYFUNCTION("IFERROR(
    INDEX(FILTER('Arrived Shipments'!O:O, 'Arrived Shipments'!B:B=$B846),3),
    IFERROR(
        INDEX(FILTER('POed not arrived'!D:D, 'POed not arrived'!A:A=$B846),3),
        """"
    )
)"),"")</f>
        <v/>
      </c>
      <c r="Q846" s="202"/>
      <c r="R846" s="206" t="str">
        <f>IFERROR(__xludf.DUMMYFUNCTION("IFERROR(
    INDEX(FILTER('Arrived Shipments'!O:O, 'Arrived Shipments'!B:B=$B846),4),
    IFERROR(
        INDEX(FILTER('POed not arrived'!D:D, 'POed not arrived'!A:A=$B846),4),
        """"
    )
)"),"")</f>
        <v/>
      </c>
      <c r="S846" s="202"/>
      <c r="T846" s="202">
        <f t="shared" si="8"/>
        <v>0</v>
      </c>
      <c r="U846" s="198"/>
      <c r="V846" s="199"/>
      <c r="W846" s="197"/>
      <c r="X846" s="197"/>
      <c r="Y846" s="199"/>
      <c r="Z846" s="199"/>
      <c r="AA846" s="204" t="str">
        <f t="shared" si="4"/>
        <v/>
      </c>
      <c r="AB846" s="198"/>
      <c r="AC846" s="199"/>
      <c r="AD846" s="199"/>
      <c r="AE846" s="199"/>
      <c r="AF846" s="199"/>
      <c r="AG846" s="199"/>
      <c r="AH846" s="199"/>
      <c r="AI846" s="199"/>
      <c r="AJ846" s="199"/>
      <c r="AK846" s="199"/>
      <c r="AL846" s="199"/>
      <c r="AM846" s="198"/>
      <c r="AN846" s="197"/>
      <c r="AO846" s="197"/>
      <c r="AP846" s="197"/>
      <c r="AQ846" s="197"/>
      <c r="AR846" s="197"/>
      <c r="AS846" s="197"/>
    </row>
    <row r="847">
      <c r="A847" s="198"/>
      <c r="B847" s="205"/>
      <c r="C847" s="198"/>
      <c r="D847" s="199"/>
      <c r="E847" s="213"/>
      <c r="F847" s="198"/>
      <c r="G847" s="198"/>
      <c r="H847" s="199"/>
      <c r="I847" s="207"/>
      <c r="J847" s="199"/>
      <c r="K847" s="202"/>
      <c r="L847" s="205" t="str">
        <f>IFERROR(__xludf.DUMMYFUNCTION("IFERROR(
    INDEX(FILTER('Arrived Shipments'!O:O, 'Arrived Shipments'!B:B=$B847),1),
    IFERROR(
        INDEX(FILTER('POed not arrived'!D:D, 'POed not arrived'!A:A=$B847),1),
        """"
    )
)"),"")</f>
        <v/>
      </c>
      <c r="M847" s="202"/>
      <c r="N847" s="223" t="str">
        <f>IFERROR(__xludf.DUMMYFUNCTION("IFERROR(
    INDEX(FILTER('Arrived Shipments'!O:O, 'Arrived Shipments'!B:B=$B847),2),
    IFERROR(
        INDEX(FILTER('POed not arrived'!D:D, 'POed not arrived'!A:A=$B847),2),
        """"
    )
)"),"")</f>
        <v/>
      </c>
      <c r="O847" s="202"/>
      <c r="P847" s="202" t="str">
        <f>IFERROR(__xludf.DUMMYFUNCTION("IFERROR(
    INDEX(FILTER('Arrived Shipments'!O:O, 'Arrived Shipments'!B:B=$B847),3),
    IFERROR(
        INDEX(FILTER('POed not arrived'!D:D, 'POed not arrived'!A:A=$B847),3),
        """"
    )
)"),"")</f>
        <v/>
      </c>
      <c r="Q847" s="202"/>
      <c r="R847" s="206" t="str">
        <f>IFERROR(__xludf.DUMMYFUNCTION("IFERROR(
    INDEX(FILTER('Arrived Shipments'!O:O, 'Arrived Shipments'!B:B=$B847),4),
    IFERROR(
        INDEX(FILTER('POed not arrived'!D:D, 'POed not arrived'!A:A=$B847),4),
        """"
    )
)"),"")</f>
        <v/>
      </c>
      <c r="S847" s="202"/>
      <c r="T847" s="202">
        <f t="shared" si="8"/>
        <v>0</v>
      </c>
      <c r="U847" s="198"/>
      <c r="V847" s="199"/>
      <c r="W847" s="197"/>
      <c r="X847" s="197"/>
      <c r="Y847" s="199"/>
      <c r="Z847" s="199"/>
      <c r="AA847" s="204" t="str">
        <f t="shared" si="4"/>
        <v/>
      </c>
      <c r="AB847" s="198"/>
      <c r="AC847" s="199"/>
      <c r="AD847" s="199"/>
      <c r="AE847" s="199"/>
      <c r="AF847" s="199"/>
      <c r="AG847" s="199"/>
      <c r="AH847" s="199"/>
      <c r="AI847" s="199"/>
      <c r="AJ847" s="199"/>
      <c r="AK847" s="199"/>
      <c r="AL847" s="199"/>
      <c r="AM847" s="198"/>
      <c r="AN847" s="197"/>
      <c r="AO847" s="197"/>
      <c r="AP847" s="197"/>
      <c r="AQ847" s="197"/>
      <c r="AR847" s="197"/>
      <c r="AS847" s="197"/>
    </row>
    <row r="848">
      <c r="A848" s="198"/>
      <c r="B848" s="205"/>
      <c r="C848" s="198"/>
      <c r="D848" s="199"/>
      <c r="E848" s="213"/>
      <c r="F848" s="198"/>
      <c r="G848" s="198"/>
      <c r="H848" s="199"/>
      <c r="I848" s="207"/>
      <c r="J848" s="199"/>
      <c r="K848" s="202"/>
      <c r="L848" s="205" t="str">
        <f>IFERROR(__xludf.DUMMYFUNCTION("IFERROR(
    INDEX(FILTER('Arrived Shipments'!O:O, 'Arrived Shipments'!B:B=$B848),1),
    IFERROR(
        INDEX(FILTER('POed not arrived'!D:D, 'POed not arrived'!A:A=$B848),1),
        """"
    )
)"),"")</f>
        <v/>
      </c>
      <c r="M848" s="202"/>
      <c r="N848" s="223" t="str">
        <f>IFERROR(__xludf.DUMMYFUNCTION("IFERROR(
    INDEX(FILTER('Arrived Shipments'!O:O, 'Arrived Shipments'!B:B=$B848),2),
    IFERROR(
        INDEX(FILTER('POed not arrived'!D:D, 'POed not arrived'!A:A=$B848),2),
        """"
    )
)"),"")</f>
        <v/>
      </c>
      <c r="O848" s="202"/>
      <c r="P848" s="202" t="str">
        <f>IFERROR(__xludf.DUMMYFUNCTION("IFERROR(
    INDEX(FILTER('Arrived Shipments'!O:O, 'Arrived Shipments'!B:B=$B848),3),
    IFERROR(
        INDEX(FILTER('POed not arrived'!D:D, 'POed not arrived'!A:A=$B848),3),
        """"
    )
)"),"")</f>
        <v/>
      </c>
      <c r="Q848" s="202"/>
      <c r="R848" s="206" t="str">
        <f>IFERROR(__xludf.DUMMYFUNCTION("IFERROR(
    INDEX(FILTER('Arrived Shipments'!O:O, 'Arrived Shipments'!B:B=$B848),4),
    IFERROR(
        INDEX(FILTER('POed not arrived'!D:D, 'POed not arrived'!A:A=$B848),4),
        """"
    )
)"),"")</f>
        <v/>
      </c>
      <c r="S848" s="202"/>
      <c r="T848" s="202">
        <f t="shared" si="8"/>
        <v>0</v>
      </c>
      <c r="U848" s="198"/>
      <c r="V848" s="199"/>
      <c r="W848" s="197"/>
      <c r="X848" s="197"/>
      <c r="Y848" s="199"/>
      <c r="Z848" s="199"/>
      <c r="AA848" s="204" t="str">
        <f t="shared" si="4"/>
        <v/>
      </c>
      <c r="AB848" s="198"/>
      <c r="AC848" s="199"/>
      <c r="AD848" s="199"/>
      <c r="AE848" s="199"/>
      <c r="AF848" s="199"/>
      <c r="AG848" s="199"/>
      <c r="AH848" s="199"/>
      <c r="AI848" s="199"/>
      <c r="AJ848" s="199"/>
      <c r="AK848" s="199"/>
      <c r="AL848" s="199"/>
      <c r="AM848" s="198"/>
      <c r="AN848" s="197"/>
      <c r="AO848" s="197"/>
      <c r="AP848" s="197"/>
      <c r="AQ848" s="197"/>
      <c r="AR848" s="197"/>
      <c r="AS848" s="197"/>
    </row>
    <row r="849">
      <c r="A849" s="198"/>
      <c r="B849" s="205"/>
      <c r="C849" s="198"/>
      <c r="D849" s="199"/>
      <c r="E849" s="213"/>
      <c r="F849" s="198"/>
      <c r="G849" s="198"/>
      <c r="H849" s="199"/>
      <c r="I849" s="207"/>
      <c r="J849" s="199"/>
      <c r="K849" s="202"/>
      <c r="L849" s="205" t="str">
        <f>IFERROR(__xludf.DUMMYFUNCTION("IFERROR(
    INDEX(FILTER('Arrived Shipments'!O:O, 'Arrived Shipments'!B:B=$B849),1),
    IFERROR(
        INDEX(FILTER('POed not arrived'!D:D, 'POed not arrived'!A:A=$B849),1),
        """"
    )
)"),"")</f>
        <v/>
      </c>
      <c r="M849" s="202"/>
      <c r="N849" s="223" t="str">
        <f>IFERROR(__xludf.DUMMYFUNCTION("IFERROR(
    INDEX(FILTER('Arrived Shipments'!O:O, 'Arrived Shipments'!B:B=$B849),2),
    IFERROR(
        INDEX(FILTER('POed not arrived'!D:D, 'POed not arrived'!A:A=$B849),2),
        """"
    )
)"),"")</f>
        <v/>
      </c>
      <c r="O849" s="202"/>
      <c r="P849" s="202" t="str">
        <f>IFERROR(__xludf.DUMMYFUNCTION("IFERROR(
    INDEX(FILTER('Arrived Shipments'!O:O, 'Arrived Shipments'!B:B=$B849),3),
    IFERROR(
        INDEX(FILTER('POed not arrived'!D:D, 'POed not arrived'!A:A=$B849),3),
        """"
    )
)"),"")</f>
        <v/>
      </c>
      <c r="Q849" s="202"/>
      <c r="R849" s="206" t="str">
        <f>IFERROR(__xludf.DUMMYFUNCTION("IFERROR(
    INDEX(FILTER('Arrived Shipments'!O:O, 'Arrived Shipments'!B:B=$B849),4),
    IFERROR(
        INDEX(FILTER('POed not arrived'!D:D, 'POed not arrived'!A:A=$B849),4),
        """"
    )
)"),"")</f>
        <v/>
      </c>
      <c r="S849" s="202"/>
      <c r="T849" s="202">
        <f t="shared" si="8"/>
        <v>0</v>
      </c>
      <c r="U849" s="198"/>
      <c r="V849" s="199"/>
      <c r="W849" s="197"/>
      <c r="X849" s="197"/>
      <c r="Y849" s="199"/>
      <c r="Z849" s="199"/>
      <c r="AA849" s="204" t="str">
        <f t="shared" si="4"/>
        <v/>
      </c>
      <c r="AB849" s="198"/>
      <c r="AC849" s="199"/>
      <c r="AD849" s="199"/>
      <c r="AE849" s="199"/>
      <c r="AF849" s="199"/>
      <c r="AG849" s="199"/>
      <c r="AH849" s="199"/>
      <c r="AI849" s="199"/>
      <c r="AJ849" s="199"/>
      <c r="AK849" s="199"/>
      <c r="AL849" s="199"/>
      <c r="AM849" s="198"/>
      <c r="AN849" s="197"/>
      <c r="AO849" s="197"/>
      <c r="AP849" s="197"/>
      <c r="AQ849" s="197"/>
      <c r="AR849" s="197"/>
      <c r="AS849" s="197"/>
    </row>
    <row r="850">
      <c r="A850" s="198"/>
      <c r="B850" s="205"/>
      <c r="C850" s="198"/>
      <c r="D850" s="199"/>
      <c r="E850" s="213"/>
      <c r="F850" s="198"/>
      <c r="G850" s="198"/>
      <c r="H850" s="199"/>
      <c r="I850" s="207"/>
      <c r="J850" s="199"/>
      <c r="K850" s="202"/>
      <c r="L850" s="205" t="str">
        <f>IFERROR(__xludf.DUMMYFUNCTION("IFERROR(
    INDEX(FILTER('Arrived Shipments'!O:O, 'Arrived Shipments'!B:B=$B850),1),
    IFERROR(
        INDEX(FILTER('POed not arrived'!D:D, 'POed not arrived'!A:A=$B850),1),
        """"
    )
)"),"")</f>
        <v/>
      </c>
      <c r="M850" s="202"/>
      <c r="N850" s="223" t="str">
        <f>IFERROR(__xludf.DUMMYFUNCTION("IFERROR(
    INDEX(FILTER('Arrived Shipments'!O:O, 'Arrived Shipments'!B:B=$B850),2),
    IFERROR(
        INDEX(FILTER('POed not arrived'!D:D, 'POed not arrived'!A:A=$B850),2),
        """"
    )
)"),"")</f>
        <v/>
      </c>
      <c r="O850" s="202"/>
      <c r="P850" s="202" t="str">
        <f>IFERROR(__xludf.DUMMYFUNCTION("IFERROR(
    INDEX(FILTER('Arrived Shipments'!O:O, 'Arrived Shipments'!B:B=$B850),3),
    IFERROR(
        INDEX(FILTER('POed not arrived'!D:D, 'POed not arrived'!A:A=$B850),3),
        """"
    )
)"),"")</f>
        <v/>
      </c>
      <c r="Q850" s="202"/>
      <c r="R850" s="206" t="str">
        <f>IFERROR(__xludf.DUMMYFUNCTION("IFERROR(
    INDEX(FILTER('Arrived Shipments'!O:O, 'Arrived Shipments'!B:B=$B850),4),
    IFERROR(
        INDEX(FILTER('POed not arrived'!D:D, 'POed not arrived'!A:A=$B850),4),
        """"
    )
)"),"")</f>
        <v/>
      </c>
      <c r="S850" s="202"/>
      <c r="T850" s="202">
        <f t="shared" si="8"/>
        <v>0</v>
      </c>
      <c r="U850" s="198"/>
      <c r="V850" s="199"/>
      <c r="W850" s="197"/>
      <c r="X850" s="197"/>
      <c r="Y850" s="199"/>
      <c r="Z850" s="199"/>
      <c r="AA850" s="204" t="str">
        <f t="shared" si="4"/>
        <v/>
      </c>
      <c r="AB850" s="198"/>
      <c r="AC850" s="199"/>
      <c r="AD850" s="199"/>
      <c r="AE850" s="199"/>
      <c r="AF850" s="199"/>
      <c r="AG850" s="199"/>
      <c r="AH850" s="199"/>
      <c r="AI850" s="199"/>
      <c r="AJ850" s="199"/>
      <c r="AK850" s="199"/>
      <c r="AL850" s="199"/>
      <c r="AM850" s="198"/>
      <c r="AN850" s="197"/>
      <c r="AO850" s="197"/>
      <c r="AP850" s="197"/>
      <c r="AQ850" s="197"/>
      <c r="AR850" s="197"/>
      <c r="AS850" s="197"/>
    </row>
    <row r="851">
      <c r="A851" s="198"/>
      <c r="B851" s="205"/>
      <c r="C851" s="198"/>
      <c r="D851" s="199"/>
      <c r="E851" s="213"/>
      <c r="F851" s="198"/>
      <c r="G851" s="198"/>
      <c r="H851" s="199"/>
      <c r="I851" s="207"/>
      <c r="J851" s="199"/>
      <c r="K851" s="202"/>
      <c r="L851" s="205" t="str">
        <f>IFERROR(__xludf.DUMMYFUNCTION("IFERROR(
    INDEX(FILTER('Arrived Shipments'!O:O, 'Arrived Shipments'!B:B=$B851),1),
    IFERROR(
        INDEX(FILTER('POed not arrived'!D:D, 'POed not arrived'!A:A=$B851),1),
        """"
    )
)"),"")</f>
        <v/>
      </c>
      <c r="M851" s="202"/>
      <c r="N851" s="223" t="str">
        <f>IFERROR(__xludf.DUMMYFUNCTION("IFERROR(
    INDEX(FILTER('Arrived Shipments'!O:O, 'Arrived Shipments'!B:B=$B851),2),
    IFERROR(
        INDEX(FILTER('POed not arrived'!D:D, 'POed not arrived'!A:A=$B851),2),
        """"
    )
)"),"")</f>
        <v/>
      </c>
      <c r="O851" s="202"/>
      <c r="P851" s="202" t="str">
        <f>IFERROR(__xludf.DUMMYFUNCTION("IFERROR(
    INDEX(FILTER('Arrived Shipments'!O:O, 'Arrived Shipments'!B:B=$B851),3),
    IFERROR(
        INDEX(FILTER('POed not arrived'!D:D, 'POed not arrived'!A:A=$B851),3),
        """"
    )
)"),"")</f>
        <v/>
      </c>
      <c r="Q851" s="202"/>
      <c r="R851" s="206" t="str">
        <f>IFERROR(__xludf.DUMMYFUNCTION("IFERROR(
    INDEX(FILTER('Arrived Shipments'!O:O, 'Arrived Shipments'!B:B=$B851),4),
    IFERROR(
        INDEX(FILTER('POed not arrived'!D:D, 'POed not arrived'!A:A=$B851),4),
        """"
    )
)"),"")</f>
        <v/>
      </c>
      <c r="S851" s="202"/>
      <c r="T851" s="202">
        <f t="shared" si="8"/>
        <v>0</v>
      </c>
      <c r="U851" s="198"/>
      <c r="V851" s="199"/>
      <c r="W851" s="197"/>
      <c r="X851" s="197"/>
      <c r="Y851" s="199"/>
      <c r="Z851" s="199"/>
      <c r="AA851" s="204" t="str">
        <f t="shared" si="4"/>
        <v/>
      </c>
      <c r="AB851" s="198"/>
      <c r="AC851" s="199"/>
      <c r="AD851" s="199"/>
      <c r="AE851" s="199"/>
      <c r="AF851" s="199"/>
      <c r="AG851" s="199"/>
      <c r="AH851" s="199"/>
      <c r="AI851" s="199"/>
      <c r="AJ851" s="199"/>
      <c r="AK851" s="199"/>
      <c r="AL851" s="199"/>
      <c r="AM851" s="198"/>
      <c r="AN851" s="197"/>
      <c r="AO851" s="197"/>
      <c r="AP851" s="197"/>
      <c r="AQ851" s="197"/>
      <c r="AR851" s="197"/>
      <c r="AS851" s="197"/>
    </row>
    <row r="852">
      <c r="A852" s="198"/>
      <c r="B852" s="205"/>
      <c r="C852" s="198"/>
      <c r="D852" s="199"/>
      <c r="E852" s="213"/>
      <c r="F852" s="198"/>
      <c r="G852" s="198"/>
      <c r="H852" s="199"/>
      <c r="I852" s="207"/>
      <c r="J852" s="199"/>
      <c r="K852" s="202"/>
      <c r="L852" s="205" t="str">
        <f>IFERROR(__xludf.DUMMYFUNCTION("IFERROR(
    INDEX(FILTER('Arrived Shipments'!O:O, 'Arrived Shipments'!B:B=$B852),1),
    IFERROR(
        INDEX(FILTER('POed not arrived'!D:D, 'POed not arrived'!A:A=$B852),1),
        """"
    )
)"),"")</f>
        <v/>
      </c>
      <c r="M852" s="202"/>
      <c r="N852" s="223" t="str">
        <f>IFERROR(__xludf.DUMMYFUNCTION("IFERROR(
    INDEX(FILTER('Arrived Shipments'!O:O, 'Arrived Shipments'!B:B=$B852),2),
    IFERROR(
        INDEX(FILTER('POed not arrived'!D:D, 'POed not arrived'!A:A=$B852),2),
        """"
    )
)"),"")</f>
        <v/>
      </c>
      <c r="O852" s="202"/>
      <c r="P852" s="202" t="str">
        <f>IFERROR(__xludf.DUMMYFUNCTION("IFERROR(
    INDEX(FILTER('Arrived Shipments'!O:O, 'Arrived Shipments'!B:B=$B852),3),
    IFERROR(
        INDEX(FILTER('POed not arrived'!D:D, 'POed not arrived'!A:A=$B852),3),
        """"
    )
)"),"")</f>
        <v/>
      </c>
      <c r="Q852" s="202"/>
      <c r="R852" s="206" t="str">
        <f>IFERROR(__xludf.DUMMYFUNCTION("IFERROR(
    INDEX(FILTER('Arrived Shipments'!O:O, 'Arrived Shipments'!B:B=$B852),4),
    IFERROR(
        INDEX(FILTER('POed not arrived'!D:D, 'POed not arrived'!A:A=$B852),4),
        """"
    )
)"),"")</f>
        <v/>
      </c>
      <c r="S852" s="202"/>
      <c r="T852" s="202">
        <f t="shared" si="8"/>
        <v>0</v>
      </c>
      <c r="U852" s="198"/>
      <c r="V852" s="199"/>
      <c r="W852" s="197"/>
      <c r="X852" s="197"/>
      <c r="Y852" s="199"/>
      <c r="Z852" s="199"/>
      <c r="AA852" s="204" t="str">
        <f t="shared" si="4"/>
        <v/>
      </c>
      <c r="AB852" s="198"/>
      <c r="AC852" s="199"/>
      <c r="AD852" s="199"/>
      <c r="AE852" s="199"/>
      <c r="AF852" s="199"/>
      <c r="AG852" s="199"/>
      <c r="AH852" s="199"/>
      <c r="AI852" s="199"/>
      <c r="AJ852" s="199"/>
      <c r="AK852" s="199"/>
      <c r="AL852" s="199"/>
      <c r="AM852" s="198"/>
      <c r="AN852" s="197"/>
      <c r="AO852" s="197"/>
      <c r="AP852" s="197"/>
      <c r="AQ852" s="197"/>
      <c r="AR852" s="197"/>
      <c r="AS852" s="197"/>
    </row>
    <row r="853">
      <c r="A853" s="198"/>
      <c r="B853" s="205"/>
      <c r="C853" s="198"/>
      <c r="D853" s="199"/>
      <c r="E853" s="213"/>
      <c r="F853" s="198"/>
      <c r="G853" s="198"/>
      <c r="H853" s="199"/>
      <c r="I853" s="207"/>
      <c r="J853" s="199"/>
      <c r="K853" s="202"/>
      <c r="L853" s="205" t="str">
        <f>IFERROR(__xludf.DUMMYFUNCTION("IFERROR(
    INDEX(FILTER('Arrived Shipments'!O:O, 'Arrived Shipments'!B:B=$B853),1),
    IFERROR(
        INDEX(FILTER('POed not arrived'!D:D, 'POed not arrived'!A:A=$B853),1),
        """"
    )
)"),"")</f>
        <v/>
      </c>
      <c r="M853" s="202"/>
      <c r="N853" s="223" t="str">
        <f>IFERROR(__xludf.DUMMYFUNCTION("IFERROR(
    INDEX(FILTER('Arrived Shipments'!O:O, 'Arrived Shipments'!B:B=$B853),2),
    IFERROR(
        INDEX(FILTER('POed not arrived'!D:D, 'POed not arrived'!A:A=$B853),2),
        """"
    )
)"),"")</f>
        <v/>
      </c>
      <c r="O853" s="202"/>
      <c r="P853" s="202" t="str">
        <f>IFERROR(__xludf.DUMMYFUNCTION("IFERROR(
    INDEX(FILTER('Arrived Shipments'!O:O, 'Arrived Shipments'!B:B=$B853),3),
    IFERROR(
        INDEX(FILTER('POed not arrived'!D:D, 'POed not arrived'!A:A=$B853),3),
        """"
    )
)"),"")</f>
        <v/>
      </c>
      <c r="Q853" s="202"/>
      <c r="R853" s="206" t="str">
        <f>IFERROR(__xludf.DUMMYFUNCTION("IFERROR(
    INDEX(FILTER('Arrived Shipments'!O:O, 'Arrived Shipments'!B:B=$B853),4),
    IFERROR(
        INDEX(FILTER('POed not arrived'!D:D, 'POed not arrived'!A:A=$B853),4),
        """"
    )
)"),"")</f>
        <v/>
      </c>
      <c r="S853" s="202"/>
      <c r="T853" s="202">
        <f t="shared" si="8"/>
        <v>0</v>
      </c>
      <c r="U853" s="198"/>
      <c r="V853" s="199"/>
      <c r="W853" s="197"/>
      <c r="X853" s="197"/>
      <c r="Y853" s="199"/>
      <c r="Z853" s="199"/>
      <c r="AA853" s="204" t="str">
        <f t="shared" si="4"/>
        <v/>
      </c>
      <c r="AB853" s="198"/>
      <c r="AC853" s="199"/>
      <c r="AD853" s="199"/>
      <c r="AE853" s="199"/>
      <c r="AF853" s="199"/>
      <c r="AG853" s="199"/>
      <c r="AH853" s="199"/>
      <c r="AI853" s="199"/>
      <c r="AJ853" s="199"/>
      <c r="AK853" s="199"/>
      <c r="AL853" s="199"/>
      <c r="AM853" s="198"/>
      <c r="AN853" s="197"/>
      <c r="AO853" s="197"/>
      <c r="AP853" s="197"/>
      <c r="AQ853" s="197"/>
      <c r="AR853" s="197"/>
      <c r="AS853" s="197"/>
    </row>
    <row r="854">
      <c r="A854" s="198"/>
      <c r="B854" s="205"/>
      <c r="C854" s="198"/>
      <c r="D854" s="199"/>
      <c r="E854" s="213"/>
      <c r="F854" s="198"/>
      <c r="G854" s="198"/>
      <c r="H854" s="199"/>
      <c r="I854" s="207"/>
      <c r="J854" s="199"/>
      <c r="K854" s="202"/>
      <c r="L854" s="205" t="str">
        <f>IFERROR(__xludf.DUMMYFUNCTION("IFERROR(
    INDEX(FILTER('Arrived Shipments'!O:O, 'Arrived Shipments'!B:B=$B854),1),
    IFERROR(
        INDEX(FILTER('POed not arrived'!D:D, 'POed not arrived'!A:A=$B854),1),
        """"
    )
)"),"")</f>
        <v/>
      </c>
      <c r="M854" s="202"/>
      <c r="N854" s="223" t="str">
        <f>IFERROR(__xludf.DUMMYFUNCTION("IFERROR(
    INDEX(FILTER('Arrived Shipments'!O:O, 'Arrived Shipments'!B:B=$B854),2),
    IFERROR(
        INDEX(FILTER('POed not arrived'!D:D, 'POed not arrived'!A:A=$B854),2),
        """"
    )
)"),"")</f>
        <v/>
      </c>
      <c r="O854" s="202"/>
      <c r="P854" s="202" t="str">
        <f>IFERROR(__xludf.DUMMYFUNCTION("IFERROR(
    INDEX(FILTER('Arrived Shipments'!O:O, 'Arrived Shipments'!B:B=$B854),3),
    IFERROR(
        INDEX(FILTER('POed not arrived'!D:D, 'POed not arrived'!A:A=$B854),3),
        """"
    )
)"),"")</f>
        <v/>
      </c>
      <c r="Q854" s="202"/>
      <c r="R854" s="206" t="str">
        <f>IFERROR(__xludf.DUMMYFUNCTION("IFERROR(
    INDEX(FILTER('Arrived Shipments'!O:O, 'Arrived Shipments'!B:B=$B854),4),
    IFERROR(
        INDEX(FILTER('POed not arrived'!D:D, 'POed not arrived'!A:A=$B854),4),
        """"
    )
)"),"")</f>
        <v/>
      </c>
      <c r="S854" s="202"/>
      <c r="T854" s="202">
        <f t="shared" si="8"/>
        <v>0</v>
      </c>
      <c r="U854" s="198"/>
      <c r="V854" s="199"/>
      <c r="W854" s="197"/>
      <c r="X854" s="197"/>
      <c r="Y854" s="199"/>
      <c r="Z854" s="199"/>
      <c r="AA854" s="204" t="str">
        <f t="shared" si="4"/>
        <v/>
      </c>
      <c r="AB854" s="198"/>
      <c r="AC854" s="199"/>
      <c r="AD854" s="199"/>
      <c r="AE854" s="199"/>
      <c r="AF854" s="199"/>
      <c r="AG854" s="199"/>
      <c r="AH854" s="199"/>
      <c r="AI854" s="199"/>
      <c r="AJ854" s="199"/>
      <c r="AK854" s="199"/>
      <c r="AL854" s="199"/>
      <c r="AM854" s="198"/>
      <c r="AN854" s="197"/>
      <c r="AO854" s="197"/>
      <c r="AP854" s="197"/>
      <c r="AQ854" s="197"/>
      <c r="AR854" s="197"/>
      <c r="AS854" s="197"/>
    </row>
    <row r="855">
      <c r="A855" s="198"/>
      <c r="B855" s="205"/>
      <c r="C855" s="198"/>
      <c r="D855" s="199"/>
      <c r="E855" s="213"/>
      <c r="F855" s="198"/>
      <c r="G855" s="198"/>
      <c r="H855" s="199"/>
      <c r="I855" s="207"/>
      <c r="J855" s="199"/>
      <c r="K855" s="202"/>
      <c r="L855" s="205" t="str">
        <f>IFERROR(__xludf.DUMMYFUNCTION("IFERROR(
    INDEX(FILTER('Arrived Shipments'!O:O, 'Arrived Shipments'!B:B=$B855),1),
    IFERROR(
        INDEX(FILTER('POed not arrived'!D:D, 'POed not arrived'!A:A=$B855),1),
        """"
    )
)"),"")</f>
        <v/>
      </c>
      <c r="M855" s="202"/>
      <c r="N855" s="223" t="str">
        <f>IFERROR(__xludf.DUMMYFUNCTION("IFERROR(
    INDEX(FILTER('Arrived Shipments'!O:O, 'Arrived Shipments'!B:B=$B855),2),
    IFERROR(
        INDEX(FILTER('POed not arrived'!D:D, 'POed not arrived'!A:A=$B855),2),
        """"
    )
)"),"")</f>
        <v/>
      </c>
      <c r="O855" s="202"/>
      <c r="P855" s="202" t="str">
        <f>IFERROR(__xludf.DUMMYFUNCTION("IFERROR(
    INDEX(FILTER('Arrived Shipments'!O:O, 'Arrived Shipments'!B:B=$B855),3),
    IFERROR(
        INDEX(FILTER('POed not arrived'!D:D, 'POed not arrived'!A:A=$B855),3),
        """"
    )
)"),"")</f>
        <v/>
      </c>
      <c r="Q855" s="202"/>
      <c r="R855" s="206" t="str">
        <f>IFERROR(__xludf.DUMMYFUNCTION("IFERROR(
    INDEX(FILTER('Arrived Shipments'!O:O, 'Arrived Shipments'!B:B=$B855),4),
    IFERROR(
        INDEX(FILTER('POed not arrived'!D:D, 'POed not arrived'!A:A=$B855),4),
        """"
    )
)"),"")</f>
        <v/>
      </c>
      <c r="S855" s="202"/>
      <c r="T855" s="202">
        <f t="shared" si="8"/>
        <v>0</v>
      </c>
      <c r="U855" s="198"/>
      <c r="V855" s="199"/>
      <c r="W855" s="197"/>
      <c r="X855" s="197"/>
      <c r="Y855" s="199"/>
      <c r="Z855" s="199"/>
      <c r="AA855" s="204" t="str">
        <f t="shared" si="4"/>
        <v/>
      </c>
      <c r="AB855" s="198"/>
      <c r="AC855" s="199"/>
      <c r="AD855" s="199"/>
      <c r="AE855" s="199"/>
      <c r="AF855" s="199"/>
      <c r="AG855" s="199"/>
      <c r="AH855" s="199"/>
      <c r="AI855" s="199"/>
      <c r="AJ855" s="199"/>
      <c r="AK855" s="199"/>
      <c r="AL855" s="199"/>
      <c r="AM855" s="198"/>
      <c r="AN855" s="197"/>
      <c r="AO855" s="197"/>
      <c r="AP855" s="197"/>
      <c r="AQ855" s="197"/>
      <c r="AR855" s="197"/>
      <c r="AS855" s="197"/>
    </row>
    <row r="856">
      <c r="A856" s="198"/>
      <c r="B856" s="205"/>
      <c r="C856" s="198"/>
      <c r="D856" s="199"/>
      <c r="E856" s="213"/>
      <c r="F856" s="198"/>
      <c r="G856" s="198"/>
      <c r="H856" s="199"/>
      <c r="I856" s="207"/>
      <c r="J856" s="199"/>
      <c r="K856" s="202"/>
      <c r="L856" s="205" t="str">
        <f>IFERROR(__xludf.DUMMYFUNCTION("IFERROR(
    INDEX(FILTER('Arrived Shipments'!O:O, 'Arrived Shipments'!B:B=$B856),1),
    IFERROR(
        INDEX(FILTER('POed not arrived'!D:D, 'POed not arrived'!A:A=$B856),1),
        """"
    )
)"),"")</f>
        <v/>
      </c>
      <c r="M856" s="202"/>
      <c r="N856" s="223" t="str">
        <f>IFERROR(__xludf.DUMMYFUNCTION("IFERROR(
    INDEX(FILTER('Arrived Shipments'!O:O, 'Arrived Shipments'!B:B=$B856),2),
    IFERROR(
        INDEX(FILTER('POed not arrived'!D:D, 'POed not arrived'!A:A=$B856),2),
        """"
    )
)"),"")</f>
        <v/>
      </c>
      <c r="O856" s="202"/>
      <c r="P856" s="202" t="str">
        <f>IFERROR(__xludf.DUMMYFUNCTION("IFERROR(
    INDEX(FILTER('Arrived Shipments'!O:O, 'Arrived Shipments'!B:B=$B856),3),
    IFERROR(
        INDEX(FILTER('POed not arrived'!D:D, 'POed not arrived'!A:A=$B856),3),
        """"
    )
)"),"")</f>
        <v/>
      </c>
      <c r="Q856" s="202"/>
      <c r="R856" s="206" t="str">
        <f>IFERROR(__xludf.DUMMYFUNCTION("IFERROR(
    INDEX(FILTER('Arrived Shipments'!O:O, 'Arrived Shipments'!B:B=$B856),4),
    IFERROR(
        INDEX(FILTER('POed not arrived'!D:D, 'POed not arrived'!A:A=$B856),4),
        """"
    )
)"),"")</f>
        <v/>
      </c>
      <c r="S856" s="202"/>
      <c r="T856" s="202">
        <f t="shared" si="8"/>
        <v>0</v>
      </c>
      <c r="U856" s="198"/>
      <c r="V856" s="199"/>
      <c r="W856" s="197"/>
      <c r="X856" s="197"/>
      <c r="Y856" s="199"/>
      <c r="Z856" s="199"/>
      <c r="AA856" s="204" t="str">
        <f t="shared" si="4"/>
        <v/>
      </c>
      <c r="AB856" s="198"/>
      <c r="AC856" s="199"/>
      <c r="AD856" s="199"/>
      <c r="AE856" s="199"/>
      <c r="AF856" s="199"/>
      <c r="AG856" s="199"/>
      <c r="AH856" s="199"/>
      <c r="AI856" s="199"/>
      <c r="AJ856" s="199"/>
      <c r="AK856" s="199"/>
      <c r="AL856" s="199"/>
      <c r="AM856" s="198"/>
      <c r="AN856" s="197"/>
      <c r="AO856" s="197"/>
      <c r="AP856" s="197"/>
      <c r="AQ856" s="197"/>
      <c r="AR856" s="197"/>
      <c r="AS856" s="197"/>
    </row>
    <row r="857">
      <c r="A857" s="198"/>
      <c r="B857" s="205"/>
      <c r="C857" s="198"/>
      <c r="D857" s="199"/>
      <c r="E857" s="213"/>
      <c r="F857" s="198"/>
      <c r="G857" s="198"/>
      <c r="H857" s="199"/>
      <c r="I857" s="207"/>
      <c r="J857" s="199"/>
      <c r="K857" s="202"/>
      <c r="L857" s="205" t="str">
        <f>IFERROR(__xludf.DUMMYFUNCTION("IFERROR(
    INDEX(FILTER('Arrived Shipments'!O:O, 'Arrived Shipments'!B:B=$B857),1),
    IFERROR(
        INDEX(FILTER('POed not arrived'!D:D, 'POed not arrived'!A:A=$B857),1),
        """"
    )
)"),"")</f>
        <v/>
      </c>
      <c r="M857" s="202"/>
      <c r="N857" s="223" t="str">
        <f>IFERROR(__xludf.DUMMYFUNCTION("IFERROR(
    INDEX(FILTER('Arrived Shipments'!O:O, 'Arrived Shipments'!B:B=$B857),2),
    IFERROR(
        INDEX(FILTER('POed not arrived'!D:D, 'POed not arrived'!A:A=$B857),2),
        """"
    )
)"),"")</f>
        <v/>
      </c>
      <c r="O857" s="202"/>
      <c r="P857" s="202" t="str">
        <f>IFERROR(__xludf.DUMMYFUNCTION("IFERROR(
    INDEX(FILTER('Arrived Shipments'!O:O, 'Arrived Shipments'!B:B=$B857),3),
    IFERROR(
        INDEX(FILTER('POed not arrived'!D:D, 'POed not arrived'!A:A=$B857),3),
        """"
    )
)"),"")</f>
        <v/>
      </c>
      <c r="Q857" s="202"/>
      <c r="R857" s="206" t="str">
        <f>IFERROR(__xludf.DUMMYFUNCTION("IFERROR(
    INDEX(FILTER('Arrived Shipments'!O:O, 'Arrived Shipments'!B:B=$B857),4),
    IFERROR(
        INDEX(FILTER('POed not arrived'!D:D, 'POed not arrived'!A:A=$B857),4),
        """"
    )
)"),"")</f>
        <v/>
      </c>
      <c r="S857" s="202"/>
      <c r="T857" s="202">
        <f t="shared" si="8"/>
        <v>0</v>
      </c>
      <c r="U857" s="198"/>
      <c r="V857" s="199"/>
      <c r="W857" s="197"/>
      <c r="X857" s="197"/>
      <c r="Y857" s="199"/>
      <c r="Z857" s="199"/>
      <c r="AA857" s="204" t="str">
        <f t="shared" si="4"/>
        <v/>
      </c>
      <c r="AB857" s="198"/>
      <c r="AC857" s="199"/>
      <c r="AD857" s="199"/>
      <c r="AE857" s="199"/>
      <c r="AF857" s="199"/>
      <c r="AG857" s="199"/>
      <c r="AH857" s="199"/>
      <c r="AI857" s="199"/>
      <c r="AJ857" s="199"/>
      <c r="AK857" s="199"/>
      <c r="AL857" s="199"/>
      <c r="AM857" s="198"/>
      <c r="AN857" s="197"/>
      <c r="AO857" s="197"/>
      <c r="AP857" s="197"/>
      <c r="AQ857" s="197"/>
      <c r="AR857" s="197"/>
      <c r="AS857" s="197"/>
    </row>
    <row r="858">
      <c r="A858" s="198"/>
      <c r="B858" s="205"/>
      <c r="C858" s="198"/>
      <c r="D858" s="199"/>
      <c r="E858" s="213"/>
      <c r="F858" s="198"/>
      <c r="G858" s="198"/>
      <c r="H858" s="199"/>
      <c r="I858" s="207"/>
      <c r="J858" s="199"/>
      <c r="K858" s="202"/>
      <c r="L858" s="205" t="str">
        <f>IFERROR(__xludf.DUMMYFUNCTION("IFERROR(
    INDEX(FILTER('Arrived Shipments'!O:O, 'Arrived Shipments'!B:B=$B858),1),
    IFERROR(
        INDEX(FILTER('POed not arrived'!D:D, 'POed not arrived'!A:A=$B858),1),
        """"
    )
)"),"")</f>
        <v/>
      </c>
      <c r="M858" s="202"/>
      <c r="N858" s="223" t="str">
        <f>IFERROR(__xludf.DUMMYFUNCTION("IFERROR(
    INDEX(FILTER('Arrived Shipments'!O:O, 'Arrived Shipments'!B:B=$B858),2),
    IFERROR(
        INDEX(FILTER('POed not arrived'!D:D, 'POed not arrived'!A:A=$B858),2),
        """"
    )
)"),"")</f>
        <v/>
      </c>
      <c r="O858" s="202"/>
      <c r="P858" s="202" t="str">
        <f>IFERROR(__xludf.DUMMYFUNCTION("IFERROR(
    INDEX(FILTER('Arrived Shipments'!O:O, 'Arrived Shipments'!B:B=$B858),3),
    IFERROR(
        INDEX(FILTER('POed not arrived'!D:D, 'POed not arrived'!A:A=$B858),3),
        """"
    )
)"),"")</f>
        <v/>
      </c>
      <c r="Q858" s="202"/>
      <c r="R858" s="206" t="str">
        <f>IFERROR(__xludf.DUMMYFUNCTION("IFERROR(
    INDEX(FILTER('Arrived Shipments'!O:O, 'Arrived Shipments'!B:B=$B858),4),
    IFERROR(
        INDEX(FILTER('POed not arrived'!D:D, 'POed not arrived'!A:A=$B858),4),
        """"
    )
)"),"")</f>
        <v/>
      </c>
      <c r="S858" s="202"/>
      <c r="T858" s="202">
        <f t="shared" si="8"/>
        <v>0</v>
      </c>
      <c r="U858" s="198"/>
      <c r="V858" s="199"/>
      <c r="W858" s="197"/>
      <c r="X858" s="197"/>
      <c r="Y858" s="199"/>
      <c r="Z858" s="199"/>
      <c r="AA858" s="204" t="str">
        <f t="shared" si="4"/>
        <v/>
      </c>
      <c r="AB858" s="198"/>
      <c r="AC858" s="199"/>
      <c r="AD858" s="199"/>
      <c r="AE858" s="199"/>
      <c r="AF858" s="199"/>
      <c r="AG858" s="199"/>
      <c r="AH858" s="199"/>
      <c r="AI858" s="199"/>
      <c r="AJ858" s="199"/>
      <c r="AK858" s="199"/>
      <c r="AL858" s="199"/>
      <c r="AM858" s="198"/>
      <c r="AN858" s="197"/>
      <c r="AO858" s="197"/>
      <c r="AP858" s="197"/>
      <c r="AQ858" s="197"/>
      <c r="AR858" s="197"/>
      <c r="AS858" s="197"/>
    </row>
    <row r="859">
      <c r="A859" s="198"/>
      <c r="B859" s="205"/>
      <c r="C859" s="198"/>
      <c r="D859" s="199"/>
      <c r="E859" s="213"/>
      <c r="F859" s="198"/>
      <c r="G859" s="198"/>
      <c r="H859" s="199"/>
      <c r="I859" s="207"/>
      <c r="J859" s="199"/>
      <c r="K859" s="202"/>
      <c r="L859" s="205" t="str">
        <f>IFERROR(__xludf.DUMMYFUNCTION("IFERROR(
    INDEX(FILTER('Arrived Shipments'!O:O, 'Arrived Shipments'!B:B=$B859),1),
    IFERROR(
        INDEX(FILTER('POed not arrived'!D:D, 'POed not arrived'!A:A=$B859),1),
        """"
    )
)"),"")</f>
        <v/>
      </c>
      <c r="M859" s="202"/>
      <c r="N859" s="223" t="str">
        <f>IFERROR(__xludf.DUMMYFUNCTION("IFERROR(
    INDEX(FILTER('Arrived Shipments'!O:O, 'Arrived Shipments'!B:B=$B859),2),
    IFERROR(
        INDEX(FILTER('POed not arrived'!D:D, 'POed not arrived'!A:A=$B859),2),
        """"
    )
)"),"")</f>
        <v/>
      </c>
      <c r="O859" s="202"/>
      <c r="P859" s="202" t="str">
        <f>IFERROR(__xludf.DUMMYFUNCTION("IFERROR(
    INDEX(FILTER('Arrived Shipments'!O:O, 'Arrived Shipments'!B:B=$B859),3),
    IFERROR(
        INDEX(FILTER('POed not arrived'!D:D, 'POed not arrived'!A:A=$B859),3),
        """"
    )
)"),"")</f>
        <v/>
      </c>
      <c r="Q859" s="202"/>
      <c r="R859" s="206" t="str">
        <f>IFERROR(__xludf.DUMMYFUNCTION("IFERROR(
    INDEX(FILTER('Arrived Shipments'!O:O, 'Arrived Shipments'!B:B=$B859),4),
    IFERROR(
        INDEX(FILTER('POed not arrived'!D:D, 'POed not arrived'!A:A=$B859),4),
        """"
    )
)"),"")</f>
        <v/>
      </c>
      <c r="S859" s="202"/>
      <c r="T859" s="202">
        <f t="shared" si="8"/>
        <v>0</v>
      </c>
      <c r="U859" s="198"/>
      <c r="V859" s="199"/>
      <c r="W859" s="197"/>
      <c r="X859" s="197"/>
      <c r="Y859" s="199"/>
      <c r="Z859" s="199"/>
      <c r="AA859" s="204" t="str">
        <f t="shared" si="4"/>
        <v/>
      </c>
      <c r="AB859" s="198"/>
      <c r="AC859" s="199"/>
      <c r="AD859" s="199"/>
      <c r="AE859" s="199"/>
      <c r="AF859" s="199"/>
      <c r="AG859" s="199"/>
      <c r="AH859" s="199"/>
      <c r="AI859" s="199"/>
      <c r="AJ859" s="199"/>
      <c r="AK859" s="199"/>
      <c r="AL859" s="199"/>
      <c r="AM859" s="198"/>
      <c r="AN859" s="197"/>
      <c r="AO859" s="197"/>
      <c r="AP859" s="197"/>
      <c r="AQ859" s="197"/>
      <c r="AR859" s="197"/>
      <c r="AS859" s="197"/>
    </row>
    <row r="860">
      <c r="A860" s="198"/>
      <c r="B860" s="205"/>
      <c r="C860" s="198"/>
      <c r="D860" s="199"/>
      <c r="E860" s="213"/>
      <c r="F860" s="198"/>
      <c r="G860" s="198"/>
      <c r="H860" s="199"/>
      <c r="I860" s="207"/>
      <c r="J860" s="199"/>
      <c r="K860" s="202"/>
      <c r="L860" s="205" t="str">
        <f>IFERROR(__xludf.DUMMYFUNCTION("IFERROR(
    INDEX(FILTER('Arrived Shipments'!O:O, 'Arrived Shipments'!B:B=$B860),1),
    IFERROR(
        INDEX(FILTER('POed not arrived'!D:D, 'POed not arrived'!A:A=$B860),1),
        """"
    )
)"),"")</f>
        <v/>
      </c>
      <c r="M860" s="202"/>
      <c r="N860" s="223" t="str">
        <f>IFERROR(__xludf.DUMMYFUNCTION("IFERROR(
    INDEX(FILTER('Arrived Shipments'!O:O, 'Arrived Shipments'!B:B=$B860),2),
    IFERROR(
        INDEX(FILTER('POed not arrived'!D:D, 'POed not arrived'!A:A=$B860),2),
        """"
    )
)"),"")</f>
        <v/>
      </c>
      <c r="O860" s="202"/>
      <c r="P860" s="202" t="str">
        <f>IFERROR(__xludf.DUMMYFUNCTION("IFERROR(
    INDEX(FILTER('Arrived Shipments'!O:O, 'Arrived Shipments'!B:B=$B860),3),
    IFERROR(
        INDEX(FILTER('POed not arrived'!D:D, 'POed not arrived'!A:A=$B860),3),
        """"
    )
)"),"")</f>
        <v/>
      </c>
      <c r="Q860" s="202"/>
      <c r="R860" s="206" t="str">
        <f>IFERROR(__xludf.DUMMYFUNCTION("IFERROR(
    INDEX(FILTER('Arrived Shipments'!O:O, 'Arrived Shipments'!B:B=$B860),4),
    IFERROR(
        INDEX(FILTER('POed not arrived'!D:D, 'POed not arrived'!A:A=$B860),4),
        """"
    )
)"),"")</f>
        <v/>
      </c>
      <c r="S860" s="202"/>
      <c r="T860" s="202">
        <f t="shared" si="8"/>
        <v>0</v>
      </c>
      <c r="U860" s="198"/>
      <c r="V860" s="199"/>
      <c r="W860" s="197"/>
      <c r="X860" s="197"/>
      <c r="Y860" s="199"/>
      <c r="Z860" s="199"/>
      <c r="AA860" s="204" t="str">
        <f t="shared" si="4"/>
        <v/>
      </c>
      <c r="AB860" s="198"/>
      <c r="AC860" s="199"/>
      <c r="AD860" s="199"/>
      <c r="AE860" s="199"/>
      <c r="AF860" s="199"/>
      <c r="AG860" s="199"/>
      <c r="AH860" s="199"/>
      <c r="AI860" s="199"/>
      <c r="AJ860" s="199"/>
      <c r="AK860" s="199"/>
      <c r="AL860" s="199"/>
      <c r="AM860" s="198"/>
      <c r="AN860" s="197"/>
      <c r="AO860" s="197"/>
      <c r="AP860" s="197"/>
      <c r="AQ860" s="197"/>
      <c r="AR860" s="197"/>
      <c r="AS860" s="197"/>
    </row>
    <row r="861">
      <c r="A861" s="198"/>
      <c r="B861" s="205"/>
      <c r="C861" s="198"/>
      <c r="D861" s="199"/>
      <c r="E861" s="213"/>
      <c r="F861" s="198"/>
      <c r="G861" s="198"/>
      <c r="H861" s="199"/>
      <c r="I861" s="207"/>
      <c r="J861" s="199"/>
      <c r="K861" s="202"/>
      <c r="L861" s="205" t="str">
        <f>IFERROR(__xludf.DUMMYFUNCTION("IFERROR(
    INDEX(FILTER('Arrived Shipments'!O:O, 'Arrived Shipments'!B:B=$B861),1),
    IFERROR(
        INDEX(FILTER('POed not arrived'!D:D, 'POed not arrived'!A:A=$B861),1),
        """"
    )
)"),"")</f>
        <v/>
      </c>
      <c r="M861" s="202"/>
      <c r="N861" s="223" t="str">
        <f>IFERROR(__xludf.DUMMYFUNCTION("IFERROR(
    INDEX(FILTER('Arrived Shipments'!O:O, 'Arrived Shipments'!B:B=$B861),2),
    IFERROR(
        INDEX(FILTER('POed not arrived'!D:D, 'POed not arrived'!A:A=$B861),2),
        """"
    )
)"),"")</f>
        <v/>
      </c>
      <c r="O861" s="202"/>
      <c r="P861" s="202" t="str">
        <f>IFERROR(__xludf.DUMMYFUNCTION("IFERROR(
    INDEX(FILTER('Arrived Shipments'!O:O, 'Arrived Shipments'!B:B=$B861),3),
    IFERROR(
        INDEX(FILTER('POed not arrived'!D:D, 'POed not arrived'!A:A=$B861),3),
        """"
    )
)"),"")</f>
        <v/>
      </c>
      <c r="Q861" s="202"/>
      <c r="R861" s="206" t="str">
        <f>IFERROR(__xludf.DUMMYFUNCTION("IFERROR(
    INDEX(FILTER('Arrived Shipments'!O:O, 'Arrived Shipments'!B:B=$B861),4),
    IFERROR(
        INDEX(FILTER('POed not arrived'!D:D, 'POed not arrived'!A:A=$B861),4),
        """"
    )
)"),"")</f>
        <v/>
      </c>
      <c r="S861" s="202"/>
      <c r="T861" s="202">
        <f t="shared" si="8"/>
        <v>0</v>
      </c>
      <c r="U861" s="198"/>
      <c r="V861" s="199"/>
      <c r="W861" s="197"/>
      <c r="X861" s="197"/>
      <c r="Y861" s="199"/>
      <c r="Z861" s="199"/>
      <c r="AA861" s="204" t="str">
        <f t="shared" si="4"/>
        <v/>
      </c>
      <c r="AB861" s="198"/>
      <c r="AC861" s="199"/>
      <c r="AD861" s="199"/>
      <c r="AE861" s="199"/>
      <c r="AF861" s="199"/>
      <c r="AG861" s="199"/>
      <c r="AH861" s="199"/>
      <c r="AI861" s="199"/>
      <c r="AJ861" s="199"/>
      <c r="AK861" s="199"/>
      <c r="AL861" s="199"/>
      <c r="AM861" s="198"/>
      <c r="AN861" s="197"/>
      <c r="AO861" s="197"/>
      <c r="AP861" s="197"/>
      <c r="AQ861" s="197"/>
      <c r="AR861" s="197"/>
      <c r="AS861" s="197"/>
    </row>
    <row r="862">
      <c r="A862" s="198"/>
      <c r="B862" s="205"/>
      <c r="C862" s="198"/>
      <c r="D862" s="199"/>
      <c r="E862" s="213"/>
      <c r="F862" s="198"/>
      <c r="G862" s="198"/>
      <c r="H862" s="199"/>
      <c r="I862" s="207"/>
      <c r="J862" s="199"/>
      <c r="K862" s="202"/>
      <c r="L862" s="205" t="str">
        <f>IFERROR(__xludf.DUMMYFUNCTION("IFERROR(
    INDEX(FILTER('Arrived Shipments'!O:O, 'Arrived Shipments'!B:B=$B862),1),
    IFERROR(
        INDEX(FILTER('POed not arrived'!D:D, 'POed not arrived'!A:A=$B862),1),
        """"
    )
)"),"")</f>
        <v/>
      </c>
      <c r="M862" s="202"/>
      <c r="N862" s="223" t="str">
        <f>IFERROR(__xludf.DUMMYFUNCTION("IFERROR(
    INDEX(FILTER('Arrived Shipments'!O:O, 'Arrived Shipments'!B:B=$B862),2),
    IFERROR(
        INDEX(FILTER('POed not arrived'!D:D, 'POed not arrived'!A:A=$B862),2),
        """"
    )
)"),"")</f>
        <v/>
      </c>
      <c r="O862" s="202"/>
      <c r="P862" s="202" t="str">
        <f>IFERROR(__xludf.DUMMYFUNCTION("IFERROR(
    INDEX(FILTER('Arrived Shipments'!O:O, 'Arrived Shipments'!B:B=$B862),3),
    IFERROR(
        INDEX(FILTER('POed not arrived'!D:D, 'POed not arrived'!A:A=$B862),3),
        """"
    )
)"),"")</f>
        <v/>
      </c>
      <c r="Q862" s="202"/>
      <c r="R862" s="206" t="str">
        <f>IFERROR(__xludf.DUMMYFUNCTION("IFERROR(
    INDEX(FILTER('Arrived Shipments'!O:O, 'Arrived Shipments'!B:B=$B862),4),
    IFERROR(
        INDEX(FILTER('POed not arrived'!D:D, 'POed not arrived'!A:A=$B862),4),
        """"
    )
)"),"")</f>
        <v/>
      </c>
      <c r="S862" s="202"/>
      <c r="T862" s="202">
        <f t="shared" si="8"/>
        <v>0</v>
      </c>
      <c r="U862" s="198"/>
      <c r="V862" s="199"/>
      <c r="W862" s="197"/>
      <c r="X862" s="197"/>
      <c r="Y862" s="199"/>
      <c r="Z862" s="199"/>
      <c r="AA862" s="204" t="str">
        <f t="shared" si="4"/>
        <v/>
      </c>
      <c r="AB862" s="198"/>
      <c r="AC862" s="199"/>
      <c r="AD862" s="199"/>
      <c r="AE862" s="199"/>
      <c r="AF862" s="199"/>
      <c r="AG862" s="199"/>
      <c r="AH862" s="199"/>
      <c r="AI862" s="199"/>
      <c r="AJ862" s="199"/>
      <c r="AK862" s="199"/>
      <c r="AL862" s="199"/>
      <c r="AM862" s="198"/>
      <c r="AN862" s="197"/>
      <c r="AO862" s="197"/>
      <c r="AP862" s="197"/>
      <c r="AQ862" s="197"/>
      <c r="AR862" s="197"/>
      <c r="AS862" s="197"/>
    </row>
    <row r="863">
      <c r="A863" s="198"/>
      <c r="B863" s="205"/>
      <c r="C863" s="198"/>
      <c r="D863" s="199"/>
      <c r="E863" s="213"/>
      <c r="F863" s="198"/>
      <c r="G863" s="198"/>
      <c r="H863" s="199"/>
      <c r="I863" s="207"/>
      <c r="J863" s="199"/>
      <c r="K863" s="202"/>
      <c r="L863" s="205" t="str">
        <f>IFERROR(__xludf.DUMMYFUNCTION("IFERROR(
    INDEX(FILTER('Arrived Shipments'!O:O, 'Arrived Shipments'!B:B=$B863),1),
    IFERROR(
        INDEX(FILTER('POed not arrived'!D:D, 'POed not arrived'!A:A=$B863),1),
        """"
    )
)"),"")</f>
        <v/>
      </c>
      <c r="M863" s="202"/>
      <c r="N863" s="223" t="str">
        <f>IFERROR(__xludf.DUMMYFUNCTION("IFERROR(
    INDEX(FILTER('Arrived Shipments'!O:O, 'Arrived Shipments'!B:B=$B863),2),
    IFERROR(
        INDEX(FILTER('POed not arrived'!D:D, 'POed not arrived'!A:A=$B863),2),
        """"
    )
)"),"")</f>
        <v/>
      </c>
      <c r="O863" s="202"/>
      <c r="P863" s="202" t="str">
        <f>IFERROR(__xludf.DUMMYFUNCTION("IFERROR(
    INDEX(FILTER('Arrived Shipments'!O:O, 'Arrived Shipments'!B:B=$B863),3),
    IFERROR(
        INDEX(FILTER('POed not arrived'!D:D, 'POed not arrived'!A:A=$B863),3),
        """"
    )
)"),"")</f>
        <v/>
      </c>
      <c r="Q863" s="202"/>
      <c r="R863" s="206" t="str">
        <f>IFERROR(__xludf.DUMMYFUNCTION("IFERROR(
    INDEX(FILTER('Arrived Shipments'!O:O, 'Arrived Shipments'!B:B=$B863),4),
    IFERROR(
        INDEX(FILTER('POed not arrived'!D:D, 'POed not arrived'!A:A=$B863),4),
        """"
    )
)"),"")</f>
        <v/>
      </c>
      <c r="S863" s="202"/>
      <c r="T863" s="202">
        <f t="shared" si="8"/>
        <v>0</v>
      </c>
      <c r="U863" s="198"/>
      <c r="V863" s="199"/>
      <c r="W863" s="197"/>
      <c r="X863" s="197"/>
      <c r="Y863" s="199"/>
      <c r="Z863" s="199"/>
      <c r="AA863" s="204" t="str">
        <f t="shared" si="4"/>
        <v/>
      </c>
      <c r="AB863" s="198"/>
      <c r="AC863" s="199"/>
      <c r="AD863" s="199"/>
      <c r="AE863" s="199"/>
      <c r="AF863" s="199"/>
      <c r="AG863" s="199"/>
      <c r="AH863" s="199"/>
      <c r="AI863" s="199"/>
      <c r="AJ863" s="199"/>
      <c r="AK863" s="199"/>
      <c r="AL863" s="199"/>
      <c r="AM863" s="198"/>
      <c r="AN863" s="197"/>
      <c r="AO863" s="197"/>
      <c r="AP863" s="197"/>
      <c r="AQ863" s="197"/>
      <c r="AR863" s="197"/>
      <c r="AS863" s="197"/>
    </row>
    <row r="864">
      <c r="A864" s="198"/>
      <c r="B864" s="205"/>
      <c r="C864" s="198"/>
      <c r="D864" s="199"/>
      <c r="E864" s="213"/>
      <c r="F864" s="198"/>
      <c r="G864" s="198"/>
      <c r="H864" s="199"/>
      <c r="I864" s="207"/>
      <c r="J864" s="199"/>
      <c r="K864" s="202"/>
      <c r="L864" s="205" t="str">
        <f>IFERROR(__xludf.DUMMYFUNCTION("IFERROR(
    INDEX(FILTER('Arrived Shipments'!O:O, 'Arrived Shipments'!B:B=$B864),1),
    IFERROR(
        INDEX(FILTER('POed not arrived'!D:D, 'POed not arrived'!A:A=$B864),1),
        """"
    )
)"),"")</f>
        <v/>
      </c>
      <c r="M864" s="202"/>
      <c r="N864" s="223" t="str">
        <f>IFERROR(__xludf.DUMMYFUNCTION("IFERROR(
    INDEX(FILTER('Arrived Shipments'!O:O, 'Arrived Shipments'!B:B=$B864),2),
    IFERROR(
        INDEX(FILTER('POed not arrived'!D:D, 'POed not arrived'!A:A=$B864),2),
        """"
    )
)"),"")</f>
        <v/>
      </c>
      <c r="O864" s="202"/>
      <c r="P864" s="202" t="str">
        <f>IFERROR(__xludf.DUMMYFUNCTION("IFERROR(
    INDEX(FILTER('Arrived Shipments'!O:O, 'Arrived Shipments'!B:B=$B864),3),
    IFERROR(
        INDEX(FILTER('POed not arrived'!D:D, 'POed not arrived'!A:A=$B864),3),
        """"
    )
)"),"")</f>
        <v/>
      </c>
      <c r="Q864" s="202"/>
      <c r="R864" s="206" t="str">
        <f>IFERROR(__xludf.DUMMYFUNCTION("IFERROR(
    INDEX(FILTER('Arrived Shipments'!O:O, 'Arrived Shipments'!B:B=$B864),4),
    IFERROR(
        INDEX(FILTER('POed not arrived'!D:D, 'POed not arrived'!A:A=$B864),4),
        """"
    )
)"),"")</f>
        <v/>
      </c>
      <c r="S864" s="202"/>
      <c r="T864" s="202">
        <f t="shared" si="8"/>
        <v>0</v>
      </c>
      <c r="U864" s="198"/>
      <c r="V864" s="199"/>
      <c r="W864" s="197"/>
      <c r="X864" s="197"/>
      <c r="Y864" s="199"/>
      <c r="Z864" s="199"/>
      <c r="AA864" s="204" t="str">
        <f t="shared" si="4"/>
        <v/>
      </c>
      <c r="AB864" s="198"/>
      <c r="AC864" s="199"/>
      <c r="AD864" s="199"/>
      <c r="AE864" s="199"/>
      <c r="AF864" s="199"/>
      <c r="AG864" s="199"/>
      <c r="AH864" s="199"/>
      <c r="AI864" s="199"/>
      <c r="AJ864" s="199"/>
      <c r="AK864" s="199"/>
      <c r="AL864" s="199"/>
      <c r="AM864" s="198"/>
      <c r="AN864" s="197"/>
      <c r="AO864" s="197"/>
      <c r="AP864" s="197"/>
      <c r="AQ864" s="197"/>
      <c r="AR864" s="197"/>
      <c r="AS864" s="197"/>
    </row>
    <row r="865">
      <c r="A865" s="198"/>
      <c r="B865" s="205"/>
      <c r="C865" s="198"/>
      <c r="D865" s="199"/>
      <c r="E865" s="213"/>
      <c r="F865" s="198"/>
      <c r="G865" s="198"/>
      <c r="H865" s="199"/>
      <c r="I865" s="207"/>
      <c r="J865" s="199"/>
      <c r="K865" s="202"/>
      <c r="L865" s="205" t="str">
        <f>IFERROR(__xludf.DUMMYFUNCTION("IFERROR(
    INDEX(FILTER('Arrived Shipments'!O:O, 'Arrived Shipments'!B:B=$B865),1),
    IFERROR(
        INDEX(FILTER('POed not arrived'!D:D, 'POed not arrived'!A:A=$B865),1),
        """"
    )
)"),"")</f>
        <v/>
      </c>
      <c r="M865" s="202"/>
      <c r="N865" s="223" t="str">
        <f>IFERROR(__xludf.DUMMYFUNCTION("IFERROR(
    INDEX(FILTER('Arrived Shipments'!O:O, 'Arrived Shipments'!B:B=$B865),2),
    IFERROR(
        INDEX(FILTER('POed not arrived'!D:D, 'POed not arrived'!A:A=$B865),2),
        """"
    )
)"),"")</f>
        <v/>
      </c>
      <c r="O865" s="202"/>
      <c r="P865" s="202" t="str">
        <f>IFERROR(__xludf.DUMMYFUNCTION("IFERROR(
    INDEX(FILTER('Arrived Shipments'!O:O, 'Arrived Shipments'!B:B=$B865),3),
    IFERROR(
        INDEX(FILTER('POed not arrived'!D:D, 'POed not arrived'!A:A=$B865),3),
        """"
    )
)"),"")</f>
        <v/>
      </c>
      <c r="Q865" s="202"/>
      <c r="R865" s="206" t="str">
        <f>IFERROR(__xludf.DUMMYFUNCTION("IFERROR(
    INDEX(FILTER('Arrived Shipments'!O:O, 'Arrived Shipments'!B:B=$B865),4),
    IFERROR(
        INDEX(FILTER('POed not arrived'!D:D, 'POed not arrived'!A:A=$B865),4),
        """"
    )
)"),"")</f>
        <v/>
      </c>
      <c r="S865" s="202"/>
      <c r="T865" s="202">
        <f t="shared" si="8"/>
        <v>0</v>
      </c>
      <c r="U865" s="198"/>
      <c r="V865" s="199"/>
      <c r="W865" s="197"/>
      <c r="X865" s="197"/>
      <c r="Y865" s="199"/>
      <c r="Z865" s="199"/>
      <c r="AA865" s="204" t="str">
        <f t="shared" si="4"/>
        <v/>
      </c>
      <c r="AB865" s="198"/>
      <c r="AC865" s="199"/>
      <c r="AD865" s="199"/>
      <c r="AE865" s="199"/>
      <c r="AF865" s="199"/>
      <c r="AG865" s="199"/>
      <c r="AH865" s="199"/>
      <c r="AI865" s="199"/>
      <c r="AJ865" s="199"/>
      <c r="AK865" s="199"/>
      <c r="AL865" s="199"/>
      <c r="AM865" s="198"/>
      <c r="AN865" s="197"/>
      <c r="AO865" s="197"/>
      <c r="AP865" s="197"/>
      <c r="AQ865" s="197"/>
      <c r="AR865" s="197"/>
      <c r="AS865" s="197"/>
    </row>
    <row r="866">
      <c r="A866" s="198"/>
      <c r="B866" s="205"/>
      <c r="C866" s="198"/>
      <c r="D866" s="199"/>
      <c r="E866" s="213"/>
      <c r="F866" s="198"/>
      <c r="G866" s="198"/>
      <c r="H866" s="199"/>
      <c r="I866" s="207"/>
      <c r="J866" s="199"/>
      <c r="K866" s="202"/>
      <c r="L866" s="205" t="str">
        <f>IFERROR(__xludf.DUMMYFUNCTION("IFERROR(
    INDEX(FILTER('Arrived Shipments'!O:O, 'Arrived Shipments'!B:B=$B866),1),
    IFERROR(
        INDEX(FILTER('POed not arrived'!D:D, 'POed not arrived'!A:A=$B866),1),
        """"
    )
)"),"")</f>
        <v/>
      </c>
      <c r="M866" s="202"/>
      <c r="N866" s="223" t="str">
        <f>IFERROR(__xludf.DUMMYFUNCTION("IFERROR(
    INDEX(FILTER('Arrived Shipments'!O:O, 'Arrived Shipments'!B:B=$B866),2),
    IFERROR(
        INDEX(FILTER('POed not arrived'!D:D, 'POed not arrived'!A:A=$B866),2),
        """"
    )
)"),"")</f>
        <v/>
      </c>
      <c r="O866" s="202"/>
      <c r="P866" s="202" t="str">
        <f>IFERROR(__xludf.DUMMYFUNCTION("IFERROR(
    INDEX(FILTER('Arrived Shipments'!O:O, 'Arrived Shipments'!B:B=$B866),3),
    IFERROR(
        INDEX(FILTER('POed not arrived'!D:D, 'POed not arrived'!A:A=$B866),3),
        """"
    )
)"),"")</f>
        <v/>
      </c>
      <c r="Q866" s="202"/>
      <c r="R866" s="206" t="str">
        <f>IFERROR(__xludf.DUMMYFUNCTION("IFERROR(
    INDEX(FILTER('Arrived Shipments'!O:O, 'Arrived Shipments'!B:B=$B866),4),
    IFERROR(
        INDEX(FILTER('POed not arrived'!D:D, 'POed not arrived'!A:A=$B866),4),
        """"
    )
)"),"")</f>
        <v/>
      </c>
      <c r="S866" s="202"/>
      <c r="T866" s="202">
        <f t="shared" si="8"/>
        <v>0</v>
      </c>
      <c r="U866" s="198"/>
      <c r="V866" s="199"/>
      <c r="W866" s="197"/>
      <c r="X866" s="197"/>
      <c r="Y866" s="199"/>
      <c r="Z866" s="199"/>
      <c r="AA866" s="204" t="str">
        <f t="shared" si="4"/>
        <v/>
      </c>
      <c r="AB866" s="198"/>
      <c r="AC866" s="199"/>
      <c r="AD866" s="199"/>
      <c r="AE866" s="199"/>
      <c r="AF866" s="199"/>
      <c r="AG866" s="199"/>
      <c r="AH866" s="199"/>
      <c r="AI866" s="199"/>
      <c r="AJ866" s="199"/>
      <c r="AK866" s="199"/>
      <c r="AL866" s="199"/>
      <c r="AM866" s="198"/>
      <c r="AN866" s="197"/>
      <c r="AO866" s="197"/>
      <c r="AP866" s="197"/>
      <c r="AQ866" s="197"/>
      <c r="AR866" s="197"/>
      <c r="AS866" s="197"/>
    </row>
    <row r="867">
      <c r="A867" s="198"/>
      <c r="B867" s="205"/>
      <c r="C867" s="198"/>
      <c r="D867" s="199"/>
      <c r="E867" s="213"/>
      <c r="F867" s="198"/>
      <c r="G867" s="198"/>
      <c r="H867" s="199"/>
      <c r="I867" s="207"/>
      <c r="J867" s="199"/>
      <c r="K867" s="202"/>
      <c r="L867" s="205" t="str">
        <f>IFERROR(__xludf.DUMMYFUNCTION("IFERROR(
    INDEX(FILTER('Arrived Shipments'!O:O, 'Arrived Shipments'!B:B=$B867),1),
    IFERROR(
        INDEX(FILTER('POed not arrived'!D:D, 'POed not arrived'!A:A=$B867),1),
        """"
    )
)"),"")</f>
        <v/>
      </c>
      <c r="M867" s="202"/>
      <c r="N867" s="223" t="str">
        <f>IFERROR(__xludf.DUMMYFUNCTION("IFERROR(
    INDEX(FILTER('Arrived Shipments'!O:O, 'Arrived Shipments'!B:B=$B867),2),
    IFERROR(
        INDEX(FILTER('POed not arrived'!D:D, 'POed not arrived'!A:A=$B867),2),
        """"
    )
)"),"")</f>
        <v/>
      </c>
      <c r="O867" s="202"/>
      <c r="P867" s="202" t="str">
        <f>IFERROR(__xludf.DUMMYFUNCTION("IFERROR(
    INDEX(FILTER('Arrived Shipments'!O:O, 'Arrived Shipments'!B:B=$B867),3),
    IFERROR(
        INDEX(FILTER('POed not arrived'!D:D, 'POed not arrived'!A:A=$B867),3),
        """"
    )
)"),"")</f>
        <v/>
      </c>
      <c r="Q867" s="202"/>
      <c r="R867" s="206" t="str">
        <f>IFERROR(__xludf.DUMMYFUNCTION("IFERROR(
    INDEX(FILTER('Arrived Shipments'!O:O, 'Arrived Shipments'!B:B=$B867),4),
    IFERROR(
        INDEX(FILTER('POed not arrived'!D:D, 'POed not arrived'!A:A=$B867),4),
        """"
    )
)"),"")</f>
        <v/>
      </c>
      <c r="S867" s="202"/>
      <c r="T867" s="202">
        <f t="shared" si="8"/>
        <v>0</v>
      </c>
      <c r="U867" s="198"/>
      <c r="V867" s="199"/>
      <c r="W867" s="197"/>
      <c r="X867" s="197"/>
      <c r="Y867" s="199"/>
      <c r="Z867" s="199"/>
      <c r="AA867" s="204" t="str">
        <f t="shared" si="4"/>
        <v/>
      </c>
      <c r="AB867" s="198"/>
      <c r="AC867" s="199"/>
      <c r="AD867" s="199"/>
      <c r="AE867" s="199"/>
      <c r="AF867" s="199"/>
      <c r="AG867" s="199"/>
      <c r="AH867" s="199"/>
      <c r="AI867" s="199"/>
      <c r="AJ867" s="199"/>
      <c r="AK867" s="199"/>
      <c r="AL867" s="199"/>
      <c r="AM867" s="198"/>
      <c r="AN867" s="197"/>
      <c r="AO867" s="197"/>
      <c r="AP867" s="197"/>
      <c r="AQ867" s="197"/>
      <c r="AR867" s="197"/>
      <c r="AS867" s="197"/>
    </row>
    <row r="868">
      <c r="A868" s="198"/>
      <c r="B868" s="205"/>
      <c r="C868" s="198"/>
      <c r="D868" s="199"/>
      <c r="E868" s="213"/>
      <c r="F868" s="198"/>
      <c r="G868" s="198"/>
      <c r="H868" s="199"/>
      <c r="I868" s="207"/>
      <c r="J868" s="199"/>
      <c r="K868" s="202"/>
      <c r="L868" s="205" t="str">
        <f>IFERROR(__xludf.DUMMYFUNCTION("IFERROR(
    INDEX(FILTER('Arrived Shipments'!O:O, 'Arrived Shipments'!B:B=$B868),1),
    IFERROR(
        INDEX(FILTER('POed not arrived'!D:D, 'POed not arrived'!A:A=$B868),1),
        """"
    )
)"),"")</f>
        <v/>
      </c>
      <c r="M868" s="202"/>
      <c r="N868" s="223" t="str">
        <f>IFERROR(__xludf.DUMMYFUNCTION("IFERROR(
    INDEX(FILTER('Arrived Shipments'!O:O, 'Arrived Shipments'!B:B=$B868),2),
    IFERROR(
        INDEX(FILTER('POed not arrived'!D:D, 'POed not arrived'!A:A=$B868),2),
        """"
    )
)"),"")</f>
        <v/>
      </c>
      <c r="O868" s="202"/>
      <c r="P868" s="202" t="str">
        <f>IFERROR(__xludf.DUMMYFUNCTION("IFERROR(
    INDEX(FILTER('Arrived Shipments'!O:O, 'Arrived Shipments'!B:B=$B868),3),
    IFERROR(
        INDEX(FILTER('POed not arrived'!D:D, 'POed not arrived'!A:A=$B868),3),
        """"
    )
)"),"")</f>
        <v/>
      </c>
      <c r="Q868" s="202"/>
      <c r="R868" s="206" t="str">
        <f>IFERROR(__xludf.DUMMYFUNCTION("IFERROR(
    INDEX(FILTER('Arrived Shipments'!O:O, 'Arrived Shipments'!B:B=$B868),4),
    IFERROR(
        INDEX(FILTER('POed not arrived'!D:D, 'POed not arrived'!A:A=$B868),4),
        """"
    )
)"),"")</f>
        <v/>
      </c>
      <c r="S868" s="202"/>
      <c r="T868" s="202">
        <f t="shared" si="8"/>
        <v>0</v>
      </c>
      <c r="U868" s="198"/>
      <c r="V868" s="199"/>
      <c r="W868" s="197"/>
      <c r="X868" s="197"/>
      <c r="Y868" s="199"/>
      <c r="Z868" s="199"/>
      <c r="AA868" s="204" t="str">
        <f t="shared" si="4"/>
        <v/>
      </c>
      <c r="AB868" s="198"/>
      <c r="AC868" s="199"/>
      <c r="AD868" s="199"/>
      <c r="AE868" s="199"/>
      <c r="AF868" s="199"/>
      <c r="AG868" s="199"/>
      <c r="AH868" s="199"/>
      <c r="AI868" s="199"/>
      <c r="AJ868" s="199"/>
      <c r="AK868" s="199"/>
      <c r="AL868" s="199"/>
      <c r="AM868" s="198"/>
      <c r="AN868" s="197"/>
      <c r="AO868" s="197"/>
      <c r="AP868" s="197"/>
      <c r="AQ868" s="197"/>
      <c r="AR868" s="197"/>
      <c r="AS868" s="197"/>
    </row>
    <row r="869">
      <c r="A869" s="198"/>
      <c r="B869" s="205"/>
      <c r="C869" s="198"/>
      <c r="D869" s="199"/>
      <c r="E869" s="213"/>
      <c r="F869" s="198"/>
      <c r="G869" s="198"/>
      <c r="H869" s="199"/>
      <c r="I869" s="207"/>
      <c r="J869" s="199"/>
      <c r="K869" s="202"/>
      <c r="L869" s="205" t="str">
        <f>IFERROR(__xludf.DUMMYFUNCTION("IFERROR(
    INDEX(FILTER('Arrived Shipments'!O:O, 'Arrived Shipments'!B:B=$B869),1),
    IFERROR(
        INDEX(FILTER('POed not arrived'!D:D, 'POed not arrived'!A:A=$B869),1),
        """"
    )
)"),"")</f>
        <v/>
      </c>
      <c r="M869" s="202"/>
      <c r="N869" s="223" t="str">
        <f>IFERROR(__xludf.DUMMYFUNCTION("IFERROR(
    INDEX(FILTER('Arrived Shipments'!O:O, 'Arrived Shipments'!B:B=$B869),2),
    IFERROR(
        INDEX(FILTER('POed not arrived'!D:D, 'POed not arrived'!A:A=$B869),2),
        """"
    )
)"),"")</f>
        <v/>
      </c>
      <c r="O869" s="202"/>
      <c r="P869" s="202" t="str">
        <f>IFERROR(__xludf.DUMMYFUNCTION("IFERROR(
    INDEX(FILTER('Arrived Shipments'!O:O, 'Arrived Shipments'!B:B=$B869),3),
    IFERROR(
        INDEX(FILTER('POed not arrived'!D:D, 'POed not arrived'!A:A=$B869),3),
        """"
    )
)"),"")</f>
        <v/>
      </c>
      <c r="Q869" s="202"/>
      <c r="R869" s="206" t="str">
        <f>IFERROR(__xludf.DUMMYFUNCTION("IFERROR(
    INDEX(FILTER('Arrived Shipments'!O:O, 'Arrived Shipments'!B:B=$B869),4),
    IFERROR(
        INDEX(FILTER('POed not arrived'!D:D, 'POed not arrived'!A:A=$B869),4),
        """"
    )
)"),"")</f>
        <v/>
      </c>
      <c r="S869" s="202"/>
      <c r="T869" s="202">
        <f t="shared" si="8"/>
        <v>0</v>
      </c>
      <c r="U869" s="198"/>
      <c r="V869" s="199"/>
      <c r="W869" s="197"/>
      <c r="X869" s="197"/>
      <c r="Y869" s="199"/>
      <c r="Z869" s="199"/>
      <c r="AA869" s="204" t="str">
        <f t="shared" si="4"/>
        <v/>
      </c>
      <c r="AB869" s="198"/>
      <c r="AC869" s="199"/>
      <c r="AD869" s="199"/>
      <c r="AE869" s="199"/>
      <c r="AF869" s="199"/>
      <c r="AG869" s="199"/>
      <c r="AH869" s="199"/>
      <c r="AI869" s="199"/>
      <c r="AJ869" s="199"/>
      <c r="AK869" s="199"/>
      <c r="AL869" s="199"/>
      <c r="AM869" s="198"/>
      <c r="AN869" s="197"/>
      <c r="AO869" s="197"/>
      <c r="AP869" s="197"/>
      <c r="AQ869" s="197"/>
      <c r="AR869" s="197"/>
      <c r="AS869" s="197"/>
    </row>
    <row r="870">
      <c r="A870" s="198"/>
      <c r="B870" s="205"/>
      <c r="C870" s="198"/>
      <c r="D870" s="199"/>
      <c r="E870" s="213"/>
      <c r="F870" s="198"/>
      <c r="G870" s="198"/>
      <c r="H870" s="199"/>
      <c r="I870" s="207"/>
      <c r="J870" s="199"/>
      <c r="K870" s="202"/>
      <c r="L870" s="205" t="str">
        <f>IFERROR(__xludf.DUMMYFUNCTION("IFERROR(
    INDEX(FILTER('Arrived Shipments'!O:O, 'Arrived Shipments'!B:B=$B870),1),
    IFERROR(
        INDEX(FILTER('POed not arrived'!D:D, 'POed not arrived'!A:A=$B870),1),
        """"
    )
)"),"")</f>
        <v/>
      </c>
      <c r="M870" s="202"/>
      <c r="N870" s="223" t="str">
        <f>IFERROR(__xludf.DUMMYFUNCTION("IFERROR(
    INDEX(FILTER('Arrived Shipments'!O:O, 'Arrived Shipments'!B:B=$B870),2),
    IFERROR(
        INDEX(FILTER('POed not arrived'!D:D, 'POed not arrived'!A:A=$B870),2),
        """"
    )
)"),"")</f>
        <v/>
      </c>
      <c r="O870" s="202"/>
      <c r="P870" s="202" t="str">
        <f>IFERROR(__xludf.DUMMYFUNCTION("IFERROR(
    INDEX(FILTER('Arrived Shipments'!O:O, 'Arrived Shipments'!B:B=$B870),3),
    IFERROR(
        INDEX(FILTER('POed not arrived'!D:D, 'POed not arrived'!A:A=$B870),3),
        """"
    )
)"),"")</f>
        <v/>
      </c>
      <c r="Q870" s="202"/>
      <c r="R870" s="206" t="str">
        <f>IFERROR(__xludf.DUMMYFUNCTION("IFERROR(
    INDEX(FILTER('Arrived Shipments'!O:O, 'Arrived Shipments'!B:B=$B870),4),
    IFERROR(
        INDEX(FILTER('POed not arrived'!D:D, 'POed not arrived'!A:A=$B870),4),
        """"
    )
)"),"")</f>
        <v/>
      </c>
      <c r="S870" s="202"/>
      <c r="T870" s="202">
        <f t="shared" si="8"/>
        <v>0</v>
      </c>
      <c r="U870" s="198"/>
      <c r="V870" s="199"/>
      <c r="W870" s="197"/>
      <c r="X870" s="197"/>
      <c r="Y870" s="199"/>
      <c r="Z870" s="199"/>
      <c r="AA870" s="204" t="str">
        <f t="shared" si="4"/>
        <v/>
      </c>
      <c r="AB870" s="198"/>
      <c r="AC870" s="199"/>
      <c r="AD870" s="199"/>
      <c r="AE870" s="199"/>
      <c r="AF870" s="199"/>
      <c r="AG870" s="199"/>
      <c r="AH870" s="199"/>
      <c r="AI870" s="199"/>
      <c r="AJ870" s="199"/>
      <c r="AK870" s="199"/>
      <c r="AL870" s="199"/>
      <c r="AM870" s="198"/>
      <c r="AN870" s="197"/>
      <c r="AO870" s="197"/>
      <c r="AP870" s="197"/>
      <c r="AQ870" s="197"/>
      <c r="AR870" s="197"/>
      <c r="AS870" s="197"/>
    </row>
    <row r="871">
      <c r="A871" s="198"/>
      <c r="B871" s="205"/>
      <c r="C871" s="198"/>
      <c r="D871" s="199"/>
      <c r="E871" s="213"/>
      <c r="F871" s="198"/>
      <c r="G871" s="198"/>
      <c r="H871" s="199"/>
      <c r="I871" s="207"/>
      <c r="J871" s="199"/>
      <c r="K871" s="202"/>
      <c r="L871" s="205" t="str">
        <f>IFERROR(__xludf.DUMMYFUNCTION("IFERROR(
    INDEX(FILTER('Arrived Shipments'!O:O, 'Arrived Shipments'!B:B=$B871),1),
    IFERROR(
        INDEX(FILTER('POed not arrived'!D:D, 'POed not arrived'!A:A=$B871),1),
        """"
    )
)"),"")</f>
        <v/>
      </c>
      <c r="M871" s="202"/>
      <c r="N871" s="223" t="str">
        <f>IFERROR(__xludf.DUMMYFUNCTION("IFERROR(
    INDEX(FILTER('Arrived Shipments'!O:O, 'Arrived Shipments'!B:B=$B871),2),
    IFERROR(
        INDEX(FILTER('POed not arrived'!D:D, 'POed not arrived'!A:A=$B871),2),
        """"
    )
)"),"")</f>
        <v/>
      </c>
      <c r="O871" s="202"/>
      <c r="P871" s="202" t="str">
        <f>IFERROR(__xludf.DUMMYFUNCTION("IFERROR(
    INDEX(FILTER('Arrived Shipments'!O:O, 'Arrived Shipments'!B:B=$B871),3),
    IFERROR(
        INDEX(FILTER('POed not arrived'!D:D, 'POed not arrived'!A:A=$B871),3),
        """"
    )
)"),"")</f>
        <v/>
      </c>
      <c r="Q871" s="202"/>
      <c r="R871" s="206" t="str">
        <f>IFERROR(__xludf.DUMMYFUNCTION("IFERROR(
    INDEX(FILTER('Arrived Shipments'!O:O, 'Arrived Shipments'!B:B=$B871),4),
    IFERROR(
        INDEX(FILTER('POed not arrived'!D:D, 'POed not arrived'!A:A=$B871),4),
        """"
    )
)"),"")</f>
        <v/>
      </c>
      <c r="S871" s="202"/>
      <c r="T871" s="202">
        <f t="shared" si="8"/>
        <v>0</v>
      </c>
      <c r="U871" s="198"/>
      <c r="V871" s="199"/>
      <c r="W871" s="197"/>
      <c r="X871" s="197"/>
      <c r="Y871" s="199"/>
      <c r="Z871" s="199"/>
      <c r="AA871" s="204" t="str">
        <f t="shared" si="4"/>
        <v/>
      </c>
      <c r="AB871" s="198"/>
      <c r="AC871" s="199"/>
      <c r="AD871" s="199"/>
      <c r="AE871" s="199"/>
      <c r="AF871" s="199"/>
      <c r="AG871" s="199"/>
      <c r="AH871" s="199"/>
      <c r="AI871" s="199"/>
      <c r="AJ871" s="199"/>
      <c r="AK871" s="199"/>
      <c r="AL871" s="199"/>
      <c r="AM871" s="198"/>
      <c r="AN871" s="197"/>
      <c r="AO871" s="197"/>
      <c r="AP871" s="197"/>
      <c r="AQ871" s="197"/>
      <c r="AR871" s="197"/>
      <c r="AS871" s="197"/>
    </row>
    <row r="872">
      <c r="A872" s="198"/>
      <c r="B872" s="205"/>
      <c r="C872" s="198"/>
      <c r="D872" s="199"/>
      <c r="E872" s="213"/>
      <c r="F872" s="198"/>
      <c r="G872" s="198"/>
      <c r="H872" s="199"/>
      <c r="I872" s="207"/>
      <c r="J872" s="199"/>
      <c r="K872" s="202"/>
      <c r="L872" s="205" t="str">
        <f>IFERROR(__xludf.DUMMYFUNCTION("IFERROR(
    INDEX(FILTER('Arrived Shipments'!O:O, 'Arrived Shipments'!B:B=$B872),1),
    IFERROR(
        INDEX(FILTER('POed not arrived'!D:D, 'POed not arrived'!A:A=$B872),1),
        """"
    )
)"),"")</f>
        <v/>
      </c>
      <c r="M872" s="202"/>
      <c r="N872" s="223" t="str">
        <f>IFERROR(__xludf.DUMMYFUNCTION("IFERROR(
    INDEX(FILTER('Arrived Shipments'!O:O, 'Arrived Shipments'!B:B=$B872),2),
    IFERROR(
        INDEX(FILTER('POed not arrived'!D:D, 'POed not arrived'!A:A=$B872),2),
        """"
    )
)"),"")</f>
        <v/>
      </c>
      <c r="O872" s="202"/>
      <c r="P872" s="202" t="str">
        <f>IFERROR(__xludf.DUMMYFUNCTION("IFERROR(
    INDEX(FILTER('Arrived Shipments'!O:O, 'Arrived Shipments'!B:B=$B872),3),
    IFERROR(
        INDEX(FILTER('POed not arrived'!D:D, 'POed not arrived'!A:A=$B872),3),
        """"
    )
)"),"")</f>
        <v/>
      </c>
      <c r="Q872" s="202"/>
      <c r="R872" s="206" t="str">
        <f>IFERROR(__xludf.DUMMYFUNCTION("IFERROR(
    INDEX(FILTER('Arrived Shipments'!O:O, 'Arrived Shipments'!B:B=$B872),4),
    IFERROR(
        INDEX(FILTER('POed not arrived'!D:D, 'POed not arrived'!A:A=$B872),4),
        """"
    )
)"),"")</f>
        <v/>
      </c>
      <c r="S872" s="202"/>
      <c r="T872" s="202">
        <f t="shared" si="8"/>
        <v>0</v>
      </c>
      <c r="U872" s="198"/>
      <c r="V872" s="199"/>
      <c r="W872" s="197"/>
      <c r="X872" s="197"/>
      <c r="Y872" s="199"/>
      <c r="Z872" s="199"/>
      <c r="AA872" s="204" t="str">
        <f t="shared" si="4"/>
        <v/>
      </c>
      <c r="AB872" s="198"/>
      <c r="AC872" s="199"/>
      <c r="AD872" s="199"/>
      <c r="AE872" s="199"/>
      <c r="AF872" s="199"/>
      <c r="AG872" s="199"/>
      <c r="AH872" s="199"/>
      <c r="AI872" s="199"/>
      <c r="AJ872" s="199"/>
      <c r="AK872" s="199"/>
      <c r="AL872" s="199"/>
      <c r="AM872" s="198"/>
      <c r="AN872" s="197"/>
      <c r="AO872" s="197"/>
      <c r="AP872" s="197"/>
      <c r="AQ872" s="197"/>
      <c r="AR872" s="197"/>
      <c r="AS872" s="197"/>
    </row>
    <row r="873">
      <c r="A873" s="198"/>
      <c r="B873" s="205"/>
      <c r="C873" s="198"/>
      <c r="D873" s="199"/>
      <c r="E873" s="213"/>
      <c r="F873" s="198"/>
      <c r="G873" s="198"/>
      <c r="H873" s="199"/>
      <c r="I873" s="207"/>
      <c r="J873" s="199"/>
      <c r="K873" s="202"/>
      <c r="L873" s="205" t="str">
        <f>IFERROR(__xludf.DUMMYFUNCTION("IFERROR(
    INDEX(FILTER('Arrived Shipments'!O:O, 'Arrived Shipments'!B:B=$B873),1),
    IFERROR(
        INDEX(FILTER('POed not arrived'!D:D, 'POed not arrived'!A:A=$B873),1),
        """"
    )
)"),"")</f>
        <v/>
      </c>
      <c r="M873" s="202"/>
      <c r="N873" s="223" t="str">
        <f>IFERROR(__xludf.DUMMYFUNCTION("IFERROR(
    INDEX(FILTER('Arrived Shipments'!O:O, 'Arrived Shipments'!B:B=$B873),2),
    IFERROR(
        INDEX(FILTER('POed not arrived'!D:D, 'POed not arrived'!A:A=$B873),2),
        """"
    )
)"),"")</f>
        <v/>
      </c>
      <c r="O873" s="202"/>
      <c r="P873" s="202" t="str">
        <f>IFERROR(__xludf.DUMMYFUNCTION("IFERROR(
    INDEX(FILTER('Arrived Shipments'!O:O, 'Arrived Shipments'!B:B=$B873),3),
    IFERROR(
        INDEX(FILTER('POed not arrived'!D:D, 'POed not arrived'!A:A=$B873),3),
        """"
    )
)"),"")</f>
        <v/>
      </c>
      <c r="Q873" s="202"/>
      <c r="R873" s="206" t="str">
        <f>IFERROR(__xludf.DUMMYFUNCTION("IFERROR(
    INDEX(FILTER('Arrived Shipments'!O:O, 'Arrived Shipments'!B:B=$B873),4),
    IFERROR(
        INDEX(FILTER('POed not arrived'!D:D, 'POed not arrived'!A:A=$B873),4),
        """"
    )
)"),"")</f>
        <v/>
      </c>
      <c r="S873" s="202"/>
      <c r="T873" s="202">
        <f t="shared" si="8"/>
        <v>0</v>
      </c>
      <c r="U873" s="198"/>
      <c r="V873" s="199"/>
      <c r="W873" s="197"/>
      <c r="X873" s="197"/>
      <c r="Y873" s="199"/>
      <c r="Z873" s="199"/>
      <c r="AA873" s="204" t="str">
        <f t="shared" si="4"/>
        <v/>
      </c>
      <c r="AB873" s="198"/>
      <c r="AC873" s="199"/>
      <c r="AD873" s="199"/>
      <c r="AE873" s="199"/>
      <c r="AF873" s="199"/>
      <c r="AG873" s="199"/>
      <c r="AH873" s="199"/>
      <c r="AI873" s="199"/>
      <c r="AJ873" s="199"/>
      <c r="AK873" s="199"/>
      <c r="AL873" s="199"/>
      <c r="AM873" s="198"/>
      <c r="AN873" s="197"/>
      <c r="AO873" s="197"/>
      <c r="AP873" s="197"/>
      <c r="AQ873" s="197"/>
      <c r="AR873" s="197"/>
      <c r="AS873" s="197"/>
    </row>
    <row r="874">
      <c r="A874" s="198"/>
      <c r="B874" s="205"/>
      <c r="C874" s="198"/>
      <c r="D874" s="199"/>
      <c r="E874" s="213"/>
      <c r="F874" s="198"/>
      <c r="G874" s="198"/>
      <c r="H874" s="199"/>
      <c r="I874" s="207"/>
      <c r="J874" s="199"/>
      <c r="K874" s="202"/>
      <c r="L874" s="205" t="str">
        <f>IFERROR(__xludf.DUMMYFUNCTION("IFERROR(
    INDEX(FILTER('Arrived Shipments'!O:O, 'Arrived Shipments'!B:B=$B874),1),
    IFERROR(
        INDEX(FILTER('POed not arrived'!D:D, 'POed not arrived'!A:A=$B874),1),
        """"
    )
)"),"")</f>
        <v/>
      </c>
      <c r="M874" s="202"/>
      <c r="N874" s="223" t="str">
        <f>IFERROR(__xludf.DUMMYFUNCTION("IFERROR(
    INDEX(FILTER('Arrived Shipments'!O:O, 'Arrived Shipments'!B:B=$B874),2),
    IFERROR(
        INDEX(FILTER('POed not arrived'!D:D, 'POed not arrived'!A:A=$B874),2),
        """"
    )
)"),"")</f>
        <v/>
      </c>
      <c r="O874" s="202"/>
      <c r="P874" s="202" t="str">
        <f>IFERROR(__xludf.DUMMYFUNCTION("IFERROR(
    INDEX(FILTER('Arrived Shipments'!O:O, 'Arrived Shipments'!B:B=$B874),3),
    IFERROR(
        INDEX(FILTER('POed not arrived'!D:D, 'POed not arrived'!A:A=$B874),3),
        """"
    )
)"),"")</f>
        <v/>
      </c>
      <c r="Q874" s="202"/>
      <c r="R874" s="206" t="str">
        <f>IFERROR(__xludf.DUMMYFUNCTION("IFERROR(
    INDEX(FILTER('Arrived Shipments'!O:O, 'Arrived Shipments'!B:B=$B874),4),
    IFERROR(
        INDEX(FILTER('POed not arrived'!D:D, 'POed not arrived'!A:A=$B874),4),
        """"
    )
)"),"")</f>
        <v/>
      </c>
      <c r="S874" s="202"/>
      <c r="T874" s="202">
        <f t="shared" si="8"/>
        <v>0</v>
      </c>
      <c r="U874" s="198"/>
      <c r="V874" s="199"/>
      <c r="W874" s="197"/>
      <c r="X874" s="197"/>
      <c r="Y874" s="199"/>
      <c r="Z874" s="199"/>
      <c r="AA874" s="204" t="str">
        <f t="shared" si="4"/>
        <v/>
      </c>
      <c r="AB874" s="198"/>
      <c r="AC874" s="199"/>
      <c r="AD874" s="199"/>
      <c r="AE874" s="199"/>
      <c r="AF874" s="199"/>
      <c r="AG874" s="199"/>
      <c r="AH874" s="199"/>
      <c r="AI874" s="199"/>
      <c r="AJ874" s="199"/>
      <c r="AK874" s="199"/>
      <c r="AL874" s="199"/>
      <c r="AM874" s="198"/>
      <c r="AN874" s="197"/>
      <c r="AO874" s="197"/>
      <c r="AP874" s="197"/>
      <c r="AQ874" s="197"/>
      <c r="AR874" s="197"/>
      <c r="AS874" s="197"/>
    </row>
    <row r="875">
      <c r="A875" s="198"/>
      <c r="B875" s="197"/>
      <c r="C875" s="197"/>
      <c r="D875" s="197"/>
      <c r="E875" s="197"/>
      <c r="F875" s="197"/>
      <c r="G875" s="197"/>
      <c r="H875" s="197"/>
      <c r="I875" s="197"/>
      <c r="J875" s="197"/>
      <c r="K875" s="197"/>
      <c r="L875" s="205" t="str">
        <f>IFERROR(__xludf.DUMMYFUNCTION("IFERROR(
    INDEX(FILTER('Arrived Shipments'!O:O, 'Arrived Shipments'!B:B=$B875),1),
    IFERROR(
        INDEX(FILTER('POed not arrived'!D:D, 'POed not arrived'!A:A=$B875),1),
        """"
    )
)"),"")</f>
        <v/>
      </c>
      <c r="M875" s="197"/>
      <c r="N875" s="223" t="str">
        <f>IFERROR(__xludf.DUMMYFUNCTION("IFERROR(
    INDEX(FILTER('Arrived Shipments'!O:O, 'Arrived Shipments'!B:B=$B875),2),
    IFERROR(
        INDEX(FILTER('POed not arrived'!D:D, 'POed not arrived'!A:A=$B875),2),
        """"
    )
)"),"")</f>
        <v/>
      </c>
      <c r="O875" s="197"/>
      <c r="P875" s="202" t="str">
        <f>IFERROR(__xludf.DUMMYFUNCTION("IFERROR(
    INDEX(FILTER('Arrived Shipments'!O:O, 'Arrived Shipments'!B:B=$B875),3),
    IFERROR(
        INDEX(FILTER('POed not arrived'!D:D, 'POed not arrived'!A:A=$B875),3),
        """"
    )
)"),"")</f>
        <v/>
      </c>
      <c r="Q875" s="197"/>
      <c r="R875" s="206" t="str">
        <f>IFERROR(__xludf.DUMMYFUNCTION("IFERROR(
    INDEX(FILTER('Arrived Shipments'!O:O, 'Arrived Shipments'!B:B=$B875),4),
    IFERROR(
        INDEX(FILTER('POed not arrived'!D:D, 'POed not arrived'!A:A=$B875),4),
        """"
    )
)"),"")</f>
        <v/>
      </c>
      <c r="S875" s="197"/>
      <c r="T875" s="202">
        <f t="shared" si="8"/>
        <v>0</v>
      </c>
      <c r="U875" s="197"/>
      <c r="V875" s="197"/>
      <c r="W875" s="197"/>
      <c r="X875" s="197"/>
      <c r="Y875" s="197"/>
      <c r="Z875" s="197"/>
      <c r="AA875" s="204" t="str">
        <f t="shared" si="4"/>
        <v/>
      </c>
      <c r="AB875" s="197"/>
      <c r="AC875" s="197"/>
      <c r="AD875" s="197"/>
      <c r="AE875" s="197"/>
      <c r="AF875" s="197"/>
      <c r="AG875" s="197"/>
      <c r="AH875" s="197"/>
      <c r="AI875" s="197"/>
      <c r="AJ875" s="197"/>
      <c r="AK875" s="197"/>
      <c r="AL875" s="197"/>
      <c r="AM875" s="197"/>
      <c r="AN875" s="197"/>
      <c r="AO875" s="197"/>
      <c r="AP875" s="197"/>
      <c r="AQ875" s="197"/>
      <c r="AR875" s="197"/>
      <c r="AS875" s="197"/>
    </row>
    <row r="876">
      <c r="A876" s="198"/>
      <c r="B876" s="197"/>
      <c r="C876" s="197"/>
      <c r="D876" s="197"/>
      <c r="E876" s="197"/>
      <c r="F876" s="197"/>
      <c r="G876" s="197"/>
      <c r="H876" s="197"/>
      <c r="I876" s="197"/>
      <c r="J876" s="197"/>
      <c r="K876" s="197"/>
      <c r="L876" s="205" t="str">
        <f>IFERROR(__xludf.DUMMYFUNCTION("IFERROR(
    INDEX(FILTER('Arrived Shipments'!O:O, 'Arrived Shipments'!B:B=$B876),1),
    IFERROR(
        INDEX(FILTER('POed not arrived'!D:D, 'POed not arrived'!A:A=$B876),1),
        """"
    )
)"),"")</f>
        <v/>
      </c>
      <c r="M876" s="197"/>
      <c r="N876" s="223" t="str">
        <f>IFERROR(__xludf.DUMMYFUNCTION("IFERROR(
    INDEX(FILTER('Arrived Shipments'!O:O, 'Arrived Shipments'!B:B=$B876),2),
    IFERROR(
        INDEX(FILTER('POed not arrived'!D:D, 'POed not arrived'!A:A=$B876),2),
        """"
    )
)"),"")</f>
        <v/>
      </c>
      <c r="O876" s="197"/>
      <c r="P876" s="202" t="str">
        <f>IFERROR(__xludf.DUMMYFUNCTION("IFERROR(
    INDEX(FILTER('Arrived Shipments'!O:O, 'Arrived Shipments'!B:B=$B876),3),
    IFERROR(
        INDEX(FILTER('POed not arrived'!D:D, 'POed not arrived'!A:A=$B876),3),
        """"
    )
)"),"")</f>
        <v/>
      </c>
      <c r="Q876" s="197"/>
      <c r="R876" s="206" t="str">
        <f>IFERROR(__xludf.DUMMYFUNCTION("IFERROR(
    INDEX(FILTER('Arrived Shipments'!O:O, 'Arrived Shipments'!B:B=$B876),4),
    IFERROR(
        INDEX(FILTER('POed not arrived'!D:D, 'POed not arrived'!A:A=$B876),4),
        """"
    )
)"),"")</f>
        <v/>
      </c>
      <c r="S876" s="197"/>
      <c r="T876" s="202">
        <f t="shared" si="8"/>
        <v>0</v>
      </c>
      <c r="U876" s="197"/>
      <c r="V876" s="197"/>
      <c r="W876" s="197"/>
      <c r="X876" s="197"/>
      <c r="Y876" s="197"/>
      <c r="Z876" s="197"/>
      <c r="AA876" s="204" t="str">
        <f t="shared" si="4"/>
        <v/>
      </c>
      <c r="AB876" s="197"/>
      <c r="AC876" s="197"/>
      <c r="AD876" s="197"/>
      <c r="AE876" s="197"/>
      <c r="AF876" s="197"/>
      <c r="AG876" s="197"/>
      <c r="AH876" s="197"/>
      <c r="AI876" s="197"/>
      <c r="AJ876" s="197"/>
      <c r="AK876" s="197"/>
      <c r="AL876" s="197"/>
      <c r="AM876" s="197"/>
      <c r="AN876" s="197"/>
      <c r="AO876" s="197"/>
      <c r="AP876" s="197"/>
      <c r="AQ876" s="197"/>
      <c r="AR876" s="197"/>
      <c r="AS876" s="197"/>
    </row>
    <row r="877">
      <c r="A877" s="198"/>
      <c r="B877" s="197"/>
      <c r="C877" s="197"/>
      <c r="D877" s="197"/>
      <c r="E877" s="197"/>
      <c r="F877" s="197"/>
      <c r="G877" s="197"/>
      <c r="H877" s="197"/>
      <c r="I877" s="197"/>
      <c r="J877" s="197"/>
      <c r="K877" s="197"/>
      <c r="L877" s="205" t="str">
        <f>IFERROR(__xludf.DUMMYFUNCTION("IFERROR(
    INDEX(FILTER('Arrived Shipments'!O:O, 'Arrived Shipments'!B:B=$B877),1),
    IFERROR(
        INDEX(FILTER('POed not arrived'!D:D, 'POed not arrived'!A:A=$B877),1),
        """"
    )
)"),"")</f>
        <v/>
      </c>
      <c r="M877" s="197"/>
      <c r="N877" s="223" t="str">
        <f>IFERROR(__xludf.DUMMYFUNCTION("IFERROR(
    INDEX(FILTER('Arrived Shipments'!O:O, 'Arrived Shipments'!B:B=$B877),2),
    IFERROR(
        INDEX(FILTER('POed not arrived'!D:D, 'POed not arrived'!A:A=$B877),2),
        """"
    )
)"),"")</f>
        <v/>
      </c>
      <c r="O877" s="197"/>
      <c r="P877" s="202" t="str">
        <f>IFERROR(__xludf.DUMMYFUNCTION("IFERROR(
    INDEX(FILTER('Arrived Shipments'!O:O, 'Arrived Shipments'!B:B=$B877),3),
    IFERROR(
        INDEX(FILTER('POed not arrived'!D:D, 'POed not arrived'!A:A=$B877),3),
        """"
    )
)"),"")</f>
        <v/>
      </c>
      <c r="Q877" s="197"/>
      <c r="R877" s="206" t="str">
        <f>IFERROR(__xludf.DUMMYFUNCTION("IFERROR(
    INDEX(FILTER('Arrived Shipments'!O:O, 'Arrived Shipments'!B:B=$B877),4),
    IFERROR(
        INDEX(FILTER('POed not arrived'!D:D, 'POed not arrived'!A:A=$B877),4),
        """"
    )
)"),"")</f>
        <v/>
      </c>
      <c r="S877" s="197"/>
      <c r="T877" s="202">
        <f t="shared" si="8"/>
        <v>0</v>
      </c>
      <c r="U877" s="197"/>
      <c r="V877" s="197"/>
      <c r="W877" s="197"/>
      <c r="X877" s="197"/>
      <c r="Y877" s="197"/>
      <c r="Z877" s="197"/>
      <c r="AA877" s="204" t="str">
        <f t="shared" si="4"/>
        <v/>
      </c>
      <c r="AB877" s="197"/>
      <c r="AC877" s="197"/>
      <c r="AD877" s="197"/>
      <c r="AE877" s="197"/>
      <c r="AF877" s="197"/>
      <c r="AG877" s="197"/>
      <c r="AH877" s="197"/>
      <c r="AI877" s="197"/>
      <c r="AJ877" s="197"/>
      <c r="AK877" s="197"/>
      <c r="AL877" s="197"/>
      <c r="AM877" s="197"/>
      <c r="AN877" s="197"/>
      <c r="AO877" s="197"/>
      <c r="AP877" s="197"/>
      <c r="AQ877" s="197"/>
      <c r="AR877" s="197"/>
      <c r="AS877" s="197"/>
    </row>
    <row r="878">
      <c r="A878" s="198"/>
      <c r="B878" s="197"/>
      <c r="C878" s="197"/>
      <c r="D878" s="197"/>
      <c r="E878" s="197"/>
      <c r="F878" s="197"/>
      <c r="G878" s="197"/>
      <c r="H878" s="197"/>
      <c r="I878" s="197"/>
      <c r="J878" s="197"/>
      <c r="K878" s="197"/>
      <c r="L878" s="205" t="str">
        <f>IFERROR(__xludf.DUMMYFUNCTION("IFERROR(
    INDEX(FILTER('Arrived Shipments'!O:O, 'Arrived Shipments'!B:B=$B878),1),
    IFERROR(
        INDEX(FILTER('POed not arrived'!D:D, 'POed not arrived'!A:A=$B878),1),
        """"
    )
)"),"")</f>
        <v/>
      </c>
      <c r="M878" s="197"/>
      <c r="N878" s="223" t="str">
        <f>IFERROR(__xludf.DUMMYFUNCTION("IFERROR(
    INDEX(FILTER('Arrived Shipments'!O:O, 'Arrived Shipments'!B:B=$B878),2),
    IFERROR(
        INDEX(FILTER('POed not arrived'!D:D, 'POed not arrived'!A:A=$B878),2),
        """"
    )
)"),"")</f>
        <v/>
      </c>
      <c r="O878" s="197"/>
      <c r="P878" s="202" t="str">
        <f>IFERROR(__xludf.DUMMYFUNCTION("IFERROR(
    INDEX(FILTER('Arrived Shipments'!O:O, 'Arrived Shipments'!B:B=$B878),3),
    IFERROR(
        INDEX(FILTER('POed not arrived'!D:D, 'POed not arrived'!A:A=$B878),3),
        """"
    )
)"),"")</f>
        <v/>
      </c>
      <c r="Q878" s="197"/>
      <c r="R878" s="206" t="str">
        <f>IFERROR(__xludf.DUMMYFUNCTION("IFERROR(
    INDEX(FILTER('Arrived Shipments'!O:O, 'Arrived Shipments'!B:B=$B878),4),
    IFERROR(
        INDEX(FILTER('POed not arrived'!D:D, 'POed not arrived'!A:A=$B878),4),
        """"
    )
)"),"")</f>
        <v/>
      </c>
      <c r="S878" s="197"/>
      <c r="T878" s="202">
        <f t="shared" si="8"/>
        <v>0</v>
      </c>
      <c r="U878" s="197"/>
      <c r="V878" s="197"/>
      <c r="W878" s="197"/>
      <c r="X878" s="197"/>
      <c r="Y878" s="197"/>
      <c r="Z878" s="197"/>
      <c r="AA878" s="204" t="str">
        <f t="shared" si="4"/>
        <v/>
      </c>
      <c r="AB878" s="197"/>
      <c r="AC878" s="197"/>
      <c r="AD878" s="197"/>
      <c r="AE878" s="197"/>
      <c r="AF878" s="197"/>
      <c r="AG878" s="197"/>
      <c r="AH878" s="197"/>
      <c r="AI878" s="197"/>
      <c r="AJ878" s="197"/>
      <c r="AK878" s="197"/>
      <c r="AL878" s="197"/>
      <c r="AM878" s="197"/>
      <c r="AN878" s="197"/>
      <c r="AO878" s="197"/>
      <c r="AP878" s="197"/>
      <c r="AQ878" s="197"/>
      <c r="AR878" s="197"/>
      <c r="AS878" s="197"/>
    </row>
    <row r="879">
      <c r="A879" s="198"/>
      <c r="B879" s="197"/>
      <c r="C879" s="197"/>
      <c r="D879" s="197"/>
      <c r="E879" s="197"/>
      <c r="F879" s="197"/>
      <c r="G879" s="197"/>
      <c r="H879" s="197"/>
      <c r="I879" s="197"/>
      <c r="J879" s="197"/>
      <c r="K879" s="197"/>
      <c r="L879" s="205" t="str">
        <f>IFERROR(__xludf.DUMMYFUNCTION("IFERROR(
    INDEX(FILTER('Arrived Shipments'!O:O, 'Arrived Shipments'!B:B=$B879),1),
    IFERROR(
        INDEX(FILTER('POed not arrived'!D:D, 'POed not arrived'!A:A=$B879),1),
        """"
    )
)"),"")</f>
        <v/>
      </c>
      <c r="M879" s="197"/>
      <c r="N879" s="223" t="str">
        <f>IFERROR(__xludf.DUMMYFUNCTION("IFERROR(
    INDEX(FILTER('Arrived Shipments'!O:O, 'Arrived Shipments'!B:B=$B879),2),
    IFERROR(
        INDEX(FILTER('POed not arrived'!D:D, 'POed not arrived'!A:A=$B879),2),
        """"
    )
)"),"")</f>
        <v/>
      </c>
      <c r="O879" s="197"/>
      <c r="P879" s="202" t="str">
        <f>IFERROR(__xludf.DUMMYFUNCTION("IFERROR(
    INDEX(FILTER('Arrived Shipments'!O:O, 'Arrived Shipments'!B:B=$B879),3),
    IFERROR(
        INDEX(FILTER('POed not arrived'!D:D, 'POed not arrived'!A:A=$B879),3),
        """"
    )
)"),"")</f>
        <v/>
      </c>
      <c r="Q879" s="197"/>
      <c r="R879" s="206" t="str">
        <f>IFERROR(__xludf.DUMMYFUNCTION("IFERROR(
    INDEX(FILTER('Arrived Shipments'!O:O, 'Arrived Shipments'!B:B=$B879),4),
    IFERROR(
        INDEX(FILTER('POed not arrived'!D:D, 'POed not arrived'!A:A=$B879),4),
        """"
    )
)"),"")</f>
        <v/>
      </c>
      <c r="S879" s="197"/>
      <c r="T879" s="202">
        <f t="shared" si="8"/>
        <v>0</v>
      </c>
      <c r="U879" s="197"/>
      <c r="V879" s="197"/>
      <c r="W879" s="197"/>
      <c r="X879" s="197"/>
      <c r="Y879" s="197"/>
      <c r="Z879" s="197"/>
      <c r="AA879" s="204" t="str">
        <f t="shared" si="4"/>
        <v/>
      </c>
      <c r="AB879" s="197"/>
      <c r="AC879" s="197"/>
      <c r="AD879" s="197"/>
      <c r="AE879" s="197"/>
      <c r="AF879" s="197"/>
      <c r="AG879" s="197"/>
      <c r="AH879" s="197"/>
      <c r="AI879" s="197"/>
      <c r="AJ879" s="197"/>
      <c r="AK879" s="197"/>
      <c r="AL879" s="197"/>
      <c r="AM879" s="197"/>
      <c r="AN879" s="197"/>
      <c r="AO879" s="197"/>
      <c r="AP879" s="197"/>
      <c r="AQ879" s="197"/>
      <c r="AR879" s="197"/>
      <c r="AS879" s="197"/>
    </row>
    <row r="880">
      <c r="A880" s="198"/>
      <c r="B880" s="197"/>
      <c r="C880" s="197"/>
      <c r="D880" s="197"/>
      <c r="E880" s="197"/>
      <c r="F880" s="197"/>
      <c r="G880" s="197"/>
      <c r="H880" s="197"/>
      <c r="I880" s="197"/>
      <c r="J880" s="197"/>
      <c r="K880" s="197"/>
      <c r="L880" s="205" t="str">
        <f>IFERROR(__xludf.DUMMYFUNCTION("IFERROR(
    INDEX(FILTER('Arrived Shipments'!O:O, 'Arrived Shipments'!B:B=$B880),1),
    IFERROR(
        INDEX(FILTER('POed not arrived'!D:D, 'POed not arrived'!A:A=$B880),1),
        """"
    )
)"),"")</f>
        <v/>
      </c>
      <c r="M880" s="197"/>
      <c r="N880" s="223" t="str">
        <f>IFERROR(__xludf.DUMMYFUNCTION("IFERROR(
    INDEX(FILTER('Arrived Shipments'!O:O, 'Arrived Shipments'!B:B=$B880),2),
    IFERROR(
        INDEX(FILTER('POed not arrived'!D:D, 'POed not arrived'!A:A=$B880),2),
        """"
    )
)"),"")</f>
        <v/>
      </c>
      <c r="O880" s="197"/>
      <c r="P880" s="202" t="str">
        <f>IFERROR(__xludf.DUMMYFUNCTION("IFERROR(
    INDEX(FILTER('Arrived Shipments'!O:O, 'Arrived Shipments'!B:B=$B880),3),
    IFERROR(
        INDEX(FILTER('POed not arrived'!D:D, 'POed not arrived'!A:A=$B880),3),
        """"
    )
)"),"")</f>
        <v/>
      </c>
      <c r="Q880" s="197"/>
      <c r="R880" s="206" t="str">
        <f>IFERROR(__xludf.DUMMYFUNCTION("IFERROR(
    INDEX(FILTER('Arrived Shipments'!O:O, 'Arrived Shipments'!B:B=$B880),4),
    IFERROR(
        INDEX(FILTER('POed not arrived'!D:D, 'POed not arrived'!A:A=$B880),4),
        """"
    )
)"),"")</f>
        <v/>
      </c>
      <c r="S880" s="197"/>
      <c r="T880" s="202">
        <f t="shared" si="8"/>
        <v>0</v>
      </c>
      <c r="U880" s="197"/>
      <c r="V880" s="197"/>
      <c r="W880" s="197"/>
      <c r="X880" s="197"/>
      <c r="Y880" s="197"/>
      <c r="Z880" s="197"/>
      <c r="AA880" s="204" t="str">
        <f t="shared" si="4"/>
        <v/>
      </c>
      <c r="AB880" s="197"/>
      <c r="AC880" s="197"/>
      <c r="AD880" s="197"/>
      <c r="AE880" s="197"/>
      <c r="AF880" s="197"/>
      <c r="AG880" s="197"/>
      <c r="AH880" s="197"/>
      <c r="AI880" s="197"/>
      <c r="AJ880" s="197"/>
      <c r="AK880" s="197"/>
      <c r="AL880" s="197"/>
      <c r="AM880" s="197"/>
      <c r="AN880" s="197"/>
      <c r="AO880" s="197"/>
      <c r="AP880" s="197"/>
      <c r="AQ880" s="197"/>
      <c r="AR880" s="197"/>
      <c r="AS880" s="197"/>
    </row>
    <row r="881">
      <c r="A881" s="198"/>
      <c r="B881" s="197"/>
      <c r="C881" s="197"/>
      <c r="D881" s="197"/>
      <c r="E881" s="197"/>
      <c r="F881" s="197"/>
      <c r="G881" s="197"/>
      <c r="H881" s="197"/>
      <c r="I881" s="197"/>
      <c r="J881" s="197"/>
      <c r="K881" s="197"/>
      <c r="L881" s="205" t="str">
        <f>IFERROR(__xludf.DUMMYFUNCTION("IFERROR(
    INDEX(FILTER('Arrived Shipments'!O:O, 'Arrived Shipments'!B:B=$B881),1),
    IFERROR(
        INDEX(FILTER('POed not arrived'!D:D, 'POed not arrived'!A:A=$B881),1),
        """"
    )
)"),"")</f>
        <v/>
      </c>
      <c r="M881" s="197"/>
      <c r="N881" s="223" t="str">
        <f>IFERROR(__xludf.DUMMYFUNCTION("IFERROR(
    INDEX(FILTER('Arrived Shipments'!O:O, 'Arrived Shipments'!B:B=$B881),2),
    IFERROR(
        INDEX(FILTER('POed not arrived'!D:D, 'POed not arrived'!A:A=$B881),2),
        """"
    )
)"),"")</f>
        <v/>
      </c>
      <c r="O881" s="197"/>
      <c r="P881" s="202" t="str">
        <f>IFERROR(__xludf.DUMMYFUNCTION("IFERROR(
    INDEX(FILTER('Arrived Shipments'!O:O, 'Arrived Shipments'!B:B=$B881),3),
    IFERROR(
        INDEX(FILTER('POed not arrived'!D:D, 'POed not arrived'!A:A=$B881),3),
        """"
    )
)"),"")</f>
        <v/>
      </c>
      <c r="Q881" s="197"/>
      <c r="R881" s="206" t="str">
        <f>IFERROR(__xludf.DUMMYFUNCTION("IFERROR(
    INDEX(FILTER('Arrived Shipments'!O:O, 'Arrived Shipments'!B:B=$B881),4),
    IFERROR(
        INDEX(FILTER('POed not arrived'!D:D, 'POed not arrived'!A:A=$B881),4),
        """"
    )
)"),"")</f>
        <v/>
      </c>
      <c r="S881" s="197"/>
      <c r="T881" s="202">
        <f t="shared" si="8"/>
        <v>0</v>
      </c>
      <c r="U881" s="197"/>
      <c r="V881" s="197"/>
      <c r="W881" s="197"/>
      <c r="X881" s="197"/>
      <c r="Y881" s="197"/>
      <c r="Z881" s="197"/>
      <c r="AA881" s="204" t="str">
        <f t="shared" si="4"/>
        <v/>
      </c>
      <c r="AB881" s="197"/>
      <c r="AC881" s="197"/>
      <c r="AD881" s="197"/>
      <c r="AE881" s="197"/>
      <c r="AF881" s="197"/>
      <c r="AG881" s="197"/>
      <c r="AH881" s="197"/>
      <c r="AI881" s="197"/>
      <c r="AJ881" s="197"/>
      <c r="AK881" s="197"/>
      <c r="AL881" s="197"/>
      <c r="AM881" s="197"/>
      <c r="AN881" s="197"/>
      <c r="AO881" s="197"/>
      <c r="AP881" s="197"/>
      <c r="AQ881" s="197"/>
      <c r="AR881" s="197"/>
      <c r="AS881" s="197"/>
    </row>
    <row r="882">
      <c r="A882" s="198"/>
      <c r="B882" s="197"/>
      <c r="C882" s="197"/>
      <c r="D882" s="197"/>
      <c r="E882" s="197"/>
      <c r="F882" s="197"/>
      <c r="G882" s="197"/>
      <c r="H882" s="197"/>
      <c r="I882" s="197"/>
      <c r="J882" s="197"/>
      <c r="K882" s="197"/>
      <c r="L882" s="205" t="str">
        <f>IFERROR(__xludf.DUMMYFUNCTION("IFERROR(
    INDEX(FILTER('Arrived Shipments'!O:O, 'Arrived Shipments'!B:B=$B882),1),
    IFERROR(
        INDEX(FILTER('POed not arrived'!D:D, 'POed not arrived'!A:A=$B882),1),
        """"
    )
)"),"")</f>
        <v/>
      </c>
      <c r="M882" s="197"/>
      <c r="N882" s="223" t="str">
        <f>IFERROR(__xludf.DUMMYFUNCTION("IFERROR(
    INDEX(FILTER('Arrived Shipments'!O:O, 'Arrived Shipments'!B:B=$B882),2),
    IFERROR(
        INDEX(FILTER('POed not arrived'!D:D, 'POed not arrived'!A:A=$B882),2),
        """"
    )
)"),"")</f>
        <v/>
      </c>
      <c r="O882" s="197"/>
      <c r="P882" s="202" t="str">
        <f>IFERROR(__xludf.DUMMYFUNCTION("IFERROR(
    INDEX(FILTER('Arrived Shipments'!O:O, 'Arrived Shipments'!B:B=$B882),3),
    IFERROR(
        INDEX(FILTER('POed not arrived'!D:D, 'POed not arrived'!A:A=$B882),3),
        """"
    )
)"),"")</f>
        <v/>
      </c>
      <c r="Q882" s="197"/>
      <c r="R882" s="206" t="str">
        <f>IFERROR(__xludf.DUMMYFUNCTION("IFERROR(
    INDEX(FILTER('Arrived Shipments'!O:O, 'Arrived Shipments'!B:B=$B882),4),
    IFERROR(
        INDEX(FILTER('POed not arrived'!D:D, 'POed not arrived'!A:A=$B882),4),
        """"
    )
)"),"")</f>
        <v/>
      </c>
      <c r="S882" s="197"/>
      <c r="T882" s="202">
        <f t="shared" si="8"/>
        <v>0</v>
      </c>
      <c r="U882" s="197"/>
      <c r="V882" s="197"/>
      <c r="W882" s="197"/>
      <c r="X882" s="197"/>
      <c r="Y882" s="197"/>
      <c r="Z882" s="197"/>
      <c r="AA882" s="204" t="str">
        <f t="shared" si="4"/>
        <v/>
      </c>
      <c r="AB882" s="197"/>
      <c r="AC882" s="197"/>
      <c r="AD882" s="197"/>
      <c r="AE882" s="197"/>
      <c r="AF882" s="197"/>
      <c r="AG882" s="197"/>
      <c r="AH882" s="197"/>
      <c r="AI882" s="197"/>
      <c r="AJ882" s="197"/>
      <c r="AK882" s="197"/>
      <c r="AL882" s="197"/>
      <c r="AM882" s="197"/>
      <c r="AN882" s="197"/>
      <c r="AO882" s="197"/>
      <c r="AP882" s="197"/>
      <c r="AQ882" s="197"/>
      <c r="AR882" s="197"/>
      <c r="AS882" s="197"/>
    </row>
    <row r="883">
      <c r="A883" s="198"/>
      <c r="B883" s="197"/>
      <c r="C883" s="197"/>
      <c r="D883" s="197"/>
      <c r="E883" s="197"/>
      <c r="F883" s="197"/>
      <c r="G883" s="197"/>
      <c r="H883" s="197"/>
      <c r="I883" s="197"/>
      <c r="J883" s="197"/>
      <c r="K883" s="197"/>
      <c r="L883" s="205" t="str">
        <f>IFERROR(__xludf.DUMMYFUNCTION("IFERROR(
    INDEX(FILTER('Arrived Shipments'!O:O, 'Arrived Shipments'!B:B=$B883),1),
    IFERROR(
        INDEX(FILTER('POed not arrived'!D:D, 'POed not arrived'!A:A=$B883),1),
        """"
    )
)"),"")</f>
        <v/>
      </c>
      <c r="M883" s="197"/>
      <c r="N883" s="223" t="str">
        <f>IFERROR(__xludf.DUMMYFUNCTION("IFERROR(
    INDEX(FILTER('Arrived Shipments'!O:O, 'Arrived Shipments'!B:B=$B883),2),
    IFERROR(
        INDEX(FILTER('POed not arrived'!D:D, 'POed not arrived'!A:A=$B883),2),
        """"
    )
)"),"")</f>
        <v/>
      </c>
      <c r="O883" s="197"/>
      <c r="P883" s="202" t="str">
        <f>IFERROR(__xludf.DUMMYFUNCTION("IFERROR(
    INDEX(FILTER('Arrived Shipments'!O:O, 'Arrived Shipments'!B:B=$B883),3),
    IFERROR(
        INDEX(FILTER('POed not arrived'!D:D, 'POed not arrived'!A:A=$B883),3),
        """"
    )
)"),"")</f>
        <v/>
      </c>
      <c r="Q883" s="197"/>
      <c r="R883" s="206" t="str">
        <f>IFERROR(__xludf.DUMMYFUNCTION("IFERROR(
    INDEX(FILTER('Arrived Shipments'!O:O, 'Arrived Shipments'!B:B=$B883),4),
    IFERROR(
        INDEX(FILTER('POed not arrived'!D:D, 'POed not arrived'!A:A=$B883),4),
        """"
    )
)"),"")</f>
        <v/>
      </c>
      <c r="S883" s="197"/>
      <c r="T883" s="202">
        <f t="shared" si="8"/>
        <v>0</v>
      </c>
      <c r="U883" s="197"/>
      <c r="V883" s="197"/>
      <c r="W883" s="197"/>
      <c r="X883" s="197"/>
      <c r="Y883" s="197"/>
      <c r="Z883" s="197"/>
      <c r="AA883" s="204" t="str">
        <f t="shared" si="4"/>
        <v/>
      </c>
      <c r="AB883" s="197"/>
      <c r="AC883" s="197"/>
      <c r="AD883" s="197"/>
      <c r="AE883" s="197"/>
      <c r="AF883" s="197"/>
      <c r="AG883" s="197"/>
      <c r="AH883" s="197"/>
      <c r="AI883" s="197"/>
      <c r="AJ883" s="197"/>
      <c r="AK883" s="197"/>
      <c r="AL883" s="197"/>
      <c r="AM883" s="197"/>
      <c r="AN883" s="197"/>
      <c r="AO883" s="197"/>
      <c r="AP883" s="197"/>
      <c r="AQ883" s="197"/>
      <c r="AR883" s="197"/>
      <c r="AS883" s="197"/>
    </row>
    <row r="884">
      <c r="A884" s="198"/>
      <c r="B884" s="197"/>
      <c r="C884" s="197"/>
      <c r="D884" s="197"/>
      <c r="E884" s="197"/>
      <c r="F884" s="197"/>
      <c r="G884" s="197"/>
      <c r="H884" s="197"/>
      <c r="I884" s="197"/>
      <c r="J884" s="197"/>
      <c r="K884" s="197"/>
      <c r="L884" s="205" t="str">
        <f>IFERROR(__xludf.DUMMYFUNCTION("IFERROR(
    INDEX(FILTER('Arrived Shipments'!O:O, 'Arrived Shipments'!B:B=$B884),1),
    IFERROR(
        INDEX(FILTER('POed not arrived'!D:D, 'POed not arrived'!A:A=$B884),1),
        """"
    )
)"),"")</f>
        <v/>
      </c>
      <c r="M884" s="197"/>
      <c r="N884" s="223" t="str">
        <f>IFERROR(__xludf.DUMMYFUNCTION("IFERROR(
    INDEX(FILTER('Arrived Shipments'!O:O, 'Arrived Shipments'!B:B=$B884),2),
    IFERROR(
        INDEX(FILTER('POed not arrived'!D:D, 'POed not arrived'!A:A=$B884),2),
        """"
    )
)"),"")</f>
        <v/>
      </c>
      <c r="O884" s="197"/>
      <c r="P884" s="202" t="str">
        <f>IFERROR(__xludf.DUMMYFUNCTION("IFERROR(
    INDEX(FILTER('Arrived Shipments'!O:O, 'Arrived Shipments'!B:B=$B884),3),
    IFERROR(
        INDEX(FILTER('POed not arrived'!D:D, 'POed not arrived'!A:A=$B884),3),
        """"
    )
)"),"")</f>
        <v/>
      </c>
      <c r="Q884" s="197"/>
      <c r="R884" s="206" t="str">
        <f>IFERROR(__xludf.DUMMYFUNCTION("IFERROR(
    INDEX(FILTER('Arrived Shipments'!O:O, 'Arrived Shipments'!B:B=$B884),4),
    IFERROR(
        INDEX(FILTER('POed not arrived'!D:D, 'POed not arrived'!A:A=$B884),4),
        """"
    )
)"),"")</f>
        <v/>
      </c>
      <c r="S884" s="197"/>
      <c r="T884" s="202">
        <f t="shared" si="8"/>
        <v>0</v>
      </c>
      <c r="U884" s="197"/>
      <c r="V884" s="197"/>
      <c r="W884" s="197"/>
      <c r="X884" s="197"/>
      <c r="Y884" s="197"/>
      <c r="Z884" s="197"/>
      <c r="AA884" s="204" t="str">
        <f t="shared" si="4"/>
        <v/>
      </c>
      <c r="AB884" s="197"/>
      <c r="AC884" s="197"/>
      <c r="AD884" s="197"/>
      <c r="AE884" s="197"/>
      <c r="AF884" s="197"/>
      <c r="AG884" s="197"/>
      <c r="AH884" s="197"/>
      <c r="AI884" s="197"/>
      <c r="AJ884" s="197"/>
      <c r="AK884" s="197"/>
      <c r="AL884" s="197"/>
      <c r="AM884" s="197"/>
      <c r="AN884" s="197"/>
      <c r="AO884" s="197"/>
      <c r="AP884" s="197"/>
      <c r="AQ884" s="197"/>
      <c r="AR884" s="197"/>
      <c r="AS884" s="197"/>
    </row>
    <row r="885">
      <c r="A885" s="198"/>
      <c r="B885" s="197"/>
      <c r="C885" s="197"/>
      <c r="D885" s="197"/>
      <c r="E885" s="197"/>
      <c r="F885" s="197"/>
      <c r="G885" s="197"/>
      <c r="H885" s="197"/>
      <c r="I885" s="197"/>
      <c r="J885" s="197"/>
      <c r="K885" s="197"/>
      <c r="L885" s="205" t="str">
        <f>IFERROR(__xludf.DUMMYFUNCTION("IFERROR(
    INDEX(FILTER('Arrived Shipments'!O:O, 'Arrived Shipments'!B:B=$B885),1),
    IFERROR(
        INDEX(FILTER('POed not arrived'!D:D, 'POed not arrived'!A:A=$B885),1),
        """"
    )
)"),"")</f>
        <v/>
      </c>
      <c r="M885" s="197"/>
      <c r="N885" s="223" t="str">
        <f>IFERROR(__xludf.DUMMYFUNCTION("IFERROR(
    INDEX(FILTER('Arrived Shipments'!O:O, 'Arrived Shipments'!B:B=$B885),2),
    IFERROR(
        INDEX(FILTER('POed not arrived'!D:D, 'POed not arrived'!A:A=$B885),2),
        """"
    )
)"),"")</f>
        <v/>
      </c>
      <c r="O885" s="197"/>
      <c r="P885" s="202" t="str">
        <f>IFERROR(__xludf.DUMMYFUNCTION("IFERROR(
    INDEX(FILTER('Arrived Shipments'!O:O, 'Arrived Shipments'!B:B=$B885),3),
    IFERROR(
        INDEX(FILTER('POed not arrived'!D:D, 'POed not arrived'!A:A=$B885),3),
        """"
    )
)"),"")</f>
        <v/>
      </c>
      <c r="Q885" s="197"/>
      <c r="R885" s="206" t="str">
        <f>IFERROR(__xludf.DUMMYFUNCTION("IFERROR(
    INDEX(FILTER('Arrived Shipments'!O:O, 'Arrived Shipments'!B:B=$B885),4),
    IFERROR(
        INDEX(FILTER('POed not arrived'!D:D, 'POed not arrived'!A:A=$B885),4),
        """"
    )
)"),"")</f>
        <v/>
      </c>
      <c r="S885" s="197"/>
      <c r="T885" s="202">
        <f t="shared" si="8"/>
        <v>0</v>
      </c>
      <c r="U885" s="197"/>
      <c r="V885" s="197"/>
      <c r="W885" s="197"/>
      <c r="X885" s="197"/>
      <c r="Y885" s="197"/>
      <c r="Z885" s="197"/>
      <c r="AA885" s="204" t="str">
        <f t="shared" si="4"/>
        <v/>
      </c>
      <c r="AB885" s="197"/>
      <c r="AC885" s="197"/>
      <c r="AD885" s="197"/>
      <c r="AE885" s="197"/>
      <c r="AF885" s="197"/>
      <c r="AG885" s="197"/>
      <c r="AH885" s="197"/>
      <c r="AI885" s="197"/>
      <c r="AJ885" s="197"/>
      <c r="AK885" s="197"/>
      <c r="AL885" s="197"/>
      <c r="AM885" s="197"/>
      <c r="AN885" s="197"/>
      <c r="AO885" s="197"/>
      <c r="AP885" s="197"/>
      <c r="AQ885" s="197"/>
      <c r="AR885" s="197"/>
      <c r="AS885" s="197"/>
    </row>
    <row r="886">
      <c r="A886" s="198"/>
      <c r="B886" s="197"/>
      <c r="C886" s="197"/>
      <c r="D886" s="197"/>
      <c r="E886" s="197"/>
      <c r="F886" s="197"/>
      <c r="G886" s="197"/>
      <c r="H886" s="197"/>
      <c r="I886" s="197"/>
      <c r="J886" s="197"/>
      <c r="K886" s="197"/>
      <c r="L886" s="205" t="str">
        <f>IFERROR(__xludf.DUMMYFUNCTION("IFERROR(
    INDEX(FILTER('Arrived Shipments'!O:O, 'Arrived Shipments'!B:B=$B886),1),
    IFERROR(
        INDEX(FILTER('POed not arrived'!D:D, 'POed not arrived'!A:A=$B886),1),
        """"
    )
)"),"")</f>
        <v/>
      </c>
      <c r="M886" s="197"/>
      <c r="N886" s="223" t="str">
        <f>IFERROR(__xludf.DUMMYFUNCTION("IFERROR(
    INDEX(FILTER('Arrived Shipments'!O:O, 'Arrived Shipments'!B:B=$B886),2),
    IFERROR(
        INDEX(FILTER('POed not arrived'!D:D, 'POed not arrived'!A:A=$B886),2),
        """"
    )
)"),"")</f>
        <v/>
      </c>
      <c r="O886" s="197"/>
      <c r="P886" s="202" t="str">
        <f>IFERROR(__xludf.DUMMYFUNCTION("IFERROR(
    INDEX(FILTER('Arrived Shipments'!O:O, 'Arrived Shipments'!B:B=$B886),3),
    IFERROR(
        INDEX(FILTER('POed not arrived'!D:D, 'POed not arrived'!A:A=$B886),3),
        """"
    )
)"),"")</f>
        <v/>
      </c>
      <c r="Q886" s="197"/>
      <c r="R886" s="206" t="str">
        <f>IFERROR(__xludf.DUMMYFUNCTION("IFERROR(
    INDEX(FILTER('Arrived Shipments'!O:O, 'Arrived Shipments'!B:B=$B886),4),
    IFERROR(
        INDEX(FILTER('POed not arrived'!D:D, 'POed not arrived'!A:A=$B886),4),
        """"
    )
)"),"")</f>
        <v/>
      </c>
      <c r="S886" s="197"/>
      <c r="T886" s="202">
        <f t="shared" si="8"/>
        <v>0</v>
      </c>
      <c r="U886" s="197"/>
      <c r="V886" s="197"/>
      <c r="W886" s="197"/>
      <c r="X886" s="197"/>
      <c r="Y886" s="197"/>
      <c r="Z886" s="197"/>
      <c r="AA886" s="204" t="str">
        <f t="shared" si="4"/>
        <v/>
      </c>
      <c r="AB886" s="197"/>
      <c r="AC886" s="197"/>
      <c r="AD886" s="197"/>
      <c r="AE886" s="197"/>
      <c r="AF886" s="197"/>
      <c r="AG886" s="197"/>
      <c r="AH886" s="197"/>
      <c r="AI886" s="197"/>
      <c r="AJ886" s="197"/>
      <c r="AK886" s="197"/>
      <c r="AL886" s="197"/>
      <c r="AM886" s="197"/>
      <c r="AN886" s="197"/>
      <c r="AO886" s="197"/>
      <c r="AP886" s="197"/>
      <c r="AQ886" s="197"/>
      <c r="AR886" s="197"/>
      <c r="AS886" s="197"/>
    </row>
    <row r="887">
      <c r="A887" s="198"/>
      <c r="B887" s="197"/>
      <c r="C887" s="197"/>
      <c r="D887" s="197"/>
      <c r="E887" s="197"/>
      <c r="F887" s="197"/>
      <c r="G887" s="197"/>
      <c r="H887" s="197"/>
      <c r="I887" s="197"/>
      <c r="J887" s="197"/>
      <c r="K887" s="197"/>
      <c r="L887" s="205" t="str">
        <f>IFERROR(__xludf.DUMMYFUNCTION("IFERROR(
    INDEX(FILTER('Arrived Shipments'!O:O, 'Arrived Shipments'!B:B=$B887),1),
    IFERROR(
        INDEX(FILTER('POed not arrived'!D:D, 'POed not arrived'!A:A=$B887),1),
        """"
    )
)"),"")</f>
        <v/>
      </c>
      <c r="M887" s="197"/>
      <c r="N887" s="223" t="str">
        <f>IFERROR(__xludf.DUMMYFUNCTION("IFERROR(
    INDEX(FILTER('Arrived Shipments'!O:O, 'Arrived Shipments'!B:B=$B887),2),
    IFERROR(
        INDEX(FILTER('POed not arrived'!D:D, 'POed not arrived'!A:A=$B887),2),
        """"
    )
)"),"")</f>
        <v/>
      </c>
      <c r="O887" s="197"/>
      <c r="P887" s="202" t="str">
        <f>IFERROR(__xludf.DUMMYFUNCTION("IFERROR(
    INDEX(FILTER('Arrived Shipments'!O:O, 'Arrived Shipments'!B:B=$B887),3),
    IFERROR(
        INDEX(FILTER('POed not arrived'!D:D, 'POed not arrived'!A:A=$B887),3),
        """"
    )
)"),"")</f>
        <v/>
      </c>
      <c r="Q887" s="197"/>
      <c r="R887" s="206" t="str">
        <f>IFERROR(__xludf.DUMMYFUNCTION("IFERROR(
    INDEX(FILTER('Arrived Shipments'!O:O, 'Arrived Shipments'!B:B=$B887),4),
    IFERROR(
        INDEX(FILTER('POed not arrived'!D:D, 'POed not arrived'!A:A=$B887),4),
        """"
    )
)"),"")</f>
        <v/>
      </c>
      <c r="S887" s="197"/>
      <c r="T887" s="202">
        <f t="shared" si="8"/>
        <v>0</v>
      </c>
      <c r="U887" s="197"/>
      <c r="V887" s="197"/>
      <c r="W887" s="197"/>
      <c r="X887" s="197"/>
      <c r="Y887" s="197"/>
      <c r="Z887" s="197"/>
      <c r="AA887" s="204" t="str">
        <f t="shared" si="4"/>
        <v/>
      </c>
      <c r="AB887" s="197"/>
      <c r="AC887" s="197"/>
      <c r="AD887" s="197"/>
      <c r="AE887" s="197"/>
      <c r="AF887" s="197"/>
      <c r="AG887" s="197"/>
      <c r="AH887" s="197"/>
      <c r="AI887" s="197"/>
      <c r="AJ887" s="197"/>
      <c r="AK887" s="197"/>
      <c r="AL887" s="197"/>
      <c r="AM887" s="197"/>
      <c r="AN887" s="197"/>
      <c r="AO887" s="197"/>
      <c r="AP887" s="197"/>
      <c r="AQ887" s="197"/>
      <c r="AR887" s="197"/>
      <c r="AS887" s="197"/>
    </row>
    <row r="888">
      <c r="A888" s="198"/>
      <c r="B888" s="197"/>
      <c r="C888" s="197"/>
      <c r="D888" s="197"/>
      <c r="E888" s="197"/>
      <c r="F888" s="197"/>
      <c r="G888" s="197"/>
      <c r="H888" s="197"/>
      <c r="I888" s="197"/>
      <c r="J888" s="197"/>
      <c r="K888" s="197"/>
      <c r="L888" s="205" t="str">
        <f>IFERROR(__xludf.DUMMYFUNCTION("IFERROR(
    INDEX(FILTER('Arrived Shipments'!O:O, 'Arrived Shipments'!B:B=$B888),1),
    IFERROR(
        INDEX(FILTER('POed not arrived'!D:D, 'POed not arrived'!A:A=$B888),1),
        """"
    )
)"),"")</f>
        <v/>
      </c>
      <c r="M888" s="197"/>
      <c r="N888" s="223" t="str">
        <f>IFERROR(__xludf.DUMMYFUNCTION("IFERROR(
    INDEX(FILTER('Arrived Shipments'!O:O, 'Arrived Shipments'!B:B=$B888),2),
    IFERROR(
        INDEX(FILTER('POed not arrived'!D:D, 'POed not arrived'!A:A=$B888),2),
        """"
    )
)"),"")</f>
        <v/>
      </c>
      <c r="O888" s="197"/>
      <c r="P888" s="202" t="str">
        <f>IFERROR(__xludf.DUMMYFUNCTION("IFERROR(
    INDEX(FILTER('Arrived Shipments'!O:O, 'Arrived Shipments'!B:B=$B888),3),
    IFERROR(
        INDEX(FILTER('POed not arrived'!D:D, 'POed not arrived'!A:A=$B888),3),
        """"
    )
)"),"")</f>
        <v/>
      </c>
      <c r="Q888" s="197"/>
      <c r="R888" s="206" t="str">
        <f>IFERROR(__xludf.DUMMYFUNCTION("IFERROR(
    INDEX(FILTER('Arrived Shipments'!O:O, 'Arrived Shipments'!B:B=$B888),4),
    IFERROR(
        INDEX(FILTER('POed not arrived'!D:D, 'POed not arrived'!A:A=$B888),4),
        """"
    )
)"),"")</f>
        <v/>
      </c>
      <c r="S888" s="197"/>
      <c r="T888" s="202">
        <f t="shared" si="8"/>
        <v>0</v>
      </c>
      <c r="U888" s="197"/>
      <c r="V888" s="197"/>
      <c r="W888" s="197"/>
      <c r="X888" s="197"/>
      <c r="Y888" s="197"/>
      <c r="Z888" s="197"/>
      <c r="AA888" s="204" t="str">
        <f t="shared" si="4"/>
        <v/>
      </c>
      <c r="AB888" s="197"/>
      <c r="AC888" s="197"/>
      <c r="AD888" s="197"/>
      <c r="AE888" s="197"/>
      <c r="AF888" s="197"/>
      <c r="AG888" s="197"/>
      <c r="AH888" s="197"/>
      <c r="AI888" s="197"/>
      <c r="AJ888" s="197"/>
      <c r="AK888" s="197"/>
      <c r="AL888" s="197"/>
      <c r="AM888" s="197"/>
      <c r="AN888" s="197"/>
      <c r="AO888" s="197"/>
      <c r="AP888" s="197"/>
      <c r="AQ888" s="197"/>
      <c r="AR888" s="197"/>
      <c r="AS888" s="197"/>
    </row>
    <row r="889">
      <c r="A889" s="198"/>
      <c r="B889" s="197"/>
      <c r="C889" s="197"/>
      <c r="D889" s="197"/>
      <c r="E889" s="197"/>
      <c r="F889" s="197"/>
      <c r="G889" s="197"/>
      <c r="H889" s="197"/>
      <c r="I889" s="197"/>
      <c r="J889" s="197"/>
      <c r="K889" s="197"/>
      <c r="L889" s="205" t="str">
        <f>IFERROR(__xludf.DUMMYFUNCTION("IFERROR(
    INDEX(FILTER('Arrived Shipments'!O:O, 'Arrived Shipments'!B:B=$B889),1),
    IFERROR(
        INDEX(FILTER('POed not arrived'!D:D, 'POed not arrived'!A:A=$B889),1),
        """"
    )
)"),"")</f>
        <v/>
      </c>
      <c r="M889" s="197"/>
      <c r="N889" s="223" t="str">
        <f>IFERROR(__xludf.DUMMYFUNCTION("IFERROR(
    INDEX(FILTER('Arrived Shipments'!O:O, 'Arrived Shipments'!B:B=$B889),2),
    IFERROR(
        INDEX(FILTER('POed not arrived'!D:D, 'POed not arrived'!A:A=$B889),2),
        """"
    )
)"),"")</f>
        <v/>
      </c>
      <c r="O889" s="197"/>
      <c r="P889" s="202" t="str">
        <f>IFERROR(__xludf.DUMMYFUNCTION("IFERROR(
    INDEX(FILTER('Arrived Shipments'!O:O, 'Arrived Shipments'!B:B=$B889),3),
    IFERROR(
        INDEX(FILTER('POed not arrived'!D:D, 'POed not arrived'!A:A=$B889),3),
        """"
    )
)"),"")</f>
        <v/>
      </c>
      <c r="Q889" s="197"/>
      <c r="R889" s="206" t="str">
        <f>IFERROR(__xludf.DUMMYFUNCTION("IFERROR(
    INDEX(FILTER('Arrived Shipments'!O:O, 'Arrived Shipments'!B:B=$B889),4),
    IFERROR(
        INDEX(FILTER('POed not arrived'!D:D, 'POed not arrived'!A:A=$B889),4),
        """"
    )
)"),"")</f>
        <v/>
      </c>
      <c r="S889" s="197"/>
      <c r="T889" s="202">
        <f t="shared" si="8"/>
        <v>0</v>
      </c>
      <c r="U889" s="197"/>
      <c r="V889" s="197"/>
      <c r="W889" s="197"/>
      <c r="X889" s="197"/>
      <c r="Y889" s="197"/>
      <c r="Z889" s="197"/>
      <c r="AA889" s="204" t="str">
        <f t="shared" si="4"/>
        <v/>
      </c>
      <c r="AB889" s="197"/>
      <c r="AC889" s="197"/>
      <c r="AD889" s="197"/>
      <c r="AE889" s="197"/>
      <c r="AF889" s="197"/>
      <c r="AG889" s="197"/>
      <c r="AH889" s="197"/>
      <c r="AI889" s="197"/>
      <c r="AJ889" s="197"/>
      <c r="AK889" s="197"/>
      <c r="AL889" s="197"/>
      <c r="AM889" s="197"/>
      <c r="AN889" s="197"/>
      <c r="AO889" s="197"/>
      <c r="AP889" s="197"/>
      <c r="AQ889" s="197"/>
      <c r="AR889" s="197"/>
      <c r="AS889" s="197"/>
    </row>
    <row r="890">
      <c r="A890" s="198"/>
      <c r="B890" s="197"/>
      <c r="C890" s="197"/>
      <c r="D890" s="197"/>
      <c r="E890" s="197"/>
      <c r="F890" s="197"/>
      <c r="G890" s="197"/>
      <c r="H890" s="197"/>
      <c r="I890" s="197"/>
      <c r="J890" s="197"/>
      <c r="K890" s="197"/>
      <c r="L890" s="205" t="str">
        <f>IFERROR(__xludf.DUMMYFUNCTION("IFERROR(
    INDEX(FILTER('Arrived Shipments'!O:O, 'Arrived Shipments'!B:B=$B890),1),
    IFERROR(
        INDEX(FILTER('POed not arrived'!D:D, 'POed not arrived'!A:A=$B890),1),
        """"
    )
)"),"")</f>
        <v/>
      </c>
      <c r="M890" s="197"/>
      <c r="N890" s="223" t="str">
        <f>IFERROR(__xludf.DUMMYFUNCTION("IFERROR(
    INDEX(FILTER('Arrived Shipments'!O:O, 'Arrived Shipments'!B:B=$B890),2),
    IFERROR(
        INDEX(FILTER('POed not arrived'!D:D, 'POed not arrived'!A:A=$B890),2),
        """"
    )
)"),"")</f>
        <v/>
      </c>
      <c r="O890" s="197"/>
      <c r="P890" s="202" t="str">
        <f>IFERROR(__xludf.DUMMYFUNCTION("IFERROR(
    INDEX(FILTER('Arrived Shipments'!O:O, 'Arrived Shipments'!B:B=$B890),3),
    IFERROR(
        INDEX(FILTER('POed not arrived'!D:D, 'POed not arrived'!A:A=$B890),3),
        """"
    )
)"),"")</f>
        <v/>
      </c>
      <c r="Q890" s="197"/>
      <c r="R890" s="206" t="str">
        <f>IFERROR(__xludf.DUMMYFUNCTION("IFERROR(
    INDEX(FILTER('Arrived Shipments'!O:O, 'Arrived Shipments'!B:B=$B890),4),
    IFERROR(
        INDEX(FILTER('POed not arrived'!D:D, 'POed not arrived'!A:A=$B890),4),
        """"
    )
)"),"")</f>
        <v/>
      </c>
      <c r="S890" s="197"/>
      <c r="T890" s="202">
        <f t="shared" si="8"/>
        <v>0</v>
      </c>
      <c r="U890" s="197"/>
      <c r="V890" s="197"/>
      <c r="W890" s="197"/>
      <c r="X890" s="197"/>
      <c r="Y890" s="197"/>
      <c r="Z890" s="197"/>
      <c r="AA890" s="204" t="str">
        <f t="shared" si="4"/>
        <v/>
      </c>
      <c r="AB890" s="197"/>
      <c r="AC890" s="197"/>
      <c r="AD890" s="197"/>
      <c r="AE890" s="197"/>
      <c r="AF890" s="197"/>
      <c r="AG890" s="197"/>
      <c r="AH890" s="197"/>
      <c r="AI890" s="197"/>
      <c r="AJ890" s="197"/>
      <c r="AK890" s="197"/>
      <c r="AL890" s="197"/>
      <c r="AM890" s="197"/>
      <c r="AN890" s="197"/>
      <c r="AO890" s="197"/>
      <c r="AP890" s="197"/>
      <c r="AQ890" s="197"/>
      <c r="AR890" s="197"/>
      <c r="AS890" s="197"/>
    </row>
    <row r="891">
      <c r="A891" s="198"/>
      <c r="B891" s="197"/>
      <c r="C891" s="197"/>
      <c r="D891" s="197"/>
      <c r="E891" s="197"/>
      <c r="F891" s="197"/>
      <c r="G891" s="197"/>
      <c r="H891" s="197"/>
      <c r="I891" s="197"/>
      <c r="J891" s="197"/>
      <c r="K891" s="197"/>
      <c r="L891" s="205" t="str">
        <f>IFERROR(__xludf.DUMMYFUNCTION("IFERROR(
    INDEX(FILTER('Arrived Shipments'!O:O, 'Arrived Shipments'!B:B=$B891),1),
    IFERROR(
        INDEX(FILTER('POed not arrived'!D:D, 'POed not arrived'!A:A=$B891),1),
        """"
    )
)"),"")</f>
        <v/>
      </c>
      <c r="M891" s="197"/>
      <c r="N891" s="223" t="str">
        <f>IFERROR(__xludf.DUMMYFUNCTION("IFERROR(
    INDEX(FILTER('Arrived Shipments'!O:O, 'Arrived Shipments'!B:B=$B891),2),
    IFERROR(
        INDEX(FILTER('POed not arrived'!D:D, 'POed not arrived'!A:A=$B891),2),
        """"
    )
)"),"")</f>
        <v/>
      </c>
      <c r="O891" s="197"/>
      <c r="P891" s="202" t="str">
        <f>IFERROR(__xludf.DUMMYFUNCTION("IFERROR(
    INDEX(FILTER('Arrived Shipments'!O:O, 'Arrived Shipments'!B:B=$B891),3),
    IFERROR(
        INDEX(FILTER('POed not arrived'!D:D, 'POed not arrived'!A:A=$B891),3),
        """"
    )
)"),"")</f>
        <v/>
      </c>
      <c r="Q891" s="197"/>
      <c r="R891" s="206" t="str">
        <f>IFERROR(__xludf.DUMMYFUNCTION("IFERROR(
    INDEX(FILTER('Arrived Shipments'!O:O, 'Arrived Shipments'!B:B=$B891),4),
    IFERROR(
        INDEX(FILTER('POed not arrived'!D:D, 'POed not arrived'!A:A=$B891),4),
        """"
    )
)"),"")</f>
        <v/>
      </c>
      <c r="S891" s="197"/>
      <c r="T891" s="202">
        <f t="shared" si="8"/>
        <v>0</v>
      </c>
      <c r="U891" s="197"/>
      <c r="V891" s="197"/>
      <c r="W891" s="197"/>
      <c r="X891" s="197"/>
      <c r="Y891" s="197"/>
      <c r="Z891" s="197"/>
      <c r="AA891" s="204" t="str">
        <f t="shared" si="4"/>
        <v/>
      </c>
      <c r="AB891" s="197"/>
      <c r="AC891" s="197"/>
      <c r="AD891" s="197"/>
      <c r="AE891" s="197"/>
      <c r="AF891" s="197"/>
      <c r="AG891" s="197"/>
      <c r="AH891" s="197"/>
      <c r="AI891" s="197"/>
      <c r="AJ891" s="197"/>
      <c r="AK891" s="197"/>
      <c r="AL891" s="197"/>
      <c r="AM891" s="197"/>
      <c r="AN891" s="197"/>
      <c r="AO891" s="197"/>
      <c r="AP891" s="197"/>
      <c r="AQ891" s="197"/>
      <c r="AR891" s="197"/>
      <c r="AS891" s="197"/>
    </row>
    <row r="892">
      <c r="A892" s="198"/>
      <c r="B892" s="197"/>
      <c r="C892" s="197"/>
      <c r="D892" s="197"/>
      <c r="E892" s="197"/>
      <c r="F892" s="197"/>
      <c r="G892" s="197"/>
      <c r="H892" s="197"/>
      <c r="I892" s="197"/>
      <c r="J892" s="197"/>
      <c r="K892" s="197"/>
      <c r="L892" s="205" t="str">
        <f>IFERROR(__xludf.DUMMYFUNCTION("IFERROR(
    INDEX(FILTER('Arrived Shipments'!O:O, 'Arrived Shipments'!B:B=$B892),1),
    IFERROR(
        INDEX(FILTER('POed not arrived'!D:D, 'POed not arrived'!A:A=$B892),1),
        """"
    )
)"),"")</f>
        <v/>
      </c>
      <c r="M892" s="197"/>
      <c r="N892" s="223" t="str">
        <f>IFERROR(__xludf.DUMMYFUNCTION("IFERROR(
    INDEX(FILTER('Arrived Shipments'!O:O, 'Arrived Shipments'!B:B=$B892),2),
    IFERROR(
        INDEX(FILTER('POed not arrived'!D:D, 'POed not arrived'!A:A=$B892),2),
        """"
    )
)"),"")</f>
        <v/>
      </c>
      <c r="O892" s="197"/>
      <c r="P892" s="202" t="str">
        <f>IFERROR(__xludf.DUMMYFUNCTION("IFERROR(
    INDEX(FILTER('Arrived Shipments'!O:O, 'Arrived Shipments'!B:B=$B892),3),
    IFERROR(
        INDEX(FILTER('POed not arrived'!D:D, 'POed not arrived'!A:A=$B892),3),
        """"
    )
)"),"")</f>
        <v/>
      </c>
      <c r="Q892" s="197"/>
      <c r="R892" s="206" t="str">
        <f>IFERROR(__xludf.DUMMYFUNCTION("IFERROR(
    INDEX(FILTER('Arrived Shipments'!O:O, 'Arrived Shipments'!B:B=$B892),4),
    IFERROR(
        INDEX(FILTER('POed not arrived'!D:D, 'POed not arrived'!A:A=$B892),4),
        """"
    )
)"),"")</f>
        <v/>
      </c>
      <c r="S892" s="197"/>
      <c r="T892" s="202">
        <f t="shared" si="8"/>
        <v>0</v>
      </c>
      <c r="U892" s="197"/>
      <c r="V892" s="197"/>
      <c r="W892" s="197"/>
      <c r="X892" s="197"/>
      <c r="Y892" s="197"/>
      <c r="Z892" s="197"/>
      <c r="AA892" s="204" t="str">
        <f t="shared" si="4"/>
        <v/>
      </c>
      <c r="AB892" s="197"/>
      <c r="AC892" s="197"/>
      <c r="AD892" s="197"/>
      <c r="AE892" s="197"/>
      <c r="AF892" s="197"/>
      <c r="AG892" s="197"/>
      <c r="AH892" s="197"/>
      <c r="AI892" s="197"/>
      <c r="AJ892" s="197"/>
      <c r="AK892" s="197"/>
      <c r="AL892" s="197"/>
      <c r="AM892" s="197"/>
      <c r="AN892" s="197"/>
      <c r="AO892" s="197"/>
      <c r="AP892" s="197"/>
      <c r="AQ892" s="197"/>
      <c r="AR892" s="197"/>
      <c r="AS892" s="197"/>
    </row>
    <row r="893">
      <c r="A893" s="198"/>
      <c r="B893" s="197"/>
      <c r="C893" s="197"/>
      <c r="D893" s="197"/>
      <c r="E893" s="197"/>
      <c r="F893" s="197"/>
      <c r="G893" s="197"/>
      <c r="H893" s="197"/>
      <c r="I893" s="197"/>
      <c r="J893" s="197"/>
      <c r="K893" s="197"/>
      <c r="L893" s="205" t="str">
        <f>IFERROR(__xludf.DUMMYFUNCTION("IFERROR(
    INDEX(FILTER('Arrived Shipments'!O:O, 'Arrived Shipments'!B:B=$B893),1),
    IFERROR(
        INDEX(FILTER('POed not arrived'!D:D, 'POed not arrived'!A:A=$B893),1),
        """"
    )
)"),"")</f>
        <v/>
      </c>
      <c r="M893" s="197"/>
      <c r="N893" s="223" t="str">
        <f>IFERROR(__xludf.DUMMYFUNCTION("IFERROR(
    INDEX(FILTER('Arrived Shipments'!O:O, 'Arrived Shipments'!B:B=$B893),2),
    IFERROR(
        INDEX(FILTER('POed not arrived'!D:D, 'POed not arrived'!A:A=$B893),2),
        """"
    )
)"),"")</f>
        <v/>
      </c>
      <c r="O893" s="197"/>
      <c r="P893" s="202" t="str">
        <f>IFERROR(__xludf.DUMMYFUNCTION("IFERROR(
    INDEX(FILTER('Arrived Shipments'!O:O, 'Arrived Shipments'!B:B=$B893),3),
    IFERROR(
        INDEX(FILTER('POed not arrived'!D:D, 'POed not arrived'!A:A=$B893),3),
        """"
    )
)"),"")</f>
        <v/>
      </c>
      <c r="Q893" s="197"/>
      <c r="R893" s="206" t="str">
        <f>IFERROR(__xludf.DUMMYFUNCTION("IFERROR(
    INDEX(FILTER('Arrived Shipments'!O:O, 'Arrived Shipments'!B:B=$B893),4),
    IFERROR(
        INDEX(FILTER('POed not arrived'!D:D, 'POed not arrived'!A:A=$B893),4),
        """"
    )
)"),"")</f>
        <v/>
      </c>
      <c r="S893" s="197"/>
      <c r="T893" s="202">
        <f t="shared" si="8"/>
        <v>0</v>
      </c>
      <c r="U893" s="197"/>
      <c r="V893" s="197"/>
      <c r="W893" s="197"/>
      <c r="X893" s="197"/>
      <c r="Y893" s="197"/>
      <c r="Z893" s="197"/>
      <c r="AA893" s="204" t="str">
        <f t="shared" si="4"/>
        <v/>
      </c>
      <c r="AB893" s="197"/>
      <c r="AC893" s="197"/>
      <c r="AD893" s="197"/>
      <c r="AE893" s="197"/>
      <c r="AF893" s="197"/>
      <c r="AG893" s="197"/>
      <c r="AH893" s="197"/>
      <c r="AI893" s="197"/>
      <c r="AJ893" s="197"/>
      <c r="AK893" s="197"/>
      <c r="AL893" s="197"/>
      <c r="AM893" s="197"/>
      <c r="AN893" s="197"/>
      <c r="AO893" s="197"/>
      <c r="AP893" s="197"/>
      <c r="AQ893" s="197"/>
      <c r="AR893" s="197"/>
      <c r="AS893" s="197"/>
    </row>
    <row r="894">
      <c r="A894" s="198"/>
      <c r="B894" s="197"/>
      <c r="C894" s="197"/>
      <c r="D894" s="197"/>
      <c r="E894" s="197"/>
      <c r="F894" s="197"/>
      <c r="G894" s="197"/>
      <c r="H894" s="197"/>
      <c r="I894" s="197"/>
      <c r="J894" s="197"/>
      <c r="K894" s="197"/>
      <c r="L894" s="205" t="str">
        <f>IFERROR(__xludf.DUMMYFUNCTION("IFERROR(
    INDEX(FILTER('Arrived Shipments'!O:O, 'Arrived Shipments'!B:B=$B894),1),
    IFERROR(
        INDEX(FILTER('POed not arrived'!D:D, 'POed not arrived'!A:A=$B894),1),
        """"
    )
)"),"")</f>
        <v/>
      </c>
      <c r="M894" s="197"/>
      <c r="N894" s="223" t="str">
        <f>IFERROR(__xludf.DUMMYFUNCTION("IFERROR(
    INDEX(FILTER('Arrived Shipments'!O:O, 'Arrived Shipments'!B:B=$B894),2),
    IFERROR(
        INDEX(FILTER('POed not arrived'!D:D, 'POed not arrived'!A:A=$B894),2),
        """"
    )
)"),"")</f>
        <v/>
      </c>
      <c r="O894" s="197"/>
      <c r="P894" s="202" t="str">
        <f>IFERROR(__xludf.DUMMYFUNCTION("IFERROR(
    INDEX(FILTER('Arrived Shipments'!O:O, 'Arrived Shipments'!B:B=$B894),3),
    IFERROR(
        INDEX(FILTER('POed not arrived'!D:D, 'POed not arrived'!A:A=$B894),3),
        """"
    )
)"),"")</f>
        <v/>
      </c>
      <c r="Q894" s="197"/>
      <c r="R894" s="206" t="str">
        <f>IFERROR(__xludf.DUMMYFUNCTION("IFERROR(
    INDEX(FILTER('Arrived Shipments'!O:O, 'Arrived Shipments'!B:B=$B894),4),
    IFERROR(
        INDEX(FILTER('POed not arrived'!D:D, 'POed not arrived'!A:A=$B894),4),
        """"
    )
)"),"")</f>
        <v/>
      </c>
      <c r="S894" s="197"/>
      <c r="T894" s="202">
        <f t="shared" si="8"/>
        <v>0</v>
      </c>
      <c r="U894" s="197"/>
      <c r="V894" s="197"/>
      <c r="W894" s="197"/>
      <c r="X894" s="197"/>
      <c r="Y894" s="197"/>
      <c r="Z894" s="197"/>
      <c r="AA894" s="204" t="str">
        <f t="shared" si="4"/>
        <v/>
      </c>
      <c r="AB894" s="197"/>
      <c r="AC894" s="197"/>
      <c r="AD894" s="197"/>
      <c r="AE894" s="197"/>
      <c r="AF894" s="197"/>
      <c r="AG894" s="197"/>
      <c r="AH894" s="197"/>
      <c r="AI894" s="197"/>
      <c r="AJ894" s="197"/>
      <c r="AK894" s="197"/>
      <c r="AL894" s="197"/>
      <c r="AM894" s="197"/>
      <c r="AN894" s="197"/>
      <c r="AO894" s="197"/>
      <c r="AP894" s="197"/>
      <c r="AQ894" s="197"/>
      <c r="AR894" s="197"/>
      <c r="AS894" s="197"/>
    </row>
    <row r="895">
      <c r="A895" s="198"/>
      <c r="B895" s="197"/>
      <c r="C895" s="197"/>
      <c r="D895" s="197"/>
      <c r="E895" s="197"/>
      <c r="F895" s="197"/>
      <c r="G895" s="197"/>
      <c r="H895" s="197"/>
      <c r="I895" s="197"/>
      <c r="J895" s="197"/>
      <c r="K895" s="197"/>
      <c r="L895" s="205" t="str">
        <f>IFERROR(__xludf.DUMMYFUNCTION("IFERROR(
    INDEX(FILTER('Arrived Shipments'!O:O, 'Arrived Shipments'!B:B=$B895),1),
    IFERROR(
        INDEX(FILTER('POed not arrived'!D:D, 'POed not arrived'!A:A=$B895),1),
        """"
    )
)"),"")</f>
        <v/>
      </c>
      <c r="M895" s="197"/>
      <c r="N895" s="223" t="str">
        <f>IFERROR(__xludf.DUMMYFUNCTION("IFERROR(
    INDEX(FILTER('Arrived Shipments'!O:O, 'Arrived Shipments'!B:B=$B895),2),
    IFERROR(
        INDEX(FILTER('POed not arrived'!D:D, 'POed not arrived'!A:A=$B895),2),
        """"
    )
)"),"")</f>
        <v/>
      </c>
      <c r="O895" s="197"/>
      <c r="P895" s="202" t="str">
        <f>IFERROR(__xludf.DUMMYFUNCTION("IFERROR(
    INDEX(FILTER('Arrived Shipments'!O:O, 'Arrived Shipments'!B:B=$B895),3),
    IFERROR(
        INDEX(FILTER('POed not arrived'!D:D, 'POed not arrived'!A:A=$B895),3),
        """"
    )
)"),"")</f>
        <v/>
      </c>
      <c r="Q895" s="197"/>
      <c r="R895" s="206" t="str">
        <f>IFERROR(__xludf.DUMMYFUNCTION("IFERROR(
    INDEX(FILTER('Arrived Shipments'!O:O, 'Arrived Shipments'!B:B=$B895),4),
    IFERROR(
        INDEX(FILTER('POed not arrived'!D:D, 'POed not arrived'!A:A=$B895),4),
        """"
    )
)"),"")</f>
        <v/>
      </c>
      <c r="S895" s="197"/>
      <c r="T895" s="202">
        <f t="shared" si="8"/>
        <v>0</v>
      </c>
      <c r="U895" s="197"/>
      <c r="V895" s="197"/>
      <c r="W895" s="197"/>
      <c r="X895" s="197"/>
      <c r="Y895" s="197"/>
      <c r="Z895" s="197"/>
      <c r="AA895" s="204" t="str">
        <f t="shared" si="4"/>
        <v/>
      </c>
      <c r="AB895" s="197"/>
      <c r="AC895" s="197"/>
      <c r="AD895" s="197"/>
      <c r="AE895" s="197"/>
      <c r="AF895" s="197"/>
      <c r="AG895" s="197"/>
      <c r="AH895" s="197"/>
      <c r="AI895" s="197"/>
      <c r="AJ895" s="197"/>
      <c r="AK895" s="197"/>
      <c r="AL895" s="197"/>
      <c r="AM895" s="197"/>
      <c r="AN895" s="197"/>
      <c r="AO895" s="197"/>
      <c r="AP895" s="197"/>
      <c r="AQ895" s="197"/>
      <c r="AR895" s="197"/>
      <c r="AS895" s="197"/>
    </row>
    <row r="896">
      <c r="A896" s="198"/>
      <c r="B896" s="197"/>
      <c r="C896" s="197"/>
      <c r="D896" s="197"/>
      <c r="E896" s="197"/>
      <c r="F896" s="197"/>
      <c r="G896" s="197"/>
      <c r="H896" s="197"/>
      <c r="I896" s="197"/>
      <c r="J896" s="197"/>
      <c r="K896" s="197"/>
      <c r="L896" s="205" t="str">
        <f>IFERROR(__xludf.DUMMYFUNCTION("IFERROR(
    INDEX(FILTER('Arrived Shipments'!O:O, 'Arrived Shipments'!B:B=$B896),1),
    IFERROR(
        INDEX(FILTER('POed not arrived'!D:D, 'POed not arrived'!A:A=$B896),1),
        """"
    )
)"),"")</f>
        <v/>
      </c>
      <c r="M896" s="197"/>
      <c r="N896" s="223" t="str">
        <f>IFERROR(__xludf.DUMMYFUNCTION("IFERROR(
    INDEX(FILTER('Arrived Shipments'!O:O, 'Arrived Shipments'!B:B=$B896),2),
    IFERROR(
        INDEX(FILTER('POed not arrived'!D:D, 'POed not arrived'!A:A=$B896),2),
        """"
    )
)"),"")</f>
        <v/>
      </c>
      <c r="O896" s="197"/>
      <c r="P896" s="202" t="str">
        <f>IFERROR(__xludf.DUMMYFUNCTION("IFERROR(
    INDEX(FILTER('Arrived Shipments'!O:O, 'Arrived Shipments'!B:B=$B896),3),
    IFERROR(
        INDEX(FILTER('POed not arrived'!D:D, 'POed not arrived'!A:A=$B896),3),
        """"
    )
)"),"")</f>
        <v/>
      </c>
      <c r="Q896" s="197"/>
      <c r="R896" s="206" t="str">
        <f>IFERROR(__xludf.DUMMYFUNCTION("IFERROR(
    INDEX(FILTER('Arrived Shipments'!O:O, 'Arrived Shipments'!B:B=$B896),4),
    IFERROR(
        INDEX(FILTER('POed not arrived'!D:D, 'POed not arrived'!A:A=$B896),4),
        """"
    )
)"),"")</f>
        <v/>
      </c>
      <c r="S896" s="197"/>
      <c r="T896" s="202">
        <f t="shared" si="8"/>
        <v>0</v>
      </c>
      <c r="U896" s="197"/>
      <c r="V896" s="197"/>
      <c r="W896" s="197"/>
      <c r="X896" s="197"/>
      <c r="Y896" s="197"/>
      <c r="Z896" s="197"/>
      <c r="AA896" s="204" t="str">
        <f t="shared" si="4"/>
        <v/>
      </c>
      <c r="AB896" s="197"/>
      <c r="AC896" s="197"/>
      <c r="AD896" s="197"/>
      <c r="AE896" s="197"/>
      <c r="AF896" s="197"/>
      <c r="AG896" s="197"/>
      <c r="AH896" s="197"/>
      <c r="AI896" s="197"/>
      <c r="AJ896" s="197"/>
      <c r="AK896" s="197"/>
      <c r="AL896" s="197"/>
      <c r="AM896" s="197"/>
      <c r="AN896" s="197"/>
      <c r="AO896" s="197"/>
      <c r="AP896" s="197"/>
      <c r="AQ896" s="197"/>
      <c r="AR896" s="197"/>
      <c r="AS896" s="197"/>
    </row>
    <row r="897">
      <c r="A897" s="198"/>
      <c r="B897" s="197"/>
      <c r="C897" s="197"/>
      <c r="D897" s="197"/>
      <c r="E897" s="197"/>
      <c r="F897" s="197"/>
      <c r="G897" s="197"/>
      <c r="H897" s="197"/>
      <c r="I897" s="197"/>
      <c r="J897" s="197"/>
      <c r="K897" s="197"/>
      <c r="L897" s="205" t="str">
        <f>IFERROR(__xludf.DUMMYFUNCTION("IFERROR(
    INDEX(FILTER('Arrived Shipments'!O:O, 'Arrived Shipments'!B:B=$B897),1),
    IFERROR(
        INDEX(FILTER('POed not arrived'!D:D, 'POed not arrived'!A:A=$B897),1),
        """"
    )
)"),"")</f>
        <v/>
      </c>
      <c r="M897" s="197"/>
      <c r="N897" s="223" t="str">
        <f>IFERROR(__xludf.DUMMYFUNCTION("IFERROR(
    INDEX(FILTER('Arrived Shipments'!O:O, 'Arrived Shipments'!B:B=$B897),2),
    IFERROR(
        INDEX(FILTER('POed not arrived'!D:D, 'POed not arrived'!A:A=$B897),2),
        """"
    )
)"),"")</f>
        <v/>
      </c>
      <c r="O897" s="197"/>
      <c r="P897" s="202" t="str">
        <f>IFERROR(__xludf.DUMMYFUNCTION("IFERROR(
    INDEX(FILTER('Arrived Shipments'!O:O, 'Arrived Shipments'!B:B=$B897),3),
    IFERROR(
        INDEX(FILTER('POed not arrived'!D:D, 'POed not arrived'!A:A=$B897),3),
        """"
    )
)"),"")</f>
        <v/>
      </c>
      <c r="Q897" s="197"/>
      <c r="R897" s="206" t="str">
        <f>IFERROR(__xludf.DUMMYFUNCTION("IFERROR(
    INDEX(FILTER('Arrived Shipments'!O:O, 'Arrived Shipments'!B:B=$B897),4),
    IFERROR(
        INDEX(FILTER('POed not arrived'!D:D, 'POed not arrived'!A:A=$B897),4),
        """"
    )
)"),"")</f>
        <v/>
      </c>
      <c r="S897" s="197"/>
      <c r="T897" s="202">
        <f t="shared" si="8"/>
        <v>0</v>
      </c>
      <c r="U897" s="197"/>
      <c r="V897" s="197"/>
      <c r="W897" s="197"/>
      <c r="X897" s="197"/>
      <c r="Y897" s="197"/>
      <c r="Z897" s="197"/>
      <c r="AA897" s="204" t="str">
        <f t="shared" si="4"/>
        <v/>
      </c>
      <c r="AB897" s="197"/>
      <c r="AC897" s="197"/>
      <c r="AD897" s="197"/>
      <c r="AE897" s="197"/>
      <c r="AF897" s="197"/>
      <c r="AG897" s="197"/>
      <c r="AH897" s="197"/>
      <c r="AI897" s="197"/>
      <c r="AJ897" s="197"/>
      <c r="AK897" s="197"/>
      <c r="AL897" s="197"/>
      <c r="AM897" s="197"/>
      <c r="AN897" s="197"/>
      <c r="AO897" s="197"/>
      <c r="AP897" s="197"/>
      <c r="AQ897" s="197"/>
      <c r="AR897" s="197"/>
      <c r="AS897" s="197"/>
    </row>
    <row r="898">
      <c r="A898" s="198"/>
      <c r="B898" s="197"/>
      <c r="C898" s="197"/>
      <c r="D898" s="197"/>
      <c r="E898" s="197"/>
      <c r="F898" s="197"/>
      <c r="G898" s="197"/>
      <c r="H898" s="197"/>
      <c r="I898" s="197"/>
      <c r="J898" s="197"/>
      <c r="K898" s="197"/>
      <c r="L898" s="205" t="str">
        <f>IFERROR(__xludf.DUMMYFUNCTION("IFERROR(
    INDEX(FILTER('Arrived Shipments'!O:O, 'Arrived Shipments'!B:B=$B898),1),
    IFERROR(
        INDEX(FILTER('POed not arrived'!D:D, 'POed not arrived'!A:A=$B898),1),
        """"
    )
)"),"")</f>
        <v/>
      </c>
      <c r="M898" s="197"/>
      <c r="N898" s="223" t="str">
        <f>IFERROR(__xludf.DUMMYFUNCTION("IFERROR(
    INDEX(FILTER('Arrived Shipments'!O:O, 'Arrived Shipments'!B:B=$B898),2),
    IFERROR(
        INDEX(FILTER('POed not arrived'!D:D, 'POed not arrived'!A:A=$B898),2),
        """"
    )
)"),"")</f>
        <v/>
      </c>
      <c r="O898" s="197"/>
      <c r="P898" s="202" t="str">
        <f>IFERROR(__xludf.DUMMYFUNCTION("IFERROR(
    INDEX(FILTER('Arrived Shipments'!O:O, 'Arrived Shipments'!B:B=$B898),3),
    IFERROR(
        INDEX(FILTER('POed not arrived'!D:D, 'POed not arrived'!A:A=$B898),3),
        """"
    )
)"),"")</f>
        <v/>
      </c>
      <c r="Q898" s="197"/>
      <c r="R898" s="206" t="str">
        <f>IFERROR(__xludf.DUMMYFUNCTION("IFERROR(
    INDEX(FILTER('Arrived Shipments'!O:O, 'Arrived Shipments'!B:B=$B898),4),
    IFERROR(
        INDEX(FILTER('POed not arrived'!D:D, 'POed not arrived'!A:A=$B898),4),
        """"
    )
)"),"")</f>
        <v/>
      </c>
      <c r="S898" s="197"/>
      <c r="T898" s="202">
        <f t="shared" si="8"/>
        <v>0</v>
      </c>
      <c r="U898" s="197"/>
      <c r="V898" s="197"/>
      <c r="W898" s="197"/>
      <c r="X898" s="197"/>
      <c r="Y898" s="197"/>
      <c r="Z898" s="197"/>
      <c r="AA898" s="204" t="str">
        <f t="shared" si="4"/>
        <v/>
      </c>
      <c r="AB898" s="197"/>
      <c r="AC898" s="197"/>
      <c r="AD898" s="197"/>
      <c r="AE898" s="197"/>
      <c r="AF898" s="197"/>
      <c r="AG898" s="197"/>
      <c r="AH898" s="197"/>
      <c r="AI898" s="197"/>
      <c r="AJ898" s="197"/>
      <c r="AK898" s="197"/>
      <c r="AL898" s="197"/>
      <c r="AM898" s="197"/>
      <c r="AN898" s="197"/>
      <c r="AO898" s="197"/>
      <c r="AP898" s="197"/>
      <c r="AQ898" s="197"/>
      <c r="AR898" s="197"/>
      <c r="AS898" s="197"/>
    </row>
    <row r="899">
      <c r="A899" s="198"/>
      <c r="B899" s="197"/>
      <c r="C899" s="197"/>
      <c r="D899" s="197"/>
      <c r="E899" s="197"/>
      <c r="F899" s="197"/>
      <c r="G899" s="197"/>
      <c r="H899" s="197"/>
      <c r="I899" s="197"/>
      <c r="J899" s="197"/>
      <c r="K899" s="197"/>
      <c r="L899" s="205" t="str">
        <f>IFERROR(__xludf.DUMMYFUNCTION("IFERROR(
    INDEX(FILTER('Arrived Shipments'!O:O, 'Arrived Shipments'!B:B=$B899),1),
    IFERROR(
        INDEX(FILTER('POed not arrived'!D:D, 'POed not arrived'!A:A=$B899),1),
        """"
    )
)"),"")</f>
        <v/>
      </c>
      <c r="M899" s="197"/>
      <c r="N899" s="223" t="str">
        <f>IFERROR(__xludf.DUMMYFUNCTION("IFERROR(
    INDEX(FILTER('Arrived Shipments'!O:O, 'Arrived Shipments'!B:B=$B899),2),
    IFERROR(
        INDEX(FILTER('POed not arrived'!D:D, 'POed not arrived'!A:A=$B899),2),
        """"
    )
)"),"")</f>
        <v/>
      </c>
      <c r="O899" s="197"/>
      <c r="P899" s="202" t="str">
        <f>IFERROR(__xludf.DUMMYFUNCTION("IFERROR(
    INDEX(FILTER('Arrived Shipments'!O:O, 'Arrived Shipments'!B:B=$B899),3),
    IFERROR(
        INDEX(FILTER('POed not arrived'!D:D, 'POed not arrived'!A:A=$B899),3),
        """"
    )
)"),"")</f>
        <v/>
      </c>
      <c r="Q899" s="197"/>
      <c r="R899" s="206" t="str">
        <f>IFERROR(__xludf.DUMMYFUNCTION("IFERROR(
    INDEX(FILTER('Arrived Shipments'!O:O, 'Arrived Shipments'!B:B=$B899),4),
    IFERROR(
        INDEX(FILTER('POed not arrived'!D:D, 'POed not arrived'!A:A=$B899),4),
        """"
    )
)"),"")</f>
        <v/>
      </c>
      <c r="S899" s="197"/>
      <c r="T899" s="202">
        <f t="shared" si="8"/>
        <v>0</v>
      </c>
      <c r="U899" s="197"/>
      <c r="V899" s="197"/>
      <c r="W899" s="197"/>
      <c r="X899" s="197"/>
      <c r="Y899" s="197"/>
      <c r="Z899" s="197"/>
      <c r="AA899" s="204" t="str">
        <f t="shared" si="4"/>
        <v/>
      </c>
      <c r="AB899" s="197"/>
      <c r="AC899" s="197"/>
      <c r="AD899" s="197"/>
      <c r="AE899" s="197"/>
      <c r="AF899" s="197"/>
      <c r="AG899" s="197"/>
      <c r="AH899" s="197"/>
      <c r="AI899" s="197"/>
      <c r="AJ899" s="197"/>
      <c r="AK899" s="197"/>
      <c r="AL899" s="197"/>
      <c r="AM899" s="197"/>
      <c r="AN899" s="197"/>
      <c r="AO899" s="197"/>
      <c r="AP899" s="197"/>
      <c r="AQ899" s="197"/>
      <c r="AR899" s="197"/>
      <c r="AS899" s="197"/>
    </row>
    <row r="900">
      <c r="A900" s="198"/>
      <c r="B900" s="197"/>
      <c r="C900" s="197"/>
      <c r="D900" s="197"/>
      <c r="E900" s="197"/>
      <c r="F900" s="197"/>
      <c r="G900" s="197"/>
      <c r="H900" s="197"/>
      <c r="I900" s="197"/>
      <c r="J900" s="197"/>
      <c r="K900" s="197"/>
      <c r="L900" s="205" t="str">
        <f>IFERROR(__xludf.DUMMYFUNCTION("IFERROR(
    INDEX(FILTER('Arrived Shipments'!O:O, 'Arrived Shipments'!B:B=$B900),1),
    IFERROR(
        INDEX(FILTER('POed not arrived'!D:D, 'POed not arrived'!A:A=$B900),1),
        """"
    )
)"),"")</f>
        <v/>
      </c>
      <c r="M900" s="197"/>
      <c r="N900" s="223" t="str">
        <f>IFERROR(__xludf.DUMMYFUNCTION("IFERROR(
    INDEX(FILTER('Arrived Shipments'!O:O, 'Arrived Shipments'!B:B=$B900),2),
    IFERROR(
        INDEX(FILTER('POed not arrived'!D:D, 'POed not arrived'!A:A=$B900),2),
        """"
    )
)"),"")</f>
        <v/>
      </c>
      <c r="O900" s="197"/>
      <c r="P900" s="202" t="str">
        <f>IFERROR(__xludf.DUMMYFUNCTION("IFERROR(
    INDEX(FILTER('Arrived Shipments'!O:O, 'Arrived Shipments'!B:B=$B900),3),
    IFERROR(
        INDEX(FILTER('POed not arrived'!D:D, 'POed not arrived'!A:A=$B900),3),
        """"
    )
)"),"")</f>
        <v/>
      </c>
      <c r="Q900" s="197"/>
      <c r="R900" s="206" t="str">
        <f>IFERROR(__xludf.DUMMYFUNCTION("IFERROR(
    INDEX(FILTER('Arrived Shipments'!O:O, 'Arrived Shipments'!B:B=$B900),4),
    IFERROR(
        INDEX(FILTER('POed not arrived'!D:D, 'POed not arrived'!A:A=$B900),4),
        """"
    )
)"),"")</f>
        <v/>
      </c>
      <c r="S900" s="197"/>
      <c r="T900" s="202">
        <f t="shared" si="8"/>
        <v>0</v>
      </c>
      <c r="U900" s="197"/>
      <c r="V900" s="197"/>
      <c r="W900" s="197"/>
      <c r="X900" s="197"/>
      <c r="Y900" s="197"/>
      <c r="Z900" s="197"/>
      <c r="AA900" s="204" t="str">
        <f t="shared" si="4"/>
        <v/>
      </c>
      <c r="AB900" s="197"/>
      <c r="AC900" s="197"/>
      <c r="AD900" s="197"/>
      <c r="AE900" s="197"/>
      <c r="AF900" s="197"/>
      <c r="AG900" s="197"/>
      <c r="AH900" s="197"/>
      <c r="AI900" s="197"/>
      <c r="AJ900" s="197"/>
      <c r="AK900" s="197"/>
      <c r="AL900" s="197"/>
      <c r="AM900" s="197"/>
      <c r="AN900" s="197"/>
      <c r="AO900" s="197"/>
      <c r="AP900" s="197"/>
      <c r="AQ900" s="197"/>
      <c r="AR900" s="197"/>
      <c r="AS900" s="197"/>
    </row>
    <row r="901">
      <c r="A901" s="198"/>
      <c r="B901" s="197"/>
      <c r="C901" s="197"/>
      <c r="D901" s="197"/>
      <c r="E901" s="197"/>
      <c r="F901" s="197"/>
      <c r="G901" s="197"/>
      <c r="H901" s="197"/>
      <c r="I901" s="197"/>
      <c r="J901" s="197"/>
      <c r="K901" s="197"/>
      <c r="L901" s="205" t="str">
        <f>IFERROR(__xludf.DUMMYFUNCTION("IFERROR(
    INDEX(FILTER('Arrived Shipments'!O:O, 'Arrived Shipments'!B:B=$B901),1),
    IFERROR(
        INDEX(FILTER('POed not arrived'!D:D, 'POed not arrived'!A:A=$B901),1),
        """"
    )
)"),"")</f>
        <v/>
      </c>
      <c r="M901" s="197"/>
      <c r="N901" s="223" t="str">
        <f>IFERROR(__xludf.DUMMYFUNCTION("IFERROR(
    INDEX(FILTER('Arrived Shipments'!O:O, 'Arrived Shipments'!B:B=$B901),2),
    IFERROR(
        INDEX(FILTER('POed not arrived'!D:D, 'POed not arrived'!A:A=$B901),2),
        """"
    )
)"),"")</f>
        <v/>
      </c>
      <c r="O901" s="197"/>
      <c r="P901" s="202" t="str">
        <f>IFERROR(__xludf.DUMMYFUNCTION("IFERROR(
    INDEX(FILTER('Arrived Shipments'!O:O, 'Arrived Shipments'!B:B=$B901),3),
    IFERROR(
        INDEX(FILTER('POed not arrived'!D:D, 'POed not arrived'!A:A=$B901),3),
        """"
    )
)"),"")</f>
        <v/>
      </c>
      <c r="Q901" s="197"/>
      <c r="R901" s="206" t="str">
        <f>IFERROR(__xludf.DUMMYFUNCTION("IFERROR(
    INDEX(FILTER('Arrived Shipments'!O:O, 'Arrived Shipments'!B:B=$B901),4),
    IFERROR(
        INDEX(FILTER('POed not arrived'!D:D, 'POed not arrived'!A:A=$B901),4),
        """"
    )
)"),"")</f>
        <v/>
      </c>
      <c r="S901" s="197"/>
      <c r="T901" s="202">
        <f t="shared" si="8"/>
        <v>0</v>
      </c>
      <c r="U901" s="197"/>
      <c r="V901" s="197"/>
      <c r="W901" s="197"/>
      <c r="X901" s="197"/>
      <c r="Y901" s="197"/>
      <c r="Z901" s="197"/>
      <c r="AA901" s="204" t="str">
        <f t="shared" si="4"/>
        <v/>
      </c>
      <c r="AB901" s="197"/>
      <c r="AC901" s="197"/>
      <c r="AD901" s="197"/>
      <c r="AE901" s="197"/>
      <c r="AF901" s="197"/>
      <c r="AG901" s="197"/>
      <c r="AH901" s="197"/>
      <c r="AI901" s="197"/>
      <c r="AJ901" s="197"/>
      <c r="AK901" s="197"/>
      <c r="AL901" s="197"/>
      <c r="AM901" s="197"/>
      <c r="AN901" s="197"/>
      <c r="AO901" s="197"/>
      <c r="AP901" s="197"/>
      <c r="AQ901" s="197"/>
      <c r="AR901" s="197"/>
      <c r="AS901" s="197"/>
    </row>
    <row r="902">
      <c r="A902" s="198"/>
      <c r="B902" s="197"/>
      <c r="C902" s="197"/>
      <c r="D902" s="197"/>
      <c r="E902" s="197"/>
      <c r="F902" s="197"/>
      <c r="G902" s="197"/>
      <c r="H902" s="197"/>
      <c r="I902" s="197"/>
      <c r="J902" s="197"/>
      <c r="K902" s="197"/>
      <c r="L902" s="205" t="str">
        <f>IFERROR(__xludf.DUMMYFUNCTION("IFERROR(
    INDEX(FILTER('Arrived Shipments'!O:O, 'Arrived Shipments'!B:B=$B902),1),
    IFERROR(
        INDEX(FILTER('POed not arrived'!D:D, 'POed not arrived'!A:A=$B902),1),
        """"
    )
)"),"")</f>
        <v/>
      </c>
      <c r="M902" s="197"/>
      <c r="N902" s="223" t="str">
        <f>IFERROR(__xludf.DUMMYFUNCTION("IFERROR(
    INDEX(FILTER('Arrived Shipments'!O:O, 'Arrived Shipments'!B:B=$B902),2),
    IFERROR(
        INDEX(FILTER('POed not arrived'!D:D, 'POed not arrived'!A:A=$B902),2),
        """"
    )
)"),"")</f>
        <v/>
      </c>
      <c r="O902" s="197"/>
      <c r="P902" s="202" t="str">
        <f>IFERROR(__xludf.DUMMYFUNCTION("IFERROR(
    INDEX(FILTER('Arrived Shipments'!O:O, 'Arrived Shipments'!B:B=$B902),3),
    IFERROR(
        INDEX(FILTER('POed not arrived'!D:D, 'POed not arrived'!A:A=$B902),3),
        """"
    )
)"),"")</f>
        <v/>
      </c>
      <c r="Q902" s="197"/>
      <c r="R902" s="206" t="str">
        <f>IFERROR(__xludf.DUMMYFUNCTION("IFERROR(
    INDEX(FILTER('Arrived Shipments'!O:O, 'Arrived Shipments'!B:B=$B902),4),
    IFERROR(
        INDEX(FILTER('POed not arrived'!D:D, 'POed not arrived'!A:A=$B902),4),
        """"
    )
)"),"")</f>
        <v/>
      </c>
      <c r="S902" s="197"/>
      <c r="T902" s="202">
        <f t="shared" si="8"/>
        <v>0</v>
      </c>
      <c r="U902" s="197"/>
      <c r="V902" s="197"/>
      <c r="W902" s="197"/>
      <c r="X902" s="197"/>
      <c r="Y902" s="197"/>
      <c r="Z902" s="197"/>
      <c r="AA902" s="204" t="str">
        <f t="shared" si="4"/>
        <v/>
      </c>
      <c r="AB902" s="197"/>
      <c r="AC902" s="197"/>
      <c r="AD902" s="197"/>
      <c r="AE902" s="197"/>
      <c r="AF902" s="197"/>
      <c r="AG902" s="197"/>
      <c r="AH902" s="197"/>
      <c r="AI902" s="197"/>
      <c r="AJ902" s="197"/>
      <c r="AK902" s="197"/>
      <c r="AL902" s="197"/>
      <c r="AM902" s="197"/>
      <c r="AN902" s="197"/>
      <c r="AO902" s="197"/>
      <c r="AP902" s="197"/>
      <c r="AQ902" s="197"/>
      <c r="AR902" s="197"/>
      <c r="AS902" s="197"/>
    </row>
    <row r="903">
      <c r="A903" s="198"/>
      <c r="B903" s="197"/>
      <c r="C903" s="197"/>
      <c r="D903" s="197"/>
      <c r="E903" s="197"/>
      <c r="F903" s="197"/>
      <c r="G903" s="197"/>
      <c r="H903" s="197"/>
      <c r="I903" s="197"/>
      <c r="J903" s="197"/>
      <c r="K903" s="197"/>
      <c r="L903" s="205" t="str">
        <f>IFERROR(__xludf.DUMMYFUNCTION("IFERROR(
    INDEX(FILTER('Arrived Shipments'!O:O, 'Arrived Shipments'!B:B=$B903),1),
    IFERROR(
        INDEX(FILTER('POed not arrived'!D:D, 'POed not arrived'!A:A=$B903),1),
        """"
    )
)"),"")</f>
        <v/>
      </c>
      <c r="M903" s="197"/>
      <c r="N903" s="223" t="str">
        <f>IFERROR(__xludf.DUMMYFUNCTION("IFERROR(
    INDEX(FILTER('Arrived Shipments'!O:O, 'Arrived Shipments'!B:B=$B903),2),
    IFERROR(
        INDEX(FILTER('POed not arrived'!D:D, 'POed not arrived'!A:A=$B903),2),
        """"
    )
)"),"")</f>
        <v/>
      </c>
      <c r="O903" s="197"/>
      <c r="P903" s="202" t="str">
        <f>IFERROR(__xludf.DUMMYFUNCTION("IFERROR(
    INDEX(FILTER('Arrived Shipments'!O:O, 'Arrived Shipments'!B:B=$B903),3),
    IFERROR(
        INDEX(FILTER('POed not arrived'!D:D, 'POed not arrived'!A:A=$B903),3),
        """"
    )
)"),"")</f>
        <v/>
      </c>
      <c r="Q903" s="197"/>
      <c r="R903" s="206" t="str">
        <f>IFERROR(__xludf.DUMMYFUNCTION("IFERROR(
    INDEX(FILTER('Arrived Shipments'!O:O, 'Arrived Shipments'!B:B=$B903),4),
    IFERROR(
        INDEX(FILTER('POed not arrived'!D:D, 'POed not arrived'!A:A=$B903),4),
        """"
    )
)"),"")</f>
        <v/>
      </c>
      <c r="S903" s="197"/>
      <c r="T903" s="202">
        <f t="shared" si="8"/>
        <v>0</v>
      </c>
      <c r="U903" s="197"/>
      <c r="V903" s="197"/>
      <c r="W903" s="197"/>
      <c r="X903" s="197"/>
      <c r="Y903" s="197"/>
      <c r="Z903" s="197"/>
      <c r="AA903" s="204" t="str">
        <f t="shared" si="4"/>
        <v/>
      </c>
      <c r="AB903" s="197"/>
      <c r="AC903" s="197"/>
      <c r="AD903" s="197"/>
      <c r="AE903" s="197"/>
      <c r="AF903" s="197"/>
      <c r="AG903" s="197"/>
      <c r="AH903" s="197"/>
      <c r="AI903" s="197"/>
      <c r="AJ903" s="197"/>
      <c r="AK903" s="197"/>
      <c r="AL903" s="197"/>
      <c r="AM903" s="197"/>
      <c r="AN903" s="197"/>
      <c r="AO903" s="197"/>
      <c r="AP903" s="197"/>
      <c r="AQ903" s="197"/>
      <c r="AR903" s="197"/>
      <c r="AS903" s="197"/>
    </row>
    <row r="904">
      <c r="A904" s="198"/>
      <c r="B904" s="197"/>
      <c r="C904" s="197"/>
      <c r="D904" s="197"/>
      <c r="E904" s="197"/>
      <c r="F904" s="197"/>
      <c r="G904" s="197"/>
      <c r="H904" s="197"/>
      <c r="I904" s="197"/>
      <c r="J904" s="197"/>
      <c r="K904" s="197"/>
      <c r="L904" s="205" t="str">
        <f>IFERROR(__xludf.DUMMYFUNCTION("IFERROR(
    INDEX(FILTER('Arrived Shipments'!O:O, 'Arrived Shipments'!B:B=$B904),1),
    IFERROR(
        INDEX(FILTER('POed not arrived'!D:D, 'POed not arrived'!A:A=$B904),1),
        """"
    )
)"),"")</f>
        <v/>
      </c>
      <c r="M904" s="197"/>
      <c r="N904" s="223" t="str">
        <f>IFERROR(__xludf.DUMMYFUNCTION("IFERROR(
    INDEX(FILTER('Arrived Shipments'!O:O, 'Arrived Shipments'!B:B=$B904),2),
    IFERROR(
        INDEX(FILTER('POed not arrived'!D:D, 'POed not arrived'!A:A=$B904),2),
        """"
    )
)"),"")</f>
        <v/>
      </c>
      <c r="O904" s="197"/>
      <c r="P904" s="202" t="str">
        <f>IFERROR(__xludf.DUMMYFUNCTION("IFERROR(
    INDEX(FILTER('Arrived Shipments'!O:O, 'Arrived Shipments'!B:B=$B904),3),
    IFERROR(
        INDEX(FILTER('POed not arrived'!D:D, 'POed not arrived'!A:A=$B904),3),
        """"
    )
)"),"")</f>
        <v/>
      </c>
      <c r="Q904" s="197"/>
      <c r="R904" s="206" t="str">
        <f>IFERROR(__xludf.DUMMYFUNCTION("IFERROR(
    INDEX(FILTER('Arrived Shipments'!O:O, 'Arrived Shipments'!B:B=$B904),4),
    IFERROR(
        INDEX(FILTER('POed not arrived'!D:D, 'POed not arrived'!A:A=$B904),4),
        """"
    )
)"),"")</f>
        <v/>
      </c>
      <c r="S904" s="197"/>
      <c r="T904" s="202">
        <f t="shared" si="8"/>
        <v>0</v>
      </c>
      <c r="U904" s="197"/>
      <c r="V904" s="197"/>
      <c r="W904" s="197"/>
      <c r="X904" s="197"/>
      <c r="Y904" s="197"/>
      <c r="Z904" s="197"/>
      <c r="AA904" s="204" t="str">
        <f t="shared" si="4"/>
        <v/>
      </c>
      <c r="AB904" s="197"/>
      <c r="AC904" s="197"/>
      <c r="AD904" s="197"/>
      <c r="AE904" s="197"/>
      <c r="AF904" s="197"/>
      <c r="AG904" s="197"/>
      <c r="AH904" s="197"/>
      <c r="AI904" s="197"/>
      <c r="AJ904" s="197"/>
      <c r="AK904" s="197"/>
      <c r="AL904" s="197"/>
      <c r="AM904" s="197"/>
      <c r="AN904" s="197"/>
      <c r="AO904" s="197"/>
      <c r="AP904" s="197"/>
      <c r="AQ904" s="197"/>
      <c r="AR904" s="197"/>
      <c r="AS904" s="197"/>
    </row>
    <row r="905">
      <c r="A905" s="198"/>
      <c r="B905" s="197"/>
      <c r="C905" s="197"/>
      <c r="D905" s="197"/>
      <c r="E905" s="197"/>
      <c r="F905" s="197"/>
      <c r="G905" s="197"/>
      <c r="H905" s="197"/>
      <c r="I905" s="197"/>
      <c r="J905" s="197"/>
      <c r="K905" s="197"/>
      <c r="L905" s="205" t="str">
        <f>IFERROR(__xludf.DUMMYFUNCTION("IFERROR(
    INDEX(FILTER('Arrived Shipments'!O:O, 'Arrived Shipments'!B:B=$B905),1),
    IFERROR(
        INDEX(FILTER('POed not arrived'!D:D, 'POed not arrived'!A:A=$B905),1),
        """"
    )
)"),"")</f>
        <v/>
      </c>
      <c r="M905" s="197"/>
      <c r="N905" s="223" t="str">
        <f>IFERROR(__xludf.DUMMYFUNCTION("IFERROR(
    INDEX(FILTER('Arrived Shipments'!O:O, 'Arrived Shipments'!B:B=$B905),2),
    IFERROR(
        INDEX(FILTER('POed not arrived'!D:D, 'POed not arrived'!A:A=$B905),2),
        """"
    )
)"),"")</f>
        <v/>
      </c>
      <c r="O905" s="197"/>
      <c r="P905" s="202" t="str">
        <f>IFERROR(__xludf.DUMMYFUNCTION("IFERROR(
    INDEX(FILTER('Arrived Shipments'!O:O, 'Arrived Shipments'!B:B=$B905),3),
    IFERROR(
        INDEX(FILTER('POed not arrived'!D:D, 'POed not arrived'!A:A=$B905),3),
        """"
    )
)"),"")</f>
        <v/>
      </c>
      <c r="Q905" s="197"/>
      <c r="R905" s="206" t="str">
        <f>IFERROR(__xludf.DUMMYFUNCTION("IFERROR(
    INDEX(FILTER('Arrived Shipments'!O:O, 'Arrived Shipments'!B:B=$B905),4),
    IFERROR(
        INDEX(FILTER('POed not arrived'!D:D, 'POed not arrived'!A:A=$B905),4),
        """"
    )
)"),"")</f>
        <v/>
      </c>
      <c r="S905" s="197"/>
      <c r="T905" s="202">
        <f t="shared" si="8"/>
        <v>0</v>
      </c>
      <c r="U905" s="197"/>
      <c r="V905" s="197"/>
      <c r="W905" s="197"/>
      <c r="X905" s="197"/>
      <c r="Y905" s="197"/>
      <c r="Z905" s="197"/>
      <c r="AA905" s="204" t="str">
        <f t="shared" si="4"/>
        <v/>
      </c>
      <c r="AB905" s="197"/>
      <c r="AC905" s="197"/>
      <c r="AD905" s="197"/>
      <c r="AE905" s="197"/>
      <c r="AF905" s="197"/>
      <c r="AG905" s="197"/>
      <c r="AH905" s="197"/>
      <c r="AI905" s="197"/>
      <c r="AJ905" s="197"/>
      <c r="AK905" s="197"/>
      <c r="AL905" s="197"/>
      <c r="AM905" s="197"/>
      <c r="AN905" s="197"/>
      <c r="AO905" s="197"/>
      <c r="AP905" s="197"/>
      <c r="AQ905" s="197"/>
      <c r="AR905" s="197"/>
      <c r="AS905" s="197"/>
    </row>
    <row r="906">
      <c r="A906" s="198"/>
      <c r="B906" s="197"/>
      <c r="C906" s="197"/>
      <c r="D906" s="197"/>
      <c r="E906" s="197"/>
      <c r="F906" s="197"/>
      <c r="G906" s="197"/>
      <c r="H906" s="197"/>
      <c r="I906" s="197"/>
      <c r="J906" s="197"/>
      <c r="K906" s="197"/>
      <c r="L906" s="205" t="str">
        <f>IFERROR(__xludf.DUMMYFUNCTION("IFERROR(
    INDEX(FILTER('Arrived Shipments'!O:O, 'Arrived Shipments'!B:B=$B906),1),
    IFERROR(
        INDEX(FILTER('POed not arrived'!D:D, 'POed not arrived'!A:A=$B906),1),
        """"
    )
)"),"")</f>
        <v/>
      </c>
      <c r="M906" s="197"/>
      <c r="N906" s="223" t="str">
        <f>IFERROR(__xludf.DUMMYFUNCTION("IFERROR(
    INDEX(FILTER('Arrived Shipments'!O:O, 'Arrived Shipments'!B:B=$B906),2),
    IFERROR(
        INDEX(FILTER('POed not arrived'!D:D, 'POed not arrived'!A:A=$B906),2),
        """"
    )
)"),"")</f>
        <v/>
      </c>
      <c r="O906" s="197"/>
      <c r="P906" s="202" t="str">
        <f>IFERROR(__xludf.DUMMYFUNCTION("IFERROR(
    INDEX(FILTER('Arrived Shipments'!O:O, 'Arrived Shipments'!B:B=$B906),3),
    IFERROR(
        INDEX(FILTER('POed not arrived'!D:D, 'POed not arrived'!A:A=$B906),3),
        """"
    )
)"),"")</f>
        <v/>
      </c>
      <c r="Q906" s="197"/>
      <c r="R906" s="206" t="str">
        <f>IFERROR(__xludf.DUMMYFUNCTION("IFERROR(
    INDEX(FILTER('Arrived Shipments'!O:O, 'Arrived Shipments'!B:B=$B906),4),
    IFERROR(
        INDEX(FILTER('POed not arrived'!D:D, 'POed not arrived'!A:A=$B906),4),
        """"
    )
)"),"")</f>
        <v/>
      </c>
      <c r="S906" s="197"/>
      <c r="T906" s="202">
        <f t="shared" si="8"/>
        <v>0</v>
      </c>
      <c r="U906" s="197"/>
      <c r="V906" s="197"/>
      <c r="W906" s="197"/>
      <c r="X906" s="197"/>
      <c r="Y906" s="197"/>
      <c r="Z906" s="197"/>
      <c r="AA906" s="204" t="str">
        <f t="shared" si="4"/>
        <v/>
      </c>
      <c r="AB906" s="197"/>
      <c r="AC906" s="197"/>
      <c r="AD906" s="197"/>
      <c r="AE906" s="197"/>
      <c r="AF906" s="197"/>
      <c r="AG906" s="197"/>
      <c r="AH906" s="197"/>
      <c r="AI906" s="197"/>
      <c r="AJ906" s="197"/>
      <c r="AK906" s="197"/>
      <c r="AL906" s="197"/>
      <c r="AM906" s="197"/>
      <c r="AN906" s="197"/>
      <c r="AO906" s="197"/>
      <c r="AP906" s="197"/>
      <c r="AQ906" s="197"/>
      <c r="AR906" s="197"/>
      <c r="AS906" s="197"/>
    </row>
    <row r="907">
      <c r="A907" s="198"/>
      <c r="B907" s="197"/>
      <c r="C907" s="197"/>
      <c r="D907" s="197"/>
      <c r="E907" s="197"/>
      <c r="F907" s="197"/>
      <c r="G907" s="197"/>
      <c r="H907" s="197"/>
      <c r="I907" s="197"/>
      <c r="J907" s="197"/>
      <c r="K907" s="197"/>
      <c r="L907" s="205" t="str">
        <f>IFERROR(__xludf.DUMMYFUNCTION("IFERROR(
    INDEX(FILTER('Arrived Shipments'!O:O, 'Arrived Shipments'!B:B=$B907),1),
    IFERROR(
        INDEX(FILTER('POed not arrived'!D:D, 'POed not arrived'!A:A=$B907),1),
        """"
    )
)"),"")</f>
        <v/>
      </c>
      <c r="M907" s="197"/>
      <c r="N907" s="223" t="str">
        <f>IFERROR(__xludf.DUMMYFUNCTION("IFERROR(
    INDEX(FILTER('Arrived Shipments'!O:O, 'Arrived Shipments'!B:B=$B907),2),
    IFERROR(
        INDEX(FILTER('POed not arrived'!D:D, 'POed not arrived'!A:A=$B907),2),
        """"
    )
)"),"")</f>
        <v/>
      </c>
      <c r="O907" s="197"/>
      <c r="P907" s="202" t="str">
        <f>IFERROR(__xludf.DUMMYFUNCTION("IFERROR(
    INDEX(FILTER('Arrived Shipments'!O:O, 'Arrived Shipments'!B:B=$B907),3),
    IFERROR(
        INDEX(FILTER('POed not arrived'!D:D, 'POed not arrived'!A:A=$B907),3),
        """"
    )
)"),"")</f>
        <v/>
      </c>
      <c r="Q907" s="197"/>
      <c r="R907" s="206" t="str">
        <f>IFERROR(__xludf.DUMMYFUNCTION("IFERROR(
    INDEX(FILTER('Arrived Shipments'!O:O, 'Arrived Shipments'!B:B=$B907),4),
    IFERROR(
        INDEX(FILTER('POed not arrived'!D:D, 'POed not arrived'!A:A=$B907),4),
        """"
    )
)"),"")</f>
        <v/>
      </c>
      <c r="S907" s="197"/>
      <c r="T907" s="202">
        <f t="shared" si="8"/>
        <v>0</v>
      </c>
      <c r="U907" s="197"/>
      <c r="V907" s="197"/>
      <c r="W907" s="197"/>
      <c r="X907" s="197"/>
      <c r="Y907" s="197"/>
      <c r="Z907" s="197"/>
      <c r="AA907" s="204" t="str">
        <f t="shared" si="4"/>
        <v/>
      </c>
      <c r="AB907" s="197"/>
      <c r="AC907" s="197"/>
      <c r="AD907" s="197"/>
      <c r="AE907" s="197"/>
      <c r="AF907" s="197"/>
      <c r="AG907" s="197"/>
      <c r="AH907" s="197"/>
      <c r="AI907" s="197"/>
      <c r="AJ907" s="197"/>
      <c r="AK907" s="197"/>
      <c r="AL907" s="197"/>
      <c r="AM907" s="197"/>
      <c r="AN907" s="197"/>
      <c r="AO907" s="197"/>
      <c r="AP907" s="197"/>
      <c r="AQ907" s="197"/>
      <c r="AR907" s="197"/>
      <c r="AS907" s="197"/>
    </row>
    <row r="908">
      <c r="A908" s="198"/>
      <c r="B908" s="197"/>
      <c r="C908" s="197"/>
      <c r="D908" s="197"/>
      <c r="E908" s="197"/>
      <c r="F908" s="197"/>
      <c r="G908" s="197"/>
      <c r="H908" s="197"/>
      <c r="I908" s="197"/>
      <c r="J908" s="197"/>
      <c r="K908" s="197"/>
      <c r="L908" s="205" t="str">
        <f>IFERROR(__xludf.DUMMYFUNCTION("IFERROR(
    INDEX(FILTER('Arrived Shipments'!O:O, 'Arrived Shipments'!B:B=$B908),1),
    IFERROR(
        INDEX(FILTER('POed not arrived'!D:D, 'POed not arrived'!A:A=$B908),1),
        """"
    )
)"),"")</f>
        <v/>
      </c>
      <c r="M908" s="197"/>
      <c r="N908" s="223" t="str">
        <f>IFERROR(__xludf.DUMMYFUNCTION("IFERROR(
    INDEX(FILTER('Arrived Shipments'!O:O, 'Arrived Shipments'!B:B=$B908),2),
    IFERROR(
        INDEX(FILTER('POed not arrived'!D:D, 'POed not arrived'!A:A=$B908),2),
        """"
    )
)"),"")</f>
        <v/>
      </c>
      <c r="O908" s="197"/>
      <c r="P908" s="202" t="str">
        <f>IFERROR(__xludf.DUMMYFUNCTION("IFERROR(
    INDEX(FILTER('Arrived Shipments'!O:O, 'Arrived Shipments'!B:B=$B908),3),
    IFERROR(
        INDEX(FILTER('POed not arrived'!D:D, 'POed not arrived'!A:A=$B908),3),
        """"
    )
)"),"")</f>
        <v/>
      </c>
      <c r="Q908" s="197"/>
      <c r="R908" s="206" t="str">
        <f>IFERROR(__xludf.DUMMYFUNCTION("IFERROR(
    INDEX(FILTER('Arrived Shipments'!O:O, 'Arrived Shipments'!B:B=$B908),4),
    IFERROR(
        INDEX(FILTER('POed not arrived'!D:D, 'POed not arrived'!A:A=$B908),4),
        """"
    )
)"),"")</f>
        <v/>
      </c>
      <c r="S908" s="197"/>
      <c r="T908" s="202">
        <f t="shared" si="8"/>
        <v>0</v>
      </c>
      <c r="U908" s="197"/>
      <c r="V908" s="197"/>
      <c r="W908" s="197"/>
      <c r="X908" s="197"/>
      <c r="Y908" s="197"/>
      <c r="Z908" s="197"/>
      <c r="AA908" s="204" t="str">
        <f t="shared" si="4"/>
        <v/>
      </c>
      <c r="AB908" s="197"/>
      <c r="AC908" s="197"/>
      <c r="AD908" s="197"/>
      <c r="AE908" s="197"/>
      <c r="AF908" s="197"/>
      <c r="AG908" s="197"/>
      <c r="AH908" s="197"/>
      <c r="AI908" s="197"/>
      <c r="AJ908" s="197"/>
      <c r="AK908" s="197"/>
      <c r="AL908" s="197"/>
      <c r="AM908" s="197"/>
      <c r="AN908" s="197"/>
      <c r="AO908" s="197"/>
      <c r="AP908" s="197"/>
      <c r="AQ908" s="197"/>
      <c r="AR908" s="197"/>
      <c r="AS908" s="197"/>
    </row>
    <row r="909">
      <c r="A909" s="198"/>
      <c r="B909" s="197"/>
      <c r="C909" s="197"/>
      <c r="D909" s="197"/>
      <c r="E909" s="197"/>
      <c r="F909" s="197"/>
      <c r="G909" s="197"/>
      <c r="H909" s="197"/>
      <c r="I909" s="197"/>
      <c r="J909" s="197"/>
      <c r="K909" s="197"/>
      <c r="L909" s="205" t="str">
        <f>IFERROR(__xludf.DUMMYFUNCTION("IFERROR(
    INDEX(FILTER('Arrived Shipments'!O:O, 'Arrived Shipments'!B:B=$B909),1),
    IFERROR(
        INDEX(FILTER('POed not arrived'!D:D, 'POed not arrived'!A:A=$B909),1),
        """"
    )
)"),"")</f>
        <v/>
      </c>
      <c r="M909" s="197"/>
      <c r="N909" s="223" t="str">
        <f>IFERROR(__xludf.DUMMYFUNCTION("IFERROR(
    INDEX(FILTER('Arrived Shipments'!O:O, 'Arrived Shipments'!B:B=$B909),2),
    IFERROR(
        INDEX(FILTER('POed not arrived'!D:D, 'POed not arrived'!A:A=$B909),2),
        """"
    )
)"),"")</f>
        <v/>
      </c>
      <c r="O909" s="197"/>
      <c r="P909" s="202" t="str">
        <f>IFERROR(__xludf.DUMMYFUNCTION("IFERROR(
    INDEX(FILTER('Arrived Shipments'!O:O, 'Arrived Shipments'!B:B=$B909),3),
    IFERROR(
        INDEX(FILTER('POed not arrived'!D:D, 'POed not arrived'!A:A=$B909),3),
        """"
    )
)"),"")</f>
        <v/>
      </c>
      <c r="Q909" s="197"/>
      <c r="R909" s="206" t="str">
        <f>IFERROR(__xludf.DUMMYFUNCTION("IFERROR(
    INDEX(FILTER('Arrived Shipments'!O:O, 'Arrived Shipments'!B:B=$B909),4),
    IFERROR(
        INDEX(FILTER('POed not arrived'!D:D, 'POed not arrived'!A:A=$B909),4),
        """"
    )
)"),"")</f>
        <v/>
      </c>
      <c r="S909" s="197"/>
      <c r="T909" s="202">
        <f t="shared" si="8"/>
        <v>0</v>
      </c>
      <c r="U909" s="197"/>
      <c r="V909" s="197"/>
      <c r="W909" s="197"/>
      <c r="X909" s="197"/>
      <c r="Y909" s="197"/>
      <c r="Z909" s="197"/>
      <c r="AA909" s="204" t="str">
        <f t="shared" si="4"/>
        <v/>
      </c>
      <c r="AB909" s="197"/>
      <c r="AC909" s="197"/>
      <c r="AD909" s="197"/>
      <c r="AE909" s="197"/>
      <c r="AF909" s="197"/>
      <c r="AG909" s="197"/>
      <c r="AH909" s="197"/>
      <c r="AI909" s="197"/>
      <c r="AJ909" s="197"/>
      <c r="AK909" s="197"/>
      <c r="AL909" s="197"/>
      <c r="AM909" s="197"/>
      <c r="AN909" s="197"/>
      <c r="AO909" s="197"/>
      <c r="AP909" s="197"/>
      <c r="AQ909" s="197"/>
      <c r="AR909" s="197"/>
      <c r="AS909" s="197"/>
    </row>
    <row r="910">
      <c r="A910" s="198"/>
      <c r="B910" s="197"/>
      <c r="C910" s="197"/>
      <c r="D910" s="197"/>
      <c r="E910" s="197"/>
      <c r="F910" s="197"/>
      <c r="G910" s="197"/>
      <c r="H910" s="197"/>
      <c r="I910" s="197"/>
      <c r="J910" s="197"/>
      <c r="K910" s="197"/>
      <c r="L910" s="205" t="str">
        <f>IFERROR(__xludf.DUMMYFUNCTION("IFERROR(
    INDEX(FILTER('Arrived Shipments'!O:O, 'Arrived Shipments'!B:B=$B910),1),
    IFERROR(
        INDEX(FILTER('POed not arrived'!D:D, 'POed not arrived'!A:A=$B910),1),
        """"
    )
)"),"")</f>
        <v/>
      </c>
      <c r="M910" s="197"/>
      <c r="N910" s="223" t="str">
        <f>IFERROR(__xludf.DUMMYFUNCTION("IFERROR(
    INDEX(FILTER('Arrived Shipments'!O:O, 'Arrived Shipments'!B:B=$B910),2),
    IFERROR(
        INDEX(FILTER('POed not arrived'!D:D, 'POed not arrived'!A:A=$B910),2),
        """"
    )
)"),"")</f>
        <v/>
      </c>
      <c r="O910" s="197"/>
      <c r="P910" s="202" t="str">
        <f>IFERROR(__xludf.DUMMYFUNCTION("IFERROR(
    INDEX(FILTER('Arrived Shipments'!O:O, 'Arrived Shipments'!B:B=$B910),3),
    IFERROR(
        INDEX(FILTER('POed not arrived'!D:D, 'POed not arrived'!A:A=$B910),3),
        """"
    )
)"),"")</f>
        <v/>
      </c>
      <c r="Q910" s="197"/>
      <c r="R910" s="206" t="str">
        <f>IFERROR(__xludf.DUMMYFUNCTION("IFERROR(
    INDEX(FILTER('Arrived Shipments'!O:O, 'Arrived Shipments'!B:B=$B910),4),
    IFERROR(
        INDEX(FILTER('POed not arrived'!D:D, 'POed not arrived'!A:A=$B910),4),
        """"
    )
)"),"")</f>
        <v/>
      </c>
      <c r="S910" s="197"/>
      <c r="T910" s="202">
        <f t="shared" si="8"/>
        <v>0</v>
      </c>
      <c r="U910" s="197"/>
      <c r="V910" s="197"/>
      <c r="W910" s="197"/>
      <c r="X910" s="197"/>
      <c r="Y910" s="197"/>
      <c r="Z910" s="197"/>
      <c r="AA910" s="204" t="str">
        <f t="shared" si="4"/>
        <v/>
      </c>
      <c r="AB910" s="197"/>
      <c r="AC910" s="197"/>
      <c r="AD910" s="197"/>
      <c r="AE910" s="197"/>
      <c r="AF910" s="197"/>
      <c r="AG910" s="197"/>
      <c r="AH910" s="197"/>
      <c r="AI910" s="197"/>
      <c r="AJ910" s="197"/>
      <c r="AK910" s="197"/>
      <c r="AL910" s="197"/>
      <c r="AM910" s="197"/>
      <c r="AN910" s="197"/>
      <c r="AO910" s="197"/>
      <c r="AP910" s="197"/>
      <c r="AQ910" s="197"/>
      <c r="AR910" s="197"/>
      <c r="AS910" s="197"/>
    </row>
    <row r="911">
      <c r="A911" s="198"/>
      <c r="B911" s="197"/>
      <c r="C911" s="197"/>
      <c r="D911" s="197"/>
      <c r="E911" s="197"/>
      <c r="F911" s="197"/>
      <c r="G911" s="197"/>
      <c r="H911" s="197"/>
      <c r="I911" s="197"/>
      <c r="J911" s="197"/>
      <c r="K911" s="197"/>
      <c r="L911" s="205" t="str">
        <f>IFERROR(__xludf.DUMMYFUNCTION("IFERROR(
    INDEX(FILTER('Arrived Shipments'!O:O, 'Arrived Shipments'!B:B=$B911),1),
    IFERROR(
        INDEX(FILTER('POed not arrived'!D:D, 'POed not arrived'!A:A=$B911),1),
        """"
    )
)"),"")</f>
        <v/>
      </c>
      <c r="M911" s="197"/>
      <c r="N911" s="223" t="str">
        <f>IFERROR(__xludf.DUMMYFUNCTION("IFERROR(
    INDEX(FILTER('Arrived Shipments'!O:O, 'Arrived Shipments'!B:B=$B911),2),
    IFERROR(
        INDEX(FILTER('POed not arrived'!D:D, 'POed not arrived'!A:A=$B911),2),
        """"
    )
)"),"")</f>
        <v/>
      </c>
      <c r="O911" s="197"/>
      <c r="P911" s="202" t="str">
        <f>IFERROR(__xludf.DUMMYFUNCTION("IFERROR(
    INDEX(FILTER('Arrived Shipments'!O:O, 'Arrived Shipments'!B:B=$B911),3),
    IFERROR(
        INDEX(FILTER('POed not arrived'!D:D, 'POed not arrived'!A:A=$B911),3),
        """"
    )
)"),"")</f>
        <v/>
      </c>
      <c r="Q911" s="197"/>
      <c r="R911" s="206" t="str">
        <f>IFERROR(__xludf.DUMMYFUNCTION("IFERROR(
    INDEX(FILTER('Arrived Shipments'!O:O, 'Arrived Shipments'!B:B=$B911),4),
    IFERROR(
        INDEX(FILTER('POed not arrived'!D:D, 'POed not arrived'!A:A=$B911),4),
        """"
    )
)"),"")</f>
        <v/>
      </c>
      <c r="S911" s="197"/>
      <c r="T911" s="202">
        <f t="shared" si="8"/>
        <v>0</v>
      </c>
      <c r="U911" s="197"/>
      <c r="V911" s="197"/>
      <c r="W911" s="197"/>
      <c r="X911" s="197"/>
      <c r="Y911" s="197"/>
      <c r="Z911" s="197"/>
      <c r="AA911" s="204" t="str">
        <f t="shared" si="4"/>
        <v/>
      </c>
      <c r="AB911" s="197"/>
      <c r="AC911" s="197"/>
      <c r="AD911" s="197"/>
      <c r="AE911" s="197"/>
      <c r="AF911" s="197"/>
      <c r="AG911" s="197"/>
      <c r="AH911" s="197"/>
      <c r="AI911" s="197"/>
      <c r="AJ911" s="197"/>
      <c r="AK911" s="197"/>
      <c r="AL911" s="197"/>
      <c r="AM911" s="197"/>
      <c r="AN911" s="197"/>
      <c r="AO911" s="197"/>
      <c r="AP911" s="197"/>
      <c r="AQ911" s="197"/>
      <c r="AR911" s="197"/>
      <c r="AS911" s="197"/>
    </row>
    <row r="912">
      <c r="A912" s="198"/>
      <c r="B912" s="197"/>
      <c r="C912" s="197"/>
      <c r="D912" s="197"/>
      <c r="E912" s="197"/>
      <c r="F912" s="197"/>
      <c r="G912" s="197"/>
      <c r="H912" s="197"/>
      <c r="I912" s="197"/>
      <c r="J912" s="197"/>
      <c r="K912" s="197"/>
      <c r="L912" s="205" t="str">
        <f>IFERROR(__xludf.DUMMYFUNCTION("IFERROR(
    INDEX(FILTER('Arrived Shipments'!O:O, 'Arrived Shipments'!B:B=$B912),1),
    IFERROR(
        INDEX(FILTER('POed not arrived'!D:D, 'POed not arrived'!A:A=$B912),1),
        """"
    )
)"),"")</f>
        <v/>
      </c>
      <c r="M912" s="197"/>
      <c r="N912" s="223" t="str">
        <f>IFERROR(__xludf.DUMMYFUNCTION("IFERROR(
    INDEX(FILTER('Arrived Shipments'!O:O, 'Arrived Shipments'!B:B=$B912),2),
    IFERROR(
        INDEX(FILTER('POed not arrived'!D:D, 'POed not arrived'!A:A=$B912),2),
        """"
    )
)"),"")</f>
        <v/>
      </c>
      <c r="O912" s="197"/>
      <c r="P912" s="202" t="str">
        <f>IFERROR(__xludf.DUMMYFUNCTION("IFERROR(
    INDEX(FILTER('Arrived Shipments'!O:O, 'Arrived Shipments'!B:B=$B912),3),
    IFERROR(
        INDEX(FILTER('POed not arrived'!D:D, 'POed not arrived'!A:A=$B912),3),
        """"
    )
)"),"")</f>
        <v/>
      </c>
      <c r="Q912" s="197"/>
      <c r="R912" s="206" t="str">
        <f>IFERROR(__xludf.DUMMYFUNCTION("IFERROR(
    INDEX(FILTER('Arrived Shipments'!O:O, 'Arrived Shipments'!B:B=$B912),4),
    IFERROR(
        INDEX(FILTER('POed not arrived'!D:D, 'POed not arrived'!A:A=$B912),4),
        """"
    )
)"),"")</f>
        <v/>
      </c>
      <c r="S912" s="197"/>
      <c r="T912" s="202">
        <f t="shared" si="8"/>
        <v>0</v>
      </c>
      <c r="U912" s="197"/>
      <c r="V912" s="197"/>
      <c r="W912" s="197"/>
      <c r="X912" s="197"/>
      <c r="Y912" s="197"/>
      <c r="Z912" s="197"/>
      <c r="AA912" s="204" t="str">
        <f t="shared" si="4"/>
        <v/>
      </c>
      <c r="AB912" s="197"/>
      <c r="AC912" s="197"/>
      <c r="AD912" s="197"/>
      <c r="AE912" s="197"/>
      <c r="AF912" s="197"/>
      <c r="AG912" s="197"/>
      <c r="AH912" s="197"/>
      <c r="AI912" s="197"/>
      <c r="AJ912" s="197"/>
      <c r="AK912" s="197"/>
      <c r="AL912" s="197"/>
      <c r="AM912" s="197"/>
      <c r="AN912" s="197"/>
      <c r="AO912" s="197"/>
      <c r="AP912" s="197"/>
      <c r="AQ912" s="197"/>
      <c r="AR912" s="197"/>
      <c r="AS912" s="197"/>
    </row>
    <row r="913">
      <c r="A913" s="198"/>
      <c r="B913" s="197"/>
      <c r="C913" s="197"/>
      <c r="D913" s="197"/>
      <c r="E913" s="197"/>
      <c r="F913" s="197"/>
      <c r="G913" s="197"/>
      <c r="H913" s="197"/>
      <c r="I913" s="197"/>
      <c r="J913" s="197"/>
      <c r="K913" s="197"/>
      <c r="L913" s="205" t="str">
        <f>IFERROR(__xludf.DUMMYFUNCTION("IFERROR(
    INDEX(FILTER('Arrived Shipments'!O:O, 'Arrived Shipments'!B:B=$B913),1),
    IFERROR(
        INDEX(FILTER('POed not arrived'!D:D, 'POed not arrived'!A:A=$B913),1),
        """"
    )
)"),"")</f>
        <v/>
      </c>
      <c r="M913" s="197"/>
      <c r="N913" s="223" t="str">
        <f>IFERROR(__xludf.DUMMYFUNCTION("IFERROR(
    INDEX(FILTER('Arrived Shipments'!O:O, 'Arrived Shipments'!B:B=$B913),2),
    IFERROR(
        INDEX(FILTER('POed not arrived'!D:D, 'POed not arrived'!A:A=$B913),2),
        """"
    )
)"),"")</f>
        <v/>
      </c>
      <c r="O913" s="197"/>
      <c r="P913" s="202" t="str">
        <f>IFERROR(__xludf.DUMMYFUNCTION("IFERROR(
    INDEX(FILTER('Arrived Shipments'!O:O, 'Arrived Shipments'!B:B=$B913),3),
    IFERROR(
        INDEX(FILTER('POed not arrived'!D:D, 'POed not arrived'!A:A=$B913),3),
        """"
    )
)"),"")</f>
        <v/>
      </c>
      <c r="Q913" s="197"/>
      <c r="R913" s="206" t="str">
        <f>IFERROR(__xludf.DUMMYFUNCTION("IFERROR(
    INDEX(FILTER('Arrived Shipments'!O:O, 'Arrived Shipments'!B:B=$B913),4),
    IFERROR(
        INDEX(FILTER('POed not arrived'!D:D, 'POed not arrived'!A:A=$B913),4),
        """"
    )
)"),"")</f>
        <v/>
      </c>
      <c r="S913" s="197"/>
      <c r="T913" s="202">
        <f t="shared" si="8"/>
        <v>0</v>
      </c>
      <c r="U913" s="197"/>
      <c r="V913" s="197"/>
      <c r="W913" s="197"/>
      <c r="X913" s="197"/>
      <c r="Y913" s="197"/>
      <c r="Z913" s="197"/>
      <c r="AA913" s="204" t="str">
        <f t="shared" si="4"/>
        <v/>
      </c>
      <c r="AB913" s="197"/>
      <c r="AC913" s="197"/>
      <c r="AD913" s="197"/>
      <c r="AE913" s="197"/>
      <c r="AF913" s="197"/>
      <c r="AG913" s="197"/>
      <c r="AH913" s="197"/>
      <c r="AI913" s="197"/>
      <c r="AJ913" s="197"/>
      <c r="AK913" s="197"/>
      <c r="AL913" s="197"/>
      <c r="AM913" s="197"/>
      <c r="AN913" s="197"/>
      <c r="AO913" s="197"/>
      <c r="AP913" s="197"/>
      <c r="AQ913" s="197"/>
      <c r="AR913" s="197"/>
      <c r="AS913" s="197"/>
    </row>
    <row r="914">
      <c r="A914" s="198"/>
      <c r="B914" s="197"/>
      <c r="C914" s="197"/>
      <c r="D914" s="197"/>
      <c r="E914" s="197"/>
      <c r="F914" s="197"/>
      <c r="G914" s="197"/>
      <c r="H914" s="197"/>
      <c r="I914" s="197"/>
      <c r="J914" s="197"/>
      <c r="K914" s="197"/>
      <c r="L914" s="205" t="str">
        <f>IFERROR(__xludf.DUMMYFUNCTION("IFERROR(
    INDEX(FILTER('Arrived Shipments'!O:O, 'Arrived Shipments'!B:B=$B914),1),
    IFERROR(
        INDEX(FILTER('POed not arrived'!D:D, 'POed not arrived'!A:A=$B914),1),
        """"
    )
)"),"")</f>
        <v/>
      </c>
      <c r="M914" s="197"/>
      <c r="N914" s="223" t="str">
        <f>IFERROR(__xludf.DUMMYFUNCTION("IFERROR(
    INDEX(FILTER('Arrived Shipments'!O:O, 'Arrived Shipments'!B:B=$B914),2),
    IFERROR(
        INDEX(FILTER('POed not arrived'!D:D, 'POed not arrived'!A:A=$B914),2),
        """"
    )
)"),"")</f>
        <v/>
      </c>
      <c r="O914" s="197"/>
      <c r="P914" s="202" t="str">
        <f>IFERROR(__xludf.DUMMYFUNCTION("IFERROR(
    INDEX(FILTER('Arrived Shipments'!O:O, 'Arrived Shipments'!B:B=$B914),3),
    IFERROR(
        INDEX(FILTER('POed not arrived'!D:D, 'POed not arrived'!A:A=$B914),3),
        """"
    )
)"),"")</f>
        <v/>
      </c>
      <c r="Q914" s="197"/>
      <c r="R914" s="206" t="str">
        <f>IFERROR(__xludf.DUMMYFUNCTION("IFERROR(
    INDEX(FILTER('Arrived Shipments'!O:O, 'Arrived Shipments'!B:B=$B914),4),
    IFERROR(
        INDEX(FILTER('POed not arrived'!D:D, 'POed not arrived'!A:A=$B914),4),
        """"
    )
)"),"")</f>
        <v/>
      </c>
      <c r="S914" s="197"/>
      <c r="T914" s="202">
        <f t="shared" si="8"/>
        <v>0</v>
      </c>
      <c r="U914" s="197"/>
      <c r="V914" s="197"/>
      <c r="W914" s="197"/>
      <c r="X914" s="197"/>
      <c r="Y914" s="197"/>
      <c r="Z914" s="197"/>
      <c r="AA914" s="204" t="str">
        <f t="shared" si="4"/>
        <v/>
      </c>
      <c r="AB914" s="197"/>
      <c r="AC914" s="197"/>
      <c r="AD914" s="197"/>
      <c r="AE914" s="197"/>
      <c r="AF914" s="197"/>
      <c r="AG914" s="197"/>
      <c r="AH914" s="197"/>
      <c r="AI914" s="197"/>
      <c r="AJ914" s="197"/>
      <c r="AK914" s="197"/>
      <c r="AL914" s="197"/>
      <c r="AM914" s="197"/>
      <c r="AN914" s="197"/>
      <c r="AO914" s="197"/>
      <c r="AP914" s="197"/>
      <c r="AQ914" s="197"/>
      <c r="AR914" s="197"/>
      <c r="AS914" s="197"/>
    </row>
    <row r="915">
      <c r="A915" s="198"/>
      <c r="B915" s="197"/>
      <c r="C915" s="197"/>
      <c r="D915" s="197"/>
      <c r="E915" s="197"/>
      <c r="F915" s="197"/>
      <c r="G915" s="197"/>
      <c r="H915" s="197"/>
      <c r="I915" s="197"/>
      <c r="J915" s="197"/>
      <c r="K915" s="197"/>
      <c r="L915" s="205" t="str">
        <f>IFERROR(__xludf.DUMMYFUNCTION("IFERROR(
    INDEX(FILTER('Arrived Shipments'!O:O, 'Arrived Shipments'!B:B=$B915),1),
    IFERROR(
        INDEX(FILTER('POed not arrived'!D:D, 'POed not arrived'!A:A=$B915),1),
        """"
    )
)"),"")</f>
        <v/>
      </c>
      <c r="M915" s="197"/>
      <c r="N915" s="223" t="str">
        <f>IFERROR(__xludf.DUMMYFUNCTION("IFERROR(
    INDEX(FILTER('Arrived Shipments'!O:O, 'Arrived Shipments'!B:B=$B915),2),
    IFERROR(
        INDEX(FILTER('POed not arrived'!D:D, 'POed not arrived'!A:A=$B915),2),
        """"
    )
)"),"")</f>
        <v/>
      </c>
      <c r="O915" s="197"/>
      <c r="P915" s="202" t="str">
        <f>IFERROR(__xludf.DUMMYFUNCTION("IFERROR(
    INDEX(FILTER('Arrived Shipments'!O:O, 'Arrived Shipments'!B:B=$B915),3),
    IFERROR(
        INDEX(FILTER('POed not arrived'!D:D, 'POed not arrived'!A:A=$B915),3),
        """"
    )
)"),"")</f>
        <v/>
      </c>
      <c r="Q915" s="197"/>
      <c r="R915" s="206" t="str">
        <f>IFERROR(__xludf.DUMMYFUNCTION("IFERROR(
    INDEX(FILTER('Arrived Shipments'!O:O, 'Arrived Shipments'!B:B=$B915),4),
    IFERROR(
        INDEX(FILTER('POed not arrived'!D:D, 'POed not arrived'!A:A=$B915),4),
        """"
    )
)"),"")</f>
        <v/>
      </c>
      <c r="S915" s="197"/>
      <c r="T915" s="202">
        <f t="shared" si="8"/>
        <v>0</v>
      </c>
      <c r="U915" s="197"/>
      <c r="V915" s="197"/>
      <c r="W915" s="197"/>
      <c r="X915" s="197"/>
      <c r="Y915" s="197"/>
      <c r="Z915" s="197"/>
      <c r="AA915" s="204" t="str">
        <f t="shared" si="4"/>
        <v/>
      </c>
      <c r="AB915" s="197"/>
      <c r="AC915" s="197"/>
      <c r="AD915" s="197"/>
      <c r="AE915" s="197"/>
      <c r="AF915" s="197"/>
      <c r="AG915" s="197"/>
      <c r="AH915" s="197"/>
      <c r="AI915" s="197"/>
      <c r="AJ915" s="197"/>
      <c r="AK915" s="197"/>
      <c r="AL915" s="197"/>
      <c r="AM915" s="197"/>
      <c r="AN915" s="197"/>
      <c r="AO915" s="197"/>
      <c r="AP915" s="197"/>
      <c r="AQ915" s="197"/>
      <c r="AR915" s="197"/>
      <c r="AS915" s="197"/>
    </row>
    <row r="916">
      <c r="A916" s="198"/>
      <c r="B916" s="197"/>
      <c r="C916" s="197"/>
      <c r="D916" s="197"/>
      <c r="E916" s="197"/>
      <c r="F916" s="197"/>
      <c r="G916" s="197"/>
      <c r="H916" s="197"/>
      <c r="I916" s="197"/>
      <c r="J916" s="197"/>
      <c r="K916" s="197"/>
      <c r="L916" s="205" t="str">
        <f>IFERROR(__xludf.DUMMYFUNCTION("IFERROR(
    INDEX(FILTER('Arrived Shipments'!O:O, 'Arrived Shipments'!B:B=$B916),1),
    IFERROR(
        INDEX(FILTER('POed not arrived'!D:D, 'POed not arrived'!A:A=$B916),1),
        """"
    )
)"),"")</f>
        <v/>
      </c>
      <c r="M916" s="197"/>
      <c r="N916" s="223" t="str">
        <f>IFERROR(__xludf.DUMMYFUNCTION("IFERROR(
    INDEX(FILTER('Arrived Shipments'!O:O, 'Arrived Shipments'!B:B=$B916),2),
    IFERROR(
        INDEX(FILTER('POed not arrived'!D:D, 'POed not arrived'!A:A=$B916),2),
        """"
    )
)"),"")</f>
        <v/>
      </c>
      <c r="O916" s="197"/>
      <c r="P916" s="202" t="str">
        <f>IFERROR(__xludf.DUMMYFUNCTION("IFERROR(
    INDEX(FILTER('Arrived Shipments'!O:O, 'Arrived Shipments'!B:B=$B916),3),
    IFERROR(
        INDEX(FILTER('POed not arrived'!D:D, 'POed not arrived'!A:A=$B916),3),
        """"
    )
)"),"")</f>
        <v/>
      </c>
      <c r="Q916" s="197"/>
      <c r="R916" s="206" t="str">
        <f>IFERROR(__xludf.DUMMYFUNCTION("IFERROR(
    INDEX(FILTER('Arrived Shipments'!O:O, 'Arrived Shipments'!B:B=$B916),4),
    IFERROR(
        INDEX(FILTER('POed not arrived'!D:D, 'POed not arrived'!A:A=$B916),4),
        """"
    )
)"),"")</f>
        <v/>
      </c>
      <c r="S916" s="197"/>
      <c r="T916" s="202">
        <f t="shared" si="8"/>
        <v>0</v>
      </c>
      <c r="U916" s="197"/>
      <c r="V916" s="197"/>
      <c r="W916" s="197"/>
      <c r="X916" s="197"/>
      <c r="Y916" s="197"/>
      <c r="Z916" s="197"/>
      <c r="AA916" s="204" t="str">
        <f t="shared" si="4"/>
        <v/>
      </c>
      <c r="AB916" s="197"/>
      <c r="AC916" s="197"/>
      <c r="AD916" s="197"/>
      <c r="AE916" s="197"/>
      <c r="AF916" s="197"/>
      <c r="AG916" s="197"/>
      <c r="AH916" s="197"/>
      <c r="AI916" s="197"/>
      <c r="AJ916" s="197"/>
      <c r="AK916" s="197"/>
      <c r="AL916" s="197"/>
      <c r="AM916" s="197"/>
      <c r="AN916" s="197"/>
      <c r="AO916" s="197"/>
      <c r="AP916" s="197"/>
      <c r="AQ916" s="197"/>
      <c r="AR916" s="197"/>
      <c r="AS916" s="197"/>
    </row>
    <row r="917">
      <c r="A917" s="198"/>
      <c r="B917" s="197"/>
      <c r="C917" s="197"/>
      <c r="D917" s="197"/>
      <c r="E917" s="197"/>
      <c r="F917" s="197"/>
      <c r="G917" s="197"/>
      <c r="H917" s="197"/>
      <c r="I917" s="197"/>
      <c r="J917" s="197"/>
      <c r="K917" s="197"/>
      <c r="L917" s="205" t="str">
        <f>IFERROR(__xludf.DUMMYFUNCTION("IFERROR(
    INDEX(FILTER('Arrived Shipments'!O:O, 'Arrived Shipments'!B:B=$B917),1),
    IFERROR(
        INDEX(FILTER('POed not arrived'!D:D, 'POed not arrived'!A:A=$B917),1),
        """"
    )
)"),"")</f>
        <v/>
      </c>
      <c r="M917" s="197"/>
      <c r="N917" s="223" t="str">
        <f>IFERROR(__xludf.DUMMYFUNCTION("IFERROR(
    INDEX(FILTER('Arrived Shipments'!O:O, 'Arrived Shipments'!B:B=$B917),2),
    IFERROR(
        INDEX(FILTER('POed not arrived'!D:D, 'POed not arrived'!A:A=$B917),2),
        """"
    )
)"),"")</f>
        <v/>
      </c>
      <c r="O917" s="197"/>
      <c r="P917" s="202" t="str">
        <f>IFERROR(__xludf.DUMMYFUNCTION("IFERROR(
    INDEX(FILTER('Arrived Shipments'!O:O, 'Arrived Shipments'!B:B=$B917),3),
    IFERROR(
        INDEX(FILTER('POed not arrived'!D:D, 'POed not arrived'!A:A=$B917),3),
        """"
    )
)"),"")</f>
        <v/>
      </c>
      <c r="Q917" s="197"/>
      <c r="R917" s="206" t="str">
        <f>IFERROR(__xludf.DUMMYFUNCTION("IFERROR(
    INDEX(FILTER('Arrived Shipments'!O:O, 'Arrived Shipments'!B:B=$B917),4),
    IFERROR(
        INDEX(FILTER('POed not arrived'!D:D, 'POed not arrived'!A:A=$B917),4),
        """"
    )
)"),"")</f>
        <v/>
      </c>
      <c r="S917" s="197"/>
      <c r="T917" s="202">
        <f t="shared" si="8"/>
        <v>0</v>
      </c>
      <c r="U917" s="197"/>
      <c r="V917" s="197"/>
      <c r="W917" s="197"/>
      <c r="X917" s="197"/>
      <c r="Y917" s="197"/>
      <c r="Z917" s="197"/>
      <c r="AA917" s="204" t="str">
        <f t="shared" si="4"/>
        <v/>
      </c>
      <c r="AB917" s="197"/>
      <c r="AC917" s="197"/>
      <c r="AD917" s="197"/>
      <c r="AE917" s="197"/>
      <c r="AF917" s="197"/>
      <c r="AG917" s="197"/>
      <c r="AH917" s="197"/>
      <c r="AI917" s="197"/>
      <c r="AJ917" s="197"/>
      <c r="AK917" s="197"/>
      <c r="AL917" s="197"/>
      <c r="AM917" s="197"/>
      <c r="AN917" s="197"/>
      <c r="AO917" s="197"/>
      <c r="AP917" s="197"/>
      <c r="AQ917" s="197"/>
      <c r="AR917" s="197"/>
      <c r="AS917" s="197"/>
    </row>
    <row r="918">
      <c r="A918" s="198"/>
      <c r="B918" s="197"/>
      <c r="C918" s="197"/>
      <c r="D918" s="197"/>
      <c r="E918" s="197"/>
      <c r="F918" s="197"/>
      <c r="G918" s="197"/>
      <c r="H918" s="197"/>
      <c r="I918" s="197"/>
      <c r="J918" s="197"/>
      <c r="K918" s="197"/>
      <c r="L918" s="205" t="str">
        <f>IFERROR(__xludf.DUMMYFUNCTION("IFERROR(
    INDEX(FILTER('Arrived Shipments'!O:O, 'Arrived Shipments'!B:B=$B918),1),
    IFERROR(
        INDEX(FILTER('POed not arrived'!D:D, 'POed not arrived'!A:A=$B918),1),
        """"
    )
)"),"")</f>
        <v/>
      </c>
      <c r="M918" s="197"/>
      <c r="N918" s="223" t="str">
        <f>IFERROR(__xludf.DUMMYFUNCTION("IFERROR(
    INDEX(FILTER('Arrived Shipments'!O:O, 'Arrived Shipments'!B:B=$B918),2),
    IFERROR(
        INDEX(FILTER('POed not arrived'!D:D, 'POed not arrived'!A:A=$B918),2),
        """"
    )
)"),"")</f>
        <v/>
      </c>
      <c r="O918" s="197"/>
      <c r="P918" s="202" t="str">
        <f>IFERROR(__xludf.DUMMYFUNCTION("IFERROR(
    INDEX(FILTER('Arrived Shipments'!O:O, 'Arrived Shipments'!B:B=$B918),3),
    IFERROR(
        INDEX(FILTER('POed not arrived'!D:D, 'POed not arrived'!A:A=$B918),3),
        """"
    )
)"),"")</f>
        <v/>
      </c>
      <c r="Q918" s="197"/>
      <c r="R918" s="206" t="str">
        <f>IFERROR(__xludf.DUMMYFUNCTION("IFERROR(
    INDEX(FILTER('Arrived Shipments'!O:O, 'Arrived Shipments'!B:B=$B918),4),
    IFERROR(
        INDEX(FILTER('POed not arrived'!D:D, 'POed not arrived'!A:A=$B918),4),
        """"
    )
)"),"")</f>
        <v/>
      </c>
      <c r="S918" s="197"/>
      <c r="T918" s="202">
        <f t="shared" si="8"/>
        <v>0</v>
      </c>
      <c r="U918" s="197"/>
      <c r="V918" s="197"/>
      <c r="W918" s="197"/>
      <c r="X918" s="197"/>
      <c r="Y918" s="197"/>
      <c r="Z918" s="197"/>
      <c r="AA918" s="204" t="str">
        <f t="shared" si="4"/>
        <v/>
      </c>
      <c r="AB918" s="197"/>
      <c r="AC918" s="197"/>
      <c r="AD918" s="197"/>
      <c r="AE918" s="197"/>
      <c r="AF918" s="197"/>
      <c r="AG918" s="197"/>
      <c r="AH918" s="197"/>
      <c r="AI918" s="197"/>
      <c r="AJ918" s="197"/>
      <c r="AK918" s="197"/>
      <c r="AL918" s="197"/>
      <c r="AM918" s="197"/>
      <c r="AN918" s="197"/>
      <c r="AO918" s="197"/>
      <c r="AP918" s="197"/>
      <c r="AQ918" s="197"/>
      <c r="AR918" s="197"/>
      <c r="AS918" s="197"/>
    </row>
    <row r="919">
      <c r="A919" s="198"/>
      <c r="B919" s="197"/>
      <c r="C919" s="197"/>
      <c r="D919" s="197"/>
      <c r="E919" s="197"/>
      <c r="F919" s="197"/>
      <c r="G919" s="197"/>
      <c r="H919" s="197"/>
      <c r="I919" s="197"/>
      <c r="J919" s="197"/>
      <c r="K919" s="197"/>
      <c r="L919" s="205" t="str">
        <f>IFERROR(__xludf.DUMMYFUNCTION("IFERROR(
    INDEX(FILTER('Arrived Shipments'!O:O, 'Arrived Shipments'!B:B=$B919),1),
    IFERROR(
        INDEX(FILTER('POed not arrived'!D:D, 'POed not arrived'!A:A=$B919),1),
        """"
    )
)"),"")</f>
        <v/>
      </c>
      <c r="M919" s="197"/>
      <c r="N919" s="223" t="str">
        <f>IFERROR(__xludf.DUMMYFUNCTION("IFERROR(
    INDEX(FILTER('Arrived Shipments'!O:O, 'Arrived Shipments'!B:B=$B919),2),
    IFERROR(
        INDEX(FILTER('POed not arrived'!D:D, 'POed not arrived'!A:A=$B919),2),
        """"
    )
)"),"")</f>
        <v/>
      </c>
      <c r="O919" s="197"/>
      <c r="P919" s="202" t="str">
        <f>IFERROR(__xludf.DUMMYFUNCTION("IFERROR(
    INDEX(FILTER('Arrived Shipments'!O:O, 'Arrived Shipments'!B:B=$B919),3),
    IFERROR(
        INDEX(FILTER('POed not arrived'!D:D, 'POed not arrived'!A:A=$B919),3),
        """"
    )
)"),"")</f>
        <v/>
      </c>
      <c r="Q919" s="197"/>
      <c r="R919" s="206" t="str">
        <f>IFERROR(__xludf.DUMMYFUNCTION("IFERROR(
    INDEX(FILTER('Arrived Shipments'!O:O, 'Arrived Shipments'!B:B=$B919),4),
    IFERROR(
        INDEX(FILTER('POed not arrived'!D:D, 'POed not arrived'!A:A=$B919),4),
        """"
    )
)"),"")</f>
        <v/>
      </c>
      <c r="S919" s="197"/>
      <c r="T919" s="202">
        <f t="shared" si="8"/>
        <v>0</v>
      </c>
      <c r="U919" s="197"/>
      <c r="V919" s="197"/>
      <c r="W919" s="197"/>
      <c r="X919" s="197"/>
      <c r="Y919" s="197"/>
      <c r="Z919" s="197"/>
      <c r="AA919" s="204" t="str">
        <f t="shared" si="4"/>
        <v/>
      </c>
      <c r="AB919" s="197"/>
      <c r="AC919" s="197"/>
      <c r="AD919" s="197"/>
      <c r="AE919" s="197"/>
      <c r="AF919" s="197"/>
      <c r="AG919" s="197"/>
      <c r="AH919" s="197"/>
      <c r="AI919" s="197"/>
      <c r="AJ919" s="197"/>
      <c r="AK919" s="197"/>
      <c r="AL919" s="197"/>
      <c r="AM919" s="197"/>
      <c r="AN919" s="197"/>
      <c r="AO919" s="197"/>
      <c r="AP919" s="197"/>
      <c r="AQ919" s="197"/>
      <c r="AR919" s="197"/>
      <c r="AS919" s="197"/>
    </row>
    <row r="920">
      <c r="A920" s="198"/>
      <c r="B920" s="197"/>
      <c r="C920" s="197"/>
      <c r="D920" s="197"/>
      <c r="E920" s="197"/>
      <c r="F920" s="197"/>
      <c r="G920" s="197"/>
      <c r="H920" s="197"/>
      <c r="I920" s="197"/>
      <c r="J920" s="197"/>
      <c r="K920" s="197"/>
      <c r="L920" s="205" t="str">
        <f>IFERROR(__xludf.DUMMYFUNCTION("IFERROR(
    INDEX(FILTER('Arrived Shipments'!O:O, 'Arrived Shipments'!B:B=$B920),1),
    IFERROR(
        INDEX(FILTER('POed not arrived'!D:D, 'POed not arrived'!A:A=$B920),1),
        """"
    )
)"),"")</f>
        <v/>
      </c>
      <c r="M920" s="197"/>
      <c r="N920" s="223" t="str">
        <f>IFERROR(__xludf.DUMMYFUNCTION("IFERROR(
    INDEX(FILTER('Arrived Shipments'!O:O, 'Arrived Shipments'!B:B=$B920),2),
    IFERROR(
        INDEX(FILTER('POed not arrived'!D:D, 'POed not arrived'!A:A=$B920),2),
        """"
    )
)"),"")</f>
        <v/>
      </c>
      <c r="O920" s="197"/>
      <c r="P920" s="202" t="str">
        <f>IFERROR(__xludf.DUMMYFUNCTION("IFERROR(
    INDEX(FILTER('Arrived Shipments'!O:O, 'Arrived Shipments'!B:B=$B920),3),
    IFERROR(
        INDEX(FILTER('POed not arrived'!D:D, 'POed not arrived'!A:A=$B920),3),
        """"
    )
)"),"")</f>
        <v/>
      </c>
      <c r="Q920" s="197"/>
      <c r="R920" s="206" t="str">
        <f>IFERROR(__xludf.DUMMYFUNCTION("IFERROR(
    INDEX(FILTER('Arrived Shipments'!O:O, 'Arrived Shipments'!B:B=$B920),4),
    IFERROR(
        INDEX(FILTER('POed not arrived'!D:D, 'POed not arrived'!A:A=$B920),4),
        """"
    )
)"),"")</f>
        <v/>
      </c>
      <c r="S920" s="197"/>
      <c r="T920" s="202">
        <f t="shared" si="8"/>
        <v>0</v>
      </c>
      <c r="U920" s="197"/>
      <c r="V920" s="197"/>
      <c r="W920" s="197"/>
      <c r="X920" s="197"/>
      <c r="Y920" s="197"/>
      <c r="Z920" s="197"/>
      <c r="AA920" s="204" t="str">
        <f t="shared" si="4"/>
        <v/>
      </c>
      <c r="AB920" s="197"/>
      <c r="AC920" s="197"/>
      <c r="AD920" s="197"/>
      <c r="AE920" s="197"/>
      <c r="AF920" s="197"/>
      <c r="AG920" s="197"/>
      <c r="AH920" s="197"/>
      <c r="AI920" s="197"/>
      <c r="AJ920" s="197"/>
      <c r="AK920" s="197"/>
      <c r="AL920" s="197"/>
      <c r="AM920" s="197"/>
      <c r="AN920" s="197"/>
      <c r="AO920" s="197"/>
      <c r="AP920" s="197"/>
      <c r="AQ920" s="197"/>
      <c r="AR920" s="197"/>
      <c r="AS920" s="197"/>
    </row>
    <row r="921">
      <c r="A921" s="198"/>
      <c r="B921" s="197"/>
      <c r="C921" s="197"/>
      <c r="D921" s="197"/>
      <c r="E921" s="197"/>
      <c r="F921" s="197"/>
      <c r="G921" s="197"/>
      <c r="H921" s="197"/>
      <c r="I921" s="197"/>
      <c r="J921" s="197"/>
      <c r="K921" s="197"/>
      <c r="L921" s="205" t="str">
        <f>IFERROR(__xludf.DUMMYFUNCTION("IFERROR(
    INDEX(FILTER('Arrived Shipments'!O:O, 'Arrived Shipments'!B:B=$B921),1),
    IFERROR(
        INDEX(FILTER('POed not arrived'!D:D, 'POed not arrived'!A:A=$B921),1),
        """"
    )
)"),"")</f>
        <v/>
      </c>
      <c r="M921" s="197"/>
      <c r="N921" s="223" t="str">
        <f>IFERROR(__xludf.DUMMYFUNCTION("IFERROR(
    INDEX(FILTER('Arrived Shipments'!O:O, 'Arrived Shipments'!B:B=$B921),2),
    IFERROR(
        INDEX(FILTER('POed not arrived'!D:D, 'POed not arrived'!A:A=$B921),2),
        """"
    )
)"),"")</f>
        <v/>
      </c>
      <c r="O921" s="197"/>
      <c r="P921" s="202" t="str">
        <f>IFERROR(__xludf.DUMMYFUNCTION("IFERROR(
    INDEX(FILTER('Arrived Shipments'!O:O, 'Arrived Shipments'!B:B=$B921),3),
    IFERROR(
        INDEX(FILTER('POed not arrived'!D:D, 'POed not arrived'!A:A=$B921),3),
        """"
    )
)"),"")</f>
        <v/>
      </c>
      <c r="Q921" s="197"/>
      <c r="R921" s="206" t="str">
        <f>IFERROR(__xludf.DUMMYFUNCTION("IFERROR(
    INDEX(FILTER('Arrived Shipments'!O:O, 'Arrived Shipments'!B:B=$B921),4),
    IFERROR(
        INDEX(FILTER('POed not arrived'!D:D, 'POed not arrived'!A:A=$B921),4),
        """"
    )
)"),"")</f>
        <v/>
      </c>
      <c r="S921" s="197"/>
      <c r="T921" s="202">
        <f t="shared" si="8"/>
        <v>0</v>
      </c>
      <c r="U921" s="197"/>
      <c r="V921" s="197"/>
      <c r="W921" s="197"/>
      <c r="X921" s="197"/>
      <c r="Y921" s="197"/>
      <c r="Z921" s="197"/>
      <c r="AA921" s="204" t="str">
        <f t="shared" si="4"/>
        <v/>
      </c>
      <c r="AB921" s="197"/>
      <c r="AC921" s="197"/>
      <c r="AD921" s="197"/>
      <c r="AE921" s="197"/>
      <c r="AF921" s="197"/>
      <c r="AG921" s="197"/>
      <c r="AH921" s="197"/>
      <c r="AI921" s="197"/>
      <c r="AJ921" s="197"/>
      <c r="AK921" s="197"/>
      <c r="AL921" s="197"/>
      <c r="AM921" s="197"/>
      <c r="AN921" s="197"/>
      <c r="AO921" s="197"/>
      <c r="AP921" s="197"/>
      <c r="AQ921" s="197"/>
      <c r="AR921" s="197"/>
      <c r="AS921" s="197"/>
    </row>
    <row r="922">
      <c r="A922" s="198"/>
      <c r="B922" s="197"/>
      <c r="C922" s="197"/>
      <c r="D922" s="197"/>
      <c r="E922" s="197"/>
      <c r="F922" s="197"/>
      <c r="G922" s="197"/>
      <c r="H922" s="197"/>
      <c r="I922" s="197"/>
      <c r="J922" s="197"/>
      <c r="K922" s="197"/>
      <c r="L922" s="205" t="str">
        <f>IFERROR(__xludf.DUMMYFUNCTION("IFERROR(
    INDEX(FILTER('Arrived Shipments'!O:O, 'Arrived Shipments'!B:B=$B922),1),
    IFERROR(
        INDEX(FILTER('POed not arrived'!D:D, 'POed not arrived'!A:A=$B922),1),
        """"
    )
)"),"")</f>
        <v/>
      </c>
      <c r="M922" s="197"/>
      <c r="N922" s="223" t="str">
        <f>IFERROR(__xludf.DUMMYFUNCTION("IFERROR(
    INDEX(FILTER('Arrived Shipments'!O:O, 'Arrived Shipments'!B:B=$B922),2),
    IFERROR(
        INDEX(FILTER('POed not arrived'!D:D, 'POed not arrived'!A:A=$B922),2),
        """"
    )
)"),"")</f>
        <v/>
      </c>
      <c r="O922" s="197"/>
      <c r="P922" s="202" t="str">
        <f>IFERROR(__xludf.DUMMYFUNCTION("IFERROR(
    INDEX(FILTER('Arrived Shipments'!O:O, 'Arrived Shipments'!B:B=$B922),3),
    IFERROR(
        INDEX(FILTER('POed not arrived'!D:D, 'POed not arrived'!A:A=$B922),3),
        """"
    )
)"),"")</f>
        <v/>
      </c>
      <c r="Q922" s="197"/>
      <c r="R922" s="206" t="str">
        <f>IFERROR(__xludf.DUMMYFUNCTION("IFERROR(
    INDEX(FILTER('Arrived Shipments'!O:O, 'Arrived Shipments'!B:B=$B922),4),
    IFERROR(
        INDEX(FILTER('POed not arrived'!D:D, 'POed not arrived'!A:A=$B922),4),
        """"
    )
)"),"")</f>
        <v/>
      </c>
      <c r="S922" s="197"/>
      <c r="T922" s="202">
        <f t="shared" si="8"/>
        <v>0</v>
      </c>
      <c r="U922" s="197"/>
      <c r="V922" s="197"/>
      <c r="W922" s="197"/>
      <c r="X922" s="197"/>
      <c r="Y922" s="197"/>
      <c r="Z922" s="197"/>
      <c r="AA922" s="204" t="str">
        <f t="shared" si="4"/>
        <v/>
      </c>
      <c r="AB922" s="197"/>
      <c r="AC922" s="197"/>
      <c r="AD922" s="197"/>
      <c r="AE922" s="197"/>
      <c r="AF922" s="197"/>
      <c r="AG922" s="197"/>
      <c r="AH922" s="197"/>
      <c r="AI922" s="197"/>
      <c r="AJ922" s="197"/>
      <c r="AK922" s="197"/>
      <c r="AL922" s="197"/>
      <c r="AM922" s="197"/>
      <c r="AN922" s="197"/>
      <c r="AO922" s="197"/>
      <c r="AP922" s="197"/>
      <c r="AQ922" s="197"/>
      <c r="AR922" s="197"/>
      <c r="AS922" s="197"/>
    </row>
    <row r="923">
      <c r="A923" s="198"/>
      <c r="B923" s="197"/>
      <c r="C923" s="197"/>
      <c r="D923" s="197"/>
      <c r="E923" s="197"/>
      <c r="F923" s="197"/>
      <c r="G923" s="197"/>
      <c r="H923" s="197"/>
      <c r="I923" s="197"/>
      <c r="J923" s="197"/>
      <c r="K923" s="197"/>
      <c r="L923" s="205" t="str">
        <f>IFERROR(__xludf.DUMMYFUNCTION("IFERROR(
    INDEX(FILTER('Arrived Shipments'!O:O, 'Arrived Shipments'!B:B=$B923),1),
    IFERROR(
        INDEX(FILTER('POed not arrived'!D:D, 'POed not arrived'!A:A=$B923),1),
        """"
    )
)"),"")</f>
        <v/>
      </c>
      <c r="M923" s="197"/>
      <c r="N923" s="223" t="str">
        <f>IFERROR(__xludf.DUMMYFUNCTION("IFERROR(
    INDEX(FILTER('Arrived Shipments'!O:O, 'Arrived Shipments'!B:B=$B923),2),
    IFERROR(
        INDEX(FILTER('POed not arrived'!D:D, 'POed not arrived'!A:A=$B923),2),
        """"
    )
)"),"")</f>
        <v/>
      </c>
      <c r="O923" s="197"/>
      <c r="P923" s="202" t="str">
        <f>IFERROR(__xludf.DUMMYFUNCTION("IFERROR(
    INDEX(FILTER('Arrived Shipments'!O:O, 'Arrived Shipments'!B:B=$B923),3),
    IFERROR(
        INDEX(FILTER('POed not arrived'!D:D, 'POed not arrived'!A:A=$B923),3),
        """"
    )
)"),"")</f>
        <v/>
      </c>
      <c r="Q923" s="197"/>
      <c r="R923" s="206" t="str">
        <f>IFERROR(__xludf.DUMMYFUNCTION("IFERROR(
    INDEX(FILTER('Arrived Shipments'!O:O, 'Arrived Shipments'!B:B=$B923),4),
    IFERROR(
        INDEX(FILTER('POed not arrived'!D:D, 'POed not arrived'!A:A=$B923),4),
        """"
    )
)"),"")</f>
        <v/>
      </c>
      <c r="S923" s="197"/>
      <c r="T923" s="202">
        <f t="shared" si="8"/>
        <v>0</v>
      </c>
      <c r="U923" s="197"/>
      <c r="V923" s="197"/>
      <c r="W923" s="197"/>
      <c r="X923" s="197"/>
      <c r="Y923" s="197"/>
      <c r="Z923" s="197"/>
      <c r="AA923" s="204" t="str">
        <f t="shared" si="4"/>
        <v/>
      </c>
      <c r="AB923" s="197"/>
      <c r="AC923" s="197"/>
      <c r="AD923" s="197"/>
      <c r="AE923" s="197"/>
      <c r="AF923" s="197"/>
      <c r="AG923" s="197"/>
      <c r="AH923" s="197"/>
      <c r="AI923" s="197"/>
      <c r="AJ923" s="197"/>
      <c r="AK923" s="197"/>
      <c r="AL923" s="197"/>
      <c r="AM923" s="197"/>
      <c r="AN923" s="197"/>
      <c r="AO923" s="197"/>
      <c r="AP923" s="197"/>
      <c r="AQ923" s="197"/>
      <c r="AR923" s="197"/>
      <c r="AS923" s="197"/>
    </row>
    <row r="924">
      <c r="A924" s="198"/>
      <c r="B924" s="197"/>
      <c r="C924" s="197"/>
      <c r="D924" s="197"/>
      <c r="E924" s="197"/>
      <c r="F924" s="197"/>
      <c r="G924" s="197"/>
      <c r="H924" s="197"/>
      <c r="I924" s="197"/>
      <c r="J924" s="197"/>
      <c r="K924" s="197"/>
      <c r="L924" s="205" t="str">
        <f>IFERROR(__xludf.DUMMYFUNCTION("IFERROR(
    INDEX(FILTER('Arrived Shipments'!O:O, 'Arrived Shipments'!B:B=$B924),1),
    IFERROR(
        INDEX(FILTER('POed not arrived'!D:D, 'POed not arrived'!A:A=$B924),1),
        """"
    )
)"),"")</f>
        <v/>
      </c>
      <c r="M924" s="197"/>
      <c r="N924" s="223" t="str">
        <f>IFERROR(__xludf.DUMMYFUNCTION("IFERROR(
    INDEX(FILTER('Arrived Shipments'!O:O, 'Arrived Shipments'!B:B=$B924),2),
    IFERROR(
        INDEX(FILTER('POed not arrived'!D:D, 'POed not arrived'!A:A=$B924),2),
        """"
    )
)"),"")</f>
        <v/>
      </c>
      <c r="O924" s="197"/>
      <c r="P924" s="202" t="str">
        <f>IFERROR(__xludf.DUMMYFUNCTION("IFERROR(
    INDEX(FILTER('Arrived Shipments'!O:O, 'Arrived Shipments'!B:B=$B924),3),
    IFERROR(
        INDEX(FILTER('POed not arrived'!D:D, 'POed not arrived'!A:A=$B924),3),
        """"
    )
)"),"")</f>
        <v/>
      </c>
      <c r="Q924" s="197"/>
      <c r="R924" s="206" t="str">
        <f>IFERROR(__xludf.DUMMYFUNCTION("IFERROR(
    INDEX(FILTER('Arrived Shipments'!O:O, 'Arrived Shipments'!B:B=$B924),4),
    IFERROR(
        INDEX(FILTER('POed not arrived'!D:D, 'POed not arrived'!A:A=$B924),4),
        """"
    )
)"),"")</f>
        <v/>
      </c>
      <c r="S924" s="197"/>
      <c r="T924" s="202">
        <f t="shared" si="8"/>
        <v>0</v>
      </c>
      <c r="U924" s="197"/>
      <c r="V924" s="197"/>
      <c r="W924" s="197"/>
      <c r="X924" s="197"/>
      <c r="Y924" s="197"/>
      <c r="Z924" s="197"/>
      <c r="AA924" s="204" t="str">
        <f t="shared" si="4"/>
        <v/>
      </c>
      <c r="AB924" s="197"/>
      <c r="AC924" s="197"/>
      <c r="AD924" s="197"/>
      <c r="AE924" s="197"/>
      <c r="AF924" s="197"/>
      <c r="AG924" s="197"/>
      <c r="AH924" s="197"/>
      <c r="AI924" s="197"/>
      <c r="AJ924" s="197"/>
      <c r="AK924" s="197"/>
      <c r="AL924" s="197"/>
      <c r="AM924" s="197"/>
      <c r="AN924" s="197"/>
      <c r="AO924" s="197"/>
      <c r="AP924" s="197"/>
      <c r="AQ924" s="197"/>
      <c r="AR924" s="197"/>
      <c r="AS924" s="197"/>
    </row>
    <row r="925">
      <c r="A925" s="198"/>
      <c r="B925" s="197"/>
      <c r="C925" s="197"/>
      <c r="D925" s="197"/>
      <c r="E925" s="197"/>
      <c r="F925" s="197"/>
      <c r="G925" s="197"/>
      <c r="H925" s="197"/>
      <c r="I925" s="197"/>
      <c r="J925" s="197"/>
      <c r="K925" s="197"/>
      <c r="L925" s="205" t="str">
        <f>IFERROR(__xludf.DUMMYFUNCTION("IFERROR(
    INDEX(FILTER('Arrived Shipments'!O:O, 'Arrived Shipments'!B:B=$B925),1),
    IFERROR(
        INDEX(FILTER('POed not arrived'!D:D, 'POed not arrived'!A:A=$B925),1),
        """"
    )
)"),"")</f>
        <v/>
      </c>
      <c r="M925" s="197"/>
      <c r="N925" s="223" t="str">
        <f>IFERROR(__xludf.DUMMYFUNCTION("IFERROR(
    INDEX(FILTER('Arrived Shipments'!O:O, 'Arrived Shipments'!B:B=$B925),2),
    IFERROR(
        INDEX(FILTER('POed not arrived'!D:D, 'POed not arrived'!A:A=$B925),2),
        """"
    )
)"),"")</f>
        <v/>
      </c>
      <c r="O925" s="197"/>
      <c r="P925" s="202" t="str">
        <f>IFERROR(__xludf.DUMMYFUNCTION("IFERROR(
    INDEX(FILTER('Arrived Shipments'!O:O, 'Arrived Shipments'!B:B=$B925),3),
    IFERROR(
        INDEX(FILTER('POed not arrived'!D:D, 'POed not arrived'!A:A=$B925),3),
        """"
    )
)"),"")</f>
        <v/>
      </c>
      <c r="Q925" s="197"/>
      <c r="R925" s="206" t="str">
        <f>IFERROR(__xludf.DUMMYFUNCTION("IFERROR(
    INDEX(FILTER('Arrived Shipments'!O:O, 'Arrived Shipments'!B:B=$B925),4),
    IFERROR(
        INDEX(FILTER('POed not arrived'!D:D, 'POed not arrived'!A:A=$B925),4),
        """"
    )
)"),"")</f>
        <v/>
      </c>
      <c r="S925" s="197"/>
      <c r="T925" s="202">
        <f t="shared" si="8"/>
        <v>0</v>
      </c>
      <c r="U925" s="197"/>
      <c r="V925" s="197"/>
      <c r="W925" s="197"/>
      <c r="X925" s="197"/>
      <c r="Y925" s="197"/>
      <c r="Z925" s="197"/>
      <c r="AA925" s="204" t="str">
        <f t="shared" si="4"/>
        <v/>
      </c>
      <c r="AB925" s="197"/>
      <c r="AC925" s="197"/>
      <c r="AD925" s="197"/>
      <c r="AE925" s="197"/>
      <c r="AF925" s="197"/>
      <c r="AG925" s="197"/>
      <c r="AH925" s="197"/>
      <c r="AI925" s="197"/>
      <c r="AJ925" s="197"/>
      <c r="AK925" s="197"/>
      <c r="AL925" s="197"/>
      <c r="AM925" s="197"/>
      <c r="AN925" s="197"/>
      <c r="AO925" s="197"/>
      <c r="AP925" s="197"/>
      <c r="AQ925" s="197"/>
      <c r="AR925" s="197"/>
      <c r="AS925" s="197"/>
    </row>
    <row r="926">
      <c r="A926" s="198"/>
      <c r="B926" s="197"/>
      <c r="C926" s="197"/>
      <c r="D926" s="197"/>
      <c r="E926" s="197"/>
      <c r="F926" s="197"/>
      <c r="G926" s="197"/>
      <c r="H926" s="197"/>
      <c r="I926" s="197"/>
      <c r="J926" s="197"/>
      <c r="K926" s="197"/>
      <c r="L926" s="205" t="str">
        <f>IFERROR(__xludf.DUMMYFUNCTION("IFERROR(
    INDEX(FILTER('Arrived Shipments'!O:O, 'Arrived Shipments'!B:B=$B926),1),
    IFERROR(
        INDEX(FILTER('POed not arrived'!D:D, 'POed not arrived'!A:A=$B926),1),
        """"
    )
)"),"")</f>
        <v/>
      </c>
      <c r="M926" s="197"/>
      <c r="N926" s="223" t="str">
        <f>IFERROR(__xludf.DUMMYFUNCTION("IFERROR(
    INDEX(FILTER('Arrived Shipments'!O:O, 'Arrived Shipments'!B:B=$B926),2),
    IFERROR(
        INDEX(FILTER('POed not arrived'!D:D, 'POed not arrived'!A:A=$B926),2),
        """"
    )
)"),"")</f>
        <v/>
      </c>
      <c r="O926" s="197"/>
      <c r="P926" s="202" t="str">
        <f>IFERROR(__xludf.DUMMYFUNCTION("IFERROR(
    INDEX(FILTER('Arrived Shipments'!O:O, 'Arrived Shipments'!B:B=$B926),3),
    IFERROR(
        INDEX(FILTER('POed not arrived'!D:D, 'POed not arrived'!A:A=$B926),3),
        """"
    )
)"),"")</f>
        <v/>
      </c>
      <c r="Q926" s="197"/>
      <c r="R926" s="206" t="str">
        <f>IFERROR(__xludf.DUMMYFUNCTION("IFERROR(
    INDEX(FILTER('Arrived Shipments'!O:O, 'Arrived Shipments'!B:B=$B926),4),
    IFERROR(
        INDEX(FILTER('POed not arrived'!D:D, 'POed not arrived'!A:A=$B926),4),
        """"
    )
)"),"")</f>
        <v/>
      </c>
      <c r="S926" s="197"/>
      <c r="T926" s="202">
        <f t="shared" si="8"/>
        <v>0</v>
      </c>
      <c r="U926" s="197"/>
      <c r="V926" s="197"/>
      <c r="W926" s="197"/>
      <c r="X926" s="197"/>
      <c r="Y926" s="197"/>
      <c r="Z926" s="197"/>
      <c r="AA926" s="204" t="str">
        <f t="shared" si="4"/>
        <v/>
      </c>
      <c r="AB926" s="197"/>
      <c r="AC926" s="197"/>
      <c r="AD926" s="197"/>
      <c r="AE926" s="197"/>
      <c r="AF926" s="197"/>
      <c r="AG926" s="197"/>
      <c r="AH926" s="197"/>
      <c r="AI926" s="197"/>
      <c r="AJ926" s="197"/>
      <c r="AK926" s="197"/>
      <c r="AL926" s="197"/>
      <c r="AM926" s="197"/>
      <c r="AN926" s="197"/>
      <c r="AO926" s="197"/>
      <c r="AP926" s="197"/>
      <c r="AQ926" s="197"/>
      <c r="AR926" s="197"/>
      <c r="AS926" s="197"/>
    </row>
    <row r="927">
      <c r="A927" s="198"/>
      <c r="B927" s="197"/>
      <c r="C927" s="197"/>
      <c r="D927" s="197"/>
      <c r="E927" s="197"/>
      <c r="F927" s="197"/>
      <c r="G927" s="197"/>
      <c r="H927" s="197"/>
      <c r="I927" s="197"/>
      <c r="J927" s="197"/>
      <c r="K927" s="197"/>
      <c r="L927" s="205" t="str">
        <f>IFERROR(__xludf.DUMMYFUNCTION("IFERROR(
    INDEX(FILTER('Arrived Shipments'!O:O, 'Arrived Shipments'!B:B=$B927),1),
    IFERROR(
        INDEX(FILTER('POed not arrived'!D:D, 'POed not arrived'!A:A=$B927),1),
        """"
    )
)"),"")</f>
        <v/>
      </c>
      <c r="M927" s="197"/>
      <c r="N927" s="223" t="str">
        <f>IFERROR(__xludf.DUMMYFUNCTION("IFERROR(
    INDEX(FILTER('Arrived Shipments'!O:O, 'Arrived Shipments'!B:B=$B927),2),
    IFERROR(
        INDEX(FILTER('POed not arrived'!D:D, 'POed not arrived'!A:A=$B927),2),
        """"
    )
)"),"")</f>
        <v/>
      </c>
      <c r="O927" s="197"/>
      <c r="P927" s="202" t="str">
        <f>IFERROR(__xludf.DUMMYFUNCTION("IFERROR(
    INDEX(FILTER('Arrived Shipments'!O:O, 'Arrived Shipments'!B:B=$B927),3),
    IFERROR(
        INDEX(FILTER('POed not arrived'!D:D, 'POed not arrived'!A:A=$B927),3),
        """"
    )
)"),"")</f>
        <v/>
      </c>
      <c r="Q927" s="197"/>
      <c r="R927" s="206" t="str">
        <f>IFERROR(__xludf.DUMMYFUNCTION("IFERROR(
    INDEX(FILTER('Arrived Shipments'!O:O, 'Arrived Shipments'!B:B=$B927),4),
    IFERROR(
        INDEX(FILTER('POed not arrived'!D:D, 'POed not arrived'!A:A=$B927),4),
        """"
    )
)"),"")</f>
        <v/>
      </c>
      <c r="S927" s="197"/>
      <c r="T927" s="202">
        <f t="shared" si="8"/>
        <v>0</v>
      </c>
      <c r="U927" s="197"/>
      <c r="V927" s="197"/>
      <c r="W927" s="197"/>
      <c r="X927" s="197"/>
      <c r="Y927" s="197"/>
      <c r="Z927" s="197"/>
      <c r="AA927" s="204" t="str">
        <f t="shared" si="4"/>
        <v/>
      </c>
      <c r="AB927" s="197"/>
      <c r="AC927" s="197"/>
      <c r="AD927" s="197"/>
      <c r="AE927" s="197"/>
      <c r="AF927" s="197"/>
      <c r="AG927" s="197"/>
      <c r="AH927" s="197"/>
      <c r="AI927" s="197"/>
      <c r="AJ927" s="197"/>
      <c r="AK927" s="197"/>
      <c r="AL927" s="197"/>
      <c r="AM927" s="197"/>
      <c r="AN927" s="197"/>
      <c r="AO927" s="197"/>
      <c r="AP927" s="197"/>
      <c r="AQ927" s="197"/>
      <c r="AR927" s="197"/>
      <c r="AS927" s="197"/>
    </row>
    <row r="928">
      <c r="A928" s="198"/>
      <c r="B928" s="197"/>
      <c r="C928" s="197"/>
      <c r="D928" s="197"/>
      <c r="E928" s="197"/>
      <c r="F928" s="197"/>
      <c r="G928" s="197"/>
      <c r="H928" s="197"/>
      <c r="I928" s="197"/>
      <c r="J928" s="197"/>
      <c r="K928" s="197"/>
      <c r="L928" s="205" t="str">
        <f>IFERROR(__xludf.DUMMYFUNCTION("IFERROR(
    INDEX(FILTER('Arrived Shipments'!O:O, 'Arrived Shipments'!B:B=$B928),1),
    IFERROR(
        INDEX(FILTER('POed not arrived'!D:D, 'POed not arrived'!A:A=$B928),1),
        """"
    )
)"),"")</f>
        <v/>
      </c>
      <c r="M928" s="197"/>
      <c r="N928" s="223" t="str">
        <f>IFERROR(__xludf.DUMMYFUNCTION("IFERROR(
    INDEX(FILTER('Arrived Shipments'!O:O, 'Arrived Shipments'!B:B=$B928),2),
    IFERROR(
        INDEX(FILTER('POed not arrived'!D:D, 'POed not arrived'!A:A=$B928),2),
        """"
    )
)"),"")</f>
        <v/>
      </c>
      <c r="O928" s="197"/>
      <c r="P928" s="202" t="str">
        <f>IFERROR(__xludf.DUMMYFUNCTION("IFERROR(
    INDEX(FILTER('Arrived Shipments'!O:O, 'Arrived Shipments'!B:B=$B928),3),
    IFERROR(
        INDEX(FILTER('POed not arrived'!D:D, 'POed not arrived'!A:A=$B928),3),
        """"
    )
)"),"")</f>
        <v/>
      </c>
      <c r="Q928" s="197"/>
      <c r="R928" s="206" t="str">
        <f>IFERROR(__xludf.DUMMYFUNCTION("IFERROR(
    INDEX(FILTER('Arrived Shipments'!O:O, 'Arrived Shipments'!B:B=$B928),4),
    IFERROR(
        INDEX(FILTER('POed not arrived'!D:D, 'POed not arrived'!A:A=$B928),4),
        """"
    )
)"),"")</f>
        <v/>
      </c>
      <c r="S928" s="197"/>
      <c r="T928" s="202">
        <f t="shared" si="8"/>
        <v>0</v>
      </c>
      <c r="U928" s="197"/>
      <c r="V928" s="197"/>
      <c r="W928" s="197"/>
      <c r="X928" s="197"/>
      <c r="Y928" s="197"/>
      <c r="Z928" s="197"/>
      <c r="AA928" s="204" t="str">
        <f t="shared" si="4"/>
        <v/>
      </c>
      <c r="AB928" s="197"/>
      <c r="AC928" s="197"/>
      <c r="AD928" s="197"/>
      <c r="AE928" s="197"/>
      <c r="AF928" s="197"/>
      <c r="AG928" s="197"/>
      <c r="AH928" s="197"/>
      <c r="AI928" s="197"/>
      <c r="AJ928" s="197"/>
      <c r="AK928" s="197"/>
      <c r="AL928" s="197"/>
      <c r="AM928" s="197"/>
      <c r="AN928" s="197"/>
      <c r="AO928" s="197"/>
      <c r="AP928" s="197"/>
      <c r="AQ928" s="197"/>
      <c r="AR928" s="197"/>
      <c r="AS928" s="197"/>
    </row>
    <row r="929">
      <c r="A929" s="198"/>
      <c r="B929" s="197"/>
      <c r="C929" s="197"/>
      <c r="D929" s="197"/>
      <c r="E929" s="197"/>
      <c r="F929" s="197"/>
      <c r="G929" s="197"/>
      <c r="H929" s="197"/>
      <c r="I929" s="197"/>
      <c r="J929" s="197"/>
      <c r="K929" s="197"/>
      <c r="L929" s="205" t="str">
        <f>IFERROR(__xludf.DUMMYFUNCTION("IFERROR(
    INDEX(FILTER('Arrived Shipments'!O:O, 'Arrived Shipments'!B:B=$B929),1),
    IFERROR(
        INDEX(FILTER('POed not arrived'!D:D, 'POed not arrived'!A:A=$B929),1),
        """"
    )
)"),"")</f>
        <v/>
      </c>
      <c r="M929" s="197"/>
      <c r="N929" s="223" t="str">
        <f>IFERROR(__xludf.DUMMYFUNCTION("IFERROR(
    INDEX(FILTER('Arrived Shipments'!O:O, 'Arrived Shipments'!B:B=$B929),2),
    IFERROR(
        INDEX(FILTER('POed not arrived'!D:D, 'POed not arrived'!A:A=$B929),2),
        """"
    )
)"),"")</f>
        <v/>
      </c>
      <c r="O929" s="197"/>
      <c r="P929" s="202" t="str">
        <f>IFERROR(__xludf.DUMMYFUNCTION("IFERROR(
    INDEX(FILTER('Arrived Shipments'!O:O, 'Arrived Shipments'!B:B=$B929),3),
    IFERROR(
        INDEX(FILTER('POed not arrived'!D:D, 'POed not arrived'!A:A=$B929),3),
        """"
    )
)"),"")</f>
        <v/>
      </c>
      <c r="Q929" s="197"/>
      <c r="R929" s="206" t="str">
        <f>IFERROR(__xludf.DUMMYFUNCTION("IFERROR(
    INDEX(FILTER('Arrived Shipments'!O:O, 'Arrived Shipments'!B:B=$B929),4),
    IFERROR(
        INDEX(FILTER('POed not arrived'!D:D, 'POed not arrived'!A:A=$B929),4),
        """"
    )
)"),"")</f>
        <v/>
      </c>
      <c r="S929" s="197"/>
      <c r="T929" s="202">
        <f t="shared" si="8"/>
        <v>0</v>
      </c>
      <c r="U929" s="197"/>
      <c r="V929" s="197"/>
      <c r="W929" s="197"/>
      <c r="X929" s="197"/>
      <c r="Y929" s="197"/>
      <c r="Z929" s="197"/>
      <c r="AA929" s="204" t="str">
        <f t="shared" si="4"/>
        <v/>
      </c>
      <c r="AB929" s="197"/>
      <c r="AC929" s="197"/>
      <c r="AD929" s="197"/>
      <c r="AE929" s="197"/>
      <c r="AF929" s="197"/>
      <c r="AG929" s="197"/>
      <c r="AH929" s="197"/>
      <c r="AI929" s="197"/>
      <c r="AJ929" s="197"/>
      <c r="AK929" s="197"/>
      <c r="AL929" s="197"/>
      <c r="AM929" s="197"/>
      <c r="AN929" s="197"/>
      <c r="AO929" s="197"/>
      <c r="AP929" s="197"/>
      <c r="AQ929" s="197"/>
      <c r="AR929" s="197"/>
      <c r="AS929" s="197"/>
    </row>
    <row r="930">
      <c r="A930" s="198"/>
      <c r="B930" s="197"/>
      <c r="C930" s="197"/>
      <c r="D930" s="197"/>
      <c r="E930" s="197"/>
      <c r="F930" s="197"/>
      <c r="G930" s="197"/>
      <c r="H930" s="197"/>
      <c r="I930" s="197"/>
      <c r="J930" s="197"/>
      <c r="K930" s="197"/>
      <c r="L930" s="205" t="str">
        <f>IFERROR(__xludf.DUMMYFUNCTION("IFERROR(
    INDEX(FILTER('Arrived Shipments'!O:O, 'Arrived Shipments'!B:B=$B930),1),
    IFERROR(
        INDEX(FILTER('POed not arrived'!D:D, 'POed not arrived'!A:A=$B930),1),
        """"
    )
)"),"")</f>
        <v/>
      </c>
      <c r="M930" s="197"/>
      <c r="N930" s="223" t="str">
        <f>IFERROR(__xludf.DUMMYFUNCTION("IFERROR(
    INDEX(FILTER('Arrived Shipments'!O:O, 'Arrived Shipments'!B:B=$B930),2),
    IFERROR(
        INDEX(FILTER('POed not arrived'!D:D, 'POed not arrived'!A:A=$B930),2),
        """"
    )
)"),"")</f>
        <v/>
      </c>
      <c r="O930" s="197"/>
      <c r="P930" s="202" t="str">
        <f>IFERROR(__xludf.DUMMYFUNCTION("IFERROR(
    INDEX(FILTER('Arrived Shipments'!O:O, 'Arrived Shipments'!B:B=$B930),3),
    IFERROR(
        INDEX(FILTER('POed not arrived'!D:D, 'POed not arrived'!A:A=$B930),3),
        """"
    )
)"),"")</f>
        <v/>
      </c>
      <c r="Q930" s="197"/>
      <c r="R930" s="206" t="str">
        <f>IFERROR(__xludf.DUMMYFUNCTION("IFERROR(
    INDEX(FILTER('Arrived Shipments'!O:O, 'Arrived Shipments'!B:B=$B930),4),
    IFERROR(
        INDEX(FILTER('POed not arrived'!D:D, 'POed not arrived'!A:A=$B930),4),
        """"
    )
)"),"")</f>
        <v/>
      </c>
      <c r="S930" s="197"/>
      <c r="T930" s="202">
        <f t="shared" si="8"/>
        <v>0</v>
      </c>
      <c r="U930" s="197"/>
      <c r="V930" s="197"/>
      <c r="W930" s="197"/>
      <c r="X930" s="197"/>
      <c r="Y930" s="197"/>
      <c r="Z930" s="197"/>
      <c r="AA930" s="204" t="str">
        <f t="shared" si="4"/>
        <v/>
      </c>
      <c r="AB930" s="197"/>
      <c r="AC930" s="197"/>
      <c r="AD930" s="197"/>
      <c r="AE930" s="197"/>
      <c r="AF930" s="197"/>
      <c r="AG930" s="197"/>
      <c r="AH930" s="197"/>
      <c r="AI930" s="197"/>
      <c r="AJ930" s="197"/>
      <c r="AK930" s="197"/>
      <c r="AL930" s="197"/>
      <c r="AM930" s="197"/>
      <c r="AN930" s="197"/>
      <c r="AO930" s="197"/>
      <c r="AP930" s="197"/>
      <c r="AQ930" s="197"/>
      <c r="AR930" s="197"/>
      <c r="AS930" s="197"/>
    </row>
    <row r="931">
      <c r="A931" s="198"/>
      <c r="B931" s="197"/>
      <c r="C931" s="197"/>
      <c r="D931" s="197"/>
      <c r="E931" s="197"/>
      <c r="F931" s="197"/>
      <c r="G931" s="197"/>
      <c r="H931" s="197"/>
      <c r="I931" s="197"/>
      <c r="J931" s="197"/>
      <c r="K931" s="197"/>
      <c r="L931" s="205" t="str">
        <f>IFERROR(__xludf.DUMMYFUNCTION("IFERROR(
    INDEX(FILTER('Arrived Shipments'!O:O, 'Arrived Shipments'!B:B=$B931),1),
    IFERROR(
        INDEX(FILTER('POed not arrived'!D:D, 'POed not arrived'!A:A=$B931),1),
        """"
    )
)"),"")</f>
        <v/>
      </c>
      <c r="M931" s="197"/>
      <c r="N931" s="223" t="str">
        <f>IFERROR(__xludf.DUMMYFUNCTION("IFERROR(
    INDEX(FILTER('Arrived Shipments'!O:O, 'Arrived Shipments'!B:B=$B931),2),
    IFERROR(
        INDEX(FILTER('POed not arrived'!D:D, 'POed not arrived'!A:A=$B931),2),
        """"
    )
)"),"")</f>
        <v/>
      </c>
      <c r="O931" s="197"/>
      <c r="P931" s="202" t="str">
        <f>IFERROR(__xludf.DUMMYFUNCTION("IFERROR(
    INDEX(FILTER('Arrived Shipments'!O:O, 'Arrived Shipments'!B:B=$B931),3),
    IFERROR(
        INDEX(FILTER('POed not arrived'!D:D, 'POed not arrived'!A:A=$B931),3),
        """"
    )
)"),"")</f>
        <v/>
      </c>
      <c r="Q931" s="197"/>
      <c r="R931" s="206" t="str">
        <f>IFERROR(__xludf.DUMMYFUNCTION("IFERROR(
    INDEX(FILTER('Arrived Shipments'!O:O, 'Arrived Shipments'!B:B=$B931),4),
    IFERROR(
        INDEX(FILTER('POed not arrived'!D:D, 'POed not arrived'!A:A=$B931),4),
        """"
    )
)"),"")</f>
        <v/>
      </c>
      <c r="S931" s="197"/>
      <c r="T931" s="202">
        <f t="shared" si="8"/>
        <v>0</v>
      </c>
      <c r="U931" s="197"/>
      <c r="V931" s="197"/>
      <c r="W931" s="197"/>
      <c r="X931" s="197"/>
      <c r="Y931" s="197"/>
      <c r="Z931" s="197"/>
      <c r="AA931" s="204" t="str">
        <f t="shared" si="4"/>
        <v/>
      </c>
      <c r="AB931" s="197"/>
      <c r="AC931" s="197"/>
      <c r="AD931" s="197"/>
      <c r="AE931" s="197"/>
      <c r="AF931" s="197"/>
      <c r="AG931" s="197"/>
      <c r="AH931" s="197"/>
      <c r="AI931" s="197"/>
      <c r="AJ931" s="197"/>
      <c r="AK931" s="197"/>
      <c r="AL931" s="197"/>
      <c r="AM931" s="197"/>
      <c r="AN931" s="197"/>
      <c r="AO931" s="197"/>
      <c r="AP931" s="197"/>
      <c r="AQ931" s="197"/>
      <c r="AR931" s="197"/>
      <c r="AS931" s="197"/>
    </row>
    <row r="932">
      <c r="A932" s="198"/>
      <c r="B932" s="197"/>
      <c r="C932" s="197"/>
      <c r="D932" s="197"/>
      <c r="E932" s="197"/>
      <c r="F932" s="197"/>
      <c r="G932" s="197"/>
      <c r="H932" s="197"/>
      <c r="I932" s="197"/>
      <c r="J932" s="197"/>
      <c r="K932" s="197"/>
      <c r="L932" s="205" t="str">
        <f>IFERROR(__xludf.DUMMYFUNCTION("IFERROR(
    INDEX(FILTER('Arrived Shipments'!O:O, 'Arrived Shipments'!B:B=$B932),1),
    IFERROR(
        INDEX(FILTER('POed not arrived'!D:D, 'POed not arrived'!A:A=$B932),1),
        """"
    )
)"),"")</f>
        <v/>
      </c>
      <c r="M932" s="197"/>
      <c r="N932" s="223" t="str">
        <f>IFERROR(__xludf.DUMMYFUNCTION("IFERROR(
    INDEX(FILTER('Arrived Shipments'!O:O, 'Arrived Shipments'!B:B=$B932),2),
    IFERROR(
        INDEX(FILTER('POed not arrived'!D:D, 'POed not arrived'!A:A=$B932),2),
        """"
    )
)"),"")</f>
        <v/>
      </c>
      <c r="O932" s="197"/>
      <c r="P932" s="202" t="str">
        <f>IFERROR(__xludf.DUMMYFUNCTION("IFERROR(
    INDEX(FILTER('Arrived Shipments'!O:O, 'Arrived Shipments'!B:B=$B932),3),
    IFERROR(
        INDEX(FILTER('POed not arrived'!D:D, 'POed not arrived'!A:A=$B932),3),
        """"
    )
)"),"")</f>
        <v/>
      </c>
      <c r="Q932" s="197"/>
      <c r="R932" s="206" t="str">
        <f>IFERROR(__xludf.DUMMYFUNCTION("IFERROR(
    INDEX(FILTER('Arrived Shipments'!O:O, 'Arrived Shipments'!B:B=$B932),4),
    IFERROR(
        INDEX(FILTER('POed not arrived'!D:D, 'POed not arrived'!A:A=$B932),4),
        """"
    )
)"),"")</f>
        <v/>
      </c>
      <c r="S932" s="197"/>
      <c r="T932" s="202">
        <f t="shared" si="8"/>
        <v>0</v>
      </c>
      <c r="U932" s="197"/>
      <c r="V932" s="197"/>
      <c r="W932" s="197"/>
      <c r="X932" s="197"/>
      <c r="Y932" s="197"/>
      <c r="Z932" s="197"/>
      <c r="AA932" s="204" t="str">
        <f t="shared" si="4"/>
        <v/>
      </c>
      <c r="AB932" s="197"/>
      <c r="AC932" s="197"/>
      <c r="AD932" s="197"/>
      <c r="AE932" s="197"/>
      <c r="AF932" s="197"/>
      <c r="AG932" s="197"/>
      <c r="AH932" s="197"/>
      <c r="AI932" s="197"/>
      <c r="AJ932" s="197"/>
      <c r="AK932" s="197"/>
      <c r="AL932" s="197"/>
      <c r="AM932" s="197"/>
      <c r="AN932" s="197"/>
      <c r="AO932" s="197"/>
      <c r="AP932" s="197"/>
      <c r="AQ932" s="197"/>
      <c r="AR932" s="197"/>
      <c r="AS932" s="197"/>
    </row>
    <row r="933">
      <c r="A933" s="198"/>
      <c r="B933" s="197"/>
      <c r="C933" s="197"/>
      <c r="D933" s="197"/>
      <c r="E933" s="197"/>
      <c r="F933" s="197"/>
      <c r="G933" s="197"/>
      <c r="H933" s="197"/>
      <c r="I933" s="197"/>
      <c r="J933" s="197"/>
      <c r="K933" s="197"/>
      <c r="L933" s="205" t="str">
        <f>IFERROR(__xludf.DUMMYFUNCTION("IFERROR(
    INDEX(FILTER('Arrived Shipments'!O:O, 'Arrived Shipments'!B:B=$B933),1),
    IFERROR(
        INDEX(FILTER('POed not arrived'!D:D, 'POed not arrived'!A:A=$B933),1),
        """"
    )
)"),"")</f>
        <v/>
      </c>
      <c r="M933" s="197"/>
      <c r="N933" s="223" t="str">
        <f>IFERROR(__xludf.DUMMYFUNCTION("IFERROR(
    INDEX(FILTER('Arrived Shipments'!O:O, 'Arrived Shipments'!B:B=$B933),2),
    IFERROR(
        INDEX(FILTER('POed not arrived'!D:D, 'POed not arrived'!A:A=$B933),2),
        """"
    )
)"),"")</f>
        <v/>
      </c>
      <c r="O933" s="197"/>
      <c r="P933" s="202" t="str">
        <f>IFERROR(__xludf.DUMMYFUNCTION("IFERROR(
    INDEX(FILTER('Arrived Shipments'!O:O, 'Arrived Shipments'!B:B=$B933),3),
    IFERROR(
        INDEX(FILTER('POed not arrived'!D:D, 'POed not arrived'!A:A=$B933),3),
        """"
    )
)"),"")</f>
        <v/>
      </c>
      <c r="Q933" s="197"/>
      <c r="R933" s="206" t="str">
        <f>IFERROR(__xludf.DUMMYFUNCTION("IFERROR(
    INDEX(FILTER('Arrived Shipments'!O:O, 'Arrived Shipments'!B:B=$B933),4),
    IFERROR(
        INDEX(FILTER('POed not arrived'!D:D, 'POed not arrived'!A:A=$B933),4),
        """"
    )
)"),"")</f>
        <v/>
      </c>
      <c r="S933" s="197"/>
      <c r="T933" s="202">
        <f t="shared" si="8"/>
        <v>0</v>
      </c>
      <c r="U933" s="197"/>
      <c r="V933" s="197"/>
      <c r="W933" s="197"/>
      <c r="X933" s="197"/>
      <c r="Y933" s="197"/>
      <c r="Z933" s="197"/>
      <c r="AA933" s="204" t="str">
        <f t="shared" si="4"/>
        <v/>
      </c>
      <c r="AB933" s="197"/>
      <c r="AC933" s="197"/>
      <c r="AD933" s="197"/>
      <c r="AE933" s="197"/>
      <c r="AF933" s="197"/>
      <c r="AG933" s="197"/>
      <c r="AH933" s="197"/>
      <c r="AI933" s="197"/>
      <c r="AJ933" s="197"/>
      <c r="AK933" s="197"/>
      <c r="AL933" s="197"/>
      <c r="AM933" s="197"/>
      <c r="AN933" s="197"/>
      <c r="AO933" s="197"/>
      <c r="AP933" s="197"/>
      <c r="AQ933" s="197"/>
      <c r="AR933" s="197"/>
      <c r="AS933" s="197"/>
    </row>
    <row r="934">
      <c r="A934" s="198"/>
      <c r="B934" s="197"/>
      <c r="C934" s="197"/>
      <c r="D934" s="197"/>
      <c r="E934" s="197"/>
      <c r="F934" s="197"/>
      <c r="G934" s="197"/>
      <c r="H934" s="197"/>
      <c r="I934" s="197"/>
      <c r="J934" s="197"/>
      <c r="K934" s="197"/>
      <c r="L934" s="205" t="str">
        <f>IFERROR(__xludf.DUMMYFUNCTION("IFERROR(
    INDEX(FILTER('Arrived Shipments'!O:O, 'Arrived Shipments'!B:B=$B934),1),
    IFERROR(
        INDEX(FILTER('POed not arrived'!D:D, 'POed not arrived'!A:A=$B934),1),
        """"
    )
)"),"")</f>
        <v/>
      </c>
      <c r="M934" s="197"/>
      <c r="N934" s="223" t="str">
        <f>IFERROR(__xludf.DUMMYFUNCTION("IFERROR(
    INDEX(FILTER('Arrived Shipments'!O:O, 'Arrived Shipments'!B:B=$B934),2),
    IFERROR(
        INDEX(FILTER('POed not arrived'!D:D, 'POed not arrived'!A:A=$B934),2),
        """"
    )
)"),"")</f>
        <v/>
      </c>
      <c r="O934" s="197"/>
      <c r="P934" s="202" t="str">
        <f>IFERROR(__xludf.DUMMYFUNCTION("IFERROR(
    INDEX(FILTER('Arrived Shipments'!O:O, 'Arrived Shipments'!B:B=$B934),3),
    IFERROR(
        INDEX(FILTER('POed not arrived'!D:D, 'POed not arrived'!A:A=$B934),3),
        """"
    )
)"),"")</f>
        <v/>
      </c>
      <c r="Q934" s="197"/>
      <c r="R934" s="206" t="str">
        <f>IFERROR(__xludf.DUMMYFUNCTION("IFERROR(
    INDEX(FILTER('Arrived Shipments'!O:O, 'Arrived Shipments'!B:B=$B934),4),
    IFERROR(
        INDEX(FILTER('POed not arrived'!D:D, 'POed not arrived'!A:A=$B934),4),
        """"
    )
)"),"")</f>
        <v/>
      </c>
      <c r="S934" s="197"/>
      <c r="T934" s="202">
        <f t="shared" si="8"/>
        <v>0</v>
      </c>
      <c r="U934" s="197"/>
      <c r="V934" s="197"/>
      <c r="W934" s="197"/>
      <c r="X934" s="197"/>
      <c r="Y934" s="197"/>
      <c r="Z934" s="197"/>
      <c r="AA934" s="204" t="str">
        <f t="shared" si="4"/>
        <v/>
      </c>
      <c r="AB934" s="197"/>
      <c r="AC934" s="197"/>
      <c r="AD934" s="197"/>
      <c r="AE934" s="197"/>
      <c r="AF934" s="197"/>
      <c r="AG934" s="197"/>
      <c r="AH934" s="197"/>
      <c r="AI934" s="197"/>
      <c r="AJ934" s="197"/>
      <c r="AK934" s="197"/>
      <c r="AL934" s="197"/>
      <c r="AM934" s="197"/>
      <c r="AN934" s="197"/>
      <c r="AO934" s="197"/>
      <c r="AP934" s="197"/>
      <c r="AQ934" s="197"/>
      <c r="AR934" s="197"/>
      <c r="AS934" s="197"/>
    </row>
    <row r="935">
      <c r="A935" s="198"/>
      <c r="B935" s="197"/>
      <c r="C935" s="197"/>
      <c r="D935" s="197"/>
      <c r="E935" s="197"/>
      <c r="F935" s="197"/>
      <c r="G935" s="197"/>
      <c r="H935" s="197"/>
      <c r="I935" s="197"/>
      <c r="J935" s="197"/>
      <c r="K935" s="197"/>
      <c r="L935" s="205" t="str">
        <f>IFERROR(__xludf.DUMMYFUNCTION("IFERROR(
    INDEX(FILTER('Arrived Shipments'!O:O, 'Arrived Shipments'!B:B=$B935),1),
    IFERROR(
        INDEX(FILTER('POed not arrived'!D:D, 'POed not arrived'!A:A=$B935),1),
        """"
    )
)"),"")</f>
        <v/>
      </c>
      <c r="M935" s="197"/>
      <c r="N935" s="223" t="str">
        <f>IFERROR(__xludf.DUMMYFUNCTION("IFERROR(
    INDEX(FILTER('Arrived Shipments'!O:O, 'Arrived Shipments'!B:B=$B935),2),
    IFERROR(
        INDEX(FILTER('POed not arrived'!D:D, 'POed not arrived'!A:A=$B935),2),
        """"
    )
)"),"")</f>
        <v/>
      </c>
      <c r="O935" s="197"/>
      <c r="P935" s="202" t="str">
        <f>IFERROR(__xludf.DUMMYFUNCTION("IFERROR(
    INDEX(FILTER('Arrived Shipments'!O:O, 'Arrived Shipments'!B:B=$B935),3),
    IFERROR(
        INDEX(FILTER('POed not arrived'!D:D, 'POed not arrived'!A:A=$B935),3),
        """"
    )
)"),"")</f>
        <v/>
      </c>
      <c r="Q935" s="197"/>
      <c r="R935" s="206" t="str">
        <f>IFERROR(__xludf.DUMMYFUNCTION("IFERROR(
    INDEX(FILTER('Arrived Shipments'!O:O, 'Arrived Shipments'!B:B=$B935),4),
    IFERROR(
        INDEX(FILTER('POed not arrived'!D:D, 'POed not arrived'!A:A=$B935),4),
        """"
    )
)"),"")</f>
        <v/>
      </c>
      <c r="S935" s="197"/>
      <c r="T935" s="202">
        <f t="shared" si="8"/>
        <v>0</v>
      </c>
      <c r="U935" s="197"/>
      <c r="V935" s="197"/>
      <c r="W935" s="197"/>
      <c r="X935" s="197"/>
      <c r="Y935" s="197"/>
      <c r="Z935" s="197"/>
      <c r="AA935" s="204" t="str">
        <f t="shared" si="4"/>
        <v/>
      </c>
      <c r="AB935" s="197"/>
      <c r="AC935" s="197"/>
      <c r="AD935" s="197"/>
      <c r="AE935" s="197"/>
      <c r="AF935" s="197"/>
      <c r="AG935" s="197"/>
      <c r="AH935" s="197"/>
      <c r="AI935" s="197"/>
      <c r="AJ935" s="197"/>
      <c r="AK935" s="197"/>
      <c r="AL935" s="197"/>
      <c r="AM935" s="197"/>
      <c r="AN935" s="197"/>
      <c r="AO935" s="197"/>
      <c r="AP935" s="197"/>
      <c r="AQ935" s="197"/>
      <c r="AR935" s="197"/>
      <c r="AS935" s="197"/>
    </row>
    <row r="936">
      <c r="A936" s="198"/>
      <c r="B936" s="197"/>
      <c r="C936" s="197"/>
      <c r="D936" s="197"/>
      <c r="E936" s="197"/>
      <c r="F936" s="197"/>
      <c r="G936" s="197"/>
      <c r="H936" s="197"/>
      <c r="I936" s="197"/>
      <c r="J936" s="197"/>
      <c r="K936" s="197"/>
      <c r="L936" s="205" t="str">
        <f>IFERROR(__xludf.DUMMYFUNCTION("IFERROR(
    INDEX(FILTER('Arrived Shipments'!O:O, 'Arrived Shipments'!B:B=$B936),1),
    IFERROR(
        INDEX(FILTER('POed not arrived'!D:D, 'POed not arrived'!A:A=$B936),1),
        """"
    )
)"),"")</f>
        <v/>
      </c>
      <c r="M936" s="197"/>
      <c r="N936" s="223" t="str">
        <f>IFERROR(__xludf.DUMMYFUNCTION("IFERROR(
    INDEX(FILTER('Arrived Shipments'!O:O, 'Arrived Shipments'!B:B=$B936),2),
    IFERROR(
        INDEX(FILTER('POed not arrived'!D:D, 'POed not arrived'!A:A=$B936),2),
        """"
    )
)"),"")</f>
        <v/>
      </c>
      <c r="O936" s="197"/>
      <c r="P936" s="202" t="str">
        <f>IFERROR(__xludf.DUMMYFUNCTION("IFERROR(
    INDEX(FILTER('Arrived Shipments'!O:O, 'Arrived Shipments'!B:B=$B936),3),
    IFERROR(
        INDEX(FILTER('POed not arrived'!D:D, 'POed not arrived'!A:A=$B936),3),
        """"
    )
)"),"")</f>
        <v/>
      </c>
      <c r="Q936" s="197"/>
      <c r="R936" s="206" t="str">
        <f>IFERROR(__xludf.DUMMYFUNCTION("IFERROR(
    INDEX(FILTER('Arrived Shipments'!O:O, 'Arrived Shipments'!B:B=$B936),4),
    IFERROR(
        INDEX(FILTER('POed not arrived'!D:D, 'POed not arrived'!A:A=$B936),4),
        """"
    )
)"),"")</f>
        <v/>
      </c>
      <c r="S936" s="197"/>
      <c r="T936" s="202">
        <f t="shared" si="8"/>
        <v>0</v>
      </c>
      <c r="U936" s="197"/>
      <c r="V936" s="197"/>
      <c r="W936" s="197"/>
      <c r="X936" s="197"/>
      <c r="Y936" s="197"/>
      <c r="Z936" s="197"/>
      <c r="AA936" s="204" t="str">
        <f t="shared" si="4"/>
        <v/>
      </c>
      <c r="AB936" s="197"/>
      <c r="AC936" s="197"/>
      <c r="AD936" s="197"/>
      <c r="AE936" s="197"/>
      <c r="AF936" s="197"/>
      <c r="AG936" s="197"/>
      <c r="AH936" s="197"/>
      <c r="AI936" s="197"/>
      <c r="AJ936" s="197"/>
      <c r="AK936" s="197"/>
      <c r="AL936" s="197"/>
      <c r="AM936" s="197"/>
      <c r="AN936" s="197"/>
      <c r="AO936" s="197"/>
      <c r="AP936" s="197"/>
      <c r="AQ936" s="197"/>
      <c r="AR936" s="197"/>
      <c r="AS936" s="197"/>
    </row>
    <row r="937">
      <c r="A937" s="198"/>
      <c r="B937" s="197"/>
      <c r="C937" s="197"/>
      <c r="D937" s="197"/>
      <c r="E937" s="197"/>
      <c r="F937" s="197"/>
      <c r="G937" s="197"/>
      <c r="H937" s="197"/>
      <c r="I937" s="197"/>
      <c r="J937" s="197"/>
      <c r="K937" s="197"/>
      <c r="L937" s="205" t="str">
        <f>IFERROR(__xludf.DUMMYFUNCTION("IFERROR(
    INDEX(FILTER('Arrived Shipments'!O:O, 'Arrived Shipments'!B:B=$B937),1),
    IFERROR(
        INDEX(FILTER('POed not arrived'!D:D, 'POed not arrived'!A:A=$B937),1),
        """"
    )
)"),"")</f>
        <v/>
      </c>
      <c r="M937" s="197"/>
      <c r="N937" s="223" t="str">
        <f>IFERROR(__xludf.DUMMYFUNCTION("IFERROR(
    INDEX(FILTER('Arrived Shipments'!O:O, 'Arrived Shipments'!B:B=$B937),2),
    IFERROR(
        INDEX(FILTER('POed not arrived'!D:D, 'POed not arrived'!A:A=$B937),2),
        """"
    )
)"),"")</f>
        <v/>
      </c>
      <c r="O937" s="197"/>
      <c r="P937" s="202" t="str">
        <f>IFERROR(__xludf.DUMMYFUNCTION("IFERROR(
    INDEX(FILTER('Arrived Shipments'!O:O, 'Arrived Shipments'!B:B=$B937),3),
    IFERROR(
        INDEX(FILTER('POed not arrived'!D:D, 'POed not arrived'!A:A=$B937),3),
        """"
    )
)"),"")</f>
        <v/>
      </c>
      <c r="Q937" s="197"/>
      <c r="R937" s="206" t="str">
        <f>IFERROR(__xludf.DUMMYFUNCTION("IFERROR(
    INDEX(FILTER('Arrived Shipments'!O:O, 'Arrived Shipments'!B:B=$B937),4),
    IFERROR(
        INDEX(FILTER('POed not arrived'!D:D, 'POed not arrived'!A:A=$B937),4),
        """"
    )
)"),"")</f>
        <v/>
      </c>
      <c r="S937" s="197"/>
      <c r="T937" s="202">
        <f t="shared" si="8"/>
        <v>0</v>
      </c>
      <c r="U937" s="197"/>
      <c r="V937" s="197"/>
      <c r="W937" s="197"/>
      <c r="X937" s="197"/>
      <c r="Y937" s="197"/>
      <c r="Z937" s="197"/>
      <c r="AA937" s="204" t="str">
        <f t="shared" si="4"/>
        <v/>
      </c>
      <c r="AB937" s="197"/>
      <c r="AC937" s="197"/>
      <c r="AD937" s="197"/>
      <c r="AE937" s="197"/>
      <c r="AF937" s="197"/>
      <c r="AG937" s="197"/>
      <c r="AH937" s="197"/>
      <c r="AI937" s="197"/>
      <c r="AJ937" s="197"/>
      <c r="AK937" s="197"/>
      <c r="AL937" s="197"/>
      <c r="AM937" s="197"/>
      <c r="AN937" s="197"/>
      <c r="AO937" s="197"/>
      <c r="AP937" s="197"/>
      <c r="AQ937" s="197"/>
      <c r="AR937" s="197"/>
      <c r="AS937" s="197"/>
    </row>
    <row r="938">
      <c r="A938" s="198"/>
      <c r="B938" s="197"/>
      <c r="C938" s="197"/>
      <c r="D938" s="197"/>
      <c r="E938" s="197"/>
      <c r="F938" s="197"/>
      <c r="G938" s="197"/>
      <c r="H938" s="197"/>
      <c r="I938" s="197"/>
      <c r="J938" s="197"/>
      <c r="K938" s="197"/>
      <c r="L938" s="205" t="str">
        <f>IFERROR(__xludf.DUMMYFUNCTION("IFERROR(
    INDEX(FILTER('Arrived Shipments'!O:O, 'Arrived Shipments'!B:B=$B938),1),
    IFERROR(
        INDEX(FILTER('POed not arrived'!D:D, 'POed not arrived'!A:A=$B938),1),
        """"
    )
)"),"")</f>
        <v/>
      </c>
      <c r="M938" s="197"/>
      <c r="N938" s="223" t="str">
        <f>IFERROR(__xludf.DUMMYFUNCTION("IFERROR(
    INDEX(FILTER('Arrived Shipments'!O:O, 'Arrived Shipments'!B:B=$B938),2),
    IFERROR(
        INDEX(FILTER('POed not arrived'!D:D, 'POed not arrived'!A:A=$B938),2),
        """"
    )
)"),"")</f>
        <v/>
      </c>
      <c r="O938" s="197"/>
      <c r="P938" s="202" t="str">
        <f>IFERROR(__xludf.DUMMYFUNCTION("IFERROR(
    INDEX(FILTER('Arrived Shipments'!O:O, 'Arrived Shipments'!B:B=$B938),3),
    IFERROR(
        INDEX(FILTER('POed not arrived'!D:D, 'POed not arrived'!A:A=$B938),3),
        """"
    )
)"),"")</f>
        <v/>
      </c>
      <c r="Q938" s="197"/>
      <c r="R938" s="206" t="str">
        <f>IFERROR(__xludf.DUMMYFUNCTION("IFERROR(
    INDEX(FILTER('Arrived Shipments'!O:O, 'Arrived Shipments'!B:B=$B938),4),
    IFERROR(
        INDEX(FILTER('POed not arrived'!D:D, 'POed not arrived'!A:A=$B938),4),
        """"
    )
)"),"")</f>
        <v/>
      </c>
      <c r="S938" s="197"/>
      <c r="T938" s="202">
        <f t="shared" si="8"/>
        <v>0</v>
      </c>
      <c r="U938" s="197"/>
      <c r="V938" s="197"/>
      <c r="W938" s="197"/>
      <c r="X938" s="197"/>
      <c r="Y938" s="197"/>
      <c r="Z938" s="197"/>
      <c r="AA938" s="204" t="str">
        <f t="shared" si="4"/>
        <v/>
      </c>
      <c r="AB938" s="197"/>
      <c r="AC938" s="197"/>
      <c r="AD938" s="197"/>
      <c r="AE938" s="197"/>
      <c r="AF938" s="197"/>
      <c r="AG938" s="197"/>
      <c r="AH938" s="197"/>
      <c r="AI938" s="197"/>
      <c r="AJ938" s="197"/>
      <c r="AK938" s="197"/>
      <c r="AL938" s="197"/>
      <c r="AM938" s="197"/>
      <c r="AN938" s="197"/>
      <c r="AO938" s="197"/>
      <c r="AP938" s="197"/>
      <c r="AQ938" s="197"/>
      <c r="AR938" s="197"/>
      <c r="AS938" s="197"/>
    </row>
    <row r="939">
      <c r="A939" s="198"/>
      <c r="B939" s="197"/>
      <c r="C939" s="197"/>
      <c r="D939" s="197"/>
      <c r="E939" s="197"/>
      <c r="F939" s="197"/>
      <c r="G939" s="197"/>
      <c r="H939" s="197"/>
      <c r="I939" s="197"/>
      <c r="J939" s="197"/>
      <c r="K939" s="197"/>
      <c r="L939" s="205" t="str">
        <f>IFERROR(__xludf.DUMMYFUNCTION("IFERROR(
    INDEX(FILTER('Arrived Shipments'!O:O, 'Arrived Shipments'!B:B=$B939),1),
    IFERROR(
        INDEX(FILTER('POed not arrived'!D:D, 'POed not arrived'!A:A=$B939),1),
        """"
    )
)"),"")</f>
        <v/>
      </c>
      <c r="M939" s="197"/>
      <c r="N939" s="223" t="str">
        <f>IFERROR(__xludf.DUMMYFUNCTION("IFERROR(
    INDEX(FILTER('Arrived Shipments'!O:O, 'Arrived Shipments'!B:B=$B939),2),
    IFERROR(
        INDEX(FILTER('POed not arrived'!D:D, 'POed not arrived'!A:A=$B939),2),
        """"
    )
)"),"")</f>
        <v/>
      </c>
      <c r="O939" s="197"/>
      <c r="P939" s="202" t="str">
        <f>IFERROR(__xludf.DUMMYFUNCTION("IFERROR(
    INDEX(FILTER('Arrived Shipments'!O:O, 'Arrived Shipments'!B:B=$B939),3),
    IFERROR(
        INDEX(FILTER('POed not arrived'!D:D, 'POed not arrived'!A:A=$B939),3),
        """"
    )
)"),"")</f>
        <v/>
      </c>
      <c r="Q939" s="197"/>
      <c r="R939" s="206" t="str">
        <f>IFERROR(__xludf.DUMMYFUNCTION("IFERROR(
    INDEX(FILTER('Arrived Shipments'!O:O, 'Arrived Shipments'!B:B=$B939),4),
    IFERROR(
        INDEX(FILTER('POed not arrived'!D:D, 'POed not arrived'!A:A=$B939),4),
        """"
    )
)"),"")</f>
        <v/>
      </c>
      <c r="S939" s="197"/>
      <c r="T939" s="202">
        <f t="shared" si="8"/>
        <v>0</v>
      </c>
      <c r="U939" s="197"/>
      <c r="V939" s="197"/>
      <c r="W939" s="197"/>
      <c r="X939" s="197"/>
      <c r="Y939" s="197"/>
      <c r="Z939" s="197"/>
      <c r="AA939" s="204" t="str">
        <f t="shared" si="4"/>
        <v/>
      </c>
      <c r="AB939" s="197"/>
      <c r="AC939" s="197"/>
      <c r="AD939" s="197"/>
      <c r="AE939" s="197"/>
      <c r="AF939" s="197"/>
      <c r="AG939" s="197"/>
      <c r="AH939" s="197"/>
      <c r="AI939" s="197"/>
      <c r="AJ939" s="197"/>
      <c r="AK939" s="197"/>
      <c r="AL939" s="197"/>
      <c r="AM939" s="197"/>
      <c r="AN939" s="197"/>
      <c r="AO939" s="197"/>
      <c r="AP939" s="197"/>
      <c r="AQ939" s="197"/>
      <c r="AR939" s="197"/>
      <c r="AS939" s="197"/>
    </row>
    <row r="940">
      <c r="A940" s="198"/>
      <c r="B940" s="197"/>
      <c r="C940" s="197"/>
      <c r="D940" s="197"/>
      <c r="E940" s="197"/>
      <c r="F940" s="197"/>
      <c r="G940" s="197"/>
      <c r="H940" s="197"/>
      <c r="I940" s="197"/>
      <c r="J940" s="197"/>
      <c r="K940" s="197"/>
      <c r="L940" s="205" t="str">
        <f>IFERROR(__xludf.DUMMYFUNCTION("IFERROR(
    INDEX(FILTER('Arrived Shipments'!O:O, 'Arrived Shipments'!B:B=$B940),1),
    IFERROR(
        INDEX(FILTER('POed not arrived'!D:D, 'POed not arrived'!A:A=$B940),1),
        """"
    )
)"),"")</f>
        <v/>
      </c>
      <c r="M940" s="197"/>
      <c r="N940" s="223" t="str">
        <f>IFERROR(__xludf.DUMMYFUNCTION("IFERROR(
    INDEX(FILTER('Arrived Shipments'!O:O, 'Arrived Shipments'!B:B=$B940),2),
    IFERROR(
        INDEX(FILTER('POed not arrived'!D:D, 'POed not arrived'!A:A=$B940),2),
        """"
    )
)"),"")</f>
        <v/>
      </c>
      <c r="O940" s="197"/>
      <c r="P940" s="202" t="str">
        <f>IFERROR(__xludf.DUMMYFUNCTION("IFERROR(
    INDEX(FILTER('Arrived Shipments'!O:O, 'Arrived Shipments'!B:B=$B940),3),
    IFERROR(
        INDEX(FILTER('POed not arrived'!D:D, 'POed not arrived'!A:A=$B940),3),
        """"
    )
)"),"")</f>
        <v/>
      </c>
      <c r="Q940" s="197"/>
      <c r="R940" s="206" t="str">
        <f>IFERROR(__xludf.DUMMYFUNCTION("IFERROR(
    INDEX(FILTER('Arrived Shipments'!O:O, 'Arrived Shipments'!B:B=$B940),4),
    IFERROR(
        INDEX(FILTER('POed not arrived'!D:D, 'POed not arrived'!A:A=$B940),4),
        """"
    )
)"),"")</f>
        <v/>
      </c>
      <c r="S940" s="197"/>
      <c r="T940" s="202">
        <f t="shared" si="8"/>
        <v>0</v>
      </c>
      <c r="U940" s="197"/>
      <c r="V940" s="197"/>
      <c r="W940" s="197"/>
      <c r="X940" s="197"/>
      <c r="Y940" s="197"/>
      <c r="Z940" s="197"/>
      <c r="AA940" s="204" t="str">
        <f t="shared" si="4"/>
        <v/>
      </c>
      <c r="AB940" s="197"/>
      <c r="AC940" s="197"/>
      <c r="AD940" s="197"/>
      <c r="AE940" s="197"/>
      <c r="AF940" s="197"/>
      <c r="AG940" s="197"/>
      <c r="AH940" s="197"/>
      <c r="AI940" s="197"/>
      <c r="AJ940" s="197"/>
      <c r="AK940" s="197"/>
      <c r="AL940" s="197"/>
      <c r="AM940" s="197"/>
      <c r="AN940" s="197"/>
      <c r="AO940" s="197"/>
      <c r="AP940" s="197"/>
      <c r="AQ940" s="197"/>
      <c r="AR940" s="197"/>
      <c r="AS940" s="197"/>
    </row>
    <row r="941">
      <c r="A941" s="198"/>
      <c r="B941" s="197"/>
      <c r="C941" s="197"/>
      <c r="D941" s="197"/>
      <c r="E941" s="197"/>
      <c r="F941" s="197"/>
      <c r="G941" s="197"/>
      <c r="H941" s="197"/>
      <c r="I941" s="197"/>
      <c r="J941" s="197"/>
      <c r="K941" s="197"/>
      <c r="L941" s="205" t="str">
        <f>IFERROR(__xludf.DUMMYFUNCTION("IFERROR(
    INDEX(FILTER('Arrived Shipments'!O:O, 'Arrived Shipments'!B:B=$B941),1),
    IFERROR(
        INDEX(FILTER('POed not arrived'!D:D, 'POed not arrived'!A:A=$B941),1),
        """"
    )
)"),"")</f>
        <v/>
      </c>
      <c r="M941" s="197"/>
      <c r="N941" s="223" t="str">
        <f>IFERROR(__xludf.DUMMYFUNCTION("IFERROR(
    INDEX(FILTER('Arrived Shipments'!O:O, 'Arrived Shipments'!B:B=$B941),2),
    IFERROR(
        INDEX(FILTER('POed not arrived'!D:D, 'POed not arrived'!A:A=$B941),2),
        """"
    )
)"),"")</f>
        <v/>
      </c>
      <c r="O941" s="197"/>
      <c r="P941" s="202" t="str">
        <f>IFERROR(__xludf.DUMMYFUNCTION("IFERROR(
    INDEX(FILTER('Arrived Shipments'!O:O, 'Arrived Shipments'!B:B=$B941),3),
    IFERROR(
        INDEX(FILTER('POed not arrived'!D:D, 'POed not arrived'!A:A=$B941),3),
        """"
    )
)"),"")</f>
        <v/>
      </c>
      <c r="Q941" s="197"/>
      <c r="R941" s="206" t="str">
        <f>IFERROR(__xludf.DUMMYFUNCTION("IFERROR(
    INDEX(FILTER('Arrived Shipments'!O:O, 'Arrived Shipments'!B:B=$B941),4),
    IFERROR(
        INDEX(FILTER('POed not arrived'!D:D, 'POed not arrived'!A:A=$B941),4),
        """"
    )
)"),"")</f>
        <v/>
      </c>
      <c r="S941" s="197"/>
      <c r="T941" s="202">
        <f t="shared" si="8"/>
        <v>0</v>
      </c>
      <c r="U941" s="197"/>
      <c r="V941" s="197"/>
      <c r="W941" s="197"/>
      <c r="X941" s="197"/>
      <c r="Y941" s="197"/>
      <c r="Z941" s="197"/>
      <c r="AA941" s="204" t="str">
        <f t="shared" si="4"/>
        <v/>
      </c>
      <c r="AB941" s="197"/>
      <c r="AC941" s="197"/>
      <c r="AD941" s="197"/>
      <c r="AE941" s="197"/>
      <c r="AF941" s="197"/>
      <c r="AG941" s="197"/>
      <c r="AH941" s="197"/>
      <c r="AI941" s="197"/>
      <c r="AJ941" s="197"/>
      <c r="AK941" s="197"/>
      <c r="AL941" s="197"/>
      <c r="AM941" s="197"/>
      <c r="AN941" s="197"/>
      <c r="AO941" s="197"/>
      <c r="AP941" s="197"/>
      <c r="AQ941" s="197"/>
      <c r="AR941" s="197"/>
      <c r="AS941" s="197"/>
    </row>
    <row r="942">
      <c r="A942" s="198"/>
      <c r="B942" s="197"/>
      <c r="C942" s="197"/>
      <c r="D942" s="197"/>
      <c r="E942" s="197"/>
      <c r="F942" s="197"/>
      <c r="G942" s="197"/>
      <c r="H942" s="197"/>
      <c r="I942" s="197"/>
      <c r="J942" s="197"/>
      <c r="K942" s="197"/>
      <c r="L942" s="205" t="str">
        <f>IFERROR(__xludf.DUMMYFUNCTION("IFERROR(
    INDEX(FILTER('Arrived Shipments'!O:O, 'Arrived Shipments'!B:B=$B942),1),
    IFERROR(
        INDEX(FILTER('POed not arrived'!D:D, 'POed not arrived'!A:A=$B942),1),
        """"
    )
)"),"")</f>
        <v/>
      </c>
      <c r="M942" s="197"/>
      <c r="N942" s="223" t="str">
        <f>IFERROR(__xludf.DUMMYFUNCTION("IFERROR(
    INDEX(FILTER('Arrived Shipments'!O:O, 'Arrived Shipments'!B:B=$B942),2),
    IFERROR(
        INDEX(FILTER('POed not arrived'!D:D, 'POed not arrived'!A:A=$B942),2),
        """"
    )
)"),"")</f>
        <v/>
      </c>
      <c r="O942" s="197"/>
      <c r="P942" s="202" t="str">
        <f>IFERROR(__xludf.DUMMYFUNCTION("IFERROR(
    INDEX(FILTER('Arrived Shipments'!O:O, 'Arrived Shipments'!B:B=$B942),3),
    IFERROR(
        INDEX(FILTER('POed not arrived'!D:D, 'POed not arrived'!A:A=$B942),3),
        """"
    )
)"),"")</f>
        <v/>
      </c>
      <c r="Q942" s="197"/>
      <c r="R942" s="206" t="str">
        <f>IFERROR(__xludf.DUMMYFUNCTION("IFERROR(
    INDEX(FILTER('Arrived Shipments'!O:O, 'Arrived Shipments'!B:B=$B942),4),
    IFERROR(
        INDEX(FILTER('POed not arrived'!D:D, 'POed not arrived'!A:A=$B942),4),
        """"
    )
)"),"")</f>
        <v/>
      </c>
      <c r="S942" s="197"/>
      <c r="T942" s="202">
        <f t="shared" si="8"/>
        <v>0</v>
      </c>
      <c r="U942" s="197"/>
      <c r="V942" s="197"/>
      <c r="W942" s="197"/>
      <c r="X942" s="197"/>
      <c r="Y942" s="197"/>
      <c r="Z942" s="197"/>
      <c r="AA942" s="204" t="str">
        <f t="shared" si="4"/>
        <v/>
      </c>
      <c r="AB942" s="197"/>
      <c r="AC942" s="197"/>
      <c r="AD942" s="197"/>
      <c r="AE942" s="197"/>
      <c r="AF942" s="197"/>
      <c r="AG942" s="197"/>
      <c r="AH942" s="197"/>
      <c r="AI942" s="197"/>
      <c r="AJ942" s="197"/>
      <c r="AK942" s="197"/>
      <c r="AL942" s="197"/>
      <c r="AM942" s="197"/>
      <c r="AN942" s="197"/>
      <c r="AO942" s="197"/>
      <c r="AP942" s="197"/>
      <c r="AQ942" s="197"/>
      <c r="AR942" s="197"/>
      <c r="AS942" s="197"/>
    </row>
    <row r="943">
      <c r="A943" s="198"/>
      <c r="B943" s="197"/>
      <c r="C943" s="197"/>
      <c r="D943" s="197"/>
      <c r="E943" s="197"/>
      <c r="F943" s="197"/>
      <c r="G943" s="197"/>
      <c r="H943" s="197"/>
      <c r="I943" s="197"/>
      <c r="J943" s="197"/>
      <c r="K943" s="197"/>
      <c r="L943" s="205" t="str">
        <f>IFERROR(__xludf.DUMMYFUNCTION("IFERROR(
    INDEX(FILTER('Arrived Shipments'!O:O, 'Arrived Shipments'!B:B=$B943),1),
    IFERROR(
        INDEX(FILTER('POed not arrived'!D:D, 'POed not arrived'!A:A=$B943),1),
        """"
    )
)"),"")</f>
        <v/>
      </c>
      <c r="M943" s="197"/>
      <c r="N943" s="223" t="str">
        <f>IFERROR(__xludf.DUMMYFUNCTION("IFERROR(
    INDEX(FILTER('Arrived Shipments'!O:O, 'Arrived Shipments'!B:B=$B943),2),
    IFERROR(
        INDEX(FILTER('POed not arrived'!D:D, 'POed not arrived'!A:A=$B943),2),
        """"
    )
)"),"")</f>
        <v/>
      </c>
      <c r="O943" s="197"/>
      <c r="P943" s="202" t="str">
        <f>IFERROR(__xludf.DUMMYFUNCTION("IFERROR(
    INDEX(FILTER('Arrived Shipments'!O:O, 'Arrived Shipments'!B:B=$B943),3),
    IFERROR(
        INDEX(FILTER('POed not arrived'!D:D, 'POed not arrived'!A:A=$B943),3),
        """"
    )
)"),"")</f>
        <v/>
      </c>
      <c r="Q943" s="197"/>
      <c r="R943" s="206" t="str">
        <f>IFERROR(__xludf.DUMMYFUNCTION("IFERROR(
    INDEX(FILTER('Arrived Shipments'!O:O, 'Arrived Shipments'!B:B=$B943),4),
    IFERROR(
        INDEX(FILTER('POed not arrived'!D:D, 'POed not arrived'!A:A=$B943),4),
        """"
    )
)"),"")</f>
        <v/>
      </c>
      <c r="S943" s="197"/>
      <c r="T943" s="202">
        <f t="shared" si="8"/>
        <v>0</v>
      </c>
      <c r="U943" s="197"/>
      <c r="V943" s="197"/>
      <c r="W943" s="197"/>
      <c r="X943" s="197"/>
      <c r="Y943" s="197"/>
      <c r="Z943" s="197"/>
      <c r="AA943" s="204" t="str">
        <f t="shared" si="4"/>
        <v/>
      </c>
      <c r="AB943" s="197"/>
      <c r="AC943" s="197"/>
      <c r="AD943" s="197"/>
      <c r="AE943" s="197"/>
      <c r="AF943" s="197"/>
      <c r="AG943" s="197"/>
      <c r="AH943" s="197"/>
      <c r="AI943" s="197"/>
      <c r="AJ943" s="197"/>
      <c r="AK943" s="197"/>
      <c r="AL943" s="197"/>
      <c r="AM943" s="197"/>
      <c r="AN943" s="197"/>
      <c r="AO943" s="197"/>
      <c r="AP943" s="197"/>
      <c r="AQ943" s="197"/>
      <c r="AR943" s="197"/>
      <c r="AS943" s="197"/>
    </row>
    <row r="944">
      <c r="A944" s="198"/>
      <c r="B944" s="197"/>
      <c r="C944" s="197"/>
      <c r="D944" s="197"/>
      <c r="E944" s="197"/>
      <c r="F944" s="197"/>
      <c r="G944" s="197"/>
      <c r="H944" s="197"/>
      <c r="I944" s="197"/>
      <c r="J944" s="197"/>
      <c r="K944" s="197"/>
      <c r="L944" s="205" t="str">
        <f>IFERROR(__xludf.DUMMYFUNCTION("IFERROR(
    INDEX(FILTER('Arrived Shipments'!O:O, 'Arrived Shipments'!B:B=$B944),1),
    IFERROR(
        INDEX(FILTER('POed not arrived'!D:D, 'POed not arrived'!A:A=$B944),1),
        """"
    )
)"),"")</f>
        <v/>
      </c>
      <c r="M944" s="197"/>
      <c r="N944" s="223" t="str">
        <f>IFERROR(__xludf.DUMMYFUNCTION("IFERROR(
    INDEX(FILTER('Arrived Shipments'!O:O, 'Arrived Shipments'!B:B=$B944),2),
    IFERROR(
        INDEX(FILTER('POed not arrived'!D:D, 'POed not arrived'!A:A=$B944),2),
        """"
    )
)"),"")</f>
        <v/>
      </c>
      <c r="O944" s="197"/>
      <c r="P944" s="202" t="str">
        <f>IFERROR(__xludf.DUMMYFUNCTION("IFERROR(
    INDEX(FILTER('Arrived Shipments'!O:O, 'Arrived Shipments'!B:B=$B944),3),
    IFERROR(
        INDEX(FILTER('POed not arrived'!D:D, 'POed not arrived'!A:A=$B944),3),
        """"
    )
)"),"")</f>
        <v/>
      </c>
      <c r="Q944" s="197"/>
      <c r="R944" s="206" t="str">
        <f>IFERROR(__xludf.DUMMYFUNCTION("IFERROR(
    INDEX(FILTER('Arrived Shipments'!O:O, 'Arrived Shipments'!B:B=$B944),4),
    IFERROR(
        INDEX(FILTER('POed not arrived'!D:D, 'POed not arrived'!A:A=$B944),4),
        """"
    )
)"),"")</f>
        <v/>
      </c>
      <c r="S944" s="197"/>
      <c r="T944" s="202">
        <f t="shared" si="8"/>
        <v>0</v>
      </c>
      <c r="U944" s="197"/>
      <c r="V944" s="197"/>
      <c r="W944" s="197"/>
      <c r="X944" s="197"/>
      <c r="Y944" s="197"/>
      <c r="Z944" s="197"/>
      <c r="AA944" s="204" t="str">
        <f t="shared" si="4"/>
        <v/>
      </c>
      <c r="AB944" s="197"/>
      <c r="AC944" s="197"/>
      <c r="AD944" s="197"/>
      <c r="AE944" s="197"/>
      <c r="AF944" s="197"/>
      <c r="AG944" s="197"/>
      <c r="AH944" s="197"/>
      <c r="AI944" s="197"/>
      <c r="AJ944" s="197"/>
      <c r="AK944" s="197"/>
      <c r="AL944" s="197"/>
      <c r="AM944" s="197"/>
      <c r="AN944" s="197"/>
      <c r="AO944" s="197"/>
      <c r="AP944" s="197"/>
      <c r="AQ944" s="197"/>
      <c r="AR944" s="197"/>
      <c r="AS944" s="197"/>
    </row>
    <row r="945">
      <c r="A945" s="198"/>
      <c r="B945" s="197"/>
      <c r="C945" s="197"/>
      <c r="D945" s="197"/>
      <c r="E945" s="197"/>
      <c r="F945" s="197"/>
      <c r="G945" s="197"/>
      <c r="H945" s="197"/>
      <c r="I945" s="197"/>
      <c r="J945" s="197"/>
      <c r="K945" s="197"/>
      <c r="L945" s="205" t="str">
        <f>IFERROR(__xludf.DUMMYFUNCTION("IFERROR(
    INDEX(FILTER('Arrived Shipments'!O:O, 'Arrived Shipments'!B:B=$B945),1),
    IFERROR(
        INDEX(FILTER('POed not arrived'!D:D, 'POed not arrived'!A:A=$B945),1),
        """"
    )
)"),"")</f>
        <v/>
      </c>
      <c r="M945" s="197"/>
      <c r="N945" s="223" t="str">
        <f>IFERROR(__xludf.DUMMYFUNCTION("IFERROR(
    INDEX(FILTER('Arrived Shipments'!O:O, 'Arrived Shipments'!B:B=$B945),2),
    IFERROR(
        INDEX(FILTER('POed not arrived'!D:D, 'POed not arrived'!A:A=$B945),2),
        """"
    )
)"),"")</f>
        <v/>
      </c>
      <c r="O945" s="197"/>
      <c r="P945" s="202" t="str">
        <f>IFERROR(__xludf.DUMMYFUNCTION("IFERROR(
    INDEX(FILTER('Arrived Shipments'!O:O, 'Arrived Shipments'!B:B=$B945),3),
    IFERROR(
        INDEX(FILTER('POed not arrived'!D:D, 'POed not arrived'!A:A=$B945),3),
        """"
    )
)"),"")</f>
        <v/>
      </c>
      <c r="Q945" s="197"/>
      <c r="R945" s="206" t="str">
        <f>IFERROR(__xludf.DUMMYFUNCTION("IFERROR(
    INDEX(FILTER('Arrived Shipments'!O:O, 'Arrived Shipments'!B:B=$B945),4),
    IFERROR(
        INDEX(FILTER('POed not arrived'!D:D, 'POed not arrived'!A:A=$B945),4),
        """"
    )
)"),"")</f>
        <v/>
      </c>
      <c r="S945" s="197"/>
      <c r="T945" s="202">
        <f t="shared" si="8"/>
        <v>0</v>
      </c>
      <c r="U945" s="197"/>
      <c r="V945" s="197"/>
      <c r="W945" s="197"/>
      <c r="X945" s="197"/>
      <c r="Y945" s="197"/>
      <c r="Z945" s="197"/>
      <c r="AA945" s="204" t="str">
        <f t="shared" si="4"/>
        <v/>
      </c>
      <c r="AB945" s="197"/>
      <c r="AC945" s="197"/>
      <c r="AD945" s="197"/>
      <c r="AE945" s="197"/>
      <c r="AF945" s="197"/>
      <c r="AG945" s="197"/>
      <c r="AH945" s="197"/>
      <c r="AI945" s="197"/>
      <c r="AJ945" s="197"/>
      <c r="AK945" s="197"/>
      <c r="AL945" s="197"/>
      <c r="AM945" s="197"/>
      <c r="AN945" s="197"/>
      <c r="AO945" s="197"/>
      <c r="AP945" s="197"/>
      <c r="AQ945" s="197"/>
      <c r="AR945" s="197"/>
      <c r="AS945" s="197"/>
    </row>
    <row r="946">
      <c r="A946" s="198"/>
      <c r="B946" s="197"/>
      <c r="C946" s="197"/>
      <c r="D946" s="197"/>
      <c r="E946" s="197"/>
      <c r="F946" s="197"/>
      <c r="G946" s="197"/>
      <c r="H946" s="197"/>
      <c r="I946" s="197"/>
      <c r="J946" s="197"/>
      <c r="K946" s="197"/>
      <c r="L946" s="205" t="str">
        <f>IFERROR(__xludf.DUMMYFUNCTION("IFERROR(
    INDEX(FILTER('Arrived Shipments'!O:O, 'Arrived Shipments'!B:B=$B946),1),
    IFERROR(
        INDEX(FILTER('POed not arrived'!D:D, 'POed not arrived'!A:A=$B946),1),
        """"
    )
)"),"")</f>
        <v/>
      </c>
      <c r="M946" s="197"/>
      <c r="N946" s="223" t="str">
        <f>IFERROR(__xludf.DUMMYFUNCTION("IFERROR(
    INDEX(FILTER('Arrived Shipments'!O:O, 'Arrived Shipments'!B:B=$B946),2),
    IFERROR(
        INDEX(FILTER('POed not arrived'!D:D, 'POed not arrived'!A:A=$B946),2),
        """"
    )
)"),"")</f>
        <v/>
      </c>
      <c r="O946" s="197"/>
      <c r="P946" s="202" t="str">
        <f>IFERROR(__xludf.DUMMYFUNCTION("IFERROR(
    INDEX(FILTER('Arrived Shipments'!O:O, 'Arrived Shipments'!B:B=$B946),3),
    IFERROR(
        INDEX(FILTER('POed not arrived'!D:D, 'POed not arrived'!A:A=$B946),3),
        """"
    )
)"),"")</f>
        <v/>
      </c>
      <c r="Q946" s="197"/>
      <c r="R946" s="206" t="str">
        <f>IFERROR(__xludf.DUMMYFUNCTION("IFERROR(
    INDEX(FILTER('Arrived Shipments'!O:O, 'Arrived Shipments'!B:B=$B946),4),
    IFERROR(
        INDEX(FILTER('POed not arrived'!D:D, 'POed not arrived'!A:A=$B946),4),
        """"
    )
)"),"")</f>
        <v/>
      </c>
      <c r="S946" s="197"/>
      <c r="T946" s="202">
        <f t="shared" si="8"/>
        <v>0</v>
      </c>
      <c r="U946" s="197"/>
      <c r="V946" s="197"/>
      <c r="W946" s="197"/>
      <c r="X946" s="197"/>
      <c r="Y946" s="197"/>
      <c r="Z946" s="197"/>
      <c r="AA946" s="204" t="str">
        <f t="shared" si="4"/>
        <v/>
      </c>
      <c r="AB946" s="197"/>
      <c r="AC946" s="197"/>
      <c r="AD946" s="197"/>
      <c r="AE946" s="197"/>
      <c r="AF946" s="197"/>
      <c r="AG946" s="197"/>
      <c r="AH946" s="197"/>
      <c r="AI946" s="197"/>
      <c r="AJ946" s="197"/>
      <c r="AK946" s="197"/>
      <c r="AL946" s="197"/>
      <c r="AM946" s="197"/>
      <c r="AN946" s="197"/>
      <c r="AO946" s="197"/>
      <c r="AP946" s="197"/>
      <c r="AQ946" s="197"/>
      <c r="AR946" s="197"/>
      <c r="AS946" s="197"/>
    </row>
    <row r="947">
      <c r="A947" s="198"/>
      <c r="B947" s="197"/>
      <c r="C947" s="197"/>
      <c r="D947" s="197"/>
      <c r="E947" s="197"/>
      <c r="F947" s="197"/>
      <c r="G947" s="197"/>
      <c r="H947" s="197"/>
      <c r="I947" s="197"/>
      <c r="J947" s="197"/>
      <c r="K947" s="197"/>
      <c r="L947" s="205" t="str">
        <f>IFERROR(__xludf.DUMMYFUNCTION("IFERROR(
    INDEX(FILTER('Arrived Shipments'!O:O, 'Arrived Shipments'!B:B=$B947),1),
    IFERROR(
        INDEX(FILTER('POed not arrived'!D:D, 'POed not arrived'!A:A=$B947),1),
        """"
    )
)"),"")</f>
        <v/>
      </c>
      <c r="M947" s="197"/>
      <c r="N947" s="223" t="str">
        <f>IFERROR(__xludf.DUMMYFUNCTION("IFERROR(
    INDEX(FILTER('Arrived Shipments'!O:O, 'Arrived Shipments'!B:B=$B947),2),
    IFERROR(
        INDEX(FILTER('POed not arrived'!D:D, 'POed not arrived'!A:A=$B947),2),
        """"
    )
)"),"")</f>
        <v/>
      </c>
      <c r="O947" s="197"/>
      <c r="P947" s="202" t="str">
        <f>IFERROR(__xludf.DUMMYFUNCTION("IFERROR(
    INDEX(FILTER('Arrived Shipments'!O:O, 'Arrived Shipments'!B:B=$B947),3),
    IFERROR(
        INDEX(FILTER('POed not arrived'!D:D, 'POed not arrived'!A:A=$B947),3),
        """"
    )
)"),"")</f>
        <v/>
      </c>
      <c r="Q947" s="197"/>
      <c r="R947" s="206" t="str">
        <f>IFERROR(__xludf.DUMMYFUNCTION("IFERROR(
    INDEX(FILTER('Arrived Shipments'!O:O, 'Arrived Shipments'!B:B=$B947),4),
    IFERROR(
        INDEX(FILTER('POed not arrived'!D:D, 'POed not arrived'!A:A=$B947),4),
        """"
    )
)"),"")</f>
        <v/>
      </c>
      <c r="S947" s="197"/>
      <c r="T947" s="202">
        <f t="shared" si="8"/>
        <v>0</v>
      </c>
      <c r="U947" s="197"/>
      <c r="V947" s="197"/>
      <c r="W947" s="197"/>
      <c r="X947" s="197"/>
      <c r="Y947" s="197"/>
      <c r="Z947" s="197"/>
      <c r="AA947" s="204" t="str">
        <f t="shared" si="4"/>
        <v/>
      </c>
      <c r="AB947" s="197"/>
      <c r="AC947" s="197"/>
      <c r="AD947" s="197"/>
      <c r="AE947" s="197"/>
      <c r="AF947" s="197"/>
      <c r="AG947" s="197"/>
      <c r="AH947" s="197"/>
      <c r="AI947" s="197"/>
      <c r="AJ947" s="197"/>
      <c r="AK947" s="197"/>
      <c r="AL947" s="197"/>
      <c r="AM947" s="197"/>
      <c r="AN947" s="197"/>
      <c r="AO947" s="197"/>
      <c r="AP947" s="197"/>
      <c r="AQ947" s="197"/>
      <c r="AR947" s="197"/>
      <c r="AS947" s="197"/>
    </row>
    <row r="948">
      <c r="A948" s="198"/>
      <c r="B948" s="197"/>
      <c r="C948" s="197"/>
      <c r="D948" s="197"/>
      <c r="E948" s="197"/>
      <c r="F948" s="197"/>
      <c r="G948" s="197"/>
      <c r="H948" s="197"/>
      <c r="I948" s="197"/>
      <c r="J948" s="197"/>
      <c r="K948" s="197"/>
      <c r="L948" s="205" t="str">
        <f>IFERROR(__xludf.DUMMYFUNCTION("IFERROR(
    INDEX(FILTER('Arrived Shipments'!O:O, 'Arrived Shipments'!B:B=$B948),1),
    IFERROR(
        INDEX(FILTER('POed not arrived'!D:D, 'POed not arrived'!A:A=$B948),1),
        """"
    )
)"),"")</f>
        <v/>
      </c>
      <c r="M948" s="197"/>
      <c r="N948" s="223" t="str">
        <f>IFERROR(__xludf.DUMMYFUNCTION("IFERROR(
    INDEX(FILTER('Arrived Shipments'!O:O, 'Arrived Shipments'!B:B=$B948),2),
    IFERROR(
        INDEX(FILTER('POed not arrived'!D:D, 'POed not arrived'!A:A=$B948),2),
        """"
    )
)"),"")</f>
        <v/>
      </c>
      <c r="O948" s="197"/>
      <c r="P948" s="202" t="str">
        <f>IFERROR(__xludf.DUMMYFUNCTION("IFERROR(
    INDEX(FILTER('Arrived Shipments'!O:O, 'Arrived Shipments'!B:B=$B948),3),
    IFERROR(
        INDEX(FILTER('POed not arrived'!D:D, 'POed not arrived'!A:A=$B948),3),
        """"
    )
)"),"")</f>
        <v/>
      </c>
      <c r="Q948" s="197"/>
      <c r="R948" s="206" t="str">
        <f>IFERROR(__xludf.DUMMYFUNCTION("IFERROR(
    INDEX(FILTER('Arrived Shipments'!O:O, 'Arrived Shipments'!B:B=$B948),4),
    IFERROR(
        INDEX(FILTER('POed not arrived'!D:D, 'POed not arrived'!A:A=$B948),4),
        """"
    )
)"),"")</f>
        <v/>
      </c>
      <c r="S948" s="197"/>
      <c r="T948" s="202">
        <f t="shared" si="8"/>
        <v>0</v>
      </c>
      <c r="U948" s="197"/>
      <c r="V948" s="197"/>
      <c r="W948" s="197"/>
      <c r="X948" s="197"/>
      <c r="Y948" s="197"/>
      <c r="Z948" s="197"/>
      <c r="AA948" s="204" t="str">
        <f t="shared" si="4"/>
        <v/>
      </c>
      <c r="AB948" s="197"/>
      <c r="AC948" s="197"/>
      <c r="AD948" s="197"/>
      <c r="AE948" s="197"/>
      <c r="AF948" s="197"/>
      <c r="AG948" s="197"/>
      <c r="AH948" s="197"/>
      <c r="AI948" s="197"/>
      <c r="AJ948" s="197"/>
      <c r="AK948" s="197"/>
      <c r="AL948" s="197"/>
      <c r="AM948" s="197"/>
      <c r="AN948" s="197"/>
      <c r="AO948" s="197"/>
      <c r="AP948" s="197"/>
      <c r="AQ948" s="197"/>
      <c r="AR948" s="197"/>
      <c r="AS948" s="197"/>
    </row>
    <row r="949">
      <c r="A949" s="198"/>
      <c r="B949" s="197"/>
      <c r="C949" s="197"/>
      <c r="D949" s="197"/>
      <c r="E949" s="197"/>
      <c r="F949" s="197"/>
      <c r="G949" s="197"/>
      <c r="H949" s="197"/>
      <c r="I949" s="197"/>
      <c r="J949" s="197"/>
      <c r="K949" s="197"/>
      <c r="L949" s="205" t="str">
        <f>IFERROR(__xludf.DUMMYFUNCTION("IFERROR(
    INDEX(FILTER('Arrived Shipments'!O:O, 'Arrived Shipments'!B:B=$B949),1),
    IFERROR(
        INDEX(FILTER('POed not arrived'!D:D, 'POed not arrived'!A:A=$B949),1),
        """"
    )
)"),"")</f>
        <v/>
      </c>
      <c r="M949" s="197"/>
      <c r="N949" s="223" t="str">
        <f>IFERROR(__xludf.DUMMYFUNCTION("IFERROR(
    INDEX(FILTER('Arrived Shipments'!O:O, 'Arrived Shipments'!B:B=$B949),2),
    IFERROR(
        INDEX(FILTER('POed not arrived'!D:D, 'POed not arrived'!A:A=$B949),2),
        """"
    )
)"),"")</f>
        <v/>
      </c>
      <c r="O949" s="197"/>
      <c r="P949" s="202" t="str">
        <f>IFERROR(__xludf.DUMMYFUNCTION("IFERROR(
    INDEX(FILTER('Arrived Shipments'!O:O, 'Arrived Shipments'!B:B=$B949),3),
    IFERROR(
        INDEX(FILTER('POed not arrived'!D:D, 'POed not arrived'!A:A=$B949),3),
        """"
    )
)"),"")</f>
        <v/>
      </c>
      <c r="Q949" s="197"/>
      <c r="R949" s="206" t="str">
        <f>IFERROR(__xludf.DUMMYFUNCTION("IFERROR(
    INDEX(FILTER('Arrived Shipments'!O:O, 'Arrived Shipments'!B:B=$B949),4),
    IFERROR(
        INDEX(FILTER('POed not arrived'!D:D, 'POed not arrived'!A:A=$B949),4),
        """"
    )
)"),"")</f>
        <v/>
      </c>
      <c r="S949" s="197"/>
      <c r="T949" s="202">
        <f t="shared" si="8"/>
        <v>0</v>
      </c>
      <c r="U949" s="197"/>
      <c r="V949" s="197"/>
      <c r="W949" s="197"/>
      <c r="X949" s="197"/>
      <c r="Y949" s="197"/>
      <c r="Z949" s="197"/>
      <c r="AA949" s="204" t="str">
        <f t="shared" si="4"/>
        <v/>
      </c>
      <c r="AB949" s="197"/>
      <c r="AC949" s="197"/>
      <c r="AD949" s="197"/>
      <c r="AE949" s="197"/>
      <c r="AF949" s="197"/>
      <c r="AG949" s="197"/>
      <c r="AH949" s="197"/>
      <c r="AI949" s="197"/>
      <c r="AJ949" s="197"/>
      <c r="AK949" s="197"/>
      <c r="AL949" s="197"/>
      <c r="AM949" s="197"/>
      <c r="AN949" s="197"/>
      <c r="AO949" s="197"/>
      <c r="AP949" s="197"/>
      <c r="AQ949" s="197"/>
      <c r="AR949" s="197"/>
      <c r="AS949" s="197"/>
    </row>
    <row r="950">
      <c r="A950" s="198"/>
      <c r="B950" s="197"/>
      <c r="C950" s="197"/>
      <c r="D950" s="197"/>
      <c r="E950" s="197"/>
      <c r="F950" s="197"/>
      <c r="G950" s="197"/>
      <c r="H950" s="197"/>
      <c r="I950" s="197"/>
      <c r="J950" s="197"/>
      <c r="K950" s="197"/>
      <c r="L950" s="205" t="str">
        <f>IFERROR(__xludf.DUMMYFUNCTION("IFERROR(
    INDEX(FILTER('Arrived Shipments'!O:O, 'Arrived Shipments'!B:B=$B950),1),
    IFERROR(
        INDEX(FILTER('POed not arrived'!D:D, 'POed not arrived'!A:A=$B950),1),
        """"
    )
)"),"")</f>
        <v/>
      </c>
      <c r="M950" s="197"/>
      <c r="N950" s="223" t="str">
        <f>IFERROR(__xludf.DUMMYFUNCTION("IFERROR(
    INDEX(FILTER('Arrived Shipments'!O:O, 'Arrived Shipments'!B:B=$B950),2),
    IFERROR(
        INDEX(FILTER('POed not arrived'!D:D, 'POed not arrived'!A:A=$B950),2),
        """"
    )
)"),"")</f>
        <v/>
      </c>
      <c r="O950" s="197"/>
      <c r="P950" s="202" t="str">
        <f>IFERROR(__xludf.DUMMYFUNCTION("IFERROR(
    INDEX(FILTER('Arrived Shipments'!O:O, 'Arrived Shipments'!B:B=$B950),3),
    IFERROR(
        INDEX(FILTER('POed not arrived'!D:D, 'POed not arrived'!A:A=$B950),3),
        """"
    )
)"),"")</f>
        <v/>
      </c>
      <c r="Q950" s="197"/>
      <c r="R950" s="206" t="str">
        <f>IFERROR(__xludf.DUMMYFUNCTION("IFERROR(
    INDEX(FILTER('Arrived Shipments'!O:O, 'Arrived Shipments'!B:B=$B950),4),
    IFERROR(
        INDEX(FILTER('POed not arrived'!D:D, 'POed not arrived'!A:A=$B950),4),
        """"
    )
)"),"")</f>
        <v/>
      </c>
      <c r="S950" s="197"/>
      <c r="T950" s="202">
        <f t="shared" si="8"/>
        <v>0</v>
      </c>
      <c r="U950" s="197"/>
      <c r="V950" s="197"/>
      <c r="W950" s="197"/>
      <c r="X950" s="197"/>
      <c r="Y950" s="197"/>
      <c r="Z950" s="197"/>
      <c r="AA950" s="204" t="str">
        <f t="shared" si="4"/>
        <v/>
      </c>
      <c r="AB950" s="197"/>
      <c r="AC950" s="197"/>
      <c r="AD950" s="197"/>
      <c r="AE950" s="197"/>
      <c r="AF950" s="197"/>
      <c r="AG950" s="197"/>
      <c r="AH950" s="197"/>
      <c r="AI950" s="197"/>
      <c r="AJ950" s="197"/>
      <c r="AK950" s="197"/>
      <c r="AL950" s="197"/>
      <c r="AM950" s="197"/>
      <c r="AN950" s="197"/>
      <c r="AO950" s="197"/>
      <c r="AP950" s="197"/>
      <c r="AQ950" s="197"/>
      <c r="AR950" s="197"/>
      <c r="AS950" s="197"/>
    </row>
    <row r="951">
      <c r="A951" s="198"/>
      <c r="B951" s="197"/>
      <c r="C951" s="197"/>
      <c r="D951" s="197"/>
      <c r="E951" s="197"/>
      <c r="F951" s="197"/>
      <c r="G951" s="197"/>
      <c r="H951" s="197"/>
      <c r="I951" s="197"/>
      <c r="J951" s="197"/>
      <c r="K951" s="197"/>
      <c r="L951" s="205" t="str">
        <f>IFERROR(__xludf.DUMMYFUNCTION("IFERROR(
    INDEX(FILTER('Arrived Shipments'!O:O, 'Arrived Shipments'!B:B=$B951),1),
    IFERROR(
        INDEX(FILTER('POed not arrived'!D:D, 'POed not arrived'!A:A=$B951),1),
        """"
    )
)"),"")</f>
        <v/>
      </c>
      <c r="M951" s="197"/>
      <c r="N951" s="223" t="str">
        <f>IFERROR(__xludf.DUMMYFUNCTION("IFERROR(
    INDEX(FILTER('Arrived Shipments'!O:O, 'Arrived Shipments'!B:B=$B951),2),
    IFERROR(
        INDEX(FILTER('POed not arrived'!D:D, 'POed not arrived'!A:A=$B951),2),
        """"
    )
)"),"")</f>
        <v/>
      </c>
      <c r="O951" s="197"/>
      <c r="P951" s="202" t="str">
        <f>IFERROR(__xludf.DUMMYFUNCTION("IFERROR(
    INDEX(FILTER('Arrived Shipments'!O:O, 'Arrived Shipments'!B:B=$B951),3),
    IFERROR(
        INDEX(FILTER('POed not arrived'!D:D, 'POed not arrived'!A:A=$B951),3),
        """"
    )
)"),"")</f>
        <v/>
      </c>
      <c r="Q951" s="197"/>
      <c r="R951" s="206" t="str">
        <f>IFERROR(__xludf.DUMMYFUNCTION("IFERROR(
    INDEX(FILTER('Arrived Shipments'!O:O, 'Arrived Shipments'!B:B=$B951),4),
    IFERROR(
        INDEX(FILTER('POed not arrived'!D:D, 'POed not arrived'!A:A=$B951),4),
        """"
    )
)"),"")</f>
        <v/>
      </c>
      <c r="S951" s="197"/>
      <c r="T951" s="202">
        <f t="shared" si="8"/>
        <v>0</v>
      </c>
      <c r="U951" s="197"/>
      <c r="V951" s="197"/>
      <c r="W951" s="197"/>
      <c r="X951" s="197"/>
      <c r="Y951" s="197"/>
      <c r="Z951" s="197"/>
      <c r="AA951" s="204" t="str">
        <f t="shared" si="4"/>
        <v/>
      </c>
      <c r="AB951" s="197"/>
      <c r="AC951" s="197"/>
      <c r="AD951" s="197"/>
      <c r="AE951" s="197"/>
      <c r="AF951" s="197"/>
      <c r="AG951" s="197"/>
      <c r="AH951" s="197"/>
      <c r="AI951" s="197"/>
      <c r="AJ951" s="197"/>
      <c r="AK951" s="197"/>
      <c r="AL951" s="197"/>
      <c r="AM951" s="197"/>
      <c r="AN951" s="197"/>
      <c r="AO951" s="197"/>
      <c r="AP951" s="197"/>
      <c r="AQ951" s="197"/>
      <c r="AR951" s="197"/>
      <c r="AS951" s="197"/>
    </row>
    <row r="952">
      <c r="A952" s="198"/>
      <c r="B952" s="197"/>
      <c r="C952" s="197"/>
      <c r="D952" s="197"/>
      <c r="E952" s="197"/>
      <c r="F952" s="197"/>
      <c r="G952" s="197"/>
      <c r="H952" s="197"/>
      <c r="I952" s="197"/>
      <c r="J952" s="197"/>
      <c r="K952" s="197"/>
      <c r="L952" s="205" t="str">
        <f>IFERROR(__xludf.DUMMYFUNCTION("IFERROR(
    INDEX(FILTER('Arrived Shipments'!O:O, 'Arrived Shipments'!B:B=$B952),1),
    IFERROR(
        INDEX(FILTER('POed not arrived'!D:D, 'POed not arrived'!A:A=$B952),1),
        """"
    )
)"),"")</f>
        <v/>
      </c>
      <c r="M952" s="197"/>
      <c r="N952" s="223" t="str">
        <f>IFERROR(__xludf.DUMMYFUNCTION("IFERROR(
    INDEX(FILTER('Arrived Shipments'!O:O, 'Arrived Shipments'!B:B=$B952),2),
    IFERROR(
        INDEX(FILTER('POed not arrived'!D:D, 'POed not arrived'!A:A=$B952),2),
        """"
    )
)"),"")</f>
        <v/>
      </c>
      <c r="O952" s="197"/>
      <c r="P952" s="202" t="str">
        <f>IFERROR(__xludf.DUMMYFUNCTION("IFERROR(
    INDEX(FILTER('Arrived Shipments'!O:O, 'Arrived Shipments'!B:B=$B952),3),
    IFERROR(
        INDEX(FILTER('POed not arrived'!D:D, 'POed not arrived'!A:A=$B952),3),
        """"
    )
)"),"")</f>
        <v/>
      </c>
      <c r="Q952" s="197"/>
      <c r="R952" s="206" t="str">
        <f>IFERROR(__xludf.DUMMYFUNCTION("IFERROR(
    INDEX(FILTER('Arrived Shipments'!O:O, 'Arrived Shipments'!B:B=$B952),4),
    IFERROR(
        INDEX(FILTER('POed not arrived'!D:D, 'POed not arrived'!A:A=$B952),4),
        """"
    )
)"),"")</f>
        <v/>
      </c>
      <c r="S952" s="197"/>
      <c r="T952" s="202">
        <f t="shared" si="8"/>
        <v>0</v>
      </c>
      <c r="U952" s="197"/>
      <c r="V952" s="197"/>
      <c r="W952" s="197"/>
      <c r="X952" s="197"/>
      <c r="Y952" s="197"/>
      <c r="Z952" s="197"/>
      <c r="AA952" s="204" t="str">
        <f t="shared" si="4"/>
        <v/>
      </c>
      <c r="AB952" s="197"/>
      <c r="AC952" s="197"/>
      <c r="AD952" s="197"/>
      <c r="AE952" s="197"/>
      <c r="AF952" s="197"/>
      <c r="AG952" s="197"/>
      <c r="AH952" s="197"/>
      <c r="AI952" s="197"/>
      <c r="AJ952" s="197"/>
      <c r="AK952" s="197"/>
      <c r="AL952" s="197"/>
      <c r="AM952" s="197"/>
      <c r="AN952" s="197"/>
      <c r="AO952" s="197"/>
      <c r="AP952" s="197"/>
      <c r="AQ952" s="197"/>
      <c r="AR952" s="197"/>
      <c r="AS952" s="197"/>
    </row>
    <row r="953">
      <c r="A953" s="198"/>
      <c r="B953" s="197"/>
      <c r="C953" s="197"/>
      <c r="D953" s="197"/>
      <c r="E953" s="197"/>
      <c r="F953" s="197"/>
      <c r="G953" s="197"/>
      <c r="H953" s="197"/>
      <c r="I953" s="197"/>
      <c r="J953" s="197"/>
      <c r="K953" s="197"/>
      <c r="L953" s="205" t="str">
        <f>IFERROR(__xludf.DUMMYFUNCTION("IFERROR(
    INDEX(FILTER('Arrived Shipments'!O:O, 'Arrived Shipments'!B:B=$B953),1),
    IFERROR(
        INDEX(FILTER('POed not arrived'!D:D, 'POed not arrived'!A:A=$B953),1),
        """"
    )
)"),"")</f>
        <v/>
      </c>
      <c r="M953" s="197"/>
      <c r="N953" s="223" t="str">
        <f>IFERROR(__xludf.DUMMYFUNCTION("IFERROR(
    INDEX(FILTER('Arrived Shipments'!O:O, 'Arrived Shipments'!B:B=$B953),2),
    IFERROR(
        INDEX(FILTER('POed not arrived'!D:D, 'POed not arrived'!A:A=$B953),2),
        """"
    )
)"),"")</f>
        <v/>
      </c>
      <c r="O953" s="197"/>
      <c r="P953" s="202" t="str">
        <f>IFERROR(__xludf.DUMMYFUNCTION("IFERROR(
    INDEX(FILTER('Arrived Shipments'!O:O, 'Arrived Shipments'!B:B=$B953),3),
    IFERROR(
        INDEX(FILTER('POed not arrived'!D:D, 'POed not arrived'!A:A=$B953),3),
        """"
    )
)"),"")</f>
        <v/>
      </c>
      <c r="Q953" s="197"/>
      <c r="R953" s="206" t="str">
        <f>IFERROR(__xludf.DUMMYFUNCTION("IFERROR(
    INDEX(FILTER('Arrived Shipments'!O:O, 'Arrived Shipments'!B:B=$B953),4),
    IFERROR(
        INDEX(FILTER('POed not arrived'!D:D, 'POed not arrived'!A:A=$B953),4),
        """"
    )
)"),"")</f>
        <v/>
      </c>
      <c r="S953" s="197"/>
      <c r="T953" s="202">
        <f t="shared" si="8"/>
        <v>0</v>
      </c>
      <c r="U953" s="197"/>
      <c r="V953" s="197"/>
      <c r="W953" s="197"/>
      <c r="X953" s="197"/>
      <c r="Y953" s="197"/>
      <c r="Z953" s="197"/>
      <c r="AA953" s="204" t="str">
        <f t="shared" si="4"/>
        <v/>
      </c>
      <c r="AB953" s="197"/>
      <c r="AC953" s="197"/>
      <c r="AD953" s="197"/>
      <c r="AE953" s="197"/>
      <c r="AF953" s="197"/>
      <c r="AG953" s="197"/>
      <c r="AH953" s="197"/>
      <c r="AI953" s="197"/>
      <c r="AJ953" s="197"/>
      <c r="AK953" s="197"/>
      <c r="AL953" s="197"/>
      <c r="AM953" s="197"/>
      <c r="AN953" s="197"/>
      <c r="AO953" s="197"/>
      <c r="AP953" s="197"/>
      <c r="AQ953" s="197"/>
      <c r="AR953" s="197"/>
      <c r="AS953" s="197"/>
    </row>
    <row r="954">
      <c r="A954" s="198"/>
      <c r="B954" s="197"/>
      <c r="C954" s="197"/>
      <c r="D954" s="197"/>
      <c r="E954" s="197"/>
      <c r="F954" s="197"/>
      <c r="G954" s="197"/>
      <c r="H954" s="197"/>
      <c r="I954" s="197"/>
      <c r="J954" s="197"/>
      <c r="K954" s="197"/>
      <c r="L954" s="205" t="str">
        <f>IFERROR(__xludf.DUMMYFUNCTION("IFERROR(
    INDEX(FILTER('Arrived Shipments'!O:O, 'Arrived Shipments'!B:B=$B954),1),
    IFERROR(
        INDEX(FILTER('POed not arrived'!D:D, 'POed not arrived'!A:A=$B954),1),
        """"
    )
)"),"")</f>
        <v/>
      </c>
      <c r="M954" s="197"/>
      <c r="N954" s="223" t="str">
        <f>IFERROR(__xludf.DUMMYFUNCTION("IFERROR(
    INDEX(FILTER('Arrived Shipments'!O:O, 'Arrived Shipments'!B:B=$B954),2),
    IFERROR(
        INDEX(FILTER('POed not arrived'!D:D, 'POed not arrived'!A:A=$B954),2),
        """"
    )
)"),"")</f>
        <v/>
      </c>
      <c r="O954" s="197"/>
      <c r="P954" s="202" t="str">
        <f>IFERROR(__xludf.DUMMYFUNCTION("IFERROR(
    INDEX(FILTER('Arrived Shipments'!O:O, 'Arrived Shipments'!B:B=$B954),3),
    IFERROR(
        INDEX(FILTER('POed not arrived'!D:D, 'POed not arrived'!A:A=$B954),3),
        """"
    )
)"),"")</f>
        <v/>
      </c>
      <c r="Q954" s="197"/>
      <c r="R954" s="206" t="str">
        <f>IFERROR(__xludf.DUMMYFUNCTION("IFERROR(
    INDEX(FILTER('Arrived Shipments'!O:O, 'Arrived Shipments'!B:B=$B954),4),
    IFERROR(
        INDEX(FILTER('POed not arrived'!D:D, 'POed not arrived'!A:A=$B954),4),
        """"
    )
)"),"")</f>
        <v/>
      </c>
      <c r="S954" s="197"/>
      <c r="T954" s="202">
        <f t="shared" si="8"/>
        <v>0</v>
      </c>
      <c r="U954" s="197"/>
      <c r="V954" s="197"/>
      <c r="W954" s="197"/>
      <c r="X954" s="197"/>
      <c r="Y954" s="197"/>
      <c r="Z954" s="197"/>
      <c r="AA954" s="204" t="str">
        <f t="shared" si="4"/>
        <v/>
      </c>
      <c r="AB954" s="197"/>
      <c r="AC954" s="197"/>
      <c r="AD954" s="197"/>
      <c r="AE954" s="197"/>
      <c r="AF954" s="197"/>
      <c r="AG954" s="197"/>
      <c r="AH954" s="197"/>
      <c r="AI954" s="197"/>
      <c r="AJ954" s="197"/>
      <c r="AK954" s="197"/>
      <c r="AL954" s="197"/>
      <c r="AM954" s="197"/>
      <c r="AN954" s="197"/>
      <c r="AO954" s="197"/>
      <c r="AP954" s="197"/>
      <c r="AQ954" s="197"/>
      <c r="AR954" s="197"/>
      <c r="AS954" s="197"/>
    </row>
    <row r="955">
      <c r="A955" s="198"/>
      <c r="B955" s="197"/>
      <c r="C955" s="197"/>
      <c r="D955" s="197"/>
      <c r="E955" s="197"/>
      <c r="F955" s="197"/>
      <c r="G955" s="197"/>
      <c r="H955" s="197"/>
      <c r="I955" s="197"/>
      <c r="J955" s="197"/>
      <c r="K955" s="197"/>
      <c r="L955" s="205" t="str">
        <f>IFERROR(__xludf.DUMMYFUNCTION("IFERROR(
    INDEX(FILTER('Arrived Shipments'!O:O, 'Arrived Shipments'!B:B=$B955),1),
    IFERROR(
        INDEX(FILTER('POed not arrived'!D:D, 'POed not arrived'!A:A=$B955),1),
        """"
    )
)"),"")</f>
        <v/>
      </c>
      <c r="M955" s="197"/>
      <c r="N955" s="223" t="str">
        <f>IFERROR(__xludf.DUMMYFUNCTION("IFERROR(
    INDEX(FILTER('Arrived Shipments'!O:O, 'Arrived Shipments'!B:B=$B955),2),
    IFERROR(
        INDEX(FILTER('POed not arrived'!D:D, 'POed not arrived'!A:A=$B955),2),
        """"
    )
)"),"")</f>
        <v/>
      </c>
      <c r="O955" s="197"/>
      <c r="P955" s="202" t="str">
        <f>IFERROR(__xludf.DUMMYFUNCTION("IFERROR(
    INDEX(FILTER('Arrived Shipments'!O:O, 'Arrived Shipments'!B:B=$B955),3),
    IFERROR(
        INDEX(FILTER('POed not arrived'!D:D, 'POed not arrived'!A:A=$B955),3),
        """"
    )
)"),"")</f>
        <v/>
      </c>
      <c r="Q955" s="197"/>
      <c r="R955" s="206" t="str">
        <f>IFERROR(__xludf.DUMMYFUNCTION("IFERROR(
    INDEX(FILTER('Arrived Shipments'!O:O, 'Arrived Shipments'!B:B=$B955),4),
    IFERROR(
        INDEX(FILTER('POed not arrived'!D:D, 'POed not arrived'!A:A=$B955),4),
        """"
    )
)"),"")</f>
        <v/>
      </c>
      <c r="S955" s="197"/>
      <c r="T955" s="202">
        <f t="shared" si="8"/>
        <v>0</v>
      </c>
      <c r="U955" s="197"/>
      <c r="V955" s="197"/>
      <c r="W955" s="197"/>
      <c r="X955" s="197"/>
      <c r="Y955" s="197"/>
      <c r="Z955" s="197"/>
      <c r="AA955" s="204" t="str">
        <f t="shared" si="4"/>
        <v/>
      </c>
      <c r="AB955" s="197"/>
      <c r="AC955" s="197"/>
      <c r="AD955" s="197"/>
      <c r="AE955" s="197"/>
      <c r="AF955" s="197"/>
      <c r="AG955" s="197"/>
      <c r="AH955" s="197"/>
      <c r="AI955" s="197"/>
      <c r="AJ955" s="197"/>
      <c r="AK955" s="197"/>
      <c r="AL955" s="197"/>
      <c r="AM955" s="197"/>
      <c r="AN955" s="197"/>
      <c r="AO955" s="197"/>
      <c r="AP955" s="197"/>
      <c r="AQ955" s="197"/>
      <c r="AR955" s="197"/>
      <c r="AS955" s="197"/>
    </row>
    <row r="956">
      <c r="A956" s="198"/>
      <c r="B956" s="197"/>
      <c r="C956" s="197"/>
      <c r="D956" s="197"/>
      <c r="E956" s="197"/>
      <c r="F956" s="197"/>
      <c r="G956" s="197"/>
      <c r="H956" s="197"/>
      <c r="I956" s="197"/>
      <c r="J956" s="197"/>
      <c r="K956" s="197"/>
      <c r="L956" s="205" t="str">
        <f>IFERROR(__xludf.DUMMYFUNCTION("IFERROR(
    INDEX(FILTER('Arrived Shipments'!O:O, 'Arrived Shipments'!B:B=$B956),1),
    IFERROR(
        INDEX(FILTER('POed not arrived'!D:D, 'POed not arrived'!A:A=$B956),1),
        """"
    )
)"),"")</f>
        <v/>
      </c>
      <c r="M956" s="197"/>
      <c r="N956" s="223" t="str">
        <f>IFERROR(__xludf.DUMMYFUNCTION("IFERROR(
    INDEX(FILTER('Arrived Shipments'!O:O, 'Arrived Shipments'!B:B=$B956),2),
    IFERROR(
        INDEX(FILTER('POed not arrived'!D:D, 'POed not arrived'!A:A=$B956),2),
        """"
    )
)"),"")</f>
        <v/>
      </c>
      <c r="O956" s="197"/>
      <c r="P956" s="202" t="str">
        <f>IFERROR(__xludf.DUMMYFUNCTION("IFERROR(
    INDEX(FILTER('Arrived Shipments'!O:O, 'Arrived Shipments'!B:B=$B956),3),
    IFERROR(
        INDEX(FILTER('POed not arrived'!D:D, 'POed not arrived'!A:A=$B956),3),
        """"
    )
)"),"")</f>
        <v/>
      </c>
      <c r="Q956" s="197"/>
      <c r="R956" s="206" t="str">
        <f>IFERROR(__xludf.DUMMYFUNCTION("IFERROR(
    INDEX(FILTER('Arrived Shipments'!O:O, 'Arrived Shipments'!B:B=$B956),4),
    IFERROR(
        INDEX(FILTER('POed not arrived'!D:D, 'POed not arrived'!A:A=$B956),4),
        """"
    )
)"),"")</f>
        <v/>
      </c>
      <c r="S956" s="197"/>
      <c r="T956" s="202">
        <f t="shared" si="8"/>
        <v>0</v>
      </c>
      <c r="U956" s="197"/>
      <c r="V956" s="197"/>
      <c r="W956" s="197"/>
      <c r="X956" s="197"/>
      <c r="Y956" s="197"/>
      <c r="Z956" s="197"/>
      <c r="AA956" s="204" t="str">
        <f t="shared" si="4"/>
        <v/>
      </c>
      <c r="AB956" s="197"/>
      <c r="AC956" s="197"/>
      <c r="AD956" s="197"/>
      <c r="AE956" s="197"/>
      <c r="AF956" s="197"/>
      <c r="AG956" s="197"/>
      <c r="AH956" s="197"/>
      <c r="AI956" s="197"/>
      <c r="AJ956" s="197"/>
      <c r="AK956" s="197"/>
      <c r="AL956" s="197"/>
      <c r="AM956" s="197"/>
      <c r="AN956" s="197"/>
      <c r="AO956" s="197"/>
      <c r="AP956" s="197"/>
      <c r="AQ956" s="197"/>
      <c r="AR956" s="197"/>
      <c r="AS956" s="197"/>
    </row>
    <row r="957">
      <c r="A957" s="198"/>
      <c r="B957" s="197"/>
      <c r="C957" s="197"/>
      <c r="D957" s="197"/>
      <c r="E957" s="197"/>
      <c r="F957" s="197"/>
      <c r="G957" s="197"/>
      <c r="H957" s="197"/>
      <c r="I957" s="197"/>
      <c r="J957" s="197"/>
      <c r="K957" s="197"/>
      <c r="L957" s="205" t="str">
        <f>IFERROR(__xludf.DUMMYFUNCTION("IFERROR(
    INDEX(FILTER('Arrived Shipments'!O:O, 'Arrived Shipments'!B:B=$B957),1),
    IFERROR(
        INDEX(FILTER('POed not arrived'!D:D, 'POed not arrived'!A:A=$B957),1),
        """"
    )
)"),"")</f>
        <v/>
      </c>
      <c r="M957" s="197"/>
      <c r="N957" s="223" t="str">
        <f>IFERROR(__xludf.DUMMYFUNCTION("IFERROR(
    INDEX(FILTER('Arrived Shipments'!O:O, 'Arrived Shipments'!B:B=$B957),2),
    IFERROR(
        INDEX(FILTER('POed not arrived'!D:D, 'POed not arrived'!A:A=$B957),2),
        """"
    )
)"),"")</f>
        <v/>
      </c>
      <c r="O957" s="197"/>
      <c r="P957" s="202" t="str">
        <f>IFERROR(__xludf.DUMMYFUNCTION("IFERROR(
    INDEX(FILTER('Arrived Shipments'!O:O, 'Arrived Shipments'!B:B=$B957),3),
    IFERROR(
        INDEX(FILTER('POed not arrived'!D:D, 'POed not arrived'!A:A=$B957),3),
        """"
    )
)"),"")</f>
        <v/>
      </c>
      <c r="Q957" s="197"/>
      <c r="R957" s="206" t="str">
        <f>IFERROR(__xludf.DUMMYFUNCTION("IFERROR(
    INDEX(FILTER('Arrived Shipments'!O:O, 'Arrived Shipments'!B:B=$B957),4),
    IFERROR(
        INDEX(FILTER('POed not arrived'!D:D, 'POed not arrived'!A:A=$B957),4),
        """"
    )
)"),"")</f>
        <v/>
      </c>
      <c r="S957" s="197"/>
      <c r="T957" s="202">
        <f t="shared" si="8"/>
        <v>0</v>
      </c>
      <c r="U957" s="197"/>
      <c r="V957" s="197"/>
      <c r="W957" s="197"/>
      <c r="X957" s="197"/>
      <c r="Y957" s="197"/>
      <c r="Z957" s="197"/>
      <c r="AA957" s="204" t="str">
        <f t="shared" si="4"/>
        <v/>
      </c>
      <c r="AB957" s="197"/>
      <c r="AC957" s="197"/>
      <c r="AD957" s="197"/>
      <c r="AE957" s="197"/>
      <c r="AF957" s="197"/>
      <c r="AG957" s="197"/>
      <c r="AH957" s="197"/>
      <c r="AI957" s="197"/>
      <c r="AJ957" s="197"/>
      <c r="AK957" s="197"/>
      <c r="AL957" s="197"/>
      <c r="AM957" s="197"/>
      <c r="AN957" s="197"/>
      <c r="AO957" s="197"/>
      <c r="AP957" s="197"/>
      <c r="AQ957" s="197"/>
      <c r="AR957" s="197"/>
      <c r="AS957" s="197"/>
    </row>
    <row r="958">
      <c r="A958" s="198"/>
      <c r="B958" s="197"/>
      <c r="C958" s="197"/>
      <c r="D958" s="197"/>
      <c r="E958" s="197"/>
      <c r="F958" s="197"/>
      <c r="G958" s="197"/>
      <c r="H958" s="197"/>
      <c r="I958" s="197"/>
      <c r="J958" s="197"/>
      <c r="K958" s="197"/>
      <c r="L958" s="205" t="str">
        <f>IFERROR(__xludf.DUMMYFUNCTION("IFERROR(
    INDEX(FILTER('Arrived Shipments'!O:O, 'Arrived Shipments'!B:B=$B958),1),
    IFERROR(
        INDEX(FILTER('POed not arrived'!D:D, 'POed not arrived'!A:A=$B958),1),
        """"
    )
)"),"")</f>
        <v/>
      </c>
      <c r="M958" s="197"/>
      <c r="N958" s="223" t="str">
        <f>IFERROR(__xludf.DUMMYFUNCTION("IFERROR(
    INDEX(FILTER('Arrived Shipments'!O:O, 'Arrived Shipments'!B:B=$B958),2),
    IFERROR(
        INDEX(FILTER('POed not arrived'!D:D, 'POed not arrived'!A:A=$B958),2),
        """"
    )
)"),"")</f>
        <v/>
      </c>
      <c r="O958" s="197"/>
      <c r="P958" s="202" t="str">
        <f>IFERROR(__xludf.DUMMYFUNCTION("IFERROR(
    INDEX(FILTER('Arrived Shipments'!O:O, 'Arrived Shipments'!B:B=$B958),3),
    IFERROR(
        INDEX(FILTER('POed not arrived'!D:D, 'POed not arrived'!A:A=$B958),3),
        """"
    )
)"),"")</f>
        <v/>
      </c>
      <c r="Q958" s="197"/>
      <c r="R958" s="206" t="str">
        <f>IFERROR(__xludf.DUMMYFUNCTION("IFERROR(
    INDEX(FILTER('Arrived Shipments'!O:O, 'Arrived Shipments'!B:B=$B958),4),
    IFERROR(
        INDEX(FILTER('POed not arrived'!D:D, 'POed not arrived'!A:A=$B958),4),
        """"
    )
)"),"")</f>
        <v/>
      </c>
      <c r="S958" s="197"/>
      <c r="T958" s="202">
        <f t="shared" si="8"/>
        <v>0</v>
      </c>
      <c r="U958" s="197"/>
      <c r="V958" s="197"/>
      <c r="W958" s="197"/>
      <c r="X958" s="197"/>
      <c r="Y958" s="197"/>
      <c r="Z958" s="197"/>
      <c r="AA958" s="204" t="str">
        <f t="shared" si="4"/>
        <v/>
      </c>
      <c r="AB958" s="197"/>
      <c r="AC958" s="197"/>
      <c r="AD958" s="197"/>
      <c r="AE958" s="197"/>
      <c r="AF958" s="197"/>
      <c r="AG958" s="197"/>
      <c r="AH958" s="197"/>
      <c r="AI958" s="197"/>
      <c r="AJ958" s="197"/>
      <c r="AK958" s="197"/>
      <c r="AL958" s="197"/>
      <c r="AM958" s="197"/>
      <c r="AN958" s="197"/>
      <c r="AO958" s="197"/>
      <c r="AP958" s="197"/>
      <c r="AQ958" s="197"/>
      <c r="AR958" s="197"/>
      <c r="AS958" s="197"/>
    </row>
    <row r="959">
      <c r="A959" s="198"/>
      <c r="B959" s="197"/>
      <c r="C959" s="197"/>
      <c r="D959" s="197"/>
      <c r="E959" s="197"/>
      <c r="F959" s="197"/>
      <c r="G959" s="197"/>
      <c r="H959" s="197"/>
      <c r="I959" s="197"/>
      <c r="J959" s="197"/>
      <c r="K959" s="197"/>
      <c r="L959" s="205" t="str">
        <f>IFERROR(__xludf.DUMMYFUNCTION("IFERROR(
    INDEX(FILTER('Arrived Shipments'!O:O, 'Arrived Shipments'!B:B=$B959),1),
    IFERROR(
        INDEX(FILTER('POed not arrived'!D:D, 'POed not arrived'!A:A=$B959),1),
        """"
    )
)"),"")</f>
        <v/>
      </c>
      <c r="M959" s="197"/>
      <c r="N959" s="223" t="str">
        <f>IFERROR(__xludf.DUMMYFUNCTION("IFERROR(
    INDEX(FILTER('Arrived Shipments'!O:O, 'Arrived Shipments'!B:B=$B959),2),
    IFERROR(
        INDEX(FILTER('POed not arrived'!D:D, 'POed not arrived'!A:A=$B959),2),
        """"
    )
)"),"")</f>
        <v/>
      </c>
      <c r="O959" s="197"/>
      <c r="P959" s="202" t="str">
        <f>IFERROR(__xludf.DUMMYFUNCTION("IFERROR(
    INDEX(FILTER('Arrived Shipments'!O:O, 'Arrived Shipments'!B:B=$B959),3),
    IFERROR(
        INDEX(FILTER('POed not arrived'!D:D, 'POed not arrived'!A:A=$B959),3),
        """"
    )
)"),"")</f>
        <v/>
      </c>
      <c r="Q959" s="197"/>
      <c r="R959" s="206" t="str">
        <f>IFERROR(__xludf.DUMMYFUNCTION("IFERROR(
    INDEX(FILTER('Arrived Shipments'!O:O, 'Arrived Shipments'!B:B=$B959),4),
    IFERROR(
        INDEX(FILTER('POed not arrived'!D:D, 'POed not arrived'!A:A=$B959),4),
        """"
    )
)"),"")</f>
        <v/>
      </c>
      <c r="S959" s="197"/>
      <c r="T959" s="202">
        <f t="shared" si="8"/>
        <v>0</v>
      </c>
      <c r="U959" s="197"/>
      <c r="V959" s="197"/>
      <c r="W959" s="197"/>
      <c r="X959" s="197"/>
      <c r="Y959" s="197"/>
      <c r="Z959" s="197"/>
      <c r="AA959" s="204" t="str">
        <f t="shared" si="4"/>
        <v/>
      </c>
      <c r="AB959" s="197"/>
      <c r="AC959" s="197"/>
      <c r="AD959" s="197"/>
      <c r="AE959" s="197"/>
      <c r="AF959" s="197"/>
      <c r="AG959" s="197"/>
      <c r="AH959" s="197"/>
      <c r="AI959" s="197"/>
      <c r="AJ959" s="197"/>
      <c r="AK959" s="197"/>
      <c r="AL959" s="197"/>
      <c r="AM959" s="197"/>
      <c r="AN959" s="197"/>
      <c r="AO959" s="197"/>
      <c r="AP959" s="197"/>
      <c r="AQ959" s="197"/>
      <c r="AR959" s="197"/>
      <c r="AS959" s="197"/>
    </row>
    <row r="960">
      <c r="A960" s="198"/>
      <c r="B960" s="197"/>
      <c r="C960" s="197"/>
      <c r="D960" s="197"/>
      <c r="E960" s="197"/>
      <c r="F960" s="197"/>
      <c r="G960" s="197"/>
      <c r="H960" s="197"/>
      <c r="I960" s="197"/>
      <c r="J960" s="197"/>
      <c r="K960" s="197"/>
      <c r="L960" s="205" t="str">
        <f>IFERROR(__xludf.DUMMYFUNCTION("IFERROR(
    INDEX(FILTER('Arrived Shipments'!O:O, 'Arrived Shipments'!B:B=$B960),1),
    IFERROR(
        INDEX(FILTER('POed not arrived'!D:D, 'POed not arrived'!A:A=$B960),1),
        """"
    )
)"),"")</f>
        <v/>
      </c>
      <c r="M960" s="197"/>
      <c r="N960" s="223" t="str">
        <f>IFERROR(__xludf.DUMMYFUNCTION("IFERROR(
    INDEX(FILTER('Arrived Shipments'!O:O, 'Arrived Shipments'!B:B=$B960),2),
    IFERROR(
        INDEX(FILTER('POed not arrived'!D:D, 'POed not arrived'!A:A=$B960),2),
        """"
    )
)"),"")</f>
        <v/>
      </c>
      <c r="O960" s="197"/>
      <c r="P960" s="202" t="str">
        <f>IFERROR(__xludf.DUMMYFUNCTION("IFERROR(
    INDEX(FILTER('Arrived Shipments'!O:O, 'Arrived Shipments'!B:B=$B960),3),
    IFERROR(
        INDEX(FILTER('POed not arrived'!D:D, 'POed not arrived'!A:A=$B960),3),
        """"
    )
)"),"")</f>
        <v/>
      </c>
      <c r="Q960" s="197"/>
      <c r="R960" s="206" t="str">
        <f>IFERROR(__xludf.DUMMYFUNCTION("IFERROR(
    INDEX(FILTER('Arrived Shipments'!O:O, 'Arrived Shipments'!B:B=$B960),4),
    IFERROR(
        INDEX(FILTER('POed not arrived'!D:D, 'POed not arrived'!A:A=$B960),4),
        """"
    )
)"),"")</f>
        <v/>
      </c>
      <c r="S960" s="197"/>
      <c r="T960" s="202">
        <f t="shared" si="8"/>
        <v>0</v>
      </c>
      <c r="U960" s="197"/>
      <c r="V960" s="197"/>
      <c r="W960" s="197"/>
      <c r="X960" s="197"/>
      <c r="Y960" s="197"/>
      <c r="Z960" s="197"/>
      <c r="AA960" s="204" t="str">
        <f t="shared" si="4"/>
        <v/>
      </c>
      <c r="AB960" s="197"/>
      <c r="AC960" s="197"/>
      <c r="AD960" s="197"/>
      <c r="AE960" s="197"/>
      <c r="AF960" s="197"/>
      <c r="AG960" s="197"/>
      <c r="AH960" s="197"/>
      <c r="AI960" s="197"/>
      <c r="AJ960" s="197"/>
      <c r="AK960" s="197"/>
      <c r="AL960" s="197"/>
      <c r="AM960" s="197"/>
      <c r="AN960" s="197"/>
      <c r="AO960" s="197"/>
      <c r="AP960" s="197"/>
      <c r="AQ960" s="197"/>
      <c r="AR960" s="197"/>
      <c r="AS960" s="197"/>
    </row>
    <row r="961">
      <c r="A961" s="198"/>
      <c r="B961" s="197"/>
      <c r="C961" s="197"/>
      <c r="D961" s="197"/>
      <c r="E961" s="197"/>
      <c r="F961" s="197"/>
      <c r="G961" s="197"/>
      <c r="H961" s="197"/>
      <c r="I961" s="197"/>
      <c r="J961" s="197"/>
      <c r="K961" s="197"/>
      <c r="L961" s="205" t="str">
        <f>IFERROR(__xludf.DUMMYFUNCTION("IFERROR(
    INDEX(FILTER('Arrived Shipments'!O:O, 'Arrived Shipments'!B:B=$B961),1),
    IFERROR(
        INDEX(FILTER('POed not arrived'!D:D, 'POed not arrived'!A:A=$B961),1),
        """"
    )
)"),"")</f>
        <v/>
      </c>
      <c r="M961" s="197"/>
      <c r="N961" s="223" t="str">
        <f>IFERROR(__xludf.DUMMYFUNCTION("IFERROR(
    INDEX(FILTER('Arrived Shipments'!O:O, 'Arrived Shipments'!B:B=$B961),2),
    IFERROR(
        INDEX(FILTER('POed not arrived'!D:D, 'POed not arrived'!A:A=$B961),2),
        """"
    )
)"),"")</f>
        <v/>
      </c>
      <c r="O961" s="197"/>
      <c r="P961" s="202" t="str">
        <f>IFERROR(__xludf.DUMMYFUNCTION("IFERROR(
    INDEX(FILTER('Arrived Shipments'!O:O, 'Arrived Shipments'!B:B=$B961),3),
    IFERROR(
        INDEX(FILTER('POed not arrived'!D:D, 'POed not arrived'!A:A=$B961),3),
        """"
    )
)"),"")</f>
        <v/>
      </c>
      <c r="Q961" s="197"/>
      <c r="R961" s="206" t="str">
        <f>IFERROR(__xludf.DUMMYFUNCTION("IFERROR(
    INDEX(FILTER('Arrived Shipments'!O:O, 'Arrived Shipments'!B:B=$B961),4),
    IFERROR(
        INDEX(FILTER('POed not arrived'!D:D, 'POed not arrived'!A:A=$B961),4),
        """"
    )
)"),"")</f>
        <v/>
      </c>
      <c r="S961" s="197"/>
      <c r="T961" s="202">
        <f t="shared" si="8"/>
        <v>0</v>
      </c>
      <c r="U961" s="197"/>
      <c r="V961" s="197"/>
      <c r="W961" s="197"/>
      <c r="X961" s="197"/>
      <c r="Y961" s="197"/>
      <c r="Z961" s="197"/>
      <c r="AA961" s="204" t="str">
        <f t="shared" si="4"/>
        <v/>
      </c>
      <c r="AB961" s="197"/>
      <c r="AC961" s="197"/>
      <c r="AD961" s="197"/>
      <c r="AE961" s="197"/>
      <c r="AF961" s="197"/>
      <c r="AG961" s="197"/>
      <c r="AH961" s="197"/>
      <c r="AI961" s="197"/>
      <c r="AJ961" s="197"/>
      <c r="AK961" s="197"/>
      <c r="AL961" s="197"/>
      <c r="AM961" s="197"/>
      <c r="AN961" s="197"/>
      <c r="AO961" s="197"/>
      <c r="AP961" s="197"/>
      <c r="AQ961" s="197"/>
      <c r="AR961" s="197"/>
      <c r="AS961" s="197"/>
    </row>
    <row r="962">
      <c r="A962" s="198"/>
      <c r="B962" s="197"/>
      <c r="C962" s="197"/>
      <c r="D962" s="197"/>
      <c r="E962" s="197"/>
      <c r="F962" s="197"/>
      <c r="G962" s="197"/>
      <c r="H962" s="197"/>
      <c r="I962" s="197"/>
      <c r="J962" s="197"/>
      <c r="K962" s="197"/>
      <c r="L962" s="205" t="str">
        <f>IFERROR(__xludf.DUMMYFUNCTION("IFERROR(
    INDEX(FILTER('Arrived Shipments'!O:O, 'Arrived Shipments'!B:B=$B962),1),
    IFERROR(
        INDEX(FILTER('POed not arrived'!D:D, 'POed not arrived'!A:A=$B962),1),
        """"
    )
)"),"")</f>
        <v/>
      </c>
      <c r="M962" s="197"/>
      <c r="N962" s="223" t="str">
        <f>IFERROR(__xludf.DUMMYFUNCTION("IFERROR(
    INDEX(FILTER('Arrived Shipments'!O:O, 'Arrived Shipments'!B:B=$B962),2),
    IFERROR(
        INDEX(FILTER('POed not arrived'!D:D, 'POed not arrived'!A:A=$B962),2),
        """"
    )
)"),"")</f>
        <v/>
      </c>
      <c r="O962" s="197"/>
      <c r="P962" s="202" t="str">
        <f>IFERROR(__xludf.DUMMYFUNCTION("IFERROR(
    INDEX(FILTER('Arrived Shipments'!O:O, 'Arrived Shipments'!B:B=$B962),3),
    IFERROR(
        INDEX(FILTER('POed not arrived'!D:D, 'POed not arrived'!A:A=$B962),3),
        """"
    )
)"),"")</f>
        <v/>
      </c>
      <c r="Q962" s="197"/>
      <c r="R962" s="206" t="str">
        <f>IFERROR(__xludf.DUMMYFUNCTION("IFERROR(
    INDEX(FILTER('Arrived Shipments'!O:O, 'Arrived Shipments'!B:B=$B962),4),
    IFERROR(
        INDEX(FILTER('POed not arrived'!D:D, 'POed not arrived'!A:A=$B962),4),
        """"
    )
)"),"")</f>
        <v/>
      </c>
      <c r="S962" s="197"/>
      <c r="T962" s="202">
        <f t="shared" si="8"/>
        <v>0</v>
      </c>
      <c r="U962" s="197"/>
      <c r="V962" s="197"/>
      <c r="W962" s="197"/>
      <c r="X962" s="197"/>
      <c r="Y962" s="197"/>
      <c r="Z962" s="197"/>
      <c r="AA962" s="204" t="str">
        <f t="shared" si="4"/>
        <v/>
      </c>
      <c r="AB962" s="197"/>
      <c r="AC962" s="197"/>
      <c r="AD962" s="197"/>
      <c r="AE962" s="197"/>
      <c r="AF962" s="197"/>
      <c r="AG962" s="197"/>
      <c r="AH962" s="197"/>
      <c r="AI962" s="197"/>
      <c r="AJ962" s="197"/>
      <c r="AK962" s="197"/>
      <c r="AL962" s="197"/>
      <c r="AM962" s="197"/>
      <c r="AN962" s="197"/>
      <c r="AO962" s="197"/>
      <c r="AP962" s="197"/>
      <c r="AQ962" s="197"/>
      <c r="AR962" s="197"/>
      <c r="AS962" s="197"/>
    </row>
    <row r="963">
      <c r="A963" s="198"/>
      <c r="B963" s="197"/>
      <c r="C963" s="197"/>
      <c r="D963" s="197"/>
      <c r="E963" s="197"/>
      <c r="F963" s="197"/>
      <c r="G963" s="197"/>
      <c r="H963" s="197"/>
      <c r="I963" s="197"/>
      <c r="J963" s="197"/>
      <c r="K963" s="197"/>
      <c r="L963" s="205" t="str">
        <f>IFERROR(__xludf.DUMMYFUNCTION("IFERROR(
    INDEX(FILTER('Arrived Shipments'!O:O, 'Arrived Shipments'!B:B=$B963),1),
    IFERROR(
        INDEX(FILTER('POed not arrived'!D:D, 'POed not arrived'!A:A=$B963),1),
        """"
    )
)"),"")</f>
        <v/>
      </c>
      <c r="M963" s="197"/>
      <c r="N963" s="223" t="str">
        <f>IFERROR(__xludf.DUMMYFUNCTION("IFERROR(
    INDEX(FILTER('Arrived Shipments'!O:O, 'Arrived Shipments'!B:B=$B963),2),
    IFERROR(
        INDEX(FILTER('POed not arrived'!D:D, 'POed not arrived'!A:A=$B963),2),
        """"
    )
)"),"")</f>
        <v/>
      </c>
      <c r="O963" s="197"/>
      <c r="P963" s="202" t="str">
        <f>IFERROR(__xludf.DUMMYFUNCTION("IFERROR(
    INDEX(FILTER('Arrived Shipments'!O:O, 'Arrived Shipments'!B:B=$B963),3),
    IFERROR(
        INDEX(FILTER('POed not arrived'!D:D, 'POed not arrived'!A:A=$B963),3),
        """"
    )
)"),"")</f>
        <v/>
      </c>
      <c r="Q963" s="197"/>
      <c r="R963" s="206" t="str">
        <f>IFERROR(__xludf.DUMMYFUNCTION("IFERROR(
    INDEX(FILTER('Arrived Shipments'!O:O, 'Arrived Shipments'!B:B=$B963),4),
    IFERROR(
        INDEX(FILTER('POed not arrived'!D:D, 'POed not arrived'!A:A=$B963),4),
        """"
    )
)"),"")</f>
        <v/>
      </c>
      <c r="S963" s="197"/>
      <c r="T963" s="202">
        <f t="shared" si="8"/>
        <v>0</v>
      </c>
      <c r="U963" s="197"/>
      <c r="V963" s="197"/>
      <c r="W963" s="197"/>
      <c r="X963" s="197"/>
      <c r="Y963" s="197"/>
      <c r="Z963" s="197"/>
      <c r="AA963" s="204" t="str">
        <f t="shared" si="4"/>
        <v/>
      </c>
      <c r="AB963" s="197"/>
      <c r="AC963" s="197"/>
      <c r="AD963" s="197"/>
      <c r="AE963" s="197"/>
      <c r="AF963" s="197"/>
      <c r="AG963" s="197"/>
      <c r="AH963" s="197"/>
      <c r="AI963" s="197"/>
      <c r="AJ963" s="197"/>
      <c r="AK963" s="197"/>
      <c r="AL963" s="197"/>
      <c r="AM963" s="197"/>
      <c r="AN963" s="197"/>
      <c r="AO963" s="197"/>
      <c r="AP963" s="197"/>
      <c r="AQ963" s="197"/>
      <c r="AR963" s="197"/>
      <c r="AS963" s="197"/>
    </row>
    <row r="964">
      <c r="A964" s="198"/>
      <c r="B964" s="197"/>
      <c r="C964" s="197"/>
      <c r="D964" s="197"/>
      <c r="E964" s="197"/>
      <c r="F964" s="197"/>
      <c r="G964" s="197"/>
      <c r="H964" s="197"/>
      <c r="I964" s="197"/>
      <c r="J964" s="197"/>
      <c r="K964" s="197"/>
      <c r="L964" s="205" t="str">
        <f>IFERROR(__xludf.DUMMYFUNCTION("IFERROR(
    INDEX(FILTER('Arrived Shipments'!O:O, 'Arrived Shipments'!B:B=$B964),1),
    IFERROR(
        INDEX(FILTER('POed not arrived'!D:D, 'POed not arrived'!A:A=$B964),1),
        """"
    )
)"),"")</f>
        <v/>
      </c>
      <c r="M964" s="197"/>
      <c r="N964" s="223" t="str">
        <f>IFERROR(__xludf.DUMMYFUNCTION("IFERROR(
    INDEX(FILTER('Arrived Shipments'!O:O, 'Arrived Shipments'!B:B=$B964),2),
    IFERROR(
        INDEX(FILTER('POed not arrived'!D:D, 'POed not arrived'!A:A=$B964),2),
        """"
    )
)"),"")</f>
        <v/>
      </c>
      <c r="O964" s="197"/>
      <c r="P964" s="202" t="str">
        <f>IFERROR(__xludf.DUMMYFUNCTION("IFERROR(
    INDEX(FILTER('Arrived Shipments'!O:O, 'Arrived Shipments'!B:B=$B964),3),
    IFERROR(
        INDEX(FILTER('POed not arrived'!D:D, 'POed not arrived'!A:A=$B964),3),
        """"
    )
)"),"")</f>
        <v/>
      </c>
      <c r="Q964" s="197"/>
      <c r="R964" s="206" t="str">
        <f>IFERROR(__xludf.DUMMYFUNCTION("IFERROR(
    INDEX(FILTER('Arrived Shipments'!O:O, 'Arrived Shipments'!B:B=$B964),4),
    IFERROR(
        INDEX(FILTER('POed not arrived'!D:D, 'POed not arrived'!A:A=$B964),4),
        """"
    )
)"),"")</f>
        <v/>
      </c>
      <c r="S964" s="197"/>
      <c r="T964" s="202">
        <f t="shared" si="8"/>
        <v>0</v>
      </c>
      <c r="U964" s="197"/>
      <c r="V964" s="197"/>
      <c r="W964" s="197"/>
      <c r="X964" s="197"/>
      <c r="Y964" s="197"/>
      <c r="Z964" s="197"/>
      <c r="AA964" s="204" t="str">
        <f t="shared" si="4"/>
        <v/>
      </c>
      <c r="AB964" s="197"/>
      <c r="AC964" s="197"/>
      <c r="AD964" s="197"/>
      <c r="AE964" s="197"/>
      <c r="AF964" s="197"/>
      <c r="AG964" s="197"/>
      <c r="AH964" s="197"/>
      <c r="AI964" s="197"/>
      <c r="AJ964" s="197"/>
      <c r="AK964" s="197"/>
      <c r="AL964" s="197"/>
      <c r="AM964" s="197"/>
      <c r="AN964" s="197"/>
      <c r="AO964" s="197"/>
      <c r="AP964" s="197"/>
      <c r="AQ964" s="197"/>
      <c r="AR964" s="197"/>
      <c r="AS964" s="197"/>
    </row>
    <row r="965">
      <c r="A965" s="198"/>
      <c r="B965" s="197"/>
      <c r="C965" s="197"/>
      <c r="D965" s="197"/>
      <c r="E965" s="197"/>
      <c r="F965" s="197"/>
      <c r="G965" s="197"/>
      <c r="H965" s="197"/>
      <c r="I965" s="197"/>
      <c r="J965" s="197"/>
      <c r="K965" s="197"/>
      <c r="L965" s="205" t="str">
        <f>IFERROR(__xludf.DUMMYFUNCTION("IFERROR(
    INDEX(FILTER('Arrived Shipments'!O:O, 'Arrived Shipments'!B:B=$B965),1),
    IFERROR(
        INDEX(FILTER('POed not arrived'!D:D, 'POed not arrived'!A:A=$B965),1),
        """"
    )
)"),"")</f>
        <v/>
      </c>
      <c r="M965" s="197"/>
      <c r="N965" s="223" t="str">
        <f>IFERROR(__xludf.DUMMYFUNCTION("IFERROR(
    INDEX(FILTER('Arrived Shipments'!O:O, 'Arrived Shipments'!B:B=$B965),2),
    IFERROR(
        INDEX(FILTER('POed not arrived'!D:D, 'POed not arrived'!A:A=$B965),2),
        """"
    )
)"),"")</f>
        <v/>
      </c>
      <c r="O965" s="197"/>
      <c r="P965" s="202" t="str">
        <f>IFERROR(__xludf.DUMMYFUNCTION("IFERROR(
    INDEX(FILTER('Arrived Shipments'!O:O, 'Arrived Shipments'!B:B=$B965),3),
    IFERROR(
        INDEX(FILTER('POed not arrived'!D:D, 'POed not arrived'!A:A=$B965),3),
        """"
    )
)"),"")</f>
        <v/>
      </c>
      <c r="Q965" s="197"/>
      <c r="R965" s="206" t="str">
        <f>IFERROR(__xludf.DUMMYFUNCTION("IFERROR(
    INDEX(FILTER('Arrived Shipments'!O:O, 'Arrived Shipments'!B:B=$B965),4),
    IFERROR(
        INDEX(FILTER('POed not arrived'!D:D, 'POed not arrived'!A:A=$B965),4),
        """"
    )
)"),"")</f>
        <v/>
      </c>
      <c r="S965" s="197"/>
      <c r="T965" s="202">
        <f t="shared" si="8"/>
        <v>0</v>
      </c>
      <c r="U965" s="197"/>
      <c r="V965" s="197"/>
      <c r="W965" s="197"/>
      <c r="X965" s="197"/>
      <c r="Y965" s="197"/>
      <c r="Z965" s="197"/>
      <c r="AA965" s="204" t="str">
        <f t="shared" si="4"/>
        <v/>
      </c>
      <c r="AB965" s="197"/>
      <c r="AC965" s="197"/>
      <c r="AD965" s="197"/>
      <c r="AE965" s="197"/>
      <c r="AF965" s="197"/>
      <c r="AG965" s="197"/>
      <c r="AH965" s="197"/>
      <c r="AI965" s="197"/>
      <c r="AJ965" s="197"/>
      <c r="AK965" s="197"/>
      <c r="AL965" s="197"/>
      <c r="AM965" s="197"/>
      <c r="AN965" s="197"/>
      <c r="AO965" s="197"/>
      <c r="AP965" s="197"/>
      <c r="AQ965" s="197"/>
      <c r="AR965" s="197"/>
      <c r="AS965" s="197"/>
    </row>
    <row r="966">
      <c r="A966" s="198"/>
      <c r="B966" s="197"/>
      <c r="C966" s="197"/>
      <c r="D966" s="197"/>
      <c r="E966" s="197"/>
      <c r="F966" s="197"/>
      <c r="G966" s="197"/>
      <c r="H966" s="197"/>
      <c r="I966" s="197"/>
      <c r="J966" s="197"/>
      <c r="K966" s="197"/>
      <c r="L966" s="205" t="str">
        <f>IFERROR(__xludf.DUMMYFUNCTION("IFERROR(
    INDEX(FILTER('Arrived Shipments'!O:O, 'Arrived Shipments'!B:B=$B966),1),
    IFERROR(
        INDEX(FILTER('POed not arrived'!D:D, 'POed not arrived'!A:A=$B966),1),
        """"
    )
)"),"")</f>
        <v/>
      </c>
      <c r="M966" s="197"/>
      <c r="N966" s="223" t="str">
        <f>IFERROR(__xludf.DUMMYFUNCTION("IFERROR(
    INDEX(FILTER('Arrived Shipments'!O:O, 'Arrived Shipments'!B:B=$B966),2),
    IFERROR(
        INDEX(FILTER('POed not arrived'!D:D, 'POed not arrived'!A:A=$B966),2),
        """"
    )
)"),"")</f>
        <v/>
      </c>
      <c r="O966" s="197"/>
      <c r="P966" s="202" t="str">
        <f>IFERROR(__xludf.DUMMYFUNCTION("IFERROR(
    INDEX(FILTER('Arrived Shipments'!O:O, 'Arrived Shipments'!B:B=$B966),3),
    IFERROR(
        INDEX(FILTER('POed not arrived'!D:D, 'POed not arrived'!A:A=$B966),3),
        """"
    )
)"),"")</f>
        <v/>
      </c>
      <c r="Q966" s="197"/>
      <c r="R966" s="206" t="str">
        <f>IFERROR(__xludf.DUMMYFUNCTION("IFERROR(
    INDEX(FILTER('Arrived Shipments'!O:O, 'Arrived Shipments'!B:B=$B966),4),
    IFERROR(
        INDEX(FILTER('POed not arrived'!D:D, 'POed not arrived'!A:A=$B966),4),
        """"
    )
)"),"")</f>
        <v/>
      </c>
      <c r="S966" s="197"/>
      <c r="T966" s="202">
        <f t="shared" si="8"/>
        <v>0</v>
      </c>
      <c r="U966" s="197"/>
      <c r="V966" s="197"/>
      <c r="W966" s="197"/>
      <c r="X966" s="197"/>
      <c r="Y966" s="197"/>
      <c r="Z966" s="197"/>
      <c r="AA966" s="204" t="str">
        <f t="shared" si="4"/>
        <v/>
      </c>
      <c r="AB966" s="197"/>
      <c r="AC966" s="197"/>
      <c r="AD966" s="197"/>
      <c r="AE966" s="197"/>
      <c r="AF966" s="197"/>
      <c r="AG966" s="197"/>
      <c r="AH966" s="197"/>
      <c r="AI966" s="197"/>
      <c r="AJ966" s="197"/>
      <c r="AK966" s="197"/>
      <c r="AL966" s="197"/>
      <c r="AM966" s="197"/>
      <c r="AN966" s="197"/>
      <c r="AO966" s="197"/>
      <c r="AP966" s="197"/>
      <c r="AQ966" s="197"/>
      <c r="AR966" s="197"/>
      <c r="AS966" s="197"/>
    </row>
    <row r="967">
      <c r="A967" s="198"/>
      <c r="B967" s="197"/>
      <c r="C967" s="197"/>
      <c r="D967" s="197"/>
      <c r="E967" s="197"/>
      <c r="F967" s="197"/>
      <c r="G967" s="197"/>
      <c r="H967" s="197"/>
      <c r="I967" s="197"/>
      <c r="J967" s="197"/>
      <c r="K967" s="197"/>
      <c r="L967" s="205" t="str">
        <f>IFERROR(__xludf.DUMMYFUNCTION("IFERROR(
    INDEX(FILTER('Arrived Shipments'!O:O, 'Arrived Shipments'!B:B=$B967),1),
    IFERROR(
        INDEX(FILTER('POed not arrived'!D:D, 'POed not arrived'!A:A=$B967),1),
        """"
    )
)"),"")</f>
        <v/>
      </c>
      <c r="M967" s="197"/>
      <c r="N967" s="223" t="str">
        <f>IFERROR(__xludf.DUMMYFUNCTION("IFERROR(
    INDEX(FILTER('Arrived Shipments'!O:O, 'Arrived Shipments'!B:B=$B967),2),
    IFERROR(
        INDEX(FILTER('POed not arrived'!D:D, 'POed not arrived'!A:A=$B967),2),
        """"
    )
)"),"")</f>
        <v/>
      </c>
      <c r="O967" s="197"/>
      <c r="P967" s="202" t="str">
        <f>IFERROR(__xludf.DUMMYFUNCTION("IFERROR(
    INDEX(FILTER('Arrived Shipments'!O:O, 'Arrived Shipments'!B:B=$B967),3),
    IFERROR(
        INDEX(FILTER('POed not arrived'!D:D, 'POed not arrived'!A:A=$B967),3),
        """"
    )
)"),"")</f>
        <v/>
      </c>
      <c r="Q967" s="197"/>
      <c r="R967" s="206" t="str">
        <f>IFERROR(__xludf.DUMMYFUNCTION("IFERROR(
    INDEX(FILTER('Arrived Shipments'!O:O, 'Arrived Shipments'!B:B=$B967),4),
    IFERROR(
        INDEX(FILTER('POed not arrived'!D:D, 'POed not arrived'!A:A=$B967),4),
        """"
    )
)"),"")</f>
        <v/>
      </c>
      <c r="S967" s="197"/>
      <c r="T967" s="202">
        <f t="shared" si="8"/>
        <v>0</v>
      </c>
      <c r="U967" s="197"/>
      <c r="V967" s="197"/>
      <c r="W967" s="197"/>
      <c r="X967" s="197"/>
      <c r="Y967" s="197"/>
      <c r="Z967" s="197"/>
      <c r="AA967" s="204" t="str">
        <f t="shared" si="4"/>
        <v/>
      </c>
      <c r="AB967" s="197"/>
      <c r="AC967" s="197"/>
      <c r="AD967" s="197"/>
      <c r="AE967" s="197"/>
      <c r="AF967" s="197"/>
      <c r="AG967" s="197"/>
      <c r="AH967" s="197"/>
      <c r="AI967" s="197"/>
      <c r="AJ967" s="197"/>
      <c r="AK967" s="197"/>
      <c r="AL967" s="197"/>
      <c r="AM967" s="197"/>
      <c r="AN967" s="197"/>
      <c r="AO967" s="197"/>
      <c r="AP967" s="197"/>
      <c r="AQ967" s="197"/>
      <c r="AR967" s="197"/>
      <c r="AS967" s="197"/>
    </row>
    <row r="968">
      <c r="A968" s="198"/>
      <c r="B968" s="197"/>
      <c r="C968" s="197"/>
      <c r="D968" s="197"/>
      <c r="E968" s="197"/>
      <c r="F968" s="197"/>
      <c r="G968" s="197"/>
      <c r="H968" s="197"/>
      <c r="I968" s="197"/>
      <c r="J968" s="197"/>
      <c r="K968" s="197"/>
      <c r="L968" s="205" t="str">
        <f>IFERROR(__xludf.DUMMYFUNCTION("IFERROR(
    INDEX(FILTER('Arrived Shipments'!O:O, 'Arrived Shipments'!B:B=$B968),1),
    IFERROR(
        INDEX(FILTER('POed not arrived'!D:D, 'POed not arrived'!A:A=$B968),1),
        """"
    )
)"),"")</f>
        <v/>
      </c>
      <c r="M968" s="197"/>
      <c r="N968" s="223" t="str">
        <f>IFERROR(__xludf.DUMMYFUNCTION("IFERROR(
    INDEX(FILTER('Arrived Shipments'!O:O, 'Arrived Shipments'!B:B=$B968),2),
    IFERROR(
        INDEX(FILTER('POed not arrived'!D:D, 'POed not arrived'!A:A=$B968),2),
        """"
    )
)"),"")</f>
        <v/>
      </c>
      <c r="O968" s="197"/>
      <c r="P968" s="202" t="str">
        <f>IFERROR(__xludf.DUMMYFUNCTION("IFERROR(
    INDEX(FILTER('Arrived Shipments'!O:O, 'Arrived Shipments'!B:B=$B968),3),
    IFERROR(
        INDEX(FILTER('POed not arrived'!D:D, 'POed not arrived'!A:A=$B968),3),
        """"
    )
)"),"")</f>
        <v/>
      </c>
      <c r="Q968" s="197"/>
      <c r="R968" s="206" t="str">
        <f>IFERROR(__xludf.DUMMYFUNCTION("IFERROR(
    INDEX(FILTER('Arrived Shipments'!O:O, 'Arrived Shipments'!B:B=$B968),4),
    IFERROR(
        INDEX(FILTER('POed not arrived'!D:D, 'POed not arrived'!A:A=$B968),4),
        """"
    )
)"),"")</f>
        <v/>
      </c>
      <c r="S968" s="197"/>
      <c r="T968" s="202">
        <f t="shared" si="8"/>
        <v>0</v>
      </c>
      <c r="U968" s="197"/>
      <c r="V968" s="197"/>
      <c r="W968" s="197"/>
      <c r="X968" s="197"/>
      <c r="Y968" s="197"/>
      <c r="Z968" s="197"/>
      <c r="AA968" s="204" t="str">
        <f t="shared" si="4"/>
        <v/>
      </c>
      <c r="AB968" s="197"/>
      <c r="AC968" s="197"/>
      <c r="AD968" s="197"/>
      <c r="AE968" s="197"/>
      <c r="AF968" s="197"/>
      <c r="AG968" s="197"/>
      <c r="AH968" s="197"/>
      <c r="AI968" s="197"/>
      <c r="AJ968" s="197"/>
      <c r="AK968" s="197"/>
      <c r="AL968" s="197"/>
      <c r="AM968" s="197"/>
      <c r="AN968" s="197"/>
      <c r="AO968" s="197"/>
      <c r="AP968" s="197"/>
      <c r="AQ968" s="197"/>
      <c r="AR968" s="197"/>
      <c r="AS968" s="197"/>
    </row>
    <row r="969">
      <c r="A969" s="198"/>
      <c r="B969" s="197"/>
      <c r="C969" s="197"/>
      <c r="D969" s="197"/>
      <c r="E969" s="197"/>
      <c r="F969" s="197"/>
      <c r="G969" s="197"/>
      <c r="H969" s="197"/>
      <c r="I969" s="197"/>
      <c r="J969" s="197"/>
      <c r="K969" s="197"/>
      <c r="L969" s="205" t="str">
        <f>IFERROR(__xludf.DUMMYFUNCTION("IFERROR(
    INDEX(FILTER('Arrived Shipments'!O:O, 'Arrived Shipments'!B:B=$B969),1),
    IFERROR(
        INDEX(FILTER('POed not arrived'!D:D, 'POed not arrived'!A:A=$B969),1),
        """"
    )
)"),"")</f>
        <v/>
      </c>
      <c r="M969" s="197"/>
      <c r="N969" s="223" t="str">
        <f>IFERROR(__xludf.DUMMYFUNCTION("IFERROR(
    INDEX(FILTER('Arrived Shipments'!O:O, 'Arrived Shipments'!B:B=$B969),2),
    IFERROR(
        INDEX(FILTER('POed not arrived'!D:D, 'POed not arrived'!A:A=$B969),2),
        """"
    )
)"),"")</f>
        <v/>
      </c>
      <c r="O969" s="197"/>
      <c r="P969" s="202" t="str">
        <f>IFERROR(__xludf.DUMMYFUNCTION("IFERROR(
    INDEX(FILTER('Arrived Shipments'!O:O, 'Arrived Shipments'!B:B=$B969),3),
    IFERROR(
        INDEX(FILTER('POed not arrived'!D:D, 'POed not arrived'!A:A=$B969),3),
        """"
    )
)"),"")</f>
        <v/>
      </c>
      <c r="Q969" s="197"/>
      <c r="R969" s="206" t="str">
        <f>IFERROR(__xludf.DUMMYFUNCTION("IFERROR(
    INDEX(FILTER('Arrived Shipments'!O:O, 'Arrived Shipments'!B:B=$B969),4),
    IFERROR(
        INDEX(FILTER('POed not arrived'!D:D, 'POed not arrived'!A:A=$B969),4),
        """"
    )
)"),"")</f>
        <v/>
      </c>
      <c r="S969" s="197"/>
      <c r="T969" s="202">
        <f t="shared" si="8"/>
        <v>0</v>
      </c>
      <c r="U969" s="197"/>
      <c r="V969" s="197"/>
      <c r="W969" s="197"/>
      <c r="X969" s="197"/>
      <c r="Y969" s="197"/>
      <c r="Z969" s="197"/>
      <c r="AA969" s="204" t="str">
        <f t="shared" si="4"/>
        <v/>
      </c>
      <c r="AB969" s="197"/>
      <c r="AC969" s="197"/>
      <c r="AD969" s="197"/>
      <c r="AE969" s="197"/>
      <c r="AF969" s="197"/>
      <c r="AG969" s="197"/>
      <c r="AH969" s="197"/>
      <c r="AI969" s="197"/>
      <c r="AJ969" s="197"/>
      <c r="AK969" s="197"/>
      <c r="AL969" s="197"/>
      <c r="AM969" s="197"/>
      <c r="AN969" s="197"/>
      <c r="AO969" s="197"/>
      <c r="AP969" s="197"/>
      <c r="AQ969" s="197"/>
      <c r="AR969" s="197"/>
      <c r="AS969" s="197"/>
    </row>
    <row r="970">
      <c r="A970" s="198"/>
      <c r="B970" s="197"/>
      <c r="C970" s="197"/>
      <c r="D970" s="197"/>
      <c r="E970" s="197"/>
      <c r="F970" s="197"/>
      <c r="G970" s="197"/>
      <c r="H970" s="197"/>
      <c r="I970" s="197"/>
      <c r="J970" s="197"/>
      <c r="K970" s="197"/>
      <c r="L970" s="205" t="str">
        <f>IFERROR(__xludf.DUMMYFUNCTION("IFERROR(
    INDEX(FILTER('Arrived Shipments'!O:O, 'Arrived Shipments'!B:B=$B970),1),
    IFERROR(
        INDEX(FILTER('POed not arrived'!D:D, 'POed not arrived'!A:A=$B970),1),
        """"
    )
)"),"")</f>
        <v/>
      </c>
      <c r="M970" s="197"/>
      <c r="N970" s="223" t="str">
        <f>IFERROR(__xludf.DUMMYFUNCTION("IFERROR(
    INDEX(FILTER('Arrived Shipments'!O:O, 'Arrived Shipments'!B:B=$B970),2),
    IFERROR(
        INDEX(FILTER('POed not arrived'!D:D, 'POed not arrived'!A:A=$B970),2),
        """"
    )
)"),"")</f>
        <v/>
      </c>
      <c r="O970" s="197"/>
      <c r="P970" s="202" t="str">
        <f>IFERROR(__xludf.DUMMYFUNCTION("IFERROR(
    INDEX(FILTER('Arrived Shipments'!O:O, 'Arrived Shipments'!B:B=$B970),3),
    IFERROR(
        INDEX(FILTER('POed not arrived'!D:D, 'POed not arrived'!A:A=$B970),3),
        """"
    )
)"),"")</f>
        <v/>
      </c>
      <c r="Q970" s="197"/>
      <c r="R970" s="206" t="str">
        <f>IFERROR(__xludf.DUMMYFUNCTION("IFERROR(
    INDEX(FILTER('Arrived Shipments'!O:O, 'Arrived Shipments'!B:B=$B970),4),
    IFERROR(
        INDEX(FILTER('POed not arrived'!D:D, 'POed not arrived'!A:A=$B970),4),
        """"
    )
)"),"")</f>
        <v/>
      </c>
      <c r="S970" s="197"/>
      <c r="T970" s="202">
        <f t="shared" si="8"/>
        <v>0</v>
      </c>
      <c r="U970" s="197"/>
      <c r="V970" s="197"/>
      <c r="W970" s="197"/>
      <c r="X970" s="197"/>
      <c r="Y970" s="197"/>
      <c r="Z970" s="197"/>
      <c r="AA970" s="204" t="str">
        <f t="shared" si="4"/>
        <v/>
      </c>
      <c r="AB970" s="197"/>
      <c r="AC970" s="197"/>
      <c r="AD970" s="197"/>
      <c r="AE970" s="197"/>
      <c r="AF970" s="197"/>
      <c r="AG970" s="197"/>
      <c r="AH970" s="197"/>
      <c r="AI970" s="197"/>
      <c r="AJ970" s="197"/>
      <c r="AK970" s="197"/>
      <c r="AL970" s="197"/>
      <c r="AM970" s="197"/>
      <c r="AN970" s="197"/>
      <c r="AO970" s="197"/>
      <c r="AP970" s="197"/>
      <c r="AQ970" s="197"/>
      <c r="AR970" s="197"/>
      <c r="AS970" s="197"/>
    </row>
    <row r="971">
      <c r="A971" s="198"/>
      <c r="B971" s="197"/>
      <c r="C971" s="197"/>
      <c r="D971" s="197"/>
      <c r="E971" s="197"/>
      <c r="F971" s="197"/>
      <c r="G971" s="197"/>
      <c r="H971" s="197"/>
      <c r="I971" s="197"/>
      <c r="J971" s="197"/>
      <c r="K971" s="197"/>
      <c r="L971" s="205" t="str">
        <f>IFERROR(__xludf.DUMMYFUNCTION("IFERROR(
    INDEX(FILTER('Arrived Shipments'!O:O, 'Arrived Shipments'!B:B=$B971),1),
    IFERROR(
        INDEX(FILTER('POed not arrived'!D:D, 'POed not arrived'!A:A=$B971),1),
        """"
    )
)"),"")</f>
        <v/>
      </c>
      <c r="M971" s="197"/>
      <c r="N971" s="223" t="str">
        <f>IFERROR(__xludf.DUMMYFUNCTION("IFERROR(
    INDEX(FILTER('Arrived Shipments'!O:O, 'Arrived Shipments'!B:B=$B971),2),
    IFERROR(
        INDEX(FILTER('POed not arrived'!D:D, 'POed not arrived'!A:A=$B971),2),
        """"
    )
)"),"")</f>
        <v/>
      </c>
      <c r="O971" s="197"/>
      <c r="P971" s="202" t="str">
        <f>IFERROR(__xludf.DUMMYFUNCTION("IFERROR(
    INDEX(FILTER('Arrived Shipments'!O:O, 'Arrived Shipments'!B:B=$B971),3),
    IFERROR(
        INDEX(FILTER('POed not arrived'!D:D, 'POed not arrived'!A:A=$B971),3),
        """"
    )
)"),"")</f>
        <v/>
      </c>
      <c r="Q971" s="197"/>
      <c r="R971" s="206" t="str">
        <f>IFERROR(__xludf.DUMMYFUNCTION("IFERROR(
    INDEX(FILTER('Arrived Shipments'!O:O, 'Arrived Shipments'!B:B=$B971),4),
    IFERROR(
        INDEX(FILTER('POed not arrived'!D:D, 'POed not arrived'!A:A=$B971),4),
        """"
    )
)"),"")</f>
        <v/>
      </c>
      <c r="S971" s="197"/>
      <c r="T971" s="202">
        <f t="shared" si="8"/>
        <v>0</v>
      </c>
      <c r="U971" s="197"/>
      <c r="V971" s="197"/>
      <c r="W971" s="197"/>
      <c r="X971" s="197"/>
      <c r="Y971" s="197"/>
      <c r="Z971" s="197"/>
      <c r="AA971" s="204" t="str">
        <f t="shared" si="4"/>
        <v/>
      </c>
      <c r="AB971" s="197"/>
      <c r="AC971" s="197"/>
      <c r="AD971" s="197"/>
      <c r="AE971" s="197"/>
      <c r="AF971" s="197"/>
      <c r="AG971" s="197"/>
      <c r="AH971" s="197"/>
      <c r="AI971" s="197"/>
      <c r="AJ971" s="197"/>
      <c r="AK971" s="197"/>
      <c r="AL971" s="197"/>
      <c r="AM971" s="197"/>
      <c r="AN971" s="197"/>
      <c r="AO971" s="197"/>
      <c r="AP971" s="197"/>
      <c r="AQ971" s="197"/>
      <c r="AR971" s="197"/>
      <c r="AS971" s="197"/>
    </row>
    <row r="972">
      <c r="A972" s="198"/>
      <c r="B972" s="197"/>
      <c r="C972" s="197"/>
      <c r="D972" s="197"/>
      <c r="E972" s="197"/>
      <c r="F972" s="197"/>
      <c r="G972" s="197"/>
      <c r="H972" s="197"/>
      <c r="I972" s="197"/>
      <c r="J972" s="197"/>
      <c r="K972" s="197"/>
      <c r="L972" s="205" t="str">
        <f>IFERROR(__xludf.DUMMYFUNCTION("IFERROR(
    INDEX(FILTER('Arrived Shipments'!O:O, 'Arrived Shipments'!B:B=$B972),1),
    IFERROR(
        INDEX(FILTER('POed not arrived'!D:D, 'POed not arrived'!A:A=$B972),1),
        """"
    )
)"),"")</f>
        <v/>
      </c>
      <c r="M972" s="197"/>
      <c r="N972" s="223" t="str">
        <f>IFERROR(__xludf.DUMMYFUNCTION("IFERROR(
    INDEX(FILTER('Arrived Shipments'!O:O, 'Arrived Shipments'!B:B=$B972),2),
    IFERROR(
        INDEX(FILTER('POed not arrived'!D:D, 'POed not arrived'!A:A=$B972),2),
        """"
    )
)"),"")</f>
        <v/>
      </c>
      <c r="O972" s="197"/>
      <c r="P972" s="202" t="str">
        <f>IFERROR(__xludf.DUMMYFUNCTION("IFERROR(
    INDEX(FILTER('Arrived Shipments'!O:O, 'Arrived Shipments'!B:B=$B972),3),
    IFERROR(
        INDEX(FILTER('POed not arrived'!D:D, 'POed not arrived'!A:A=$B972),3),
        """"
    )
)"),"")</f>
        <v/>
      </c>
      <c r="Q972" s="197"/>
      <c r="R972" s="206" t="str">
        <f>IFERROR(__xludf.DUMMYFUNCTION("IFERROR(
    INDEX(FILTER('Arrived Shipments'!O:O, 'Arrived Shipments'!B:B=$B972),4),
    IFERROR(
        INDEX(FILTER('POed not arrived'!D:D, 'POed not arrived'!A:A=$B972),4),
        """"
    )
)"),"")</f>
        <v/>
      </c>
      <c r="S972" s="197"/>
      <c r="T972" s="202">
        <f t="shared" si="8"/>
        <v>0</v>
      </c>
      <c r="U972" s="197"/>
      <c r="V972" s="197"/>
      <c r="W972" s="197"/>
      <c r="X972" s="197"/>
      <c r="Y972" s="197"/>
      <c r="Z972" s="197"/>
      <c r="AA972" s="204" t="str">
        <f t="shared" si="4"/>
        <v/>
      </c>
      <c r="AB972" s="197"/>
      <c r="AC972" s="197"/>
      <c r="AD972" s="197"/>
      <c r="AE972" s="197"/>
      <c r="AF972" s="197"/>
      <c r="AG972" s="197"/>
      <c r="AH972" s="197"/>
      <c r="AI972" s="197"/>
      <c r="AJ972" s="197"/>
      <c r="AK972" s="197"/>
      <c r="AL972" s="197"/>
      <c r="AM972" s="197"/>
      <c r="AN972" s="197"/>
      <c r="AO972" s="197"/>
      <c r="AP972" s="197"/>
      <c r="AQ972" s="197"/>
      <c r="AR972" s="197"/>
      <c r="AS972" s="197"/>
    </row>
    <row r="973">
      <c r="A973" s="198"/>
      <c r="B973" s="197"/>
      <c r="C973" s="197"/>
      <c r="D973" s="197"/>
      <c r="E973" s="197"/>
      <c r="F973" s="197"/>
      <c r="G973" s="197"/>
      <c r="H973" s="197"/>
      <c r="I973" s="197"/>
      <c r="J973" s="197"/>
      <c r="K973" s="197"/>
      <c r="L973" s="205" t="str">
        <f>IFERROR(__xludf.DUMMYFUNCTION("IFERROR(
    INDEX(FILTER('Arrived Shipments'!O:O, 'Arrived Shipments'!B:B=$B973),1),
    IFERROR(
        INDEX(FILTER('POed not arrived'!D:D, 'POed not arrived'!A:A=$B973),1),
        """"
    )
)"),"")</f>
        <v/>
      </c>
      <c r="M973" s="197"/>
      <c r="N973" s="223" t="str">
        <f>IFERROR(__xludf.DUMMYFUNCTION("IFERROR(
    INDEX(FILTER('Arrived Shipments'!O:O, 'Arrived Shipments'!B:B=$B973),2),
    IFERROR(
        INDEX(FILTER('POed not arrived'!D:D, 'POed not arrived'!A:A=$B973),2),
        """"
    )
)"),"")</f>
        <v/>
      </c>
      <c r="O973" s="197"/>
      <c r="P973" s="202" t="str">
        <f>IFERROR(__xludf.DUMMYFUNCTION("IFERROR(
    INDEX(FILTER('Arrived Shipments'!O:O, 'Arrived Shipments'!B:B=$B973),3),
    IFERROR(
        INDEX(FILTER('POed not arrived'!D:D, 'POed not arrived'!A:A=$B973),3),
        """"
    )
)"),"")</f>
        <v/>
      </c>
      <c r="Q973" s="197"/>
      <c r="R973" s="206" t="str">
        <f>IFERROR(__xludf.DUMMYFUNCTION("IFERROR(
    INDEX(FILTER('Arrived Shipments'!O:O, 'Arrived Shipments'!B:B=$B973),4),
    IFERROR(
        INDEX(FILTER('POed not arrived'!D:D, 'POed not arrived'!A:A=$B973),4),
        """"
    )
)"),"")</f>
        <v/>
      </c>
      <c r="S973" s="197"/>
      <c r="T973" s="202">
        <f t="shared" si="8"/>
        <v>0</v>
      </c>
      <c r="U973" s="197"/>
      <c r="V973" s="197"/>
      <c r="W973" s="197"/>
      <c r="X973" s="197"/>
      <c r="Y973" s="197"/>
      <c r="Z973" s="197"/>
      <c r="AA973" s="204" t="str">
        <f t="shared" si="4"/>
        <v/>
      </c>
      <c r="AB973" s="197"/>
      <c r="AC973" s="197"/>
      <c r="AD973" s="197"/>
      <c r="AE973" s="197"/>
      <c r="AF973" s="197"/>
      <c r="AG973" s="197"/>
      <c r="AH973" s="197"/>
      <c r="AI973" s="197"/>
      <c r="AJ973" s="197"/>
      <c r="AK973" s="197"/>
      <c r="AL973" s="197"/>
      <c r="AM973" s="197"/>
      <c r="AN973" s="197"/>
      <c r="AO973" s="197"/>
      <c r="AP973" s="197"/>
      <c r="AQ973" s="197"/>
      <c r="AR973" s="197"/>
      <c r="AS973" s="197"/>
    </row>
    <row r="974">
      <c r="A974" s="198"/>
      <c r="B974" s="197"/>
      <c r="C974" s="197"/>
      <c r="D974" s="197"/>
      <c r="E974" s="197"/>
      <c r="F974" s="197"/>
      <c r="G974" s="197"/>
      <c r="H974" s="197"/>
      <c r="I974" s="197"/>
      <c r="J974" s="197"/>
      <c r="K974" s="197"/>
      <c r="L974" s="205" t="str">
        <f>IFERROR(__xludf.DUMMYFUNCTION("IFERROR(
    INDEX(FILTER('Arrived Shipments'!O:O, 'Arrived Shipments'!B:B=$B974),1),
    IFERROR(
        INDEX(FILTER('POed not arrived'!D:D, 'POed not arrived'!A:A=$B974),1),
        """"
    )
)"),"")</f>
        <v/>
      </c>
      <c r="M974" s="197"/>
      <c r="N974" s="223" t="str">
        <f>IFERROR(__xludf.DUMMYFUNCTION("IFERROR(
    INDEX(FILTER('Arrived Shipments'!O:O, 'Arrived Shipments'!B:B=$B974),2),
    IFERROR(
        INDEX(FILTER('POed not arrived'!D:D, 'POed not arrived'!A:A=$B974),2),
        """"
    )
)"),"")</f>
        <v/>
      </c>
      <c r="O974" s="197"/>
      <c r="P974" s="202" t="str">
        <f>IFERROR(__xludf.DUMMYFUNCTION("IFERROR(
    INDEX(FILTER('Arrived Shipments'!O:O, 'Arrived Shipments'!B:B=$B974),3),
    IFERROR(
        INDEX(FILTER('POed not arrived'!D:D, 'POed not arrived'!A:A=$B974),3),
        """"
    )
)"),"")</f>
        <v/>
      </c>
      <c r="Q974" s="197"/>
      <c r="R974" s="206" t="str">
        <f>IFERROR(__xludf.DUMMYFUNCTION("IFERROR(
    INDEX(FILTER('Arrived Shipments'!O:O, 'Arrived Shipments'!B:B=$B974),4),
    IFERROR(
        INDEX(FILTER('POed not arrived'!D:D, 'POed not arrived'!A:A=$B974),4),
        """"
    )
)"),"")</f>
        <v/>
      </c>
      <c r="S974" s="197"/>
      <c r="T974" s="202">
        <f t="shared" si="8"/>
        <v>0</v>
      </c>
      <c r="U974" s="197"/>
      <c r="V974" s="197"/>
      <c r="W974" s="197"/>
      <c r="X974" s="197"/>
      <c r="Y974" s="197"/>
      <c r="Z974" s="197"/>
      <c r="AA974" s="204" t="str">
        <f t="shared" si="4"/>
        <v/>
      </c>
      <c r="AB974" s="197"/>
      <c r="AC974" s="197"/>
      <c r="AD974" s="197"/>
      <c r="AE974" s="197"/>
      <c r="AF974" s="197"/>
      <c r="AG974" s="197"/>
      <c r="AH974" s="197"/>
      <c r="AI974" s="197"/>
      <c r="AJ974" s="197"/>
      <c r="AK974" s="197"/>
      <c r="AL974" s="197"/>
      <c r="AM974" s="197"/>
      <c r="AN974" s="197"/>
      <c r="AO974" s="197"/>
      <c r="AP974" s="197"/>
      <c r="AQ974" s="197"/>
      <c r="AR974" s="197"/>
      <c r="AS974" s="197"/>
    </row>
    <row r="975">
      <c r="A975" s="198"/>
      <c r="B975" s="197"/>
      <c r="C975" s="197"/>
      <c r="D975" s="197"/>
      <c r="E975" s="197"/>
      <c r="F975" s="197"/>
      <c r="G975" s="197"/>
      <c r="H975" s="197"/>
      <c r="I975" s="197"/>
      <c r="J975" s="197"/>
      <c r="K975" s="197"/>
      <c r="L975" s="205" t="str">
        <f>IFERROR(__xludf.DUMMYFUNCTION("IFERROR(
    INDEX(FILTER('Arrived Shipments'!O:O, 'Arrived Shipments'!B:B=$B975),1),
    IFERROR(
        INDEX(FILTER('POed not arrived'!D:D, 'POed not arrived'!A:A=$B975),1),
        """"
    )
)"),"")</f>
        <v/>
      </c>
      <c r="M975" s="197"/>
      <c r="N975" s="223" t="str">
        <f>IFERROR(__xludf.DUMMYFUNCTION("IFERROR(
    INDEX(FILTER('Arrived Shipments'!O:O, 'Arrived Shipments'!B:B=$B975),2),
    IFERROR(
        INDEX(FILTER('POed not arrived'!D:D, 'POed not arrived'!A:A=$B975),2),
        """"
    )
)"),"")</f>
        <v/>
      </c>
      <c r="O975" s="197"/>
      <c r="P975" s="202" t="str">
        <f>IFERROR(__xludf.DUMMYFUNCTION("IFERROR(
    INDEX(FILTER('Arrived Shipments'!O:O, 'Arrived Shipments'!B:B=$B975),3),
    IFERROR(
        INDEX(FILTER('POed not arrived'!D:D, 'POed not arrived'!A:A=$B975),3),
        """"
    )
)"),"")</f>
        <v/>
      </c>
      <c r="Q975" s="197"/>
      <c r="R975" s="206" t="str">
        <f>IFERROR(__xludf.DUMMYFUNCTION("IFERROR(
    INDEX(FILTER('Arrived Shipments'!O:O, 'Arrived Shipments'!B:B=$B975),4),
    IFERROR(
        INDEX(FILTER('POed not arrived'!D:D, 'POed not arrived'!A:A=$B975),4),
        """"
    )
)"),"")</f>
        <v/>
      </c>
      <c r="S975" s="197"/>
      <c r="T975" s="202">
        <f t="shared" si="8"/>
        <v>0</v>
      </c>
      <c r="U975" s="197"/>
      <c r="V975" s="197"/>
      <c r="W975" s="197"/>
      <c r="X975" s="197"/>
      <c r="Y975" s="197"/>
      <c r="Z975" s="197"/>
      <c r="AA975" s="204" t="str">
        <f t="shared" si="4"/>
        <v/>
      </c>
      <c r="AB975" s="197"/>
      <c r="AC975" s="197"/>
      <c r="AD975" s="197"/>
      <c r="AE975" s="197"/>
      <c r="AF975" s="197"/>
      <c r="AG975" s="197"/>
      <c r="AH975" s="197"/>
      <c r="AI975" s="197"/>
      <c r="AJ975" s="197"/>
      <c r="AK975" s="197"/>
      <c r="AL975" s="197"/>
      <c r="AM975" s="197"/>
      <c r="AN975" s="197"/>
      <c r="AO975" s="197"/>
      <c r="AP975" s="197"/>
      <c r="AQ975" s="197"/>
      <c r="AR975" s="197"/>
      <c r="AS975" s="197"/>
    </row>
    <row r="976">
      <c r="A976" s="198"/>
      <c r="B976" s="197"/>
      <c r="C976" s="197"/>
      <c r="D976" s="197"/>
      <c r="E976" s="197"/>
      <c r="F976" s="197"/>
      <c r="G976" s="197"/>
      <c r="H976" s="197"/>
      <c r="I976" s="197"/>
      <c r="J976" s="197"/>
      <c r="K976" s="197"/>
      <c r="L976" s="205" t="str">
        <f>IFERROR(__xludf.DUMMYFUNCTION("IFERROR(
    INDEX(FILTER('Arrived Shipments'!O:O, 'Arrived Shipments'!B:B=$B976),1),
    IFERROR(
        INDEX(FILTER('POed not arrived'!D:D, 'POed not arrived'!A:A=$B976),1),
        """"
    )
)"),"")</f>
        <v/>
      </c>
      <c r="M976" s="197"/>
      <c r="N976" s="223" t="str">
        <f>IFERROR(__xludf.DUMMYFUNCTION("IFERROR(
    INDEX(FILTER('Arrived Shipments'!O:O, 'Arrived Shipments'!B:B=$B976),2),
    IFERROR(
        INDEX(FILTER('POed not arrived'!D:D, 'POed not arrived'!A:A=$B976),2),
        """"
    )
)"),"")</f>
        <v/>
      </c>
      <c r="O976" s="197"/>
      <c r="P976" s="202" t="str">
        <f>IFERROR(__xludf.DUMMYFUNCTION("IFERROR(
    INDEX(FILTER('Arrived Shipments'!O:O, 'Arrived Shipments'!B:B=$B976),3),
    IFERROR(
        INDEX(FILTER('POed not arrived'!D:D, 'POed not arrived'!A:A=$B976),3),
        """"
    )
)"),"")</f>
        <v/>
      </c>
      <c r="Q976" s="197"/>
      <c r="R976" s="206" t="str">
        <f>IFERROR(__xludf.DUMMYFUNCTION("IFERROR(
    INDEX(FILTER('Arrived Shipments'!O:O, 'Arrived Shipments'!B:B=$B976),4),
    IFERROR(
        INDEX(FILTER('POed not arrived'!D:D, 'POed not arrived'!A:A=$B976),4),
        """"
    )
)"),"")</f>
        <v/>
      </c>
      <c r="S976" s="197"/>
      <c r="T976" s="202">
        <f t="shared" si="8"/>
        <v>0</v>
      </c>
      <c r="U976" s="197"/>
      <c r="V976" s="197"/>
      <c r="W976" s="197"/>
      <c r="X976" s="197"/>
      <c r="Y976" s="197"/>
      <c r="Z976" s="197"/>
      <c r="AA976" s="204" t="str">
        <f t="shared" si="4"/>
        <v/>
      </c>
      <c r="AB976" s="197"/>
      <c r="AC976" s="197"/>
      <c r="AD976" s="197"/>
      <c r="AE976" s="197"/>
      <c r="AF976" s="197"/>
      <c r="AG976" s="197"/>
      <c r="AH976" s="197"/>
      <c r="AI976" s="197"/>
      <c r="AJ976" s="197"/>
      <c r="AK976" s="197"/>
      <c r="AL976" s="197"/>
      <c r="AM976" s="197"/>
      <c r="AN976" s="197"/>
      <c r="AO976" s="197"/>
      <c r="AP976" s="197"/>
      <c r="AQ976" s="197"/>
      <c r="AR976" s="197"/>
      <c r="AS976" s="197"/>
    </row>
    <row r="977">
      <c r="A977" s="198"/>
      <c r="B977" s="197"/>
      <c r="C977" s="197"/>
      <c r="D977" s="197"/>
      <c r="E977" s="197"/>
      <c r="F977" s="197"/>
      <c r="G977" s="197"/>
      <c r="H977" s="197"/>
      <c r="I977" s="197"/>
      <c r="J977" s="197"/>
      <c r="K977" s="197"/>
      <c r="L977" s="205" t="str">
        <f>IFERROR(__xludf.DUMMYFUNCTION("IFERROR(
    INDEX(FILTER('Arrived Shipments'!O:O, 'Arrived Shipments'!B:B=$B977),1),
    IFERROR(
        INDEX(FILTER('POed not arrived'!D:D, 'POed not arrived'!A:A=$B977),1),
        """"
    )
)"),"")</f>
        <v/>
      </c>
      <c r="M977" s="197"/>
      <c r="N977" s="223" t="str">
        <f>IFERROR(__xludf.DUMMYFUNCTION("IFERROR(
    INDEX(FILTER('Arrived Shipments'!O:O, 'Arrived Shipments'!B:B=$B977),2),
    IFERROR(
        INDEX(FILTER('POed not arrived'!D:D, 'POed not arrived'!A:A=$B977),2),
        """"
    )
)"),"")</f>
        <v/>
      </c>
      <c r="O977" s="197"/>
      <c r="P977" s="202" t="str">
        <f>IFERROR(__xludf.DUMMYFUNCTION("IFERROR(
    INDEX(FILTER('Arrived Shipments'!O:O, 'Arrived Shipments'!B:B=$B977),3),
    IFERROR(
        INDEX(FILTER('POed not arrived'!D:D, 'POed not arrived'!A:A=$B977),3),
        """"
    )
)"),"")</f>
        <v/>
      </c>
      <c r="Q977" s="197"/>
      <c r="R977" s="206" t="str">
        <f>IFERROR(__xludf.DUMMYFUNCTION("IFERROR(
    INDEX(FILTER('Arrived Shipments'!O:O, 'Arrived Shipments'!B:B=$B977),4),
    IFERROR(
        INDEX(FILTER('POed not arrived'!D:D, 'POed not arrived'!A:A=$B977),4),
        """"
    )
)"),"")</f>
        <v/>
      </c>
      <c r="S977" s="197"/>
      <c r="T977" s="202">
        <f t="shared" si="8"/>
        <v>0</v>
      </c>
      <c r="U977" s="197"/>
      <c r="V977" s="197"/>
      <c r="W977" s="197"/>
      <c r="X977" s="197"/>
      <c r="Y977" s="197"/>
      <c r="Z977" s="197"/>
      <c r="AA977" s="204" t="str">
        <f t="shared" si="4"/>
        <v/>
      </c>
      <c r="AB977" s="197"/>
      <c r="AC977" s="197"/>
      <c r="AD977" s="197"/>
      <c r="AE977" s="197"/>
      <c r="AF977" s="197"/>
      <c r="AG977" s="197"/>
      <c r="AH977" s="197"/>
      <c r="AI977" s="197"/>
      <c r="AJ977" s="197"/>
      <c r="AK977" s="197"/>
      <c r="AL977" s="197"/>
      <c r="AM977" s="197"/>
      <c r="AN977" s="197"/>
      <c r="AO977" s="197"/>
      <c r="AP977" s="197"/>
      <c r="AQ977" s="197"/>
      <c r="AR977" s="197"/>
      <c r="AS977" s="197"/>
    </row>
    <row r="978">
      <c r="A978" s="198"/>
      <c r="B978" s="197"/>
      <c r="C978" s="197"/>
      <c r="D978" s="197"/>
      <c r="E978" s="197"/>
      <c r="F978" s="197"/>
      <c r="G978" s="197"/>
      <c r="H978" s="197"/>
      <c r="I978" s="197"/>
      <c r="J978" s="197"/>
      <c r="K978" s="197"/>
      <c r="L978" s="205" t="str">
        <f>IFERROR(__xludf.DUMMYFUNCTION("IFERROR(
    INDEX(FILTER('Arrived Shipments'!O:O, 'Arrived Shipments'!B:B=$B978),1),
    IFERROR(
        INDEX(FILTER('POed not arrived'!D:D, 'POed not arrived'!A:A=$B978),1),
        """"
    )
)"),"")</f>
        <v/>
      </c>
      <c r="M978" s="197"/>
      <c r="N978" s="223" t="str">
        <f>IFERROR(__xludf.DUMMYFUNCTION("IFERROR(
    INDEX(FILTER('Arrived Shipments'!O:O, 'Arrived Shipments'!B:B=$B978),2),
    IFERROR(
        INDEX(FILTER('POed not arrived'!D:D, 'POed not arrived'!A:A=$B978),2),
        """"
    )
)"),"")</f>
        <v/>
      </c>
      <c r="O978" s="197"/>
      <c r="P978" s="202" t="str">
        <f>IFERROR(__xludf.DUMMYFUNCTION("IFERROR(
    INDEX(FILTER('Arrived Shipments'!O:O, 'Arrived Shipments'!B:B=$B978),3),
    IFERROR(
        INDEX(FILTER('POed not arrived'!D:D, 'POed not arrived'!A:A=$B978),3),
        """"
    )
)"),"")</f>
        <v/>
      </c>
      <c r="Q978" s="197"/>
      <c r="R978" s="206" t="str">
        <f>IFERROR(__xludf.DUMMYFUNCTION("IFERROR(
    INDEX(FILTER('Arrived Shipments'!O:O, 'Arrived Shipments'!B:B=$B978),4),
    IFERROR(
        INDEX(FILTER('POed not arrived'!D:D, 'POed not arrived'!A:A=$B978),4),
        """"
    )
)"),"")</f>
        <v/>
      </c>
      <c r="S978" s="197"/>
      <c r="T978" s="202">
        <f t="shared" si="8"/>
        <v>0</v>
      </c>
      <c r="U978" s="197"/>
      <c r="V978" s="197"/>
      <c r="W978" s="197"/>
      <c r="X978" s="197"/>
      <c r="Y978" s="197"/>
      <c r="Z978" s="197"/>
      <c r="AA978" s="204" t="str">
        <f t="shared" si="4"/>
        <v/>
      </c>
      <c r="AB978" s="197"/>
      <c r="AC978" s="197"/>
      <c r="AD978" s="197"/>
      <c r="AE978" s="197"/>
      <c r="AF978" s="197"/>
      <c r="AG978" s="197"/>
      <c r="AH978" s="197"/>
      <c r="AI978" s="197"/>
      <c r="AJ978" s="197"/>
      <c r="AK978" s="197"/>
      <c r="AL978" s="197"/>
      <c r="AM978" s="197"/>
      <c r="AN978" s="197"/>
      <c r="AO978" s="197"/>
      <c r="AP978" s="197"/>
      <c r="AQ978" s="197"/>
      <c r="AR978" s="197"/>
      <c r="AS978" s="197"/>
    </row>
    <row r="979">
      <c r="A979" s="198"/>
      <c r="B979" s="197"/>
      <c r="C979" s="197"/>
      <c r="D979" s="197"/>
      <c r="E979" s="197"/>
      <c r="F979" s="197"/>
      <c r="G979" s="197"/>
      <c r="H979" s="197"/>
      <c r="I979" s="197"/>
      <c r="J979" s="197"/>
      <c r="K979" s="197"/>
      <c r="L979" s="205" t="str">
        <f>IFERROR(__xludf.DUMMYFUNCTION("IFERROR(
    INDEX(FILTER('Arrived Shipments'!O:O, 'Arrived Shipments'!B:B=$B979),1),
    IFERROR(
        INDEX(FILTER('POed not arrived'!D:D, 'POed not arrived'!A:A=$B979),1),
        """"
    )
)"),"")</f>
        <v/>
      </c>
      <c r="M979" s="197"/>
      <c r="N979" s="223" t="str">
        <f>IFERROR(__xludf.DUMMYFUNCTION("IFERROR(
    INDEX(FILTER('Arrived Shipments'!O:O, 'Arrived Shipments'!B:B=$B979),2),
    IFERROR(
        INDEX(FILTER('POed not arrived'!D:D, 'POed not arrived'!A:A=$B979),2),
        """"
    )
)"),"")</f>
        <v/>
      </c>
      <c r="O979" s="197"/>
      <c r="P979" s="202" t="str">
        <f>IFERROR(__xludf.DUMMYFUNCTION("IFERROR(
    INDEX(FILTER('Arrived Shipments'!O:O, 'Arrived Shipments'!B:B=$B979),3),
    IFERROR(
        INDEX(FILTER('POed not arrived'!D:D, 'POed not arrived'!A:A=$B979),3),
        """"
    )
)"),"")</f>
        <v/>
      </c>
      <c r="Q979" s="197"/>
      <c r="R979" s="206" t="str">
        <f>IFERROR(__xludf.DUMMYFUNCTION("IFERROR(
    INDEX(FILTER('Arrived Shipments'!O:O, 'Arrived Shipments'!B:B=$B979),4),
    IFERROR(
        INDEX(FILTER('POed not arrived'!D:D, 'POed not arrived'!A:A=$B979),4),
        """"
    )
)"),"")</f>
        <v/>
      </c>
      <c r="S979" s="197"/>
      <c r="T979" s="202">
        <f t="shared" si="8"/>
        <v>0</v>
      </c>
      <c r="U979" s="197"/>
      <c r="V979" s="197"/>
      <c r="W979" s="197"/>
      <c r="X979" s="197"/>
      <c r="Y979" s="197"/>
      <c r="Z979" s="197"/>
      <c r="AA979" s="204" t="str">
        <f t="shared" si="4"/>
        <v/>
      </c>
      <c r="AB979" s="197"/>
      <c r="AC979" s="197"/>
      <c r="AD979" s="197"/>
      <c r="AE979" s="197"/>
      <c r="AF979" s="197"/>
      <c r="AG979" s="197"/>
      <c r="AH979" s="197"/>
      <c r="AI979" s="197"/>
      <c r="AJ979" s="197"/>
      <c r="AK979" s="197"/>
      <c r="AL979" s="197"/>
      <c r="AM979" s="197"/>
      <c r="AN979" s="197"/>
      <c r="AO979" s="197"/>
      <c r="AP979" s="197"/>
      <c r="AQ979" s="197"/>
      <c r="AR979" s="197"/>
      <c r="AS979" s="197"/>
    </row>
    <row r="980">
      <c r="A980" s="198"/>
      <c r="B980" s="197"/>
      <c r="C980" s="197"/>
      <c r="D980" s="197"/>
      <c r="E980" s="197"/>
      <c r="F980" s="197"/>
      <c r="G980" s="197"/>
      <c r="H980" s="197"/>
      <c r="I980" s="197"/>
      <c r="J980" s="197"/>
      <c r="K980" s="197"/>
      <c r="L980" s="205" t="str">
        <f>IFERROR(__xludf.DUMMYFUNCTION("IFERROR(
    INDEX(FILTER('Arrived Shipments'!O:O, 'Arrived Shipments'!B:B=$B980),1),
    IFERROR(
        INDEX(FILTER('POed not arrived'!D:D, 'POed not arrived'!A:A=$B980),1),
        """"
    )
)"),"")</f>
        <v/>
      </c>
      <c r="M980" s="197"/>
      <c r="N980" s="223" t="str">
        <f>IFERROR(__xludf.DUMMYFUNCTION("IFERROR(
    INDEX(FILTER('Arrived Shipments'!O:O, 'Arrived Shipments'!B:B=$B980),2),
    IFERROR(
        INDEX(FILTER('POed not arrived'!D:D, 'POed not arrived'!A:A=$B980),2),
        """"
    )
)"),"")</f>
        <v/>
      </c>
      <c r="O980" s="197"/>
      <c r="P980" s="202" t="str">
        <f>IFERROR(__xludf.DUMMYFUNCTION("IFERROR(
    INDEX(FILTER('Arrived Shipments'!O:O, 'Arrived Shipments'!B:B=$B980),3),
    IFERROR(
        INDEX(FILTER('POed not arrived'!D:D, 'POed not arrived'!A:A=$B980),3),
        """"
    )
)"),"")</f>
        <v/>
      </c>
      <c r="Q980" s="197"/>
      <c r="R980" s="206" t="str">
        <f>IFERROR(__xludf.DUMMYFUNCTION("IFERROR(
    INDEX(FILTER('Arrived Shipments'!O:O, 'Arrived Shipments'!B:B=$B980),4),
    IFERROR(
        INDEX(FILTER('POed not arrived'!D:D, 'POed not arrived'!A:A=$B980),4),
        """"
    )
)"),"")</f>
        <v/>
      </c>
      <c r="S980" s="197"/>
      <c r="T980" s="202">
        <f t="shared" si="8"/>
        <v>0</v>
      </c>
      <c r="U980" s="197"/>
      <c r="V980" s="197"/>
      <c r="W980" s="197"/>
      <c r="X980" s="197"/>
      <c r="Y980" s="197"/>
      <c r="Z980" s="197"/>
      <c r="AA980" s="204" t="str">
        <f t="shared" si="4"/>
        <v/>
      </c>
      <c r="AB980" s="197"/>
      <c r="AC980" s="197"/>
      <c r="AD980" s="197"/>
      <c r="AE980" s="197"/>
      <c r="AF980" s="197"/>
      <c r="AG980" s="197"/>
      <c r="AH980" s="197"/>
      <c r="AI980" s="197"/>
      <c r="AJ980" s="197"/>
      <c r="AK980" s="197"/>
      <c r="AL980" s="197"/>
      <c r="AM980" s="197"/>
      <c r="AN980" s="197"/>
      <c r="AO980" s="197"/>
      <c r="AP980" s="197"/>
      <c r="AQ980" s="197"/>
      <c r="AR980" s="197"/>
      <c r="AS980" s="197"/>
    </row>
    <row r="981">
      <c r="A981" s="198"/>
      <c r="B981" s="197"/>
      <c r="C981" s="197"/>
      <c r="D981" s="197"/>
      <c r="E981" s="197"/>
      <c r="F981" s="197"/>
      <c r="G981" s="197"/>
      <c r="H981" s="197"/>
      <c r="I981" s="197"/>
      <c r="J981" s="197"/>
      <c r="K981" s="197"/>
      <c r="L981" s="205" t="str">
        <f>IFERROR(__xludf.DUMMYFUNCTION("IFERROR(
    INDEX(FILTER('Arrived Shipments'!O:O, 'Arrived Shipments'!B:B=$B981),1),
    IFERROR(
        INDEX(FILTER('POed not arrived'!D:D, 'POed not arrived'!A:A=$B981),1),
        """"
    )
)"),"")</f>
        <v/>
      </c>
      <c r="M981" s="197"/>
      <c r="N981" s="223" t="str">
        <f>IFERROR(__xludf.DUMMYFUNCTION("IFERROR(
    INDEX(FILTER('Arrived Shipments'!O:O, 'Arrived Shipments'!B:B=$B981),2),
    IFERROR(
        INDEX(FILTER('POed not arrived'!D:D, 'POed not arrived'!A:A=$B981),2),
        """"
    )
)"),"")</f>
        <v/>
      </c>
      <c r="O981" s="197"/>
      <c r="P981" s="202" t="str">
        <f>IFERROR(__xludf.DUMMYFUNCTION("IFERROR(
    INDEX(FILTER('Arrived Shipments'!O:O, 'Arrived Shipments'!B:B=$B981),3),
    IFERROR(
        INDEX(FILTER('POed not arrived'!D:D, 'POed not arrived'!A:A=$B981),3),
        """"
    )
)"),"")</f>
        <v/>
      </c>
      <c r="Q981" s="197"/>
      <c r="R981" s="206" t="str">
        <f>IFERROR(__xludf.DUMMYFUNCTION("IFERROR(
    INDEX(FILTER('Arrived Shipments'!O:O, 'Arrived Shipments'!B:B=$B981),4),
    IFERROR(
        INDEX(FILTER('POed not arrived'!D:D, 'POed not arrived'!A:A=$B981),4),
        """"
    )
)"),"")</f>
        <v/>
      </c>
      <c r="S981" s="197"/>
      <c r="T981" s="202">
        <f t="shared" si="8"/>
        <v>0</v>
      </c>
      <c r="U981" s="197"/>
      <c r="V981" s="197"/>
      <c r="W981" s="197"/>
      <c r="X981" s="197"/>
      <c r="Y981" s="197"/>
      <c r="Z981" s="197"/>
      <c r="AA981" s="204" t="str">
        <f t="shared" si="4"/>
        <v/>
      </c>
      <c r="AB981" s="197"/>
      <c r="AC981" s="197"/>
      <c r="AD981" s="197"/>
      <c r="AE981" s="197"/>
      <c r="AF981" s="197"/>
      <c r="AG981" s="197"/>
      <c r="AH981" s="197"/>
      <c r="AI981" s="197"/>
      <c r="AJ981" s="197"/>
      <c r="AK981" s="197"/>
      <c r="AL981" s="197"/>
      <c r="AM981" s="197"/>
      <c r="AN981" s="197"/>
      <c r="AO981" s="197"/>
      <c r="AP981" s="197"/>
      <c r="AQ981" s="197"/>
      <c r="AR981" s="197"/>
      <c r="AS981" s="197"/>
    </row>
    <row r="982">
      <c r="A982" s="198"/>
      <c r="B982" s="197"/>
      <c r="C982" s="197"/>
      <c r="D982" s="197"/>
      <c r="E982" s="197"/>
      <c r="F982" s="197"/>
      <c r="G982" s="197"/>
      <c r="H982" s="197"/>
      <c r="I982" s="197"/>
      <c r="J982" s="197"/>
      <c r="K982" s="197"/>
      <c r="L982" s="205" t="str">
        <f>IFERROR(__xludf.DUMMYFUNCTION("IFERROR(
    INDEX(FILTER('Arrived Shipments'!O:O, 'Arrived Shipments'!B:B=$B982),1),
    IFERROR(
        INDEX(FILTER('POed not arrived'!D:D, 'POed not arrived'!A:A=$B982),1),
        """"
    )
)"),"")</f>
        <v/>
      </c>
      <c r="M982" s="197"/>
      <c r="N982" s="223" t="str">
        <f>IFERROR(__xludf.DUMMYFUNCTION("IFERROR(
    INDEX(FILTER('Arrived Shipments'!O:O, 'Arrived Shipments'!B:B=$B982),2),
    IFERROR(
        INDEX(FILTER('POed not arrived'!D:D, 'POed not arrived'!A:A=$B982),2),
        """"
    )
)"),"")</f>
        <v/>
      </c>
      <c r="O982" s="197"/>
      <c r="P982" s="202" t="str">
        <f>IFERROR(__xludf.DUMMYFUNCTION("IFERROR(
    INDEX(FILTER('Arrived Shipments'!O:O, 'Arrived Shipments'!B:B=$B982),3),
    IFERROR(
        INDEX(FILTER('POed not arrived'!D:D, 'POed not arrived'!A:A=$B982),3),
        """"
    )
)"),"")</f>
        <v/>
      </c>
      <c r="Q982" s="197"/>
      <c r="R982" s="206" t="str">
        <f>IFERROR(__xludf.DUMMYFUNCTION("IFERROR(
    INDEX(FILTER('Arrived Shipments'!O:O, 'Arrived Shipments'!B:B=$B982),4),
    IFERROR(
        INDEX(FILTER('POed not arrived'!D:D, 'POed not arrived'!A:A=$B982),4),
        """"
    )
)"),"")</f>
        <v/>
      </c>
      <c r="S982" s="197"/>
      <c r="T982" s="202">
        <f t="shared" si="8"/>
        <v>0</v>
      </c>
      <c r="U982" s="197"/>
      <c r="V982" s="197"/>
      <c r="W982" s="197"/>
      <c r="X982" s="197"/>
      <c r="Y982" s="197"/>
      <c r="Z982" s="197"/>
      <c r="AA982" s="204" t="str">
        <f t="shared" si="4"/>
        <v/>
      </c>
      <c r="AB982" s="197"/>
      <c r="AC982" s="197"/>
      <c r="AD982" s="197"/>
      <c r="AE982" s="197"/>
      <c r="AF982" s="197"/>
      <c r="AG982" s="197"/>
      <c r="AH982" s="197"/>
      <c r="AI982" s="197"/>
      <c r="AJ982" s="197"/>
      <c r="AK982" s="197"/>
      <c r="AL982" s="197"/>
      <c r="AM982" s="197"/>
      <c r="AN982" s="197"/>
      <c r="AO982" s="197"/>
      <c r="AP982" s="197"/>
      <c r="AQ982" s="197"/>
      <c r="AR982" s="197"/>
      <c r="AS982" s="197"/>
    </row>
    <row r="983">
      <c r="A983" s="198"/>
      <c r="B983" s="197"/>
      <c r="C983" s="197"/>
      <c r="D983" s="197"/>
      <c r="E983" s="197"/>
      <c r="F983" s="197"/>
      <c r="G983" s="197"/>
      <c r="H983" s="197"/>
      <c r="I983" s="197"/>
      <c r="J983" s="197"/>
      <c r="K983" s="197"/>
      <c r="L983" s="205" t="str">
        <f>IFERROR(__xludf.DUMMYFUNCTION("IFERROR(
    INDEX(FILTER('Arrived Shipments'!O:O, 'Arrived Shipments'!B:B=$B983),1),
    IFERROR(
        INDEX(FILTER('POed not arrived'!D:D, 'POed not arrived'!A:A=$B983),1),
        """"
    )
)"),"")</f>
        <v/>
      </c>
      <c r="M983" s="197"/>
      <c r="N983" s="223" t="str">
        <f>IFERROR(__xludf.DUMMYFUNCTION("IFERROR(
    INDEX(FILTER('Arrived Shipments'!O:O, 'Arrived Shipments'!B:B=$B983),2),
    IFERROR(
        INDEX(FILTER('POed not arrived'!D:D, 'POed not arrived'!A:A=$B983),2),
        """"
    )
)"),"")</f>
        <v/>
      </c>
      <c r="O983" s="197"/>
      <c r="P983" s="202" t="str">
        <f>IFERROR(__xludf.DUMMYFUNCTION("IFERROR(
    INDEX(FILTER('Arrived Shipments'!O:O, 'Arrived Shipments'!B:B=$B983),3),
    IFERROR(
        INDEX(FILTER('POed not arrived'!D:D, 'POed not arrived'!A:A=$B983),3),
        """"
    )
)"),"")</f>
        <v/>
      </c>
      <c r="Q983" s="197"/>
      <c r="R983" s="206" t="str">
        <f>IFERROR(__xludf.DUMMYFUNCTION("IFERROR(
    INDEX(FILTER('Arrived Shipments'!O:O, 'Arrived Shipments'!B:B=$B983),4),
    IFERROR(
        INDEX(FILTER('POed not arrived'!D:D, 'POed not arrived'!A:A=$B983),4),
        """"
    )
)"),"")</f>
        <v/>
      </c>
      <c r="S983" s="197"/>
      <c r="T983" s="202">
        <f t="shared" si="8"/>
        <v>0</v>
      </c>
      <c r="U983" s="197"/>
      <c r="V983" s="197"/>
      <c r="W983" s="197"/>
      <c r="X983" s="197"/>
      <c r="Y983" s="197"/>
      <c r="Z983" s="197"/>
      <c r="AA983" s="204" t="str">
        <f t="shared" si="4"/>
        <v/>
      </c>
      <c r="AB983" s="197"/>
      <c r="AC983" s="197"/>
      <c r="AD983" s="197"/>
      <c r="AE983" s="197"/>
      <c r="AF983" s="197"/>
      <c r="AG983" s="197"/>
      <c r="AH983" s="197"/>
      <c r="AI983" s="197"/>
      <c r="AJ983" s="197"/>
      <c r="AK983" s="197"/>
      <c r="AL983" s="197"/>
      <c r="AM983" s="197"/>
      <c r="AN983" s="197"/>
      <c r="AO983" s="197"/>
      <c r="AP983" s="197"/>
      <c r="AQ983" s="197"/>
      <c r="AR983" s="197"/>
      <c r="AS983" s="197"/>
    </row>
    <row r="984">
      <c r="A984" s="198"/>
      <c r="B984" s="197"/>
      <c r="C984" s="197"/>
      <c r="D984" s="197"/>
      <c r="E984" s="197"/>
      <c r="F984" s="197"/>
      <c r="G984" s="197"/>
      <c r="H984" s="197"/>
      <c r="I984" s="197"/>
      <c r="J984" s="197"/>
      <c r="K984" s="197"/>
      <c r="L984" s="205" t="str">
        <f>IFERROR(__xludf.DUMMYFUNCTION("IFERROR(
    INDEX(FILTER('Arrived Shipments'!O:O, 'Arrived Shipments'!B:B=$B984),1),
    IFERROR(
        INDEX(FILTER('POed not arrived'!D:D, 'POed not arrived'!A:A=$B984),1),
        """"
    )
)"),"")</f>
        <v/>
      </c>
      <c r="M984" s="197"/>
      <c r="N984" s="223" t="str">
        <f>IFERROR(__xludf.DUMMYFUNCTION("IFERROR(
    INDEX(FILTER('Arrived Shipments'!O:O, 'Arrived Shipments'!B:B=$B984),2),
    IFERROR(
        INDEX(FILTER('POed not arrived'!D:D, 'POed not arrived'!A:A=$B984),2),
        """"
    )
)"),"")</f>
        <v/>
      </c>
      <c r="O984" s="197"/>
      <c r="P984" s="202" t="str">
        <f>IFERROR(__xludf.DUMMYFUNCTION("IFERROR(
    INDEX(FILTER('Arrived Shipments'!O:O, 'Arrived Shipments'!B:B=$B984),3),
    IFERROR(
        INDEX(FILTER('POed not arrived'!D:D, 'POed not arrived'!A:A=$B984),3),
        """"
    )
)"),"")</f>
        <v/>
      </c>
      <c r="Q984" s="197"/>
      <c r="R984" s="206" t="str">
        <f>IFERROR(__xludf.DUMMYFUNCTION("IFERROR(
    INDEX(FILTER('Arrived Shipments'!O:O, 'Arrived Shipments'!B:B=$B984),4),
    IFERROR(
        INDEX(FILTER('POed not arrived'!D:D, 'POed not arrived'!A:A=$B984),4),
        """"
    )
)"),"")</f>
        <v/>
      </c>
      <c r="S984" s="197"/>
      <c r="T984" s="202">
        <f t="shared" si="8"/>
        <v>0</v>
      </c>
      <c r="U984" s="197"/>
      <c r="V984" s="197"/>
      <c r="W984" s="197"/>
      <c r="X984" s="197"/>
      <c r="Y984" s="197"/>
      <c r="Z984" s="197"/>
      <c r="AA984" s="204" t="str">
        <f t="shared" si="4"/>
        <v/>
      </c>
      <c r="AB984" s="197"/>
      <c r="AC984" s="197"/>
      <c r="AD984" s="197"/>
      <c r="AE984" s="197"/>
      <c r="AF984" s="197"/>
      <c r="AG984" s="197"/>
      <c r="AH984" s="197"/>
      <c r="AI984" s="197"/>
      <c r="AJ984" s="197"/>
      <c r="AK984" s="197"/>
      <c r="AL984" s="197"/>
      <c r="AM984" s="197"/>
      <c r="AN984" s="197"/>
      <c r="AO984" s="197"/>
      <c r="AP984" s="197"/>
      <c r="AQ984" s="197"/>
      <c r="AR984" s="197"/>
      <c r="AS984" s="197"/>
    </row>
    <row r="985">
      <c r="A985" s="198"/>
      <c r="B985" s="197"/>
      <c r="C985" s="197"/>
      <c r="D985" s="197"/>
      <c r="E985" s="197"/>
      <c r="F985" s="197"/>
      <c r="G985" s="197"/>
      <c r="H985" s="197"/>
      <c r="I985" s="197"/>
      <c r="J985" s="197"/>
      <c r="K985" s="197"/>
      <c r="L985" s="205" t="str">
        <f>IFERROR(__xludf.DUMMYFUNCTION("IFERROR(
    INDEX(FILTER('Arrived Shipments'!O:O, 'Arrived Shipments'!B:B=$B985),1),
    IFERROR(
        INDEX(FILTER('POed not arrived'!D:D, 'POed not arrived'!A:A=$B985),1),
        """"
    )
)"),"")</f>
        <v/>
      </c>
      <c r="M985" s="197"/>
      <c r="N985" s="223" t="str">
        <f>IFERROR(__xludf.DUMMYFUNCTION("IFERROR(
    INDEX(FILTER('Arrived Shipments'!O:O, 'Arrived Shipments'!B:B=$B985),2),
    IFERROR(
        INDEX(FILTER('POed not arrived'!D:D, 'POed not arrived'!A:A=$B985),2),
        """"
    )
)"),"")</f>
        <v/>
      </c>
      <c r="O985" s="197"/>
      <c r="P985" s="202" t="str">
        <f>IFERROR(__xludf.DUMMYFUNCTION("IFERROR(
    INDEX(FILTER('Arrived Shipments'!O:O, 'Arrived Shipments'!B:B=$B985),3),
    IFERROR(
        INDEX(FILTER('POed not arrived'!D:D, 'POed not arrived'!A:A=$B985),3),
        """"
    )
)"),"")</f>
        <v/>
      </c>
      <c r="Q985" s="197"/>
      <c r="R985" s="206" t="str">
        <f>IFERROR(__xludf.DUMMYFUNCTION("IFERROR(
    INDEX(FILTER('Arrived Shipments'!O:O, 'Arrived Shipments'!B:B=$B985),4),
    IFERROR(
        INDEX(FILTER('POed not arrived'!D:D, 'POed not arrived'!A:A=$B985),4),
        """"
    )
)"),"")</f>
        <v/>
      </c>
      <c r="S985" s="197"/>
      <c r="T985" s="202">
        <f t="shared" si="8"/>
        <v>0</v>
      </c>
      <c r="U985" s="197"/>
      <c r="V985" s="197"/>
      <c r="W985" s="197"/>
      <c r="X985" s="197"/>
      <c r="Y985" s="197"/>
      <c r="Z985" s="197"/>
      <c r="AA985" s="204" t="str">
        <f t="shared" si="4"/>
        <v/>
      </c>
      <c r="AB985" s="197"/>
      <c r="AC985" s="197"/>
      <c r="AD985" s="197"/>
      <c r="AE985" s="197"/>
      <c r="AF985" s="197"/>
      <c r="AG985" s="197"/>
      <c r="AH985" s="197"/>
      <c r="AI985" s="197"/>
      <c r="AJ985" s="197"/>
      <c r="AK985" s="197"/>
      <c r="AL985" s="197"/>
      <c r="AM985" s="197"/>
      <c r="AN985" s="197"/>
      <c r="AO985" s="197"/>
      <c r="AP985" s="197"/>
      <c r="AQ985" s="197"/>
      <c r="AR985" s="197"/>
      <c r="AS985" s="197"/>
    </row>
    <row r="986">
      <c r="A986" s="198"/>
      <c r="B986" s="197"/>
      <c r="C986" s="197"/>
      <c r="D986" s="197"/>
      <c r="E986" s="197"/>
      <c r="F986" s="197"/>
      <c r="G986" s="197"/>
      <c r="H986" s="197"/>
      <c r="I986" s="197"/>
      <c r="J986" s="197"/>
      <c r="K986" s="197"/>
      <c r="L986" s="205" t="str">
        <f>IFERROR(__xludf.DUMMYFUNCTION("IFERROR(
    INDEX(FILTER('Arrived Shipments'!O:O, 'Arrived Shipments'!B:B=$B986),1),
    IFERROR(
        INDEX(FILTER('POed not arrived'!D:D, 'POed not arrived'!A:A=$B986),1),
        """"
    )
)"),"")</f>
        <v/>
      </c>
      <c r="M986" s="197"/>
      <c r="N986" s="223" t="str">
        <f>IFERROR(__xludf.DUMMYFUNCTION("IFERROR(
    INDEX(FILTER('Arrived Shipments'!O:O, 'Arrived Shipments'!B:B=$B986),2),
    IFERROR(
        INDEX(FILTER('POed not arrived'!D:D, 'POed not arrived'!A:A=$B986),2),
        """"
    )
)"),"")</f>
        <v/>
      </c>
      <c r="O986" s="197"/>
      <c r="P986" s="202" t="str">
        <f>IFERROR(__xludf.DUMMYFUNCTION("IFERROR(
    INDEX(FILTER('Arrived Shipments'!O:O, 'Arrived Shipments'!B:B=$B986),3),
    IFERROR(
        INDEX(FILTER('POed not arrived'!D:D, 'POed not arrived'!A:A=$B986),3),
        """"
    )
)"),"")</f>
        <v/>
      </c>
      <c r="Q986" s="197"/>
      <c r="R986" s="206" t="str">
        <f>IFERROR(__xludf.DUMMYFUNCTION("IFERROR(
    INDEX(FILTER('Arrived Shipments'!O:O, 'Arrived Shipments'!B:B=$B986),4),
    IFERROR(
        INDEX(FILTER('POed not arrived'!D:D, 'POed not arrived'!A:A=$B986),4),
        """"
    )
)"),"")</f>
        <v/>
      </c>
      <c r="S986" s="197"/>
      <c r="T986" s="202">
        <f t="shared" si="8"/>
        <v>0</v>
      </c>
      <c r="U986" s="197"/>
      <c r="V986" s="197"/>
      <c r="W986" s="197"/>
      <c r="X986" s="197"/>
      <c r="Y986" s="197"/>
      <c r="Z986" s="197"/>
      <c r="AA986" s="204" t="str">
        <f t="shared" si="4"/>
        <v/>
      </c>
      <c r="AB986" s="197"/>
      <c r="AC986" s="197"/>
      <c r="AD986" s="197"/>
      <c r="AE986" s="197"/>
      <c r="AF986" s="197"/>
      <c r="AG986" s="197"/>
      <c r="AH986" s="197"/>
      <c r="AI986" s="197"/>
      <c r="AJ986" s="197"/>
      <c r="AK986" s="197"/>
      <c r="AL986" s="197"/>
      <c r="AM986" s="197"/>
      <c r="AN986" s="197"/>
      <c r="AO986" s="197"/>
      <c r="AP986" s="197"/>
      <c r="AQ986" s="197"/>
      <c r="AR986" s="197"/>
      <c r="AS986" s="197"/>
    </row>
    <row r="987">
      <c r="A987" s="198"/>
      <c r="B987" s="197"/>
      <c r="C987" s="197"/>
      <c r="D987" s="197"/>
      <c r="E987" s="197"/>
      <c r="F987" s="197"/>
      <c r="G987" s="197"/>
      <c r="H987" s="197"/>
      <c r="I987" s="197"/>
      <c r="J987" s="197"/>
      <c r="K987" s="197"/>
      <c r="L987" s="205" t="str">
        <f>IFERROR(__xludf.DUMMYFUNCTION("IFERROR(
    INDEX(FILTER('Arrived Shipments'!O:O, 'Arrived Shipments'!B:B=$B987),1),
    IFERROR(
        INDEX(FILTER('POed not arrived'!D:D, 'POed not arrived'!A:A=$B987),1),
        """"
    )
)"),"")</f>
        <v/>
      </c>
      <c r="M987" s="197"/>
      <c r="N987" s="223" t="str">
        <f>IFERROR(__xludf.DUMMYFUNCTION("IFERROR(
    INDEX(FILTER('Arrived Shipments'!O:O, 'Arrived Shipments'!B:B=$B987),2),
    IFERROR(
        INDEX(FILTER('POed not arrived'!D:D, 'POed not arrived'!A:A=$B987),2),
        """"
    )
)"),"")</f>
        <v/>
      </c>
      <c r="O987" s="197"/>
      <c r="P987" s="202" t="str">
        <f>IFERROR(__xludf.DUMMYFUNCTION("IFERROR(
    INDEX(FILTER('Arrived Shipments'!O:O, 'Arrived Shipments'!B:B=$B987),3),
    IFERROR(
        INDEX(FILTER('POed not arrived'!D:D, 'POed not arrived'!A:A=$B987),3),
        """"
    )
)"),"")</f>
        <v/>
      </c>
      <c r="Q987" s="197"/>
      <c r="R987" s="206" t="str">
        <f>IFERROR(__xludf.DUMMYFUNCTION("IFERROR(
    INDEX(FILTER('Arrived Shipments'!O:O, 'Arrived Shipments'!B:B=$B987),4),
    IFERROR(
        INDEX(FILTER('POed not arrived'!D:D, 'POed not arrived'!A:A=$B987),4),
        """"
    )
)"),"")</f>
        <v/>
      </c>
      <c r="S987" s="197"/>
      <c r="T987" s="202">
        <f t="shared" si="8"/>
        <v>0</v>
      </c>
      <c r="U987" s="197"/>
      <c r="V987" s="197"/>
      <c r="W987" s="197"/>
      <c r="X987" s="197"/>
      <c r="Y987" s="197"/>
      <c r="Z987" s="197"/>
      <c r="AA987" s="204" t="str">
        <f t="shared" si="4"/>
        <v/>
      </c>
      <c r="AB987" s="197"/>
      <c r="AC987" s="197"/>
      <c r="AD987" s="197"/>
      <c r="AE987" s="197"/>
      <c r="AF987" s="197"/>
      <c r="AG987" s="197"/>
      <c r="AH987" s="197"/>
      <c r="AI987" s="197"/>
      <c r="AJ987" s="197"/>
      <c r="AK987" s="197"/>
      <c r="AL987" s="197"/>
      <c r="AM987" s="197"/>
      <c r="AN987" s="197"/>
      <c r="AO987" s="197"/>
      <c r="AP987" s="197"/>
      <c r="AQ987" s="197"/>
      <c r="AR987" s="197"/>
      <c r="AS987" s="197"/>
    </row>
    <row r="988">
      <c r="A988" s="198"/>
      <c r="B988" s="197"/>
      <c r="C988" s="197"/>
      <c r="D988" s="197"/>
      <c r="E988" s="197"/>
      <c r="F988" s="197"/>
      <c r="G988" s="197"/>
      <c r="H988" s="197"/>
      <c r="I988" s="197"/>
      <c r="J988" s="197"/>
      <c r="K988" s="197"/>
      <c r="L988" s="205" t="str">
        <f>IFERROR(__xludf.DUMMYFUNCTION("IFERROR(
    INDEX(FILTER('Arrived Shipments'!O:O, 'Arrived Shipments'!B:B=$B988),1),
    IFERROR(
        INDEX(FILTER('POed not arrived'!D:D, 'POed not arrived'!A:A=$B988),1),
        """"
    )
)"),"")</f>
        <v/>
      </c>
      <c r="M988" s="197"/>
      <c r="N988" s="223" t="str">
        <f>IFERROR(__xludf.DUMMYFUNCTION("IFERROR(
    INDEX(FILTER('Arrived Shipments'!O:O, 'Arrived Shipments'!B:B=$B988),2),
    IFERROR(
        INDEX(FILTER('POed not arrived'!D:D, 'POed not arrived'!A:A=$B988),2),
        """"
    )
)"),"")</f>
        <v/>
      </c>
      <c r="O988" s="197"/>
      <c r="P988" s="202" t="str">
        <f>IFERROR(__xludf.DUMMYFUNCTION("IFERROR(
    INDEX(FILTER('Arrived Shipments'!O:O, 'Arrived Shipments'!B:B=$B988),3),
    IFERROR(
        INDEX(FILTER('POed not arrived'!D:D, 'POed not arrived'!A:A=$B988),3),
        """"
    )
)"),"")</f>
        <v/>
      </c>
      <c r="Q988" s="197"/>
      <c r="R988" s="206" t="str">
        <f>IFERROR(__xludf.DUMMYFUNCTION("IFERROR(
    INDEX(FILTER('Arrived Shipments'!O:O, 'Arrived Shipments'!B:B=$B988),4),
    IFERROR(
        INDEX(FILTER('POed not arrived'!D:D, 'POed not arrived'!A:A=$B988),4),
        """"
    )
)"),"")</f>
        <v/>
      </c>
      <c r="S988" s="197"/>
      <c r="T988" s="202">
        <f t="shared" si="8"/>
        <v>0</v>
      </c>
      <c r="U988" s="197"/>
      <c r="V988" s="197"/>
      <c r="W988" s="197"/>
      <c r="X988" s="197"/>
      <c r="Y988" s="197"/>
      <c r="Z988" s="197"/>
      <c r="AA988" s="204" t="str">
        <f t="shared" si="4"/>
        <v/>
      </c>
      <c r="AB988" s="197"/>
      <c r="AC988" s="197"/>
      <c r="AD988" s="197"/>
      <c r="AE988" s="197"/>
      <c r="AF988" s="197"/>
      <c r="AG988" s="197"/>
      <c r="AH988" s="197"/>
      <c r="AI988" s="197"/>
      <c r="AJ988" s="197"/>
      <c r="AK988" s="197"/>
      <c r="AL988" s="197"/>
      <c r="AM988" s="197"/>
      <c r="AN988" s="197"/>
      <c r="AO988" s="197"/>
      <c r="AP988" s="197"/>
      <c r="AQ988" s="197"/>
      <c r="AR988" s="197"/>
      <c r="AS988" s="197"/>
    </row>
    <row r="989">
      <c r="A989" s="198"/>
      <c r="B989" s="197"/>
      <c r="C989" s="197"/>
      <c r="D989" s="197"/>
      <c r="E989" s="197"/>
      <c r="F989" s="197"/>
      <c r="G989" s="197"/>
      <c r="H989" s="197"/>
      <c r="I989" s="197"/>
      <c r="J989" s="197"/>
      <c r="K989" s="197"/>
      <c r="L989" s="205" t="str">
        <f>IFERROR(__xludf.DUMMYFUNCTION("IFERROR(
    INDEX(FILTER('Arrived Shipments'!O:O, 'Arrived Shipments'!B:B=$B989),1),
    IFERROR(
        INDEX(FILTER('POed not arrived'!D:D, 'POed not arrived'!A:A=$B989),1),
        """"
    )
)"),"")</f>
        <v/>
      </c>
      <c r="M989" s="197"/>
      <c r="N989" s="223" t="str">
        <f>IFERROR(__xludf.DUMMYFUNCTION("IFERROR(
    INDEX(FILTER('Arrived Shipments'!O:O, 'Arrived Shipments'!B:B=$B989),2),
    IFERROR(
        INDEX(FILTER('POed not arrived'!D:D, 'POed not arrived'!A:A=$B989),2),
        """"
    )
)"),"")</f>
        <v/>
      </c>
      <c r="O989" s="197"/>
      <c r="P989" s="202" t="str">
        <f>IFERROR(__xludf.DUMMYFUNCTION("IFERROR(
    INDEX(FILTER('Arrived Shipments'!O:O, 'Arrived Shipments'!B:B=$B989),3),
    IFERROR(
        INDEX(FILTER('POed not arrived'!D:D, 'POed not arrived'!A:A=$B989),3),
        """"
    )
)"),"")</f>
        <v/>
      </c>
      <c r="Q989" s="197"/>
      <c r="R989" s="206" t="str">
        <f>IFERROR(__xludf.DUMMYFUNCTION("IFERROR(
    INDEX(FILTER('Arrived Shipments'!O:O, 'Arrived Shipments'!B:B=$B989),4),
    IFERROR(
        INDEX(FILTER('POed not arrived'!D:D, 'POed not arrived'!A:A=$B989),4),
        """"
    )
)"),"")</f>
        <v/>
      </c>
      <c r="S989" s="197"/>
      <c r="T989" s="202">
        <f t="shared" si="8"/>
        <v>0</v>
      </c>
      <c r="U989" s="197"/>
      <c r="V989" s="197"/>
      <c r="W989" s="197"/>
      <c r="X989" s="197"/>
      <c r="Y989" s="197"/>
      <c r="Z989" s="197"/>
      <c r="AA989" s="204" t="str">
        <f t="shared" si="4"/>
        <v/>
      </c>
      <c r="AB989" s="197"/>
      <c r="AC989" s="197"/>
      <c r="AD989" s="197"/>
      <c r="AE989" s="197"/>
      <c r="AF989" s="197"/>
      <c r="AG989" s="197"/>
      <c r="AH989" s="197"/>
      <c r="AI989" s="197"/>
      <c r="AJ989" s="197"/>
      <c r="AK989" s="197"/>
      <c r="AL989" s="197"/>
      <c r="AM989" s="197"/>
      <c r="AN989" s="197"/>
      <c r="AO989" s="197"/>
      <c r="AP989" s="197"/>
      <c r="AQ989" s="197"/>
      <c r="AR989" s="197"/>
      <c r="AS989" s="197"/>
    </row>
    <row r="990">
      <c r="A990" s="198"/>
      <c r="B990" s="197"/>
      <c r="C990" s="197"/>
      <c r="D990" s="197"/>
      <c r="E990" s="197"/>
      <c r="F990" s="197"/>
      <c r="G990" s="197"/>
      <c r="H990" s="197"/>
      <c r="I990" s="197"/>
      <c r="J990" s="197"/>
      <c r="K990" s="197"/>
      <c r="L990" s="205" t="str">
        <f>IFERROR(__xludf.DUMMYFUNCTION("IFERROR(
    INDEX(FILTER('Arrived Shipments'!O:O, 'Arrived Shipments'!B:B=$B990),1),
    IFERROR(
        INDEX(FILTER('POed not arrived'!D:D, 'POed not arrived'!A:A=$B990),1),
        """"
    )
)"),"")</f>
        <v/>
      </c>
      <c r="M990" s="197"/>
      <c r="N990" s="223" t="str">
        <f>IFERROR(__xludf.DUMMYFUNCTION("IFERROR(
    INDEX(FILTER('Arrived Shipments'!O:O, 'Arrived Shipments'!B:B=$B990),2),
    IFERROR(
        INDEX(FILTER('POed not arrived'!D:D, 'POed not arrived'!A:A=$B990),2),
        """"
    )
)"),"")</f>
        <v/>
      </c>
      <c r="O990" s="197"/>
      <c r="P990" s="202" t="str">
        <f>IFERROR(__xludf.DUMMYFUNCTION("IFERROR(
    INDEX(FILTER('Arrived Shipments'!O:O, 'Arrived Shipments'!B:B=$B990),3),
    IFERROR(
        INDEX(FILTER('POed not arrived'!D:D, 'POed not arrived'!A:A=$B990),3),
        """"
    )
)"),"")</f>
        <v/>
      </c>
      <c r="Q990" s="197"/>
      <c r="R990" s="206" t="str">
        <f>IFERROR(__xludf.DUMMYFUNCTION("IFERROR(
    INDEX(FILTER('Arrived Shipments'!O:O, 'Arrived Shipments'!B:B=$B990),4),
    IFERROR(
        INDEX(FILTER('POed not arrived'!D:D, 'POed not arrived'!A:A=$B990),4),
        """"
    )
)"),"")</f>
        <v/>
      </c>
      <c r="S990" s="197"/>
      <c r="T990" s="202">
        <f t="shared" si="8"/>
        <v>0</v>
      </c>
      <c r="U990" s="197"/>
      <c r="V990" s="197"/>
      <c r="W990" s="197"/>
      <c r="X990" s="197"/>
      <c r="Y990" s="197"/>
      <c r="Z990" s="197"/>
      <c r="AA990" s="204" t="str">
        <f t="shared" si="4"/>
        <v/>
      </c>
      <c r="AB990" s="197"/>
      <c r="AC990" s="197"/>
      <c r="AD990" s="197"/>
      <c r="AE990" s="197"/>
      <c r="AF990" s="197"/>
      <c r="AG990" s="197"/>
      <c r="AH990" s="197"/>
      <c r="AI990" s="197"/>
      <c r="AJ990" s="197"/>
      <c r="AK990" s="197"/>
      <c r="AL990" s="197"/>
      <c r="AM990" s="197"/>
      <c r="AN990" s="197"/>
      <c r="AO990" s="197"/>
      <c r="AP990" s="197"/>
      <c r="AQ990" s="197"/>
      <c r="AR990" s="197"/>
      <c r="AS990" s="197"/>
    </row>
    <row r="991">
      <c r="A991" s="198"/>
      <c r="B991" s="197"/>
      <c r="C991" s="197"/>
      <c r="D991" s="197"/>
      <c r="E991" s="197"/>
      <c r="F991" s="197"/>
      <c r="G991" s="197"/>
      <c r="H991" s="197"/>
      <c r="I991" s="197"/>
      <c r="J991" s="197"/>
      <c r="K991" s="197"/>
      <c r="L991" s="205" t="str">
        <f>IFERROR(__xludf.DUMMYFUNCTION("IFERROR(
    INDEX(FILTER('Arrived Shipments'!O:O, 'Arrived Shipments'!B:B=$B991),1),
    IFERROR(
        INDEX(FILTER('POed not arrived'!D:D, 'POed not arrived'!A:A=$B991),1),
        """"
    )
)"),"")</f>
        <v/>
      </c>
      <c r="M991" s="197"/>
      <c r="N991" s="223" t="str">
        <f>IFERROR(__xludf.DUMMYFUNCTION("IFERROR(
    INDEX(FILTER('Arrived Shipments'!O:O, 'Arrived Shipments'!B:B=$B991),2),
    IFERROR(
        INDEX(FILTER('POed not arrived'!D:D, 'POed not arrived'!A:A=$B991),2),
        """"
    )
)"),"")</f>
        <v/>
      </c>
      <c r="O991" s="197"/>
      <c r="P991" s="202" t="str">
        <f>IFERROR(__xludf.DUMMYFUNCTION("IFERROR(
    INDEX(FILTER('Arrived Shipments'!O:O, 'Arrived Shipments'!B:B=$B991),3),
    IFERROR(
        INDEX(FILTER('POed not arrived'!D:D, 'POed not arrived'!A:A=$B991),3),
        """"
    )
)"),"")</f>
        <v/>
      </c>
      <c r="Q991" s="197"/>
      <c r="R991" s="206" t="str">
        <f>IFERROR(__xludf.DUMMYFUNCTION("IFERROR(
    INDEX(FILTER('Arrived Shipments'!O:O, 'Arrived Shipments'!B:B=$B991),4),
    IFERROR(
        INDEX(FILTER('POed not arrived'!D:D, 'POed not arrived'!A:A=$B991),4),
        """"
    )
)"),"")</f>
        <v/>
      </c>
      <c r="S991" s="197"/>
      <c r="T991" s="202">
        <f t="shared" si="8"/>
        <v>0</v>
      </c>
      <c r="U991" s="197"/>
      <c r="V991" s="197"/>
      <c r="W991" s="197"/>
      <c r="X991" s="197"/>
      <c r="Y991" s="197"/>
      <c r="Z991" s="197"/>
      <c r="AA991" s="204" t="str">
        <f t="shared" si="4"/>
        <v/>
      </c>
      <c r="AB991" s="197"/>
      <c r="AC991" s="197"/>
      <c r="AD991" s="197"/>
      <c r="AE991" s="197"/>
      <c r="AF991" s="197"/>
      <c r="AG991" s="197"/>
      <c r="AH991" s="197"/>
      <c r="AI991" s="197"/>
      <c r="AJ991" s="197"/>
      <c r="AK991" s="197"/>
      <c r="AL991" s="197"/>
      <c r="AM991" s="197"/>
      <c r="AN991" s="197"/>
      <c r="AO991" s="197"/>
      <c r="AP991" s="197"/>
      <c r="AQ991" s="197"/>
      <c r="AR991" s="197"/>
      <c r="AS991" s="197"/>
    </row>
    <row r="992">
      <c r="A992" s="198"/>
      <c r="B992" s="197"/>
      <c r="C992" s="197"/>
      <c r="D992" s="197"/>
      <c r="E992" s="197"/>
      <c r="F992" s="197"/>
      <c r="G992" s="197"/>
      <c r="H992" s="197"/>
      <c r="I992" s="197"/>
      <c r="J992" s="197"/>
      <c r="K992" s="197"/>
      <c r="L992" s="205" t="str">
        <f>IFERROR(__xludf.DUMMYFUNCTION("IFERROR(
    INDEX(FILTER('Arrived Shipments'!O:O, 'Arrived Shipments'!B:B=$B992),1),
    IFERROR(
        INDEX(FILTER('POed not arrived'!D:D, 'POed not arrived'!A:A=$B992),1),
        """"
    )
)"),"")</f>
        <v/>
      </c>
      <c r="M992" s="197"/>
      <c r="N992" s="223" t="str">
        <f>IFERROR(__xludf.DUMMYFUNCTION("IFERROR(
    INDEX(FILTER('Arrived Shipments'!O:O, 'Arrived Shipments'!B:B=$B992),2),
    IFERROR(
        INDEX(FILTER('POed not arrived'!D:D, 'POed not arrived'!A:A=$B992),2),
        """"
    )
)"),"")</f>
        <v/>
      </c>
      <c r="O992" s="197"/>
      <c r="P992" s="202" t="str">
        <f>IFERROR(__xludf.DUMMYFUNCTION("IFERROR(
    INDEX(FILTER('Arrived Shipments'!O:O, 'Arrived Shipments'!B:B=$B992),3),
    IFERROR(
        INDEX(FILTER('POed not arrived'!D:D, 'POed not arrived'!A:A=$B992),3),
        """"
    )
)"),"")</f>
        <v/>
      </c>
      <c r="Q992" s="197"/>
      <c r="R992" s="206" t="str">
        <f>IFERROR(__xludf.DUMMYFUNCTION("IFERROR(
    INDEX(FILTER('Arrived Shipments'!O:O, 'Arrived Shipments'!B:B=$B992),4),
    IFERROR(
        INDEX(FILTER('POed not arrived'!D:D, 'POed not arrived'!A:A=$B992),4),
        """"
    )
)"),"")</f>
        <v/>
      </c>
      <c r="S992" s="197"/>
      <c r="T992" s="202">
        <f t="shared" si="8"/>
        <v>0</v>
      </c>
      <c r="U992" s="197"/>
      <c r="V992" s="197"/>
      <c r="W992" s="197"/>
      <c r="X992" s="197"/>
      <c r="Y992" s="197"/>
      <c r="Z992" s="197"/>
      <c r="AA992" s="204" t="str">
        <f t="shared" si="4"/>
        <v/>
      </c>
      <c r="AB992" s="197"/>
      <c r="AC992" s="197"/>
      <c r="AD992" s="197"/>
      <c r="AE992" s="197"/>
      <c r="AF992" s="197"/>
      <c r="AG992" s="197"/>
      <c r="AH992" s="197"/>
      <c r="AI992" s="197"/>
      <c r="AJ992" s="197"/>
      <c r="AK992" s="197"/>
      <c r="AL992" s="197"/>
      <c r="AM992" s="197"/>
      <c r="AN992" s="197"/>
      <c r="AO992" s="197"/>
      <c r="AP992" s="197"/>
      <c r="AQ992" s="197"/>
      <c r="AR992" s="197"/>
      <c r="AS992" s="197"/>
    </row>
    <row r="993">
      <c r="A993" s="198"/>
      <c r="B993" s="197"/>
      <c r="C993" s="197"/>
      <c r="D993" s="197"/>
      <c r="E993" s="197"/>
      <c r="F993" s="197"/>
      <c r="G993" s="197"/>
      <c r="H993" s="197"/>
      <c r="I993" s="197"/>
      <c r="J993" s="197"/>
      <c r="K993" s="197"/>
      <c r="L993" s="205" t="str">
        <f>IFERROR(__xludf.DUMMYFUNCTION("IFERROR(
    INDEX(FILTER('Arrived Shipments'!O:O, 'Arrived Shipments'!B:B=$B993),1),
    IFERROR(
        INDEX(FILTER('POed not arrived'!D:D, 'POed not arrived'!A:A=$B993),1),
        """"
    )
)"),"")</f>
        <v/>
      </c>
      <c r="M993" s="197"/>
      <c r="N993" s="223" t="str">
        <f>IFERROR(__xludf.DUMMYFUNCTION("IFERROR(
    INDEX(FILTER('Arrived Shipments'!O:O, 'Arrived Shipments'!B:B=$B993),2),
    IFERROR(
        INDEX(FILTER('POed not arrived'!D:D, 'POed not arrived'!A:A=$B993),2),
        """"
    )
)"),"")</f>
        <v/>
      </c>
      <c r="O993" s="197"/>
      <c r="P993" s="202" t="str">
        <f>IFERROR(__xludf.DUMMYFUNCTION("IFERROR(
    INDEX(FILTER('Arrived Shipments'!O:O, 'Arrived Shipments'!B:B=$B993),3),
    IFERROR(
        INDEX(FILTER('POed not arrived'!D:D, 'POed not arrived'!A:A=$B993),3),
        """"
    )
)"),"")</f>
        <v/>
      </c>
      <c r="Q993" s="197"/>
      <c r="R993" s="206" t="str">
        <f>IFERROR(__xludf.DUMMYFUNCTION("IFERROR(
    INDEX(FILTER('Arrived Shipments'!O:O, 'Arrived Shipments'!B:B=$B993),4),
    IFERROR(
        INDEX(FILTER('POed not arrived'!D:D, 'POed not arrived'!A:A=$B993),4),
        """"
    )
)"),"")</f>
        <v/>
      </c>
      <c r="S993" s="197"/>
      <c r="T993" s="202">
        <f t="shared" si="8"/>
        <v>0</v>
      </c>
      <c r="U993" s="197"/>
      <c r="V993" s="197"/>
      <c r="W993" s="197"/>
      <c r="X993" s="197"/>
      <c r="Y993" s="197"/>
      <c r="Z993" s="197"/>
      <c r="AA993" s="204" t="str">
        <f t="shared" si="4"/>
        <v/>
      </c>
      <c r="AB993" s="197"/>
      <c r="AC993" s="197"/>
      <c r="AD993" s="197"/>
      <c r="AE993" s="197"/>
      <c r="AF993" s="197"/>
      <c r="AG993" s="197"/>
      <c r="AH993" s="197"/>
      <c r="AI993" s="197"/>
      <c r="AJ993" s="197"/>
      <c r="AK993" s="197"/>
      <c r="AL993" s="197"/>
      <c r="AM993" s="197"/>
      <c r="AN993" s="197"/>
      <c r="AO993" s="197"/>
      <c r="AP993" s="197"/>
      <c r="AQ993" s="197"/>
      <c r="AR993" s="197"/>
      <c r="AS993" s="197"/>
    </row>
    <row r="994">
      <c r="A994" s="198"/>
      <c r="B994" s="197"/>
      <c r="C994" s="197"/>
      <c r="D994" s="197"/>
      <c r="E994" s="197"/>
      <c r="F994" s="197"/>
      <c r="G994" s="197"/>
      <c r="H994" s="197"/>
      <c r="I994" s="197"/>
      <c r="J994" s="197"/>
      <c r="K994" s="197"/>
      <c r="L994" s="205" t="str">
        <f>IFERROR(__xludf.DUMMYFUNCTION("IFERROR(
    INDEX(FILTER('Arrived Shipments'!O:O, 'Arrived Shipments'!B:B=$B994),1),
    IFERROR(
        INDEX(FILTER('POed not arrived'!D:D, 'POed not arrived'!A:A=$B994),1),
        """"
    )
)"),"")</f>
        <v/>
      </c>
      <c r="M994" s="197"/>
      <c r="N994" s="223" t="str">
        <f>IFERROR(__xludf.DUMMYFUNCTION("IFERROR(
    INDEX(FILTER('Arrived Shipments'!O:O, 'Arrived Shipments'!B:B=$B994),2),
    IFERROR(
        INDEX(FILTER('POed not arrived'!D:D, 'POed not arrived'!A:A=$B994),2),
        """"
    )
)"),"")</f>
        <v/>
      </c>
      <c r="O994" s="197"/>
      <c r="P994" s="202" t="str">
        <f>IFERROR(__xludf.DUMMYFUNCTION("IFERROR(
    INDEX(FILTER('Arrived Shipments'!O:O, 'Arrived Shipments'!B:B=$B994),3),
    IFERROR(
        INDEX(FILTER('POed not arrived'!D:D, 'POed not arrived'!A:A=$B994),3),
        """"
    )
)"),"")</f>
        <v/>
      </c>
      <c r="Q994" s="197"/>
      <c r="R994" s="206" t="str">
        <f>IFERROR(__xludf.DUMMYFUNCTION("IFERROR(
    INDEX(FILTER('Arrived Shipments'!O:O, 'Arrived Shipments'!B:B=$B994),4),
    IFERROR(
        INDEX(FILTER('POed not arrived'!D:D, 'POed not arrived'!A:A=$B994),4),
        """"
    )
)"),"")</f>
        <v/>
      </c>
      <c r="S994" s="197"/>
      <c r="T994" s="202">
        <f t="shared" si="8"/>
        <v>0</v>
      </c>
      <c r="U994" s="197"/>
      <c r="V994" s="197"/>
      <c r="W994" s="197"/>
      <c r="X994" s="197"/>
      <c r="Y994" s="197"/>
      <c r="Z994" s="197"/>
      <c r="AA994" s="204" t="str">
        <f t="shared" si="4"/>
        <v/>
      </c>
      <c r="AB994" s="197"/>
      <c r="AC994" s="197"/>
      <c r="AD994" s="197"/>
      <c r="AE994" s="197"/>
      <c r="AF994" s="197"/>
      <c r="AG994" s="197"/>
      <c r="AH994" s="197"/>
      <c r="AI994" s="197"/>
      <c r="AJ994" s="197"/>
      <c r="AK994" s="197"/>
      <c r="AL994" s="197"/>
      <c r="AM994" s="197"/>
      <c r="AN994" s="197"/>
      <c r="AO994" s="197"/>
      <c r="AP994" s="197"/>
      <c r="AQ994" s="197"/>
      <c r="AR994" s="197"/>
      <c r="AS994" s="197"/>
    </row>
    <row r="995">
      <c r="A995" s="198"/>
      <c r="B995" s="197"/>
      <c r="C995" s="197"/>
      <c r="D995" s="197"/>
      <c r="E995" s="197"/>
      <c r="F995" s="197"/>
      <c r="G995" s="197"/>
      <c r="H995" s="197"/>
      <c r="I995" s="197"/>
      <c r="J995" s="197"/>
      <c r="K995" s="197"/>
      <c r="L995" s="205" t="str">
        <f>IFERROR(__xludf.DUMMYFUNCTION("IFERROR(
    INDEX(FILTER('Arrived Shipments'!O:O, 'Arrived Shipments'!B:B=$B995),1),
    IFERROR(
        INDEX(FILTER('POed not arrived'!D:D, 'POed not arrived'!A:A=$B995),1),
        """"
    )
)"),"")</f>
        <v/>
      </c>
      <c r="M995" s="197"/>
      <c r="N995" s="223" t="str">
        <f>IFERROR(__xludf.DUMMYFUNCTION("IFERROR(
    INDEX(FILTER('Arrived Shipments'!O:O, 'Arrived Shipments'!B:B=$B995),2),
    IFERROR(
        INDEX(FILTER('POed not arrived'!D:D, 'POed not arrived'!A:A=$B995),2),
        """"
    )
)"),"")</f>
        <v/>
      </c>
      <c r="O995" s="197"/>
      <c r="P995" s="202" t="str">
        <f>IFERROR(__xludf.DUMMYFUNCTION("IFERROR(
    INDEX(FILTER('Arrived Shipments'!O:O, 'Arrived Shipments'!B:B=$B995),3),
    IFERROR(
        INDEX(FILTER('POed not arrived'!D:D, 'POed not arrived'!A:A=$B995),3),
        """"
    )
)"),"")</f>
        <v/>
      </c>
      <c r="Q995" s="197"/>
      <c r="R995" s="206" t="str">
        <f>IFERROR(__xludf.DUMMYFUNCTION("IFERROR(
    INDEX(FILTER('Arrived Shipments'!O:O, 'Arrived Shipments'!B:B=$B995),4),
    IFERROR(
        INDEX(FILTER('POed not arrived'!D:D, 'POed not arrived'!A:A=$B995),4),
        """"
    )
)"),"")</f>
        <v/>
      </c>
      <c r="S995" s="197"/>
      <c r="T995" s="202">
        <f t="shared" si="8"/>
        <v>0</v>
      </c>
      <c r="U995" s="197"/>
      <c r="V995" s="197"/>
      <c r="W995" s="197"/>
      <c r="X995" s="197"/>
      <c r="Y995" s="197"/>
      <c r="Z995" s="197"/>
      <c r="AA995" s="204" t="str">
        <f t="shared" si="4"/>
        <v/>
      </c>
      <c r="AB995" s="197"/>
      <c r="AC995" s="197"/>
      <c r="AD995" s="197"/>
      <c r="AE995" s="197"/>
      <c r="AF995" s="197"/>
      <c r="AG995" s="197"/>
      <c r="AH995" s="197"/>
      <c r="AI995" s="197"/>
      <c r="AJ995" s="197"/>
      <c r="AK995" s="197"/>
      <c r="AL995" s="197"/>
      <c r="AM995" s="197"/>
      <c r="AN995" s="197"/>
      <c r="AO995" s="197"/>
      <c r="AP995" s="197"/>
      <c r="AQ995" s="197"/>
      <c r="AR995" s="197"/>
      <c r="AS995" s="197"/>
    </row>
    <row r="996">
      <c r="A996" s="198"/>
      <c r="B996" s="197"/>
      <c r="C996" s="197"/>
      <c r="D996" s="197"/>
      <c r="E996" s="197"/>
      <c r="F996" s="197"/>
      <c r="G996" s="197"/>
      <c r="H996" s="197"/>
      <c r="I996" s="197"/>
      <c r="J996" s="197"/>
      <c r="K996" s="197"/>
      <c r="L996" s="205" t="str">
        <f>IFERROR(__xludf.DUMMYFUNCTION("IFERROR(
    INDEX(FILTER('Arrived Shipments'!O:O, 'Arrived Shipments'!B:B=$B996),1),
    IFERROR(
        INDEX(FILTER('POed not arrived'!D:D, 'POed not arrived'!A:A=$B996),1),
        """"
    )
)"),"")</f>
        <v/>
      </c>
      <c r="M996" s="197"/>
      <c r="N996" s="223" t="str">
        <f>IFERROR(__xludf.DUMMYFUNCTION("IFERROR(
    INDEX(FILTER('Arrived Shipments'!O:O, 'Arrived Shipments'!B:B=$B996),2),
    IFERROR(
        INDEX(FILTER('POed not arrived'!D:D, 'POed not arrived'!A:A=$B996),2),
        """"
    )
)"),"")</f>
        <v/>
      </c>
      <c r="O996" s="197"/>
      <c r="P996" s="202" t="str">
        <f>IFERROR(__xludf.DUMMYFUNCTION("IFERROR(
    INDEX(FILTER('Arrived Shipments'!O:O, 'Arrived Shipments'!B:B=$B996),3),
    IFERROR(
        INDEX(FILTER('POed not arrived'!D:D, 'POed not arrived'!A:A=$B996),3),
        """"
    )
)"),"")</f>
        <v/>
      </c>
      <c r="Q996" s="197"/>
      <c r="R996" s="206" t="str">
        <f>IFERROR(__xludf.DUMMYFUNCTION("IFERROR(
    INDEX(FILTER('Arrived Shipments'!O:O, 'Arrived Shipments'!B:B=$B996),4),
    IFERROR(
        INDEX(FILTER('POed not arrived'!D:D, 'POed not arrived'!A:A=$B996),4),
        """"
    )
)"),"")</f>
        <v/>
      </c>
      <c r="S996" s="197"/>
      <c r="T996" s="202">
        <f t="shared" si="8"/>
        <v>0</v>
      </c>
      <c r="U996" s="197"/>
      <c r="V996" s="197"/>
      <c r="W996" s="197"/>
      <c r="X996" s="197"/>
      <c r="Y996" s="197"/>
      <c r="Z996" s="197"/>
      <c r="AA996" s="204" t="str">
        <f t="shared" si="4"/>
        <v/>
      </c>
      <c r="AB996" s="197"/>
      <c r="AC996" s="197"/>
      <c r="AD996" s="197"/>
      <c r="AE996" s="197"/>
      <c r="AF996" s="197"/>
      <c r="AG996" s="197"/>
      <c r="AH996" s="197"/>
      <c r="AI996" s="197"/>
      <c r="AJ996" s="197"/>
      <c r="AK996" s="197"/>
      <c r="AL996" s="197"/>
      <c r="AM996" s="197"/>
      <c r="AN996" s="197"/>
      <c r="AO996" s="197"/>
      <c r="AP996" s="197"/>
      <c r="AQ996" s="197"/>
      <c r="AR996" s="197"/>
      <c r="AS996" s="197"/>
    </row>
    <row r="997">
      <c r="A997" s="198"/>
      <c r="B997" s="197"/>
      <c r="C997" s="197"/>
      <c r="D997" s="197"/>
      <c r="E997" s="197"/>
      <c r="F997" s="197"/>
      <c r="G997" s="197"/>
      <c r="H997" s="197"/>
      <c r="I997" s="197"/>
      <c r="J997" s="197"/>
      <c r="K997" s="197"/>
      <c r="L997" s="205" t="str">
        <f>IFERROR(__xludf.DUMMYFUNCTION("IFERROR(
    INDEX(FILTER('Arrived Shipments'!O:O, 'Arrived Shipments'!B:B=$B997),1),
    IFERROR(
        INDEX(FILTER('POed not arrived'!D:D, 'POed not arrived'!A:A=$B997),1),
        """"
    )
)"),"")</f>
        <v/>
      </c>
      <c r="M997" s="197"/>
      <c r="N997" s="223" t="str">
        <f>IFERROR(__xludf.DUMMYFUNCTION("IFERROR(
    INDEX(FILTER('Arrived Shipments'!O:O, 'Arrived Shipments'!B:B=$B997),2),
    IFERROR(
        INDEX(FILTER('POed not arrived'!D:D, 'POed not arrived'!A:A=$B997),2),
        """"
    )
)"),"")</f>
        <v/>
      </c>
      <c r="O997" s="197"/>
      <c r="P997" s="202" t="str">
        <f>IFERROR(__xludf.DUMMYFUNCTION("IFERROR(
    INDEX(FILTER('Arrived Shipments'!O:O, 'Arrived Shipments'!B:B=$B997),3),
    IFERROR(
        INDEX(FILTER('POed not arrived'!D:D, 'POed not arrived'!A:A=$B997),3),
        """"
    )
)"),"")</f>
        <v/>
      </c>
      <c r="Q997" s="197"/>
      <c r="R997" s="206" t="str">
        <f>IFERROR(__xludf.DUMMYFUNCTION("IFERROR(
    INDEX(FILTER('Arrived Shipments'!O:O, 'Arrived Shipments'!B:B=$B997),4),
    IFERROR(
        INDEX(FILTER('POed not arrived'!D:D, 'POed not arrived'!A:A=$B997),4),
        """"
    )
)"),"")</f>
        <v/>
      </c>
      <c r="S997" s="197"/>
      <c r="T997" s="202">
        <f t="shared" si="8"/>
        <v>0</v>
      </c>
      <c r="U997" s="197"/>
      <c r="V997" s="197"/>
      <c r="W997" s="197"/>
      <c r="X997" s="197"/>
      <c r="Y997" s="197"/>
      <c r="Z997" s="197"/>
      <c r="AA997" s="204" t="str">
        <f t="shared" si="4"/>
        <v/>
      </c>
      <c r="AB997" s="197"/>
      <c r="AC997" s="197"/>
      <c r="AD997" s="197"/>
      <c r="AE997" s="197"/>
      <c r="AF997" s="197"/>
      <c r="AG997" s="197"/>
      <c r="AH997" s="197"/>
      <c r="AI997" s="197"/>
      <c r="AJ997" s="197"/>
      <c r="AK997" s="197"/>
      <c r="AL997" s="197"/>
      <c r="AM997" s="197"/>
      <c r="AN997" s="197"/>
      <c r="AO997" s="197"/>
      <c r="AP997" s="197"/>
      <c r="AQ997" s="197"/>
      <c r="AR997" s="197"/>
      <c r="AS997" s="197"/>
    </row>
    <row r="998">
      <c r="A998" s="198"/>
      <c r="B998" s="197"/>
      <c r="C998" s="197"/>
      <c r="D998" s="197"/>
      <c r="E998" s="197"/>
      <c r="F998" s="197"/>
      <c r="G998" s="197"/>
      <c r="H998" s="197"/>
      <c r="I998" s="197"/>
      <c r="J998" s="197"/>
      <c r="K998" s="197"/>
      <c r="L998" s="205" t="str">
        <f>IFERROR(__xludf.DUMMYFUNCTION("IFERROR(
    INDEX(FILTER('Arrived Shipments'!O:O, 'Arrived Shipments'!B:B=$B998),1),
    IFERROR(
        INDEX(FILTER('POed not arrived'!D:D, 'POed not arrived'!A:A=$B998),1),
        """"
    )
)"),"")</f>
        <v/>
      </c>
      <c r="M998" s="197"/>
      <c r="N998" s="223" t="str">
        <f>IFERROR(__xludf.DUMMYFUNCTION("IFERROR(
    INDEX(FILTER('Arrived Shipments'!O:O, 'Arrived Shipments'!B:B=$B998),2),
    IFERROR(
        INDEX(FILTER('POed not arrived'!D:D, 'POed not arrived'!A:A=$B998),2),
        """"
    )
)"),"")</f>
        <v/>
      </c>
      <c r="O998" s="197"/>
      <c r="P998" s="202" t="str">
        <f>IFERROR(__xludf.DUMMYFUNCTION("IFERROR(
    INDEX(FILTER('Arrived Shipments'!O:O, 'Arrived Shipments'!B:B=$B998),3),
    IFERROR(
        INDEX(FILTER('POed not arrived'!D:D, 'POed not arrived'!A:A=$B998),3),
        """"
    )
)"),"")</f>
        <v/>
      </c>
      <c r="Q998" s="197"/>
      <c r="R998" s="206" t="str">
        <f>IFERROR(__xludf.DUMMYFUNCTION("IFERROR(
    INDEX(FILTER('Arrived Shipments'!O:O, 'Arrived Shipments'!B:B=$B998),4),
    IFERROR(
        INDEX(FILTER('POed not arrived'!D:D, 'POed not arrived'!A:A=$B998),4),
        """"
    )
)"),"")</f>
        <v/>
      </c>
      <c r="S998" s="197"/>
      <c r="T998" s="202">
        <f t="shared" si="8"/>
        <v>0</v>
      </c>
      <c r="U998" s="197"/>
      <c r="V998" s="197"/>
      <c r="W998" s="197"/>
      <c r="X998" s="197"/>
      <c r="Y998" s="197"/>
      <c r="Z998" s="197"/>
      <c r="AA998" s="204" t="str">
        <f t="shared" si="4"/>
        <v/>
      </c>
      <c r="AB998" s="197"/>
      <c r="AC998" s="197"/>
      <c r="AD998" s="197"/>
      <c r="AE998" s="197"/>
      <c r="AF998" s="197"/>
      <c r="AG998" s="197"/>
      <c r="AH998" s="197"/>
      <c r="AI998" s="197"/>
      <c r="AJ998" s="197"/>
      <c r="AK998" s="197"/>
      <c r="AL998" s="197"/>
      <c r="AM998" s="197"/>
      <c r="AN998" s="197"/>
      <c r="AO998" s="197"/>
      <c r="AP998" s="197"/>
      <c r="AQ998" s="197"/>
      <c r="AR998" s="197"/>
      <c r="AS998" s="197"/>
    </row>
    <row r="999">
      <c r="A999" s="198"/>
      <c r="B999" s="197"/>
      <c r="C999" s="197"/>
      <c r="D999" s="197"/>
      <c r="E999" s="197"/>
      <c r="F999" s="197"/>
      <c r="G999" s="197"/>
      <c r="H999" s="197"/>
      <c r="I999" s="197"/>
      <c r="J999" s="197"/>
      <c r="K999" s="197"/>
      <c r="L999" s="205" t="str">
        <f>IFERROR(__xludf.DUMMYFUNCTION("IFERROR(
    INDEX(FILTER('Arrived Shipments'!O:O, 'Arrived Shipments'!B:B=$B999),1),
    IFERROR(
        INDEX(FILTER('POed not arrived'!D:D, 'POed not arrived'!A:A=$B999),1),
        """"
    )
)"),"")</f>
        <v/>
      </c>
      <c r="M999" s="197"/>
      <c r="N999" s="223" t="str">
        <f>IFERROR(__xludf.DUMMYFUNCTION("IFERROR(
    INDEX(FILTER('Arrived Shipments'!O:O, 'Arrived Shipments'!B:B=$B999),2),
    IFERROR(
        INDEX(FILTER('POed not arrived'!D:D, 'POed not arrived'!A:A=$B999),2),
        """"
    )
)"),"")</f>
        <v/>
      </c>
      <c r="O999" s="197"/>
      <c r="P999" s="202" t="str">
        <f>IFERROR(__xludf.DUMMYFUNCTION("IFERROR(
    INDEX(FILTER('Arrived Shipments'!O:O, 'Arrived Shipments'!B:B=$B999),3),
    IFERROR(
        INDEX(FILTER('POed not arrived'!D:D, 'POed not arrived'!A:A=$B999),3),
        """"
    )
)"),"")</f>
        <v/>
      </c>
      <c r="Q999" s="197"/>
      <c r="R999" s="206" t="str">
        <f>IFERROR(__xludf.DUMMYFUNCTION("IFERROR(
    INDEX(FILTER('Arrived Shipments'!O:O, 'Arrived Shipments'!B:B=$B999),4),
    IFERROR(
        INDEX(FILTER('POed not arrived'!D:D, 'POed not arrived'!A:A=$B999),4),
        """"
    )
)"),"")</f>
        <v/>
      </c>
      <c r="S999" s="197"/>
      <c r="T999" s="202">
        <f t="shared" si="8"/>
        <v>0</v>
      </c>
      <c r="U999" s="197"/>
      <c r="V999" s="197"/>
      <c r="W999" s="197"/>
      <c r="X999" s="197"/>
      <c r="Y999" s="197"/>
      <c r="Z999" s="197"/>
      <c r="AA999" s="204" t="str">
        <f t="shared" si="4"/>
        <v/>
      </c>
      <c r="AB999" s="197"/>
      <c r="AC999" s="197"/>
      <c r="AD999" s="197"/>
      <c r="AE999" s="197"/>
      <c r="AF999" s="197"/>
      <c r="AG999" s="197"/>
      <c r="AH999" s="197"/>
      <c r="AI999" s="197"/>
      <c r="AJ999" s="197"/>
      <c r="AK999" s="197"/>
      <c r="AL999" s="197"/>
      <c r="AM999" s="197"/>
      <c r="AN999" s="197"/>
      <c r="AO999" s="197"/>
      <c r="AP999" s="197"/>
      <c r="AQ999" s="197"/>
      <c r="AR999" s="197"/>
      <c r="AS999" s="197"/>
    </row>
    <row r="1000">
      <c r="A1000" s="198"/>
      <c r="B1000" s="197"/>
      <c r="C1000" s="197"/>
      <c r="D1000" s="197"/>
      <c r="E1000" s="197"/>
      <c r="F1000" s="197"/>
      <c r="G1000" s="197"/>
      <c r="H1000" s="197"/>
      <c r="I1000" s="197"/>
      <c r="J1000" s="197"/>
      <c r="K1000" s="197"/>
      <c r="L1000" s="205" t="str">
        <f>IFERROR(__xludf.DUMMYFUNCTION("IFERROR(
    INDEX(FILTER('Arrived Shipments'!O:O, 'Arrived Shipments'!B:B=$B1000),1),
    IFERROR(
        INDEX(FILTER('POed not arrived'!D:D, 'POed not arrived'!A:A=$B1000),1),
        """"
    )
)"),"")</f>
        <v/>
      </c>
      <c r="M1000" s="197"/>
      <c r="N1000" s="223" t="str">
        <f>IFERROR(__xludf.DUMMYFUNCTION("IFERROR(
    INDEX(FILTER('Arrived Shipments'!O:O, 'Arrived Shipments'!B:B=$B1000),2),
    IFERROR(
        INDEX(FILTER('POed not arrived'!D:D, 'POed not arrived'!A:A=$B1000),2),
        """"
    )
)"),"")</f>
        <v/>
      </c>
      <c r="O1000" s="197"/>
      <c r="P1000" s="202" t="str">
        <f>IFERROR(__xludf.DUMMYFUNCTION("IFERROR(
    INDEX(FILTER('Arrived Shipments'!O:O, 'Arrived Shipments'!B:B=$B1000),3),
    IFERROR(
        INDEX(FILTER('POed not arrived'!D:D, 'POed not arrived'!A:A=$B1000),3),
        """"
    )
)"),"")</f>
        <v/>
      </c>
      <c r="Q1000" s="197"/>
      <c r="R1000" s="206" t="str">
        <f>IFERROR(__xludf.DUMMYFUNCTION("IFERROR(
    INDEX(FILTER('Arrived Shipments'!O:O, 'Arrived Shipments'!B:B=$B1000),4),
    IFERROR(
        INDEX(FILTER('POed not arrived'!D:D, 'POed not arrived'!A:A=$B1000),4),
        """"
    )
)"),"")</f>
        <v/>
      </c>
      <c r="S1000" s="197"/>
      <c r="T1000" s="202">
        <f t="shared" si="8"/>
        <v>0</v>
      </c>
      <c r="U1000" s="197"/>
      <c r="V1000" s="197"/>
      <c r="W1000" s="197"/>
      <c r="X1000" s="197"/>
      <c r="Y1000" s="197"/>
      <c r="Z1000" s="197"/>
      <c r="AA1000" s="204" t="str">
        <f t="shared" si="4"/>
        <v/>
      </c>
      <c r="AB1000" s="197"/>
      <c r="AC1000" s="197"/>
      <c r="AD1000" s="197"/>
      <c r="AE1000" s="197"/>
      <c r="AF1000" s="197"/>
      <c r="AG1000" s="197"/>
      <c r="AH1000" s="197"/>
      <c r="AI1000" s="197"/>
      <c r="AJ1000" s="197"/>
      <c r="AK1000" s="197"/>
      <c r="AL1000" s="197"/>
      <c r="AM1000" s="197"/>
      <c r="AN1000" s="197"/>
      <c r="AO1000" s="197"/>
      <c r="AP1000" s="197"/>
      <c r="AQ1000" s="197"/>
      <c r="AR1000" s="197"/>
      <c r="AS1000" s="197"/>
    </row>
    <row r="1001">
      <c r="A1001" s="198"/>
      <c r="B1001" s="197"/>
      <c r="C1001" s="197"/>
      <c r="D1001" s="197"/>
      <c r="E1001" s="197"/>
      <c r="F1001" s="197"/>
      <c r="G1001" s="197"/>
      <c r="H1001" s="197"/>
      <c r="I1001" s="197"/>
      <c r="J1001" s="197"/>
      <c r="K1001" s="197"/>
      <c r="L1001" s="205" t="str">
        <f>IFERROR(__xludf.DUMMYFUNCTION("IFERROR(
    INDEX(FILTER('Arrived Shipments'!O:O, 'Arrived Shipments'!B:B=$B1001),1),
    IFERROR(
        INDEX(FILTER('POed not arrived'!D:D, 'POed not arrived'!A:A=$B1001),1),
        """"
    )
)"),"")</f>
        <v/>
      </c>
      <c r="M1001" s="197"/>
      <c r="N1001" s="223" t="str">
        <f>IFERROR(__xludf.DUMMYFUNCTION("IFERROR(
    INDEX(FILTER('Arrived Shipments'!O:O, 'Arrived Shipments'!B:B=$B1001),2),
    IFERROR(
        INDEX(FILTER('POed not arrived'!D:D, 'POed not arrived'!A:A=$B1001),2),
        """"
    )
)"),"")</f>
        <v/>
      </c>
      <c r="O1001" s="197"/>
      <c r="P1001" s="202" t="str">
        <f>IFERROR(__xludf.DUMMYFUNCTION("IFERROR(
    INDEX(FILTER('Arrived Shipments'!O:O, 'Arrived Shipments'!B:B=$B1001),3),
    IFERROR(
        INDEX(FILTER('POed not arrived'!D:D, 'POed not arrived'!A:A=$B1001),3),
        """"
    )
)"),"")</f>
        <v/>
      </c>
      <c r="Q1001" s="197"/>
      <c r="R1001" s="206" t="str">
        <f>IFERROR(__xludf.DUMMYFUNCTION("IFERROR(
    INDEX(FILTER('Arrived Shipments'!O:O, 'Arrived Shipments'!B:B=$B1001),4),
    IFERROR(
        INDEX(FILTER('POed not arrived'!D:D, 'POed not arrived'!A:A=$B1001),4),
        """"
    )
)"),"")</f>
        <v/>
      </c>
      <c r="S1001" s="197"/>
      <c r="T1001" s="202">
        <f t="shared" si="8"/>
        <v>0</v>
      </c>
      <c r="U1001" s="197"/>
      <c r="V1001" s="197"/>
      <c r="W1001" s="197"/>
      <c r="X1001" s="197"/>
      <c r="Y1001" s="197"/>
      <c r="Z1001" s="197"/>
      <c r="AA1001" s="204" t="str">
        <f t="shared" si="4"/>
        <v/>
      </c>
      <c r="AB1001" s="197"/>
      <c r="AC1001" s="197"/>
      <c r="AD1001" s="197"/>
      <c r="AE1001" s="197"/>
      <c r="AF1001" s="197"/>
      <c r="AG1001" s="197"/>
      <c r="AH1001" s="197"/>
      <c r="AI1001" s="197"/>
      <c r="AJ1001" s="197"/>
      <c r="AK1001" s="197"/>
      <c r="AL1001" s="197"/>
      <c r="AM1001" s="197"/>
      <c r="AN1001" s="197"/>
      <c r="AO1001" s="197"/>
      <c r="AP1001" s="197"/>
      <c r="AQ1001" s="197"/>
      <c r="AR1001" s="197"/>
      <c r="AS1001" s="197"/>
    </row>
    <row r="1002">
      <c r="A1002" s="198"/>
      <c r="B1002" s="197"/>
      <c r="C1002" s="197"/>
      <c r="D1002" s="197"/>
      <c r="E1002" s="197"/>
      <c r="F1002" s="197"/>
      <c r="G1002" s="197"/>
      <c r="H1002" s="197"/>
      <c r="I1002" s="197"/>
      <c r="J1002" s="197"/>
      <c r="K1002" s="197"/>
      <c r="L1002" s="205" t="str">
        <f>IFERROR(__xludf.DUMMYFUNCTION("IFERROR(
    INDEX(FILTER('Arrived Shipments'!O:O, 'Arrived Shipments'!B:B=$B1002),1),
    IFERROR(
        INDEX(FILTER('POed not arrived'!D:D, 'POed not arrived'!A:A=$B1002),1),
        """"
    )
)"),"")</f>
        <v/>
      </c>
      <c r="M1002" s="197"/>
      <c r="N1002" s="223" t="str">
        <f>IFERROR(__xludf.DUMMYFUNCTION("IFERROR(
    INDEX(FILTER('Arrived Shipments'!O:O, 'Arrived Shipments'!B:B=$B1002),2),
    IFERROR(
        INDEX(FILTER('POed not arrived'!D:D, 'POed not arrived'!A:A=$B1002),2),
        """"
    )
)"),"")</f>
        <v/>
      </c>
      <c r="O1002" s="197"/>
      <c r="P1002" s="202" t="str">
        <f>IFERROR(__xludf.DUMMYFUNCTION("IFERROR(
    INDEX(FILTER('Arrived Shipments'!O:O, 'Arrived Shipments'!B:B=$B1002),3),
    IFERROR(
        INDEX(FILTER('POed not arrived'!D:D, 'POed not arrived'!A:A=$B1002),3),
        """"
    )
)"),"")</f>
        <v/>
      </c>
      <c r="Q1002" s="197"/>
      <c r="R1002" s="206" t="str">
        <f>IFERROR(__xludf.DUMMYFUNCTION("IFERROR(
    INDEX(FILTER('Arrived Shipments'!O:O, 'Arrived Shipments'!B:B=$B1002),4),
    IFERROR(
        INDEX(FILTER('POed not arrived'!D:D, 'POed not arrived'!A:A=$B1002),4),
        """"
    )
)"),"")</f>
        <v/>
      </c>
      <c r="S1002" s="197"/>
      <c r="T1002" s="202">
        <f t="shared" si="8"/>
        <v>0</v>
      </c>
      <c r="U1002" s="197"/>
      <c r="V1002" s="197"/>
      <c r="W1002" s="197"/>
      <c r="X1002" s="197"/>
      <c r="Y1002" s="197"/>
      <c r="Z1002" s="197"/>
      <c r="AA1002" s="204" t="str">
        <f t="shared" si="4"/>
        <v/>
      </c>
      <c r="AB1002" s="197"/>
      <c r="AC1002" s="197"/>
      <c r="AD1002" s="197"/>
      <c r="AE1002" s="197"/>
      <c r="AF1002" s="197"/>
      <c r="AG1002" s="197"/>
      <c r="AH1002" s="197"/>
      <c r="AI1002" s="197"/>
      <c r="AJ1002" s="197"/>
      <c r="AK1002" s="197"/>
      <c r="AL1002" s="197"/>
      <c r="AM1002" s="197"/>
      <c r="AN1002" s="197"/>
      <c r="AO1002" s="197"/>
      <c r="AP1002" s="197"/>
      <c r="AQ1002" s="197"/>
      <c r="AR1002" s="197"/>
      <c r="AS1002" s="197"/>
    </row>
    <row r="1003">
      <c r="A1003" s="198"/>
      <c r="B1003" s="197"/>
      <c r="C1003" s="197"/>
      <c r="D1003" s="197"/>
      <c r="E1003" s="197"/>
      <c r="F1003" s="197"/>
      <c r="G1003" s="197"/>
      <c r="H1003" s="197"/>
      <c r="I1003" s="197"/>
      <c r="J1003" s="197"/>
      <c r="K1003" s="197"/>
      <c r="L1003" s="205" t="str">
        <f>IFERROR(__xludf.DUMMYFUNCTION("IFERROR(
    INDEX(FILTER('Arrived Shipments'!O:O, 'Arrived Shipments'!B:B=$B1003),1),
    IFERROR(
        INDEX(FILTER('POed not arrived'!D:D, 'POed not arrived'!A:A=$B1003),1),
        """"
    )
)"),"")</f>
        <v/>
      </c>
      <c r="M1003" s="197"/>
      <c r="N1003" s="223" t="str">
        <f>IFERROR(__xludf.DUMMYFUNCTION("IFERROR(
    INDEX(FILTER('Arrived Shipments'!O:O, 'Arrived Shipments'!B:B=$B1003),2),
    IFERROR(
        INDEX(FILTER('POed not arrived'!D:D, 'POed not arrived'!A:A=$B1003),2),
        """"
    )
)"),"")</f>
        <v/>
      </c>
      <c r="O1003" s="197"/>
      <c r="P1003" s="202" t="str">
        <f>IFERROR(__xludf.DUMMYFUNCTION("IFERROR(
    INDEX(FILTER('Arrived Shipments'!O:O, 'Arrived Shipments'!B:B=$B1003),3),
    IFERROR(
        INDEX(FILTER('POed not arrived'!D:D, 'POed not arrived'!A:A=$B1003),3),
        """"
    )
)"),"")</f>
        <v/>
      </c>
      <c r="Q1003" s="197"/>
      <c r="R1003" s="206" t="str">
        <f>IFERROR(__xludf.DUMMYFUNCTION("IFERROR(
    INDEX(FILTER('Arrived Shipments'!O:O, 'Arrived Shipments'!B:B=$B1003),4),
    IFERROR(
        INDEX(FILTER('POed not arrived'!D:D, 'POed not arrived'!A:A=$B1003),4),
        """"
    )
)"),"")</f>
        <v/>
      </c>
      <c r="S1003" s="197"/>
      <c r="T1003" s="202">
        <f t="shared" si="8"/>
        <v>0</v>
      </c>
      <c r="U1003" s="197"/>
      <c r="V1003" s="197"/>
      <c r="W1003" s="197"/>
      <c r="X1003" s="197"/>
      <c r="Y1003" s="197"/>
      <c r="Z1003" s="197"/>
      <c r="AA1003" s="204" t="str">
        <f t="shared" si="4"/>
        <v/>
      </c>
      <c r="AB1003" s="197"/>
      <c r="AC1003" s="197"/>
      <c r="AD1003" s="197"/>
      <c r="AE1003" s="197"/>
      <c r="AF1003" s="197"/>
      <c r="AG1003" s="197"/>
      <c r="AH1003" s="197"/>
      <c r="AI1003" s="197"/>
      <c r="AJ1003" s="197"/>
      <c r="AK1003" s="197"/>
      <c r="AL1003" s="197"/>
      <c r="AM1003" s="197"/>
      <c r="AN1003" s="197"/>
      <c r="AO1003" s="197"/>
      <c r="AP1003" s="197"/>
      <c r="AQ1003" s="197"/>
      <c r="AR1003" s="197"/>
      <c r="AS1003" s="197"/>
    </row>
    <row r="1004">
      <c r="A1004" s="198"/>
      <c r="B1004" s="197"/>
      <c r="C1004" s="197"/>
      <c r="D1004" s="197"/>
      <c r="E1004" s="197"/>
      <c r="F1004" s="197"/>
      <c r="G1004" s="197"/>
      <c r="H1004" s="197"/>
      <c r="I1004" s="197"/>
      <c r="J1004" s="197"/>
      <c r="K1004" s="197"/>
      <c r="L1004" s="205" t="str">
        <f>IFERROR(__xludf.DUMMYFUNCTION("IFERROR(
    INDEX(FILTER('Arrived Shipments'!O:O, 'Arrived Shipments'!B:B=$B1004),1),
    IFERROR(
        INDEX(FILTER('POed not arrived'!D:D, 'POed not arrived'!A:A=$B1004),1),
        """"
    )
)"),"")</f>
        <v/>
      </c>
      <c r="M1004" s="197"/>
      <c r="N1004" s="223" t="str">
        <f>IFERROR(__xludf.DUMMYFUNCTION("IFERROR(
    INDEX(FILTER('Arrived Shipments'!O:O, 'Arrived Shipments'!B:B=$B1004),2),
    IFERROR(
        INDEX(FILTER('POed not arrived'!D:D, 'POed not arrived'!A:A=$B1004),2),
        """"
    )
)"),"")</f>
        <v/>
      </c>
      <c r="O1004" s="197"/>
      <c r="P1004" s="202" t="str">
        <f>IFERROR(__xludf.DUMMYFUNCTION("IFERROR(
    INDEX(FILTER('Arrived Shipments'!O:O, 'Arrived Shipments'!B:B=$B1004),3),
    IFERROR(
        INDEX(FILTER('POed not arrived'!D:D, 'POed not arrived'!A:A=$B1004),3),
        """"
    )
)"),"")</f>
        <v/>
      </c>
      <c r="Q1004" s="197"/>
      <c r="R1004" s="206" t="str">
        <f>IFERROR(__xludf.DUMMYFUNCTION("IFERROR(
    INDEX(FILTER('Arrived Shipments'!O:O, 'Arrived Shipments'!B:B=$B1004),4),
    IFERROR(
        INDEX(FILTER('POed not arrived'!D:D, 'POed not arrived'!A:A=$B1004),4),
        """"
    )
)"),"")</f>
        <v/>
      </c>
      <c r="S1004" s="197"/>
      <c r="T1004" s="202">
        <f t="shared" si="8"/>
        <v>0</v>
      </c>
      <c r="U1004" s="197"/>
      <c r="V1004" s="197"/>
      <c r="W1004" s="197"/>
      <c r="X1004" s="197"/>
      <c r="Y1004" s="197"/>
      <c r="Z1004" s="197"/>
      <c r="AA1004" s="204" t="str">
        <f t="shared" si="4"/>
        <v/>
      </c>
      <c r="AB1004" s="197"/>
      <c r="AC1004" s="197"/>
      <c r="AD1004" s="197"/>
      <c r="AE1004" s="197"/>
      <c r="AF1004" s="197"/>
      <c r="AG1004" s="197"/>
      <c r="AH1004" s="197"/>
      <c r="AI1004" s="197"/>
      <c r="AJ1004" s="197"/>
      <c r="AK1004" s="197"/>
      <c r="AL1004" s="197"/>
      <c r="AM1004" s="197"/>
      <c r="AN1004" s="197"/>
      <c r="AO1004" s="197"/>
      <c r="AP1004" s="197"/>
      <c r="AQ1004" s="197"/>
      <c r="AR1004" s="197"/>
      <c r="AS1004" s="197"/>
    </row>
    <row r="1005">
      <c r="A1005" s="198"/>
      <c r="B1005" s="197"/>
      <c r="C1005" s="197"/>
      <c r="D1005" s="197"/>
      <c r="E1005" s="197"/>
      <c r="F1005" s="197"/>
      <c r="G1005" s="197"/>
      <c r="H1005" s="197"/>
      <c r="I1005" s="197"/>
      <c r="J1005" s="197"/>
      <c r="K1005" s="197"/>
      <c r="L1005" s="205" t="str">
        <f>IFERROR(__xludf.DUMMYFUNCTION("IFERROR(
    INDEX(FILTER('Arrived Shipments'!O:O, 'Arrived Shipments'!B:B=$B1005),1),
    IFERROR(
        INDEX(FILTER('POed not arrived'!D:D, 'POed not arrived'!A:A=$B1005),1),
        """"
    )
)"),"")</f>
        <v/>
      </c>
      <c r="M1005" s="197"/>
      <c r="N1005" s="223" t="str">
        <f>IFERROR(__xludf.DUMMYFUNCTION("IFERROR(
    INDEX(FILTER('Arrived Shipments'!O:O, 'Arrived Shipments'!B:B=$B1005),2),
    IFERROR(
        INDEX(FILTER('POed not arrived'!D:D, 'POed not arrived'!A:A=$B1005),2),
        """"
    )
)"),"")</f>
        <v/>
      </c>
      <c r="O1005" s="197"/>
      <c r="P1005" s="202" t="str">
        <f>IFERROR(__xludf.DUMMYFUNCTION("IFERROR(
    INDEX(FILTER('Arrived Shipments'!O:O, 'Arrived Shipments'!B:B=$B1005),3),
    IFERROR(
        INDEX(FILTER('POed not arrived'!D:D, 'POed not arrived'!A:A=$B1005),3),
        """"
    )
)"),"")</f>
        <v/>
      </c>
      <c r="Q1005" s="197"/>
      <c r="R1005" s="206" t="str">
        <f>IFERROR(__xludf.DUMMYFUNCTION("IFERROR(
    INDEX(FILTER('Arrived Shipments'!O:O, 'Arrived Shipments'!B:B=$B1005),4),
    IFERROR(
        INDEX(FILTER('POed not arrived'!D:D, 'POed not arrived'!A:A=$B1005),4),
        """"
    )
)"),"")</f>
        <v/>
      </c>
      <c r="S1005" s="197"/>
      <c r="T1005" s="202">
        <f t="shared" si="8"/>
        <v>0</v>
      </c>
      <c r="U1005" s="197"/>
      <c r="V1005" s="197"/>
      <c r="W1005" s="197"/>
      <c r="X1005" s="197"/>
      <c r="Y1005" s="197"/>
      <c r="Z1005" s="197"/>
      <c r="AA1005" s="204" t="str">
        <f t="shared" si="4"/>
        <v/>
      </c>
      <c r="AB1005" s="197"/>
      <c r="AC1005" s="197"/>
      <c r="AD1005" s="197"/>
      <c r="AE1005" s="197"/>
      <c r="AF1005" s="197"/>
      <c r="AG1005" s="197"/>
      <c r="AH1005" s="197"/>
      <c r="AI1005" s="197"/>
      <c r="AJ1005" s="197"/>
      <c r="AK1005" s="197"/>
      <c r="AL1005" s="197"/>
      <c r="AM1005" s="197"/>
      <c r="AN1005" s="197"/>
      <c r="AO1005" s="197"/>
      <c r="AP1005" s="197"/>
      <c r="AQ1005" s="197"/>
      <c r="AR1005" s="197"/>
      <c r="AS1005" s="197"/>
    </row>
    <row r="1006">
      <c r="A1006" s="198"/>
      <c r="B1006" s="197"/>
      <c r="C1006" s="197"/>
      <c r="D1006" s="197"/>
      <c r="E1006" s="197"/>
      <c r="F1006" s="197"/>
      <c r="G1006" s="197"/>
      <c r="H1006" s="197"/>
      <c r="I1006" s="197"/>
      <c r="J1006" s="197"/>
      <c r="K1006" s="197"/>
      <c r="L1006" s="205" t="str">
        <f>IFERROR(__xludf.DUMMYFUNCTION("IFERROR(
    INDEX(FILTER('Arrived Shipments'!O:O, 'Arrived Shipments'!B:B=$B1006),1),
    IFERROR(
        INDEX(FILTER('POed not arrived'!D:D, 'POed not arrived'!A:A=$B1006),1),
        """"
    )
)"),"")</f>
        <v/>
      </c>
      <c r="M1006" s="197"/>
      <c r="N1006" s="223" t="str">
        <f>IFERROR(__xludf.DUMMYFUNCTION("IFERROR(
    INDEX(FILTER('Arrived Shipments'!O:O, 'Arrived Shipments'!B:B=$B1006),2),
    IFERROR(
        INDEX(FILTER('POed not arrived'!D:D, 'POed not arrived'!A:A=$B1006),2),
        """"
    )
)"),"")</f>
        <v/>
      </c>
      <c r="O1006" s="197"/>
      <c r="P1006" s="202" t="str">
        <f>IFERROR(__xludf.DUMMYFUNCTION("IFERROR(
    INDEX(FILTER('Arrived Shipments'!O:O, 'Arrived Shipments'!B:B=$B1006),3),
    IFERROR(
        INDEX(FILTER('POed not arrived'!D:D, 'POed not arrived'!A:A=$B1006),3),
        """"
    )
)"),"")</f>
        <v/>
      </c>
      <c r="Q1006" s="197"/>
      <c r="R1006" s="206" t="str">
        <f>IFERROR(__xludf.DUMMYFUNCTION("IFERROR(
    INDEX(FILTER('Arrived Shipments'!O:O, 'Arrived Shipments'!B:B=$B1006),4),
    IFERROR(
        INDEX(FILTER('POed not arrived'!D:D, 'POed not arrived'!A:A=$B1006),4),
        """"
    )
)"),"")</f>
        <v/>
      </c>
      <c r="S1006" s="197"/>
      <c r="T1006" s="202">
        <f t="shared" si="8"/>
        <v>0</v>
      </c>
      <c r="U1006" s="197"/>
      <c r="V1006" s="197"/>
      <c r="W1006" s="197"/>
      <c r="X1006" s="197"/>
      <c r="Y1006" s="197"/>
      <c r="Z1006" s="197"/>
      <c r="AA1006" s="204" t="str">
        <f t="shared" si="4"/>
        <v/>
      </c>
      <c r="AB1006" s="197"/>
      <c r="AC1006" s="197"/>
      <c r="AD1006" s="197"/>
      <c r="AE1006" s="197"/>
      <c r="AF1006" s="197"/>
      <c r="AG1006" s="197"/>
      <c r="AH1006" s="197"/>
      <c r="AI1006" s="197"/>
      <c r="AJ1006" s="197"/>
      <c r="AK1006" s="197"/>
      <c r="AL1006" s="197"/>
      <c r="AM1006" s="197"/>
      <c r="AN1006" s="197"/>
      <c r="AO1006" s="197"/>
      <c r="AP1006" s="197"/>
      <c r="AQ1006" s="197"/>
      <c r="AR1006" s="197"/>
      <c r="AS1006" s="197"/>
    </row>
    <row r="1007">
      <c r="A1007" s="198"/>
      <c r="B1007" s="197"/>
      <c r="C1007" s="197"/>
      <c r="D1007" s="197"/>
      <c r="E1007" s="197"/>
      <c r="F1007" s="197"/>
      <c r="G1007" s="197"/>
      <c r="H1007" s="197"/>
      <c r="I1007" s="197"/>
      <c r="J1007" s="197"/>
      <c r="K1007" s="197"/>
      <c r="L1007" s="205" t="str">
        <f>IFERROR(__xludf.DUMMYFUNCTION("IFERROR(
    INDEX(FILTER('Arrived Shipments'!O:O, 'Arrived Shipments'!B:B=$B1007),1),
    IFERROR(
        INDEX(FILTER('POed not arrived'!D:D, 'POed not arrived'!A:A=$B1007),1),
        """"
    )
)"),"")</f>
        <v/>
      </c>
      <c r="M1007" s="197"/>
      <c r="N1007" s="223" t="str">
        <f>IFERROR(__xludf.DUMMYFUNCTION("IFERROR(
    INDEX(FILTER('Arrived Shipments'!O:O, 'Arrived Shipments'!B:B=$B1007),2),
    IFERROR(
        INDEX(FILTER('POed not arrived'!D:D, 'POed not arrived'!A:A=$B1007),2),
        """"
    )
)"),"")</f>
        <v/>
      </c>
      <c r="O1007" s="197"/>
      <c r="P1007" s="202" t="str">
        <f>IFERROR(__xludf.DUMMYFUNCTION("IFERROR(
    INDEX(FILTER('Arrived Shipments'!O:O, 'Arrived Shipments'!B:B=$B1007),3),
    IFERROR(
        INDEX(FILTER('POed not arrived'!D:D, 'POed not arrived'!A:A=$B1007),3),
        """"
    )
)"),"")</f>
        <v/>
      </c>
      <c r="Q1007" s="197"/>
      <c r="R1007" s="206" t="str">
        <f>IFERROR(__xludf.DUMMYFUNCTION("IFERROR(
    INDEX(FILTER('Arrived Shipments'!O:O, 'Arrived Shipments'!B:B=$B1007),4),
    IFERROR(
        INDEX(FILTER('POed not arrived'!D:D, 'POed not arrived'!A:A=$B1007),4),
        """"
    )
)"),"")</f>
        <v/>
      </c>
      <c r="S1007" s="197"/>
      <c r="T1007" s="202">
        <f t="shared" si="8"/>
        <v>0</v>
      </c>
      <c r="U1007" s="197"/>
      <c r="V1007" s="197"/>
      <c r="W1007" s="197"/>
      <c r="X1007" s="197"/>
      <c r="Y1007" s="197"/>
      <c r="Z1007" s="197"/>
      <c r="AA1007" s="204" t="str">
        <f t="shared" si="4"/>
        <v/>
      </c>
      <c r="AB1007" s="197"/>
      <c r="AC1007" s="197"/>
      <c r="AD1007" s="197"/>
      <c r="AE1007" s="197"/>
      <c r="AF1007" s="197"/>
      <c r="AG1007" s="197"/>
      <c r="AH1007" s="197"/>
      <c r="AI1007" s="197"/>
      <c r="AJ1007" s="197"/>
      <c r="AK1007" s="197"/>
      <c r="AL1007" s="197"/>
      <c r="AM1007" s="197"/>
      <c r="AN1007" s="197"/>
      <c r="AO1007" s="197"/>
      <c r="AP1007" s="197"/>
      <c r="AQ1007" s="197"/>
      <c r="AR1007" s="197"/>
      <c r="AS1007" s="197"/>
    </row>
    <row r="1008">
      <c r="A1008" s="198"/>
      <c r="B1008" s="197"/>
      <c r="C1008" s="197"/>
      <c r="D1008" s="197"/>
      <c r="E1008" s="197"/>
      <c r="F1008" s="197"/>
      <c r="G1008" s="197"/>
      <c r="H1008" s="197"/>
      <c r="I1008" s="197"/>
      <c r="J1008" s="197"/>
      <c r="K1008" s="197"/>
      <c r="L1008" s="205" t="str">
        <f>IFERROR(__xludf.DUMMYFUNCTION("IFERROR(
    INDEX(FILTER('Arrived Shipments'!O:O, 'Arrived Shipments'!B:B=$B1008),1),
    IFERROR(
        INDEX(FILTER('POed not arrived'!D:D, 'POed not arrived'!A:A=$B1008),1),
        """"
    )
)"),"")</f>
        <v/>
      </c>
      <c r="M1008" s="197"/>
      <c r="N1008" s="223" t="str">
        <f>IFERROR(__xludf.DUMMYFUNCTION("IFERROR(
    INDEX(FILTER('Arrived Shipments'!O:O, 'Arrived Shipments'!B:B=$B1008),2),
    IFERROR(
        INDEX(FILTER('POed not arrived'!D:D, 'POed not arrived'!A:A=$B1008),2),
        """"
    )
)"),"")</f>
        <v/>
      </c>
      <c r="O1008" s="197"/>
      <c r="P1008" s="202" t="str">
        <f>IFERROR(__xludf.DUMMYFUNCTION("IFERROR(
    INDEX(FILTER('Arrived Shipments'!O:O, 'Arrived Shipments'!B:B=$B1008),3),
    IFERROR(
        INDEX(FILTER('POed not arrived'!D:D, 'POed not arrived'!A:A=$B1008),3),
        """"
    )
)"),"")</f>
        <v/>
      </c>
      <c r="Q1008" s="197"/>
      <c r="R1008" s="206" t="str">
        <f>IFERROR(__xludf.DUMMYFUNCTION("IFERROR(
    INDEX(FILTER('Arrived Shipments'!O:O, 'Arrived Shipments'!B:B=$B1008),4),
    IFERROR(
        INDEX(FILTER('POed not arrived'!D:D, 'POed not arrived'!A:A=$B1008),4),
        """"
    )
)"),"")</f>
        <v/>
      </c>
      <c r="S1008" s="197"/>
      <c r="T1008" s="202">
        <f t="shared" si="8"/>
        <v>0</v>
      </c>
      <c r="U1008" s="197"/>
      <c r="V1008" s="197"/>
      <c r="W1008" s="197"/>
      <c r="X1008" s="197"/>
      <c r="Y1008" s="197"/>
      <c r="Z1008" s="197"/>
      <c r="AA1008" s="204" t="str">
        <f t="shared" si="4"/>
        <v/>
      </c>
      <c r="AB1008" s="197"/>
      <c r="AC1008" s="197"/>
      <c r="AD1008" s="197"/>
      <c r="AE1008" s="197"/>
      <c r="AF1008" s="197"/>
      <c r="AG1008" s="197"/>
      <c r="AH1008" s="197"/>
      <c r="AI1008" s="197"/>
      <c r="AJ1008" s="197"/>
      <c r="AK1008" s="197"/>
      <c r="AL1008" s="197"/>
      <c r="AM1008" s="197"/>
      <c r="AN1008" s="197"/>
      <c r="AO1008" s="197"/>
      <c r="AP1008" s="197"/>
      <c r="AQ1008" s="197"/>
      <c r="AR1008" s="197"/>
      <c r="AS1008" s="197"/>
    </row>
    <row r="1009">
      <c r="A1009" s="198"/>
      <c r="B1009" s="197"/>
      <c r="C1009" s="197"/>
      <c r="D1009" s="197"/>
      <c r="E1009" s="197"/>
      <c r="F1009" s="197"/>
      <c r="G1009" s="197"/>
      <c r="H1009" s="197"/>
      <c r="I1009" s="197"/>
      <c r="J1009" s="197"/>
      <c r="K1009" s="197"/>
      <c r="L1009" s="205" t="str">
        <f>IFERROR(__xludf.DUMMYFUNCTION("IFERROR(
    INDEX(FILTER('Arrived Shipments'!O:O, 'Arrived Shipments'!B:B=$B1009),1),
    IFERROR(
        INDEX(FILTER('POed not arrived'!D:D, 'POed not arrived'!A:A=$B1009),1),
        """"
    )
)"),"")</f>
        <v/>
      </c>
      <c r="M1009" s="197"/>
      <c r="N1009" s="223" t="str">
        <f>IFERROR(__xludf.DUMMYFUNCTION("IFERROR(
    INDEX(FILTER('Arrived Shipments'!O:O, 'Arrived Shipments'!B:B=$B1009),2),
    IFERROR(
        INDEX(FILTER('POed not arrived'!D:D, 'POed not arrived'!A:A=$B1009),2),
        """"
    )
)"),"")</f>
        <v/>
      </c>
      <c r="O1009" s="197"/>
      <c r="P1009" s="202" t="str">
        <f>IFERROR(__xludf.DUMMYFUNCTION("IFERROR(
    INDEX(FILTER('Arrived Shipments'!O:O, 'Arrived Shipments'!B:B=$B1009),3),
    IFERROR(
        INDEX(FILTER('POed not arrived'!D:D, 'POed not arrived'!A:A=$B1009),3),
        """"
    )
)"),"")</f>
        <v/>
      </c>
      <c r="Q1009" s="197"/>
      <c r="R1009" s="206" t="str">
        <f>IFERROR(__xludf.DUMMYFUNCTION("IFERROR(
    INDEX(FILTER('Arrived Shipments'!O:O, 'Arrived Shipments'!B:B=$B1009),4),
    IFERROR(
        INDEX(FILTER('POed not arrived'!D:D, 'POed not arrived'!A:A=$B1009),4),
        """"
    )
)"),"")</f>
        <v/>
      </c>
      <c r="S1009" s="197"/>
      <c r="T1009" s="202">
        <f t="shared" si="8"/>
        <v>0</v>
      </c>
      <c r="U1009" s="197"/>
      <c r="V1009" s="197"/>
      <c r="W1009" s="197"/>
      <c r="X1009" s="197"/>
      <c r="Y1009" s="197"/>
      <c r="Z1009" s="197"/>
      <c r="AA1009" s="204" t="str">
        <f t="shared" si="4"/>
        <v/>
      </c>
      <c r="AB1009" s="197"/>
      <c r="AC1009" s="197"/>
      <c r="AD1009" s="197"/>
      <c r="AE1009" s="197"/>
      <c r="AF1009" s="197"/>
      <c r="AG1009" s="197"/>
      <c r="AH1009" s="197"/>
      <c r="AI1009" s="197"/>
      <c r="AJ1009" s="197"/>
      <c r="AK1009" s="197"/>
      <c r="AL1009" s="197"/>
      <c r="AM1009" s="197"/>
      <c r="AN1009" s="197"/>
      <c r="AO1009" s="197"/>
      <c r="AP1009" s="197"/>
      <c r="AQ1009" s="197"/>
      <c r="AR1009" s="197"/>
      <c r="AS1009" s="197"/>
    </row>
    <row r="1010">
      <c r="A1010" s="198"/>
      <c r="B1010" s="197"/>
      <c r="C1010" s="197"/>
      <c r="D1010" s="197"/>
      <c r="E1010" s="197"/>
      <c r="F1010" s="197"/>
      <c r="G1010" s="197"/>
      <c r="H1010" s="197"/>
      <c r="I1010" s="197"/>
      <c r="J1010" s="197"/>
      <c r="K1010" s="197"/>
      <c r="L1010" s="205" t="str">
        <f>IFERROR(__xludf.DUMMYFUNCTION("IFERROR(
    INDEX(FILTER('Arrived Shipments'!O:O, 'Arrived Shipments'!B:B=$B1010),1),
    IFERROR(
        INDEX(FILTER('POed not arrived'!D:D, 'POed not arrived'!A:A=$B1010),1),
        """"
    )
)"),"")</f>
        <v/>
      </c>
      <c r="M1010" s="197"/>
      <c r="N1010" s="223" t="str">
        <f>IFERROR(__xludf.DUMMYFUNCTION("IFERROR(
    INDEX(FILTER('Arrived Shipments'!O:O, 'Arrived Shipments'!B:B=$B1010),2),
    IFERROR(
        INDEX(FILTER('POed not arrived'!D:D, 'POed not arrived'!A:A=$B1010),2),
        """"
    )
)"),"")</f>
        <v/>
      </c>
      <c r="O1010" s="197"/>
      <c r="P1010" s="202" t="str">
        <f>IFERROR(__xludf.DUMMYFUNCTION("IFERROR(
    INDEX(FILTER('Arrived Shipments'!O:O, 'Arrived Shipments'!B:B=$B1010),3),
    IFERROR(
        INDEX(FILTER('POed not arrived'!D:D, 'POed not arrived'!A:A=$B1010),3),
        """"
    )
)"),"")</f>
        <v/>
      </c>
      <c r="Q1010" s="197"/>
      <c r="R1010" s="206" t="str">
        <f>IFERROR(__xludf.DUMMYFUNCTION("IFERROR(
    INDEX(FILTER('Arrived Shipments'!O:O, 'Arrived Shipments'!B:B=$B1010),4),
    IFERROR(
        INDEX(FILTER('POed not arrived'!D:D, 'POed not arrived'!A:A=$B1010),4),
        """"
    )
)"),"")</f>
        <v/>
      </c>
      <c r="S1010" s="197"/>
      <c r="T1010" s="202">
        <f t="shared" si="8"/>
        <v>0</v>
      </c>
      <c r="U1010" s="197"/>
      <c r="V1010" s="197"/>
      <c r="W1010" s="197"/>
      <c r="X1010" s="197"/>
      <c r="Y1010" s="197"/>
      <c r="Z1010" s="197"/>
      <c r="AA1010" s="204" t="str">
        <f t="shared" si="4"/>
        <v/>
      </c>
      <c r="AB1010" s="197"/>
      <c r="AC1010" s="197"/>
      <c r="AD1010" s="197"/>
      <c r="AE1010" s="197"/>
      <c r="AF1010" s="197"/>
      <c r="AG1010" s="197"/>
      <c r="AH1010" s="197"/>
      <c r="AI1010" s="197"/>
      <c r="AJ1010" s="197"/>
      <c r="AK1010" s="197"/>
      <c r="AL1010" s="197"/>
      <c r="AM1010" s="197"/>
      <c r="AN1010" s="197"/>
      <c r="AO1010" s="197"/>
      <c r="AP1010" s="197"/>
      <c r="AQ1010" s="197"/>
      <c r="AR1010" s="197"/>
      <c r="AS1010" s="197"/>
    </row>
    <row r="1011">
      <c r="A1011" s="198"/>
      <c r="B1011" s="197"/>
      <c r="C1011" s="197"/>
      <c r="D1011" s="197"/>
      <c r="E1011" s="197"/>
      <c r="F1011" s="197"/>
      <c r="G1011" s="197"/>
      <c r="H1011" s="197"/>
      <c r="I1011" s="197"/>
      <c r="J1011" s="197"/>
      <c r="K1011" s="197"/>
      <c r="L1011" s="205" t="str">
        <f>IFERROR(__xludf.DUMMYFUNCTION("IFERROR(
    INDEX(FILTER('Arrived Shipments'!O:O, 'Arrived Shipments'!B:B=$B1011),1),
    IFERROR(
        INDEX(FILTER('POed not arrived'!D:D, 'POed not arrived'!A:A=$B1011),1),
        """"
    )
)"),"")</f>
        <v/>
      </c>
      <c r="M1011" s="197"/>
      <c r="N1011" s="223" t="str">
        <f>IFERROR(__xludf.DUMMYFUNCTION("IFERROR(
    INDEX(FILTER('Arrived Shipments'!O:O, 'Arrived Shipments'!B:B=$B1011),2),
    IFERROR(
        INDEX(FILTER('POed not arrived'!D:D, 'POed not arrived'!A:A=$B1011),2),
        """"
    )
)"),"")</f>
        <v/>
      </c>
      <c r="O1011" s="197"/>
      <c r="P1011" s="202" t="str">
        <f>IFERROR(__xludf.DUMMYFUNCTION("IFERROR(
    INDEX(FILTER('Arrived Shipments'!O:O, 'Arrived Shipments'!B:B=$B1011),3),
    IFERROR(
        INDEX(FILTER('POed not arrived'!D:D, 'POed not arrived'!A:A=$B1011),3),
        """"
    )
)"),"")</f>
        <v/>
      </c>
      <c r="Q1011" s="197"/>
      <c r="R1011" s="206" t="str">
        <f>IFERROR(__xludf.DUMMYFUNCTION("IFERROR(
    INDEX(FILTER('Arrived Shipments'!O:O, 'Arrived Shipments'!B:B=$B1011),4),
    IFERROR(
        INDEX(FILTER('POed not arrived'!D:D, 'POed not arrived'!A:A=$B1011),4),
        """"
    )
)"),"")</f>
        <v/>
      </c>
      <c r="S1011" s="197"/>
      <c r="T1011" s="202">
        <f t="shared" si="8"/>
        <v>0</v>
      </c>
      <c r="U1011" s="197"/>
      <c r="V1011" s="197"/>
      <c r="W1011" s="197"/>
      <c r="X1011" s="197"/>
      <c r="Y1011" s="197"/>
      <c r="Z1011" s="197"/>
      <c r="AA1011" s="204" t="str">
        <f t="shared" si="4"/>
        <v/>
      </c>
      <c r="AB1011" s="197"/>
      <c r="AC1011" s="197"/>
      <c r="AD1011" s="197"/>
      <c r="AE1011" s="197"/>
      <c r="AF1011" s="197"/>
      <c r="AG1011" s="197"/>
      <c r="AH1011" s="197"/>
      <c r="AI1011" s="197"/>
      <c r="AJ1011" s="197"/>
      <c r="AK1011" s="197"/>
      <c r="AL1011" s="197"/>
      <c r="AM1011" s="197"/>
      <c r="AN1011" s="197"/>
      <c r="AO1011" s="197"/>
      <c r="AP1011" s="197"/>
      <c r="AQ1011" s="197"/>
      <c r="AR1011" s="197"/>
      <c r="AS1011" s="197"/>
    </row>
    <row r="1012">
      <c r="A1012" s="198"/>
      <c r="B1012" s="197"/>
      <c r="C1012" s="197"/>
      <c r="D1012" s="197"/>
      <c r="E1012" s="197"/>
      <c r="F1012" s="197"/>
      <c r="G1012" s="197"/>
      <c r="H1012" s="197"/>
      <c r="I1012" s="197"/>
      <c r="J1012" s="197"/>
      <c r="K1012" s="197"/>
      <c r="L1012" s="205" t="str">
        <f>IFERROR(__xludf.DUMMYFUNCTION("IFERROR(
    INDEX(FILTER('Arrived Shipments'!O:O, 'Arrived Shipments'!B:B=$B1012),1),
    IFERROR(
        INDEX(FILTER('POed not arrived'!D:D, 'POed not arrived'!A:A=$B1012),1),
        """"
    )
)"),"")</f>
        <v/>
      </c>
      <c r="M1012" s="197"/>
      <c r="N1012" s="223" t="str">
        <f>IFERROR(__xludf.DUMMYFUNCTION("IFERROR(
    INDEX(FILTER('Arrived Shipments'!O:O, 'Arrived Shipments'!B:B=$B1012),2),
    IFERROR(
        INDEX(FILTER('POed not arrived'!D:D, 'POed not arrived'!A:A=$B1012),2),
        """"
    )
)"),"")</f>
        <v/>
      </c>
      <c r="O1012" s="197"/>
      <c r="P1012" s="202" t="str">
        <f>IFERROR(__xludf.DUMMYFUNCTION("IFERROR(
    INDEX(FILTER('Arrived Shipments'!O:O, 'Arrived Shipments'!B:B=$B1012),3),
    IFERROR(
        INDEX(FILTER('POed not arrived'!D:D, 'POed not arrived'!A:A=$B1012),3),
        """"
    )
)"),"")</f>
        <v/>
      </c>
      <c r="Q1012" s="197"/>
      <c r="R1012" s="206" t="str">
        <f>IFERROR(__xludf.DUMMYFUNCTION("IFERROR(
    INDEX(FILTER('Arrived Shipments'!O:O, 'Arrived Shipments'!B:B=$B1012),4),
    IFERROR(
        INDEX(FILTER('POed not arrived'!D:D, 'POed not arrived'!A:A=$B1012),4),
        """"
    )
)"),"")</f>
        <v/>
      </c>
      <c r="S1012" s="197"/>
      <c r="T1012" s="202">
        <f t="shared" si="8"/>
        <v>0</v>
      </c>
      <c r="U1012" s="197"/>
      <c r="V1012" s="197"/>
      <c r="W1012" s="197"/>
      <c r="X1012" s="197"/>
      <c r="Y1012" s="197"/>
      <c r="Z1012" s="197"/>
      <c r="AA1012" s="204" t="str">
        <f t="shared" si="4"/>
        <v/>
      </c>
      <c r="AB1012" s="197"/>
      <c r="AC1012" s="197"/>
      <c r="AD1012" s="197"/>
      <c r="AE1012" s="197"/>
      <c r="AF1012" s="197"/>
      <c r="AG1012" s="197"/>
      <c r="AH1012" s="197"/>
      <c r="AI1012" s="197"/>
      <c r="AJ1012" s="197"/>
      <c r="AK1012" s="197"/>
      <c r="AL1012" s="197"/>
      <c r="AM1012" s="197"/>
      <c r="AN1012" s="197"/>
      <c r="AO1012" s="197"/>
      <c r="AP1012" s="197"/>
      <c r="AQ1012" s="197"/>
      <c r="AR1012" s="197"/>
      <c r="AS1012" s="197"/>
    </row>
    <row r="1013">
      <c r="A1013" s="198"/>
      <c r="B1013" s="197"/>
      <c r="C1013" s="197"/>
      <c r="D1013" s="197"/>
      <c r="E1013" s="197"/>
      <c r="F1013" s="197"/>
      <c r="G1013" s="197"/>
      <c r="H1013" s="197"/>
      <c r="I1013" s="197"/>
      <c r="J1013" s="197"/>
      <c r="K1013" s="197"/>
      <c r="L1013" s="205" t="str">
        <f>IFERROR(__xludf.DUMMYFUNCTION("IFERROR(
    INDEX(FILTER('Arrived Shipments'!O:O, 'Arrived Shipments'!B:B=$B1013),1),
    IFERROR(
        INDEX(FILTER('POed not arrived'!D:D, 'POed not arrived'!A:A=$B1013),1),
        """"
    )
)"),"")</f>
        <v/>
      </c>
      <c r="M1013" s="197"/>
      <c r="N1013" s="223" t="str">
        <f>IFERROR(__xludf.DUMMYFUNCTION("IFERROR(
    INDEX(FILTER('Arrived Shipments'!O:O, 'Arrived Shipments'!B:B=$B1013),2),
    IFERROR(
        INDEX(FILTER('POed not arrived'!D:D, 'POed not arrived'!A:A=$B1013),2),
        """"
    )
)"),"")</f>
        <v/>
      </c>
      <c r="O1013" s="197"/>
      <c r="P1013" s="202" t="str">
        <f>IFERROR(__xludf.DUMMYFUNCTION("IFERROR(
    INDEX(FILTER('Arrived Shipments'!O:O, 'Arrived Shipments'!B:B=$B1013),3),
    IFERROR(
        INDEX(FILTER('POed not arrived'!D:D, 'POed not arrived'!A:A=$B1013),3),
        """"
    )
)"),"")</f>
        <v/>
      </c>
      <c r="Q1013" s="197"/>
      <c r="R1013" s="206" t="str">
        <f>IFERROR(__xludf.DUMMYFUNCTION("IFERROR(
    INDEX(FILTER('Arrived Shipments'!O:O, 'Arrived Shipments'!B:B=$B1013),4),
    IFERROR(
        INDEX(FILTER('POed not arrived'!D:D, 'POed not arrived'!A:A=$B1013),4),
        """"
    )
)"),"")</f>
        <v/>
      </c>
      <c r="S1013" s="197"/>
      <c r="T1013" s="202">
        <f t="shared" si="8"/>
        <v>0</v>
      </c>
      <c r="U1013" s="197"/>
      <c r="V1013" s="197"/>
      <c r="W1013" s="197"/>
      <c r="X1013" s="197"/>
      <c r="Y1013" s="197"/>
      <c r="Z1013" s="197"/>
      <c r="AA1013" s="204" t="str">
        <f t="shared" si="4"/>
        <v/>
      </c>
      <c r="AB1013" s="197"/>
      <c r="AC1013" s="197"/>
      <c r="AD1013" s="197"/>
      <c r="AE1013" s="197"/>
      <c r="AF1013" s="197"/>
      <c r="AG1013" s="197"/>
      <c r="AH1013" s="197"/>
      <c r="AI1013" s="197"/>
      <c r="AJ1013" s="197"/>
      <c r="AK1013" s="197"/>
      <c r="AL1013" s="197"/>
      <c r="AM1013" s="197"/>
      <c r="AN1013" s="197"/>
      <c r="AO1013" s="197"/>
      <c r="AP1013" s="197"/>
      <c r="AQ1013" s="197"/>
      <c r="AR1013" s="197"/>
      <c r="AS1013" s="197"/>
    </row>
    <row r="1014">
      <c r="A1014" s="198"/>
      <c r="B1014" s="197"/>
      <c r="C1014" s="197"/>
      <c r="D1014" s="197"/>
      <c r="E1014" s="197"/>
      <c r="F1014" s="197"/>
      <c r="G1014" s="197"/>
      <c r="H1014" s="197"/>
      <c r="I1014" s="197"/>
      <c r="J1014" s="197"/>
      <c r="K1014" s="197"/>
      <c r="L1014" s="205" t="str">
        <f>IFERROR(__xludf.DUMMYFUNCTION("IFERROR(
    INDEX(FILTER('Arrived Shipments'!O:O, 'Arrived Shipments'!B:B=$B1014),1),
    IFERROR(
        INDEX(FILTER('POed not arrived'!D:D, 'POed not arrived'!A:A=$B1014),1),
        """"
    )
)"),"")</f>
        <v/>
      </c>
      <c r="M1014" s="197"/>
      <c r="N1014" s="223" t="str">
        <f>IFERROR(__xludf.DUMMYFUNCTION("IFERROR(
    INDEX(FILTER('Arrived Shipments'!O:O, 'Arrived Shipments'!B:B=$B1014),2),
    IFERROR(
        INDEX(FILTER('POed not arrived'!D:D, 'POed not arrived'!A:A=$B1014),2),
        """"
    )
)"),"")</f>
        <v/>
      </c>
      <c r="O1014" s="197"/>
      <c r="P1014" s="202" t="str">
        <f>IFERROR(__xludf.DUMMYFUNCTION("IFERROR(
    INDEX(FILTER('Arrived Shipments'!O:O, 'Arrived Shipments'!B:B=$B1014),3),
    IFERROR(
        INDEX(FILTER('POed not arrived'!D:D, 'POed not arrived'!A:A=$B1014),3),
        """"
    )
)"),"")</f>
        <v/>
      </c>
      <c r="Q1014" s="197"/>
      <c r="R1014" s="206" t="str">
        <f>IFERROR(__xludf.DUMMYFUNCTION("IFERROR(
    INDEX(FILTER('Arrived Shipments'!O:O, 'Arrived Shipments'!B:B=$B1014),4),
    IFERROR(
        INDEX(FILTER('POed not arrived'!D:D, 'POed not arrived'!A:A=$B1014),4),
        """"
    )
)"),"")</f>
        <v/>
      </c>
      <c r="S1014" s="197"/>
      <c r="T1014" s="202">
        <f t="shared" si="8"/>
        <v>0</v>
      </c>
      <c r="U1014" s="197"/>
      <c r="V1014" s="197"/>
      <c r="W1014" s="197"/>
      <c r="X1014" s="197"/>
      <c r="Y1014" s="197"/>
      <c r="Z1014" s="197"/>
      <c r="AA1014" s="204" t="str">
        <f t="shared" si="4"/>
        <v/>
      </c>
      <c r="AB1014" s="197"/>
      <c r="AC1014" s="197"/>
      <c r="AD1014" s="197"/>
      <c r="AE1014" s="197"/>
      <c r="AF1014" s="197"/>
      <c r="AG1014" s="197"/>
      <c r="AH1014" s="197"/>
      <c r="AI1014" s="197"/>
      <c r="AJ1014" s="197"/>
      <c r="AK1014" s="197"/>
      <c r="AL1014" s="197"/>
      <c r="AM1014" s="197"/>
      <c r="AN1014" s="197"/>
      <c r="AO1014" s="197"/>
      <c r="AP1014" s="197"/>
      <c r="AQ1014" s="197"/>
      <c r="AR1014" s="197"/>
      <c r="AS1014" s="197"/>
    </row>
    <row r="1015">
      <c r="A1015" s="198"/>
      <c r="B1015" s="197"/>
      <c r="C1015" s="197"/>
      <c r="D1015" s="197"/>
      <c r="E1015" s="197"/>
      <c r="F1015" s="197"/>
      <c r="G1015" s="197"/>
      <c r="H1015" s="197"/>
      <c r="I1015" s="197"/>
      <c r="J1015" s="197"/>
      <c r="K1015" s="197"/>
      <c r="L1015" s="205" t="str">
        <f>IFERROR(__xludf.DUMMYFUNCTION("IFERROR(
    INDEX(FILTER('Arrived Shipments'!O:O, 'Arrived Shipments'!B:B=$B1015),1),
    IFERROR(
        INDEX(FILTER('POed not arrived'!D:D, 'POed not arrived'!A:A=$B1015),1),
        """"
    )
)"),"")</f>
        <v/>
      </c>
      <c r="M1015" s="197"/>
      <c r="N1015" s="223" t="str">
        <f>IFERROR(__xludf.DUMMYFUNCTION("IFERROR(
    INDEX(FILTER('Arrived Shipments'!O:O, 'Arrived Shipments'!B:B=$B1015),2),
    IFERROR(
        INDEX(FILTER('POed not arrived'!D:D, 'POed not arrived'!A:A=$B1015),2),
        """"
    )
)"),"")</f>
        <v/>
      </c>
      <c r="O1015" s="197"/>
      <c r="P1015" s="202" t="str">
        <f>IFERROR(__xludf.DUMMYFUNCTION("IFERROR(
    INDEX(FILTER('Arrived Shipments'!O:O, 'Arrived Shipments'!B:B=$B1015),3),
    IFERROR(
        INDEX(FILTER('POed not arrived'!D:D, 'POed not arrived'!A:A=$B1015),3),
        """"
    )
)"),"")</f>
        <v/>
      </c>
      <c r="Q1015" s="197"/>
      <c r="R1015" s="206" t="str">
        <f>IFERROR(__xludf.DUMMYFUNCTION("IFERROR(
    INDEX(FILTER('Arrived Shipments'!O:O, 'Arrived Shipments'!B:B=$B1015),4),
    IFERROR(
        INDEX(FILTER('POed not arrived'!D:D, 'POed not arrived'!A:A=$B1015),4),
        """"
    )
)"),"")</f>
        <v/>
      </c>
      <c r="S1015" s="197"/>
      <c r="T1015" s="202">
        <f t="shared" si="8"/>
        <v>0</v>
      </c>
      <c r="U1015" s="197"/>
      <c r="V1015" s="197"/>
      <c r="W1015" s="197"/>
      <c r="X1015" s="197"/>
      <c r="Y1015" s="197"/>
      <c r="Z1015" s="197"/>
      <c r="AA1015" s="204" t="str">
        <f t="shared" si="4"/>
        <v/>
      </c>
      <c r="AB1015" s="197"/>
      <c r="AC1015" s="197"/>
      <c r="AD1015" s="197"/>
      <c r="AE1015" s="197"/>
      <c r="AF1015" s="197"/>
      <c r="AG1015" s="197"/>
      <c r="AH1015" s="197"/>
      <c r="AI1015" s="197"/>
      <c r="AJ1015" s="197"/>
      <c r="AK1015" s="197"/>
      <c r="AL1015" s="197"/>
      <c r="AM1015" s="197"/>
      <c r="AN1015" s="197"/>
      <c r="AO1015" s="197"/>
      <c r="AP1015" s="197"/>
      <c r="AQ1015" s="197"/>
      <c r="AR1015" s="197"/>
      <c r="AS1015" s="197"/>
    </row>
    <row r="1016">
      <c r="A1016" s="198"/>
      <c r="B1016" s="197"/>
      <c r="C1016" s="197"/>
      <c r="D1016" s="197"/>
      <c r="E1016" s="197"/>
      <c r="F1016" s="197"/>
      <c r="G1016" s="197"/>
      <c r="H1016" s="197"/>
      <c r="I1016" s="197"/>
      <c r="J1016" s="197"/>
      <c r="K1016" s="197"/>
      <c r="L1016" s="205" t="str">
        <f>IFERROR(__xludf.DUMMYFUNCTION("IFERROR(
    INDEX(FILTER('Arrived Shipments'!O:O, 'Arrived Shipments'!B:B=$B1016),1),
    IFERROR(
        INDEX(FILTER('POed not arrived'!D:D, 'POed not arrived'!A:A=$B1016),1),
        """"
    )
)"),"")</f>
        <v/>
      </c>
      <c r="M1016" s="197"/>
      <c r="N1016" s="223" t="str">
        <f>IFERROR(__xludf.DUMMYFUNCTION("IFERROR(
    INDEX(FILTER('Arrived Shipments'!O:O, 'Arrived Shipments'!B:B=$B1016),2),
    IFERROR(
        INDEX(FILTER('POed not arrived'!D:D, 'POed not arrived'!A:A=$B1016),2),
        """"
    )
)"),"")</f>
        <v/>
      </c>
      <c r="O1016" s="197"/>
      <c r="P1016" s="202" t="str">
        <f>IFERROR(__xludf.DUMMYFUNCTION("IFERROR(
    INDEX(FILTER('Arrived Shipments'!O:O, 'Arrived Shipments'!B:B=$B1016),3),
    IFERROR(
        INDEX(FILTER('POed not arrived'!D:D, 'POed not arrived'!A:A=$B1016),3),
        """"
    )
)"),"")</f>
        <v/>
      </c>
      <c r="Q1016" s="197"/>
      <c r="R1016" s="206" t="str">
        <f>IFERROR(__xludf.DUMMYFUNCTION("IFERROR(
    INDEX(FILTER('Arrived Shipments'!O:O, 'Arrived Shipments'!B:B=$B1016),4),
    IFERROR(
        INDEX(FILTER('POed not arrived'!D:D, 'POed not arrived'!A:A=$B1016),4),
        """"
    )
)"),"")</f>
        <v/>
      </c>
      <c r="S1016" s="197"/>
      <c r="T1016" s="202">
        <f t="shared" si="8"/>
        <v>0</v>
      </c>
      <c r="U1016" s="197"/>
      <c r="V1016" s="197"/>
      <c r="W1016" s="197"/>
      <c r="X1016" s="197"/>
      <c r="Y1016" s="197"/>
      <c r="Z1016" s="197"/>
      <c r="AA1016" s="204" t="str">
        <f t="shared" si="4"/>
        <v/>
      </c>
      <c r="AB1016" s="197"/>
      <c r="AC1016" s="197"/>
      <c r="AD1016" s="197"/>
      <c r="AE1016" s="197"/>
      <c r="AF1016" s="197"/>
      <c r="AG1016" s="197"/>
      <c r="AH1016" s="197"/>
      <c r="AI1016" s="197"/>
      <c r="AJ1016" s="197"/>
      <c r="AK1016" s="197"/>
      <c r="AL1016" s="197"/>
      <c r="AM1016" s="197"/>
      <c r="AN1016" s="197"/>
      <c r="AO1016" s="197"/>
      <c r="AP1016" s="197"/>
      <c r="AQ1016" s="197"/>
      <c r="AR1016" s="197"/>
      <c r="AS1016" s="197"/>
    </row>
    <row r="1017">
      <c r="A1017" s="198"/>
      <c r="B1017" s="197"/>
      <c r="C1017" s="197"/>
      <c r="D1017" s="197"/>
      <c r="E1017" s="197"/>
      <c r="F1017" s="197"/>
      <c r="G1017" s="197"/>
      <c r="H1017" s="197"/>
      <c r="I1017" s="197"/>
      <c r="J1017" s="197"/>
      <c r="K1017" s="197"/>
      <c r="L1017" s="205" t="str">
        <f>IFERROR(__xludf.DUMMYFUNCTION("IFERROR(
    INDEX(FILTER('Arrived Shipments'!O:O, 'Arrived Shipments'!B:B=$B1017),1),
    IFERROR(
        INDEX(FILTER('POed not arrived'!D:D, 'POed not arrived'!A:A=$B1017),1),
        """"
    )
)"),"")</f>
        <v/>
      </c>
      <c r="M1017" s="197"/>
      <c r="N1017" s="223" t="str">
        <f>IFERROR(__xludf.DUMMYFUNCTION("IFERROR(
    INDEX(FILTER('Arrived Shipments'!O:O, 'Arrived Shipments'!B:B=$B1017),2),
    IFERROR(
        INDEX(FILTER('POed not arrived'!D:D, 'POed not arrived'!A:A=$B1017),2),
        """"
    )
)"),"")</f>
        <v/>
      </c>
      <c r="O1017" s="197"/>
      <c r="P1017" s="202" t="str">
        <f>IFERROR(__xludf.DUMMYFUNCTION("IFERROR(
    INDEX(FILTER('Arrived Shipments'!O:O, 'Arrived Shipments'!B:B=$B1017),3),
    IFERROR(
        INDEX(FILTER('POed not arrived'!D:D, 'POed not arrived'!A:A=$B1017),3),
        """"
    )
)"),"")</f>
        <v/>
      </c>
      <c r="Q1017" s="197"/>
      <c r="R1017" s="206" t="str">
        <f>IFERROR(__xludf.DUMMYFUNCTION("IFERROR(
    INDEX(FILTER('Arrived Shipments'!O:O, 'Arrived Shipments'!B:B=$B1017),4),
    IFERROR(
        INDEX(FILTER('POed not arrived'!D:D, 'POed not arrived'!A:A=$B1017),4),
        """"
    )
)"),"")</f>
        <v/>
      </c>
      <c r="S1017" s="197"/>
      <c r="T1017" s="202">
        <f t="shared" si="8"/>
        <v>0</v>
      </c>
      <c r="U1017" s="197"/>
      <c r="V1017" s="197"/>
      <c r="W1017" s="197"/>
      <c r="X1017" s="197"/>
      <c r="Y1017" s="197"/>
      <c r="Z1017" s="197"/>
      <c r="AA1017" s="204" t="str">
        <f t="shared" si="4"/>
        <v/>
      </c>
      <c r="AB1017" s="197"/>
      <c r="AC1017" s="197"/>
      <c r="AD1017" s="197"/>
      <c r="AE1017" s="197"/>
      <c r="AF1017" s="197"/>
      <c r="AG1017" s="197"/>
      <c r="AH1017" s="197"/>
      <c r="AI1017" s="197"/>
      <c r="AJ1017" s="197"/>
      <c r="AK1017" s="197"/>
      <c r="AL1017" s="197"/>
      <c r="AM1017" s="197"/>
      <c r="AN1017" s="197"/>
      <c r="AO1017" s="197"/>
      <c r="AP1017" s="197"/>
      <c r="AQ1017" s="197"/>
      <c r="AR1017" s="197"/>
      <c r="AS1017" s="197"/>
    </row>
    <row r="1018">
      <c r="A1018" s="198"/>
      <c r="B1018" s="197"/>
      <c r="C1018" s="197"/>
      <c r="D1018" s="197"/>
      <c r="E1018" s="197"/>
      <c r="F1018" s="197"/>
      <c r="G1018" s="197"/>
      <c r="H1018" s="197"/>
      <c r="I1018" s="197"/>
      <c r="J1018" s="197"/>
      <c r="K1018" s="197"/>
      <c r="L1018" s="205" t="str">
        <f>IFERROR(__xludf.DUMMYFUNCTION("IFERROR(
    INDEX(FILTER('Arrived Shipments'!O:O, 'Arrived Shipments'!B:B=$B1018),1),
    IFERROR(
        INDEX(FILTER('POed not arrived'!D:D, 'POed not arrived'!A:A=$B1018),1),
        """"
    )
)"),"")</f>
        <v/>
      </c>
      <c r="M1018" s="197"/>
      <c r="N1018" s="223" t="str">
        <f>IFERROR(__xludf.DUMMYFUNCTION("IFERROR(
    INDEX(FILTER('Arrived Shipments'!O:O, 'Arrived Shipments'!B:B=$B1018),2),
    IFERROR(
        INDEX(FILTER('POed not arrived'!D:D, 'POed not arrived'!A:A=$B1018),2),
        """"
    )
)"),"")</f>
        <v/>
      </c>
      <c r="O1018" s="197"/>
      <c r="P1018" s="202" t="str">
        <f>IFERROR(__xludf.DUMMYFUNCTION("IFERROR(
    INDEX(FILTER('Arrived Shipments'!O:O, 'Arrived Shipments'!B:B=$B1018),3),
    IFERROR(
        INDEX(FILTER('POed not arrived'!D:D, 'POed not arrived'!A:A=$B1018),3),
        """"
    )
)"),"")</f>
        <v/>
      </c>
      <c r="Q1018" s="197"/>
      <c r="R1018" s="206" t="str">
        <f>IFERROR(__xludf.DUMMYFUNCTION("IFERROR(
    INDEX(FILTER('Arrived Shipments'!O:O, 'Arrived Shipments'!B:B=$B1018),4),
    IFERROR(
        INDEX(FILTER('POed not arrived'!D:D, 'POed not arrived'!A:A=$B1018),4),
        """"
    )
)"),"")</f>
        <v/>
      </c>
      <c r="S1018" s="197"/>
      <c r="T1018" s="202">
        <f t="shared" si="8"/>
        <v>0</v>
      </c>
      <c r="U1018" s="197"/>
      <c r="V1018" s="197"/>
      <c r="W1018" s="197"/>
      <c r="X1018" s="197"/>
      <c r="Y1018" s="197"/>
      <c r="Z1018" s="197"/>
      <c r="AA1018" s="204" t="str">
        <f t="shared" si="4"/>
        <v/>
      </c>
      <c r="AB1018" s="197"/>
      <c r="AC1018" s="197"/>
      <c r="AD1018" s="197"/>
      <c r="AE1018" s="197"/>
      <c r="AF1018" s="197"/>
      <c r="AG1018" s="197"/>
      <c r="AH1018" s="197"/>
      <c r="AI1018" s="197"/>
      <c r="AJ1018" s="197"/>
      <c r="AK1018" s="197"/>
      <c r="AL1018" s="197"/>
      <c r="AM1018" s="197"/>
      <c r="AN1018" s="197"/>
      <c r="AO1018" s="197"/>
      <c r="AP1018" s="197"/>
      <c r="AQ1018" s="197"/>
      <c r="AR1018" s="197"/>
      <c r="AS1018" s="197"/>
    </row>
    <row r="1019">
      <c r="A1019" s="198"/>
      <c r="B1019" s="197"/>
      <c r="C1019" s="197"/>
      <c r="D1019" s="197"/>
      <c r="E1019" s="197"/>
      <c r="F1019" s="197"/>
      <c r="G1019" s="197"/>
      <c r="H1019" s="197"/>
      <c r="I1019" s="197"/>
      <c r="J1019" s="197"/>
      <c r="K1019" s="197"/>
      <c r="L1019" s="205" t="str">
        <f>IFERROR(__xludf.DUMMYFUNCTION("IFERROR(
    INDEX(FILTER('Arrived Shipments'!O:O, 'Arrived Shipments'!B:B=$B1019),1),
    IFERROR(
        INDEX(FILTER('POed not arrived'!D:D, 'POed not arrived'!A:A=$B1019),1),
        """"
    )
)"),"")</f>
        <v/>
      </c>
      <c r="M1019" s="197"/>
      <c r="N1019" s="223" t="str">
        <f>IFERROR(__xludf.DUMMYFUNCTION("IFERROR(
    INDEX(FILTER('Arrived Shipments'!O:O, 'Arrived Shipments'!B:B=$B1019),2),
    IFERROR(
        INDEX(FILTER('POed not arrived'!D:D, 'POed not arrived'!A:A=$B1019),2),
        """"
    )
)"),"")</f>
        <v/>
      </c>
      <c r="O1019" s="197"/>
      <c r="P1019" s="202" t="str">
        <f>IFERROR(__xludf.DUMMYFUNCTION("IFERROR(
    INDEX(FILTER('Arrived Shipments'!O:O, 'Arrived Shipments'!B:B=$B1019),3),
    IFERROR(
        INDEX(FILTER('POed not arrived'!D:D, 'POed not arrived'!A:A=$B1019),3),
        """"
    )
)"),"")</f>
        <v/>
      </c>
      <c r="Q1019" s="197"/>
      <c r="R1019" s="206" t="str">
        <f>IFERROR(__xludf.DUMMYFUNCTION("IFERROR(
    INDEX(FILTER('Arrived Shipments'!O:O, 'Arrived Shipments'!B:B=$B1019),4),
    IFERROR(
        INDEX(FILTER('POed not arrived'!D:D, 'POed not arrived'!A:A=$B1019),4),
        """"
    )
)"),"")</f>
        <v/>
      </c>
      <c r="S1019" s="197"/>
      <c r="T1019" s="202">
        <f t="shared" si="8"/>
        <v>0</v>
      </c>
      <c r="U1019" s="197"/>
      <c r="V1019" s="197"/>
      <c r="W1019" s="197"/>
      <c r="X1019" s="197"/>
      <c r="Y1019" s="197"/>
      <c r="Z1019" s="197"/>
      <c r="AA1019" s="204" t="str">
        <f t="shared" si="4"/>
        <v/>
      </c>
      <c r="AB1019" s="197"/>
      <c r="AC1019" s="197"/>
      <c r="AD1019" s="197"/>
      <c r="AE1019" s="197"/>
      <c r="AF1019" s="197"/>
      <c r="AG1019" s="197"/>
      <c r="AH1019" s="197"/>
      <c r="AI1019" s="197"/>
      <c r="AJ1019" s="197"/>
      <c r="AK1019" s="197"/>
      <c r="AL1019" s="197"/>
      <c r="AM1019" s="197"/>
      <c r="AN1019" s="197"/>
      <c r="AO1019" s="197"/>
      <c r="AP1019" s="197"/>
      <c r="AQ1019" s="197"/>
      <c r="AR1019" s="197"/>
      <c r="AS1019" s="197"/>
    </row>
    <row r="1020">
      <c r="A1020" s="198"/>
      <c r="B1020" s="197"/>
      <c r="C1020" s="197"/>
      <c r="D1020" s="197"/>
      <c r="E1020" s="197"/>
      <c r="F1020" s="197"/>
      <c r="G1020" s="197"/>
      <c r="H1020" s="197"/>
      <c r="I1020" s="197"/>
      <c r="J1020" s="197"/>
      <c r="K1020" s="197"/>
      <c r="L1020" s="205" t="str">
        <f>IFERROR(__xludf.DUMMYFUNCTION("IFERROR(
    INDEX(FILTER('Arrived Shipments'!O:O, 'Arrived Shipments'!B:B=$B1020),1),
    IFERROR(
        INDEX(FILTER('POed not arrived'!D:D, 'POed not arrived'!A:A=$B1020),1),
        """"
    )
)"),"")</f>
        <v/>
      </c>
      <c r="M1020" s="197"/>
      <c r="N1020" s="223" t="str">
        <f>IFERROR(__xludf.DUMMYFUNCTION("IFERROR(
    INDEX(FILTER('Arrived Shipments'!O:O, 'Arrived Shipments'!B:B=$B1020),2),
    IFERROR(
        INDEX(FILTER('POed not arrived'!D:D, 'POed not arrived'!A:A=$B1020),2),
        """"
    )
)"),"")</f>
        <v/>
      </c>
      <c r="O1020" s="197"/>
      <c r="P1020" s="202" t="str">
        <f>IFERROR(__xludf.DUMMYFUNCTION("IFERROR(
    INDEX(FILTER('Arrived Shipments'!O:O, 'Arrived Shipments'!B:B=$B1020),3),
    IFERROR(
        INDEX(FILTER('POed not arrived'!D:D, 'POed not arrived'!A:A=$B1020),3),
        """"
    )
)"),"")</f>
        <v/>
      </c>
      <c r="Q1020" s="197"/>
      <c r="R1020" s="206" t="str">
        <f>IFERROR(__xludf.DUMMYFUNCTION("IFERROR(
    INDEX(FILTER('Arrived Shipments'!O:O, 'Arrived Shipments'!B:B=$B1020),4),
    IFERROR(
        INDEX(FILTER('POed not arrived'!D:D, 'POed not arrived'!A:A=$B1020),4),
        """"
    )
)"),"")</f>
        <v/>
      </c>
      <c r="S1020" s="197"/>
      <c r="T1020" s="202">
        <f t="shared" si="8"/>
        <v>0</v>
      </c>
      <c r="U1020" s="197"/>
      <c r="V1020" s="197"/>
      <c r="W1020" s="197"/>
      <c r="X1020" s="197"/>
      <c r="Y1020" s="197"/>
      <c r="Z1020" s="197"/>
      <c r="AA1020" s="204" t="str">
        <f t="shared" si="4"/>
        <v/>
      </c>
      <c r="AB1020" s="197"/>
      <c r="AC1020" s="197"/>
      <c r="AD1020" s="197"/>
      <c r="AE1020" s="197"/>
      <c r="AF1020" s="197"/>
      <c r="AG1020" s="197"/>
      <c r="AH1020" s="197"/>
      <c r="AI1020" s="197"/>
      <c r="AJ1020" s="197"/>
      <c r="AK1020" s="197"/>
      <c r="AL1020" s="197"/>
      <c r="AM1020" s="197"/>
      <c r="AN1020" s="197"/>
      <c r="AO1020" s="197"/>
      <c r="AP1020" s="197"/>
      <c r="AQ1020" s="197"/>
      <c r="AR1020" s="197"/>
      <c r="AS1020" s="197"/>
    </row>
    <row r="1021">
      <c r="A1021" s="198"/>
      <c r="B1021" s="197"/>
      <c r="C1021" s="197"/>
      <c r="D1021" s="197"/>
      <c r="E1021" s="197"/>
      <c r="F1021" s="197"/>
      <c r="G1021" s="197"/>
      <c r="H1021" s="197"/>
      <c r="I1021" s="197"/>
      <c r="J1021" s="197"/>
      <c r="K1021" s="197"/>
      <c r="L1021" s="205" t="str">
        <f>IFERROR(__xludf.DUMMYFUNCTION("IFERROR(
    INDEX(FILTER('Arrived Shipments'!O:O, 'Arrived Shipments'!B:B=$B1021),1),
    IFERROR(
        INDEX(FILTER('POed not arrived'!D:D, 'POed not arrived'!A:A=$B1021),1),
        """"
    )
)"),"")</f>
        <v/>
      </c>
      <c r="M1021" s="197"/>
      <c r="N1021" s="223" t="str">
        <f>IFERROR(__xludf.DUMMYFUNCTION("IFERROR(
    INDEX(FILTER('Arrived Shipments'!O:O, 'Arrived Shipments'!B:B=$B1021),2),
    IFERROR(
        INDEX(FILTER('POed not arrived'!D:D, 'POed not arrived'!A:A=$B1021),2),
        """"
    )
)"),"")</f>
        <v/>
      </c>
      <c r="O1021" s="197"/>
      <c r="P1021" s="202" t="str">
        <f>IFERROR(__xludf.DUMMYFUNCTION("IFERROR(
    INDEX(FILTER('Arrived Shipments'!O:O, 'Arrived Shipments'!B:B=$B1021),3),
    IFERROR(
        INDEX(FILTER('POed not arrived'!D:D, 'POed not arrived'!A:A=$B1021),3),
        """"
    )
)"),"")</f>
        <v/>
      </c>
      <c r="Q1021" s="197"/>
      <c r="R1021" s="206" t="str">
        <f>IFERROR(__xludf.DUMMYFUNCTION("IFERROR(
    INDEX(FILTER('Arrived Shipments'!O:O, 'Arrived Shipments'!B:B=$B1021),4),
    IFERROR(
        INDEX(FILTER('POed not arrived'!D:D, 'POed not arrived'!A:A=$B1021),4),
        """"
    )
)"),"")</f>
        <v/>
      </c>
      <c r="S1021" s="197"/>
      <c r="T1021" s="202">
        <f t="shared" si="8"/>
        <v>0</v>
      </c>
      <c r="U1021" s="197"/>
      <c r="V1021" s="197"/>
      <c r="W1021" s="197"/>
      <c r="X1021" s="197"/>
      <c r="Y1021" s="197"/>
      <c r="Z1021" s="197"/>
      <c r="AA1021" s="204" t="str">
        <f t="shared" si="4"/>
        <v/>
      </c>
      <c r="AB1021" s="197"/>
      <c r="AC1021" s="197"/>
      <c r="AD1021" s="197"/>
      <c r="AE1021" s="197"/>
      <c r="AF1021" s="197"/>
      <c r="AG1021" s="197"/>
      <c r="AH1021" s="197"/>
      <c r="AI1021" s="197"/>
      <c r="AJ1021" s="197"/>
      <c r="AK1021" s="197"/>
      <c r="AL1021" s="197"/>
      <c r="AM1021" s="197"/>
      <c r="AN1021" s="197"/>
      <c r="AO1021" s="197"/>
      <c r="AP1021" s="197"/>
      <c r="AQ1021" s="197"/>
      <c r="AR1021" s="197"/>
      <c r="AS1021" s="197"/>
    </row>
    <row r="1022">
      <c r="A1022" s="198"/>
      <c r="B1022" s="197"/>
      <c r="C1022" s="197"/>
      <c r="D1022" s="197"/>
      <c r="E1022" s="197"/>
      <c r="F1022" s="197"/>
      <c r="G1022" s="197"/>
      <c r="H1022" s="197"/>
      <c r="I1022" s="197"/>
      <c r="J1022" s="197"/>
      <c r="K1022" s="197"/>
      <c r="L1022" s="205" t="str">
        <f>IFERROR(__xludf.DUMMYFUNCTION("IFERROR(
    INDEX(FILTER('Arrived Shipments'!O:O, 'Arrived Shipments'!B:B=$B1022),1),
    IFERROR(
        INDEX(FILTER('POed not arrived'!D:D, 'POed not arrived'!A:A=$B1022),1),
        """"
    )
)"),"")</f>
        <v/>
      </c>
      <c r="M1022" s="197"/>
      <c r="N1022" s="223" t="str">
        <f>IFERROR(__xludf.DUMMYFUNCTION("IFERROR(
    INDEX(FILTER('Arrived Shipments'!O:O, 'Arrived Shipments'!B:B=$B1022),2),
    IFERROR(
        INDEX(FILTER('POed not arrived'!D:D, 'POed not arrived'!A:A=$B1022),2),
        """"
    )
)"),"")</f>
        <v/>
      </c>
      <c r="O1022" s="197"/>
      <c r="P1022" s="202" t="str">
        <f>IFERROR(__xludf.DUMMYFUNCTION("IFERROR(
    INDEX(FILTER('Arrived Shipments'!O:O, 'Arrived Shipments'!B:B=$B1022),3),
    IFERROR(
        INDEX(FILTER('POed not arrived'!D:D, 'POed not arrived'!A:A=$B1022),3),
        """"
    )
)"),"")</f>
        <v/>
      </c>
      <c r="Q1022" s="197"/>
      <c r="R1022" s="206" t="str">
        <f>IFERROR(__xludf.DUMMYFUNCTION("IFERROR(
    INDEX(FILTER('Arrived Shipments'!O:O, 'Arrived Shipments'!B:B=$B1022),4),
    IFERROR(
        INDEX(FILTER('POed not arrived'!D:D, 'POed not arrived'!A:A=$B1022),4),
        """"
    )
)"),"")</f>
        <v/>
      </c>
      <c r="S1022" s="197"/>
      <c r="T1022" s="202">
        <f t="shared" si="8"/>
        <v>0</v>
      </c>
      <c r="U1022" s="197"/>
      <c r="V1022" s="197"/>
      <c r="W1022" s="197"/>
      <c r="X1022" s="197"/>
      <c r="Y1022" s="197"/>
      <c r="Z1022" s="197"/>
      <c r="AA1022" s="204" t="str">
        <f t="shared" si="4"/>
        <v/>
      </c>
      <c r="AB1022" s="197"/>
      <c r="AC1022" s="197"/>
      <c r="AD1022" s="197"/>
      <c r="AE1022" s="197"/>
      <c r="AF1022" s="197"/>
      <c r="AG1022" s="197"/>
      <c r="AH1022" s="197"/>
      <c r="AI1022" s="197"/>
      <c r="AJ1022" s="197"/>
      <c r="AK1022" s="197"/>
      <c r="AL1022" s="197"/>
      <c r="AM1022" s="197"/>
      <c r="AN1022" s="197"/>
      <c r="AO1022" s="197"/>
      <c r="AP1022" s="197"/>
      <c r="AQ1022" s="197"/>
      <c r="AR1022" s="197"/>
      <c r="AS1022" s="197"/>
    </row>
    <row r="1023">
      <c r="A1023" s="198"/>
      <c r="B1023" s="197"/>
      <c r="C1023" s="197"/>
      <c r="D1023" s="197"/>
      <c r="E1023" s="197"/>
      <c r="F1023" s="197"/>
      <c r="G1023" s="197"/>
      <c r="H1023" s="197"/>
      <c r="I1023" s="197"/>
      <c r="J1023" s="197"/>
      <c r="K1023" s="197"/>
      <c r="L1023" s="205" t="str">
        <f>IFERROR(__xludf.DUMMYFUNCTION("IFERROR(
    INDEX(FILTER('Arrived Shipments'!O:O, 'Arrived Shipments'!B:B=$B1023),1),
    IFERROR(
        INDEX(FILTER('POed not arrived'!D:D, 'POed not arrived'!A:A=$B1023),1),
        """"
    )
)"),"")</f>
        <v/>
      </c>
      <c r="M1023" s="197"/>
      <c r="N1023" s="223" t="str">
        <f>IFERROR(__xludf.DUMMYFUNCTION("IFERROR(
    INDEX(FILTER('Arrived Shipments'!O:O, 'Arrived Shipments'!B:B=$B1023),2),
    IFERROR(
        INDEX(FILTER('POed not arrived'!D:D, 'POed not arrived'!A:A=$B1023),2),
        """"
    )
)"),"")</f>
        <v/>
      </c>
      <c r="O1023" s="197"/>
      <c r="P1023" s="202" t="str">
        <f>IFERROR(__xludf.DUMMYFUNCTION("IFERROR(
    INDEX(FILTER('Arrived Shipments'!O:O, 'Arrived Shipments'!B:B=$B1023),3),
    IFERROR(
        INDEX(FILTER('POed not arrived'!D:D, 'POed not arrived'!A:A=$B1023),3),
        """"
    )
)"),"")</f>
        <v/>
      </c>
      <c r="Q1023" s="197"/>
      <c r="R1023" s="206" t="str">
        <f>IFERROR(__xludf.DUMMYFUNCTION("IFERROR(
    INDEX(FILTER('Arrived Shipments'!O:O, 'Arrived Shipments'!B:B=$B1023),4),
    IFERROR(
        INDEX(FILTER('POed not arrived'!D:D, 'POed not arrived'!A:A=$B1023),4),
        """"
    )
)"),"")</f>
        <v/>
      </c>
      <c r="S1023" s="197"/>
      <c r="T1023" s="202">
        <f t="shared" si="8"/>
        <v>0</v>
      </c>
      <c r="U1023" s="197"/>
      <c r="V1023" s="197"/>
      <c r="W1023" s="197"/>
      <c r="X1023" s="197"/>
      <c r="Y1023" s="197"/>
      <c r="Z1023" s="197"/>
      <c r="AA1023" s="204" t="str">
        <f t="shared" si="4"/>
        <v/>
      </c>
      <c r="AB1023" s="197"/>
      <c r="AC1023" s="197"/>
      <c r="AD1023" s="197"/>
      <c r="AE1023" s="197"/>
      <c r="AF1023" s="197"/>
      <c r="AG1023" s="197"/>
      <c r="AH1023" s="197"/>
      <c r="AI1023" s="197"/>
      <c r="AJ1023" s="197"/>
      <c r="AK1023" s="197"/>
      <c r="AL1023" s="197"/>
      <c r="AM1023" s="197"/>
      <c r="AN1023" s="197"/>
      <c r="AO1023" s="197"/>
      <c r="AP1023" s="197"/>
      <c r="AQ1023" s="197"/>
      <c r="AR1023" s="197"/>
      <c r="AS1023" s="197"/>
    </row>
    <row r="1024">
      <c r="A1024" s="198"/>
      <c r="B1024" s="197"/>
      <c r="C1024" s="197"/>
      <c r="D1024" s="197"/>
      <c r="E1024" s="197"/>
      <c r="F1024" s="197"/>
      <c r="G1024" s="197"/>
      <c r="H1024" s="197"/>
      <c r="I1024" s="197"/>
      <c r="J1024" s="197"/>
      <c r="K1024" s="197"/>
      <c r="L1024" s="205" t="str">
        <f>IFERROR(__xludf.DUMMYFUNCTION("IFERROR(
    INDEX(FILTER('Arrived Shipments'!O:O, 'Arrived Shipments'!B:B=$B1024),1),
    IFERROR(
        INDEX(FILTER('POed not arrived'!D:D, 'POed not arrived'!A:A=$B1024),1),
        """"
    )
)"),"")</f>
        <v/>
      </c>
      <c r="M1024" s="197"/>
      <c r="N1024" s="223" t="str">
        <f>IFERROR(__xludf.DUMMYFUNCTION("IFERROR(
    INDEX(FILTER('Arrived Shipments'!O:O, 'Arrived Shipments'!B:B=$B1024),2),
    IFERROR(
        INDEX(FILTER('POed not arrived'!D:D, 'POed not arrived'!A:A=$B1024),2),
        """"
    )
)"),"")</f>
        <v/>
      </c>
      <c r="O1024" s="197"/>
      <c r="P1024" s="202" t="str">
        <f>IFERROR(__xludf.DUMMYFUNCTION("IFERROR(
    INDEX(FILTER('Arrived Shipments'!O:O, 'Arrived Shipments'!B:B=$B1024),3),
    IFERROR(
        INDEX(FILTER('POed not arrived'!D:D, 'POed not arrived'!A:A=$B1024),3),
        """"
    )
)"),"")</f>
        <v/>
      </c>
      <c r="Q1024" s="197"/>
      <c r="R1024" s="206" t="str">
        <f>IFERROR(__xludf.DUMMYFUNCTION("IFERROR(
    INDEX(FILTER('Arrived Shipments'!O:O, 'Arrived Shipments'!B:B=$B1024),4),
    IFERROR(
        INDEX(FILTER('POed not arrived'!D:D, 'POed not arrived'!A:A=$B1024),4),
        """"
    )
)"),"")</f>
        <v/>
      </c>
      <c r="S1024" s="197"/>
      <c r="T1024" s="202">
        <f t="shared" si="8"/>
        <v>0</v>
      </c>
      <c r="U1024" s="197"/>
      <c r="V1024" s="197"/>
      <c r="W1024" s="197"/>
      <c r="X1024" s="197"/>
      <c r="Y1024" s="197"/>
      <c r="Z1024" s="197"/>
      <c r="AA1024" s="204" t="str">
        <f t="shared" si="4"/>
        <v/>
      </c>
      <c r="AB1024" s="197"/>
      <c r="AC1024" s="197"/>
      <c r="AD1024" s="197"/>
      <c r="AE1024" s="197"/>
      <c r="AF1024" s="197"/>
      <c r="AG1024" s="197"/>
      <c r="AH1024" s="197"/>
      <c r="AI1024" s="197"/>
      <c r="AJ1024" s="197"/>
      <c r="AK1024" s="197"/>
      <c r="AL1024" s="197"/>
      <c r="AM1024" s="197"/>
      <c r="AN1024" s="197"/>
      <c r="AO1024" s="197"/>
      <c r="AP1024" s="197"/>
      <c r="AQ1024" s="197"/>
      <c r="AR1024" s="197"/>
      <c r="AS1024" s="197"/>
    </row>
    <row r="1025">
      <c r="A1025" s="198"/>
      <c r="B1025" s="197"/>
      <c r="C1025" s="197"/>
      <c r="D1025" s="197"/>
      <c r="E1025" s="197"/>
      <c r="F1025" s="197"/>
      <c r="G1025" s="197"/>
      <c r="H1025" s="197"/>
      <c r="I1025" s="197"/>
      <c r="J1025" s="197"/>
      <c r="K1025" s="197"/>
      <c r="L1025" s="205" t="str">
        <f>IFERROR(__xludf.DUMMYFUNCTION("IFERROR(
    INDEX(FILTER('Arrived Shipments'!O:O, 'Arrived Shipments'!B:B=$B1025),1),
    IFERROR(
        INDEX(FILTER('POed not arrived'!D:D, 'POed not arrived'!A:A=$B1025),1),
        """"
    )
)"),"")</f>
        <v/>
      </c>
      <c r="M1025" s="197"/>
      <c r="N1025" s="223" t="str">
        <f>IFERROR(__xludf.DUMMYFUNCTION("IFERROR(
    INDEX(FILTER('Arrived Shipments'!O:O, 'Arrived Shipments'!B:B=$B1025),2),
    IFERROR(
        INDEX(FILTER('POed not arrived'!D:D, 'POed not arrived'!A:A=$B1025),2),
        """"
    )
)"),"")</f>
        <v/>
      </c>
      <c r="O1025" s="197"/>
      <c r="P1025" s="202" t="str">
        <f>IFERROR(__xludf.DUMMYFUNCTION("IFERROR(
    INDEX(FILTER('Arrived Shipments'!O:O, 'Arrived Shipments'!B:B=$B1025),3),
    IFERROR(
        INDEX(FILTER('POed not arrived'!D:D, 'POed not arrived'!A:A=$B1025),3),
        """"
    )
)"),"")</f>
        <v/>
      </c>
      <c r="Q1025" s="197"/>
      <c r="R1025" s="206" t="str">
        <f>IFERROR(__xludf.DUMMYFUNCTION("IFERROR(
    INDEX(FILTER('Arrived Shipments'!O:O, 'Arrived Shipments'!B:B=$B1025),4),
    IFERROR(
        INDEX(FILTER('POed not arrived'!D:D, 'POed not arrived'!A:A=$B1025),4),
        """"
    )
)"),"")</f>
        <v/>
      </c>
      <c r="S1025" s="197"/>
      <c r="T1025" s="202">
        <f t="shared" si="8"/>
        <v>0</v>
      </c>
      <c r="U1025" s="197"/>
      <c r="V1025" s="197"/>
      <c r="W1025" s="197"/>
      <c r="X1025" s="197"/>
      <c r="Y1025" s="197"/>
      <c r="Z1025" s="197"/>
      <c r="AA1025" s="204" t="str">
        <f t="shared" si="4"/>
        <v/>
      </c>
      <c r="AB1025" s="197"/>
      <c r="AC1025" s="197"/>
      <c r="AD1025" s="197"/>
      <c r="AE1025" s="197"/>
      <c r="AF1025" s="197"/>
      <c r="AG1025" s="197"/>
      <c r="AH1025" s="197"/>
      <c r="AI1025" s="197"/>
      <c r="AJ1025" s="197"/>
      <c r="AK1025" s="197"/>
      <c r="AL1025" s="197"/>
      <c r="AM1025" s="197"/>
      <c r="AN1025" s="197"/>
      <c r="AO1025" s="197"/>
      <c r="AP1025" s="197"/>
      <c r="AQ1025" s="197"/>
      <c r="AR1025" s="197"/>
      <c r="AS1025" s="197"/>
    </row>
    <row r="1026">
      <c r="A1026" s="198"/>
      <c r="B1026" s="197"/>
      <c r="C1026" s="197"/>
      <c r="D1026" s="197"/>
      <c r="E1026" s="197"/>
      <c r="F1026" s="197"/>
      <c r="G1026" s="197"/>
      <c r="H1026" s="197"/>
      <c r="I1026" s="197"/>
      <c r="J1026" s="197"/>
      <c r="K1026" s="197"/>
      <c r="L1026" s="205" t="str">
        <f>IFERROR(__xludf.DUMMYFUNCTION("IFERROR(
    INDEX(FILTER('Arrived Shipments'!O:O, 'Arrived Shipments'!B:B=$B1026),1),
    IFERROR(
        INDEX(FILTER('POed not arrived'!D:D, 'POed not arrived'!A:A=$B1026),1),
        """"
    )
)"),"")</f>
        <v/>
      </c>
      <c r="M1026" s="197"/>
      <c r="N1026" s="223" t="str">
        <f>IFERROR(__xludf.DUMMYFUNCTION("IFERROR(
    INDEX(FILTER('Arrived Shipments'!O:O, 'Arrived Shipments'!B:B=$B1026),2),
    IFERROR(
        INDEX(FILTER('POed not arrived'!D:D, 'POed not arrived'!A:A=$B1026),2),
        """"
    )
)"),"")</f>
        <v/>
      </c>
      <c r="O1026" s="197"/>
      <c r="P1026" s="202" t="str">
        <f>IFERROR(__xludf.DUMMYFUNCTION("IFERROR(
    INDEX(FILTER('Arrived Shipments'!O:O, 'Arrived Shipments'!B:B=$B1026),3),
    IFERROR(
        INDEX(FILTER('POed not arrived'!D:D, 'POed not arrived'!A:A=$B1026),3),
        """"
    )
)"),"")</f>
        <v/>
      </c>
      <c r="Q1026" s="197"/>
      <c r="R1026" s="206" t="str">
        <f>IFERROR(__xludf.DUMMYFUNCTION("IFERROR(
    INDEX(FILTER('Arrived Shipments'!O:O, 'Arrived Shipments'!B:B=$B1026),4),
    IFERROR(
        INDEX(FILTER('POed not arrived'!D:D, 'POed not arrived'!A:A=$B1026),4),
        """"
    )
)"),"")</f>
        <v/>
      </c>
      <c r="S1026" s="197"/>
      <c r="T1026" s="202">
        <f t="shared" si="8"/>
        <v>0</v>
      </c>
      <c r="U1026" s="197"/>
      <c r="V1026" s="197"/>
      <c r="W1026" s="197"/>
      <c r="X1026" s="197"/>
      <c r="Y1026" s="197"/>
      <c r="Z1026" s="197"/>
      <c r="AA1026" s="204" t="str">
        <f t="shared" si="4"/>
        <v/>
      </c>
      <c r="AB1026" s="197"/>
      <c r="AC1026" s="197"/>
      <c r="AD1026" s="197"/>
      <c r="AE1026" s="197"/>
      <c r="AF1026" s="197"/>
      <c r="AG1026" s="197"/>
      <c r="AH1026" s="197"/>
      <c r="AI1026" s="197"/>
      <c r="AJ1026" s="197"/>
      <c r="AK1026" s="197"/>
      <c r="AL1026" s="197"/>
      <c r="AM1026" s="197"/>
      <c r="AN1026" s="197"/>
      <c r="AO1026" s="197"/>
      <c r="AP1026" s="197"/>
      <c r="AQ1026" s="197"/>
      <c r="AR1026" s="197"/>
      <c r="AS1026" s="197"/>
    </row>
    <row r="1027">
      <c r="A1027" s="198"/>
      <c r="B1027" s="197"/>
      <c r="C1027" s="197"/>
      <c r="D1027" s="197"/>
      <c r="E1027" s="197"/>
      <c r="F1027" s="197"/>
      <c r="G1027" s="197"/>
      <c r="H1027" s="197"/>
      <c r="I1027" s="197"/>
      <c r="J1027" s="197"/>
      <c r="K1027" s="197"/>
      <c r="L1027" s="205" t="str">
        <f>IFERROR(__xludf.DUMMYFUNCTION("IFERROR(
    INDEX(FILTER('Arrived Shipments'!O:O, 'Arrived Shipments'!B:B=$B1027),1),
    IFERROR(
        INDEX(FILTER('POed not arrived'!D:D, 'POed not arrived'!A:A=$B1027),1),
        """"
    )
)"),"")</f>
        <v/>
      </c>
      <c r="M1027" s="197"/>
      <c r="N1027" s="223" t="str">
        <f>IFERROR(__xludf.DUMMYFUNCTION("IFERROR(
    INDEX(FILTER('Arrived Shipments'!O:O, 'Arrived Shipments'!B:B=$B1027),2),
    IFERROR(
        INDEX(FILTER('POed not arrived'!D:D, 'POed not arrived'!A:A=$B1027),2),
        """"
    )
)"),"")</f>
        <v/>
      </c>
      <c r="O1027" s="197"/>
      <c r="P1027" s="202" t="str">
        <f>IFERROR(__xludf.DUMMYFUNCTION("IFERROR(
    INDEX(FILTER('Arrived Shipments'!O:O, 'Arrived Shipments'!B:B=$B1027),3),
    IFERROR(
        INDEX(FILTER('POed not arrived'!D:D, 'POed not arrived'!A:A=$B1027),3),
        """"
    )
)"),"")</f>
        <v/>
      </c>
      <c r="Q1027" s="197"/>
      <c r="R1027" s="206" t="str">
        <f>IFERROR(__xludf.DUMMYFUNCTION("IFERROR(
    INDEX(FILTER('Arrived Shipments'!O:O, 'Arrived Shipments'!B:B=$B1027),4),
    IFERROR(
        INDEX(FILTER('POed not arrived'!D:D, 'POed not arrived'!A:A=$B1027),4),
        """"
    )
)"),"")</f>
        <v/>
      </c>
      <c r="S1027" s="197"/>
      <c r="T1027" s="202">
        <f t="shared" si="8"/>
        <v>0</v>
      </c>
      <c r="U1027" s="197"/>
      <c r="V1027" s="197"/>
      <c r="W1027" s="197"/>
      <c r="X1027" s="197"/>
      <c r="Y1027" s="197"/>
      <c r="Z1027" s="197"/>
      <c r="AA1027" s="204" t="str">
        <f t="shared" si="4"/>
        <v/>
      </c>
      <c r="AB1027" s="197"/>
      <c r="AC1027" s="197"/>
      <c r="AD1027" s="197"/>
      <c r="AE1027" s="197"/>
      <c r="AF1027" s="197"/>
      <c r="AG1027" s="197"/>
      <c r="AH1027" s="197"/>
      <c r="AI1027" s="197"/>
      <c r="AJ1027" s="197"/>
      <c r="AK1027" s="197"/>
      <c r="AL1027" s="197"/>
      <c r="AM1027" s="197"/>
      <c r="AN1027" s="197"/>
      <c r="AO1027" s="197"/>
      <c r="AP1027" s="197"/>
      <c r="AQ1027" s="197"/>
      <c r="AR1027" s="197"/>
      <c r="AS1027" s="197"/>
    </row>
    <row r="1028">
      <c r="A1028" s="198"/>
      <c r="B1028" s="197"/>
      <c r="C1028" s="197"/>
      <c r="D1028" s="197"/>
      <c r="E1028" s="197"/>
      <c r="F1028" s="197"/>
      <c r="G1028" s="197"/>
      <c r="H1028" s="197"/>
      <c r="I1028" s="197"/>
      <c r="J1028" s="197"/>
      <c r="K1028" s="197"/>
      <c r="L1028" s="205" t="str">
        <f>IFERROR(__xludf.DUMMYFUNCTION("IFERROR(
    INDEX(FILTER('Arrived Shipments'!O:O, 'Arrived Shipments'!B:B=$B1028),1),
    IFERROR(
        INDEX(FILTER('POed not arrived'!D:D, 'POed not arrived'!A:A=$B1028),1),
        """"
    )
)"),"")</f>
        <v/>
      </c>
      <c r="M1028" s="197"/>
      <c r="N1028" s="223" t="str">
        <f>IFERROR(__xludf.DUMMYFUNCTION("IFERROR(
    INDEX(FILTER('Arrived Shipments'!O:O, 'Arrived Shipments'!B:B=$B1028),2),
    IFERROR(
        INDEX(FILTER('POed not arrived'!D:D, 'POed not arrived'!A:A=$B1028),2),
        """"
    )
)"),"")</f>
        <v/>
      </c>
      <c r="O1028" s="197"/>
      <c r="P1028" s="202" t="str">
        <f>IFERROR(__xludf.DUMMYFUNCTION("IFERROR(
    INDEX(FILTER('Arrived Shipments'!O:O, 'Arrived Shipments'!B:B=$B1028),3),
    IFERROR(
        INDEX(FILTER('POed not arrived'!D:D, 'POed not arrived'!A:A=$B1028),3),
        """"
    )
)"),"")</f>
        <v/>
      </c>
      <c r="Q1028" s="197"/>
      <c r="R1028" s="206" t="str">
        <f>IFERROR(__xludf.DUMMYFUNCTION("IFERROR(
    INDEX(FILTER('Arrived Shipments'!O:O, 'Arrived Shipments'!B:B=$B1028),4),
    IFERROR(
        INDEX(FILTER('POed not arrived'!D:D, 'POed not arrived'!A:A=$B1028),4),
        """"
    )
)"),"")</f>
        <v/>
      </c>
      <c r="S1028" s="197"/>
      <c r="T1028" s="202">
        <f t="shared" si="8"/>
        <v>0</v>
      </c>
      <c r="U1028" s="197"/>
      <c r="V1028" s="197"/>
      <c r="W1028" s="197"/>
      <c r="X1028" s="197"/>
      <c r="Y1028" s="197"/>
      <c r="Z1028" s="197"/>
      <c r="AA1028" s="204" t="str">
        <f t="shared" si="4"/>
        <v/>
      </c>
      <c r="AB1028" s="197"/>
      <c r="AC1028" s="197"/>
      <c r="AD1028" s="197"/>
      <c r="AE1028" s="197"/>
      <c r="AF1028" s="197"/>
      <c r="AG1028" s="197"/>
      <c r="AH1028" s="197"/>
      <c r="AI1028" s="197"/>
      <c r="AJ1028" s="197"/>
      <c r="AK1028" s="197"/>
      <c r="AL1028" s="197"/>
      <c r="AM1028" s="197"/>
      <c r="AN1028" s="197"/>
      <c r="AO1028" s="197"/>
      <c r="AP1028" s="197"/>
      <c r="AQ1028" s="197"/>
      <c r="AR1028" s="197"/>
      <c r="AS1028" s="197"/>
    </row>
    <row r="1029">
      <c r="A1029" s="198"/>
      <c r="B1029" s="197"/>
      <c r="C1029" s="197"/>
      <c r="D1029" s="197"/>
      <c r="E1029" s="197"/>
      <c r="F1029" s="197"/>
      <c r="G1029" s="197"/>
      <c r="H1029" s="197"/>
      <c r="I1029" s="197"/>
      <c r="J1029" s="197"/>
      <c r="K1029" s="197"/>
      <c r="L1029" s="205" t="str">
        <f>IFERROR(__xludf.DUMMYFUNCTION("IFERROR(
    INDEX(FILTER('Arrived Shipments'!O:O, 'Arrived Shipments'!B:B=$B1029),1),
    IFERROR(
        INDEX(FILTER('POed not arrived'!D:D, 'POed not arrived'!A:A=$B1029),1),
        """"
    )
)"),"")</f>
        <v/>
      </c>
      <c r="M1029" s="197"/>
      <c r="N1029" s="223" t="str">
        <f>IFERROR(__xludf.DUMMYFUNCTION("IFERROR(
    INDEX(FILTER('Arrived Shipments'!O:O, 'Arrived Shipments'!B:B=$B1029),2),
    IFERROR(
        INDEX(FILTER('POed not arrived'!D:D, 'POed not arrived'!A:A=$B1029),2),
        """"
    )
)"),"")</f>
        <v/>
      </c>
      <c r="O1029" s="197"/>
      <c r="P1029" s="202" t="str">
        <f>IFERROR(__xludf.DUMMYFUNCTION("IFERROR(
    INDEX(FILTER('Arrived Shipments'!O:O, 'Arrived Shipments'!B:B=$B1029),3),
    IFERROR(
        INDEX(FILTER('POed not arrived'!D:D, 'POed not arrived'!A:A=$B1029),3),
        """"
    )
)"),"")</f>
        <v/>
      </c>
      <c r="Q1029" s="197"/>
      <c r="R1029" s="206" t="str">
        <f>IFERROR(__xludf.DUMMYFUNCTION("IFERROR(
    INDEX(FILTER('Arrived Shipments'!O:O, 'Arrived Shipments'!B:B=$B1029),4),
    IFERROR(
        INDEX(FILTER('POed not arrived'!D:D, 'POed not arrived'!A:A=$B1029),4),
        """"
    )
)"),"")</f>
        <v/>
      </c>
      <c r="S1029" s="197"/>
      <c r="T1029" s="202">
        <f t="shared" si="8"/>
        <v>0</v>
      </c>
      <c r="U1029" s="197"/>
      <c r="V1029" s="197"/>
      <c r="W1029" s="197"/>
      <c r="X1029" s="197"/>
      <c r="Y1029" s="197"/>
      <c r="Z1029" s="197"/>
      <c r="AA1029" s="204" t="str">
        <f t="shared" si="4"/>
        <v/>
      </c>
      <c r="AB1029" s="197"/>
      <c r="AC1029" s="197"/>
      <c r="AD1029" s="197"/>
      <c r="AE1029" s="197"/>
      <c r="AF1029" s="197"/>
      <c r="AG1029" s="197"/>
      <c r="AH1029" s="197"/>
      <c r="AI1029" s="197"/>
      <c r="AJ1029" s="197"/>
      <c r="AK1029" s="197"/>
      <c r="AL1029" s="197"/>
      <c r="AM1029" s="197"/>
      <c r="AN1029" s="197"/>
      <c r="AO1029" s="197"/>
      <c r="AP1029" s="197"/>
      <c r="AQ1029" s="197"/>
      <c r="AR1029" s="197"/>
      <c r="AS1029" s="197"/>
    </row>
    <row r="1030">
      <c r="A1030" s="198"/>
      <c r="B1030" s="197"/>
      <c r="C1030" s="197"/>
      <c r="D1030" s="197"/>
      <c r="E1030" s="197"/>
      <c r="F1030" s="197"/>
      <c r="G1030" s="197"/>
      <c r="H1030" s="197"/>
      <c r="I1030" s="197"/>
      <c r="J1030" s="197"/>
      <c r="K1030" s="197"/>
      <c r="L1030" s="205" t="str">
        <f>IFERROR(__xludf.DUMMYFUNCTION("IFERROR(
    INDEX(FILTER('Arrived Shipments'!O:O, 'Arrived Shipments'!B:B=$B1030),1),
    IFERROR(
        INDEX(FILTER('POed not arrived'!D:D, 'POed not arrived'!A:A=$B1030),1),
        """"
    )
)"),"")</f>
        <v/>
      </c>
      <c r="M1030" s="197"/>
      <c r="N1030" s="223" t="str">
        <f>IFERROR(__xludf.DUMMYFUNCTION("IFERROR(
    INDEX(FILTER('Arrived Shipments'!O:O, 'Arrived Shipments'!B:B=$B1030),2),
    IFERROR(
        INDEX(FILTER('POed not arrived'!D:D, 'POed not arrived'!A:A=$B1030),2),
        """"
    )
)"),"")</f>
        <v/>
      </c>
      <c r="O1030" s="197"/>
      <c r="P1030" s="202" t="str">
        <f>IFERROR(__xludf.DUMMYFUNCTION("IFERROR(
    INDEX(FILTER('Arrived Shipments'!O:O, 'Arrived Shipments'!B:B=$B1030),3),
    IFERROR(
        INDEX(FILTER('POed not arrived'!D:D, 'POed not arrived'!A:A=$B1030),3),
        """"
    )
)"),"")</f>
        <v/>
      </c>
      <c r="Q1030" s="197"/>
      <c r="R1030" s="206" t="str">
        <f>IFERROR(__xludf.DUMMYFUNCTION("IFERROR(
    INDEX(FILTER('Arrived Shipments'!O:O, 'Arrived Shipments'!B:B=$B1030),4),
    IFERROR(
        INDEX(FILTER('POed not arrived'!D:D, 'POed not arrived'!A:A=$B1030),4),
        """"
    )
)"),"")</f>
        <v/>
      </c>
      <c r="S1030" s="197"/>
      <c r="T1030" s="202">
        <f t="shared" si="8"/>
        <v>0</v>
      </c>
      <c r="U1030" s="197"/>
      <c r="V1030" s="197"/>
      <c r="W1030" s="197"/>
      <c r="X1030" s="197"/>
      <c r="Y1030" s="197"/>
      <c r="Z1030" s="197"/>
      <c r="AA1030" s="204" t="str">
        <f t="shared" si="4"/>
        <v/>
      </c>
      <c r="AB1030" s="197"/>
      <c r="AC1030" s="197"/>
      <c r="AD1030" s="197"/>
      <c r="AE1030" s="197"/>
      <c r="AF1030" s="197"/>
      <c r="AG1030" s="197"/>
      <c r="AH1030" s="197"/>
      <c r="AI1030" s="197"/>
      <c r="AJ1030" s="197"/>
      <c r="AK1030" s="197"/>
      <c r="AL1030" s="197"/>
      <c r="AM1030" s="197"/>
      <c r="AN1030" s="197"/>
      <c r="AO1030" s="197"/>
      <c r="AP1030" s="197"/>
      <c r="AQ1030" s="197"/>
      <c r="AR1030" s="197"/>
      <c r="AS1030" s="197"/>
    </row>
    <row r="1031">
      <c r="A1031" s="198"/>
      <c r="B1031" s="197"/>
      <c r="C1031" s="197"/>
      <c r="D1031" s="197"/>
      <c r="E1031" s="197"/>
      <c r="F1031" s="197"/>
      <c r="G1031" s="197"/>
      <c r="H1031" s="197"/>
      <c r="I1031" s="197"/>
      <c r="J1031" s="197"/>
      <c r="K1031" s="197"/>
      <c r="L1031" s="205" t="str">
        <f>IFERROR(__xludf.DUMMYFUNCTION("IFERROR(
    INDEX(FILTER('Arrived Shipments'!O:O, 'Arrived Shipments'!B:B=$B1031),1),
    IFERROR(
        INDEX(FILTER('POed not arrived'!D:D, 'POed not arrived'!A:A=$B1031),1),
        """"
    )
)"),"")</f>
        <v/>
      </c>
      <c r="M1031" s="197"/>
      <c r="N1031" s="223" t="str">
        <f>IFERROR(__xludf.DUMMYFUNCTION("IFERROR(
    INDEX(FILTER('Arrived Shipments'!O:O, 'Arrived Shipments'!B:B=$B1031),2),
    IFERROR(
        INDEX(FILTER('POed not arrived'!D:D, 'POed not arrived'!A:A=$B1031),2),
        """"
    )
)"),"")</f>
        <v/>
      </c>
      <c r="O1031" s="197"/>
      <c r="P1031" s="202" t="str">
        <f>IFERROR(__xludf.DUMMYFUNCTION("IFERROR(
    INDEX(FILTER('Arrived Shipments'!O:O, 'Arrived Shipments'!B:B=$B1031),3),
    IFERROR(
        INDEX(FILTER('POed not arrived'!D:D, 'POed not arrived'!A:A=$B1031),3),
        """"
    )
)"),"")</f>
        <v/>
      </c>
      <c r="Q1031" s="197"/>
      <c r="R1031" s="206" t="str">
        <f>IFERROR(__xludf.DUMMYFUNCTION("IFERROR(
    INDEX(FILTER('Arrived Shipments'!O:O, 'Arrived Shipments'!B:B=$B1031),4),
    IFERROR(
        INDEX(FILTER('POed not arrived'!D:D, 'POed not arrived'!A:A=$B1031),4),
        """"
    )
)"),"")</f>
        <v/>
      </c>
      <c r="S1031" s="197"/>
      <c r="T1031" s="202">
        <f t="shared" si="8"/>
        <v>0</v>
      </c>
      <c r="U1031" s="197"/>
      <c r="V1031" s="197"/>
      <c r="W1031" s="197"/>
      <c r="X1031" s="197"/>
      <c r="Y1031" s="197"/>
      <c r="Z1031" s="197"/>
      <c r="AA1031" s="204" t="str">
        <f t="shared" si="4"/>
        <v/>
      </c>
      <c r="AB1031" s="197"/>
      <c r="AC1031" s="197"/>
      <c r="AD1031" s="197"/>
      <c r="AE1031" s="197"/>
      <c r="AF1031" s="197"/>
      <c r="AG1031" s="197"/>
      <c r="AH1031" s="197"/>
      <c r="AI1031" s="197"/>
      <c r="AJ1031" s="197"/>
      <c r="AK1031" s="197"/>
      <c r="AL1031" s="197"/>
      <c r="AM1031" s="197"/>
      <c r="AN1031" s="197"/>
      <c r="AO1031" s="197"/>
      <c r="AP1031" s="197"/>
      <c r="AQ1031" s="197"/>
      <c r="AR1031" s="197"/>
      <c r="AS1031" s="197"/>
    </row>
    <row r="1032">
      <c r="A1032" s="198"/>
      <c r="B1032" s="197"/>
      <c r="C1032" s="197"/>
      <c r="D1032" s="197"/>
      <c r="E1032" s="197"/>
      <c r="F1032" s="197"/>
      <c r="G1032" s="197"/>
      <c r="H1032" s="197"/>
      <c r="I1032" s="197"/>
      <c r="J1032" s="197"/>
      <c r="K1032" s="197"/>
      <c r="L1032" s="205" t="str">
        <f>IFERROR(__xludf.DUMMYFUNCTION("IFERROR(
    INDEX(FILTER('Arrived Shipments'!O:O, 'Arrived Shipments'!B:B=$B1032),1),
    IFERROR(
        INDEX(FILTER('POed not arrived'!D:D, 'POed not arrived'!A:A=$B1032),1),
        """"
    )
)"),"")</f>
        <v/>
      </c>
      <c r="M1032" s="197"/>
      <c r="N1032" s="223" t="str">
        <f>IFERROR(__xludf.DUMMYFUNCTION("IFERROR(
    INDEX(FILTER('Arrived Shipments'!O:O, 'Arrived Shipments'!B:B=$B1032),2),
    IFERROR(
        INDEX(FILTER('POed not arrived'!D:D, 'POed not arrived'!A:A=$B1032),2),
        """"
    )
)"),"")</f>
        <v/>
      </c>
      <c r="O1032" s="197"/>
      <c r="P1032" s="202" t="str">
        <f>IFERROR(__xludf.DUMMYFUNCTION("IFERROR(
    INDEX(FILTER('Arrived Shipments'!O:O, 'Arrived Shipments'!B:B=$B1032),3),
    IFERROR(
        INDEX(FILTER('POed not arrived'!D:D, 'POed not arrived'!A:A=$B1032),3),
        """"
    )
)"),"")</f>
        <v/>
      </c>
      <c r="Q1032" s="197"/>
      <c r="R1032" s="206" t="str">
        <f>IFERROR(__xludf.DUMMYFUNCTION("IFERROR(
    INDEX(FILTER('Arrived Shipments'!O:O, 'Arrived Shipments'!B:B=$B1032),4),
    IFERROR(
        INDEX(FILTER('POed not arrived'!D:D, 'POed not arrived'!A:A=$B1032),4),
        """"
    )
)"),"")</f>
        <v/>
      </c>
      <c r="S1032" s="197"/>
      <c r="T1032" s="202">
        <f t="shared" si="8"/>
        <v>0</v>
      </c>
      <c r="U1032" s="197"/>
      <c r="V1032" s="197"/>
      <c r="W1032" s="197"/>
      <c r="X1032" s="197"/>
      <c r="Y1032" s="197"/>
      <c r="Z1032" s="197"/>
      <c r="AA1032" s="204" t="str">
        <f t="shared" si="4"/>
        <v/>
      </c>
      <c r="AB1032" s="197"/>
      <c r="AC1032" s="197"/>
      <c r="AD1032" s="197"/>
      <c r="AE1032" s="197"/>
      <c r="AF1032" s="197"/>
      <c r="AG1032" s="197"/>
      <c r="AH1032" s="197"/>
      <c r="AI1032" s="197"/>
      <c r="AJ1032" s="197"/>
      <c r="AK1032" s="197"/>
      <c r="AL1032" s="197"/>
      <c r="AM1032" s="197"/>
      <c r="AN1032" s="197"/>
      <c r="AO1032" s="197"/>
      <c r="AP1032" s="197"/>
      <c r="AQ1032" s="197"/>
      <c r="AR1032" s="197"/>
      <c r="AS1032" s="197"/>
    </row>
    <row r="1033">
      <c r="A1033" s="198"/>
      <c r="B1033" s="197"/>
      <c r="C1033" s="197"/>
      <c r="D1033" s="197"/>
      <c r="E1033" s="197"/>
      <c r="F1033" s="197"/>
      <c r="G1033" s="197"/>
      <c r="H1033" s="197"/>
      <c r="I1033" s="197"/>
      <c r="J1033" s="197"/>
      <c r="K1033" s="197"/>
      <c r="L1033" s="205" t="str">
        <f>IFERROR(__xludf.DUMMYFUNCTION("IFERROR(
    INDEX(FILTER('Arrived Shipments'!O:O, 'Arrived Shipments'!B:B=$B1033),1),
    IFERROR(
        INDEX(FILTER('POed not arrived'!D:D, 'POed not arrived'!A:A=$B1033),1),
        """"
    )
)"),"")</f>
        <v/>
      </c>
      <c r="M1033" s="197"/>
      <c r="N1033" s="223" t="str">
        <f>IFERROR(__xludf.DUMMYFUNCTION("IFERROR(
    INDEX(FILTER('Arrived Shipments'!O:O, 'Arrived Shipments'!B:B=$B1033),2),
    IFERROR(
        INDEX(FILTER('POed not arrived'!D:D, 'POed not arrived'!A:A=$B1033),2),
        """"
    )
)"),"")</f>
        <v/>
      </c>
      <c r="O1033" s="197"/>
      <c r="P1033" s="202" t="str">
        <f>IFERROR(__xludf.DUMMYFUNCTION("IFERROR(
    INDEX(FILTER('Arrived Shipments'!O:O, 'Arrived Shipments'!B:B=$B1033),3),
    IFERROR(
        INDEX(FILTER('POed not arrived'!D:D, 'POed not arrived'!A:A=$B1033),3),
        """"
    )
)"),"")</f>
        <v/>
      </c>
      <c r="Q1033" s="197"/>
      <c r="R1033" s="206" t="str">
        <f>IFERROR(__xludf.DUMMYFUNCTION("IFERROR(
    INDEX(FILTER('Arrived Shipments'!O:O, 'Arrived Shipments'!B:B=$B1033),4),
    IFERROR(
        INDEX(FILTER('POed not arrived'!D:D, 'POed not arrived'!A:A=$B1033),4),
        """"
    )
)"),"")</f>
        <v/>
      </c>
      <c r="S1033" s="197"/>
      <c r="T1033" s="202">
        <f t="shared" si="8"/>
        <v>0</v>
      </c>
      <c r="U1033" s="197"/>
      <c r="V1033" s="197"/>
      <c r="W1033" s="197"/>
      <c r="X1033" s="197"/>
      <c r="Y1033" s="197"/>
      <c r="Z1033" s="197"/>
      <c r="AA1033" s="204" t="str">
        <f t="shared" si="4"/>
        <v/>
      </c>
      <c r="AB1033" s="197"/>
      <c r="AC1033" s="197"/>
      <c r="AD1033" s="197"/>
      <c r="AE1033" s="197"/>
      <c r="AF1033" s="197"/>
      <c r="AG1033" s="197"/>
      <c r="AH1033" s="197"/>
      <c r="AI1033" s="197"/>
      <c r="AJ1033" s="197"/>
      <c r="AK1033" s="197"/>
      <c r="AL1033" s="197"/>
      <c r="AM1033" s="197"/>
      <c r="AN1033" s="197"/>
      <c r="AO1033" s="197"/>
      <c r="AP1033" s="197"/>
      <c r="AQ1033" s="197"/>
      <c r="AR1033" s="197"/>
      <c r="AS1033" s="197"/>
    </row>
    <row r="1034">
      <c r="A1034" s="198"/>
      <c r="B1034" s="197"/>
      <c r="C1034" s="197"/>
      <c r="D1034" s="197"/>
      <c r="E1034" s="197"/>
      <c r="F1034" s="197"/>
      <c r="G1034" s="197"/>
      <c r="H1034" s="197"/>
      <c r="I1034" s="197"/>
      <c r="J1034" s="197"/>
      <c r="K1034" s="197"/>
      <c r="L1034" s="205" t="str">
        <f>IFERROR(__xludf.DUMMYFUNCTION("IFERROR(
    INDEX(FILTER('Arrived Shipments'!O:O, 'Arrived Shipments'!B:B=$B1034),1),
    IFERROR(
        INDEX(FILTER('POed not arrived'!D:D, 'POed not arrived'!A:A=$B1034),1),
        """"
    )
)"),"")</f>
        <v/>
      </c>
      <c r="M1034" s="197"/>
      <c r="N1034" s="223" t="str">
        <f>IFERROR(__xludf.DUMMYFUNCTION("IFERROR(
    INDEX(FILTER('Arrived Shipments'!O:O, 'Arrived Shipments'!B:B=$B1034),2),
    IFERROR(
        INDEX(FILTER('POed not arrived'!D:D, 'POed not arrived'!A:A=$B1034),2),
        """"
    )
)"),"")</f>
        <v/>
      </c>
      <c r="O1034" s="197"/>
      <c r="P1034" s="202" t="str">
        <f>IFERROR(__xludf.DUMMYFUNCTION("IFERROR(
    INDEX(FILTER('Arrived Shipments'!O:O, 'Arrived Shipments'!B:B=$B1034),3),
    IFERROR(
        INDEX(FILTER('POed not arrived'!D:D, 'POed not arrived'!A:A=$B1034),3),
        """"
    )
)"),"")</f>
        <v/>
      </c>
      <c r="Q1034" s="197"/>
      <c r="R1034" s="206" t="str">
        <f>IFERROR(__xludf.DUMMYFUNCTION("IFERROR(
    INDEX(FILTER('Arrived Shipments'!O:O, 'Arrived Shipments'!B:B=$B1034),4),
    IFERROR(
        INDEX(FILTER('POed not arrived'!D:D, 'POed not arrived'!A:A=$B1034),4),
        """"
    )
)"),"")</f>
        <v/>
      </c>
      <c r="S1034" s="197"/>
      <c r="T1034" s="202">
        <f t="shared" si="8"/>
        <v>0</v>
      </c>
      <c r="U1034" s="197"/>
      <c r="V1034" s="197"/>
      <c r="W1034" s="197"/>
      <c r="X1034" s="197"/>
      <c r="Y1034" s="197"/>
      <c r="Z1034" s="197"/>
      <c r="AA1034" s="204" t="str">
        <f t="shared" si="4"/>
        <v/>
      </c>
      <c r="AB1034" s="197"/>
      <c r="AC1034" s="197"/>
      <c r="AD1034" s="197"/>
      <c r="AE1034" s="197"/>
      <c r="AF1034" s="197"/>
      <c r="AG1034" s="197"/>
      <c r="AH1034" s="197"/>
      <c r="AI1034" s="197"/>
      <c r="AJ1034" s="197"/>
      <c r="AK1034" s="197"/>
      <c r="AL1034" s="197"/>
      <c r="AM1034" s="197"/>
      <c r="AN1034" s="197"/>
      <c r="AO1034" s="197"/>
      <c r="AP1034" s="197"/>
      <c r="AQ1034" s="197"/>
      <c r="AR1034" s="197"/>
      <c r="AS1034" s="197"/>
    </row>
    <row r="1035">
      <c r="A1035" s="198"/>
      <c r="B1035" s="197"/>
      <c r="C1035" s="197"/>
      <c r="D1035" s="197"/>
      <c r="E1035" s="197"/>
      <c r="F1035" s="197"/>
      <c r="G1035" s="197"/>
      <c r="H1035" s="197"/>
      <c r="I1035" s="197"/>
      <c r="J1035" s="197"/>
      <c r="K1035" s="197"/>
      <c r="L1035" s="205" t="str">
        <f>IFERROR(__xludf.DUMMYFUNCTION("IFERROR(
    INDEX(FILTER('Arrived Shipments'!O:O, 'Arrived Shipments'!B:B=$B1035),1),
    IFERROR(
        INDEX(FILTER('POed not arrived'!D:D, 'POed not arrived'!A:A=$B1035),1),
        """"
    )
)"),"")</f>
        <v/>
      </c>
      <c r="M1035" s="197"/>
      <c r="N1035" s="223" t="str">
        <f>IFERROR(__xludf.DUMMYFUNCTION("IFERROR(
    INDEX(FILTER('Arrived Shipments'!O:O, 'Arrived Shipments'!B:B=$B1035),2),
    IFERROR(
        INDEX(FILTER('POed not arrived'!D:D, 'POed not arrived'!A:A=$B1035),2),
        """"
    )
)"),"")</f>
        <v/>
      </c>
      <c r="O1035" s="197"/>
      <c r="P1035" s="202" t="str">
        <f>IFERROR(__xludf.DUMMYFUNCTION("IFERROR(
    INDEX(FILTER('Arrived Shipments'!O:O, 'Arrived Shipments'!B:B=$B1035),3),
    IFERROR(
        INDEX(FILTER('POed not arrived'!D:D, 'POed not arrived'!A:A=$B1035),3),
        """"
    )
)"),"")</f>
        <v/>
      </c>
      <c r="Q1035" s="197"/>
      <c r="R1035" s="206" t="str">
        <f>IFERROR(__xludf.DUMMYFUNCTION("IFERROR(
    INDEX(FILTER('Arrived Shipments'!O:O, 'Arrived Shipments'!B:B=$B1035),4),
    IFERROR(
        INDEX(FILTER('POed not arrived'!D:D, 'POed not arrived'!A:A=$B1035),4),
        """"
    )
)"),"")</f>
        <v/>
      </c>
      <c r="S1035" s="197"/>
      <c r="T1035" s="202">
        <f t="shared" si="8"/>
        <v>0</v>
      </c>
      <c r="U1035" s="197"/>
      <c r="V1035" s="197"/>
      <c r="W1035" s="197"/>
      <c r="X1035" s="197"/>
      <c r="Y1035" s="197"/>
      <c r="Z1035" s="197"/>
      <c r="AA1035" s="204" t="str">
        <f t="shared" si="4"/>
        <v/>
      </c>
      <c r="AB1035" s="197"/>
      <c r="AC1035" s="197"/>
      <c r="AD1035" s="197"/>
      <c r="AE1035" s="197"/>
      <c r="AF1035" s="197"/>
      <c r="AG1035" s="197"/>
      <c r="AH1035" s="197"/>
      <c r="AI1035" s="197"/>
      <c r="AJ1035" s="197"/>
      <c r="AK1035" s="197"/>
      <c r="AL1035" s="197"/>
      <c r="AM1035" s="197"/>
      <c r="AN1035" s="197"/>
      <c r="AO1035" s="197"/>
      <c r="AP1035" s="197"/>
      <c r="AQ1035" s="197"/>
      <c r="AR1035" s="197"/>
      <c r="AS1035" s="197"/>
    </row>
    <row r="1036">
      <c r="A1036" s="198"/>
      <c r="B1036" s="197"/>
      <c r="C1036" s="197"/>
      <c r="D1036" s="197"/>
      <c r="E1036" s="197"/>
      <c r="F1036" s="197"/>
      <c r="G1036" s="197"/>
      <c r="H1036" s="197"/>
      <c r="I1036" s="197"/>
      <c r="J1036" s="197"/>
      <c r="K1036" s="197"/>
      <c r="L1036" s="205" t="str">
        <f>IFERROR(__xludf.DUMMYFUNCTION("IFERROR(
    INDEX(FILTER('Arrived Shipments'!O:O, 'Arrived Shipments'!B:B=$B1036),1),
    IFERROR(
        INDEX(FILTER('POed not arrived'!D:D, 'POed not arrived'!A:A=$B1036),1),
        """"
    )
)"),"")</f>
        <v/>
      </c>
      <c r="M1036" s="197"/>
      <c r="N1036" s="223" t="str">
        <f>IFERROR(__xludf.DUMMYFUNCTION("IFERROR(
    INDEX(FILTER('Arrived Shipments'!O:O, 'Arrived Shipments'!B:B=$B1036),2),
    IFERROR(
        INDEX(FILTER('POed not arrived'!D:D, 'POed not arrived'!A:A=$B1036),2),
        """"
    )
)"),"")</f>
        <v/>
      </c>
      <c r="O1036" s="197"/>
      <c r="P1036" s="202" t="str">
        <f>IFERROR(__xludf.DUMMYFUNCTION("IFERROR(
    INDEX(FILTER('Arrived Shipments'!O:O, 'Arrived Shipments'!B:B=$B1036),3),
    IFERROR(
        INDEX(FILTER('POed not arrived'!D:D, 'POed not arrived'!A:A=$B1036),3),
        """"
    )
)"),"")</f>
        <v/>
      </c>
      <c r="Q1036" s="197"/>
      <c r="R1036" s="206" t="str">
        <f>IFERROR(__xludf.DUMMYFUNCTION("IFERROR(
    INDEX(FILTER('Arrived Shipments'!O:O, 'Arrived Shipments'!B:B=$B1036),4),
    IFERROR(
        INDEX(FILTER('POed not arrived'!D:D, 'POed not arrived'!A:A=$B1036),4),
        """"
    )
)"),"")</f>
        <v/>
      </c>
      <c r="S1036" s="197"/>
      <c r="T1036" s="202">
        <f t="shared" si="8"/>
        <v>0</v>
      </c>
      <c r="U1036" s="197"/>
      <c r="V1036" s="197"/>
      <c r="W1036" s="197"/>
      <c r="X1036" s="197"/>
      <c r="Y1036" s="197"/>
      <c r="Z1036" s="197"/>
      <c r="AA1036" s="204" t="str">
        <f t="shared" si="4"/>
        <v/>
      </c>
      <c r="AB1036" s="197"/>
      <c r="AC1036" s="197"/>
      <c r="AD1036" s="197"/>
      <c r="AE1036" s="197"/>
      <c r="AF1036" s="197"/>
      <c r="AG1036" s="197"/>
      <c r="AH1036" s="197"/>
      <c r="AI1036" s="197"/>
      <c r="AJ1036" s="197"/>
      <c r="AK1036" s="197"/>
      <c r="AL1036" s="197"/>
      <c r="AM1036" s="197"/>
      <c r="AN1036" s="197"/>
      <c r="AO1036" s="197"/>
      <c r="AP1036" s="197"/>
      <c r="AQ1036" s="197"/>
      <c r="AR1036" s="197"/>
      <c r="AS1036" s="197"/>
    </row>
    <row r="1037">
      <c r="A1037" s="198"/>
      <c r="B1037" s="197"/>
      <c r="C1037" s="197"/>
      <c r="D1037" s="197"/>
      <c r="E1037" s="197"/>
      <c r="F1037" s="197"/>
      <c r="G1037" s="197"/>
      <c r="H1037" s="197"/>
      <c r="I1037" s="197"/>
      <c r="J1037" s="197"/>
      <c r="K1037" s="197"/>
      <c r="L1037" s="205" t="str">
        <f>IFERROR(__xludf.DUMMYFUNCTION("IFERROR(
    INDEX(FILTER('Arrived Shipments'!O:O, 'Arrived Shipments'!B:B=$B1037),1),
    IFERROR(
        INDEX(FILTER('POed not arrived'!D:D, 'POed not arrived'!A:A=$B1037),1),
        """"
    )
)"),"")</f>
        <v/>
      </c>
      <c r="M1037" s="197"/>
      <c r="N1037" s="223" t="str">
        <f>IFERROR(__xludf.DUMMYFUNCTION("IFERROR(
    INDEX(FILTER('Arrived Shipments'!O:O, 'Arrived Shipments'!B:B=$B1037),2),
    IFERROR(
        INDEX(FILTER('POed not arrived'!D:D, 'POed not arrived'!A:A=$B1037),2),
        """"
    )
)"),"")</f>
        <v/>
      </c>
      <c r="O1037" s="197"/>
      <c r="P1037" s="202" t="str">
        <f>IFERROR(__xludf.DUMMYFUNCTION("IFERROR(
    INDEX(FILTER('Arrived Shipments'!O:O, 'Arrived Shipments'!B:B=$B1037),3),
    IFERROR(
        INDEX(FILTER('POed not arrived'!D:D, 'POed not arrived'!A:A=$B1037),3),
        """"
    )
)"),"")</f>
        <v/>
      </c>
      <c r="Q1037" s="197"/>
      <c r="R1037" s="206" t="str">
        <f>IFERROR(__xludf.DUMMYFUNCTION("IFERROR(
    INDEX(FILTER('Arrived Shipments'!O:O, 'Arrived Shipments'!B:B=$B1037),4),
    IFERROR(
        INDEX(FILTER('POed not arrived'!D:D, 'POed not arrived'!A:A=$B1037),4),
        """"
    )
)"),"")</f>
        <v/>
      </c>
      <c r="S1037" s="197"/>
      <c r="T1037" s="202">
        <f t="shared" si="8"/>
        <v>0</v>
      </c>
      <c r="U1037" s="197"/>
      <c r="V1037" s="197"/>
      <c r="W1037" s="197"/>
      <c r="X1037" s="197"/>
      <c r="Y1037" s="197"/>
      <c r="Z1037" s="197"/>
      <c r="AA1037" s="204" t="str">
        <f t="shared" si="4"/>
        <v/>
      </c>
      <c r="AB1037" s="197"/>
      <c r="AC1037" s="197"/>
      <c r="AD1037" s="197"/>
      <c r="AE1037" s="197"/>
      <c r="AF1037" s="197"/>
      <c r="AG1037" s="197"/>
      <c r="AH1037" s="197"/>
      <c r="AI1037" s="197"/>
      <c r="AJ1037" s="197"/>
      <c r="AK1037" s="197"/>
      <c r="AL1037" s="197"/>
      <c r="AM1037" s="197"/>
      <c r="AN1037" s="197"/>
      <c r="AO1037" s="197"/>
      <c r="AP1037" s="197"/>
      <c r="AQ1037" s="197"/>
      <c r="AR1037" s="197"/>
      <c r="AS1037" s="197"/>
    </row>
    <row r="1038">
      <c r="A1038" s="198"/>
      <c r="B1038" s="197"/>
      <c r="C1038" s="197"/>
      <c r="D1038" s="197"/>
      <c r="E1038" s="197"/>
      <c r="F1038" s="197"/>
      <c r="G1038" s="197"/>
      <c r="H1038" s="197"/>
      <c r="I1038" s="197"/>
      <c r="J1038" s="197"/>
      <c r="K1038" s="197"/>
      <c r="L1038" s="205" t="str">
        <f>IFERROR(__xludf.DUMMYFUNCTION("IFERROR(
    INDEX(FILTER('Arrived Shipments'!O:O, 'Arrived Shipments'!B:B=$B1038),1),
    IFERROR(
        INDEX(FILTER('POed not arrived'!D:D, 'POed not arrived'!A:A=$B1038),1),
        """"
    )
)"),"")</f>
        <v/>
      </c>
      <c r="M1038" s="197"/>
      <c r="N1038" s="223" t="str">
        <f>IFERROR(__xludf.DUMMYFUNCTION("IFERROR(
    INDEX(FILTER('Arrived Shipments'!O:O, 'Arrived Shipments'!B:B=$B1038),2),
    IFERROR(
        INDEX(FILTER('POed not arrived'!D:D, 'POed not arrived'!A:A=$B1038),2),
        """"
    )
)"),"")</f>
        <v/>
      </c>
      <c r="O1038" s="197"/>
      <c r="P1038" s="202" t="str">
        <f>IFERROR(__xludf.DUMMYFUNCTION("IFERROR(
    INDEX(FILTER('Arrived Shipments'!O:O, 'Arrived Shipments'!B:B=$B1038),3),
    IFERROR(
        INDEX(FILTER('POed not arrived'!D:D, 'POed not arrived'!A:A=$B1038),3),
        """"
    )
)"),"")</f>
        <v/>
      </c>
      <c r="Q1038" s="197"/>
      <c r="R1038" s="206" t="str">
        <f>IFERROR(__xludf.DUMMYFUNCTION("IFERROR(
    INDEX(FILTER('Arrived Shipments'!O:O, 'Arrived Shipments'!B:B=$B1038),4),
    IFERROR(
        INDEX(FILTER('POed not arrived'!D:D, 'POed not arrived'!A:A=$B1038),4),
        """"
    )
)"),"")</f>
        <v/>
      </c>
      <c r="S1038" s="197"/>
      <c r="T1038" s="202">
        <f t="shared" si="8"/>
        <v>0</v>
      </c>
      <c r="U1038" s="197"/>
      <c r="V1038" s="197"/>
      <c r="W1038" s="197"/>
      <c r="X1038" s="197"/>
      <c r="Y1038" s="197"/>
      <c r="Z1038" s="197"/>
      <c r="AA1038" s="204" t="str">
        <f t="shared" si="4"/>
        <v/>
      </c>
      <c r="AB1038" s="197"/>
      <c r="AC1038" s="197"/>
      <c r="AD1038" s="197"/>
      <c r="AE1038" s="197"/>
      <c r="AF1038" s="197"/>
      <c r="AG1038" s="197"/>
      <c r="AH1038" s="197"/>
      <c r="AI1038" s="197"/>
      <c r="AJ1038" s="197"/>
      <c r="AK1038" s="197"/>
      <c r="AL1038" s="197"/>
      <c r="AM1038" s="197"/>
      <c r="AN1038" s="197"/>
      <c r="AO1038" s="197"/>
      <c r="AP1038" s="197"/>
      <c r="AQ1038" s="197"/>
      <c r="AR1038" s="197"/>
      <c r="AS1038" s="197"/>
    </row>
    <row r="1039">
      <c r="A1039" s="198"/>
      <c r="B1039" s="197"/>
      <c r="C1039" s="197"/>
      <c r="D1039" s="197"/>
      <c r="E1039" s="197"/>
      <c r="F1039" s="197"/>
      <c r="G1039" s="197"/>
      <c r="H1039" s="197"/>
      <c r="I1039" s="197"/>
      <c r="J1039" s="197"/>
      <c r="K1039" s="197"/>
      <c r="L1039" s="205" t="str">
        <f>IFERROR(__xludf.DUMMYFUNCTION("IFERROR(
    INDEX(FILTER('Arrived Shipments'!O:O, 'Arrived Shipments'!B:B=$B1039),1),
    IFERROR(
        INDEX(FILTER('POed not arrived'!D:D, 'POed not arrived'!A:A=$B1039),1),
        """"
    )
)"),"")</f>
        <v/>
      </c>
      <c r="M1039" s="197"/>
      <c r="N1039" s="223" t="str">
        <f>IFERROR(__xludf.DUMMYFUNCTION("IFERROR(
    INDEX(FILTER('Arrived Shipments'!O:O, 'Arrived Shipments'!B:B=$B1039),2),
    IFERROR(
        INDEX(FILTER('POed not arrived'!D:D, 'POed not arrived'!A:A=$B1039),2),
        """"
    )
)"),"")</f>
        <v/>
      </c>
      <c r="O1039" s="197"/>
      <c r="P1039" s="202" t="str">
        <f>IFERROR(__xludf.DUMMYFUNCTION("IFERROR(
    INDEX(FILTER('Arrived Shipments'!O:O, 'Arrived Shipments'!B:B=$B1039),3),
    IFERROR(
        INDEX(FILTER('POed not arrived'!D:D, 'POed not arrived'!A:A=$B1039),3),
        """"
    )
)"),"")</f>
        <v/>
      </c>
      <c r="Q1039" s="197"/>
      <c r="R1039" s="206" t="str">
        <f>IFERROR(__xludf.DUMMYFUNCTION("IFERROR(
    INDEX(FILTER('Arrived Shipments'!O:O, 'Arrived Shipments'!B:B=$B1039),4),
    IFERROR(
        INDEX(FILTER('POed not arrived'!D:D, 'POed not arrived'!A:A=$B1039),4),
        """"
    )
)"),"")</f>
        <v/>
      </c>
      <c r="S1039" s="197"/>
      <c r="T1039" s="202">
        <f t="shared" si="8"/>
        <v>0</v>
      </c>
      <c r="U1039" s="197"/>
      <c r="V1039" s="197"/>
      <c r="W1039" s="197"/>
      <c r="X1039" s="197"/>
      <c r="Y1039" s="197"/>
      <c r="Z1039" s="197"/>
      <c r="AA1039" s="204" t="str">
        <f t="shared" si="4"/>
        <v/>
      </c>
      <c r="AB1039" s="197"/>
      <c r="AC1039" s="197"/>
      <c r="AD1039" s="197"/>
      <c r="AE1039" s="197"/>
      <c r="AF1039" s="197"/>
      <c r="AG1039" s="197"/>
      <c r="AH1039" s="197"/>
      <c r="AI1039" s="197"/>
      <c r="AJ1039" s="197"/>
      <c r="AK1039" s="197"/>
      <c r="AL1039" s="197"/>
      <c r="AM1039" s="197"/>
      <c r="AN1039" s="197"/>
      <c r="AO1039" s="197"/>
      <c r="AP1039" s="197"/>
      <c r="AQ1039" s="197"/>
      <c r="AR1039" s="197"/>
      <c r="AS1039" s="197"/>
    </row>
    <row r="1040">
      <c r="A1040" s="198"/>
      <c r="B1040" s="197"/>
      <c r="C1040" s="197"/>
      <c r="D1040" s="197"/>
      <c r="E1040" s="197"/>
      <c r="F1040" s="197"/>
      <c r="G1040" s="197"/>
      <c r="H1040" s="197"/>
      <c r="I1040" s="197"/>
      <c r="J1040" s="197"/>
      <c r="K1040" s="197"/>
      <c r="L1040" s="205" t="str">
        <f>IFERROR(__xludf.DUMMYFUNCTION("IFERROR(
    INDEX(FILTER('Arrived Shipments'!O:O, 'Arrived Shipments'!B:B=$B1040),1),
    IFERROR(
        INDEX(FILTER('POed not arrived'!D:D, 'POed not arrived'!A:A=$B1040),1),
        """"
    )
)"),"")</f>
        <v/>
      </c>
      <c r="M1040" s="197"/>
      <c r="N1040" s="223" t="str">
        <f>IFERROR(__xludf.DUMMYFUNCTION("IFERROR(
    INDEX(FILTER('Arrived Shipments'!O:O, 'Arrived Shipments'!B:B=$B1040),2),
    IFERROR(
        INDEX(FILTER('POed not arrived'!D:D, 'POed not arrived'!A:A=$B1040),2),
        """"
    )
)"),"")</f>
        <v/>
      </c>
      <c r="O1040" s="197"/>
      <c r="P1040" s="202" t="str">
        <f>IFERROR(__xludf.DUMMYFUNCTION("IFERROR(
    INDEX(FILTER('Arrived Shipments'!O:O, 'Arrived Shipments'!B:B=$B1040),3),
    IFERROR(
        INDEX(FILTER('POed not arrived'!D:D, 'POed not arrived'!A:A=$B1040),3),
        """"
    )
)"),"")</f>
        <v/>
      </c>
      <c r="Q1040" s="197"/>
      <c r="R1040" s="206" t="str">
        <f>IFERROR(__xludf.DUMMYFUNCTION("IFERROR(
    INDEX(FILTER('Arrived Shipments'!O:O, 'Arrived Shipments'!B:B=$B1040),4),
    IFERROR(
        INDEX(FILTER('POed not arrived'!D:D, 'POed not arrived'!A:A=$B1040),4),
        """"
    )
)"),"")</f>
        <v/>
      </c>
      <c r="S1040" s="197"/>
      <c r="T1040" s="202">
        <f t="shared" si="8"/>
        <v>0</v>
      </c>
      <c r="U1040" s="197"/>
      <c r="V1040" s="197"/>
      <c r="W1040" s="197"/>
      <c r="X1040" s="197"/>
      <c r="Y1040" s="197"/>
      <c r="Z1040" s="197"/>
      <c r="AA1040" s="204" t="str">
        <f t="shared" si="4"/>
        <v/>
      </c>
      <c r="AB1040" s="197"/>
      <c r="AC1040" s="197"/>
      <c r="AD1040" s="197"/>
      <c r="AE1040" s="197"/>
      <c r="AF1040" s="197"/>
      <c r="AG1040" s="197"/>
      <c r="AH1040" s="197"/>
      <c r="AI1040" s="197"/>
      <c r="AJ1040" s="197"/>
      <c r="AK1040" s="197"/>
      <c r="AL1040" s="197"/>
      <c r="AM1040" s="197"/>
      <c r="AN1040" s="197"/>
      <c r="AO1040" s="197"/>
      <c r="AP1040" s="197"/>
      <c r="AQ1040" s="197"/>
      <c r="AR1040" s="197"/>
      <c r="AS1040" s="197"/>
    </row>
    <row r="1041">
      <c r="A1041" s="198"/>
      <c r="B1041" s="197"/>
      <c r="C1041" s="197"/>
      <c r="D1041" s="197"/>
      <c r="E1041" s="197"/>
      <c r="F1041" s="197"/>
      <c r="G1041" s="197"/>
      <c r="H1041" s="197"/>
      <c r="I1041" s="197"/>
      <c r="J1041" s="197"/>
      <c r="K1041" s="197"/>
      <c r="L1041" s="205" t="str">
        <f>IFERROR(__xludf.DUMMYFUNCTION("IFERROR(
    INDEX(FILTER('Arrived Shipments'!O:O, 'Arrived Shipments'!B:B=$B1041),1),
    IFERROR(
        INDEX(FILTER('POed not arrived'!D:D, 'POed not arrived'!A:A=$B1041),1),
        """"
    )
)"),"")</f>
        <v/>
      </c>
      <c r="M1041" s="197"/>
      <c r="N1041" s="223" t="str">
        <f>IFERROR(__xludf.DUMMYFUNCTION("IFERROR(
    INDEX(FILTER('Arrived Shipments'!O:O, 'Arrived Shipments'!B:B=$B1041),2),
    IFERROR(
        INDEX(FILTER('POed not arrived'!D:D, 'POed not arrived'!A:A=$B1041),2),
        """"
    )
)"),"")</f>
        <v/>
      </c>
      <c r="O1041" s="197"/>
      <c r="P1041" s="202" t="str">
        <f>IFERROR(__xludf.DUMMYFUNCTION("IFERROR(
    INDEX(FILTER('Arrived Shipments'!O:O, 'Arrived Shipments'!B:B=$B1041),3),
    IFERROR(
        INDEX(FILTER('POed not arrived'!D:D, 'POed not arrived'!A:A=$B1041),3),
        """"
    )
)"),"")</f>
        <v/>
      </c>
      <c r="Q1041" s="197"/>
      <c r="R1041" s="206" t="str">
        <f>IFERROR(__xludf.DUMMYFUNCTION("IFERROR(
    INDEX(FILTER('Arrived Shipments'!O:O, 'Arrived Shipments'!B:B=$B1041),4),
    IFERROR(
        INDEX(FILTER('POed not arrived'!D:D, 'POed not arrived'!A:A=$B1041),4),
        """"
    )
)"),"")</f>
        <v/>
      </c>
      <c r="S1041" s="197"/>
      <c r="T1041" s="202">
        <f t="shared" si="8"/>
        <v>0</v>
      </c>
      <c r="U1041" s="197"/>
      <c r="V1041" s="197"/>
      <c r="W1041" s="197"/>
      <c r="X1041" s="197"/>
      <c r="Y1041" s="197"/>
      <c r="Z1041" s="197"/>
      <c r="AA1041" s="204" t="str">
        <f t="shared" si="4"/>
        <v/>
      </c>
      <c r="AB1041" s="197"/>
      <c r="AC1041" s="197"/>
      <c r="AD1041" s="197"/>
      <c r="AE1041" s="197"/>
      <c r="AF1041" s="197"/>
      <c r="AG1041" s="197"/>
      <c r="AH1041" s="197"/>
      <c r="AI1041" s="197"/>
      <c r="AJ1041" s="197"/>
      <c r="AK1041" s="197"/>
      <c r="AL1041" s="197"/>
      <c r="AM1041" s="197"/>
      <c r="AN1041" s="197"/>
      <c r="AO1041" s="197"/>
      <c r="AP1041" s="197"/>
      <c r="AQ1041" s="197"/>
      <c r="AR1041" s="197"/>
      <c r="AS1041" s="197"/>
    </row>
    <row r="1042">
      <c r="A1042" s="198"/>
      <c r="B1042" s="197"/>
      <c r="C1042" s="197"/>
      <c r="D1042" s="197"/>
      <c r="E1042" s="197"/>
      <c r="F1042" s="197"/>
      <c r="G1042" s="197"/>
      <c r="H1042" s="197"/>
      <c r="I1042" s="197"/>
      <c r="J1042" s="197"/>
      <c r="K1042" s="197"/>
      <c r="L1042" s="205" t="str">
        <f>IFERROR(__xludf.DUMMYFUNCTION("IFERROR(
    INDEX(FILTER('Arrived Shipments'!O:O, 'Arrived Shipments'!B:B=$B1042),1),
    IFERROR(
        INDEX(FILTER('POed not arrived'!D:D, 'POed not arrived'!A:A=$B1042),1),
        """"
    )
)"),"")</f>
        <v/>
      </c>
      <c r="M1042" s="197"/>
      <c r="N1042" s="223" t="str">
        <f>IFERROR(__xludf.DUMMYFUNCTION("IFERROR(
    INDEX(FILTER('Arrived Shipments'!O:O, 'Arrived Shipments'!B:B=$B1042),2),
    IFERROR(
        INDEX(FILTER('POed not arrived'!D:D, 'POed not arrived'!A:A=$B1042),2),
        """"
    )
)"),"")</f>
        <v/>
      </c>
      <c r="O1042" s="197"/>
      <c r="P1042" s="202" t="str">
        <f>IFERROR(__xludf.DUMMYFUNCTION("IFERROR(
    INDEX(FILTER('Arrived Shipments'!O:O, 'Arrived Shipments'!B:B=$B1042),3),
    IFERROR(
        INDEX(FILTER('POed not arrived'!D:D, 'POed not arrived'!A:A=$B1042),3),
        """"
    )
)"),"")</f>
        <v/>
      </c>
      <c r="Q1042" s="197"/>
      <c r="R1042" s="206" t="str">
        <f>IFERROR(__xludf.DUMMYFUNCTION("IFERROR(
    INDEX(FILTER('Arrived Shipments'!O:O, 'Arrived Shipments'!B:B=$B1042),4),
    IFERROR(
        INDEX(FILTER('POed not arrived'!D:D, 'POed not arrived'!A:A=$B1042),4),
        """"
    )
)"),"")</f>
        <v/>
      </c>
      <c r="S1042" s="197"/>
      <c r="T1042" s="202">
        <f t="shared" si="8"/>
        <v>0</v>
      </c>
      <c r="U1042" s="197"/>
      <c r="V1042" s="197"/>
      <c r="W1042" s="197"/>
      <c r="X1042" s="197"/>
      <c r="Y1042" s="197"/>
      <c r="Z1042" s="197"/>
      <c r="AA1042" s="204" t="str">
        <f t="shared" si="4"/>
        <v/>
      </c>
      <c r="AB1042" s="197"/>
      <c r="AC1042" s="197"/>
      <c r="AD1042" s="197"/>
      <c r="AE1042" s="197"/>
      <c r="AF1042" s="197"/>
      <c r="AG1042" s="197"/>
      <c r="AH1042" s="197"/>
      <c r="AI1042" s="197"/>
      <c r="AJ1042" s="197"/>
      <c r="AK1042" s="197"/>
      <c r="AL1042" s="197"/>
      <c r="AM1042" s="197"/>
      <c r="AN1042" s="197"/>
      <c r="AO1042" s="197"/>
      <c r="AP1042" s="197"/>
      <c r="AQ1042" s="197"/>
      <c r="AR1042" s="197"/>
      <c r="AS1042" s="197"/>
    </row>
    <row r="1043">
      <c r="A1043" s="198"/>
      <c r="B1043" s="197"/>
      <c r="C1043" s="197"/>
      <c r="D1043" s="197"/>
      <c r="E1043" s="197"/>
      <c r="F1043" s="197"/>
      <c r="G1043" s="197"/>
      <c r="H1043" s="197"/>
      <c r="I1043" s="197"/>
      <c r="J1043" s="197"/>
      <c r="K1043" s="197"/>
      <c r="L1043" s="205" t="str">
        <f>IFERROR(__xludf.DUMMYFUNCTION("IFERROR(
    INDEX(FILTER('Arrived Shipments'!O:O, 'Arrived Shipments'!B:B=$B1043),1),
    IFERROR(
        INDEX(FILTER('POed not arrived'!D:D, 'POed not arrived'!A:A=$B1043),1),
        """"
    )
)"),"")</f>
        <v/>
      </c>
      <c r="M1043" s="197"/>
      <c r="N1043" s="223" t="str">
        <f>IFERROR(__xludf.DUMMYFUNCTION("IFERROR(
    INDEX(FILTER('Arrived Shipments'!O:O, 'Arrived Shipments'!B:B=$B1043),2),
    IFERROR(
        INDEX(FILTER('POed not arrived'!D:D, 'POed not arrived'!A:A=$B1043),2),
        """"
    )
)"),"")</f>
        <v/>
      </c>
      <c r="O1043" s="197"/>
      <c r="P1043" s="202" t="str">
        <f>IFERROR(__xludf.DUMMYFUNCTION("IFERROR(
    INDEX(FILTER('Arrived Shipments'!O:O, 'Arrived Shipments'!B:B=$B1043),3),
    IFERROR(
        INDEX(FILTER('POed not arrived'!D:D, 'POed not arrived'!A:A=$B1043),3),
        """"
    )
)"),"")</f>
        <v/>
      </c>
      <c r="Q1043" s="197"/>
      <c r="R1043" s="206" t="str">
        <f>IFERROR(__xludf.DUMMYFUNCTION("IFERROR(
    INDEX(FILTER('Arrived Shipments'!O:O, 'Arrived Shipments'!B:B=$B1043),4),
    IFERROR(
        INDEX(FILTER('POed not arrived'!D:D, 'POed not arrived'!A:A=$B1043),4),
        """"
    )
)"),"")</f>
        <v/>
      </c>
      <c r="S1043" s="197"/>
      <c r="T1043" s="202">
        <f t="shared" si="8"/>
        <v>0</v>
      </c>
      <c r="U1043" s="197"/>
      <c r="V1043" s="197"/>
      <c r="W1043" s="197"/>
      <c r="X1043" s="197"/>
      <c r="Y1043" s="197"/>
      <c r="Z1043" s="197"/>
      <c r="AA1043" s="204" t="str">
        <f t="shared" si="4"/>
        <v/>
      </c>
      <c r="AB1043" s="197"/>
      <c r="AC1043" s="197"/>
      <c r="AD1043" s="197"/>
      <c r="AE1043" s="197"/>
      <c r="AF1043" s="197"/>
      <c r="AG1043" s="197"/>
      <c r="AH1043" s="197"/>
      <c r="AI1043" s="197"/>
      <c r="AJ1043" s="197"/>
      <c r="AK1043" s="197"/>
      <c r="AL1043" s="197"/>
      <c r="AM1043" s="197"/>
      <c r="AN1043" s="197"/>
      <c r="AO1043" s="197"/>
      <c r="AP1043" s="197"/>
      <c r="AQ1043" s="197"/>
      <c r="AR1043" s="197"/>
      <c r="AS1043" s="197"/>
    </row>
    <row r="1044">
      <c r="A1044" s="198"/>
      <c r="B1044" s="197"/>
      <c r="C1044" s="197"/>
      <c r="D1044" s="197"/>
      <c r="E1044" s="197"/>
      <c r="F1044" s="197"/>
      <c r="G1044" s="197"/>
      <c r="H1044" s="197"/>
      <c r="I1044" s="197"/>
      <c r="J1044" s="197"/>
      <c r="K1044" s="197"/>
      <c r="L1044" s="205" t="str">
        <f>IFERROR(__xludf.DUMMYFUNCTION("IFERROR(
    INDEX(FILTER('Arrived Shipments'!O:O, 'Arrived Shipments'!B:B=$B1044),1),
    IFERROR(
        INDEX(FILTER('POed not arrived'!D:D, 'POed not arrived'!A:A=$B1044),1),
        """"
    )
)"),"")</f>
        <v/>
      </c>
      <c r="M1044" s="197"/>
      <c r="N1044" s="223" t="str">
        <f>IFERROR(__xludf.DUMMYFUNCTION("IFERROR(
    INDEX(FILTER('Arrived Shipments'!O:O, 'Arrived Shipments'!B:B=$B1044),2),
    IFERROR(
        INDEX(FILTER('POed not arrived'!D:D, 'POed not arrived'!A:A=$B1044),2),
        """"
    )
)"),"")</f>
        <v/>
      </c>
      <c r="O1044" s="197"/>
      <c r="P1044" s="202" t="str">
        <f>IFERROR(__xludf.DUMMYFUNCTION("IFERROR(
    INDEX(FILTER('Arrived Shipments'!O:O, 'Arrived Shipments'!B:B=$B1044),3),
    IFERROR(
        INDEX(FILTER('POed not arrived'!D:D, 'POed not arrived'!A:A=$B1044),3),
        """"
    )
)"),"")</f>
        <v/>
      </c>
      <c r="Q1044" s="197"/>
      <c r="R1044" s="206" t="str">
        <f>IFERROR(__xludf.DUMMYFUNCTION("IFERROR(
    INDEX(FILTER('Arrived Shipments'!O:O, 'Arrived Shipments'!B:B=$B1044),4),
    IFERROR(
        INDEX(FILTER('POed not arrived'!D:D, 'POed not arrived'!A:A=$B1044),4),
        """"
    )
)"),"")</f>
        <v/>
      </c>
      <c r="S1044" s="197"/>
      <c r="T1044" s="202">
        <f t="shared" si="8"/>
        <v>0</v>
      </c>
      <c r="U1044" s="197"/>
      <c r="V1044" s="197"/>
      <c r="W1044" s="197"/>
      <c r="X1044" s="197"/>
      <c r="Y1044" s="197"/>
      <c r="Z1044" s="197"/>
      <c r="AA1044" s="204" t="str">
        <f t="shared" si="4"/>
        <v/>
      </c>
      <c r="AB1044" s="197"/>
      <c r="AC1044" s="197"/>
      <c r="AD1044" s="197"/>
      <c r="AE1044" s="197"/>
      <c r="AF1044" s="197"/>
      <c r="AG1044" s="197"/>
      <c r="AH1044" s="197"/>
      <c r="AI1044" s="197"/>
      <c r="AJ1044" s="197"/>
      <c r="AK1044" s="197"/>
      <c r="AL1044" s="197"/>
      <c r="AM1044" s="197"/>
      <c r="AN1044" s="197"/>
      <c r="AO1044" s="197"/>
      <c r="AP1044" s="197"/>
      <c r="AQ1044" s="197"/>
      <c r="AR1044" s="197"/>
      <c r="AS1044" s="197"/>
    </row>
    <row r="1045">
      <c r="A1045" s="198"/>
      <c r="B1045" s="197"/>
      <c r="C1045" s="197"/>
      <c r="D1045" s="197"/>
      <c r="E1045" s="197"/>
      <c r="F1045" s="197"/>
      <c r="G1045" s="197"/>
      <c r="H1045" s="197"/>
      <c r="I1045" s="197"/>
      <c r="J1045" s="197"/>
      <c r="K1045" s="197"/>
      <c r="L1045" s="205" t="str">
        <f>IFERROR(__xludf.DUMMYFUNCTION("IFERROR(
    INDEX(FILTER('Arrived Shipments'!O:O, 'Arrived Shipments'!B:B=$B1045),1),
    IFERROR(
        INDEX(FILTER('POed not arrived'!D:D, 'POed not arrived'!A:A=$B1045),1),
        """"
    )
)"),"")</f>
        <v/>
      </c>
      <c r="M1045" s="197"/>
      <c r="N1045" s="223" t="str">
        <f>IFERROR(__xludf.DUMMYFUNCTION("IFERROR(
    INDEX(FILTER('Arrived Shipments'!O:O, 'Arrived Shipments'!B:B=$B1045),2),
    IFERROR(
        INDEX(FILTER('POed not arrived'!D:D, 'POed not arrived'!A:A=$B1045),2),
        """"
    )
)"),"")</f>
        <v/>
      </c>
      <c r="O1045" s="197"/>
      <c r="P1045" s="202" t="str">
        <f>IFERROR(__xludf.DUMMYFUNCTION("IFERROR(
    INDEX(FILTER('Arrived Shipments'!O:O, 'Arrived Shipments'!B:B=$B1045),3),
    IFERROR(
        INDEX(FILTER('POed not arrived'!D:D, 'POed not arrived'!A:A=$B1045),3),
        """"
    )
)"),"")</f>
        <v/>
      </c>
      <c r="Q1045" s="197"/>
      <c r="R1045" s="206" t="str">
        <f>IFERROR(__xludf.DUMMYFUNCTION("IFERROR(
    INDEX(FILTER('Arrived Shipments'!O:O, 'Arrived Shipments'!B:B=$B1045),4),
    IFERROR(
        INDEX(FILTER('POed not arrived'!D:D, 'POed not arrived'!A:A=$B1045),4),
        """"
    )
)"),"")</f>
        <v/>
      </c>
      <c r="S1045" s="197"/>
      <c r="T1045" s="202">
        <f t="shared" si="8"/>
        <v>0</v>
      </c>
      <c r="U1045" s="197"/>
      <c r="V1045" s="197"/>
      <c r="W1045" s="197"/>
      <c r="X1045" s="197"/>
      <c r="Y1045" s="197"/>
      <c r="Z1045" s="197"/>
      <c r="AA1045" s="204" t="str">
        <f t="shared" si="4"/>
        <v/>
      </c>
      <c r="AB1045" s="197"/>
      <c r="AC1045" s="197"/>
      <c r="AD1045" s="197"/>
      <c r="AE1045" s="197"/>
      <c r="AF1045" s="197"/>
      <c r="AG1045" s="197"/>
      <c r="AH1045" s="197"/>
      <c r="AI1045" s="197"/>
      <c r="AJ1045" s="197"/>
      <c r="AK1045" s="197"/>
      <c r="AL1045" s="197"/>
      <c r="AM1045" s="197"/>
      <c r="AN1045" s="197"/>
      <c r="AO1045" s="197"/>
      <c r="AP1045" s="197"/>
      <c r="AQ1045" s="197"/>
      <c r="AR1045" s="197"/>
      <c r="AS1045" s="197"/>
    </row>
    <row r="1046">
      <c r="A1046" s="198"/>
      <c r="B1046" s="197"/>
      <c r="C1046" s="197"/>
      <c r="D1046" s="197"/>
      <c r="E1046" s="197"/>
      <c r="F1046" s="197"/>
      <c r="G1046" s="197"/>
      <c r="H1046" s="197"/>
      <c r="I1046" s="197"/>
      <c r="J1046" s="197"/>
      <c r="K1046" s="197"/>
      <c r="L1046" s="205" t="str">
        <f>IFERROR(__xludf.DUMMYFUNCTION("IFERROR(
    INDEX(FILTER('Arrived Shipments'!O:O, 'Arrived Shipments'!B:B=$B1046),1),
    IFERROR(
        INDEX(FILTER('POed not arrived'!D:D, 'POed not arrived'!A:A=$B1046),1),
        """"
    )
)"),"")</f>
        <v/>
      </c>
      <c r="M1046" s="197"/>
      <c r="N1046" s="223" t="str">
        <f>IFERROR(__xludf.DUMMYFUNCTION("IFERROR(
    INDEX(FILTER('Arrived Shipments'!O:O, 'Arrived Shipments'!B:B=$B1046),2),
    IFERROR(
        INDEX(FILTER('POed not arrived'!D:D, 'POed not arrived'!A:A=$B1046),2),
        """"
    )
)"),"")</f>
        <v/>
      </c>
      <c r="O1046" s="197"/>
      <c r="P1046" s="202" t="str">
        <f>IFERROR(__xludf.DUMMYFUNCTION("IFERROR(
    INDEX(FILTER('Arrived Shipments'!O:O, 'Arrived Shipments'!B:B=$B1046),3),
    IFERROR(
        INDEX(FILTER('POed not arrived'!D:D, 'POed not arrived'!A:A=$B1046),3),
        """"
    )
)"),"")</f>
        <v/>
      </c>
      <c r="Q1046" s="197"/>
      <c r="R1046" s="206" t="str">
        <f>IFERROR(__xludf.DUMMYFUNCTION("IFERROR(
    INDEX(FILTER('Arrived Shipments'!O:O, 'Arrived Shipments'!B:B=$B1046),4),
    IFERROR(
        INDEX(FILTER('POed not arrived'!D:D, 'POed not arrived'!A:A=$B1046),4),
        """"
    )
)"),"")</f>
        <v/>
      </c>
      <c r="S1046" s="197"/>
      <c r="T1046" s="202">
        <f t="shared" si="8"/>
        <v>0</v>
      </c>
      <c r="U1046" s="197"/>
      <c r="V1046" s="197"/>
      <c r="W1046" s="197"/>
      <c r="X1046" s="197"/>
      <c r="Y1046" s="197"/>
      <c r="Z1046" s="197"/>
      <c r="AA1046" s="204" t="str">
        <f t="shared" si="4"/>
        <v/>
      </c>
      <c r="AB1046" s="197"/>
      <c r="AC1046" s="197"/>
      <c r="AD1046" s="197"/>
      <c r="AE1046" s="197"/>
      <c r="AF1046" s="197"/>
      <c r="AG1046" s="197"/>
      <c r="AH1046" s="197"/>
      <c r="AI1046" s="197"/>
      <c r="AJ1046" s="197"/>
      <c r="AK1046" s="197"/>
      <c r="AL1046" s="197"/>
      <c r="AM1046" s="197"/>
      <c r="AN1046" s="197"/>
      <c r="AO1046" s="197"/>
      <c r="AP1046" s="197"/>
      <c r="AQ1046" s="197"/>
      <c r="AR1046" s="197"/>
      <c r="AS1046" s="197"/>
    </row>
    <row r="1047">
      <c r="A1047" s="198"/>
      <c r="B1047" s="197"/>
      <c r="C1047" s="197"/>
      <c r="D1047" s="197"/>
      <c r="E1047" s="197"/>
      <c r="F1047" s="197"/>
      <c r="G1047" s="197"/>
      <c r="H1047" s="197"/>
      <c r="I1047" s="197"/>
      <c r="J1047" s="197"/>
      <c r="K1047" s="197"/>
      <c r="L1047" s="205" t="str">
        <f>IFERROR(__xludf.DUMMYFUNCTION("IFERROR(
    INDEX(FILTER('Arrived Shipments'!O:O, 'Arrived Shipments'!B:B=$B1047),1),
    IFERROR(
        INDEX(FILTER('POed not arrived'!D:D, 'POed not arrived'!A:A=$B1047),1),
        """"
    )
)"),"")</f>
        <v/>
      </c>
      <c r="M1047" s="197"/>
      <c r="N1047" s="223" t="str">
        <f>IFERROR(__xludf.DUMMYFUNCTION("IFERROR(
    INDEX(FILTER('Arrived Shipments'!O:O, 'Arrived Shipments'!B:B=$B1047),2),
    IFERROR(
        INDEX(FILTER('POed not arrived'!D:D, 'POed not arrived'!A:A=$B1047),2),
        """"
    )
)"),"")</f>
        <v/>
      </c>
      <c r="O1047" s="197"/>
      <c r="P1047" s="202" t="str">
        <f>IFERROR(__xludf.DUMMYFUNCTION("IFERROR(
    INDEX(FILTER('Arrived Shipments'!O:O, 'Arrived Shipments'!B:B=$B1047),3),
    IFERROR(
        INDEX(FILTER('POed not arrived'!D:D, 'POed not arrived'!A:A=$B1047),3),
        """"
    )
)"),"")</f>
        <v/>
      </c>
      <c r="Q1047" s="197"/>
      <c r="R1047" s="206" t="str">
        <f>IFERROR(__xludf.DUMMYFUNCTION("IFERROR(
    INDEX(FILTER('Arrived Shipments'!O:O, 'Arrived Shipments'!B:B=$B1047),4),
    IFERROR(
        INDEX(FILTER('POed not arrived'!D:D, 'POed not arrived'!A:A=$B1047),4),
        """"
    )
)"),"")</f>
        <v/>
      </c>
      <c r="S1047" s="197"/>
      <c r="T1047" s="202">
        <f t="shared" si="8"/>
        <v>0</v>
      </c>
      <c r="U1047" s="197"/>
      <c r="V1047" s="197"/>
      <c r="W1047" s="197"/>
      <c r="X1047" s="197"/>
      <c r="Y1047" s="197"/>
      <c r="Z1047" s="197"/>
      <c r="AA1047" s="204" t="str">
        <f t="shared" si="4"/>
        <v/>
      </c>
      <c r="AB1047" s="197"/>
      <c r="AC1047" s="197"/>
      <c r="AD1047" s="197"/>
      <c r="AE1047" s="197"/>
      <c r="AF1047" s="197"/>
      <c r="AG1047" s="197"/>
      <c r="AH1047" s="197"/>
      <c r="AI1047" s="197"/>
      <c r="AJ1047" s="197"/>
      <c r="AK1047" s="197"/>
      <c r="AL1047" s="197"/>
      <c r="AM1047" s="197"/>
      <c r="AN1047" s="197"/>
      <c r="AO1047" s="197"/>
      <c r="AP1047" s="197"/>
      <c r="AQ1047" s="197"/>
      <c r="AR1047" s="197"/>
      <c r="AS1047" s="197"/>
    </row>
    <row r="1048">
      <c r="A1048" s="198"/>
      <c r="B1048" s="197"/>
      <c r="C1048" s="197"/>
      <c r="D1048" s="197"/>
      <c r="E1048" s="197"/>
      <c r="F1048" s="197"/>
      <c r="G1048" s="197"/>
      <c r="H1048" s="197"/>
      <c r="I1048" s="197"/>
      <c r="J1048" s="197"/>
      <c r="K1048" s="197"/>
      <c r="L1048" s="205" t="str">
        <f>IFERROR(__xludf.DUMMYFUNCTION("IFERROR(
    INDEX(FILTER('Arrived Shipments'!O:O, 'Arrived Shipments'!B:B=$B1048),1),
    IFERROR(
        INDEX(FILTER('POed not arrived'!D:D, 'POed not arrived'!A:A=$B1048),1),
        """"
    )
)"),"")</f>
        <v/>
      </c>
      <c r="M1048" s="197"/>
      <c r="N1048" s="223" t="str">
        <f>IFERROR(__xludf.DUMMYFUNCTION("IFERROR(
    INDEX(FILTER('Arrived Shipments'!O:O, 'Arrived Shipments'!B:B=$B1048),2),
    IFERROR(
        INDEX(FILTER('POed not arrived'!D:D, 'POed not arrived'!A:A=$B1048),2),
        """"
    )
)"),"")</f>
        <v/>
      </c>
      <c r="O1048" s="197"/>
      <c r="P1048" s="202" t="str">
        <f>IFERROR(__xludf.DUMMYFUNCTION("IFERROR(
    INDEX(FILTER('Arrived Shipments'!O:O, 'Arrived Shipments'!B:B=$B1048),3),
    IFERROR(
        INDEX(FILTER('POed not arrived'!D:D, 'POed not arrived'!A:A=$B1048),3),
        """"
    )
)"),"")</f>
        <v/>
      </c>
      <c r="Q1048" s="197"/>
      <c r="R1048" s="206" t="str">
        <f>IFERROR(__xludf.DUMMYFUNCTION("IFERROR(
    INDEX(FILTER('Arrived Shipments'!O:O, 'Arrived Shipments'!B:B=$B1048),4),
    IFERROR(
        INDEX(FILTER('POed not arrived'!D:D, 'POed not arrived'!A:A=$B1048),4),
        """"
    )
)"),"")</f>
        <v/>
      </c>
      <c r="S1048" s="197"/>
      <c r="T1048" s="202">
        <f t="shared" si="8"/>
        <v>0</v>
      </c>
      <c r="U1048" s="197"/>
      <c r="V1048" s="197"/>
      <c r="W1048" s="197"/>
      <c r="X1048" s="197"/>
      <c r="Y1048" s="197"/>
      <c r="Z1048" s="197"/>
      <c r="AA1048" s="204" t="str">
        <f t="shared" si="4"/>
        <v/>
      </c>
      <c r="AB1048" s="197"/>
      <c r="AC1048" s="197"/>
      <c r="AD1048" s="197"/>
      <c r="AE1048" s="197"/>
      <c r="AF1048" s="197"/>
      <c r="AG1048" s="197"/>
      <c r="AH1048" s="197"/>
      <c r="AI1048" s="197"/>
      <c r="AJ1048" s="197"/>
      <c r="AK1048" s="197"/>
      <c r="AL1048" s="197"/>
      <c r="AM1048" s="197"/>
      <c r="AN1048" s="197"/>
      <c r="AO1048" s="197"/>
      <c r="AP1048" s="197"/>
      <c r="AQ1048" s="197"/>
      <c r="AR1048" s="197"/>
      <c r="AS1048" s="197"/>
    </row>
    <row r="1049">
      <c r="A1049" s="198"/>
      <c r="B1049" s="197"/>
      <c r="C1049" s="197"/>
      <c r="D1049" s="197"/>
      <c r="E1049" s="197"/>
      <c r="F1049" s="197"/>
      <c r="G1049" s="197"/>
      <c r="H1049" s="197"/>
      <c r="I1049" s="197"/>
      <c r="J1049" s="197"/>
      <c r="K1049" s="197"/>
      <c r="L1049" s="205" t="str">
        <f>IFERROR(__xludf.DUMMYFUNCTION("IFERROR(
    INDEX(FILTER('Arrived Shipments'!O:O, 'Arrived Shipments'!B:B=$B1049),1),
    IFERROR(
        INDEX(FILTER('POed not arrived'!D:D, 'POed not arrived'!A:A=$B1049),1),
        """"
    )
)"),"")</f>
        <v/>
      </c>
      <c r="M1049" s="197"/>
      <c r="N1049" s="223" t="str">
        <f>IFERROR(__xludf.DUMMYFUNCTION("IFERROR(
    INDEX(FILTER('Arrived Shipments'!O:O, 'Arrived Shipments'!B:B=$B1049),2),
    IFERROR(
        INDEX(FILTER('POed not arrived'!D:D, 'POed not arrived'!A:A=$B1049),2),
        """"
    )
)"),"")</f>
        <v/>
      </c>
      <c r="O1049" s="197"/>
      <c r="P1049" s="202" t="str">
        <f>IFERROR(__xludf.DUMMYFUNCTION("IFERROR(
    INDEX(FILTER('Arrived Shipments'!O:O, 'Arrived Shipments'!B:B=$B1049),3),
    IFERROR(
        INDEX(FILTER('POed not arrived'!D:D, 'POed not arrived'!A:A=$B1049),3),
        """"
    )
)"),"")</f>
        <v/>
      </c>
      <c r="Q1049" s="197"/>
      <c r="R1049" s="206" t="str">
        <f>IFERROR(__xludf.DUMMYFUNCTION("IFERROR(
    INDEX(FILTER('Arrived Shipments'!O:O, 'Arrived Shipments'!B:B=$B1049),4),
    IFERROR(
        INDEX(FILTER('POed not arrived'!D:D, 'POed not arrived'!A:A=$B1049),4),
        """"
    )
)"),"")</f>
        <v/>
      </c>
      <c r="S1049" s="197"/>
      <c r="T1049" s="202">
        <f t="shared" si="8"/>
        <v>0</v>
      </c>
      <c r="U1049" s="197"/>
      <c r="V1049" s="197"/>
      <c r="W1049" s="197"/>
      <c r="X1049" s="197"/>
      <c r="Y1049" s="197"/>
      <c r="Z1049" s="197"/>
      <c r="AA1049" s="204" t="str">
        <f t="shared" si="4"/>
        <v/>
      </c>
      <c r="AB1049" s="197"/>
      <c r="AC1049" s="197"/>
      <c r="AD1049" s="197"/>
      <c r="AE1049" s="197"/>
      <c r="AF1049" s="197"/>
      <c r="AG1049" s="197"/>
      <c r="AH1049" s="197"/>
      <c r="AI1049" s="197"/>
      <c r="AJ1049" s="197"/>
      <c r="AK1049" s="197"/>
      <c r="AL1049" s="197"/>
      <c r="AM1049" s="197"/>
      <c r="AN1049" s="197"/>
      <c r="AO1049" s="197"/>
      <c r="AP1049" s="197"/>
      <c r="AQ1049" s="197"/>
      <c r="AR1049" s="197"/>
      <c r="AS1049" s="197"/>
    </row>
    <row r="1050">
      <c r="A1050" s="198"/>
      <c r="B1050" s="197"/>
      <c r="C1050" s="197"/>
      <c r="D1050" s="197"/>
      <c r="E1050" s="197"/>
      <c r="F1050" s="197"/>
      <c r="G1050" s="197"/>
      <c r="H1050" s="197"/>
      <c r="I1050" s="197"/>
      <c r="J1050" s="197"/>
      <c r="K1050" s="197"/>
      <c r="L1050" s="205" t="str">
        <f>IFERROR(__xludf.DUMMYFUNCTION("IFERROR(
    INDEX(FILTER('Arrived Shipments'!O:O, 'Arrived Shipments'!B:B=$B1050),1),
    IFERROR(
        INDEX(FILTER('POed not arrived'!D:D, 'POed not arrived'!A:A=$B1050),1),
        """"
    )
)"),"")</f>
        <v/>
      </c>
      <c r="M1050" s="197"/>
      <c r="N1050" s="223" t="str">
        <f>IFERROR(__xludf.DUMMYFUNCTION("IFERROR(
    INDEX(FILTER('Arrived Shipments'!O:O, 'Arrived Shipments'!B:B=$B1050),2),
    IFERROR(
        INDEX(FILTER('POed not arrived'!D:D, 'POed not arrived'!A:A=$B1050),2),
        """"
    )
)"),"")</f>
        <v/>
      </c>
      <c r="O1050" s="197"/>
      <c r="P1050" s="202" t="str">
        <f>IFERROR(__xludf.DUMMYFUNCTION("IFERROR(
    INDEX(FILTER('Arrived Shipments'!O:O, 'Arrived Shipments'!B:B=$B1050),3),
    IFERROR(
        INDEX(FILTER('POed not arrived'!D:D, 'POed not arrived'!A:A=$B1050),3),
        """"
    )
)"),"")</f>
        <v/>
      </c>
      <c r="Q1050" s="197"/>
      <c r="R1050" s="206" t="str">
        <f>IFERROR(__xludf.DUMMYFUNCTION("IFERROR(
    INDEX(FILTER('Arrived Shipments'!O:O, 'Arrived Shipments'!B:B=$B1050),4),
    IFERROR(
        INDEX(FILTER('POed not arrived'!D:D, 'POed not arrived'!A:A=$B1050),4),
        """"
    )
)"),"")</f>
        <v/>
      </c>
      <c r="S1050" s="197"/>
      <c r="T1050" s="202">
        <f t="shared" si="8"/>
        <v>0</v>
      </c>
      <c r="U1050" s="197"/>
      <c r="V1050" s="197"/>
      <c r="W1050" s="197"/>
      <c r="X1050" s="197"/>
      <c r="Y1050" s="197"/>
      <c r="Z1050" s="197"/>
      <c r="AA1050" s="204" t="str">
        <f t="shared" si="4"/>
        <v/>
      </c>
      <c r="AB1050" s="197"/>
      <c r="AC1050" s="197"/>
      <c r="AD1050" s="197"/>
      <c r="AE1050" s="197"/>
      <c r="AF1050" s="197"/>
      <c r="AG1050" s="197"/>
      <c r="AH1050" s="197"/>
      <c r="AI1050" s="197"/>
      <c r="AJ1050" s="197"/>
      <c r="AK1050" s="197"/>
      <c r="AL1050" s="197"/>
      <c r="AM1050" s="197"/>
      <c r="AN1050" s="197"/>
      <c r="AO1050" s="197"/>
      <c r="AP1050" s="197"/>
      <c r="AQ1050" s="197"/>
      <c r="AR1050" s="197"/>
      <c r="AS1050" s="197"/>
    </row>
    <row r="1051">
      <c r="A1051" s="198"/>
      <c r="B1051" s="197"/>
      <c r="C1051" s="197"/>
      <c r="D1051" s="197"/>
      <c r="E1051" s="197"/>
      <c r="F1051" s="197"/>
      <c r="G1051" s="197"/>
      <c r="H1051" s="197"/>
      <c r="I1051" s="197"/>
      <c r="J1051" s="197"/>
      <c r="K1051" s="197"/>
      <c r="L1051" s="205" t="str">
        <f>IFERROR(__xludf.DUMMYFUNCTION("IFERROR(
    INDEX(FILTER('Arrived Shipments'!O:O, 'Arrived Shipments'!B:B=$B1051),1),
    IFERROR(
        INDEX(FILTER('POed not arrived'!D:D, 'POed not arrived'!A:A=$B1051),1),
        """"
    )
)"),"")</f>
        <v/>
      </c>
      <c r="M1051" s="197"/>
      <c r="N1051" s="223" t="str">
        <f>IFERROR(__xludf.DUMMYFUNCTION("IFERROR(
    INDEX(FILTER('Arrived Shipments'!O:O, 'Arrived Shipments'!B:B=$B1051),2),
    IFERROR(
        INDEX(FILTER('POed not arrived'!D:D, 'POed not arrived'!A:A=$B1051),2),
        """"
    )
)"),"")</f>
        <v/>
      </c>
      <c r="O1051" s="197"/>
      <c r="P1051" s="202" t="str">
        <f>IFERROR(__xludf.DUMMYFUNCTION("IFERROR(
    INDEX(FILTER('Arrived Shipments'!O:O, 'Arrived Shipments'!B:B=$B1051),3),
    IFERROR(
        INDEX(FILTER('POed not arrived'!D:D, 'POed not arrived'!A:A=$B1051),3),
        """"
    )
)"),"")</f>
        <v/>
      </c>
      <c r="Q1051" s="197"/>
      <c r="R1051" s="206" t="str">
        <f>IFERROR(__xludf.DUMMYFUNCTION("IFERROR(
    INDEX(FILTER('Arrived Shipments'!O:O, 'Arrived Shipments'!B:B=$B1051),4),
    IFERROR(
        INDEX(FILTER('POed not arrived'!D:D, 'POed not arrived'!A:A=$B1051),4),
        """"
    )
)"),"")</f>
        <v/>
      </c>
      <c r="S1051" s="197"/>
      <c r="T1051" s="202">
        <f t="shared" si="8"/>
        <v>0</v>
      </c>
      <c r="U1051" s="197"/>
      <c r="V1051" s="197"/>
      <c r="W1051" s="197"/>
      <c r="X1051" s="197"/>
      <c r="Y1051" s="197"/>
      <c r="Z1051" s="197"/>
      <c r="AA1051" s="204" t="str">
        <f t="shared" si="4"/>
        <v/>
      </c>
      <c r="AB1051" s="197"/>
      <c r="AC1051" s="197"/>
      <c r="AD1051" s="197"/>
      <c r="AE1051" s="197"/>
      <c r="AF1051" s="197"/>
      <c r="AG1051" s="197"/>
      <c r="AH1051" s="197"/>
      <c r="AI1051" s="197"/>
      <c r="AJ1051" s="197"/>
      <c r="AK1051" s="197"/>
      <c r="AL1051" s="197"/>
      <c r="AM1051" s="197"/>
      <c r="AN1051" s="197"/>
      <c r="AO1051" s="197"/>
      <c r="AP1051" s="197"/>
      <c r="AQ1051" s="197"/>
      <c r="AR1051" s="197"/>
      <c r="AS1051" s="197"/>
    </row>
    <row r="1052">
      <c r="A1052" s="198"/>
      <c r="B1052" s="197"/>
      <c r="C1052" s="197"/>
      <c r="D1052" s="197"/>
      <c r="E1052" s="197"/>
      <c r="F1052" s="197"/>
      <c r="G1052" s="197"/>
      <c r="H1052" s="197"/>
      <c r="I1052" s="197"/>
      <c r="J1052" s="197"/>
      <c r="K1052" s="197"/>
      <c r="L1052" s="205" t="str">
        <f>IFERROR(__xludf.DUMMYFUNCTION("IFERROR(
    INDEX(FILTER('Arrived Shipments'!O:O, 'Arrived Shipments'!B:B=$B1052),1),
    IFERROR(
        INDEX(FILTER('POed not arrived'!D:D, 'POed not arrived'!A:A=$B1052),1),
        """"
    )
)"),"")</f>
        <v/>
      </c>
      <c r="M1052" s="197"/>
      <c r="N1052" s="223" t="str">
        <f>IFERROR(__xludf.DUMMYFUNCTION("IFERROR(
    INDEX(FILTER('Arrived Shipments'!O:O, 'Arrived Shipments'!B:B=$B1052),2),
    IFERROR(
        INDEX(FILTER('POed not arrived'!D:D, 'POed not arrived'!A:A=$B1052),2),
        """"
    )
)"),"")</f>
        <v/>
      </c>
      <c r="O1052" s="197"/>
      <c r="P1052" s="202" t="str">
        <f>IFERROR(__xludf.DUMMYFUNCTION("IFERROR(
    INDEX(FILTER('Arrived Shipments'!O:O, 'Arrived Shipments'!B:B=$B1052),3),
    IFERROR(
        INDEX(FILTER('POed not arrived'!D:D, 'POed not arrived'!A:A=$B1052),3),
        """"
    )
)"),"")</f>
        <v/>
      </c>
      <c r="Q1052" s="197"/>
      <c r="R1052" s="206" t="str">
        <f>IFERROR(__xludf.DUMMYFUNCTION("IFERROR(
    INDEX(FILTER('Arrived Shipments'!O:O, 'Arrived Shipments'!B:B=$B1052),4),
    IFERROR(
        INDEX(FILTER('POed not arrived'!D:D, 'POed not arrived'!A:A=$B1052),4),
        """"
    )
)"),"")</f>
        <v/>
      </c>
      <c r="S1052" s="197"/>
      <c r="T1052" s="202">
        <f t="shared" si="8"/>
        <v>0</v>
      </c>
      <c r="U1052" s="197"/>
      <c r="V1052" s="197"/>
      <c r="W1052" s="197"/>
      <c r="X1052" s="197"/>
      <c r="Y1052" s="197"/>
      <c r="Z1052" s="197"/>
      <c r="AA1052" s="204" t="str">
        <f t="shared" si="4"/>
        <v/>
      </c>
      <c r="AB1052" s="197"/>
      <c r="AC1052" s="197"/>
      <c r="AD1052" s="197"/>
      <c r="AE1052" s="197"/>
      <c r="AF1052" s="197"/>
      <c r="AG1052" s="197"/>
      <c r="AH1052" s="197"/>
      <c r="AI1052" s="197"/>
      <c r="AJ1052" s="197"/>
      <c r="AK1052" s="197"/>
      <c r="AL1052" s="197"/>
      <c r="AM1052" s="197"/>
      <c r="AN1052" s="197"/>
      <c r="AO1052" s="197"/>
      <c r="AP1052" s="197"/>
      <c r="AQ1052" s="197"/>
      <c r="AR1052" s="197"/>
      <c r="AS1052" s="197"/>
    </row>
    <row r="1053">
      <c r="A1053" s="198"/>
      <c r="B1053" s="197"/>
      <c r="C1053" s="197"/>
      <c r="D1053" s="197"/>
      <c r="E1053" s="197"/>
      <c r="F1053" s="197"/>
      <c r="G1053" s="197"/>
      <c r="H1053" s="197"/>
      <c r="I1053" s="197"/>
      <c r="J1053" s="197"/>
      <c r="K1053" s="197"/>
      <c r="L1053" s="205" t="str">
        <f>IFERROR(__xludf.DUMMYFUNCTION("IFERROR(
    INDEX(FILTER('Arrived Shipments'!O:O, 'Arrived Shipments'!B:B=$B1053),1),
    IFERROR(
        INDEX(FILTER('POed not arrived'!D:D, 'POed not arrived'!A:A=$B1053),1),
        """"
    )
)"),"")</f>
        <v/>
      </c>
      <c r="M1053" s="197"/>
      <c r="N1053" s="223" t="str">
        <f>IFERROR(__xludf.DUMMYFUNCTION("IFERROR(
    INDEX(FILTER('Arrived Shipments'!O:O, 'Arrived Shipments'!B:B=$B1053),2),
    IFERROR(
        INDEX(FILTER('POed not arrived'!D:D, 'POed not arrived'!A:A=$B1053),2),
        """"
    )
)"),"")</f>
        <v/>
      </c>
      <c r="O1053" s="197"/>
      <c r="P1053" s="202" t="str">
        <f>IFERROR(__xludf.DUMMYFUNCTION("IFERROR(
    INDEX(FILTER('Arrived Shipments'!O:O, 'Arrived Shipments'!B:B=$B1053),3),
    IFERROR(
        INDEX(FILTER('POed not arrived'!D:D, 'POed not arrived'!A:A=$B1053),3),
        """"
    )
)"),"")</f>
        <v/>
      </c>
      <c r="Q1053" s="197"/>
      <c r="R1053" s="206" t="str">
        <f>IFERROR(__xludf.DUMMYFUNCTION("IFERROR(
    INDEX(FILTER('Arrived Shipments'!O:O, 'Arrived Shipments'!B:B=$B1053),4),
    IFERROR(
        INDEX(FILTER('POed not arrived'!D:D, 'POed not arrived'!A:A=$B1053),4),
        """"
    )
)"),"")</f>
        <v/>
      </c>
      <c r="S1053" s="197"/>
      <c r="T1053" s="202">
        <f t="shared" si="8"/>
        <v>0</v>
      </c>
      <c r="U1053" s="197"/>
      <c r="V1053" s="197"/>
      <c r="W1053" s="197"/>
      <c r="X1053" s="197"/>
      <c r="Y1053" s="197"/>
      <c r="Z1053" s="197"/>
      <c r="AA1053" s="204" t="str">
        <f t="shared" si="4"/>
        <v/>
      </c>
      <c r="AB1053" s="197"/>
      <c r="AC1053" s="197"/>
      <c r="AD1053" s="197"/>
      <c r="AE1053" s="197"/>
      <c r="AF1053" s="197"/>
      <c r="AG1053" s="197"/>
      <c r="AH1053" s="197"/>
      <c r="AI1053" s="197"/>
      <c r="AJ1053" s="197"/>
      <c r="AK1053" s="197"/>
      <c r="AL1053" s="197"/>
      <c r="AM1053" s="197"/>
      <c r="AN1053" s="197"/>
      <c r="AO1053" s="197"/>
      <c r="AP1053" s="197"/>
      <c r="AQ1053" s="197"/>
      <c r="AR1053" s="197"/>
      <c r="AS1053" s="197"/>
    </row>
    <row r="1054">
      <c r="A1054" s="198"/>
      <c r="B1054" s="197"/>
      <c r="C1054" s="197"/>
      <c r="D1054" s="197"/>
      <c r="E1054" s="197"/>
      <c r="F1054" s="197"/>
      <c r="G1054" s="197"/>
      <c r="H1054" s="197"/>
      <c r="I1054" s="197"/>
      <c r="J1054" s="197"/>
      <c r="K1054" s="197"/>
      <c r="L1054" s="205" t="str">
        <f>IFERROR(__xludf.DUMMYFUNCTION("IFERROR(
    INDEX(FILTER('Arrived Shipments'!O:O, 'Arrived Shipments'!B:B=$B1054),1),
    IFERROR(
        INDEX(FILTER('POed not arrived'!D:D, 'POed not arrived'!A:A=$B1054),1),
        """"
    )
)"),"")</f>
        <v/>
      </c>
      <c r="M1054" s="197"/>
      <c r="N1054" s="223" t="str">
        <f>IFERROR(__xludf.DUMMYFUNCTION("IFERROR(
    INDEX(FILTER('Arrived Shipments'!O:O, 'Arrived Shipments'!B:B=$B1054),2),
    IFERROR(
        INDEX(FILTER('POed not arrived'!D:D, 'POed not arrived'!A:A=$B1054),2),
        """"
    )
)"),"")</f>
        <v/>
      </c>
      <c r="O1054" s="197"/>
      <c r="P1054" s="202" t="str">
        <f>IFERROR(__xludf.DUMMYFUNCTION("IFERROR(
    INDEX(FILTER('Arrived Shipments'!O:O, 'Arrived Shipments'!B:B=$B1054),3),
    IFERROR(
        INDEX(FILTER('POed not arrived'!D:D, 'POed not arrived'!A:A=$B1054),3),
        """"
    )
)"),"")</f>
        <v/>
      </c>
      <c r="Q1054" s="197"/>
      <c r="R1054" s="206" t="str">
        <f>IFERROR(__xludf.DUMMYFUNCTION("IFERROR(
    INDEX(FILTER('Arrived Shipments'!O:O, 'Arrived Shipments'!B:B=$B1054),4),
    IFERROR(
        INDEX(FILTER('POed not arrived'!D:D, 'POed not arrived'!A:A=$B1054),4),
        """"
    )
)"),"")</f>
        <v/>
      </c>
      <c r="S1054" s="197"/>
      <c r="T1054" s="202">
        <f t="shared" si="8"/>
        <v>0</v>
      </c>
      <c r="U1054" s="197"/>
      <c r="V1054" s="197"/>
      <c r="W1054" s="197"/>
      <c r="X1054" s="197"/>
      <c r="Y1054" s="197"/>
      <c r="Z1054" s="197"/>
      <c r="AA1054" s="204" t="str">
        <f t="shared" si="4"/>
        <v/>
      </c>
      <c r="AB1054" s="197"/>
      <c r="AC1054" s="197"/>
      <c r="AD1054" s="197"/>
      <c r="AE1054" s="197"/>
      <c r="AF1054" s="197"/>
      <c r="AG1054" s="197"/>
      <c r="AH1054" s="197"/>
      <c r="AI1054" s="197"/>
      <c r="AJ1054" s="197"/>
      <c r="AK1054" s="197"/>
      <c r="AL1054" s="197"/>
      <c r="AM1054" s="197"/>
      <c r="AN1054" s="197"/>
      <c r="AO1054" s="197"/>
      <c r="AP1054" s="197"/>
      <c r="AQ1054" s="197"/>
      <c r="AR1054" s="197"/>
      <c r="AS1054" s="197"/>
    </row>
    <row r="1055">
      <c r="A1055" s="198"/>
      <c r="B1055" s="197"/>
      <c r="C1055" s="197"/>
      <c r="D1055" s="197"/>
      <c r="E1055" s="197"/>
      <c r="F1055" s="197"/>
      <c r="G1055" s="197"/>
      <c r="H1055" s="197"/>
      <c r="I1055" s="197"/>
      <c r="J1055" s="197"/>
      <c r="K1055" s="197"/>
      <c r="L1055" s="205" t="str">
        <f>IFERROR(__xludf.DUMMYFUNCTION("IFERROR(
    INDEX(FILTER('Arrived Shipments'!O:O, 'Arrived Shipments'!B:B=$B1055),1),
    IFERROR(
        INDEX(FILTER('POed not arrived'!D:D, 'POed not arrived'!A:A=$B1055),1),
        """"
    )
)"),"")</f>
        <v/>
      </c>
      <c r="M1055" s="197"/>
      <c r="N1055" s="223" t="str">
        <f>IFERROR(__xludf.DUMMYFUNCTION("IFERROR(
    INDEX(FILTER('Arrived Shipments'!O:O, 'Arrived Shipments'!B:B=$B1055),2),
    IFERROR(
        INDEX(FILTER('POed not arrived'!D:D, 'POed not arrived'!A:A=$B1055),2),
        """"
    )
)"),"")</f>
        <v/>
      </c>
      <c r="O1055" s="197"/>
      <c r="P1055" s="202" t="str">
        <f>IFERROR(__xludf.DUMMYFUNCTION("IFERROR(
    INDEX(FILTER('Arrived Shipments'!O:O, 'Arrived Shipments'!B:B=$B1055),3),
    IFERROR(
        INDEX(FILTER('POed not arrived'!D:D, 'POed not arrived'!A:A=$B1055),3),
        """"
    )
)"),"")</f>
        <v/>
      </c>
      <c r="Q1055" s="197"/>
      <c r="R1055" s="206" t="str">
        <f>IFERROR(__xludf.DUMMYFUNCTION("IFERROR(
    INDEX(FILTER('Arrived Shipments'!O:O, 'Arrived Shipments'!B:B=$B1055),4),
    IFERROR(
        INDEX(FILTER('POed not arrived'!D:D, 'POed not arrived'!A:A=$B1055),4),
        """"
    )
)"),"")</f>
        <v/>
      </c>
      <c r="S1055" s="197"/>
      <c r="T1055" s="202">
        <f t="shared" si="8"/>
        <v>0</v>
      </c>
      <c r="U1055" s="197"/>
      <c r="V1055" s="197"/>
      <c r="W1055" s="197"/>
      <c r="X1055" s="197"/>
      <c r="Y1055" s="197"/>
      <c r="Z1055" s="197"/>
      <c r="AA1055" s="204" t="str">
        <f t="shared" si="4"/>
        <v/>
      </c>
      <c r="AB1055" s="197"/>
      <c r="AC1055" s="197"/>
      <c r="AD1055" s="197"/>
      <c r="AE1055" s="197"/>
      <c r="AF1055" s="197"/>
      <c r="AG1055" s="197"/>
      <c r="AH1055" s="197"/>
      <c r="AI1055" s="197"/>
      <c r="AJ1055" s="197"/>
      <c r="AK1055" s="197"/>
      <c r="AL1055" s="197"/>
      <c r="AM1055" s="197"/>
      <c r="AN1055" s="197"/>
      <c r="AO1055" s="197"/>
      <c r="AP1055" s="197"/>
      <c r="AQ1055" s="197"/>
      <c r="AR1055" s="197"/>
      <c r="AS1055" s="197"/>
    </row>
    <row r="1056">
      <c r="A1056" s="198"/>
      <c r="B1056" s="197"/>
      <c r="C1056" s="197"/>
      <c r="D1056" s="197"/>
      <c r="E1056" s="197"/>
      <c r="F1056" s="197"/>
      <c r="G1056" s="197"/>
      <c r="H1056" s="197"/>
      <c r="I1056" s="197"/>
      <c r="J1056" s="197"/>
      <c r="K1056" s="197"/>
      <c r="L1056" s="205" t="str">
        <f>IFERROR(__xludf.DUMMYFUNCTION("IFERROR(
    INDEX(FILTER('Arrived Shipments'!O:O, 'Arrived Shipments'!B:B=$B1056),1),
    IFERROR(
        INDEX(FILTER('POed not arrived'!D:D, 'POed not arrived'!A:A=$B1056),1),
        """"
    )
)"),"")</f>
        <v/>
      </c>
      <c r="M1056" s="197"/>
      <c r="N1056" s="223" t="str">
        <f>IFERROR(__xludf.DUMMYFUNCTION("IFERROR(
    INDEX(FILTER('Arrived Shipments'!O:O, 'Arrived Shipments'!B:B=$B1056),2),
    IFERROR(
        INDEX(FILTER('POed not arrived'!D:D, 'POed not arrived'!A:A=$B1056),2),
        """"
    )
)"),"")</f>
        <v/>
      </c>
      <c r="O1056" s="197"/>
      <c r="P1056" s="202" t="str">
        <f>IFERROR(__xludf.DUMMYFUNCTION("IFERROR(
    INDEX(FILTER('Arrived Shipments'!O:O, 'Arrived Shipments'!B:B=$B1056),3),
    IFERROR(
        INDEX(FILTER('POed not arrived'!D:D, 'POed not arrived'!A:A=$B1056),3),
        """"
    )
)"),"")</f>
        <v/>
      </c>
      <c r="Q1056" s="197"/>
      <c r="R1056" s="206" t="str">
        <f>IFERROR(__xludf.DUMMYFUNCTION("IFERROR(
    INDEX(FILTER('Arrived Shipments'!O:O, 'Arrived Shipments'!B:B=$B1056),4),
    IFERROR(
        INDEX(FILTER('POed not arrived'!D:D, 'POed not arrived'!A:A=$B1056),4),
        """"
    )
)"),"")</f>
        <v/>
      </c>
      <c r="S1056" s="197"/>
      <c r="T1056" s="202">
        <f t="shared" si="8"/>
        <v>0</v>
      </c>
      <c r="U1056" s="197"/>
      <c r="V1056" s="197"/>
      <c r="W1056" s="197"/>
      <c r="X1056" s="197"/>
      <c r="Y1056" s="197"/>
      <c r="Z1056" s="197"/>
      <c r="AA1056" s="204" t="str">
        <f t="shared" si="4"/>
        <v/>
      </c>
      <c r="AB1056" s="197"/>
      <c r="AC1056" s="197"/>
      <c r="AD1056" s="197"/>
      <c r="AE1056" s="197"/>
      <c r="AF1056" s="197"/>
      <c r="AG1056" s="197"/>
      <c r="AH1056" s="197"/>
      <c r="AI1056" s="197"/>
      <c r="AJ1056" s="197"/>
      <c r="AK1056" s="197"/>
      <c r="AL1056" s="197"/>
      <c r="AM1056" s="197"/>
      <c r="AN1056" s="197"/>
      <c r="AO1056" s="197"/>
      <c r="AP1056" s="197"/>
      <c r="AQ1056" s="197"/>
      <c r="AR1056" s="197"/>
      <c r="AS1056" s="197"/>
    </row>
    <row r="1057">
      <c r="A1057" s="198"/>
      <c r="B1057" s="197"/>
      <c r="C1057" s="197"/>
      <c r="D1057" s="197"/>
      <c r="E1057" s="197"/>
      <c r="F1057" s="197"/>
      <c r="G1057" s="197"/>
      <c r="H1057" s="197"/>
      <c r="I1057" s="197"/>
      <c r="J1057" s="197"/>
      <c r="K1057" s="197"/>
      <c r="L1057" s="205" t="str">
        <f>IFERROR(__xludf.DUMMYFUNCTION("IFERROR(
    INDEX(FILTER('Arrived Shipments'!O:O, 'Arrived Shipments'!B:B=$B1057),1),
    IFERROR(
        INDEX(FILTER('POed not arrived'!D:D, 'POed not arrived'!A:A=$B1057),1),
        """"
    )
)"),"")</f>
        <v/>
      </c>
      <c r="M1057" s="197"/>
      <c r="N1057" s="223" t="str">
        <f>IFERROR(__xludf.DUMMYFUNCTION("IFERROR(
    INDEX(FILTER('Arrived Shipments'!O:O, 'Arrived Shipments'!B:B=$B1057),2),
    IFERROR(
        INDEX(FILTER('POed not arrived'!D:D, 'POed not arrived'!A:A=$B1057),2),
        """"
    )
)"),"")</f>
        <v/>
      </c>
      <c r="O1057" s="197"/>
      <c r="P1057" s="202" t="str">
        <f>IFERROR(__xludf.DUMMYFUNCTION("IFERROR(
    INDEX(FILTER('Arrived Shipments'!O:O, 'Arrived Shipments'!B:B=$B1057),3),
    IFERROR(
        INDEX(FILTER('POed not arrived'!D:D, 'POed not arrived'!A:A=$B1057),3),
        """"
    )
)"),"")</f>
        <v/>
      </c>
      <c r="Q1057" s="197"/>
      <c r="R1057" s="206" t="str">
        <f>IFERROR(__xludf.DUMMYFUNCTION("IFERROR(
    INDEX(FILTER('Arrived Shipments'!O:O, 'Arrived Shipments'!B:B=$B1057),4),
    IFERROR(
        INDEX(FILTER('POed not arrived'!D:D, 'POed not arrived'!A:A=$B1057),4),
        """"
    )
)"),"")</f>
        <v/>
      </c>
      <c r="S1057" s="197"/>
      <c r="T1057" s="202">
        <f t="shared" si="8"/>
        <v>0</v>
      </c>
      <c r="U1057" s="197"/>
      <c r="V1057" s="197"/>
      <c r="W1057" s="197"/>
      <c r="X1057" s="197"/>
      <c r="Y1057" s="197"/>
      <c r="Z1057" s="197"/>
      <c r="AA1057" s="204" t="str">
        <f t="shared" si="4"/>
        <v/>
      </c>
      <c r="AB1057" s="197"/>
      <c r="AC1057" s="197"/>
      <c r="AD1057" s="197"/>
      <c r="AE1057" s="197"/>
      <c r="AF1057" s="197"/>
      <c r="AG1057" s="197"/>
      <c r="AH1057" s="197"/>
      <c r="AI1057" s="197"/>
      <c r="AJ1057" s="197"/>
      <c r="AK1057" s="197"/>
      <c r="AL1057" s="197"/>
      <c r="AM1057" s="197"/>
      <c r="AN1057" s="197"/>
      <c r="AO1057" s="197"/>
      <c r="AP1057" s="197"/>
      <c r="AQ1057" s="197"/>
      <c r="AR1057" s="197"/>
      <c r="AS1057" s="197"/>
    </row>
    <row r="1058">
      <c r="A1058" s="198"/>
      <c r="B1058" s="197"/>
      <c r="C1058" s="197"/>
      <c r="D1058" s="197"/>
      <c r="E1058" s="197"/>
      <c r="F1058" s="197"/>
      <c r="G1058" s="197"/>
      <c r="H1058" s="197"/>
      <c r="I1058" s="197"/>
      <c r="J1058" s="197"/>
      <c r="K1058" s="197"/>
      <c r="L1058" s="205" t="str">
        <f>IFERROR(__xludf.DUMMYFUNCTION("IFERROR(
    INDEX(FILTER('Arrived Shipments'!O:O, 'Arrived Shipments'!B:B=$B1058),1),
    IFERROR(
        INDEX(FILTER('POed not arrived'!D:D, 'POed not arrived'!A:A=$B1058),1),
        """"
    )
)"),"")</f>
        <v/>
      </c>
      <c r="M1058" s="197"/>
      <c r="N1058" s="223" t="str">
        <f>IFERROR(__xludf.DUMMYFUNCTION("IFERROR(
    INDEX(FILTER('Arrived Shipments'!O:O, 'Arrived Shipments'!B:B=$B1058),2),
    IFERROR(
        INDEX(FILTER('POed not arrived'!D:D, 'POed not arrived'!A:A=$B1058),2),
        """"
    )
)"),"")</f>
        <v/>
      </c>
      <c r="O1058" s="197"/>
      <c r="P1058" s="202" t="str">
        <f>IFERROR(__xludf.DUMMYFUNCTION("IFERROR(
    INDEX(FILTER('Arrived Shipments'!O:O, 'Arrived Shipments'!B:B=$B1058),3),
    IFERROR(
        INDEX(FILTER('POed not arrived'!D:D, 'POed not arrived'!A:A=$B1058),3),
        """"
    )
)"),"")</f>
        <v/>
      </c>
      <c r="Q1058" s="197"/>
      <c r="R1058" s="206" t="str">
        <f>IFERROR(__xludf.DUMMYFUNCTION("IFERROR(
    INDEX(FILTER('Arrived Shipments'!O:O, 'Arrived Shipments'!B:B=$B1058),4),
    IFERROR(
        INDEX(FILTER('POed not arrived'!D:D, 'POed not arrived'!A:A=$B1058),4),
        """"
    )
)"),"")</f>
        <v/>
      </c>
      <c r="S1058" s="197"/>
      <c r="T1058" s="202">
        <f t="shared" si="8"/>
        <v>0</v>
      </c>
      <c r="U1058" s="197"/>
      <c r="V1058" s="197"/>
      <c r="W1058" s="197"/>
      <c r="X1058" s="197"/>
      <c r="Y1058" s="197"/>
      <c r="Z1058" s="197"/>
      <c r="AA1058" s="204" t="str">
        <f t="shared" si="4"/>
        <v/>
      </c>
      <c r="AB1058" s="197"/>
      <c r="AC1058" s="197"/>
      <c r="AD1058" s="197"/>
      <c r="AE1058" s="197"/>
      <c r="AF1058" s="197"/>
      <c r="AG1058" s="197"/>
      <c r="AH1058" s="197"/>
      <c r="AI1058" s="197"/>
      <c r="AJ1058" s="197"/>
      <c r="AK1058" s="197"/>
      <c r="AL1058" s="197"/>
      <c r="AM1058" s="197"/>
      <c r="AN1058" s="197"/>
      <c r="AO1058" s="197"/>
      <c r="AP1058" s="197"/>
      <c r="AQ1058" s="197"/>
      <c r="AR1058" s="197"/>
      <c r="AS1058" s="197"/>
    </row>
    <row r="1059">
      <c r="A1059" s="198"/>
      <c r="B1059" s="197"/>
      <c r="C1059" s="197"/>
      <c r="D1059" s="197"/>
      <c r="E1059" s="197"/>
      <c r="F1059" s="197"/>
      <c r="G1059" s="197"/>
      <c r="H1059" s="197"/>
      <c r="I1059" s="197"/>
      <c r="J1059" s="197"/>
      <c r="K1059" s="197"/>
      <c r="L1059" s="205" t="str">
        <f>IFERROR(__xludf.DUMMYFUNCTION("IFERROR(
    INDEX(FILTER('Arrived Shipments'!O:O, 'Arrived Shipments'!B:B=$B1059),1),
    IFERROR(
        INDEX(FILTER('POed not arrived'!D:D, 'POed not arrived'!A:A=$B1059),1),
        """"
    )
)"),"")</f>
        <v/>
      </c>
      <c r="M1059" s="197"/>
      <c r="N1059" s="223" t="str">
        <f>IFERROR(__xludf.DUMMYFUNCTION("IFERROR(
    INDEX(FILTER('Arrived Shipments'!O:O, 'Arrived Shipments'!B:B=$B1059),2),
    IFERROR(
        INDEX(FILTER('POed not arrived'!D:D, 'POed not arrived'!A:A=$B1059),2),
        """"
    )
)"),"")</f>
        <v/>
      </c>
      <c r="O1059" s="197"/>
      <c r="P1059" s="202" t="str">
        <f>IFERROR(__xludf.DUMMYFUNCTION("IFERROR(
    INDEX(FILTER('Arrived Shipments'!O:O, 'Arrived Shipments'!B:B=$B1059),3),
    IFERROR(
        INDEX(FILTER('POed not arrived'!D:D, 'POed not arrived'!A:A=$B1059),3),
        """"
    )
)"),"")</f>
        <v/>
      </c>
      <c r="Q1059" s="197"/>
      <c r="R1059" s="206" t="str">
        <f>IFERROR(__xludf.DUMMYFUNCTION("IFERROR(
    INDEX(FILTER('Arrived Shipments'!O:O, 'Arrived Shipments'!B:B=$B1059),4),
    IFERROR(
        INDEX(FILTER('POed not arrived'!D:D, 'POed not arrived'!A:A=$B1059),4),
        """"
    )
)"),"")</f>
        <v/>
      </c>
      <c r="S1059" s="197"/>
      <c r="T1059" s="202">
        <f t="shared" si="8"/>
        <v>0</v>
      </c>
      <c r="U1059" s="197"/>
      <c r="V1059" s="197"/>
      <c r="W1059" s="197"/>
      <c r="X1059" s="197"/>
      <c r="Y1059" s="197"/>
      <c r="Z1059" s="197"/>
      <c r="AA1059" s="204" t="str">
        <f t="shared" si="4"/>
        <v/>
      </c>
      <c r="AB1059" s="197"/>
      <c r="AC1059" s="197"/>
      <c r="AD1059" s="197"/>
      <c r="AE1059" s="197"/>
      <c r="AF1059" s="197"/>
      <c r="AG1059" s="197"/>
      <c r="AH1059" s="197"/>
      <c r="AI1059" s="197"/>
      <c r="AJ1059" s="197"/>
      <c r="AK1059" s="197"/>
      <c r="AL1059" s="197"/>
      <c r="AM1059" s="197"/>
      <c r="AN1059" s="197"/>
      <c r="AO1059" s="197"/>
      <c r="AP1059" s="197"/>
      <c r="AQ1059" s="197"/>
      <c r="AR1059" s="197"/>
      <c r="AS1059" s="197"/>
    </row>
    <row r="1060">
      <c r="A1060" s="198"/>
      <c r="B1060" s="197"/>
      <c r="C1060" s="197"/>
      <c r="D1060" s="197"/>
      <c r="E1060" s="197"/>
      <c r="F1060" s="197"/>
      <c r="G1060" s="197"/>
      <c r="H1060" s="197"/>
      <c r="I1060" s="197"/>
      <c r="J1060" s="197"/>
      <c r="K1060" s="197"/>
      <c r="L1060" s="205" t="str">
        <f>IFERROR(__xludf.DUMMYFUNCTION("IFERROR(
    INDEX(FILTER('Arrived Shipments'!O:O, 'Arrived Shipments'!B:B=$B1060),1),
    IFERROR(
        INDEX(FILTER('POed not arrived'!D:D, 'POed not arrived'!A:A=$B1060),1),
        """"
    )
)"),"")</f>
        <v/>
      </c>
      <c r="M1060" s="197"/>
      <c r="N1060" s="223" t="str">
        <f>IFERROR(__xludf.DUMMYFUNCTION("IFERROR(
    INDEX(FILTER('Arrived Shipments'!O:O, 'Arrived Shipments'!B:B=$B1060),2),
    IFERROR(
        INDEX(FILTER('POed not arrived'!D:D, 'POed not arrived'!A:A=$B1060),2),
        """"
    )
)"),"")</f>
        <v/>
      </c>
      <c r="O1060" s="197"/>
      <c r="P1060" s="202" t="str">
        <f>IFERROR(__xludf.DUMMYFUNCTION("IFERROR(
    INDEX(FILTER('Arrived Shipments'!O:O, 'Arrived Shipments'!B:B=$B1060),3),
    IFERROR(
        INDEX(FILTER('POed not arrived'!D:D, 'POed not arrived'!A:A=$B1060),3),
        """"
    )
)"),"")</f>
        <v/>
      </c>
      <c r="Q1060" s="197"/>
      <c r="R1060" s="206" t="str">
        <f>IFERROR(__xludf.DUMMYFUNCTION("IFERROR(
    INDEX(FILTER('Arrived Shipments'!O:O, 'Arrived Shipments'!B:B=$B1060),4),
    IFERROR(
        INDEX(FILTER('POed not arrived'!D:D, 'POed not arrived'!A:A=$B1060),4),
        """"
    )
)"),"")</f>
        <v/>
      </c>
      <c r="S1060" s="197"/>
      <c r="T1060" s="202">
        <f t="shared" si="8"/>
        <v>0</v>
      </c>
      <c r="U1060" s="197"/>
      <c r="V1060" s="197"/>
      <c r="W1060" s="197"/>
      <c r="X1060" s="197"/>
      <c r="Y1060" s="197"/>
      <c r="Z1060" s="197"/>
      <c r="AA1060" s="204" t="str">
        <f t="shared" si="4"/>
        <v/>
      </c>
      <c r="AB1060" s="197"/>
      <c r="AC1060" s="197"/>
      <c r="AD1060" s="197"/>
      <c r="AE1060" s="197"/>
      <c r="AF1060" s="197"/>
      <c r="AG1060" s="197"/>
      <c r="AH1060" s="197"/>
      <c r="AI1060" s="197"/>
      <c r="AJ1060" s="197"/>
      <c r="AK1060" s="197"/>
      <c r="AL1060" s="197"/>
      <c r="AM1060" s="197"/>
      <c r="AN1060" s="197"/>
      <c r="AO1060" s="197"/>
      <c r="AP1060" s="197"/>
      <c r="AQ1060" s="197"/>
      <c r="AR1060" s="197"/>
      <c r="AS1060" s="197"/>
    </row>
    <row r="1061">
      <c r="A1061" s="198"/>
      <c r="B1061" s="197"/>
      <c r="C1061" s="197"/>
      <c r="D1061" s="197"/>
      <c r="E1061" s="197"/>
      <c r="F1061" s="197"/>
      <c r="G1061" s="197"/>
      <c r="H1061" s="197"/>
      <c r="I1061" s="197"/>
      <c r="J1061" s="197"/>
      <c r="K1061" s="197"/>
      <c r="L1061" s="205" t="str">
        <f>IFERROR(__xludf.DUMMYFUNCTION("IFERROR(
    INDEX(FILTER('Arrived Shipments'!O:O, 'Arrived Shipments'!B:B=$B1061),1),
    IFERROR(
        INDEX(FILTER('POed not arrived'!D:D, 'POed not arrived'!A:A=$B1061),1),
        """"
    )
)"),"")</f>
        <v/>
      </c>
      <c r="M1061" s="197"/>
      <c r="N1061" s="223" t="str">
        <f>IFERROR(__xludf.DUMMYFUNCTION("IFERROR(
    INDEX(FILTER('Arrived Shipments'!O:O, 'Arrived Shipments'!B:B=$B1061),2),
    IFERROR(
        INDEX(FILTER('POed not arrived'!D:D, 'POed not arrived'!A:A=$B1061),2),
        """"
    )
)"),"")</f>
        <v/>
      </c>
      <c r="O1061" s="197"/>
      <c r="P1061" s="202" t="str">
        <f>IFERROR(__xludf.DUMMYFUNCTION("IFERROR(
    INDEX(FILTER('Arrived Shipments'!O:O, 'Arrived Shipments'!B:B=$B1061),3),
    IFERROR(
        INDEX(FILTER('POed not arrived'!D:D, 'POed not arrived'!A:A=$B1061),3),
        """"
    )
)"),"")</f>
        <v/>
      </c>
      <c r="Q1061" s="197"/>
      <c r="R1061" s="206" t="str">
        <f>IFERROR(__xludf.DUMMYFUNCTION("IFERROR(
    INDEX(FILTER('Arrived Shipments'!O:O, 'Arrived Shipments'!B:B=$B1061),4),
    IFERROR(
        INDEX(FILTER('POed not arrived'!D:D, 'POed not arrived'!A:A=$B1061),4),
        """"
    )
)"),"")</f>
        <v/>
      </c>
      <c r="S1061" s="197"/>
      <c r="T1061" s="202">
        <f t="shared" si="8"/>
        <v>0</v>
      </c>
      <c r="U1061" s="197"/>
      <c r="V1061" s="197"/>
      <c r="W1061" s="197"/>
      <c r="X1061" s="197"/>
      <c r="Y1061" s="197"/>
      <c r="Z1061" s="197"/>
      <c r="AA1061" s="204" t="str">
        <f t="shared" si="4"/>
        <v/>
      </c>
      <c r="AB1061" s="197"/>
      <c r="AC1061" s="197"/>
      <c r="AD1061" s="197"/>
      <c r="AE1061" s="197"/>
      <c r="AF1061" s="197"/>
      <c r="AG1061" s="197"/>
      <c r="AH1061" s="197"/>
      <c r="AI1061" s="197"/>
      <c r="AJ1061" s="197"/>
      <c r="AK1061" s="197"/>
      <c r="AL1061" s="197"/>
      <c r="AM1061" s="197"/>
      <c r="AN1061" s="197"/>
      <c r="AO1061" s="197"/>
      <c r="AP1061" s="197"/>
      <c r="AQ1061" s="197"/>
      <c r="AR1061" s="197"/>
      <c r="AS1061" s="197"/>
    </row>
    <row r="1062">
      <c r="A1062" s="198"/>
      <c r="B1062" s="197"/>
      <c r="C1062" s="197"/>
      <c r="D1062" s="197"/>
      <c r="E1062" s="197"/>
      <c r="F1062" s="197"/>
      <c r="G1062" s="197"/>
      <c r="H1062" s="197"/>
      <c r="I1062" s="197"/>
      <c r="J1062" s="197"/>
      <c r="K1062" s="197"/>
      <c r="L1062" s="205" t="str">
        <f>IFERROR(__xludf.DUMMYFUNCTION("IFERROR(
    INDEX(FILTER('Arrived Shipments'!O:O, 'Arrived Shipments'!B:B=$B1062),1),
    IFERROR(
        INDEX(FILTER('POed not arrived'!D:D, 'POed not arrived'!A:A=$B1062),1),
        """"
    )
)"),"")</f>
        <v/>
      </c>
      <c r="M1062" s="197"/>
      <c r="N1062" s="223" t="str">
        <f>IFERROR(__xludf.DUMMYFUNCTION("IFERROR(
    INDEX(FILTER('Arrived Shipments'!O:O, 'Arrived Shipments'!B:B=$B1062),2),
    IFERROR(
        INDEX(FILTER('POed not arrived'!D:D, 'POed not arrived'!A:A=$B1062),2),
        """"
    )
)"),"")</f>
        <v/>
      </c>
      <c r="O1062" s="197"/>
      <c r="P1062" s="202" t="str">
        <f>IFERROR(__xludf.DUMMYFUNCTION("IFERROR(
    INDEX(FILTER('Arrived Shipments'!O:O, 'Arrived Shipments'!B:B=$B1062),3),
    IFERROR(
        INDEX(FILTER('POed not arrived'!D:D, 'POed not arrived'!A:A=$B1062),3),
        """"
    )
)"),"")</f>
        <v/>
      </c>
      <c r="Q1062" s="197"/>
      <c r="R1062" s="206" t="str">
        <f>IFERROR(__xludf.DUMMYFUNCTION("IFERROR(
    INDEX(FILTER('Arrived Shipments'!O:O, 'Arrived Shipments'!B:B=$B1062),4),
    IFERROR(
        INDEX(FILTER('POed not arrived'!D:D, 'POed not arrived'!A:A=$B1062),4),
        """"
    )
)"),"")</f>
        <v/>
      </c>
      <c r="S1062" s="197"/>
      <c r="T1062" s="202">
        <f t="shared" si="8"/>
        <v>0</v>
      </c>
      <c r="U1062" s="197"/>
      <c r="V1062" s="197"/>
      <c r="W1062" s="197"/>
      <c r="X1062" s="197"/>
      <c r="Y1062" s="197"/>
      <c r="Z1062" s="197"/>
      <c r="AA1062" s="204" t="str">
        <f t="shared" si="4"/>
        <v/>
      </c>
      <c r="AB1062" s="197"/>
      <c r="AC1062" s="197"/>
      <c r="AD1062" s="197"/>
      <c r="AE1062" s="197"/>
      <c r="AF1062" s="197"/>
      <c r="AG1062" s="197"/>
      <c r="AH1062" s="197"/>
      <c r="AI1062" s="197"/>
      <c r="AJ1062" s="197"/>
      <c r="AK1062" s="197"/>
      <c r="AL1062" s="197"/>
      <c r="AM1062" s="197"/>
      <c r="AN1062" s="197"/>
      <c r="AO1062" s="197"/>
      <c r="AP1062" s="197"/>
      <c r="AQ1062" s="197"/>
      <c r="AR1062" s="197"/>
      <c r="AS1062" s="197"/>
    </row>
    <row r="1063">
      <c r="A1063" s="198"/>
      <c r="B1063" s="197"/>
      <c r="C1063" s="197"/>
      <c r="D1063" s="197"/>
      <c r="E1063" s="197"/>
      <c r="F1063" s="197"/>
      <c r="G1063" s="197"/>
      <c r="H1063" s="197"/>
      <c r="I1063" s="197"/>
      <c r="J1063" s="197"/>
      <c r="K1063" s="197"/>
      <c r="L1063" s="205" t="str">
        <f>IFERROR(__xludf.DUMMYFUNCTION("IFERROR(
    INDEX(FILTER('Arrived Shipments'!O:O, 'Arrived Shipments'!B:B=$B1063),1),
    IFERROR(
        INDEX(FILTER('POed not arrived'!D:D, 'POed not arrived'!A:A=$B1063),1),
        """"
    )
)"),"")</f>
        <v/>
      </c>
      <c r="M1063" s="197"/>
      <c r="N1063" s="223" t="str">
        <f>IFERROR(__xludf.DUMMYFUNCTION("IFERROR(
    INDEX(FILTER('Arrived Shipments'!O:O, 'Arrived Shipments'!B:B=$B1063),2),
    IFERROR(
        INDEX(FILTER('POed not arrived'!D:D, 'POed not arrived'!A:A=$B1063),2),
        """"
    )
)"),"")</f>
        <v/>
      </c>
      <c r="O1063" s="197"/>
      <c r="P1063" s="202" t="str">
        <f>IFERROR(__xludf.DUMMYFUNCTION("IFERROR(
    INDEX(FILTER('Arrived Shipments'!O:O, 'Arrived Shipments'!B:B=$B1063),3),
    IFERROR(
        INDEX(FILTER('POed not arrived'!D:D, 'POed not arrived'!A:A=$B1063),3),
        """"
    )
)"),"")</f>
        <v/>
      </c>
      <c r="Q1063" s="197"/>
      <c r="R1063" s="206" t="str">
        <f>IFERROR(__xludf.DUMMYFUNCTION("IFERROR(
    INDEX(FILTER('Arrived Shipments'!O:O, 'Arrived Shipments'!B:B=$B1063),4),
    IFERROR(
        INDEX(FILTER('POed not arrived'!D:D, 'POed not arrived'!A:A=$B1063),4),
        """"
    )
)"),"")</f>
        <v/>
      </c>
      <c r="S1063" s="197"/>
      <c r="T1063" s="202">
        <f t="shared" si="8"/>
        <v>0</v>
      </c>
      <c r="U1063" s="197"/>
      <c r="V1063" s="197"/>
      <c r="W1063" s="197"/>
      <c r="X1063" s="197"/>
      <c r="Y1063" s="197"/>
      <c r="Z1063" s="197"/>
      <c r="AA1063" s="204" t="str">
        <f t="shared" si="4"/>
        <v/>
      </c>
      <c r="AB1063" s="197"/>
      <c r="AC1063" s="197"/>
      <c r="AD1063" s="197"/>
      <c r="AE1063" s="197"/>
      <c r="AF1063" s="197"/>
      <c r="AG1063" s="197"/>
      <c r="AH1063" s="197"/>
      <c r="AI1063" s="197"/>
      <c r="AJ1063" s="197"/>
      <c r="AK1063" s="197"/>
      <c r="AL1063" s="197"/>
      <c r="AM1063" s="197"/>
      <c r="AN1063" s="197"/>
      <c r="AO1063" s="197"/>
      <c r="AP1063" s="197"/>
      <c r="AQ1063" s="197"/>
      <c r="AR1063" s="197"/>
      <c r="AS1063" s="197"/>
    </row>
    <row r="1064">
      <c r="A1064" s="198"/>
      <c r="B1064" s="197"/>
      <c r="C1064" s="197"/>
      <c r="D1064" s="197"/>
      <c r="E1064" s="197"/>
      <c r="F1064" s="197"/>
      <c r="G1064" s="197"/>
      <c r="H1064" s="197"/>
      <c r="I1064" s="197"/>
      <c r="J1064" s="197"/>
      <c r="K1064" s="197"/>
      <c r="L1064" s="205" t="str">
        <f>IFERROR(__xludf.DUMMYFUNCTION("IFERROR(
    INDEX(FILTER('Arrived Shipments'!O:O, 'Arrived Shipments'!B:B=$B1064),1),
    IFERROR(
        INDEX(FILTER('POed not arrived'!D:D, 'POed not arrived'!A:A=$B1064),1),
        """"
    )
)"),"")</f>
        <v/>
      </c>
      <c r="M1064" s="197"/>
      <c r="N1064" s="223" t="str">
        <f>IFERROR(__xludf.DUMMYFUNCTION("IFERROR(
    INDEX(FILTER('Arrived Shipments'!O:O, 'Arrived Shipments'!B:B=$B1064),2),
    IFERROR(
        INDEX(FILTER('POed not arrived'!D:D, 'POed not arrived'!A:A=$B1064),2),
        """"
    )
)"),"")</f>
        <v/>
      </c>
      <c r="O1064" s="197"/>
      <c r="P1064" s="202" t="str">
        <f>IFERROR(__xludf.DUMMYFUNCTION("IFERROR(
    INDEX(FILTER('Arrived Shipments'!O:O, 'Arrived Shipments'!B:B=$B1064),3),
    IFERROR(
        INDEX(FILTER('POed not arrived'!D:D, 'POed not arrived'!A:A=$B1064),3),
        """"
    )
)"),"")</f>
        <v/>
      </c>
      <c r="Q1064" s="197"/>
      <c r="R1064" s="206" t="str">
        <f>IFERROR(__xludf.DUMMYFUNCTION("IFERROR(
    INDEX(FILTER('Arrived Shipments'!O:O, 'Arrived Shipments'!B:B=$B1064),4),
    IFERROR(
        INDEX(FILTER('POed not arrived'!D:D, 'POed not arrived'!A:A=$B1064),4),
        """"
    )
)"),"")</f>
        <v/>
      </c>
      <c r="S1064" s="197"/>
      <c r="T1064" s="202">
        <f t="shared" si="8"/>
        <v>0</v>
      </c>
      <c r="U1064" s="197"/>
      <c r="V1064" s="197"/>
      <c r="W1064" s="197"/>
      <c r="X1064" s="197"/>
      <c r="Y1064" s="197"/>
      <c r="Z1064" s="197"/>
      <c r="AA1064" s="204" t="str">
        <f t="shared" si="4"/>
        <v/>
      </c>
      <c r="AB1064" s="197"/>
      <c r="AC1064" s="197"/>
      <c r="AD1064" s="197"/>
      <c r="AE1064" s="197"/>
      <c r="AF1064" s="197"/>
      <c r="AG1064" s="197"/>
      <c r="AH1064" s="197"/>
      <c r="AI1064" s="197"/>
      <c r="AJ1064" s="197"/>
      <c r="AK1064" s="197"/>
      <c r="AL1064" s="197"/>
      <c r="AM1064" s="197"/>
      <c r="AN1064" s="197"/>
      <c r="AO1064" s="197"/>
      <c r="AP1064" s="197"/>
      <c r="AQ1064" s="197"/>
      <c r="AR1064" s="197"/>
      <c r="AS1064" s="197"/>
    </row>
    <row r="1065">
      <c r="A1065" s="198"/>
      <c r="B1065" s="197"/>
      <c r="C1065" s="197"/>
      <c r="D1065" s="197"/>
      <c r="E1065" s="197"/>
      <c r="F1065" s="197"/>
      <c r="G1065" s="197"/>
      <c r="H1065" s="197"/>
      <c r="I1065" s="197"/>
      <c r="J1065" s="197"/>
      <c r="K1065" s="197"/>
      <c r="L1065" s="205" t="str">
        <f>IFERROR(__xludf.DUMMYFUNCTION("IFERROR(
    INDEX(FILTER('Arrived Shipments'!O:O, 'Arrived Shipments'!B:B=$B1065),1),
    IFERROR(
        INDEX(FILTER('POed not arrived'!D:D, 'POed not arrived'!A:A=$B1065),1),
        """"
    )
)"),"")</f>
        <v/>
      </c>
      <c r="M1065" s="197"/>
      <c r="N1065" s="223" t="str">
        <f>IFERROR(__xludf.DUMMYFUNCTION("IFERROR(
    INDEX(FILTER('Arrived Shipments'!O:O, 'Arrived Shipments'!B:B=$B1065),2),
    IFERROR(
        INDEX(FILTER('POed not arrived'!D:D, 'POed not arrived'!A:A=$B1065),2),
        """"
    )
)"),"")</f>
        <v/>
      </c>
      <c r="O1065" s="197"/>
      <c r="P1065" s="202" t="str">
        <f>IFERROR(__xludf.DUMMYFUNCTION("IFERROR(
    INDEX(FILTER('Arrived Shipments'!O:O, 'Arrived Shipments'!B:B=$B1065),3),
    IFERROR(
        INDEX(FILTER('POed not arrived'!D:D, 'POed not arrived'!A:A=$B1065),3),
        """"
    )
)"),"")</f>
        <v/>
      </c>
      <c r="Q1065" s="197"/>
      <c r="R1065" s="206" t="str">
        <f>IFERROR(__xludf.DUMMYFUNCTION("IFERROR(
    INDEX(FILTER('Arrived Shipments'!O:O, 'Arrived Shipments'!B:B=$B1065),4),
    IFERROR(
        INDEX(FILTER('POed not arrived'!D:D, 'POed not arrived'!A:A=$B1065),4),
        """"
    )
)"),"")</f>
        <v/>
      </c>
      <c r="S1065" s="197"/>
      <c r="T1065" s="202">
        <f t="shared" si="8"/>
        <v>0</v>
      </c>
      <c r="U1065" s="197"/>
      <c r="V1065" s="197"/>
      <c r="W1065" s="197"/>
      <c r="X1065" s="197"/>
      <c r="Y1065" s="197"/>
      <c r="Z1065" s="197"/>
      <c r="AA1065" s="204" t="str">
        <f t="shared" si="4"/>
        <v/>
      </c>
      <c r="AB1065" s="197"/>
      <c r="AC1065" s="197"/>
      <c r="AD1065" s="197"/>
      <c r="AE1065" s="197"/>
      <c r="AF1065" s="197"/>
      <c r="AG1065" s="197"/>
      <c r="AH1065" s="197"/>
      <c r="AI1065" s="197"/>
      <c r="AJ1065" s="197"/>
      <c r="AK1065" s="197"/>
      <c r="AL1065" s="197"/>
      <c r="AM1065" s="197"/>
      <c r="AN1065" s="197"/>
      <c r="AO1065" s="197"/>
      <c r="AP1065" s="197"/>
      <c r="AQ1065" s="197"/>
      <c r="AR1065" s="197"/>
      <c r="AS1065" s="197"/>
    </row>
    <row r="1066">
      <c r="A1066" s="198"/>
      <c r="B1066" s="197"/>
      <c r="C1066" s="197"/>
      <c r="D1066" s="197"/>
      <c r="E1066" s="197"/>
      <c r="F1066" s="197"/>
      <c r="G1066" s="197"/>
      <c r="H1066" s="197"/>
      <c r="I1066" s="197"/>
      <c r="J1066" s="197"/>
      <c r="K1066" s="197"/>
      <c r="L1066" s="205" t="str">
        <f>IFERROR(__xludf.DUMMYFUNCTION("IFERROR(
    INDEX(FILTER('Arrived Shipments'!O:O, 'Arrived Shipments'!B:B=$B1066),1),
    IFERROR(
        INDEX(FILTER('POed not arrived'!D:D, 'POed not arrived'!A:A=$B1066),1),
        """"
    )
)"),"")</f>
        <v/>
      </c>
      <c r="M1066" s="197"/>
      <c r="N1066" s="223" t="str">
        <f>IFERROR(__xludf.DUMMYFUNCTION("IFERROR(
    INDEX(FILTER('Arrived Shipments'!O:O, 'Arrived Shipments'!B:B=$B1066),2),
    IFERROR(
        INDEX(FILTER('POed not arrived'!D:D, 'POed not arrived'!A:A=$B1066),2),
        """"
    )
)"),"")</f>
        <v/>
      </c>
      <c r="O1066" s="197"/>
      <c r="P1066" s="202" t="str">
        <f>IFERROR(__xludf.DUMMYFUNCTION("IFERROR(
    INDEX(FILTER('Arrived Shipments'!O:O, 'Arrived Shipments'!B:B=$B1066),3),
    IFERROR(
        INDEX(FILTER('POed not arrived'!D:D, 'POed not arrived'!A:A=$B1066),3),
        """"
    )
)"),"")</f>
        <v/>
      </c>
      <c r="Q1066" s="197"/>
      <c r="R1066" s="206" t="str">
        <f>IFERROR(__xludf.DUMMYFUNCTION("IFERROR(
    INDEX(FILTER('Arrived Shipments'!O:O, 'Arrived Shipments'!B:B=$B1066),4),
    IFERROR(
        INDEX(FILTER('POed not arrived'!D:D, 'POed not arrived'!A:A=$B1066),4),
        """"
    )
)"),"")</f>
        <v/>
      </c>
      <c r="S1066" s="197"/>
      <c r="T1066" s="202">
        <f t="shared" si="8"/>
        <v>0</v>
      </c>
      <c r="U1066" s="197"/>
      <c r="V1066" s="197"/>
      <c r="W1066" s="197"/>
      <c r="X1066" s="197"/>
      <c r="Y1066" s="197"/>
      <c r="Z1066" s="197"/>
      <c r="AA1066" s="204" t="str">
        <f t="shared" si="4"/>
        <v/>
      </c>
      <c r="AB1066" s="197"/>
      <c r="AC1066" s="197"/>
      <c r="AD1066" s="197"/>
      <c r="AE1066" s="197"/>
      <c r="AF1066" s="197"/>
      <c r="AG1066" s="197"/>
      <c r="AH1066" s="197"/>
      <c r="AI1066" s="197"/>
      <c r="AJ1066" s="197"/>
      <c r="AK1066" s="197"/>
      <c r="AL1066" s="197"/>
      <c r="AM1066" s="197"/>
      <c r="AN1066" s="197"/>
      <c r="AO1066" s="197"/>
      <c r="AP1066" s="197"/>
      <c r="AQ1066" s="197"/>
      <c r="AR1066" s="197"/>
      <c r="AS1066" s="197"/>
    </row>
    <row r="1067">
      <c r="A1067" s="198"/>
      <c r="B1067" s="197"/>
      <c r="C1067" s="197"/>
      <c r="D1067" s="197"/>
      <c r="E1067" s="197"/>
      <c r="F1067" s="197"/>
      <c r="G1067" s="197"/>
      <c r="H1067" s="197"/>
      <c r="I1067" s="197"/>
      <c r="J1067" s="197"/>
      <c r="K1067" s="197"/>
      <c r="L1067" s="205" t="str">
        <f>IFERROR(__xludf.DUMMYFUNCTION("IFERROR(
    INDEX(FILTER('Arrived Shipments'!O:O, 'Arrived Shipments'!B:B=$B1067),1),
    IFERROR(
        INDEX(FILTER('POed not arrived'!D:D, 'POed not arrived'!A:A=$B1067),1),
        """"
    )
)"),"")</f>
        <v/>
      </c>
      <c r="M1067" s="197"/>
      <c r="N1067" s="223" t="str">
        <f>IFERROR(__xludf.DUMMYFUNCTION("IFERROR(
    INDEX(FILTER('Arrived Shipments'!O:O, 'Arrived Shipments'!B:B=$B1067),2),
    IFERROR(
        INDEX(FILTER('POed not arrived'!D:D, 'POed not arrived'!A:A=$B1067),2),
        """"
    )
)"),"")</f>
        <v/>
      </c>
      <c r="O1067" s="197"/>
      <c r="P1067" s="202" t="str">
        <f>IFERROR(__xludf.DUMMYFUNCTION("IFERROR(
    INDEX(FILTER('Arrived Shipments'!O:O, 'Arrived Shipments'!B:B=$B1067),3),
    IFERROR(
        INDEX(FILTER('POed not arrived'!D:D, 'POed not arrived'!A:A=$B1067),3),
        """"
    )
)"),"")</f>
        <v/>
      </c>
      <c r="Q1067" s="197"/>
      <c r="R1067" s="206" t="str">
        <f>IFERROR(__xludf.DUMMYFUNCTION("IFERROR(
    INDEX(FILTER('Arrived Shipments'!O:O, 'Arrived Shipments'!B:B=$B1067),4),
    IFERROR(
        INDEX(FILTER('POed not arrived'!D:D, 'POed not arrived'!A:A=$B1067),4),
        """"
    )
)"),"")</f>
        <v/>
      </c>
      <c r="S1067" s="197"/>
      <c r="T1067" s="202">
        <f t="shared" si="8"/>
        <v>0</v>
      </c>
      <c r="U1067" s="197"/>
      <c r="V1067" s="197"/>
      <c r="W1067" s="197"/>
      <c r="X1067" s="197"/>
      <c r="Y1067" s="197"/>
      <c r="Z1067" s="197"/>
      <c r="AA1067" s="204" t="str">
        <f t="shared" si="4"/>
        <v/>
      </c>
      <c r="AB1067" s="197"/>
      <c r="AC1067" s="197"/>
      <c r="AD1067" s="197"/>
      <c r="AE1067" s="197"/>
      <c r="AF1067" s="197"/>
      <c r="AG1067" s="197"/>
      <c r="AH1067" s="197"/>
      <c r="AI1067" s="197"/>
      <c r="AJ1067" s="197"/>
      <c r="AK1067" s="197"/>
      <c r="AL1067" s="197"/>
      <c r="AM1067" s="197"/>
      <c r="AN1067" s="197"/>
      <c r="AO1067" s="197"/>
      <c r="AP1067" s="197"/>
      <c r="AQ1067" s="197"/>
      <c r="AR1067" s="197"/>
      <c r="AS1067" s="197"/>
    </row>
    <row r="1068">
      <c r="A1068" s="198"/>
      <c r="B1068" s="197"/>
      <c r="C1068" s="197"/>
      <c r="D1068" s="197"/>
      <c r="E1068" s="197"/>
      <c r="F1068" s="197"/>
      <c r="G1068" s="197"/>
      <c r="H1068" s="197"/>
      <c r="I1068" s="197"/>
      <c r="J1068" s="197"/>
      <c r="K1068" s="197"/>
      <c r="L1068" s="205" t="str">
        <f>IFERROR(__xludf.DUMMYFUNCTION("IFERROR(
    INDEX(FILTER('Arrived Shipments'!O:O, 'Arrived Shipments'!B:B=$B1068),1),
    IFERROR(
        INDEX(FILTER('POed not arrived'!D:D, 'POed not arrived'!A:A=$B1068),1),
        """"
    )
)"),"")</f>
        <v/>
      </c>
      <c r="M1068" s="197"/>
      <c r="N1068" s="223" t="str">
        <f>IFERROR(__xludf.DUMMYFUNCTION("IFERROR(
    INDEX(FILTER('Arrived Shipments'!O:O, 'Arrived Shipments'!B:B=$B1068),2),
    IFERROR(
        INDEX(FILTER('POed not arrived'!D:D, 'POed not arrived'!A:A=$B1068),2),
        """"
    )
)"),"")</f>
        <v/>
      </c>
      <c r="O1068" s="197"/>
      <c r="P1068" s="202" t="str">
        <f>IFERROR(__xludf.DUMMYFUNCTION("IFERROR(
    INDEX(FILTER('Arrived Shipments'!O:O, 'Arrived Shipments'!B:B=$B1068),3),
    IFERROR(
        INDEX(FILTER('POed not arrived'!D:D, 'POed not arrived'!A:A=$B1068),3),
        """"
    )
)"),"")</f>
        <v/>
      </c>
      <c r="Q1068" s="197"/>
      <c r="R1068" s="206" t="str">
        <f>IFERROR(__xludf.DUMMYFUNCTION("IFERROR(
    INDEX(FILTER('Arrived Shipments'!O:O, 'Arrived Shipments'!B:B=$B1068),4),
    IFERROR(
        INDEX(FILTER('POed not arrived'!D:D, 'POed not arrived'!A:A=$B1068),4),
        """"
    )
)"),"")</f>
        <v/>
      </c>
      <c r="S1068" s="197"/>
      <c r="T1068" s="202">
        <f t="shared" si="8"/>
        <v>0</v>
      </c>
      <c r="U1068" s="197"/>
      <c r="V1068" s="197"/>
      <c r="W1068" s="197"/>
      <c r="X1068" s="197"/>
      <c r="Y1068" s="197"/>
      <c r="Z1068" s="197"/>
      <c r="AA1068" s="204" t="str">
        <f t="shared" si="4"/>
        <v/>
      </c>
      <c r="AB1068" s="197"/>
      <c r="AC1068" s="197"/>
      <c r="AD1068" s="197"/>
      <c r="AE1068" s="197"/>
      <c r="AF1068" s="197"/>
      <c r="AG1068" s="197"/>
      <c r="AH1068" s="197"/>
      <c r="AI1068" s="197"/>
      <c r="AJ1068" s="197"/>
      <c r="AK1068" s="197"/>
      <c r="AL1068" s="197"/>
      <c r="AM1068" s="197"/>
      <c r="AN1068" s="197"/>
      <c r="AO1068" s="197"/>
      <c r="AP1068" s="197"/>
      <c r="AQ1068" s="197"/>
      <c r="AR1068" s="197"/>
      <c r="AS1068" s="197"/>
    </row>
    <row r="1069">
      <c r="A1069" s="198"/>
      <c r="B1069" s="197"/>
      <c r="C1069" s="197"/>
      <c r="D1069" s="197"/>
      <c r="E1069" s="197"/>
      <c r="F1069" s="197"/>
      <c r="G1069" s="197"/>
      <c r="H1069" s="197"/>
      <c r="I1069" s="197"/>
      <c r="J1069" s="197"/>
      <c r="K1069" s="197"/>
      <c r="L1069" s="205" t="str">
        <f>IFERROR(__xludf.DUMMYFUNCTION("IFERROR(
    INDEX(FILTER('Arrived Shipments'!O:O, 'Arrived Shipments'!B:B=$B1069),1),
    IFERROR(
        INDEX(FILTER('POed not arrived'!D:D, 'POed not arrived'!A:A=$B1069),1),
        """"
    )
)"),"")</f>
        <v/>
      </c>
      <c r="M1069" s="197"/>
      <c r="N1069" s="223" t="str">
        <f>IFERROR(__xludf.DUMMYFUNCTION("IFERROR(
    INDEX(FILTER('Arrived Shipments'!O:O, 'Arrived Shipments'!B:B=$B1069),2),
    IFERROR(
        INDEX(FILTER('POed not arrived'!D:D, 'POed not arrived'!A:A=$B1069),2),
        """"
    )
)"),"")</f>
        <v/>
      </c>
      <c r="O1069" s="197"/>
      <c r="P1069" s="202" t="str">
        <f>IFERROR(__xludf.DUMMYFUNCTION("IFERROR(
    INDEX(FILTER('Arrived Shipments'!O:O, 'Arrived Shipments'!B:B=$B1069),3),
    IFERROR(
        INDEX(FILTER('POed not arrived'!D:D, 'POed not arrived'!A:A=$B1069),3),
        """"
    )
)"),"")</f>
        <v/>
      </c>
      <c r="Q1069" s="197"/>
      <c r="R1069" s="206" t="str">
        <f>IFERROR(__xludf.DUMMYFUNCTION("IFERROR(
    INDEX(FILTER('Arrived Shipments'!O:O, 'Arrived Shipments'!B:B=$B1069),4),
    IFERROR(
        INDEX(FILTER('POed not arrived'!D:D, 'POed not arrived'!A:A=$B1069),4),
        """"
    )
)"),"")</f>
        <v/>
      </c>
      <c r="S1069" s="197"/>
      <c r="T1069" s="202">
        <f t="shared" si="8"/>
        <v>0</v>
      </c>
      <c r="U1069" s="197"/>
      <c r="V1069" s="197"/>
      <c r="W1069" s="197"/>
      <c r="X1069" s="197"/>
      <c r="Y1069" s="197"/>
      <c r="Z1069" s="197"/>
      <c r="AA1069" s="204" t="str">
        <f t="shared" si="4"/>
        <v/>
      </c>
      <c r="AB1069" s="197"/>
      <c r="AC1069" s="197"/>
      <c r="AD1069" s="197"/>
      <c r="AE1069" s="197"/>
      <c r="AF1069" s="197"/>
      <c r="AG1069" s="197"/>
      <c r="AH1069" s="197"/>
      <c r="AI1069" s="197"/>
      <c r="AJ1069" s="197"/>
      <c r="AK1069" s="197"/>
      <c r="AL1069" s="197"/>
      <c r="AM1069" s="197"/>
      <c r="AN1069" s="197"/>
      <c r="AO1069" s="197"/>
      <c r="AP1069" s="197"/>
      <c r="AQ1069" s="197"/>
      <c r="AR1069" s="197"/>
      <c r="AS1069" s="197"/>
    </row>
    <row r="1070">
      <c r="A1070" s="198"/>
      <c r="B1070" s="197"/>
      <c r="C1070" s="197"/>
      <c r="D1070" s="197"/>
      <c r="E1070" s="197"/>
      <c r="F1070" s="197"/>
      <c r="G1070" s="197"/>
      <c r="H1070" s="197"/>
      <c r="I1070" s="197"/>
      <c r="J1070" s="197"/>
      <c r="K1070" s="197"/>
      <c r="L1070" s="205" t="str">
        <f>IFERROR(__xludf.DUMMYFUNCTION("IFERROR(
    INDEX(FILTER('Arrived Shipments'!O:O, 'Arrived Shipments'!B:B=$B1070),1),
    IFERROR(
        INDEX(FILTER('POed not arrived'!D:D, 'POed not arrived'!A:A=$B1070),1),
        """"
    )
)"),"")</f>
        <v/>
      </c>
      <c r="M1070" s="197"/>
      <c r="N1070" s="223" t="str">
        <f>IFERROR(__xludf.DUMMYFUNCTION("IFERROR(
    INDEX(FILTER('Arrived Shipments'!O:O, 'Arrived Shipments'!B:B=$B1070),2),
    IFERROR(
        INDEX(FILTER('POed not arrived'!D:D, 'POed not arrived'!A:A=$B1070),2),
        """"
    )
)"),"")</f>
        <v/>
      </c>
      <c r="O1070" s="197"/>
      <c r="P1070" s="202" t="str">
        <f>IFERROR(__xludf.DUMMYFUNCTION("IFERROR(
    INDEX(FILTER('Arrived Shipments'!O:O, 'Arrived Shipments'!B:B=$B1070),3),
    IFERROR(
        INDEX(FILTER('POed not arrived'!D:D, 'POed not arrived'!A:A=$B1070),3),
        """"
    )
)"),"")</f>
        <v/>
      </c>
      <c r="Q1070" s="197"/>
      <c r="R1070" s="206" t="str">
        <f>IFERROR(__xludf.DUMMYFUNCTION("IFERROR(
    INDEX(FILTER('Arrived Shipments'!O:O, 'Arrived Shipments'!B:B=$B1070),4),
    IFERROR(
        INDEX(FILTER('POed not arrived'!D:D, 'POed not arrived'!A:A=$B1070),4),
        """"
    )
)"),"")</f>
        <v/>
      </c>
      <c r="S1070" s="197"/>
      <c r="T1070" s="202">
        <f t="shared" si="8"/>
        <v>0</v>
      </c>
      <c r="U1070" s="197"/>
      <c r="V1070" s="197"/>
      <c r="W1070" s="197"/>
      <c r="X1070" s="197"/>
      <c r="Y1070" s="197"/>
      <c r="Z1070" s="197"/>
      <c r="AA1070" s="204" t="str">
        <f t="shared" si="4"/>
        <v/>
      </c>
      <c r="AB1070" s="197"/>
      <c r="AC1070" s="197"/>
      <c r="AD1070" s="197"/>
      <c r="AE1070" s="197"/>
      <c r="AF1070" s="197"/>
      <c r="AG1070" s="197"/>
      <c r="AH1070" s="197"/>
      <c r="AI1070" s="197"/>
      <c r="AJ1070" s="197"/>
      <c r="AK1070" s="197"/>
      <c r="AL1070" s="197"/>
      <c r="AM1070" s="197"/>
      <c r="AN1070" s="197"/>
      <c r="AO1070" s="197"/>
      <c r="AP1070" s="197"/>
      <c r="AQ1070" s="197"/>
      <c r="AR1070" s="197"/>
      <c r="AS1070" s="197"/>
    </row>
  </sheetData>
  <autoFilter ref="$A$1:$AS$1070"/>
  <dataValidations>
    <dataValidation type="list" allowBlank="1" showErrorMessage="1" sqref="W2:W1070">
      <formula1>"Not yet,Partially,Complete"</formula1>
    </dataValidation>
    <dataValidation type="list" allowBlank="1" showErrorMessage="1" sqref="AB1:AB1070">
      <formula1>"Not Received,Received,P.O. Approval Pending,Partial Delivered,P.O. Under Process,Cancelled ,P.O. Approved,Not Found,A.Received,Status"</formula1>
    </dataValidation>
    <dataValidation type="list" allowBlank="1" showErrorMessage="1" sqref="X2:X1070">
      <formula1>"No,Yes, Request Data!,Yes, Data Requested,Yes, Data Received"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63"/>
  </cols>
  <sheetData>
    <row r="1" ht="51.0" customHeight="1">
      <c r="A1" s="227" t="s">
        <v>2697</v>
      </c>
      <c r="B1" s="228" t="s">
        <v>3433</v>
      </c>
      <c r="C1" s="227" t="s">
        <v>3434</v>
      </c>
      <c r="D1" s="227" t="s">
        <v>3435</v>
      </c>
      <c r="E1" s="227" t="s">
        <v>3436</v>
      </c>
      <c r="F1" s="229"/>
      <c r="G1" s="229"/>
      <c r="H1" s="229"/>
      <c r="I1" s="229"/>
      <c r="J1" s="229"/>
      <c r="K1" s="229"/>
      <c r="L1" s="229"/>
      <c r="M1" s="229"/>
      <c r="N1" s="229"/>
      <c r="O1" s="229"/>
      <c r="P1" s="229"/>
      <c r="Q1" s="229"/>
      <c r="R1" s="229"/>
      <c r="S1" s="229"/>
      <c r="T1" s="229"/>
      <c r="U1" s="229"/>
      <c r="V1" s="229"/>
      <c r="W1" s="229"/>
    </row>
    <row r="2">
      <c r="A2" s="230">
        <v>2600009.0</v>
      </c>
      <c r="B2" s="231" t="str">
        <f>VLOOKUP(A2,'Purchase Order Summary V2'!H:AA,20,0)</f>
        <v>Expected Arrived</v>
      </c>
      <c r="C2" s="230" t="s">
        <v>26</v>
      </c>
      <c r="D2" s="230" t="s">
        <v>3437</v>
      </c>
      <c r="E2" s="230" t="s">
        <v>3438</v>
      </c>
      <c r="F2" s="188"/>
      <c r="G2" s="188"/>
      <c r="H2" s="188"/>
      <c r="I2" s="188"/>
      <c r="J2" s="188"/>
      <c r="K2" s="188"/>
      <c r="L2" s="188"/>
      <c r="M2" s="188"/>
      <c r="N2" s="188"/>
      <c r="O2" s="188"/>
      <c r="P2" s="188"/>
      <c r="Q2" s="188"/>
      <c r="R2" s="188"/>
      <c r="S2" s="188"/>
      <c r="T2" s="188"/>
      <c r="U2" s="188"/>
      <c r="V2" s="188"/>
      <c r="W2" s="188"/>
    </row>
    <row r="3">
      <c r="A3" s="230">
        <v>2600009.0</v>
      </c>
      <c r="B3" s="231" t="str">
        <f>VLOOKUP(A3,'Purchase Order Summary V2'!H:AA,20,0)</f>
        <v>Expected Arrived</v>
      </c>
      <c r="C3" s="230" t="s">
        <v>26</v>
      </c>
      <c r="D3" s="230" t="s">
        <v>3439</v>
      </c>
      <c r="E3" s="230" t="s">
        <v>3438</v>
      </c>
      <c r="F3" s="188"/>
      <c r="G3" s="188"/>
      <c r="H3" s="188"/>
      <c r="I3" s="188"/>
      <c r="J3" s="188"/>
      <c r="K3" s="188"/>
      <c r="L3" s="188"/>
      <c r="M3" s="188"/>
      <c r="N3" s="188"/>
      <c r="O3" s="188"/>
      <c r="P3" s="188"/>
      <c r="Q3" s="188"/>
      <c r="R3" s="188"/>
      <c r="S3" s="188"/>
      <c r="T3" s="188"/>
      <c r="U3" s="188"/>
      <c r="V3" s="188"/>
      <c r="W3" s="188"/>
    </row>
    <row r="4">
      <c r="A4" s="230">
        <v>2600009.0</v>
      </c>
      <c r="B4" s="231" t="str">
        <f>VLOOKUP(A4,'Purchase Order Summary V2'!H:AA,20,0)</f>
        <v>Expected Arrived</v>
      </c>
      <c r="C4" s="230" t="s">
        <v>26</v>
      </c>
      <c r="D4" s="230" t="s">
        <v>3440</v>
      </c>
      <c r="E4" s="230" t="s">
        <v>3438</v>
      </c>
      <c r="F4" s="188"/>
      <c r="G4" s="188"/>
      <c r="H4" s="188"/>
      <c r="I4" s="188"/>
      <c r="J4" s="188"/>
      <c r="K4" s="188"/>
      <c r="L4" s="188"/>
      <c r="M4" s="188"/>
      <c r="N4" s="188"/>
      <c r="O4" s="188"/>
      <c r="P4" s="188"/>
      <c r="Q4" s="188"/>
      <c r="R4" s="188"/>
      <c r="S4" s="188"/>
      <c r="T4" s="188"/>
      <c r="U4" s="188"/>
      <c r="V4" s="188"/>
      <c r="W4" s="188"/>
    </row>
    <row r="5">
      <c r="A5" s="230">
        <v>2600009.0</v>
      </c>
      <c r="B5" s="231" t="str">
        <f>VLOOKUP(A5,'Purchase Order Summary V2'!H:AA,20,0)</f>
        <v>Expected Arrived</v>
      </c>
      <c r="C5" s="230" t="s">
        <v>26</v>
      </c>
      <c r="D5" s="230" t="s">
        <v>3441</v>
      </c>
      <c r="E5" s="230" t="s">
        <v>3438</v>
      </c>
      <c r="F5" s="188"/>
      <c r="G5" s="188"/>
      <c r="H5" s="188"/>
      <c r="I5" s="188"/>
      <c r="J5" s="188"/>
      <c r="K5" s="188"/>
      <c r="L5" s="188"/>
      <c r="M5" s="188"/>
      <c r="N5" s="188"/>
      <c r="O5" s="188"/>
      <c r="P5" s="188"/>
      <c r="Q5" s="188"/>
      <c r="R5" s="188"/>
      <c r="S5" s="188"/>
      <c r="T5" s="188"/>
      <c r="U5" s="188"/>
      <c r="V5" s="188"/>
      <c r="W5" s="188"/>
    </row>
    <row r="6">
      <c r="A6" s="230">
        <v>2600009.0</v>
      </c>
      <c r="B6" s="231" t="str">
        <f>VLOOKUP(A6,'Purchase Order Summary V2'!H:AA,20,0)</f>
        <v>Expected Arrived</v>
      </c>
      <c r="C6" s="230" t="s">
        <v>26</v>
      </c>
      <c r="D6" s="230" t="s">
        <v>3442</v>
      </c>
      <c r="E6" s="230" t="s">
        <v>3438</v>
      </c>
      <c r="F6" s="188"/>
      <c r="G6" s="188"/>
      <c r="H6" s="188"/>
      <c r="I6" s="188"/>
      <c r="J6" s="188"/>
      <c r="K6" s="188"/>
      <c r="L6" s="188"/>
      <c r="M6" s="188"/>
      <c r="N6" s="188"/>
      <c r="O6" s="188"/>
      <c r="P6" s="188"/>
      <c r="Q6" s="188"/>
      <c r="R6" s="188"/>
      <c r="S6" s="188"/>
      <c r="T6" s="188"/>
      <c r="U6" s="188"/>
      <c r="V6" s="188"/>
      <c r="W6" s="188"/>
    </row>
    <row r="7">
      <c r="A7" s="230">
        <v>2600009.0</v>
      </c>
      <c r="B7" s="231" t="str">
        <f>VLOOKUP(A7,'Purchase Order Summary V2'!H:AA,20,0)</f>
        <v>Expected Arrived</v>
      </c>
      <c r="C7" s="230" t="s">
        <v>26</v>
      </c>
      <c r="D7" s="230" t="s">
        <v>3443</v>
      </c>
      <c r="E7" s="230" t="s">
        <v>3438</v>
      </c>
      <c r="F7" s="188"/>
      <c r="G7" s="188"/>
      <c r="H7" s="188"/>
      <c r="I7" s="188"/>
      <c r="J7" s="188"/>
      <c r="K7" s="188"/>
      <c r="L7" s="188"/>
      <c r="M7" s="188"/>
      <c r="N7" s="188"/>
      <c r="O7" s="188"/>
      <c r="P7" s="188"/>
      <c r="Q7" s="188"/>
      <c r="R7" s="188"/>
      <c r="S7" s="188"/>
      <c r="T7" s="188"/>
      <c r="U7" s="188"/>
      <c r="V7" s="188"/>
      <c r="W7" s="188"/>
    </row>
    <row r="8">
      <c r="A8" s="230">
        <v>2600016.0</v>
      </c>
      <c r="B8" s="231" t="str">
        <f>VLOOKUP(A8,'Purchase Order Summary V2'!H:AA,20,0)</f>
        <v/>
      </c>
      <c r="C8" s="230" t="s">
        <v>3221</v>
      </c>
      <c r="D8" s="230" t="s">
        <v>3444</v>
      </c>
      <c r="E8" s="230" t="s">
        <v>3438</v>
      </c>
      <c r="F8" s="188"/>
      <c r="G8" s="188"/>
      <c r="H8" s="188"/>
      <c r="I8" s="188"/>
      <c r="J8" s="188"/>
      <c r="K8" s="188"/>
      <c r="L8" s="188"/>
      <c r="M8" s="188"/>
      <c r="N8" s="188"/>
      <c r="O8" s="188"/>
      <c r="P8" s="188"/>
      <c r="Q8" s="188"/>
      <c r="R8" s="188"/>
      <c r="S8" s="188"/>
      <c r="T8" s="188"/>
      <c r="U8" s="188"/>
      <c r="V8" s="188"/>
      <c r="W8" s="188"/>
    </row>
    <row r="9">
      <c r="A9" s="230">
        <v>2600016.0</v>
      </c>
      <c r="B9" s="231" t="str">
        <f>VLOOKUP(A9,'Purchase Order Summary V2'!H:AA,20,0)</f>
        <v/>
      </c>
      <c r="C9" s="230" t="s">
        <v>3221</v>
      </c>
      <c r="D9" s="230" t="s">
        <v>3445</v>
      </c>
      <c r="E9" s="230" t="s">
        <v>3438</v>
      </c>
      <c r="F9" s="188"/>
      <c r="G9" s="188"/>
      <c r="H9" s="188"/>
      <c r="I9" s="188"/>
      <c r="J9" s="188"/>
      <c r="K9" s="188"/>
      <c r="L9" s="188"/>
      <c r="M9" s="188"/>
      <c r="N9" s="188"/>
      <c r="O9" s="188"/>
      <c r="P9" s="188"/>
      <c r="Q9" s="188"/>
      <c r="R9" s="188"/>
      <c r="S9" s="188"/>
      <c r="T9" s="188"/>
      <c r="U9" s="188"/>
      <c r="V9" s="188"/>
      <c r="W9" s="188"/>
    </row>
    <row r="10">
      <c r="A10" s="230">
        <v>2600016.0</v>
      </c>
      <c r="B10" s="231" t="str">
        <f>VLOOKUP(A10,'Purchase Order Summary V2'!H:AA,20,0)</f>
        <v/>
      </c>
      <c r="C10" s="230" t="s">
        <v>3221</v>
      </c>
      <c r="D10" s="230" t="s">
        <v>3446</v>
      </c>
      <c r="E10" s="230" t="s">
        <v>3438</v>
      </c>
      <c r="F10" s="188"/>
      <c r="G10" s="188"/>
      <c r="H10" s="188"/>
      <c r="I10" s="188"/>
      <c r="J10" s="188"/>
      <c r="K10" s="188"/>
      <c r="L10" s="188"/>
      <c r="M10" s="188"/>
      <c r="N10" s="188"/>
      <c r="O10" s="188"/>
      <c r="P10" s="188"/>
      <c r="Q10" s="188"/>
      <c r="R10" s="188"/>
      <c r="S10" s="188"/>
      <c r="T10" s="188"/>
      <c r="U10" s="188"/>
      <c r="V10" s="188"/>
      <c r="W10" s="188"/>
    </row>
    <row r="11">
      <c r="A11" s="230">
        <v>2600016.0</v>
      </c>
      <c r="B11" s="231" t="str">
        <f>VLOOKUP(A11,'Purchase Order Summary V2'!H:AA,20,0)</f>
        <v/>
      </c>
      <c r="C11" s="230" t="s">
        <v>3221</v>
      </c>
      <c r="D11" s="230" t="s">
        <v>3447</v>
      </c>
      <c r="E11" s="230" t="s">
        <v>3438</v>
      </c>
      <c r="F11" s="188"/>
      <c r="G11" s="188"/>
      <c r="H11" s="188"/>
      <c r="I11" s="188"/>
      <c r="J11" s="188"/>
      <c r="K11" s="188"/>
      <c r="L11" s="188"/>
      <c r="M11" s="188"/>
      <c r="N11" s="188"/>
      <c r="O11" s="188"/>
      <c r="P11" s="188"/>
      <c r="Q11" s="188"/>
      <c r="R11" s="188"/>
      <c r="S11" s="188"/>
      <c r="T11" s="188"/>
      <c r="U11" s="188"/>
      <c r="V11" s="188"/>
      <c r="W11" s="188"/>
    </row>
    <row r="12">
      <c r="A12" s="230">
        <v>2600016.0</v>
      </c>
      <c r="B12" s="231" t="str">
        <f>VLOOKUP(A12,'Purchase Order Summary V2'!H:AA,20,0)</f>
        <v/>
      </c>
      <c r="C12" s="230" t="s">
        <v>3221</v>
      </c>
      <c r="D12" s="230" t="s">
        <v>3448</v>
      </c>
      <c r="E12" s="230" t="s">
        <v>3438</v>
      </c>
      <c r="F12" s="188"/>
      <c r="G12" s="188"/>
      <c r="H12" s="188"/>
      <c r="I12" s="188"/>
      <c r="J12" s="188"/>
      <c r="K12" s="188"/>
      <c r="L12" s="188"/>
      <c r="M12" s="188"/>
      <c r="N12" s="188"/>
      <c r="O12" s="188"/>
      <c r="P12" s="188"/>
      <c r="Q12" s="188"/>
      <c r="R12" s="188"/>
      <c r="S12" s="188"/>
      <c r="T12" s="188"/>
      <c r="U12" s="188"/>
      <c r="V12" s="188"/>
      <c r="W12" s="188"/>
    </row>
    <row r="13">
      <c r="A13" s="230">
        <v>2600016.0</v>
      </c>
      <c r="B13" s="231" t="str">
        <f>VLOOKUP(A13,'Purchase Order Summary V2'!H:AA,20,0)</f>
        <v/>
      </c>
      <c r="C13" s="230" t="s">
        <v>3221</v>
      </c>
      <c r="D13" s="230" t="s">
        <v>3449</v>
      </c>
      <c r="E13" s="230" t="s">
        <v>3438</v>
      </c>
      <c r="F13" s="188"/>
      <c r="G13" s="188"/>
      <c r="H13" s="188"/>
      <c r="I13" s="188"/>
      <c r="J13" s="188"/>
      <c r="K13" s="188"/>
      <c r="L13" s="188"/>
      <c r="M13" s="188"/>
      <c r="N13" s="188"/>
      <c r="O13" s="188"/>
      <c r="P13" s="188"/>
      <c r="Q13" s="188"/>
      <c r="R13" s="188"/>
      <c r="S13" s="188"/>
      <c r="T13" s="188"/>
      <c r="U13" s="188"/>
      <c r="V13" s="188"/>
      <c r="W13" s="188"/>
    </row>
    <row r="14">
      <c r="A14" s="230">
        <v>2600016.0</v>
      </c>
      <c r="B14" s="231" t="str">
        <f>VLOOKUP(A14,'Purchase Order Summary V2'!H:AA,20,0)</f>
        <v/>
      </c>
      <c r="C14" s="230" t="s">
        <v>3221</v>
      </c>
      <c r="D14" s="230" t="s">
        <v>3450</v>
      </c>
      <c r="E14" s="230" t="s">
        <v>3438</v>
      </c>
      <c r="F14" s="188"/>
      <c r="G14" s="188"/>
      <c r="H14" s="188"/>
      <c r="I14" s="188"/>
      <c r="J14" s="188"/>
      <c r="K14" s="188"/>
      <c r="L14" s="188"/>
      <c r="M14" s="188"/>
      <c r="N14" s="188"/>
      <c r="O14" s="188"/>
      <c r="P14" s="188"/>
      <c r="Q14" s="188"/>
      <c r="R14" s="188"/>
      <c r="S14" s="188"/>
      <c r="T14" s="188"/>
      <c r="U14" s="188"/>
      <c r="V14" s="188"/>
      <c r="W14" s="188"/>
    </row>
    <row r="15">
      <c r="A15" s="230">
        <v>2600016.0</v>
      </c>
      <c r="B15" s="231" t="str">
        <f>VLOOKUP(A15,'Purchase Order Summary V2'!H:AA,20,0)</f>
        <v/>
      </c>
      <c r="C15" s="230" t="s">
        <v>3221</v>
      </c>
      <c r="D15" s="230" t="s">
        <v>3451</v>
      </c>
      <c r="E15" s="230" t="s">
        <v>3438</v>
      </c>
      <c r="F15" s="188"/>
      <c r="G15" s="188"/>
      <c r="H15" s="188"/>
      <c r="I15" s="188"/>
      <c r="J15" s="188"/>
      <c r="K15" s="188"/>
      <c r="L15" s="188"/>
      <c r="M15" s="188"/>
      <c r="N15" s="188"/>
      <c r="O15" s="188"/>
      <c r="P15" s="188"/>
      <c r="Q15" s="188"/>
      <c r="R15" s="188"/>
      <c r="S15" s="188"/>
      <c r="T15" s="188"/>
      <c r="U15" s="188"/>
      <c r="V15" s="188"/>
      <c r="W15" s="188"/>
    </row>
    <row r="16">
      <c r="A16" s="230">
        <v>2600016.0</v>
      </c>
      <c r="B16" s="231" t="str">
        <f>VLOOKUP(A16,'Purchase Order Summary V2'!H:AA,20,0)</f>
        <v/>
      </c>
      <c r="C16" s="230" t="s">
        <v>3221</v>
      </c>
      <c r="D16" s="230" t="s">
        <v>3452</v>
      </c>
      <c r="E16" s="230" t="s">
        <v>3438</v>
      </c>
      <c r="F16" s="188"/>
      <c r="G16" s="188"/>
      <c r="H16" s="188"/>
      <c r="I16" s="188"/>
      <c r="J16" s="188"/>
      <c r="K16" s="188"/>
      <c r="L16" s="188"/>
      <c r="M16" s="188"/>
      <c r="N16" s="188"/>
      <c r="O16" s="188"/>
      <c r="P16" s="188"/>
      <c r="Q16" s="188"/>
      <c r="R16" s="188"/>
      <c r="S16" s="188"/>
      <c r="T16" s="188"/>
      <c r="U16" s="188"/>
      <c r="V16" s="188"/>
      <c r="W16" s="188"/>
    </row>
    <row r="17">
      <c r="A17" s="230">
        <v>2600016.0</v>
      </c>
      <c r="B17" s="231" t="str">
        <f>VLOOKUP(A17,'Purchase Order Summary V2'!H:AA,20,0)</f>
        <v/>
      </c>
      <c r="C17" s="230" t="s">
        <v>3221</v>
      </c>
      <c r="D17" s="230" t="s">
        <v>3453</v>
      </c>
      <c r="E17" s="230" t="s">
        <v>3438</v>
      </c>
      <c r="F17" s="188"/>
      <c r="G17" s="188"/>
      <c r="H17" s="188"/>
      <c r="I17" s="188"/>
      <c r="J17" s="188"/>
      <c r="K17" s="188"/>
      <c r="L17" s="188"/>
      <c r="M17" s="188"/>
      <c r="N17" s="188"/>
      <c r="O17" s="188"/>
      <c r="P17" s="188"/>
      <c r="Q17" s="188"/>
      <c r="R17" s="188"/>
      <c r="S17" s="188"/>
      <c r="T17" s="188"/>
      <c r="U17" s="188"/>
      <c r="V17" s="188"/>
      <c r="W17" s="188"/>
    </row>
    <row r="18">
      <c r="A18" s="230">
        <v>2600020.0</v>
      </c>
      <c r="B18" s="231" t="str">
        <f>VLOOKUP(A18,'Purchase Order Summary V2'!H:AA,20,0)</f>
        <v/>
      </c>
      <c r="C18" s="230" t="s">
        <v>3454</v>
      </c>
      <c r="D18" s="230" t="s">
        <v>3455</v>
      </c>
      <c r="E18" s="230" t="s">
        <v>3438</v>
      </c>
      <c r="F18" s="188"/>
      <c r="G18" s="188"/>
      <c r="H18" s="188"/>
      <c r="I18" s="188"/>
      <c r="J18" s="188"/>
      <c r="K18" s="188"/>
      <c r="L18" s="188"/>
      <c r="M18" s="188"/>
      <c r="N18" s="188"/>
      <c r="O18" s="188"/>
      <c r="P18" s="188"/>
      <c r="Q18" s="188"/>
      <c r="R18" s="188"/>
      <c r="S18" s="188"/>
      <c r="T18" s="188"/>
      <c r="U18" s="188"/>
      <c r="V18" s="188"/>
      <c r="W18" s="188"/>
    </row>
    <row r="19">
      <c r="A19" s="230">
        <v>2600021.0</v>
      </c>
      <c r="B19" s="231" t="str">
        <f>VLOOKUP(A19,'Purchase Order Summary V2'!H:AA,20,0)</f>
        <v/>
      </c>
      <c r="C19" s="230" t="s">
        <v>143</v>
      </c>
      <c r="D19" s="230" t="s">
        <v>3456</v>
      </c>
      <c r="E19" s="230" t="s">
        <v>3438</v>
      </c>
      <c r="F19" s="188"/>
      <c r="G19" s="188"/>
      <c r="H19" s="188"/>
      <c r="I19" s="188"/>
      <c r="J19" s="188"/>
      <c r="K19" s="188"/>
      <c r="L19" s="188"/>
      <c r="M19" s="188"/>
      <c r="N19" s="188"/>
      <c r="O19" s="188"/>
      <c r="P19" s="188"/>
      <c r="Q19" s="188"/>
      <c r="R19" s="188"/>
      <c r="S19" s="188"/>
      <c r="T19" s="188"/>
      <c r="U19" s="188"/>
      <c r="V19" s="188"/>
      <c r="W19" s="188"/>
    </row>
    <row r="20">
      <c r="A20" s="230">
        <v>2600021.0</v>
      </c>
      <c r="B20" s="231" t="str">
        <f>VLOOKUP(A20,'Purchase Order Summary V2'!H:AA,20,0)</f>
        <v/>
      </c>
      <c r="C20" s="230" t="s">
        <v>143</v>
      </c>
      <c r="D20" s="230" t="s">
        <v>3457</v>
      </c>
      <c r="E20" s="230" t="s">
        <v>3438</v>
      </c>
      <c r="F20" s="188"/>
      <c r="G20" s="188"/>
      <c r="H20" s="188"/>
      <c r="I20" s="188"/>
      <c r="J20" s="188"/>
      <c r="K20" s="188"/>
      <c r="L20" s="188"/>
      <c r="M20" s="188"/>
      <c r="N20" s="188"/>
      <c r="O20" s="188"/>
      <c r="P20" s="188"/>
      <c r="Q20" s="188"/>
      <c r="R20" s="188"/>
      <c r="S20" s="188"/>
      <c r="T20" s="188"/>
      <c r="U20" s="188"/>
      <c r="V20" s="188"/>
      <c r="W20" s="188"/>
    </row>
    <row r="21">
      <c r="A21" s="230">
        <v>2600021.0</v>
      </c>
      <c r="B21" s="231" t="str">
        <f>VLOOKUP(A21,'Purchase Order Summary V2'!H:AA,20,0)</f>
        <v/>
      </c>
      <c r="C21" s="230" t="s">
        <v>143</v>
      </c>
      <c r="D21" s="230" t="s">
        <v>3458</v>
      </c>
      <c r="E21" s="230" t="s">
        <v>3438</v>
      </c>
      <c r="F21" s="188"/>
      <c r="G21" s="188"/>
      <c r="H21" s="188"/>
      <c r="I21" s="188"/>
      <c r="J21" s="188"/>
      <c r="K21" s="188"/>
      <c r="L21" s="188"/>
      <c r="M21" s="188"/>
      <c r="N21" s="188"/>
      <c r="O21" s="188"/>
      <c r="P21" s="188"/>
      <c r="Q21" s="188"/>
      <c r="R21" s="188"/>
      <c r="S21" s="188"/>
      <c r="T21" s="188"/>
      <c r="U21" s="188"/>
      <c r="V21" s="188"/>
      <c r="W21" s="188"/>
    </row>
    <row r="22">
      <c r="A22" s="230">
        <v>2600021.0</v>
      </c>
      <c r="B22" s="231" t="str">
        <f>VLOOKUP(A22,'Purchase Order Summary V2'!H:AA,20,0)</f>
        <v/>
      </c>
      <c r="C22" s="230" t="s">
        <v>143</v>
      </c>
      <c r="D22" s="230" t="s">
        <v>3459</v>
      </c>
      <c r="E22" s="230" t="s">
        <v>3438</v>
      </c>
      <c r="F22" s="188"/>
      <c r="G22" s="188"/>
      <c r="H22" s="188"/>
      <c r="I22" s="188"/>
      <c r="J22" s="188"/>
      <c r="K22" s="188"/>
      <c r="L22" s="188"/>
      <c r="M22" s="188"/>
      <c r="N22" s="188"/>
      <c r="O22" s="188"/>
      <c r="P22" s="188"/>
      <c r="Q22" s="188"/>
      <c r="R22" s="188"/>
      <c r="S22" s="188"/>
      <c r="T22" s="188"/>
      <c r="U22" s="188"/>
      <c r="V22" s="188"/>
      <c r="W22" s="188"/>
    </row>
    <row r="23">
      <c r="A23" s="230">
        <v>2600021.0</v>
      </c>
      <c r="B23" s="231" t="str">
        <f>VLOOKUP(A23,'Purchase Order Summary V2'!H:AA,20,0)</f>
        <v/>
      </c>
      <c r="C23" s="230" t="s">
        <v>143</v>
      </c>
      <c r="D23" s="230" t="s">
        <v>3460</v>
      </c>
      <c r="E23" s="230" t="s">
        <v>3438</v>
      </c>
      <c r="F23" s="232"/>
      <c r="G23" s="188"/>
      <c r="H23" s="188"/>
      <c r="I23" s="188"/>
      <c r="J23" s="188"/>
      <c r="K23" s="188"/>
      <c r="L23" s="188"/>
      <c r="M23" s="188"/>
      <c r="N23" s="188"/>
      <c r="O23" s="188"/>
      <c r="P23" s="188"/>
      <c r="Q23" s="188"/>
      <c r="R23" s="188"/>
      <c r="S23" s="188"/>
      <c r="T23" s="188"/>
      <c r="U23" s="188"/>
      <c r="V23" s="188"/>
      <c r="W23" s="188"/>
    </row>
    <row r="24">
      <c r="A24" s="230">
        <v>2600021.0</v>
      </c>
      <c r="B24" s="231" t="str">
        <f>VLOOKUP(A24,'Purchase Order Summary V2'!H:AA,20,0)</f>
        <v/>
      </c>
      <c r="C24" s="230" t="s">
        <v>143</v>
      </c>
      <c r="D24" s="230" t="s">
        <v>3461</v>
      </c>
      <c r="E24" s="230" t="s">
        <v>3438</v>
      </c>
      <c r="F24" s="188"/>
      <c r="G24" s="188"/>
      <c r="H24" s="188"/>
      <c r="I24" s="188"/>
      <c r="J24" s="188"/>
      <c r="K24" s="188"/>
      <c r="L24" s="188"/>
      <c r="M24" s="188"/>
      <c r="N24" s="188"/>
      <c r="O24" s="188"/>
      <c r="P24" s="188"/>
      <c r="Q24" s="188"/>
      <c r="R24" s="188"/>
      <c r="S24" s="188"/>
      <c r="T24" s="188"/>
      <c r="U24" s="188"/>
      <c r="V24" s="188"/>
      <c r="W24" s="188"/>
    </row>
    <row r="25">
      <c r="A25" s="230">
        <v>2600021.0</v>
      </c>
      <c r="B25" s="231" t="str">
        <f>VLOOKUP(A25,'Purchase Order Summary V2'!H:AA,20,0)</f>
        <v/>
      </c>
      <c r="C25" s="230" t="s">
        <v>143</v>
      </c>
      <c r="D25" s="230" t="s">
        <v>3462</v>
      </c>
      <c r="E25" s="230" t="s">
        <v>3438</v>
      </c>
      <c r="F25" s="188"/>
      <c r="G25" s="188"/>
      <c r="H25" s="188"/>
      <c r="I25" s="188"/>
      <c r="J25" s="188"/>
      <c r="K25" s="188"/>
      <c r="L25" s="188"/>
      <c r="M25" s="188"/>
      <c r="N25" s="188"/>
      <c r="O25" s="188"/>
      <c r="P25" s="188"/>
      <c r="Q25" s="188"/>
      <c r="R25" s="188"/>
      <c r="S25" s="188"/>
      <c r="T25" s="188"/>
      <c r="U25" s="188"/>
      <c r="V25" s="188"/>
      <c r="W25" s="188"/>
    </row>
    <row r="26">
      <c r="A26" s="230">
        <v>2600022.0</v>
      </c>
      <c r="B26" s="231" t="str">
        <f>VLOOKUP(A26,'Purchase Order Summary V2'!H:AA,20,0)</f>
        <v/>
      </c>
      <c r="C26" s="230" t="s">
        <v>143</v>
      </c>
      <c r="D26" s="230" t="s">
        <v>3463</v>
      </c>
      <c r="E26" s="230" t="s">
        <v>3438</v>
      </c>
      <c r="F26" s="188"/>
      <c r="G26" s="188"/>
      <c r="H26" s="188"/>
      <c r="I26" s="188"/>
      <c r="J26" s="188"/>
      <c r="K26" s="188"/>
      <c r="L26" s="188"/>
      <c r="M26" s="188"/>
      <c r="N26" s="188"/>
      <c r="O26" s="188"/>
      <c r="P26" s="188"/>
      <c r="Q26" s="188"/>
      <c r="R26" s="188"/>
      <c r="S26" s="188"/>
      <c r="T26" s="188"/>
      <c r="U26" s="188"/>
      <c r="V26" s="188"/>
      <c r="W26" s="188"/>
    </row>
    <row r="27">
      <c r="A27" s="230">
        <v>2600022.0</v>
      </c>
      <c r="B27" s="231" t="str">
        <f>VLOOKUP(A27,'Purchase Order Summary V2'!H:AA,20,0)</f>
        <v/>
      </c>
      <c r="C27" s="230" t="s">
        <v>143</v>
      </c>
      <c r="D27" s="230" t="s">
        <v>3464</v>
      </c>
      <c r="E27" s="230" t="s">
        <v>3438</v>
      </c>
      <c r="F27" s="188"/>
      <c r="G27" s="188"/>
      <c r="H27" s="188"/>
      <c r="I27" s="188"/>
      <c r="J27" s="188"/>
      <c r="K27" s="188"/>
      <c r="L27" s="188"/>
      <c r="M27" s="188"/>
      <c r="N27" s="188"/>
      <c r="O27" s="188"/>
      <c r="P27" s="188"/>
      <c r="Q27" s="188"/>
      <c r="R27" s="188"/>
      <c r="S27" s="188"/>
      <c r="T27" s="188"/>
      <c r="U27" s="188"/>
      <c r="V27" s="188"/>
      <c r="W27" s="188"/>
    </row>
    <row r="28">
      <c r="A28" s="230">
        <v>2600022.0</v>
      </c>
      <c r="B28" s="231" t="str">
        <f>VLOOKUP(A28,'Purchase Order Summary V2'!H:AA,20,0)</f>
        <v/>
      </c>
      <c r="C28" s="230" t="s">
        <v>143</v>
      </c>
      <c r="D28" s="230" t="s">
        <v>3465</v>
      </c>
      <c r="E28" s="230" t="s">
        <v>3438</v>
      </c>
      <c r="F28" s="188"/>
      <c r="G28" s="188"/>
      <c r="H28" s="188"/>
      <c r="I28" s="188"/>
      <c r="J28" s="188"/>
      <c r="K28" s="188"/>
      <c r="L28" s="188"/>
      <c r="M28" s="188"/>
      <c r="N28" s="188"/>
      <c r="O28" s="188"/>
      <c r="P28" s="188"/>
      <c r="Q28" s="188"/>
      <c r="R28" s="188"/>
      <c r="S28" s="188"/>
      <c r="T28" s="188"/>
      <c r="U28" s="188"/>
      <c r="V28" s="188"/>
      <c r="W28" s="188"/>
    </row>
    <row r="29">
      <c r="A29" s="230">
        <v>2600022.0</v>
      </c>
      <c r="B29" s="231" t="str">
        <f>VLOOKUP(A29,'Purchase Order Summary V2'!H:AA,20,0)</f>
        <v/>
      </c>
      <c r="C29" s="230" t="s">
        <v>143</v>
      </c>
      <c r="D29" s="230" t="s">
        <v>3466</v>
      </c>
      <c r="E29" s="230" t="s">
        <v>3438</v>
      </c>
      <c r="F29" s="188"/>
      <c r="G29" s="188"/>
      <c r="H29" s="188"/>
      <c r="I29" s="188"/>
      <c r="J29" s="188"/>
      <c r="K29" s="188"/>
      <c r="L29" s="188"/>
      <c r="M29" s="188"/>
      <c r="N29" s="188"/>
      <c r="O29" s="188"/>
      <c r="P29" s="188"/>
      <c r="Q29" s="188"/>
      <c r="R29" s="188"/>
      <c r="S29" s="188"/>
      <c r="T29" s="188"/>
      <c r="U29" s="188"/>
      <c r="V29" s="188"/>
      <c r="W29" s="188"/>
    </row>
    <row r="30">
      <c r="A30" s="230">
        <v>2600022.0</v>
      </c>
      <c r="B30" s="231" t="str">
        <f>VLOOKUP(A30,'Purchase Order Summary V2'!H:AA,20,0)</f>
        <v/>
      </c>
      <c r="C30" s="230" t="s">
        <v>143</v>
      </c>
      <c r="D30" s="230" t="s">
        <v>3467</v>
      </c>
      <c r="E30" s="230" t="s">
        <v>3438</v>
      </c>
      <c r="F30" s="188"/>
      <c r="G30" s="188"/>
      <c r="H30" s="188"/>
      <c r="I30" s="188"/>
      <c r="J30" s="188"/>
      <c r="K30" s="188"/>
      <c r="L30" s="188"/>
      <c r="M30" s="188"/>
      <c r="N30" s="188"/>
      <c r="O30" s="188"/>
      <c r="P30" s="188"/>
      <c r="Q30" s="188"/>
      <c r="R30" s="188"/>
      <c r="S30" s="188"/>
      <c r="T30" s="188"/>
      <c r="U30" s="188"/>
      <c r="V30" s="188"/>
      <c r="W30" s="188"/>
    </row>
    <row r="31">
      <c r="A31" s="229"/>
      <c r="B31" s="231" t="str">
        <f>VLOOKUP(A31,'Purchase Order Summary V2'!H:AA,20,0)</f>
        <v>#N/A</v>
      </c>
      <c r="C31" s="230" t="s">
        <v>3350</v>
      </c>
      <c r="D31" s="230" t="s">
        <v>3468</v>
      </c>
      <c r="E31" s="230" t="s">
        <v>3438</v>
      </c>
      <c r="F31" s="188"/>
      <c r="G31" s="188"/>
      <c r="H31" s="188"/>
      <c r="I31" s="188"/>
      <c r="J31" s="188"/>
      <c r="K31" s="188"/>
      <c r="L31" s="188"/>
      <c r="M31" s="188"/>
      <c r="N31" s="188"/>
      <c r="O31" s="188"/>
      <c r="P31" s="188"/>
      <c r="Q31" s="188"/>
      <c r="R31" s="188"/>
      <c r="S31" s="188"/>
      <c r="T31" s="188"/>
      <c r="U31" s="188"/>
      <c r="V31" s="188"/>
      <c r="W31" s="188"/>
    </row>
    <row r="32">
      <c r="A32" s="229"/>
      <c r="B32" s="231" t="str">
        <f>VLOOKUP(A32,'Purchase Order Summary V2'!H:AA,20,0)</f>
        <v>#N/A</v>
      </c>
      <c r="C32" s="230" t="s">
        <v>3350</v>
      </c>
      <c r="D32" s="230" t="s">
        <v>3469</v>
      </c>
      <c r="E32" s="230" t="s">
        <v>3438</v>
      </c>
      <c r="F32" s="188"/>
      <c r="G32" s="188"/>
      <c r="H32" s="188"/>
      <c r="I32" s="188"/>
      <c r="J32" s="188"/>
      <c r="K32" s="188"/>
      <c r="L32" s="188"/>
      <c r="M32" s="188"/>
      <c r="N32" s="188"/>
      <c r="O32" s="188"/>
      <c r="P32" s="188"/>
      <c r="Q32" s="188"/>
      <c r="R32" s="188"/>
      <c r="S32" s="188"/>
      <c r="T32" s="188"/>
      <c r="U32" s="188"/>
      <c r="V32" s="188"/>
      <c r="W32" s="188"/>
    </row>
    <row r="33">
      <c r="A33" s="229"/>
      <c r="B33" s="231" t="str">
        <f>VLOOKUP(A33,'Purchase Order Summary V2'!H:AA,20,0)</f>
        <v>#N/A</v>
      </c>
      <c r="C33" s="230" t="s">
        <v>3350</v>
      </c>
      <c r="D33" s="230" t="s">
        <v>3470</v>
      </c>
      <c r="E33" s="230" t="s">
        <v>3438</v>
      </c>
      <c r="F33" s="188"/>
      <c r="G33" s="188"/>
      <c r="H33" s="188"/>
      <c r="I33" s="188"/>
      <c r="J33" s="188"/>
      <c r="K33" s="188"/>
      <c r="L33" s="188"/>
      <c r="M33" s="188"/>
      <c r="N33" s="188"/>
      <c r="O33" s="188"/>
      <c r="P33" s="188"/>
      <c r="Q33" s="188"/>
      <c r="R33" s="188"/>
      <c r="S33" s="188"/>
      <c r="T33" s="188"/>
      <c r="U33" s="188"/>
      <c r="V33" s="188"/>
      <c r="W33" s="188"/>
    </row>
    <row r="34">
      <c r="A34" s="229"/>
      <c r="B34" s="231" t="str">
        <f>VLOOKUP(A34,'Purchase Order Summary V2'!H:AA,20,0)</f>
        <v>#N/A</v>
      </c>
      <c r="C34" s="230" t="s">
        <v>3350</v>
      </c>
      <c r="D34" s="230" t="s">
        <v>3471</v>
      </c>
      <c r="E34" s="230" t="s">
        <v>3438</v>
      </c>
      <c r="F34" s="188"/>
      <c r="G34" s="188"/>
      <c r="H34" s="188"/>
      <c r="I34" s="188"/>
      <c r="J34" s="188"/>
      <c r="K34" s="188"/>
      <c r="L34" s="188"/>
      <c r="M34" s="188"/>
      <c r="N34" s="188"/>
      <c r="O34" s="188"/>
      <c r="P34" s="188"/>
      <c r="Q34" s="188"/>
      <c r="R34" s="188"/>
      <c r="S34" s="188"/>
      <c r="T34" s="188"/>
      <c r="U34" s="188"/>
      <c r="V34" s="188"/>
      <c r="W34" s="188"/>
    </row>
    <row r="35">
      <c r="A35" s="229"/>
      <c r="B35" s="231" t="str">
        <f>VLOOKUP(A35,'Purchase Order Summary V2'!H:AA,20,0)</f>
        <v>#N/A</v>
      </c>
      <c r="C35" s="230" t="s">
        <v>3350</v>
      </c>
      <c r="D35" s="230" t="s">
        <v>3472</v>
      </c>
      <c r="E35" s="230" t="s">
        <v>3438</v>
      </c>
      <c r="F35" s="188"/>
      <c r="G35" s="188"/>
      <c r="H35" s="188"/>
      <c r="I35" s="188"/>
      <c r="J35" s="188"/>
      <c r="K35" s="188"/>
      <c r="L35" s="188"/>
      <c r="M35" s="188"/>
      <c r="N35" s="188"/>
      <c r="O35" s="188"/>
      <c r="P35" s="188"/>
      <c r="Q35" s="188"/>
      <c r="R35" s="188"/>
      <c r="S35" s="188"/>
      <c r="T35" s="188"/>
      <c r="U35" s="188"/>
      <c r="V35" s="188"/>
      <c r="W35" s="188"/>
    </row>
    <row r="36">
      <c r="A36" s="229"/>
      <c r="B36" s="231" t="str">
        <f>VLOOKUP(A36,'Purchase Order Summary V2'!H:AA,20,0)</f>
        <v>#N/A</v>
      </c>
      <c r="C36" s="230" t="s">
        <v>3350</v>
      </c>
      <c r="D36" s="230" t="s">
        <v>3473</v>
      </c>
      <c r="E36" s="230" t="s">
        <v>3438</v>
      </c>
      <c r="F36" s="188"/>
      <c r="G36" s="188"/>
      <c r="H36" s="188"/>
      <c r="I36" s="188"/>
      <c r="J36" s="188"/>
      <c r="K36" s="188"/>
      <c r="L36" s="188"/>
      <c r="M36" s="188"/>
      <c r="N36" s="188"/>
      <c r="O36" s="188"/>
      <c r="P36" s="188"/>
      <c r="Q36" s="188"/>
      <c r="R36" s="188"/>
      <c r="S36" s="188"/>
      <c r="T36" s="188"/>
      <c r="U36" s="188"/>
      <c r="V36" s="188"/>
      <c r="W36" s="188"/>
    </row>
    <row r="37">
      <c r="A37" s="229"/>
      <c r="B37" s="231" t="str">
        <f>VLOOKUP(A37,'Purchase Order Summary V2'!H:AA,20,0)</f>
        <v>#N/A</v>
      </c>
      <c r="C37" s="230" t="s">
        <v>3350</v>
      </c>
      <c r="D37" s="230" t="s">
        <v>3474</v>
      </c>
      <c r="E37" s="230" t="s">
        <v>3438</v>
      </c>
      <c r="F37" s="188"/>
      <c r="G37" s="188"/>
      <c r="H37" s="188"/>
      <c r="I37" s="188"/>
      <c r="J37" s="188"/>
      <c r="K37" s="188"/>
      <c r="L37" s="188"/>
      <c r="M37" s="188"/>
      <c r="N37" s="188"/>
      <c r="O37" s="188"/>
      <c r="P37" s="188"/>
      <c r="Q37" s="188"/>
      <c r="R37" s="188"/>
      <c r="S37" s="188"/>
      <c r="T37" s="188"/>
      <c r="U37" s="188"/>
      <c r="V37" s="188"/>
      <c r="W37" s="188"/>
    </row>
    <row r="38">
      <c r="A38" s="229"/>
      <c r="B38" s="231" t="str">
        <f>VLOOKUP(A38,'Purchase Order Summary V2'!H:AA,20,0)</f>
        <v>#N/A</v>
      </c>
      <c r="C38" s="230" t="s">
        <v>3350</v>
      </c>
      <c r="D38" s="230" t="s">
        <v>3475</v>
      </c>
      <c r="E38" s="230" t="s">
        <v>3438</v>
      </c>
      <c r="F38" s="188"/>
      <c r="G38" s="188"/>
      <c r="H38" s="188"/>
      <c r="I38" s="188"/>
      <c r="J38" s="188"/>
      <c r="K38" s="188"/>
      <c r="L38" s="188"/>
      <c r="M38" s="188"/>
      <c r="N38" s="188"/>
      <c r="O38" s="188"/>
      <c r="P38" s="188"/>
      <c r="Q38" s="188"/>
      <c r="R38" s="188"/>
      <c r="S38" s="188"/>
      <c r="T38" s="188"/>
      <c r="U38" s="188"/>
      <c r="V38" s="188"/>
      <c r="W38" s="188"/>
    </row>
    <row r="39">
      <c r="A39" s="229"/>
      <c r="B39" s="231" t="str">
        <f>VLOOKUP(A39,'Purchase Order Summary V2'!H:AA,20,0)</f>
        <v>#N/A</v>
      </c>
      <c r="C39" s="230" t="s">
        <v>3350</v>
      </c>
      <c r="D39" s="230" t="s">
        <v>3476</v>
      </c>
      <c r="E39" s="230" t="s">
        <v>3438</v>
      </c>
      <c r="F39" s="188"/>
      <c r="G39" s="188"/>
      <c r="H39" s="188"/>
      <c r="I39" s="188"/>
      <c r="J39" s="188"/>
      <c r="K39" s="188"/>
      <c r="L39" s="188"/>
      <c r="M39" s="188"/>
      <c r="N39" s="188"/>
      <c r="O39" s="188"/>
      <c r="P39" s="188"/>
      <c r="Q39" s="188"/>
      <c r="R39" s="188"/>
      <c r="S39" s="188"/>
      <c r="T39" s="188"/>
      <c r="U39" s="188"/>
      <c r="V39" s="188"/>
      <c r="W39" s="188"/>
    </row>
    <row r="40">
      <c r="A40" s="229"/>
      <c r="B40" s="231" t="str">
        <f>VLOOKUP(A40,'Purchase Order Summary V2'!H:AA,20,0)</f>
        <v>#N/A</v>
      </c>
      <c r="C40" s="230" t="s">
        <v>3350</v>
      </c>
      <c r="D40" s="230" t="s">
        <v>3477</v>
      </c>
      <c r="E40" s="230" t="s">
        <v>3438</v>
      </c>
      <c r="F40" s="188"/>
      <c r="G40" s="188"/>
      <c r="H40" s="188"/>
      <c r="I40" s="188"/>
      <c r="J40" s="188"/>
      <c r="K40" s="188"/>
      <c r="L40" s="188"/>
      <c r="M40" s="188"/>
      <c r="N40" s="188"/>
      <c r="O40" s="188"/>
      <c r="P40" s="188"/>
      <c r="Q40" s="188"/>
      <c r="R40" s="188"/>
      <c r="S40" s="188"/>
      <c r="T40" s="188"/>
      <c r="U40" s="188"/>
      <c r="V40" s="188"/>
      <c r="W40" s="188"/>
    </row>
    <row r="41">
      <c r="A41" s="229"/>
      <c r="B41" s="231" t="str">
        <f>VLOOKUP(A41,'Purchase Order Summary V2'!H:AA,20,0)</f>
        <v>#N/A</v>
      </c>
      <c r="C41" s="230" t="s">
        <v>3350</v>
      </c>
      <c r="D41" s="230" t="s">
        <v>3478</v>
      </c>
      <c r="E41" s="230" t="s">
        <v>3438</v>
      </c>
      <c r="F41" s="188"/>
      <c r="G41" s="188"/>
      <c r="H41" s="188"/>
      <c r="I41" s="188"/>
      <c r="J41" s="188"/>
      <c r="K41" s="188"/>
      <c r="L41" s="188"/>
      <c r="M41" s="188"/>
      <c r="N41" s="188"/>
      <c r="O41" s="188"/>
      <c r="P41" s="188"/>
      <c r="Q41" s="188"/>
      <c r="R41" s="188"/>
      <c r="S41" s="188"/>
      <c r="T41" s="188"/>
      <c r="U41" s="188"/>
      <c r="V41" s="188"/>
      <c r="W41" s="188"/>
    </row>
    <row r="42">
      <c r="A42" s="229"/>
      <c r="B42" s="231" t="str">
        <f>VLOOKUP(A42,'Purchase Order Summary V2'!H:AA,20,0)</f>
        <v>#N/A</v>
      </c>
      <c r="C42" s="230" t="s">
        <v>3350</v>
      </c>
      <c r="D42" s="230" t="s">
        <v>3479</v>
      </c>
      <c r="E42" s="230" t="s">
        <v>3438</v>
      </c>
      <c r="F42" s="188"/>
      <c r="G42" s="188"/>
      <c r="H42" s="188"/>
      <c r="I42" s="188"/>
      <c r="J42" s="188"/>
      <c r="K42" s="188"/>
      <c r="L42" s="188"/>
      <c r="M42" s="188"/>
      <c r="N42" s="188"/>
      <c r="O42" s="188"/>
      <c r="P42" s="188"/>
      <c r="Q42" s="188"/>
      <c r="R42" s="188"/>
      <c r="S42" s="188"/>
      <c r="T42" s="188"/>
      <c r="U42" s="188"/>
      <c r="V42" s="188"/>
      <c r="W42" s="188"/>
    </row>
    <row r="43">
      <c r="A43" s="229"/>
      <c r="B43" s="231" t="str">
        <f>VLOOKUP(A43,'Purchase Order Summary V2'!H:AA,20,0)</f>
        <v>#N/A</v>
      </c>
      <c r="C43" s="230" t="s">
        <v>3350</v>
      </c>
      <c r="D43" s="230" t="s">
        <v>3480</v>
      </c>
      <c r="E43" s="230" t="s">
        <v>3438</v>
      </c>
      <c r="F43" s="188"/>
      <c r="G43" s="188"/>
      <c r="H43" s="188"/>
      <c r="I43" s="188"/>
      <c r="J43" s="188"/>
      <c r="K43" s="188"/>
      <c r="L43" s="188"/>
      <c r="M43" s="188"/>
      <c r="N43" s="188"/>
      <c r="O43" s="188"/>
      <c r="P43" s="188"/>
      <c r="Q43" s="188"/>
      <c r="R43" s="188"/>
      <c r="S43" s="188"/>
      <c r="T43" s="188"/>
      <c r="U43" s="188"/>
      <c r="V43" s="188"/>
      <c r="W43" s="188"/>
    </row>
    <row r="44">
      <c r="A44" s="230">
        <v>2600026.0</v>
      </c>
      <c r="B44" s="231" t="str">
        <f>VLOOKUP(A44,'Purchase Order Summary V2'!H:AA,20,0)</f>
        <v>Ready To Load</v>
      </c>
      <c r="C44" s="230" t="s">
        <v>26</v>
      </c>
      <c r="D44" s="230" t="s">
        <v>3481</v>
      </c>
      <c r="E44" s="230" t="s">
        <v>3482</v>
      </c>
      <c r="F44" s="188"/>
      <c r="G44" s="188"/>
      <c r="H44" s="188"/>
      <c r="I44" s="188"/>
      <c r="J44" s="188"/>
      <c r="K44" s="188"/>
      <c r="L44" s="188"/>
      <c r="M44" s="188"/>
      <c r="N44" s="188"/>
      <c r="O44" s="188"/>
      <c r="P44" s="188"/>
      <c r="Q44" s="188"/>
      <c r="R44" s="188"/>
      <c r="S44" s="188"/>
      <c r="T44" s="188"/>
      <c r="U44" s="188"/>
      <c r="V44" s="188"/>
      <c r="W44" s="188"/>
    </row>
    <row r="45">
      <c r="A45" s="230">
        <v>2600026.0</v>
      </c>
      <c r="B45" s="231" t="str">
        <f>VLOOKUP(A45,'Purchase Order Summary V2'!H:AA,20,0)</f>
        <v>Ready To Load</v>
      </c>
      <c r="C45" s="230" t="s">
        <v>26</v>
      </c>
      <c r="D45" s="230" t="s">
        <v>3483</v>
      </c>
      <c r="E45" s="230" t="s">
        <v>3482</v>
      </c>
      <c r="F45" s="188"/>
      <c r="G45" s="188"/>
      <c r="H45" s="188"/>
      <c r="I45" s="188"/>
      <c r="J45" s="188"/>
      <c r="K45" s="188"/>
      <c r="L45" s="188"/>
      <c r="M45" s="188"/>
      <c r="N45" s="188"/>
      <c r="O45" s="188"/>
      <c r="P45" s="188"/>
      <c r="Q45" s="188"/>
      <c r="R45" s="188"/>
      <c r="S45" s="188"/>
      <c r="T45" s="188"/>
      <c r="U45" s="188"/>
      <c r="V45" s="188"/>
      <c r="W45" s="188"/>
    </row>
    <row r="46">
      <c r="A46" s="230">
        <v>2600026.0</v>
      </c>
      <c r="B46" s="231" t="str">
        <f>VLOOKUP(A46,'Purchase Order Summary V2'!H:AA,20,0)</f>
        <v>Ready To Load</v>
      </c>
      <c r="C46" s="230" t="s">
        <v>26</v>
      </c>
      <c r="D46" s="230" t="s">
        <v>3484</v>
      </c>
      <c r="E46" s="230" t="s">
        <v>3482</v>
      </c>
      <c r="F46" s="188"/>
      <c r="G46" s="188"/>
      <c r="H46" s="188"/>
      <c r="I46" s="188"/>
      <c r="J46" s="188"/>
      <c r="K46" s="188"/>
      <c r="L46" s="188"/>
      <c r="M46" s="188"/>
      <c r="N46" s="188"/>
      <c r="O46" s="188"/>
      <c r="P46" s="188"/>
      <c r="Q46" s="188"/>
      <c r="R46" s="188"/>
      <c r="S46" s="188"/>
      <c r="T46" s="188"/>
      <c r="U46" s="188"/>
      <c r="V46" s="188"/>
      <c r="W46" s="188"/>
    </row>
    <row r="47">
      <c r="A47" s="230">
        <v>2600026.0</v>
      </c>
      <c r="B47" s="231" t="str">
        <f>VLOOKUP(A47,'Purchase Order Summary V2'!H:AA,20,0)</f>
        <v>Ready To Load</v>
      </c>
      <c r="C47" s="230" t="s">
        <v>26</v>
      </c>
      <c r="D47" s="230" t="s">
        <v>3485</v>
      </c>
      <c r="E47" s="230" t="s">
        <v>3482</v>
      </c>
      <c r="F47" s="188"/>
      <c r="G47" s="188"/>
      <c r="H47" s="188"/>
      <c r="I47" s="188"/>
      <c r="J47" s="188"/>
      <c r="K47" s="188"/>
      <c r="L47" s="188"/>
      <c r="M47" s="188"/>
      <c r="N47" s="188"/>
      <c r="O47" s="188"/>
      <c r="P47" s="188"/>
      <c r="Q47" s="188"/>
      <c r="R47" s="188"/>
      <c r="S47" s="188"/>
      <c r="T47" s="188"/>
      <c r="U47" s="188"/>
      <c r="V47" s="188"/>
      <c r="W47" s="188"/>
    </row>
    <row r="48">
      <c r="A48" s="230">
        <v>2600028.0</v>
      </c>
      <c r="B48" s="231" t="str">
        <f>VLOOKUP(A48,'Purchase Order Summary V2'!H:AA,20,0)</f>
        <v>Ready To Load</v>
      </c>
      <c r="C48" s="230" t="s">
        <v>3486</v>
      </c>
      <c r="D48" s="230" t="s">
        <v>3487</v>
      </c>
      <c r="E48" s="230" t="s">
        <v>3438</v>
      </c>
      <c r="F48" s="188"/>
      <c r="G48" s="188"/>
      <c r="H48" s="188"/>
      <c r="I48" s="188"/>
      <c r="J48" s="188"/>
      <c r="K48" s="188"/>
      <c r="L48" s="188"/>
      <c r="M48" s="188"/>
      <c r="N48" s="188"/>
      <c r="O48" s="188"/>
      <c r="P48" s="188"/>
      <c r="Q48" s="188"/>
      <c r="R48" s="188"/>
      <c r="S48" s="188"/>
      <c r="T48" s="188"/>
      <c r="U48" s="188"/>
      <c r="V48" s="188"/>
      <c r="W48" s="188"/>
    </row>
    <row r="49">
      <c r="A49" s="230">
        <v>2600028.0</v>
      </c>
      <c r="B49" s="231" t="str">
        <f>VLOOKUP(A49,'Purchase Order Summary V2'!H:AA,20,0)</f>
        <v>Ready To Load</v>
      </c>
      <c r="C49" s="230" t="s">
        <v>3486</v>
      </c>
      <c r="D49" s="230" t="s">
        <v>3488</v>
      </c>
      <c r="E49" s="230" t="s">
        <v>3438</v>
      </c>
      <c r="F49" s="188"/>
      <c r="G49" s="188"/>
      <c r="H49" s="188"/>
      <c r="I49" s="188"/>
      <c r="J49" s="188"/>
      <c r="K49" s="188"/>
      <c r="L49" s="188"/>
      <c r="M49" s="188"/>
      <c r="N49" s="188"/>
      <c r="O49" s="188"/>
      <c r="P49" s="188"/>
      <c r="Q49" s="188"/>
      <c r="R49" s="188"/>
      <c r="S49" s="188"/>
      <c r="T49" s="188"/>
      <c r="U49" s="188"/>
      <c r="V49" s="188"/>
      <c r="W49" s="188"/>
    </row>
    <row r="50">
      <c r="A50" s="230">
        <v>2600028.0</v>
      </c>
      <c r="B50" s="231" t="str">
        <f>VLOOKUP(A50,'Purchase Order Summary V2'!H:AA,20,0)</f>
        <v>Ready To Load</v>
      </c>
      <c r="C50" s="230" t="s">
        <v>3486</v>
      </c>
      <c r="D50" s="230" t="s">
        <v>3489</v>
      </c>
      <c r="E50" s="230" t="s">
        <v>3438</v>
      </c>
      <c r="F50" s="188"/>
      <c r="G50" s="188"/>
      <c r="H50" s="188"/>
      <c r="I50" s="188"/>
      <c r="J50" s="188"/>
      <c r="K50" s="188"/>
      <c r="L50" s="188"/>
      <c r="M50" s="188"/>
      <c r="N50" s="188"/>
      <c r="O50" s="188"/>
      <c r="P50" s="188"/>
      <c r="Q50" s="188"/>
      <c r="R50" s="188"/>
      <c r="S50" s="188"/>
      <c r="T50" s="188"/>
      <c r="U50" s="188"/>
      <c r="V50" s="188"/>
      <c r="W50" s="188"/>
    </row>
    <row r="51">
      <c r="A51" s="229"/>
      <c r="B51" s="231" t="str">
        <f>VLOOKUP(A51,'Purchase Order Summary V2'!H:AA,20,0)</f>
        <v>#N/A</v>
      </c>
      <c r="C51" s="229"/>
      <c r="D51" s="229"/>
      <c r="E51" s="229"/>
      <c r="F51" s="188"/>
      <c r="G51" s="188"/>
      <c r="H51" s="188"/>
      <c r="I51" s="188"/>
      <c r="J51" s="188"/>
      <c r="K51" s="188"/>
      <c r="L51" s="188"/>
      <c r="M51" s="188"/>
      <c r="N51" s="188"/>
      <c r="O51" s="188"/>
      <c r="P51" s="188"/>
      <c r="Q51" s="188"/>
      <c r="R51" s="188"/>
      <c r="S51" s="188"/>
      <c r="T51" s="188"/>
      <c r="U51" s="188"/>
      <c r="V51" s="188"/>
      <c r="W51" s="188"/>
    </row>
    <row r="52">
      <c r="A52" s="229"/>
      <c r="B52" s="231" t="str">
        <f>VLOOKUP(A52,'Purchase Order Summary V2'!H:AA,20,0)</f>
        <v>#N/A</v>
      </c>
      <c r="C52" s="229"/>
      <c r="D52" s="229"/>
      <c r="E52" s="229"/>
      <c r="F52" s="188"/>
      <c r="G52" s="188"/>
      <c r="H52" s="188"/>
      <c r="I52" s="188"/>
      <c r="J52" s="188"/>
      <c r="K52" s="188"/>
      <c r="L52" s="188"/>
      <c r="M52" s="188"/>
      <c r="N52" s="188"/>
      <c r="O52" s="188"/>
      <c r="P52" s="188"/>
      <c r="Q52" s="188"/>
      <c r="R52" s="188"/>
      <c r="S52" s="188"/>
      <c r="T52" s="188"/>
      <c r="U52" s="188"/>
      <c r="V52" s="188"/>
      <c r="W52" s="188"/>
    </row>
    <row r="53">
      <c r="A53" s="229"/>
      <c r="B53" s="231" t="str">
        <f>VLOOKUP(A53,'Purchase Order Summary V2'!H:AA,20,0)</f>
        <v>#N/A</v>
      </c>
      <c r="C53" s="229"/>
      <c r="D53" s="229"/>
      <c r="E53" s="229"/>
      <c r="F53" s="188"/>
      <c r="G53" s="188"/>
      <c r="H53" s="188"/>
      <c r="I53" s="188"/>
      <c r="J53" s="188"/>
      <c r="K53" s="188"/>
      <c r="L53" s="188"/>
      <c r="M53" s="188"/>
      <c r="N53" s="188"/>
      <c r="O53" s="188"/>
      <c r="P53" s="188"/>
      <c r="Q53" s="188"/>
      <c r="R53" s="188"/>
      <c r="S53" s="188"/>
      <c r="T53" s="188"/>
      <c r="U53" s="188"/>
      <c r="V53" s="188"/>
      <c r="W53" s="188"/>
    </row>
    <row r="54">
      <c r="A54" s="229"/>
      <c r="B54" s="231" t="str">
        <f>VLOOKUP(A54,'Purchase Order Summary V2'!H:AA,20,0)</f>
        <v>#N/A</v>
      </c>
      <c r="C54" s="229"/>
      <c r="D54" s="229"/>
      <c r="E54" s="229"/>
      <c r="F54" s="188"/>
      <c r="G54" s="188"/>
      <c r="H54" s="188"/>
      <c r="I54" s="188"/>
      <c r="J54" s="188"/>
      <c r="K54" s="188"/>
      <c r="L54" s="188"/>
      <c r="M54" s="188"/>
      <c r="N54" s="188"/>
      <c r="O54" s="188"/>
      <c r="P54" s="188"/>
      <c r="Q54" s="188"/>
      <c r="R54" s="188"/>
      <c r="S54" s="188"/>
      <c r="T54" s="188"/>
      <c r="U54" s="188"/>
      <c r="V54" s="188"/>
      <c r="W54" s="188"/>
    </row>
    <row r="55">
      <c r="A55" s="229"/>
      <c r="B55" s="231" t="str">
        <f>VLOOKUP(A55,'Purchase Order Summary V2'!H:AA,20,0)</f>
        <v>#N/A</v>
      </c>
      <c r="C55" s="229"/>
      <c r="D55" s="229"/>
      <c r="E55" s="229"/>
      <c r="F55" s="188"/>
      <c r="G55" s="188"/>
      <c r="H55" s="188"/>
      <c r="I55" s="188"/>
      <c r="J55" s="188"/>
      <c r="K55" s="188"/>
      <c r="L55" s="188"/>
      <c r="M55" s="188"/>
      <c r="N55" s="188"/>
      <c r="O55" s="188"/>
      <c r="P55" s="188"/>
      <c r="Q55" s="188"/>
      <c r="R55" s="188"/>
      <c r="S55" s="188"/>
      <c r="T55" s="188"/>
      <c r="U55" s="188"/>
      <c r="V55" s="188"/>
      <c r="W55" s="188"/>
    </row>
    <row r="56">
      <c r="A56" s="229"/>
      <c r="B56" s="231" t="str">
        <f>VLOOKUP(A56,'Purchase Order Summary V2'!H:AA,20,0)</f>
        <v>#N/A</v>
      </c>
      <c r="C56" s="229"/>
      <c r="D56" s="229"/>
      <c r="E56" s="229"/>
      <c r="F56" s="188"/>
      <c r="G56" s="188"/>
      <c r="H56" s="188"/>
      <c r="I56" s="188"/>
      <c r="J56" s="188"/>
      <c r="K56" s="188"/>
      <c r="L56" s="188"/>
      <c r="M56" s="188"/>
      <c r="N56" s="188"/>
      <c r="O56" s="188"/>
      <c r="P56" s="188"/>
      <c r="Q56" s="188"/>
      <c r="R56" s="188"/>
      <c r="S56" s="188"/>
      <c r="T56" s="188"/>
      <c r="U56" s="188"/>
      <c r="V56" s="188"/>
      <c r="W56" s="188"/>
    </row>
    <row r="57">
      <c r="A57" s="229"/>
      <c r="B57" s="231" t="str">
        <f>VLOOKUP(A57,'Purchase Order Summary V2'!H:AA,20,0)</f>
        <v>#N/A</v>
      </c>
      <c r="C57" s="229"/>
      <c r="D57" s="229"/>
      <c r="E57" s="229"/>
      <c r="F57" s="188"/>
      <c r="G57" s="188"/>
      <c r="H57" s="188"/>
      <c r="I57" s="188"/>
      <c r="J57" s="188"/>
      <c r="K57" s="188"/>
      <c r="L57" s="188"/>
      <c r="M57" s="188"/>
      <c r="N57" s="188"/>
      <c r="O57" s="188"/>
      <c r="P57" s="188"/>
      <c r="Q57" s="188"/>
      <c r="R57" s="188"/>
      <c r="S57" s="188"/>
      <c r="T57" s="188"/>
      <c r="U57" s="188"/>
      <c r="V57" s="188"/>
      <c r="W57" s="188"/>
    </row>
    <row r="58">
      <c r="A58" s="229"/>
      <c r="B58" s="231" t="str">
        <f>VLOOKUP(A58,'Purchase Order Summary V2'!H:AA,20,0)</f>
        <v>#N/A</v>
      </c>
      <c r="C58" s="229"/>
      <c r="D58" s="229"/>
      <c r="E58" s="229"/>
      <c r="F58" s="188"/>
      <c r="G58" s="188"/>
      <c r="H58" s="188"/>
      <c r="I58" s="188"/>
      <c r="J58" s="188"/>
      <c r="K58" s="188"/>
      <c r="L58" s="188"/>
      <c r="M58" s="188"/>
      <c r="N58" s="188"/>
      <c r="O58" s="188"/>
      <c r="P58" s="188"/>
      <c r="Q58" s="188"/>
      <c r="R58" s="188"/>
      <c r="S58" s="188"/>
      <c r="T58" s="188"/>
      <c r="U58" s="188"/>
      <c r="V58" s="188"/>
      <c r="W58" s="188"/>
    </row>
    <row r="59">
      <c r="A59" s="229"/>
      <c r="B59" s="231" t="str">
        <f>VLOOKUP(A59,'Purchase Order Summary V2'!H:AA,20,0)</f>
        <v>#N/A</v>
      </c>
      <c r="C59" s="229"/>
      <c r="D59" s="229"/>
      <c r="E59" s="229"/>
      <c r="F59" s="188"/>
      <c r="G59" s="188"/>
      <c r="H59" s="188"/>
      <c r="I59" s="188"/>
      <c r="J59" s="188"/>
      <c r="K59" s="188"/>
      <c r="L59" s="188"/>
      <c r="M59" s="188"/>
      <c r="N59" s="188"/>
      <c r="O59" s="188"/>
      <c r="P59" s="188"/>
      <c r="Q59" s="188"/>
      <c r="R59" s="188"/>
      <c r="S59" s="188"/>
      <c r="T59" s="188"/>
      <c r="U59" s="188"/>
      <c r="V59" s="188"/>
      <c r="W59" s="188"/>
    </row>
    <row r="60">
      <c r="A60" s="229"/>
      <c r="B60" s="231" t="str">
        <f>VLOOKUP(A60,'Purchase Order Summary V2'!H:AA,20,0)</f>
        <v>#N/A</v>
      </c>
      <c r="C60" s="229"/>
      <c r="D60" s="229"/>
      <c r="E60" s="229"/>
      <c r="F60" s="188"/>
      <c r="G60" s="188"/>
      <c r="H60" s="188"/>
      <c r="I60" s="188"/>
      <c r="J60" s="188"/>
      <c r="K60" s="188"/>
      <c r="L60" s="188"/>
      <c r="M60" s="188"/>
      <c r="N60" s="188"/>
      <c r="O60" s="188"/>
      <c r="P60" s="188"/>
      <c r="Q60" s="188"/>
      <c r="R60" s="188"/>
      <c r="S60" s="188"/>
      <c r="T60" s="188"/>
      <c r="U60" s="188"/>
      <c r="V60" s="188"/>
      <c r="W60" s="188"/>
    </row>
    <row r="61">
      <c r="A61" s="229"/>
      <c r="B61" s="231" t="str">
        <f>VLOOKUP(A61,'Purchase Order Summary V2'!H:AA,20,0)</f>
        <v>#N/A</v>
      </c>
      <c r="C61" s="229"/>
      <c r="D61" s="229"/>
      <c r="E61" s="229"/>
      <c r="F61" s="188"/>
      <c r="G61" s="188"/>
      <c r="H61" s="188"/>
      <c r="I61" s="188"/>
      <c r="J61" s="188"/>
      <c r="K61" s="188"/>
      <c r="L61" s="188"/>
      <c r="M61" s="188"/>
      <c r="N61" s="188"/>
      <c r="O61" s="188"/>
      <c r="P61" s="188"/>
      <c r="Q61" s="188"/>
      <c r="R61" s="188"/>
      <c r="S61" s="188"/>
      <c r="T61" s="188"/>
      <c r="U61" s="188"/>
      <c r="V61" s="188"/>
      <c r="W61" s="188"/>
    </row>
    <row r="62">
      <c r="A62" s="229"/>
      <c r="B62" s="231" t="str">
        <f>VLOOKUP(A62,'Purchase Order Summary V2'!H:AA,20,0)</f>
        <v>#N/A</v>
      </c>
      <c r="C62" s="229"/>
      <c r="D62" s="229"/>
      <c r="E62" s="229"/>
      <c r="F62" s="188"/>
      <c r="G62" s="188"/>
      <c r="H62" s="188"/>
      <c r="I62" s="188"/>
      <c r="J62" s="188"/>
      <c r="K62" s="188"/>
      <c r="L62" s="188"/>
      <c r="M62" s="188"/>
      <c r="N62" s="188"/>
      <c r="O62" s="188"/>
      <c r="P62" s="188"/>
      <c r="Q62" s="188"/>
      <c r="R62" s="188"/>
      <c r="S62" s="188"/>
      <c r="T62" s="188"/>
      <c r="U62" s="188"/>
      <c r="V62" s="188"/>
      <c r="W62" s="188"/>
    </row>
    <row r="63">
      <c r="A63" s="229"/>
      <c r="B63" s="231" t="str">
        <f>VLOOKUP(A63,'Purchase Order Summary V2'!H:AA,20,0)</f>
        <v>#N/A</v>
      </c>
      <c r="C63" s="229"/>
      <c r="D63" s="229"/>
      <c r="E63" s="229"/>
      <c r="F63" s="188"/>
      <c r="G63" s="188"/>
      <c r="H63" s="188"/>
      <c r="I63" s="188"/>
      <c r="J63" s="188"/>
      <c r="K63" s="188"/>
      <c r="L63" s="188"/>
      <c r="M63" s="188"/>
      <c r="N63" s="188"/>
      <c r="O63" s="188"/>
      <c r="P63" s="188"/>
      <c r="Q63" s="188"/>
      <c r="R63" s="188"/>
      <c r="S63" s="188"/>
      <c r="T63" s="188"/>
      <c r="U63" s="188"/>
      <c r="V63" s="188"/>
      <c r="W63" s="188"/>
    </row>
    <row r="64">
      <c r="A64" s="229"/>
      <c r="B64" s="231" t="str">
        <f>VLOOKUP(A64,'Purchase Order Summary V2'!H:AA,20,0)</f>
        <v>#N/A</v>
      </c>
      <c r="C64" s="229"/>
      <c r="D64" s="229"/>
      <c r="E64" s="229"/>
      <c r="F64" s="188"/>
      <c r="G64" s="188"/>
      <c r="H64" s="188"/>
      <c r="I64" s="188"/>
      <c r="J64" s="188"/>
      <c r="K64" s="188"/>
      <c r="L64" s="188"/>
      <c r="M64" s="188"/>
      <c r="N64" s="188"/>
      <c r="O64" s="188"/>
      <c r="P64" s="188"/>
      <c r="Q64" s="188"/>
      <c r="R64" s="188"/>
      <c r="S64" s="188"/>
      <c r="T64" s="188"/>
      <c r="U64" s="188"/>
      <c r="V64" s="188"/>
      <c r="W64" s="188"/>
    </row>
    <row r="65">
      <c r="A65" s="229"/>
      <c r="B65" s="231" t="str">
        <f>VLOOKUP(A65,'Purchase Order Summary V2'!H:AA,20,0)</f>
        <v>#N/A</v>
      </c>
      <c r="C65" s="229"/>
      <c r="D65" s="229"/>
      <c r="E65" s="229"/>
      <c r="F65" s="188"/>
      <c r="G65" s="188"/>
      <c r="H65" s="188"/>
      <c r="I65" s="188"/>
      <c r="J65" s="188"/>
      <c r="K65" s="188"/>
      <c r="L65" s="188"/>
      <c r="M65" s="188"/>
      <c r="N65" s="188"/>
      <c r="O65" s="188"/>
      <c r="P65" s="188"/>
      <c r="Q65" s="188"/>
      <c r="R65" s="188"/>
      <c r="S65" s="188"/>
      <c r="T65" s="188"/>
      <c r="U65" s="188"/>
      <c r="V65" s="188"/>
      <c r="W65" s="188"/>
    </row>
    <row r="66">
      <c r="A66" s="229"/>
      <c r="B66" s="231" t="str">
        <f>VLOOKUP(A66,'Purchase Order Summary V2'!H:AA,20,0)</f>
        <v>#N/A</v>
      </c>
      <c r="C66" s="229"/>
      <c r="D66" s="229"/>
      <c r="E66" s="229"/>
      <c r="F66" s="188"/>
      <c r="G66" s="188"/>
      <c r="H66" s="188"/>
      <c r="I66" s="188"/>
      <c r="J66" s="188"/>
      <c r="K66" s="188"/>
      <c r="L66" s="188"/>
      <c r="M66" s="188"/>
      <c r="N66" s="188"/>
      <c r="O66" s="188"/>
      <c r="P66" s="188"/>
      <c r="Q66" s="188"/>
      <c r="R66" s="188"/>
      <c r="S66" s="188"/>
      <c r="T66" s="188"/>
      <c r="U66" s="188"/>
      <c r="V66" s="188"/>
      <c r="W66" s="188"/>
    </row>
    <row r="67">
      <c r="A67" s="229"/>
      <c r="B67" s="231" t="str">
        <f>VLOOKUP(A67,'Purchase Order Summary V2'!H:AA,20,0)</f>
        <v>#N/A</v>
      </c>
      <c r="C67" s="229"/>
      <c r="D67" s="229"/>
      <c r="E67" s="229"/>
      <c r="F67" s="188"/>
      <c r="G67" s="188"/>
      <c r="H67" s="188"/>
      <c r="I67" s="188"/>
      <c r="J67" s="188"/>
      <c r="K67" s="188"/>
      <c r="L67" s="188"/>
      <c r="M67" s="188"/>
      <c r="N67" s="188"/>
      <c r="O67" s="188"/>
      <c r="P67" s="188"/>
      <c r="Q67" s="188"/>
      <c r="R67" s="188"/>
      <c r="S67" s="188"/>
      <c r="T67" s="188"/>
      <c r="U67" s="188"/>
      <c r="V67" s="188"/>
      <c r="W67" s="188"/>
    </row>
    <row r="68">
      <c r="A68" s="229"/>
      <c r="B68" s="231" t="str">
        <f>VLOOKUP(A68,'Purchase Order Summary V2'!H:AA,20,0)</f>
        <v>#N/A</v>
      </c>
      <c r="C68" s="229"/>
      <c r="D68" s="229"/>
      <c r="E68" s="229"/>
      <c r="F68" s="188"/>
      <c r="G68" s="188"/>
      <c r="H68" s="188"/>
      <c r="I68" s="188"/>
      <c r="J68" s="188"/>
      <c r="K68" s="188"/>
      <c r="L68" s="188"/>
      <c r="M68" s="188"/>
      <c r="N68" s="188"/>
      <c r="O68" s="188"/>
      <c r="P68" s="188"/>
      <c r="Q68" s="188"/>
      <c r="R68" s="188"/>
      <c r="S68" s="188"/>
      <c r="T68" s="188"/>
      <c r="U68" s="188"/>
      <c r="V68" s="188"/>
      <c r="W68" s="188"/>
    </row>
    <row r="69">
      <c r="A69" s="229"/>
      <c r="B69" s="231" t="str">
        <f>VLOOKUP(A69,'Purchase Order Summary V2'!H:AA,20,0)</f>
        <v>#N/A</v>
      </c>
      <c r="C69" s="229"/>
      <c r="D69" s="229"/>
      <c r="E69" s="229"/>
      <c r="F69" s="188"/>
      <c r="G69" s="188"/>
      <c r="H69" s="188"/>
      <c r="I69" s="188"/>
      <c r="J69" s="188"/>
      <c r="K69" s="188"/>
      <c r="L69" s="188"/>
      <c r="M69" s="188"/>
      <c r="N69" s="188"/>
      <c r="O69" s="188"/>
      <c r="P69" s="188"/>
      <c r="Q69" s="188"/>
      <c r="R69" s="188"/>
      <c r="S69" s="188"/>
      <c r="T69" s="188"/>
      <c r="U69" s="188"/>
      <c r="V69" s="188"/>
      <c r="W69" s="188"/>
    </row>
    <row r="70">
      <c r="A70" s="229"/>
      <c r="B70" s="231" t="str">
        <f>VLOOKUP(A70,'Purchase Order Summary V2'!H:AA,20,0)</f>
        <v>#N/A</v>
      </c>
      <c r="C70" s="229"/>
      <c r="D70" s="229"/>
      <c r="E70" s="229"/>
      <c r="F70" s="188"/>
      <c r="G70" s="188"/>
      <c r="H70" s="188"/>
      <c r="I70" s="188"/>
      <c r="J70" s="188"/>
      <c r="K70" s="188"/>
      <c r="L70" s="188"/>
      <c r="M70" s="188"/>
      <c r="N70" s="188"/>
      <c r="O70" s="188"/>
      <c r="P70" s="188"/>
      <c r="Q70" s="188"/>
      <c r="R70" s="188"/>
      <c r="S70" s="188"/>
      <c r="T70" s="188"/>
      <c r="U70" s="188"/>
      <c r="V70" s="188"/>
      <c r="W70" s="188"/>
    </row>
    <row r="71">
      <c r="A71" s="229"/>
      <c r="B71" s="231" t="str">
        <f>VLOOKUP(A71,'Purchase Order Summary V2'!H:AA,20,0)</f>
        <v>#N/A</v>
      </c>
      <c r="C71" s="229"/>
      <c r="D71" s="229"/>
      <c r="E71" s="229"/>
      <c r="F71" s="188"/>
      <c r="G71" s="188"/>
      <c r="H71" s="188"/>
      <c r="I71" s="188"/>
      <c r="J71" s="188"/>
      <c r="K71" s="188"/>
      <c r="L71" s="188"/>
      <c r="M71" s="188"/>
      <c r="N71" s="188"/>
      <c r="O71" s="188"/>
      <c r="P71" s="188"/>
      <c r="Q71" s="188"/>
      <c r="R71" s="188"/>
      <c r="S71" s="188"/>
      <c r="T71" s="188"/>
      <c r="U71" s="188"/>
      <c r="V71" s="188"/>
      <c r="W71" s="188"/>
    </row>
    <row r="72">
      <c r="A72" s="229"/>
      <c r="B72" s="231" t="str">
        <f>VLOOKUP(A72,'Purchase Order Summary V2'!H:AA,20,0)</f>
        <v>#N/A</v>
      </c>
      <c r="C72" s="229"/>
      <c r="D72" s="229"/>
      <c r="E72" s="229"/>
      <c r="F72" s="188"/>
      <c r="G72" s="188"/>
      <c r="H72" s="188"/>
      <c r="I72" s="188"/>
      <c r="J72" s="188"/>
      <c r="K72" s="188"/>
      <c r="L72" s="188"/>
      <c r="M72" s="188"/>
      <c r="N72" s="188"/>
      <c r="O72" s="188"/>
      <c r="P72" s="188"/>
      <c r="Q72" s="188"/>
      <c r="R72" s="188"/>
      <c r="S72" s="188"/>
      <c r="T72" s="188"/>
      <c r="U72" s="188"/>
      <c r="V72" s="188"/>
      <c r="W72" s="188"/>
    </row>
    <row r="73">
      <c r="A73" s="229"/>
      <c r="B73" s="231" t="str">
        <f>VLOOKUP(A73,'Purchase Order Summary V2'!H:AA,20,0)</f>
        <v>#N/A</v>
      </c>
      <c r="C73" s="229"/>
      <c r="D73" s="229"/>
      <c r="E73" s="229"/>
      <c r="F73" s="188"/>
      <c r="G73" s="188"/>
      <c r="H73" s="188"/>
      <c r="I73" s="188"/>
      <c r="J73" s="188"/>
      <c r="K73" s="188"/>
      <c r="L73" s="188"/>
      <c r="M73" s="188"/>
      <c r="N73" s="188"/>
      <c r="O73" s="188"/>
      <c r="P73" s="188"/>
      <c r="Q73" s="188"/>
      <c r="R73" s="188"/>
      <c r="S73" s="188"/>
      <c r="T73" s="188"/>
      <c r="U73" s="188"/>
      <c r="V73" s="188"/>
      <c r="W73" s="188"/>
    </row>
    <row r="74">
      <c r="A74" s="229"/>
      <c r="B74" s="231" t="str">
        <f>VLOOKUP(A74,'Purchase Order Summary V2'!H:AA,20,0)</f>
        <v>#N/A</v>
      </c>
      <c r="C74" s="229"/>
      <c r="D74" s="229"/>
      <c r="E74" s="229"/>
      <c r="F74" s="188"/>
      <c r="G74" s="188"/>
      <c r="H74" s="188"/>
      <c r="I74" s="188"/>
      <c r="J74" s="188"/>
      <c r="K74" s="188"/>
      <c r="L74" s="188"/>
      <c r="M74" s="188"/>
      <c r="N74" s="188"/>
      <c r="O74" s="188"/>
      <c r="P74" s="188"/>
      <c r="Q74" s="188"/>
      <c r="R74" s="188"/>
      <c r="S74" s="188"/>
      <c r="T74" s="188"/>
      <c r="U74" s="188"/>
      <c r="V74" s="188"/>
      <c r="W74" s="188"/>
    </row>
    <row r="75">
      <c r="A75" s="229"/>
      <c r="B75" s="231" t="str">
        <f>VLOOKUP(A75,'Purchase Order Summary V2'!H:AA,20,0)</f>
        <v>#N/A</v>
      </c>
      <c r="C75" s="229"/>
      <c r="D75" s="229"/>
      <c r="E75" s="229"/>
      <c r="F75" s="188"/>
      <c r="G75" s="188"/>
      <c r="H75" s="188"/>
      <c r="I75" s="188"/>
      <c r="J75" s="188"/>
      <c r="K75" s="188"/>
      <c r="L75" s="188"/>
      <c r="M75" s="188"/>
      <c r="N75" s="188"/>
      <c r="O75" s="188"/>
      <c r="P75" s="188"/>
      <c r="Q75" s="188"/>
      <c r="R75" s="188"/>
      <c r="S75" s="188"/>
      <c r="T75" s="188"/>
      <c r="U75" s="188"/>
      <c r="V75" s="188"/>
      <c r="W75" s="188"/>
    </row>
    <row r="76">
      <c r="A76" s="229"/>
      <c r="B76" s="231" t="str">
        <f>VLOOKUP(A76,'Purchase Order Summary V2'!H:AA,20,0)</f>
        <v>#N/A</v>
      </c>
      <c r="C76" s="229"/>
      <c r="D76" s="229"/>
      <c r="E76" s="229"/>
      <c r="F76" s="188"/>
      <c r="G76" s="188"/>
      <c r="H76" s="188"/>
      <c r="I76" s="188"/>
      <c r="J76" s="188"/>
      <c r="K76" s="188"/>
      <c r="L76" s="188"/>
      <c r="M76" s="188"/>
      <c r="N76" s="188"/>
      <c r="O76" s="188"/>
      <c r="P76" s="188"/>
      <c r="Q76" s="188"/>
      <c r="R76" s="188"/>
      <c r="S76" s="188"/>
      <c r="T76" s="188"/>
      <c r="U76" s="188"/>
      <c r="V76" s="188"/>
      <c r="W76" s="188"/>
    </row>
    <row r="77">
      <c r="A77" s="229"/>
      <c r="B77" s="231" t="str">
        <f>VLOOKUP(A77,'Purchase Order Summary V2'!H:AA,20,0)</f>
        <v>#N/A</v>
      </c>
      <c r="C77" s="229"/>
      <c r="D77" s="229"/>
      <c r="E77" s="229"/>
      <c r="F77" s="188"/>
      <c r="G77" s="188"/>
      <c r="H77" s="188"/>
      <c r="I77" s="188"/>
      <c r="J77" s="188"/>
      <c r="K77" s="188"/>
      <c r="L77" s="188"/>
      <c r="M77" s="188"/>
      <c r="N77" s="188"/>
      <c r="O77" s="188"/>
      <c r="P77" s="188"/>
      <c r="Q77" s="188"/>
      <c r="R77" s="188"/>
      <c r="S77" s="188"/>
      <c r="T77" s="188"/>
      <c r="U77" s="188"/>
      <c r="V77" s="188"/>
      <c r="W77" s="188"/>
    </row>
    <row r="78">
      <c r="A78" s="229"/>
      <c r="B78" s="231" t="str">
        <f>VLOOKUP(A78,'Purchase Order Summary V2'!H:AA,20,0)</f>
        <v>#N/A</v>
      </c>
      <c r="C78" s="229"/>
      <c r="D78" s="229"/>
      <c r="E78" s="229"/>
      <c r="F78" s="188"/>
      <c r="G78" s="188"/>
      <c r="H78" s="188"/>
      <c r="I78" s="188"/>
      <c r="J78" s="188"/>
      <c r="K78" s="188"/>
      <c r="L78" s="188"/>
      <c r="M78" s="188"/>
      <c r="N78" s="188"/>
      <c r="O78" s="188"/>
      <c r="P78" s="188"/>
      <c r="Q78" s="188"/>
      <c r="R78" s="188"/>
      <c r="S78" s="188"/>
      <c r="T78" s="188"/>
      <c r="U78" s="188"/>
      <c r="V78" s="188"/>
      <c r="W78" s="188"/>
    </row>
    <row r="79">
      <c r="A79" s="229"/>
      <c r="B79" s="231" t="str">
        <f>VLOOKUP(A79,'Purchase Order Summary V2'!H:AA,20,0)</f>
        <v>#N/A</v>
      </c>
      <c r="C79" s="229"/>
      <c r="D79" s="229"/>
      <c r="E79" s="229"/>
      <c r="F79" s="188"/>
      <c r="G79" s="188"/>
      <c r="H79" s="188"/>
      <c r="I79" s="188"/>
      <c r="J79" s="188"/>
      <c r="K79" s="188"/>
      <c r="L79" s="188"/>
      <c r="M79" s="188"/>
      <c r="N79" s="188"/>
      <c r="O79" s="188"/>
      <c r="P79" s="188"/>
      <c r="Q79" s="188"/>
      <c r="R79" s="188"/>
      <c r="S79" s="188"/>
      <c r="T79" s="188"/>
      <c r="U79" s="188"/>
      <c r="V79" s="188"/>
      <c r="W79" s="188"/>
    </row>
    <row r="80">
      <c r="A80" s="229"/>
      <c r="B80" s="231" t="str">
        <f>VLOOKUP(A80,'Purchase Order Summary V2'!H:AA,20,0)</f>
        <v>#N/A</v>
      </c>
      <c r="C80" s="229"/>
      <c r="D80" s="229"/>
      <c r="E80" s="229"/>
      <c r="F80" s="188"/>
      <c r="G80" s="188"/>
      <c r="H80" s="188"/>
      <c r="I80" s="188"/>
      <c r="J80" s="188"/>
      <c r="K80" s="188"/>
      <c r="L80" s="188"/>
      <c r="M80" s="188"/>
      <c r="N80" s="188"/>
      <c r="O80" s="188"/>
      <c r="P80" s="188"/>
      <c r="Q80" s="188"/>
      <c r="R80" s="188"/>
      <c r="S80" s="188"/>
      <c r="T80" s="188"/>
      <c r="U80" s="188"/>
      <c r="V80" s="188"/>
      <c r="W80" s="188"/>
    </row>
    <row r="81">
      <c r="A81" s="229"/>
      <c r="B81" s="231" t="str">
        <f>VLOOKUP(A81,'Purchase Order Summary V2'!H:AA,20,0)</f>
        <v>#N/A</v>
      </c>
      <c r="C81" s="229"/>
      <c r="D81" s="229"/>
      <c r="E81" s="229"/>
      <c r="F81" s="188"/>
      <c r="G81" s="188"/>
      <c r="H81" s="188"/>
      <c r="I81" s="188"/>
      <c r="J81" s="188"/>
      <c r="K81" s="188"/>
      <c r="L81" s="188"/>
      <c r="M81" s="188"/>
      <c r="N81" s="188"/>
      <c r="O81" s="188"/>
      <c r="P81" s="188"/>
      <c r="Q81" s="188"/>
      <c r="R81" s="188"/>
      <c r="S81" s="188"/>
      <c r="T81" s="188"/>
      <c r="U81" s="188"/>
      <c r="V81" s="188"/>
      <c r="W81" s="188"/>
    </row>
    <row r="82">
      <c r="A82" s="229"/>
      <c r="B82" s="231" t="str">
        <f>VLOOKUP(A82,'Purchase Order Summary V2'!H:AA,20,0)</f>
        <v>#N/A</v>
      </c>
      <c r="C82" s="229"/>
      <c r="D82" s="229"/>
      <c r="E82" s="229"/>
      <c r="F82" s="188"/>
      <c r="G82" s="188"/>
      <c r="H82" s="188"/>
      <c r="I82" s="188"/>
      <c r="J82" s="188"/>
      <c r="K82" s="188"/>
      <c r="L82" s="188"/>
      <c r="M82" s="188"/>
      <c r="N82" s="188"/>
      <c r="O82" s="188"/>
      <c r="P82" s="188"/>
      <c r="Q82" s="188"/>
      <c r="R82" s="188"/>
      <c r="S82" s="188"/>
      <c r="T82" s="188"/>
      <c r="U82" s="188"/>
      <c r="V82" s="188"/>
      <c r="W82" s="188"/>
    </row>
    <row r="83">
      <c r="A83" s="229"/>
      <c r="B83" s="231" t="str">
        <f>VLOOKUP(A83,'Purchase Order Summary V2'!H:AA,20,0)</f>
        <v>#N/A</v>
      </c>
      <c r="C83" s="229"/>
      <c r="D83" s="229"/>
      <c r="E83" s="229"/>
      <c r="F83" s="188"/>
      <c r="G83" s="188"/>
      <c r="H83" s="188"/>
      <c r="I83" s="188"/>
      <c r="J83" s="188"/>
      <c r="K83" s="188"/>
      <c r="L83" s="188"/>
      <c r="M83" s="188"/>
      <c r="N83" s="188"/>
      <c r="O83" s="188"/>
      <c r="P83" s="188"/>
      <c r="Q83" s="188"/>
      <c r="R83" s="188"/>
      <c r="S83" s="188"/>
      <c r="T83" s="188"/>
      <c r="U83" s="188"/>
      <c r="V83" s="188"/>
      <c r="W83" s="188"/>
    </row>
    <row r="84">
      <c r="A84" s="229"/>
      <c r="B84" s="231" t="str">
        <f>VLOOKUP(A84,'Purchase Order Summary V2'!H:AA,20,0)</f>
        <v>#N/A</v>
      </c>
      <c r="C84" s="229"/>
      <c r="D84" s="229"/>
      <c r="E84" s="229"/>
      <c r="F84" s="188"/>
      <c r="G84" s="188"/>
      <c r="H84" s="188"/>
      <c r="I84" s="188"/>
      <c r="J84" s="188"/>
      <c r="K84" s="188"/>
      <c r="L84" s="188"/>
      <c r="M84" s="188"/>
      <c r="N84" s="188"/>
      <c r="O84" s="188"/>
      <c r="P84" s="188"/>
      <c r="Q84" s="188"/>
      <c r="R84" s="188"/>
      <c r="S84" s="188"/>
      <c r="T84" s="188"/>
      <c r="U84" s="188"/>
      <c r="V84" s="188"/>
      <c r="W84" s="188"/>
    </row>
    <row r="85">
      <c r="A85" s="229"/>
      <c r="B85" s="231" t="str">
        <f>VLOOKUP(A85,'Purchase Order Summary V2'!H:AA,20,0)</f>
        <v>#N/A</v>
      </c>
      <c r="C85" s="229"/>
      <c r="D85" s="229"/>
      <c r="E85" s="229"/>
      <c r="F85" s="188"/>
      <c r="G85" s="188"/>
      <c r="H85" s="188"/>
      <c r="I85" s="188"/>
      <c r="J85" s="188"/>
      <c r="K85" s="188"/>
      <c r="L85" s="188"/>
      <c r="M85" s="188"/>
      <c r="N85" s="188"/>
      <c r="O85" s="188"/>
      <c r="P85" s="188"/>
      <c r="Q85" s="188"/>
      <c r="R85" s="188"/>
      <c r="S85" s="188"/>
      <c r="T85" s="188"/>
      <c r="U85" s="188"/>
      <c r="V85" s="188"/>
      <c r="W85" s="188"/>
    </row>
    <row r="86">
      <c r="A86" s="229"/>
      <c r="B86" s="231" t="str">
        <f>VLOOKUP(A86,'Purchase Order Summary V2'!H:AA,20,0)</f>
        <v>#N/A</v>
      </c>
      <c r="C86" s="229"/>
      <c r="D86" s="229"/>
      <c r="E86" s="229"/>
      <c r="F86" s="188"/>
      <c r="G86" s="188"/>
      <c r="H86" s="188"/>
      <c r="I86" s="188"/>
      <c r="J86" s="188"/>
      <c r="K86" s="188"/>
      <c r="L86" s="188"/>
      <c r="M86" s="188"/>
      <c r="N86" s="188"/>
      <c r="O86" s="188"/>
      <c r="P86" s="188"/>
      <c r="Q86" s="188"/>
      <c r="R86" s="188"/>
      <c r="S86" s="188"/>
      <c r="T86" s="188"/>
      <c r="U86" s="188"/>
      <c r="V86" s="188"/>
      <c r="W86" s="188"/>
    </row>
    <row r="87">
      <c r="A87" s="229"/>
      <c r="B87" s="231" t="str">
        <f>VLOOKUP(A87,'Purchase Order Summary V2'!H:AA,20,0)</f>
        <v>#N/A</v>
      </c>
      <c r="C87" s="229"/>
      <c r="D87" s="229"/>
      <c r="E87" s="229"/>
      <c r="F87" s="188"/>
      <c r="G87" s="188"/>
      <c r="H87" s="188"/>
      <c r="I87" s="188"/>
      <c r="J87" s="188"/>
      <c r="K87" s="188"/>
      <c r="L87" s="188"/>
      <c r="M87" s="188"/>
      <c r="N87" s="188"/>
      <c r="O87" s="188"/>
      <c r="P87" s="188"/>
      <c r="Q87" s="188"/>
      <c r="R87" s="188"/>
      <c r="S87" s="188"/>
      <c r="T87" s="188"/>
      <c r="U87" s="188"/>
      <c r="V87" s="188"/>
      <c r="W87" s="188"/>
    </row>
    <row r="88">
      <c r="A88" s="229"/>
      <c r="B88" s="231" t="str">
        <f>VLOOKUP(A88,'Purchase Order Summary V2'!H:AA,20,0)</f>
        <v>#N/A</v>
      </c>
      <c r="C88" s="229"/>
      <c r="D88" s="229"/>
      <c r="E88" s="229"/>
      <c r="F88" s="188"/>
      <c r="G88" s="188"/>
      <c r="H88" s="188"/>
      <c r="I88" s="188"/>
      <c r="J88" s="188"/>
      <c r="K88" s="188"/>
      <c r="L88" s="188"/>
      <c r="M88" s="188"/>
      <c r="N88" s="188"/>
      <c r="O88" s="188"/>
      <c r="P88" s="188"/>
      <c r="Q88" s="188"/>
      <c r="R88" s="188"/>
      <c r="S88" s="188"/>
      <c r="T88" s="188"/>
      <c r="U88" s="188"/>
      <c r="V88" s="188"/>
      <c r="W88" s="188"/>
    </row>
    <row r="89">
      <c r="A89" s="229"/>
      <c r="B89" s="231" t="str">
        <f>VLOOKUP(A89,'Purchase Order Summary V2'!H:AA,20,0)</f>
        <v>#N/A</v>
      </c>
      <c r="C89" s="229"/>
      <c r="D89" s="229"/>
      <c r="E89" s="229"/>
      <c r="F89" s="188"/>
      <c r="G89" s="188"/>
      <c r="H89" s="188"/>
      <c r="I89" s="188"/>
      <c r="J89" s="188"/>
      <c r="K89" s="188"/>
      <c r="L89" s="188"/>
      <c r="M89" s="188"/>
      <c r="N89" s="188"/>
      <c r="O89" s="188"/>
      <c r="P89" s="188"/>
      <c r="Q89" s="188"/>
      <c r="R89" s="188"/>
      <c r="S89" s="188"/>
      <c r="T89" s="188"/>
      <c r="U89" s="188"/>
      <c r="V89" s="188"/>
      <c r="W89" s="188"/>
    </row>
    <row r="90">
      <c r="A90" s="229"/>
      <c r="B90" s="231" t="str">
        <f>VLOOKUP(A90,'Purchase Order Summary V2'!H:AA,20,0)</f>
        <v>#N/A</v>
      </c>
      <c r="C90" s="229"/>
      <c r="D90" s="229"/>
      <c r="E90" s="229"/>
      <c r="F90" s="188"/>
      <c r="G90" s="188"/>
      <c r="H90" s="188"/>
      <c r="I90" s="188"/>
      <c r="J90" s="188"/>
      <c r="K90" s="188"/>
      <c r="L90" s="188"/>
      <c r="M90" s="188"/>
      <c r="N90" s="188"/>
      <c r="O90" s="188"/>
      <c r="P90" s="188"/>
      <c r="Q90" s="188"/>
      <c r="R90" s="188"/>
      <c r="S90" s="188"/>
      <c r="T90" s="188"/>
      <c r="U90" s="188"/>
      <c r="V90" s="188"/>
      <c r="W90" s="188"/>
    </row>
    <row r="91">
      <c r="A91" s="229"/>
      <c r="B91" s="231" t="str">
        <f>VLOOKUP(A91,'Purchase Order Summary V2'!H:AA,20,0)</f>
        <v>#N/A</v>
      </c>
      <c r="C91" s="229"/>
      <c r="D91" s="229"/>
      <c r="E91" s="229"/>
      <c r="F91" s="188"/>
      <c r="G91" s="188"/>
      <c r="H91" s="188"/>
      <c r="I91" s="188"/>
      <c r="J91" s="188"/>
      <c r="K91" s="188"/>
      <c r="L91" s="188"/>
      <c r="M91" s="188"/>
      <c r="N91" s="188"/>
      <c r="O91" s="188"/>
      <c r="P91" s="188"/>
      <c r="Q91" s="188"/>
      <c r="R91" s="188"/>
      <c r="S91" s="188"/>
      <c r="T91" s="188"/>
      <c r="U91" s="188"/>
      <c r="V91" s="188"/>
      <c r="W91" s="188"/>
    </row>
    <row r="92">
      <c r="A92" s="229"/>
      <c r="B92" s="231" t="str">
        <f>VLOOKUP(A92,'Purchase Order Summary V2'!H:AA,20,0)</f>
        <v>#N/A</v>
      </c>
      <c r="C92" s="229"/>
      <c r="D92" s="229"/>
      <c r="E92" s="229"/>
      <c r="F92" s="188"/>
      <c r="G92" s="188"/>
      <c r="H92" s="188"/>
      <c r="I92" s="188"/>
      <c r="J92" s="188"/>
      <c r="K92" s="188"/>
      <c r="L92" s="188"/>
      <c r="M92" s="188"/>
      <c r="N92" s="188"/>
      <c r="O92" s="188"/>
      <c r="P92" s="188"/>
      <c r="Q92" s="188"/>
      <c r="R92" s="188"/>
      <c r="S92" s="188"/>
      <c r="T92" s="188"/>
      <c r="U92" s="188"/>
      <c r="V92" s="188"/>
      <c r="W92" s="188"/>
    </row>
    <row r="93">
      <c r="A93" s="229"/>
      <c r="B93" s="231" t="str">
        <f>VLOOKUP(A93,'Purchase Order Summary V2'!H:AA,20,0)</f>
        <v>#N/A</v>
      </c>
      <c r="C93" s="229"/>
      <c r="D93" s="229"/>
      <c r="E93" s="229"/>
      <c r="F93" s="188"/>
      <c r="G93" s="188"/>
      <c r="H93" s="188"/>
      <c r="I93" s="188"/>
      <c r="J93" s="188"/>
      <c r="K93" s="188"/>
      <c r="L93" s="188"/>
      <c r="M93" s="188"/>
      <c r="N93" s="188"/>
      <c r="O93" s="188"/>
      <c r="P93" s="188"/>
      <c r="Q93" s="188"/>
      <c r="R93" s="188"/>
      <c r="S93" s="188"/>
      <c r="T93" s="188"/>
      <c r="U93" s="188"/>
      <c r="V93" s="188"/>
      <c r="W93" s="188"/>
    </row>
    <row r="94">
      <c r="A94" s="229"/>
      <c r="B94" s="231" t="str">
        <f>VLOOKUP(A94,'Purchase Order Summary V2'!H:AA,20,0)</f>
        <v>#N/A</v>
      </c>
      <c r="C94" s="229"/>
      <c r="D94" s="229"/>
      <c r="E94" s="229"/>
      <c r="F94" s="188"/>
      <c r="G94" s="188"/>
      <c r="H94" s="188"/>
      <c r="I94" s="188"/>
      <c r="J94" s="188"/>
      <c r="K94" s="188"/>
      <c r="L94" s="188"/>
      <c r="M94" s="188"/>
      <c r="N94" s="188"/>
      <c r="O94" s="188"/>
      <c r="P94" s="188"/>
      <c r="Q94" s="188"/>
      <c r="R94" s="188"/>
      <c r="S94" s="188"/>
      <c r="T94" s="188"/>
      <c r="U94" s="188"/>
      <c r="V94" s="188"/>
      <c r="W94" s="188"/>
    </row>
    <row r="95">
      <c r="A95" s="229"/>
      <c r="B95" s="231" t="str">
        <f>VLOOKUP(A95,'Purchase Order Summary V2'!H:AA,20,0)</f>
        <v>#N/A</v>
      </c>
      <c r="C95" s="229"/>
      <c r="D95" s="229"/>
      <c r="E95" s="229"/>
      <c r="F95" s="188"/>
      <c r="G95" s="188"/>
      <c r="H95" s="188"/>
      <c r="I95" s="188"/>
      <c r="J95" s="188"/>
      <c r="K95" s="188"/>
      <c r="L95" s="188"/>
      <c r="M95" s="188"/>
      <c r="N95" s="188"/>
      <c r="O95" s="188"/>
      <c r="P95" s="188"/>
      <c r="Q95" s="188"/>
      <c r="R95" s="188"/>
      <c r="S95" s="188"/>
      <c r="T95" s="188"/>
      <c r="U95" s="188"/>
      <c r="V95" s="188"/>
      <c r="W95" s="188"/>
    </row>
    <row r="96">
      <c r="A96" s="229"/>
      <c r="B96" s="231" t="str">
        <f>VLOOKUP(A96,'Purchase Order Summary V2'!H:AA,20,0)</f>
        <v>#N/A</v>
      </c>
      <c r="C96" s="229"/>
      <c r="D96" s="229"/>
      <c r="E96" s="229"/>
      <c r="F96" s="188"/>
      <c r="G96" s="188"/>
      <c r="H96" s="188"/>
      <c r="I96" s="188"/>
      <c r="J96" s="188"/>
      <c r="K96" s="188"/>
      <c r="L96" s="188"/>
      <c r="M96" s="188"/>
      <c r="N96" s="188"/>
      <c r="O96" s="188"/>
      <c r="P96" s="188"/>
      <c r="Q96" s="188"/>
      <c r="R96" s="188"/>
      <c r="S96" s="188"/>
      <c r="T96" s="188"/>
      <c r="U96" s="188"/>
      <c r="V96" s="188"/>
      <c r="W96" s="188"/>
    </row>
    <row r="97">
      <c r="A97" s="229"/>
      <c r="B97" s="231" t="str">
        <f>VLOOKUP(A97,'Purchase Order Summary V2'!H:AA,20,0)</f>
        <v>#N/A</v>
      </c>
      <c r="C97" s="229"/>
      <c r="D97" s="229"/>
      <c r="E97" s="229"/>
      <c r="F97" s="188"/>
      <c r="G97" s="188"/>
      <c r="H97" s="188"/>
      <c r="I97" s="188"/>
      <c r="J97" s="188"/>
      <c r="K97" s="188"/>
      <c r="L97" s="188"/>
      <c r="M97" s="188"/>
      <c r="N97" s="188"/>
      <c r="O97" s="188"/>
      <c r="P97" s="188"/>
      <c r="Q97" s="188"/>
      <c r="R97" s="188"/>
      <c r="S97" s="188"/>
      <c r="T97" s="188"/>
      <c r="U97" s="188"/>
      <c r="V97" s="188"/>
      <c r="W97" s="188"/>
    </row>
    <row r="98">
      <c r="A98" s="229"/>
      <c r="B98" s="231" t="str">
        <f>VLOOKUP(A98,'Purchase Order Summary V2'!H:AA,20,0)</f>
        <v>#N/A</v>
      </c>
      <c r="C98" s="229"/>
      <c r="D98" s="229"/>
      <c r="E98" s="229"/>
      <c r="F98" s="188"/>
      <c r="G98" s="188"/>
      <c r="H98" s="188"/>
      <c r="I98" s="188"/>
      <c r="J98" s="188"/>
      <c r="K98" s="188"/>
      <c r="L98" s="188"/>
      <c r="M98" s="188"/>
      <c r="N98" s="188"/>
      <c r="O98" s="188"/>
      <c r="P98" s="188"/>
      <c r="Q98" s="188"/>
      <c r="R98" s="188"/>
      <c r="S98" s="188"/>
      <c r="T98" s="188"/>
      <c r="U98" s="188"/>
      <c r="V98" s="188"/>
      <c r="W98" s="188"/>
    </row>
    <row r="99">
      <c r="A99" s="229"/>
      <c r="B99" s="231" t="str">
        <f>VLOOKUP(A99,'Purchase Order Summary V2'!H:AA,20,0)</f>
        <v>#N/A</v>
      </c>
      <c r="C99" s="229"/>
      <c r="D99" s="229"/>
      <c r="E99" s="229"/>
      <c r="F99" s="188"/>
      <c r="G99" s="188"/>
      <c r="H99" s="188"/>
      <c r="I99" s="188"/>
      <c r="J99" s="188"/>
      <c r="K99" s="188"/>
      <c r="L99" s="188"/>
      <c r="M99" s="188"/>
      <c r="N99" s="188"/>
      <c r="O99" s="188"/>
      <c r="P99" s="188"/>
      <c r="Q99" s="188"/>
      <c r="R99" s="188"/>
      <c r="S99" s="188"/>
      <c r="T99" s="188"/>
      <c r="U99" s="188"/>
      <c r="V99" s="188"/>
      <c r="W99" s="188"/>
    </row>
    <row r="100">
      <c r="A100" s="229"/>
      <c r="B100" s="231" t="str">
        <f>VLOOKUP(A100,'Purchase Order Summary V2'!H:AA,20,0)</f>
        <v>#N/A</v>
      </c>
      <c r="C100" s="229"/>
      <c r="D100" s="229"/>
      <c r="E100" s="229"/>
      <c r="F100" s="188"/>
      <c r="G100" s="188"/>
      <c r="H100" s="188"/>
      <c r="I100" s="188"/>
      <c r="J100" s="188"/>
      <c r="K100" s="188"/>
      <c r="L100" s="188"/>
      <c r="M100" s="188"/>
      <c r="N100" s="188"/>
      <c r="O100" s="188"/>
      <c r="P100" s="188"/>
      <c r="Q100" s="188"/>
      <c r="R100" s="188"/>
      <c r="S100" s="188"/>
      <c r="T100" s="188"/>
      <c r="U100" s="188"/>
      <c r="V100" s="188"/>
      <c r="W100" s="188"/>
    </row>
    <row r="101">
      <c r="A101" s="229"/>
      <c r="B101" s="231" t="str">
        <f>VLOOKUP(A101,'Purchase Order Summary V2'!H:AA,20,0)</f>
        <v>#N/A</v>
      </c>
      <c r="C101" s="229"/>
      <c r="D101" s="229"/>
      <c r="E101" s="229"/>
      <c r="F101" s="188"/>
      <c r="G101" s="188"/>
      <c r="H101" s="188"/>
      <c r="I101" s="188"/>
      <c r="J101" s="188"/>
      <c r="K101" s="188"/>
      <c r="L101" s="188"/>
      <c r="M101" s="188"/>
      <c r="N101" s="188"/>
      <c r="O101" s="188"/>
      <c r="P101" s="188"/>
      <c r="Q101" s="188"/>
      <c r="R101" s="188"/>
      <c r="S101" s="188"/>
      <c r="T101" s="188"/>
      <c r="U101" s="188"/>
      <c r="V101" s="188"/>
      <c r="W101" s="188"/>
    </row>
    <row r="102">
      <c r="A102" s="229"/>
      <c r="B102" s="231" t="str">
        <f>VLOOKUP(A102,'Purchase Order Summary V2'!H:AA,20,0)</f>
        <v>#N/A</v>
      </c>
      <c r="C102" s="229"/>
      <c r="D102" s="229"/>
      <c r="E102" s="229"/>
      <c r="F102" s="188"/>
      <c r="G102" s="188"/>
      <c r="H102" s="188"/>
      <c r="I102" s="188"/>
      <c r="J102" s="188"/>
      <c r="K102" s="188"/>
      <c r="L102" s="188"/>
      <c r="M102" s="188"/>
      <c r="N102" s="188"/>
      <c r="O102" s="188"/>
      <c r="P102" s="188"/>
      <c r="Q102" s="188"/>
      <c r="R102" s="188"/>
      <c r="S102" s="188"/>
      <c r="T102" s="188"/>
      <c r="U102" s="188"/>
      <c r="V102" s="188"/>
      <c r="W102" s="188"/>
    </row>
    <row r="103">
      <c r="A103" s="229"/>
      <c r="B103" s="231" t="str">
        <f>VLOOKUP(A103,'Purchase Order Summary V2'!H:AA,20,0)</f>
        <v>#N/A</v>
      </c>
      <c r="C103" s="229"/>
      <c r="D103" s="229"/>
      <c r="E103" s="229"/>
      <c r="F103" s="188"/>
      <c r="G103" s="188"/>
      <c r="H103" s="188"/>
      <c r="I103" s="188"/>
      <c r="J103" s="188"/>
      <c r="K103" s="188"/>
      <c r="L103" s="188"/>
      <c r="M103" s="188"/>
      <c r="N103" s="188"/>
      <c r="O103" s="188"/>
      <c r="P103" s="188"/>
      <c r="Q103" s="188"/>
      <c r="R103" s="188"/>
      <c r="S103" s="188"/>
      <c r="T103" s="188"/>
      <c r="U103" s="188"/>
      <c r="V103" s="188"/>
      <c r="W103" s="188"/>
    </row>
    <row r="104">
      <c r="A104" s="229"/>
      <c r="B104" s="231" t="str">
        <f>VLOOKUP(A104,'Purchase Order Summary V2'!H:AA,20,0)</f>
        <v>#N/A</v>
      </c>
      <c r="C104" s="229"/>
      <c r="D104" s="229"/>
      <c r="E104" s="229"/>
      <c r="F104" s="188"/>
      <c r="G104" s="188"/>
      <c r="H104" s="188"/>
      <c r="I104" s="188"/>
      <c r="J104" s="188"/>
      <c r="K104" s="188"/>
      <c r="L104" s="188"/>
      <c r="M104" s="188"/>
      <c r="N104" s="188"/>
      <c r="O104" s="188"/>
      <c r="P104" s="188"/>
      <c r="Q104" s="188"/>
      <c r="R104" s="188"/>
      <c r="S104" s="188"/>
      <c r="T104" s="188"/>
      <c r="U104" s="188"/>
      <c r="V104" s="188"/>
      <c r="W104" s="188"/>
    </row>
    <row r="105">
      <c r="A105" s="229"/>
      <c r="B105" s="231" t="str">
        <f>VLOOKUP(A105,'Purchase Order Summary V2'!H:AA,20,0)</f>
        <v>#N/A</v>
      </c>
      <c r="C105" s="229"/>
      <c r="D105" s="229"/>
      <c r="E105" s="229"/>
      <c r="F105" s="188"/>
      <c r="G105" s="188"/>
      <c r="H105" s="188"/>
      <c r="I105" s="188"/>
      <c r="J105" s="188"/>
      <c r="K105" s="188"/>
      <c r="L105" s="188"/>
      <c r="M105" s="188"/>
      <c r="N105" s="188"/>
      <c r="O105" s="188"/>
      <c r="P105" s="188"/>
      <c r="Q105" s="188"/>
      <c r="R105" s="188"/>
      <c r="S105" s="188"/>
      <c r="T105" s="188"/>
      <c r="U105" s="188"/>
      <c r="V105" s="188"/>
      <c r="W105" s="188"/>
    </row>
    <row r="106">
      <c r="A106" s="229"/>
      <c r="B106" s="231" t="str">
        <f>VLOOKUP(A106,'Purchase Order Summary V2'!H:AA,20,0)</f>
        <v>#N/A</v>
      </c>
      <c r="C106" s="229"/>
      <c r="D106" s="229"/>
      <c r="E106" s="229"/>
      <c r="F106" s="188"/>
      <c r="G106" s="188"/>
      <c r="H106" s="188"/>
      <c r="I106" s="188"/>
      <c r="J106" s="188"/>
      <c r="K106" s="188"/>
      <c r="L106" s="188"/>
      <c r="M106" s="188"/>
      <c r="N106" s="188"/>
      <c r="O106" s="188"/>
      <c r="P106" s="188"/>
      <c r="Q106" s="188"/>
      <c r="R106" s="188"/>
      <c r="S106" s="188"/>
      <c r="T106" s="188"/>
      <c r="U106" s="188"/>
      <c r="V106" s="188"/>
      <c r="W106" s="188"/>
    </row>
    <row r="107">
      <c r="A107" s="229"/>
      <c r="B107" s="231" t="str">
        <f>VLOOKUP(A107,'Purchase Order Summary V2'!H:AA,20,0)</f>
        <v>#N/A</v>
      </c>
      <c r="C107" s="229"/>
      <c r="D107" s="229"/>
      <c r="E107" s="229"/>
      <c r="F107" s="188"/>
      <c r="G107" s="188"/>
      <c r="H107" s="188"/>
      <c r="I107" s="188"/>
      <c r="J107" s="188"/>
      <c r="K107" s="188"/>
      <c r="L107" s="188"/>
      <c r="M107" s="188"/>
      <c r="N107" s="188"/>
      <c r="O107" s="188"/>
      <c r="P107" s="188"/>
      <c r="Q107" s="188"/>
      <c r="R107" s="188"/>
      <c r="S107" s="188"/>
      <c r="T107" s="188"/>
      <c r="U107" s="188"/>
      <c r="V107" s="188"/>
      <c r="W107" s="188"/>
    </row>
    <row r="108">
      <c r="A108" s="229"/>
      <c r="B108" s="231" t="str">
        <f>VLOOKUP(A108,'Purchase Order Summary V2'!H:AA,20,0)</f>
        <v>#N/A</v>
      </c>
      <c r="C108" s="229"/>
      <c r="D108" s="229"/>
      <c r="E108" s="229"/>
      <c r="F108" s="188"/>
      <c r="G108" s="188"/>
      <c r="H108" s="188"/>
      <c r="I108" s="188"/>
      <c r="J108" s="188"/>
      <c r="K108" s="188"/>
      <c r="L108" s="188"/>
      <c r="M108" s="188"/>
      <c r="N108" s="188"/>
      <c r="O108" s="188"/>
      <c r="P108" s="188"/>
      <c r="Q108" s="188"/>
      <c r="R108" s="188"/>
      <c r="S108" s="188"/>
      <c r="T108" s="188"/>
      <c r="U108" s="188"/>
      <c r="V108" s="188"/>
      <c r="W108" s="188"/>
    </row>
    <row r="109">
      <c r="A109" s="229"/>
      <c r="B109" s="231" t="str">
        <f>VLOOKUP(A109,'Purchase Order Summary V2'!H:AA,20,0)</f>
        <v>#N/A</v>
      </c>
      <c r="C109" s="229"/>
      <c r="D109" s="229"/>
      <c r="E109" s="229"/>
      <c r="F109" s="188"/>
      <c r="G109" s="188"/>
      <c r="H109" s="188"/>
      <c r="I109" s="188"/>
      <c r="J109" s="188"/>
      <c r="K109" s="188"/>
      <c r="L109" s="188"/>
      <c r="M109" s="188"/>
      <c r="N109" s="188"/>
      <c r="O109" s="188"/>
      <c r="P109" s="188"/>
      <c r="Q109" s="188"/>
      <c r="R109" s="188"/>
      <c r="S109" s="188"/>
      <c r="T109" s="188"/>
      <c r="U109" s="188"/>
      <c r="V109" s="188"/>
      <c r="W109" s="188"/>
    </row>
    <row r="110">
      <c r="A110" s="229"/>
      <c r="B110" s="231" t="str">
        <f>VLOOKUP(A110,'Purchase Order Summary V2'!H:AA,20,0)</f>
        <v>#N/A</v>
      </c>
      <c r="C110" s="229"/>
      <c r="D110" s="229"/>
      <c r="E110" s="229"/>
      <c r="F110" s="188"/>
      <c r="G110" s="188"/>
      <c r="H110" s="188"/>
      <c r="I110" s="188"/>
      <c r="J110" s="188"/>
      <c r="K110" s="188"/>
      <c r="L110" s="188"/>
      <c r="M110" s="188"/>
      <c r="N110" s="188"/>
      <c r="O110" s="188"/>
      <c r="P110" s="188"/>
      <c r="Q110" s="188"/>
      <c r="R110" s="188"/>
      <c r="S110" s="188"/>
      <c r="T110" s="188"/>
      <c r="U110" s="188"/>
      <c r="V110" s="188"/>
      <c r="W110" s="188"/>
    </row>
    <row r="111">
      <c r="A111" s="229"/>
      <c r="B111" s="231" t="str">
        <f>VLOOKUP(A111,'Purchase Order Summary V2'!H:AA,20,0)</f>
        <v>#N/A</v>
      </c>
      <c r="C111" s="229"/>
      <c r="D111" s="229"/>
      <c r="E111" s="229"/>
      <c r="F111" s="188"/>
      <c r="G111" s="188"/>
      <c r="H111" s="188"/>
      <c r="I111" s="188"/>
      <c r="J111" s="188"/>
      <c r="K111" s="188"/>
      <c r="L111" s="188"/>
      <c r="M111" s="188"/>
      <c r="N111" s="188"/>
      <c r="O111" s="188"/>
      <c r="P111" s="188"/>
      <c r="Q111" s="188"/>
      <c r="R111" s="188"/>
      <c r="S111" s="188"/>
      <c r="T111" s="188"/>
      <c r="U111" s="188"/>
      <c r="V111" s="188"/>
      <c r="W111" s="188"/>
    </row>
    <row r="112">
      <c r="A112" s="229"/>
      <c r="B112" s="231" t="str">
        <f>VLOOKUP(A112,'Purchase Order Summary V2'!H:AA,20,0)</f>
        <v>#N/A</v>
      </c>
      <c r="C112" s="229"/>
      <c r="D112" s="229"/>
      <c r="E112" s="229"/>
      <c r="F112" s="188"/>
      <c r="G112" s="188"/>
      <c r="H112" s="188"/>
      <c r="I112" s="188"/>
      <c r="J112" s="188"/>
      <c r="K112" s="188"/>
      <c r="L112" s="188"/>
      <c r="M112" s="188"/>
      <c r="N112" s="188"/>
      <c r="O112" s="188"/>
      <c r="P112" s="188"/>
      <c r="Q112" s="188"/>
      <c r="R112" s="188"/>
      <c r="S112" s="188"/>
      <c r="T112" s="188"/>
      <c r="U112" s="188"/>
      <c r="V112" s="188"/>
      <c r="W112" s="188"/>
    </row>
    <row r="113">
      <c r="A113" s="229"/>
      <c r="B113" s="231" t="str">
        <f>VLOOKUP(A113,'Purchase Order Summary V2'!H:AA,20,0)</f>
        <v>#N/A</v>
      </c>
      <c r="C113" s="229"/>
      <c r="D113" s="229"/>
      <c r="E113" s="229"/>
      <c r="F113" s="188"/>
      <c r="G113" s="188"/>
      <c r="H113" s="188"/>
      <c r="I113" s="188"/>
      <c r="J113" s="188"/>
      <c r="K113" s="188"/>
      <c r="L113" s="188"/>
      <c r="M113" s="188"/>
      <c r="N113" s="188"/>
      <c r="O113" s="188"/>
      <c r="P113" s="188"/>
      <c r="Q113" s="188"/>
      <c r="R113" s="188"/>
      <c r="S113" s="188"/>
      <c r="T113" s="188"/>
      <c r="U113" s="188"/>
      <c r="V113" s="188"/>
      <c r="W113" s="188"/>
    </row>
    <row r="114">
      <c r="A114" s="229"/>
      <c r="B114" s="231" t="str">
        <f>VLOOKUP(A114,'Purchase Order Summary V2'!H:AA,20,0)</f>
        <v>#N/A</v>
      </c>
      <c r="C114" s="229"/>
      <c r="D114" s="229"/>
      <c r="E114" s="229"/>
      <c r="F114" s="188"/>
      <c r="G114" s="188"/>
      <c r="H114" s="188"/>
      <c r="I114" s="188"/>
      <c r="J114" s="188"/>
      <c r="K114" s="188"/>
      <c r="L114" s="188"/>
      <c r="M114" s="188"/>
      <c r="N114" s="188"/>
      <c r="O114" s="188"/>
      <c r="P114" s="188"/>
      <c r="Q114" s="188"/>
      <c r="R114" s="188"/>
      <c r="S114" s="188"/>
      <c r="T114" s="188"/>
      <c r="U114" s="188"/>
      <c r="V114" s="188"/>
      <c r="W114" s="188"/>
    </row>
    <row r="115">
      <c r="A115" s="229"/>
      <c r="B115" s="231" t="str">
        <f>VLOOKUP(A115,'Purchase Order Summary V2'!H:AA,20,0)</f>
        <v>#N/A</v>
      </c>
      <c r="C115" s="229"/>
      <c r="D115" s="229"/>
      <c r="E115" s="229"/>
      <c r="F115" s="188"/>
      <c r="G115" s="188"/>
      <c r="H115" s="188"/>
      <c r="I115" s="188"/>
      <c r="J115" s="188"/>
      <c r="K115" s="188"/>
      <c r="L115" s="188"/>
      <c r="M115" s="188"/>
      <c r="N115" s="188"/>
      <c r="O115" s="188"/>
      <c r="P115" s="188"/>
      <c r="Q115" s="188"/>
      <c r="R115" s="188"/>
      <c r="S115" s="188"/>
      <c r="T115" s="188"/>
      <c r="U115" s="188"/>
      <c r="V115" s="188"/>
      <c r="W115" s="188"/>
    </row>
    <row r="116">
      <c r="A116" s="229"/>
      <c r="B116" s="231" t="str">
        <f>VLOOKUP(A116,'Purchase Order Summary V2'!H:AA,20,0)</f>
        <v>#N/A</v>
      </c>
      <c r="C116" s="229"/>
      <c r="D116" s="229"/>
      <c r="E116" s="229"/>
      <c r="F116" s="188"/>
      <c r="G116" s="188"/>
      <c r="H116" s="188"/>
      <c r="I116" s="188"/>
      <c r="J116" s="188"/>
      <c r="K116" s="188"/>
      <c r="L116" s="188"/>
      <c r="M116" s="188"/>
      <c r="N116" s="188"/>
      <c r="O116" s="188"/>
      <c r="P116" s="188"/>
      <c r="Q116" s="188"/>
      <c r="R116" s="188"/>
      <c r="S116" s="188"/>
      <c r="T116" s="188"/>
      <c r="U116" s="188"/>
      <c r="V116" s="188"/>
      <c r="W116" s="188"/>
    </row>
    <row r="117">
      <c r="A117" s="229"/>
      <c r="B117" s="231" t="str">
        <f>VLOOKUP(A117,'Purchase Order Summary V2'!H:AA,20,0)</f>
        <v>#N/A</v>
      </c>
      <c r="C117" s="229"/>
      <c r="D117" s="229"/>
      <c r="E117" s="229"/>
      <c r="F117" s="188"/>
      <c r="G117" s="188"/>
      <c r="H117" s="188"/>
      <c r="I117" s="188"/>
      <c r="J117" s="188"/>
      <c r="K117" s="188"/>
      <c r="L117" s="188"/>
      <c r="M117" s="188"/>
      <c r="N117" s="188"/>
      <c r="O117" s="188"/>
      <c r="P117" s="188"/>
      <c r="Q117" s="188"/>
      <c r="R117" s="188"/>
      <c r="S117" s="188"/>
      <c r="T117" s="188"/>
      <c r="U117" s="188"/>
      <c r="V117" s="188"/>
      <c r="W117" s="188"/>
    </row>
    <row r="118">
      <c r="A118" s="229"/>
      <c r="B118" s="231" t="str">
        <f>VLOOKUP(A118,'Purchase Order Summary V2'!H:AA,20,0)</f>
        <v>#N/A</v>
      </c>
      <c r="C118" s="229"/>
      <c r="D118" s="229"/>
      <c r="E118" s="229"/>
      <c r="F118" s="188"/>
      <c r="G118" s="188"/>
      <c r="H118" s="188"/>
      <c r="I118" s="188"/>
      <c r="J118" s="188"/>
      <c r="K118" s="188"/>
      <c r="L118" s="188"/>
      <c r="M118" s="188"/>
      <c r="N118" s="188"/>
      <c r="O118" s="188"/>
      <c r="P118" s="188"/>
      <c r="Q118" s="188"/>
      <c r="R118" s="188"/>
      <c r="S118" s="188"/>
      <c r="T118" s="188"/>
      <c r="U118" s="188"/>
      <c r="V118" s="188"/>
      <c r="W118" s="188"/>
    </row>
    <row r="119">
      <c r="A119" s="229"/>
      <c r="B119" s="231" t="str">
        <f>VLOOKUP(A119,'Purchase Order Summary V2'!H:AA,20,0)</f>
        <v>#N/A</v>
      </c>
      <c r="C119" s="229"/>
      <c r="D119" s="229"/>
      <c r="E119" s="229"/>
      <c r="F119" s="188"/>
      <c r="G119" s="188"/>
      <c r="H119" s="188"/>
      <c r="I119" s="188"/>
      <c r="J119" s="188"/>
      <c r="K119" s="188"/>
      <c r="L119" s="188"/>
      <c r="M119" s="188"/>
      <c r="N119" s="188"/>
      <c r="O119" s="188"/>
      <c r="P119" s="188"/>
      <c r="Q119" s="188"/>
      <c r="R119" s="188"/>
      <c r="S119" s="188"/>
      <c r="T119" s="188"/>
      <c r="U119" s="188"/>
      <c r="V119" s="188"/>
      <c r="W119" s="188"/>
    </row>
    <row r="120">
      <c r="A120" s="229"/>
      <c r="B120" s="231" t="str">
        <f>VLOOKUP(A120,'Purchase Order Summary V2'!H:AA,20,0)</f>
        <v>#N/A</v>
      </c>
      <c r="C120" s="229"/>
      <c r="D120" s="229"/>
      <c r="E120" s="229"/>
      <c r="F120" s="188"/>
      <c r="G120" s="188"/>
      <c r="H120" s="188"/>
      <c r="I120" s="188"/>
      <c r="J120" s="188"/>
      <c r="K120" s="188"/>
      <c r="L120" s="188"/>
      <c r="M120" s="188"/>
      <c r="N120" s="188"/>
      <c r="O120" s="188"/>
      <c r="P120" s="188"/>
      <c r="Q120" s="188"/>
      <c r="R120" s="188"/>
      <c r="S120" s="188"/>
      <c r="T120" s="188"/>
      <c r="U120" s="188"/>
      <c r="V120" s="188"/>
      <c r="W120" s="188"/>
    </row>
    <row r="121">
      <c r="A121" s="229"/>
      <c r="B121" s="231" t="str">
        <f>VLOOKUP(A121,'Purchase Order Summary V2'!H:AA,20,0)</f>
        <v>#N/A</v>
      </c>
      <c r="C121" s="229"/>
      <c r="D121" s="229"/>
      <c r="E121" s="229"/>
      <c r="F121" s="188"/>
      <c r="G121" s="188"/>
      <c r="H121" s="188"/>
      <c r="I121" s="188"/>
      <c r="J121" s="188"/>
      <c r="K121" s="188"/>
      <c r="L121" s="188"/>
      <c r="M121" s="188"/>
      <c r="N121" s="188"/>
      <c r="O121" s="188"/>
      <c r="P121" s="188"/>
      <c r="Q121" s="188"/>
      <c r="R121" s="188"/>
      <c r="S121" s="188"/>
      <c r="T121" s="188"/>
      <c r="U121" s="188"/>
      <c r="V121" s="188"/>
      <c r="W121" s="188"/>
    </row>
    <row r="122">
      <c r="A122" s="229"/>
      <c r="B122" s="231" t="str">
        <f>VLOOKUP(A122,'Purchase Order Summary V2'!H:AA,20,0)</f>
        <v>#N/A</v>
      </c>
      <c r="C122" s="229"/>
      <c r="D122" s="229"/>
      <c r="E122" s="229"/>
      <c r="F122" s="188"/>
      <c r="G122" s="188"/>
      <c r="H122" s="188"/>
      <c r="I122" s="188"/>
      <c r="J122" s="188"/>
      <c r="K122" s="188"/>
      <c r="L122" s="188"/>
      <c r="M122" s="188"/>
      <c r="N122" s="188"/>
      <c r="O122" s="188"/>
      <c r="P122" s="188"/>
      <c r="Q122" s="188"/>
      <c r="R122" s="188"/>
      <c r="S122" s="188"/>
      <c r="T122" s="188"/>
      <c r="U122" s="188"/>
      <c r="V122" s="188"/>
      <c r="W122" s="188"/>
    </row>
    <row r="123">
      <c r="A123" s="229"/>
      <c r="B123" s="231" t="str">
        <f>VLOOKUP(A123,'Purchase Order Summary V2'!H:AA,20,0)</f>
        <v>#N/A</v>
      </c>
      <c r="C123" s="229"/>
      <c r="D123" s="229"/>
      <c r="E123" s="229"/>
      <c r="F123" s="188"/>
      <c r="G123" s="188"/>
      <c r="H123" s="188"/>
      <c r="I123" s="188"/>
      <c r="J123" s="188"/>
      <c r="K123" s="188"/>
      <c r="L123" s="188"/>
      <c r="M123" s="188"/>
      <c r="N123" s="188"/>
      <c r="O123" s="188"/>
      <c r="P123" s="188"/>
      <c r="Q123" s="188"/>
      <c r="R123" s="188"/>
      <c r="S123" s="188"/>
      <c r="T123" s="188"/>
      <c r="U123" s="188"/>
      <c r="V123" s="188"/>
      <c r="W123" s="188"/>
    </row>
    <row r="124">
      <c r="A124" s="229"/>
      <c r="B124" s="231" t="str">
        <f>VLOOKUP(A124,'Purchase Order Summary V2'!H:AA,20,0)</f>
        <v>#N/A</v>
      </c>
      <c r="C124" s="229"/>
      <c r="D124" s="229"/>
      <c r="E124" s="229"/>
      <c r="F124" s="188"/>
      <c r="G124" s="188"/>
      <c r="H124" s="188"/>
      <c r="I124" s="188"/>
      <c r="J124" s="188"/>
      <c r="K124" s="188"/>
      <c r="L124" s="188"/>
      <c r="M124" s="188"/>
      <c r="N124" s="188"/>
      <c r="O124" s="188"/>
      <c r="P124" s="188"/>
      <c r="Q124" s="188"/>
      <c r="R124" s="188"/>
      <c r="S124" s="188"/>
      <c r="T124" s="188"/>
      <c r="U124" s="188"/>
      <c r="V124" s="188"/>
      <c r="W124" s="188"/>
    </row>
    <row r="125">
      <c r="A125" s="229"/>
      <c r="B125" s="231" t="str">
        <f>VLOOKUP(A125,'Purchase Order Summary V2'!H:AA,20,0)</f>
        <v>#N/A</v>
      </c>
      <c r="C125" s="229"/>
      <c r="D125" s="229"/>
      <c r="E125" s="229"/>
      <c r="F125" s="188"/>
      <c r="G125" s="188"/>
      <c r="H125" s="188"/>
      <c r="I125" s="188"/>
      <c r="J125" s="188"/>
      <c r="K125" s="188"/>
      <c r="L125" s="188"/>
      <c r="M125" s="188"/>
      <c r="N125" s="188"/>
      <c r="O125" s="188"/>
      <c r="P125" s="188"/>
      <c r="Q125" s="188"/>
      <c r="R125" s="188"/>
      <c r="S125" s="188"/>
      <c r="T125" s="188"/>
      <c r="U125" s="188"/>
      <c r="V125" s="188"/>
      <c r="W125" s="188"/>
    </row>
    <row r="126">
      <c r="A126" s="229"/>
      <c r="B126" s="231" t="str">
        <f>VLOOKUP(A126,'Purchase Order Summary V2'!H:AA,20,0)</f>
        <v>#N/A</v>
      </c>
      <c r="C126" s="229"/>
      <c r="D126" s="229"/>
      <c r="E126" s="229"/>
      <c r="F126" s="188"/>
      <c r="G126" s="188"/>
      <c r="H126" s="188"/>
      <c r="I126" s="188"/>
      <c r="J126" s="188"/>
      <c r="K126" s="188"/>
      <c r="L126" s="188"/>
      <c r="M126" s="188"/>
      <c r="N126" s="188"/>
      <c r="O126" s="188"/>
      <c r="P126" s="188"/>
      <c r="Q126" s="188"/>
      <c r="R126" s="188"/>
      <c r="S126" s="188"/>
      <c r="T126" s="188"/>
      <c r="U126" s="188"/>
      <c r="V126" s="188"/>
      <c r="W126" s="188"/>
    </row>
    <row r="127">
      <c r="A127" s="229"/>
      <c r="B127" s="231" t="str">
        <f>VLOOKUP(A127,'Purchase Order Summary V2'!H:AA,20,0)</f>
        <v>#N/A</v>
      </c>
      <c r="C127" s="229"/>
      <c r="D127" s="229"/>
      <c r="E127" s="229"/>
      <c r="F127" s="188"/>
      <c r="G127" s="188"/>
      <c r="H127" s="188"/>
      <c r="I127" s="188"/>
      <c r="J127" s="188"/>
      <c r="K127" s="188"/>
      <c r="L127" s="188"/>
      <c r="M127" s="188"/>
      <c r="N127" s="188"/>
      <c r="O127" s="188"/>
      <c r="P127" s="188"/>
      <c r="Q127" s="188"/>
      <c r="R127" s="188"/>
      <c r="S127" s="188"/>
      <c r="T127" s="188"/>
      <c r="U127" s="188"/>
      <c r="V127" s="188"/>
      <c r="W127" s="188"/>
    </row>
    <row r="128">
      <c r="A128" s="229"/>
      <c r="B128" s="231" t="str">
        <f>VLOOKUP(A128,'Purchase Order Summary V2'!H:AA,20,0)</f>
        <v>#N/A</v>
      </c>
      <c r="C128" s="229"/>
      <c r="D128" s="229"/>
      <c r="E128" s="229"/>
      <c r="F128" s="188"/>
      <c r="G128" s="188"/>
      <c r="H128" s="188"/>
      <c r="I128" s="188"/>
      <c r="J128" s="188"/>
      <c r="K128" s="188"/>
      <c r="L128" s="188"/>
      <c r="M128" s="188"/>
      <c r="N128" s="188"/>
      <c r="O128" s="188"/>
      <c r="P128" s="188"/>
      <c r="Q128" s="188"/>
      <c r="R128" s="188"/>
      <c r="S128" s="188"/>
      <c r="T128" s="188"/>
      <c r="U128" s="188"/>
      <c r="V128" s="188"/>
      <c r="W128" s="188"/>
    </row>
    <row r="129">
      <c r="A129" s="229"/>
      <c r="B129" s="231" t="str">
        <f>VLOOKUP(A129,'Purchase Order Summary V2'!H:AA,20,0)</f>
        <v>#N/A</v>
      </c>
      <c r="C129" s="229"/>
      <c r="D129" s="229"/>
      <c r="E129" s="229"/>
      <c r="F129" s="188"/>
      <c r="G129" s="188"/>
      <c r="H129" s="188"/>
      <c r="I129" s="188"/>
      <c r="J129" s="188"/>
      <c r="K129" s="188"/>
      <c r="L129" s="188"/>
      <c r="M129" s="188"/>
      <c r="N129" s="188"/>
      <c r="O129" s="188"/>
      <c r="P129" s="188"/>
      <c r="Q129" s="188"/>
      <c r="R129" s="188"/>
      <c r="S129" s="188"/>
      <c r="T129" s="188"/>
      <c r="U129" s="188"/>
      <c r="V129" s="188"/>
      <c r="W129" s="188"/>
    </row>
    <row r="130">
      <c r="A130" s="229"/>
      <c r="B130" s="231" t="str">
        <f>VLOOKUP(A130,'Purchase Order Summary V2'!H:AA,20,0)</f>
        <v>#N/A</v>
      </c>
      <c r="C130" s="229"/>
      <c r="D130" s="229"/>
      <c r="E130" s="229"/>
      <c r="F130" s="188"/>
      <c r="G130" s="188"/>
      <c r="H130" s="188"/>
      <c r="I130" s="188"/>
      <c r="J130" s="188"/>
      <c r="K130" s="188"/>
      <c r="L130" s="188"/>
      <c r="M130" s="188"/>
      <c r="N130" s="188"/>
      <c r="O130" s="188"/>
      <c r="P130" s="188"/>
      <c r="Q130" s="188"/>
      <c r="R130" s="188"/>
      <c r="S130" s="188"/>
      <c r="T130" s="188"/>
      <c r="U130" s="188"/>
      <c r="V130" s="188"/>
      <c r="W130" s="188"/>
    </row>
    <row r="131">
      <c r="A131" s="229"/>
      <c r="B131" s="231" t="str">
        <f>VLOOKUP(A131,'Purchase Order Summary V2'!H:AA,20,0)</f>
        <v>#N/A</v>
      </c>
      <c r="C131" s="229"/>
      <c r="D131" s="229"/>
      <c r="E131" s="229"/>
      <c r="F131" s="188"/>
      <c r="G131" s="188"/>
      <c r="H131" s="188"/>
      <c r="I131" s="188"/>
      <c r="J131" s="188"/>
      <c r="K131" s="188"/>
      <c r="L131" s="188"/>
      <c r="M131" s="188"/>
      <c r="N131" s="188"/>
      <c r="O131" s="188"/>
      <c r="P131" s="188"/>
      <c r="Q131" s="188"/>
      <c r="R131" s="188"/>
      <c r="S131" s="188"/>
      <c r="T131" s="188"/>
      <c r="U131" s="188"/>
      <c r="V131" s="188"/>
      <c r="W131" s="188"/>
    </row>
    <row r="132">
      <c r="A132" s="229"/>
      <c r="B132" s="231" t="str">
        <f>VLOOKUP(A132,'Purchase Order Summary V2'!H:AA,20,0)</f>
        <v>#N/A</v>
      </c>
      <c r="C132" s="229"/>
      <c r="D132" s="229"/>
      <c r="E132" s="229"/>
      <c r="F132" s="188"/>
      <c r="G132" s="188"/>
      <c r="H132" s="188"/>
      <c r="I132" s="188"/>
      <c r="J132" s="188"/>
      <c r="K132" s="188"/>
      <c r="L132" s="188"/>
      <c r="M132" s="188"/>
      <c r="N132" s="188"/>
      <c r="O132" s="188"/>
      <c r="P132" s="188"/>
      <c r="Q132" s="188"/>
      <c r="R132" s="188"/>
      <c r="S132" s="188"/>
      <c r="T132" s="188"/>
      <c r="U132" s="188"/>
      <c r="V132" s="188"/>
      <c r="W132" s="188"/>
    </row>
    <row r="133">
      <c r="A133" s="229"/>
      <c r="B133" s="231" t="str">
        <f>VLOOKUP(A133,'Purchase Order Summary V2'!H:AA,20,0)</f>
        <v>#N/A</v>
      </c>
      <c r="C133" s="229"/>
      <c r="D133" s="229"/>
      <c r="E133" s="229"/>
      <c r="F133" s="188"/>
      <c r="G133" s="188"/>
      <c r="H133" s="188"/>
      <c r="I133" s="188"/>
      <c r="J133" s="188"/>
      <c r="K133" s="188"/>
      <c r="L133" s="188"/>
      <c r="M133" s="188"/>
      <c r="N133" s="188"/>
      <c r="O133" s="188"/>
      <c r="P133" s="188"/>
      <c r="Q133" s="188"/>
      <c r="R133" s="188"/>
      <c r="S133" s="188"/>
      <c r="T133" s="188"/>
      <c r="U133" s="188"/>
      <c r="V133" s="188"/>
      <c r="W133" s="188"/>
    </row>
    <row r="134">
      <c r="A134" s="229"/>
      <c r="B134" s="231" t="str">
        <f>VLOOKUP(A134,'Purchase Order Summary V2'!H:AA,20,0)</f>
        <v>#N/A</v>
      </c>
      <c r="C134" s="229"/>
      <c r="D134" s="229"/>
      <c r="E134" s="229"/>
      <c r="F134" s="188"/>
      <c r="G134" s="188"/>
      <c r="H134" s="188"/>
      <c r="I134" s="188"/>
      <c r="J134" s="188"/>
      <c r="K134" s="188"/>
      <c r="L134" s="188"/>
      <c r="M134" s="188"/>
      <c r="N134" s="188"/>
      <c r="O134" s="188"/>
      <c r="P134" s="188"/>
      <c r="Q134" s="188"/>
      <c r="R134" s="188"/>
      <c r="S134" s="188"/>
      <c r="T134" s="188"/>
      <c r="U134" s="188"/>
      <c r="V134" s="188"/>
      <c r="W134" s="188"/>
    </row>
    <row r="135">
      <c r="A135" s="229"/>
      <c r="B135" s="231" t="str">
        <f>VLOOKUP(A135,'Purchase Order Summary V2'!H:AA,20,0)</f>
        <v>#N/A</v>
      </c>
      <c r="C135" s="229"/>
      <c r="D135" s="229"/>
      <c r="E135" s="229"/>
      <c r="F135" s="188"/>
      <c r="G135" s="188"/>
      <c r="H135" s="188"/>
      <c r="I135" s="188"/>
      <c r="J135" s="188"/>
      <c r="K135" s="188"/>
      <c r="L135" s="188"/>
      <c r="M135" s="188"/>
      <c r="N135" s="188"/>
      <c r="O135" s="188"/>
      <c r="P135" s="188"/>
      <c r="Q135" s="188"/>
      <c r="R135" s="188"/>
      <c r="S135" s="188"/>
      <c r="T135" s="188"/>
      <c r="U135" s="188"/>
      <c r="V135" s="188"/>
      <c r="W135" s="188"/>
    </row>
    <row r="136">
      <c r="A136" s="229"/>
      <c r="B136" s="231" t="str">
        <f>VLOOKUP(A136,'Purchase Order Summary V2'!H:AA,20,0)</f>
        <v>#N/A</v>
      </c>
      <c r="C136" s="229"/>
      <c r="D136" s="229"/>
      <c r="E136" s="229"/>
      <c r="F136" s="188"/>
      <c r="G136" s="188"/>
      <c r="H136" s="188"/>
      <c r="I136" s="188"/>
      <c r="J136" s="188"/>
      <c r="K136" s="188"/>
      <c r="L136" s="188"/>
      <c r="M136" s="188"/>
      <c r="N136" s="188"/>
      <c r="O136" s="188"/>
      <c r="P136" s="188"/>
      <c r="Q136" s="188"/>
      <c r="R136" s="188"/>
      <c r="S136" s="188"/>
      <c r="T136" s="188"/>
      <c r="U136" s="188"/>
      <c r="V136" s="188"/>
      <c r="W136" s="188"/>
    </row>
    <row r="137">
      <c r="A137" s="229"/>
      <c r="B137" s="231" t="str">
        <f>VLOOKUP(A137,'Purchase Order Summary V2'!H:AA,20,0)</f>
        <v>#N/A</v>
      </c>
      <c r="C137" s="229"/>
      <c r="D137" s="229"/>
      <c r="E137" s="229"/>
      <c r="F137" s="188"/>
      <c r="G137" s="188"/>
      <c r="H137" s="188"/>
      <c r="I137" s="188"/>
      <c r="J137" s="188"/>
      <c r="K137" s="188"/>
      <c r="L137" s="188"/>
      <c r="M137" s="188"/>
      <c r="N137" s="188"/>
      <c r="O137" s="188"/>
      <c r="P137" s="188"/>
      <c r="Q137" s="188"/>
      <c r="R137" s="188"/>
      <c r="S137" s="188"/>
      <c r="T137" s="188"/>
      <c r="U137" s="188"/>
      <c r="V137" s="188"/>
      <c r="W137" s="188"/>
    </row>
    <row r="138">
      <c r="A138" s="229"/>
      <c r="B138" s="231" t="str">
        <f>VLOOKUP(A138,'Purchase Order Summary V2'!H:AA,20,0)</f>
        <v>#N/A</v>
      </c>
      <c r="C138" s="229"/>
      <c r="D138" s="229"/>
      <c r="E138" s="229"/>
      <c r="F138" s="188"/>
      <c r="G138" s="188"/>
      <c r="H138" s="188"/>
      <c r="I138" s="188"/>
      <c r="J138" s="188"/>
      <c r="K138" s="188"/>
      <c r="L138" s="188"/>
      <c r="M138" s="188"/>
      <c r="N138" s="188"/>
      <c r="O138" s="188"/>
      <c r="P138" s="188"/>
      <c r="Q138" s="188"/>
      <c r="R138" s="188"/>
      <c r="S138" s="188"/>
      <c r="T138" s="188"/>
      <c r="U138" s="188"/>
      <c r="V138" s="188"/>
      <c r="W138" s="188"/>
    </row>
    <row r="139">
      <c r="A139" s="229"/>
      <c r="B139" s="231" t="str">
        <f>VLOOKUP(A139,'Purchase Order Summary V2'!H:AA,20,0)</f>
        <v>#N/A</v>
      </c>
      <c r="C139" s="229"/>
      <c r="D139" s="229"/>
      <c r="E139" s="229"/>
      <c r="F139" s="188"/>
      <c r="G139" s="188"/>
      <c r="H139" s="188"/>
      <c r="I139" s="188"/>
      <c r="J139" s="188"/>
      <c r="K139" s="188"/>
      <c r="L139" s="188"/>
      <c r="M139" s="188"/>
      <c r="N139" s="188"/>
      <c r="O139" s="188"/>
      <c r="P139" s="188"/>
      <c r="Q139" s="188"/>
      <c r="R139" s="188"/>
      <c r="S139" s="188"/>
      <c r="T139" s="188"/>
      <c r="U139" s="188"/>
      <c r="V139" s="188"/>
      <c r="W139" s="188"/>
    </row>
    <row r="140">
      <c r="A140" s="229"/>
      <c r="B140" s="231" t="str">
        <f>VLOOKUP(A140,'Purchase Order Summary V2'!H:AA,20,0)</f>
        <v>#N/A</v>
      </c>
      <c r="C140" s="229"/>
      <c r="D140" s="229"/>
      <c r="E140" s="229"/>
      <c r="F140" s="188"/>
      <c r="G140" s="188"/>
      <c r="H140" s="188"/>
      <c r="I140" s="188"/>
      <c r="J140" s="188"/>
      <c r="K140" s="188"/>
      <c r="L140" s="188"/>
      <c r="M140" s="188"/>
      <c r="N140" s="188"/>
      <c r="O140" s="188"/>
      <c r="P140" s="188"/>
      <c r="Q140" s="188"/>
      <c r="R140" s="188"/>
      <c r="S140" s="188"/>
      <c r="T140" s="188"/>
      <c r="U140" s="188"/>
      <c r="V140" s="188"/>
      <c r="W140" s="188"/>
    </row>
    <row r="141">
      <c r="A141" s="229"/>
      <c r="B141" s="231" t="str">
        <f>VLOOKUP(A141,'Purchase Order Summary V2'!H:AA,20,0)</f>
        <v>#N/A</v>
      </c>
      <c r="C141" s="229"/>
      <c r="D141" s="229"/>
      <c r="E141" s="229"/>
      <c r="F141" s="188"/>
      <c r="G141" s="188"/>
      <c r="H141" s="188"/>
      <c r="I141" s="188"/>
      <c r="J141" s="188"/>
      <c r="K141" s="188"/>
      <c r="L141" s="188"/>
      <c r="M141" s="188"/>
      <c r="N141" s="188"/>
      <c r="O141" s="188"/>
      <c r="P141" s="188"/>
      <c r="Q141" s="188"/>
      <c r="R141" s="188"/>
      <c r="S141" s="188"/>
      <c r="T141" s="188"/>
      <c r="U141" s="188"/>
      <c r="V141" s="188"/>
      <c r="W141" s="188"/>
    </row>
    <row r="142">
      <c r="A142" s="229"/>
      <c r="B142" s="231" t="str">
        <f>VLOOKUP(A142,'Purchase Order Summary V2'!H:AA,20,0)</f>
        <v>#N/A</v>
      </c>
      <c r="C142" s="229"/>
      <c r="D142" s="229"/>
      <c r="E142" s="229"/>
      <c r="F142" s="188"/>
      <c r="G142" s="188"/>
      <c r="H142" s="188"/>
      <c r="I142" s="188"/>
      <c r="J142" s="188"/>
      <c r="K142" s="188"/>
      <c r="L142" s="188"/>
      <c r="M142" s="188"/>
      <c r="N142" s="188"/>
      <c r="O142" s="188"/>
      <c r="P142" s="188"/>
      <c r="Q142" s="188"/>
      <c r="R142" s="188"/>
      <c r="S142" s="188"/>
      <c r="T142" s="188"/>
      <c r="U142" s="188"/>
      <c r="V142" s="188"/>
      <c r="W142" s="188"/>
    </row>
    <row r="143">
      <c r="A143" s="229"/>
      <c r="B143" s="231" t="str">
        <f>VLOOKUP(A143,'Purchase Order Summary V2'!H:AA,20,0)</f>
        <v>#N/A</v>
      </c>
      <c r="C143" s="229"/>
      <c r="D143" s="229"/>
      <c r="E143" s="229"/>
      <c r="F143" s="188"/>
      <c r="G143" s="188"/>
      <c r="H143" s="188"/>
      <c r="I143" s="188"/>
      <c r="J143" s="188"/>
      <c r="K143" s="188"/>
      <c r="L143" s="188"/>
      <c r="M143" s="188"/>
      <c r="N143" s="188"/>
      <c r="O143" s="188"/>
      <c r="P143" s="188"/>
      <c r="Q143" s="188"/>
      <c r="R143" s="188"/>
      <c r="S143" s="188"/>
      <c r="T143" s="188"/>
      <c r="U143" s="188"/>
      <c r="V143" s="188"/>
      <c r="W143" s="188"/>
    </row>
    <row r="144">
      <c r="A144" s="229"/>
      <c r="B144" s="231" t="str">
        <f>VLOOKUP(A144,'Purchase Order Summary V2'!H:AA,20,0)</f>
        <v>#N/A</v>
      </c>
      <c r="C144" s="229"/>
      <c r="D144" s="229"/>
      <c r="E144" s="229"/>
      <c r="F144" s="188"/>
      <c r="G144" s="188"/>
      <c r="H144" s="188"/>
      <c r="I144" s="188"/>
      <c r="J144" s="188"/>
      <c r="K144" s="188"/>
      <c r="L144" s="188"/>
      <c r="M144" s="188"/>
      <c r="N144" s="188"/>
      <c r="O144" s="188"/>
      <c r="P144" s="188"/>
      <c r="Q144" s="188"/>
      <c r="R144" s="188"/>
      <c r="S144" s="188"/>
      <c r="T144" s="188"/>
      <c r="U144" s="188"/>
      <c r="V144" s="188"/>
      <c r="W144" s="188"/>
    </row>
    <row r="145">
      <c r="A145" s="229"/>
      <c r="B145" s="231" t="str">
        <f>VLOOKUP(A145,'Purchase Order Summary V2'!H:AA,20,0)</f>
        <v>#N/A</v>
      </c>
      <c r="C145" s="229"/>
      <c r="D145" s="229"/>
      <c r="E145" s="229"/>
      <c r="F145" s="188"/>
      <c r="G145" s="188"/>
      <c r="H145" s="188"/>
      <c r="I145" s="188"/>
      <c r="J145" s="188"/>
      <c r="K145" s="188"/>
      <c r="L145" s="188"/>
      <c r="M145" s="188"/>
      <c r="N145" s="188"/>
      <c r="O145" s="188"/>
      <c r="P145" s="188"/>
      <c r="Q145" s="188"/>
      <c r="R145" s="188"/>
      <c r="S145" s="188"/>
      <c r="T145" s="188"/>
      <c r="U145" s="188"/>
      <c r="V145" s="188"/>
      <c r="W145" s="188"/>
    </row>
    <row r="146">
      <c r="A146" s="229"/>
      <c r="B146" s="231" t="str">
        <f>VLOOKUP(A146,'Purchase Order Summary V2'!H:AA,20,0)</f>
        <v>#N/A</v>
      </c>
      <c r="C146" s="229"/>
      <c r="D146" s="229"/>
      <c r="E146" s="229"/>
      <c r="F146" s="188"/>
      <c r="G146" s="188"/>
      <c r="H146" s="188"/>
      <c r="I146" s="188"/>
      <c r="J146" s="188"/>
      <c r="K146" s="188"/>
      <c r="L146" s="188"/>
      <c r="M146" s="188"/>
      <c r="N146" s="188"/>
      <c r="O146" s="188"/>
      <c r="P146" s="188"/>
      <c r="Q146" s="188"/>
      <c r="R146" s="188"/>
      <c r="S146" s="188"/>
      <c r="T146" s="188"/>
      <c r="U146" s="188"/>
      <c r="V146" s="188"/>
      <c r="W146" s="188"/>
    </row>
    <row r="147">
      <c r="A147" s="229"/>
      <c r="B147" s="231" t="str">
        <f>VLOOKUP(A147,'Purchase Order Summary V2'!H:AA,20,0)</f>
        <v>#N/A</v>
      </c>
      <c r="C147" s="229"/>
      <c r="D147" s="229"/>
      <c r="E147" s="229"/>
      <c r="F147" s="188"/>
      <c r="G147" s="188"/>
      <c r="H147" s="188"/>
      <c r="I147" s="188"/>
      <c r="J147" s="188"/>
      <c r="K147" s="188"/>
      <c r="L147" s="188"/>
      <c r="M147" s="188"/>
      <c r="N147" s="188"/>
      <c r="O147" s="188"/>
      <c r="P147" s="188"/>
      <c r="Q147" s="188"/>
      <c r="R147" s="188"/>
      <c r="S147" s="188"/>
      <c r="T147" s="188"/>
      <c r="U147" s="188"/>
      <c r="V147" s="188"/>
      <c r="W147" s="188"/>
    </row>
    <row r="148">
      <c r="A148" s="229"/>
      <c r="B148" s="231" t="str">
        <f>VLOOKUP(A148,'Purchase Order Summary V2'!H:AA,20,0)</f>
        <v>#N/A</v>
      </c>
      <c r="C148" s="229"/>
      <c r="D148" s="229"/>
      <c r="E148" s="229"/>
      <c r="F148" s="188"/>
      <c r="G148" s="188"/>
      <c r="H148" s="188"/>
      <c r="I148" s="188"/>
      <c r="J148" s="188"/>
      <c r="K148" s="188"/>
      <c r="L148" s="188"/>
      <c r="M148" s="188"/>
      <c r="N148" s="188"/>
      <c r="O148" s="188"/>
      <c r="P148" s="188"/>
      <c r="Q148" s="188"/>
      <c r="R148" s="188"/>
      <c r="S148" s="188"/>
      <c r="T148" s="188"/>
      <c r="U148" s="188"/>
      <c r="V148" s="188"/>
      <c r="W148" s="188"/>
    </row>
    <row r="149">
      <c r="A149" s="229"/>
      <c r="B149" s="231" t="str">
        <f>VLOOKUP(A149,'Purchase Order Summary V2'!H:AA,20,0)</f>
        <v>#N/A</v>
      </c>
      <c r="C149" s="229"/>
      <c r="D149" s="229"/>
      <c r="E149" s="229"/>
      <c r="F149" s="188"/>
      <c r="G149" s="188"/>
      <c r="H149" s="188"/>
      <c r="I149" s="188"/>
      <c r="J149" s="188"/>
      <c r="K149" s="188"/>
      <c r="L149" s="188"/>
      <c r="M149" s="188"/>
      <c r="N149" s="188"/>
      <c r="O149" s="188"/>
      <c r="P149" s="188"/>
      <c r="Q149" s="188"/>
      <c r="R149" s="188"/>
      <c r="S149" s="188"/>
      <c r="T149" s="188"/>
      <c r="U149" s="188"/>
      <c r="V149" s="188"/>
      <c r="W149" s="188"/>
    </row>
    <row r="150">
      <c r="A150" s="229"/>
      <c r="B150" s="231" t="str">
        <f>VLOOKUP(A150,'Purchase Order Summary V2'!H:AA,20,0)</f>
        <v>#N/A</v>
      </c>
      <c r="C150" s="229"/>
      <c r="D150" s="229"/>
      <c r="E150" s="229"/>
      <c r="F150" s="188"/>
      <c r="G150" s="188"/>
      <c r="H150" s="188"/>
      <c r="I150" s="188"/>
      <c r="J150" s="188"/>
      <c r="K150" s="188"/>
      <c r="L150" s="188"/>
      <c r="M150" s="188"/>
      <c r="N150" s="188"/>
      <c r="O150" s="188"/>
      <c r="P150" s="188"/>
      <c r="Q150" s="188"/>
      <c r="R150" s="188"/>
      <c r="S150" s="188"/>
      <c r="T150" s="188"/>
      <c r="U150" s="188"/>
      <c r="V150" s="188"/>
      <c r="W150" s="188"/>
    </row>
    <row r="151">
      <c r="A151" s="229"/>
      <c r="B151" s="231" t="str">
        <f>VLOOKUP(A151,'Purchase Order Summary V2'!H:AA,20,0)</f>
        <v>#N/A</v>
      </c>
      <c r="C151" s="229"/>
      <c r="D151" s="229"/>
      <c r="E151" s="229"/>
      <c r="F151" s="188"/>
      <c r="G151" s="188"/>
      <c r="H151" s="188"/>
      <c r="I151" s="188"/>
      <c r="J151" s="188"/>
      <c r="K151" s="188"/>
      <c r="L151" s="188"/>
      <c r="M151" s="188"/>
      <c r="N151" s="188"/>
      <c r="O151" s="188"/>
      <c r="P151" s="188"/>
      <c r="Q151" s="188"/>
      <c r="R151" s="188"/>
      <c r="S151" s="188"/>
      <c r="T151" s="188"/>
      <c r="U151" s="188"/>
      <c r="V151" s="188"/>
      <c r="W151" s="188"/>
    </row>
    <row r="152">
      <c r="A152" s="229"/>
      <c r="B152" s="231" t="str">
        <f>VLOOKUP(A152,'Purchase Order Summary V2'!H:AA,20,0)</f>
        <v>#N/A</v>
      </c>
      <c r="C152" s="229"/>
      <c r="D152" s="229"/>
      <c r="E152" s="229"/>
      <c r="F152" s="188"/>
      <c r="G152" s="188"/>
      <c r="H152" s="188"/>
      <c r="I152" s="188"/>
      <c r="J152" s="188"/>
      <c r="K152" s="188"/>
      <c r="L152" s="188"/>
      <c r="M152" s="188"/>
      <c r="N152" s="188"/>
      <c r="O152" s="188"/>
      <c r="P152" s="188"/>
      <c r="Q152" s="188"/>
      <c r="R152" s="188"/>
      <c r="S152" s="188"/>
      <c r="T152" s="188"/>
      <c r="U152" s="188"/>
      <c r="V152" s="188"/>
      <c r="W152" s="188"/>
    </row>
    <row r="153">
      <c r="A153" s="229"/>
      <c r="B153" s="231" t="str">
        <f>VLOOKUP(A153,'Purchase Order Summary V2'!H:AA,20,0)</f>
        <v>#N/A</v>
      </c>
      <c r="C153" s="229"/>
      <c r="D153" s="229"/>
      <c r="E153" s="229"/>
      <c r="F153" s="188"/>
      <c r="G153" s="188"/>
      <c r="H153" s="188"/>
      <c r="I153" s="188"/>
      <c r="J153" s="188"/>
      <c r="K153" s="188"/>
      <c r="L153" s="188"/>
      <c r="M153" s="188"/>
      <c r="N153" s="188"/>
      <c r="O153" s="188"/>
      <c r="P153" s="188"/>
      <c r="Q153" s="188"/>
      <c r="R153" s="188"/>
      <c r="S153" s="188"/>
      <c r="T153" s="188"/>
      <c r="U153" s="188"/>
      <c r="V153" s="188"/>
      <c r="W153" s="188"/>
    </row>
    <row r="154">
      <c r="A154" s="229"/>
      <c r="B154" s="231" t="str">
        <f>VLOOKUP(A154,'Purchase Order Summary V2'!H:AA,20,0)</f>
        <v>#N/A</v>
      </c>
      <c r="C154" s="229"/>
      <c r="D154" s="229"/>
      <c r="E154" s="229"/>
      <c r="F154" s="188"/>
      <c r="G154" s="188"/>
      <c r="H154" s="188"/>
      <c r="I154" s="188"/>
      <c r="J154" s="188"/>
      <c r="K154" s="188"/>
      <c r="L154" s="188"/>
      <c r="M154" s="188"/>
      <c r="N154" s="188"/>
      <c r="O154" s="188"/>
      <c r="P154" s="188"/>
      <c r="Q154" s="188"/>
      <c r="R154" s="188"/>
      <c r="S154" s="188"/>
      <c r="T154" s="188"/>
      <c r="U154" s="188"/>
      <c r="V154" s="188"/>
      <c r="W154" s="188"/>
    </row>
    <row r="155">
      <c r="A155" s="229"/>
      <c r="B155" s="231" t="str">
        <f>VLOOKUP(A155,'Purchase Order Summary V2'!H:AA,20,0)</f>
        <v>#N/A</v>
      </c>
      <c r="C155" s="229"/>
      <c r="D155" s="229"/>
      <c r="E155" s="229"/>
      <c r="F155" s="188"/>
      <c r="G155" s="188"/>
      <c r="H155" s="188"/>
      <c r="I155" s="188"/>
      <c r="J155" s="188"/>
      <c r="K155" s="188"/>
      <c r="L155" s="188"/>
      <c r="M155" s="188"/>
      <c r="N155" s="188"/>
      <c r="O155" s="188"/>
      <c r="P155" s="188"/>
      <c r="Q155" s="188"/>
      <c r="R155" s="188"/>
      <c r="S155" s="188"/>
      <c r="T155" s="188"/>
      <c r="U155" s="188"/>
      <c r="V155" s="188"/>
      <c r="W155" s="188"/>
    </row>
    <row r="156">
      <c r="A156" s="229"/>
      <c r="B156" s="231" t="str">
        <f>VLOOKUP(A156,'Purchase Order Summary V2'!H:AA,20,0)</f>
        <v>#N/A</v>
      </c>
      <c r="C156" s="229"/>
      <c r="D156" s="229"/>
      <c r="E156" s="229"/>
      <c r="F156" s="188"/>
      <c r="G156" s="188"/>
      <c r="H156" s="188"/>
      <c r="I156" s="188"/>
      <c r="J156" s="188"/>
      <c r="K156" s="188"/>
      <c r="L156" s="188"/>
      <c r="M156" s="188"/>
      <c r="N156" s="188"/>
      <c r="O156" s="188"/>
      <c r="P156" s="188"/>
      <c r="Q156" s="188"/>
      <c r="R156" s="188"/>
      <c r="S156" s="188"/>
      <c r="T156" s="188"/>
      <c r="U156" s="188"/>
      <c r="V156" s="188"/>
      <c r="W156" s="188"/>
    </row>
    <row r="157">
      <c r="A157" s="229"/>
      <c r="B157" s="231" t="str">
        <f>VLOOKUP(A157,'Purchase Order Summary V2'!H:AA,20,0)</f>
        <v>#N/A</v>
      </c>
      <c r="C157" s="229"/>
      <c r="D157" s="229"/>
      <c r="E157" s="229"/>
      <c r="F157" s="188"/>
      <c r="G157" s="188"/>
      <c r="H157" s="188"/>
      <c r="I157" s="188"/>
      <c r="J157" s="188"/>
      <c r="K157" s="188"/>
      <c r="L157" s="188"/>
      <c r="M157" s="188"/>
      <c r="N157" s="188"/>
      <c r="O157" s="188"/>
      <c r="P157" s="188"/>
      <c r="Q157" s="188"/>
      <c r="R157" s="188"/>
      <c r="S157" s="188"/>
      <c r="T157" s="188"/>
      <c r="U157" s="188"/>
      <c r="V157" s="188"/>
      <c r="W157" s="188"/>
    </row>
    <row r="158">
      <c r="A158" s="229"/>
      <c r="B158" s="231" t="str">
        <f>VLOOKUP(A158,'Purchase Order Summary V2'!H:AA,20,0)</f>
        <v>#N/A</v>
      </c>
      <c r="C158" s="229"/>
      <c r="D158" s="229"/>
      <c r="E158" s="229"/>
      <c r="F158" s="188"/>
      <c r="G158" s="188"/>
      <c r="H158" s="188"/>
      <c r="I158" s="188"/>
      <c r="J158" s="188"/>
      <c r="K158" s="188"/>
      <c r="L158" s="188"/>
      <c r="M158" s="188"/>
      <c r="N158" s="188"/>
      <c r="O158" s="188"/>
      <c r="P158" s="188"/>
      <c r="Q158" s="188"/>
      <c r="R158" s="188"/>
      <c r="S158" s="188"/>
      <c r="T158" s="188"/>
      <c r="U158" s="188"/>
      <c r="V158" s="188"/>
      <c r="W158" s="188"/>
    </row>
    <row r="159">
      <c r="A159" s="229"/>
      <c r="B159" s="231" t="str">
        <f>VLOOKUP(A159,'Purchase Order Summary V2'!H:AA,20,0)</f>
        <v>#N/A</v>
      </c>
      <c r="C159" s="229"/>
      <c r="D159" s="229"/>
      <c r="E159" s="229"/>
      <c r="F159" s="188"/>
      <c r="G159" s="188"/>
      <c r="H159" s="188"/>
      <c r="I159" s="188"/>
      <c r="J159" s="188"/>
      <c r="K159" s="188"/>
      <c r="L159" s="188"/>
      <c r="M159" s="188"/>
      <c r="N159" s="188"/>
      <c r="O159" s="188"/>
      <c r="P159" s="188"/>
      <c r="Q159" s="188"/>
      <c r="R159" s="188"/>
      <c r="S159" s="188"/>
      <c r="T159" s="188"/>
      <c r="U159" s="188"/>
      <c r="V159" s="188"/>
      <c r="W159" s="188"/>
    </row>
    <row r="160">
      <c r="A160" s="229"/>
      <c r="B160" s="231" t="str">
        <f>VLOOKUP(A160,'Purchase Order Summary V2'!H:AA,20,0)</f>
        <v>#N/A</v>
      </c>
      <c r="C160" s="229"/>
      <c r="D160" s="229"/>
      <c r="E160" s="229"/>
      <c r="F160" s="188"/>
      <c r="G160" s="188"/>
      <c r="H160" s="188"/>
      <c r="I160" s="188"/>
      <c r="J160" s="188"/>
      <c r="K160" s="188"/>
      <c r="L160" s="188"/>
      <c r="M160" s="188"/>
      <c r="N160" s="188"/>
      <c r="O160" s="188"/>
      <c r="P160" s="188"/>
      <c r="Q160" s="188"/>
      <c r="R160" s="188"/>
      <c r="S160" s="188"/>
      <c r="T160" s="188"/>
      <c r="U160" s="188"/>
      <c r="V160" s="188"/>
      <c r="W160" s="188"/>
    </row>
    <row r="161">
      <c r="A161" s="229"/>
      <c r="B161" s="231" t="str">
        <f>VLOOKUP(A161,'Purchase Order Summary V2'!H:AA,20,0)</f>
        <v>#N/A</v>
      </c>
      <c r="C161" s="229"/>
      <c r="D161" s="229"/>
      <c r="E161" s="229"/>
      <c r="F161" s="188"/>
      <c r="G161" s="188"/>
      <c r="H161" s="188"/>
      <c r="I161" s="188"/>
      <c r="J161" s="188"/>
      <c r="K161" s="188"/>
      <c r="L161" s="188"/>
      <c r="M161" s="188"/>
      <c r="N161" s="188"/>
      <c r="O161" s="188"/>
      <c r="P161" s="188"/>
      <c r="Q161" s="188"/>
      <c r="R161" s="188"/>
      <c r="S161" s="188"/>
      <c r="T161" s="188"/>
      <c r="U161" s="188"/>
      <c r="V161" s="188"/>
      <c r="W161" s="188"/>
    </row>
    <row r="162">
      <c r="A162" s="229"/>
      <c r="B162" s="231" t="str">
        <f>VLOOKUP(A162,'Purchase Order Summary V2'!H:AA,20,0)</f>
        <v>#N/A</v>
      </c>
      <c r="C162" s="229"/>
      <c r="D162" s="229"/>
      <c r="E162" s="229"/>
      <c r="F162" s="188"/>
      <c r="G162" s="188"/>
      <c r="H162" s="188"/>
      <c r="I162" s="188"/>
      <c r="J162" s="188"/>
      <c r="K162" s="188"/>
      <c r="L162" s="188"/>
      <c r="M162" s="188"/>
      <c r="N162" s="188"/>
      <c r="O162" s="188"/>
      <c r="P162" s="188"/>
      <c r="Q162" s="188"/>
      <c r="R162" s="188"/>
      <c r="S162" s="188"/>
      <c r="T162" s="188"/>
      <c r="U162" s="188"/>
      <c r="V162" s="188"/>
      <c r="W162" s="188"/>
    </row>
    <row r="163">
      <c r="A163" s="229"/>
      <c r="B163" s="231" t="str">
        <f>VLOOKUP(A163,'Purchase Order Summary V2'!H:AA,20,0)</f>
        <v>#N/A</v>
      </c>
      <c r="C163" s="229"/>
      <c r="D163" s="229"/>
      <c r="E163" s="229"/>
      <c r="F163" s="188"/>
      <c r="G163" s="188"/>
      <c r="H163" s="188"/>
      <c r="I163" s="188"/>
      <c r="J163" s="188"/>
      <c r="K163" s="188"/>
      <c r="L163" s="188"/>
      <c r="M163" s="188"/>
      <c r="N163" s="188"/>
      <c r="O163" s="188"/>
      <c r="P163" s="188"/>
      <c r="Q163" s="188"/>
      <c r="R163" s="188"/>
      <c r="S163" s="188"/>
      <c r="T163" s="188"/>
      <c r="U163" s="188"/>
      <c r="V163" s="188"/>
      <c r="W163" s="188"/>
    </row>
    <row r="164">
      <c r="A164" s="229"/>
      <c r="B164" s="231" t="str">
        <f>VLOOKUP(A164,'Purchase Order Summary V2'!H:AA,20,0)</f>
        <v>#N/A</v>
      </c>
      <c r="C164" s="229"/>
      <c r="D164" s="229"/>
      <c r="E164" s="229"/>
      <c r="F164" s="188"/>
      <c r="G164" s="188"/>
      <c r="H164" s="188"/>
      <c r="I164" s="188"/>
      <c r="J164" s="188"/>
      <c r="K164" s="188"/>
      <c r="L164" s="188"/>
      <c r="M164" s="188"/>
      <c r="N164" s="188"/>
      <c r="O164" s="188"/>
      <c r="P164" s="188"/>
      <c r="Q164" s="188"/>
      <c r="R164" s="188"/>
      <c r="S164" s="188"/>
      <c r="T164" s="188"/>
      <c r="U164" s="188"/>
      <c r="V164" s="188"/>
      <c r="W164" s="188"/>
    </row>
    <row r="165">
      <c r="A165" s="229"/>
      <c r="B165" s="231" t="str">
        <f>VLOOKUP(A165,'Purchase Order Summary V2'!H:AA,20,0)</f>
        <v>#N/A</v>
      </c>
      <c r="C165" s="229"/>
      <c r="D165" s="229"/>
      <c r="E165" s="229"/>
      <c r="F165" s="188"/>
      <c r="G165" s="188"/>
      <c r="H165" s="188"/>
      <c r="I165" s="188"/>
      <c r="J165" s="188"/>
      <c r="K165" s="188"/>
      <c r="L165" s="188"/>
      <c r="M165" s="188"/>
      <c r="N165" s="188"/>
      <c r="O165" s="188"/>
      <c r="P165" s="188"/>
      <c r="Q165" s="188"/>
      <c r="R165" s="188"/>
      <c r="S165" s="188"/>
      <c r="T165" s="188"/>
      <c r="U165" s="188"/>
      <c r="V165" s="188"/>
      <c r="W165" s="188"/>
    </row>
    <row r="166">
      <c r="A166" s="229"/>
      <c r="B166" s="231" t="str">
        <f>VLOOKUP(A166,'Purchase Order Summary V2'!H:AA,20,0)</f>
        <v>#N/A</v>
      </c>
      <c r="C166" s="229"/>
      <c r="D166" s="229"/>
      <c r="E166" s="229"/>
      <c r="F166" s="188"/>
      <c r="G166" s="188"/>
      <c r="H166" s="188"/>
      <c r="I166" s="188"/>
      <c r="J166" s="188"/>
      <c r="K166" s="188"/>
      <c r="L166" s="188"/>
      <c r="M166" s="188"/>
      <c r="N166" s="188"/>
      <c r="O166" s="188"/>
      <c r="P166" s="188"/>
      <c r="Q166" s="188"/>
      <c r="R166" s="188"/>
      <c r="S166" s="188"/>
      <c r="T166" s="188"/>
      <c r="U166" s="188"/>
      <c r="V166" s="188"/>
      <c r="W166" s="188"/>
    </row>
    <row r="167">
      <c r="A167" s="229"/>
      <c r="B167" s="231" t="str">
        <f>VLOOKUP(A167,'Purchase Order Summary V2'!H:AA,20,0)</f>
        <v>#N/A</v>
      </c>
      <c r="C167" s="229"/>
      <c r="D167" s="229"/>
      <c r="E167" s="229"/>
      <c r="F167" s="188"/>
      <c r="G167" s="188"/>
      <c r="H167" s="188"/>
      <c r="I167" s="188"/>
      <c r="J167" s="188"/>
      <c r="K167" s="188"/>
      <c r="L167" s="188"/>
      <c r="M167" s="188"/>
      <c r="N167" s="188"/>
      <c r="O167" s="188"/>
      <c r="P167" s="188"/>
      <c r="Q167" s="188"/>
      <c r="R167" s="188"/>
      <c r="S167" s="188"/>
      <c r="T167" s="188"/>
      <c r="U167" s="188"/>
      <c r="V167" s="188"/>
      <c r="W167" s="188"/>
    </row>
    <row r="168">
      <c r="A168" s="229"/>
      <c r="B168" s="231" t="str">
        <f>VLOOKUP(A168,'Purchase Order Summary V2'!H:AA,20,0)</f>
        <v>#N/A</v>
      </c>
      <c r="C168" s="229"/>
      <c r="D168" s="229"/>
      <c r="E168" s="229"/>
      <c r="F168" s="188"/>
      <c r="G168" s="188"/>
      <c r="H168" s="188"/>
      <c r="I168" s="188"/>
      <c r="J168" s="188"/>
      <c r="K168" s="188"/>
      <c r="L168" s="188"/>
      <c r="M168" s="188"/>
      <c r="N168" s="188"/>
      <c r="O168" s="188"/>
      <c r="P168" s="188"/>
      <c r="Q168" s="188"/>
      <c r="R168" s="188"/>
      <c r="S168" s="188"/>
      <c r="T168" s="188"/>
      <c r="U168" s="188"/>
      <c r="V168" s="188"/>
      <c r="W168" s="188"/>
    </row>
    <row r="169">
      <c r="A169" s="229"/>
      <c r="B169" s="231" t="str">
        <f>VLOOKUP(A169,'Purchase Order Summary V2'!H:AA,20,0)</f>
        <v>#N/A</v>
      </c>
      <c r="C169" s="229"/>
      <c r="D169" s="229"/>
      <c r="E169" s="229"/>
      <c r="F169" s="188"/>
      <c r="G169" s="188"/>
      <c r="H169" s="188"/>
      <c r="I169" s="188"/>
      <c r="J169" s="188"/>
      <c r="K169" s="188"/>
      <c r="L169" s="188"/>
      <c r="M169" s="188"/>
      <c r="N169" s="188"/>
      <c r="O169" s="188"/>
      <c r="P169" s="188"/>
      <c r="Q169" s="188"/>
      <c r="R169" s="188"/>
      <c r="S169" s="188"/>
      <c r="T169" s="188"/>
      <c r="U169" s="188"/>
      <c r="V169" s="188"/>
      <c r="W169" s="188"/>
    </row>
    <row r="170">
      <c r="A170" s="229"/>
      <c r="B170" s="231" t="str">
        <f>VLOOKUP(A170,'Purchase Order Summary V2'!H:AA,20,0)</f>
        <v>#N/A</v>
      </c>
      <c r="C170" s="229"/>
      <c r="D170" s="229"/>
      <c r="E170" s="229"/>
      <c r="F170" s="188"/>
      <c r="G170" s="188"/>
      <c r="H170" s="188"/>
      <c r="I170" s="188"/>
      <c r="J170" s="188"/>
      <c r="K170" s="188"/>
      <c r="L170" s="188"/>
      <c r="M170" s="188"/>
      <c r="N170" s="188"/>
      <c r="O170" s="188"/>
      <c r="P170" s="188"/>
      <c r="Q170" s="188"/>
      <c r="R170" s="188"/>
      <c r="S170" s="188"/>
      <c r="T170" s="188"/>
      <c r="U170" s="188"/>
      <c r="V170" s="188"/>
      <c r="W170" s="188"/>
    </row>
    <row r="171">
      <c r="A171" s="229"/>
      <c r="B171" s="231" t="str">
        <f>VLOOKUP(A171,'Purchase Order Summary V2'!H:AA,20,0)</f>
        <v>#N/A</v>
      </c>
      <c r="C171" s="229"/>
      <c r="D171" s="229"/>
      <c r="E171" s="229"/>
      <c r="F171" s="188"/>
      <c r="G171" s="188"/>
      <c r="H171" s="188"/>
      <c r="I171" s="188"/>
      <c r="J171" s="188"/>
      <c r="K171" s="188"/>
      <c r="L171" s="188"/>
      <c r="M171" s="188"/>
      <c r="N171" s="188"/>
      <c r="O171" s="188"/>
      <c r="P171" s="188"/>
      <c r="Q171" s="188"/>
      <c r="R171" s="188"/>
      <c r="S171" s="188"/>
      <c r="T171" s="188"/>
      <c r="U171" s="188"/>
      <c r="V171" s="188"/>
      <c r="W171" s="188"/>
    </row>
    <row r="172">
      <c r="A172" s="229"/>
      <c r="B172" s="231" t="str">
        <f>VLOOKUP(A172,'Purchase Order Summary V2'!H:AA,20,0)</f>
        <v>#N/A</v>
      </c>
      <c r="C172" s="229"/>
      <c r="D172" s="229"/>
      <c r="E172" s="229"/>
      <c r="F172" s="188"/>
      <c r="G172" s="188"/>
      <c r="H172" s="188"/>
      <c r="I172" s="188"/>
      <c r="J172" s="188"/>
      <c r="K172" s="188"/>
      <c r="L172" s="188"/>
      <c r="M172" s="188"/>
      <c r="N172" s="188"/>
      <c r="O172" s="188"/>
      <c r="P172" s="188"/>
      <c r="Q172" s="188"/>
      <c r="R172" s="188"/>
      <c r="S172" s="188"/>
      <c r="T172" s="188"/>
      <c r="U172" s="188"/>
      <c r="V172" s="188"/>
      <c r="W172" s="188"/>
    </row>
    <row r="173">
      <c r="A173" s="229"/>
      <c r="B173" s="231" t="str">
        <f>VLOOKUP(A173,'Purchase Order Summary V2'!H:AA,20,0)</f>
        <v>#N/A</v>
      </c>
      <c r="C173" s="229"/>
      <c r="D173" s="229"/>
      <c r="E173" s="229"/>
      <c r="F173" s="188"/>
      <c r="G173" s="188"/>
      <c r="H173" s="188"/>
      <c r="I173" s="188"/>
      <c r="J173" s="188"/>
      <c r="K173" s="188"/>
      <c r="L173" s="188"/>
      <c r="M173" s="188"/>
      <c r="N173" s="188"/>
      <c r="O173" s="188"/>
      <c r="P173" s="188"/>
      <c r="Q173" s="188"/>
      <c r="R173" s="188"/>
      <c r="S173" s="188"/>
      <c r="T173" s="188"/>
      <c r="U173" s="188"/>
      <c r="V173" s="188"/>
      <c r="W173" s="188"/>
    </row>
    <row r="174">
      <c r="A174" s="229"/>
      <c r="B174" s="231" t="str">
        <f>VLOOKUP(A174,'Purchase Order Summary V2'!H:AA,20,0)</f>
        <v>#N/A</v>
      </c>
      <c r="C174" s="229"/>
      <c r="D174" s="229"/>
      <c r="E174" s="229"/>
      <c r="F174" s="188"/>
      <c r="G174" s="188"/>
      <c r="H174" s="188"/>
      <c r="I174" s="188"/>
      <c r="J174" s="188"/>
      <c r="K174" s="188"/>
      <c r="L174" s="188"/>
      <c r="M174" s="188"/>
      <c r="N174" s="188"/>
      <c r="O174" s="188"/>
      <c r="P174" s="188"/>
      <c r="Q174" s="188"/>
      <c r="R174" s="188"/>
      <c r="S174" s="188"/>
      <c r="T174" s="188"/>
      <c r="U174" s="188"/>
      <c r="V174" s="188"/>
      <c r="W174" s="188"/>
    </row>
    <row r="175">
      <c r="A175" s="229"/>
      <c r="B175" s="231" t="str">
        <f>VLOOKUP(A175,'Purchase Order Summary V2'!H:AA,20,0)</f>
        <v>#N/A</v>
      </c>
      <c r="C175" s="229"/>
      <c r="D175" s="229"/>
      <c r="E175" s="229"/>
      <c r="F175" s="188"/>
      <c r="G175" s="188"/>
      <c r="H175" s="188"/>
      <c r="I175" s="188"/>
      <c r="J175" s="188"/>
      <c r="K175" s="188"/>
      <c r="L175" s="188"/>
      <c r="M175" s="188"/>
      <c r="N175" s="188"/>
      <c r="O175" s="188"/>
      <c r="P175" s="188"/>
      <c r="Q175" s="188"/>
      <c r="R175" s="188"/>
      <c r="S175" s="188"/>
      <c r="T175" s="188"/>
      <c r="U175" s="188"/>
      <c r="V175" s="188"/>
      <c r="W175" s="188"/>
    </row>
    <row r="176">
      <c r="A176" s="229"/>
      <c r="B176" s="231" t="str">
        <f>VLOOKUP(A176,'Purchase Order Summary V2'!H:AA,20,0)</f>
        <v>#N/A</v>
      </c>
      <c r="C176" s="229"/>
      <c r="D176" s="229"/>
      <c r="E176" s="229"/>
      <c r="F176" s="188"/>
      <c r="G176" s="188"/>
      <c r="H176" s="188"/>
      <c r="I176" s="188"/>
      <c r="J176" s="188"/>
      <c r="K176" s="188"/>
      <c r="L176" s="188"/>
      <c r="M176" s="188"/>
      <c r="N176" s="188"/>
      <c r="O176" s="188"/>
      <c r="P176" s="188"/>
      <c r="Q176" s="188"/>
      <c r="R176" s="188"/>
      <c r="S176" s="188"/>
      <c r="T176" s="188"/>
      <c r="U176" s="188"/>
      <c r="V176" s="188"/>
      <c r="W176" s="188"/>
    </row>
    <row r="177">
      <c r="A177" s="229"/>
      <c r="B177" s="231" t="str">
        <f>VLOOKUP(A177,'Purchase Order Summary V2'!H:AA,20,0)</f>
        <v>#N/A</v>
      </c>
      <c r="C177" s="229"/>
      <c r="D177" s="229"/>
      <c r="E177" s="229"/>
      <c r="F177" s="188"/>
      <c r="G177" s="188"/>
      <c r="H177" s="188"/>
      <c r="I177" s="188"/>
      <c r="J177" s="188"/>
      <c r="K177" s="188"/>
      <c r="L177" s="188"/>
      <c r="M177" s="188"/>
      <c r="N177" s="188"/>
      <c r="O177" s="188"/>
      <c r="P177" s="188"/>
      <c r="Q177" s="188"/>
      <c r="R177" s="188"/>
      <c r="S177" s="188"/>
      <c r="T177" s="188"/>
      <c r="U177" s="188"/>
      <c r="V177" s="188"/>
      <c r="W177" s="188"/>
    </row>
    <row r="178">
      <c r="A178" s="229"/>
      <c r="B178" s="231" t="str">
        <f>VLOOKUP(A178,'Purchase Order Summary V2'!H:AA,20,0)</f>
        <v>#N/A</v>
      </c>
      <c r="C178" s="229"/>
      <c r="D178" s="229"/>
      <c r="E178" s="229"/>
      <c r="F178" s="188"/>
      <c r="G178" s="188"/>
      <c r="H178" s="188"/>
      <c r="I178" s="188"/>
      <c r="J178" s="188"/>
      <c r="K178" s="188"/>
      <c r="L178" s="188"/>
      <c r="M178" s="188"/>
      <c r="N178" s="188"/>
      <c r="O178" s="188"/>
      <c r="P178" s="188"/>
      <c r="Q178" s="188"/>
      <c r="R178" s="188"/>
      <c r="S178" s="188"/>
      <c r="T178" s="188"/>
      <c r="U178" s="188"/>
      <c r="V178" s="188"/>
      <c r="W178" s="188"/>
    </row>
    <row r="179">
      <c r="A179" s="229"/>
      <c r="B179" s="231" t="str">
        <f>VLOOKUP(A179,'Purchase Order Summary V2'!H:AA,20,0)</f>
        <v>#N/A</v>
      </c>
      <c r="C179" s="229"/>
      <c r="D179" s="229"/>
      <c r="E179" s="229"/>
      <c r="F179" s="188"/>
      <c r="G179" s="188"/>
      <c r="H179" s="188"/>
      <c r="I179" s="188"/>
      <c r="J179" s="188"/>
      <c r="K179" s="188"/>
      <c r="L179" s="188"/>
      <c r="M179" s="188"/>
      <c r="N179" s="188"/>
      <c r="O179" s="188"/>
      <c r="P179" s="188"/>
      <c r="Q179" s="188"/>
      <c r="R179" s="188"/>
      <c r="S179" s="188"/>
      <c r="T179" s="188"/>
      <c r="U179" s="188"/>
      <c r="V179" s="188"/>
      <c r="W179" s="188"/>
    </row>
    <row r="180">
      <c r="A180" s="229"/>
      <c r="B180" s="231" t="str">
        <f>VLOOKUP(A180,'Purchase Order Summary V2'!H:AA,20,0)</f>
        <v>#N/A</v>
      </c>
      <c r="C180" s="229"/>
      <c r="D180" s="229"/>
      <c r="E180" s="229"/>
      <c r="F180" s="188"/>
      <c r="G180" s="188"/>
      <c r="H180" s="188"/>
      <c r="I180" s="188"/>
      <c r="J180" s="188"/>
      <c r="K180" s="188"/>
      <c r="L180" s="188"/>
      <c r="M180" s="188"/>
      <c r="N180" s="188"/>
      <c r="O180" s="188"/>
      <c r="P180" s="188"/>
      <c r="Q180" s="188"/>
      <c r="R180" s="188"/>
      <c r="S180" s="188"/>
      <c r="T180" s="188"/>
      <c r="U180" s="188"/>
      <c r="V180" s="188"/>
      <c r="W180" s="188"/>
    </row>
    <row r="181">
      <c r="A181" s="229"/>
      <c r="B181" s="231" t="str">
        <f>VLOOKUP(A181,'Purchase Order Summary V2'!H:AA,20,0)</f>
        <v>#N/A</v>
      </c>
      <c r="C181" s="229"/>
      <c r="D181" s="229"/>
      <c r="E181" s="229"/>
      <c r="F181" s="188"/>
      <c r="G181" s="188"/>
      <c r="H181" s="188"/>
      <c r="I181" s="188"/>
      <c r="J181" s="188"/>
      <c r="K181" s="188"/>
      <c r="L181" s="188"/>
      <c r="M181" s="188"/>
      <c r="N181" s="188"/>
      <c r="O181" s="188"/>
      <c r="P181" s="188"/>
      <c r="Q181" s="188"/>
      <c r="R181" s="188"/>
      <c r="S181" s="188"/>
      <c r="T181" s="188"/>
      <c r="U181" s="188"/>
      <c r="V181" s="188"/>
      <c r="W181" s="188"/>
    </row>
    <row r="182">
      <c r="A182" s="229"/>
      <c r="B182" s="231" t="str">
        <f>VLOOKUP(A182,'Purchase Order Summary V2'!H:AA,20,0)</f>
        <v>#N/A</v>
      </c>
      <c r="C182" s="229"/>
      <c r="D182" s="229"/>
      <c r="E182" s="229"/>
      <c r="F182" s="188"/>
      <c r="G182" s="188"/>
      <c r="H182" s="188"/>
      <c r="I182" s="188"/>
      <c r="J182" s="188"/>
      <c r="K182" s="188"/>
      <c r="L182" s="188"/>
      <c r="M182" s="188"/>
      <c r="N182" s="188"/>
      <c r="O182" s="188"/>
      <c r="P182" s="188"/>
      <c r="Q182" s="188"/>
      <c r="R182" s="188"/>
      <c r="S182" s="188"/>
      <c r="T182" s="188"/>
      <c r="U182" s="188"/>
      <c r="V182" s="188"/>
      <c r="W182" s="188"/>
    </row>
    <row r="183">
      <c r="A183" s="229"/>
      <c r="B183" s="231" t="str">
        <f>VLOOKUP(A183,'Purchase Order Summary V2'!H:AA,20,0)</f>
        <v>#N/A</v>
      </c>
      <c r="C183" s="229"/>
      <c r="D183" s="229"/>
      <c r="E183" s="229"/>
      <c r="F183" s="188"/>
      <c r="G183" s="188"/>
      <c r="H183" s="188"/>
      <c r="I183" s="188"/>
      <c r="J183" s="188"/>
      <c r="K183" s="188"/>
      <c r="L183" s="188"/>
      <c r="M183" s="188"/>
      <c r="N183" s="188"/>
      <c r="O183" s="188"/>
      <c r="P183" s="188"/>
      <c r="Q183" s="188"/>
      <c r="R183" s="188"/>
      <c r="S183" s="188"/>
      <c r="T183" s="188"/>
      <c r="U183" s="188"/>
      <c r="V183" s="188"/>
      <c r="W183" s="188"/>
    </row>
    <row r="184">
      <c r="A184" s="229"/>
      <c r="B184" s="231" t="str">
        <f>VLOOKUP(A184,'Purchase Order Summary V2'!H:AA,20,0)</f>
        <v>#N/A</v>
      </c>
      <c r="C184" s="229"/>
      <c r="D184" s="229"/>
      <c r="E184" s="229"/>
      <c r="F184" s="188"/>
      <c r="G184" s="188"/>
      <c r="H184" s="188"/>
      <c r="I184" s="188"/>
      <c r="J184" s="188"/>
      <c r="K184" s="188"/>
      <c r="L184" s="188"/>
      <c r="M184" s="188"/>
      <c r="N184" s="188"/>
      <c r="O184" s="188"/>
      <c r="P184" s="188"/>
      <c r="Q184" s="188"/>
      <c r="R184" s="188"/>
      <c r="S184" s="188"/>
      <c r="T184" s="188"/>
      <c r="U184" s="188"/>
      <c r="V184" s="188"/>
      <c r="W184" s="188"/>
    </row>
    <row r="185">
      <c r="A185" s="229"/>
      <c r="B185" s="231" t="str">
        <f>VLOOKUP(A185,'Purchase Order Summary V2'!H:AA,20,0)</f>
        <v>#N/A</v>
      </c>
      <c r="C185" s="229"/>
      <c r="D185" s="229"/>
      <c r="E185" s="229"/>
      <c r="F185" s="188"/>
      <c r="G185" s="188"/>
      <c r="H185" s="188"/>
      <c r="I185" s="188"/>
      <c r="J185" s="188"/>
      <c r="K185" s="188"/>
      <c r="L185" s="188"/>
      <c r="M185" s="188"/>
      <c r="N185" s="188"/>
      <c r="O185" s="188"/>
      <c r="P185" s="188"/>
      <c r="Q185" s="188"/>
      <c r="R185" s="188"/>
      <c r="S185" s="188"/>
      <c r="T185" s="188"/>
      <c r="U185" s="188"/>
      <c r="V185" s="188"/>
      <c r="W185" s="188"/>
    </row>
    <row r="186">
      <c r="A186" s="229"/>
      <c r="B186" s="231" t="str">
        <f>VLOOKUP(A186,'Purchase Order Summary V2'!H:AA,20,0)</f>
        <v>#N/A</v>
      </c>
      <c r="C186" s="229"/>
      <c r="D186" s="229"/>
      <c r="E186" s="229"/>
      <c r="F186" s="188"/>
      <c r="G186" s="188"/>
      <c r="H186" s="188"/>
      <c r="I186" s="188"/>
      <c r="J186" s="188"/>
      <c r="K186" s="188"/>
      <c r="L186" s="188"/>
      <c r="M186" s="188"/>
      <c r="N186" s="188"/>
      <c r="O186" s="188"/>
      <c r="P186" s="188"/>
      <c r="Q186" s="188"/>
      <c r="R186" s="188"/>
      <c r="S186" s="188"/>
      <c r="T186" s="188"/>
      <c r="U186" s="188"/>
      <c r="V186" s="188"/>
      <c r="W186" s="188"/>
    </row>
    <row r="187">
      <c r="A187" s="229"/>
      <c r="B187" s="231" t="str">
        <f>VLOOKUP(A187,'Purchase Order Summary V2'!H:AA,20,0)</f>
        <v>#N/A</v>
      </c>
      <c r="C187" s="229"/>
      <c r="D187" s="229"/>
      <c r="E187" s="229"/>
      <c r="F187" s="188"/>
      <c r="G187" s="188"/>
      <c r="H187" s="188"/>
      <c r="I187" s="188"/>
      <c r="J187" s="188"/>
      <c r="K187" s="188"/>
      <c r="L187" s="188"/>
      <c r="M187" s="188"/>
      <c r="N187" s="188"/>
      <c r="O187" s="188"/>
      <c r="P187" s="188"/>
      <c r="Q187" s="188"/>
      <c r="R187" s="188"/>
      <c r="S187" s="188"/>
      <c r="T187" s="188"/>
      <c r="U187" s="188"/>
      <c r="V187" s="188"/>
      <c r="W187" s="188"/>
    </row>
    <row r="188">
      <c r="A188" s="229"/>
      <c r="B188" s="231" t="str">
        <f>VLOOKUP(A188,'Purchase Order Summary V2'!H:AA,20,0)</f>
        <v>#N/A</v>
      </c>
      <c r="C188" s="229"/>
      <c r="D188" s="229"/>
      <c r="E188" s="229"/>
      <c r="F188" s="188"/>
      <c r="G188" s="188"/>
      <c r="H188" s="188"/>
      <c r="I188" s="188"/>
      <c r="J188" s="188"/>
      <c r="K188" s="188"/>
      <c r="L188" s="188"/>
      <c r="M188" s="188"/>
      <c r="N188" s="188"/>
      <c r="O188" s="188"/>
      <c r="P188" s="188"/>
      <c r="Q188" s="188"/>
      <c r="R188" s="188"/>
      <c r="S188" s="188"/>
      <c r="T188" s="188"/>
      <c r="U188" s="188"/>
      <c r="V188" s="188"/>
      <c r="W188" s="188"/>
    </row>
    <row r="189">
      <c r="A189" s="229"/>
      <c r="B189" s="231" t="str">
        <f>VLOOKUP(A189,'Purchase Order Summary V2'!H:AA,20,0)</f>
        <v>#N/A</v>
      </c>
      <c r="C189" s="229"/>
      <c r="D189" s="229"/>
      <c r="E189" s="229"/>
      <c r="F189" s="188"/>
      <c r="G189" s="188"/>
      <c r="H189" s="188"/>
      <c r="I189" s="188"/>
      <c r="J189" s="188"/>
      <c r="K189" s="188"/>
      <c r="L189" s="188"/>
      <c r="M189" s="188"/>
      <c r="N189" s="188"/>
      <c r="O189" s="188"/>
      <c r="P189" s="188"/>
      <c r="Q189" s="188"/>
      <c r="R189" s="188"/>
      <c r="S189" s="188"/>
      <c r="T189" s="188"/>
      <c r="U189" s="188"/>
      <c r="V189" s="188"/>
      <c r="W189" s="188"/>
    </row>
    <row r="190">
      <c r="A190" s="229"/>
      <c r="B190" s="231" t="str">
        <f>VLOOKUP(A190,'Purchase Order Summary V2'!H:AA,20,0)</f>
        <v>#N/A</v>
      </c>
      <c r="C190" s="229"/>
      <c r="D190" s="229"/>
      <c r="E190" s="229"/>
      <c r="F190" s="188"/>
      <c r="G190" s="188"/>
      <c r="H190" s="188"/>
      <c r="I190" s="188"/>
      <c r="J190" s="188"/>
      <c r="K190" s="188"/>
      <c r="L190" s="188"/>
      <c r="M190" s="188"/>
      <c r="N190" s="188"/>
      <c r="O190" s="188"/>
      <c r="P190" s="188"/>
      <c r="Q190" s="188"/>
      <c r="R190" s="188"/>
      <c r="S190" s="188"/>
      <c r="T190" s="188"/>
      <c r="U190" s="188"/>
      <c r="V190" s="188"/>
      <c r="W190" s="188"/>
    </row>
    <row r="191">
      <c r="A191" s="229"/>
      <c r="B191" s="231" t="str">
        <f>VLOOKUP(A191,'Purchase Order Summary V2'!H:AA,20,0)</f>
        <v>#N/A</v>
      </c>
      <c r="C191" s="229"/>
      <c r="D191" s="229"/>
      <c r="E191" s="229"/>
      <c r="F191" s="188"/>
      <c r="G191" s="188"/>
      <c r="H191" s="188"/>
      <c r="I191" s="188"/>
      <c r="J191" s="188"/>
      <c r="K191" s="188"/>
      <c r="L191" s="188"/>
      <c r="M191" s="188"/>
      <c r="N191" s="188"/>
      <c r="O191" s="188"/>
      <c r="P191" s="188"/>
      <c r="Q191" s="188"/>
      <c r="R191" s="188"/>
      <c r="S191" s="188"/>
      <c r="T191" s="188"/>
      <c r="U191" s="188"/>
      <c r="V191" s="188"/>
      <c r="W191" s="188"/>
    </row>
    <row r="192">
      <c r="A192" s="229"/>
      <c r="B192" s="231" t="str">
        <f>VLOOKUP(A192,'Purchase Order Summary V2'!H:AA,20,0)</f>
        <v>#N/A</v>
      </c>
      <c r="C192" s="229"/>
      <c r="D192" s="229"/>
      <c r="E192" s="229"/>
      <c r="F192" s="188"/>
      <c r="G192" s="188"/>
      <c r="H192" s="188"/>
      <c r="I192" s="188"/>
      <c r="J192" s="188"/>
      <c r="K192" s="188"/>
      <c r="L192" s="188"/>
      <c r="M192" s="188"/>
      <c r="N192" s="188"/>
      <c r="O192" s="188"/>
      <c r="P192" s="188"/>
      <c r="Q192" s="188"/>
      <c r="R192" s="188"/>
      <c r="S192" s="188"/>
      <c r="T192" s="188"/>
      <c r="U192" s="188"/>
      <c r="V192" s="188"/>
      <c r="W192" s="188"/>
    </row>
    <row r="193">
      <c r="A193" s="229"/>
      <c r="B193" s="231" t="str">
        <f>VLOOKUP(A193,'Purchase Order Summary V2'!H:AA,20,0)</f>
        <v>#N/A</v>
      </c>
      <c r="C193" s="229"/>
      <c r="D193" s="229"/>
      <c r="E193" s="229"/>
      <c r="F193" s="188"/>
      <c r="G193" s="188"/>
      <c r="H193" s="188"/>
      <c r="I193" s="188"/>
      <c r="J193" s="188"/>
      <c r="K193" s="188"/>
      <c r="L193" s="188"/>
      <c r="M193" s="188"/>
      <c r="N193" s="188"/>
      <c r="O193" s="188"/>
      <c r="P193" s="188"/>
      <c r="Q193" s="188"/>
      <c r="R193" s="188"/>
      <c r="S193" s="188"/>
      <c r="T193" s="188"/>
      <c r="U193" s="188"/>
      <c r="V193" s="188"/>
      <c r="W193" s="188"/>
    </row>
    <row r="194">
      <c r="A194" s="229"/>
      <c r="B194" s="231" t="str">
        <f>VLOOKUP(A194,'Purchase Order Summary V2'!H:AA,20,0)</f>
        <v>#N/A</v>
      </c>
      <c r="C194" s="229"/>
      <c r="D194" s="229"/>
      <c r="E194" s="229"/>
      <c r="F194" s="188"/>
      <c r="G194" s="188"/>
      <c r="H194" s="188"/>
      <c r="I194" s="188"/>
      <c r="J194" s="188"/>
      <c r="K194" s="188"/>
      <c r="L194" s="188"/>
      <c r="M194" s="188"/>
      <c r="N194" s="188"/>
      <c r="O194" s="188"/>
      <c r="P194" s="188"/>
      <c r="Q194" s="188"/>
      <c r="R194" s="188"/>
      <c r="S194" s="188"/>
      <c r="T194" s="188"/>
      <c r="U194" s="188"/>
      <c r="V194" s="188"/>
      <c r="W194" s="188"/>
    </row>
    <row r="195">
      <c r="A195" s="229"/>
      <c r="B195" s="231" t="str">
        <f>VLOOKUP(A195,'Purchase Order Summary V2'!H:AA,20,0)</f>
        <v>#N/A</v>
      </c>
      <c r="C195" s="229"/>
      <c r="D195" s="229"/>
      <c r="E195" s="229"/>
      <c r="F195" s="188"/>
      <c r="G195" s="188"/>
      <c r="H195" s="188"/>
      <c r="I195" s="188"/>
      <c r="J195" s="188"/>
      <c r="K195" s="188"/>
      <c r="L195" s="188"/>
      <c r="M195" s="188"/>
      <c r="N195" s="188"/>
      <c r="O195" s="188"/>
      <c r="P195" s="188"/>
      <c r="Q195" s="188"/>
      <c r="R195" s="188"/>
      <c r="S195" s="188"/>
      <c r="T195" s="188"/>
      <c r="U195" s="188"/>
      <c r="V195" s="188"/>
      <c r="W195" s="188"/>
    </row>
    <row r="196">
      <c r="A196" s="229"/>
      <c r="B196" s="231" t="str">
        <f>VLOOKUP(A196,'Purchase Order Summary V2'!H:AA,20,0)</f>
        <v>#N/A</v>
      </c>
      <c r="C196" s="229"/>
      <c r="D196" s="229"/>
      <c r="E196" s="229"/>
      <c r="F196" s="188"/>
      <c r="G196" s="188"/>
      <c r="H196" s="188"/>
      <c r="I196" s="188"/>
      <c r="J196" s="188"/>
      <c r="K196" s="188"/>
      <c r="L196" s="188"/>
      <c r="M196" s="188"/>
      <c r="N196" s="188"/>
      <c r="O196" s="188"/>
      <c r="P196" s="188"/>
      <c r="Q196" s="188"/>
      <c r="R196" s="188"/>
      <c r="S196" s="188"/>
      <c r="T196" s="188"/>
      <c r="U196" s="188"/>
      <c r="V196" s="188"/>
      <c r="W196" s="188"/>
    </row>
    <row r="197">
      <c r="A197" s="229"/>
      <c r="B197" s="231" t="str">
        <f>VLOOKUP(A197,'Purchase Order Summary V2'!H:AA,20,0)</f>
        <v>#N/A</v>
      </c>
      <c r="C197" s="229"/>
      <c r="D197" s="229"/>
      <c r="E197" s="229"/>
      <c r="F197" s="188"/>
      <c r="G197" s="188"/>
      <c r="H197" s="188"/>
      <c r="I197" s="188"/>
      <c r="J197" s="188"/>
      <c r="K197" s="188"/>
      <c r="L197" s="188"/>
      <c r="M197" s="188"/>
      <c r="N197" s="188"/>
      <c r="O197" s="188"/>
      <c r="P197" s="188"/>
      <c r="Q197" s="188"/>
      <c r="R197" s="188"/>
      <c r="S197" s="188"/>
      <c r="T197" s="188"/>
      <c r="U197" s="188"/>
      <c r="V197" s="188"/>
      <c r="W197" s="188"/>
    </row>
    <row r="198">
      <c r="A198" s="229"/>
      <c r="B198" s="231" t="str">
        <f>VLOOKUP(A198,'Purchase Order Summary V2'!H:AA,20,0)</f>
        <v>#N/A</v>
      </c>
      <c r="C198" s="229"/>
      <c r="D198" s="229"/>
      <c r="E198" s="229"/>
      <c r="F198" s="188"/>
      <c r="G198" s="188"/>
      <c r="H198" s="188"/>
      <c r="I198" s="188"/>
      <c r="J198" s="188"/>
      <c r="K198" s="188"/>
      <c r="L198" s="188"/>
      <c r="M198" s="188"/>
      <c r="N198" s="188"/>
      <c r="O198" s="188"/>
      <c r="P198" s="188"/>
      <c r="Q198" s="188"/>
      <c r="R198" s="188"/>
      <c r="S198" s="188"/>
      <c r="T198" s="188"/>
      <c r="U198" s="188"/>
      <c r="V198" s="188"/>
      <c r="W198" s="188"/>
    </row>
    <row r="199">
      <c r="A199" s="229"/>
      <c r="B199" s="231" t="str">
        <f>VLOOKUP(A199,'Purchase Order Summary V2'!H:AA,20,0)</f>
        <v>#N/A</v>
      </c>
      <c r="C199" s="229"/>
      <c r="D199" s="229"/>
      <c r="E199" s="229"/>
      <c r="F199" s="188"/>
      <c r="G199" s="188"/>
      <c r="H199" s="188"/>
      <c r="I199" s="188"/>
      <c r="J199" s="188"/>
      <c r="K199" s="188"/>
      <c r="L199" s="188"/>
      <c r="M199" s="188"/>
      <c r="N199" s="188"/>
      <c r="O199" s="188"/>
      <c r="P199" s="188"/>
      <c r="Q199" s="188"/>
      <c r="R199" s="188"/>
      <c r="S199" s="188"/>
      <c r="T199" s="188"/>
      <c r="U199" s="188"/>
      <c r="V199" s="188"/>
      <c r="W199" s="188"/>
    </row>
    <row r="200">
      <c r="A200" s="229"/>
      <c r="B200" s="231" t="str">
        <f>VLOOKUP(A200,'Purchase Order Summary V2'!H:AA,20,0)</f>
        <v>#N/A</v>
      </c>
      <c r="C200" s="229"/>
      <c r="D200" s="229"/>
      <c r="E200" s="229"/>
      <c r="F200" s="188"/>
      <c r="G200" s="188"/>
      <c r="H200" s="188"/>
      <c r="I200" s="188"/>
      <c r="J200" s="188"/>
      <c r="K200" s="188"/>
      <c r="L200" s="188"/>
      <c r="M200" s="188"/>
      <c r="N200" s="188"/>
      <c r="O200" s="188"/>
      <c r="P200" s="188"/>
      <c r="Q200" s="188"/>
      <c r="R200" s="188"/>
      <c r="S200" s="188"/>
      <c r="T200" s="188"/>
      <c r="U200" s="188"/>
      <c r="V200" s="188"/>
      <c r="W200" s="188"/>
    </row>
    <row r="201">
      <c r="A201" s="229"/>
      <c r="B201" s="231" t="str">
        <f>VLOOKUP(A201,'Purchase Order Summary V2'!H:AA,20,0)</f>
        <v>#N/A</v>
      </c>
      <c r="C201" s="229"/>
      <c r="D201" s="229"/>
      <c r="E201" s="229"/>
      <c r="F201" s="188"/>
      <c r="G201" s="188"/>
      <c r="H201" s="188"/>
      <c r="I201" s="188"/>
      <c r="J201" s="188"/>
      <c r="K201" s="188"/>
      <c r="L201" s="188"/>
      <c r="M201" s="188"/>
      <c r="N201" s="188"/>
      <c r="O201" s="188"/>
      <c r="P201" s="188"/>
      <c r="Q201" s="188"/>
      <c r="R201" s="188"/>
      <c r="S201" s="188"/>
      <c r="T201" s="188"/>
      <c r="U201" s="188"/>
      <c r="V201" s="188"/>
      <c r="W201" s="188"/>
    </row>
    <row r="202">
      <c r="A202" s="229"/>
      <c r="B202" s="231" t="str">
        <f>VLOOKUP(A202,'Purchase Order Summary V2'!H:AA,20,0)</f>
        <v>#N/A</v>
      </c>
      <c r="C202" s="229"/>
      <c r="D202" s="229"/>
      <c r="E202" s="229"/>
      <c r="F202" s="188"/>
      <c r="G202" s="188"/>
      <c r="H202" s="188"/>
      <c r="I202" s="188"/>
      <c r="J202" s="188"/>
      <c r="K202" s="188"/>
      <c r="L202" s="188"/>
      <c r="M202" s="188"/>
      <c r="N202" s="188"/>
      <c r="O202" s="188"/>
      <c r="P202" s="188"/>
      <c r="Q202" s="188"/>
      <c r="R202" s="188"/>
      <c r="S202" s="188"/>
      <c r="T202" s="188"/>
      <c r="U202" s="188"/>
      <c r="V202" s="188"/>
      <c r="W202" s="188"/>
    </row>
    <row r="203">
      <c r="A203" s="229"/>
      <c r="B203" s="231" t="str">
        <f>VLOOKUP(A203,'Purchase Order Summary V2'!H:AA,20,0)</f>
        <v>#N/A</v>
      </c>
      <c r="C203" s="229"/>
      <c r="D203" s="229"/>
      <c r="E203" s="229"/>
      <c r="F203" s="188"/>
      <c r="G203" s="188"/>
      <c r="H203" s="188"/>
      <c r="I203" s="188"/>
      <c r="J203" s="188"/>
      <c r="K203" s="188"/>
      <c r="L203" s="188"/>
      <c r="M203" s="188"/>
      <c r="N203" s="188"/>
      <c r="O203" s="188"/>
      <c r="P203" s="188"/>
      <c r="Q203" s="188"/>
      <c r="R203" s="188"/>
      <c r="S203" s="188"/>
      <c r="T203" s="188"/>
      <c r="U203" s="188"/>
      <c r="V203" s="188"/>
      <c r="W203" s="188"/>
    </row>
    <row r="204">
      <c r="A204" s="229"/>
      <c r="B204" s="231" t="str">
        <f>VLOOKUP(A204,'Purchase Order Summary V2'!H:AA,20,0)</f>
        <v>#N/A</v>
      </c>
      <c r="C204" s="229"/>
      <c r="D204" s="229"/>
      <c r="E204" s="229"/>
      <c r="F204" s="188"/>
      <c r="G204" s="188"/>
      <c r="H204" s="188"/>
      <c r="I204" s="188"/>
      <c r="J204" s="188"/>
      <c r="K204" s="188"/>
      <c r="L204" s="188"/>
      <c r="M204" s="188"/>
      <c r="N204" s="188"/>
      <c r="O204" s="188"/>
      <c r="P204" s="188"/>
      <c r="Q204" s="188"/>
      <c r="R204" s="188"/>
      <c r="S204" s="188"/>
      <c r="T204" s="188"/>
      <c r="U204" s="188"/>
      <c r="V204" s="188"/>
      <c r="W204" s="188"/>
    </row>
    <row r="205">
      <c r="A205" s="229"/>
      <c r="B205" s="231" t="str">
        <f>VLOOKUP(A205,'Purchase Order Summary V2'!H:AA,20,0)</f>
        <v>#N/A</v>
      </c>
      <c r="C205" s="229"/>
      <c r="D205" s="229"/>
      <c r="E205" s="229"/>
      <c r="F205" s="188"/>
      <c r="G205" s="188"/>
      <c r="H205" s="188"/>
      <c r="I205" s="188"/>
      <c r="J205" s="188"/>
      <c r="K205" s="188"/>
      <c r="L205" s="188"/>
      <c r="M205" s="188"/>
      <c r="N205" s="188"/>
      <c r="O205" s="188"/>
      <c r="P205" s="188"/>
      <c r="Q205" s="188"/>
      <c r="R205" s="188"/>
      <c r="S205" s="188"/>
      <c r="T205" s="188"/>
      <c r="U205" s="188"/>
      <c r="V205" s="188"/>
      <c r="W205" s="188"/>
    </row>
    <row r="206">
      <c r="A206" s="229"/>
      <c r="B206" s="231" t="str">
        <f>VLOOKUP(A206,'Purchase Order Summary V2'!H:AA,20,0)</f>
        <v>#N/A</v>
      </c>
      <c r="C206" s="229"/>
      <c r="D206" s="229"/>
      <c r="E206" s="229"/>
      <c r="F206" s="188"/>
      <c r="G206" s="188"/>
      <c r="H206" s="188"/>
      <c r="I206" s="188"/>
      <c r="J206" s="188"/>
      <c r="K206" s="188"/>
      <c r="L206" s="188"/>
      <c r="M206" s="188"/>
      <c r="N206" s="188"/>
      <c r="O206" s="188"/>
      <c r="P206" s="188"/>
      <c r="Q206" s="188"/>
      <c r="R206" s="188"/>
      <c r="S206" s="188"/>
      <c r="T206" s="188"/>
      <c r="U206" s="188"/>
      <c r="V206" s="188"/>
      <c r="W206" s="188"/>
    </row>
    <row r="207">
      <c r="A207" s="229"/>
      <c r="B207" s="231" t="str">
        <f>VLOOKUP(A207,'Purchase Order Summary V2'!H:AA,20,0)</f>
        <v>#N/A</v>
      </c>
      <c r="C207" s="229"/>
      <c r="D207" s="229"/>
      <c r="E207" s="229"/>
      <c r="F207" s="188"/>
      <c r="G207" s="188"/>
      <c r="H207" s="188"/>
      <c r="I207" s="188"/>
      <c r="J207" s="188"/>
      <c r="K207" s="188"/>
      <c r="L207" s="188"/>
      <c r="M207" s="188"/>
      <c r="N207" s="188"/>
      <c r="O207" s="188"/>
      <c r="P207" s="188"/>
      <c r="Q207" s="188"/>
      <c r="R207" s="188"/>
      <c r="S207" s="188"/>
      <c r="T207" s="188"/>
      <c r="U207" s="188"/>
      <c r="V207" s="188"/>
      <c r="W207" s="188"/>
    </row>
    <row r="208">
      <c r="A208" s="229"/>
      <c r="B208" s="231" t="str">
        <f>VLOOKUP(A208,'Purchase Order Summary V2'!H:AA,20,0)</f>
        <v>#N/A</v>
      </c>
      <c r="C208" s="229"/>
      <c r="D208" s="229"/>
      <c r="E208" s="229"/>
      <c r="F208" s="188"/>
      <c r="G208" s="188"/>
      <c r="H208" s="188"/>
      <c r="I208" s="188"/>
      <c r="J208" s="188"/>
      <c r="K208" s="188"/>
      <c r="L208" s="188"/>
      <c r="M208" s="188"/>
      <c r="N208" s="188"/>
      <c r="O208" s="188"/>
      <c r="P208" s="188"/>
      <c r="Q208" s="188"/>
      <c r="R208" s="188"/>
      <c r="S208" s="188"/>
      <c r="T208" s="188"/>
      <c r="U208" s="188"/>
      <c r="V208" s="188"/>
      <c r="W208" s="188"/>
    </row>
    <row r="209">
      <c r="A209" s="229"/>
      <c r="B209" s="231" t="str">
        <f>VLOOKUP(A209,'Purchase Order Summary V2'!H:AA,20,0)</f>
        <v>#N/A</v>
      </c>
      <c r="C209" s="229"/>
      <c r="D209" s="229"/>
      <c r="E209" s="229"/>
      <c r="F209" s="188"/>
      <c r="G209" s="188"/>
      <c r="H209" s="188"/>
      <c r="I209" s="188"/>
      <c r="J209" s="188"/>
      <c r="K209" s="188"/>
      <c r="L209" s="188"/>
      <c r="M209" s="188"/>
      <c r="N209" s="188"/>
      <c r="O209" s="188"/>
      <c r="P209" s="188"/>
      <c r="Q209" s="188"/>
      <c r="R209" s="188"/>
      <c r="S209" s="188"/>
      <c r="T209" s="188"/>
      <c r="U209" s="188"/>
      <c r="V209" s="188"/>
      <c r="W209" s="188"/>
    </row>
    <row r="210">
      <c r="A210" s="229"/>
      <c r="B210" s="231" t="str">
        <f>VLOOKUP(A210,'Purchase Order Summary V2'!H:AA,20,0)</f>
        <v>#N/A</v>
      </c>
      <c r="C210" s="229"/>
      <c r="D210" s="229"/>
      <c r="E210" s="229"/>
      <c r="F210" s="188"/>
      <c r="G210" s="188"/>
      <c r="H210" s="188"/>
      <c r="I210" s="188"/>
      <c r="J210" s="188"/>
      <c r="K210" s="188"/>
      <c r="L210" s="188"/>
      <c r="M210" s="188"/>
      <c r="N210" s="188"/>
      <c r="O210" s="188"/>
      <c r="P210" s="188"/>
      <c r="Q210" s="188"/>
      <c r="R210" s="188"/>
      <c r="S210" s="188"/>
      <c r="T210" s="188"/>
      <c r="U210" s="188"/>
      <c r="V210" s="188"/>
      <c r="W210" s="188"/>
    </row>
    <row r="211">
      <c r="A211" s="229"/>
      <c r="B211" s="231" t="str">
        <f>VLOOKUP(A211,'Purchase Order Summary V2'!H:AA,20,0)</f>
        <v>#N/A</v>
      </c>
      <c r="C211" s="229"/>
      <c r="D211" s="229"/>
      <c r="E211" s="229"/>
      <c r="F211" s="188"/>
      <c r="G211" s="188"/>
      <c r="H211" s="188"/>
      <c r="I211" s="188"/>
      <c r="J211" s="188"/>
      <c r="K211" s="188"/>
      <c r="L211" s="188"/>
      <c r="M211" s="188"/>
      <c r="N211" s="188"/>
      <c r="O211" s="188"/>
      <c r="P211" s="188"/>
      <c r="Q211" s="188"/>
      <c r="R211" s="188"/>
      <c r="S211" s="188"/>
      <c r="T211" s="188"/>
      <c r="U211" s="188"/>
      <c r="V211" s="188"/>
      <c r="W211" s="188"/>
    </row>
    <row r="212">
      <c r="A212" s="229"/>
      <c r="B212" s="231" t="str">
        <f>VLOOKUP(A212,'Purchase Order Summary V2'!H:AA,20,0)</f>
        <v>#N/A</v>
      </c>
      <c r="C212" s="229"/>
      <c r="D212" s="229"/>
      <c r="E212" s="229"/>
      <c r="F212" s="188"/>
      <c r="G212" s="188"/>
      <c r="H212" s="188"/>
      <c r="I212" s="188"/>
      <c r="J212" s="188"/>
      <c r="K212" s="188"/>
      <c r="L212" s="188"/>
      <c r="M212" s="188"/>
      <c r="N212" s="188"/>
      <c r="O212" s="188"/>
      <c r="P212" s="188"/>
      <c r="Q212" s="188"/>
      <c r="R212" s="188"/>
      <c r="S212" s="188"/>
      <c r="T212" s="188"/>
      <c r="U212" s="188"/>
      <c r="V212" s="188"/>
      <c r="W212" s="188"/>
    </row>
    <row r="213">
      <c r="A213" s="229"/>
      <c r="B213" s="231" t="str">
        <f>VLOOKUP(A213,'Purchase Order Summary V2'!H:AA,20,0)</f>
        <v>#N/A</v>
      </c>
      <c r="C213" s="229"/>
      <c r="D213" s="229"/>
      <c r="E213" s="229"/>
      <c r="F213" s="188"/>
      <c r="G213" s="188"/>
      <c r="H213" s="188"/>
      <c r="I213" s="188"/>
      <c r="J213" s="188"/>
      <c r="K213" s="188"/>
      <c r="L213" s="188"/>
      <c r="M213" s="188"/>
      <c r="N213" s="188"/>
      <c r="O213" s="188"/>
      <c r="P213" s="188"/>
      <c r="Q213" s="188"/>
      <c r="R213" s="188"/>
      <c r="S213" s="188"/>
      <c r="T213" s="188"/>
      <c r="U213" s="188"/>
      <c r="V213" s="188"/>
      <c r="W213" s="188"/>
    </row>
    <row r="214">
      <c r="A214" s="229"/>
      <c r="B214" s="231" t="str">
        <f>VLOOKUP(A214,'Purchase Order Summary V2'!H:AA,20,0)</f>
        <v>#N/A</v>
      </c>
      <c r="C214" s="229"/>
      <c r="D214" s="229"/>
      <c r="E214" s="229"/>
      <c r="F214" s="188"/>
      <c r="G214" s="188"/>
      <c r="H214" s="188"/>
      <c r="I214" s="188"/>
      <c r="J214" s="188"/>
      <c r="K214" s="188"/>
      <c r="L214" s="188"/>
      <c r="M214" s="188"/>
      <c r="N214" s="188"/>
      <c r="O214" s="188"/>
      <c r="P214" s="188"/>
      <c r="Q214" s="188"/>
      <c r="R214" s="188"/>
      <c r="S214" s="188"/>
      <c r="T214" s="188"/>
      <c r="U214" s="188"/>
      <c r="V214" s="188"/>
      <c r="W214" s="188"/>
    </row>
    <row r="215">
      <c r="A215" s="229"/>
      <c r="B215" s="231" t="str">
        <f>VLOOKUP(A215,'Purchase Order Summary V2'!H:AA,20,0)</f>
        <v>#N/A</v>
      </c>
      <c r="C215" s="229"/>
      <c r="D215" s="229"/>
      <c r="E215" s="229"/>
      <c r="F215" s="188"/>
      <c r="G215" s="188"/>
      <c r="H215" s="188"/>
      <c r="I215" s="188"/>
      <c r="J215" s="188"/>
      <c r="K215" s="188"/>
      <c r="L215" s="188"/>
      <c r="M215" s="188"/>
      <c r="N215" s="188"/>
      <c r="O215" s="188"/>
      <c r="P215" s="188"/>
      <c r="Q215" s="188"/>
      <c r="R215" s="188"/>
      <c r="S215" s="188"/>
      <c r="T215" s="188"/>
      <c r="U215" s="188"/>
      <c r="V215" s="188"/>
      <c r="W215" s="188"/>
    </row>
    <row r="216">
      <c r="A216" s="229"/>
      <c r="B216" s="231" t="str">
        <f>VLOOKUP(A216,'Purchase Order Summary V2'!H:AA,20,0)</f>
        <v>#N/A</v>
      </c>
      <c r="C216" s="229"/>
      <c r="D216" s="229"/>
      <c r="E216" s="229"/>
      <c r="F216" s="188"/>
      <c r="G216" s="188"/>
      <c r="H216" s="188"/>
      <c r="I216" s="188"/>
      <c r="J216" s="188"/>
      <c r="K216" s="188"/>
      <c r="L216" s="188"/>
      <c r="M216" s="188"/>
      <c r="N216" s="188"/>
      <c r="O216" s="188"/>
      <c r="P216" s="188"/>
      <c r="Q216" s="188"/>
      <c r="R216" s="188"/>
      <c r="S216" s="188"/>
      <c r="T216" s="188"/>
      <c r="U216" s="188"/>
      <c r="V216" s="188"/>
      <c r="W216" s="188"/>
    </row>
    <row r="217">
      <c r="A217" s="229"/>
      <c r="B217" s="231" t="str">
        <f>VLOOKUP(A217,'Purchase Order Summary V2'!H:AA,20,0)</f>
        <v>#N/A</v>
      </c>
      <c r="C217" s="229"/>
      <c r="D217" s="229"/>
      <c r="E217" s="229"/>
      <c r="F217" s="188"/>
      <c r="G217" s="188"/>
      <c r="H217" s="188"/>
      <c r="I217" s="188"/>
      <c r="J217" s="188"/>
      <c r="K217" s="188"/>
      <c r="L217" s="188"/>
      <c r="M217" s="188"/>
      <c r="N217" s="188"/>
      <c r="O217" s="188"/>
      <c r="P217" s="188"/>
      <c r="Q217" s="188"/>
      <c r="R217" s="188"/>
      <c r="S217" s="188"/>
      <c r="T217" s="188"/>
      <c r="U217" s="188"/>
      <c r="V217" s="188"/>
      <c r="W217" s="188"/>
    </row>
    <row r="218">
      <c r="A218" s="229"/>
      <c r="B218" s="231" t="str">
        <f>VLOOKUP(A218,'Purchase Order Summary V2'!H:AA,20,0)</f>
        <v>#N/A</v>
      </c>
      <c r="C218" s="229"/>
      <c r="D218" s="229"/>
      <c r="E218" s="229"/>
      <c r="F218" s="188"/>
      <c r="G218" s="188"/>
      <c r="H218" s="188"/>
      <c r="I218" s="188"/>
      <c r="J218" s="188"/>
      <c r="K218" s="188"/>
      <c r="L218" s="188"/>
      <c r="M218" s="188"/>
      <c r="N218" s="188"/>
      <c r="O218" s="188"/>
      <c r="P218" s="188"/>
      <c r="Q218" s="188"/>
      <c r="R218" s="188"/>
      <c r="S218" s="188"/>
      <c r="T218" s="188"/>
      <c r="U218" s="188"/>
      <c r="V218" s="188"/>
      <c r="W218" s="188"/>
    </row>
    <row r="219">
      <c r="A219" s="229"/>
      <c r="B219" s="231" t="str">
        <f>VLOOKUP(A219,'Purchase Order Summary V2'!H:AA,20,0)</f>
        <v>#N/A</v>
      </c>
      <c r="C219" s="229"/>
      <c r="D219" s="229"/>
      <c r="E219" s="229"/>
      <c r="F219" s="188"/>
      <c r="G219" s="188"/>
      <c r="H219" s="188"/>
      <c r="I219" s="188"/>
      <c r="J219" s="188"/>
      <c r="K219" s="188"/>
      <c r="L219" s="188"/>
      <c r="M219" s="188"/>
      <c r="N219" s="188"/>
      <c r="O219" s="188"/>
      <c r="P219" s="188"/>
      <c r="Q219" s="188"/>
      <c r="R219" s="188"/>
      <c r="S219" s="188"/>
      <c r="T219" s="188"/>
      <c r="U219" s="188"/>
      <c r="V219" s="188"/>
      <c r="W219" s="188"/>
    </row>
    <row r="220">
      <c r="A220" s="229"/>
      <c r="B220" s="231" t="str">
        <f>VLOOKUP(A220,'Purchase Order Summary V2'!H:AA,20,0)</f>
        <v>#N/A</v>
      </c>
      <c r="C220" s="229"/>
      <c r="D220" s="229"/>
      <c r="E220" s="229"/>
      <c r="F220" s="188"/>
      <c r="G220" s="188"/>
      <c r="H220" s="188"/>
      <c r="I220" s="188"/>
      <c r="J220" s="188"/>
      <c r="K220" s="188"/>
      <c r="L220" s="188"/>
      <c r="M220" s="188"/>
      <c r="N220" s="188"/>
      <c r="O220" s="188"/>
      <c r="P220" s="188"/>
      <c r="Q220" s="188"/>
      <c r="R220" s="188"/>
      <c r="S220" s="188"/>
      <c r="T220" s="188"/>
      <c r="U220" s="188"/>
      <c r="V220" s="188"/>
      <c r="W220" s="188"/>
    </row>
    <row r="221">
      <c r="A221" s="229"/>
      <c r="B221" s="231" t="str">
        <f>VLOOKUP(A221,'Purchase Order Summary V2'!H:AA,20,0)</f>
        <v>#N/A</v>
      </c>
      <c r="C221" s="229"/>
      <c r="D221" s="229"/>
      <c r="E221" s="229"/>
      <c r="F221" s="188"/>
      <c r="G221" s="188"/>
      <c r="H221" s="188"/>
      <c r="I221" s="188"/>
      <c r="J221" s="188"/>
      <c r="K221" s="188"/>
      <c r="L221" s="188"/>
      <c r="M221" s="188"/>
      <c r="N221" s="188"/>
      <c r="O221" s="188"/>
      <c r="P221" s="188"/>
      <c r="Q221" s="188"/>
      <c r="R221" s="188"/>
      <c r="S221" s="188"/>
      <c r="T221" s="188"/>
      <c r="U221" s="188"/>
      <c r="V221" s="188"/>
      <c r="W221" s="188"/>
    </row>
    <row r="222">
      <c r="A222" s="229"/>
      <c r="B222" s="231" t="str">
        <f>VLOOKUP(A222,'Purchase Order Summary V2'!H:AA,20,0)</f>
        <v>#N/A</v>
      </c>
      <c r="C222" s="229"/>
      <c r="D222" s="229"/>
      <c r="E222" s="229"/>
      <c r="F222" s="188"/>
      <c r="G222" s="188"/>
      <c r="H222" s="188"/>
      <c r="I222" s="188"/>
      <c r="J222" s="188"/>
      <c r="K222" s="188"/>
      <c r="L222" s="188"/>
      <c r="M222" s="188"/>
      <c r="N222" s="188"/>
      <c r="O222" s="188"/>
      <c r="P222" s="188"/>
      <c r="Q222" s="188"/>
      <c r="R222" s="188"/>
      <c r="S222" s="188"/>
      <c r="T222" s="188"/>
      <c r="U222" s="188"/>
      <c r="V222" s="188"/>
      <c r="W222" s="188"/>
    </row>
    <row r="223">
      <c r="A223" s="229"/>
      <c r="B223" s="231" t="str">
        <f>VLOOKUP(A223,'Purchase Order Summary V2'!H:AA,20,0)</f>
        <v>#N/A</v>
      </c>
      <c r="C223" s="229"/>
      <c r="D223" s="229"/>
      <c r="E223" s="229"/>
      <c r="F223" s="188"/>
      <c r="G223" s="188"/>
      <c r="H223" s="188"/>
      <c r="I223" s="188"/>
      <c r="J223" s="188"/>
      <c r="K223" s="188"/>
      <c r="L223" s="188"/>
      <c r="M223" s="188"/>
      <c r="N223" s="188"/>
      <c r="O223" s="188"/>
      <c r="P223" s="188"/>
      <c r="Q223" s="188"/>
      <c r="R223" s="188"/>
      <c r="S223" s="188"/>
      <c r="T223" s="188"/>
      <c r="U223" s="188"/>
      <c r="V223" s="188"/>
      <c r="W223" s="188"/>
    </row>
    <row r="224">
      <c r="A224" s="229"/>
      <c r="B224" s="231" t="str">
        <f>VLOOKUP(A224,'Purchase Order Summary V2'!H:AA,20,0)</f>
        <v>#N/A</v>
      </c>
      <c r="C224" s="229"/>
      <c r="D224" s="229"/>
      <c r="E224" s="229"/>
      <c r="F224" s="188"/>
      <c r="G224" s="188"/>
      <c r="H224" s="188"/>
      <c r="I224" s="188"/>
      <c r="J224" s="188"/>
      <c r="K224" s="188"/>
      <c r="L224" s="188"/>
      <c r="M224" s="188"/>
      <c r="N224" s="188"/>
      <c r="O224" s="188"/>
      <c r="P224" s="188"/>
      <c r="Q224" s="188"/>
      <c r="R224" s="188"/>
      <c r="S224" s="188"/>
      <c r="T224" s="188"/>
      <c r="U224" s="188"/>
      <c r="V224" s="188"/>
      <c r="W224" s="188"/>
    </row>
    <row r="225">
      <c r="A225" s="229"/>
      <c r="B225" s="231" t="str">
        <f>VLOOKUP(A225,'Purchase Order Summary V2'!H:AA,20,0)</f>
        <v>#N/A</v>
      </c>
      <c r="C225" s="229"/>
      <c r="D225" s="229"/>
      <c r="E225" s="229"/>
      <c r="F225" s="188"/>
      <c r="G225" s="188"/>
      <c r="H225" s="188"/>
      <c r="I225" s="188"/>
      <c r="J225" s="188"/>
      <c r="K225" s="188"/>
      <c r="L225" s="188"/>
      <c r="M225" s="188"/>
      <c r="N225" s="188"/>
      <c r="O225" s="188"/>
      <c r="P225" s="188"/>
      <c r="Q225" s="188"/>
      <c r="R225" s="188"/>
      <c r="S225" s="188"/>
      <c r="T225" s="188"/>
      <c r="U225" s="188"/>
      <c r="V225" s="188"/>
      <c r="W225" s="188"/>
    </row>
    <row r="226">
      <c r="A226" s="229"/>
      <c r="B226" s="231" t="str">
        <f>VLOOKUP(A226,'Purchase Order Summary V2'!H:AA,20,0)</f>
        <v>#N/A</v>
      </c>
      <c r="C226" s="229"/>
      <c r="D226" s="229"/>
      <c r="E226" s="229"/>
      <c r="F226" s="188"/>
      <c r="G226" s="188"/>
      <c r="H226" s="188"/>
      <c r="I226" s="188"/>
      <c r="J226" s="188"/>
      <c r="K226" s="188"/>
      <c r="L226" s="188"/>
      <c r="M226" s="188"/>
      <c r="N226" s="188"/>
      <c r="O226" s="188"/>
      <c r="P226" s="188"/>
      <c r="Q226" s="188"/>
      <c r="R226" s="188"/>
      <c r="S226" s="188"/>
      <c r="T226" s="188"/>
      <c r="U226" s="188"/>
      <c r="V226" s="188"/>
      <c r="W226" s="188"/>
    </row>
    <row r="227">
      <c r="A227" s="229"/>
      <c r="B227" s="231" t="str">
        <f>VLOOKUP(A227,'Purchase Order Summary V2'!H:AA,20,0)</f>
        <v>#N/A</v>
      </c>
      <c r="C227" s="229"/>
      <c r="D227" s="229"/>
      <c r="E227" s="229"/>
      <c r="F227" s="188"/>
      <c r="G227" s="188"/>
      <c r="H227" s="188"/>
      <c r="I227" s="188"/>
      <c r="J227" s="188"/>
      <c r="K227" s="188"/>
      <c r="L227" s="188"/>
      <c r="M227" s="188"/>
      <c r="N227" s="188"/>
      <c r="O227" s="188"/>
      <c r="P227" s="188"/>
      <c r="Q227" s="188"/>
      <c r="R227" s="188"/>
      <c r="S227" s="188"/>
      <c r="T227" s="188"/>
      <c r="U227" s="188"/>
      <c r="V227" s="188"/>
      <c r="W227" s="188"/>
    </row>
    <row r="228">
      <c r="A228" s="229"/>
      <c r="B228" s="231" t="str">
        <f>VLOOKUP(A228,'Purchase Order Summary V2'!H:AA,20,0)</f>
        <v>#N/A</v>
      </c>
      <c r="C228" s="229"/>
      <c r="D228" s="229"/>
      <c r="E228" s="229"/>
      <c r="F228" s="188"/>
      <c r="G228" s="188"/>
      <c r="H228" s="188"/>
      <c r="I228" s="188"/>
      <c r="J228" s="188"/>
      <c r="K228" s="188"/>
      <c r="L228" s="188"/>
      <c r="M228" s="188"/>
      <c r="N228" s="188"/>
      <c r="O228" s="188"/>
      <c r="P228" s="188"/>
      <c r="Q228" s="188"/>
      <c r="R228" s="188"/>
      <c r="S228" s="188"/>
      <c r="T228" s="188"/>
      <c r="U228" s="188"/>
      <c r="V228" s="188"/>
      <c r="W228" s="188"/>
    </row>
    <row r="229">
      <c r="A229" s="229"/>
      <c r="B229" s="231" t="str">
        <f>VLOOKUP(A229,'Purchase Order Summary V2'!H:AA,20,0)</f>
        <v>#N/A</v>
      </c>
      <c r="C229" s="229"/>
      <c r="D229" s="229"/>
      <c r="E229" s="229"/>
      <c r="F229" s="188"/>
      <c r="G229" s="188"/>
      <c r="H229" s="188"/>
      <c r="I229" s="188"/>
      <c r="J229" s="188"/>
      <c r="K229" s="188"/>
      <c r="L229" s="188"/>
      <c r="M229" s="188"/>
      <c r="N229" s="188"/>
      <c r="O229" s="188"/>
      <c r="P229" s="188"/>
      <c r="Q229" s="188"/>
      <c r="R229" s="188"/>
      <c r="S229" s="188"/>
      <c r="T229" s="188"/>
      <c r="U229" s="188"/>
      <c r="V229" s="188"/>
      <c r="W229" s="188"/>
    </row>
    <row r="230">
      <c r="A230" s="229"/>
      <c r="B230" s="231" t="str">
        <f>VLOOKUP(A230,'Purchase Order Summary V2'!H:AA,20,0)</f>
        <v>#N/A</v>
      </c>
      <c r="C230" s="229"/>
      <c r="D230" s="229"/>
      <c r="E230" s="229"/>
      <c r="F230" s="188"/>
      <c r="G230" s="188"/>
      <c r="H230" s="188"/>
      <c r="I230" s="188"/>
      <c r="J230" s="188"/>
      <c r="K230" s="188"/>
      <c r="L230" s="188"/>
      <c r="M230" s="188"/>
      <c r="N230" s="188"/>
      <c r="O230" s="188"/>
      <c r="P230" s="188"/>
      <c r="Q230" s="188"/>
      <c r="R230" s="188"/>
      <c r="S230" s="188"/>
      <c r="T230" s="188"/>
      <c r="U230" s="188"/>
      <c r="V230" s="188"/>
      <c r="W230" s="188"/>
    </row>
    <row r="231">
      <c r="A231" s="229"/>
      <c r="B231" s="231" t="str">
        <f>VLOOKUP(A231,'Purchase Order Summary V2'!H:AA,20,0)</f>
        <v>#N/A</v>
      </c>
      <c r="C231" s="229"/>
      <c r="D231" s="229"/>
      <c r="E231" s="229"/>
      <c r="F231" s="188"/>
      <c r="G231" s="188"/>
      <c r="H231" s="188"/>
      <c r="I231" s="188"/>
      <c r="J231" s="188"/>
      <c r="K231" s="188"/>
      <c r="L231" s="188"/>
      <c r="M231" s="188"/>
      <c r="N231" s="188"/>
      <c r="O231" s="188"/>
      <c r="P231" s="188"/>
      <c r="Q231" s="188"/>
      <c r="R231" s="188"/>
      <c r="S231" s="188"/>
      <c r="T231" s="188"/>
      <c r="U231" s="188"/>
      <c r="V231" s="188"/>
      <c r="W231" s="188"/>
    </row>
    <row r="232">
      <c r="A232" s="229"/>
      <c r="B232" s="231" t="str">
        <f>VLOOKUP(A232,'Purchase Order Summary V2'!H:AA,20,0)</f>
        <v>#N/A</v>
      </c>
      <c r="C232" s="229"/>
      <c r="D232" s="229"/>
      <c r="E232" s="229"/>
      <c r="F232" s="188"/>
      <c r="G232" s="188"/>
      <c r="H232" s="188"/>
      <c r="I232" s="188"/>
      <c r="J232" s="188"/>
      <c r="K232" s="188"/>
      <c r="L232" s="188"/>
      <c r="M232" s="188"/>
      <c r="N232" s="188"/>
      <c r="O232" s="188"/>
      <c r="P232" s="188"/>
      <c r="Q232" s="188"/>
      <c r="R232" s="188"/>
      <c r="S232" s="188"/>
      <c r="T232" s="188"/>
      <c r="U232" s="188"/>
      <c r="V232" s="188"/>
      <c r="W232" s="188"/>
    </row>
    <row r="233">
      <c r="A233" s="229"/>
      <c r="B233" s="231" t="str">
        <f>VLOOKUP(A233,'Purchase Order Summary V2'!H:AA,20,0)</f>
        <v>#N/A</v>
      </c>
      <c r="C233" s="229"/>
      <c r="D233" s="229"/>
      <c r="E233" s="229"/>
      <c r="F233" s="188"/>
      <c r="G233" s="188"/>
      <c r="H233" s="188"/>
      <c r="I233" s="188"/>
      <c r="J233" s="188"/>
      <c r="K233" s="188"/>
      <c r="L233" s="188"/>
      <c r="M233" s="188"/>
      <c r="N233" s="188"/>
      <c r="O233" s="188"/>
      <c r="P233" s="188"/>
      <c r="Q233" s="188"/>
      <c r="R233" s="188"/>
      <c r="S233" s="188"/>
      <c r="T233" s="188"/>
      <c r="U233" s="188"/>
      <c r="V233" s="188"/>
      <c r="W233" s="188"/>
    </row>
    <row r="234">
      <c r="A234" s="229"/>
      <c r="B234" s="231" t="str">
        <f>VLOOKUP(A234,'Purchase Order Summary V2'!H:AA,20,0)</f>
        <v>#N/A</v>
      </c>
      <c r="C234" s="229"/>
      <c r="D234" s="229"/>
      <c r="E234" s="229"/>
      <c r="F234" s="188"/>
      <c r="G234" s="188"/>
      <c r="H234" s="188"/>
      <c r="I234" s="188"/>
      <c r="J234" s="188"/>
      <c r="K234" s="188"/>
      <c r="L234" s="188"/>
      <c r="M234" s="188"/>
      <c r="N234" s="188"/>
      <c r="O234" s="188"/>
      <c r="P234" s="188"/>
      <c r="Q234" s="188"/>
      <c r="R234" s="188"/>
      <c r="S234" s="188"/>
      <c r="T234" s="188"/>
      <c r="U234" s="188"/>
      <c r="V234" s="188"/>
      <c r="W234" s="188"/>
    </row>
    <row r="235">
      <c r="A235" s="229"/>
      <c r="B235" s="231" t="str">
        <f>VLOOKUP(A235,'Purchase Order Summary V2'!H:AA,20,0)</f>
        <v>#N/A</v>
      </c>
      <c r="C235" s="229"/>
      <c r="D235" s="229"/>
      <c r="E235" s="229"/>
      <c r="F235" s="188"/>
      <c r="G235" s="188"/>
      <c r="H235" s="188"/>
      <c r="I235" s="188"/>
      <c r="J235" s="188"/>
      <c r="K235" s="188"/>
      <c r="L235" s="188"/>
      <c r="M235" s="188"/>
      <c r="N235" s="188"/>
      <c r="O235" s="188"/>
      <c r="P235" s="188"/>
      <c r="Q235" s="188"/>
      <c r="R235" s="188"/>
      <c r="S235" s="188"/>
      <c r="T235" s="188"/>
      <c r="U235" s="188"/>
      <c r="V235" s="188"/>
      <c r="W235" s="188"/>
    </row>
    <row r="236">
      <c r="A236" s="229"/>
      <c r="B236" s="231" t="str">
        <f>VLOOKUP(A236,'Purchase Order Summary V2'!H:AA,20,0)</f>
        <v>#N/A</v>
      </c>
      <c r="C236" s="229"/>
      <c r="D236" s="229"/>
      <c r="E236" s="229"/>
      <c r="F236" s="188"/>
      <c r="G236" s="188"/>
      <c r="H236" s="188"/>
      <c r="I236" s="188"/>
      <c r="J236" s="188"/>
      <c r="K236" s="188"/>
      <c r="L236" s="188"/>
      <c r="M236" s="188"/>
      <c r="N236" s="188"/>
      <c r="O236" s="188"/>
      <c r="P236" s="188"/>
      <c r="Q236" s="188"/>
      <c r="R236" s="188"/>
      <c r="S236" s="188"/>
      <c r="T236" s="188"/>
      <c r="U236" s="188"/>
      <c r="V236" s="188"/>
      <c r="W236" s="188"/>
    </row>
    <row r="237">
      <c r="A237" s="229"/>
      <c r="B237" s="231" t="str">
        <f>VLOOKUP(A237,'Purchase Order Summary V2'!H:AA,20,0)</f>
        <v>#N/A</v>
      </c>
      <c r="C237" s="229"/>
      <c r="D237" s="229"/>
      <c r="E237" s="229"/>
      <c r="F237" s="188"/>
      <c r="G237" s="188"/>
      <c r="H237" s="188"/>
      <c r="I237" s="188"/>
      <c r="J237" s="188"/>
      <c r="K237" s="188"/>
      <c r="L237" s="188"/>
      <c r="M237" s="188"/>
      <c r="N237" s="188"/>
      <c r="O237" s="188"/>
      <c r="P237" s="188"/>
      <c r="Q237" s="188"/>
      <c r="R237" s="188"/>
      <c r="S237" s="188"/>
      <c r="T237" s="188"/>
      <c r="U237" s="188"/>
      <c r="V237" s="188"/>
      <c r="W237" s="188"/>
    </row>
    <row r="238">
      <c r="A238" s="229"/>
      <c r="B238" s="231" t="str">
        <f>VLOOKUP(A238,'Purchase Order Summary V2'!H:AA,20,0)</f>
        <v>#N/A</v>
      </c>
      <c r="C238" s="229"/>
      <c r="D238" s="229"/>
      <c r="E238" s="229"/>
      <c r="F238" s="188"/>
      <c r="G238" s="188"/>
      <c r="H238" s="188"/>
      <c r="I238" s="188"/>
      <c r="J238" s="188"/>
      <c r="K238" s="188"/>
      <c r="L238" s="188"/>
      <c r="M238" s="188"/>
      <c r="N238" s="188"/>
      <c r="O238" s="188"/>
      <c r="P238" s="188"/>
      <c r="Q238" s="188"/>
      <c r="R238" s="188"/>
      <c r="S238" s="188"/>
      <c r="T238" s="188"/>
      <c r="U238" s="188"/>
      <c r="V238" s="188"/>
      <c r="W238" s="188"/>
    </row>
    <row r="239">
      <c r="A239" s="229"/>
      <c r="B239" s="231" t="str">
        <f>VLOOKUP(A239,'Purchase Order Summary V2'!H:AA,20,0)</f>
        <v>#N/A</v>
      </c>
      <c r="C239" s="229"/>
      <c r="D239" s="229"/>
      <c r="E239" s="229"/>
      <c r="F239" s="188"/>
      <c r="G239" s="188"/>
      <c r="H239" s="188"/>
      <c r="I239" s="188"/>
      <c r="J239" s="188"/>
      <c r="K239" s="188"/>
      <c r="L239" s="188"/>
      <c r="M239" s="188"/>
      <c r="N239" s="188"/>
      <c r="O239" s="188"/>
      <c r="P239" s="188"/>
      <c r="Q239" s="188"/>
      <c r="R239" s="188"/>
      <c r="S239" s="188"/>
      <c r="T239" s="188"/>
      <c r="U239" s="188"/>
      <c r="V239" s="188"/>
      <c r="W239" s="188"/>
    </row>
    <row r="240">
      <c r="A240" s="229"/>
      <c r="B240" s="231" t="str">
        <f>VLOOKUP(A240,'Purchase Order Summary V2'!H:AA,20,0)</f>
        <v>#N/A</v>
      </c>
      <c r="C240" s="229"/>
      <c r="D240" s="229"/>
      <c r="E240" s="229"/>
      <c r="F240" s="188"/>
      <c r="G240" s="188"/>
      <c r="H240" s="188"/>
      <c r="I240" s="188"/>
      <c r="J240" s="188"/>
      <c r="K240" s="188"/>
      <c r="L240" s="188"/>
      <c r="M240" s="188"/>
      <c r="N240" s="188"/>
      <c r="O240" s="188"/>
      <c r="P240" s="188"/>
      <c r="Q240" s="188"/>
      <c r="R240" s="188"/>
      <c r="S240" s="188"/>
      <c r="T240" s="188"/>
      <c r="U240" s="188"/>
      <c r="V240" s="188"/>
      <c r="W240" s="188"/>
    </row>
    <row r="241">
      <c r="A241" s="229"/>
      <c r="B241" s="231" t="str">
        <f>VLOOKUP(A241,'Purchase Order Summary V2'!H:AA,20,0)</f>
        <v>#N/A</v>
      </c>
      <c r="C241" s="229"/>
      <c r="D241" s="229"/>
      <c r="E241" s="229"/>
      <c r="F241" s="188"/>
      <c r="G241" s="188"/>
      <c r="H241" s="188"/>
      <c r="I241" s="188"/>
      <c r="J241" s="188"/>
      <c r="K241" s="188"/>
      <c r="L241" s="188"/>
      <c r="M241" s="188"/>
      <c r="N241" s="188"/>
      <c r="O241" s="188"/>
      <c r="P241" s="188"/>
      <c r="Q241" s="188"/>
      <c r="R241" s="188"/>
      <c r="S241" s="188"/>
      <c r="T241" s="188"/>
      <c r="U241" s="188"/>
      <c r="V241" s="188"/>
      <c r="W241" s="188"/>
    </row>
    <row r="242">
      <c r="A242" s="229"/>
      <c r="B242" s="231" t="str">
        <f>VLOOKUP(A242,'Purchase Order Summary V2'!H:AA,20,0)</f>
        <v>#N/A</v>
      </c>
      <c r="C242" s="229"/>
      <c r="D242" s="229"/>
      <c r="E242" s="229"/>
      <c r="F242" s="188"/>
      <c r="G242" s="188"/>
      <c r="H242" s="188"/>
      <c r="I242" s="188"/>
      <c r="J242" s="188"/>
      <c r="K242" s="188"/>
      <c r="L242" s="188"/>
      <c r="M242" s="188"/>
      <c r="N242" s="188"/>
      <c r="O242" s="188"/>
      <c r="P242" s="188"/>
      <c r="Q242" s="188"/>
      <c r="R242" s="188"/>
      <c r="S242" s="188"/>
      <c r="T242" s="188"/>
      <c r="U242" s="188"/>
      <c r="V242" s="188"/>
      <c r="W242" s="188"/>
    </row>
    <row r="243">
      <c r="A243" s="229"/>
      <c r="B243" s="231" t="str">
        <f>VLOOKUP(A243,'Purchase Order Summary V2'!H:AA,20,0)</f>
        <v>#N/A</v>
      </c>
      <c r="C243" s="229"/>
      <c r="D243" s="229"/>
      <c r="E243" s="229"/>
      <c r="F243" s="188"/>
      <c r="G243" s="188"/>
      <c r="H243" s="188"/>
      <c r="I243" s="188"/>
      <c r="J243" s="188"/>
      <c r="K243" s="188"/>
      <c r="L243" s="188"/>
      <c r="M243" s="188"/>
      <c r="N243" s="188"/>
      <c r="O243" s="188"/>
      <c r="P243" s="188"/>
      <c r="Q243" s="188"/>
      <c r="R243" s="188"/>
      <c r="S243" s="188"/>
      <c r="T243" s="188"/>
      <c r="U243" s="188"/>
      <c r="V243" s="188"/>
      <c r="W243" s="188"/>
    </row>
    <row r="244">
      <c r="A244" s="229"/>
      <c r="B244" s="231" t="str">
        <f>VLOOKUP(A244,'Purchase Order Summary V2'!H:AA,20,0)</f>
        <v>#N/A</v>
      </c>
      <c r="C244" s="229"/>
      <c r="D244" s="229"/>
      <c r="E244" s="229"/>
      <c r="F244" s="188"/>
      <c r="G244" s="188"/>
      <c r="H244" s="188"/>
      <c r="I244" s="188"/>
      <c r="J244" s="188"/>
      <c r="K244" s="188"/>
      <c r="L244" s="188"/>
      <c r="M244" s="188"/>
      <c r="N244" s="188"/>
      <c r="O244" s="188"/>
      <c r="P244" s="188"/>
      <c r="Q244" s="188"/>
      <c r="R244" s="188"/>
      <c r="S244" s="188"/>
      <c r="T244" s="188"/>
      <c r="U244" s="188"/>
      <c r="V244" s="188"/>
      <c r="W244" s="188"/>
    </row>
    <row r="245">
      <c r="A245" s="229"/>
      <c r="B245" s="231" t="str">
        <f>VLOOKUP(A245,'Purchase Order Summary V2'!H:AA,20,0)</f>
        <v>#N/A</v>
      </c>
      <c r="C245" s="229"/>
      <c r="D245" s="229"/>
      <c r="E245" s="229"/>
      <c r="F245" s="188"/>
      <c r="G245" s="188"/>
      <c r="H245" s="188"/>
      <c r="I245" s="188"/>
      <c r="J245" s="188"/>
      <c r="K245" s="188"/>
      <c r="L245" s="188"/>
      <c r="M245" s="188"/>
      <c r="N245" s="188"/>
      <c r="O245" s="188"/>
      <c r="P245" s="188"/>
      <c r="Q245" s="188"/>
      <c r="R245" s="188"/>
      <c r="S245" s="188"/>
      <c r="T245" s="188"/>
      <c r="U245" s="188"/>
      <c r="V245" s="188"/>
      <c r="W245" s="188"/>
    </row>
    <row r="246">
      <c r="A246" s="229"/>
      <c r="B246" s="231" t="str">
        <f>VLOOKUP(A246,'Purchase Order Summary V2'!H:AA,20,0)</f>
        <v>#N/A</v>
      </c>
      <c r="C246" s="229"/>
      <c r="D246" s="229"/>
      <c r="E246" s="229"/>
      <c r="F246" s="188"/>
      <c r="G246" s="188"/>
      <c r="H246" s="188"/>
      <c r="I246" s="188"/>
      <c r="J246" s="188"/>
      <c r="K246" s="188"/>
      <c r="L246" s="188"/>
      <c r="M246" s="188"/>
      <c r="N246" s="188"/>
      <c r="O246" s="188"/>
      <c r="P246" s="188"/>
      <c r="Q246" s="188"/>
      <c r="R246" s="188"/>
      <c r="S246" s="188"/>
      <c r="T246" s="188"/>
      <c r="U246" s="188"/>
      <c r="V246" s="188"/>
      <c r="W246" s="188"/>
    </row>
    <row r="247">
      <c r="A247" s="229"/>
      <c r="B247" s="231" t="str">
        <f>VLOOKUP(A247,'Purchase Order Summary V2'!H:AA,20,0)</f>
        <v>#N/A</v>
      </c>
      <c r="C247" s="229"/>
      <c r="D247" s="229"/>
      <c r="E247" s="229"/>
      <c r="F247" s="188"/>
      <c r="G247" s="188"/>
      <c r="H247" s="188"/>
      <c r="I247" s="188"/>
      <c r="J247" s="188"/>
      <c r="K247" s="188"/>
      <c r="L247" s="188"/>
      <c r="M247" s="188"/>
      <c r="N247" s="188"/>
      <c r="O247" s="188"/>
      <c r="P247" s="188"/>
      <c r="Q247" s="188"/>
      <c r="R247" s="188"/>
      <c r="S247" s="188"/>
      <c r="T247" s="188"/>
      <c r="U247" s="188"/>
      <c r="V247" s="188"/>
      <c r="W247" s="188"/>
    </row>
    <row r="248">
      <c r="A248" s="229"/>
      <c r="B248" s="231" t="str">
        <f>VLOOKUP(A248,'Purchase Order Summary V2'!H:AA,20,0)</f>
        <v>#N/A</v>
      </c>
      <c r="C248" s="229"/>
      <c r="D248" s="229"/>
      <c r="E248" s="229"/>
      <c r="F248" s="188"/>
      <c r="G248" s="188"/>
      <c r="H248" s="188"/>
      <c r="I248" s="188"/>
      <c r="J248" s="188"/>
      <c r="K248" s="188"/>
      <c r="L248" s="188"/>
      <c r="M248" s="188"/>
      <c r="N248" s="188"/>
      <c r="O248" s="188"/>
      <c r="P248" s="188"/>
      <c r="Q248" s="188"/>
      <c r="R248" s="188"/>
      <c r="S248" s="188"/>
      <c r="T248" s="188"/>
      <c r="U248" s="188"/>
      <c r="V248" s="188"/>
      <c r="W248" s="188"/>
    </row>
    <row r="249">
      <c r="A249" s="229"/>
      <c r="B249" s="231" t="str">
        <f>VLOOKUP(A249,'Purchase Order Summary V2'!H:AA,20,0)</f>
        <v>#N/A</v>
      </c>
      <c r="C249" s="229"/>
      <c r="D249" s="229"/>
      <c r="E249" s="229"/>
      <c r="F249" s="188"/>
      <c r="G249" s="188"/>
      <c r="H249" s="188"/>
      <c r="I249" s="188"/>
      <c r="J249" s="188"/>
      <c r="K249" s="188"/>
      <c r="L249" s="188"/>
      <c r="M249" s="188"/>
      <c r="N249" s="188"/>
      <c r="O249" s="188"/>
      <c r="P249" s="188"/>
      <c r="Q249" s="188"/>
      <c r="R249" s="188"/>
      <c r="S249" s="188"/>
      <c r="T249" s="188"/>
      <c r="U249" s="188"/>
      <c r="V249" s="188"/>
      <c r="W249" s="188"/>
    </row>
    <row r="250">
      <c r="A250" s="229"/>
      <c r="B250" s="231" t="str">
        <f>VLOOKUP(A250,'Purchase Order Summary V2'!H:AA,20,0)</f>
        <v>#N/A</v>
      </c>
      <c r="C250" s="229"/>
      <c r="D250" s="229"/>
      <c r="E250" s="229"/>
      <c r="F250" s="188"/>
      <c r="G250" s="188"/>
      <c r="H250" s="188"/>
      <c r="I250" s="188"/>
      <c r="J250" s="188"/>
      <c r="K250" s="188"/>
      <c r="L250" s="188"/>
      <c r="M250" s="188"/>
      <c r="N250" s="188"/>
      <c r="O250" s="188"/>
      <c r="P250" s="188"/>
      <c r="Q250" s="188"/>
      <c r="R250" s="188"/>
      <c r="S250" s="188"/>
      <c r="T250" s="188"/>
      <c r="U250" s="188"/>
      <c r="V250" s="188"/>
      <c r="W250" s="188"/>
    </row>
    <row r="251">
      <c r="A251" s="229"/>
      <c r="B251" s="231" t="str">
        <f>VLOOKUP(A251,'Purchase Order Summary V2'!H:AA,20,0)</f>
        <v>#N/A</v>
      </c>
      <c r="C251" s="229"/>
      <c r="D251" s="229"/>
      <c r="E251" s="229"/>
      <c r="F251" s="188"/>
      <c r="G251" s="188"/>
      <c r="H251" s="188"/>
      <c r="I251" s="188"/>
      <c r="J251" s="188"/>
      <c r="K251" s="188"/>
      <c r="L251" s="188"/>
      <c r="M251" s="188"/>
      <c r="N251" s="188"/>
      <c r="O251" s="188"/>
      <c r="P251" s="188"/>
      <c r="Q251" s="188"/>
      <c r="R251" s="188"/>
      <c r="S251" s="188"/>
      <c r="T251" s="188"/>
      <c r="U251" s="188"/>
      <c r="V251" s="188"/>
      <c r="W251" s="188"/>
    </row>
    <row r="252">
      <c r="A252" s="229"/>
      <c r="B252" s="231" t="str">
        <f>VLOOKUP(A252,'Purchase Order Summary V2'!H:AA,20,0)</f>
        <v>#N/A</v>
      </c>
      <c r="C252" s="229"/>
      <c r="D252" s="229"/>
      <c r="E252" s="229"/>
      <c r="F252" s="188"/>
      <c r="G252" s="188"/>
      <c r="H252" s="188"/>
      <c r="I252" s="188"/>
      <c r="J252" s="188"/>
      <c r="K252" s="188"/>
      <c r="L252" s="188"/>
      <c r="M252" s="188"/>
      <c r="N252" s="188"/>
      <c r="O252" s="188"/>
      <c r="P252" s="188"/>
      <c r="Q252" s="188"/>
      <c r="R252" s="188"/>
      <c r="S252" s="188"/>
      <c r="T252" s="188"/>
      <c r="U252" s="188"/>
      <c r="V252" s="188"/>
      <c r="W252" s="188"/>
    </row>
    <row r="253">
      <c r="A253" s="229"/>
      <c r="B253" s="231" t="str">
        <f>VLOOKUP(A253,'Purchase Order Summary V2'!H:AA,20,0)</f>
        <v>#N/A</v>
      </c>
      <c r="C253" s="229"/>
      <c r="D253" s="229"/>
      <c r="E253" s="229"/>
      <c r="F253" s="188"/>
      <c r="G253" s="188"/>
      <c r="H253" s="188"/>
      <c r="I253" s="188"/>
      <c r="J253" s="188"/>
      <c r="K253" s="188"/>
      <c r="L253" s="188"/>
      <c r="M253" s="188"/>
      <c r="N253" s="188"/>
      <c r="O253" s="188"/>
      <c r="P253" s="188"/>
      <c r="Q253" s="188"/>
      <c r="R253" s="188"/>
      <c r="S253" s="188"/>
      <c r="T253" s="188"/>
      <c r="U253" s="188"/>
      <c r="V253" s="188"/>
      <c r="W253" s="188"/>
    </row>
    <row r="254">
      <c r="A254" s="229"/>
      <c r="B254" s="231" t="str">
        <f>VLOOKUP(A254,'Purchase Order Summary V2'!H:AA,20,0)</f>
        <v>#N/A</v>
      </c>
      <c r="C254" s="229"/>
      <c r="D254" s="229"/>
      <c r="E254" s="229"/>
      <c r="F254" s="188"/>
      <c r="G254" s="188"/>
      <c r="H254" s="188"/>
      <c r="I254" s="188"/>
      <c r="J254" s="188"/>
      <c r="K254" s="188"/>
      <c r="L254" s="188"/>
      <c r="M254" s="188"/>
      <c r="N254" s="188"/>
      <c r="O254" s="188"/>
      <c r="P254" s="188"/>
      <c r="Q254" s="188"/>
      <c r="R254" s="188"/>
      <c r="S254" s="188"/>
      <c r="T254" s="188"/>
      <c r="U254" s="188"/>
      <c r="V254" s="188"/>
      <c r="W254" s="188"/>
    </row>
    <row r="255">
      <c r="A255" s="229"/>
      <c r="B255" s="231" t="str">
        <f>VLOOKUP(A255,'Purchase Order Summary V2'!H:AA,20,0)</f>
        <v>#N/A</v>
      </c>
      <c r="C255" s="229"/>
      <c r="D255" s="229"/>
      <c r="E255" s="229"/>
      <c r="F255" s="188"/>
      <c r="G255" s="188"/>
      <c r="H255" s="188"/>
      <c r="I255" s="188"/>
      <c r="J255" s="188"/>
      <c r="K255" s="188"/>
      <c r="L255" s="188"/>
      <c r="M255" s="188"/>
      <c r="N255" s="188"/>
      <c r="O255" s="188"/>
      <c r="P255" s="188"/>
      <c r="Q255" s="188"/>
      <c r="R255" s="188"/>
      <c r="S255" s="188"/>
      <c r="T255" s="188"/>
      <c r="U255" s="188"/>
      <c r="V255" s="188"/>
      <c r="W255" s="188"/>
    </row>
    <row r="256">
      <c r="A256" s="229"/>
      <c r="B256" s="231" t="str">
        <f>VLOOKUP(A256,'Purchase Order Summary V2'!H:AA,20,0)</f>
        <v>#N/A</v>
      </c>
      <c r="C256" s="229"/>
      <c r="D256" s="229"/>
      <c r="E256" s="229"/>
      <c r="F256" s="188"/>
      <c r="G256" s="188"/>
      <c r="H256" s="188"/>
      <c r="I256" s="188"/>
      <c r="J256" s="188"/>
      <c r="K256" s="188"/>
      <c r="L256" s="188"/>
      <c r="M256" s="188"/>
      <c r="N256" s="188"/>
      <c r="O256" s="188"/>
      <c r="P256" s="188"/>
      <c r="Q256" s="188"/>
      <c r="R256" s="188"/>
      <c r="S256" s="188"/>
      <c r="T256" s="188"/>
      <c r="U256" s="188"/>
      <c r="V256" s="188"/>
      <c r="W256" s="188"/>
    </row>
    <row r="257">
      <c r="A257" s="229"/>
      <c r="B257" s="231" t="str">
        <f>VLOOKUP(A257,'Purchase Order Summary V2'!H:AA,20,0)</f>
        <v>#N/A</v>
      </c>
      <c r="C257" s="229"/>
      <c r="D257" s="229"/>
      <c r="E257" s="229"/>
      <c r="F257" s="188"/>
      <c r="G257" s="188"/>
      <c r="H257" s="188"/>
      <c r="I257" s="188"/>
      <c r="J257" s="188"/>
      <c r="K257" s="188"/>
      <c r="L257" s="188"/>
      <c r="M257" s="188"/>
      <c r="N257" s="188"/>
      <c r="O257" s="188"/>
      <c r="P257" s="188"/>
      <c r="Q257" s="188"/>
      <c r="R257" s="188"/>
      <c r="S257" s="188"/>
      <c r="T257" s="188"/>
      <c r="U257" s="188"/>
      <c r="V257" s="188"/>
      <c r="W257" s="188"/>
    </row>
    <row r="258">
      <c r="A258" s="229"/>
      <c r="B258" s="231" t="str">
        <f>VLOOKUP(A258,'Purchase Order Summary V2'!H:AA,20,0)</f>
        <v>#N/A</v>
      </c>
      <c r="C258" s="229"/>
      <c r="D258" s="229"/>
      <c r="E258" s="229"/>
      <c r="F258" s="188"/>
      <c r="G258" s="188"/>
      <c r="H258" s="188"/>
      <c r="I258" s="188"/>
      <c r="J258" s="188"/>
      <c r="K258" s="188"/>
      <c r="L258" s="188"/>
      <c r="M258" s="188"/>
      <c r="N258" s="188"/>
      <c r="O258" s="188"/>
      <c r="P258" s="188"/>
      <c r="Q258" s="188"/>
      <c r="R258" s="188"/>
      <c r="S258" s="188"/>
      <c r="T258" s="188"/>
      <c r="U258" s="188"/>
      <c r="V258" s="188"/>
      <c r="W258" s="188"/>
    </row>
    <row r="259">
      <c r="A259" s="229"/>
      <c r="B259" s="231" t="str">
        <f>VLOOKUP(A259,'Purchase Order Summary V2'!H:AA,20,0)</f>
        <v>#N/A</v>
      </c>
      <c r="C259" s="229"/>
      <c r="D259" s="229"/>
      <c r="E259" s="229"/>
      <c r="F259" s="188"/>
      <c r="G259" s="188"/>
      <c r="H259" s="188"/>
      <c r="I259" s="188"/>
      <c r="J259" s="188"/>
      <c r="K259" s="188"/>
      <c r="L259" s="188"/>
      <c r="M259" s="188"/>
      <c r="N259" s="188"/>
      <c r="O259" s="188"/>
      <c r="P259" s="188"/>
      <c r="Q259" s="188"/>
      <c r="R259" s="188"/>
      <c r="S259" s="188"/>
      <c r="T259" s="188"/>
      <c r="U259" s="188"/>
      <c r="V259" s="188"/>
      <c r="W259" s="188"/>
    </row>
    <row r="260">
      <c r="A260" s="229"/>
      <c r="B260" s="231" t="str">
        <f>VLOOKUP(A260,'Purchase Order Summary V2'!H:AA,20,0)</f>
        <v>#N/A</v>
      </c>
      <c r="C260" s="229"/>
      <c r="D260" s="229"/>
      <c r="E260" s="229"/>
      <c r="F260" s="188"/>
      <c r="G260" s="188"/>
      <c r="H260" s="188"/>
      <c r="I260" s="188"/>
      <c r="J260" s="188"/>
      <c r="K260" s="188"/>
      <c r="L260" s="188"/>
      <c r="M260" s="188"/>
      <c r="N260" s="188"/>
      <c r="O260" s="188"/>
      <c r="P260" s="188"/>
      <c r="Q260" s="188"/>
      <c r="R260" s="188"/>
      <c r="S260" s="188"/>
      <c r="T260" s="188"/>
      <c r="U260" s="188"/>
      <c r="V260" s="188"/>
      <c r="W260" s="188"/>
    </row>
    <row r="261">
      <c r="A261" s="229"/>
      <c r="B261" s="231" t="str">
        <f>VLOOKUP(A261,'Purchase Order Summary V2'!H:AA,20,0)</f>
        <v>#N/A</v>
      </c>
      <c r="C261" s="229"/>
      <c r="D261" s="229"/>
      <c r="E261" s="229"/>
      <c r="F261" s="188"/>
      <c r="G261" s="188"/>
      <c r="H261" s="188"/>
      <c r="I261" s="188"/>
      <c r="J261" s="188"/>
      <c r="K261" s="188"/>
      <c r="L261" s="188"/>
      <c r="M261" s="188"/>
      <c r="N261" s="188"/>
      <c r="O261" s="188"/>
      <c r="P261" s="188"/>
      <c r="Q261" s="188"/>
      <c r="R261" s="188"/>
      <c r="S261" s="188"/>
      <c r="T261" s="188"/>
      <c r="U261" s="188"/>
      <c r="V261" s="188"/>
      <c r="W261" s="188"/>
    </row>
    <row r="262">
      <c r="A262" s="229"/>
      <c r="B262" s="231" t="str">
        <f>VLOOKUP(A262,'Purchase Order Summary V2'!H:AA,20,0)</f>
        <v>#N/A</v>
      </c>
      <c r="C262" s="229"/>
      <c r="D262" s="229"/>
      <c r="E262" s="229"/>
      <c r="F262" s="188"/>
      <c r="G262" s="188"/>
      <c r="H262" s="188"/>
      <c r="I262" s="188"/>
      <c r="J262" s="188"/>
      <c r="K262" s="188"/>
      <c r="L262" s="188"/>
      <c r="M262" s="188"/>
      <c r="N262" s="188"/>
      <c r="O262" s="188"/>
      <c r="P262" s="188"/>
      <c r="Q262" s="188"/>
      <c r="R262" s="188"/>
      <c r="S262" s="188"/>
      <c r="T262" s="188"/>
      <c r="U262" s="188"/>
      <c r="V262" s="188"/>
      <c r="W262" s="188"/>
    </row>
    <row r="263">
      <c r="A263" s="229"/>
      <c r="B263" s="231" t="str">
        <f>VLOOKUP(A263,'Purchase Order Summary V2'!H:AA,20,0)</f>
        <v>#N/A</v>
      </c>
      <c r="C263" s="229"/>
      <c r="D263" s="229"/>
      <c r="E263" s="229"/>
      <c r="F263" s="188"/>
      <c r="G263" s="188"/>
      <c r="H263" s="188"/>
      <c r="I263" s="188"/>
      <c r="J263" s="188"/>
      <c r="K263" s="188"/>
      <c r="L263" s="188"/>
      <c r="M263" s="188"/>
      <c r="N263" s="188"/>
      <c r="O263" s="188"/>
      <c r="P263" s="188"/>
      <c r="Q263" s="188"/>
      <c r="R263" s="188"/>
      <c r="S263" s="188"/>
      <c r="T263" s="188"/>
      <c r="U263" s="188"/>
      <c r="V263" s="188"/>
      <c r="W263" s="188"/>
    </row>
    <row r="264">
      <c r="A264" s="229"/>
      <c r="B264" s="231" t="str">
        <f>VLOOKUP(A264,'Purchase Order Summary V2'!H:AA,20,0)</f>
        <v>#N/A</v>
      </c>
      <c r="C264" s="229"/>
      <c r="D264" s="229"/>
      <c r="E264" s="229"/>
      <c r="F264" s="188"/>
      <c r="G264" s="188"/>
      <c r="H264" s="188"/>
      <c r="I264" s="188"/>
      <c r="J264" s="188"/>
      <c r="K264" s="188"/>
      <c r="L264" s="188"/>
      <c r="M264" s="188"/>
      <c r="N264" s="188"/>
      <c r="O264" s="188"/>
      <c r="P264" s="188"/>
      <c r="Q264" s="188"/>
      <c r="R264" s="188"/>
      <c r="S264" s="188"/>
      <c r="T264" s="188"/>
      <c r="U264" s="188"/>
      <c r="V264" s="188"/>
      <c r="W264" s="188"/>
    </row>
    <row r="265">
      <c r="A265" s="229"/>
      <c r="B265" s="231" t="str">
        <f>VLOOKUP(A265,'Purchase Order Summary V2'!H:AA,20,0)</f>
        <v>#N/A</v>
      </c>
      <c r="C265" s="229"/>
      <c r="D265" s="229"/>
      <c r="E265" s="229"/>
      <c r="F265" s="188"/>
      <c r="G265" s="188"/>
      <c r="H265" s="188"/>
      <c r="I265" s="188"/>
      <c r="J265" s="188"/>
      <c r="K265" s="188"/>
      <c r="L265" s="188"/>
      <c r="M265" s="188"/>
      <c r="N265" s="188"/>
      <c r="O265" s="188"/>
      <c r="P265" s="188"/>
      <c r="Q265" s="188"/>
      <c r="R265" s="188"/>
      <c r="S265" s="188"/>
      <c r="T265" s="188"/>
      <c r="U265" s="188"/>
      <c r="V265" s="188"/>
      <c r="W265" s="188"/>
    </row>
    <row r="266">
      <c r="A266" s="229"/>
      <c r="B266" s="231" t="str">
        <f>VLOOKUP(A266,'Purchase Order Summary V2'!H:AA,20,0)</f>
        <v>#N/A</v>
      </c>
      <c r="C266" s="229"/>
      <c r="D266" s="229"/>
      <c r="E266" s="229"/>
      <c r="F266" s="188"/>
      <c r="G266" s="188"/>
      <c r="H266" s="188"/>
      <c r="I266" s="188"/>
      <c r="J266" s="188"/>
      <c r="K266" s="188"/>
      <c r="L266" s="188"/>
      <c r="M266" s="188"/>
      <c r="N266" s="188"/>
      <c r="O266" s="188"/>
      <c r="P266" s="188"/>
      <c r="Q266" s="188"/>
      <c r="R266" s="188"/>
      <c r="S266" s="188"/>
      <c r="T266" s="188"/>
      <c r="U266" s="188"/>
      <c r="V266" s="188"/>
      <c r="W266" s="188"/>
    </row>
    <row r="267">
      <c r="A267" s="229"/>
      <c r="B267" s="231" t="str">
        <f>VLOOKUP(A267,'Purchase Order Summary V2'!H:AA,20,0)</f>
        <v>#N/A</v>
      </c>
      <c r="C267" s="229"/>
      <c r="D267" s="229"/>
      <c r="E267" s="229"/>
      <c r="F267" s="188"/>
      <c r="G267" s="188"/>
      <c r="H267" s="188"/>
      <c r="I267" s="188"/>
      <c r="J267" s="188"/>
      <c r="K267" s="188"/>
      <c r="L267" s="188"/>
      <c r="M267" s="188"/>
      <c r="N267" s="188"/>
      <c r="O267" s="188"/>
      <c r="P267" s="188"/>
      <c r="Q267" s="188"/>
      <c r="R267" s="188"/>
      <c r="S267" s="188"/>
      <c r="T267" s="188"/>
      <c r="U267" s="188"/>
      <c r="V267" s="188"/>
      <c r="W267" s="188"/>
    </row>
    <row r="268">
      <c r="A268" s="229"/>
      <c r="B268" s="231" t="str">
        <f>VLOOKUP(A268,'Purchase Order Summary V2'!H:AA,20,0)</f>
        <v>#N/A</v>
      </c>
      <c r="C268" s="229"/>
      <c r="D268" s="229"/>
      <c r="E268" s="229"/>
      <c r="F268" s="188"/>
      <c r="G268" s="188"/>
      <c r="H268" s="188"/>
      <c r="I268" s="188"/>
      <c r="J268" s="188"/>
      <c r="K268" s="188"/>
      <c r="L268" s="188"/>
      <c r="M268" s="188"/>
      <c r="N268" s="188"/>
      <c r="O268" s="188"/>
      <c r="P268" s="188"/>
      <c r="Q268" s="188"/>
      <c r="R268" s="188"/>
      <c r="S268" s="188"/>
      <c r="T268" s="188"/>
      <c r="U268" s="188"/>
      <c r="V268" s="188"/>
      <c r="W268" s="188"/>
    </row>
    <row r="269">
      <c r="A269" s="229"/>
      <c r="B269" s="231" t="str">
        <f>VLOOKUP(A269,'Purchase Order Summary V2'!H:AA,20,0)</f>
        <v>#N/A</v>
      </c>
      <c r="C269" s="229"/>
      <c r="D269" s="229"/>
      <c r="E269" s="229"/>
      <c r="F269" s="188"/>
      <c r="G269" s="188"/>
      <c r="H269" s="188"/>
      <c r="I269" s="188"/>
      <c r="J269" s="188"/>
      <c r="K269" s="188"/>
      <c r="L269" s="188"/>
      <c r="M269" s="188"/>
      <c r="N269" s="188"/>
      <c r="O269" s="188"/>
      <c r="P269" s="188"/>
      <c r="Q269" s="188"/>
      <c r="R269" s="188"/>
      <c r="S269" s="188"/>
      <c r="T269" s="188"/>
      <c r="U269" s="188"/>
      <c r="V269" s="188"/>
      <c r="W269" s="188"/>
    </row>
    <row r="270">
      <c r="A270" s="229"/>
      <c r="B270" s="231" t="str">
        <f>VLOOKUP(A270,'Purchase Order Summary V2'!H:AA,20,0)</f>
        <v>#N/A</v>
      </c>
      <c r="C270" s="229"/>
      <c r="D270" s="229"/>
      <c r="E270" s="229"/>
      <c r="F270" s="188"/>
      <c r="G270" s="188"/>
      <c r="H270" s="188"/>
      <c r="I270" s="188"/>
      <c r="J270" s="188"/>
      <c r="K270" s="188"/>
      <c r="L270" s="188"/>
      <c r="M270" s="188"/>
      <c r="N270" s="188"/>
      <c r="O270" s="188"/>
      <c r="P270" s="188"/>
      <c r="Q270" s="188"/>
      <c r="R270" s="188"/>
      <c r="S270" s="188"/>
      <c r="T270" s="188"/>
      <c r="U270" s="188"/>
      <c r="V270" s="188"/>
      <c r="W270" s="188"/>
    </row>
    <row r="271">
      <c r="A271" s="229"/>
      <c r="B271" s="231" t="str">
        <f>VLOOKUP(A271,'Purchase Order Summary V2'!H:AA,20,0)</f>
        <v>#N/A</v>
      </c>
      <c r="C271" s="229"/>
      <c r="D271" s="229"/>
      <c r="E271" s="229"/>
      <c r="F271" s="188"/>
      <c r="G271" s="188"/>
      <c r="H271" s="188"/>
      <c r="I271" s="188"/>
      <c r="J271" s="188"/>
      <c r="K271" s="188"/>
      <c r="L271" s="188"/>
      <c r="M271" s="188"/>
      <c r="N271" s="188"/>
      <c r="O271" s="188"/>
      <c r="P271" s="188"/>
      <c r="Q271" s="188"/>
      <c r="R271" s="188"/>
      <c r="S271" s="188"/>
      <c r="T271" s="188"/>
      <c r="U271" s="188"/>
      <c r="V271" s="188"/>
      <c r="W271" s="188"/>
    </row>
    <row r="272">
      <c r="A272" s="229"/>
      <c r="B272" s="231" t="str">
        <f>VLOOKUP(A272,'Purchase Order Summary V2'!H:AA,20,0)</f>
        <v>#N/A</v>
      </c>
      <c r="C272" s="229"/>
      <c r="D272" s="229"/>
      <c r="E272" s="229"/>
      <c r="F272" s="188"/>
      <c r="G272" s="188"/>
      <c r="H272" s="188"/>
      <c r="I272" s="188"/>
      <c r="J272" s="188"/>
      <c r="K272" s="188"/>
      <c r="L272" s="188"/>
      <c r="M272" s="188"/>
      <c r="N272" s="188"/>
      <c r="O272" s="188"/>
      <c r="P272" s="188"/>
      <c r="Q272" s="188"/>
      <c r="R272" s="188"/>
      <c r="S272" s="188"/>
      <c r="T272" s="188"/>
      <c r="U272" s="188"/>
      <c r="V272" s="188"/>
      <c r="W272" s="188"/>
    </row>
    <row r="273">
      <c r="A273" s="229"/>
      <c r="B273" s="231" t="str">
        <f>VLOOKUP(A273,'Purchase Order Summary V2'!H:AA,20,0)</f>
        <v>#N/A</v>
      </c>
      <c r="C273" s="229"/>
      <c r="D273" s="229"/>
      <c r="E273" s="229"/>
      <c r="F273" s="188"/>
      <c r="G273" s="188"/>
      <c r="H273" s="188"/>
      <c r="I273" s="188"/>
      <c r="J273" s="188"/>
      <c r="K273" s="188"/>
      <c r="L273" s="188"/>
      <c r="M273" s="188"/>
      <c r="N273" s="188"/>
      <c r="O273" s="188"/>
      <c r="P273" s="188"/>
      <c r="Q273" s="188"/>
      <c r="R273" s="188"/>
      <c r="S273" s="188"/>
      <c r="T273" s="188"/>
      <c r="U273" s="188"/>
      <c r="V273" s="188"/>
      <c r="W273" s="188"/>
    </row>
    <row r="274">
      <c r="A274" s="229"/>
      <c r="B274" s="231" t="str">
        <f>VLOOKUP(A274,'Purchase Order Summary V2'!H:AA,20,0)</f>
        <v>#N/A</v>
      </c>
      <c r="C274" s="229"/>
      <c r="D274" s="229"/>
      <c r="E274" s="229"/>
      <c r="F274" s="188"/>
      <c r="G274" s="188"/>
      <c r="H274" s="188"/>
      <c r="I274" s="188"/>
      <c r="J274" s="188"/>
      <c r="K274" s="188"/>
      <c r="L274" s="188"/>
      <c r="M274" s="188"/>
      <c r="N274" s="188"/>
      <c r="O274" s="188"/>
      <c r="P274" s="188"/>
      <c r="Q274" s="188"/>
      <c r="R274" s="188"/>
      <c r="S274" s="188"/>
      <c r="T274" s="188"/>
      <c r="U274" s="188"/>
      <c r="V274" s="188"/>
      <c r="W274" s="188"/>
    </row>
    <row r="275">
      <c r="A275" s="229"/>
      <c r="B275" s="231" t="str">
        <f>VLOOKUP(A275,'Purchase Order Summary V2'!H:AA,20,0)</f>
        <v>#N/A</v>
      </c>
      <c r="C275" s="229"/>
      <c r="D275" s="229"/>
      <c r="E275" s="229"/>
      <c r="F275" s="188"/>
      <c r="G275" s="188"/>
      <c r="H275" s="188"/>
      <c r="I275" s="188"/>
      <c r="J275" s="188"/>
      <c r="K275" s="188"/>
      <c r="L275" s="188"/>
      <c r="M275" s="188"/>
      <c r="N275" s="188"/>
      <c r="O275" s="188"/>
      <c r="P275" s="188"/>
      <c r="Q275" s="188"/>
      <c r="R275" s="188"/>
      <c r="S275" s="188"/>
      <c r="T275" s="188"/>
      <c r="U275" s="188"/>
      <c r="V275" s="188"/>
      <c r="W275" s="188"/>
    </row>
    <row r="276">
      <c r="A276" s="229"/>
      <c r="B276" s="231" t="str">
        <f>VLOOKUP(A276,'Purchase Order Summary V2'!H:AA,20,0)</f>
        <v>#N/A</v>
      </c>
      <c r="C276" s="229"/>
      <c r="D276" s="229"/>
      <c r="E276" s="229"/>
      <c r="F276" s="188"/>
      <c r="G276" s="188"/>
      <c r="H276" s="188"/>
      <c r="I276" s="188"/>
      <c r="J276" s="188"/>
      <c r="K276" s="188"/>
      <c r="L276" s="188"/>
      <c r="M276" s="188"/>
      <c r="N276" s="188"/>
      <c r="O276" s="188"/>
      <c r="P276" s="188"/>
      <c r="Q276" s="188"/>
      <c r="R276" s="188"/>
      <c r="S276" s="188"/>
      <c r="T276" s="188"/>
      <c r="U276" s="188"/>
      <c r="V276" s="188"/>
      <c r="W276" s="188"/>
    </row>
    <row r="277">
      <c r="A277" s="229"/>
      <c r="B277" s="231" t="str">
        <f>VLOOKUP(A277,'Purchase Order Summary V2'!H:AA,20,0)</f>
        <v>#N/A</v>
      </c>
      <c r="C277" s="229"/>
      <c r="D277" s="229"/>
      <c r="E277" s="229"/>
      <c r="F277" s="188"/>
      <c r="G277" s="188"/>
      <c r="H277" s="188"/>
      <c r="I277" s="188"/>
      <c r="J277" s="188"/>
      <c r="K277" s="188"/>
      <c r="L277" s="188"/>
      <c r="M277" s="188"/>
      <c r="N277" s="188"/>
      <c r="O277" s="188"/>
      <c r="P277" s="188"/>
      <c r="Q277" s="188"/>
      <c r="R277" s="188"/>
      <c r="S277" s="188"/>
      <c r="T277" s="188"/>
      <c r="U277" s="188"/>
      <c r="V277" s="188"/>
      <c r="W277" s="188"/>
    </row>
    <row r="278">
      <c r="A278" s="229"/>
      <c r="B278" s="231" t="str">
        <f>VLOOKUP(A278,'Purchase Order Summary V2'!H:AA,20,0)</f>
        <v>#N/A</v>
      </c>
      <c r="C278" s="229"/>
      <c r="D278" s="229"/>
      <c r="E278" s="229"/>
      <c r="F278" s="188"/>
      <c r="G278" s="188"/>
      <c r="H278" s="188"/>
      <c r="I278" s="188"/>
      <c r="J278" s="188"/>
      <c r="K278" s="188"/>
      <c r="L278" s="188"/>
      <c r="M278" s="188"/>
      <c r="N278" s="188"/>
      <c r="O278" s="188"/>
      <c r="P278" s="188"/>
      <c r="Q278" s="188"/>
      <c r="R278" s="188"/>
      <c r="S278" s="188"/>
      <c r="T278" s="188"/>
      <c r="U278" s="188"/>
      <c r="V278" s="188"/>
      <c r="W278" s="188"/>
    </row>
    <row r="279">
      <c r="A279" s="229"/>
      <c r="B279" s="231" t="str">
        <f>VLOOKUP(A279,'Purchase Order Summary V2'!H:AA,20,0)</f>
        <v>#N/A</v>
      </c>
      <c r="C279" s="229"/>
      <c r="D279" s="229"/>
      <c r="E279" s="229"/>
      <c r="F279" s="188"/>
      <c r="G279" s="188"/>
      <c r="H279" s="188"/>
      <c r="I279" s="188"/>
      <c r="J279" s="188"/>
      <c r="K279" s="188"/>
      <c r="L279" s="188"/>
      <c r="M279" s="188"/>
      <c r="N279" s="188"/>
      <c r="O279" s="188"/>
      <c r="P279" s="188"/>
      <c r="Q279" s="188"/>
      <c r="R279" s="188"/>
      <c r="S279" s="188"/>
      <c r="T279" s="188"/>
      <c r="U279" s="188"/>
      <c r="V279" s="188"/>
      <c r="W279" s="188"/>
    </row>
    <row r="280">
      <c r="A280" s="229"/>
      <c r="B280" s="231" t="str">
        <f>VLOOKUP(A280,'Purchase Order Summary V2'!H:AA,20,0)</f>
        <v>#N/A</v>
      </c>
      <c r="C280" s="229"/>
      <c r="D280" s="229"/>
      <c r="E280" s="229"/>
      <c r="F280" s="188"/>
      <c r="G280" s="188"/>
      <c r="H280" s="188"/>
      <c r="I280" s="188"/>
      <c r="J280" s="188"/>
      <c r="K280" s="188"/>
      <c r="L280" s="188"/>
      <c r="M280" s="188"/>
      <c r="N280" s="188"/>
      <c r="O280" s="188"/>
      <c r="P280" s="188"/>
      <c r="Q280" s="188"/>
      <c r="R280" s="188"/>
      <c r="S280" s="188"/>
      <c r="T280" s="188"/>
      <c r="U280" s="188"/>
      <c r="V280" s="188"/>
      <c r="W280" s="188"/>
    </row>
    <row r="281">
      <c r="A281" s="229"/>
      <c r="B281" s="231" t="str">
        <f>VLOOKUP(A281,'Purchase Order Summary V2'!H:AA,20,0)</f>
        <v>#N/A</v>
      </c>
      <c r="C281" s="229"/>
      <c r="D281" s="229"/>
      <c r="E281" s="229"/>
      <c r="F281" s="188"/>
      <c r="G281" s="188"/>
      <c r="H281" s="188"/>
      <c r="I281" s="188"/>
      <c r="J281" s="188"/>
      <c r="K281" s="188"/>
      <c r="L281" s="188"/>
      <c r="M281" s="188"/>
      <c r="N281" s="188"/>
      <c r="O281" s="188"/>
      <c r="P281" s="188"/>
      <c r="Q281" s="188"/>
      <c r="R281" s="188"/>
      <c r="S281" s="188"/>
      <c r="T281" s="188"/>
      <c r="U281" s="188"/>
      <c r="V281" s="188"/>
      <c r="W281" s="188"/>
    </row>
    <row r="282">
      <c r="A282" s="229"/>
      <c r="B282" s="231" t="str">
        <f>VLOOKUP(A282,'Purchase Order Summary V2'!H:AA,20,0)</f>
        <v>#N/A</v>
      </c>
      <c r="C282" s="229"/>
      <c r="D282" s="229"/>
      <c r="E282" s="229"/>
      <c r="F282" s="188"/>
      <c r="G282" s="188"/>
      <c r="H282" s="188"/>
      <c r="I282" s="188"/>
      <c r="J282" s="188"/>
      <c r="K282" s="188"/>
      <c r="L282" s="188"/>
      <c r="M282" s="188"/>
      <c r="N282" s="188"/>
      <c r="O282" s="188"/>
      <c r="P282" s="188"/>
      <c r="Q282" s="188"/>
      <c r="R282" s="188"/>
      <c r="S282" s="188"/>
      <c r="T282" s="188"/>
      <c r="U282" s="188"/>
      <c r="V282" s="188"/>
      <c r="W282" s="188"/>
    </row>
    <row r="283">
      <c r="A283" s="229"/>
      <c r="B283" s="231" t="str">
        <f>VLOOKUP(A283,'Purchase Order Summary V2'!H:AA,20,0)</f>
        <v>#N/A</v>
      </c>
      <c r="C283" s="229"/>
      <c r="D283" s="229"/>
      <c r="E283" s="229"/>
      <c r="F283" s="188"/>
      <c r="G283" s="188"/>
      <c r="H283" s="188"/>
      <c r="I283" s="188"/>
      <c r="J283" s="188"/>
      <c r="K283" s="188"/>
      <c r="L283" s="188"/>
      <c r="M283" s="188"/>
      <c r="N283" s="188"/>
      <c r="O283" s="188"/>
      <c r="P283" s="188"/>
      <c r="Q283" s="188"/>
      <c r="R283" s="188"/>
      <c r="S283" s="188"/>
      <c r="T283" s="188"/>
      <c r="U283" s="188"/>
      <c r="V283" s="188"/>
      <c r="W283" s="188"/>
    </row>
    <row r="284">
      <c r="A284" s="229"/>
      <c r="B284" s="231" t="str">
        <f>VLOOKUP(A284,'Purchase Order Summary V2'!H:AA,20,0)</f>
        <v>#N/A</v>
      </c>
      <c r="C284" s="229"/>
      <c r="D284" s="229"/>
      <c r="E284" s="229"/>
      <c r="F284" s="188"/>
      <c r="G284" s="188"/>
      <c r="H284" s="188"/>
      <c r="I284" s="188"/>
      <c r="J284" s="188"/>
      <c r="K284" s="188"/>
      <c r="L284" s="188"/>
      <c r="M284" s="188"/>
      <c r="N284" s="188"/>
      <c r="O284" s="188"/>
      <c r="P284" s="188"/>
      <c r="Q284" s="188"/>
      <c r="R284" s="188"/>
      <c r="S284" s="188"/>
      <c r="T284" s="188"/>
      <c r="U284" s="188"/>
      <c r="V284" s="188"/>
      <c r="W284" s="188"/>
    </row>
    <row r="285">
      <c r="A285" s="229"/>
      <c r="B285" s="231" t="str">
        <f>VLOOKUP(A285,'Purchase Order Summary V2'!H:AA,20,0)</f>
        <v>#N/A</v>
      </c>
      <c r="C285" s="229"/>
      <c r="D285" s="229"/>
      <c r="E285" s="229"/>
      <c r="F285" s="188"/>
      <c r="G285" s="188"/>
      <c r="H285" s="188"/>
      <c r="I285" s="188"/>
      <c r="J285" s="188"/>
      <c r="K285" s="188"/>
      <c r="L285" s="188"/>
      <c r="M285" s="188"/>
      <c r="N285" s="188"/>
      <c r="O285" s="188"/>
      <c r="P285" s="188"/>
      <c r="Q285" s="188"/>
      <c r="R285" s="188"/>
      <c r="S285" s="188"/>
      <c r="T285" s="188"/>
      <c r="U285" s="188"/>
      <c r="V285" s="188"/>
      <c r="W285" s="188"/>
    </row>
    <row r="286">
      <c r="A286" s="229"/>
      <c r="B286" s="231" t="str">
        <f>VLOOKUP(A286,'Purchase Order Summary V2'!H:AA,20,0)</f>
        <v>#N/A</v>
      </c>
      <c r="C286" s="229"/>
      <c r="D286" s="229"/>
      <c r="E286" s="229"/>
      <c r="F286" s="188"/>
      <c r="G286" s="188"/>
      <c r="H286" s="188"/>
      <c r="I286" s="188"/>
      <c r="J286" s="188"/>
      <c r="K286" s="188"/>
      <c r="L286" s="188"/>
      <c r="M286" s="188"/>
      <c r="N286" s="188"/>
      <c r="O286" s="188"/>
      <c r="P286" s="188"/>
      <c r="Q286" s="188"/>
      <c r="R286" s="188"/>
      <c r="S286" s="188"/>
      <c r="T286" s="188"/>
      <c r="U286" s="188"/>
      <c r="V286" s="188"/>
      <c r="W286" s="188"/>
    </row>
    <row r="287">
      <c r="A287" s="229"/>
      <c r="B287" s="231" t="str">
        <f>VLOOKUP(A287,'Purchase Order Summary V2'!H:AA,20,0)</f>
        <v>#N/A</v>
      </c>
      <c r="C287" s="229"/>
      <c r="D287" s="229"/>
      <c r="E287" s="229"/>
      <c r="F287" s="188"/>
      <c r="G287" s="188"/>
      <c r="H287" s="188"/>
      <c r="I287" s="188"/>
      <c r="J287" s="188"/>
      <c r="K287" s="188"/>
      <c r="L287" s="188"/>
      <c r="M287" s="188"/>
      <c r="N287" s="188"/>
      <c r="O287" s="188"/>
      <c r="P287" s="188"/>
      <c r="Q287" s="188"/>
      <c r="R287" s="188"/>
      <c r="S287" s="188"/>
      <c r="T287" s="188"/>
      <c r="U287" s="188"/>
      <c r="V287" s="188"/>
      <c r="W287" s="188"/>
    </row>
    <row r="288">
      <c r="A288" s="229"/>
      <c r="B288" s="231" t="str">
        <f>VLOOKUP(A288,'Purchase Order Summary V2'!H:AA,20,0)</f>
        <v>#N/A</v>
      </c>
      <c r="C288" s="229"/>
      <c r="D288" s="229"/>
      <c r="E288" s="229"/>
      <c r="F288" s="188"/>
      <c r="G288" s="188"/>
      <c r="H288" s="188"/>
      <c r="I288" s="188"/>
      <c r="J288" s="188"/>
      <c r="K288" s="188"/>
      <c r="L288" s="188"/>
      <c r="M288" s="188"/>
      <c r="N288" s="188"/>
      <c r="O288" s="188"/>
      <c r="P288" s="188"/>
      <c r="Q288" s="188"/>
      <c r="R288" s="188"/>
      <c r="S288" s="188"/>
      <c r="T288" s="188"/>
      <c r="U288" s="188"/>
      <c r="V288" s="188"/>
      <c r="W288" s="188"/>
    </row>
    <row r="289">
      <c r="A289" s="229"/>
      <c r="B289" s="231" t="str">
        <f>VLOOKUP(A289,'Purchase Order Summary V2'!H:AA,20,0)</f>
        <v>#N/A</v>
      </c>
      <c r="C289" s="229"/>
      <c r="D289" s="229"/>
      <c r="E289" s="229"/>
      <c r="F289" s="188"/>
      <c r="G289" s="188"/>
      <c r="H289" s="188"/>
      <c r="I289" s="188"/>
      <c r="J289" s="188"/>
      <c r="K289" s="188"/>
      <c r="L289" s="188"/>
      <c r="M289" s="188"/>
      <c r="N289" s="188"/>
      <c r="O289" s="188"/>
      <c r="P289" s="188"/>
      <c r="Q289" s="188"/>
      <c r="R289" s="188"/>
      <c r="S289" s="188"/>
      <c r="T289" s="188"/>
      <c r="U289" s="188"/>
      <c r="V289" s="188"/>
      <c r="W289" s="188"/>
    </row>
    <row r="290">
      <c r="A290" s="229"/>
      <c r="B290" s="231" t="str">
        <f>VLOOKUP(A290,'Purchase Order Summary V2'!H:AA,20,0)</f>
        <v>#N/A</v>
      </c>
      <c r="C290" s="229"/>
      <c r="D290" s="229"/>
      <c r="E290" s="229"/>
      <c r="F290" s="188"/>
      <c r="G290" s="188"/>
      <c r="H290" s="188"/>
      <c r="I290" s="188"/>
      <c r="J290" s="188"/>
      <c r="K290" s="188"/>
      <c r="L290" s="188"/>
      <c r="M290" s="188"/>
      <c r="N290" s="188"/>
      <c r="O290" s="188"/>
      <c r="P290" s="188"/>
      <c r="Q290" s="188"/>
      <c r="R290" s="188"/>
      <c r="S290" s="188"/>
      <c r="T290" s="188"/>
      <c r="U290" s="188"/>
      <c r="V290" s="188"/>
      <c r="W290" s="188"/>
    </row>
    <row r="291">
      <c r="A291" s="229"/>
      <c r="B291" s="231" t="str">
        <f>VLOOKUP(A291,'Purchase Order Summary V2'!H:AA,20,0)</f>
        <v>#N/A</v>
      </c>
      <c r="C291" s="229"/>
      <c r="D291" s="229"/>
      <c r="E291" s="229"/>
      <c r="F291" s="188"/>
      <c r="G291" s="188"/>
      <c r="H291" s="188"/>
      <c r="I291" s="188"/>
      <c r="J291" s="188"/>
      <c r="K291" s="188"/>
      <c r="L291" s="188"/>
      <c r="M291" s="188"/>
      <c r="N291" s="188"/>
      <c r="O291" s="188"/>
      <c r="P291" s="188"/>
      <c r="Q291" s="188"/>
      <c r="R291" s="188"/>
      <c r="S291" s="188"/>
      <c r="T291" s="188"/>
      <c r="U291" s="188"/>
      <c r="V291" s="188"/>
      <c r="W291" s="188"/>
    </row>
    <row r="292">
      <c r="A292" s="229"/>
      <c r="B292" s="231" t="str">
        <f>VLOOKUP(A292,'Purchase Order Summary V2'!H:AA,20,0)</f>
        <v>#N/A</v>
      </c>
      <c r="C292" s="229"/>
      <c r="D292" s="229"/>
      <c r="E292" s="229"/>
      <c r="F292" s="188"/>
      <c r="G292" s="188"/>
      <c r="H292" s="188"/>
      <c r="I292" s="188"/>
      <c r="J292" s="188"/>
      <c r="K292" s="188"/>
      <c r="L292" s="188"/>
      <c r="M292" s="188"/>
      <c r="N292" s="188"/>
      <c r="O292" s="188"/>
      <c r="P292" s="188"/>
      <c r="Q292" s="188"/>
      <c r="R292" s="188"/>
      <c r="S292" s="188"/>
      <c r="T292" s="188"/>
      <c r="U292" s="188"/>
      <c r="V292" s="188"/>
      <c r="W292" s="188"/>
    </row>
    <row r="293">
      <c r="A293" s="229"/>
      <c r="B293" s="231" t="str">
        <f>VLOOKUP(A293,'Purchase Order Summary V2'!H:AA,20,0)</f>
        <v>#N/A</v>
      </c>
      <c r="C293" s="229"/>
      <c r="D293" s="229"/>
      <c r="E293" s="229"/>
      <c r="F293" s="188"/>
      <c r="G293" s="188"/>
      <c r="H293" s="188"/>
      <c r="I293" s="188"/>
      <c r="J293" s="188"/>
      <c r="K293" s="188"/>
      <c r="L293" s="188"/>
      <c r="M293" s="188"/>
      <c r="N293" s="188"/>
      <c r="O293" s="188"/>
      <c r="P293" s="188"/>
      <c r="Q293" s="188"/>
      <c r="R293" s="188"/>
      <c r="S293" s="188"/>
      <c r="T293" s="188"/>
      <c r="U293" s="188"/>
      <c r="V293" s="188"/>
      <c r="W293" s="188"/>
    </row>
    <row r="294">
      <c r="A294" s="229"/>
      <c r="B294" s="231" t="str">
        <f>VLOOKUP(A294,'Purchase Order Summary V2'!H:AA,20,0)</f>
        <v>#N/A</v>
      </c>
      <c r="C294" s="229"/>
      <c r="D294" s="229"/>
      <c r="E294" s="229"/>
      <c r="F294" s="188"/>
      <c r="G294" s="188"/>
      <c r="H294" s="188"/>
      <c r="I294" s="188"/>
      <c r="J294" s="188"/>
      <c r="K294" s="188"/>
      <c r="L294" s="188"/>
      <c r="M294" s="188"/>
      <c r="N294" s="188"/>
      <c r="O294" s="188"/>
      <c r="P294" s="188"/>
      <c r="Q294" s="188"/>
      <c r="R294" s="188"/>
      <c r="S294" s="188"/>
      <c r="T294" s="188"/>
      <c r="U294" s="188"/>
      <c r="V294" s="188"/>
      <c r="W294" s="188"/>
    </row>
    <row r="295">
      <c r="A295" s="229"/>
      <c r="B295" s="231" t="str">
        <f>VLOOKUP(A295,'Purchase Order Summary V2'!H:AA,20,0)</f>
        <v>#N/A</v>
      </c>
      <c r="C295" s="229"/>
      <c r="D295" s="229"/>
      <c r="E295" s="229"/>
      <c r="F295" s="188"/>
      <c r="G295" s="188"/>
      <c r="H295" s="188"/>
      <c r="I295" s="188"/>
      <c r="J295" s="188"/>
      <c r="K295" s="188"/>
      <c r="L295" s="188"/>
      <c r="M295" s="188"/>
      <c r="N295" s="188"/>
      <c r="O295" s="188"/>
      <c r="P295" s="188"/>
      <c r="Q295" s="188"/>
      <c r="R295" s="188"/>
      <c r="S295" s="188"/>
      <c r="T295" s="188"/>
      <c r="U295" s="188"/>
      <c r="V295" s="188"/>
      <c r="W295" s="188"/>
    </row>
    <row r="296">
      <c r="A296" s="229"/>
      <c r="B296" s="231" t="str">
        <f>VLOOKUP(A296,'Purchase Order Summary V2'!H:AA,20,0)</f>
        <v>#N/A</v>
      </c>
      <c r="C296" s="229"/>
      <c r="D296" s="229"/>
      <c r="E296" s="229"/>
      <c r="F296" s="188"/>
      <c r="G296" s="188"/>
      <c r="H296" s="188"/>
      <c r="I296" s="188"/>
      <c r="J296" s="188"/>
      <c r="K296" s="188"/>
      <c r="L296" s="188"/>
      <c r="M296" s="188"/>
      <c r="N296" s="188"/>
      <c r="O296" s="188"/>
      <c r="P296" s="188"/>
      <c r="Q296" s="188"/>
      <c r="R296" s="188"/>
      <c r="S296" s="188"/>
      <c r="T296" s="188"/>
      <c r="U296" s="188"/>
      <c r="V296" s="188"/>
      <c r="W296" s="188"/>
    </row>
    <row r="297">
      <c r="A297" s="229"/>
      <c r="B297" s="231" t="str">
        <f>VLOOKUP(A297,'Purchase Order Summary V2'!H:AA,20,0)</f>
        <v>#N/A</v>
      </c>
      <c r="C297" s="229"/>
      <c r="D297" s="229"/>
      <c r="E297" s="229"/>
      <c r="F297" s="188"/>
      <c r="G297" s="188"/>
      <c r="H297" s="188"/>
      <c r="I297" s="188"/>
      <c r="J297" s="188"/>
      <c r="K297" s="188"/>
      <c r="L297" s="188"/>
      <c r="M297" s="188"/>
      <c r="N297" s="188"/>
      <c r="O297" s="188"/>
      <c r="P297" s="188"/>
      <c r="Q297" s="188"/>
      <c r="R297" s="188"/>
      <c r="S297" s="188"/>
      <c r="T297" s="188"/>
      <c r="U297" s="188"/>
      <c r="V297" s="188"/>
      <c r="W297" s="188"/>
    </row>
    <row r="298">
      <c r="A298" s="229"/>
      <c r="B298" s="231" t="str">
        <f>VLOOKUP(A298,'Purchase Order Summary V2'!H:AA,20,0)</f>
        <v>#N/A</v>
      </c>
      <c r="C298" s="229"/>
      <c r="D298" s="229"/>
      <c r="E298" s="229"/>
      <c r="F298" s="188"/>
      <c r="G298" s="188"/>
      <c r="H298" s="188"/>
      <c r="I298" s="188"/>
      <c r="J298" s="188"/>
      <c r="K298" s="188"/>
      <c r="L298" s="188"/>
      <c r="M298" s="188"/>
      <c r="N298" s="188"/>
      <c r="O298" s="188"/>
      <c r="P298" s="188"/>
      <c r="Q298" s="188"/>
      <c r="R298" s="188"/>
      <c r="S298" s="188"/>
      <c r="T298" s="188"/>
      <c r="U298" s="188"/>
      <c r="V298" s="188"/>
      <c r="W298" s="188"/>
    </row>
    <row r="299">
      <c r="A299" s="229"/>
      <c r="B299" s="231" t="str">
        <f>VLOOKUP(A299,'Purchase Order Summary V2'!H:AA,20,0)</f>
        <v>#N/A</v>
      </c>
      <c r="C299" s="229"/>
      <c r="D299" s="229"/>
      <c r="E299" s="229"/>
      <c r="F299" s="188"/>
      <c r="G299" s="188"/>
      <c r="H299" s="188"/>
      <c r="I299" s="188"/>
      <c r="J299" s="188"/>
      <c r="K299" s="188"/>
      <c r="L299" s="188"/>
      <c r="M299" s="188"/>
      <c r="N299" s="188"/>
      <c r="O299" s="188"/>
      <c r="P299" s="188"/>
      <c r="Q299" s="188"/>
      <c r="R299" s="188"/>
      <c r="S299" s="188"/>
      <c r="T299" s="188"/>
      <c r="U299" s="188"/>
      <c r="V299" s="188"/>
      <c r="W299" s="188"/>
    </row>
    <row r="300">
      <c r="A300" s="229"/>
      <c r="B300" s="231" t="str">
        <f>VLOOKUP(A300,'Purchase Order Summary V2'!H:AA,20,0)</f>
        <v>#N/A</v>
      </c>
      <c r="C300" s="229"/>
      <c r="D300" s="229"/>
      <c r="E300" s="229"/>
      <c r="F300" s="188"/>
      <c r="G300" s="188"/>
      <c r="H300" s="188"/>
      <c r="I300" s="188"/>
      <c r="J300" s="188"/>
      <c r="K300" s="188"/>
      <c r="L300" s="188"/>
      <c r="M300" s="188"/>
      <c r="N300" s="188"/>
      <c r="O300" s="188"/>
      <c r="P300" s="188"/>
      <c r="Q300" s="188"/>
      <c r="R300" s="188"/>
      <c r="S300" s="188"/>
      <c r="T300" s="188"/>
      <c r="U300" s="188"/>
      <c r="V300" s="188"/>
      <c r="W300" s="188"/>
    </row>
    <row r="301">
      <c r="A301" s="229"/>
      <c r="B301" s="231" t="str">
        <f>VLOOKUP(A301,'Purchase Order Summary V2'!H:AA,20,0)</f>
        <v>#N/A</v>
      </c>
      <c r="C301" s="229"/>
      <c r="D301" s="229"/>
      <c r="E301" s="229"/>
      <c r="F301" s="188"/>
      <c r="G301" s="188"/>
      <c r="H301" s="188"/>
      <c r="I301" s="188"/>
      <c r="J301" s="188"/>
      <c r="K301" s="188"/>
      <c r="L301" s="188"/>
      <c r="M301" s="188"/>
      <c r="N301" s="188"/>
      <c r="O301" s="188"/>
      <c r="P301" s="188"/>
      <c r="Q301" s="188"/>
      <c r="R301" s="188"/>
      <c r="S301" s="188"/>
      <c r="T301" s="188"/>
      <c r="U301" s="188"/>
      <c r="V301" s="188"/>
      <c r="W301" s="188"/>
    </row>
    <row r="302">
      <c r="A302" s="229"/>
      <c r="B302" s="231" t="str">
        <f>VLOOKUP(A302,'Purchase Order Summary V2'!H:AA,20,0)</f>
        <v>#N/A</v>
      </c>
      <c r="C302" s="229"/>
      <c r="D302" s="229"/>
      <c r="E302" s="229"/>
      <c r="F302" s="188"/>
      <c r="G302" s="188"/>
      <c r="H302" s="188"/>
      <c r="I302" s="188"/>
      <c r="J302" s="188"/>
      <c r="K302" s="188"/>
      <c r="L302" s="188"/>
      <c r="M302" s="188"/>
      <c r="N302" s="188"/>
      <c r="O302" s="188"/>
      <c r="P302" s="188"/>
      <c r="Q302" s="188"/>
      <c r="R302" s="188"/>
      <c r="S302" s="188"/>
      <c r="T302" s="188"/>
      <c r="U302" s="188"/>
      <c r="V302" s="188"/>
      <c r="W302" s="188"/>
    </row>
    <row r="303">
      <c r="A303" s="229"/>
      <c r="B303" s="231" t="str">
        <f>VLOOKUP(A303,'Purchase Order Summary V2'!H:AA,20,0)</f>
        <v>#N/A</v>
      </c>
      <c r="C303" s="229"/>
      <c r="D303" s="229"/>
      <c r="E303" s="229"/>
      <c r="F303" s="188"/>
      <c r="G303" s="188"/>
      <c r="H303" s="188"/>
      <c r="I303" s="188"/>
      <c r="J303" s="188"/>
      <c r="K303" s="188"/>
      <c r="L303" s="188"/>
      <c r="M303" s="188"/>
      <c r="N303" s="188"/>
      <c r="O303" s="188"/>
      <c r="P303" s="188"/>
      <c r="Q303" s="188"/>
      <c r="R303" s="188"/>
      <c r="S303" s="188"/>
      <c r="T303" s="188"/>
      <c r="U303" s="188"/>
      <c r="V303" s="188"/>
      <c r="W303" s="188"/>
    </row>
    <row r="304">
      <c r="A304" s="229"/>
      <c r="B304" s="231" t="str">
        <f>VLOOKUP(A304,'Purchase Order Summary V2'!H:AA,20,0)</f>
        <v>#N/A</v>
      </c>
      <c r="C304" s="229"/>
      <c r="D304" s="229"/>
      <c r="E304" s="229"/>
      <c r="F304" s="188"/>
      <c r="G304" s="188"/>
      <c r="H304" s="188"/>
      <c r="I304" s="188"/>
      <c r="J304" s="188"/>
      <c r="K304" s="188"/>
      <c r="L304" s="188"/>
      <c r="M304" s="188"/>
      <c r="N304" s="188"/>
      <c r="O304" s="188"/>
      <c r="P304" s="188"/>
      <c r="Q304" s="188"/>
      <c r="R304" s="188"/>
      <c r="S304" s="188"/>
      <c r="T304" s="188"/>
      <c r="U304" s="188"/>
      <c r="V304" s="188"/>
      <c r="W304" s="188"/>
    </row>
    <row r="305">
      <c r="A305" s="229"/>
      <c r="B305" s="231" t="str">
        <f>VLOOKUP(A305,'Purchase Order Summary V2'!H:AA,20,0)</f>
        <v>#N/A</v>
      </c>
      <c r="C305" s="229"/>
      <c r="D305" s="229"/>
      <c r="E305" s="229"/>
      <c r="F305" s="188"/>
      <c r="G305" s="188"/>
      <c r="H305" s="188"/>
      <c r="I305" s="188"/>
      <c r="J305" s="188"/>
      <c r="K305" s="188"/>
      <c r="L305" s="188"/>
      <c r="M305" s="188"/>
      <c r="N305" s="188"/>
      <c r="O305" s="188"/>
      <c r="P305" s="188"/>
      <c r="Q305" s="188"/>
      <c r="R305" s="188"/>
      <c r="S305" s="188"/>
      <c r="T305" s="188"/>
      <c r="U305" s="188"/>
      <c r="V305" s="188"/>
      <c r="W305" s="188"/>
    </row>
    <row r="306">
      <c r="A306" s="229"/>
      <c r="B306" s="231" t="str">
        <f>VLOOKUP(A306,'Purchase Order Summary V2'!H:AA,20,0)</f>
        <v>#N/A</v>
      </c>
      <c r="C306" s="229"/>
      <c r="D306" s="229"/>
      <c r="E306" s="229"/>
      <c r="F306" s="188"/>
      <c r="G306" s="188"/>
      <c r="H306" s="188"/>
      <c r="I306" s="188"/>
      <c r="J306" s="188"/>
      <c r="K306" s="188"/>
      <c r="L306" s="188"/>
      <c r="M306" s="188"/>
      <c r="N306" s="188"/>
      <c r="O306" s="188"/>
      <c r="P306" s="188"/>
      <c r="Q306" s="188"/>
      <c r="R306" s="188"/>
      <c r="S306" s="188"/>
      <c r="T306" s="188"/>
      <c r="U306" s="188"/>
      <c r="V306" s="188"/>
      <c r="W306" s="188"/>
    </row>
    <row r="307">
      <c r="A307" s="229"/>
      <c r="B307" s="231" t="str">
        <f>VLOOKUP(A307,'Purchase Order Summary V2'!H:AA,20,0)</f>
        <v>#N/A</v>
      </c>
      <c r="C307" s="229"/>
      <c r="D307" s="229"/>
      <c r="E307" s="229"/>
      <c r="F307" s="188"/>
      <c r="G307" s="188"/>
      <c r="H307" s="188"/>
      <c r="I307" s="188"/>
      <c r="J307" s="188"/>
      <c r="K307" s="188"/>
      <c r="L307" s="188"/>
      <c r="M307" s="188"/>
      <c r="N307" s="188"/>
      <c r="O307" s="188"/>
      <c r="P307" s="188"/>
      <c r="Q307" s="188"/>
      <c r="R307" s="188"/>
      <c r="S307" s="188"/>
      <c r="T307" s="188"/>
      <c r="U307" s="188"/>
      <c r="V307" s="188"/>
      <c r="W307" s="188"/>
    </row>
    <row r="308">
      <c r="A308" s="229"/>
      <c r="B308" s="231" t="str">
        <f>VLOOKUP(A308,'Purchase Order Summary V2'!H:AA,20,0)</f>
        <v>#N/A</v>
      </c>
      <c r="C308" s="229"/>
      <c r="D308" s="229"/>
      <c r="E308" s="229"/>
      <c r="F308" s="188"/>
      <c r="G308" s="188"/>
      <c r="H308" s="188"/>
      <c r="I308" s="188"/>
      <c r="J308" s="188"/>
      <c r="K308" s="188"/>
      <c r="L308" s="188"/>
      <c r="M308" s="188"/>
      <c r="N308" s="188"/>
      <c r="O308" s="188"/>
      <c r="P308" s="188"/>
      <c r="Q308" s="188"/>
      <c r="R308" s="188"/>
      <c r="S308" s="188"/>
      <c r="T308" s="188"/>
      <c r="U308" s="188"/>
      <c r="V308" s="188"/>
      <c r="W308" s="188"/>
    </row>
    <row r="309">
      <c r="A309" s="229"/>
      <c r="B309" s="231" t="str">
        <f>VLOOKUP(A309,'Purchase Order Summary V2'!H:AA,20,0)</f>
        <v>#N/A</v>
      </c>
      <c r="C309" s="229"/>
      <c r="D309" s="229"/>
      <c r="E309" s="229"/>
      <c r="F309" s="188"/>
      <c r="G309" s="188"/>
      <c r="H309" s="188"/>
      <c r="I309" s="188"/>
      <c r="J309" s="188"/>
      <c r="K309" s="188"/>
      <c r="L309" s="188"/>
      <c r="M309" s="188"/>
      <c r="N309" s="188"/>
      <c r="O309" s="188"/>
      <c r="P309" s="188"/>
      <c r="Q309" s="188"/>
      <c r="R309" s="188"/>
      <c r="S309" s="188"/>
      <c r="T309" s="188"/>
      <c r="U309" s="188"/>
      <c r="V309" s="188"/>
      <c r="W309" s="188"/>
    </row>
    <row r="310">
      <c r="A310" s="229"/>
      <c r="B310" s="231" t="str">
        <f>VLOOKUP(A310,'Purchase Order Summary V2'!H:AA,20,0)</f>
        <v>#N/A</v>
      </c>
      <c r="C310" s="229"/>
      <c r="D310" s="229"/>
      <c r="E310" s="229"/>
      <c r="F310" s="188"/>
      <c r="G310" s="188"/>
      <c r="H310" s="188"/>
      <c r="I310" s="188"/>
      <c r="J310" s="188"/>
      <c r="K310" s="188"/>
      <c r="L310" s="188"/>
      <c r="M310" s="188"/>
      <c r="N310" s="188"/>
      <c r="O310" s="188"/>
      <c r="P310" s="188"/>
      <c r="Q310" s="188"/>
      <c r="R310" s="188"/>
      <c r="S310" s="188"/>
      <c r="T310" s="188"/>
      <c r="U310" s="188"/>
      <c r="V310" s="188"/>
      <c r="W310" s="188"/>
    </row>
    <row r="311">
      <c r="A311" s="229"/>
      <c r="B311" s="231" t="str">
        <f>VLOOKUP(A311,'Purchase Order Summary V2'!H:AA,20,0)</f>
        <v>#N/A</v>
      </c>
      <c r="C311" s="229"/>
      <c r="D311" s="229"/>
      <c r="E311" s="229"/>
      <c r="F311" s="188"/>
      <c r="G311" s="188"/>
      <c r="H311" s="188"/>
      <c r="I311" s="188"/>
      <c r="J311" s="188"/>
      <c r="K311" s="188"/>
      <c r="L311" s="188"/>
      <c r="M311" s="188"/>
      <c r="N311" s="188"/>
      <c r="O311" s="188"/>
      <c r="P311" s="188"/>
      <c r="Q311" s="188"/>
      <c r="R311" s="188"/>
      <c r="S311" s="188"/>
      <c r="T311" s="188"/>
      <c r="U311" s="188"/>
      <c r="V311" s="188"/>
      <c r="W311" s="188"/>
    </row>
    <row r="312">
      <c r="A312" s="229"/>
      <c r="B312" s="231" t="str">
        <f>VLOOKUP(A312,'Purchase Order Summary V2'!H:AA,20,0)</f>
        <v>#N/A</v>
      </c>
      <c r="C312" s="229"/>
      <c r="D312" s="229"/>
      <c r="E312" s="229"/>
      <c r="F312" s="188"/>
      <c r="G312" s="188"/>
      <c r="H312" s="188"/>
      <c r="I312" s="188"/>
      <c r="J312" s="188"/>
      <c r="K312" s="188"/>
      <c r="L312" s="188"/>
      <c r="M312" s="188"/>
      <c r="N312" s="188"/>
      <c r="O312" s="188"/>
      <c r="P312" s="188"/>
      <c r="Q312" s="188"/>
      <c r="R312" s="188"/>
      <c r="S312" s="188"/>
      <c r="T312" s="188"/>
      <c r="U312" s="188"/>
      <c r="V312" s="188"/>
      <c r="W312" s="188"/>
    </row>
    <row r="313">
      <c r="A313" s="229"/>
      <c r="B313" s="231" t="str">
        <f>VLOOKUP(A313,'Purchase Order Summary V2'!H:AA,20,0)</f>
        <v>#N/A</v>
      </c>
      <c r="C313" s="229"/>
      <c r="D313" s="229"/>
      <c r="E313" s="229"/>
      <c r="F313" s="188"/>
      <c r="G313" s="188"/>
      <c r="H313" s="188"/>
      <c r="I313" s="188"/>
      <c r="J313" s="188"/>
      <c r="K313" s="188"/>
      <c r="L313" s="188"/>
      <c r="M313" s="188"/>
      <c r="N313" s="188"/>
      <c r="O313" s="188"/>
      <c r="P313" s="188"/>
      <c r="Q313" s="188"/>
      <c r="R313" s="188"/>
      <c r="S313" s="188"/>
      <c r="T313" s="188"/>
      <c r="U313" s="188"/>
      <c r="V313" s="188"/>
      <c r="W313" s="188"/>
    </row>
    <row r="314">
      <c r="A314" s="229"/>
      <c r="B314" s="231" t="str">
        <f>VLOOKUP(A314,'Purchase Order Summary V2'!H:AA,20,0)</f>
        <v>#N/A</v>
      </c>
      <c r="C314" s="229"/>
      <c r="D314" s="229"/>
      <c r="E314" s="229"/>
      <c r="F314" s="188"/>
      <c r="G314" s="188"/>
      <c r="H314" s="188"/>
      <c r="I314" s="188"/>
      <c r="J314" s="188"/>
      <c r="K314" s="188"/>
      <c r="L314" s="188"/>
      <c r="M314" s="188"/>
      <c r="N314" s="188"/>
      <c r="O314" s="188"/>
      <c r="P314" s="188"/>
      <c r="Q314" s="188"/>
      <c r="R314" s="188"/>
      <c r="S314" s="188"/>
      <c r="T314" s="188"/>
      <c r="U314" s="188"/>
      <c r="V314" s="188"/>
      <c r="W314" s="188"/>
    </row>
    <row r="315">
      <c r="A315" s="229"/>
      <c r="B315" s="231" t="str">
        <f>VLOOKUP(A315,'Purchase Order Summary V2'!H:AA,20,0)</f>
        <v>#N/A</v>
      </c>
      <c r="C315" s="229"/>
      <c r="D315" s="229"/>
      <c r="E315" s="229"/>
      <c r="F315" s="188"/>
      <c r="G315" s="188"/>
      <c r="H315" s="188"/>
      <c r="I315" s="188"/>
      <c r="J315" s="188"/>
      <c r="K315" s="188"/>
      <c r="L315" s="188"/>
      <c r="M315" s="188"/>
      <c r="N315" s="188"/>
      <c r="O315" s="188"/>
      <c r="P315" s="188"/>
      <c r="Q315" s="188"/>
      <c r="R315" s="188"/>
      <c r="S315" s="188"/>
      <c r="T315" s="188"/>
      <c r="U315" s="188"/>
      <c r="V315" s="188"/>
      <c r="W315" s="188"/>
    </row>
    <row r="316">
      <c r="A316" s="229"/>
      <c r="B316" s="231" t="str">
        <f>VLOOKUP(A316,'Purchase Order Summary V2'!H:AA,20,0)</f>
        <v>#N/A</v>
      </c>
      <c r="C316" s="229"/>
      <c r="D316" s="229"/>
      <c r="E316" s="229"/>
      <c r="F316" s="188"/>
      <c r="G316" s="188"/>
      <c r="H316" s="188"/>
      <c r="I316" s="188"/>
      <c r="J316" s="188"/>
      <c r="K316" s="188"/>
      <c r="L316" s="188"/>
      <c r="M316" s="188"/>
      <c r="N316" s="188"/>
      <c r="O316" s="188"/>
      <c r="P316" s="188"/>
      <c r="Q316" s="188"/>
      <c r="R316" s="188"/>
      <c r="S316" s="188"/>
      <c r="T316" s="188"/>
      <c r="U316" s="188"/>
      <c r="V316" s="188"/>
      <c r="W316" s="188"/>
    </row>
    <row r="317">
      <c r="A317" s="229"/>
      <c r="B317" s="231" t="str">
        <f>VLOOKUP(A317,'Purchase Order Summary V2'!H:AA,20,0)</f>
        <v>#N/A</v>
      </c>
      <c r="C317" s="229"/>
      <c r="D317" s="229"/>
      <c r="E317" s="229"/>
      <c r="F317" s="188"/>
      <c r="G317" s="188"/>
      <c r="H317" s="188"/>
      <c r="I317" s="188"/>
      <c r="J317" s="188"/>
      <c r="K317" s="188"/>
      <c r="L317" s="188"/>
      <c r="M317" s="188"/>
      <c r="N317" s="188"/>
      <c r="O317" s="188"/>
      <c r="P317" s="188"/>
      <c r="Q317" s="188"/>
      <c r="R317" s="188"/>
      <c r="S317" s="188"/>
      <c r="T317" s="188"/>
      <c r="U317" s="188"/>
      <c r="V317" s="188"/>
      <c r="W317" s="188"/>
    </row>
    <row r="318">
      <c r="A318" s="229"/>
      <c r="B318" s="231" t="str">
        <f>VLOOKUP(A318,'Purchase Order Summary V2'!H:AA,20,0)</f>
        <v>#N/A</v>
      </c>
      <c r="C318" s="229"/>
      <c r="D318" s="229"/>
      <c r="E318" s="229"/>
      <c r="F318" s="188"/>
      <c r="G318" s="188"/>
      <c r="H318" s="188"/>
      <c r="I318" s="188"/>
      <c r="J318" s="188"/>
      <c r="K318" s="188"/>
      <c r="L318" s="188"/>
      <c r="M318" s="188"/>
      <c r="N318" s="188"/>
      <c r="O318" s="188"/>
      <c r="P318" s="188"/>
      <c r="Q318" s="188"/>
      <c r="R318" s="188"/>
      <c r="S318" s="188"/>
      <c r="T318" s="188"/>
      <c r="U318" s="188"/>
      <c r="V318" s="188"/>
      <c r="W318" s="188"/>
    </row>
    <row r="319">
      <c r="A319" s="229"/>
      <c r="B319" s="231" t="str">
        <f>VLOOKUP(A319,'Purchase Order Summary V2'!H:AA,20,0)</f>
        <v>#N/A</v>
      </c>
      <c r="C319" s="229"/>
      <c r="D319" s="229"/>
      <c r="E319" s="229"/>
      <c r="F319" s="188"/>
      <c r="G319" s="188"/>
      <c r="H319" s="188"/>
      <c r="I319" s="188"/>
      <c r="J319" s="188"/>
      <c r="K319" s="188"/>
      <c r="L319" s="188"/>
      <c r="M319" s="188"/>
      <c r="N319" s="188"/>
      <c r="O319" s="188"/>
      <c r="P319" s="188"/>
      <c r="Q319" s="188"/>
      <c r="R319" s="188"/>
      <c r="S319" s="188"/>
      <c r="T319" s="188"/>
      <c r="U319" s="188"/>
      <c r="V319" s="188"/>
      <c r="W319" s="188"/>
    </row>
    <row r="320">
      <c r="A320" s="229"/>
      <c r="B320" s="231" t="str">
        <f>VLOOKUP(A320,'Purchase Order Summary V2'!H:AA,20,0)</f>
        <v>#N/A</v>
      </c>
      <c r="C320" s="229"/>
      <c r="D320" s="229"/>
      <c r="E320" s="229"/>
      <c r="F320" s="188"/>
      <c r="G320" s="188"/>
      <c r="H320" s="188"/>
      <c r="I320" s="188"/>
      <c r="J320" s="188"/>
      <c r="K320" s="188"/>
      <c r="L320" s="188"/>
      <c r="M320" s="188"/>
      <c r="N320" s="188"/>
      <c r="O320" s="188"/>
      <c r="P320" s="188"/>
      <c r="Q320" s="188"/>
      <c r="R320" s="188"/>
      <c r="S320" s="188"/>
      <c r="T320" s="188"/>
      <c r="U320" s="188"/>
      <c r="V320" s="188"/>
      <c r="W320" s="188"/>
    </row>
    <row r="321">
      <c r="A321" s="229"/>
      <c r="B321" s="231" t="str">
        <f>VLOOKUP(A321,'Purchase Order Summary V2'!H:AA,20,0)</f>
        <v>#N/A</v>
      </c>
      <c r="C321" s="229"/>
      <c r="D321" s="229"/>
      <c r="E321" s="229"/>
      <c r="F321" s="188"/>
      <c r="G321" s="188"/>
      <c r="H321" s="188"/>
      <c r="I321" s="188"/>
      <c r="J321" s="188"/>
      <c r="K321" s="188"/>
      <c r="L321" s="188"/>
      <c r="M321" s="188"/>
      <c r="N321" s="188"/>
      <c r="O321" s="188"/>
      <c r="P321" s="188"/>
      <c r="Q321" s="188"/>
      <c r="R321" s="188"/>
      <c r="S321" s="188"/>
      <c r="T321" s="188"/>
      <c r="U321" s="188"/>
      <c r="V321" s="188"/>
      <c r="W321" s="188"/>
    </row>
    <row r="322">
      <c r="A322" s="229"/>
      <c r="B322" s="231" t="str">
        <f>VLOOKUP(A322,'Purchase Order Summary V2'!H:AA,20,0)</f>
        <v>#N/A</v>
      </c>
      <c r="C322" s="229"/>
      <c r="D322" s="229"/>
      <c r="E322" s="229"/>
      <c r="F322" s="188"/>
      <c r="G322" s="188"/>
      <c r="H322" s="188"/>
      <c r="I322" s="188"/>
      <c r="J322" s="188"/>
      <c r="K322" s="188"/>
      <c r="L322" s="188"/>
      <c r="M322" s="188"/>
      <c r="N322" s="188"/>
      <c r="O322" s="188"/>
      <c r="P322" s="188"/>
      <c r="Q322" s="188"/>
      <c r="R322" s="188"/>
      <c r="S322" s="188"/>
      <c r="T322" s="188"/>
      <c r="U322" s="188"/>
      <c r="V322" s="188"/>
      <c r="W322" s="188"/>
    </row>
    <row r="323">
      <c r="A323" s="229"/>
      <c r="B323" s="231" t="str">
        <f>VLOOKUP(A323,'Purchase Order Summary V2'!H:AA,20,0)</f>
        <v>#N/A</v>
      </c>
      <c r="C323" s="229"/>
      <c r="D323" s="229"/>
      <c r="E323" s="229"/>
      <c r="F323" s="188"/>
      <c r="G323" s="188"/>
      <c r="H323" s="188"/>
      <c r="I323" s="188"/>
      <c r="J323" s="188"/>
      <c r="K323" s="188"/>
      <c r="L323" s="188"/>
      <c r="M323" s="188"/>
      <c r="N323" s="188"/>
      <c r="O323" s="188"/>
      <c r="P323" s="188"/>
      <c r="Q323" s="188"/>
      <c r="R323" s="188"/>
      <c r="S323" s="188"/>
      <c r="T323" s="188"/>
      <c r="U323" s="188"/>
      <c r="V323" s="188"/>
      <c r="W323" s="188"/>
    </row>
    <row r="324">
      <c r="A324" s="229"/>
      <c r="B324" s="231" t="str">
        <f>VLOOKUP(A324,'Purchase Order Summary V2'!H:AA,20,0)</f>
        <v>#N/A</v>
      </c>
      <c r="C324" s="229"/>
      <c r="D324" s="229"/>
      <c r="E324" s="229"/>
      <c r="F324" s="188"/>
      <c r="G324" s="188"/>
      <c r="H324" s="188"/>
      <c r="I324" s="188"/>
      <c r="J324" s="188"/>
      <c r="K324" s="188"/>
      <c r="L324" s="188"/>
      <c r="M324" s="188"/>
      <c r="N324" s="188"/>
      <c r="O324" s="188"/>
      <c r="P324" s="188"/>
      <c r="Q324" s="188"/>
      <c r="R324" s="188"/>
      <c r="S324" s="188"/>
      <c r="T324" s="188"/>
      <c r="U324" s="188"/>
      <c r="V324" s="188"/>
      <c r="W324" s="188"/>
    </row>
    <row r="325">
      <c r="A325" s="229"/>
      <c r="B325" s="231" t="str">
        <f>VLOOKUP(A325,'Purchase Order Summary V2'!H:AA,20,0)</f>
        <v>#N/A</v>
      </c>
      <c r="C325" s="229"/>
      <c r="D325" s="229"/>
      <c r="E325" s="229"/>
      <c r="F325" s="188"/>
      <c r="G325" s="188"/>
      <c r="H325" s="188"/>
      <c r="I325" s="188"/>
      <c r="J325" s="188"/>
      <c r="K325" s="188"/>
      <c r="L325" s="188"/>
      <c r="M325" s="188"/>
      <c r="N325" s="188"/>
      <c r="O325" s="188"/>
      <c r="P325" s="188"/>
      <c r="Q325" s="188"/>
      <c r="R325" s="188"/>
      <c r="S325" s="188"/>
      <c r="T325" s="188"/>
      <c r="U325" s="188"/>
      <c r="V325" s="188"/>
      <c r="W325" s="188"/>
    </row>
    <row r="326">
      <c r="A326" s="229"/>
      <c r="B326" s="231" t="str">
        <f>VLOOKUP(A326,'Purchase Order Summary V2'!H:AA,20,0)</f>
        <v>#N/A</v>
      </c>
      <c r="C326" s="229"/>
      <c r="D326" s="229"/>
      <c r="E326" s="229"/>
      <c r="F326" s="188"/>
      <c r="G326" s="188"/>
      <c r="H326" s="188"/>
      <c r="I326" s="188"/>
      <c r="J326" s="188"/>
      <c r="K326" s="188"/>
      <c r="L326" s="188"/>
      <c r="M326" s="188"/>
      <c r="N326" s="188"/>
      <c r="O326" s="188"/>
      <c r="P326" s="188"/>
      <c r="Q326" s="188"/>
      <c r="R326" s="188"/>
      <c r="S326" s="188"/>
      <c r="T326" s="188"/>
      <c r="U326" s="188"/>
      <c r="V326" s="188"/>
      <c r="W326" s="188"/>
    </row>
    <row r="327">
      <c r="A327" s="229"/>
      <c r="B327" s="231" t="str">
        <f>VLOOKUP(A327,'Purchase Order Summary V2'!H:AA,20,0)</f>
        <v>#N/A</v>
      </c>
      <c r="C327" s="229"/>
      <c r="D327" s="229"/>
      <c r="E327" s="229"/>
      <c r="F327" s="188"/>
      <c r="G327" s="188"/>
      <c r="H327" s="188"/>
      <c r="I327" s="188"/>
      <c r="J327" s="188"/>
      <c r="K327" s="188"/>
      <c r="L327" s="188"/>
      <c r="M327" s="188"/>
      <c r="N327" s="188"/>
      <c r="O327" s="188"/>
      <c r="P327" s="188"/>
      <c r="Q327" s="188"/>
      <c r="R327" s="188"/>
      <c r="S327" s="188"/>
      <c r="T327" s="188"/>
      <c r="U327" s="188"/>
      <c r="V327" s="188"/>
      <c r="W327" s="188"/>
    </row>
    <row r="328">
      <c r="A328" s="229"/>
      <c r="B328" s="231" t="str">
        <f>VLOOKUP(A328,'Purchase Order Summary V2'!H:AA,20,0)</f>
        <v>#N/A</v>
      </c>
      <c r="C328" s="229"/>
      <c r="D328" s="229"/>
      <c r="E328" s="229"/>
      <c r="F328" s="188"/>
      <c r="G328" s="188"/>
      <c r="H328" s="188"/>
      <c r="I328" s="188"/>
      <c r="J328" s="188"/>
      <c r="K328" s="188"/>
      <c r="L328" s="188"/>
      <c r="M328" s="188"/>
      <c r="N328" s="188"/>
      <c r="O328" s="188"/>
      <c r="P328" s="188"/>
      <c r="Q328" s="188"/>
      <c r="R328" s="188"/>
      <c r="S328" s="188"/>
      <c r="T328" s="188"/>
      <c r="U328" s="188"/>
      <c r="V328" s="188"/>
      <c r="W328" s="188"/>
    </row>
    <row r="329">
      <c r="A329" s="229"/>
      <c r="B329" s="231" t="str">
        <f>VLOOKUP(A329,'Purchase Order Summary V2'!H:AA,20,0)</f>
        <v>#N/A</v>
      </c>
      <c r="C329" s="229"/>
      <c r="D329" s="229"/>
      <c r="E329" s="229"/>
      <c r="F329" s="188"/>
      <c r="G329" s="188"/>
      <c r="H329" s="188"/>
      <c r="I329" s="188"/>
      <c r="J329" s="188"/>
      <c r="K329" s="188"/>
      <c r="L329" s="188"/>
      <c r="M329" s="188"/>
      <c r="N329" s="188"/>
      <c r="O329" s="188"/>
      <c r="P329" s="188"/>
      <c r="Q329" s="188"/>
      <c r="R329" s="188"/>
      <c r="S329" s="188"/>
      <c r="T329" s="188"/>
      <c r="U329" s="188"/>
      <c r="V329" s="188"/>
      <c r="W329" s="188"/>
    </row>
    <row r="330">
      <c r="A330" s="229"/>
      <c r="B330" s="231" t="str">
        <f>VLOOKUP(A330,'Purchase Order Summary V2'!H:AA,20,0)</f>
        <v>#N/A</v>
      </c>
      <c r="C330" s="229"/>
      <c r="D330" s="229"/>
      <c r="E330" s="229"/>
      <c r="F330" s="188"/>
      <c r="G330" s="188"/>
      <c r="H330" s="188"/>
      <c r="I330" s="188"/>
      <c r="J330" s="188"/>
      <c r="K330" s="188"/>
      <c r="L330" s="188"/>
      <c r="M330" s="188"/>
      <c r="N330" s="188"/>
      <c r="O330" s="188"/>
      <c r="P330" s="188"/>
      <c r="Q330" s="188"/>
      <c r="R330" s="188"/>
      <c r="S330" s="188"/>
      <c r="T330" s="188"/>
      <c r="U330" s="188"/>
      <c r="V330" s="188"/>
      <c r="W330" s="188"/>
    </row>
    <row r="331">
      <c r="A331" s="229"/>
      <c r="B331" s="231" t="str">
        <f>VLOOKUP(A331,'Purchase Order Summary V2'!H:AA,20,0)</f>
        <v>#N/A</v>
      </c>
      <c r="C331" s="229"/>
      <c r="D331" s="229"/>
      <c r="E331" s="229"/>
      <c r="F331" s="188"/>
      <c r="G331" s="188"/>
      <c r="H331" s="188"/>
      <c r="I331" s="188"/>
      <c r="J331" s="188"/>
      <c r="K331" s="188"/>
      <c r="L331" s="188"/>
      <c r="M331" s="188"/>
      <c r="N331" s="188"/>
      <c r="O331" s="188"/>
      <c r="P331" s="188"/>
      <c r="Q331" s="188"/>
      <c r="R331" s="188"/>
      <c r="S331" s="188"/>
      <c r="T331" s="188"/>
      <c r="U331" s="188"/>
      <c r="V331" s="188"/>
      <c r="W331" s="188"/>
    </row>
    <row r="332">
      <c r="A332" s="229"/>
      <c r="B332" s="231" t="str">
        <f>VLOOKUP(A332,'Purchase Order Summary V2'!H:AA,20,0)</f>
        <v>#N/A</v>
      </c>
      <c r="C332" s="229"/>
      <c r="D332" s="229"/>
      <c r="E332" s="229"/>
      <c r="F332" s="188"/>
      <c r="G332" s="188"/>
      <c r="H332" s="188"/>
      <c r="I332" s="188"/>
      <c r="J332" s="188"/>
      <c r="K332" s="188"/>
      <c r="L332" s="188"/>
      <c r="M332" s="188"/>
      <c r="N332" s="188"/>
      <c r="O332" s="188"/>
      <c r="P332" s="188"/>
      <c r="Q332" s="188"/>
      <c r="R332" s="188"/>
      <c r="S332" s="188"/>
      <c r="T332" s="188"/>
      <c r="U332" s="188"/>
      <c r="V332" s="188"/>
      <c r="W332" s="188"/>
    </row>
    <row r="333">
      <c r="A333" s="229"/>
      <c r="B333" s="231" t="str">
        <f>VLOOKUP(A333,'Purchase Order Summary V2'!H:AA,20,0)</f>
        <v>#N/A</v>
      </c>
      <c r="C333" s="229"/>
      <c r="D333" s="229"/>
      <c r="E333" s="229"/>
      <c r="F333" s="188"/>
      <c r="G333" s="188"/>
      <c r="H333" s="188"/>
      <c r="I333" s="188"/>
      <c r="J333" s="188"/>
      <c r="K333" s="188"/>
      <c r="L333" s="188"/>
      <c r="M333" s="188"/>
      <c r="N333" s="188"/>
      <c r="O333" s="188"/>
      <c r="P333" s="188"/>
      <c r="Q333" s="188"/>
      <c r="R333" s="188"/>
      <c r="S333" s="188"/>
      <c r="T333" s="188"/>
      <c r="U333" s="188"/>
      <c r="V333" s="188"/>
      <c r="W333" s="188"/>
    </row>
    <row r="334">
      <c r="A334" s="229"/>
      <c r="B334" s="231" t="str">
        <f>VLOOKUP(A334,'Purchase Order Summary V2'!H:AA,20,0)</f>
        <v>#N/A</v>
      </c>
      <c r="C334" s="229"/>
      <c r="D334" s="229"/>
      <c r="E334" s="229"/>
      <c r="F334" s="188"/>
      <c r="G334" s="188"/>
      <c r="H334" s="188"/>
      <c r="I334" s="188"/>
      <c r="J334" s="188"/>
      <c r="K334" s="188"/>
      <c r="L334" s="188"/>
      <c r="M334" s="188"/>
      <c r="N334" s="188"/>
      <c r="O334" s="188"/>
      <c r="P334" s="188"/>
      <c r="Q334" s="188"/>
      <c r="R334" s="188"/>
      <c r="S334" s="188"/>
      <c r="T334" s="188"/>
      <c r="U334" s="188"/>
      <c r="V334" s="188"/>
      <c r="W334" s="188"/>
    </row>
    <row r="335">
      <c r="A335" s="229"/>
      <c r="B335" s="231" t="str">
        <f>VLOOKUP(A335,'Purchase Order Summary V2'!H:AA,20,0)</f>
        <v>#N/A</v>
      </c>
      <c r="C335" s="229"/>
      <c r="D335" s="229"/>
      <c r="E335" s="229"/>
      <c r="F335" s="188"/>
      <c r="G335" s="188"/>
      <c r="H335" s="188"/>
      <c r="I335" s="188"/>
      <c r="J335" s="188"/>
      <c r="K335" s="188"/>
      <c r="L335" s="188"/>
      <c r="M335" s="188"/>
      <c r="N335" s="188"/>
      <c r="O335" s="188"/>
      <c r="P335" s="188"/>
      <c r="Q335" s="188"/>
      <c r="R335" s="188"/>
      <c r="S335" s="188"/>
      <c r="T335" s="188"/>
      <c r="U335" s="188"/>
      <c r="V335" s="188"/>
      <c r="W335" s="188"/>
    </row>
    <row r="336">
      <c r="A336" s="229"/>
      <c r="B336" s="231" t="str">
        <f>VLOOKUP(A336,'Purchase Order Summary V2'!H:AA,20,0)</f>
        <v>#N/A</v>
      </c>
      <c r="C336" s="229"/>
      <c r="D336" s="229"/>
      <c r="E336" s="229"/>
      <c r="F336" s="188"/>
      <c r="G336" s="188"/>
      <c r="H336" s="188"/>
      <c r="I336" s="188"/>
      <c r="J336" s="188"/>
      <c r="K336" s="188"/>
      <c r="L336" s="188"/>
      <c r="M336" s="188"/>
      <c r="N336" s="188"/>
      <c r="O336" s="188"/>
      <c r="P336" s="188"/>
      <c r="Q336" s="188"/>
      <c r="R336" s="188"/>
      <c r="S336" s="188"/>
      <c r="T336" s="188"/>
      <c r="U336" s="188"/>
      <c r="V336" s="188"/>
      <c r="W336" s="188"/>
    </row>
    <row r="337">
      <c r="A337" s="229"/>
      <c r="B337" s="231" t="str">
        <f>VLOOKUP(A337,'Purchase Order Summary V2'!H:AA,20,0)</f>
        <v>#N/A</v>
      </c>
      <c r="C337" s="229"/>
      <c r="D337" s="229"/>
      <c r="E337" s="229"/>
      <c r="F337" s="188"/>
      <c r="G337" s="188"/>
      <c r="H337" s="188"/>
      <c r="I337" s="188"/>
      <c r="J337" s="188"/>
      <c r="K337" s="188"/>
      <c r="L337" s="188"/>
      <c r="M337" s="188"/>
      <c r="N337" s="188"/>
      <c r="O337" s="188"/>
      <c r="P337" s="188"/>
      <c r="Q337" s="188"/>
      <c r="R337" s="188"/>
      <c r="S337" s="188"/>
      <c r="T337" s="188"/>
      <c r="U337" s="188"/>
      <c r="V337" s="188"/>
      <c r="W337" s="188"/>
    </row>
    <row r="338">
      <c r="A338" s="229"/>
      <c r="B338" s="231" t="str">
        <f>VLOOKUP(A338,'Purchase Order Summary V2'!H:AA,20,0)</f>
        <v>#N/A</v>
      </c>
      <c r="C338" s="229"/>
      <c r="D338" s="229"/>
      <c r="E338" s="229"/>
      <c r="F338" s="188"/>
      <c r="G338" s="188"/>
      <c r="H338" s="188"/>
      <c r="I338" s="188"/>
      <c r="J338" s="188"/>
      <c r="K338" s="188"/>
      <c r="L338" s="188"/>
      <c r="M338" s="188"/>
      <c r="N338" s="188"/>
      <c r="O338" s="188"/>
      <c r="P338" s="188"/>
      <c r="Q338" s="188"/>
      <c r="R338" s="188"/>
      <c r="S338" s="188"/>
      <c r="T338" s="188"/>
      <c r="U338" s="188"/>
      <c r="V338" s="188"/>
      <c r="W338" s="188"/>
    </row>
    <row r="339">
      <c r="A339" s="229"/>
      <c r="B339" s="231" t="str">
        <f>VLOOKUP(A339,'Purchase Order Summary V2'!H:AA,20,0)</f>
        <v>#N/A</v>
      </c>
      <c r="C339" s="229"/>
      <c r="D339" s="229"/>
      <c r="E339" s="229"/>
      <c r="F339" s="188"/>
      <c r="G339" s="188"/>
      <c r="H339" s="188"/>
      <c r="I339" s="188"/>
      <c r="J339" s="188"/>
      <c r="K339" s="188"/>
      <c r="L339" s="188"/>
      <c r="M339" s="188"/>
      <c r="N339" s="188"/>
      <c r="O339" s="188"/>
      <c r="P339" s="188"/>
      <c r="Q339" s="188"/>
      <c r="R339" s="188"/>
      <c r="S339" s="188"/>
      <c r="T339" s="188"/>
      <c r="U339" s="188"/>
      <c r="V339" s="188"/>
      <c r="W339" s="188"/>
    </row>
    <row r="340">
      <c r="A340" s="229"/>
      <c r="B340" s="231" t="str">
        <f>VLOOKUP(A340,'Purchase Order Summary V2'!H:AA,20,0)</f>
        <v>#N/A</v>
      </c>
      <c r="C340" s="229"/>
      <c r="D340" s="229"/>
      <c r="E340" s="229"/>
      <c r="F340" s="188"/>
      <c r="G340" s="188"/>
      <c r="H340" s="188"/>
      <c r="I340" s="188"/>
      <c r="J340" s="188"/>
      <c r="K340" s="188"/>
      <c r="L340" s="188"/>
      <c r="M340" s="188"/>
      <c r="N340" s="188"/>
      <c r="O340" s="188"/>
      <c r="P340" s="188"/>
      <c r="Q340" s="188"/>
      <c r="R340" s="188"/>
      <c r="S340" s="188"/>
      <c r="T340" s="188"/>
      <c r="U340" s="188"/>
      <c r="V340" s="188"/>
      <c r="W340" s="188"/>
    </row>
    <row r="341">
      <c r="A341" s="229"/>
      <c r="B341" s="231" t="str">
        <f>VLOOKUP(A341,'Purchase Order Summary V2'!H:AA,20,0)</f>
        <v>#N/A</v>
      </c>
      <c r="C341" s="229"/>
      <c r="D341" s="229"/>
      <c r="E341" s="229"/>
      <c r="F341" s="188"/>
      <c r="G341" s="188"/>
      <c r="H341" s="188"/>
      <c r="I341" s="188"/>
      <c r="J341" s="188"/>
      <c r="K341" s="188"/>
      <c r="L341" s="188"/>
      <c r="M341" s="188"/>
      <c r="N341" s="188"/>
      <c r="O341" s="188"/>
      <c r="P341" s="188"/>
      <c r="Q341" s="188"/>
      <c r="R341" s="188"/>
      <c r="S341" s="188"/>
      <c r="T341" s="188"/>
      <c r="U341" s="188"/>
      <c r="V341" s="188"/>
      <c r="W341" s="188"/>
    </row>
    <row r="342">
      <c r="A342" s="229"/>
      <c r="B342" s="231" t="str">
        <f>VLOOKUP(A342,'Purchase Order Summary V2'!H:AA,20,0)</f>
        <v>#N/A</v>
      </c>
      <c r="C342" s="229"/>
      <c r="D342" s="229"/>
      <c r="E342" s="229"/>
      <c r="F342" s="188"/>
      <c r="G342" s="188"/>
      <c r="H342" s="188"/>
      <c r="I342" s="188"/>
      <c r="J342" s="188"/>
      <c r="K342" s="188"/>
      <c r="L342" s="188"/>
      <c r="M342" s="188"/>
      <c r="N342" s="188"/>
      <c r="O342" s="188"/>
      <c r="P342" s="188"/>
      <c r="Q342" s="188"/>
      <c r="R342" s="188"/>
      <c r="S342" s="188"/>
      <c r="T342" s="188"/>
      <c r="U342" s="188"/>
      <c r="V342" s="188"/>
      <c r="W342" s="188"/>
    </row>
    <row r="343">
      <c r="A343" s="229"/>
      <c r="B343" s="231" t="str">
        <f>VLOOKUP(A343,'Purchase Order Summary V2'!H:AA,20,0)</f>
        <v>#N/A</v>
      </c>
      <c r="C343" s="229"/>
      <c r="D343" s="229"/>
      <c r="E343" s="229"/>
      <c r="F343" s="188"/>
      <c r="G343" s="188"/>
      <c r="H343" s="188"/>
      <c r="I343" s="188"/>
      <c r="J343" s="188"/>
      <c r="K343" s="188"/>
      <c r="L343" s="188"/>
      <c r="M343" s="188"/>
      <c r="N343" s="188"/>
      <c r="O343" s="188"/>
      <c r="P343" s="188"/>
      <c r="Q343" s="188"/>
      <c r="R343" s="188"/>
      <c r="S343" s="188"/>
      <c r="T343" s="188"/>
      <c r="U343" s="188"/>
      <c r="V343" s="188"/>
      <c r="W343" s="188"/>
    </row>
    <row r="344">
      <c r="A344" s="229"/>
      <c r="B344" s="231" t="str">
        <f>VLOOKUP(A344,'Purchase Order Summary V2'!H:AA,20,0)</f>
        <v>#N/A</v>
      </c>
      <c r="C344" s="229"/>
      <c r="D344" s="229"/>
      <c r="E344" s="229"/>
      <c r="F344" s="188"/>
      <c r="G344" s="188"/>
      <c r="H344" s="188"/>
      <c r="I344" s="188"/>
      <c r="J344" s="188"/>
      <c r="K344" s="188"/>
      <c r="L344" s="188"/>
      <c r="M344" s="188"/>
      <c r="N344" s="188"/>
      <c r="O344" s="188"/>
      <c r="P344" s="188"/>
      <c r="Q344" s="188"/>
      <c r="R344" s="188"/>
      <c r="S344" s="188"/>
      <c r="T344" s="188"/>
      <c r="U344" s="188"/>
      <c r="V344" s="188"/>
      <c r="W344" s="188"/>
    </row>
    <row r="345">
      <c r="A345" s="229"/>
      <c r="B345" s="231" t="str">
        <f>VLOOKUP(A345,'Purchase Order Summary V2'!H:AA,20,0)</f>
        <v>#N/A</v>
      </c>
      <c r="C345" s="229"/>
      <c r="D345" s="229"/>
      <c r="E345" s="229"/>
      <c r="F345" s="188"/>
      <c r="G345" s="188"/>
      <c r="H345" s="188"/>
      <c r="I345" s="188"/>
      <c r="J345" s="188"/>
      <c r="K345" s="188"/>
      <c r="L345" s="188"/>
      <c r="M345" s="188"/>
      <c r="N345" s="188"/>
      <c r="O345" s="188"/>
      <c r="P345" s="188"/>
      <c r="Q345" s="188"/>
      <c r="R345" s="188"/>
      <c r="S345" s="188"/>
      <c r="T345" s="188"/>
      <c r="U345" s="188"/>
      <c r="V345" s="188"/>
      <c r="W345" s="188"/>
    </row>
    <row r="346">
      <c r="A346" s="229"/>
      <c r="B346" s="231" t="str">
        <f>VLOOKUP(A346,'Purchase Order Summary V2'!H:AA,20,0)</f>
        <v>#N/A</v>
      </c>
      <c r="C346" s="229"/>
      <c r="D346" s="229"/>
      <c r="E346" s="229"/>
      <c r="F346" s="188"/>
      <c r="G346" s="188"/>
      <c r="H346" s="188"/>
      <c r="I346" s="188"/>
      <c r="J346" s="188"/>
      <c r="K346" s="188"/>
      <c r="L346" s="188"/>
      <c r="M346" s="188"/>
      <c r="N346" s="188"/>
      <c r="O346" s="188"/>
      <c r="P346" s="188"/>
      <c r="Q346" s="188"/>
      <c r="R346" s="188"/>
      <c r="S346" s="188"/>
      <c r="T346" s="188"/>
      <c r="U346" s="188"/>
      <c r="V346" s="188"/>
      <c r="W346" s="188"/>
    </row>
    <row r="347">
      <c r="A347" s="229"/>
      <c r="B347" s="231" t="str">
        <f>VLOOKUP(A347,'Purchase Order Summary V2'!H:AA,20,0)</f>
        <v>#N/A</v>
      </c>
      <c r="C347" s="229"/>
      <c r="D347" s="229"/>
      <c r="E347" s="229"/>
      <c r="F347" s="188"/>
      <c r="G347" s="188"/>
      <c r="H347" s="188"/>
      <c r="I347" s="188"/>
      <c r="J347" s="188"/>
      <c r="K347" s="188"/>
      <c r="L347" s="188"/>
      <c r="M347" s="188"/>
      <c r="N347" s="188"/>
      <c r="O347" s="188"/>
      <c r="P347" s="188"/>
      <c r="Q347" s="188"/>
      <c r="R347" s="188"/>
      <c r="S347" s="188"/>
      <c r="T347" s="188"/>
      <c r="U347" s="188"/>
      <c r="V347" s="188"/>
      <c r="W347" s="188"/>
    </row>
    <row r="348">
      <c r="A348" s="229"/>
      <c r="B348" s="231" t="str">
        <f>VLOOKUP(A348,'Purchase Order Summary V2'!H:AA,20,0)</f>
        <v>#N/A</v>
      </c>
      <c r="C348" s="229"/>
      <c r="D348" s="229"/>
      <c r="E348" s="229"/>
      <c r="F348" s="188"/>
      <c r="G348" s="188"/>
      <c r="H348" s="188"/>
      <c r="I348" s="188"/>
      <c r="J348" s="188"/>
      <c r="K348" s="188"/>
      <c r="L348" s="188"/>
      <c r="M348" s="188"/>
      <c r="N348" s="188"/>
      <c r="O348" s="188"/>
      <c r="P348" s="188"/>
      <c r="Q348" s="188"/>
      <c r="R348" s="188"/>
      <c r="S348" s="188"/>
      <c r="T348" s="188"/>
      <c r="U348" s="188"/>
      <c r="V348" s="188"/>
      <c r="W348" s="188"/>
    </row>
    <row r="349">
      <c r="A349" s="229"/>
      <c r="B349" s="231" t="str">
        <f>VLOOKUP(A349,'Purchase Order Summary V2'!H:AA,20,0)</f>
        <v>#N/A</v>
      </c>
      <c r="C349" s="229"/>
      <c r="D349" s="229"/>
      <c r="E349" s="229"/>
      <c r="F349" s="188"/>
      <c r="G349" s="188"/>
      <c r="H349" s="188"/>
      <c r="I349" s="188"/>
      <c r="J349" s="188"/>
      <c r="K349" s="188"/>
      <c r="L349" s="188"/>
      <c r="M349" s="188"/>
      <c r="N349" s="188"/>
      <c r="O349" s="188"/>
      <c r="P349" s="188"/>
      <c r="Q349" s="188"/>
      <c r="R349" s="188"/>
      <c r="S349" s="188"/>
      <c r="T349" s="188"/>
      <c r="U349" s="188"/>
      <c r="V349" s="188"/>
      <c r="W349" s="188"/>
    </row>
    <row r="350">
      <c r="A350" s="229"/>
      <c r="B350" s="231" t="str">
        <f>VLOOKUP(A350,'Purchase Order Summary V2'!H:AA,20,0)</f>
        <v>#N/A</v>
      </c>
      <c r="C350" s="229"/>
      <c r="D350" s="229"/>
      <c r="E350" s="229"/>
      <c r="F350" s="188"/>
      <c r="G350" s="188"/>
      <c r="H350" s="188"/>
      <c r="I350" s="188"/>
      <c r="J350" s="188"/>
      <c r="K350" s="188"/>
      <c r="L350" s="188"/>
      <c r="M350" s="188"/>
      <c r="N350" s="188"/>
      <c r="O350" s="188"/>
      <c r="P350" s="188"/>
      <c r="Q350" s="188"/>
      <c r="R350" s="188"/>
      <c r="S350" s="188"/>
      <c r="T350" s="188"/>
      <c r="U350" s="188"/>
      <c r="V350" s="188"/>
      <c r="W350" s="188"/>
    </row>
    <row r="351">
      <c r="A351" s="229"/>
      <c r="B351" s="231" t="str">
        <f>VLOOKUP(A351,'Purchase Order Summary V2'!H:AA,20,0)</f>
        <v>#N/A</v>
      </c>
      <c r="C351" s="229"/>
      <c r="D351" s="229"/>
      <c r="E351" s="229"/>
      <c r="F351" s="188"/>
      <c r="G351" s="188"/>
      <c r="H351" s="188"/>
      <c r="I351" s="188"/>
      <c r="J351" s="188"/>
      <c r="K351" s="188"/>
      <c r="L351" s="188"/>
      <c r="M351" s="188"/>
      <c r="N351" s="188"/>
      <c r="O351" s="188"/>
      <c r="P351" s="188"/>
      <c r="Q351" s="188"/>
      <c r="R351" s="188"/>
      <c r="S351" s="188"/>
      <c r="T351" s="188"/>
      <c r="U351" s="188"/>
      <c r="V351" s="188"/>
      <c r="W351" s="188"/>
    </row>
    <row r="352">
      <c r="A352" s="229"/>
      <c r="B352" s="231" t="str">
        <f>VLOOKUP(A352,'Purchase Order Summary V2'!H:AA,20,0)</f>
        <v>#N/A</v>
      </c>
      <c r="C352" s="229"/>
      <c r="D352" s="229"/>
      <c r="E352" s="229"/>
      <c r="F352" s="188"/>
      <c r="G352" s="188"/>
      <c r="H352" s="188"/>
      <c r="I352" s="188"/>
      <c r="J352" s="188"/>
      <c r="K352" s="188"/>
      <c r="L352" s="188"/>
      <c r="M352" s="188"/>
      <c r="N352" s="188"/>
      <c r="O352" s="188"/>
      <c r="P352" s="188"/>
      <c r="Q352" s="188"/>
      <c r="R352" s="188"/>
      <c r="S352" s="188"/>
      <c r="T352" s="188"/>
      <c r="U352" s="188"/>
      <c r="V352" s="188"/>
      <c r="W352" s="188"/>
    </row>
    <row r="353">
      <c r="A353" s="229"/>
      <c r="B353" s="231" t="str">
        <f>VLOOKUP(A353,'Purchase Order Summary V2'!H:AA,20,0)</f>
        <v>#N/A</v>
      </c>
      <c r="C353" s="229"/>
      <c r="D353" s="229"/>
      <c r="E353" s="229"/>
      <c r="F353" s="188"/>
      <c r="G353" s="188"/>
      <c r="H353" s="188"/>
      <c r="I353" s="188"/>
      <c r="J353" s="188"/>
      <c r="K353" s="188"/>
      <c r="L353" s="188"/>
      <c r="M353" s="188"/>
      <c r="N353" s="188"/>
      <c r="O353" s="188"/>
      <c r="P353" s="188"/>
      <c r="Q353" s="188"/>
      <c r="R353" s="188"/>
      <c r="S353" s="188"/>
      <c r="T353" s="188"/>
      <c r="U353" s="188"/>
      <c r="V353" s="188"/>
      <c r="W353" s="188"/>
    </row>
    <row r="354">
      <c r="A354" s="229"/>
      <c r="B354" s="231" t="str">
        <f>VLOOKUP(A354,'Purchase Order Summary V2'!H:AA,20,0)</f>
        <v>#N/A</v>
      </c>
      <c r="C354" s="229"/>
      <c r="D354" s="229"/>
      <c r="E354" s="229"/>
      <c r="F354" s="188"/>
      <c r="G354" s="188"/>
      <c r="H354" s="188"/>
      <c r="I354" s="188"/>
      <c r="J354" s="188"/>
      <c r="K354" s="188"/>
      <c r="L354" s="188"/>
      <c r="M354" s="188"/>
      <c r="N354" s="188"/>
      <c r="O354" s="188"/>
      <c r="P354" s="188"/>
      <c r="Q354" s="188"/>
      <c r="R354" s="188"/>
      <c r="S354" s="188"/>
      <c r="T354" s="188"/>
      <c r="U354" s="188"/>
      <c r="V354" s="188"/>
      <c r="W354" s="188"/>
    </row>
    <row r="355">
      <c r="A355" s="229"/>
      <c r="B355" s="231" t="str">
        <f>VLOOKUP(A355,'Purchase Order Summary V2'!H:AA,20,0)</f>
        <v>#N/A</v>
      </c>
      <c r="C355" s="229"/>
      <c r="D355" s="229"/>
      <c r="E355" s="229"/>
      <c r="F355" s="188"/>
      <c r="G355" s="188"/>
      <c r="H355" s="188"/>
      <c r="I355" s="188"/>
      <c r="J355" s="188"/>
      <c r="K355" s="188"/>
      <c r="L355" s="188"/>
      <c r="M355" s="188"/>
      <c r="N355" s="188"/>
      <c r="O355" s="188"/>
      <c r="P355" s="188"/>
      <c r="Q355" s="188"/>
      <c r="R355" s="188"/>
      <c r="S355" s="188"/>
      <c r="T355" s="188"/>
      <c r="U355" s="188"/>
      <c r="V355" s="188"/>
      <c r="W355" s="188"/>
    </row>
    <row r="356">
      <c r="A356" s="229"/>
      <c r="B356" s="231" t="str">
        <f>VLOOKUP(A356,'Purchase Order Summary V2'!H:AA,20,0)</f>
        <v>#N/A</v>
      </c>
      <c r="C356" s="229"/>
      <c r="D356" s="229"/>
      <c r="E356" s="229"/>
      <c r="F356" s="188"/>
      <c r="G356" s="188"/>
      <c r="H356" s="188"/>
      <c r="I356" s="188"/>
      <c r="J356" s="188"/>
      <c r="K356" s="188"/>
      <c r="L356" s="188"/>
      <c r="M356" s="188"/>
      <c r="N356" s="188"/>
      <c r="O356" s="188"/>
      <c r="P356" s="188"/>
      <c r="Q356" s="188"/>
      <c r="R356" s="188"/>
      <c r="S356" s="188"/>
      <c r="T356" s="188"/>
      <c r="U356" s="188"/>
      <c r="V356" s="188"/>
      <c r="W356" s="188"/>
    </row>
    <row r="357">
      <c r="A357" s="229"/>
      <c r="B357" s="231" t="str">
        <f>VLOOKUP(A357,'Purchase Order Summary V2'!H:AA,20,0)</f>
        <v>#N/A</v>
      </c>
      <c r="C357" s="229"/>
      <c r="D357" s="229"/>
      <c r="E357" s="229"/>
      <c r="F357" s="188"/>
      <c r="G357" s="188"/>
      <c r="H357" s="188"/>
      <c r="I357" s="188"/>
      <c r="J357" s="188"/>
      <c r="K357" s="188"/>
      <c r="L357" s="188"/>
      <c r="M357" s="188"/>
      <c r="N357" s="188"/>
      <c r="O357" s="188"/>
      <c r="P357" s="188"/>
      <c r="Q357" s="188"/>
      <c r="R357" s="188"/>
      <c r="S357" s="188"/>
      <c r="T357" s="188"/>
      <c r="U357" s="188"/>
      <c r="V357" s="188"/>
      <c r="W357" s="188"/>
    </row>
    <row r="358">
      <c r="A358" s="229"/>
      <c r="B358" s="231" t="str">
        <f>VLOOKUP(A358,'Purchase Order Summary V2'!H:AA,20,0)</f>
        <v>#N/A</v>
      </c>
      <c r="C358" s="229"/>
      <c r="D358" s="229"/>
      <c r="E358" s="229"/>
      <c r="F358" s="188"/>
      <c r="G358" s="188"/>
      <c r="H358" s="188"/>
      <c r="I358" s="188"/>
      <c r="J358" s="188"/>
      <c r="K358" s="188"/>
      <c r="L358" s="188"/>
      <c r="M358" s="188"/>
      <c r="N358" s="188"/>
      <c r="O358" s="188"/>
      <c r="P358" s="188"/>
      <c r="Q358" s="188"/>
      <c r="R358" s="188"/>
      <c r="S358" s="188"/>
      <c r="T358" s="188"/>
      <c r="U358" s="188"/>
      <c r="V358" s="188"/>
      <c r="W358" s="188"/>
    </row>
    <row r="359">
      <c r="A359" s="229"/>
      <c r="B359" s="231" t="str">
        <f>VLOOKUP(A359,'Purchase Order Summary V2'!H:AA,20,0)</f>
        <v>#N/A</v>
      </c>
      <c r="C359" s="229"/>
      <c r="D359" s="229"/>
      <c r="E359" s="229"/>
      <c r="F359" s="188"/>
      <c r="G359" s="188"/>
      <c r="H359" s="188"/>
      <c r="I359" s="188"/>
      <c r="J359" s="188"/>
      <c r="K359" s="188"/>
      <c r="L359" s="188"/>
      <c r="M359" s="188"/>
      <c r="N359" s="188"/>
      <c r="O359" s="188"/>
      <c r="P359" s="188"/>
      <c r="Q359" s="188"/>
      <c r="R359" s="188"/>
      <c r="S359" s="188"/>
      <c r="T359" s="188"/>
      <c r="U359" s="188"/>
      <c r="V359" s="188"/>
      <c r="W359" s="188"/>
    </row>
    <row r="360">
      <c r="A360" s="229"/>
      <c r="B360" s="231" t="str">
        <f>VLOOKUP(A360,'Purchase Order Summary V2'!H:AA,20,0)</f>
        <v>#N/A</v>
      </c>
      <c r="C360" s="229"/>
      <c r="D360" s="229"/>
      <c r="E360" s="229"/>
      <c r="F360" s="188"/>
      <c r="G360" s="188"/>
      <c r="H360" s="188"/>
      <c r="I360" s="188"/>
      <c r="J360" s="188"/>
      <c r="K360" s="188"/>
      <c r="L360" s="188"/>
      <c r="M360" s="188"/>
      <c r="N360" s="188"/>
      <c r="O360" s="188"/>
      <c r="P360" s="188"/>
      <c r="Q360" s="188"/>
      <c r="R360" s="188"/>
      <c r="S360" s="188"/>
      <c r="T360" s="188"/>
      <c r="U360" s="188"/>
      <c r="V360" s="188"/>
      <c r="W360" s="188"/>
    </row>
    <row r="361">
      <c r="A361" s="229"/>
      <c r="B361" s="231" t="str">
        <f>VLOOKUP(A361,'Purchase Order Summary V2'!H:AA,20,0)</f>
        <v>#N/A</v>
      </c>
      <c r="C361" s="229"/>
      <c r="D361" s="229"/>
      <c r="E361" s="229"/>
      <c r="F361" s="188"/>
      <c r="G361" s="188"/>
      <c r="H361" s="188"/>
      <c r="I361" s="188"/>
      <c r="J361" s="188"/>
      <c r="K361" s="188"/>
      <c r="L361" s="188"/>
      <c r="M361" s="188"/>
      <c r="N361" s="188"/>
      <c r="O361" s="188"/>
      <c r="P361" s="188"/>
      <c r="Q361" s="188"/>
      <c r="R361" s="188"/>
      <c r="S361" s="188"/>
      <c r="T361" s="188"/>
      <c r="U361" s="188"/>
      <c r="V361" s="188"/>
      <c r="W361" s="188"/>
    </row>
    <row r="362">
      <c r="A362" s="229"/>
      <c r="B362" s="231" t="str">
        <f>VLOOKUP(A362,'Purchase Order Summary V2'!H:AA,20,0)</f>
        <v>#N/A</v>
      </c>
      <c r="C362" s="229"/>
      <c r="D362" s="229"/>
      <c r="E362" s="229"/>
      <c r="F362" s="188"/>
      <c r="G362" s="188"/>
      <c r="H362" s="188"/>
      <c r="I362" s="188"/>
      <c r="J362" s="188"/>
      <c r="K362" s="188"/>
      <c r="L362" s="188"/>
      <c r="M362" s="188"/>
      <c r="N362" s="188"/>
      <c r="O362" s="188"/>
      <c r="P362" s="188"/>
      <c r="Q362" s="188"/>
      <c r="R362" s="188"/>
      <c r="S362" s="188"/>
      <c r="T362" s="188"/>
      <c r="U362" s="188"/>
      <c r="V362" s="188"/>
      <c r="W362" s="188"/>
    </row>
    <row r="363">
      <c r="A363" s="229"/>
      <c r="B363" s="231" t="str">
        <f>VLOOKUP(A363,'Purchase Order Summary V2'!H:AA,20,0)</f>
        <v>#N/A</v>
      </c>
      <c r="C363" s="229"/>
      <c r="D363" s="229"/>
      <c r="E363" s="229"/>
      <c r="F363" s="188"/>
      <c r="G363" s="188"/>
      <c r="H363" s="188"/>
      <c r="I363" s="188"/>
      <c r="J363" s="188"/>
      <c r="K363" s="188"/>
      <c r="L363" s="188"/>
      <c r="M363" s="188"/>
      <c r="N363" s="188"/>
      <c r="O363" s="188"/>
      <c r="P363" s="188"/>
      <c r="Q363" s="188"/>
      <c r="R363" s="188"/>
      <c r="S363" s="188"/>
      <c r="T363" s="188"/>
      <c r="U363" s="188"/>
      <c r="V363" s="188"/>
      <c r="W363" s="188"/>
    </row>
    <row r="364">
      <c r="A364" s="229"/>
      <c r="B364" s="231" t="str">
        <f>VLOOKUP(A364,'Purchase Order Summary V2'!H:AA,20,0)</f>
        <v>#N/A</v>
      </c>
      <c r="C364" s="229"/>
      <c r="D364" s="229"/>
      <c r="E364" s="229"/>
      <c r="F364" s="188"/>
      <c r="G364" s="188"/>
      <c r="H364" s="188"/>
      <c r="I364" s="188"/>
      <c r="J364" s="188"/>
      <c r="K364" s="188"/>
      <c r="L364" s="188"/>
      <c r="M364" s="188"/>
      <c r="N364" s="188"/>
      <c r="O364" s="188"/>
      <c r="P364" s="188"/>
      <c r="Q364" s="188"/>
      <c r="R364" s="188"/>
      <c r="S364" s="188"/>
      <c r="T364" s="188"/>
      <c r="U364" s="188"/>
      <c r="V364" s="188"/>
      <c r="W364" s="188"/>
    </row>
    <row r="365">
      <c r="A365" s="229"/>
      <c r="B365" s="231" t="str">
        <f>VLOOKUP(A365,'Purchase Order Summary V2'!H:AA,20,0)</f>
        <v>#N/A</v>
      </c>
      <c r="C365" s="229"/>
      <c r="D365" s="229"/>
      <c r="E365" s="229"/>
      <c r="F365" s="188"/>
      <c r="G365" s="188"/>
      <c r="H365" s="188"/>
      <c r="I365" s="188"/>
      <c r="J365" s="188"/>
      <c r="K365" s="188"/>
      <c r="L365" s="188"/>
      <c r="M365" s="188"/>
      <c r="N365" s="188"/>
      <c r="O365" s="188"/>
      <c r="P365" s="188"/>
      <c r="Q365" s="188"/>
      <c r="R365" s="188"/>
      <c r="S365" s="188"/>
      <c r="T365" s="188"/>
      <c r="U365" s="188"/>
      <c r="V365" s="188"/>
      <c r="W365" s="188"/>
    </row>
    <row r="366">
      <c r="A366" s="229"/>
      <c r="B366" s="231" t="str">
        <f>VLOOKUP(A366,'Purchase Order Summary V2'!H:AA,20,0)</f>
        <v>#N/A</v>
      </c>
      <c r="C366" s="229"/>
      <c r="D366" s="229"/>
      <c r="E366" s="229"/>
      <c r="F366" s="188"/>
      <c r="G366" s="188"/>
      <c r="H366" s="188"/>
      <c r="I366" s="188"/>
      <c r="J366" s="188"/>
      <c r="K366" s="188"/>
      <c r="L366" s="188"/>
      <c r="M366" s="188"/>
      <c r="N366" s="188"/>
      <c r="O366" s="188"/>
      <c r="P366" s="188"/>
      <c r="Q366" s="188"/>
      <c r="R366" s="188"/>
      <c r="S366" s="188"/>
      <c r="T366" s="188"/>
      <c r="U366" s="188"/>
      <c r="V366" s="188"/>
      <c r="W366" s="188"/>
    </row>
    <row r="367">
      <c r="A367" s="229"/>
      <c r="B367" s="231" t="str">
        <f>VLOOKUP(A367,'Purchase Order Summary V2'!H:AA,20,0)</f>
        <v>#N/A</v>
      </c>
      <c r="C367" s="229"/>
      <c r="D367" s="229"/>
      <c r="E367" s="229"/>
      <c r="F367" s="188"/>
      <c r="G367" s="188"/>
      <c r="H367" s="188"/>
      <c r="I367" s="188"/>
      <c r="J367" s="188"/>
      <c r="K367" s="188"/>
      <c r="L367" s="188"/>
      <c r="M367" s="188"/>
      <c r="N367" s="188"/>
      <c r="O367" s="188"/>
      <c r="P367" s="188"/>
      <c r="Q367" s="188"/>
      <c r="R367" s="188"/>
      <c r="S367" s="188"/>
      <c r="T367" s="188"/>
      <c r="U367" s="188"/>
      <c r="V367" s="188"/>
      <c r="W367" s="188"/>
    </row>
    <row r="368">
      <c r="A368" s="229"/>
      <c r="B368" s="231" t="str">
        <f>VLOOKUP(A368,'Purchase Order Summary V2'!H:AA,20,0)</f>
        <v>#N/A</v>
      </c>
      <c r="C368" s="229"/>
      <c r="D368" s="229"/>
      <c r="E368" s="229"/>
      <c r="F368" s="188"/>
      <c r="G368" s="188"/>
      <c r="H368" s="188"/>
      <c r="I368" s="188"/>
      <c r="J368" s="188"/>
      <c r="K368" s="188"/>
      <c r="L368" s="188"/>
      <c r="M368" s="188"/>
      <c r="N368" s="188"/>
      <c r="O368" s="188"/>
      <c r="P368" s="188"/>
      <c r="Q368" s="188"/>
      <c r="R368" s="188"/>
      <c r="S368" s="188"/>
      <c r="T368" s="188"/>
      <c r="U368" s="188"/>
      <c r="V368" s="188"/>
      <c r="W368" s="188"/>
    </row>
    <row r="369">
      <c r="A369" s="229"/>
      <c r="B369" s="231" t="str">
        <f>VLOOKUP(A369,'Purchase Order Summary V2'!H:AA,20,0)</f>
        <v>#N/A</v>
      </c>
      <c r="C369" s="229"/>
      <c r="D369" s="229"/>
      <c r="E369" s="229"/>
      <c r="F369" s="188"/>
      <c r="G369" s="188"/>
      <c r="H369" s="188"/>
      <c r="I369" s="188"/>
      <c r="J369" s="188"/>
      <c r="K369" s="188"/>
      <c r="L369" s="188"/>
      <c r="M369" s="188"/>
      <c r="N369" s="188"/>
      <c r="O369" s="188"/>
      <c r="P369" s="188"/>
      <c r="Q369" s="188"/>
      <c r="R369" s="188"/>
      <c r="S369" s="188"/>
      <c r="T369" s="188"/>
      <c r="U369" s="188"/>
      <c r="V369" s="188"/>
      <c r="W369" s="188"/>
    </row>
    <row r="370">
      <c r="A370" s="229"/>
      <c r="B370" s="231" t="str">
        <f>VLOOKUP(A370,'Purchase Order Summary V2'!H:AA,20,0)</f>
        <v>#N/A</v>
      </c>
      <c r="C370" s="229"/>
      <c r="D370" s="229"/>
      <c r="E370" s="229"/>
      <c r="F370" s="188"/>
      <c r="G370" s="188"/>
      <c r="H370" s="188"/>
      <c r="I370" s="188"/>
      <c r="J370" s="188"/>
      <c r="K370" s="188"/>
      <c r="L370" s="188"/>
      <c r="M370" s="188"/>
      <c r="N370" s="188"/>
      <c r="O370" s="188"/>
      <c r="P370" s="188"/>
      <c r="Q370" s="188"/>
      <c r="R370" s="188"/>
      <c r="S370" s="188"/>
      <c r="T370" s="188"/>
      <c r="U370" s="188"/>
      <c r="V370" s="188"/>
      <c r="W370" s="188"/>
    </row>
    <row r="371">
      <c r="A371" s="229"/>
      <c r="B371" s="231" t="str">
        <f>VLOOKUP(A371,'Purchase Order Summary V2'!H:AA,20,0)</f>
        <v>#N/A</v>
      </c>
      <c r="C371" s="229"/>
      <c r="D371" s="229"/>
      <c r="E371" s="229"/>
      <c r="F371" s="188"/>
      <c r="G371" s="188"/>
      <c r="H371" s="188"/>
      <c r="I371" s="188"/>
      <c r="J371" s="188"/>
      <c r="K371" s="188"/>
      <c r="L371" s="188"/>
      <c r="M371" s="188"/>
      <c r="N371" s="188"/>
      <c r="O371" s="188"/>
      <c r="P371" s="188"/>
      <c r="Q371" s="188"/>
      <c r="R371" s="188"/>
      <c r="S371" s="188"/>
      <c r="T371" s="188"/>
      <c r="U371" s="188"/>
      <c r="V371" s="188"/>
      <c r="W371" s="188"/>
    </row>
    <row r="372">
      <c r="A372" s="229"/>
      <c r="B372" s="231" t="str">
        <f>VLOOKUP(A372,'Purchase Order Summary V2'!H:AA,20,0)</f>
        <v>#N/A</v>
      </c>
      <c r="C372" s="229"/>
      <c r="D372" s="229"/>
      <c r="E372" s="229"/>
      <c r="F372" s="188"/>
      <c r="G372" s="188"/>
      <c r="H372" s="188"/>
      <c r="I372" s="188"/>
      <c r="J372" s="188"/>
      <c r="K372" s="188"/>
      <c r="L372" s="188"/>
      <c r="M372" s="188"/>
      <c r="N372" s="188"/>
      <c r="O372" s="188"/>
      <c r="P372" s="188"/>
      <c r="Q372" s="188"/>
      <c r="R372" s="188"/>
      <c r="S372" s="188"/>
      <c r="T372" s="188"/>
      <c r="U372" s="188"/>
      <c r="V372" s="188"/>
      <c r="W372" s="188"/>
    </row>
    <row r="373">
      <c r="A373" s="229"/>
      <c r="B373" s="231" t="str">
        <f>VLOOKUP(A373,'Purchase Order Summary V2'!H:AA,20,0)</f>
        <v>#N/A</v>
      </c>
      <c r="C373" s="229"/>
      <c r="D373" s="229"/>
      <c r="E373" s="229"/>
      <c r="F373" s="188"/>
      <c r="G373" s="188"/>
      <c r="H373" s="188"/>
      <c r="I373" s="188"/>
      <c r="J373" s="188"/>
      <c r="K373" s="188"/>
      <c r="L373" s="188"/>
      <c r="M373" s="188"/>
      <c r="N373" s="188"/>
      <c r="O373" s="188"/>
      <c r="P373" s="188"/>
      <c r="Q373" s="188"/>
      <c r="R373" s="188"/>
      <c r="S373" s="188"/>
      <c r="T373" s="188"/>
      <c r="U373" s="188"/>
      <c r="V373" s="188"/>
      <c r="W373" s="188"/>
    </row>
    <row r="374">
      <c r="A374" s="229"/>
      <c r="B374" s="231" t="str">
        <f>VLOOKUP(A374,'Purchase Order Summary V2'!H:AA,20,0)</f>
        <v>#N/A</v>
      </c>
      <c r="C374" s="229"/>
      <c r="D374" s="229"/>
      <c r="E374" s="229"/>
      <c r="F374" s="188"/>
      <c r="G374" s="188"/>
      <c r="H374" s="188"/>
      <c r="I374" s="188"/>
      <c r="J374" s="188"/>
      <c r="K374" s="188"/>
      <c r="L374" s="188"/>
      <c r="M374" s="188"/>
      <c r="N374" s="188"/>
      <c r="O374" s="188"/>
      <c r="P374" s="188"/>
      <c r="Q374" s="188"/>
      <c r="R374" s="188"/>
      <c r="S374" s="188"/>
      <c r="T374" s="188"/>
      <c r="U374" s="188"/>
      <c r="V374" s="188"/>
      <c r="W374" s="188"/>
    </row>
    <row r="375">
      <c r="A375" s="229"/>
      <c r="B375" s="231" t="str">
        <f>VLOOKUP(A375,'Purchase Order Summary V2'!H:AA,20,0)</f>
        <v>#N/A</v>
      </c>
      <c r="C375" s="229"/>
      <c r="D375" s="229"/>
      <c r="E375" s="229"/>
      <c r="F375" s="188"/>
      <c r="G375" s="188"/>
      <c r="H375" s="188"/>
      <c r="I375" s="188"/>
      <c r="J375" s="188"/>
      <c r="K375" s="188"/>
      <c r="L375" s="188"/>
      <c r="M375" s="188"/>
      <c r="N375" s="188"/>
      <c r="O375" s="188"/>
      <c r="P375" s="188"/>
      <c r="Q375" s="188"/>
      <c r="R375" s="188"/>
      <c r="S375" s="188"/>
      <c r="T375" s="188"/>
      <c r="U375" s="188"/>
      <c r="V375" s="188"/>
      <c r="W375" s="188"/>
    </row>
    <row r="376">
      <c r="A376" s="229"/>
      <c r="B376" s="231" t="str">
        <f>VLOOKUP(A376,'Purchase Order Summary V2'!H:AA,20,0)</f>
        <v>#N/A</v>
      </c>
      <c r="C376" s="229"/>
      <c r="D376" s="229"/>
      <c r="E376" s="229"/>
      <c r="F376" s="188"/>
      <c r="G376" s="188"/>
      <c r="H376" s="188"/>
      <c r="I376" s="188"/>
      <c r="J376" s="188"/>
      <c r="K376" s="188"/>
      <c r="L376" s="188"/>
      <c r="M376" s="188"/>
      <c r="N376" s="188"/>
      <c r="O376" s="188"/>
      <c r="P376" s="188"/>
      <c r="Q376" s="188"/>
      <c r="R376" s="188"/>
      <c r="S376" s="188"/>
      <c r="T376" s="188"/>
      <c r="U376" s="188"/>
      <c r="V376" s="188"/>
      <c r="W376" s="188"/>
    </row>
    <row r="377">
      <c r="A377" s="229"/>
      <c r="B377" s="231" t="str">
        <f>VLOOKUP(A377,'Purchase Order Summary V2'!H:AA,20,0)</f>
        <v>#N/A</v>
      </c>
      <c r="C377" s="229"/>
      <c r="D377" s="229"/>
      <c r="E377" s="229"/>
      <c r="F377" s="188"/>
      <c r="G377" s="188"/>
      <c r="H377" s="188"/>
      <c r="I377" s="188"/>
      <c r="J377" s="188"/>
      <c r="K377" s="188"/>
      <c r="L377" s="188"/>
      <c r="M377" s="188"/>
      <c r="N377" s="188"/>
      <c r="O377" s="188"/>
      <c r="P377" s="188"/>
      <c r="Q377" s="188"/>
      <c r="R377" s="188"/>
      <c r="S377" s="188"/>
      <c r="T377" s="188"/>
      <c r="U377" s="188"/>
      <c r="V377" s="188"/>
      <c r="W377" s="188"/>
    </row>
    <row r="378">
      <c r="A378" s="229"/>
      <c r="B378" s="231" t="str">
        <f>VLOOKUP(A378,'Purchase Order Summary V2'!H:AA,20,0)</f>
        <v>#N/A</v>
      </c>
      <c r="C378" s="229"/>
      <c r="D378" s="229"/>
      <c r="E378" s="229"/>
      <c r="F378" s="188"/>
      <c r="G378" s="188"/>
      <c r="H378" s="188"/>
      <c r="I378" s="188"/>
      <c r="J378" s="188"/>
      <c r="K378" s="188"/>
      <c r="L378" s="188"/>
      <c r="M378" s="188"/>
      <c r="N378" s="188"/>
      <c r="O378" s="188"/>
      <c r="P378" s="188"/>
      <c r="Q378" s="188"/>
      <c r="R378" s="188"/>
      <c r="S378" s="188"/>
      <c r="T378" s="188"/>
      <c r="U378" s="188"/>
      <c r="V378" s="188"/>
      <c r="W378" s="188"/>
    </row>
    <row r="379">
      <c r="A379" s="229"/>
      <c r="B379" s="231" t="str">
        <f>VLOOKUP(A379,'Purchase Order Summary V2'!H:AA,20,0)</f>
        <v>#N/A</v>
      </c>
      <c r="C379" s="229"/>
      <c r="D379" s="229"/>
      <c r="E379" s="229"/>
      <c r="F379" s="188"/>
      <c r="G379" s="188"/>
      <c r="H379" s="188"/>
      <c r="I379" s="188"/>
      <c r="J379" s="188"/>
      <c r="K379" s="188"/>
      <c r="L379" s="188"/>
      <c r="M379" s="188"/>
      <c r="N379" s="188"/>
      <c r="O379" s="188"/>
      <c r="P379" s="188"/>
      <c r="Q379" s="188"/>
      <c r="R379" s="188"/>
      <c r="S379" s="188"/>
      <c r="T379" s="188"/>
      <c r="U379" s="188"/>
      <c r="V379" s="188"/>
      <c r="W379" s="188"/>
    </row>
    <row r="380">
      <c r="A380" s="229"/>
      <c r="B380" s="231" t="str">
        <f>VLOOKUP(A380,'Purchase Order Summary V2'!H:AA,20,0)</f>
        <v>#N/A</v>
      </c>
      <c r="C380" s="229"/>
      <c r="D380" s="229"/>
      <c r="E380" s="229"/>
      <c r="F380" s="188"/>
      <c r="G380" s="188"/>
      <c r="H380" s="188"/>
      <c r="I380" s="188"/>
      <c r="J380" s="188"/>
      <c r="K380" s="188"/>
      <c r="L380" s="188"/>
      <c r="M380" s="188"/>
      <c r="N380" s="188"/>
      <c r="O380" s="188"/>
      <c r="P380" s="188"/>
      <c r="Q380" s="188"/>
      <c r="R380" s="188"/>
      <c r="S380" s="188"/>
      <c r="T380" s="188"/>
      <c r="U380" s="188"/>
      <c r="V380" s="188"/>
      <c r="W380" s="188"/>
    </row>
    <row r="381">
      <c r="A381" s="229"/>
      <c r="B381" s="231" t="str">
        <f>VLOOKUP(A381,'Purchase Order Summary V2'!H:AA,20,0)</f>
        <v>#N/A</v>
      </c>
      <c r="C381" s="229"/>
      <c r="D381" s="229"/>
      <c r="E381" s="229"/>
      <c r="F381" s="188"/>
      <c r="G381" s="188"/>
      <c r="H381" s="188"/>
      <c r="I381" s="188"/>
      <c r="J381" s="188"/>
      <c r="K381" s="188"/>
      <c r="L381" s="188"/>
      <c r="M381" s="188"/>
      <c r="N381" s="188"/>
      <c r="O381" s="188"/>
      <c r="P381" s="188"/>
      <c r="Q381" s="188"/>
      <c r="R381" s="188"/>
      <c r="S381" s="188"/>
      <c r="T381" s="188"/>
      <c r="U381" s="188"/>
      <c r="V381" s="188"/>
      <c r="W381" s="188"/>
    </row>
    <row r="382">
      <c r="A382" s="229"/>
      <c r="B382" s="231" t="str">
        <f>VLOOKUP(A382,'Purchase Order Summary V2'!H:AA,20,0)</f>
        <v>#N/A</v>
      </c>
      <c r="C382" s="229"/>
      <c r="D382" s="229"/>
      <c r="E382" s="229"/>
      <c r="F382" s="188"/>
      <c r="G382" s="188"/>
      <c r="H382" s="188"/>
      <c r="I382" s="188"/>
      <c r="J382" s="188"/>
      <c r="K382" s="188"/>
      <c r="L382" s="188"/>
      <c r="M382" s="188"/>
      <c r="N382" s="188"/>
      <c r="O382" s="188"/>
      <c r="P382" s="188"/>
      <c r="Q382" s="188"/>
      <c r="R382" s="188"/>
      <c r="S382" s="188"/>
      <c r="T382" s="188"/>
      <c r="U382" s="188"/>
      <c r="V382" s="188"/>
      <c r="W382" s="188"/>
    </row>
    <row r="383">
      <c r="A383" s="229"/>
      <c r="B383" s="231" t="str">
        <f>VLOOKUP(A383,'Purchase Order Summary V2'!H:AA,20,0)</f>
        <v>#N/A</v>
      </c>
      <c r="C383" s="229"/>
      <c r="D383" s="229"/>
      <c r="E383" s="229"/>
      <c r="F383" s="188"/>
      <c r="G383" s="188"/>
      <c r="H383" s="188"/>
      <c r="I383" s="188"/>
      <c r="J383" s="188"/>
      <c r="K383" s="188"/>
      <c r="L383" s="188"/>
      <c r="M383" s="188"/>
      <c r="N383" s="188"/>
      <c r="O383" s="188"/>
      <c r="P383" s="188"/>
      <c r="Q383" s="188"/>
      <c r="R383" s="188"/>
      <c r="S383" s="188"/>
      <c r="T383" s="188"/>
      <c r="U383" s="188"/>
      <c r="V383" s="188"/>
      <c r="W383" s="188"/>
    </row>
    <row r="384">
      <c r="A384" s="229"/>
      <c r="B384" s="231" t="str">
        <f>VLOOKUP(A384,'Purchase Order Summary V2'!H:AA,20,0)</f>
        <v>#N/A</v>
      </c>
      <c r="C384" s="229"/>
      <c r="D384" s="229"/>
      <c r="E384" s="229"/>
      <c r="F384" s="188"/>
      <c r="G384" s="188"/>
      <c r="H384" s="188"/>
      <c r="I384" s="188"/>
      <c r="J384" s="188"/>
      <c r="K384" s="188"/>
      <c r="L384" s="188"/>
      <c r="M384" s="188"/>
      <c r="N384" s="188"/>
      <c r="O384" s="188"/>
      <c r="P384" s="188"/>
      <c r="Q384" s="188"/>
      <c r="R384" s="188"/>
      <c r="S384" s="188"/>
      <c r="T384" s="188"/>
      <c r="U384" s="188"/>
      <c r="V384" s="188"/>
      <c r="W384" s="188"/>
    </row>
    <row r="385">
      <c r="A385" s="229"/>
      <c r="B385" s="231" t="str">
        <f>VLOOKUP(A385,'Purchase Order Summary V2'!H:AA,20,0)</f>
        <v>#N/A</v>
      </c>
      <c r="C385" s="229"/>
      <c r="D385" s="229"/>
      <c r="E385" s="229"/>
      <c r="F385" s="188"/>
      <c r="G385" s="188"/>
      <c r="H385" s="188"/>
      <c r="I385" s="188"/>
      <c r="J385" s="188"/>
      <c r="K385" s="188"/>
      <c r="L385" s="188"/>
      <c r="M385" s="188"/>
      <c r="N385" s="188"/>
      <c r="O385" s="188"/>
      <c r="P385" s="188"/>
      <c r="Q385" s="188"/>
      <c r="R385" s="188"/>
      <c r="S385" s="188"/>
      <c r="T385" s="188"/>
      <c r="U385" s="188"/>
      <c r="V385" s="188"/>
      <c r="W385" s="188"/>
    </row>
    <row r="386">
      <c r="A386" s="229"/>
      <c r="B386" s="231" t="str">
        <f>VLOOKUP(A386,'Purchase Order Summary V2'!H:AA,20,0)</f>
        <v>#N/A</v>
      </c>
      <c r="C386" s="229"/>
      <c r="D386" s="229"/>
      <c r="E386" s="229"/>
      <c r="F386" s="188"/>
      <c r="G386" s="188"/>
      <c r="H386" s="188"/>
      <c r="I386" s="188"/>
      <c r="J386" s="188"/>
      <c r="K386" s="188"/>
      <c r="L386" s="188"/>
      <c r="M386" s="188"/>
      <c r="N386" s="188"/>
      <c r="O386" s="188"/>
      <c r="P386" s="188"/>
      <c r="Q386" s="188"/>
      <c r="R386" s="188"/>
      <c r="S386" s="188"/>
      <c r="T386" s="188"/>
      <c r="U386" s="188"/>
      <c r="V386" s="188"/>
      <c r="W386" s="188"/>
    </row>
    <row r="387">
      <c r="A387" s="229"/>
      <c r="B387" s="231" t="str">
        <f>VLOOKUP(A387,'Purchase Order Summary V2'!H:AA,20,0)</f>
        <v>#N/A</v>
      </c>
      <c r="C387" s="229"/>
      <c r="D387" s="229"/>
      <c r="E387" s="229"/>
      <c r="F387" s="188"/>
      <c r="G387" s="188"/>
      <c r="H387" s="188"/>
      <c r="I387" s="188"/>
      <c r="J387" s="188"/>
      <c r="K387" s="188"/>
      <c r="L387" s="188"/>
      <c r="M387" s="188"/>
      <c r="N387" s="188"/>
      <c r="O387" s="188"/>
      <c r="P387" s="188"/>
      <c r="Q387" s="188"/>
      <c r="R387" s="188"/>
      <c r="S387" s="188"/>
      <c r="T387" s="188"/>
      <c r="U387" s="188"/>
      <c r="V387" s="188"/>
      <c r="W387" s="188"/>
    </row>
    <row r="388">
      <c r="A388" s="229"/>
      <c r="B388" s="231" t="str">
        <f>VLOOKUP(A388,'Purchase Order Summary V2'!H:AA,20,0)</f>
        <v>#N/A</v>
      </c>
      <c r="C388" s="229"/>
      <c r="D388" s="229"/>
      <c r="E388" s="229"/>
      <c r="F388" s="188"/>
      <c r="G388" s="188"/>
      <c r="H388" s="188"/>
      <c r="I388" s="188"/>
      <c r="J388" s="188"/>
      <c r="K388" s="188"/>
      <c r="L388" s="188"/>
      <c r="M388" s="188"/>
      <c r="N388" s="188"/>
      <c r="O388" s="188"/>
      <c r="P388" s="188"/>
      <c r="Q388" s="188"/>
      <c r="R388" s="188"/>
      <c r="S388" s="188"/>
      <c r="T388" s="188"/>
      <c r="U388" s="188"/>
      <c r="V388" s="188"/>
      <c r="W388" s="188"/>
    </row>
    <row r="389">
      <c r="A389" s="229"/>
      <c r="B389" s="231" t="str">
        <f>VLOOKUP(A389,'Purchase Order Summary V2'!H:AA,20,0)</f>
        <v>#N/A</v>
      </c>
      <c r="C389" s="229"/>
      <c r="D389" s="229"/>
      <c r="E389" s="229"/>
      <c r="F389" s="188"/>
      <c r="G389" s="188"/>
      <c r="H389" s="188"/>
      <c r="I389" s="188"/>
      <c r="J389" s="188"/>
      <c r="K389" s="188"/>
      <c r="L389" s="188"/>
      <c r="M389" s="188"/>
      <c r="N389" s="188"/>
      <c r="O389" s="188"/>
      <c r="P389" s="188"/>
      <c r="Q389" s="188"/>
      <c r="R389" s="188"/>
      <c r="S389" s="188"/>
      <c r="T389" s="188"/>
      <c r="U389" s="188"/>
      <c r="V389" s="188"/>
      <c r="W389" s="188"/>
    </row>
    <row r="390">
      <c r="A390" s="229"/>
      <c r="B390" s="231" t="str">
        <f>VLOOKUP(A390,'Purchase Order Summary V2'!H:AA,20,0)</f>
        <v>#N/A</v>
      </c>
      <c r="C390" s="229"/>
      <c r="D390" s="229"/>
      <c r="E390" s="229"/>
      <c r="F390" s="188"/>
      <c r="G390" s="188"/>
      <c r="H390" s="188"/>
      <c r="I390" s="188"/>
      <c r="J390" s="188"/>
      <c r="K390" s="188"/>
      <c r="L390" s="188"/>
      <c r="M390" s="188"/>
      <c r="N390" s="188"/>
      <c r="O390" s="188"/>
      <c r="P390" s="188"/>
      <c r="Q390" s="188"/>
      <c r="R390" s="188"/>
      <c r="S390" s="188"/>
      <c r="T390" s="188"/>
      <c r="U390" s="188"/>
      <c r="V390" s="188"/>
      <c r="W390" s="188"/>
    </row>
    <row r="391">
      <c r="A391" s="229"/>
      <c r="B391" s="231" t="str">
        <f>VLOOKUP(A391,'Purchase Order Summary V2'!H:AA,20,0)</f>
        <v>#N/A</v>
      </c>
      <c r="C391" s="229"/>
      <c r="D391" s="229"/>
      <c r="E391" s="229"/>
      <c r="F391" s="188"/>
      <c r="G391" s="188"/>
      <c r="H391" s="188"/>
      <c r="I391" s="188"/>
      <c r="J391" s="188"/>
      <c r="K391" s="188"/>
      <c r="L391" s="188"/>
      <c r="M391" s="188"/>
      <c r="N391" s="188"/>
      <c r="O391" s="188"/>
      <c r="P391" s="188"/>
      <c r="Q391" s="188"/>
      <c r="R391" s="188"/>
      <c r="S391" s="188"/>
      <c r="T391" s="188"/>
      <c r="U391" s="188"/>
      <c r="V391" s="188"/>
      <c r="W391" s="188"/>
    </row>
    <row r="392">
      <c r="A392" s="229"/>
      <c r="B392" s="231" t="str">
        <f>VLOOKUP(A392,'Purchase Order Summary V2'!H:AA,20,0)</f>
        <v>#N/A</v>
      </c>
      <c r="C392" s="229"/>
      <c r="D392" s="229"/>
      <c r="E392" s="229"/>
      <c r="F392" s="188"/>
      <c r="G392" s="188"/>
      <c r="H392" s="188"/>
      <c r="I392" s="188"/>
      <c r="J392" s="188"/>
      <c r="K392" s="188"/>
      <c r="L392" s="188"/>
      <c r="M392" s="188"/>
      <c r="N392" s="188"/>
      <c r="O392" s="188"/>
      <c r="P392" s="188"/>
      <c r="Q392" s="188"/>
      <c r="R392" s="188"/>
      <c r="S392" s="188"/>
      <c r="T392" s="188"/>
      <c r="U392" s="188"/>
      <c r="V392" s="188"/>
      <c r="W392" s="188"/>
    </row>
    <row r="393">
      <c r="A393" s="229"/>
      <c r="B393" s="231" t="str">
        <f>VLOOKUP(A393,'Purchase Order Summary V2'!H:AA,20,0)</f>
        <v>#N/A</v>
      </c>
      <c r="C393" s="229"/>
      <c r="D393" s="229"/>
      <c r="E393" s="229"/>
      <c r="F393" s="188"/>
      <c r="G393" s="188"/>
      <c r="H393" s="188"/>
      <c r="I393" s="188"/>
      <c r="J393" s="188"/>
      <c r="K393" s="188"/>
      <c r="L393" s="188"/>
      <c r="M393" s="188"/>
      <c r="N393" s="188"/>
      <c r="O393" s="188"/>
      <c r="P393" s="188"/>
      <c r="Q393" s="188"/>
      <c r="R393" s="188"/>
      <c r="S393" s="188"/>
      <c r="T393" s="188"/>
      <c r="U393" s="188"/>
      <c r="V393" s="188"/>
      <c r="W393" s="188"/>
    </row>
    <row r="394">
      <c r="A394" s="229"/>
      <c r="B394" s="231" t="str">
        <f>VLOOKUP(A394,'Purchase Order Summary V2'!H:AA,20,0)</f>
        <v>#N/A</v>
      </c>
      <c r="C394" s="229"/>
      <c r="D394" s="229"/>
      <c r="E394" s="229"/>
      <c r="F394" s="188"/>
      <c r="G394" s="188"/>
      <c r="H394" s="188"/>
      <c r="I394" s="188"/>
      <c r="J394" s="188"/>
      <c r="K394" s="188"/>
      <c r="L394" s="188"/>
      <c r="M394" s="188"/>
      <c r="N394" s="188"/>
      <c r="O394" s="188"/>
      <c r="P394" s="188"/>
      <c r="Q394" s="188"/>
      <c r="R394" s="188"/>
      <c r="S394" s="188"/>
      <c r="T394" s="188"/>
      <c r="U394" s="188"/>
      <c r="V394" s="188"/>
      <c r="W394" s="188"/>
    </row>
    <row r="395">
      <c r="A395" s="229"/>
      <c r="B395" s="231" t="str">
        <f>VLOOKUP(A395,'Purchase Order Summary V2'!H:AA,20,0)</f>
        <v>#N/A</v>
      </c>
      <c r="C395" s="229"/>
      <c r="D395" s="229"/>
      <c r="E395" s="229"/>
      <c r="F395" s="188"/>
      <c r="G395" s="188"/>
      <c r="H395" s="188"/>
      <c r="I395" s="188"/>
      <c r="J395" s="188"/>
      <c r="K395" s="188"/>
      <c r="L395" s="188"/>
      <c r="M395" s="188"/>
      <c r="N395" s="188"/>
      <c r="O395" s="188"/>
      <c r="P395" s="188"/>
      <c r="Q395" s="188"/>
      <c r="R395" s="188"/>
      <c r="S395" s="188"/>
      <c r="T395" s="188"/>
      <c r="U395" s="188"/>
      <c r="V395" s="188"/>
      <c r="W395" s="188"/>
    </row>
    <row r="396">
      <c r="A396" s="229"/>
      <c r="B396" s="231" t="str">
        <f>VLOOKUP(A396,'Purchase Order Summary V2'!H:AA,20,0)</f>
        <v>#N/A</v>
      </c>
      <c r="C396" s="229"/>
      <c r="D396" s="229"/>
      <c r="E396" s="229"/>
      <c r="F396" s="188"/>
      <c r="G396" s="188"/>
      <c r="H396" s="188"/>
      <c r="I396" s="188"/>
      <c r="J396" s="188"/>
      <c r="K396" s="188"/>
      <c r="L396" s="188"/>
      <c r="M396" s="188"/>
      <c r="N396" s="188"/>
      <c r="O396" s="188"/>
      <c r="P396" s="188"/>
      <c r="Q396" s="188"/>
      <c r="R396" s="188"/>
      <c r="S396" s="188"/>
      <c r="T396" s="188"/>
      <c r="U396" s="188"/>
      <c r="V396" s="188"/>
      <c r="W396" s="188"/>
    </row>
    <row r="397">
      <c r="A397" s="229"/>
      <c r="B397" s="231" t="str">
        <f>VLOOKUP(A397,'Purchase Order Summary V2'!H:AA,20,0)</f>
        <v>#N/A</v>
      </c>
      <c r="C397" s="229"/>
      <c r="D397" s="229"/>
      <c r="E397" s="229"/>
      <c r="F397" s="188"/>
      <c r="G397" s="188"/>
      <c r="H397" s="188"/>
      <c r="I397" s="188"/>
      <c r="J397" s="188"/>
      <c r="K397" s="188"/>
      <c r="L397" s="188"/>
      <c r="M397" s="188"/>
      <c r="N397" s="188"/>
      <c r="O397" s="188"/>
      <c r="P397" s="188"/>
      <c r="Q397" s="188"/>
      <c r="R397" s="188"/>
      <c r="S397" s="188"/>
      <c r="T397" s="188"/>
      <c r="U397" s="188"/>
      <c r="V397" s="188"/>
      <c r="W397" s="188"/>
    </row>
    <row r="398">
      <c r="A398" s="229"/>
      <c r="B398" s="231" t="str">
        <f>VLOOKUP(A398,'Purchase Order Summary V2'!H:AA,20,0)</f>
        <v>#N/A</v>
      </c>
      <c r="C398" s="229"/>
      <c r="D398" s="229"/>
      <c r="E398" s="229"/>
      <c r="F398" s="188"/>
      <c r="G398" s="188"/>
      <c r="H398" s="188"/>
      <c r="I398" s="188"/>
      <c r="J398" s="188"/>
      <c r="K398" s="188"/>
      <c r="L398" s="188"/>
      <c r="M398" s="188"/>
      <c r="N398" s="188"/>
      <c r="O398" s="188"/>
      <c r="P398" s="188"/>
      <c r="Q398" s="188"/>
      <c r="R398" s="188"/>
      <c r="S398" s="188"/>
      <c r="T398" s="188"/>
      <c r="U398" s="188"/>
      <c r="V398" s="188"/>
      <c r="W398" s="188"/>
    </row>
    <row r="399">
      <c r="A399" s="229"/>
      <c r="B399" s="231" t="str">
        <f>VLOOKUP(A399,'Purchase Order Summary V2'!H:AA,20,0)</f>
        <v>#N/A</v>
      </c>
      <c r="C399" s="229"/>
      <c r="D399" s="229"/>
      <c r="E399" s="229"/>
      <c r="F399" s="188"/>
      <c r="G399" s="188"/>
      <c r="H399" s="188"/>
      <c r="I399" s="188"/>
      <c r="J399" s="188"/>
      <c r="K399" s="188"/>
      <c r="L399" s="188"/>
      <c r="M399" s="188"/>
      <c r="N399" s="188"/>
      <c r="O399" s="188"/>
      <c r="P399" s="188"/>
      <c r="Q399" s="188"/>
      <c r="R399" s="188"/>
      <c r="S399" s="188"/>
      <c r="T399" s="188"/>
      <c r="U399" s="188"/>
      <c r="V399" s="188"/>
      <c r="W399" s="188"/>
    </row>
    <row r="400">
      <c r="A400" s="229"/>
      <c r="B400" s="231" t="str">
        <f>VLOOKUP(A400,'Purchase Order Summary V2'!H:AA,20,0)</f>
        <v>#N/A</v>
      </c>
      <c r="C400" s="229"/>
      <c r="D400" s="229"/>
      <c r="E400" s="229"/>
      <c r="F400" s="188"/>
      <c r="G400" s="188"/>
      <c r="H400" s="188"/>
      <c r="I400" s="188"/>
      <c r="J400" s="188"/>
      <c r="K400" s="188"/>
      <c r="L400" s="188"/>
      <c r="M400" s="188"/>
      <c r="N400" s="188"/>
      <c r="O400" s="188"/>
      <c r="P400" s="188"/>
      <c r="Q400" s="188"/>
      <c r="R400" s="188"/>
      <c r="S400" s="188"/>
      <c r="T400" s="188"/>
      <c r="U400" s="188"/>
      <c r="V400" s="188"/>
      <c r="W400" s="188"/>
    </row>
    <row r="401">
      <c r="A401" s="229"/>
      <c r="B401" s="231" t="str">
        <f>VLOOKUP(A401,'Purchase Order Summary V2'!H:AA,20,0)</f>
        <v>#N/A</v>
      </c>
      <c r="C401" s="229"/>
      <c r="D401" s="229"/>
      <c r="E401" s="229"/>
      <c r="F401" s="188"/>
      <c r="G401" s="188"/>
      <c r="H401" s="188"/>
      <c r="I401" s="188"/>
      <c r="J401" s="188"/>
      <c r="K401" s="188"/>
      <c r="L401" s="188"/>
      <c r="M401" s="188"/>
      <c r="N401" s="188"/>
      <c r="O401" s="188"/>
      <c r="P401" s="188"/>
      <c r="Q401" s="188"/>
      <c r="R401" s="188"/>
      <c r="S401" s="188"/>
      <c r="T401" s="188"/>
      <c r="U401" s="188"/>
      <c r="V401" s="188"/>
      <c r="W401" s="188"/>
    </row>
    <row r="402">
      <c r="A402" s="229"/>
      <c r="B402" s="231" t="str">
        <f>VLOOKUP(A402,'Purchase Order Summary V2'!H:AA,20,0)</f>
        <v>#N/A</v>
      </c>
      <c r="C402" s="229"/>
      <c r="D402" s="229"/>
      <c r="E402" s="229"/>
      <c r="F402" s="188"/>
      <c r="G402" s="188"/>
      <c r="H402" s="188"/>
      <c r="I402" s="188"/>
      <c r="J402" s="188"/>
      <c r="K402" s="188"/>
      <c r="L402" s="188"/>
      <c r="M402" s="188"/>
      <c r="N402" s="188"/>
      <c r="O402" s="188"/>
      <c r="P402" s="188"/>
      <c r="Q402" s="188"/>
      <c r="R402" s="188"/>
      <c r="S402" s="188"/>
      <c r="T402" s="188"/>
      <c r="U402" s="188"/>
      <c r="V402" s="188"/>
      <c r="W402" s="188"/>
    </row>
    <row r="403">
      <c r="A403" s="229"/>
      <c r="B403" s="231" t="str">
        <f>VLOOKUP(A403,'Purchase Order Summary V2'!H:AA,20,0)</f>
        <v>#N/A</v>
      </c>
      <c r="C403" s="229"/>
      <c r="D403" s="229"/>
      <c r="E403" s="229"/>
      <c r="F403" s="188"/>
      <c r="G403" s="188"/>
      <c r="H403" s="188"/>
      <c r="I403" s="188"/>
      <c r="J403" s="188"/>
      <c r="K403" s="188"/>
      <c r="L403" s="188"/>
      <c r="M403" s="188"/>
      <c r="N403" s="188"/>
      <c r="O403" s="188"/>
      <c r="P403" s="188"/>
      <c r="Q403" s="188"/>
      <c r="R403" s="188"/>
      <c r="S403" s="188"/>
      <c r="T403" s="188"/>
      <c r="U403" s="188"/>
      <c r="V403" s="188"/>
      <c r="W403" s="188"/>
    </row>
    <row r="404">
      <c r="A404" s="229"/>
      <c r="B404" s="231" t="str">
        <f>VLOOKUP(A404,'Purchase Order Summary V2'!H:AA,20,0)</f>
        <v>#N/A</v>
      </c>
      <c r="C404" s="229"/>
      <c r="D404" s="229"/>
      <c r="E404" s="229"/>
      <c r="F404" s="188"/>
      <c r="G404" s="188"/>
      <c r="H404" s="188"/>
      <c r="I404" s="188"/>
      <c r="J404" s="188"/>
      <c r="K404" s="188"/>
      <c r="L404" s="188"/>
      <c r="M404" s="188"/>
      <c r="N404" s="188"/>
      <c r="O404" s="188"/>
      <c r="P404" s="188"/>
      <c r="Q404" s="188"/>
      <c r="R404" s="188"/>
      <c r="S404" s="188"/>
      <c r="T404" s="188"/>
      <c r="U404" s="188"/>
      <c r="V404" s="188"/>
      <c r="W404" s="188"/>
    </row>
    <row r="405">
      <c r="A405" s="229"/>
      <c r="B405" s="231" t="str">
        <f>VLOOKUP(A405,'Purchase Order Summary V2'!H:AA,20,0)</f>
        <v>#N/A</v>
      </c>
      <c r="C405" s="229"/>
      <c r="D405" s="229"/>
      <c r="E405" s="229"/>
      <c r="F405" s="188"/>
      <c r="G405" s="188"/>
      <c r="H405" s="188"/>
      <c r="I405" s="188"/>
      <c r="J405" s="188"/>
      <c r="K405" s="188"/>
      <c r="L405" s="188"/>
      <c r="M405" s="188"/>
      <c r="N405" s="188"/>
      <c r="O405" s="188"/>
      <c r="P405" s="188"/>
      <c r="Q405" s="188"/>
      <c r="R405" s="188"/>
      <c r="S405" s="188"/>
      <c r="T405" s="188"/>
      <c r="U405" s="188"/>
      <c r="V405" s="188"/>
      <c r="W405" s="188"/>
    </row>
    <row r="406">
      <c r="A406" s="229"/>
      <c r="B406" s="188"/>
      <c r="C406" s="229"/>
      <c r="D406" s="229"/>
      <c r="E406" s="229"/>
      <c r="F406" s="188"/>
      <c r="G406" s="188"/>
      <c r="H406" s="188"/>
      <c r="I406" s="188"/>
      <c r="J406" s="188"/>
      <c r="K406" s="188"/>
      <c r="L406" s="188"/>
      <c r="M406" s="188"/>
      <c r="N406" s="188"/>
      <c r="O406" s="188"/>
      <c r="P406" s="188"/>
      <c r="Q406" s="188"/>
      <c r="R406" s="188"/>
      <c r="S406" s="188"/>
      <c r="T406" s="188"/>
      <c r="U406" s="188"/>
      <c r="V406" s="188"/>
      <c r="W406" s="188"/>
    </row>
    <row r="407">
      <c r="A407" s="229"/>
      <c r="B407" s="188"/>
      <c r="C407" s="229"/>
      <c r="D407" s="229"/>
      <c r="E407" s="229"/>
      <c r="F407" s="188"/>
      <c r="G407" s="188"/>
      <c r="H407" s="188"/>
      <c r="I407" s="188"/>
      <c r="J407" s="188"/>
      <c r="K407" s="188"/>
      <c r="L407" s="188"/>
      <c r="M407" s="188"/>
      <c r="N407" s="188"/>
      <c r="O407" s="188"/>
      <c r="P407" s="188"/>
      <c r="Q407" s="188"/>
      <c r="R407" s="188"/>
      <c r="S407" s="188"/>
      <c r="T407" s="188"/>
      <c r="U407" s="188"/>
      <c r="V407" s="188"/>
      <c r="W407" s="188"/>
    </row>
    <row r="408">
      <c r="A408" s="229"/>
      <c r="B408" s="188"/>
      <c r="C408" s="229"/>
      <c r="D408" s="229"/>
      <c r="E408" s="229"/>
      <c r="F408" s="188"/>
      <c r="G408" s="188"/>
      <c r="H408" s="188"/>
      <c r="I408" s="188"/>
      <c r="J408" s="188"/>
      <c r="K408" s="188"/>
      <c r="L408" s="188"/>
      <c r="M408" s="188"/>
      <c r="N408" s="188"/>
      <c r="O408" s="188"/>
      <c r="P408" s="188"/>
      <c r="Q408" s="188"/>
      <c r="R408" s="188"/>
      <c r="S408" s="188"/>
      <c r="T408" s="188"/>
      <c r="U408" s="188"/>
      <c r="V408" s="188"/>
      <c r="W408" s="188"/>
    </row>
    <row r="409">
      <c r="A409" s="229"/>
      <c r="B409" s="188"/>
      <c r="C409" s="229"/>
      <c r="D409" s="229"/>
      <c r="E409" s="229"/>
      <c r="F409" s="188"/>
      <c r="G409" s="188"/>
      <c r="H409" s="188"/>
      <c r="I409" s="188"/>
      <c r="J409" s="188"/>
      <c r="K409" s="188"/>
      <c r="L409" s="188"/>
      <c r="M409" s="188"/>
      <c r="N409" s="188"/>
      <c r="O409" s="188"/>
      <c r="P409" s="188"/>
      <c r="Q409" s="188"/>
      <c r="R409" s="188"/>
      <c r="S409" s="188"/>
      <c r="T409" s="188"/>
      <c r="U409" s="188"/>
      <c r="V409" s="188"/>
      <c r="W409" s="188"/>
    </row>
    <row r="410">
      <c r="A410" s="229"/>
      <c r="B410" s="188"/>
      <c r="C410" s="229"/>
      <c r="D410" s="229"/>
      <c r="E410" s="229"/>
      <c r="F410" s="188"/>
      <c r="G410" s="188"/>
      <c r="H410" s="188"/>
      <c r="I410" s="188"/>
      <c r="J410" s="188"/>
      <c r="K410" s="188"/>
      <c r="L410" s="188"/>
      <c r="M410" s="188"/>
      <c r="N410" s="188"/>
      <c r="O410" s="188"/>
      <c r="P410" s="188"/>
      <c r="Q410" s="188"/>
      <c r="R410" s="188"/>
      <c r="S410" s="188"/>
      <c r="T410" s="188"/>
      <c r="U410" s="188"/>
      <c r="V410" s="188"/>
      <c r="W410" s="188"/>
    </row>
    <row r="411">
      <c r="A411" s="229"/>
      <c r="B411" s="188"/>
      <c r="C411" s="229"/>
      <c r="D411" s="229"/>
      <c r="E411" s="229"/>
      <c r="F411" s="188"/>
      <c r="G411" s="188"/>
      <c r="H411" s="188"/>
      <c r="I411" s="188"/>
      <c r="J411" s="188"/>
      <c r="K411" s="188"/>
      <c r="L411" s="188"/>
      <c r="M411" s="188"/>
      <c r="N411" s="188"/>
      <c r="O411" s="188"/>
      <c r="P411" s="188"/>
      <c r="Q411" s="188"/>
      <c r="R411" s="188"/>
      <c r="S411" s="188"/>
      <c r="T411" s="188"/>
      <c r="U411" s="188"/>
      <c r="V411" s="188"/>
      <c r="W411" s="188"/>
    </row>
    <row r="412">
      <c r="A412" s="229"/>
      <c r="B412" s="188"/>
      <c r="C412" s="229"/>
      <c r="D412" s="229"/>
      <c r="E412" s="229"/>
      <c r="F412" s="188"/>
      <c r="G412" s="188"/>
      <c r="H412" s="188"/>
      <c r="I412" s="188"/>
      <c r="J412" s="188"/>
      <c r="K412" s="188"/>
      <c r="L412" s="188"/>
      <c r="M412" s="188"/>
      <c r="N412" s="188"/>
      <c r="O412" s="188"/>
      <c r="P412" s="188"/>
      <c r="Q412" s="188"/>
      <c r="R412" s="188"/>
      <c r="S412" s="188"/>
      <c r="T412" s="188"/>
      <c r="U412" s="188"/>
      <c r="V412" s="188"/>
      <c r="W412" s="188"/>
    </row>
    <row r="413">
      <c r="A413" s="229"/>
      <c r="B413" s="188"/>
      <c r="C413" s="229"/>
      <c r="D413" s="229"/>
      <c r="E413" s="229"/>
      <c r="F413" s="188"/>
      <c r="G413" s="188"/>
      <c r="H413" s="188"/>
      <c r="I413" s="188"/>
      <c r="J413" s="188"/>
      <c r="K413" s="188"/>
      <c r="L413" s="188"/>
      <c r="M413" s="188"/>
      <c r="N413" s="188"/>
      <c r="O413" s="188"/>
      <c r="P413" s="188"/>
      <c r="Q413" s="188"/>
      <c r="R413" s="188"/>
      <c r="S413" s="188"/>
      <c r="T413" s="188"/>
      <c r="U413" s="188"/>
      <c r="V413" s="188"/>
      <c r="W413" s="188"/>
    </row>
    <row r="414">
      <c r="A414" s="229"/>
      <c r="B414" s="188"/>
      <c r="C414" s="229"/>
      <c r="D414" s="229"/>
      <c r="E414" s="229"/>
      <c r="F414" s="188"/>
      <c r="G414" s="188"/>
      <c r="H414" s="188"/>
      <c r="I414" s="188"/>
      <c r="J414" s="188"/>
      <c r="K414" s="188"/>
      <c r="L414" s="188"/>
      <c r="M414" s="188"/>
      <c r="N414" s="188"/>
      <c r="O414" s="188"/>
      <c r="P414" s="188"/>
      <c r="Q414" s="188"/>
      <c r="R414" s="188"/>
      <c r="S414" s="188"/>
      <c r="T414" s="188"/>
      <c r="U414" s="188"/>
      <c r="V414" s="188"/>
      <c r="W414" s="188"/>
    </row>
    <row r="415">
      <c r="A415" s="229"/>
      <c r="B415" s="188"/>
      <c r="C415" s="229"/>
      <c r="D415" s="229"/>
      <c r="E415" s="229"/>
      <c r="F415" s="188"/>
      <c r="G415" s="188"/>
      <c r="H415" s="188"/>
      <c r="I415" s="188"/>
      <c r="J415" s="188"/>
      <c r="K415" s="188"/>
      <c r="L415" s="188"/>
      <c r="M415" s="188"/>
      <c r="N415" s="188"/>
      <c r="O415" s="188"/>
      <c r="P415" s="188"/>
      <c r="Q415" s="188"/>
      <c r="R415" s="188"/>
      <c r="S415" s="188"/>
      <c r="T415" s="188"/>
      <c r="U415" s="188"/>
      <c r="V415" s="188"/>
      <c r="W415" s="188"/>
    </row>
    <row r="416">
      <c r="A416" s="229"/>
      <c r="B416" s="188"/>
      <c r="C416" s="229"/>
      <c r="D416" s="229"/>
      <c r="E416" s="229"/>
      <c r="F416" s="188"/>
      <c r="G416" s="188"/>
      <c r="H416" s="188"/>
      <c r="I416" s="188"/>
      <c r="J416" s="188"/>
      <c r="K416" s="188"/>
      <c r="L416" s="188"/>
      <c r="M416" s="188"/>
      <c r="N416" s="188"/>
      <c r="O416" s="188"/>
      <c r="P416" s="188"/>
      <c r="Q416" s="188"/>
      <c r="R416" s="188"/>
      <c r="S416" s="188"/>
      <c r="T416" s="188"/>
      <c r="U416" s="188"/>
      <c r="V416" s="188"/>
      <c r="W416" s="188"/>
    </row>
    <row r="417">
      <c r="A417" s="229"/>
      <c r="B417" s="188"/>
      <c r="C417" s="229"/>
      <c r="D417" s="229"/>
      <c r="E417" s="229"/>
      <c r="F417" s="188"/>
      <c r="G417" s="188"/>
      <c r="H417" s="188"/>
      <c r="I417" s="188"/>
      <c r="J417" s="188"/>
      <c r="K417" s="188"/>
      <c r="L417" s="188"/>
      <c r="M417" s="188"/>
      <c r="N417" s="188"/>
      <c r="O417" s="188"/>
      <c r="P417" s="188"/>
      <c r="Q417" s="188"/>
      <c r="R417" s="188"/>
      <c r="S417" s="188"/>
      <c r="T417" s="188"/>
      <c r="U417" s="188"/>
      <c r="V417" s="188"/>
      <c r="W417" s="188"/>
    </row>
    <row r="418">
      <c r="A418" s="229"/>
      <c r="B418" s="188"/>
      <c r="C418" s="229"/>
      <c r="D418" s="229"/>
      <c r="E418" s="229"/>
      <c r="F418" s="188"/>
      <c r="G418" s="188"/>
      <c r="H418" s="188"/>
      <c r="I418" s="188"/>
      <c r="J418" s="188"/>
      <c r="K418" s="188"/>
      <c r="L418" s="188"/>
      <c r="M418" s="188"/>
      <c r="N418" s="188"/>
      <c r="O418" s="188"/>
      <c r="P418" s="188"/>
      <c r="Q418" s="188"/>
      <c r="R418" s="188"/>
      <c r="S418" s="188"/>
      <c r="T418" s="188"/>
      <c r="U418" s="188"/>
      <c r="V418" s="188"/>
      <c r="W418" s="188"/>
    </row>
    <row r="419">
      <c r="A419" s="229"/>
      <c r="B419" s="188"/>
      <c r="C419" s="229"/>
      <c r="D419" s="229"/>
      <c r="E419" s="229"/>
      <c r="F419" s="188"/>
      <c r="G419" s="188"/>
      <c r="H419" s="188"/>
      <c r="I419" s="188"/>
      <c r="J419" s="188"/>
      <c r="K419" s="188"/>
      <c r="L419" s="188"/>
      <c r="M419" s="188"/>
      <c r="N419" s="188"/>
      <c r="O419" s="188"/>
      <c r="P419" s="188"/>
      <c r="Q419" s="188"/>
      <c r="R419" s="188"/>
      <c r="S419" s="188"/>
      <c r="T419" s="188"/>
      <c r="U419" s="188"/>
      <c r="V419" s="188"/>
      <c r="W419" s="188"/>
    </row>
    <row r="420">
      <c r="A420" s="229"/>
      <c r="B420" s="188"/>
      <c r="C420" s="229"/>
      <c r="D420" s="229"/>
      <c r="E420" s="229"/>
      <c r="F420" s="188"/>
      <c r="G420" s="188"/>
      <c r="H420" s="188"/>
      <c r="I420" s="188"/>
      <c r="J420" s="188"/>
      <c r="K420" s="188"/>
      <c r="L420" s="188"/>
      <c r="M420" s="188"/>
      <c r="N420" s="188"/>
      <c r="O420" s="188"/>
      <c r="P420" s="188"/>
      <c r="Q420" s="188"/>
      <c r="R420" s="188"/>
      <c r="S420" s="188"/>
      <c r="T420" s="188"/>
      <c r="U420" s="188"/>
      <c r="V420" s="188"/>
      <c r="W420" s="188"/>
    </row>
    <row r="421">
      <c r="A421" s="229"/>
      <c r="B421" s="188"/>
      <c r="C421" s="229"/>
      <c r="D421" s="229"/>
      <c r="E421" s="229"/>
      <c r="F421" s="188"/>
      <c r="G421" s="188"/>
      <c r="H421" s="188"/>
      <c r="I421" s="188"/>
      <c r="J421" s="188"/>
      <c r="K421" s="188"/>
      <c r="L421" s="188"/>
      <c r="M421" s="188"/>
      <c r="N421" s="188"/>
      <c r="O421" s="188"/>
      <c r="P421" s="188"/>
      <c r="Q421" s="188"/>
      <c r="R421" s="188"/>
      <c r="S421" s="188"/>
      <c r="T421" s="188"/>
      <c r="U421" s="188"/>
      <c r="V421" s="188"/>
      <c r="W421" s="188"/>
    </row>
    <row r="422">
      <c r="A422" s="229"/>
      <c r="B422" s="188"/>
      <c r="C422" s="229"/>
      <c r="D422" s="229"/>
      <c r="E422" s="229"/>
      <c r="F422" s="188"/>
      <c r="G422" s="188"/>
      <c r="H422" s="188"/>
      <c r="I422" s="188"/>
      <c r="J422" s="188"/>
      <c r="K422" s="188"/>
      <c r="L422" s="188"/>
      <c r="M422" s="188"/>
      <c r="N422" s="188"/>
      <c r="O422" s="188"/>
      <c r="P422" s="188"/>
      <c r="Q422" s="188"/>
      <c r="R422" s="188"/>
      <c r="S422" s="188"/>
      <c r="T422" s="188"/>
      <c r="U422" s="188"/>
      <c r="V422" s="188"/>
      <c r="W422" s="188"/>
    </row>
    <row r="423">
      <c r="A423" s="229"/>
      <c r="B423" s="188"/>
      <c r="C423" s="229"/>
      <c r="D423" s="229"/>
      <c r="E423" s="229"/>
      <c r="F423" s="188"/>
      <c r="G423" s="188"/>
      <c r="H423" s="188"/>
      <c r="I423" s="188"/>
      <c r="J423" s="188"/>
      <c r="K423" s="188"/>
      <c r="L423" s="188"/>
      <c r="M423" s="188"/>
      <c r="N423" s="188"/>
      <c r="O423" s="188"/>
      <c r="P423" s="188"/>
      <c r="Q423" s="188"/>
      <c r="R423" s="188"/>
      <c r="S423" s="188"/>
      <c r="T423" s="188"/>
      <c r="U423" s="188"/>
      <c r="V423" s="188"/>
      <c r="W423" s="188"/>
    </row>
    <row r="424">
      <c r="A424" s="229"/>
      <c r="B424" s="188"/>
      <c r="C424" s="229"/>
      <c r="D424" s="229"/>
      <c r="E424" s="229"/>
      <c r="F424" s="188"/>
      <c r="G424" s="188"/>
      <c r="H424" s="188"/>
      <c r="I424" s="188"/>
      <c r="J424" s="188"/>
      <c r="K424" s="188"/>
      <c r="L424" s="188"/>
      <c r="M424" s="188"/>
      <c r="N424" s="188"/>
      <c r="O424" s="188"/>
      <c r="P424" s="188"/>
      <c r="Q424" s="188"/>
      <c r="R424" s="188"/>
      <c r="S424" s="188"/>
      <c r="T424" s="188"/>
      <c r="U424" s="188"/>
      <c r="V424" s="188"/>
      <c r="W424" s="188"/>
    </row>
    <row r="425">
      <c r="A425" s="229"/>
      <c r="B425" s="188"/>
      <c r="C425" s="229"/>
      <c r="D425" s="229"/>
      <c r="E425" s="229"/>
      <c r="F425" s="188"/>
      <c r="G425" s="188"/>
      <c r="H425" s="188"/>
      <c r="I425" s="188"/>
      <c r="J425" s="188"/>
      <c r="K425" s="188"/>
      <c r="L425" s="188"/>
      <c r="M425" s="188"/>
      <c r="N425" s="188"/>
      <c r="O425" s="188"/>
      <c r="P425" s="188"/>
      <c r="Q425" s="188"/>
      <c r="R425" s="188"/>
      <c r="S425" s="188"/>
      <c r="T425" s="188"/>
      <c r="U425" s="188"/>
      <c r="V425" s="188"/>
      <c r="W425" s="188"/>
    </row>
    <row r="426">
      <c r="A426" s="229"/>
      <c r="B426" s="188"/>
      <c r="C426" s="229"/>
      <c r="D426" s="229"/>
      <c r="E426" s="229"/>
      <c r="F426" s="188"/>
      <c r="G426" s="188"/>
      <c r="H426" s="188"/>
      <c r="I426" s="188"/>
      <c r="J426" s="188"/>
      <c r="K426" s="188"/>
      <c r="L426" s="188"/>
      <c r="M426" s="188"/>
      <c r="N426" s="188"/>
      <c r="O426" s="188"/>
      <c r="P426" s="188"/>
      <c r="Q426" s="188"/>
      <c r="R426" s="188"/>
      <c r="S426" s="188"/>
      <c r="T426" s="188"/>
      <c r="U426" s="188"/>
      <c r="V426" s="188"/>
      <c r="W426" s="188"/>
    </row>
    <row r="427">
      <c r="A427" s="229"/>
      <c r="B427" s="188"/>
      <c r="C427" s="229"/>
      <c r="D427" s="229"/>
      <c r="E427" s="229"/>
      <c r="F427" s="188"/>
      <c r="G427" s="188"/>
      <c r="H427" s="188"/>
      <c r="I427" s="188"/>
      <c r="J427" s="188"/>
      <c r="K427" s="188"/>
      <c r="L427" s="188"/>
      <c r="M427" s="188"/>
      <c r="N427" s="188"/>
      <c r="O427" s="188"/>
      <c r="P427" s="188"/>
      <c r="Q427" s="188"/>
      <c r="R427" s="188"/>
      <c r="S427" s="188"/>
      <c r="T427" s="188"/>
      <c r="U427" s="188"/>
      <c r="V427" s="188"/>
      <c r="W427" s="188"/>
    </row>
    <row r="428">
      <c r="A428" s="229"/>
      <c r="B428" s="188"/>
      <c r="C428" s="229"/>
      <c r="D428" s="229"/>
      <c r="E428" s="229"/>
      <c r="F428" s="188"/>
      <c r="G428" s="188"/>
      <c r="H428" s="188"/>
      <c r="I428" s="188"/>
      <c r="J428" s="188"/>
      <c r="K428" s="188"/>
      <c r="L428" s="188"/>
      <c r="M428" s="188"/>
      <c r="N428" s="188"/>
      <c r="O428" s="188"/>
      <c r="P428" s="188"/>
      <c r="Q428" s="188"/>
      <c r="R428" s="188"/>
      <c r="S428" s="188"/>
      <c r="T428" s="188"/>
      <c r="U428" s="188"/>
      <c r="V428" s="188"/>
      <c r="W428" s="188"/>
    </row>
    <row r="429">
      <c r="A429" s="229"/>
      <c r="B429" s="188"/>
      <c r="C429" s="229"/>
      <c r="D429" s="229"/>
      <c r="E429" s="229"/>
      <c r="F429" s="188"/>
      <c r="G429" s="188"/>
      <c r="H429" s="188"/>
      <c r="I429" s="188"/>
      <c r="J429" s="188"/>
      <c r="K429" s="188"/>
      <c r="L429" s="188"/>
      <c r="M429" s="188"/>
      <c r="N429" s="188"/>
      <c r="O429" s="188"/>
      <c r="P429" s="188"/>
      <c r="Q429" s="188"/>
      <c r="R429" s="188"/>
      <c r="S429" s="188"/>
      <c r="T429" s="188"/>
      <c r="U429" s="188"/>
      <c r="V429" s="188"/>
      <c r="W429" s="188"/>
    </row>
    <row r="430">
      <c r="A430" s="229"/>
      <c r="B430" s="188"/>
      <c r="C430" s="229"/>
      <c r="D430" s="229"/>
      <c r="E430" s="229"/>
      <c r="F430" s="188"/>
      <c r="G430" s="188"/>
      <c r="H430" s="188"/>
      <c r="I430" s="188"/>
      <c r="J430" s="188"/>
      <c r="K430" s="188"/>
      <c r="L430" s="188"/>
      <c r="M430" s="188"/>
      <c r="N430" s="188"/>
      <c r="O430" s="188"/>
      <c r="P430" s="188"/>
      <c r="Q430" s="188"/>
      <c r="R430" s="188"/>
      <c r="S430" s="188"/>
      <c r="T430" s="188"/>
      <c r="U430" s="188"/>
      <c r="V430" s="188"/>
      <c r="W430" s="188"/>
    </row>
    <row r="431">
      <c r="A431" s="229"/>
      <c r="B431" s="188"/>
      <c r="C431" s="229"/>
      <c r="D431" s="229"/>
      <c r="E431" s="229"/>
      <c r="F431" s="188"/>
      <c r="G431" s="188"/>
      <c r="H431" s="188"/>
      <c r="I431" s="188"/>
      <c r="J431" s="188"/>
      <c r="K431" s="188"/>
      <c r="L431" s="188"/>
      <c r="M431" s="188"/>
      <c r="N431" s="188"/>
      <c r="O431" s="188"/>
      <c r="P431" s="188"/>
      <c r="Q431" s="188"/>
      <c r="R431" s="188"/>
      <c r="S431" s="188"/>
      <c r="T431" s="188"/>
      <c r="U431" s="188"/>
      <c r="V431" s="188"/>
      <c r="W431" s="188"/>
    </row>
    <row r="432">
      <c r="A432" s="229"/>
      <c r="B432" s="188"/>
      <c r="C432" s="229"/>
      <c r="D432" s="229"/>
      <c r="E432" s="229"/>
      <c r="F432" s="188"/>
      <c r="G432" s="188"/>
      <c r="H432" s="188"/>
      <c r="I432" s="188"/>
      <c r="J432" s="188"/>
      <c r="K432" s="188"/>
      <c r="L432" s="188"/>
      <c r="M432" s="188"/>
      <c r="N432" s="188"/>
      <c r="O432" s="188"/>
      <c r="P432" s="188"/>
      <c r="Q432" s="188"/>
      <c r="R432" s="188"/>
      <c r="S432" s="188"/>
      <c r="T432" s="188"/>
      <c r="U432" s="188"/>
      <c r="V432" s="188"/>
      <c r="W432" s="188"/>
    </row>
    <row r="433">
      <c r="A433" s="229"/>
      <c r="B433" s="188"/>
      <c r="C433" s="229"/>
      <c r="D433" s="229"/>
      <c r="E433" s="229"/>
      <c r="F433" s="188"/>
      <c r="G433" s="188"/>
      <c r="H433" s="188"/>
      <c r="I433" s="188"/>
      <c r="J433" s="188"/>
      <c r="K433" s="188"/>
      <c r="L433" s="188"/>
      <c r="M433" s="188"/>
      <c r="N433" s="188"/>
      <c r="O433" s="188"/>
      <c r="P433" s="188"/>
      <c r="Q433" s="188"/>
      <c r="R433" s="188"/>
      <c r="S433" s="188"/>
      <c r="T433" s="188"/>
      <c r="U433" s="188"/>
      <c r="V433" s="188"/>
      <c r="W433" s="188"/>
    </row>
    <row r="434">
      <c r="A434" s="229"/>
      <c r="B434" s="188"/>
      <c r="C434" s="229"/>
      <c r="D434" s="229"/>
      <c r="E434" s="229"/>
      <c r="F434" s="188"/>
      <c r="G434" s="188"/>
      <c r="H434" s="188"/>
      <c r="I434" s="188"/>
      <c r="J434" s="188"/>
      <c r="K434" s="188"/>
      <c r="L434" s="188"/>
      <c r="M434" s="188"/>
      <c r="N434" s="188"/>
      <c r="O434" s="188"/>
      <c r="P434" s="188"/>
      <c r="Q434" s="188"/>
      <c r="R434" s="188"/>
      <c r="S434" s="188"/>
      <c r="T434" s="188"/>
      <c r="U434" s="188"/>
      <c r="V434" s="188"/>
      <c r="W434" s="188"/>
    </row>
    <row r="435">
      <c r="A435" s="229"/>
      <c r="B435" s="188"/>
      <c r="C435" s="229"/>
      <c r="D435" s="229"/>
      <c r="E435" s="229"/>
      <c r="F435" s="188"/>
      <c r="G435" s="188"/>
      <c r="H435" s="188"/>
      <c r="I435" s="188"/>
      <c r="J435" s="188"/>
      <c r="K435" s="188"/>
      <c r="L435" s="188"/>
      <c r="M435" s="188"/>
      <c r="N435" s="188"/>
      <c r="O435" s="188"/>
      <c r="P435" s="188"/>
      <c r="Q435" s="188"/>
      <c r="R435" s="188"/>
      <c r="S435" s="188"/>
      <c r="T435" s="188"/>
      <c r="U435" s="188"/>
      <c r="V435" s="188"/>
      <c r="W435" s="188"/>
    </row>
    <row r="436">
      <c r="A436" s="229"/>
      <c r="B436" s="188"/>
      <c r="C436" s="229"/>
      <c r="D436" s="229"/>
      <c r="E436" s="229"/>
      <c r="F436" s="188"/>
      <c r="G436" s="188"/>
      <c r="H436" s="188"/>
      <c r="I436" s="188"/>
      <c r="J436" s="188"/>
      <c r="K436" s="188"/>
      <c r="L436" s="188"/>
      <c r="M436" s="188"/>
      <c r="N436" s="188"/>
      <c r="O436" s="188"/>
      <c r="P436" s="188"/>
      <c r="Q436" s="188"/>
      <c r="R436" s="188"/>
      <c r="S436" s="188"/>
      <c r="T436" s="188"/>
      <c r="U436" s="188"/>
      <c r="V436" s="188"/>
      <c r="W436" s="188"/>
    </row>
    <row r="437">
      <c r="A437" s="229"/>
      <c r="B437" s="188"/>
      <c r="C437" s="229"/>
      <c r="D437" s="229"/>
      <c r="E437" s="229"/>
      <c r="F437" s="188"/>
      <c r="G437" s="188"/>
      <c r="H437" s="188"/>
      <c r="I437" s="188"/>
      <c r="J437" s="188"/>
      <c r="K437" s="188"/>
      <c r="L437" s="188"/>
      <c r="M437" s="188"/>
      <c r="N437" s="188"/>
      <c r="O437" s="188"/>
      <c r="P437" s="188"/>
      <c r="Q437" s="188"/>
      <c r="R437" s="188"/>
      <c r="S437" s="188"/>
      <c r="T437" s="188"/>
      <c r="U437" s="188"/>
      <c r="V437" s="188"/>
      <c r="W437" s="188"/>
    </row>
    <row r="438">
      <c r="A438" s="229"/>
      <c r="B438" s="188"/>
      <c r="C438" s="229"/>
      <c r="D438" s="229"/>
      <c r="E438" s="229"/>
      <c r="F438" s="188"/>
      <c r="G438" s="188"/>
      <c r="H438" s="188"/>
      <c r="I438" s="188"/>
      <c r="J438" s="188"/>
      <c r="K438" s="188"/>
      <c r="L438" s="188"/>
      <c r="M438" s="188"/>
      <c r="N438" s="188"/>
      <c r="O438" s="188"/>
      <c r="P438" s="188"/>
      <c r="Q438" s="188"/>
      <c r="R438" s="188"/>
      <c r="S438" s="188"/>
      <c r="T438" s="188"/>
      <c r="U438" s="188"/>
      <c r="V438" s="188"/>
      <c r="W438" s="188"/>
    </row>
    <row r="439">
      <c r="A439" s="229"/>
      <c r="B439" s="188"/>
      <c r="C439" s="229"/>
      <c r="D439" s="229"/>
      <c r="E439" s="229"/>
      <c r="F439" s="188"/>
      <c r="G439" s="188"/>
      <c r="H439" s="188"/>
      <c r="I439" s="188"/>
      <c r="J439" s="188"/>
      <c r="K439" s="188"/>
      <c r="L439" s="188"/>
      <c r="M439" s="188"/>
      <c r="N439" s="188"/>
      <c r="O439" s="188"/>
      <c r="P439" s="188"/>
      <c r="Q439" s="188"/>
      <c r="R439" s="188"/>
      <c r="S439" s="188"/>
      <c r="T439" s="188"/>
      <c r="U439" s="188"/>
      <c r="V439" s="188"/>
      <c r="W439" s="188"/>
    </row>
    <row r="440">
      <c r="A440" s="229"/>
      <c r="B440" s="188"/>
      <c r="C440" s="229"/>
      <c r="D440" s="229"/>
      <c r="E440" s="229"/>
      <c r="F440" s="188"/>
      <c r="G440" s="188"/>
      <c r="H440" s="188"/>
      <c r="I440" s="188"/>
      <c r="J440" s="188"/>
      <c r="K440" s="188"/>
      <c r="L440" s="188"/>
      <c r="M440" s="188"/>
      <c r="N440" s="188"/>
      <c r="O440" s="188"/>
      <c r="P440" s="188"/>
      <c r="Q440" s="188"/>
      <c r="R440" s="188"/>
      <c r="S440" s="188"/>
      <c r="T440" s="188"/>
      <c r="U440" s="188"/>
      <c r="V440" s="188"/>
      <c r="W440" s="188"/>
    </row>
    <row r="441">
      <c r="A441" s="229"/>
      <c r="B441" s="188"/>
      <c r="C441" s="229"/>
      <c r="D441" s="229"/>
      <c r="E441" s="229"/>
      <c r="F441" s="188"/>
      <c r="G441" s="188"/>
      <c r="H441" s="188"/>
      <c r="I441" s="188"/>
      <c r="J441" s="188"/>
      <c r="K441" s="188"/>
      <c r="L441" s="188"/>
      <c r="M441" s="188"/>
      <c r="N441" s="188"/>
      <c r="O441" s="188"/>
      <c r="P441" s="188"/>
      <c r="Q441" s="188"/>
      <c r="R441" s="188"/>
      <c r="S441" s="188"/>
      <c r="T441" s="188"/>
      <c r="U441" s="188"/>
      <c r="V441" s="188"/>
      <c r="W441" s="188"/>
    </row>
    <row r="442">
      <c r="A442" s="229"/>
      <c r="B442" s="188"/>
      <c r="C442" s="229"/>
      <c r="D442" s="229"/>
      <c r="E442" s="229"/>
      <c r="F442" s="188"/>
      <c r="G442" s="188"/>
      <c r="H442" s="188"/>
      <c r="I442" s="188"/>
      <c r="J442" s="188"/>
      <c r="K442" s="188"/>
      <c r="L442" s="188"/>
      <c r="M442" s="188"/>
      <c r="N442" s="188"/>
      <c r="O442" s="188"/>
      <c r="P442" s="188"/>
      <c r="Q442" s="188"/>
      <c r="R442" s="188"/>
      <c r="S442" s="188"/>
      <c r="T442" s="188"/>
      <c r="U442" s="188"/>
      <c r="V442" s="188"/>
      <c r="W442" s="188"/>
    </row>
    <row r="443">
      <c r="A443" s="229"/>
      <c r="B443" s="188"/>
      <c r="C443" s="229"/>
      <c r="D443" s="229"/>
      <c r="E443" s="229"/>
      <c r="F443" s="188"/>
      <c r="G443" s="188"/>
      <c r="H443" s="188"/>
      <c r="I443" s="188"/>
      <c r="J443" s="188"/>
      <c r="K443" s="188"/>
      <c r="L443" s="188"/>
      <c r="M443" s="188"/>
      <c r="N443" s="188"/>
      <c r="O443" s="188"/>
      <c r="P443" s="188"/>
      <c r="Q443" s="188"/>
      <c r="R443" s="188"/>
      <c r="S443" s="188"/>
      <c r="T443" s="188"/>
      <c r="U443" s="188"/>
      <c r="V443" s="188"/>
      <c r="W443" s="188"/>
    </row>
    <row r="444">
      <c r="A444" s="229"/>
      <c r="B444" s="188"/>
      <c r="C444" s="229"/>
      <c r="D444" s="229"/>
      <c r="E444" s="229"/>
      <c r="F444" s="188"/>
      <c r="G444" s="188"/>
      <c r="H444" s="188"/>
      <c r="I444" s="188"/>
      <c r="J444" s="188"/>
      <c r="K444" s="188"/>
      <c r="L444" s="188"/>
      <c r="M444" s="188"/>
      <c r="N444" s="188"/>
      <c r="O444" s="188"/>
      <c r="P444" s="188"/>
      <c r="Q444" s="188"/>
      <c r="R444" s="188"/>
      <c r="S444" s="188"/>
      <c r="T444" s="188"/>
      <c r="U444" s="188"/>
      <c r="V444" s="188"/>
      <c r="W444" s="188"/>
    </row>
    <row r="445">
      <c r="A445" s="229"/>
      <c r="B445" s="188"/>
      <c r="C445" s="229"/>
      <c r="D445" s="229"/>
      <c r="E445" s="229"/>
      <c r="F445" s="188"/>
      <c r="G445" s="188"/>
      <c r="H445" s="188"/>
      <c r="I445" s="188"/>
      <c r="J445" s="188"/>
      <c r="K445" s="188"/>
      <c r="L445" s="188"/>
      <c r="M445" s="188"/>
      <c r="N445" s="188"/>
      <c r="O445" s="188"/>
      <c r="P445" s="188"/>
      <c r="Q445" s="188"/>
      <c r="R445" s="188"/>
      <c r="S445" s="188"/>
      <c r="T445" s="188"/>
      <c r="U445" s="188"/>
      <c r="V445" s="188"/>
      <c r="W445" s="188"/>
    </row>
    <row r="446">
      <c r="A446" s="229"/>
      <c r="B446" s="188"/>
      <c r="C446" s="229"/>
      <c r="D446" s="229"/>
      <c r="E446" s="229"/>
      <c r="F446" s="188"/>
      <c r="G446" s="188"/>
      <c r="H446" s="188"/>
      <c r="I446" s="188"/>
      <c r="J446" s="188"/>
      <c r="K446" s="188"/>
      <c r="L446" s="188"/>
      <c r="M446" s="188"/>
      <c r="N446" s="188"/>
      <c r="O446" s="188"/>
      <c r="P446" s="188"/>
      <c r="Q446" s="188"/>
      <c r="R446" s="188"/>
      <c r="S446" s="188"/>
      <c r="T446" s="188"/>
      <c r="U446" s="188"/>
      <c r="V446" s="188"/>
      <c r="W446" s="188"/>
    </row>
    <row r="447">
      <c r="A447" s="229"/>
      <c r="B447" s="188"/>
      <c r="C447" s="229"/>
      <c r="D447" s="229"/>
      <c r="E447" s="229"/>
      <c r="F447" s="188"/>
      <c r="G447" s="188"/>
      <c r="H447" s="188"/>
      <c r="I447" s="188"/>
      <c r="J447" s="188"/>
      <c r="K447" s="188"/>
      <c r="L447" s="188"/>
      <c r="M447" s="188"/>
      <c r="N447" s="188"/>
      <c r="O447" s="188"/>
      <c r="P447" s="188"/>
      <c r="Q447" s="188"/>
      <c r="R447" s="188"/>
      <c r="S447" s="188"/>
      <c r="T447" s="188"/>
      <c r="U447" s="188"/>
      <c r="V447" s="188"/>
      <c r="W447" s="188"/>
    </row>
    <row r="448">
      <c r="A448" s="229"/>
      <c r="B448" s="188"/>
      <c r="C448" s="229"/>
      <c r="D448" s="229"/>
      <c r="E448" s="229"/>
      <c r="F448" s="188"/>
      <c r="G448" s="188"/>
      <c r="H448" s="188"/>
      <c r="I448" s="188"/>
      <c r="J448" s="188"/>
      <c r="K448" s="188"/>
      <c r="L448" s="188"/>
      <c r="M448" s="188"/>
      <c r="N448" s="188"/>
      <c r="O448" s="188"/>
      <c r="P448" s="188"/>
      <c r="Q448" s="188"/>
      <c r="R448" s="188"/>
      <c r="S448" s="188"/>
      <c r="T448" s="188"/>
      <c r="U448" s="188"/>
      <c r="V448" s="188"/>
      <c r="W448" s="188"/>
    </row>
    <row r="449">
      <c r="A449" s="229"/>
      <c r="B449" s="188"/>
      <c r="C449" s="229"/>
      <c r="D449" s="229"/>
      <c r="E449" s="229"/>
      <c r="F449" s="188"/>
      <c r="G449" s="188"/>
      <c r="H449" s="188"/>
      <c r="I449" s="188"/>
      <c r="J449" s="188"/>
      <c r="K449" s="188"/>
      <c r="L449" s="188"/>
      <c r="M449" s="188"/>
      <c r="N449" s="188"/>
      <c r="O449" s="188"/>
      <c r="P449" s="188"/>
      <c r="Q449" s="188"/>
      <c r="R449" s="188"/>
      <c r="S449" s="188"/>
      <c r="T449" s="188"/>
      <c r="U449" s="188"/>
      <c r="V449" s="188"/>
      <c r="W449" s="188"/>
    </row>
    <row r="450">
      <c r="A450" s="229"/>
      <c r="B450" s="188"/>
      <c r="C450" s="229"/>
      <c r="D450" s="229"/>
      <c r="E450" s="229"/>
      <c r="F450" s="188"/>
      <c r="G450" s="188"/>
      <c r="H450" s="188"/>
      <c r="I450" s="188"/>
      <c r="J450" s="188"/>
      <c r="K450" s="188"/>
      <c r="L450" s="188"/>
      <c r="M450" s="188"/>
      <c r="N450" s="188"/>
      <c r="O450" s="188"/>
      <c r="P450" s="188"/>
      <c r="Q450" s="188"/>
      <c r="R450" s="188"/>
      <c r="S450" s="188"/>
      <c r="T450" s="188"/>
      <c r="U450" s="188"/>
      <c r="V450" s="188"/>
      <c r="W450" s="188"/>
    </row>
    <row r="451">
      <c r="A451" s="229"/>
      <c r="B451" s="188"/>
      <c r="C451" s="229"/>
      <c r="D451" s="229"/>
      <c r="E451" s="229"/>
      <c r="F451" s="188"/>
      <c r="G451" s="188"/>
      <c r="H451" s="188"/>
      <c r="I451" s="188"/>
      <c r="J451" s="188"/>
      <c r="K451" s="188"/>
      <c r="L451" s="188"/>
      <c r="M451" s="188"/>
      <c r="N451" s="188"/>
      <c r="O451" s="188"/>
      <c r="P451" s="188"/>
      <c r="Q451" s="188"/>
      <c r="R451" s="188"/>
      <c r="S451" s="188"/>
      <c r="T451" s="188"/>
      <c r="U451" s="188"/>
      <c r="V451" s="188"/>
      <c r="W451" s="188"/>
    </row>
    <row r="452">
      <c r="A452" s="229"/>
      <c r="B452" s="188"/>
      <c r="C452" s="229"/>
      <c r="D452" s="229"/>
      <c r="E452" s="229"/>
      <c r="F452" s="188"/>
      <c r="G452" s="188"/>
      <c r="H452" s="188"/>
      <c r="I452" s="188"/>
      <c r="J452" s="188"/>
      <c r="K452" s="188"/>
      <c r="L452" s="188"/>
      <c r="M452" s="188"/>
      <c r="N452" s="188"/>
      <c r="O452" s="188"/>
      <c r="P452" s="188"/>
      <c r="Q452" s="188"/>
      <c r="R452" s="188"/>
      <c r="S452" s="188"/>
      <c r="T452" s="188"/>
      <c r="U452" s="188"/>
      <c r="V452" s="188"/>
      <c r="W452" s="188"/>
    </row>
    <row r="453">
      <c r="A453" s="229"/>
      <c r="B453" s="188"/>
      <c r="C453" s="229"/>
      <c r="D453" s="229"/>
      <c r="E453" s="229"/>
      <c r="F453" s="188"/>
      <c r="G453" s="188"/>
      <c r="H453" s="188"/>
      <c r="I453" s="188"/>
      <c r="J453" s="188"/>
      <c r="K453" s="188"/>
      <c r="L453" s="188"/>
      <c r="M453" s="188"/>
      <c r="N453" s="188"/>
      <c r="O453" s="188"/>
      <c r="P453" s="188"/>
      <c r="Q453" s="188"/>
      <c r="R453" s="188"/>
      <c r="S453" s="188"/>
      <c r="T453" s="188"/>
      <c r="U453" s="188"/>
      <c r="V453" s="188"/>
      <c r="W453" s="188"/>
    </row>
    <row r="454">
      <c r="A454" s="229"/>
      <c r="B454" s="188"/>
      <c r="C454" s="229"/>
      <c r="D454" s="229"/>
      <c r="E454" s="229"/>
      <c r="F454" s="188"/>
      <c r="G454" s="188"/>
      <c r="H454" s="188"/>
      <c r="I454" s="188"/>
      <c r="J454" s="188"/>
      <c r="K454" s="188"/>
      <c r="L454" s="188"/>
      <c r="M454" s="188"/>
      <c r="N454" s="188"/>
      <c r="O454" s="188"/>
      <c r="P454" s="188"/>
      <c r="Q454" s="188"/>
      <c r="R454" s="188"/>
      <c r="S454" s="188"/>
      <c r="T454" s="188"/>
      <c r="U454" s="188"/>
      <c r="V454" s="188"/>
      <c r="W454" s="188"/>
    </row>
    <row r="455">
      <c r="A455" s="229"/>
      <c r="B455" s="188"/>
      <c r="C455" s="229"/>
      <c r="D455" s="229"/>
      <c r="E455" s="229"/>
      <c r="F455" s="188"/>
      <c r="G455" s="188"/>
      <c r="H455" s="188"/>
      <c r="I455" s="188"/>
      <c r="J455" s="188"/>
      <c r="K455" s="188"/>
      <c r="L455" s="188"/>
      <c r="M455" s="188"/>
      <c r="N455" s="188"/>
      <c r="O455" s="188"/>
      <c r="P455" s="188"/>
      <c r="Q455" s="188"/>
      <c r="R455" s="188"/>
      <c r="S455" s="188"/>
      <c r="T455" s="188"/>
      <c r="U455" s="188"/>
      <c r="V455" s="188"/>
      <c r="W455" s="188"/>
    </row>
    <row r="456">
      <c r="A456" s="229"/>
      <c r="B456" s="188"/>
      <c r="C456" s="229"/>
      <c r="D456" s="229"/>
      <c r="E456" s="229"/>
      <c r="F456" s="188"/>
      <c r="G456" s="188"/>
      <c r="H456" s="188"/>
      <c r="I456" s="188"/>
      <c r="J456" s="188"/>
      <c r="K456" s="188"/>
      <c r="L456" s="188"/>
      <c r="M456" s="188"/>
      <c r="N456" s="188"/>
      <c r="O456" s="188"/>
      <c r="P456" s="188"/>
      <c r="Q456" s="188"/>
      <c r="R456" s="188"/>
      <c r="S456" s="188"/>
      <c r="T456" s="188"/>
      <c r="U456" s="188"/>
      <c r="V456" s="188"/>
      <c r="W456" s="188"/>
    </row>
    <row r="457">
      <c r="A457" s="229"/>
      <c r="B457" s="188"/>
      <c r="C457" s="229"/>
      <c r="D457" s="229"/>
      <c r="E457" s="229"/>
      <c r="F457" s="188"/>
      <c r="G457" s="188"/>
      <c r="H457" s="188"/>
      <c r="I457" s="188"/>
      <c r="J457" s="188"/>
      <c r="K457" s="188"/>
      <c r="L457" s="188"/>
      <c r="M457" s="188"/>
      <c r="N457" s="188"/>
      <c r="O457" s="188"/>
      <c r="P457" s="188"/>
      <c r="Q457" s="188"/>
      <c r="R457" s="188"/>
      <c r="S457" s="188"/>
      <c r="T457" s="188"/>
      <c r="U457" s="188"/>
      <c r="V457" s="188"/>
      <c r="W457" s="188"/>
    </row>
    <row r="458">
      <c r="A458" s="229"/>
      <c r="B458" s="188"/>
      <c r="C458" s="229"/>
      <c r="D458" s="229"/>
      <c r="E458" s="229"/>
      <c r="F458" s="188"/>
      <c r="G458" s="188"/>
      <c r="H458" s="188"/>
      <c r="I458" s="188"/>
      <c r="J458" s="188"/>
      <c r="K458" s="188"/>
      <c r="L458" s="188"/>
      <c r="M458" s="188"/>
      <c r="N458" s="188"/>
      <c r="O458" s="188"/>
      <c r="P458" s="188"/>
      <c r="Q458" s="188"/>
      <c r="R458" s="188"/>
      <c r="S458" s="188"/>
      <c r="T458" s="188"/>
      <c r="U458" s="188"/>
      <c r="V458" s="188"/>
      <c r="W458" s="188"/>
    </row>
    <row r="459">
      <c r="A459" s="229"/>
      <c r="B459" s="188"/>
      <c r="C459" s="229"/>
      <c r="D459" s="229"/>
      <c r="E459" s="229"/>
      <c r="F459" s="188"/>
      <c r="G459" s="188"/>
      <c r="H459" s="188"/>
      <c r="I459" s="188"/>
      <c r="J459" s="188"/>
      <c r="K459" s="188"/>
      <c r="L459" s="188"/>
      <c r="M459" s="188"/>
      <c r="N459" s="188"/>
      <c r="O459" s="188"/>
      <c r="P459" s="188"/>
      <c r="Q459" s="188"/>
      <c r="R459" s="188"/>
      <c r="S459" s="188"/>
      <c r="T459" s="188"/>
      <c r="U459" s="188"/>
      <c r="V459" s="188"/>
      <c r="W459" s="188"/>
    </row>
    <row r="460">
      <c r="A460" s="229"/>
      <c r="B460" s="188"/>
      <c r="C460" s="229"/>
      <c r="D460" s="229"/>
      <c r="E460" s="229"/>
      <c r="F460" s="188"/>
      <c r="G460" s="188"/>
      <c r="H460" s="188"/>
      <c r="I460" s="188"/>
      <c r="J460" s="188"/>
      <c r="K460" s="188"/>
      <c r="L460" s="188"/>
      <c r="M460" s="188"/>
      <c r="N460" s="188"/>
      <c r="O460" s="188"/>
      <c r="P460" s="188"/>
      <c r="Q460" s="188"/>
      <c r="R460" s="188"/>
      <c r="S460" s="188"/>
      <c r="T460" s="188"/>
      <c r="U460" s="188"/>
      <c r="V460" s="188"/>
      <c r="W460" s="188"/>
    </row>
    <row r="461">
      <c r="A461" s="229"/>
      <c r="B461" s="188"/>
      <c r="C461" s="229"/>
      <c r="D461" s="229"/>
      <c r="E461" s="229"/>
      <c r="F461" s="188"/>
      <c r="G461" s="188"/>
      <c r="H461" s="188"/>
      <c r="I461" s="188"/>
      <c r="J461" s="188"/>
      <c r="K461" s="188"/>
      <c r="L461" s="188"/>
      <c r="M461" s="188"/>
      <c r="N461" s="188"/>
      <c r="O461" s="188"/>
      <c r="P461" s="188"/>
      <c r="Q461" s="188"/>
      <c r="R461" s="188"/>
      <c r="S461" s="188"/>
      <c r="T461" s="188"/>
      <c r="U461" s="188"/>
      <c r="V461" s="188"/>
      <c r="W461" s="188"/>
    </row>
    <row r="462">
      <c r="A462" s="229"/>
      <c r="B462" s="188"/>
      <c r="C462" s="229"/>
      <c r="D462" s="229"/>
      <c r="E462" s="229"/>
      <c r="F462" s="188"/>
      <c r="G462" s="188"/>
      <c r="H462" s="188"/>
      <c r="I462" s="188"/>
      <c r="J462" s="188"/>
      <c r="K462" s="188"/>
      <c r="L462" s="188"/>
      <c r="M462" s="188"/>
      <c r="N462" s="188"/>
      <c r="O462" s="188"/>
      <c r="P462" s="188"/>
      <c r="Q462" s="188"/>
      <c r="R462" s="188"/>
      <c r="S462" s="188"/>
      <c r="T462" s="188"/>
      <c r="U462" s="188"/>
      <c r="V462" s="188"/>
      <c r="W462" s="188"/>
    </row>
    <row r="463">
      <c r="A463" s="229"/>
      <c r="B463" s="188"/>
      <c r="C463" s="229"/>
      <c r="D463" s="229"/>
      <c r="E463" s="229"/>
      <c r="F463" s="188"/>
      <c r="G463" s="188"/>
      <c r="H463" s="188"/>
      <c r="I463" s="188"/>
      <c r="J463" s="188"/>
      <c r="K463" s="188"/>
      <c r="L463" s="188"/>
      <c r="M463" s="188"/>
      <c r="N463" s="188"/>
      <c r="O463" s="188"/>
      <c r="P463" s="188"/>
      <c r="Q463" s="188"/>
      <c r="R463" s="188"/>
      <c r="S463" s="188"/>
      <c r="T463" s="188"/>
      <c r="U463" s="188"/>
      <c r="V463" s="188"/>
      <c r="W463" s="188"/>
    </row>
    <row r="464">
      <c r="A464" s="229"/>
      <c r="B464" s="188"/>
      <c r="C464" s="229"/>
      <c r="D464" s="229"/>
      <c r="E464" s="229"/>
      <c r="F464" s="188"/>
      <c r="G464" s="188"/>
      <c r="H464" s="188"/>
      <c r="I464" s="188"/>
      <c r="J464" s="188"/>
      <c r="K464" s="188"/>
      <c r="L464" s="188"/>
      <c r="M464" s="188"/>
      <c r="N464" s="188"/>
      <c r="O464" s="188"/>
      <c r="P464" s="188"/>
      <c r="Q464" s="188"/>
      <c r="R464" s="188"/>
      <c r="S464" s="188"/>
      <c r="T464" s="188"/>
      <c r="U464" s="188"/>
      <c r="V464" s="188"/>
      <c r="W464" s="188"/>
    </row>
    <row r="465">
      <c r="A465" s="229"/>
      <c r="B465" s="188"/>
      <c r="C465" s="229"/>
      <c r="D465" s="229"/>
      <c r="E465" s="229"/>
      <c r="F465" s="188"/>
      <c r="G465" s="188"/>
      <c r="H465" s="188"/>
      <c r="I465" s="188"/>
      <c r="J465" s="188"/>
      <c r="K465" s="188"/>
      <c r="L465" s="188"/>
      <c r="M465" s="188"/>
      <c r="N465" s="188"/>
      <c r="O465" s="188"/>
      <c r="P465" s="188"/>
      <c r="Q465" s="188"/>
      <c r="R465" s="188"/>
      <c r="S465" s="188"/>
      <c r="T465" s="188"/>
      <c r="U465" s="188"/>
      <c r="V465" s="188"/>
      <c r="W465" s="188"/>
    </row>
    <row r="466">
      <c r="A466" s="229"/>
      <c r="B466" s="188"/>
      <c r="C466" s="229"/>
      <c r="D466" s="229"/>
      <c r="E466" s="229"/>
      <c r="F466" s="188"/>
      <c r="G466" s="188"/>
      <c r="H466" s="188"/>
      <c r="I466" s="188"/>
      <c r="J466" s="188"/>
      <c r="K466" s="188"/>
      <c r="L466" s="188"/>
      <c r="M466" s="188"/>
      <c r="N466" s="188"/>
      <c r="O466" s="188"/>
      <c r="P466" s="188"/>
      <c r="Q466" s="188"/>
      <c r="R466" s="188"/>
      <c r="S466" s="188"/>
      <c r="T466" s="188"/>
      <c r="U466" s="188"/>
      <c r="V466" s="188"/>
      <c r="W466" s="188"/>
    </row>
    <row r="467">
      <c r="A467" s="229"/>
      <c r="B467" s="188"/>
      <c r="C467" s="229"/>
      <c r="D467" s="229"/>
      <c r="E467" s="229"/>
      <c r="F467" s="188"/>
      <c r="G467" s="188"/>
      <c r="H467" s="188"/>
      <c r="I467" s="188"/>
      <c r="J467" s="188"/>
      <c r="K467" s="188"/>
      <c r="L467" s="188"/>
      <c r="M467" s="188"/>
      <c r="N467" s="188"/>
      <c r="O467" s="188"/>
      <c r="P467" s="188"/>
      <c r="Q467" s="188"/>
      <c r="R467" s="188"/>
      <c r="S467" s="188"/>
      <c r="T467" s="188"/>
      <c r="U467" s="188"/>
      <c r="V467" s="188"/>
      <c r="W467" s="188"/>
    </row>
    <row r="468">
      <c r="A468" s="229"/>
      <c r="B468" s="188"/>
      <c r="C468" s="229"/>
      <c r="D468" s="229"/>
      <c r="E468" s="229"/>
      <c r="F468" s="188"/>
      <c r="G468" s="188"/>
      <c r="H468" s="188"/>
      <c r="I468" s="188"/>
      <c r="J468" s="188"/>
      <c r="K468" s="188"/>
      <c r="L468" s="188"/>
      <c r="M468" s="188"/>
      <c r="N468" s="188"/>
      <c r="O468" s="188"/>
      <c r="P468" s="188"/>
      <c r="Q468" s="188"/>
      <c r="R468" s="188"/>
      <c r="S468" s="188"/>
      <c r="T468" s="188"/>
      <c r="U468" s="188"/>
      <c r="V468" s="188"/>
      <c r="W468" s="188"/>
    </row>
    <row r="469">
      <c r="A469" s="229"/>
      <c r="B469" s="188"/>
      <c r="C469" s="229"/>
      <c r="D469" s="229"/>
      <c r="E469" s="229"/>
      <c r="F469" s="188"/>
      <c r="G469" s="188"/>
      <c r="H469" s="188"/>
      <c r="I469" s="188"/>
      <c r="J469" s="188"/>
      <c r="K469" s="188"/>
      <c r="L469" s="188"/>
      <c r="M469" s="188"/>
      <c r="N469" s="188"/>
      <c r="O469" s="188"/>
      <c r="P469" s="188"/>
      <c r="Q469" s="188"/>
      <c r="R469" s="188"/>
      <c r="S469" s="188"/>
      <c r="T469" s="188"/>
      <c r="U469" s="188"/>
      <c r="V469" s="188"/>
      <c r="W469" s="188"/>
    </row>
    <row r="470">
      <c r="A470" s="229"/>
      <c r="B470" s="188"/>
      <c r="C470" s="229"/>
      <c r="D470" s="229"/>
      <c r="E470" s="229"/>
      <c r="F470" s="188"/>
      <c r="G470" s="188"/>
      <c r="H470" s="188"/>
      <c r="I470" s="188"/>
      <c r="J470" s="188"/>
      <c r="K470" s="188"/>
      <c r="L470" s="188"/>
      <c r="M470" s="188"/>
      <c r="N470" s="188"/>
      <c r="O470" s="188"/>
      <c r="P470" s="188"/>
      <c r="Q470" s="188"/>
      <c r="R470" s="188"/>
      <c r="S470" s="188"/>
      <c r="T470" s="188"/>
      <c r="U470" s="188"/>
      <c r="V470" s="188"/>
      <c r="W470" s="188"/>
    </row>
    <row r="471">
      <c r="A471" s="229"/>
      <c r="B471" s="188"/>
      <c r="C471" s="229"/>
      <c r="D471" s="229"/>
      <c r="E471" s="229"/>
      <c r="F471" s="188"/>
      <c r="G471" s="188"/>
      <c r="H471" s="188"/>
      <c r="I471" s="188"/>
      <c r="J471" s="188"/>
      <c r="K471" s="188"/>
      <c r="L471" s="188"/>
      <c r="M471" s="188"/>
      <c r="N471" s="188"/>
      <c r="O471" s="188"/>
      <c r="P471" s="188"/>
      <c r="Q471" s="188"/>
      <c r="R471" s="188"/>
      <c r="S471" s="188"/>
      <c r="T471" s="188"/>
      <c r="U471" s="188"/>
      <c r="V471" s="188"/>
      <c r="W471" s="188"/>
    </row>
    <row r="472">
      <c r="A472" s="229"/>
      <c r="B472" s="188"/>
      <c r="C472" s="229"/>
      <c r="D472" s="229"/>
      <c r="E472" s="229"/>
      <c r="F472" s="188"/>
      <c r="G472" s="188"/>
      <c r="H472" s="188"/>
      <c r="I472" s="188"/>
      <c r="J472" s="188"/>
      <c r="K472" s="188"/>
      <c r="L472" s="188"/>
      <c r="M472" s="188"/>
      <c r="N472" s="188"/>
      <c r="O472" s="188"/>
      <c r="P472" s="188"/>
      <c r="Q472" s="188"/>
      <c r="R472" s="188"/>
      <c r="S472" s="188"/>
      <c r="T472" s="188"/>
      <c r="U472" s="188"/>
      <c r="V472" s="188"/>
      <c r="W472" s="188"/>
    </row>
    <row r="473">
      <c r="A473" s="229"/>
      <c r="B473" s="188"/>
      <c r="C473" s="229"/>
      <c r="D473" s="229"/>
      <c r="E473" s="229"/>
      <c r="F473" s="188"/>
      <c r="G473" s="188"/>
      <c r="H473" s="188"/>
      <c r="I473" s="188"/>
      <c r="J473" s="188"/>
      <c r="K473" s="188"/>
      <c r="L473" s="188"/>
      <c r="M473" s="188"/>
      <c r="N473" s="188"/>
      <c r="O473" s="188"/>
      <c r="P473" s="188"/>
      <c r="Q473" s="188"/>
      <c r="R473" s="188"/>
      <c r="S473" s="188"/>
      <c r="T473" s="188"/>
      <c r="U473" s="188"/>
      <c r="V473" s="188"/>
      <c r="W473" s="188"/>
    </row>
    <row r="474">
      <c r="A474" s="229"/>
      <c r="B474" s="188"/>
      <c r="C474" s="229"/>
      <c r="D474" s="229"/>
      <c r="E474" s="229"/>
      <c r="F474" s="188"/>
      <c r="G474" s="188"/>
      <c r="H474" s="188"/>
      <c r="I474" s="188"/>
      <c r="J474" s="188"/>
      <c r="K474" s="188"/>
      <c r="L474" s="188"/>
      <c r="M474" s="188"/>
      <c r="N474" s="188"/>
      <c r="O474" s="188"/>
      <c r="P474" s="188"/>
      <c r="Q474" s="188"/>
      <c r="R474" s="188"/>
      <c r="S474" s="188"/>
      <c r="T474" s="188"/>
      <c r="U474" s="188"/>
      <c r="V474" s="188"/>
      <c r="W474" s="188"/>
    </row>
    <row r="475">
      <c r="A475" s="229"/>
      <c r="B475" s="188"/>
      <c r="C475" s="229"/>
      <c r="D475" s="229"/>
      <c r="E475" s="229"/>
      <c r="F475" s="188"/>
      <c r="G475" s="188"/>
      <c r="H475" s="188"/>
      <c r="I475" s="188"/>
      <c r="J475" s="188"/>
      <c r="K475" s="188"/>
      <c r="L475" s="188"/>
      <c r="M475" s="188"/>
      <c r="N475" s="188"/>
      <c r="O475" s="188"/>
      <c r="P475" s="188"/>
      <c r="Q475" s="188"/>
      <c r="R475" s="188"/>
      <c r="S475" s="188"/>
      <c r="T475" s="188"/>
      <c r="U475" s="188"/>
      <c r="V475" s="188"/>
      <c r="W475" s="188"/>
    </row>
    <row r="476">
      <c r="A476" s="229"/>
      <c r="B476" s="188"/>
      <c r="C476" s="229"/>
      <c r="D476" s="229"/>
      <c r="E476" s="229"/>
      <c r="F476" s="188"/>
      <c r="G476" s="188"/>
      <c r="H476" s="188"/>
      <c r="I476" s="188"/>
      <c r="J476" s="188"/>
      <c r="K476" s="188"/>
      <c r="L476" s="188"/>
      <c r="M476" s="188"/>
      <c r="N476" s="188"/>
      <c r="O476" s="188"/>
      <c r="P476" s="188"/>
      <c r="Q476" s="188"/>
      <c r="R476" s="188"/>
      <c r="S476" s="188"/>
      <c r="T476" s="188"/>
      <c r="U476" s="188"/>
      <c r="V476" s="188"/>
      <c r="W476" s="188"/>
    </row>
    <row r="477">
      <c r="A477" s="229"/>
      <c r="B477" s="188"/>
      <c r="C477" s="229"/>
      <c r="D477" s="229"/>
      <c r="E477" s="229"/>
      <c r="F477" s="188"/>
      <c r="G477" s="188"/>
      <c r="H477" s="188"/>
      <c r="I477" s="188"/>
      <c r="J477" s="188"/>
      <c r="K477" s="188"/>
      <c r="L477" s="188"/>
      <c r="M477" s="188"/>
      <c r="N477" s="188"/>
      <c r="O477" s="188"/>
      <c r="P477" s="188"/>
      <c r="Q477" s="188"/>
      <c r="R477" s="188"/>
      <c r="S477" s="188"/>
      <c r="T477" s="188"/>
      <c r="U477" s="188"/>
      <c r="V477" s="188"/>
      <c r="W477" s="188"/>
    </row>
    <row r="478">
      <c r="A478" s="229"/>
      <c r="B478" s="188"/>
      <c r="C478" s="229"/>
      <c r="D478" s="229"/>
      <c r="E478" s="229"/>
      <c r="F478" s="188"/>
      <c r="G478" s="188"/>
      <c r="H478" s="188"/>
      <c r="I478" s="188"/>
      <c r="J478" s="188"/>
      <c r="K478" s="188"/>
      <c r="L478" s="188"/>
      <c r="M478" s="188"/>
      <c r="N478" s="188"/>
      <c r="O478" s="188"/>
      <c r="P478" s="188"/>
      <c r="Q478" s="188"/>
      <c r="R478" s="188"/>
      <c r="S478" s="188"/>
      <c r="T478" s="188"/>
      <c r="U478" s="188"/>
      <c r="V478" s="188"/>
      <c r="W478" s="188"/>
    </row>
    <row r="479">
      <c r="A479" s="229"/>
      <c r="B479" s="188"/>
      <c r="C479" s="229"/>
      <c r="D479" s="229"/>
      <c r="E479" s="229"/>
      <c r="F479" s="188"/>
      <c r="G479" s="188"/>
      <c r="H479" s="188"/>
      <c r="I479" s="188"/>
      <c r="J479" s="188"/>
      <c r="K479" s="188"/>
      <c r="L479" s="188"/>
      <c r="M479" s="188"/>
      <c r="N479" s="188"/>
      <c r="O479" s="188"/>
      <c r="P479" s="188"/>
      <c r="Q479" s="188"/>
      <c r="R479" s="188"/>
      <c r="S479" s="188"/>
      <c r="T479" s="188"/>
      <c r="U479" s="188"/>
      <c r="V479" s="188"/>
      <c r="W479" s="188"/>
    </row>
    <row r="480">
      <c r="A480" s="229"/>
      <c r="B480" s="188"/>
      <c r="C480" s="229"/>
      <c r="D480" s="229"/>
      <c r="E480" s="229"/>
      <c r="F480" s="188"/>
      <c r="G480" s="188"/>
      <c r="H480" s="188"/>
      <c r="I480" s="188"/>
      <c r="J480" s="188"/>
      <c r="K480" s="188"/>
      <c r="L480" s="188"/>
      <c r="M480" s="188"/>
      <c r="N480" s="188"/>
      <c r="O480" s="188"/>
      <c r="P480" s="188"/>
      <c r="Q480" s="188"/>
      <c r="R480" s="188"/>
      <c r="S480" s="188"/>
      <c r="T480" s="188"/>
      <c r="U480" s="188"/>
      <c r="V480" s="188"/>
      <c r="W480" s="188"/>
    </row>
    <row r="481">
      <c r="A481" s="229"/>
      <c r="B481" s="188"/>
      <c r="C481" s="229"/>
      <c r="D481" s="229"/>
      <c r="E481" s="229"/>
      <c r="F481" s="188"/>
      <c r="G481" s="188"/>
      <c r="H481" s="188"/>
      <c r="I481" s="188"/>
      <c r="J481" s="188"/>
      <c r="K481" s="188"/>
      <c r="L481" s="188"/>
      <c r="M481" s="188"/>
      <c r="N481" s="188"/>
      <c r="O481" s="188"/>
      <c r="P481" s="188"/>
      <c r="Q481" s="188"/>
      <c r="R481" s="188"/>
      <c r="S481" s="188"/>
      <c r="T481" s="188"/>
      <c r="U481" s="188"/>
      <c r="V481" s="188"/>
      <c r="W481" s="188"/>
    </row>
    <row r="482">
      <c r="A482" s="229"/>
      <c r="B482" s="188"/>
      <c r="C482" s="229"/>
      <c r="D482" s="229"/>
      <c r="E482" s="229"/>
      <c r="F482" s="188"/>
      <c r="G482" s="188"/>
      <c r="H482" s="188"/>
      <c r="I482" s="188"/>
      <c r="J482" s="188"/>
      <c r="K482" s="188"/>
      <c r="L482" s="188"/>
      <c r="M482" s="188"/>
      <c r="N482" s="188"/>
      <c r="O482" s="188"/>
      <c r="P482" s="188"/>
      <c r="Q482" s="188"/>
      <c r="R482" s="188"/>
      <c r="S482" s="188"/>
      <c r="T482" s="188"/>
      <c r="U482" s="188"/>
      <c r="V482" s="188"/>
      <c r="W482" s="188"/>
    </row>
    <row r="483">
      <c r="A483" s="229"/>
      <c r="B483" s="188"/>
      <c r="C483" s="229"/>
      <c r="D483" s="229"/>
      <c r="E483" s="229"/>
      <c r="F483" s="188"/>
      <c r="G483" s="188"/>
      <c r="H483" s="188"/>
      <c r="I483" s="188"/>
      <c r="J483" s="188"/>
      <c r="K483" s="188"/>
      <c r="L483" s="188"/>
      <c r="M483" s="188"/>
      <c r="N483" s="188"/>
      <c r="O483" s="188"/>
      <c r="P483" s="188"/>
      <c r="Q483" s="188"/>
      <c r="R483" s="188"/>
      <c r="S483" s="188"/>
      <c r="T483" s="188"/>
      <c r="U483" s="188"/>
      <c r="V483" s="188"/>
      <c r="W483" s="188"/>
    </row>
    <row r="484">
      <c r="A484" s="229"/>
      <c r="B484" s="188"/>
      <c r="C484" s="229"/>
      <c r="D484" s="229"/>
      <c r="E484" s="229"/>
      <c r="F484" s="188"/>
      <c r="G484" s="188"/>
      <c r="H484" s="188"/>
      <c r="I484" s="188"/>
      <c r="J484" s="188"/>
      <c r="K484" s="188"/>
      <c r="L484" s="188"/>
      <c r="M484" s="188"/>
      <c r="N484" s="188"/>
      <c r="O484" s="188"/>
      <c r="P484" s="188"/>
      <c r="Q484" s="188"/>
      <c r="R484" s="188"/>
      <c r="S484" s="188"/>
      <c r="T484" s="188"/>
      <c r="U484" s="188"/>
      <c r="V484" s="188"/>
      <c r="W484" s="188"/>
    </row>
    <row r="485">
      <c r="A485" s="229"/>
      <c r="B485" s="188"/>
      <c r="C485" s="229"/>
      <c r="D485" s="229"/>
      <c r="E485" s="229"/>
      <c r="F485" s="188"/>
      <c r="G485" s="188"/>
      <c r="H485" s="188"/>
      <c r="I485" s="188"/>
      <c r="J485" s="188"/>
      <c r="K485" s="188"/>
      <c r="L485" s="188"/>
      <c r="M485" s="188"/>
      <c r="N485" s="188"/>
      <c r="O485" s="188"/>
      <c r="P485" s="188"/>
      <c r="Q485" s="188"/>
      <c r="R485" s="188"/>
      <c r="S485" s="188"/>
      <c r="T485" s="188"/>
      <c r="U485" s="188"/>
      <c r="V485" s="188"/>
      <c r="W485" s="188"/>
    </row>
    <row r="486">
      <c r="A486" s="229"/>
      <c r="B486" s="188"/>
      <c r="C486" s="229"/>
      <c r="D486" s="229"/>
      <c r="E486" s="229"/>
      <c r="F486" s="188"/>
      <c r="G486" s="188"/>
      <c r="H486" s="188"/>
      <c r="I486" s="188"/>
      <c r="J486" s="188"/>
      <c r="K486" s="188"/>
      <c r="L486" s="188"/>
      <c r="M486" s="188"/>
      <c r="N486" s="188"/>
      <c r="O486" s="188"/>
      <c r="P486" s="188"/>
      <c r="Q486" s="188"/>
      <c r="R486" s="188"/>
      <c r="S486" s="188"/>
      <c r="T486" s="188"/>
      <c r="U486" s="188"/>
      <c r="V486" s="188"/>
      <c r="W486" s="188"/>
    </row>
    <row r="487">
      <c r="A487" s="229"/>
      <c r="B487" s="188"/>
      <c r="C487" s="229"/>
      <c r="D487" s="229"/>
      <c r="E487" s="229"/>
      <c r="F487" s="188"/>
      <c r="G487" s="188"/>
      <c r="H487" s="188"/>
      <c r="I487" s="188"/>
      <c r="J487" s="188"/>
      <c r="K487" s="188"/>
      <c r="L487" s="188"/>
      <c r="M487" s="188"/>
      <c r="N487" s="188"/>
      <c r="O487" s="188"/>
      <c r="P487" s="188"/>
      <c r="Q487" s="188"/>
      <c r="R487" s="188"/>
      <c r="S487" s="188"/>
      <c r="T487" s="188"/>
      <c r="U487" s="188"/>
      <c r="V487" s="188"/>
      <c r="W487" s="188"/>
    </row>
    <row r="488">
      <c r="A488" s="229"/>
      <c r="B488" s="188"/>
      <c r="C488" s="229"/>
      <c r="D488" s="229"/>
      <c r="E488" s="229"/>
      <c r="F488" s="188"/>
      <c r="G488" s="188"/>
      <c r="H488" s="188"/>
      <c r="I488" s="188"/>
      <c r="J488" s="188"/>
      <c r="K488" s="188"/>
      <c r="L488" s="188"/>
      <c r="M488" s="188"/>
      <c r="N488" s="188"/>
      <c r="O488" s="188"/>
      <c r="P488" s="188"/>
      <c r="Q488" s="188"/>
      <c r="R488" s="188"/>
      <c r="S488" s="188"/>
      <c r="T488" s="188"/>
      <c r="U488" s="188"/>
      <c r="V488" s="188"/>
      <c r="W488" s="188"/>
    </row>
    <row r="489">
      <c r="A489" s="229"/>
      <c r="B489" s="188"/>
      <c r="C489" s="229"/>
      <c r="D489" s="229"/>
      <c r="E489" s="229"/>
      <c r="F489" s="188"/>
      <c r="G489" s="188"/>
      <c r="H489" s="188"/>
      <c r="I489" s="188"/>
      <c r="J489" s="188"/>
      <c r="K489" s="188"/>
      <c r="L489" s="188"/>
      <c r="M489" s="188"/>
      <c r="N489" s="188"/>
      <c r="O489" s="188"/>
      <c r="P489" s="188"/>
      <c r="Q489" s="188"/>
      <c r="R489" s="188"/>
      <c r="S489" s="188"/>
      <c r="T489" s="188"/>
      <c r="U489" s="188"/>
      <c r="V489" s="188"/>
      <c r="W489" s="188"/>
    </row>
    <row r="490">
      <c r="A490" s="229"/>
      <c r="B490" s="188"/>
      <c r="C490" s="229"/>
      <c r="D490" s="229"/>
      <c r="E490" s="229"/>
      <c r="F490" s="188"/>
      <c r="G490" s="188"/>
      <c r="H490" s="188"/>
      <c r="I490" s="188"/>
      <c r="J490" s="188"/>
      <c r="K490" s="188"/>
      <c r="L490" s="188"/>
      <c r="M490" s="188"/>
      <c r="N490" s="188"/>
      <c r="O490" s="188"/>
      <c r="P490" s="188"/>
      <c r="Q490" s="188"/>
      <c r="R490" s="188"/>
      <c r="S490" s="188"/>
      <c r="T490" s="188"/>
      <c r="U490" s="188"/>
      <c r="V490" s="188"/>
      <c r="W490" s="188"/>
    </row>
    <row r="491">
      <c r="A491" s="229"/>
      <c r="B491" s="188"/>
      <c r="C491" s="229"/>
      <c r="D491" s="229"/>
      <c r="E491" s="229"/>
      <c r="F491" s="188"/>
      <c r="G491" s="188"/>
      <c r="H491" s="188"/>
      <c r="I491" s="188"/>
      <c r="J491" s="188"/>
      <c r="K491" s="188"/>
      <c r="L491" s="188"/>
      <c r="M491" s="188"/>
      <c r="N491" s="188"/>
      <c r="O491" s="188"/>
      <c r="P491" s="188"/>
      <c r="Q491" s="188"/>
      <c r="R491" s="188"/>
      <c r="S491" s="188"/>
      <c r="T491" s="188"/>
      <c r="U491" s="188"/>
      <c r="V491" s="188"/>
      <c r="W491" s="188"/>
    </row>
    <row r="492">
      <c r="A492" s="229"/>
      <c r="B492" s="188"/>
      <c r="C492" s="229"/>
      <c r="D492" s="229"/>
      <c r="E492" s="229"/>
      <c r="F492" s="188"/>
      <c r="G492" s="188"/>
      <c r="H492" s="188"/>
      <c r="I492" s="188"/>
      <c r="J492" s="188"/>
      <c r="K492" s="188"/>
      <c r="L492" s="188"/>
      <c r="M492" s="188"/>
      <c r="N492" s="188"/>
      <c r="O492" s="188"/>
      <c r="P492" s="188"/>
      <c r="Q492" s="188"/>
      <c r="R492" s="188"/>
      <c r="S492" s="188"/>
      <c r="T492" s="188"/>
      <c r="U492" s="188"/>
      <c r="V492" s="188"/>
      <c r="W492" s="188"/>
    </row>
    <row r="493">
      <c r="A493" s="229"/>
      <c r="B493" s="188"/>
      <c r="C493" s="229"/>
      <c r="D493" s="229"/>
      <c r="E493" s="229"/>
      <c r="F493" s="188"/>
      <c r="G493" s="188"/>
      <c r="H493" s="188"/>
      <c r="I493" s="188"/>
      <c r="J493" s="188"/>
      <c r="K493" s="188"/>
      <c r="L493" s="188"/>
      <c r="M493" s="188"/>
      <c r="N493" s="188"/>
      <c r="O493" s="188"/>
      <c r="P493" s="188"/>
      <c r="Q493" s="188"/>
      <c r="R493" s="188"/>
      <c r="S493" s="188"/>
      <c r="T493" s="188"/>
      <c r="U493" s="188"/>
      <c r="V493" s="188"/>
      <c r="W493" s="188"/>
    </row>
    <row r="494">
      <c r="A494" s="229"/>
      <c r="B494" s="188"/>
      <c r="C494" s="229"/>
      <c r="D494" s="229"/>
      <c r="E494" s="229"/>
      <c r="F494" s="188"/>
      <c r="G494" s="188"/>
      <c r="H494" s="188"/>
      <c r="I494" s="188"/>
      <c r="J494" s="188"/>
      <c r="K494" s="188"/>
      <c r="L494" s="188"/>
      <c r="M494" s="188"/>
      <c r="N494" s="188"/>
      <c r="O494" s="188"/>
      <c r="P494" s="188"/>
      <c r="Q494" s="188"/>
      <c r="R494" s="188"/>
      <c r="S494" s="188"/>
      <c r="T494" s="188"/>
      <c r="U494" s="188"/>
      <c r="V494" s="188"/>
      <c r="W494" s="188"/>
    </row>
    <row r="495">
      <c r="A495" s="229"/>
      <c r="B495" s="188"/>
      <c r="C495" s="229"/>
      <c r="D495" s="229"/>
      <c r="E495" s="229"/>
      <c r="F495" s="188"/>
      <c r="G495" s="188"/>
      <c r="H495" s="188"/>
      <c r="I495" s="188"/>
      <c r="J495" s="188"/>
      <c r="K495" s="188"/>
      <c r="L495" s="188"/>
      <c r="M495" s="188"/>
      <c r="N495" s="188"/>
      <c r="O495" s="188"/>
      <c r="P495" s="188"/>
      <c r="Q495" s="188"/>
      <c r="R495" s="188"/>
      <c r="S495" s="188"/>
      <c r="T495" s="188"/>
      <c r="U495" s="188"/>
      <c r="V495" s="188"/>
      <c r="W495" s="188"/>
    </row>
    <row r="496">
      <c r="A496" s="229"/>
      <c r="B496" s="188"/>
      <c r="C496" s="229"/>
      <c r="D496" s="229"/>
      <c r="E496" s="229"/>
      <c r="F496" s="188"/>
      <c r="G496" s="188"/>
      <c r="H496" s="188"/>
      <c r="I496" s="188"/>
      <c r="J496" s="188"/>
      <c r="K496" s="188"/>
      <c r="L496" s="188"/>
      <c r="M496" s="188"/>
      <c r="N496" s="188"/>
      <c r="O496" s="188"/>
      <c r="P496" s="188"/>
      <c r="Q496" s="188"/>
      <c r="R496" s="188"/>
      <c r="S496" s="188"/>
      <c r="T496" s="188"/>
      <c r="U496" s="188"/>
      <c r="V496" s="188"/>
      <c r="W496" s="188"/>
    </row>
    <row r="497">
      <c r="A497" s="229"/>
      <c r="B497" s="188"/>
      <c r="C497" s="229"/>
      <c r="D497" s="229"/>
      <c r="E497" s="229"/>
      <c r="F497" s="188"/>
      <c r="G497" s="188"/>
      <c r="H497" s="188"/>
      <c r="I497" s="188"/>
      <c r="J497" s="188"/>
      <c r="K497" s="188"/>
      <c r="L497" s="188"/>
      <c r="M497" s="188"/>
      <c r="N497" s="188"/>
      <c r="O497" s="188"/>
      <c r="P497" s="188"/>
      <c r="Q497" s="188"/>
      <c r="R497" s="188"/>
      <c r="S497" s="188"/>
      <c r="T497" s="188"/>
      <c r="U497" s="188"/>
      <c r="V497" s="188"/>
      <c r="W497" s="188"/>
    </row>
    <row r="498">
      <c r="A498" s="229"/>
      <c r="B498" s="188"/>
      <c r="C498" s="229"/>
      <c r="D498" s="229"/>
      <c r="E498" s="229"/>
      <c r="F498" s="188"/>
      <c r="G498" s="188"/>
      <c r="H498" s="188"/>
      <c r="I498" s="188"/>
      <c r="J498" s="188"/>
      <c r="K498" s="188"/>
      <c r="L498" s="188"/>
      <c r="M498" s="188"/>
      <c r="N498" s="188"/>
      <c r="O498" s="188"/>
      <c r="P498" s="188"/>
      <c r="Q498" s="188"/>
      <c r="R498" s="188"/>
      <c r="S498" s="188"/>
      <c r="T498" s="188"/>
      <c r="U498" s="188"/>
      <c r="V498" s="188"/>
      <c r="W498" s="188"/>
    </row>
    <row r="499">
      <c r="A499" s="229"/>
      <c r="B499" s="188"/>
      <c r="C499" s="229"/>
      <c r="D499" s="229"/>
      <c r="E499" s="229"/>
      <c r="F499" s="188"/>
      <c r="G499" s="188"/>
      <c r="H499" s="188"/>
      <c r="I499" s="188"/>
      <c r="J499" s="188"/>
      <c r="K499" s="188"/>
      <c r="L499" s="188"/>
      <c r="M499" s="188"/>
      <c r="N499" s="188"/>
      <c r="O499" s="188"/>
      <c r="P499" s="188"/>
      <c r="Q499" s="188"/>
      <c r="R499" s="188"/>
      <c r="S499" s="188"/>
      <c r="T499" s="188"/>
      <c r="U499" s="188"/>
      <c r="V499" s="188"/>
      <c r="W499" s="188"/>
    </row>
    <row r="500">
      <c r="A500" s="229"/>
      <c r="B500" s="188"/>
      <c r="C500" s="229"/>
      <c r="D500" s="229"/>
      <c r="E500" s="229"/>
      <c r="F500" s="188"/>
      <c r="G500" s="188"/>
      <c r="H500" s="188"/>
      <c r="I500" s="188"/>
      <c r="J500" s="188"/>
      <c r="K500" s="188"/>
      <c r="L500" s="188"/>
      <c r="M500" s="188"/>
      <c r="N500" s="188"/>
      <c r="O500" s="188"/>
      <c r="P500" s="188"/>
      <c r="Q500" s="188"/>
      <c r="R500" s="188"/>
      <c r="S500" s="188"/>
      <c r="T500" s="188"/>
      <c r="U500" s="188"/>
      <c r="V500" s="188"/>
      <c r="W500" s="188"/>
    </row>
    <row r="501">
      <c r="A501" s="229"/>
      <c r="B501" s="188"/>
      <c r="C501" s="229"/>
      <c r="D501" s="229"/>
      <c r="E501" s="229"/>
      <c r="F501" s="188"/>
      <c r="G501" s="188"/>
      <c r="H501" s="188"/>
      <c r="I501" s="188"/>
      <c r="J501" s="188"/>
      <c r="K501" s="188"/>
      <c r="L501" s="188"/>
      <c r="M501" s="188"/>
      <c r="N501" s="188"/>
      <c r="O501" s="188"/>
      <c r="P501" s="188"/>
      <c r="Q501" s="188"/>
      <c r="R501" s="188"/>
      <c r="S501" s="188"/>
      <c r="T501" s="188"/>
      <c r="U501" s="188"/>
      <c r="V501" s="188"/>
      <c r="W501" s="188"/>
    </row>
    <row r="502">
      <c r="A502" s="229"/>
      <c r="B502" s="188"/>
      <c r="C502" s="229"/>
      <c r="D502" s="229"/>
      <c r="E502" s="229"/>
      <c r="F502" s="188"/>
      <c r="G502" s="188"/>
      <c r="H502" s="188"/>
      <c r="I502" s="188"/>
      <c r="J502" s="188"/>
      <c r="K502" s="188"/>
      <c r="L502" s="188"/>
      <c r="M502" s="188"/>
      <c r="N502" s="188"/>
      <c r="O502" s="188"/>
      <c r="P502" s="188"/>
      <c r="Q502" s="188"/>
      <c r="R502" s="188"/>
      <c r="S502" s="188"/>
      <c r="T502" s="188"/>
      <c r="U502" s="188"/>
      <c r="V502" s="188"/>
      <c r="W502" s="188"/>
    </row>
    <row r="503">
      <c r="A503" s="229"/>
      <c r="B503" s="188"/>
      <c r="C503" s="229"/>
      <c r="D503" s="229"/>
      <c r="E503" s="229"/>
      <c r="F503" s="188"/>
      <c r="G503" s="188"/>
      <c r="H503" s="188"/>
      <c r="I503" s="188"/>
      <c r="J503" s="188"/>
      <c r="K503" s="188"/>
      <c r="L503" s="188"/>
      <c r="M503" s="188"/>
      <c r="N503" s="188"/>
      <c r="O503" s="188"/>
      <c r="P503" s="188"/>
      <c r="Q503" s="188"/>
      <c r="R503" s="188"/>
      <c r="S503" s="188"/>
      <c r="T503" s="188"/>
      <c r="U503" s="188"/>
      <c r="V503" s="188"/>
      <c r="W503" s="188"/>
    </row>
    <row r="504">
      <c r="A504" s="229"/>
      <c r="B504" s="188"/>
      <c r="C504" s="229"/>
      <c r="D504" s="229"/>
      <c r="E504" s="229"/>
      <c r="F504" s="188"/>
      <c r="G504" s="188"/>
      <c r="H504" s="188"/>
      <c r="I504" s="188"/>
      <c r="J504" s="188"/>
      <c r="K504" s="188"/>
      <c r="L504" s="188"/>
      <c r="M504" s="188"/>
      <c r="N504" s="188"/>
      <c r="O504" s="188"/>
      <c r="P504" s="188"/>
      <c r="Q504" s="188"/>
      <c r="R504" s="188"/>
      <c r="S504" s="188"/>
      <c r="T504" s="188"/>
      <c r="U504" s="188"/>
      <c r="V504" s="188"/>
      <c r="W504" s="188"/>
    </row>
    <row r="505">
      <c r="A505" s="229"/>
      <c r="B505" s="188"/>
      <c r="C505" s="229"/>
      <c r="D505" s="229"/>
      <c r="E505" s="229"/>
      <c r="F505" s="188"/>
      <c r="G505" s="188"/>
      <c r="H505" s="188"/>
      <c r="I505" s="188"/>
      <c r="J505" s="188"/>
      <c r="K505" s="188"/>
      <c r="L505" s="188"/>
      <c r="M505" s="188"/>
      <c r="N505" s="188"/>
      <c r="O505" s="188"/>
      <c r="P505" s="188"/>
      <c r="Q505" s="188"/>
      <c r="R505" s="188"/>
      <c r="S505" s="188"/>
      <c r="T505" s="188"/>
      <c r="U505" s="188"/>
      <c r="V505" s="188"/>
      <c r="W505" s="188"/>
    </row>
    <row r="506">
      <c r="A506" s="229"/>
      <c r="B506" s="188"/>
      <c r="C506" s="229"/>
      <c r="D506" s="229"/>
      <c r="E506" s="229"/>
      <c r="F506" s="188"/>
      <c r="G506" s="188"/>
      <c r="H506" s="188"/>
      <c r="I506" s="188"/>
      <c r="J506" s="188"/>
      <c r="K506" s="188"/>
      <c r="L506" s="188"/>
      <c r="M506" s="188"/>
      <c r="N506" s="188"/>
      <c r="O506" s="188"/>
      <c r="P506" s="188"/>
      <c r="Q506" s="188"/>
      <c r="R506" s="188"/>
      <c r="S506" s="188"/>
      <c r="T506" s="188"/>
      <c r="U506" s="188"/>
      <c r="V506" s="188"/>
      <c r="W506" s="188"/>
    </row>
    <row r="507">
      <c r="A507" s="229"/>
      <c r="B507" s="188"/>
      <c r="C507" s="229"/>
      <c r="D507" s="229"/>
      <c r="E507" s="229"/>
      <c r="F507" s="188"/>
      <c r="G507" s="188"/>
      <c r="H507" s="188"/>
      <c r="I507" s="188"/>
      <c r="J507" s="188"/>
      <c r="K507" s="188"/>
      <c r="L507" s="188"/>
      <c r="M507" s="188"/>
      <c r="N507" s="188"/>
      <c r="O507" s="188"/>
      <c r="P507" s="188"/>
      <c r="Q507" s="188"/>
      <c r="R507" s="188"/>
      <c r="S507" s="188"/>
      <c r="T507" s="188"/>
      <c r="U507" s="188"/>
      <c r="V507" s="188"/>
      <c r="W507" s="188"/>
    </row>
    <row r="508">
      <c r="A508" s="229"/>
      <c r="B508" s="188"/>
      <c r="C508" s="229"/>
      <c r="D508" s="229"/>
      <c r="E508" s="229"/>
      <c r="F508" s="188"/>
      <c r="G508" s="188"/>
      <c r="H508" s="188"/>
      <c r="I508" s="188"/>
      <c r="J508" s="188"/>
      <c r="K508" s="188"/>
      <c r="L508" s="188"/>
      <c r="M508" s="188"/>
      <c r="N508" s="188"/>
      <c r="O508" s="188"/>
      <c r="P508" s="188"/>
      <c r="Q508" s="188"/>
      <c r="R508" s="188"/>
      <c r="S508" s="188"/>
      <c r="T508" s="188"/>
      <c r="U508" s="188"/>
      <c r="V508" s="188"/>
      <c r="W508" s="188"/>
    </row>
    <row r="509">
      <c r="A509" s="229"/>
      <c r="B509" s="188"/>
      <c r="C509" s="229"/>
      <c r="D509" s="229"/>
      <c r="E509" s="229"/>
      <c r="F509" s="188"/>
      <c r="G509" s="188"/>
      <c r="H509" s="188"/>
      <c r="I509" s="188"/>
      <c r="J509" s="188"/>
      <c r="K509" s="188"/>
      <c r="L509" s="188"/>
      <c r="M509" s="188"/>
      <c r="N509" s="188"/>
      <c r="O509" s="188"/>
      <c r="P509" s="188"/>
      <c r="Q509" s="188"/>
      <c r="R509" s="188"/>
      <c r="S509" s="188"/>
      <c r="T509" s="188"/>
      <c r="U509" s="188"/>
      <c r="V509" s="188"/>
      <c r="W509" s="188"/>
    </row>
    <row r="510">
      <c r="A510" s="229"/>
      <c r="B510" s="188"/>
      <c r="C510" s="229"/>
      <c r="D510" s="229"/>
      <c r="E510" s="229"/>
      <c r="F510" s="188"/>
      <c r="G510" s="188"/>
      <c r="H510" s="188"/>
      <c r="I510" s="188"/>
      <c r="J510" s="188"/>
      <c r="K510" s="188"/>
      <c r="L510" s="188"/>
      <c r="M510" s="188"/>
      <c r="N510" s="188"/>
      <c r="O510" s="188"/>
      <c r="P510" s="188"/>
      <c r="Q510" s="188"/>
      <c r="R510" s="188"/>
      <c r="S510" s="188"/>
      <c r="T510" s="188"/>
      <c r="U510" s="188"/>
      <c r="V510" s="188"/>
      <c r="W510" s="188"/>
    </row>
    <row r="511">
      <c r="A511" s="229"/>
      <c r="B511" s="188"/>
      <c r="C511" s="229"/>
      <c r="D511" s="229"/>
      <c r="E511" s="229"/>
      <c r="F511" s="188"/>
      <c r="G511" s="188"/>
      <c r="H511" s="188"/>
      <c r="I511" s="188"/>
      <c r="J511" s="188"/>
      <c r="K511" s="188"/>
      <c r="L511" s="188"/>
      <c r="M511" s="188"/>
      <c r="N511" s="188"/>
      <c r="O511" s="188"/>
      <c r="P511" s="188"/>
      <c r="Q511" s="188"/>
      <c r="R511" s="188"/>
      <c r="S511" s="188"/>
      <c r="T511" s="188"/>
      <c r="U511" s="188"/>
      <c r="V511" s="188"/>
      <c r="W511" s="188"/>
    </row>
    <row r="512">
      <c r="A512" s="229"/>
      <c r="B512" s="188"/>
      <c r="C512" s="229"/>
      <c r="D512" s="229"/>
      <c r="E512" s="229"/>
      <c r="F512" s="188"/>
      <c r="G512" s="188"/>
      <c r="H512" s="188"/>
      <c r="I512" s="188"/>
      <c r="J512" s="188"/>
      <c r="K512" s="188"/>
      <c r="L512" s="188"/>
      <c r="M512" s="188"/>
      <c r="N512" s="188"/>
      <c r="O512" s="188"/>
      <c r="P512" s="188"/>
      <c r="Q512" s="188"/>
      <c r="R512" s="188"/>
      <c r="S512" s="188"/>
      <c r="T512" s="188"/>
      <c r="U512" s="188"/>
      <c r="V512" s="188"/>
      <c r="W512" s="188"/>
    </row>
    <row r="513">
      <c r="A513" s="229"/>
      <c r="B513" s="188"/>
      <c r="C513" s="229"/>
      <c r="D513" s="229"/>
      <c r="E513" s="229"/>
      <c r="F513" s="188"/>
      <c r="G513" s="188"/>
      <c r="H513" s="188"/>
      <c r="I513" s="188"/>
      <c r="J513" s="188"/>
      <c r="K513" s="188"/>
      <c r="L513" s="188"/>
      <c r="M513" s="188"/>
      <c r="N513" s="188"/>
      <c r="O513" s="188"/>
      <c r="P513" s="188"/>
      <c r="Q513" s="188"/>
      <c r="R513" s="188"/>
      <c r="S513" s="188"/>
      <c r="T513" s="188"/>
      <c r="U513" s="188"/>
      <c r="V513" s="188"/>
      <c r="W513" s="188"/>
    </row>
    <row r="514">
      <c r="A514" s="229"/>
      <c r="B514" s="188"/>
      <c r="C514" s="229"/>
      <c r="D514" s="229"/>
      <c r="E514" s="229"/>
      <c r="F514" s="188"/>
      <c r="G514" s="188"/>
      <c r="H514" s="188"/>
      <c r="I514" s="188"/>
      <c r="J514" s="188"/>
      <c r="K514" s="188"/>
      <c r="L514" s="188"/>
      <c r="M514" s="188"/>
      <c r="N514" s="188"/>
      <c r="O514" s="188"/>
      <c r="P514" s="188"/>
      <c r="Q514" s="188"/>
      <c r="R514" s="188"/>
      <c r="S514" s="188"/>
      <c r="T514" s="188"/>
      <c r="U514" s="188"/>
      <c r="V514" s="188"/>
      <c r="W514" s="188"/>
    </row>
    <row r="515">
      <c r="A515" s="229"/>
      <c r="B515" s="188"/>
      <c r="C515" s="229"/>
      <c r="D515" s="229"/>
      <c r="E515" s="229"/>
      <c r="F515" s="188"/>
      <c r="G515" s="188"/>
      <c r="H515" s="188"/>
      <c r="I515" s="188"/>
      <c r="J515" s="188"/>
      <c r="K515" s="188"/>
      <c r="L515" s="188"/>
      <c r="M515" s="188"/>
      <c r="N515" s="188"/>
      <c r="O515" s="188"/>
      <c r="P515" s="188"/>
      <c r="Q515" s="188"/>
      <c r="R515" s="188"/>
      <c r="S515" s="188"/>
      <c r="T515" s="188"/>
      <c r="U515" s="188"/>
      <c r="V515" s="188"/>
      <c r="W515" s="188"/>
    </row>
    <row r="516">
      <c r="A516" s="229"/>
      <c r="B516" s="188"/>
      <c r="C516" s="229"/>
      <c r="D516" s="229"/>
      <c r="E516" s="229"/>
      <c r="F516" s="188"/>
      <c r="G516" s="188"/>
      <c r="H516" s="188"/>
      <c r="I516" s="188"/>
      <c r="J516" s="188"/>
      <c r="K516" s="188"/>
      <c r="L516" s="188"/>
      <c r="M516" s="188"/>
      <c r="N516" s="188"/>
      <c r="O516" s="188"/>
      <c r="P516" s="188"/>
      <c r="Q516" s="188"/>
      <c r="R516" s="188"/>
      <c r="S516" s="188"/>
      <c r="T516" s="188"/>
      <c r="U516" s="188"/>
      <c r="V516" s="188"/>
      <c r="W516" s="188"/>
    </row>
    <row r="517">
      <c r="A517" s="229"/>
      <c r="B517" s="188"/>
      <c r="C517" s="229"/>
      <c r="D517" s="229"/>
      <c r="E517" s="229"/>
      <c r="F517" s="188"/>
      <c r="G517" s="188"/>
      <c r="H517" s="188"/>
      <c r="I517" s="188"/>
      <c r="J517" s="188"/>
      <c r="K517" s="188"/>
      <c r="L517" s="188"/>
      <c r="M517" s="188"/>
      <c r="N517" s="188"/>
      <c r="O517" s="188"/>
      <c r="P517" s="188"/>
      <c r="Q517" s="188"/>
      <c r="R517" s="188"/>
      <c r="S517" s="188"/>
      <c r="T517" s="188"/>
      <c r="U517" s="188"/>
      <c r="V517" s="188"/>
      <c r="W517" s="188"/>
    </row>
    <row r="518">
      <c r="A518" s="229"/>
      <c r="B518" s="188"/>
      <c r="C518" s="229"/>
      <c r="D518" s="229"/>
      <c r="E518" s="229"/>
      <c r="F518" s="188"/>
      <c r="G518" s="188"/>
      <c r="H518" s="188"/>
      <c r="I518" s="188"/>
      <c r="J518" s="188"/>
      <c r="K518" s="188"/>
      <c r="L518" s="188"/>
      <c r="M518" s="188"/>
      <c r="N518" s="188"/>
      <c r="O518" s="188"/>
      <c r="P518" s="188"/>
      <c r="Q518" s="188"/>
      <c r="R518" s="188"/>
      <c r="S518" s="188"/>
      <c r="T518" s="188"/>
      <c r="U518" s="188"/>
      <c r="V518" s="188"/>
      <c r="W518" s="188"/>
    </row>
    <row r="519">
      <c r="A519" s="229"/>
      <c r="B519" s="188"/>
      <c r="C519" s="229"/>
      <c r="D519" s="229"/>
      <c r="E519" s="229"/>
      <c r="F519" s="188"/>
      <c r="G519" s="188"/>
      <c r="H519" s="188"/>
      <c r="I519" s="188"/>
      <c r="J519" s="188"/>
      <c r="K519" s="188"/>
      <c r="L519" s="188"/>
      <c r="M519" s="188"/>
      <c r="N519" s="188"/>
      <c r="O519" s="188"/>
      <c r="P519" s="188"/>
      <c r="Q519" s="188"/>
      <c r="R519" s="188"/>
      <c r="S519" s="188"/>
      <c r="T519" s="188"/>
      <c r="U519" s="188"/>
      <c r="V519" s="188"/>
      <c r="W519" s="188"/>
    </row>
    <row r="520">
      <c r="A520" s="229"/>
      <c r="B520" s="188"/>
      <c r="C520" s="229"/>
      <c r="D520" s="229"/>
      <c r="E520" s="229"/>
      <c r="F520" s="188"/>
      <c r="G520" s="188"/>
      <c r="H520" s="188"/>
      <c r="I520" s="188"/>
      <c r="J520" s="188"/>
      <c r="K520" s="188"/>
      <c r="L520" s="188"/>
      <c r="M520" s="188"/>
      <c r="N520" s="188"/>
      <c r="O520" s="188"/>
      <c r="P520" s="188"/>
      <c r="Q520" s="188"/>
      <c r="R520" s="188"/>
      <c r="S520" s="188"/>
      <c r="T520" s="188"/>
      <c r="U520" s="188"/>
      <c r="V520" s="188"/>
      <c r="W520" s="188"/>
    </row>
    <row r="521">
      <c r="A521" s="229"/>
      <c r="B521" s="188"/>
      <c r="C521" s="229"/>
      <c r="D521" s="229"/>
      <c r="E521" s="229"/>
      <c r="F521" s="188"/>
      <c r="G521" s="188"/>
      <c r="H521" s="188"/>
      <c r="I521" s="188"/>
      <c r="J521" s="188"/>
      <c r="K521" s="188"/>
      <c r="L521" s="188"/>
      <c r="M521" s="188"/>
      <c r="N521" s="188"/>
      <c r="O521" s="188"/>
      <c r="P521" s="188"/>
      <c r="Q521" s="188"/>
      <c r="R521" s="188"/>
      <c r="S521" s="188"/>
      <c r="T521" s="188"/>
      <c r="U521" s="188"/>
      <c r="V521" s="188"/>
      <c r="W521" s="188"/>
    </row>
    <row r="522">
      <c r="A522" s="229"/>
      <c r="B522" s="188"/>
      <c r="C522" s="229"/>
      <c r="D522" s="229"/>
      <c r="E522" s="229"/>
      <c r="F522" s="188"/>
      <c r="G522" s="188"/>
      <c r="H522" s="188"/>
      <c r="I522" s="188"/>
      <c r="J522" s="188"/>
      <c r="K522" s="188"/>
      <c r="L522" s="188"/>
      <c r="M522" s="188"/>
      <c r="N522" s="188"/>
      <c r="O522" s="188"/>
      <c r="P522" s="188"/>
      <c r="Q522" s="188"/>
      <c r="R522" s="188"/>
      <c r="S522" s="188"/>
      <c r="T522" s="188"/>
      <c r="U522" s="188"/>
      <c r="V522" s="188"/>
      <c r="W522" s="188"/>
    </row>
    <row r="523">
      <c r="A523" s="229"/>
      <c r="B523" s="188"/>
      <c r="C523" s="229"/>
      <c r="D523" s="229"/>
      <c r="E523" s="229"/>
      <c r="F523" s="188"/>
      <c r="G523" s="188"/>
      <c r="H523" s="188"/>
      <c r="I523" s="188"/>
      <c r="J523" s="188"/>
      <c r="K523" s="188"/>
      <c r="L523" s="188"/>
      <c r="M523" s="188"/>
      <c r="N523" s="188"/>
      <c r="O523" s="188"/>
      <c r="P523" s="188"/>
      <c r="Q523" s="188"/>
      <c r="R523" s="188"/>
      <c r="S523" s="188"/>
      <c r="T523" s="188"/>
      <c r="U523" s="188"/>
      <c r="V523" s="188"/>
      <c r="W523" s="188"/>
    </row>
    <row r="524">
      <c r="A524" s="229"/>
      <c r="B524" s="188"/>
      <c r="C524" s="229"/>
      <c r="D524" s="229"/>
      <c r="E524" s="229"/>
      <c r="F524" s="188"/>
      <c r="G524" s="188"/>
      <c r="H524" s="188"/>
      <c r="I524" s="188"/>
      <c r="J524" s="188"/>
      <c r="K524" s="188"/>
      <c r="L524" s="188"/>
      <c r="M524" s="188"/>
      <c r="N524" s="188"/>
      <c r="O524" s="188"/>
      <c r="P524" s="188"/>
      <c r="Q524" s="188"/>
      <c r="R524" s="188"/>
      <c r="S524" s="188"/>
      <c r="T524" s="188"/>
      <c r="U524" s="188"/>
      <c r="V524" s="188"/>
      <c r="W524" s="188"/>
    </row>
    <row r="525">
      <c r="A525" s="229"/>
      <c r="B525" s="188"/>
      <c r="C525" s="229"/>
      <c r="D525" s="229"/>
      <c r="E525" s="229"/>
      <c r="F525" s="188"/>
      <c r="G525" s="188"/>
      <c r="H525" s="188"/>
      <c r="I525" s="188"/>
      <c r="J525" s="188"/>
      <c r="K525" s="188"/>
      <c r="L525" s="188"/>
      <c r="M525" s="188"/>
      <c r="N525" s="188"/>
      <c r="O525" s="188"/>
      <c r="P525" s="188"/>
      <c r="Q525" s="188"/>
      <c r="R525" s="188"/>
      <c r="S525" s="188"/>
      <c r="T525" s="188"/>
      <c r="U525" s="188"/>
      <c r="V525" s="188"/>
      <c r="W525" s="188"/>
    </row>
    <row r="526">
      <c r="A526" s="229"/>
      <c r="B526" s="188"/>
      <c r="C526" s="229"/>
      <c r="D526" s="229"/>
      <c r="E526" s="229"/>
      <c r="F526" s="188"/>
      <c r="G526" s="188"/>
      <c r="H526" s="188"/>
      <c r="I526" s="188"/>
      <c r="J526" s="188"/>
      <c r="K526" s="188"/>
      <c r="L526" s="188"/>
      <c r="M526" s="188"/>
      <c r="N526" s="188"/>
      <c r="O526" s="188"/>
      <c r="P526" s="188"/>
      <c r="Q526" s="188"/>
      <c r="R526" s="188"/>
      <c r="S526" s="188"/>
      <c r="T526" s="188"/>
      <c r="U526" s="188"/>
      <c r="V526" s="188"/>
      <c r="W526" s="188"/>
    </row>
    <row r="527">
      <c r="A527" s="229"/>
      <c r="B527" s="188"/>
      <c r="C527" s="229"/>
      <c r="D527" s="229"/>
      <c r="E527" s="229"/>
      <c r="F527" s="188"/>
      <c r="G527" s="188"/>
      <c r="H527" s="188"/>
      <c r="I527" s="188"/>
      <c r="J527" s="188"/>
      <c r="K527" s="188"/>
      <c r="L527" s="188"/>
      <c r="M527" s="188"/>
      <c r="N527" s="188"/>
      <c r="O527" s="188"/>
      <c r="P527" s="188"/>
      <c r="Q527" s="188"/>
      <c r="R527" s="188"/>
      <c r="S527" s="188"/>
      <c r="T527" s="188"/>
      <c r="U527" s="188"/>
      <c r="V527" s="188"/>
      <c r="W527" s="188"/>
    </row>
    <row r="528">
      <c r="A528" s="229"/>
      <c r="B528" s="188"/>
      <c r="C528" s="229"/>
      <c r="D528" s="229"/>
      <c r="E528" s="229"/>
      <c r="F528" s="188"/>
      <c r="G528" s="188"/>
      <c r="H528" s="188"/>
      <c r="I528" s="188"/>
      <c r="J528" s="188"/>
      <c r="K528" s="188"/>
      <c r="L528" s="188"/>
      <c r="M528" s="188"/>
      <c r="N528" s="188"/>
      <c r="O528" s="188"/>
      <c r="P528" s="188"/>
      <c r="Q528" s="188"/>
      <c r="R528" s="188"/>
      <c r="S528" s="188"/>
      <c r="T528" s="188"/>
      <c r="U528" s="188"/>
      <c r="V528" s="188"/>
      <c r="W528" s="188"/>
    </row>
    <row r="529">
      <c r="A529" s="229"/>
      <c r="B529" s="188"/>
      <c r="C529" s="229"/>
      <c r="D529" s="229"/>
      <c r="E529" s="229"/>
      <c r="F529" s="188"/>
      <c r="G529" s="188"/>
      <c r="H529" s="188"/>
      <c r="I529" s="188"/>
      <c r="J529" s="188"/>
      <c r="K529" s="188"/>
      <c r="L529" s="188"/>
      <c r="M529" s="188"/>
      <c r="N529" s="188"/>
      <c r="O529" s="188"/>
      <c r="P529" s="188"/>
      <c r="Q529" s="188"/>
      <c r="R529" s="188"/>
      <c r="S529" s="188"/>
      <c r="T529" s="188"/>
      <c r="U529" s="188"/>
      <c r="V529" s="188"/>
      <c r="W529" s="188"/>
    </row>
    <row r="530">
      <c r="A530" s="229"/>
      <c r="B530" s="188"/>
      <c r="C530" s="229"/>
      <c r="D530" s="229"/>
      <c r="E530" s="229"/>
      <c r="F530" s="188"/>
      <c r="G530" s="188"/>
      <c r="H530" s="188"/>
      <c r="I530" s="188"/>
      <c r="J530" s="188"/>
      <c r="K530" s="188"/>
      <c r="L530" s="188"/>
      <c r="M530" s="188"/>
      <c r="N530" s="188"/>
      <c r="O530" s="188"/>
      <c r="P530" s="188"/>
      <c r="Q530" s="188"/>
      <c r="R530" s="188"/>
      <c r="S530" s="188"/>
      <c r="T530" s="188"/>
      <c r="U530" s="188"/>
      <c r="V530" s="188"/>
      <c r="W530" s="188"/>
    </row>
    <row r="531">
      <c r="A531" s="229"/>
      <c r="B531" s="188"/>
      <c r="C531" s="229"/>
      <c r="D531" s="229"/>
      <c r="E531" s="229"/>
      <c r="F531" s="188"/>
      <c r="G531" s="188"/>
      <c r="H531" s="188"/>
      <c r="I531" s="188"/>
      <c r="J531" s="188"/>
      <c r="K531" s="188"/>
      <c r="L531" s="188"/>
      <c r="M531" s="188"/>
      <c r="N531" s="188"/>
      <c r="O531" s="188"/>
      <c r="P531" s="188"/>
      <c r="Q531" s="188"/>
      <c r="R531" s="188"/>
      <c r="S531" s="188"/>
      <c r="T531" s="188"/>
      <c r="U531" s="188"/>
      <c r="V531" s="188"/>
      <c r="W531" s="188"/>
    </row>
    <row r="532">
      <c r="A532" s="229"/>
      <c r="B532" s="188"/>
      <c r="C532" s="229"/>
      <c r="D532" s="229"/>
      <c r="E532" s="229"/>
      <c r="F532" s="188"/>
      <c r="G532" s="188"/>
      <c r="H532" s="188"/>
      <c r="I532" s="188"/>
      <c r="J532" s="188"/>
      <c r="K532" s="188"/>
      <c r="L532" s="188"/>
      <c r="M532" s="188"/>
      <c r="N532" s="188"/>
      <c r="O532" s="188"/>
      <c r="P532" s="188"/>
      <c r="Q532" s="188"/>
      <c r="R532" s="188"/>
      <c r="S532" s="188"/>
      <c r="T532" s="188"/>
      <c r="U532" s="188"/>
      <c r="V532" s="188"/>
      <c r="W532" s="188"/>
    </row>
    <row r="533">
      <c r="A533" s="229"/>
      <c r="B533" s="188"/>
      <c r="C533" s="229"/>
      <c r="D533" s="229"/>
      <c r="E533" s="229"/>
      <c r="F533" s="188"/>
      <c r="G533" s="188"/>
      <c r="H533" s="188"/>
      <c r="I533" s="188"/>
      <c r="J533" s="188"/>
      <c r="K533" s="188"/>
      <c r="L533" s="188"/>
      <c r="M533" s="188"/>
      <c r="N533" s="188"/>
      <c r="O533" s="188"/>
      <c r="P533" s="188"/>
      <c r="Q533" s="188"/>
      <c r="R533" s="188"/>
      <c r="S533" s="188"/>
      <c r="T533" s="188"/>
      <c r="U533" s="188"/>
      <c r="V533" s="188"/>
      <c r="W533" s="188"/>
    </row>
    <row r="534">
      <c r="A534" s="229"/>
      <c r="B534" s="188"/>
      <c r="C534" s="229"/>
      <c r="D534" s="229"/>
      <c r="E534" s="229"/>
      <c r="F534" s="188"/>
      <c r="G534" s="188"/>
      <c r="H534" s="188"/>
      <c r="I534" s="188"/>
      <c r="J534" s="188"/>
      <c r="K534" s="188"/>
      <c r="L534" s="188"/>
      <c r="M534" s="188"/>
      <c r="N534" s="188"/>
      <c r="O534" s="188"/>
      <c r="P534" s="188"/>
      <c r="Q534" s="188"/>
      <c r="R534" s="188"/>
      <c r="S534" s="188"/>
      <c r="T534" s="188"/>
      <c r="U534" s="188"/>
      <c r="V534" s="188"/>
      <c r="W534" s="188"/>
    </row>
    <row r="535">
      <c r="A535" s="229"/>
      <c r="B535" s="188"/>
      <c r="C535" s="229"/>
      <c r="D535" s="229"/>
      <c r="E535" s="229"/>
      <c r="F535" s="188"/>
      <c r="G535" s="188"/>
      <c r="H535" s="188"/>
      <c r="I535" s="188"/>
      <c r="J535" s="188"/>
      <c r="K535" s="188"/>
      <c r="L535" s="188"/>
      <c r="M535" s="188"/>
      <c r="N535" s="188"/>
      <c r="O535" s="188"/>
      <c r="P535" s="188"/>
      <c r="Q535" s="188"/>
      <c r="R535" s="188"/>
      <c r="S535" s="188"/>
      <c r="T535" s="188"/>
      <c r="U535" s="188"/>
      <c r="V535" s="188"/>
      <c r="W535" s="188"/>
    </row>
    <row r="536">
      <c r="A536" s="229"/>
      <c r="B536" s="188"/>
      <c r="C536" s="229"/>
      <c r="D536" s="229"/>
      <c r="E536" s="229"/>
      <c r="F536" s="188"/>
      <c r="G536" s="188"/>
      <c r="H536" s="188"/>
      <c r="I536" s="188"/>
      <c r="J536" s="188"/>
      <c r="K536" s="188"/>
      <c r="L536" s="188"/>
      <c r="M536" s="188"/>
      <c r="N536" s="188"/>
      <c r="O536" s="188"/>
      <c r="P536" s="188"/>
      <c r="Q536" s="188"/>
      <c r="R536" s="188"/>
      <c r="S536" s="188"/>
      <c r="T536" s="188"/>
      <c r="U536" s="188"/>
      <c r="V536" s="188"/>
      <c r="W536" s="188"/>
    </row>
    <row r="537">
      <c r="A537" s="229"/>
      <c r="B537" s="188"/>
      <c r="C537" s="229"/>
      <c r="D537" s="229"/>
      <c r="E537" s="229"/>
      <c r="F537" s="188"/>
      <c r="G537" s="188"/>
      <c r="H537" s="188"/>
      <c r="I537" s="188"/>
      <c r="J537" s="188"/>
      <c r="K537" s="188"/>
      <c r="L537" s="188"/>
      <c r="M537" s="188"/>
      <c r="N537" s="188"/>
      <c r="O537" s="188"/>
      <c r="P537" s="188"/>
      <c r="Q537" s="188"/>
      <c r="R537" s="188"/>
      <c r="S537" s="188"/>
      <c r="T537" s="188"/>
      <c r="U537" s="188"/>
      <c r="V537" s="188"/>
      <c r="W537" s="188"/>
    </row>
    <row r="538">
      <c r="A538" s="229"/>
      <c r="B538" s="188"/>
      <c r="C538" s="229"/>
      <c r="D538" s="229"/>
      <c r="E538" s="229"/>
      <c r="F538" s="188"/>
      <c r="G538" s="188"/>
      <c r="H538" s="188"/>
      <c r="I538" s="188"/>
      <c r="J538" s="188"/>
      <c r="K538" s="188"/>
      <c r="L538" s="188"/>
      <c r="M538" s="188"/>
      <c r="N538" s="188"/>
      <c r="O538" s="188"/>
      <c r="P538" s="188"/>
      <c r="Q538" s="188"/>
      <c r="R538" s="188"/>
      <c r="S538" s="188"/>
      <c r="T538" s="188"/>
      <c r="U538" s="188"/>
      <c r="V538" s="188"/>
      <c r="W538" s="188"/>
    </row>
    <row r="539">
      <c r="A539" s="229"/>
      <c r="B539" s="188"/>
      <c r="C539" s="229"/>
      <c r="D539" s="229"/>
      <c r="E539" s="229"/>
      <c r="F539" s="188"/>
      <c r="G539" s="188"/>
      <c r="H539" s="188"/>
      <c r="I539" s="188"/>
      <c r="J539" s="188"/>
      <c r="K539" s="188"/>
      <c r="L539" s="188"/>
      <c r="M539" s="188"/>
      <c r="N539" s="188"/>
      <c r="O539" s="188"/>
      <c r="P539" s="188"/>
      <c r="Q539" s="188"/>
      <c r="R539" s="188"/>
      <c r="S539" s="188"/>
      <c r="T539" s="188"/>
      <c r="U539" s="188"/>
      <c r="V539" s="188"/>
      <c r="W539" s="188"/>
    </row>
    <row r="540">
      <c r="A540" s="229"/>
      <c r="B540" s="188"/>
      <c r="C540" s="229"/>
      <c r="D540" s="229"/>
      <c r="E540" s="229"/>
      <c r="F540" s="188"/>
      <c r="G540" s="188"/>
      <c r="H540" s="188"/>
      <c r="I540" s="188"/>
      <c r="J540" s="188"/>
      <c r="K540" s="188"/>
      <c r="L540" s="188"/>
      <c r="M540" s="188"/>
      <c r="N540" s="188"/>
      <c r="O540" s="188"/>
      <c r="P540" s="188"/>
      <c r="Q540" s="188"/>
      <c r="R540" s="188"/>
      <c r="S540" s="188"/>
      <c r="T540" s="188"/>
      <c r="U540" s="188"/>
      <c r="V540" s="188"/>
      <c r="W540" s="188"/>
    </row>
    <row r="541">
      <c r="A541" s="229"/>
      <c r="B541" s="188"/>
      <c r="C541" s="229"/>
      <c r="D541" s="229"/>
      <c r="E541" s="229"/>
      <c r="F541" s="188"/>
      <c r="G541" s="188"/>
      <c r="H541" s="188"/>
      <c r="I541" s="188"/>
      <c r="J541" s="188"/>
      <c r="K541" s="188"/>
      <c r="L541" s="188"/>
      <c r="M541" s="188"/>
      <c r="N541" s="188"/>
      <c r="O541" s="188"/>
      <c r="P541" s="188"/>
      <c r="Q541" s="188"/>
      <c r="R541" s="188"/>
      <c r="S541" s="188"/>
      <c r="T541" s="188"/>
      <c r="U541" s="188"/>
      <c r="V541" s="188"/>
      <c r="W541" s="188"/>
    </row>
    <row r="542">
      <c r="A542" s="229"/>
      <c r="B542" s="188"/>
      <c r="C542" s="229"/>
      <c r="D542" s="229"/>
      <c r="E542" s="229"/>
      <c r="F542" s="188"/>
      <c r="G542" s="188"/>
      <c r="H542" s="188"/>
      <c r="I542" s="188"/>
      <c r="J542" s="188"/>
      <c r="K542" s="188"/>
      <c r="L542" s="188"/>
      <c r="M542" s="188"/>
      <c r="N542" s="188"/>
      <c r="O542" s="188"/>
      <c r="P542" s="188"/>
      <c r="Q542" s="188"/>
      <c r="R542" s="188"/>
      <c r="S542" s="188"/>
      <c r="T542" s="188"/>
      <c r="U542" s="188"/>
      <c r="V542" s="188"/>
      <c r="W542" s="188"/>
    </row>
    <row r="543">
      <c r="A543" s="229"/>
      <c r="B543" s="188"/>
      <c r="C543" s="229"/>
      <c r="D543" s="229"/>
      <c r="E543" s="229"/>
      <c r="F543" s="188"/>
      <c r="G543" s="188"/>
      <c r="H543" s="188"/>
      <c r="I543" s="188"/>
      <c r="J543" s="188"/>
      <c r="K543" s="188"/>
      <c r="L543" s="188"/>
      <c r="M543" s="188"/>
      <c r="N543" s="188"/>
      <c r="O543" s="188"/>
      <c r="P543" s="188"/>
      <c r="Q543" s="188"/>
      <c r="R543" s="188"/>
      <c r="S543" s="188"/>
      <c r="T543" s="188"/>
      <c r="U543" s="188"/>
      <c r="V543" s="188"/>
      <c r="W543" s="188"/>
    </row>
    <row r="544">
      <c r="A544" s="229"/>
      <c r="B544" s="188"/>
      <c r="C544" s="229"/>
      <c r="D544" s="229"/>
      <c r="E544" s="229"/>
      <c r="F544" s="188"/>
      <c r="G544" s="188"/>
      <c r="H544" s="188"/>
      <c r="I544" s="188"/>
      <c r="J544" s="188"/>
      <c r="K544" s="188"/>
      <c r="L544" s="188"/>
      <c r="M544" s="188"/>
      <c r="N544" s="188"/>
      <c r="O544" s="188"/>
      <c r="P544" s="188"/>
      <c r="Q544" s="188"/>
      <c r="R544" s="188"/>
      <c r="S544" s="188"/>
      <c r="T544" s="188"/>
      <c r="U544" s="188"/>
      <c r="V544" s="188"/>
      <c r="W544" s="188"/>
    </row>
    <row r="545">
      <c r="A545" s="229"/>
      <c r="B545" s="188"/>
      <c r="C545" s="229"/>
      <c r="D545" s="229"/>
      <c r="E545" s="229"/>
      <c r="F545" s="188"/>
      <c r="G545" s="188"/>
      <c r="H545" s="188"/>
      <c r="I545" s="188"/>
      <c r="J545" s="188"/>
      <c r="K545" s="188"/>
      <c r="L545" s="188"/>
      <c r="M545" s="188"/>
      <c r="N545" s="188"/>
      <c r="O545" s="188"/>
      <c r="P545" s="188"/>
      <c r="Q545" s="188"/>
      <c r="R545" s="188"/>
      <c r="S545" s="188"/>
      <c r="T545" s="188"/>
      <c r="U545" s="188"/>
      <c r="V545" s="188"/>
      <c r="W545" s="188"/>
    </row>
    <row r="546">
      <c r="A546" s="229"/>
      <c r="B546" s="188"/>
      <c r="C546" s="229"/>
      <c r="D546" s="229"/>
      <c r="E546" s="229"/>
      <c r="F546" s="188"/>
      <c r="G546" s="188"/>
      <c r="H546" s="188"/>
      <c r="I546" s="188"/>
      <c r="J546" s="188"/>
      <c r="K546" s="188"/>
      <c r="L546" s="188"/>
      <c r="M546" s="188"/>
      <c r="N546" s="188"/>
      <c r="O546" s="188"/>
      <c r="P546" s="188"/>
      <c r="Q546" s="188"/>
      <c r="R546" s="188"/>
      <c r="S546" s="188"/>
      <c r="T546" s="188"/>
      <c r="U546" s="188"/>
      <c r="V546" s="188"/>
      <c r="W546" s="188"/>
    </row>
    <row r="547">
      <c r="A547" s="229"/>
      <c r="B547" s="188"/>
      <c r="C547" s="229"/>
      <c r="D547" s="229"/>
      <c r="E547" s="229"/>
      <c r="F547" s="188"/>
      <c r="G547" s="188"/>
      <c r="H547" s="188"/>
      <c r="I547" s="188"/>
      <c r="J547" s="188"/>
      <c r="K547" s="188"/>
      <c r="L547" s="188"/>
      <c r="M547" s="188"/>
      <c r="N547" s="188"/>
      <c r="O547" s="188"/>
      <c r="P547" s="188"/>
      <c r="Q547" s="188"/>
      <c r="R547" s="188"/>
      <c r="S547" s="188"/>
      <c r="T547" s="188"/>
      <c r="U547" s="188"/>
      <c r="V547" s="188"/>
      <c r="W547" s="188"/>
    </row>
    <row r="548">
      <c r="A548" s="229"/>
      <c r="B548" s="188"/>
      <c r="C548" s="229"/>
      <c r="D548" s="229"/>
      <c r="E548" s="229"/>
      <c r="F548" s="188"/>
      <c r="G548" s="188"/>
      <c r="H548" s="188"/>
      <c r="I548" s="188"/>
      <c r="J548" s="188"/>
      <c r="K548" s="188"/>
      <c r="L548" s="188"/>
      <c r="M548" s="188"/>
      <c r="N548" s="188"/>
      <c r="O548" s="188"/>
      <c r="P548" s="188"/>
      <c r="Q548" s="188"/>
      <c r="R548" s="188"/>
      <c r="S548" s="188"/>
      <c r="T548" s="188"/>
      <c r="U548" s="188"/>
      <c r="V548" s="188"/>
      <c r="W548" s="188"/>
    </row>
    <row r="549">
      <c r="A549" s="229"/>
      <c r="B549" s="188"/>
      <c r="C549" s="229"/>
      <c r="D549" s="229"/>
      <c r="E549" s="229"/>
      <c r="F549" s="188"/>
      <c r="G549" s="188"/>
      <c r="H549" s="188"/>
      <c r="I549" s="188"/>
      <c r="J549" s="188"/>
      <c r="K549" s="188"/>
      <c r="L549" s="188"/>
      <c r="M549" s="188"/>
      <c r="N549" s="188"/>
      <c r="O549" s="188"/>
      <c r="P549" s="188"/>
      <c r="Q549" s="188"/>
      <c r="R549" s="188"/>
      <c r="S549" s="188"/>
      <c r="T549" s="188"/>
      <c r="U549" s="188"/>
      <c r="V549" s="188"/>
      <c r="W549" s="188"/>
    </row>
    <row r="550">
      <c r="A550" s="229"/>
      <c r="B550" s="188"/>
      <c r="C550" s="229"/>
      <c r="D550" s="229"/>
      <c r="E550" s="229"/>
      <c r="F550" s="188"/>
      <c r="G550" s="188"/>
      <c r="H550" s="188"/>
      <c r="I550" s="188"/>
      <c r="J550" s="188"/>
      <c r="K550" s="188"/>
      <c r="L550" s="188"/>
      <c r="M550" s="188"/>
      <c r="N550" s="188"/>
      <c r="O550" s="188"/>
      <c r="P550" s="188"/>
      <c r="Q550" s="188"/>
      <c r="R550" s="188"/>
      <c r="S550" s="188"/>
      <c r="T550" s="188"/>
      <c r="U550" s="188"/>
      <c r="V550" s="188"/>
      <c r="W550" s="188"/>
    </row>
    <row r="551">
      <c r="A551" s="229"/>
      <c r="B551" s="188"/>
      <c r="C551" s="229"/>
      <c r="D551" s="229"/>
      <c r="E551" s="229"/>
      <c r="F551" s="188"/>
      <c r="G551" s="188"/>
      <c r="H551" s="188"/>
      <c r="I551" s="188"/>
      <c r="J551" s="188"/>
      <c r="K551" s="188"/>
      <c r="L551" s="188"/>
      <c r="M551" s="188"/>
      <c r="N551" s="188"/>
      <c r="O551" s="188"/>
      <c r="P551" s="188"/>
      <c r="Q551" s="188"/>
      <c r="R551" s="188"/>
      <c r="S551" s="188"/>
      <c r="T551" s="188"/>
      <c r="U551" s="188"/>
      <c r="V551" s="188"/>
      <c r="W551" s="188"/>
    </row>
    <row r="552">
      <c r="A552" s="229"/>
      <c r="B552" s="188"/>
      <c r="C552" s="229"/>
      <c r="D552" s="229"/>
      <c r="E552" s="229"/>
      <c r="F552" s="188"/>
      <c r="G552" s="188"/>
      <c r="H552" s="188"/>
      <c r="I552" s="188"/>
      <c r="J552" s="188"/>
      <c r="K552" s="188"/>
      <c r="L552" s="188"/>
      <c r="M552" s="188"/>
      <c r="N552" s="188"/>
      <c r="O552" s="188"/>
      <c r="P552" s="188"/>
      <c r="Q552" s="188"/>
      <c r="R552" s="188"/>
      <c r="S552" s="188"/>
      <c r="T552" s="188"/>
      <c r="U552" s="188"/>
      <c r="V552" s="188"/>
      <c r="W552" s="188"/>
    </row>
    <row r="553">
      <c r="A553" s="229"/>
      <c r="B553" s="188"/>
      <c r="C553" s="229"/>
      <c r="D553" s="229"/>
      <c r="E553" s="229"/>
      <c r="F553" s="188"/>
      <c r="G553" s="188"/>
      <c r="H553" s="188"/>
      <c r="I553" s="188"/>
      <c r="J553" s="188"/>
      <c r="K553" s="188"/>
      <c r="L553" s="188"/>
      <c r="M553" s="188"/>
      <c r="N553" s="188"/>
      <c r="O553" s="188"/>
      <c r="P553" s="188"/>
      <c r="Q553" s="188"/>
      <c r="R553" s="188"/>
      <c r="S553" s="188"/>
      <c r="T553" s="188"/>
      <c r="U553" s="188"/>
      <c r="V553" s="188"/>
      <c r="W553" s="188"/>
    </row>
    <row r="554">
      <c r="A554" s="229"/>
      <c r="B554" s="188"/>
      <c r="C554" s="229"/>
      <c r="D554" s="229"/>
      <c r="E554" s="229"/>
      <c r="F554" s="188"/>
      <c r="G554" s="188"/>
      <c r="H554" s="188"/>
      <c r="I554" s="188"/>
      <c r="J554" s="188"/>
      <c r="K554" s="188"/>
      <c r="L554" s="188"/>
      <c r="M554" s="188"/>
      <c r="N554" s="188"/>
      <c r="O554" s="188"/>
      <c r="P554" s="188"/>
      <c r="Q554" s="188"/>
      <c r="R554" s="188"/>
      <c r="S554" s="188"/>
      <c r="T554" s="188"/>
      <c r="U554" s="188"/>
      <c r="V554" s="188"/>
      <c r="W554" s="188"/>
    </row>
    <row r="555">
      <c r="A555" s="229"/>
      <c r="B555" s="188"/>
      <c r="C555" s="229"/>
      <c r="D555" s="229"/>
      <c r="E555" s="229"/>
      <c r="F555" s="188"/>
      <c r="G555" s="188"/>
      <c r="H555" s="188"/>
      <c r="I555" s="188"/>
      <c r="J555" s="188"/>
      <c r="K555" s="188"/>
      <c r="L555" s="188"/>
      <c r="M555" s="188"/>
      <c r="N555" s="188"/>
      <c r="O555" s="188"/>
      <c r="P555" s="188"/>
      <c r="Q555" s="188"/>
      <c r="R555" s="188"/>
      <c r="S555" s="188"/>
      <c r="T555" s="188"/>
      <c r="U555" s="188"/>
      <c r="V555" s="188"/>
      <c r="W555" s="188"/>
    </row>
    <row r="556">
      <c r="A556" s="229"/>
      <c r="B556" s="188"/>
      <c r="C556" s="229"/>
      <c r="D556" s="229"/>
      <c r="E556" s="229"/>
      <c r="F556" s="188"/>
      <c r="G556" s="188"/>
      <c r="H556" s="188"/>
      <c r="I556" s="188"/>
      <c r="J556" s="188"/>
      <c r="K556" s="188"/>
      <c r="L556" s="188"/>
      <c r="M556" s="188"/>
      <c r="N556" s="188"/>
      <c r="O556" s="188"/>
      <c r="P556" s="188"/>
      <c r="Q556" s="188"/>
      <c r="R556" s="188"/>
      <c r="S556" s="188"/>
      <c r="T556" s="188"/>
      <c r="U556" s="188"/>
      <c r="V556" s="188"/>
      <c r="W556" s="188"/>
    </row>
    <row r="557">
      <c r="A557" s="229"/>
      <c r="B557" s="188"/>
      <c r="C557" s="229"/>
      <c r="D557" s="229"/>
      <c r="E557" s="229"/>
      <c r="F557" s="188"/>
      <c r="G557" s="188"/>
      <c r="H557" s="188"/>
      <c r="I557" s="188"/>
      <c r="J557" s="188"/>
      <c r="K557" s="188"/>
      <c r="L557" s="188"/>
      <c r="M557" s="188"/>
      <c r="N557" s="188"/>
      <c r="O557" s="188"/>
      <c r="P557" s="188"/>
      <c r="Q557" s="188"/>
      <c r="R557" s="188"/>
      <c r="S557" s="188"/>
      <c r="T557" s="188"/>
      <c r="U557" s="188"/>
      <c r="V557" s="188"/>
      <c r="W557" s="188"/>
    </row>
    <row r="558">
      <c r="A558" s="229"/>
      <c r="B558" s="188"/>
      <c r="C558" s="229"/>
      <c r="D558" s="229"/>
      <c r="E558" s="229"/>
      <c r="F558" s="188"/>
      <c r="G558" s="188"/>
      <c r="H558" s="188"/>
      <c r="I558" s="188"/>
      <c r="J558" s="188"/>
      <c r="K558" s="188"/>
      <c r="L558" s="188"/>
      <c r="M558" s="188"/>
      <c r="N558" s="188"/>
      <c r="O558" s="188"/>
      <c r="P558" s="188"/>
      <c r="Q558" s="188"/>
      <c r="R558" s="188"/>
      <c r="S558" s="188"/>
      <c r="T558" s="188"/>
      <c r="U558" s="188"/>
      <c r="V558" s="188"/>
      <c r="W558" s="188"/>
    </row>
    <row r="559">
      <c r="A559" s="229"/>
      <c r="B559" s="188"/>
      <c r="C559" s="229"/>
      <c r="D559" s="229"/>
      <c r="E559" s="229"/>
      <c r="F559" s="188"/>
      <c r="G559" s="188"/>
      <c r="H559" s="188"/>
      <c r="I559" s="188"/>
      <c r="J559" s="188"/>
      <c r="K559" s="188"/>
      <c r="L559" s="188"/>
      <c r="M559" s="188"/>
      <c r="N559" s="188"/>
      <c r="O559" s="188"/>
      <c r="P559" s="188"/>
      <c r="Q559" s="188"/>
      <c r="R559" s="188"/>
      <c r="S559" s="188"/>
      <c r="T559" s="188"/>
      <c r="U559" s="188"/>
      <c r="V559" s="188"/>
      <c r="W559" s="188"/>
    </row>
    <row r="560">
      <c r="A560" s="229"/>
      <c r="B560" s="188"/>
      <c r="C560" s="229"/>
      <c r="D560" s="229"/>
      <c r="E560" s="229"/>
      <c r="F560" s="188"/>
      <c r="G560" s="188"/>
      <c r="H560" s="188"/>
      <c r="I560" s="188"/>
      <c r="J560" s="188"/>
      <c r="K560" s="188"/>
      <c r="L560" s="188"/>
      <c r="M560" s="188"/>
      <c r="N560" s="188"/>
      <c r="O560" s="188"/>
      <c r="P560" s="188"/>
      <c r="Q560" s="188"/>
      <c r="R560" s="188"/>
      <c r="S560" s="188"/>
      <c r="T560" s="188"/>
      <c r="U560" s="188"/>
      <c r="V560" s="188"/>
      <c r="W560" s="188"/>
    </row>
    <row r="561">
      <c r="A561" s="229"/>
      <c r="B561" s="188"/>
      <c r="C561" s="229"/>
      <c r="D561" s="229"/>
      <c r="E561" s="229"/>
      <c r="F561" s="188"/>
      <c r="G561" s="188"/>
      <c r="H561" s="188"/>
      <c r="I561" s="188"/>
      <c r="J561" s="188"/>
      <c r="K561" s="188"/>
      <c r="L561" s="188"/>
      <c r="M561" s="188"/>
      <c r="N561" s="188"/>
      <c r="O561" s="188"/>
      <c r="P561" s="188"/>
      <c r="Q561" s="188"/>
      <c r="R561" s="188"/>
      <c r="S561" s="188"/>
      <c r="T561" s="188"/>
      <c r="U561" s="188"/>
      <c r="V561" s="188"/>
      <c r="W561" s="188"/>
    </row>
    <row r="562">
      <c r="A562" s="229"/>
      <c r="B562" s="188"/>
      <c r="C562" s="229"/>
      <c r="D562" s="229"/>
      <c r="E562" s="229"/>
      <c r="F562" s="188"/>
      <c r="G562" s="188"/>
      <c r="H562" s="188"/>
      <c r="I562" s="188"/>
      <c r="J562" s="188"/>
      <c r="K562" s="188"/>
      <c r="L562" s="188"/>
      <c r="M562" s="188"/>
      <c r="N562" s="188"/>
      <c r="O562" s="188"/>
      <c r="P562" s="188"/>
      <c r="Q562" s="188"/>
      <c r="R562" s="188"/>
      <c r="S562" s="188"/>
      <c r="T562" s="188"/>
      <c r="U562" s="188"/>
      <c r="V562" s="188"/>
      <c r="W562" s="188"/>
    </row>
    <row r="563">
      <c r="A563" s="229"/>
      <c r="B563" s="188"/>
      <c r="C563" s="229"/>
      <c r="D563" s="229"/>
      <c r="E563" s="229"/>
      <c r="F563" s="188"/>
      <c r="G563" s="188"/>
      <c r="H563" s="188"/>
      <c r="I563" s="188"/>
      <c r="J563" s="188"/>
      <c r="K563" s="188"/>
      <c r="L563" s="188"/>
      <c r="M563" s="188"/>
      <c r="N563" s="188"/>
      <c r="O563" s="188"/>
      <c r="P563" s="188"/>
      <c r="Q563" s="188"/>
      <c r="R563" s="188"/>
      <c r="S563" s="188"/>
      <c r="T563" s="188"/>
      <c r="U563" s="188"/>
      <c r="V563" s="188"/>
      <c r="W563" s="188"/>
    </row>
    <row r="564">
      <c r="A564" s="229"/>
      <c r="B564" s="188"/>
      <c r="C564" s="229"/>
      <c r="D564" s="229"/>
      <c r="E564" s="229"/>
      <c r="F564" s="188"/>
      <c r="G564" s="188"/>
      <c r="H564" s="188"/>
      <c r="I564" s="188"/>
      <c r="J564" s="188"/>
      <c r="K564" s="188"/>
      <c r="L564" s="188"/>
      <c r="M564" s="188"/>
      <c r="N564" s="188"/>
      <c r="O564" s="188"/>
      <c r="P564" s="188"/>
      <c r="Q564" s="188"/>
      <c r="R564" s="188"/>
      <c r="S564" s="188"/>
      <c r="T564" s="188"/>
      <c r="U564" s="188"/>
      <c r="V564" s="188"/>
      <c r="W564" s="188"/>
    </row>
    <row r="565">
      <c r="A565" s="229"/>
      <c r="B565" s="188"/>
      <c r="C565" s="229"/>
      <c r="D565" s="229"/>
      <c r="E565" s="229"/>
      <c r="F565" s="188"/>
      <c r="G565" s="188"/>
      <c r="H565" s="188"/>
      <c r="I565" s="188"/>
      <c r="J565" s="188"/>
      <c r="K565" s="188"/>
      <c r="L565" s="188"/>
      <c r="M565" s="188"/>
      <c r="N565" s="188"/>
      <c r="O565" s="188"/>
      <c r="P565" s="188"/>
      <c r="Q565" s="188"/>
      <c r="R565" s="188"/>
      <c r="S565" s="188"/>
      <c r="T565" s="188"/>
      <c r="U565" s="188"/>
      <c r="V565" s="188"/>
      <c r="W565" s="188"/>
    </row>
    <row r="566">
      <c r="A566" s="229"/>
      <c r="B566" s="188"/>
      <c r="C566" s="229"/>
      <c r="D566" s="229"/>
      <c r="E566" s="229"/>
      <c r="F566" s="188"/>
      <c r="G566" s="188"/>
      <c r="H566" s="188"/>
      <c r="I566" s="188"/>
      <c r="J566" s="188"/>
      <c r="K566" s="188"/>
      <c r="L566" s="188"/>
      <c r="M566" s="188"/>
      <c r="N566" s="188"/>
      <c r="O566" s="188"/>
      <c r="P566" s="188"/>
      <c r="Q566" s="188"/>
      <c r="R566" s="188"/>
      <c r="S566" s="188"/>
      <c r="T566" s="188"/>
      <c r="U566" s="188"/>
      <c r="V566" s="188"/>
      <c r="W566" s="188"/>
    </row>
    <row r="567">
      <c r="A567" s="229"/>
      <c r="B567" s="188"/>
      <c r="C567" s="229"/>
      <c r="D567" s="229"/>
      <c r="E567" s="229"/>
      <c r="F567" s="188"/>
      <c r="G567" s="188"/>
      <c r="H567" s="188"/>
      <c r="I567" s="188"/>
      <c r="J567" s="188"/>
      <c r="K567" s="188"/>
      <c r="L567" s="188"/>
      <c r="M567" s="188"/>
      <c r="N567" s="188"/>
      <c r="O567" s="188"/>
      <c r="P567" s="188"/>
      <c r="Q567" s="188"/>
      <c r="R567" s="188"/>
      <c r="S567" s="188"/>
      <c r="T567" s="188"/>
      <c r="U567" s="188"/>
      <c r="V567" s="188"/>
      <c r="W567" s="188"/>
    </row>
    <row r="568">
      <c r="A568" s="229"/>
      <c r="B568" s="188"/>
      <c r="C568" s="229"/>
      <c r="D568" s="229"/>
      <c r="E568" s="229"/>
      <c r="F568" s="188"/>
      <c r="G568" s="188"/>
      <c r="H568" s="188"/>
      <c r="I568" s="188"/>
      <c r="J568" s="188"/>
      <c r="K568" s="188"/>
      <c r="L568" s="188"/>
      <c r="M568" s="188"/>
      <c r="N568" s="188"/>
      <c r="O568" s="188"/>
      <c r="P568" s="188"/>
      <c r="Q568" s="188"/>
      <c r="R568" s="188"/>
      <c r="S568" s="188"/>
      <c r="T568" s="188"/>
      <c r="U568" s="188"/>
      <c r="V568" s="188"/>
      <c r="W568" s="188"/>
    </row>
    <row r="569">
      <c r="A569" s="229"/>
      <c r="B569" s="188"/>
      <c r="C569" s="229"/>
      <c r="D569" s="229"/>
      <c r="E569" s="229"/>
      <c r="F569" s="188"/>
      <c r="G569" s="188"/>
      <c r="H569" s="188"/>
      <c r="I569" s="188"/>
      <c r="J569" s="188"/>
      <c r="K569" s="188"/>
      <c r="L569" s="188"/>
      <c r="M569" s="188"/>
      <c r="N569" s="188"/>
      <c r="O569" s="188"/>
      <c r="P569" s="188"/>
      <c r="Q569" s="188"/>
      <c r="R569" s="188"/>
      <c r="S569" s="188"/>
      <c r="T569" s="188"/>
      <c r="U569" s="188"/>
      <c r="V569" s="188"/>
      <c r="W569" s="188"/>
    </row>
    <row r="570">
      <c r="A570" s="229"/>
      <c r="B570" s="188"/>
      <c r="C570" s="229"/>
      <c r="D570" s="229"/>
      <c r="E570" s="229"/>
      <c r="F570" s="188"/>
      <c r="G570" s="188"/>
      <c r="H570" s="188"/>
      <c r="I570" s="188"/>
      <c r="J570" s="188"/>
      <c r="K570" s="188"/>
      <c r="L570" s="188"/>
      <c r="M570" s="188"/>
      <c r="N570" s="188"/>
      <c r="O570" s="188"/>
      <c r="P570" s="188"/>
      <c r="Q570" s="188"/>
      <c r="R570" s="188"/>
      <c r="S570" s="188"/>
      <c r="T570" s="188"/>
      <c r="U570" s="188"/>
      <c r="V570" s="188"/>
      <c r="W570" s="188"/>
    </row>
    <row r="571">
      <c r="A571" s="229"/>
      <c r="B571" s="188"/>
      <c r="C571" s="229"/>
      <c r="D571" s="229"/>
      <c r="E571" s="229"/>
      <c r="F571" s="188"/>
      <c r="G571" s="188"/>
      <c r="H571" s="188"/>
      <c r="I571" s="188"/>
      <c r="J571" s="188"/>
      <c r="K571" s="188"/>
      <c r="L571" s="188"/>
      <c r="M571" s="188"/>
      <c r="N571" s="188"/>
      <c r="O571" s="188"/>
      <c r="P571" s="188"/>
      <c r="Q571" s="188"/>
      <c r="R571" s="188"/>
      <c r="S571" s="188"/>
      <c r="T571" s="188"/>
      <c r="U571" s="188"/>
      <c r="V571" s="188"/>
      <c r="W571" s="188"/>
    </row>
    <row r="572">
      <c r="A572" s="229"/>
      <c r="B572" s="188"/>
      <c r="C572" s="229"/>
      <c r="D572" s="229"/>
      <c r="E572" s="229"/>
      <c r="F572" s="188"/>
      <c r="G572" s="188"/>
      <c r="H572" s="188"/>
      <c r="I572" s="188"/>
      <c r="J572" s="188"/>
      <c r="K572" s="188"/>
      <c r="L572" s="188"/>
      <c r="M572" s="188"/>
      <c r="N572" s="188"/>
      <c r="O572" s="188"/>
      <c r="P572" s="188"/>
      <c r="Q572" s="188"/>
      <c r="R572" s="188"/>
      <c r="S572" s="188"/>
      <c r="T572" s="188"/>
      <c r="U572" s="188"/>
      <c r="V572" s="188"/>
      <c r="W572" s="188"/>
    </row>
    <row r="573">
      <c r="A573" s="229"/>
      <c r="B573" s="188"/>
      <c r="C573" s="229"/>
      <c r="D573" s="229"/>
      <c r="E573" s="229"/>
      <c r="F573" s="188"/>
      <c r="G573" s="188"/>
      <c r="H573" s="188"/>
      <c r="I573" s="188"/>
      <c r="J573" s="188"/>
      <c r="K573" s="188"/>
      <c r="L573" s="188"/>
      <c r="M573" s="188"/>
      <c r="N573" s="188"/>
      <c r="O573" s="188"/>
      <c r="P573" s="188"/>
      <c r="Q573" s="188"/>
      <c r="R573" s="188"/>
      <c r="S573" s="188"/>
      <c r="T573" s="188"/>
      <c r="U573" s="188"/>
      <c r="V573" s="188"/>
      <c r="W573" s="188"/>
    </row>
    <row r="574">
      <c r="A574" s="229"/>
      <c r="B574" s="188"/>
      <c r="C574" s="229"/>
      <c r="D574" s="229"/>
      <c r="E574" s="229"/>
      <c r="F574" s="188"/>
      <c r="G574" s="188"/>
      <c r="H574" s="188"/>
      <c r="I574" s="188"/>
      <c r="J574" s="188"/>
      <c r="K574" s="188"/>
      <c r="L574" s="188"/>
      <c r="M574" s="188"/>
      <c r="N574" s="188"/>
      <c r="O574" s="188"/>
      <c r="P574" s="188"/>
      <c r="Q574" s="188"/>
      <c r="R574" s="188"/>
      <c r="S574" s="188"/>
      <c r="T574" s="188"/>
      <c r="U574" s="188"/>
      <c r="V574" s="188"/>
      <c r="W574" s="188"/>
    </row>
    <row r="575">
      <c r="A575" s="229"/>
      <c r="B575" s="188"/>
      <c r="C575" s="229"/>
      <c r="D575" s="229"/>
      <c r="E575" s="229"/>
      <c r="F575" s="188"/>
      <c r="G575" s="188"/>
      <c r="H575" s="188"/>
      <c r="I575" s="188"/>
      <c r="J575" s="188"/>
      <c r="K575" s="188"/>
      <c r="L575" s="188"/>
      <c r="M575" s="188"/>
      <c r="N575" s="188"/>
      <c r="O575" s="188"/>
      <c r="P575" s="188"/>
      <c r="Q575" s="188"/>
      <c r="R575" s="188"/>
      <c r="S575" s="188"/>
      <c r="T575" s="188"/>
      <c r="U575" s="188"/>
      <c r="V575" s="188"/>
      <c r="W575" s="188"/>
    </row>
    <row r="576">
      <c r="A576" s="229"/>
      <c r="B576" s="188"/>
      <c r="C576" s="229"/>
      <c r="D576" s="229"/>
      <c r="E576" s="229"/>
      <c r="F576" s="188"/>
      <c r="G576" s="188"/>
      <c r="H576" s="188"/>
      <c r="I576" s="188"/>
      <c r="J576" s="188"/>
      <c r="K576" s="188"/>
      <c r="L576" s="188"/>
      <c r="M576" s="188"/>
      <c r="N576" s="188"/>
      <c r="O576" s="188"/>
      <c r="P576" s="188"/>
      <c r="Q576" s="188"/>
      <c r="R576" s="188"/>
      <c r="S576" s="188"/>
      <c r="T576" s="188"/>
      <c r="U576" s="188"/>
      <c r="V576" s="188"/>
      <c r="W576" s="188"/>
    </row>
    <row r="577">
      <c r="A577" s="229"/>
      <c r="B577" s="188"/>
      <c r="C577" s="229"/>
      <c r="D577" s="229"/>
      <c r="E577" s="229"/>
      <c r="F577" s="188"/>
      <c r="G577" s="188"/>
      <c r="H577" s="188"/>
      <c r="I577" s="188"/>
      <c r="J577" s="188"/>
      <c r="K577" s="188"/>
      <c r="L577" s="188"/>
      <c r="M577" s="188"/>
      <c r="N577" s="188"/>
      <c r="O577" s="188"/>
      <c r="P577" s="188"/>
      <c r="Q577" s="188"/>
      <c r="R577" s="188"/>
      <c r="S577" s="188"/>
      <c r="T577" s="188"/>
      <c r="U577" s="188"/>
      <c r="V577" s="188"/>
      <c r="W577" s="188"/>
    </row>
    <row r="578">
      <c r="A578" s="229"/>
      <c r="B578" s="188"/>
      <c r="C578" s="229"/>
      <c r="D578" s="229"/>
      <c r="E578" s="229"/>
      <c r="F578" s="188"/>
      <c r="G578" s="188"/>
      <c r="H578" s="188"/>
      <c r="I578" s="188"/>
      <c r="J578" s="188"/>
      <c r="K578" s="188"/>
      <c r="L578" s="188"/>
      <c r="M578" s="188"/>
      <c r="N578" s="188"/>
      <c r="O578" s="188"/>
      <c r="P578" s="188"/>
      <c r="Q578" s="188"/>
      <c r="R578" s="188"/>
      <c r="S578" s="188"/>
      <c r="T578" s="188"/>
      <c r="U578" s="188"/>
      <c r="V578" s="188"/>
      <c r="W578" s="188"/>
    </row>
    <row r="579">
      <c r="A579" s="229"/>
      <c r="B579" s="188"/>
      <c r="C579" s="229"/>
      <c r="D579" s="229"/>
      <c r="E579" s="229"/>
      <c r="F579" s="188"/>
      <c r="G579" s="188"/>
      <c r="H579" s="188"/>
      <c r="I579" s="188"/>
      <c r="J579" s="188"/>
      <c r="K579" s="188"/>
      <c r="L579" s="188"/>
      <c r="M579" s="188"/>
      <c r="N579" s="188"/>
      <c r="O579" s="188"/>
      <c r="P579" s="188"/>
      <c r="Q579" s="188"/>
      <c r="R579" s="188"/>
      <c r="S579" s="188"/>
      <c r="T579" s="188"/>
      <c r="U579" s="188"/>
      <c r="V579" s="188"/>
      <c r="W579" s="188"/>
    </row>
    <row r="580">
      <c r="A580" s="229"/>
      <c r="B580" s="188"/>
      <c r="C580" s="229"/>
      <c r="D580" s="229"/>
      <c r="E580" s="229"/>
      <c r="F580" s="188"/>
      <c r="G580" s="188"/>
      <c r="H580" s="188"/>
      <c r="I580" s="188"/>
      <c r="J580" s="188"/>
      <c r="K580" s="188"/>
      <c r="L580" s="188"/>
      <c r="M580" s="188"/>
      <c r="N580" s="188"/>
      <c r="O580" s="188"/>
      <c r="P580" s="188"/>
      <c r="Q580" s="188"/>
      <c r="R580" s="188"/>
      <c r="S580" s="188"/>
      <c r="T580" s="188"/>
      <c r="U580" s="188"/>
      <c r="V580" s="188"/>
      <c r="W580" s="188"/>
    </row>
    <row r="581">
      <c r="A581" s="229"/>
      <c r="B581" s="188"/>
      <c r="C581" s="229"/>
      <c r="D581" s="229"/>
      <c r="E581" s="229"/>
      <c r="F581" s="188"/>
      <c r="G581" s="188"/>
      <c r="H581" s="188"/>
      <c r="I581" s="188"/>
      <c r="J581" s="188"/>
      <c r="K581" s="188"/>
      <c r="L581" s="188"/>
      <c r="M581" s="188"/>
      <c r="N581" s="188"/>
      <c r="O581" s="188"/>
      <c r="P581" s="188"/>
      <c r="Q581" s="188"/>
      <c r="R581" s="188"/>
      <c r="S581" s="188"/>
      <c r="T581" s="188"/>
      <c r="U581" s="188"/>
      <c r="V581" s="188"/>
      <c r="W581" s="188"/>
    </row>
    <row r="582">
      <c r="A582" s="229"/>
      <c r="B582" s="188"/>
      <c r="C582" s="229"/>
      <c r="D582" s="229"/>
      <c r="E582" s="229"/>
      <c r="F582" s="188"/>
      <c r="G582" s="188"/>
      <c r="H582" s="188"/>
      <c r="I582" s="188"/>
      <c r="J582" s="188"/>
      <c r="K582" s="188"/>
      <c r="L582" s="188"/>
      <c r="M582" s="188"/>
      <c r="N582" s="188"/>
      <c r="O582" s="188"/>
      <c r="P582" s="188"/>
      <c r="Q582" s="188"/>
      <c r="R582" s="188"/>
      <c r="S582" s="188"/>
      <c r="T582" s="188"/>
      <c r="U582" s="188"/>
      <c r="V582" s="188"/>
      <c r="W582" s="188"/>
    </row>
    <row r="583">
      <c r="A583" s="229"/>
      <c r="B583" s="188"/>
      <c r="C583" s="229"/>
      <c r="D583" s="229"/>
      <c r="E583" s="229"/>
      <c r="F583" s="188"/>
      <c r="G583" s="188"/>
      <c r="H583" s="188"/>
      <c r="I583" s="188"/>
      <c r="J583" s="188"/>
      <c r="K583" s="188"/>
      <c r="L583" s="188"/>
      <c r="M583" s="188"/>
      <c r="N583" s="188"/>
      <c r="O583" s="188"/>
      <c r="P583" s="188"/>
      <c r="Q583" s="188"/>
      <c r="R583" s="188"/>
      <c r="S583" s="188"/>
      <c r="T583" s="188"/>
      <c r="U583" s="188"/>
      <c r="V583" s="188"/>
      <c r="W583" s="188"/>
    </row>
    <row r="584">
      <c r="A584" s="229"/>
      <c r="B584" s="188"/>
      <c r="C584" s="229"/>
      <c r="D584" s="229"/>
      <c r="E584" s="229"/>
      <c r="F584" s="188"/>
      <c r="G584" s="188"/>
      <c r="H584" s="188"/>
      <c r="I584" s="188"/>
      <c r="J584" s="188"/>
      <c r="K584" s="188"/>
      <c r="L584" s="188"/>
      <c r="M584" s="188"/>
      <c r="N584" s="188"/>
      <c r="O584" s="188"/>
      <c r="P584" s="188"/>
      <c r="Q584" s="188"/>
      <c r="R584" s="188"/>
      <c r="S584" s="188"/>
      <c r="T584" s="188"/>
      <c r="U584" s="188"/>
      <c r="V584" s="188"/>
      <c r="W584" s="188"/>
    </row>
    <row r="585">
      <c r="A585" s="229"/>
      <c r="B585" s="188"/>
      <c r="C585" s="229"/>
      <c r="D585" s="229"/>
      <c r="E585" s="229"/>
      <c r="F585" s="188"/>
      <c r="G585" s="188"/>
      <c r="H585" s="188"/>
      <c r="I585" s="188"/>
      <c r="J585" s="188"/>
      <c r="K585" s="188"/>
      <c r="L585" s="188"/>
      <c r="M585" s="188"/>
      <c r="N585" s="188"/>
      <c r="O585" s="188"/>
      <c r="P585" s="188"/>
      <c r="Q585" s="188"/>
      <c r="R585" s="188"/>
      <c r="S585" s="188"/>
      <c r="T585" s="188"/>
      <c r="U585" s="188"/>
      <c r="V585" s="188"/>
      <c r="W585" s="188"/>
    </row>
    <row r="586">
      <c r="A586" s="229"/>
      <c r="B586" s="188"/>
      <c r="C586" s="229"/>
      <c r="D586" s="229"/>
      <c r="E586" s="229"/>
      <c r="F586" s="188"/>
      <c r="G586" s="188"/>
      <c r="H586" s="188"/>
      <c r="I586" s="188"/>
      <c r="J586" s="188"/>
      <c r="K586" s="188"/>
      <c r="L586" s="188"/>
      <c r="M586" s="188"/>
      <c r="N586" s="188"/>
      <c r="O586" s="188"/>
      <c r="P586" s="188"/>
      <c r="Q586" s="188"/>
      <c r="R586" s="188"/>
      <c r="S586" s="188"/>
      <c r="T586" s="188"/>
      <c r="U586" s="188"/>
      <c r="V586" s="188"/>
      <c r="W586" s="188"/>
    </row>
    <row r="587">
      <c r="A587" s="229"/>
      <c r="B587" s="188"/>
      <c r="C587" s="229"/>
      <c r="D587" s="229"/>
      <c r="E587" s="229"/>
      <c r="F587" s="188"/>
      <c r="G587" s="188"/>
      <c r="H587" s="188"/>
      <c r="I587" s="188"/>
      <c r="J587" s="188"/>
      <c r="K587" s="188"/>
      <c r="L587" s="188"/>
      <c r="M587" s="188"/>
      <c r="N587" s="188"/>
      <c r="O587" s="188"/>
      <c r="P587" s="188"/>
      <c r="Q587" s="188"/>
      <c r="R587" s="188"/>
      <c r="S587" s="188"/>
      <c r="T587" s="188"/>
      <c r="U587" s="188"/>
      <c r="V587" s="188"/>
      <c r="W587" s="188"/>
    </row>
    <row r="588">
      <c r="A588" s="229"/>
      <c r="B588" s="188"/>
      <c r="C588" s="229"/>
      <c r="D588" s="229"/>
      <c r="E588" s="229"/>
      <c r="F588" s="188"/>
      <c r="G588" s="188"/>
      <c r="H588" s="188"/>
      <c r="I588" s="188"/>
      <c r="J588" s="188"/>
      <c r="K588" s="188"/>
      <c r="L588" s="188"/>
      <c r="M588" s="188"/>
      <c r="N588" s="188"/>
      <c r="O588" s="188"/>
      <c r="P588" s="188"/>
      <c r="Q588" s="188"/>
      <c r="R588" s="188"/>
      <c r="S588" s="188"/>
      <c r="T588" s="188"/>
      <c r="U588" s="188"/>
      <c r="V588" s="188"/>
      <c r="W588" s="188"/>
    </row>
    <row r="589">
      <c r="A589" s="229"/>
      <c r="B589" s="188"/>
      <c r="C589" s="229"/>
      <c r="D589" s="229"/>
      <c r="E589" s="229"/>
      <c r="F589" s="188"/>
      <c r="G589" s="188"/>
      <c r="H589" s="188"/>
      <c r="I589" s="188"/>
      <c r="J589" s="188"/>
      <c r="K589" s="188"/>
      <c r="L589" s="188"/>
      <c r="M589" s="188"/>
      <c r="N589" s="188"/>
      <c r="O589" s="188"/>
      <c r="P589" s="188"/>
      <c r="Q589" s="188"/>
      <c r="R589" s="188"/>
      <c r="S589" s="188"/>
      <c r="T589" s="188"/>
      <c r="U589" s="188"/>
      <c r="V589" s="188"/>
      <c r="W589" s="188"/>
    </row>
    <row r="590">
      <c r="A590" s="229"/>
      <c r="B590" s="188"/>
      <c r="C590" s="229"/>
      <c r="D590" s="229"/>
      <c r="E590" s="229"/>
      <c r="F590" s="188"/>
      <c r="G590" s="188"/>
      <c r="H590" s="188"/>
      <c r="I590" s="188"/>
      <c r="J590" s="188"/>
      <c r="K590" s="188"/>
      <c r="L590" s="188"/>
      <c r="M590" s="188"/>
      <c r="N590" s="188"/>
      <c r="O590" s="188"/>
      <c r="P590" s="188"/>
      <c r="Q590" s="188"/>
      <c r="R590" s="188"/>
      <c r="S590" s="188"/>
      <c r="T590" s="188"/>
      <c r="U590" s="188"/>
      <c r="V590" s="188"/>
      <c r="W590" s="188"/>
    </row>
    <row r="591">
      <c r="A591" s="229"/>
      <c r="B591" s="188"/>
      <c r="C591" s="229"/>
      <c r="D591" s="229"/>
      <c r="E591" s="229"/>
      <c r="F591" s="188"/>
      <c r="G591" s="188"/>
      <c r="H591" s="188"/>
      <c r="I591" s="188"/>
      <c r="J591" s="188"/>
      <c r="K591" s="188"/>
      <c r="L591" s="188"/>
      <c r="M591" s="188"/>
      <c r="N591" s="188"/>
      <c r="O591" s="188"/>
      <c r="P591" s="188"/>
      <c r="Q591" s="188"/>
      <c r="R591" s="188"/>
      <c r="S591" s="188"/>
      <c r="T591" s="188"/>
      <c r="U591" s="188"/>
      <c r="V591" s="188"/>
      <c r="W591" s="188"/>
    </row>
    <row r="592">
      <c r="A592" s="229"/>
      <c r="B592" s="188"/>
      <c r="C592" s="229"/>
      <c r="D592" s="229"/>
      <c r="E592" s="229"/>
      <c r="F592" s="188"/>
      <c r="G592" s="188"/>
      <c r="H592" s="188"/>
      <c r="I592" s="188"/>
      <c r="J592" s="188"/>
      <c r="K592" s="188"/>
      <c r="L592" s="188"/>
      <c r="M592" s="188"/>
      <c r="N592" s="188"/>
      <c r="O592" s="188"/>
      <c r="P592" s="188"/>
      <c r="Q592" s="188"/>
      <c r="R592" s="188"/>
      <c r="S592" s="188"/>
      <c r="T592" s="188"/>
      <c r="U592" s="188"/>
      <c r="V592" s="188"/>
      <c r="W592" s="188"/>
    </row>
    <row r="593">
      <c r="A593" s="229"/>
      <c r="B593" s="188"/>
      <c r="C593" s="229"/>
      <c r="D593" s="229"/>
      <c r="E593" s="229"/>
      <c r="F593" s="188"/>
      <c r="G593" s="188"/>
      <c r="H593" s="188"/>
      <c r="I593" s="188"/>
      <c r="J593" s="188"/>
      <c r="K593" s="188"/>
      <c r="L593" s="188"/>
      <c r="M593" s="188"/>
      <c r="N593" s="188"/>
      <c r="O593" s="188"/>
      <c r="P593" s="188"/>
      <c r="Q593" s="188"/>
      <c r="R593" s="188"/>
      <c r="S593" s="188"/>
      <c r="T593" s="188"/>
      <c r="U593" s="188"/>
      <c r="V593" s="188"/>
      <c r="W593" s="188"/>
    </row>
    <row r="594">
      <c r="A594" s="229"/>
      <c r="B594" s="188"/>
      <c r="C594" s="229"/>
      <c r="D594" s="229"/>
      <c r="E594" s="229"/>
      <c r="F594" s="188"/>
      <c r="G594" s="188"/>
      <c r="H594" s="188"/>
      <c r="I594" s="188"/>
      <c r="J594" s="188"/>
      <c r="K594" s="188"/>
      <c r="L594" s="188"/>
      <c r="M594" s="188"/>
      <c r="N594" s="188"/>
      <c r="O594" s="188"/>
      <c r="P594" s="188"/>
      <c r="Q594" s="188"/>
      <c r="R594" s="188"/>
      <c r="S594" s="188"/>
      <c r="T594" s="188"/>
      <c r="U594" s="188"/>
      <c r="V594" s="188"/>
      <c r="W594" s="188"/>
    </row>
    <row r="595">
      <c r="A595" s="229"/>
      <c r="B595" s="188"/>
      <c r="C595" s="229"/>
      <c r="D595" s="229"/>
      <c r="E595" s="229"/>
      <c r="F595" s="188"/>
      <c r="G595" s="188"/>
      <c r="H595" s="188"/>
      <c r="I595" s="188"/>
      <c r="J595" s="188"/>
      <c r="K595" s="188"/>
      <c r="L595" s="188"/>
      <c r="M595" s="188"/>
      <c r="N595" s="188"/>
      <c r="O595" s="188"/>
      <c r="P595" s="188"/>
      <c r="Q595" s="188"/>
      <c r="R595" s="188"/>
      <c r="S595" s="188"/>
      <c r="T595" s="188"/>
      <c r="U595" s="188"/>
      <c r="V595" s="188"/>
      <c r="W595" s="188"/>
    </row>
    <row r="596">
      <c r="A596" s="229"/>
      <c r="B596" s="188"/>
      <c r="C596" s="229"/>
      <c r="D596" s="229"/>
      <c r="E596" s="229"/>
      <c r="F596" s="188"/>
      <c r="G596" s="188"/>
      <c r="H596" s="188"/>
      <c r="I596" s="188"/>
      <c r="J596" s="188"/>
      <c r="K596" s="188"/>
      <c r="L596" s="188"/>
      <c r="M596" s="188"/>
      <c r="N596" s="188"/>
      <c r="O596" s="188"/>
      <c r="P596" s="188"/>
      <c r="Q596" s="188"/>
      <c r="R596" s="188"/>
      <c r="S596" s="188"/>
      <c r="T596" s="188"/>
      <c r="U596" s="188"/>
      <c r="V596" s="188"/>
      <c r="W596" s="188"/>
    </row>
    <row r="597">
      <c r="A597" s="229"/>
      <c r="B597" s="188"/>
      <c r="C597" s="229"/>
      <c r="D597" s="229"/>
      <c r="E597" s="229"/>
      <c r="F597" s="188"/>
      <c r="G597" s="188"/>
      <c r="H597" s="188"/>
      <c r="I597" s="188"/>
      <c r="J597" s="188"/>
      <c r="K597" s="188"/>
      <c r="L597" s="188"/>
      <c r="M597" s="188"/>
      <c r="N597" s="188"/>
      <c r="O597" s="188"/>
      <c r="P597" s="188"/>
      <c r="Q597" s="188"/>
      <c r="R597" s="188"/>
      <c r="S597" s="188"/>
      <c r="T597" s="188"/>
      <c r="U597" s="188"/>
      <c r="V597" s="188"/>
      <c r="W597" s="188"/>
    </row>
    <row r="598">
      <c r="A598" s="229"/>
      <c r="B598" s="188"/>
      <c r="C598" s="229"/>
      <c r="D598" s="229"/>
      <c r="E598" s="229"/>
      <c r="F598" s="188"/>
      <c r="G598" s="188"/>
      <c r="H598" s="188"/>
      <c r="I598" s="188"/>
      <c r="J598" s="188"/>
      <c r="K598" s="188"/>
      <c r="L598" s="188"/>
      <c r="M598" s="188"/>
      <c r="N598" s="188"/>
      <c r="O598" s="188"/>
      <c r="P598" s="188"/>
      <c r="Q598" s="188"/>
      <c r="R598" s="188"/>
      <c r="S598" s="188"/>
      <c r="T598" s="188"/>
      <c r="U598" s="188"/>
      <c r="V598" s="188"/>
      <c r="W598" s="188"/>
    </row>
    <row r="599">
      <c r="A599" s="229"/>
      <c r="B599" s="188"/>
      <c r="C599" s="229"/>
      <c r="D599" s="229"/>
      <c r="E599" s="229"/>
      <c r="F599" s="188"/>
      <c r="G599" s="188"/>
      <c r="H599" s="188"/>
      <c r="I599" s="188"/>
      <c r="J599" s="188"/>
      <c r="K599" s="188"/>
      <c r="L599" s="188"/>
      <c r="M599" s="188"/>
      <c r="N599" s="188"/>
      <c r="O599" s="188"/>
      <c r="P599" s="188"/>
      <c r="Q599" s="188"/>
      <c r="R599" s="188"/>
      <c r="S599" s="188"/>
      <c r="T599" s="188"/>
      <c r="U599" s="188"/>
      <c r="V599" s="188"/>
      <c r="W599" s="188"/>
    </row>
    <row r="600">
      <c r="A600" s="229"/>
      <c r="B600" s="188"/>
      <c r="C600" s="229"/>
      <c r="D600" s="229"/>
      <c r="E600" s="229"/>
      <c r="F600" s="188"/>
      <c r="G600" s="188"/>
      <c r="H600" s="188"/>
      <c r="I600" s="188"/>
      <c r="J600" s="188"/>
      <c r="K600" s="188"/>
      <c r="L600" s="188"/>
      <c r="M600" s="188"/>
      <c r="N600" s="188"/>
      <c r="O600" s="188"/>
      <c r="P600" s="188"/>
      <c r="Q600" s="188"/>
      <c r="R600" s="188"/>
      <c r="S600" s="188"/>
      <c r="T600" s="188"/>
      <c r="U600" s="188"/>
      <c r="V600" s="188"/>
      <c r="W600" s="188"/>
    </row>
    <row r="601">
      <c r="A601" s="229"/>
      <c r="B601" s="188"/>
      <c r="C601" s="229"/>
      <c r="D601" s="229"/>
      <c r="E601" s="229"/>
      <c r="F601" s="188"/>
      <c r="G601" s="188"/>
      <c r="H601" s="188"/>
      <c r="I601" s="188"/>
      <c r="J601" s="188"/>
      <c r="K601" s="188"/>
      <c r="L601" s="188"/>
      <c r="M601" s="188"/>
      <c r="N601" s="188"/>
      <c r="O601" s="188"/>
      <c r="P601" s="188"/>
      <c r="Q601" s="188"/>
      <c r="R601" s="188"/>
      <c r="S601" s="188"/>
      <c r="T601" s="188"/>
      <c r="U601" s="188"/>
      <c r="V601" s="188"/>
      <c r="W601" s="188"/>
    </row>
    <row r="602">
      <c r="A602" s="229"/>
      <c r="B602" s="188"/>
      <c r="C602" s="229"/>
      <c r="D602" s="229"/>
      <c r="E602" s="229"/>
      <c r="F602" s="188"/>
      <c r="G602" s="188"/>
      <c r="H602" s="188"/>
      <c r="I602" s="188"/>
      <c r="J602" s="188"/>
      <c r="K602" s="188"/>
      <c r="L602" s="188"/>
      <c r="M602" s="188"/>
      <c r="N602" s="188"/>
      <c r="O602" s="188"/>
      <c r="P602" s="188"/>
      <c r="Q602" s="188"/>
      <c r="R602" s="188"/>
      <c r="S602" s="188"/>
      <c r="T602" s="188"/>
      <c r="U602" s="188"/>
      <c r="V602" s="188"/>
      <c r="W602" s="188"/>
    </row>
    <row r="603">
      <c r="A603" s="229"/>
      <c r="B603" s="188"/>
      <c r="C603" s="229"/>
      <c r="D603" s="229"/>
      <c r="E603" s="229"/>
      <c r="F603" s="188"/>
      <c r="G603" s="188"/>
      <c r="H603" s="188"/>
      <c r="I603" s="188"/>
      <c r="J603" s="188"/>
      <c r="K603" s="188"/>
      <c r="L603" s="188"/>
      <c r="M603" s="188"/>
      <c r="N603" s="188"/>
      <c r="O603" s="188"/>
      <c r="P603" s="188"/>
      <c r="Q603" s="188"/>
      <c r="R603" s="188"/>
      <c r="S603" s="188"/>
      <c r="T603" s="188"/>
      <c r="U603" s="188"/>
      <c r="V603" s="188"/>
      <c r="W603" s="188"/>
    </row>
    <row r="604">
      <c r="A604" s="229"/>
      <c r="B604" s="188"/>
      <c r="C604" s="229"/>
      <c r="D604" s="229"/>
      <c r="E604" s="229"/>
      <c r="F604" s="188"/>
      <c r="G604" s="188"/>
      <c r="H604" s="188"/>
      <c r="I604" s="188"/>
      <c r="J604" s="188"/>
      <c r="K604" s="188"/>
      <c r="L604" s="188"/>
      <c r="M604" s="188"/>
      <c r="N604" s="188"/>
      <c r="O604" s="188"/>
      <c r="P604" s="188"/>
      <c r="Q604" s="188"/>
      <c r="R604" s="188"/>
      <c r="S604" s="188"/>
      <c r="T604" s="188"/>
      <c r="U604" s="188"/>
      <c r="V604" s="188"/>
      <c r="W604" s="188"/>
    </row>
    <row r="605">
      <c r="A605" s="229"/>
      <c r="B605" s="188"/>
      <c r="C605" s="229"/>
      <c r="D605" s="229"/>
      <c r="E605" s="229"/>
      <c r="F605" s="188"/>
      <c r="G605" s="188"/>
      <c r="H605" s="188"/>
      <c r="I605" s="188"/>
      <c r="J605" s="188"/>
      <c r="K605" s="188"/>
      <c r="L605" s="188"/>
      <c r="M605" s="188"/>
      <c r="N605" s="188"/>
      <c r="O605" s="188"/>
      <c r="P605" s="188"/>
      <c r="Q605" s="188"/>
      <c r="R605" s="188"/>
      <c r="S605" s="188"/>
      <c r="T605" s="188"/>
      <c r="U605" s="188"/>
      <c r="V605" s="188"/>
      <c r="W605" s="188"/>
    </row>
    <row r="606">
      <c r="A606" s="229"/>
      <c r="B606" s="188"/>
      <c r="C606" s="229"/>
      <c r="D606" s="229"/>
      <c r="E606" s="229"/>
      <c r="F606" s="188"/>
      <c r="G606" s="188"/>
      <c r="H606" s="188"/>
      <c r="I606" s="188"/>
      <c r="J606" s="188"/>
      <c r="K606" s="188"/>
      <c r="L606" s="188"/>
      <c r="M606" s="188"/>
      <c r="N606" s="188"/>
      <c r="O606" s="188"/>
      <c r="P606" s="188"/>
      <c r="Q606" s="188"/>
      <c r="R606" s="188"/>
      <c r="S606" s="188"/>
      <c r="T606" s="188"/>
      <c r="U606" s="188"/>
      <c r="V606" s="188"/>
      <c r="W606" s="188"/>
    </row>
    <row r="607">
      <c r="A607" s="229"/>
      <c r="B607" s="188"/>
      <c r="C607" s="229"/>
      <c r="D607" s="229"/>
      <c r="E607" s="229"/>
      <c r="F607" s="188"/>
      <c r="G607" s="188"/>
      <c r="H607" s="188"/>
      <c r="I607" s="188"/>
      <c r="J607" s="188"/>
      <c r="K607" s="188"/>
      <c r="L607" s="188"/>
      <c r="M607" s="188"/>
      <c r="N607" s="188"/>
      <c r="O607" s="188"/>
      <c r="P607" s="188"/>
      <c r="Q607" s="188"/>
      <c r="R607" s="188"/>
      <c r="S607" s="188"/>
      <c r="T607" s="188"/>
      <c r="U607" s="188"/>
      <c r="V607" s="188"/>
      <c r="W607" s="188"/>
    </row>
    <row r="608">
      <c r="A608" s="229"/>
      <c r="B608" s="188"/>
      <c r="C608" s="229"/>
      <c r="D608" s="229"/>
      <c r="E608" s="229"/>
      <c r="F608" s="188"/>
      <c r="G608" s="188"/>
      <c r="H608" s="188"/>
      <c r="I608" s="188"/>
      <c r="J608" s="188"/>
      <c r="K608" s="188"/>
      <c r="L608" s="188"/>
      <c r="M608" s="188"/>
      <c r="N608" s="188"/>
      <c r="O608" s="188"/>
      <c r="P608" s="188"/>
      <c r="Q608" s="188"/>
      <c r="R608" s="188"/>
      <c r="S608" s="188"/>
      <c r="T608" s="188"/>
      <c r="U608" s="188"/>
      <c r="V608" s="188"/>
      <c r="W608" s="188"/>
    </row>
    <row r="609">
      <c r="A609" s="229"/>
      <c r="B609" s="188"/>
      <c r="C609" s="229"/>
      <c r="D609" s="229"/>
      <c r="E609" s="229"/>
      <c r="F609" s="188"/>
      <c r="G609" s="188"/>
      <c r="H609" s="188"/>
      <c r="I609" s="188"/>
      <c r="J609" s="188"/>
      <c r="K609" s="188"/>
      <c r="L609" s="188"/>
      <c r="M609" s="188"/>
      <c r="N609" s="188"/>
      <c r="O609" s="188"/>
      <c r="P609" s="188"/>
      <c r="Q609" s="188"/>
      <c r="R609" s="188"/>
      <c r="S609" s="188"/>
      <c r="T609" s="188"/>
      <c r="U609" s="188"/>
      <c r="V609" s="188"/>
      <c r="W609" s="188"/>
    </row>
    <row r="610">
      <c r="A610" s="229"/>
      <c r="B610" s="188"/>
      <c r="C610" s="229"/>
      <c r="D610" s="229"/>
      <c r="E610" s="229"/>
      <c r="F610" s="188"/>
      <c r="G610" s="188"/>
      <c r="H610" s="188"/>
      <c r="I610" s="188"/>
      <c r="J610" s="188"/>
      <c r="K610" s="188"/>
      <c r="L610" s="188"/>
      <c r="M610" s="188"/>
      <c r="N610" s="188"/>
      <c r="O610" s="188"/>
      <c r="P610" s="188"/>
      <c r="Q610" s="188"/>
      <c r="R610" s="188"/>
      <c r="S610" s="188"/>
      <c r="T610" s="188"/>
      <c r="U610" s="188"/>
      <c r="V610" s="188"/>
      <c r="W610" s="188"/>
    </row>
    <row r="611">
      <c r="A611" s="229"/>
      <c r="B611" s="188"/>
      <c r="C611" s="229"/>
      <c r="D611" s="229"/>
      <c r="E611" s="229"/>
      <c r="F611" s="188"/>
      <c r="G611" s="188"/>
      <c r="H611" s="188"/>
      <c r="I611" s="188"/>
      <c r="J611" s="188"/>
      <c r="K611" s="188"/>
      <c r="L611" s="188"/>
      <c r="M611" s="188"/>
      <c r="N611" s="188"/>
      <c r="O611" s="188"/>
      <c r="P611" s="188"/>
      <c r="Q611" s="188"/>
      <c r="R611" s="188"/>
      <c r="S611" s="188"/>
      <c r="T611" s="188"/>
      <c r="U611" s="188"/>
      <c r="V611" s="188"/>
      <c r="W611" s="188"/>
    </row>
    <row r="612">
      <c r="A612" s="229"/>
      <c r="B612" s="188"/>
      <c r="C612" s="229"/>
      <c r="D612" s="229"/>
      <c r="E612" s="229"/>
      <c r="F612" s="188"/>
      <c r="G612" s="188"/>
      <c r="H612" s="188"/>
      <c r="I612" s="188"/>
      <c r="J612" s="188"/>
      <c r="K612" s="188"/>
      <c r="L612" s="188"/>
      <c r="M612" s="188"/>
      <c r="N612" s="188"/>
      <c r="O612" s="188"/>
      <c r="P612" s="188"/>
      <c r="Q612" s="188"/>
      <c r="R612" s="188"/>
      <c r="S612" s="188"/>
      <c r="T612" s="188"/>
      <c r="U612" s="188"/>
      <c r="V612" s="188"/>
      <c r="W612" s="188"/>
    </row>
    <row r="613">
      <c r="A613" s="229"/>
      <c r="B613" s="188"/>
      <c r="C613" s="229"/>
      <c r="D613" s="229"/>
      <c r="E613" s="229"/>
      <c r="F613" s="188"/>
      <c r="G613" s="188"/>
      <c r="H613" s="188"/>
      <c r="I613" s="188"/>
      <c r="J613" s="188"/>
      <c r="K613" s="188"/>
      <c r="L613" s="188"/>
      <c r="M613" s="188"/>
      <c r="N613" s="188"/>
      <c r="O613" s="188"/>
      <c r="P613" s="188"/>
      <c r="Q613" s="188"/>
      <c r="R613" s="188"/>
      <c r="S613" s="188"/>
      <c r="T613" s="188"/>
      <c r="U613" s="188"/>
      <c r="V613" s="188"/>
      <c r="W613" s="188"/>
    </row>
    <row r="614">
      <c r="A614" s="229"/>
      <c r="B614" s="188"/>
      <c r="C614" s="229"/>
      <c r="D614" s="229"/>
      <c r="E614" s="229"/>
      <c r="F614" s="188"/>
      <c r="G614" s="188"/>
      <c r="H614" s="188"/>
      <c r="I614" s="188"/>
      <c r="J614" s="188"/>
      <c r="K614" s="188"/>
      <c r="L614" s="188"/>
      <c r="M614" s="188"/>
      <c r="N614" s="188"/>
      <c r="O614" s="188"/>
      <c r="P614" s="188"/>
      <c r="Q614" s="188"/>
      <c r="R614" s="188"/>
      <c r="S614" s="188"/>
      <c r="T614" s="188"/>
      <c r="U614" s="188"/>
      <c r="V614" s="188"/>
      <c r="W614" s="188"/>
    </row>
    <row r="615">
      <c r="A615" s="229"/>
      <c r="B615" s="188"/>
      <c r="C615" s="229"/>
      <c r="D615" s="229"/>
      <c r="E615" s="229"/>
      <c r="F615" s="188"/>
      <c r="G615" s="188"/>
      <c r="H615" s="188"/>
      <c r="I615" s="188"/>
      <c r="J615" s="188"/>
      <c r="K615" s="188"/>
      <c r="L615" s="188"/>
      <c r="M615" s="188"/>
      <c r="N615" s="188"/>
      <c r="O615" s="188"/>
      <c r="P615" s="188"/>
      <c r="Q615" s="188"/>
      <c r="R615" s="188"/>
      <c r="S615" s="188"/>
      <c r="T615" s="188"/>
      <c r="U615" s="188"/>
      <c r="V615" s="188"/>
      <c r="W615" s="188"/>
    </row>
    <row r="616">
      <c r="A616" s="229"/>
      <c r="B616" s="188"/>
      <c r="C616" s="229"/>
      <c r="D616" s="229"/>
      <c r="E616" s="229"/>
      <c r="F616" s="188"/>
      <c r="G616" s="188"/>
      <c r="H616" s="188"/>
      <c r="I616" s="188"/>
      <c r="J616" s="188"/>
      <c r="K616" s="188"/>
      <c r="L616" s="188"/>
      <c r="M616" s="188"/>
      <c r="N616" s="188"/>
      <c r="O616" s="188"/>
      <c r="P616" s="188"/>
      <c r="Q616" s="188"/>
      <c r="R616" s="188"/>
      <c r="S616" s="188"/>
      <c r="T616" s="188"/>
      <c r="U616" s="188"/>
      <c r="V616" s="188"/>
      <c r="W616" s="188"/>
    </row>
    <row r="617">
      <c r="A617" s="229"/>
      <c r="B617" s="188"/>
      <c r="C617" s="229"/>
      <c r="D617" s="229"/>
      <c r="E617" s="229"/>
      <c r="F617" s="188"/>
      <c r="G617" s="188"/>
      <c r="H617" s="188"/>
      <c r="I617" s="188"/>
      <c r="J617" s="188"/>
      <c r="K617" s="188"/>
      <c r="L617" s="188"/>
      <c r="M617" s="188"/>
      <c r="N617" s="188"/>
      <c r="O617" s="188"/>
      <c r="P617" s="188"/>
      <c r="Q617" s="188"/>
      <c r="R617" s="188"/>
      <c r="S617" s="188"/>
      <c r="T617" s="188"/>
      <c r="U617" s="188"/>
      <c r="V617" s="188"/>
      <c r="W617" s="188"/>
    </row>
    <row r="618">
      <c r="A618" s="229"/>
      <c r="B618" s="188"/>
      <c r="C618" s="229"/>
      <c r="D618" s="229"/>
      <c r="E618" s="229"/>
      <c r="F618" s="188"/>
      <c r="G618" s="188"/>
      <c r="H618" s="188"/>
      <c r="I618" s="188"/>
      <c r="J618" s="188"/>
      <c r="K618" s="188"/>
      <c r="L618" s="188"/>
      <c r="M618" s="188"/>
      <c r="N618" s="188"/>
      <c r="O618" s="188"/>
      <c r="P618" s="188"/>
      <c r="Q618" s="188"/>
      <c r="R618" s="188"/>
      <c r="S618" s="188"/>
      <c r="T618" s="188"/>
      <c r="U618" s="188"/>
      <c r="V618" s="188"/>
      <c r="W618" s="188"/>
    </row>
    <row r="619">
      <c r="A619" s="229"/>
      <c r="B619" s="188"/>
      <c r="C619" s="229"/>
      <c r="D619" s="229"/>
      <c r="E619" s="229"/>
      <c r="F619" s="188"/>
      <c r="G619" s="188"/>
      <c r="H619" s="188"/>
      <c r="I619" s="188"/>
      <c r="J619" s="188"/>
      <c r="K619" s="188"/>
      <c r="L619" s="188"/>
      <c r="M619" s="188"/>
      <c r="N619" s="188"/>
      <c r="O619" s="188"/>
      <c r="P619" s="188"/>
      <c r="Q619" s="188"/>
      <c r="R619" s="188"/>
      <c r="S619" s="188"/>
      <c r="T619" s="188"/>
      <c r="U619" s="188"/>
      <c r="V619" s="188"/>
      <c r="W619" s="188"/>
    </row>
    <row r="620">
      <c r="A620" s="229"/>
      <c r="B620" s="188"/>
      <c r="C620" s="229"/>
      <c r="D620" s="229"/>
      <c r="E620" s="229"/>
      <c r="F620" s="188"/>
      <c r="G620" s="188"/>
      <c r="H620" s="188"/>
      <c r="I620" s="188"/>
      <c r="J620" s="188"/>
      <c r="K620" s="188"/>
      <c r="L620" s="188"/>
      <c r="M620" s="188"/>
      <c r="N620" s="188"/>
      <c r="O620" s="188"/>
      <c r="P620" s="188"/>
      <c r="Q620" s="188"/>
      <c r="R620" s="188"/>
      <c r="S620" s="188"/>
      <c r="T620" s="188"/>
      <c r="U620" s="188"/>
      <c r="V620" s="188"/>
      <c r="W620" s="188"/>
    </row>
    <row r="621">
      <c r="A621" s="229"/>
      <c r="B621" s="188"/>
      <c r="C621" s="229"/>
      <c r="D621" s="229"/>
      <c r="E621" s="229"/>
      <c r="F621" s="188"/>
      <c r="G621" s="188"/>
      <c r="H621" s="188"/>
      <c r="I621" s="188"/>
      <c r="J621" s="188"/>
      <c r="K621" s="188"/>
      <c r="L621" s="188"/>
      <c r="M621" s="188"/>
      <c r="N621" s="188"/>
      <c r="O621" s="188"/>
      <c r="P621" s="188"/>
      <c r="Q621" s="188"/>
      <c r="R621" s="188"/>
      <c r="S621" s="188"/>
      <c r="T621" s="188"/>
      <c r="U621" s="188"/>
      <c r="V621" s="188"/>
      <c r="W621" s="188"/>
    </row>
    <row r="622">
      <c r="A622" s="229"/>
      <c r="B622" s="188"/>
      <c r="C622" s="229"/>
      <c r="D622" s="229"/>
      <c r="E622" s="229"/>
      <c r="F622" s="188"/>
      <c r="G622" s="188"/>
      <c r="H622" s="188"/>
      <c r="I622" s="188"/>
      <c r="J622" s="188"/>
      <c r="K622" s="188"/>
      <c r="L622" s="188"/>
      <c r="M622" s="188"/>
      <c r="N622" s="188"/>
      <c r="O622" s="188"/>
      <c r="P622" s="188"/>
      <c r="Q622" s="188"/>
      <c r="R622" s="188"/>
      <c r="S622" s="188"/>
      <c r="T622" s="188"/>
      <c r="U622" s="188"/>
      <c r="V622" s="188"/>
      <c r="W622" s="188"/>
    </row>
    <row r="623">
      <c r="A623" s="229"/>
      <c r="B623" s="188"/>
      <c r="C623" s="229"/>
      <c r="D623" s="229"/>
      <c r="E623" s="229"/>
      <c r="F623" s="188"/>
      <c r="G623" s="188"/>
      <c r="H623" s="188"/>
      <c r="I623" s="188"/>
      <c r="J623" s="188"/>
      <c r="K623" s="188"/>
      <c r="L623" s="188"/>
      <c r="M623" s="188"/>
      <c r="N623" s="188"/>
      <c r="O623" s="188"/>
      <c r="P623" s="188"/>
      <c r="Q623" s="188"/>
      <c r="R623" s="188"/>
      <c r="S623" s="188"/>
      <c r="T623" s="188"/>
      <c r="U623" s="188"/>
      <c r="V623" s="188"/>
      <c r="W623" s="188"/>
    </row>
    <row r="624">
      <c r="A624" s="229"/>
      <c r="B624" s="188"/>
      <c r="C624" s="229"/>
      <c r="D624" s="229"/>
      <c r="E624" s="229"/>
      <c r="F624" s="188"/>
      <c r="G624" s="188"/>
      <c r="H624" s="188"/>
      <c r="I624" s="188"/>
      <c r="J624" s="188"/>
      <c r="K624" s="188"/>
      <c r="L624" s="188"/>
      <c r="M624" s="188"/>
      <c r="N624" s="188"/>
      <c r="O624" s="188"/>
      <c r="P624" s="188"/>
      <c r="Q624" s="188"/>
      <c r="R624" s="188"/>
      <c r="S624" s="188"/>
      <c r="T624" s="188"/>
      <c r="U624" s="188"/>
      <c r="V624" s="188"/>
      <c r="W624" s="188"/>
    </row>
    <row r="625">
      <c r="A625" s="229"/>
      <c r="B625" s="188"/>
      <c r="C625" s="229"/>
      <c r="D625" s="229"/>
      <c r="E625" s="229"/>
      <c r="F625" s="188"/>
      <c r="G625" s="188"/>
      <c r="H625" s="188"/>
      <c r="I625" s="188"/>
      <c r="J625" s="188"/>
      <c r="K625" s="188"/>
      <c r="L625" s="188"/>
      <c r="M625" s="188"/>
      <c r="N625" s="188"/>
      <c r="O625" s="188"/>
      <c r="P625" s="188"/>
      <c r="Q625" s="188"/>
      <c r="R625" s="188"/>
      <c r="S625" s="188"/>
      <c r="T625" s="188"/>
      <c r="U625" s="188"/>
      <c r="V625" s="188"/>
      <c r="W625" s="188"/>
    </row>
    <row r="626">
      <c r="A626" s="229"/>
      <c r="B626" s="188"/>
      <c r="C626" s="229"/>
      <c r="D626" s="229"/>
      <c r="E626" s="229"/>
      <c r="F626" s="188"/>
      <c r="G626" s="188"/>
      <c r="H626" s="188"/>
      <c r="I626" s="188"/>
      <c r="J626" s="188"/>
      <c r="K626" s="188"/>
      <c r="L626" s="188"/>
      <c r="M626" s="188"/>
      <c r="N626" s="188"/>
      <c r="O626" s="188"/>
      <c r="P626" s="188"/>
      <c r="Q626" s="188"/>
      <c r="R626" s="188"/>
      <c r="S626" s="188"/>
      <c r="T626" s="188"/>
      <c r="U626" s="188"/>
      <c r="V626" s="188"/>
      <c r="W626" s="188"/>
    </row>
    <row r="627">
      <c r="A627" s="229"/>
      <c r="B627" s="188"/>
      <c r="C627" s="229"/>
      <c r="D627" s="229"/>
      <c r="E627" s="229"/>
      <c r="F627" s="188"/>
      <c r="G627" s="188"/>
      <c r="H627" s="188"/>
      <c r="I627" s="188"/>
      <c r="J627" s="188"/>
      <c r="K627" s="188"/>
      <c r="L627" s="188"/>
      <c r="M627" s="188"/>
      <c r="N627" s="188"/>
      <c r="O627" s="188"/>
      <c r="P627" s="188"/>
      <c r="Q627" s="188"/>
      <c r="R627" s="188"/>
      <c r="S627" s="188"/>
      <c r="T627" s="188"/>
      <c r="U627" s="188"/>
      <c r="V627" s="188"/>
      <c r="W627" s="188"/>
    </row>
    <row r="628">
      <c r="A628" s="229"/>
      <c r="B628" s="188"/>
      <c r="C628" s="229"/>
      <c r="D628" s="229"/>
      <c r="E628" s="229"/>
      <c r="F628" s="188"/>
      <c r="G628" s="188"/>
      <c r="H628" s="188"/>
      <c r="I628" s="188"/>
      <c r="J628" s="188"/>
      <c r="K628" s="188"/>
      <c r="L628" s="188"/>
      <c r="M628" s="188"/>
      <c r="N628" s="188"/>
      <c r="O628" s="188"/>
      <c r="P628" s="188"/>
      <c r="Q628" s="188"/>
      <c r="R628" s="188"/>
      <c r="S628" s="188"/>
      <c r="T628" s="188"/>
      <c r="U628" s="188"/>
      <c r="V628" s="188"/>
      <c r="W628" s="188"/>
    </row>
    <row r="629">
      <c r="A629" s="229"/>
      <c r="B629" s="188"/>
      <c r="C629" s="229"/>
      <c r="D629" s="229"/>
      <c r="E629" s="229"/>
      <c r="F629" s="188"/>
      <c r="G629" s="188"/>
      <c r="H629" s="188"/>
      <c r="I629" s="188"/>
      <c r="J629" s="188"/>
      <c r="K629" s="188"/>
      <c r="L629" s="188"/>
      <c r="M629" s="188"/>
      <c r="N629" s="188"/>
      <c r="O629" s="188"/>
      <c r="P629" s="188"/>
      <c r="Q629" s="188"/>
      <c r="R629" s="188"/>
      <c r="S629" s="188"/>
      <c r="T629" s="188"/>
      <c r="U629" s="188"/>
      <c r="V629" s="188"/>
      <c r="W629" s="188"/>
    </row>
    <row r="630">
      <c r="A630" s="229"/>
      <c r="B630" s="188"/>
      <c r="C630" s="229"/>
      <c r="D630" s="229"/>
      <c r="E630" s="229"/>
      <c r="F630" s="188"/>
      <c r="G630" s="188"/>
      <c r="H630" s="188"/>
      <c r="I630" s="188"/>
      <c r="J630" s="188"/>
      <c r="K630" s="188"/>
      <c r="L630" s="188"/>
      <c r="M630" s="188"/>
      <c r="N630" s="188"/>
      <c r="O630" s="188"/>
      <c r="P630" s="188"/>
      <c r="Q630" s="188"/>
      <c r="R630" s="188"/>
      <c r="S630" s="188"/>
      <c r="T630" s="188"/>
      <c r="U630" s="188"/>
      <c r="V630" s="188"/>
      <c r="W630" s="188"/>
    </row>
    <row r="631">
      <c r="A631" s="229"/>
      <c r="B631" s="188"/>
      <c r="C631" s="229"/>
      <c r="D631" s="229"/>
      <c r="E631" s="229"/>
      <c r="F631" s="188"/>
      <c r="G631" s="188"/>
      <c r="H631" s="188"/>
      <c r="I631" s="188"/>
      <c r="J631" s="188"/>
      <c r="K631" s="188"/>
      <c r="L631" s="188"/>
      <c r="M631" s="188"/>
      <c r="N631" s="188"/>
      <c r="O631" s="188"/>
      <c r="P631" s="188"/>
      <c r="Q631" s="188"/>
      <c r="R631" s="188"/>
      <c r="S631" s="188"/>
      <c r="T631" s="188"/>
      <c r="U631" s="188"/>
      <c r="V631" s="188"/>
      <c r="W631" s="188"/>
    </row>
    <row r="632">
      <c r="A632" s="229"/>
      <c r="B632" s="188"/>
      <c r="C632" s="229"/>
      <c r="D632" s="229"/>
      <c r="E632" s="229"/>
      <c r="F632" s="188"/>
      <c r="G632" s="188"/>
      <c r="H632" s="188"/>
      <c r="I632" s="188"/>
      <c r="J632" s="188"/>
      <c r="K632" s="188"/>
      <c r="L632" s="188"/>
      <c r="M632" s="188"/>
      <c r="N632" s="188"/>
      <c r="O632" s="188"/>
      <c r="P632" s="188"/>
      <c r="Q632" s="188"/>
      <c r="R632" s="188"/>
      <c r="S632" s="188"/>
      <c r="T632" s="188"/>
      <c r="U632" s="188"/>
      <c r="V632" s="188"/>
      <c r="W632" s="188"/>
    </row>
    <row r="633">
      <c r="A633" s="229"/>
      <c r="B633" s="188"/>
      <c r="C633" s="229"/>
      <c r="D633" s="229"/>
      <c r="E633" s="229"/>
      <c r="F633" s="188"/>
      <c r="G633" s="188"/>
      <c r="H633" s="188"/>
      <c r="I633" s="188"/>
      <c r="J633" s="188"/>
      <c r="K633" s="188"/>
      <c r="L633" s="188"/>
      <c r="M633" s="188"/>
      <c r="N633" s="188"/>
      <c r="O633" s="188"/>
      <c r="P633" s="188"/>
      <c r="Q633" s="188"/>
      <c r="R633" s="188"/>
      <c r="S633" s="188"/>
      <c r="T633" s="188"/>
      <c r="U633" s="188"/>
      <c r="V633" s="188"/>
      <c r="W633" s="188"/>
    </row>
    <row r="634">
      <c r="A634" s="229"/>
      <c r="B634" s="188"/>
      <c r="C634" s="229"/>
      <c r="D634" s="229"/>
      <c r="E634" s="229"/>
      <c r="F634" s="188"/>
      <c r="G634" s="188"/>
      <c r="H634" s="188"/>
      <c r="I634" s="188"/>
      <c r="J634" s="188"/>
      <c r="K634" s="188"/>
      <c r="L634" s="188"/>
      <c r="M634" s="188"/>
      <c r="N634" s="188"/>
      <c r="O634" s="188"/>
      <c r="P634" s="188"/>
      <c r="Q634" s="188"/>
      <c r="R634" s="188"/>
      <c r="S634" s="188"/>
      <c r="T634" s="188"/>
      <c r="U634" s="188"/>
      <c r="V634" s="188"/>
      <c r="W634" s="188"/>
    </row>
    <row r="635">
      <c r="A635" s="229"/>
      <c r="B635" s="188"/>
      <c r="C635" s="229"/>
      <c r="D635" s="229"/>
      <c r="E635" s="229"/>
      <c r="F635" s="188"/>
      <c r="G635" s="188"/>
      <c r="H635" s="188"/>
      <c r="I635" s="188"/>
      <c r="J635" s="188"/>
      <c r="K635" s="188"/>
      <c r="L635" s="188"/>
      <c r="M635" s="188"/>
      <c r="N635" s="188"/>
      <c r="O635" s="188"/>
      <c r="P635" s="188"/>
      <c r="Q635" s="188"/>
      <c r="R635" s="188"/>
      <c r="S635" s="188"/>
      <c r="T635" s="188"/>
      <c r="U635" s="188"/>
      <c r="V635" s="188"/>
      <c r="W635" s="188"/>
    </row>
    <row r="636">
      <c r="A636" s="229"/>
      <c r="B636" s="188"/>
      <c r="C636" s="229"/>
      <c r="D636" s="229"/>
      <c r="E636" s="229"/>
      <c r="F636" s="188"/>
      <c r="G636" s="188"/>
      <c r="H636" s="188"/>
      <c r="I636" s="188"/>
      <c r="J636" s="188"/>
      <c r="K636" s="188"/>
      <c r="L636" s="188"/>
      <c r="M636" s="188"/>
      <c r="N636" s="188"/>
      <c r="O636" s="188"/>
      <c r="P636" s="188"/>
      <c r="Q636" s="188"/>
      <c r="R636" s="188"/>
      <c r="S636" s="188"/>
      <c r="T636" s="188"/>
      <c r="U636" s="188"/>
      <c r="V636" s="188"/>
      <c r="W636" s="188"/>
    </row>
    <row r="637">
      <c r="A637" s="229"/>
      <c r="B637" s="188"/>
      <c r="C637" s="229"/>
      <c r="D637" s="229"/>
      <c r="E637" s="229"/>
      <c r="F637" s="188"/>
      <c r="G637" s="188"/>
      <c r="H637" s="188"/>
      <c r="I637" s="188"/>
      <c r="J637" s="188"/>
      <c r="K637" s="188"/>
      <c r="L637" s="188"/>
      <c r="M637" s="188"/>
      <c r="N637" s="188"/>
      <c r="O637" s="188"/>
      <c r="P637" s="188"/>
      <c r="Q637" s="188"/>
      <c r="R637" s="188"/>
      <c r="S637" s="188"/>
      <c r="T637" s="188"/>
      <c r="U637" s="188"/>
      <c r="V637" s="188"/>
      <c r="W637" s="188"/>
    </row>
    <row r="638">
      <c r="A638" s="229"/>
      <c r="B638" s="188"/>
      <c r="C638" s="229"/>
      <c r="D638" s="229"/>
      <c r="E638" s="229"/>
      <c r="F638" s="188"/>
      <c r="G638" s="188"/>
      <c r="H638" s="188"/>
      <c r="I638" s="188"/>
      <c r="J638" s="188"/>
      <c r="K638" s="188"/>
      <c r="L638" s="188"/>
      <c r="M638" s="188"/>
      <c r="N638" s="188"/>
      <c r="O638" s="188"/>
      <c r="P638" s="188"/>
      <c r="Q638" s="188"/>
      <c r="R638" s="188"/>
      <c r="S638" s="188"/>
      <c r="T638" s="188"/>
      <c r="U638" s="188"/>
      <c r="V638" s="188"/>
      <c r="W638" s="188"/>
    </row>
    <row r="639">
      <c r="A639" s="229"/>
      <c r="B639" s="188"/>
      <c r="C639" s="229"/>
      <c r="D639" s="229"/>
      <c r="E639" s="229"/>
      <c r="F639" s="188"/>
      <c r="G639" s="188"/>
      <c r="H639" s="188"/>
      <c r="I639" s="188"/>
      <c r="J639" s="188"/>
      <c r="K639" s="188"/>
      <c r="L639" s="188"/>
      <c r="M639" s="188"/>
      <c r="N639" s="188"/>
      <c r="O639" s="188"/>
      <c r="P639" s="188"/>
      <c r="Q639" s="188"/>
      <c r="R639" s="188"/>
      <c r="S639" s="188"/>
      <c r="T639" s="188"/>
      <c r="U639" s="188"/>
      <c r="V639" s="188"/>
      <c r="W639" s="188"/>
    </row>
    <row r="640">
      <c r="A640" s="229"/>
      <c r="B640" s="188"/>
      <c r="C640" s="229"/>
      <c r="D640" s="229"/>
      <c r="E640" s="229"/>
      <c r="F640" s="188"/>
      <c r="G640" s="188"/>
      <c r="H640" s="188"/>
      <c r="I640" s="188"/>
      <c r="J640" s="188"/>
      <c r="K640" s="188"/>
      <c r="L640" s="188"/>
      <c r="M640" s="188"/>
      <c r="N640" s="188"/>
      <c r="O640" s="188"/>
      <c r="P640" s="188"/>
      <c r="Q640" s="188"/>
      <c r="R640" s="188"/>
      <c r="S640" s="188"/>
      <c r="T640" s="188"/>
      <c r="U640" s="188"/>
      <c r="V640" s="188"/>
      <c r="W640" s="188"/>
    </row>
    <row r="641">
      <c r="A641" s="229"/>
      <c r="B641" s="188"/>
      <c r="C641" s="229"/>
      <c r="D641" s="229"/>
      <c r="E641" s="229"/>
      <c r="F641" s="188"/>
      <c r="G641" s="188"/>
      <c r="H641" s="188"/>
      <c r="I641" s="188"/>
      <c r="J641" s="188"/>
      <c r="K641" s="188"/>
      <c r="L641" s="188"/>
      <c r="M641" s="188"/>
      <c r="N641" s="188"/>
      <c r="O641" s="188"/>
      <c r="P641" s="188"/>
      <c r="Q641" s="188"/>
      <c r="R641" s="188"/>
      <c r="S641" s="188"/>
      <c r="T641" s="188"/>
      <c r="U641" s="188"/>
      <c r="V641" s="188"/>
      <c r="W641" s="188"/>
    </row>
    <row r="642">
      <c r="A642" s="229"/>
      <c r="B642" s="188"/>
      <c r="C642" s="229"/>
      <c r="D642" s="229"/>
      <c r="E642" s="229"/>
      <c r="F642" s="188"/>
      <c r="G642" s="188"/>
      <c r="H642" s="188"/>
      <c r="I642" s="188"/>
      <c r="J642" s="188"/>
      <c r="K642" s="188"/>
      <c r="L642" s="188"/>
      <c r="M642" s="188"/>
      <c r="N642" s="188"/>
      <c r="O642" s="188"/>
      <c r="P642" s="188"/>
      <c r="Q642" s="188"/>
      <c r="R642" s="188"/>
      <c r="S642" s="188"/>
      <c r="T642" s="188"/>
      <c r="U642" s="188"/>
      <c r="V642" s="188"/>
      <c r="W642" s="188"/>
    </row>
    <row r="643">
      <c r="A643" s="229"/>
      <c r="B643" s="188"/>
      <c r="C643" s="229"/>
      <c r="D643" s="229"/>
      <c r="E643" s="229"/>
      <c r="F643" s="188"/>
      <c r="G643" s="188"/>
      <c r="H643" s="188"/>
      <c r="I643" s="188"/>
      <c r="J643" s="188"/>
      <c r="K643" s="188"/>
      <c r="L643" s="188"/>
      <c r="M643" s="188"/>
      <c r="N643" s="188"/>
      <c r="O643" s="188"/>
      <c r="P643" s="188"/>
      <c r="Q643" s="188"/>
      <c r="R643" s="188"/>
      <c r="S643" s="188"/>
      <c r="T643" s="188"/>
      <c r="U643" s="188"/>
      <c r="V643" s="188"/>
      <c r="W643" s="188"/>
    </row>
    <row r="644">
      <c r="A644" s="229"/>
      <c r="B644" s="188"/>
      <c r="C644" s="229"/>
      <c r="D644" s="229"/>
      <c r="E644" s="229"/>
      <c r="F644" s="188"/>
      <c r="G644" s="188"/>
      <c r="H644" s="188"/>
      <c r="I644" s="188"/>
      <c r="J644" s="188"/>
      <c r="K644" s="188"/>
      <c r="L644" s="188"/>
      <c r="M644" s="188"/>
      <c r="N644" s="188"/>
      <c r="O644" s="188"/>
      <c r="P644" s="188"/>
      <c r="Q644" s="188"/>
      <c r="R644" s="188"/>
      <c r="S644" s="188"/>
      <c r="T644" s="188"/>
      <c r="U644" s="188"/>
      <c r="V644" s="188"/>
      <c r="W644" s="188"/>
    </row>
    <row r="645">
      <c r="A645" s="229"/>
      <c r="B645" s="188"/>
      <c r="C645" s="229"/>
      <c r="D645" s="229"/>
      <c r="E645" s="229"/>
      <c r="F645" s="188"/>
      <c r="G645" s="188"/>
      <c r="H645" s="188"/>
      <c r="I645" s="188"/>
      <c r="J645" s="188"/>
      <c r="K645" s="188"/>
      <c r="L645" s="188"/>
      <c r="M645" s="188"/>
      <c r="N645" s="188"/>
      <c r="O645" s="188"/>
      <c r="P645" s="188"/>
      <c r="Q645" s="188"/>
      <c r="R645" s="188"/>
      <c r="S645" s="188"/>
      <c r="T645" s="188"/>
      <c r="U645" s="188"/>
      <c r="V645" s="188"/>
      <c r="W645" s="188"/>
    </row>
    <row r="646">
      <c r="A646" s="229"/>
      <c r="B646" s="188"/>
      <c r="C646" s="229"/>
      <c r="D646" s="229"/>
      <c r="E646" s="229"/>
      <c r="F646" s="188"/>
      <c r="G646" s="188"/>
      <c r="H646" s="188"/>
      <c r="I646" s="188"/>
      <c r="J646" s="188"/>
      <c r="K646" s="188"/>
      <c r="L646" s="188"/>
      <c r="M646" s="188"/>
      <c r="N646" s="188"/>
      <c r="O646" s="188"/>
      <c r="P646" s="188"/>
      <c r="Q646" s="188"/>
      <c r="R646" s="188"/>
      <c r="S646" s="188"/>
      <c r="T646" s="188"/>
      <c r="U646" s="188"/>
      <c r="V646" s="188"/>
      <c r="W646" s="188"/>
    </row>
    <row r="647">
      <c r="A647" s="229"/>
      <c r="B647" s="188"/>
      <c r="C647" s="229"/>
      <c r="D647" s="229"/>
      <c r="E647" s="229"/>
      <c r="F647" s="188"/>
      <c r="G647" s="188"/>
      <c r="H647" s="188"/>
      <c r="I647" s="188"/>
      <c r="J647" s="188"/>
      <c r="K647" s="188"/>
      <c r="L647" s="188"/>
      <c r="M647" s="188"/>
      <c r="N647" s="188"/>
      <c r="O647" s="188"/>
      <c r="P647" s="188"/>
      <c r="Q647" s="188"/>
      <c r="R647" s="188"/>
      <c r="S647" s="188"/>
      <c r="T647" s="188"/>
      <c r="U647" s="188"/>
      <c r="V647" s="188"/>
      <c r="W647" s="188"/>
    </row>
    <row r="648">
      <c r="A648" s="229"/>
      <c r="B648" s="188"/>
      <c r="C648" s="229"/>
      <c r="D648" s="229"/>
      <c r="E648" s="229"/>
      <c r="F648" s="188"/>
      <c r="G648" s="188"/>
      <c r="H648" s="188"/>
      <c r="I648" s="188"/>
      <c r="J648" s="188"/>
      <c r="K648" s="188"/>
      <c r="L648" s="188"/>
      <c r="M648" s="188"/>
      <c r="N648" s="188"/>
      <c r="O648" s="188"/>
      <c r="P648" s="188"/>
      <c r="Q648" s="188"/>
      <c r="R648" s="188"/>
      <c r="S648" s="188"/>
      <c r="T648" s="188"/>
      <c r="U648" s="188"/>
      <c r="V648" s="188"/>
      <c r="W648" s="188"/>
    </row>
    <row r="649">
      <c r="A649" s="229"/>
      <c r="B649" s="188"/>
      <c r="C649" s="229"/>
      <c r="D649" s="229"/>
      <c r="E649" s="229"/>
      <c r="F649" s="188"/>
      <c r="G649" s="188"/>
      <c r="H649" s="188"/>
      <c r="I649" s="188"/>
      <c r="J649" s="188"/>
      <c r="K649" s="188"/>
      <c r="L649" s="188"/>
      <c r="M649" s="188"/>
      <c r="N649" s="188"/>
      <c r="O649" s="188"/>
      <c r="P649" s="188"/>
      <c r="Q649" s="188"/>
      <c r="R649" s="188"/>
      <c r="S649" s="188"/>
      <c r="T649" s="188"/>
      <c r="U649" s="188"/>
      <c r="V649" s="188"/>
      <c r="W649" s="188"/>
    </row>
    <row r="650">
      <c r="A650" s="229"/>
      <c r="B650" s="188"/>
      <c r="C650" s="229"/>
      <c r="D650" s="229"/>
      <c r="E650" s="229"/>
      <c r="F650" s="188"/>
      <c r="G650" s="188"/>
      <c r="H650" s="188"/>
      <c r="I650" s="188"/>
      <c r="J650" s="188"/>
      <c r="K650" s="188"/>
      <c r="L650" s="188"/>
      <c r="M650" s="188"/>
      <c r="N650" s="188"/>
      <c r="O650" s="188"/>
      <c r="P650" s="188"/>
      <c r="Q650" s="188"/>
      <c r="R650" s="188"/>
      <c r="S650" s="188"/>
      <c r="T650" s="188"/>
      <c r="U650" s="188"/>
      <c r="V650" s="188"/>
      <c r="W650" s="188"/>
    </row>
    <row r="651">
      <c r="A651" s="229"/>
      <c r="B651" s="188"/>
      <c r="C651" s="229"/>
      <c r="D651" s="229"/>
      <c r="E651" s="229"/>
      <c r="F651" s="188"/>
      <c r="G651" s="188"/>
      <c r="H651" s="188"/>
      <c r="I651" s="188"/>
      <c r="J651" s="188"/>
      <c r="K651" s="188"/>
      <c r="L651" s="188"/>
      <c r="M651" s="188"/>
      <c r="N651" s="188"/>
      <c r="O651" s="188"/>
      <c r="P651" s="188"/>
      <c r="Q651" s="188"/>
      <c r="R651" s="188"/>
      <c r="S651" s="188"/>
      <c r="T651" s="188"/>
      <c r="U651" s="188"/>
      <c r="V651" s="188"/>
      <c r="W651" s="188"/>
    </row>
    <row r="652">
      <c r="A652" s="229"/>
      <c r="B652" s="188"/>
      <c r="C652" s="229"/>
      <c r="D652" s="229"/>
      <c r="E652" s="229"/>
      <c r="F652" s="188"/>
      <c r="G652" s="188"/>
      <c r="H652" s="188"/>
      <c r="I652" s="188"/>
      <c r="J652" s="188"/>
      <c r="K652" s="188"/>
      <c r="L652" s="188"/>
      <c r="M652" s="188"/>
      <c r="N652" s="188"/>
      <c r="O652" s="188"/>
      <c r="P652" s="188"/>
      <c r="Q652" s="188"/>
      <c r="R652" s="188"/>
      <c r="S652" s="188"/>
      <c r="T652" s="188"/>
      <c r="U652" s="188"/>
      <c r="V652" s="188"/>
      <c r="W652" s="188"/>
    </row>
    <row r="653">
      <c r="A653" s="229"/>
      <c r="B653" s="188"/>
      <c r="C653" s="229"/>
      <c r="D653" s="229"/>
      <c r="E653" s="229"/>
      <c r="F653" s="188"/>
      <c r="G653" s="188"/>
      <c r="H653" s="188"/>
      <c r="I653" s="188"/>
      <c r="J653" s="188"/>
      <c r="K653" s="188"/>
      <c r="L653" s="188"/>
      <c r="M653" s="188"/>
      <c r="N653" s="188"/>
      <c r="O653" s="188"/>
      <c r="P653" s="188"/>
      <c r="Q653" s="188"/>
      <c r="R653" s="188"/>
      <c r="S653" s="188"/>
      <c r="T653" s="188"/>
      <c r="U653" s="188"/>
      <c r="V653" s="188"/>
      <c r="W653" s="188"/>
    </row>
    <row r="654">
      <c r="A654" s="229"/>
      <c r="B654" s="188"/>
      <c r="C654" s="229"/>
      <c r="D654" s="229"/>
      <c r="E654" s="229"/>
      <c r="F654" s="188"/>
      <c r="G654" s="188"/>
      <c r="H654" s="188"/>
      <c r="I654" s="188"/>
      <c r="J654" s="188"/>
      <c r="K654" s="188"/>
      <c r="L654" s="188"/>
      <c r="M654" s="188"/>
      <c r="N654" s="188"/>
      <c r="O654" s="188"/>
      <c r="P654" s="188"/>
      <c r="Q654" s="188"/>
      <c r="R654" s="188"/>
      <c r="S654" s="188"/>
      <c r="T654" s="188"/>
      <c r="U654" s="188"/>
      <c r="V654" s="188"/>
      <c r="W654" s="188"/>
    </row>
    <row r="655">
      <c r="A655" s="229"/>
      <c r="B655" s="188"/>
      <c r="C655" s="229"/>
      <c r="D655" s="229"/>
      <c r="E655" s="229"/>
      <c r="F655" s="188"/>
      <c r="G655" s="188"/>
      <c r="H655" s="188"/>
      <c r="I655" s="188"/>
      <c r="J655" s="188"/>
      <c r="K655" s="188"/>
      <c r="L655" s="188"/>
      <c r="M655" s="188"/>
      <c r="N655" s="188"/>
      <c r="O655" s="188"/>
      <c r="P655" s="188"/>
      <c r="Q655" s="188"/>
      <c r="R655" s="188"/>
      <c r="S655" s="188"/>
      <c r="T655" s="188"/>
      <c r="U655" s="188"/>
      <c r="V655" s="188"/>
      <c r="W655" s="188"/>
    </row>
    <row r="656">
      <c r="A656" s="229"/>
      <c r="B656" s="188"/>
      <c r="C656" s="229"/>
      <c r="D656" s="229"/>
      <c r="E656" s="229"/>
      <c r="F656" s="188"/>
      <c r="G656" s="188"/>
      <c r="H656" s="188"/>
      <c r="I656" s="188"/>
      <c r="J656" s="188"/>
      <c r="K656" s="188"/>
      <c r="L656" s="188"/>
      <c r="M656" s="188"/>
      <c r="N656" s="188"/>
      <c r="O656" s="188"/>
      <c r="P656" s="188"/>
      <c r="Q656" s="188"/>
      <c r="R656" s="188"/>
      <c r="S656" s="188"/>
      <c r="T656" s="188"/>
      <c r="U656" s="188"/>
      <c r="V656" s="188"/>
      <c r="W656" s="188"/>
    </row>
    <row r="657">
      <c r="A657" s="229"/>
      <c r="B657" s="188"/>
      <c r="C657" s="229"/>
      <c r="D657" s="229"/>
      <c r="E657" s="229"/>
      <c r="F657" s="188"/>
      <c r="G657" s="188"/>
      <c r="H657" s="188"/>
      <c r="I657" s="188"/>
      <c r="J657" s="188"/>
      <c r="K657" s="188"/>
      <c r="L657" s="188"/>
      <c r="M657" s="188"/>
      <c r="N657" s="188"/>
      <c r="O657" s="188"/>
      <c r="P657" s="188"/>
      <c r="Q657" s="188"/>
      <c r="R657" s="188"/>
      <c r="S657" s="188"/>
      <c r="T657" s="188"/>
      <c r="U657" s="188"/>
      <c r="V657" s="188"/>
      <c r="W657" s="188"/>
    </row>
    <row r="658">
      <c r="A658" s="229"/>
      <c r="B658" s="188"/>
      <c r="C658" s="229"/>
      <c r="D658" s="229"/>
      <c r="E658" s="229"/>
      <c r="F658" s="188"/>
      <c r="G658" s="188"/>
      <c r="H658" s="188"/>
      <c r="I658" s="188"/>
      <c r="J658" s="188"/>
      <c r="K658" s="188"/>
      <c r="L658" s="188"/>
      <c r="M658" s="188"/>
      <c r="N658" s="188"/>
      <c r="O658" s="188"/>
      <c r="P658" s="188"/>
      <c r="Q658" s="188"/>
      <c r="R658" s="188"/>
      <c r="S658" s="188"/>
      <c r="T658" s="188"/>
      <c r="U658" s="188"/>
      <c r="V658" s="188"/>
      <c r="W658" s="188"/>
    </row>
    <row r="659">
      <c r="A659" s="229"/>
      <c r="B659" s="188"/>
      <c r="C659" s="229"/>
      <c r="D659" s="229"/>
      <c r="E659" s="229"/>
      <c r="F659" s="188"/>
      <c r="G659" s="188"/>
      <c r="H659" s="188"/>
      <c r="I659" s="188"/>
      <c r="J659" s="188"/>
      <c r="K659" s="188"/>
      <c r="L659" s="188"/>
      <c r="M659" s="188"/>
      <c r="N659" s="188"/>
      <c r="O659" s="188"/>
      <c r="P659" s="188"/>
      <c r="Q659" s="188"/>
      <c r="R659" s="188"/>
      <c r="S659" s="188"/>
      <c r="T659" s="188"/>
      <c r="U659" s="188"/>
      <c r="V659" s="188"/>
      <c r="W659" s="188"/>
    </row>
    <row r="660">
      <c r="A660" s="229"/>
      <c r="B660" s="188"/>
      <c r="C660" s="229"/>
      <c r="D660" s="229"/>
      <c r="E660" s="229"/>
      <c r="F660" s="188"/>
      <c r="G660" s="188"/>
      <c r="H660" s="188"/>
      <c r="I660" s="188"/>
      <c r="J660" s="188"/>
      <c r="K660" s="188"/>
      <c r="L660" s="188"/>
      <c r="M660" s="188"/>
      <c r="N660" s="188"/>
      <c r="O660" s="188"/>
      <c r="P660" s="188"/>
      <c r="Q660" s="188"/>
      <c r="R660" s="188"/>
      <c r="S660" s="188"/>
      <c r="T660" s="188"/>
      <c r="U660" s="188"/>
      <c r="V660" s="188"/>
      <c r="W660" s="188"/>
    </row>
    <row r="661">
      <c r="A661" s="229"/>
      <c r="B661" s="188"/>
      <c r="C661" s="229"/>
      <c r="D661" s="229"/>
      <c r="E661" s="229"/>
      <c r="F661" s="188"/>
      <c r="G661" s="188"/>
      <c r="H661" s="188"/>
      <c r="I661" s="188"/>
      <c r="J661" s="188"/>
      <c r="K661" s="188"/>
      <c r="L661" s="188"/>
      <c r="M661" s="188"/>
      <c r="N661" s="188"/>
      <c r="O661" s="188"/>
      <c r="P661" s="188"/>
      <c r="Q661" s="188"/>
      <c r="R661" s="188"/>
      <c r="S661" s="188"/>
      <c r="T661" s="188"/>
      <c r="U661" s="188"/>
      <c r="V661" s="188"/>
      <c r="W661" s="188"/>
    </row>
    <row r="662">
      <c r="A662" s="229"/>
      <c r="B662" s="188"/>
      <c r="C662" s="229"/>
      <c r="D662" s="229"/>
      <c r="E662" s="229"/>
      <c r="F662" s="188"/>
      <c r="G662" s="188"/>
      <c r="H662" s="188"/>
      <c r="I662" s="188"/>
      <c r="J662" s="188"/>
      <c r="K662" s="188"/>
      <c r="L662" s="188"/>
      <c r="M662" s="188"/>
      <c r="N662" s="188"/>
      <c r="O662" s="188"/>
      <c r="P662" s="188"/>
      <c r="Q662" s="188"/>
      <c r="R662" s="188"/>
      <c r="S662" s="188"/>
      <c r="T662" s="188"/>
      <c r="U662" s="188"/>
      <c r="V662" s="188"/>
      <c r="W662" s="188"/>
    </row>
    <row r="663">
      <c r="A663" s="229"/>
      <c r="B663" s="188"/>
      <c r="C663" s="229"/>
      <c r="D663" s="229"/>
      <c r="E663" s="229"/>
      <c r="F663" s="188"/>
      <c r="G663" s="188"/>
      <c r="H663" s="188"/>
      <c r="I663" s="188"/>
      <c r="J663" s="188"/>
      <c r="K663" s="188"/>
      <c r="L663" s="188"/>
      <c r="M663" s="188"/>
      <c r="N663" s="188"/>
      <c r="O663" s="188"/>
      <c r="P663" s="188"/>
      <c r="Q663" s="188"/>
      <c r="R663" s="188"/>
      <c r="S663" s="188"/>
      <c r="T663" s="188"/>
      <c r="U663" s="188"/>
      <c r="V663" s="188"/>
      <c r="W663" s="188"/>
    </row>
    <row r="664">
      <c r="A664" s="229"/>
      <c r="B664" s="188"/>
      <c r="C664" s="229"/>
      <c r="D664" s="229"/>
      <c r="E664" s="229"/>
      <c r="F664" s="188"/>
      <c r="G664" s="188"/>
      <c r="H664" s="188"/>
      <c r="I664" s="188"/>
      <c r="J664" s="188"/>
      <c r="K664" s="188"/>
      <c r="L664" s="188"/>
      <c r="M664" s="188"/>
      <c r="N664" s="188"/>
      <c r="O664" s="188"/>
      <c r="P664" s="188"/>
      <c r="Q664" s="188"/>
      <c r="R664" s="188"/>
      <c r="S664" s="188"/>
      <c r="T664" s="188"/>
      <c r="U664" s="188"/>
      <c r="V664" s="188"/>
      <c r="W664" s="188"/>
    </row>
    <row r="665">
      <c r="A665" s="229"/>
      <c r="B665" s="188"/>
      <c r="C665" s="229"/>
      <c r="D665" s="229"/>
      <c r="E665" s="229"/>
      <c r="F665" s="188"/>
      <c r="G665" s="188"/>
      <c r="H665" s="188"/>
      <c r="I665" s="188"/>
      <c r="J665" s="188"/>
      <c r="K665" s="188"/>
      <c r="L665" s="188"/>
      <c r="M665" s="188"/>
      <c r="N665" s="188"/>
      <c r="O665" s="188"/>
      <c r="P665" s="188"/>
      <c r="Q665" s="188"/>
      <c r="R665" s="188"/>
      <c r="S665" s="188"/>
      <c r="T665" s="188"/>
      <c r="U665" s="188"/>
      <c r="V665" s="188"/>
      <c r="W665" s="188"/>
    </row>
    <row r="666">
      <c r="A666" s="229"/>
      <c r="B666" s="188"/>
      <c r="C666" s="229"/>
      <c r="D666" s="229"/>
      <c r="E666" s="229"/>
      <c r="F666" s="188"/>
      <c r="G666" s="188"/>
      <c r="H666" s="188"/>
      <c r="I666" s="188"/>
      <c r="J666" s="188"/>
      <c r="K666" s="188"/>
      <c r="L666" s="188"/>
      <c r="M666" s="188"/>
      <c r="N666" s="188"/>
      <c r="O666" s="188"/>
      <c r="P666" s="188"/>
      <c r="Q666" s="188"/>
      <c r="R666" s="188"/>
      <c r="S666" s="188"/>
      <c r="T666" s="188"/>
      <c r="U666" s="188"/>
      <c r="V666" s="188"/>
      <c r="W666" s="188"/>
    </row>
    <row r="667">
      <c r="A667" s="229"/>
      <c r="B667" s="188"/>
      <c r="C667" s="229"/>
      <c r="D667" s="229"/>
      <c r="E667" s="229"/>
      <c r="F667" s="188"/>
      <c r="G667" s="188"/>
      <c r="H667" s="188"/>
      <c r="I667" s="188"/>
      <c r="J667" s="188"/>
      <c r="K667" s="188"/>
      <c r="L667" s="188"/>
      <c r="M667" s="188"/>
      <c r="N667" s="188"/>
      <c r="O667" s="188"/>
      <c r="P667" s="188"/>
      <c r="Q667" s="188"/>
      <c r="R667" s="188"/>
      <c r="S667" s="188"/>
      <c r="T667" s="188"/>
      <c r="U667" s="188"/>
      <c r="V667" s="188"/>
      <c r="W667" s="188"/>
    </row>
    <row r="668">
      <c r="A668" s="229"/>
      <c r="B668" s="188"/>
      <c r="C668" s="229"/>
      <c r="D668" s="229"/>
      <c r="E668" s="229"/>
      <c r="F668" s="188"/>
      <c r="G668" s="188"/>
      <c r="H668" s="188"/>
      <c r="I668" s="188"/>
      <c r="J668" s="188"/>
      <c r="K668" s="188"/>
      <c r="L668" s="188"/>
      <c r="M668" s="188"/>
      <c r="N668" s="188"/>
      <c r="O668" s="188"/>
      <c r="P668" s="188"/>
      <c r="Q668" s="188"/>
      <c r="R668" s="188"/>
      <c r="S668" s="188"/>
      <c r="T668" s="188"/>
      <c r="U668" s="188"/>
      <c r="V668" s="188"/>
      <c r="W668" s="188"/>
    </row>
    <row r="669">
      <c r="A669" s="229"/>
      <c r="B669" s="188"/>
      <c r="C669" s="229"/>
      <c r="D669" s="229"/>
      <c r="E669" s="229"/>
      <c r="F669" s="188"/>
      <c r="G669" s="188"/>
      <c r="H669" s="188"/>
      <c r="I669" s="188"/>
      <c r="J669" s="188"/>
      <c r="K669" s="188"/>
      <c r="L669" s="188"/>
      <c r="M669" s="188"/>
      <c r="N669" s="188"/>
      <c r="O669" s="188"/>
      <c r="P669" s="188"/>
      <c r="Q669" s="188"/>
      <c r="R669" s="188"/>
      <c r="S669" s="188"/>
      <c r="T669" s="188"/>
      <c r="U669" s="188"/>
      <c r="V669" s="188"/>
      <c r="W669" s="188"/>
    </row>
    <row r="670">
      <c r="A670" s="229"/>
      <c r="B670" s="188"/>
      <c r="C670" s="229"/>
      <c r="D670" s="229"/>
      <c r="E670" s="229"/>
      <c r="F670" s="188"/>
      <c r="G670" s="188"/>
      <c r="H670" s="188"/>
      <c r="I670" s="188"/>
      <c r="J670" s="188"/>
      <c r="K670" s="188"/>
      <c r="L670" s="188"/>
      <c r="M670" s="188"/>
      <c r="N670" s="188"/>
      <c r="O670" s="188"/>
      <c r="P670" s="188"/>
      <c r="Q670" s="188"/>
      <c r="R670" s="188"/>
      <c r="S670" s="188"/>
      <c r="T670" s="188"/>
      <c r="U670" s="188"/>
      <c r="V670" s="188"/>
      <c r="W670" s="188"/>
    </row>
    <row r="671">
      <c r="A671" s="229"/>
      <c r="B671" s="188"/>
      <c r="C671" s="229"/>
      <c r="D671" s="229"/>
      <c r="E671" s="229"/>
      <c r="F671" s="188"/>
      <c r="G671" s="188"/>
      <c r="H671" s="188"/>
      <c r="I671" s="188"/>
      <c r="J671" s="188"/>
      <c r="K671" s="188"/>
      <c r="L671" s="188"/>
      <c r="M671" s="188"/>
      <c r="N671" s="188"/>
      <c r="O671" s="188"/>
      <c r="P671" s="188"/>
      <c r="Q671" s="188"/>
      <c r="R671" s="188"/>
      <c r="S671" s="188"/>
      <c r="T671" s="188"/>
      <c r="U671" s="188"/>
      <c r="V671" s="188"/>
      <c r="W671" s="188"/>
    </row>
    <row r="672">
      <c r="A672" s="229"/>
      <c r="B672" s="188"/>
      <c r="C672" s="229"/>
      <c r="D672" s="229"/>
      <c r="E672" s="229"/>
      <c r="F672" s="188"/>
      <c r="G672" s="188"/>
      <c r="H672" s="188"/>
      <c r="I672" s="188"/>
      <c r="J672" s="188"/>
      <c r="K672" s="188"/>
      <c r="L672" s="188"/>
      <c r="M672" s="188"/>
      <c r="N672" s="188"/>
      <c r="O672" s="188"/>
      <c r="P672" s="188"/>
      <c r="Q672" s="188"/>
      <c r="R672" s="188"/>
      <c r="S672" s="188"/>
      <c r="T672" s="188"/>
      <c r="U672" s="188"/>
      <c r="V672" s="188"/>
      <c r="W672" s="188"/>
    </row>
    <row r="673">
      <c r="A673" s="229"/>
      <c r="B673" s="188"/>
      <c r="C673" s="229"/>
      <c r="D673" s="229"/>
      <c r="E673" s="229"/>
      <c r="F673" s="188"/>
      <c r="G673" s="188"/>
      <c r="H673" s="188"/>
      <c r="I673" s="188"/>
      <c r="J673" s="188"/>
      <c r="K673" s="188"/>
      <c r="L673" s="188"/>
      <c r="M673" s="188"/>
      <c r="N673" s="188"/>
      <c r="O673" s="188"/>
      <c r="P673" s="188"/>
      <c r="Q673" s="188"/>
      <c r="R673" s="188"/>
      <c r="S673" s="188"/>
      <c r="T673" s="188"/>
      <c r="U673" s="188"/>
      <c r="V673" s="188"/>
      <c r="W673" s="188"/>
    </row>
    <row r="674">
      <c r="A674" s="229"/>
      <c r="B674" s="188"/>
      <c r="C674" s="229"/>
      <c r="D674" s="229"/>
      <c r="E674" s="229"/>
      <c r="F674" s="188"/>
      <c r="G674" s="188"/>
      <c r="H674" s="188"/>
      <c r="I674" s="188"/>
      <c r="J674" s="188"/>
      <c r="K674" s="188"/>
      <c r="L674" s="188"/>
      <c r="M674" s="188"/>
      <c r="N674" s="188"/>
      <c r="O674" s="188"/>
      <c r="P674" s="188"/>
      <c r="Q674" s="188"/>
      <c r="R674" s="188"/>
      <c r="S674" s="188"/>
      <c r="T674" s="188"/>
      <c r="U674" s="188"/>
      <c r="V674" s="188"/>
      <c r="W674" s="188"/>
    </row>
    <row r="675">
      <c r="A675" s="229"/>
      <c r="B675" s="188"/>
      <c r="C675" s="229"/>
      <c r="D675" s="229"/>
      <c r="E675" s="229"/>
      <c r="F675" s="188"/>
      <c r="G675" s="188"/>
      <c r="H675" s="188"/>
      <c r="I675" s="188"/>
      <c r="J675" s="188"/>
      <c r="K675" s="188"/>
      <c r="L675" s="188"/>
      <c r="M675" s="188"/>
      <c r="N675" s="188"/>
      <c r="O675" s="188"/>
      <c r="P675" s="188"/>
      <c r="Q675" s="188"/>
      <c r="R675" s="188"/>
      <c r="S675" s="188"/>
      <c r="T675" s="188"/>
      <c r="U675" s="188"/>
      <c r="V675" s="188"/>
      <c r="W675" s="188"/>
    </row>
    <row r="676">
      <c r="A676" s="229"/>
      <c r="B676" s="188"/>
      <c r="C676" s="229"/>
      <c r="D676" s="229"/>
      <c r="E676" s="229"/>
      <c r="F676" s="188"/>
      <c r="G676" s="188"/>
      <c r="H676" s="188"/>
      <c r="I676" s="188"/>
      <c r="J676" s="188"/>
      <c r="K676" s="188"/>
      <c r="L676" s="188"/>
      <c r="M676" s="188"/>
      <c r="N676" s="188"/>
      <c r="O676" s="188"/>
      <c r="P676" s="188"/>
      <c r="Q676" s="188"/>
      <c r="R676" s="188"/>
      <c r="S676" s="188"/>
      <c r="T676" s="188"/>
      <c r="U676" s="188"/>
      <c r="V676" s="188"/>
      <c r="W676" s="188"/>
    </row>
    <row r="677">
      <c r="A677" s="229"/>
      <c r="B677" s="188"/>
      <c r="C677" s="229"/>
      <c r="D677" s="229"/>
      <c r="E677" s="229"/>
      <c r="F677" s="188"/>
      <c r="G677" s="188"/>
      <c r="H677" s="188"/>
      <c r="I677" s="188"/>
      <c r="J677" s="188"/>
      <c r="K677" s="188"/>
      <c r="L677" s="188"/>
      <c r="M677" s="188"/>
      <c r="N677" s="188"/>
      <c r="O677" s="188"/>
      <c r="P677" s="188"/>
      <c r="Q677" s="188"/>
      <c r="R677" s="188"/>
      <c r="S677" s="188"/>
      <c r="T677" s="188"/>
      <c r="U677" s="188"/>
      <c r="V677" s="188"/>
      <c r="W677" s="188"/>
    </row>
    <row r="678">
      <c r="A678" s="229"/>
      <c r="B678" s="188"/>
      <c r="C678" s="229"/>
      <c r="D678" s="229"/>
      <c r="E678" s="229"/>
      <c r="F678" s="188"/>
      <c r="G678" s="188"/>
      <c r="H678" s="188"/>
      <c r="I678" s="188"/>
      <c r="J678" s="188"/>
      <c r="K678" s="188"/>
      <c r="L678" s="188"/>
      <c r="M678" s="188"/>
      <c r="N678" s="188"/>
      <c r="O678" s="188"/>
      <c r="P678" s="188"/>
      <c r="Q678" s="188"/>
      <c r="R678" s="188"/>
      <c r="S678" s="188"/>
      <c r="T678" s="188"/>
      <c r="U678" s="188"/>
      <c r="V678" s="188"/>
      <c r="W678" s="188"/>
    </row>
    <row r="679">
      <c r="A679" s="229"/>
      <c r="B679" s="188"/>
      <c r="C679" s="229"/>
      <c r="D679" s="229"/>
      <c r="E679" s="229"/>
      <c r="F679" s="188"/>
      <c r="G679" s="188"/>
      <c r="H679" s="188"/>
      <c r="I679" s="188"/>
      <c r="J679" s="188"/>
      <c r="K679" s="188"/>
      <c r="L679" s="188"/>
      <c r="M679" s="188"/>
      <c r="N679" s="188"/>
      <c r="O679" s="188"/>
      <c r="P679" s="188"/>
      <c r="Q679" s="188"/>
      <c r="R679" s="188"/>
      <c r="S679" s="188"/>
      <c r="T679" s="188"/>
      <c r="U679" s="188"/>
      <c r="V679" s="188"/>
      <c r="W679" s="188"/>
    </row>
    <row r="680">
      <c r="A680" s="229"/>
      <c r="B680" s="188"/>
      <c r="C680" s="229"/>
      <c r="D680" s="229"/>
      <c r="E680" s="229"/>
      <c r="F680" s="188"/>
      <c r="G680" s="188"/>
      <c r="H680" s="188"/>
      <c r="I680" s="188"/>
      <c r="J680" s="188"/>
      <c r="K680" s="188"/>
      <c r="L680" s="188"/>
      <c r="M680" s="188"/>
      <c r="N680" s="188"/>
      <c r="O680" s="188"/>
      <c r="P680" s="188"/>
      <c r="Q680" s="188"/>
      <c r="R680" s="188"/>
      <c r="S680" s="188"/>
      <c r="T680" s="188"/>
      <c r="U680" s="188"/>
      <c r="V680" s="188"/>
      <c r="W680" s="188"/>
    </row>
    <row r="681">
      <c r="A681" s="229"/>
      <c r="B681" s="188"/>
      <c r="C681" s="229"/>
      <c r="D681" s="229"/>
      <c r="E681" s="229"/>
      <c r="F681" s="188"/>
      <c r="G681" s="188"/>
      <c r="H681" s="188"/>
      <c r="I681" s="188"/>
      <c r="J681" s="188"/>
      <c r="K681" s="188"/>
      <c r="L681" s="188"/>
      <c r="M681" s="188"/>
      <c r="N681" s="188"/>
      <c r="O681" s="188"/>
      <c r="P681" s="188"/>
      <c r="Q681" s="188"/>
      <c r="R681" s="188"/>
      <c r="S681" s="188"/>
      <c r="T681" s="188"/>
      <c r="U681" s="188"/>
      <c r="V681" s="188"/>
      <c r="W681" s="188"/>
    </row>
    <row r="682">
      <c r="A682" s="229"/>
      <c r="B682" s="188"/>
      <c r="C682" s="229"/>
      <c r="D682" s="229"/>
      <c r="E682" s="229"/>
      <c r="F682" s="188"/>
      <c r="G682" s="188"/>
      <c r="H682" s="188"/>
      <c r="I682" s="188"/>
      <c r="J682" s="188"/>
      <c r="K682" s="188"/>
      <c r="L682" s="188"/>
      <c r="M682" s="188"/>
      <c r="N682" s="188"/>
      <c r="O682" s="188"/>
      <c r="P682" s="188"/>
      <c r="Q682" s="188"/>
      <c r="R682" s="188"/>
      <c r="S682" s="188"/>
      <c r="T682" s="188"/>
      <c r="U682" s="188"/>
      <c r="V682" s="188"/>
      <c r="W682" s="188"/>
    </row>
    <row r="683">
      <c r="A683" s="229"/>
      <c r="B683" s="188"/>
      <c r="C683" s="229"/>
      <c r="D683" s="229"/>
      <c r="E683" s="229"/>
      <c r="F683" s="188"/>
      <c r="G683" s="188"/>
      <c r="H683" s="188"/>
      <c r="I683" s="188"/>
      <c r="J683" s="188"/>
      <c r="K683" s="188"/>
      <c r="L683" s="188"/>
      <c r="M683" s="188"/>
      <c r="N683" s="188"/>
      <c r="O683" s="188"/>
      <c r="P683" s="188"/>
      <c r="Q683" s="188"/>
      <c r="R683" s="188"/>
      <c r="S683" s="188"/>
      <c r="T683" s="188"/>
      <c r="U683" s="188"/>
      <c r="V683" s="188"/>
      <c r="W683" s="188"/>
    </row>
    <row r="684">
      <c r="A684" s="229"/>
      <c r="B684" s="188"/>
      <c r="C684" s="229"/>
      <c r="D684" s="229"/>
      <c r="E684" s="229"/>
      <c r="F684" s="188"/>
      <c r="G684" s="188"/>
      <c r="H684" s="188"/>
      <c r="I684" s="188"/>
      <c r="J684" s="188"/>
      <c r="K684" s="188"/>
      <c r="L684" s="188"/>
      <c r="M684" s="188"/>
      <c r="N684" s="188"/>
      <c r="O684" s="188"/>
      <c r="P684" s="188"/>
      <c r="Q684" s="188"/>
      <c r="R684" s="188"/>
      <c r="S684" s="188"/>
      <c r="T684" s="188"/>
      <c r="U684" s="188"/>
      <c r="V684" s="188"/>
      <c r="W684" s="188"/>
    </row>
    <row r="685">
      <c r="A685" s="229"/>
      <c r="B685" s="188"/>
      <c r="C685" s="229"/>
      <c r="D685" s="229"/>
      <c r="E685" s="229"/>
      <c r="F685" s="188"/>
      <c r="G685" s="188"/>
      <c r="H685" s="188"/>
      <c r="I685" s="188"/>
      <c r="J685" s="188"/>
      <c r="K685" s="188"/>
      <c r="L685" s="188"/>
      <c r="M685" s="188"/>
      <c r="N685" s="188"/>
      <c r="O685" s="188"/>
      <c r="P685" s="188"/>
      <c r="Q685" s="188"/>
      <c r="R685" s="188"/>
      <c r="S685" s="188"/>
      <c r="T685" s="188"/>
      <c r="U685" s="188"/>
      <c r="V685" s="188"/>
      <c r="W685" s="188"/>
    </row>
    <row r="686">
      <c r="A686" s="229"/>
      <c r="B686" s="188"/>
      <c r="C686" s="229"/>
      <c r="D686" s="229"/>
      <c r="E686" s="229"/>
      <c r="F686" s="188"/>
      <c r="G686" s="188"/>
      <c r="H686" s="188"/>
      <c r="I686" s="188"/>
      <c r="J686" s="188"/>
      <c r="K686" s="188"/>
      <c r="L686" s="188"/>
      <c r="M686" s="188"/>
      <c r="N686" s="188"/>
      <c r="O686" s="188"/>
      <c r="P686" s="188"/>
      <c r="Q686" s="188"/>
      <c r="R686" s="188"/>
      <c r="S686" s="188"/>
      <c r="T686" s="188"/>
      <c r="U686" s="188"/>
      <c r="V686" s="188"/>
      <c r="W686" s="188"/>
    </row>
    <row r="687">
      <c r="A687" s="229"/>
      <c r="B687" s="188"/>
      <c r="C687" s="229"/>
      <c r="D687" s="229"/>
      <c r="E687" s="229"/>
      <c r="F687" s="188"/>
      <c r="G687" s="188"/>
      <c r="H687" s="188"/>
      <c r="I687" s="188"/>
      <c r="J687" s="188"/>
      <c r="K687" s="188"/>
      <c r="L687" s="188"/>
      <c r="M687" s="188"/>
      <c r="N687" s="188"/>
      <c r="O687" s="188"/>
      <c r="P687" s="188"/>
      <c r="Q687" s="188"/>
      <c r="R687" s="188"/>
      <c r="S687" s="188"/>
      <c r="T687" s="188"/>
      <c r="U687" s="188"/>
      <c r="V687" s="188"/>
      <c r="W687" s="188"/>
    </row>
    <row r="688">
      <c r="A688" s="229"/>
      <c r="B688" s="188"/>
      <c r="C688" s="229"/>
      <c r="D688" s="229"/>
      <c r="E688" s="229"/>
      <c r="F688" s="188"/>
      <c r="G688" s="188"/>
      <c r="H688" s="188"/>
      <c r="I688" s="188"/>
      <c r="J688" s="188"/>
      <c r="K688" s="188"/>
      <c r="L688" s="188"/>
      <c r="M688" s="188"/>
      <c r="N688" s="188"/>
      <c r="O688" s="188"/>
      <c r="P688" s="188"/>
      <c r="Q688" s="188"/>
      <c r="R688" s="188"/>
      <c r="S688" s="188"/>
      <c r="T688" s="188"/>
      <c r="U688" s="188"/>
      <c r="V688" s="188"/>
      <c r="W688" s="188"/>
    </row>
    <row r="689">
      <c r="A689" s="229"/>
      <c r="B689" s="188"/>
      <c r="C689" s="229"/>
      <c r="D689" s="229"/>
      <c r="E689" s="229"/>
      <c r="F689" s="188"/>
      <c r="G689" s="188"/>
      <c r="H689" s="188"/>
      <c r="I689" s="188"/>
      <c r="J689" s="188"/>
      <c r="K689" s="188"/>
      <c r="L689" s="188"/>
      <c r="M689" s="188"/>
      <c r="N689" s="188"/>
      <c r="O689" s="188"/>
      <c r="P689" s="188"/>
      <c r="Q689" s="188"/>
      <c r="R689" s="188"/>
      <c r="S689" s="188"/>
      <c r="T689" s="188"/>
      <c r="U689" s="188"/>
      <c r="V689" s="188"/>
      <c r="W689" s="188"/>
    </row>
    <row r="690">
      <c r="A690" s="229"/>
      <c r="B690" s="188"/>
      <c r="C690" s="229"/>
      <c r="D690" s="229"/>
      <c r="E690" s="229"/>
      <c r="F690" s="188"/>
      <c r="G690" s="188"/>
      <c r="H690" s="188"/>
      <c r="I690" s="188"/>
      <c r="J690" s="188"/>
      <c r="K690" s="188"/>
      <c r="L690" s="188"/>
      <c r="M690" s="188"/>
      <c r="N690" s="188"/>
      <c r="O690" s="188"/>
      <c r="P690" s="188"/>
      <c r="Q690" s="188"/>
      <c r="R690" s="188"/>
      <c r="S690" s="188"/>
      <c r="T690" s="188"/>
      <c r="U690" s="188"/>
      <c r="V690" s="188"/>
      <c r="W690" s="188"/>
    </row>
    <row r="691">
      <c r="A691" s="229"/>
      <c r="B691" s="188"/>
      <c r="C691" s="229"/>
      <c r="D691" s="229"/>
      <c r="E691" s="229"/>
      <c r="F691" s="188"/>
      <c r="G691" s="188"/>
      <c r="H691" s="188"/>
      <c r="I691" s="188"/>
      <c r="J691" s="188"/>
      <c r="K691" s="188"/>
      <c r="L691" s="188"/>
      <c r="M691" s="188"/>
      <c r="N691" s="188"/>
      <c r="O691" s="188"/>
      <c r="P691" s="188"/>
      <c r="Q691" s="188"/>
      <c r="R691" s="188"/>
      <c r="S691" s="188"/>
      <c r="T691" s="188"/>
      <c r="U691" s="188"/>
      <c r="V691" s="188"/>
      <c r="W691" s="188"/>
    </row>
    <row r="692">
      <c r="A692" s="229"/>
      <c r="B692" s="188"/>
      <c r="C692" s="229"/>
      <c r="D692" s="229"/>
      <c r="E692" s="229"/>
      <c r="F692" s="188"/>
      <c r="G692" s="188"/>
      <c r="H692" s="188"/>
      <c r="I692" s="188"/>
      <c r="J692" s="188"/>
      <c r="K692" s="188"/>
      <c r="L692" s="188"/>
      <c r="M692" s="188"/>
      <c r="N692" s="188"/>
      <c r="O692" s="188"/>
      <c r="P692" s="188"/>
      <c r="Q692" s="188"/>
      <c r="R692" s="188"/>
      <c r="S692" s="188"/>
      <c r="T692" s="188"/>
      <c r="U692" s="188"/>
      <c r="V692" s="188"/>
      <c r="W692" s="188"/>
    </row>
    <row r="693">
      <c r="A693" s="229"/>
      <c r="B693" s="188"/>
      <c r="C693" s="229"/>
      <c r="D693" s="229"/>
      <c r="E693" s="229"/>
      <c r="F693" s="188"/>
      <c r="G693" s="188"/>
      <c r="H693" s="188"/>
      <c r="I693" s="188"/>
      <c r="J693" s="188"/>
      <c r="K693" s="188"/>
      <c r="L693" s="188"/>
      <c r="M693" s="188"/>
      <c r="N693" s="188"/>
      <c r="O693" s="188"/>
      <c r="P693" s="188"/>
      <c r="Q693" s="188"/>
      <c r="R693" s="188"/>
      <c r="S693" s="188"/>
      <c r="T693" s="188"/>
      <c r="U693" s="188"/>
      <c r="V693" s="188"/>
      <c r="W693" s="188"/>
    </row>
    <row r="694">
      <c r="A694" s="229"/>
      <c r="B694" s="188"/>
      <c r="C694" s="229"/>
      <c r="D694" s="229"/>
      <c r="E694" s="229"/>
      <c r="F694" s="188"/>
      <c r="G694" s="188"/>
      <c r="H694" s="188"/>
      <c r="I694" s="188"/>
      <c r="J694" s="188"/>
      <c r="K694" s="188"/>
      <c r="L694" s="188"/>
      <c r="M694" s="188"/>
      <c r="N694" s="188"/>
      <c r="O694" s="188"/>
      <c r="P694" s="188"/>
      <c r="Q694" s="188"/>
      <c r="R694" s="188"/>
      <c r="S694" s="188"/>
      <c r="T694" s="188"/>
      <c r="U694" s="188"/>
      <c r="V694" s="188"/>
      <c r="W694" s="188"/>
    </row>
    <row r="695">
      <c r="A695" s="229"/>
      <c r="B695" s="188"/>
      <c r="C695" s="229"/>
      <c r="D695" s="229"/>
      <c r="E695" s="229"/>
      <c r="F695" s="188"/>
      <c r="G695" s="188"/>
      <c r="H695" s="188"/>
      <c r="I695" s="188"/>
      <c r="J695" s="188"/>
      <c r="K695" s="188"/>
      <c r="L695" s="188"/>
      <c r="M695" s="188"/>
      <c r="N695" s="188"/>
      <c r="O695" s="188"/>
      <c r="P695" s="188"/>
      <c r="Q695" s="188"/>
      <c r="R695" s="188"/>
      <c r="S695" s="188"/>
      <c r="T695" s="188"/>
      <c r="U695" s="188"/>
      <c r="V695" s="188"/>
      <c r="W695" s="188"/>
    </row>
    <row r="696">
      <c r="A696" s="229"/>
      <c r="B696" s="188"/>
      <c r="C696" s="229"/>
      <c r="D696" s="229"/>
      <c r="E696" s="229"/>
      <c r="F696" s="188"/>
      <c r="G696" s="188"/>
      <c r="H696" s="188"/>
      <c r="I696" s="188"/>
      <c r="J696" s="188"/>
      <c r="K696" s="188"/>
      <c r="L696" s="188"/>
      <c r="M696" s="188"/>
      <c r="N696" s="188"/>
      <c r="O696" s="188"/>
      <c r="P696" s="188"/>
      <c r="Q696" s="188"/>
      <c r="R696" s="188"/>
      <c r="S696" s="188"/>
      <c r="T696" s="188"/>
      <c r="U696" s="188"/>
      <c r="V696" s="188"/>
      <c r="W696" s="188"/>
    </row>
    <row r="697">
      <c r="A697" s="229"/>
      <c r="B697" s="188"/>
      <c r="C697" s="229"/>
      <c r="D697" s="229"/>
      <c r="E697" s="229"/>
      <c r="F697" s="188"/>
      <c r="G697" s="188"/>
      <c r="H697" s="188"/>
      <c r="I697" s="188"/>
      <c r="J697" s="188"/>
      <c r="K697" s="188"/>
      <c r="L697" s="188"/>
      <c r="M697" s="188"/>
      <c r="N697" s="188"/>
      <c r="O697" s="188"/>
      <c r="P697" s="188"/>
      <c r="Q697" s="188"/>
      <c r="R697" s="188"/>
      <c r="S697" s="188"/>
      <c r="T697" s="188"/>
      <c r="U697" s="188"/>
      <c r="V697" s="188"/>
      <c r="W697" s="188"/>
    </row>
    <row r="698">
      <c r="A698" s="229"/>
      <c r="B698" s="188"/>
      <c r="C698" s="229"/>
      <c r="D698" s="229"/>
      <c r="E698" s="229"/>
      <c r="F698" s="188"/>
      <c r="G698" s="188"/>
      <c r="H698" s="188"/>
      <c r="I698" s="188"/>
      <c r="J698" s="188"/>
      <c r="K698" s="188"/>
      <c r="L698" s="188"/>
      <c r="M698" s="188"/>
      <c r="N698" s="188"/>
      <c r="O698" s="188"/>
      <c r="P698" s="188"/>
      <c r="Q698" s="188"/>
      <c r="R698" s="188"/>
      <c r="S698" s="188"/>
      <c r="T698" s="188"/>
      <c r="U698" s="188"/>
      <c r="V698" s="188"/>
      <c r="W698" s="188"/>
    </row>
    <row r="699">
      <c r="A699" s="229"/>
      <c r="B699" s="188"/>
      <c r="C699" s="229"/>
      <c r="D699" s="229"/>
      <c r="E699" s="229"/>
      <c r="F699" s="188"/>
      <c r="G699" s="188"/>
      <c r="H699" s="188"/>
      <c r="I699" s="188"/>
      <c r="J699" s="188"/>
      <c r="K699" s="188"/>
      <c r="L699" s="188"/>
      <c r="M699" s="188"/>
      <c r="N699" s="188"/>
      <c r="O699" s="188"/>
      <c r="P699" s="188"/>
      <c r="Q699" s="188"/>
      <c r="R699" s="188"/>
      <c r="S699" s="188"/>
      <c r="T699" s="188"/>
      <c r="U699" s="188"/>
      <c r="V699" s="188"/>
      <c r="W699" s="188"/>
    </row>
    <row r="700">
      <c r="A700" s="229"/>
      <c r="B700" s="188"/>
      <c r="C700" s="229"/>
      <c r="D700" s="229"/>
      <c r="E700" s="229"/>
      <c r="F700" s="188"/>
      <c r="G700" s="188"/>
      <c r="H700" s="188"/>
      <c r="I700" s="188"/>
      <c r="J700" s="188"/>
      <c r="K700" s="188"/>
      <c r="L700" s="188"/>
      <c r="M700" s="188"/>
      <c r="N700" s="188"/>
      <c r="O700" s="188"/>
      <c r="P700" s="188"/>
      <c r="Q700" s="188"/>
      <c r="R700" s="188"/>
      <c r="S700" s="188"/>
      <c r="T700" s="188"/>
      <c r="U700" s="188"/>
      <c r="V700" s="188"/>
      <c r="W700" s="188"/>
    </row>
    <row r="701">
      <c r="A701" s="229"/>
      <c r="B701" s="188"/>
      <c r="C701" s="229"/>
      <c r="D701" s="229"/>
      <c r="E701" s="229"/>
      <c r="F701" s="188"/>
      <c r="G701" s="188"/>
      <c r="H701" s="188"/>
      <c r="I701" s="188"/>
      <c r="J701" s="188"/>
      <c r="K701" s="188"/>
      <c r="L701" s="188"/>
      <c r="M701" s="188"/>
      <c r="N701" s="188"/>
      <c r="O701" s="188"/>
      <c r="P701" s="188"/>
      <c r="Q701" s="188"/>
      <c r="R701" s="188"/>
      <c r="S701" s="188"/>
      <c r="T701" s="188"/>
      <c r="U701" s="188"/>
      <c r="V701" s="188"/>
      <c r="W701" s="188"/>
    </row>
    <row r="702">
      <c r="A702" s="229"/>
      <c r="B702" s="188"/>
      <c r="C702" s="229"/>
      <c r="D702" s="229"/>
      <c r="E702" s="229"/>
      <c r="F702" s="188"/>
      <c r="G702" s="188"/>
      <c r="H702" s="188"/>
      <c r="I702" s="188"/>
      <c r="J702" s="188"/>
      <c r="K702" s="188"/>
      <c r="L702" s="188"/>
      <c r="M702" s="188"/>
      <c r="N702" s="188"/>
      <c r="O702" s="188"/>
      <c r="P702" s="188"/>
      <c r="Q702" s="188"/>
      <c r="R702" s="188"/>
      <c r="S702" s="188"/>
      <c r="T702" s="188"/>
      <c r="U702" s="188"/>
      <c r="V702" s="188"/>
      <c r="W702" s="188"/>
    </row>
    <row r="703">
      <c r="A703" s="229"/>
      <c r="B703" s="188"/>
      <c r="C703" s="229"/>
      <c r="D703" s="229"/>
      <c r="E703" s="229"/>
      <c r="F703" s="188"/>
      <c r="G703" s="188"/>
      <c r="H703" s="188"/>
      <c r="I703" s="188"/>
      <c r="J703" s="188"/>
      <c r="K703" s="188"/>
      <c r="L703" s="188"/>
      <c r="M703" s="188"/>
      <c r="N703" s="188"/>
      <c r="O703" s="188"/>
      <c r="P703" s="188"/>
      <c r="Q703" s="188"/>
      <c r="R703" s="188"/>
      <c r="S703" s="188"/>
      <c r="T703" s="188"/>
      <c r="U703" s="188"/>
      <c r="V703" s="188"/>
      <c r="W703" s="188"/>
    </row>
    <row r="704">
      <c r="A704" s="229"/>
      <c r="B704" s="188"/>
      <c r="C704" s="229"/>
      <c r="D704" s="229"/>
      <c r="E704" s="229"/>
      <c r="F704" s="188"/>
      <c r="G704" s="188"/>
      <c r="H704" s="188"/>
      <c r="I704" s="188"/>
      <c r="J704" s="188"/>
      <c r="K704" s="188"/>
      <c r="L704" s="188"/>
      <c r="M704" s="188"/>
      <c r="N704" s="188"/>
      <c r="O704" s="188"/>
      <c r="P704" s="188"/>
      <c r="Q704" s="188"/>
      <c r="R704" s="188"/>
      <c r="S704" s="188"/>
      <c r="T704" s="188"/>
      <c r="U704" s="188"/>
      <c r="V704" s="188"/>
      <c r="W704" s="188"/>
    </row>
    <row r="705">
      <c r="A705" s="229"/>
      <c r="B705" s="188"/>
      <c r="C705" s="229"/>
      <c r="D705" s="229"/>
      <c r="E705" s="229"/>
      <c r="F705" s="188"/>
      <c r="G705" s="188"/>
      <c r="H705" s="188"/>
      <c r="I705" s="188"/>
      <c r="J705" s="188"/>
      <c r="K705" s="188"/>
      <c r="L705" s="188"/>
      <c r="M705" s="188"/>
      <c r="N705" s="188"/>
      <c r="O705" s="188"/>
      <c r="P705" s="188"/>
      <c r="Q705" s="188"/>
      <c r="R705" s="188"/>
      <c r="S705" s="188"/>
      <c r="T705" s="188"/>
      <c r="U705" s="188"/>
      <c r="V705" s="188"/>
      <c r="W705" s="188"/>
    </row>
    <row r="706">
      <c r="A706" s="229"/>
      <c r="B706" s="188"/>
      <c r="C706" s="229"/>
      <c r="D706" s="229"/>
      <c r="E706" s="229"/>
      <c r="F706" s="188"/>
      <c r="G706" s="188"/>
      <c r="H706" s="188"/>
      <c r="I706" s="188"/>
      <c r="J706" s="188"/>
      <c r="K706" s="188"/>
      <c r="L706" s="188"/>
      <c r="M706" s="188"/>
      <c r="N706" s="188"/>
      <c r="O706" s="188"/>
      <c r="P706" s="188"/>
      <c r="Q706" s="188"/>
      <c r="R706" s="188"/>
      <c r="S706" s="188"/>
      <c r="T706" s="188"/>
      <c r="U706" s="188"/>
      <c r="V706" s="188"/>
      <c r="W706" s="188"/>
    </row>
    <row r="707">
      <c r="A707" s="229"/>
      <c r="B707" s="188"/>
      <c r="C707" s="229"/>
      <c r="D707" s="229"/>
      <c r="E707" s="229"/>
      <c r="F707" s="188"/>
      <c r="G707" s="188"/>
      <c r="H707" s="188"/>
      <c r="I707" s="188"/>
      <c r="J707" s="188"/>
      <c r="K707" s="188"/>
      <c r="L707" s="188"/>
      <c r="M707" s="188"/>
      <c r="N707" s="188"/>
      <c r="O707" s="188"/>
      <c r="P707" s="188"/>
      <c r="Q707" s="188"/>
      <c r="R707" s="188"/>
      <c r="S707" s="188"/>
      <c r="T707" s="188"/>
      <c r="U707" s="188"/>
      <c r="V707" s="188"/>
      <c r="W707" s="188"/>
    </row>
    <row r="708">
      <c r="A708" s="229"/>
      <c r="B708" s="188"/>
      <c r="C708" s="229"/>
      <c r="D708" s="229"/>
      <c r="E708" s="229"/>
      <c r="F708" s="188"/>
      <c r="G708" s="188"/>
      <c r="H708" s="188"/>
      <c r="I708" s="188"/>
      <c r="J708" s="188"/>
      <c r="K708" s="188"/>
      <c r="L708" s="188"/>
      <c r="M708" s="188"/>
      <c r="N708" s="188"/>
      <c r="O708" s="188"/>
      <c r="P708" s="188"/>
      <c r="Q708" s="188"/>
      <c r="R708" s="188"/>
      <c r="S708" s="188"/>
      <c r="T708" s="188"/>
      <c r="U708" s="188"/>
      <c r="V708" s="188"/>
      <c r="W708" s="188"/>
    </row>
    <row r="709">
      <c r="A709" s="229"/>
      <c r="B709" s="188"/>
      <c r="C709" s="229"/>
      <c r="D709" s="229"/>
      <c r="E709" s="229"/>
      <c r="F709" s="188"/>
      <c r="G709" s="188"/>
      <c r="H709" s="188"/>
      <c r="I709" s="188"/>
      <c r="J709" s="188"/>
      <c r="K709" s="188"/>
      <c r="L709" s="188"/>
      <c r="M709" s="188"/>
      <c r="N709" s="188"/>
      <c r="O709" s="188"/>
      <c r="P709" s="188"/>
      <c r="Q709" s="188"/>
      <c r="R709" s="188"/>
      <c r="S709" s="188"/>
      <c r="T709" s="188"/>
      <c r="U709" s="188"/>
      <c r="V709" s="188"/>
      <c r="W709" s="188"/>
    </row>
    <row r="710">
      <c r="A710" s="229"/>
      <c r="B710" s="188"/>
      <c r="C710" s="229"/>
      <c r="D710" s="229"/>
      <c r="E710" s="229"/>
      <c r="F710" s="188"/>
      <c r="G710" s="188"/>
      <c r="H710" s="188"/>
      <c r="I710" s="188"/>
      <c r="J710" s="188"/>
      <c r="K710" s="188"/>
      <c r="L710" s="188"/>
      <c r="M710" s="188"/>
      <c r="N710" s="188"/>
      <c r="O710" s="188"/>
      <c r="P710" s="188"/>
      <c r="Q710" s="188"/>
      <c r="R710" s="188"/>
      <c r="S710" s="188"/>
      <c r="T710" s="188"/>
      <c r="U710" s="188"/>
      <c r="V710" s="188"/>
      <c r="W710" s="188"/>
    </row>
    <row r="711">
      <c r="A711" s="229"/>
      <c r="B711" s="188"/>
      <c r="C711" s="229"/>
      <c r="D711" s="229"/>
      <c r="E711" s="229"/>
      <c r="F711" s="188"/>
      <c r="G711" s="188"/>
      <c r="H711" s="188"/>
      <c r="I711" s="188"/>
      <c r="J711" s="188"/>
      <c r="K711" s="188"/>
      <c r="L711" s="188"/>
      <c r="M711" s="188"/>
      <c r="N711" s="188"/>
      <c r="O711" s="188"/>
      <c r="P711" s="188"/>
      <c r="Q711" s="188"/>
      <c r="R711" s="188"/>
      <c r="S711" s="188"/>
      <c r="T711" s="188"/>
      <c r="U711" s="188"/>
      <c r="V711" s="188"/>
      <c r="W711" s="188"/>
    </row>
    <row r="712">
      <c r="A712" s="229"/>
      <c r="B712" s="188"/>
      <c r="C712" s="229"/>
      <c r="D712" s="229"/>
      <c r="E712" s="229"/>
      <c r="F712" s="188"/>
      <c r="G712" s="188"/>
      <c r="H712" s="188"/>
      <c r="I712" s="188"/>
      <c r="J712" s="188"/>
      <c r="K712" s="188"/>
      <c r="L712" s="188"/>
      <c r="M712" s="188"/>
      <c r="N712" s="188"/>
      <c r="O712" s="188"/>
      <c r="P712" s="188"/>
      <c r="Q712" s="188"/>
      <c r="R712" s="188"/>
      <c r="S712" s="188"/>
      <c r="T712" s="188"/>
      <c r="U712" s="188"/>
      <c r="V712" s="188"/>
      <c r="W712" s="188"/>
    </row>
    <row r="713">
      <c r="A713" s="229"/>
      <c r="B713" s="188"/>
      <c r="C713" s="229"/>
      <c r="D713" s="229"/>
      <c r="E713" s="229"/>
      <c r="F713" s="188"/>
      <c r="G713" s="188"/>
      <c r="H713" s="188"/>
      <c r="I713" s="188"/>
      <c r="J713" s="188"/>
      <c r="K713" s="188"/>
      <c r="L713" s="188"/>
      <c r="M713" s="188"/>
      <c r="N713" s="188"/>
      <c r="O713" s="188"/>
      <c r="P713" s="188"/>
      <c r="Q713" s="188"/>
      <c r="R713" s="188"/>
      <c r="S713" s="188"/>
      <c r="T713" s="188"/>
      <c r="U713" s="188"/>
      <c r="V713" s="188"/>
      <c r="W713" s="188"/>
    </row>
    <row r="714">
      <c r="A714" s="229"/>
      <c r="B714" s="188"/>
      <c r="C714" s="229"/>
      <c r="D714" s="229"/>
      <c r="E714" s="229"/>
      <c r="F714" s="188"/>
      <c r="G714" s="188"/>
      <c r="H714" s="188"/>
      <c r="I714" s="188"/>
      <c r="J714" s="188"/>
      <c r="K714" s="188"/>
      <c r="L714" s="188"/>
      <c r="M714" s="188"/>
      <c r="N714" s="188"/>
      <c r="O714" s="188"/>
      <c r="P714" s="188"/>
      <c r="Q714" s="188"/>
      <c r="R714" s="188"/>
      <c r="S714" s="188"/>
      <c r="T714" s="188"/>
      <c r="U714" s="188"/>
      <c r="V714" s="188"/>
      <c r="W714" s="188"/>
    </row>
    <row r="715">
      <c r="A715" s="229"/>
      <c r="B715" s="188"/>
      <c r="C715" s="229"/>
      <c r="D715" s="229"/>
      <c r="E715" s="229"/>
      <c r="F715" s="188"/>
      <c r="G715" s="188"/>
      <c r="H715" s="188"/>
      <c r="I715" s="188"/>
      <c r="J715" s="188"/>
      <c r="K715" s="188"/>
      <c r="L715" s="188"/>
      <c r="M715" s="188"/>
      <c r="N715" s="188"/>
      <c r="O715" s="188"/>
      <c r="P715" s="188"/>
      <c r="Q715" s="188"/>
      <c r="R715" s="188"/>
      <c r="S715" s="188"/>
      <c r="T715" s="188"/>
      <c r="U715" s="188"/>
      <c r="V715" s="188"/>
      <c r="W715" s="188"/>
    </row>
    <row r="716">
      <c r="A716" s="229"/>
      <c r="B716" s="188"/>
      <c r="C716" s="229"/>
      <c r="D716" s="229"/>
      <c r="E716" s="229"/>
      <c r="F716" s="188"/>
      <c r="G716" s="188"/>
      <c r="H716" s="188"/>
      <c r="I716" s="188"/>
      <c r="J716" s="188"/>
      <c r="K716" s="188"/>
      <c r="L716" s="188"/>
      <c r="M716" s="188"/>
      <c r="N716" s="188"/>
      <c r="O716" s="188"/>
      <c r="P716" s="188"/>
      <c r="Q716" s="188"/>
      <c r="R716" s="188"/>
      <c r="S716" s="188"/>
      <c r="T716" s="188"/>
      <c r="U716" s="188"/>
      <c r="V716" s="188"/>
      <c r="W716" s="188"/>
    </row>
    <row r="717">
      <c r="A717" s="229"/>
      <c r="B717" s="188"/>
      <c r="C717" s="229"/>
      <c r="D717" s="229"/>
      <c r="E717" s="229"/>
      <c r="F717" s="188"/>
      <c r="G717" s="188"/>
      <c r="H717" s="188"/>
      <c r="I717" s="188"/>
      <c r="J717" s="188"/>
      <c r="K717" s="188"/>
      <c r="L717" s="188"/>
      <c r="M717" s="188"/>
      <c r="N717" s="188"/>
      <c r="O717" s="188"/>
      <c r="P717" s="188"/>
      <c r="Q717" s="188"/>
      <c r="R717" s="188"/>
      <c r="S717" s="188"/>
      <c r="T717" s="188"/>
      <c r="U717" s="188"/>
      <c r="V717" s="188"/>
      <c r="W717" s="188"/>
    </row>
    <row r="718">
      <c r="A718" s="229"/>
      <c r="B718" s="188"/>
      <c r="C718" s="229"/>
      <c r="D718" s="229"/>
      <c r="E718" s="229"/>
      <c r="F718" s="188"/>
      <c r="G718" s="188"/>
      <c r="H718" s="188"/>
      <c r="I718" s="188"/>
      <c r="J718" s="188"/>
      <c r="K718" s="188"/>
      <c r="L718" s="188"/>
      <c r="M718" s="188"/>
      <c r="N718" s="188"/>
      <c r="O718" s="188"/>
      <c r="P718" s="188"/>
      <c r="Q718" s="188"/>
      <c r="R718" s="188"/>
      <c r="S718" s="188"/>
      <c r="T718" s="188"/>
      <c r="U718" s="188"/>
      <c r="V718" s="188"/>
      <c r="W718" s="188"/>
    </row>
    <row r="719">
      <c r="A719" s="229"/>
      <c r="B719" s="188"/>
      <c r="C719" s="229"/>
      <c r="D719" s="229"/>
      <c r="E719" s="229"/>
      <c r="F719" s="188"/>
      <c r="G719" s="188"/>
      <c r="H719" s="188"/>
      <c r="I719" s="188"/>
      <c r="J719" s="188"/>
      <c r="K719" s="188"/>
      <c r="L719" s="188"/>
      <c r="M719" s="188"/>
      <c r="N719" s="188"/>
      <c r="O719" s="188"/>
      <c r="P719" s="188"/>
      <c r="Q719" s="188"/>
      <c r="R719" s="188"/>
      <c r="S719" s="188"/>
      <c r="T719" s="188"/>
      <c r="U719" s="188"/>
      <c r="V719" s="188"/>
      <c r="W719" s="188"/>
    </row>
    <row r="720">
      <c r="A720" s="229"/>
      <c r="B720" s="188"/>
      <c r="C720" s="229"/>
      <c r="D720" s="229"/>
      <c r="E720" s="229"/>
      <c r="F720" s="188"/>
      <c r="G720" s="188"/>
      <c r="H720" s="188"/>
      <c r="I720" s="188"/>
      <c r="J720" s="188"/>
      <c r="K720" s="188"/>
      <c r="L720" s="188"/>
      <c r="M720" s="188"/>
      <c r="N720" s="188"/>
      <c r="O720" s="188"/>
      <c r="P720" s="188"/>
      <c r="Q720" s="188"/>
      <c r="R720" s="188"/>
      <c r="S720" s="188"/>
      <c r="T720" s="188"/>
      <c r="U720" s="188"/>
      <c r="V720" s="188"/>
      <c r="W720" s="188"/>
    </row>
    <row r="721">
      <c r="A721" s="229"/>
      <c r="B721" s="188"/>
      <c r="C721" s="229"/>
      <c r="D721" s="229"/>
      <c r="E721" s="229"/>
      <c r="F721" s="188"/>
      <c r="G721" s="188"/>
      <c r="H721" s="188"/>
      <c r="I721" s="188"/>
      <c r="J721" s="188"/>
      <c r="K721" s="188"/>
      <c r="L721" s="188"/>
      <c r="M721" s="188"/>
      <c r="N721" s="188"/>
      <c r="O721" s="188"/>
      <c r="P721" s="188"/>
      <c r="Q721" s="188"/>
      <c r="R721" s="188"/>
      <c r="S721" s="188"/>
      <c r="T721" s="188"/>
      <c r="U721" s="188"/>
      <c r="V721" s="188"/>
      <c r="W721" s="188"/>
    </row>
    <row r="722">
      <c r="A722" s="229"/>
      <c r="B722" s="188"/>
      <c r="C722" s="229"/>
      <c r="D722" s="229"/>
      <c r="E722" s="229"/>
      <c r="F722" s="188"/>
      <c r="G722" s="188"/>
      <c r="H722" s="188"/>
      <c r="I722" s="188"/>
      <c r="J722" s="188"/>
      <c r="K722" s="188"/>
      <c r="L722" s="188"/>
      <c r="M722" s="188"/>
      <c r="N722" s="188"/>
      <c r="O722" s="188"/>
      <c r="P722" s="188"/>
      <c r="Q722" s="188"/>
      <c r="R722" s="188"/>
      <c r="S722" s="188"/>
      <c r="T722" s="188"/>
      <c r="U722" s="188"/>
      <c r="V722" s="188"/>
      <c r="W722" s="188"/>
    </row>
    <row r="723">
      <c r="A723" s="229"/>
      <c r="B723" s="188"/>
      <c r="C723" s="229"/>
      <c r="D723" s="229"/>
      <c r="E723" s="229"/>
      <c r="F723" s="188"/>
      <c r="G723" s="188"/>
      <c r="H723" s="188"/>
      <c r="I723" s="188"/>
      <c r="J723" s="188"/>
      <c r="K723" s="188"/>
      <c r="L723" s="188"/>
      <c r="M723" s="188"/>
      <c r="N723" s="188"/>
      <c r="O723" s="188"/>
      <c r="P723" s="188"/>
      <c r="Q723" s="188"/>
      <c r="R723" s="188"/>
      <c r="S723" s="188"/>
      <c r="T723" s="188"/>
      <c r="U723" s="188"/>
      <c r="V723" s="188"/>
      <c r="W723" s="188"/>
    </row>
    <row r="724">
      <c r="A724" s="229"/>
      <c r="B724" s="188"/>
      <c r="C724" s="229"/>
      <c r="D724" s="229"/>
      <c r="E724" s="229"/>
      <c r="F724" s="188"/>
      <c r="G724" s="188"/>
      <c r="H724" s="188"/>
      <c r="I724" s="188"/>
      <c r="J724" s="188"/>
      <c r="K724" s="188"/>
      <c r="L724" s="188"/>
      <c r="M724" s="188"/>
      <c r="N724" s="188"/>
      <c r="O724" s="188"/>
      <c r="P724" s="188"/>
      <c r="Q724" s="188"/>
      <c r="R724" s="188"/>
      <c r="S724" s="188"/>
      <c r="T724" s="188"/>
      <c r="U724" s="188"/>
      <c r="V724" s="188"/>
      <c r="W724" s="188"/>
    </row>
    <row r="725">
      <c r="A725" s="229"/>
      <c r="B725" s="188"/>
      <c r="C725" s="229"/>
      <c r="D725" s="229"/>
      <c r="E725" s="229"/>
      <c r="F725" s="188"/>
      <c r="G725" s="188"/>
      <c r="H725" s="188"/>
      <c r="I725" s="188"/>
      <c r="J725" s="188"/>
      <c r="K725" s="188"/>
      <c r="L725" s="188"/>
      <c r="M725" s="188"/>
      <c r="N725" s="188"/>
      <c r="O725" s="188"/>
      <c r="P725" s="188"/>
      <c r="Q725" s="188"/>
      <c r="R725" s="188"/>
      <c r="S725" s="188"/>
      <c r="T725" s="188"/>
      <c r="U725" s="188"/>
      <c r="V725" s="188"/>
      <c r="W725" s="188"/>
    </row>
    <row r="726">
      <c r="A726" s="229"/>
      <c r="B726" s="188"/>
      <c r="C726" s="229"/>
      <c r="D726" s="229"/>
      <c r="E726" s="229"/>
      <c r="F726" s="188"/>
      <c r="G726" s="188"/>
      <c r="H726" s="188"/>
      <c r="I726" s="188"/>
      <c r="J726" s="188"/>
      <c r="K726" s="188"/>
      <c r="L726" s="188"/>
      <c r="M726" s="188"/>
      <c r="N726" s="188"/>
      <c r="O726" s="188"/>
      <c r="P726" s="188"/>
      <c r="Q726" s="188"/>
      <c r="R726" s="188"/>
      <c r="S726" s="188"/>
      <c r="T726" s="188"/>
      <c r="U726" s="188"/>
      <c r="V726" s="188"/>
      <c r="W726" s="188"/>
    </row>
    <row r="727">
      <c r="A727" s="229"/>
      <c r="B727" s="188"/>
      <c r="C727" s="229"/>
      <c r="D727" s="229"/>
      <c r="E727" s="229"/>
      <c r="F727" s="188"/>
      <c r="G727" s="188"/>
      <c r="H727" s="188"/>
      <c r="I727" s="188"/>
      <c r="J727" s="188"/>
      <c r="K727" s="188"/>
      <c r="L727" s="188"/>
      <c r="M727" s="188"/>
      <c r="N727" s="188"/>
      <c r="O727" s="188"/>
      <c r="P727" s="188"/>
      <c r="Q727" s="188"/>
      <c r="R727" s="188"/>
      <c r="S727" s="188"/>
      <c r="T727" s="188"/>
      <c r="U727" s="188"/>
      <c r="V727" s="188"/>
      <c r="W727" s="188"/>
    </row>
    <row r="728">
      <c r="A728" s="229"/>
      <c r="B728" s="188"/>
      <c r="C728" s="229"/>
      <c r="D728" s="229"/>
      <c r="E728" s="229"/>
      <c r="F728" s="188"/>
      <c r="G728" s="188"/>
      <c r="H728" s="188"/>
      <c r="I728" s="188"/>
      <c r="J728" s="188"/>
      <c r="K728" s="188"/>
      <c r="L728" s="188"/>
      <c r="M728" s="188"/>
      <c r="N728" s="188"/>
      <c r="O728" s="188"/>
      <c r="P728" s="188"/>
      <c r="Q728" s="188"/>
      <c r="R728" s="188"/>
      <c r="S728" s="188"/>
      <c r="T728" s="188"/>
      <c r="U728" s="188"/>
      <c r="V728" s="188"/>
      <c r="W728" s="188"/>
    </row>
    <row r="729">
      <c r="A729" s="229"/>
      <c r="B729" s="188"/>
      <c r="C729" s="229"/>
      <c r="D729" s="229"/>
      <c r="E729" s="229"/>
      <c r="F729" s="188"/>
      <c r="G729" s="188"/>
      <c r="H729" s="188"/>
      <c r="I729" s="188"/>
      <c r="J729" s="188"/>
      <c r="K729" s="188"/>
      <c r="L729" s="188"/>
      <c r="M729" s="188"/>
      <c r="N729" s="188"/>
      <c r="O729" s="188"/>
      <c r="P729" s="188"/>
      <c r="Q729" s="188"/>
      <c r="R729" s="188"/>
      <c r="S729" s="188"/>
      <c r="T729" s="188"/>
      <c r="U729" s="188"/>
      <c r="V729" s="188"/>
      <c r="W729" s="188"/>
    </row>
    <row r="730">
      <c r="A730" s="229"/>
      <c r="B730" s="188"/>
      <c r="C730" s="229"/>
      <c r="D730" s="229"/>
      <c r="E730" s="229"/>
      <c r="F730" s="188"/>
      <c r="G730" s="188"/>
      <c r="H730" s="188"/>
      <c r="I730" s="188"/>
      <c r="J730" s="188"/>
      <c r="K730" s="188"/>
      <c r="L730" s="188"/>
      <c r="M730" s="188"/>
      <c r="N730" s="188"/>
      <c r="O730" s="188"/>
      <c r="P730" s="188"/>
      <c r="Q730" s="188"/>
      <c r="R730" s="188"/>
      <c r="S730" s="188"/>
      <c r="T730" s="188"/>
      <c r="U730" s="188"/>
      <c r="V730" s="188"/>
      <c r="W730" s="188"/>
    </row>
    <row r="731">
      <c r="A731" s="229"/>
      <c r="B731" s="188"/>
      <c r="C731" s="229"/>
      <c r="D731" s="229"/>
      <c r="E731" s="229"/>
      <c r="F731" s="188"/>
      <c r="G731" s="188"/>
      <c r="H731" s="188"/>
      <c r="I731" s="188"/>
      <c r="J731" s="188"/>
      <c r="K731" s="188"/>
      <c r="L731" s="188"/>
      <c r="M731" s="188"/>
      <c r="N731" s="188"/>
      <c r="O731" s="188"/>
      <c r="P731" s="188"/>
      <c r="Q731" s="188"/>
      <c r="R731" s="188"/>
      <c r="S731" s="188"/>
      <c r="T731" s="188"/>
      <c r="U731" s="188"/>
      <c r="V731" s="188"/>
      <c r="W731" s="188"/>
    </row>
    <row r="732">
      <c r="A732" s="229"/>
      <c r="B732" s="188"/>
      <c r="C732" s="229"/>
      <c r="D732" s="229"/>
      <c r="E732" s="229"/>
      <c r="F732" s="188"/>
      <c r="G732" s="188"/>
      <c r="H732" s="188"/>
      <c r="I732" s="188"/>
      <c r="J732" s="188"/>
      <c r="K732" s="188"/>
      <c r="L732" s="188"/>
      <c r="M732" s="188"/>
      <c r="N732" s="188"/>
      <c r="O732" s="188"/>
      <c r="P732" s="188"/>
      <c r="Q732" s="188"/>
      <c r="R732" s="188"/>
      <c r="S732" s="188"/>
      <c r="T732" s="188"/>
      <c r="U732" s="188"/>
      <c r="V732" s="188"/>
      <c r="W732" s="188"/>
    </row>
    <row r="733">
      <c r="A733" s="229"/>
      <c r="B733" s="188"/>
      <c r="C733" s="229"/>
      <c r="D733" s="229"/>
      <c r="E733" s="229"/>
      <c r="F733" s="188"/>
      <c r="G733" s="188"/>
      <c r="H733" s="188"/>
      <c r="I733" s="188"/>
      <c r="J733" s="188"/>
      <c r="K733" s="188"/>
      <c r="L733" s="188"/>
      <c r="M733" s="188"/>
      <c r="N733" s="188"/>
      <c r="O733" s="188"/>
      <c r="P733" s="188"/>
      <c r="Q733" s="188"/>
      <c r="R733" s="188"/>
      <c r="S733" s="188"/>
      <c r="T733" s="188"/>
      <c r="U733" s="188"/>
      <c r="V733" s="188"/>
      <c r="W733" s="188"/>
    </row>
    <row r="734">
      <c r="A734" s="229"/>
      <c r="B734" s="188"/>
      <c r="C734" s="229"/>
      <c r="D734" s="229"/>
      <c r="E734" s="229"/>
      <c r="F734" s="188"/>
      <c r="G734" s="188"/>
      <c r="H734" s="188"/>
      <c r="I734" s="188"/>
      <c r="J734" s="188"/>
      <c r="K734" s="188"/>
      <c r="L734" s="188"/>
      <c r="M734" s="188"/>
      <c r="N734" s="188"/>
      <c r="O734" s="188"/>
      <c r="P734" s="188"/>
      <c r="Q734" s="188"/>
      <c r="R734" s="188"/>
      <c r="S734" s="188"/>
      <c r="T734" s="188"/>
      <c r="U734" s="188"/>
      <c r="V734" s="188"/>
      <c r="W734" s="188"/>
    </row>
    <row r="735">
      <c r="A735" s="229"/>
      <c r="B735" s="188"/>
      <c r="C735" s="229"/>
      <c r="D735" s="229"/>
      <c r="E735" s="229"/>
      <c r="F735" s="188"/>
      <c r="G735" s="188"/>
      <c r="H735" s="188"/>
      <c r="I735" s="188"/>
      <c r="J735" s="188"/>
      <c r="K735" s="188"/>
      <c r="L735" s="188"/>
      <c r="M735" s="188"/>
      <c r="N735" s="188"/>
      <c r="O735" s="188"/>
      <c r="P735" s="188"/>
      <c r="Q735" s="188"/>
      <c r="R735" s="188"/>
      <c r="S735" s="188"/>
      <c r="T735" s="188"/>
      <c r="U735" s="188"/>
      <c r="V735" s="188"/>
      <c r="W735" s="188"/>
    </row>
    <row r="736">
      <c r="A736" s="229"/>
      <c r="B736" s="188"/>
      <c r="C736" s="229"/>
      <c r="D736" s="229"/>
      <c r="E736" s="229"/>
      <c r="F736" s="188"/>
      <c r="G736" s="188"/>
      <c r="H736" s="188"/>
      <c r="I736" s="188"/>
      <c r="J736" s="188"/>
      <c r="K736" s="188"/>
      <c r="L736" s="188"/>
      <c r="M736" s="188"/>
      <c r="N736" s="188"/>
      <c r="O736" s="188"/>
      <c r="P736" s="188"/>
      <c r="Q736" s="188"/>
      <c r="R736" s="188"/>
      <c r="S736" s="188"/>
      <c r="T736" s="188"/>
      <c r="U736" s="188"/>
      <c r="V736" s="188"/>
      <c r="W736" s="188"/>
    </row>
    <row r="737">
      <c r="A737" s="229"/>
      <c r="B737" s="188"/>
      <c r="C737" s="229"/>
      <c r="D737" s="229"/>
      <c r="E737" s="229"/>
      <c r="F737" s="188"/>
      <c r="G737" s="188"/>
      <c r="H737" s="188"/>
      <c r="I737" s="188"/>
      <c r="J737" s="188"/>
      <c r="K737" s="188"/>
      <c r="L737" s="188"/>
      <c r="M737" s="188"/>
      <c r="N737" s="188"/>
      <c r="O737" s="188"/>
      <c r="P737" s="188"/>
      <c r="Q737" s="188"/>
      <c r="R737" s="188"/>
      <c r="S737" s="188"/>
      <c r="T737" s="188"/>
      <c r="U737" s="188"/>
      <c r="V737" s="188"/>
      <c r="W737" s="188"/>
    </row>
    <row r="738">
      <c r="A738" s="229"/>
      <c r="B738" s="188"/>
      <c r="C738" s="229"/>
      <c r="D738" s="229"/>
      <c r="E738" s="229"/>
      <c r="F738" s="188"/>
      <c r="G738" s="188"/>
      <c r="H738" s="188"/>
      <c r="I738" s="188"/>
      <c r="J738" s="188"/>
      <c r="K738" s="188"/>
      <c r="L738" s="188"/>
      <c r="M738" s="188"/>
      <c r="N738" s="188"/>
      <c r="O738" s="188"/>
      <c r="P738" s="188"/>
      <c r="Q738" s="188"/>
      <c r="R738" s="188"/>
      <c r="S738" s="188"/>
      <c r="T738" s="188"/>
      <c r="U738" s="188"/>
      <c r="V738" s="188"/>
      <c r="W738" s="188"/>
    </row>
    <row r="739">
      <c r="A739" s="229"/>
      <c r="B739" s="188"/>
      <c r="C739" s="229"/>
      <c r="D739" s="229"/>
      <c r="E739" s="229"/>
      <c r="F739" s="188"/>
      <c r="G739" s="188"/>
      <c r="H739" s="188"/>
      <c r="I739" s="188"/>
      <c r="J739" s="188"/>
      <c r="K739" s="188"/>
      <c r="L739" s="188"/>
      <c r="M739" s="188"/>
      <c r="N739" s="188"/>
      <c r="O739" s="188"/>
      <c r="P739" s="188"/>
      <c r="Q739" s="188"/>
      <c r="R739" s="188"/>
      <c r="S739" s="188"/>
      <c r="T739" s="188"/>
      <c r="U739" s="188"/>
      <c r="V739" s="188"/>
      <c r="W739" s="188"/>
    </row>
    <row r="740">
      <c r="A740" s="229"/>
      <c r="B740" s="188"/>
      <c r="C740" s="229"/>
      <c r="D740" s="229"/>
      <c r="E740" s="229"/>
      <c r="F740" s="188"/>
      <c r="G740" s="188"/>
      <c r="H740" s="188"/>
      <c r="I740" s="188"/>
      <c r="J740" s="188"/>
      <c r="K740" s="188"/>
      <c r="L740" s="188"/>
      <c r="M740" s="188"/>
      <c r="N740" s="188"/>
      <c r="O740" s="188"/>
      <c r="P740" s="188"/>
      <c r="Q740" s="188"/>
      <c r="R740" s="188"/>
      <c r="S740" s="188"/>
      <c r="T740" s="188"/>
      <c r="U740" s="188"/>
      <c r="V740" s="188"/>
      <c r="W740" s="188"/>
    </row>
    <row r="741">
      <c r="A741" s="229"/>
      <c r="B741" s="188"/>
      <c r="C741" s="229"/>
      <c r="D741" s="229"/>
      <c r="E741" s="229"/>
      <c r="F741" s="188"/>
      <c r="G741" s="188"/>
      <c r="H741" s="188"/>
      <c r="I741" s="188"/>
      <c r="J741" s="188"/>
      <c r="K741" s="188"/>
      <c r="L741" s="188"/>
      <c r="M741" s="188"/>
      <c r="N741" s="188"/>
      <c r="O741" s="188"/>
      <c r="P741" s="188"/>
      <c r="Q741" s="188"/>
      <c r="R741" s="188"/>
      <c r="S741" s="188"/>
      <c r="T741" s="188"/>
      <c r="U741" s="188"/>
      <c r="V741" s="188"/>
      <c r="W741" s="188"/>
    </row>
    <row r="742">
      <c r="A742" s="229"/>
      <c r="B742" s="188"/>
      <c r="C742" s="229"/>
      <c r="D742" s="229"/>
      <c r="E742" s="229"/>
      <c r="F742" s="188"/>
      <c r="G742" s="188"/>
      <c r="H742" s="188"/>
      <c r="I742" s="188"/>
      <c r="J742" s="188"/>
      <c r="K742" s="188"/>
      <c r="L742" s="188"/>
      <c r="M742" s="188"/>
      <c r="N742" s="188"/>
      <c r="O742" s="188"/>
      <c r="P742" s="188"/>
      <c r="Q742" s="188"/>
      <c r="R742" s="188"/>
      <c r="S742" s="188"/>
      <c r="T742" s="188"/>
      <c r="U742" s="188"/>
      <c r="V742" s="188"/>
      <c r="W742" s="188"/>
    </row>
    <row r="743">
      <c r="A743" s="229"/>
      <c r="B743" s="188"/>
      <c r="C743" s="229"/>
      <c r="D743" s="229"/>
      <c r="E743" s="229"/>
      <c r="F743" s="188"/>
      <c r="G743" s="188"/>
      <c r="H743" s="188"/>
      <c r="I743" s="188"/>
      <c r="J743" s="188"/>
      <c r="K743" s="188"/>
      <c r="L743" s="188"/>
      <c r="M743" s="188"/>
      <c r="N743" s="188"/>
      <c r="O743" s="188"/>
      <c r="P743" s="188"/>
      <c r="Q743" s="188"/>
      <c r="R743" s="188"/>
      <c r="S743" s="188"/>
      <c r="T743" s="188"/>
      <c r="U743" s="188"/>
      <c r="V743" s="188"/>
      <c r="W743" s="188"/>
    </row>
    <row r="744">
      <c r="A744" s="229"/>
      <c r="B744" s="188"/>
      <c r="C744" s="229"/>
      <c r="D744" s="229"/>
      <c r="E744" s="229"/>
      <c r="F744" s="188"/>
      <c r="G744" s="188"/>
      <c r="H744" s="188"/>
      <c r="I744" s="188"/>
      <c r="J744" s="188"/>
      <c r="K744" s="188"/>
      <c r="L744" s="188"/>
      <c r="M744" s="188"/>
      <c r="N744" s="188"/>
      <c r="O744" s="188"/>
      <c r="P744" s="188"/>
      <c r="Q744" s="188"/>
      <c r="R744" s="188"/>
      <c r="S744" s="188"/>
      <c r="T744" s="188"/>
      <c r="U744" s="188"/>
      <c r="V744" s="188"/>
      <c r="W744" s="188"/>
    </row>
    <row r="745">
      <c r="A745" s="229"/>
      <c r="B745" s="188"/>
      <c r="C745" s="229"/>
      <c r="D745" s="229"/>
      <c r="E745" s="229"/>
      <c r="F745" s="188"/>
      <c r="G745" s="188"/>
      <c r="H745" s="188"/>
      <c r="I745" s="188"/>
      <c r="J745" s="188"/>
      <c r="K745" s="188"/>
      <c r="L745" s="188"/>
      <c r="M745" s="188"/>
      <c r="N745" s="188"/>
      <c r="O745" s="188"/>
      <c r="P745" s="188"/>
      <c r="Q745" s="188"/>
      <c r="R745" s="188"/>
      <c r="S745" s="188"/>
      <c r="T745" s="188"/>
      <c r="U745" s="188"/>
      <c r="V745" s="188"/>
      <c r="W745" s="188"/>
    </row>
    <row r="746">
      <c r="A746" s="229"/>
      <c r="B746" s="188"/>
      <c r="C746" s="229"/>
      <c r="D746" s="229"/>
      <c r="E746" s="229"/>
      <c r="F746" s="188"/>
      <c r="G746" s="188"/>
      <c r="H746" s="188"/>
      <c r="I746" s="188"/>
      <c r="J746" s="188"/>
      <c r="K746" s="188"/>
      <c r="L746" s="188"/>
      <c r="M746" s="188"/>
      <c r="N746" s="188"/>
      <c r="O746" s="188"/>
      <c r="P746" s="188"/>
      <c r="Q746" s="188"/>
      <c r="R746" s="188"/>
      <c r="S746" s="188"/>
      <c r="T746" s="188"/>
      <c r="U746" s="188"/>
      <c r="V746" s="188"/>
      <c r="W746" s="188"/>
    </row>
    <row r="747">
      <c r="A747" s="229"/>
      <c r="B747" s="188"/>
      <c r="C747" s="229"/>
      <c r="D747" s="229"/>
      <c r="E747" s="229"/>
      <c r="F747" s="188"/>
      <c r="G747" s="188"/>
      <c r="H747" s="188"/>
      <c r="I747" s="188"/>
      <c r="J747" s="188"/>
      <c r="K747" s="188"/>
      <c r="L747" s="188"/>
      <c r="M747" s="188"/>
      <c r="N747" s="188"/>
      <c r="O747" s="188"/>
      <c r="P747" s="188"/>
      <c r="Q747" s="188"/>
      <c r="R747" s="188"/>
      <c r="S747" s="188"/>
      <c r="T747" s="188"/>
      <c r="U747" s="188"/>
      <c r="V747" s="188"/>
      <c r="W747" s="188"/>
    </row>
    <row r="748">
      <c r="A748" s="229"/>
      <c r="B748" s="188"/>
      <c r="C748" s="229"/>
      <c r="D748" s="229"/>
      <c r="E748" s="229"/>
      <c r="F748" s="188"/>
      <c r="G748" s="188"/>
      <c r="H748" s="188"/>
      <c r="I748" s="188"/>
      <c r="J748" s="188"/>
      <c r="K748" s="188"/>
      <c r="L748" s="188"/>
      <c r="M748" s="188"/>
      <c r="N748" s="188"/>
      <c r="O748" s="188"/>
      <c r="P748" s="188"/>
      <c r="Q748" s="188"/>
      <c r="R748" s="188"/>
      <c r="S748" s="188"/>
      <c r="T748" s="188"/>
      <c r="U748" s="188"/>
      <c r="V748" s="188"/>
      <c r="W748" s="188"/>
    </row>
    <row r="749">
      <c r="A749" s="229"/>
      <c r="B749" s="188"/>
      <c r="C749" s="229"/>
      <c r="D749" s="229"/>
      <c r="E749" s="229"/>
      <c r="F749" s="188"/>
      <c r="G749" s="188"/>
      <c r="H749" s="188"/>
      <c r="I749" s="188"/>
      <c r="J749" s="188"/>
      <c r="K749" s="188"/>
      <c r="L749" s="188"/>
      <c r="M749" s="188"/>
      <c r="N749" s="188"/>
      <c r="O749" s="188"/>
      <c r="P749" s="188"/>
      <c r="Q749" s="188"/>
      <c r="R749" s="188"/>
      <c r="S749" s="188"/>
      <c r="T749" s="188"/>
      <c r="U749" s="188"/>
      <c r="V749" s="188"/>
      <c r="W749" s="188"/>
    </row>
    <row r="750">
      <c r="A750" s="229"/>
      <c r="B750" s="188"/>
      <c r="C750" s="229"/>
      <c r="D750" s="229"/>
      <c r="E750" s="229"/>
      <c r="F750" s="188"/>
      <c r="G750" s="188"/>
      <c r="H750" s="188"/>
      <c r="I750" s="188"/>
      <c r="J750" s="188"/>
      <c r="K750" s="188"/>
      <c r="L750" s="188"/>
      <c r="M750" s="188"/>
      <c r="N750" s="188"/>
      <c r="O750" s="188"/>
      <c r="P750" s="188"/>
      <c r="Q750" s="188"/>
      <c r="R750" s="188"/>
      <c r="S750" s="188"/>
      <c r="T750" s="188"/>
      <c r="U750" s="188"/>
      <c r="V750" s="188"/>
      <c r="W750" s="188"/>
    </row>
    <row r="751">
      <c r="A751" s="229"/>
      <c r="B751" s="188"/>
      <c r="C751" s="229"/>
      <c r="D751" s="229"/>
      <c r="E751" s="229"/>
      <c r="F751" s="188"/>
      <c r="G751" s="188"/>
      <c r="H751" s="188"/>
      <c r="I751" s="188"/>
      <c r="J751" s="188"/>
      <c r="K751" s="188"/>
      <c r="L751" s="188"/>
      <c r="M751" s="188"/>
      <c r="N751" s="188"/>
      <c r="O751" s="188"/>
      <c r="P751" s="188"/>
      <c r="Q751" s="188"/>
      <c r="R751" s="188"/>
      <c r="S751" s="188"/>
      <c r="T751" s="188"/>
      <c r="U751" s="188"/>
      <c r="V751" s="188"/>
      <c r="W751" s="188"/>
    </row>
    <row r="752">
      <c r="A752" s="229"/>
      <c r="B752" s="188"/>
      <c r="C752" s="229"/>
      <c r="D752" s="229"/>
      <c r="E752" s="229"/>
      <c r="F752" s="188"/>
      <c r="G752" s="188"/>
      <c r="H752" s="188"/>
      <c r="I752" s="188"/>
      <c r="J752" s="188"/>
      <c r="K752" s="188"/>
      <c r="L752" s="188"/>
      <c r="M752" s="188"/>
      <c r="N752" s="188"/>
      <c r="O752" s="188"/>
      <c r="P752" s="188"/>
      <c r="Q752" s="188"/>
      <c r="R752" s="188"/>
      <c r="S752" s="188"/>
      <c r="T752" s="188"/>
      <c r="U752" s="188"/>
      <c r="V752" s="188"/>
      <c r="W752" s="188"/>
    </row>
    <row r="753">
      <c r="A753" s="229"/>
      <c r="B753" s="188"/>
      <c r="C753" s="229"/>
      <c r="D753" s="229"/>
      <c r="E753" s="229"/>
      <c r="F753" s="188"/>
      <c r="G753" s="188"/>
      <c r="H753" s="188"/>
      <c r="I753" s="188"/>
      <c r="J753" s="188"/>
      <c r="K753" s="188"/>
      <c r="L753" s="188"/>
      <c r="M753" s="188"/>
      <c r="N753" s="188"/>
      <c r="O753" s="188"/>
      <c r="P753" s="188"/>
      <c r="Q753" s="188"/>
      <c r="R753" s="188"/>
      <c r="S753" s="188"/>
      <c r="T753" s="188"/>
      <c r="U753" s="188"/>
      <c r="V753" s="188"/>
      <c r="W753" s="188"/>
    </row>
    <row r="754">
      <c r="A754" s="229"/>
      <c r="B754" s="188"/>
      <c r="C754" s="229"/>
      <c r="D754" s="229"/>
      <c r="E754" s="229"/>
      <c r="F754" s="188"/>
      <c r="G754" s="188"/>
      <c r="H754" s="188"/>
      <c r="I754" s="188"/>
      <c r="J754" s="188"/>
      <c r="K754" s="188"/>
      <c r="L754" s="188"/>
      <c r="M754" s="188"/>
      <c r="N754" s="188"/>
      <c r="O754" s="188"/>
      <c r="P754" s="188"/>
      <c r="Q754" s="188"/>
      <c r="R754" s="188"/>
      <c r="S754" s="188"/>
      <c r="T754" s="188"/>
      <c r="U754" s="188"/>
      <c r="V754" s="188"/>
      <c r="W754" s="188"/>
    </row>
    <row r="755">
      <c r="A755" s="229"/>
      <c r="B755" s="188"/>
      <c r="C755" s="229"/>
      <c r="D755" s="229"/>
      <c r="E755" s="229"/>
      <c r="F755" s="188"/>
      <c r="G755" s="188"/>
      <c r="H755" s="188"/>
      <c r="I755" s="188"/>
      <c r="J755" s="188"/>
      <c r="K755" s="188"/>
      <c r="L755" s="188"/>
      <c r="M755" s="188"/>
      <c r="N755" s="188"/>
      <c r="O755" s="188"/>
      <c r="P755" s="188"/>
      <c r="Q755" s="188"/>
      <c r="R755" s="188"/>
      <c r="S755" s="188"/>
      <c r="T755" s="188"/>
      <c r="U755" s="188"/>
      <c r="V755" s="188"/>
      <c r="W755" s="188"/>
    </row>
    <row r="756">
      <c r="A756" s="229"/>
      <c r="B756" s="188"/>
      <c r="C756" s="229"/>
      <c r="D756" s="229"/>
      <c r="E756" s="229"/>
      <c r="F756" s="188"/>
      <c r="G756" s="188"/>
      <c r="H756" s="188"/>
      <c r="I756" s="188"/>
      <c r="J756" s="188"/>
      <c r="K756" s="188"/>
      <c r="L756" s="188"/>
      <c r="M756" s="188"/>
      <c r="N756" s="188"/>
      <c r="O756" s="188"/>
      <c r="P756" s="188"/>
      <c r="Q756" s="188"/>
      <c r="R756" s="188"/>
      <c r="S756" s="188"/>
      <c r="T756" s="188"/>
      <c r="U756" s="188"/>
      <c r="V756" s="188"/>
      <c r="W756" s="188"/>
    </row>
    <row r="757">
      <c r="A757" s="229"/>
      <c r="B757" s="188"/>
      <c r="C757" s="229"/>
      <c r="D757" s="229"/>
      <c r="E757" s="229"/>
      <c r="F757" s="188"/>
      <c r="G757" s="188"/>
      <c r="H757" s="188"/>
      <c r="I757" s="188"/>
      <c r="J757" s="188"/>
      <c r="K757" s="188"/>
      <c r="L757" s="188"/>
      <c r="M757" s="188"/>
      <c r="N757" s="188"/>
      <c r="O757" s="188"/>
      <c r="P757" s="188"/>
      <c r="Q757" s="188"/>
      <c r="R757" s="188"/>
      <c r="S757" s="188"/>
      <c r="T757" s="188"/>
      <c r="U757" s="188"/>
      <c r="V757" s="188"/>
      <c r="W757" s="188"/>
    </row>
    <row r="758">
      <c r="A758" s="229"/>
      <c r="B758" s="188"/>
      <c r="C758" s="229"/>
      <c r="D758" s="229"/>
      <c r="E758" s="229"/>
      <c r="F758" s="188"/>
      <c r="G758" s="188"/>
      <c r="H758" s="188"/>
      <c r="I758" s="188"/>
      <c r="J758" s="188"/>
      <c r="K758" s="188"/>
      <c r="L758" s="188"/>
      <c r="M758" s="188"/>
      <c r="N758" s="188"/>
      <c r="O758" s="188"/>
      <c r="P758" s="188"/>
      <c r="Q758" s="188"/>
      <c r="R758" s="188"/>
      <c r="S758" s="188"/>
      <c r="T758" s="188"/>
      <c r="U758" s="188"/>
      <c r="V758" s="188"/>
      <c r="W758" s="188"/>
    </row>
    <row r="759">
      <c r="A759" s="229"/>
      <c r="B759" s="188"/>
      <c r="C759" s="229"/>
      <c r="D759" s="229"/>
      <c r="E759" s="229"/>
      <c r="F759" s="188"/>
      <c r="G759" s="188"/>
      <c r="H759" s="188"/>
      <c r="I759" s="188"/>
      <c r="J759" s="188"/>
      <c r="K759" s="188"/>
      <c r="L759" s="188"/>
      <c r="M759" s="188"/>
      <c r="N759" s="188"/>
      <c r="O759" s="188"/>
      <c r="P759" s="188"/>
      <c r="Q759" s="188"/>
      <c r="R759" s="188"/>
      <c r="S759" s="188"/>
      <c r="T759" s="188"/>
      <c r="U759" s="188"/>
      <c r="V759" s="188"/>
      <c r="W759" s="188"/>
    </row>
    <row r="760">
      <c r="A760" s="229"/>
      <c r="B760" s="188"/>
      <c r="C760" s="229"/>
      <c r="D760" s="229"/>
      <c r="E760" s="229"/>
      <c r="F760" s="188"/>
      <c r="G760" s="188"/>
      <c r="H760" s="188"/>
      <c r="I760" s="188"/>
      <c r="J760" s="188"/>
      <c r="K760" s="188"/>
      <c r="L760" s="188"/>
      <c r="M760" s="188"/>
      <c r="N760" s="188"/>
      <c r="O760" s="188"/>
      <c r="P760" s="188"/>
      <c r="Q760" s="188"/>
      <c r="R760" s="188"/>
      <c r="S760" s="188"/>
      <c r="T760" s="188"/>
      <c r="U760" s="188"/>
      <c r="V760" s="188"/>
      <c r="W760" s="188"/>
    </row>
    <row r="761">
      <c r="A761" s="229"/>
      <c r="B761" s="188"/>
      <c r="C761" s="229"/>
      <c r="D761" s="229"/>
      <c r="E761" s="229"/>
      <c r="F761" s="188"/>
      <c r="G761" s="188"/>
      <c r="H761" s="188"/>
      <c r="I761" s="188"/>
      <c r="J761" s="188"/>
      <c r="K761" s="188"/>
      <c r="L761" s="188"/>
      <c r="M761" s="188"/>
      <c r="N761" s="188"/>
      <c r="O761" s="188"/>
      <c r="P761" s="188"/>
      <c r="Q761" s="188"/>
      <c r="R761" s="188"/>
      <c r="S761" s="188"/>
      <c r="T761" s="188"/>
      <c r="U761" s="188"/>
      <c r="V761" s="188"/>
      <c r="W761" s="188"/>
    </row>
    <row r="762">
      <c r="A762" s="229"/>
      <c r="B762" s="188"/>
      <c r="C762" s="229"/>
      <c r="D762" s="229"/>
      <c r="E762" s="229"/>
      <c r="F762" s="188"/>
      <c r="G762" s="188"/>
      <c r="H762" s="188"/>
      <c r="I762" s="188"/>
      <c r="J762" s="188"/>
      <c r="K762" s="188"/>
      <c r="L762" s="188"/>
      <c r="M762" s="188"/>
      <c r="N762" s="188"/>
      <c r="O762" s="188"/>
      <c r="P762" s="188"/>
      <c r="Q762" s="188"/>
      <c r="R762" s="188"/>
      <c r="S762" s="188"/>
      <c r="T762" s="188"/>
      <c r="U762" s="188"/>
      <c r="V762" s="188"/>
      <c r="W762" s="188"/>
    </row>
    <row r="763">
      <c r="A763" s="229"/>
      <c r="B763" s="188"/>
      <c r="C763" s="229"/>
      <c r="D763" s="229"/>
      <c r="E763" s="229"/>
      <c r="F763" s="188"/>
      <c r="G763" s="188"/>
      <c r="H763" s="188"/>
      <c r="I763" s="188"/>
      <c r="J763" s="188"/>
      <c r="K763" s="188"/>
      <c r="L763" s="188"/>
      <c r="M763" s="188"/>
      <c r="N763" s="188"/>
      <c r="O763" s="188"/>
      <c r="P763" s="188"/>
      <c r="Q763" s="188"/>
      <c r="R763" s="188"/>
      <c r="S763" s="188"/>
      <c r="T763" s="188"/>
      <c r="U763" s="188"/>
      <c r="V763" s="188"/>
      <c r="W763" s="188"/>
    </row>
    <row r="764">
      <c r="A764" s="229"/>
      <c r="B764" s="188"/>
      <c r="C764" s="229"/>
      <c r="D764" s="229"/>
      <c r="E764" s="229"/>
      <c r="F764" s="188"/>
      <c r="G764" s="188"/>
      <c r="H764" s="188"/>
      <c r="I764" s="188"/>
      <c r="J764" s="188"/>
      <c r="K764" s="188"/>
      <c r="L764" s="188"/>
      <c r="M764" s="188"/>
      <c r="N764" s="188"/>
      <c r="O764" s="188"/>
      <c r="P764" s="188"/>
      <c r="Q764" s="188"/>
      <c r="R764" s="188"/>
      <c r="S764" s="188"/>
      <c r="T764" s="188"/>
      <c r="U764" s="188"/>
      <c r="V764" s="188"/>
      <c r="W764" s="188"/>
    </row>
    <row r="765">
      <c r="A765" s="229"/>
      <c r="B765" s="188"/>
      <c r="C765" s="229"/>
      <c r="D765" s="229"/>
      <c r="E765" s="229"/>
      <c r="F765" s="188"/>
      <c r="G765" s="188"/>
      <c r="H765" s="188"/>
      <c r="I765" s="188"/>
      <c r="J765" s="188"/>
      <c r="K765" s="188"/>
      <c r="L765" s="188"/>
      <c r="M765" s="188"/>
      <c r="N765" s="188"/>
      <c r="O765" s="188"/>
      <c r="P765" s="188"/>
      <c r="Q765" s="188"/>
      <c r="R765" s="188"/>
      <c r="S765" s="188"/>
      <c r="T765" s="188"/>
      <c r="U765" s="188"/>
      <c r="V765" s="188"/>
      <c r="W765" s="188"/>
    </row>
    <row r="766">
      <c r="A766" s="229"/>
      <c r="B766" s="188"/>
      <c r="C766" s="229"/>
      <c r="D766" s="229"/>
      <c r="E766" s="229"/>
      <c r="F766" s="188"/>
      <c r="G766" s="188"/>
      <c r="H766" s="188"/>
      <c r="I766" s="188"/>
      <c r="J766" s="188"/>
      <c r="K766" s="188"/>
      <c r="L766" s="188"/>
      <c r="M766" s="188"/>
      <c r="N766" s="188"/>
      <c r="O766" s="188"/>
      <c r="P766" s="188"/>
      <c r="Q766" s="188"/>
      <c r="R766" s="188"/>
      <c r="S766" s="188"/>
      <c r="T766" s="188"/>
      <c r="U766" s="188"/>
      <c r="V766" s="188"/>
      <c r="W766" s="188"/>
    </row>
    <row r="767">
      <c r="A767" s="229"/>
      <c r="B767" s="188"/>
      <c r="C767" s="229"/>
      <c r="D767" s="229"/>
      <c r="E767" s="229"/>
      <c r="F767" s="188"/>
      <c r="G767" s="188"/>
      <c r="H767" s="188"/>
      <c r="I767" s="188"/>
      <c r="J767" s="188"/>
      <c r="K767" s="188"/>
      <c r="L767" s="188"/>
      <c r="M767" s="188"/>
      <c r="N767" s="188"/>
      <c r="O767" s="188"/>
      <c r="P767" s="188"/>
      <c r="Q767" s="188"/>
      <c r="R767" s="188"/>
      <c r="S767" s="188"/>
      <c r="T767" s="188"/>
      <c r="U767" s="188"/>
      <c r="V767" s="188"/>
      <c r="W767" s="188"/>
    </row>
    <row r="768">
      <c r="A768" s="229"/>
      <c r="B768" s="188"/>
      <c r="C768" s="229"/>
      <c r="D768" s="229"/>
      <c r="E768" s="229"/>
      <c r="F768" s="188"/>
      <c r="G768" s="188"/>
      <c r="H768" s="188"/>
      <c r="I768" s="188"/>
      <c r="J768" s="188"/>
      <c r="K768" s="188"/>
      <c r="L768" s="188"/>
      <c r="M768" s="188"/>
      <c r="N768" s="188"/>
      <c r="O768" s="188"/>
      <c r="P768" s="188"/>
      <c r="Q768" s="188"/>
      <c r="R768" s="188"/>
      <c r="S768" s="188"/>
      <c r="T768" s="188"/>
      <c r="U768" s="188"/>
      <c r="V768" s="188"/>
      <c r="W768" s="188"/>
    </row>
    <row r="769">
      <c r="A769" s="229"/>
      <c r="B769" s="188"/>
      <c r="C769" s="229"/>
      <c r="D769" s="229"/>
      <c r="E769" s="229"/>
      <c r="F769" s="188"/>
      <c r="G769" s="188"/>
      <c r="H769" s="188"/>
      <c r="I769" s="188"/>
      <c r="J769" s="188"/>
      <c r="K769" s="188"/>
      <c r="L769" s="188"/>
      <c r="M769" s="188"/>
      <c r="N769" s="188"/>
      <c r="O769" s="188"/>
      <c r="P769" s="188"/>
      <c r="Q769" s="188"/>
      <c r="R769" s="188"/>
      <c r="S769" s="188"/>
      <c r="T769" s="188"/>
      <c r="U769" s="188"/>
      <c r="V769" s="188"/>
      <c r="W769" s="188"/>
    </row>
    <row r="770">
      <c r="A770" s="229"/>
      <c r="B770" s="188"/>
      <c r="C770" s="229"/>
      <c r="D770" s="229"/>
      <c r="E770" s="229"/>
      <c r="F770" s="188"/>
      <c r="G770" s="188"/>
      <c r="H770" s="188"/>
      <c r="I770" s="188"/>
      <c r="J770" s="188"/>
      <c r="K770" s="188"/>
      <c r="L770" s="188"/>
      <c r="M770" s="188"/>
      <c r="N770" s="188"/>
      <c r="O770" s="188"/>
      <c r="P770" s="188"/>
      <c r="Q770" s="188"/>
      <c r="R770" s="188"/>
      <c r="S770" s="188"/>
      <c r="T770" s="188"/>
      <c r="U770" s="188"/>
      <c r="V770" s="188"/>
      <c r="W770" s="188"/>
    </row>
    <row r="771">
      <c r="A771" s="229"/>
      <c r="B771" s="188"/>
      <c r="C771" s="229"/>
      <c r="D771" s="229"/>
      <c r="E771" s="229"/>
      <c r="F771" s="188"/>
      <c r="G771" s="188"/>
      <c r="H771" s="188"/>
      <c r="I771" s="188"/>
      <c r="J771" s="188"/>
      <c r="K771" s="188"/>
      <c r="L771" s="188"/>
      <c r="M771" s="188"/>
      <c r="N771" s="188"/>
      <c r="O771" s="188"/>
      <c r="P771" s="188"/>
      <c r="Q771" s="188"/>
      <c r="R771" s="188"/>
      <c r="S771" s="188"/>
      <c r="T771" s="188"/>
      <c r="U771" s="188"/>
      <c r="V771" s="188"/>
      <c r="W771" s="188"/>
    </row>
    <row r="772">
      <c r="A772" s="229"/>
      <c r="B772" s="188"/>
      <c r="C772" s="229"/>
      <c r="D772" s="229"/>
      <c r="E772" s="229"/>
      <c r="F772" s="188"/>
      <c r="G772" s="188"/>
      <c r="H772" s="188"/>
      <c r="I772" s="188"/>
      <c r="J772" s="188"/>
      <c r="K772" s="188"/>
      <c r="L772" s="188"/>
      <c r="M772" s="188"/>
      <c r="N772" s="188"/>
      <c r="O772" s="188"/>
      <c r="P772" s="188"/>
      <c r="Q772" s="188"/>
      <c r="R772" s="188"/>
      <c r="S772" s="188"/>
      <c r="T772" s="188"/>
      <c r="U772" s="188"/>
      <c r="V772" s="188"/>
      <c r="W772" s="188"/>
    </row>
    <row r="773">
      <c r="A773" s="229"/>
      <c r="B773" s="188"/>
      <c r="C773" s="229"/>
      <c r="D773" s="229"/>
      <c r="E773" s="229"/>
      <c r="F773" s="188"/>
      <c r="G773" s="188"/>
      <c r="H773" s="188"/>
      <c r="I773" s="188"/>
      <c r="J773" s="188"/>
      <c r="K773" s="188"/>
      <c r="L773" s="188"/>
      <c r="M773" s="188"/>
      <c r="N773" s="188"/>
      <c r="O773" s="188"/>
      <c r="P773" s="188"/>
      <c r="Q773" s="188"/>
      <c r="R773" s="188"/>
      <c r="S773" s="188"/>
      <c r="T773" s="188"/>
      <c r="U773" s="188"/>
      <c r="V773" s="188"/>
      <c r="W773" s="188"/>
    </row>
    <row r="774">
      <c r="A774" s="229"/>
      <c r="B774" s="188"/>
      <c r="C774" s="229"/>
      <c r="D774" s="229"/>
      <c r="E774" s="229"/>
      <c r="F774" s="188"/>
      <c r="G774" s="188"/>
      <c r="H774" s="188"/>
      <c r="I774" s="188"/>
      <c r="J774" s="188"/>
      <c r="K774" s="188"/>
      <c r="L774" s="188"/>
      <c r="M774" s="188"/>
      <c r="N774" s="188"/>
      <c r="O774" s="188"/>
      <c r="P774" s="188"/>
      <c r="Q774" s="188"/>
      <c r="R774" s="188"/>
      <c r="S774" s="188"/>
      <c r="T774" s="188"/>
      <c r="U774" s="188"/>
      <c r="V774" s="188"/>
      <c r="W774" s="188"/>
    </row>
    <row r="775">
      <c r="A775" s="229"/>
      <c r="B775" s="188"/>
      <c r="C775" s="229"/>
      <c r="D775" s="229"/>
      <c r="E775" s="229"/>
      <c r="F775" s="188"/>
      <c r="G775" s="188"/>
      <c r="H775" s="188"/>
      <c r="I775" s="188"/>
      <c r="J775" s="188"/>
      <c r="K775" s="188"/>
      <c r="L775" s="188"/>
      <c r="M775" s="188"/>
      <c r="N775" s="188"/>
      <c r="O775" s="188"/>
      <c r="P775" s="188"/>
      <c r="Q775" s="188"/>
      <c r="R775" s="188"/>
      <c r="S775" s="188"/>
      <c r="T775" s="188"/>
      <c r="U775" s="188"/>
      <c r="V775" s="188"/>
      <c r="W775" s="188"/>
    </row>
    <row r="776">
      <c r="A776" s="229"/>
      <c r="B776" s="188"/>
      <c r="C776" s="229"/>
      <c r="D776" s="229"/>
      <c r="E776" s="229"/>
      <c r="F776" s="188"/>
      <c r="G776" s="188"/>
      <c r="H776" s="188"/>
      <c r="I776" s="188"/>
      <c r="J776" s="188"/>
      <c r="K776" s="188"/>
      <c r="L776" s="188"/>
      <c r="M776" s="188"/>
      <c r="N776" s="188"/>
      <c r="O776" s="188"/>
      <c r="P776" s="188"/>
      <c r="Q776" s="188"/>
      <c r="R776" s="188"/>
      <c r="S776" s="188"/>
      <c r="T776" s="188"/>
      <c r="U776" s="188"/>
      <c r="V776" s="188"/>
      <c r="W776" s="188"/>
    </row>
    <row r="777">
      <c r="A777" s="229"/>
      <c r="B777" s="188"/>
      <c r="C777" s="229"/>
      <c r="D777" s="229"/>
      <c r="E777" s="229"/>
      <c r="F777" s="188"/>
      <c r="G777" s="188"/>
      <c r="H777" s="188"/>
      <c r="I777" s="188"/>
      <c r="J777" s="188"/>
      <c r="K777" s="188"/>
      <c r="L777" s="188"/>
      <c r="M777" s="188"/>
      <c r="N777" s="188"/>
      <c r="O777" s="188"/>
      <c r="P777" s="188"/>
      <c r="Q777" s="188"/>
      <c r="R777" s="188"/>
      <c r="S777" s="188"/>
      <c r="T777" s="188"/>
      <c r="U777" s="188"/>
      <c r="V777" s="188"/>
      <c r="W777" s="188"/>
    </row>
    <row r="778">
      <c r="A778" s="229"/>
      <c r="B778" s="188"/>
      <c r="C778" s="229"/>
      <c r="D778" s="229"/>
      <c r="E778" s="229"/>
      <c r="F778" s="188"/>
      <c r="G778" s="188"/>
      <c r="H778" s="188"/>
      <c r="I778" s="188"/>
      <c r="J778" s="188"/>
      <c r="K778" s="188"/>
      <c r="L778" s="188"/>
      <c r="M778" s="188"/>
      <c r="N778" s="188"/>
      <c r="O778" s="188"/>
      <c r="P778" s="188"/>
      <c r="Q778" s="188"/>
      <c r="R778" s="188"/>
      <c r="S778" s="188"/>
      <c r="T778" s="188"/>
      <c r="U778" s="188"/>
      <c r="V778" s="188"/>
      <c r="W778" s="188"/>
    </row>
    <row r="779">
      <c r="A779" s="229"/>
      <c r="B779" s="188"/>
      <c r="C779" s="229"/>
      <c r="D779" s="229"/>
      <c r="E779" s="229"/>
      <c r="F779" s="188"/>
      <c r="G779" s="188"/>
      <c r="H779" s="188"/>
      <c r="I779" s="188"/>
      <c r="J779" s="188"/>
      <c r="K779" s="188"/>
      <c r="L779" s="188"/>
      <c r="M779" s="188"/>
      <c r="N779" s="188"/>
      <c r="O779" s="188"/>
      <c r="P779" s="188"/>
      <c r="Q779" s="188"/>
      <c r="R779" s="188"/>
      <c r="S779" s="188"/>
      <c r="T779" s="188"/>
      <c r="U779" s="188"/>
      <c r="V779" s="188"/>
      <c r="W779" s="188"/>
    </row>
    <row r="780">
      <c r="A780" s="229"/>
      <c r="B780" s="188"/>
      <c r="C780" s="229"/>
      <c r="D780" s="229"/>
      <c r="E780" s="229"/>
      <c r="F780" s="188"/>
      <c r="G780" s="188"/>
      <c r="H780" s="188"/>
      <c r="I780" s="188"/>
      <c r="J780" s="188"/>
      <c r="K780" s="188"/>
      <c r="L780" s="188"/>
      <c r="M780" s="188"/>
      <c r="N780" s="188"/>
      <c r="O780" s="188"/>
      <c r="P780" s="188"/>
      <c r="Q780" s="188"/>
      <c r="R780" s="188"/>
      <c r="S780" s="188"/>
      <c r="T780" s="188"/>
      <c r="U780" s="188"/>
      <c r="V780" s="188"/>
      <c r="W780" s="188"/>
    </row>
    <row r="781">
      <c r="A781" s="229"/>
      <c r="B781" s="188"/>
      <c r="C781" s="229"/>
      <c r="D781" s="229"/>
      <c r="E781" s="229"/>
      <c r="F781" s="188"/>
      <c r="G781" s="188"/>
      <c r="H781" s="188"/>
      <c r="I781" s="188"/>
      <c r="J781" s="188"/>
      <c r="K781" s="188"/>
      <c r="L781" s="188"/>
      <c r="M781" s="188"/>
      <c r="N781" s="188"/>
      <c r="O781" s="188"/>
      <c r="P781" s="188"/>
      <c r="Q781" s="188"/>
      <c r="R781" s="188"/>
      <c r="S781" s="188"/>
      <c r="T781" s="188"/>
      <c r="U781" s="188"/>
      <c r="V781" s="188"/>
      <c r="W781" s="188"/>
    </row>
    <row r="782">
      <c r="A782" s="229"/>
      <c r="B782" s="188"/>
      <c r="C782" s="229"/>
      <c r="D782" s="229"/>
      <c r="E782" s="229"/>
      <c r="F782" s="188"/>
      <c r="G782" s="188"/>
      <c r="H782" s="188"/>
      <c r="I782" s="188"/>
      <c r="J782" s="188"/>
      <c r="K782" s="188"/>
      <c r="L782" s="188"/>
      <c r="M782" s="188"/>
      <c r="N782" s="188"/>
      <c r="O782" s="188"/>
      <c r="P782" s="188"/>
      <c r="Q782" s="188"/>
      <c r="R782" s="188"/>
      <c r="S782" s="188"/>
      <c r="T782" s="188"/>
      <c r="U782" s="188"/>
      <c r="V782" s="188"/>
      <c r="W782" s="188"/>
    </row>
    <row r="783">
      <c r="A783" s="229"/>
      <c r="B783" s="188"/>
      <c r="C783" s="229"/>
      <c r="D783" s="229"/>
      <c r="E783" s="229"/>
      <c r="F783" s="188"/>
      <c r="G783" s="188"/>
      <c r="H783" s="188"/>
      <c r="I783" s="188"/>
      <c r="J783" s="188"/>
      <c r="K783" s="188"/>
      <c r="L783" s="188"/>
      <c r="M783" s="188"/>
      <c r="N783" s="188"/>
      <c r="O783" s="188"/>
      <c r="P783" s="188"/>
      <c r="Q783" s="188"/>
      <c r="R783" s="188"/>
      <c r="S783" s="188"/>
      <c r="T783" s="188"/>
      <c r="U783" s="188"/>
      <c r="V783" s="188"/>
      <c r="W783" s="188"/>
    </row>
    <row r="784">
      <c r="A784" s="229"/>
      <c r="B784" s="188"/>
      <c r="C784" s="229"/>
      <c r="D784" s="229"/>
      <c r="E784" s="229"/>
      <c r="F784" s="188"/>
      <c r="G784" s="188"/>
      <c r="H784" s="188"/>
      <c r="I784" s="188"/>
      <c r="J784" s="188"/>
      <c r="K784" s="188"/>
      <c r="L784" s="188"/>
      <c r="M784" s="188"/>
      <c r="N784" s="188"/>
      <c r="O784" s="188"/>
      <c r="P784" s="188"/>
      <c r="Q784" s="188"/>
      <c r="R784" s="188"/>
      <c r="S784" s="188"/>
      <c r="T784" s="188"/>
      <c r="U784" s="188"/>
      <c r="V784" s="188"/>
      <c r="W784" s="188"/>
    </row>
    <row r="785">
      <c r="A785" s="229"/>
      <c r="B785" s="188"/>
      <c r="C785" s="229"/>
      <c r="D785" s="229"/>
      <c r="E785" s="229"/>
      <c r="F785" s="188"/>
      <c r="G785" s="188"/>
      <c r="H785" s="188"/>
      <c r="I785" s="188"/>
      <c r="J785" s="188"/>
      <c r="K785" s="188"/>
      <c r="L785" s="188"/>
      <c r="M785" s="188"/>
      <c r="N785" s="188"/>
      <c r="O785" s="188"/>
      <c r="P785" s="188"/>
      <c r="Q785" s="188"/>
      <c r="R785" s="188"/>
      <c r="S785" s="188"/>
      <c r="T785" s="188"/>
      <c r="U785" s="188"/>
      <c r="V785" s="188"/>
      <c r="W785" s="188"/>
    </row>
    <row r="786">
      <c r="A786" s="229"/>
      <c r="B786" s="188"/>
      <c r="C786" s="229"/>
      <c r="D786" s="229"/>
      <c r="E786" s="229"/>
      <c r="F786" s="188"/>
      <c r="G786" s="188"/>
      <c r="H786" s="188"/>
      <c r="I786" s="188"/>
      <c r="J786" s="188"/>
      <c r="K786" s="188"/>
      <c r="L786" s="188"/>
      <c r="M786" s="188"/>
      <c r="N786" s="188"/>
      <c r="O786" s="188"/>
      <c r="P786" s="188"/>
      <c r="Q786" s="188"/>
      <c r="R786" s="188"/>
      <c r="S786" s="188"/>
      <c r="T786" s="188"/>
      <c r="U786" s="188"/>
      <c r="V786" s="188"/>
      <c r="W786" s="188"/>
    </row>
    <row r="787">
      <c r="A787" s="229"/>
      <c r="B787" s="188"/>
      <c r="C787" s="229"/>
      <c r="D787" s="229"/>
      <c r="E787" s="229"/>
      <c r="F787" s="188"/>
      <c r="G787" s="188"/>
      <c r="H787" s="188"/>
      <c r="I787" s="188"/>
      <c r="J787" s="188"/>
      <c r="K787" s="188"/>
      <c r="L787" s="188"/>
      <c r="M787" s="188"/>
      <c r="N787" s="188"/>
      <c r="O787" s="188"/>
      <c r="P787" s="188"/>
      <c r="Q787" s="188"/>
      <c r="R787" s="188"/>
      <c r="S787" s="188"/>
      <c r="T787" s="188"/>
      <c r="U787" s="188"/>
      <c r="V787" s="188"/>
      <c r="W787" s="188"/>
    </row>
    <row r="788">
      <c r="A788" s="229"/>
      <c r="B788" s="188"/>
      <c r="C788" s="229"/>
      <c r="D788" s="229"/>
      <c r="E788" s="229"/>
      <c r="F788" s="188"/>
      <c r="G788" s="188"/>
      <c r="H788" s="188"/>
      <c r="I788" s="188"/>
      <c r="J788" s="188"/>
      <c r="K788" s="188"/>
      <c r="L788" s="188"/>
      <c r="M788" s="188"/>
      <c r="N788" s="188"/>
      <c r="O788" s="188"/>
      <c r="P788" s="188"/>
      <c r="Q788" s="188"/>
      <c r="R788" s="188"/>
      <c r="S788" s="188"/>
      <c r="T788" s="188"/>
      <c r="U788" s="188"/>
      <c r="V788" s="188"/>
      <c r="W788" s="188"/>
    </row>
    <row r="789">
      <c r="A789" s="229"/>
      <c r="B789" s="188"/>
      <c r="C789" s="229"/>
      <c r="D789" s="229"/>
      <c r="E789" s="229"/>
      <c r="F789" s="188"/>
      <c r="G789" s="188"/>
      <c r="H789" s="188"/>
      <c r="I789" s="188"/>
      <c r="J789" s="188"/>
      <c r="K789" s="188"/>
      <c r="L789" s="188"/>
      <c r="M789" s="188"/>
      <c r="N789" s="188"/>
      <c r="O789" s="188"/>
      <c r="P789" s="188"/>
      <c r="Q789" s="188"/>
      <c r="R789" s="188"/>
      <c r="S789" s="188"/>
      <c r="T789" s="188"/>
      <c r="U789" s="188"/>
      <c r="V789" s="188"/>
      <c r="W789" s="188"/>
    </row>
    <row r="790">
      <c r="A790" s="229"/>
      <c r="B790" s="188"/>
      <c r="C790" s="229"/>
      <c r="D790" s="229"/>
      <c r="E790" s="229"/>
      <c r="F790" s="188"/>
      <c r="G790" s="188"/>
      <c r="H790" s="188"/>
      <c r="I790" s="188"/>
      <c r="J790" s="188"/>
      <c r="K790" s="188"/>
      <c r="L790" s="188"/>
      <c r="M790" s="188"/>
      <c r="N790" s="188"/>
      <c r="O790" s="188"/>
      <c r="P790" s="188"/>
      <c r="Q790" s="188"/>
      <c r="R790" s="188"/>
      <c r="S790" s="188"/>
      <c r="T790" s="188"/>
      <c r="U790" s="188"/>
      <c r="V790" s="188"/>
      <c r="W790" s="188"/>
    </row>
    <row r="791">
      <c r="A791" s="229"/>
      <c r="B791" s="188"/>
      <c r="C791" s="229"/>
      <c r="D791" s="229"/>
      <c r="E791" s="229"/>
      <c r="F791" s="188"/>
      <c r="G791" s="188"/>
      <c r="H791" s="188"/>
      <c r="I791" s="188"/>
      <c r="J791" s="188"/>
      <c r="K791" s="188"/>
      <c r="L791" s="188"/>
      <c r="M791" s="188"/>
      <c r="N791" s="188"/>
      <c r="O791" s="188"/>
      <c r="P791" s="188"/>
      <c r="Q791" s="188"/>
      <c r="R791" s="188"/>
      <c r="S791" s="188"/>
      <c r="T791" s="188"/>
      <c r="U791" s="188"/>
      <c r="V791" s="188"/>
      <c r="W791" s="188"/>
    </row>
    <row r="792">
      <c r="A792" s="229"/>
      <c r="B792" s="188"/>
      <c r="C792" s="229"/>
      <c r="D792" s="229"/>
      <c r="E792" s="229"/>
      <c r="F792" s="188"/>
      <c r="G792" s="188"/>
      <c r="H792" s="188"/>
      <c r="I792" s="188"/>
      <c r="J792" s="188"/>
      <c r="K792" s="188"/>
      <c r="L792" s="188"/>
      <c r="M792" s="188"/>
      <c r="N792" s="188"/>
      <c r="O792" s="188"/>
      <c r="P792" s="188"/>
      <c r="Q792" s="188"/>
      <c r="R792" s="188"/>
      <c r="S792" s="188"/>
      <c r="T792" s="188"/>
      <c r="U792" s="188"/>
      <c r="V792" s="188"/>
      <c r="W792" s="188"/>
    </row>
    <row r="793">
      <c r="A793" s="229"/>
      <c r="B793" s="188"/>
      <c r="C793" s="229"/>
      <c r="D793" s="229"/>
      <c r="E793" s="229"/>
      <c r="F793" s="188"/>
      <c r="G793" s="188"/>
      <c r="H793" s="188"/>
      <c r="I793" s="188"/>
      <c r="J793" s="188"/>
      <c r="K793" s="188"/>
      <c r="L793" s="188"/>
      <c r="M793" s="188"/>
      <c r="N793" s="188"/>
      <c r="O793" s="188"/>
      <c r="P793" s="188"/>
      <c r="Q793" s="188"/>
      <c r="R793" s="188"/>
      <c r="S793" s="188"/>
      <c r="T793" s="188"/>
      <c r="U793" s="188"/>
      <c r="V793" s="188"/>
      <c r="W793" s="188"/>
    </row>
    <row r="794">
      <c r="A794" s="229"/>
      <c r="B794" s="188"/>
      <c r="C794" s="229"/>
      <c r="D794" s="229"/>
      <c r="E794" s="229"/>
      <c r="F794" s="188"/>
      <c r="G794" s="188"/>
      <c r="H794" s="188"/>
      <c r="I794" s="188"/>
      <c r="J794" s="188"/>
      <c r="K794" s="188"/>
      <c r="L794" s="188"/>
      <c r="M794" s="188"/>
      <c r="N794" s="188"/>
      <c r="O794" s="188"/>
      <c r="P794" s="188"/>
      <c r="Q794" s="188"/>
      <c r="R794" s="188"/>
      <c r="S794" s="188"/>
      <c r="T794" s="188"/>
      <c r="U794" s="188"/>
      <c r="V794" s="188"/>
      <c r="W794" s="188"/>
    </row>
    <row r="795">
      <c r="A795" s="229"/>
      <c r="B795" s="188"/>
      <c r="C795" s="229"/>
      <c r="D795" s="229"/>
      <c r="E795" s="229"/>
      <c r="F795" s="188"/>
      <c r="G795" s="188"/>
      <c r="H795" s="188"/>
      <c r="I795" s="188"/>
      <c r="J795" s="188"/>
      <c r="K795" s="188"/>
      <c r="L795" s="188"/>
      <c r="M795" s="188"/>
      <c r="N795" s="188"/>
      <c r="O795" s="188"/>
      <c r="P795" s="188"/>
      <c r="Q795" s="188"/>
      <c r="R795" s="188"/>
      <c r="S795" s="188"/>
      <c r="T795" s="188"/>
      <c r="U795" s="188"/>
      <c r="V795" s="188"/>
      <c r="W795" s="188"/>
    </row>
    <row r="796">
      <c r="A796" s="229"/>
      <c r="B796" s="188"/>
      <c r="C796" s="229"/>
      <c r="D796" s="229"/>
      <c r="E796" s="229"/>
      <c r="F796" s="188"/>
      <c r="G796" s="188"/>
      <c r="H796" s="188"/>
      <c r="I796" s="188"/>
      <c r="J796" s="188"/>
      <c r="K796" s="188"/>
      <c r="L796" s="188"/>
      <c r="M796" s="188"/>
      <c r="N796" s="188"/>
      <c r="O796" s="188"/>
      <c r="P796" s="188"/>
      <c r="Q796" s="188"/>
      <c r="R796" s="188"/>
      <c r="S796" s="188"/>
      <c r="T796" s="188"/>
      <c r="U796" s="188"/>
      <c r="V796" s="188"/>
      <c r="W796" s="188"/>
    </row>
    <row r="797">
      <c r="A797" s="229"/>
      <c r="B797" s="188"/>
      <c r="C797" s="229"/>
      <c r="D797" s="229"/>
      <c r="E797" s="229"/>
      <c r="F797" s="188"/>
      <c r="G797" s="188"/>
      <c r="H797" s="188"/>
      <c r="I797" s="188"/>
      <c r="J797" s="188"/>
      <c r="K797" s="188"/>
      <c r="L797" s="188"/>
      <c r="M797" s="188"/>
      <c r="N797" s="188"/>
      <c r="O797" s="188"/>
      <c r="P797" s="188"/>
      <c r="Q797" s="188"/>
      <c r="R797" s="188"/>
      <c r="S797" s="188"/>
      <c r="T797" s="188"/>
      <c r="U797" s="188"/>
      <c r="V797" s="188"/>
      <c r="W797" s="188"/>
    </row>
    <row r="798">
      <c r="A798" s="229"/>
      <c r="B798" s="188"/>
      <c r="C798" s="229"/>
      <c r="D798" s="229"/>
      <c r="E798" s="229"/>
      <c r="F798" s="188"/>
      <c r="G798" s="188"/>
      <c r="H798" s="188"/>
      <c r="I798" s="188"/>
      <c r="J798" s="188"/>
      <c r="K798" s="188"/>
      <c r="L798" s="188"/>
      <c r="M798" s="188"/>
      <c r="N798" s="188"/>
      <c r="O798" s="188"/>
      <c r="P798" s="188"/>
      <c r="Q798" s="188"/>
      <c r="R798" s="188"/>
      <c r="S798" s="188"/>
      <c r="T798" s="188"/>
      <c r="U798" s="188"/>
      <c r="V798" s="188"/>
      <c r="W798" s="188"/>
    </row>
    <row r="799">
      <c r="A799" s="229"/>
      <c r="B799" s="188"/>
      <c r="C799" s="229"/>
      <c r="D799" s="229"/>
      <c r="E799" s="229"/>
      <c r="F799" s="188"/>
      <c r="G799" s="188"/>
      <c r="H799" s="188"/>
      <c r="I799" s="188"/>
      <c r="J799" s="188"/>
      <c r="K799" s="188"/>
      <c r="L799" s="188"/>
      <c r="M799" s="188"/>
      <c r="N799" s="188"/>
      <c r="O799" s="188"/>
      <c r="P799" s="188"/>
      <c r="Q799" s="188"/>
      <c r="R799" s="188"/>
      <c r="S799" s="188"/>
      <c r="T799" s="188"/>
      <c r="U799" s="188"/>
      <c r="V799" s="188"/>
      <c r="W799" s="188"/>
    </row>
    <row r="800">
      <c r="A800" s="229"/>
      <c r="B800" s="188"/>
      <c r="C800" s="229"/>
      <c r="D800" s="229"/>
      <c r="E800" s="229"/>
      <c r="F800" s="188"/>
      <c r="G800" s="188"/>
      <c r="H800" s="188"/>
      <c r="I800" s="188"/>
      <c r="J800" s="188"/>
      <c r="K800" s="188"/>
      <c r="L800" s="188"/>
      <c r="M800" s="188"/>
      <c r="N800" s="188"/>
      <c r="O800" s="188"/>
      <c r="P800" s="188"/>
      <c r="Q800" s="188"/>
      <c r="R800" s="188"/>
      <c r="S800" s="188"/>
      <c r="T800" s="188"/>
      <c r="U800" s="188"/>
      <c r="V800" s="188"/>
      <c r="W800" s="188"/>
    </row>
    <row r="801">
      <c r="A801" s="229"/>
      <c r="B801" s="188"/>
      <c r="C801" s="229"/>
      <c r="D801" s="229"/>
      <c r="E801" s="229"/>
      <c r="F801" s="188"/>
      <c r="G801" s="188"/>
      <c r="H801" s="188"/>
      <c r="I801" s="188"/>
      <c r="J801" s="188"/>
      <c r="K801" s="188"/>
      <c r="L801" s="188"/>
      <c r="M801" s="188"/>
      <c r="N801" s="188"/>
      <c r="O801" s="188"/>
      <c r="P801" s="188"/>
      <c r="Q801" s="188"/>
      <c r="R801" s="188"/>
      <c r="S801" s="188"/>
      <c r="T801" s="188"/>
      <c r="U801" s="188"/>
      <c r="V801" s="188"/>
      <c r="W801" s="188"/>
    </row>
    <row r="802">
      <c r="A802" s="229"/>
      <c r="B802" s="188"/>
      <c r="C802" s="229"/>
      <c r="D802" s="229"/>
      <c r="E802" s="229"/>
      <c r="F802" s="188"/>
      <c r="G802" s="188"/>
      <c r="H802" s="188"/>
      <c r="I802" s="188"/>
      <c r="J802" s="188"/>
      <c r="K802" s="188"/>
      <c r="L802" s="188"/>
      <c r="M802" s="188"/>
      <c r="N802" s="188"/>
      <c r="O802" s="188"/>
      <c r="P802" s="188"/>
      <c r="Q802" s="188"/>
      <c r="R802" s="188"/>
      <c r="S802" s="188"/>
      <c r="T802" s="188"/>
      <c r="U802" s="188"/>
      <c r="V802" s="188"/>
      <c r="W802" s="188"/>
    </row>
    <row r="803">
      <c r="A803" s="229"/>
      <c r="B803" s="188"/>
      <c r="C803" s="229"/>
      <c r="D803" s="229"/>
      <c r="E803" s="229"/>
      <c r="F803" s="188"/>
      <c r="G803" s="188"/>
      <c r="H803" s="188"/>
      <c r="I803" s="188"/>
      <c r="J803" s="188"/>
      <c r="K803" s="188"/>
      <c r="L803" s="188"/>
      <c r="M803" s="188"/>
      <c r="N803" s="188"/>
      <c r="O803" s="188"/>
      <c r="P803" s="188"/>
      <c r="Q803" s="188"/>
      <c r="R803" s="188"/>
      <c r="S803" s="188"/>
      <c r="T803" s="188"/>
      <c r="U803" s="188"/>
      <c r="V803" s="188"/>
      <c r="W803" s="188"/>
    </row>
    <row r="804">
      <c r="A804" s="229"/>
      <c r="B804" s="188"/>
      <c r="C804" s="229"/>
      <c r="D804" s="229"/>
      <c r="E804" s="229"/>
      <c r="F804" s="188"/>
      <c r="G804" s="188"/>
      <c r="H804" s="188"/>
      <c r="I804" s="188"/>
      <c r="J804" s="188"/>
      <c r="K804" s="188"/>
      <c r="L804" s="188"/>
      <c r="M804" s="188"/>
      <c r="N804" s="188"/>
      <c r="O804" s="188"/>
      <c r="P804" s="188"/>
      <c r="Q804" s="188"/>
      <c r="R804" s="188"/>
      <c r="S804" s="188"/>
      <c r="T804" s="188"/>
      <c r="U804" s="188"/>
      <c r="V804" s="188"/>
      <c r="W804" s="188"/>
    </row>
    <row r="805">
      <c r="A805" s="229"/>
      <c r="B805" s="188"/>
      <c r="C805" s="229"/>
      <c r="D805" s="229"/>
      <c r="E805" s="229"/>
      <c r="F805" s="188"/>
      <c r="G805" s="188"/>
      <c r="H805" s="188"/>
      <c r="I805" s="188"/>
      <c r="J805" s="188"/>
      <c r="K805" s="188"/>
      <c r="L805" s="188"/>
      <c r="M805" s="188"/>
      <c r="N805" s="188"/>
      <c r="O805" s="188"/>
      <c r="P805" s="188"/>
      <c r="Q805" s="188"/>
      <c r="R805" s="188"/>
      <c r="S805" s="188"/>
      <c r="T805" s="188"/>
      <c r="U805" s="188"/>
      <c r="V805" s="188"/>
      <c r="W805" s="188"/>
    </row>
    <row r="806">
      <c r="A806" s="229"/>
      <c r="B806" s="188"/>
      <c r="C806" s="229"/>
      <c r="D806" s="229"/>
      <c r="E806" s="229"/>
      <c r="F806" s="188"/>
      <c r="G806" s="188"/>
      <c r="H806" s="188"/>
      <c r="I806" s="188"/>
      <c r="J806" s="188"/>
      <c r="K806" s="188"/>
      <c r="L806" s="188"/>
      <c r="M806" s="188"/>
      <c r="N806" s="188"/>
      <c r="O806" s="188"/>
      <c r="P806" s="188"/>
      <c r="Q806" s="188"/>
      <c r="R806" s="188"/>
      <c r="S806" s="188"/>
      <c r="T806" s="188"/>
      <c r="U806" s="188"/>
      <c r="V806" s="188"/>
      <c r="W806" s="188"/>
    </row>
    <row r="807">
      <c r="A807" s="229"/>
      <c r="B807" s="188"/>
      <c r="C807" s="229"/>
      <c r="D807" s="229"/>
      <c r="E807" s="229"/>
      <c r="F807" s="188"/>
      <c r="G807" s="188"/>
      <c r="H807" s="188"/>
      <c r="I807" s="188"/>
      <c r="J807" s="188"/>
      <c r="K807" s="188"/>
      <c r="L807" s="188"/>
      <c r="M807" s="188"/>
      <c r="N807" s="188"/>
      <c r="O807" s="188"/>
      <c r="P807" s="188"/>
      <c r="Q807" s="188"/>
      <c r="R807" s="188"/>
      <c r="S807" s="188"/>
      <c r="T807" s="188"/>
      <c r="U807" s="188"/>
      <c r="V807" s="188"/>
      <c r="W807" s="188"/>
    </row>
    <row r="808">
      <c r="A808" s="229"/>
      <c r="B808" s="188"/>
      <c r="C808" s="229"/>
      <c r="D808" s="229"/>
      <c r="E808" s="229"/>
      <c r="F808" s="188"/>
      <c r="G808" s="188"/>
      <c r="H808" s="188"/>
      <c r="I808" s="188"/>
      <c r="J808" s="188"/>
      <c r="K808" s="188"/>
      <c r="L808" s="188"/>
      <c r="M808" s="188"/>
      <c r="N808" s="188"/>
      <c r="O808" s="188"/>
      <c r="P808" s="188"/>
      <c r="Q808" s="188"/>
      <c r="R808" s="188"/>
      <c r="S808" s="188"/>
      <c r="T808" s="188"/>
      <c r="U808" s="188"/>
      <c r="V808" s="188"/>
      <c r="W808" s="188"/>
    </row>
    <row r="809">
      <c r="A809" s="229"/>
      <c r="B809" s="188"/>
      <c r="C809" s="229"/>
      <c r="D809" s="229"/>
      <c r="E809" s="229"/>
      <c r="F809" s="188"/>
      <c r="G809" s="188"/>
      <c r="H809" s="188"/>
      <c r="I809" s="188"/>
      <c r="J809" s="188"/>
      <c r="K809" s="188"/>
      <c r="L809" s="188"/>
      <c r="M809" s="188"/>
      <c r="N809" s="188"/>
      <c r="O809" s="188"/>
      <c r="P809" s="188"/>
      <c r="Q809" s="188"/>
      <c r="R809" s="188"/>
      <c r="S809" s="188"/>
      <c r="T809" s="188"/>
      <c r="U809" s="188"/>
      <c r="V809" s="188"/>
      <c r="W809" s="188"/>
    </row>
    <row r="810">
      <c r="A810" s="229"/>
      <c r="B810" s="188"/>
      <c r="C810" s="229"/>
      <c r="D810" s="229"/>
      <c r="E810" s="229"/>
      <c r="F810" s="188"/>
      <c r="G810" s="188"/>
      <c r="H810" s="188"/>
      <c r="I810" s="188"/>
      <c r="J810" s="188"/>
      <c r="K810" s="188"/>
      <c r="L810" s="188"/>
      <c r="M810" s="188"/>
      <c r="N810" s="188"/>
      <c r="O810" s="188"/>
      <c r="P810" s="188"/>
      <c r="Q810" s="188"/>
      <c r="R810" s="188"/>
      <c r="S810" s="188"/>
      <c r="T810" s="188"/>
      <c r="U810" s="188"/>
      <c r="V810" s="188"/>
      <c r="W810" s="188"/>
    </row>
    <row r="811">
      <c r="A811" s="229"/>
      <c r="B811" s="188"/>
      <c r="C811" s="229"/>
      <c r="D811" s="229"/>
      <c r="E811" s="229"/>
      <c r="F811" s="188"/>
      <c r="G811" s="188"/>
      <c r="H811" s="188"/>
      <c r="I811" s="188"/>
      <c r="J811" s="188"/>
      <c r="K811" s="188"/>
      <c r="L811" s="188"/>
      <c r="M811" s="188"/>
      <c r="N811" s="188"/>
      <c r="O811" s="188"/>
      <c r="P811" s="188"/>
      <c r="Q811" s="188"/>
      <c r="R811" s="188"/>
      <c r="S811" s="188"/>
      <c r="T811" s="188"/>
      <c r="U811" s="188"/>
      <c r="V811" s="188"/>
      <c r="W811" s="188"/>
    </row>
    <row r="812">
      <c r="A812" s="229"/>
      <c r="B812" s="188"/>
      <c r="C812" s="229"/>
      <c r="D812" s="229"/>
      <c r="E812" s="229"/>
      <c r="F812" s="188"/>
      <c r="G812" s="188"/>
      <c r="H812" s="188"/>
      <c r="I812" s="188"/>
      <c r="J812" s="188"/>
      <c r="K812" s="188"/>
      <c r="L812" s="188"/>
      <c r="M812" s="188"/>
      <c r="N812" s="188"/>
      <c r="O812" s="188"/>
      <c r="P812" s="188"/>
      <c r="Q812" s="188"/>
      <c r="R812" s="188"/>
      <c r="S812" s="188"/>
      <c r="T812" s="188"/>
      <c r="U812" s="188"/>
      <c r="V812" s="188"/>
      <c r="W812" s="188"/>
    </row>
    <row r="813">
      <c r="A813" s="229"/>
      <c r="B813" s="188"/>
      <c r="C813" s="229"/>
      <c r="D813" s="229"/>
      <c r="E813" s="229"/>
      <c r="F813" s="188"/>
      <c r="G813" s="188"/>
      <c r="H813" s="188"/>
      <c r="I813" s="188"/>
      <c r="J813" s="188"/>
      <c r="K813" s="188"/>
      <c r="L813" s="188"/>
      <c r="M813" s="188"/>
      <c r="N813" s="188"/>
      <c r="O813" s="188"/>
      <c r="P813" s="188"/>
      <c r="Q813" s="188"/>
      <c r="R813" s="188"/>
      <c r="S813" s="188"/>
      <c r="T813" s="188"/>
      <c r="U813" s="188"/>
      <c r="V813" s="188"/>
      <c r="W813" s="188"/>
    </row>
    <row r="814">
      <c r="A814" s="229"/>
      <c r="B814" s="188"/>
      <c r="C814" s="229"/>
      <c r="D814" s="229"/>
      <c r="E814" s="229"/>
      <c r="F814" s="188"/>
      <c r="G814" s="188"/>
      <c r="H814" s="188"/>
      <c r="I814" s="188"/>
      <c r="J814" s="188"/>
      <c r="K814" s="188"/>
      <c r="L814" s="188"/>
      <c r="M814" s="188"/>
      <c r="N814" s="188"/>
      <c r="O814" s="188"/>
      <c r="P814" s="188"/>
      <c r="Q814" s="188"/>
      <c r="R814" s="188"/>
      <c r="S814" s="188"/>
      <c r="T814" s="188"/>
      <c r="U814" s="188"/>
      <c r="V814" s="188"/>
      <c r="W814" s="188"/>
    </row>
    <row r="815">
      <c r="A815" s="229"/>
      <c r="B815" s="188"/>
      <c r="C815" s="229"/>
      <c r="D815" s="229"/>
      <c r="E815" s="229"/>
      <c r="F815" s="188"/>
      <c r="G815" s="188"/>
      <c r="H815" s="188"/>
      <c r="I815" s="188"/>
      <c r="J815" s="188"/>
      <c r="K815" s="188"/>
      <c r="L815" s="188"/>
      <c r="M815" s="188"/>
      <c r="N815" s="188"/>
      <c r="O815" s="188"/>
      <c r="P815" s="188"/>
      <c r="Q815" s="188"/>
      <c r="R815" s="188"/>
      <c r="S815" s="188"/>
      <c r="T815" s="188"/>
      <c r="U815" s="188"/>
      <c r="V815" s="188"/>
      <c r="W815" s="188"/>
    </row>
    <row r="816">
      <c r="A816" s="229"/>
      <c r="B816" s="188"/>
      <c r="C816" s="229"/>
      <c r="D816" s="229"/>
      <c r="E816" s="229"/>
      <c r="F816" s="188"/>
      <c r="G816" s="188"/>
      <c r="H816" s="188"/>
      <c r="I816" s="188"/>
      <c r="J816" s="188"/>
      <c r="K816" s="188"/>
      <c r="L816" s="188"/>
      <c r="M816" s="188"/>
      <c r="N816" s="188"/>
      <c r="O816" s="188"/>
      <c r="P816" s="188"/>
      <c r="Q816" s="188"/>
      <c r="R816" s="188"/>
      <c r="S816" s="188"/>
      <c r="T816" s="188"/>
      <c r="U816" s="188"/>
      <c r="V816" s="188"/>
      <c r="W816" s="188"/>
    </row>
    <row r="817">
      <c r="A817" s="229"/>
      <c r="B817" s="188"/>
      <c r="C817" s="229"/>
      <c r="D817" s="229"/>
      <c r="E817" s="229"/>
      <c r="F817" s="188"/>
      <c r="G817" s="188"/>
      <c r="H817" s="188"/>
      <c r="I817" s="188"/>
      <c r="J817" s="188"/>
      <c r="K817" s="188"/>
      <c r="L817" s="188"/>
      <c r="M817" s="188"/>
      <c r="N817" s="188"/>
      <c r="O817" s="188"/>
      <c r="P817" s="188"/>
      <c r="Q817" s="188"/>
      <c r="R817" s="188"/>
      <c r="S817" s="188"/>
      <c r="T817" s="188"/>
      <c r="U817" s="188"/>
      <c r="V817" s="188"/>
      <c r="W817" s="188"/>
    </row>
    <row r="818">
      <c r="A818" s="229"/>
      <c r="B818" s="188"/>
      <c r="C818" s="229"/>
      <c r="D818" s="229"/>
      <c r="E818" s="229"/>
      <c r="F818" s="188"/>
      <c r="G818" s="188"/>
      <c r="H818" s="188"/>
      <c r="I818" s="188"/>
      <c r="J818" s="188"/>
      <c r="K818" s="188"/>
      <c r="L818" s="188"/>
      <c r="M818" s="188"/>
      <c r="N818" s="188"/>
      <c r="O818" s="188"/>
      <c r="P818" s="188"/>
      <c r="Q818" s="188"/>
      <c r="R818" s="188"/>
      <c r="S818" s="188"/>
      <c r="T818" s="188"/>
      <c r="U818" s="188"/>
      <c r="V818" s="188"/>
      <c r="W818" s="188"/>
    </row>
    <row r="819">
      <c r="A819" s="229"/>
      <c r="B819" s="188"/>
      <c r="C819" s="229"/>
      <c r="D819" s="229"/>
      <c r="E819" s="229"/>
      <c r="F819" s="188"/>
      <c r="G819" s="188"/>
      <c r="H819" s="188"/>
      <c r="I819" s="188"/>
      <c r="J819" s="188"/>
      <c r="K819" s="188"/>
      <c r="L819" s="188"/>
      <c r="M819" s="188"/>
      <c r="N819" s="188"/>
      <c r="O819" s="188"/>
      <c r="P819" s="188"/>
      <c r="Q819" s="188"/>
      <c r="R819" s="188"/>
      <c r="S819" s="188"/>
      <c r="T819" s="188"/>
      <c r="U819" s="188"/>
      <c r="V819" s="188"/>
      <c r="W819" s="188"/>
    </row>
    <row r="820">
      <c r="A820" s="229"/>
      <c r="B820" s="188"/>
      <c r="C820" s="229"/>
      <c r="D820" s="229"/>
      <c r="E820" s="229"/>
      <c r="F820" s="188"/>
      <c r="G820" s="188"/>
      <c r="H820" s="188"/>
      <c r="I820" s="188"/>
      <c r="J820" s="188"/>
      <c r="K820" s="188"/>
      <c r="L820" s="188"/>
      <c r="M820" s="188"/>
      <c r="N820" s="188"/>
      <c r="O820" s="188"/>
      <c r="P820" s="188"/>
      <c r="Q820" s="188"/>
      <c r="R820" s="188"/>
      <c r="S820" s="188"/>
      <c r="T820" s="188"/>
      <c r="U820" s="188"/>
      <c r="V820" s="188"/>
      <c r="W820" s="188"/>
    </row>
    <row r="821">
      <c r="A821" s="229"/>
      <c r="B821" s="188"/>
      <c r="C821" s="229"/>
      <c r="D821" s="229"/>
      <c r="E821" s="229"/>
      <c r="F821" s="188"/>
      <c r="G821" s="188"/>
      <c r="H821" s="188"/>
      <c r="I821" s="188"/>
      <c r="J821" s="188"/>
      <c r="K821" s="188"/>
      <c r="L821" s="188"/>
      <c r="M821" s="188"/>
      <c r="N821" s="188"/>
      <c r="O821" s="188"/>
      <c r="P821" s="188"/>
      <c r="Q821" s="188"/>
      <c r="R821" s="188"/>
      <c r="S821" s="188"/>
      <c r="T821" s="188"/>
      <c r="U821" s="188"/>
      <c r="V821" s="188"/>
      <c r="W821" s="188"/>
    </row>
    <row r="822">
      <c r="A822" s="229"/>
      <c r="B822" s="188"/>
      <c r="C822" s="229"/>
      <c r="D822" s="229"/>
      <c r="E822" s="229"/>
      <c r="F822" s="188"/>
      <c r="G822" s="188"/>
      <c r="H822" s="188"/>
      <c r="I822" s="188"/>
      <c r="J822" s="188"/>
      <c r="K822" s="188"/>
      <c r="L822" s="188"/>
      <c r="M822" s="188"/>
      <c r="N822" s="188"/>
      <c r="O822" s="188"/>
      <c r="P822" s="188"/>
      <c r="Q822" s="188"/>
      <c r="R822" s="188"/>
      <c r="S822" s="188"/>
      <c r="T822" s="188"/>
      <c r="U822" s="188"/>
      <c r="V822" s="188"/>
      <c r="W822" s="188"/>
    </row>
    <row r="823">
      <c r="A823" s="229"/>
      <c r="B823" s="188"/>
      <c r="C823" s="229"/>
      <c r="D823" s="229"/>
      <c r="E823" s="229"/>
      <c r="F823" s="188"/>
      <c r="G823" s="188"/>
      <c r="H823" s="188"/>
      <c r="I823" s="188"/>
      <c r="J823" s="188"/>
      <c r="K823" s="188"/>
      <c r="L823" s="188"/>
      <c r="M823" s="188"/>
      <c r="N823" s="188"/>
      <c r="O823" s="188"/>
      <c r="P823" s="188"/>
      <c r="Q823" s="188"/>
      <c r="R823" s="188"/>
      <c r="S823" s="188"/>
      <c r="T823" s="188"/>
      <c r="U823" s="188"/>
      <c r="V823" s="188"/>
      <c r="W823" s="188"/>
    </row>
    <row r="824">
      <c r="A824" s="229"/>
      <c r="B824" s="188"/>
      <c r="C824" s="229"/>
      <c r="D824" s="229"/>
      <c r="E824" s="229"/>
      <c r="F824" s="188"/>
      <c r="G824" s="188"/>
      <c r="H824" s="188"/>
      <c r="I824" s="188"/>
      <c r="J824" s="188"/>
      <c r="K824" s="188"/>
      <c r="L824" s="188"/>
      <c r="M824" s="188"/>
      <c r="N824" s="188"/>
      <c r="O824" s="188"/>
      <c r="P824" s="188"/>
      <c r="Q824" s="188"/>
      <c r="R824" s="188"/>
      <c r="S824" s="188"/>
      <c r="T824" s="188"/>
      <c r="U824" s="188"/>
      <c r="V824" s="188"/>
      <c r="W824" s="188"/>
    </row>
    <row r="825">
      <c r="A825" s="229"/>
      <c r="B825" s="188"/>
      <c r="C825" s="229"/>
      <c r="D825" s="229"/>
      <c r="E825" s="229"/>
      <c r="F825" s="188"/>
      <c r="G825" s="188"/>
      <c r="H825" s="188"/>
      <c r="I825" s="188"/>
      <c r="J825" s="188"/>
      <c r="K825" s="188"/>
      <c r="L825" s="188"/>
      <c r="M825" s="188"/>
      <c r="N825" s="188"/>
      <c r="O825" s="188"/>
      <c r="P825" s="188"/>
      <c r="Q825" s="188"/>
      <c r="R825" s="188"/>
      <c r="S825" s="188"/>
      <c r="T825" s="188"/>
      <c r="U825" s="188"/>
      <c r="V825" s="188"/>
      <c r="W825" s="188"/>
    </row>
    <row r="826">
      <c r="A826" s="229"/>
      <c r="B826" s="188"/>
      <c r="C826" s="229"/>
      <c r="D826" s="229"/>
      <c r="E826" s="229"/>
      <c r="F826" s="188"/>
      <c r="G826" s="188"/>
      <c r="H826" s="188"/>
      <c r="I826" s="188"/>
      <c r="J826" s="188"/>
      <c r="K826" s="188"/>
      <c r="L826" s="188"/>
      <c r="M826" s="188"/>
      <c r="N826" s="188"/>
      <c r="O826" s="188"/>
      <c r="P826" s="188"/>
      <c r="Q826" s="188"/>
      <c r="R826" s="188"/>
      <c r="S826" s="188"/>
      <c r="T826" s="188"/>
      <c r="U826" s="188"/>
      <c r="V826" s="188"/>
      <c r="W826" s="188"/>
    </row>
    <row r="827">
      <c r="A827" s="229"/>
      <c r="B827" s="188"/>
      <c r="C827" s="229"/>
      <c r="D827" s="229"/>
      <c r="E827" s="229"/>
      <c r="F827" s="188"/>
      <c r="G827" s="188"/>
      <c r="H827" s="188"/>
      <c r="I827" s="188"/>
      <c r="J827" s="188"/>
      <c r="K827" s="188"/>
      <c r="L827" s="188"/>
      <c r="M827" s="188"/>
      <c r="N827" s="188"/>
      <c r="O827" s="188"/>
      <c r="P827" s="188"/>
      <c r="Q827" s="188"/>
      <c r="R827" s="188"/>
      <c r="S827" s="188"/>
      <c r="T827" s="188"/>
      <c r="U827" s="188"/>
      <c r="V827" s="188"/>
      <c r="W827" s="188"/>
    </row>
    <row r="828">
      <c r="A828" s="229"/>
      <c r="B828" s="188"/>
      <c r="C828" s="229"/>
      <c r="D828" s="229"/>
      <c r="E828" s="229"/>
      <c r="F828" s="188"/>
      <c r="G828" s="188"/>
      <c r="H828" s="188"/>
      <c r="I828" s="188"/>
      <c r="J828" s="188"/>
      <c r="K828" s="188"/>
      <c r="L828" s="188"/>
      <c r="M828" s="188"/>
      <c r="N828" s="188"/>
      <c r="O828" s="188"/>
      <c r="P828" s="188"/>
      <c r="Q828" s="188"/>
      <c r="R828" s="188"/>
      <c r="S828" s="188"/>
      <c r="T828" s="188"/>
      <c r="U828" s="188"/>
      <c r="V828" s="188"/>
      <c r="W828" s="188"/>
    </row>
    <row r="829">
      <c r="A829" s="229"/>
      <c r="B829" s="188"/>
      <c r="C829" s="229"/>
      <c r="D829" s="229"/>
      <c r="E829" s="229"/>
      <c r="F829" s="188"/>
      <c r="G829" s="188"/>
      <c r="H829" s="188"/>
      <c r="I829" s="188"/>
      <c r="J829" s="188"/>
      <c r="K829" s="188"/>
      <c r="L829" s="188"/>
      <c r="M829" s="188"/>
      <c r="N829" s="188"/>
      <c r="O829" s="188"/>
      <c r="P829" s="188"/>
      <c r="Q829" s="188"/>
      <c r="R829" s="188"/>
      <c r="S829" s="188"/>
      <c r="T829" s="188"/>
      <c r="U829" s="188"/>
      <c r="V829" s="188"/>
      <c r="W829" s="188"/>
    </row>
    <row r="830">
      <c r="A830" s="229"/>
      <c r="B830" s="188"/>
      <c r="C830" s="229"/>
      <c r="D830" s="229"/>
      <c r="E830" s="229"/>
      <c r="F830" s="188"/>
      <c r="G830" s="188"/>
      <c r="H830" s="188"/>
      <c r="I830" s="188"/>
      <c r="J830" s="188"/>
      <c r="K830" s="188"/>
      <c r="L830" s="188"/>
      <c r="M830" s="188"/>
      <c r="N830" s="188"/>
      <c r="O830" s="188"/>
      <c r="P830" s="188"/>
      <c r="Q830" s="188"/>
      <c r="R830" s="188"/>
      <c r="S830" s="188"/>
      <c r="T830" s="188"/>
      <c r="U830" s="188"/>
      <c r="V830" s="188"/>
      <c r="W830" s="188"/>
    </row>
    <row r="831">
      <c r="A831" s="229"/>
      <c r="B831" s="188"/>
      <c r="C831" s="229"/>
      <c r="D831" s="229"/>
      <c r="E831" s="229"/>
      <c r="F831" s="188"/>
      <c r="G831" s="188"/>
      <c r="H831" s="188"/>
      <c r="I831" s="188"/>
      <c r="J831" s="188"/>
      <c r="K831" s="188"/>
      <c r="L831" s="188"/>
      <c r="M831" s="188"/>
      <c r="N831" s="188"/>
      <c r="O831" s="188"/>
      <c r="P831" s="188"/>
      <c r="Q831" s="188"/>
      <c r="R831" s="188"/>
      <c r="S831" s="188"/>
      <c r="T831" s="188"/>
      <c r="U831" s="188"/>
      <c r="V831" s="188"/>
      <c r="W831" s="188"/>
    </row>
    <row r="832">
      <c r="A832" s="229"/>
      <c r="B832" s="188"/>
      <c r="C832" s="229"/>
      <c r="D832" s="229"/>
      <c r="E832" s="229"/>
      <c r="F832" s="188"/>
      <c r="G832" s="188"/>
      <c r="H832" s="188"/>
      <c r="I832" s="188"/>
      <c r="J832" s="188"/>
      <c r="K832" s="188"/>
      <c r="L832" s="188"/>
      <c r="M832" s="188"/>
      <c r="N832" s="188"/>
      <c r="O832" s="188"/>
      <c r="P832" s="188"/>
      <c r="Q832" s="188"/>
      <c r="R832" s="188"/>
      <c r="S832" s="188"/>
      <c r="T832" s="188"/>
      <c r="U832" s="188"/>
      <c r="V832" s="188"/>
      <c r="W832" s="188"/>
    </row>
    <row r="833">
      <c r="A833" s="229"/>
      <c r="B833" s="188"/>
      <c r="C833" s="229"/>
      <c r="D833" s="229"/>
      <c r="E833" s="229"/>
      <c r="F833" s="188"/>
      <c r="G833" s="188"/>
      <c r="H833" s="188"/>
      <c r="I833" s="188"/>
      <c r="J833" s="188"/>
      <c r="K833" s="188"/>
      <c r="L833" s="188"/>
      <c r="M833" s="188"/>
      <c r="N833" s="188"/>
      <c r="O833" s="188"/>
      <c r="P833" s="188"/>
      <c r="Q833" s="188"/>
      <c r="R833" s="188"/>
      <c r="S833" s="188"/>
      <c r="T833" s="188"/>
      <c r="U833" s="188"/>
      <c r="V833" s="188"/>
      <c r="W833" s="188"/>
    </row>
    <row r="834">
      <c r="A834" s="229"/>
      <c r="B834" s="188"/>
      <c r="C834" s="229"/>
      <c r="D834" s="229"/>
      <c r="E834" s="229"/>
      <c r="F834" s="188"/>
      <c r="G834" s="188"/>
      <c r="H834" s="188"/>
      <c r="I834" s="188"/>
      <c r="J834" s="188"/>
      <c r="K834" s="188"/>
      <c r="L834" s="188"/>
      <c r="M834" s="188"/>
      <c r="N834" s="188"/>
      <c r="O834" s="188"/>
      <c r="P834" s="188"/>
      <c r="Q834" s="188"/>
      <c r="R834" s="188"/>
      <c r="S834" s="188"/>
      <c r="T834" s="188"/>
      <c r="U834" s="188"/>
      <c r="V834" s="188"/>
      <c r="W834" s="188"/>
    </row>
    <row r="835">
      <c r="A835" s="229"/>
      <c r="B835" s="188"/>
      <c r="C835" s="229"/>
      <c r="D835" s="229"/>
      <c r="E835" s="229"/>
      <c r="F835" s="188"/>
      <c r="G835" s="188"/>
      <c r="H835" s="188"/>
      <c r="I835" s="188"/>
      <c r="J835" s="188"/>
      <c r="K835" s="188"/>
      <c r="L835" s="188"/>
      <c r="M835" s="188"/>
      <c r="N835" s="188"/>
      <c r="O835" s="188"/>
      <c r="P835" s="188"/>
      <c r="Q835" s="188"/>
      <c r="R835" s="188"/>
      <c r="S835" s="188"/>
      <c r="T835" s="188"/>
      <c r="U835" s="188"/>
      <c r="V835" s="188"/>
      <c r="W835" s="188"/>
    </row>
    <row r="836">
      <c r="A836" s="229"/>
      <c r="B836" s="188"/>
      <c r="C836" s="229"/>
      <c r="D836" s="229"/>
      <c r="E836" s="229"/>
      <c r="F836" s="188"/>
      <c r="G836" s="188"/>
      <c r="H836" s="188"/>
      <c r="I836" s="188"/>
      <c r="J836" s="188"/>
      <c r="K836" s="188"/>
      <c r="L836" s="188"/>
      <c r="M836" s="188"/>
      <c r="N836" s="188"/>
      <c r="O836" s="188"/>
      <c r="P836" s="188"/>
      <c r="Q836" s="188"/>
      <c r="R836" s="188"/>
      <c r="S836" s="188"/>
      <c r="T836" s="188"/>
      <c r="U836" s="188"/>
      <c r="V836" s="188"/>
      <c r="W836" s="188"/>
    </row>
    <row r="837">
      <c r="A837" s="229"/>
      <c r="B837" s="188"/>
      <c r="C837" s="229"/>
      <c r="D837" s="229"/>
      <c r="E837" s="229"/>
      <c r="F837" s="188"/>
      <c r="G837" s="188"/>
      <c r="H837" s="188"/>
      <c r="I837" s="188"/>
      <c r="J837" s="188"/>
      <c r="K837" s="188"/>
      <c r="L837" s="188"/>
      <c r="M837" s="188"/>
      <c r="N837" s="188"/>
      <c r="O837" s="188"/>
      <c r="P837" s="188"/>
      <c r="Q837" s="188"/>
      <c r="R837" s="188"/>
      <c r="S837" s="188"/>
      <c r="T837" s="188"/>
      <c r="U837" s="188"/>
      <c r="V837" s="188"/>
      <c r="W837" s="188"/>
    </row>
    <row r="838">
      <c r="A838" s="229"/>
      <c r="B838" s="188"/>
      <c r="C838" s="229"/>
      <c r="D838" s="229"/>
      <c r="E838" s="229"/>
      <c r="F838" s="188"/>
      <c r="G838" s="188"/>
      <c r="H838" s="188"/>
      <c r="I838" s="188"/>
      <c r="J838" s="188"/>
      <c r="K838" s="188"/>
      <c r="L838" s="188"/>
      <c r="M838" s="188"/>
      <c r="N838" s="188"/>
      <c r="O838" s="188"/>
      <c r="P838" s="188"/>
      <c r="Q838" s="188"/>
      <c r="R838" s="188"/>
      <c r="S838" s="188"/>
      <c r="T838" s="188"/>
      <c r="U838" s="188"/>
      <c r="V838" s="188"/>
      <c r="W838" s="188"/>
    </row>
    <row r="839">
      <c r="A839" s="229"/>
      <c r="B839" s="188"/>
      <c r="C839" s="229"/>
      <c r="D839" s="229"/>
      <c r="E839" s="229"/>
      <c r="F839" s="188"/>
      <c r="G839" s="188"/>
      <c r="H839" s="188"/>
      <c r="I839" s="188"/>
      <c r="J839" s="188"/>
      <c r="K839" s="188"/>
      <c r="L839" s="188"/>
      <c r="M839" s="188"/>
      <c r="N839" s="188"/>
      <c r="O839" s="188"/>
      <c r="P839" s="188"/>
      <c r="Q839" s="188"/>
      <c r="R839" s="188"/>
      <c r="S839" s="188"/>
      <c r="T839" s="188"/>
      <c r="U839" s="188"/>
      <c r="V839" s="188"/>
      <c r="W839" s="188"/>
    </row>
    <row r="840">
      <c r="A840" s="229"/>
      <c r="B840" s="188"/>
      <c r="C840" s="229"/>
      <c r="D840" s="229"/>
      <c r="E840" s="229"/>
      <c r="F840" s="188"/>
      <c r="G840" s="188"/>
      <c r="H840" s="188"/>
      <c r="I840" s="188"/>
      <c r="J840" s="188"/>
      <c r="K840" s="188"/>
      <c r="L840" s="188"/>
      <c r="M840" s="188"/>
      <c r="N840" s="188"/>
      <c r="O840" s="188"/>
      <c r="P840" s="188"/>
      <c r="Q840" s="188"/>
      <c r="R840" s="188"/>
      <c r="S840" s="188"/>
      <c r="T840" s="188"/>
      <c r="U840" s="188"/>
      <c r="V840" s="188"/>
      <c r="W840" s="188"/>
    </row>
    <row r="841">
      <c r="A841" s="229"/>
      <c r="B841" s="188"/>
      <c r="C841" s="229"/>
      <c r="D841" s="229"/>
      <c r="E841" s="229"/>
      <c r="F841" s="188"/>
      <c r="G841" s="188"/>
      <c r="H841" s="188"/>
      <c r="I841" s="188"/>
      <c r="J841" s="188"/>
      <c r="K841" s="188"/>
      <c r="L841" s="188"/>
      <c r="M841" s="188"/>
      <c r="N841" s="188"/>
      <c r="O841" s="188"/>
      <c r="P841" s="188"/>
      <c r="Q841" s="188"/>
      <c r="R841" s="188"/>
      <c r="S841" s="188"/>
      <c r="T841" s="188"/>
      <c r="U841" s="188"/>
      <c r="V841" s="188"/>
      <c r="W841" s="188"/>
    </row>
    <row r="842">
      <c r="A842" s="229"/>
      <c r="B842" s="188"/>
      <c r="C842" s="229"/>
      <c r="D842" s="229"/>
      <c r="E842" s="229"/>
      <c r="F842" s="188"/>
      <c r="G842" s="188"/>
      <c r="H842" s="188"/>
      <c r="I842" s="188"/>
      <c r="J842" s="188"/>
      <c r="K842" s="188"/>
      <c r="L842" s="188"/>
      <c r="M842" s="188"/>
      <c r="N842" s="188"/>
      <c r="O842" s="188"/>
      <c r="P842" s="188"/>
      <c r="Q842" s="188"/>
      <c r="R842" s="188"/>
      <c r="S842" s="188"/>
      <c r="T842" s="188"/>
      <c r="U842" s="188"/>
      <c r="V842" s="188"/>
      <c r="W842" s="188"/>
    </row>
    <row r="843">
      <c r="A843" s="229"/>
      <c r="B843" s="188"/>
      <c r="C843" s="229"/>
      <c r="D843" s="229"/>
      <c r="E843" s="229"/>
      <c r="F843" s="188"/>
      <c r="G843" s="188"/>
      <c r="H843" s="188"/>
      <c r="I843" s="188"/>
      <c r="J843" s="188"/>
      <c r="K843" s="188"/>
      <c r="L843" s="188"/>
      <c r="M843" s="188"/>
      <c r="N843" s="188"/>
      <c r="O843" s="188"/>
      <c r="P843" s="188"/>
      <c r="Q843" s="188"/>
      <c r="R843" s="188"/>
      <c r="S843" s="188"/>
      <c r="T843" s="188"/>
      <c r="U843" s="188"/>
      <c r="V843" s="188"/>
      <c r="W843" s="188"/>
    </row>
    <row r="844">
      <c r="A844" s="229"/>
      <c r="B844" s="188"/>
      <c r="C844" s="229"/>
      <c r="D844" s="229"/>
      <c r="E844" s="229"/>
      <c r="F844" s="188"/>
      <c r="G844" s="188"/>
      <c r="H844" s="188"/>
      <c r="I844" s="188"/>
      <c r="J844" s="188"/>
      <c r="K844" s="188"/>
      <c r="L844" s="188"/>
      <c r="M844" s="188"/>
      <c r="N844" s="188"/>
      <c r="O844" s="188"/>
      <c r="P844" s="188"/>
      <c r="Q844" s="188"/>
      <c r="R844" s="188"/>
      <c r="S844" s="188"/>
      <c r="T844" s="188"/>
      <c r="U844" s="188"/>
      <c r="V844" s="188"/>
      <c r="W844" s="188"/>
    </row>
    <row r="845">
      <c r="A845" s="229"/>
      <c r="B845" s="188"/>
      <c r="C845" s="229"/>
      <c r="D845" s="229"/>
      <c r="E845" s="229"/>
      <c r="F845" s="188"/>
      <c r="G845" s="188"/>
      <c r="H845" s="188"/>
      <c r="I845" s="188"/>
      <c r="J845" s="188"/>
      <c r="K845" s="188"/>
      <c r="L845" s="188"/>
      <c r="M845" s="188"/>
      <c r="N845" s="188"/>
      <c r="O845" s="188"/>
      <c r="P845" s="188"/>
      <c r="Q845" s="188"/>
      <c r="R845" s="188"/>
      <c r="S845" s="188"/>
      <c r="T845" s="188"/>
      <c r="U845" s="188"/>
      <c r="V845" s="188"/>
      <c r="W845" s="188"/>
    </row>
    <row r="846">
      <c r="A846" s="229"/>
      <c r="B846" s="188"/>
      <c r="C846" s="229"/>
      <c r="D846" s="229"/>
      <c r="E846" s="229"/>
      <c r="F846" s="188"/>
      <c r="G846" s="188"/>
      <c r="H846" s="188"/>
      <c r="I846" s="188"/>
      <c r="J846" s="188"/>
      <c r="K846" s="188"/>
      <c r="L846" s="188"/>
      <c r="M846" s="188"/>
      <c r="N846" s="188"/>
      <c r="O846" s="188"/>
      <c r="P846" s="188"/>
      <c r="Q846" s="188"/>
      <c r="R846" s="188"/>
      <c r="S846" s="188"/>
      <c r="T846" s="188"/>
      <c r="U846" s="188"/>
      <c r="V846" s="188"/>
      <c r="W846" s="188"/>
    </row>
    <row r="847">
      <c r="A847" s="229"/>
      <c r="B847" s="188"/>
      <c r="C847" s="229"/>
      <c r="D847" s="229"/>
      <c r="E847" s="229"/>
      <c r="F847" s="188"/>
      <c r="G847" s="188"/>
      <c r="H847" s="188"/>
      <c r="I847" s="188"/>
      <c r="J847" s="188"/>
      <c r="K847" s="188"/>
      <c r="L847" s="188"/>
      <c r="M847" s="188"/>
      <c r="N847" s="188"/>
      <c r="O847" s="188"/>
      <c r="P847" s="188"/>
      <c r="Q847" s="188"/>
      <c r="R847" s="188"/>
      <c r="S847" s="188"/>
      <c r="T847" s="188"/>
      <c r="U847" s="188"/>
      <c r="V847" s="188"/>
      <c r="W847" s="188"/>
    </row>
    <row r="848">
      <c r="A848" s="229"/>
      <c r="B848" s="188"/>
      <c r="C848" s="229"/>
      <c r="D848" s="229"/>
      <c r="E848" s="229"/>
      <c r="F848" s="188"/>
      <c r="G848" s="188"/>
      <c r="H848" s="188"/>
      <c r="I848" s="188"/>
      <c r="J848" s="188"/>
      <c r="K848" s="188"/>
      <c r="L848" s="188"/>
      <c r="M848" s="188"/>
      <c r="N848" s="188"/>
      <c r="O848" s="188"/>
      <c r="P848" s="188"/>
      <c r="Q848" s="188"/>
      <c r="R848" s="188"/>
      <c r="S848" s="188"/>
      <c r="T848" s="188"/>
      <c r="U848" s="188"/>
      <c r="V848" s="188"/>
      <c r="W848" s="188"/>
    </row>
    <row r="849">
      <c r="A849" s="229"/>
      <c r="B849" s="188"/>
      <c r="C849" s="229"/>
      <c r="D849" s="229"/>
      <c r="E849" s="229"/>
      <c r="F849" s="188"/>
      <c r="G849" s="188"/>
      <c r="H849" s="188"/>
      <c r="I849" s="188"/>
      <c r="J849" s="188"/>
      <c r="K849" s="188"/>
      <c r="L849" s="188"/>
      <c r="M849" s="188"/>
      <c r="N849" s="188"/>
      <c r="O849" s="188"/>
      <c r="P849" s="188"/>
      <c r="Q849" s="188"/>
      <c r="R849" s="188"/>
      <c r="S849" s="188"/>
      <c r="T849" s="188"/>
      <c r="U849" s="188"/>
      <c r="V849" s="188"/>
      <c r="W849" s="188"/>
    </row>
    <row r="850">
      <c r="A850" s="229"/>
      <c r="B850" s="188"/>
      <c r="C850" s="229"/>
      <c r="D850" s="229"/>
      <c r="E850" s="229"/>
      <c r="F850" s="188"/>
      <c r="G850" s="188"/>
      <c r="H850" s="188"/>
      <c r="I850" s="188"/>
      <c r="J850" s="188"/>
      <c r="K850" s="188"/>
      <c r="L850" s="188"/>
      <c r="M850" s="188"/>
      <c r="N850" s="188"/>
      <c r="O850" s="188"/>
      <c r="P850" s="188"/>
      <c r="Q850" s="188"/>
      <c r="R850" s="188"/>
      <c r="S850" s="188"/>
      <c r="T850" s="188"/>
      <c r="U850" s="188"/>
      <c r="V850" s="188"/>
      <c r="W850" s="188"/>
    </row>
    <row r="851">
      <c r="A851" s="229"/>
      <c r="B851" s="188"/>
      <c r="C851" s="229"/>
      <c r="D851" s="229"/>
      <c r="E851" s="229"/>
      <c r="F851" s="188"/>
      <c r="G851" s="188"/>
      <c r="H851" s="188"/>
      <c r="I851" s="188"/>
      <c r="J851" s="188"/>
      <c r="K851" s="188"/>
      <c r="L851" s="188"/>
      <c r="M851" s="188"/>
      <c r="N851" s="188"/>
      <c r="O851" s="188"/>
      <c r="P851" s="188"/>
      <c r="Q851" s="188"/>
      <c r="R851" s="188"/>
      <c r="S851" s="188"/>
      <c r="T851" s="188"/>
      <c r="U851" s="188"/>
      <c r="V851" s="188"/>
      <c r="W851" s="188"/>
    </row>
    <row r="852">
      <c r="A852" s="229"/>
      <c r="B852" s="188"/>
      <c r="C852" s="229"/>
      <c r="D852" s="229"/>
      <c r="E852" s="229"/>
      <c r="F852" s="188"/>
      <c r="G852" s="188"/>
      <c r="H852" s="188"/>
      <c r="I852" s="188"/>
      <c r="J852" s="188"/>
      <c r="K852" s="188"/>
      <c r="L852" s="188"/>
      <c r="M852" s="188"/>
      <c r="N852" s="188"/>
      <c r="O852" s="188"/>
      <c r="P852" s="188"/>
      <c r="Q852" s="188"/>
      <c r="R852" s="188"/>
      <c r="S852" s="188"/>
      <c r="T852" s="188"/>
      <c r="U852" s="188"/>
      <c r="V852" s="188"/>
      <c r="W852" s="188"/>
    </row>
    <row r="853">
      <c r="A853" s="229"/>
      <c r="B853" s="188"/>
      <c r="C853" s="229"/>
      <c r="D853" s="229"/>
      <c r="E853" s="229"/>
      <c r="F853" s="188"/>
      <c r="G853" s="188"/>
      <c r="H853" s="188"/>
      <c r="I853" s="188"/>
      <c r="J853" s="188"/>
      <c r="K853" s="188"/>
      <c r="L853" s="188"/>
      <c r="M853" s="188"/>
      <c r="N853" s="188"/>
      <c r="O853" s="188"/>
      <c r="P853" s="188"/>
      <c r="Q853" s="188"/>
      <c r="R853" s="188"/>
      <c r="S853" s="188"/>
      <c r="T853" s="188"/>
      <c r="U853" s="188"/>
      <c r="V853" s="188"/>
      <c r="W853" s="188"/>
    </row>
    <row r="854">
      <c r="A854" s="229"/>
      <c r="B854" s="188"/>
      <c r="C854" s="229"/>
      <c r="D854" s="229"/>
      <c r="E854" s="229"/>
      <c r="F854" s="188"/>
      <c r="G854" s="188"/>
      <c r="H854" s="188"/>
      <c r="I854" s="188"/>
      <c r="J854" s="188"/>
      <c r="K854" s="188"/>
      <c r="L854" s="188"/>
      <c r="M854" s="188"/>
      <c r="N854" s="188"/>
      <c r="O854" s="188"/>
      <c r="P854" s="188"/>
      <c r="Q854" s="188"/>
      <c r="R854" s="188"/>
      <c r="S854" s="188"/>
      <c r="T854" s="188"/>
      <c r="U854" s="188"/>
      <c r="V854" s="188"/>
      <c r="W854" s="188"/>
    </row>
    <row r="855">
      <c r="A855" s="229"/>
      <c r="B855" s="188"/>
      <c r="C855" s="229"/>
      <c r="D855" s="229"/>
      <c r="E855" s="229"/>
      <c r="F855" s="188"/>
      <c r="G855" s="188"/>
      <c r="H855" s="188"/>
      <c r="I855" s="188"/>
      <c r="J855" s="188"/>
      <c r="K855" s="188"/>
      <c r="L855" s="188"/>
      <c r="M855" s="188"/>
      <c r="N855" s="188"/>
      <c r="O855" s="188"/>
      <c r="P855" s="188"/>
      <c r="Q855" s="188"/>
      <c r="R855" s="188"/>
      <c r="S855" s="188"/>
      <c r="T855" s="188"/>
      <c r="U855" s="188"/>
      <c r="V855" s="188"/>
      <c r="W855" s="188"/>
    </row>
    <row r="856">
      <c r="A856" s="229"/>
      <c r="B856" s="188"/>
      <c r="C856" s="229"/>
      <c r="D856" s="229"/>
      <c r="E856" s="229"/>
      <c r="F856" s="188"/>
      <c r="G856" s="188"/>
      <c r="H856" s="188"/>
      <c r="I856" s="188"/>
      <c r="J856" s="188"/>
      <c r="K856" s="188"/>
      <c r="L856" s="188"/>
      <c r="M856" s="188"/>
      <c r="N856" s="188"/>
      <c r="O856" s="188"/>
      <c r="P856" s="188"/>
      <c r="Q856" s="188"/>
      <c r="R856" s="188"/>
      <c r="S856" s="188"/>
      <c r="T856" s="188"/>
      <c r="U856" s="188"/>
      <c r="V856" s="188"/>
      <c r="W856" s="188"/>
    </row>
    <row r="857">
      <c r="A857" s="229"/>
      <c r="B857" s="188"/>
      <c r="C857" s="229"/>
      <c r="D857" s="229"/>
      <c r="E857" s="229"/>
      <c r="F857" s="188"/>
      <c r="G857" s="188"/>
      <c r="H857" s="188"/>
      <c r="I857" s="188"/>
      <c r="J857" s="188"/>
      <c r="K857" s="188"/>
      <c r="L857" s="188"/>
      <c r="M857" s="188"/>
      <c r="N857" s="188"/>
      <c r="O857" s="188"/>
      <c r="P857" s="188"/>
      <c r="Q857" s="188"/>
      <c r="R857" s="188"/>
      <c r="S857" s="188"/>
      <c r="T857" s="188"/>
      <c r="U857" s="188"/>
      <c r="V857" s="188"/>
      <c r="W857" s="188"/>
    </row>
    <row r="858">
      <c r="A858" s="229"/>
      <c r="B858" s="188"/>
      <c r="C858" s="229"/>
      <c r="D858" s="229"/>
      <c r="E858" s="229"/>
      <c r="F858" s="188"/>
      <c r="G858" s="188"/>
      <c r="H858" s="188"/>
      <c r="I858" s="188"/>
      <c r="J858" s="188"/>
      <c r="K858" s="188"/>
      <c r="L858" s="188"/>
      <c r="M858" s="188"/>
      <c r="N858" s="188"/>
      <c r="O858" s="188"/>
      <c r="P858" s="188"/>
      <c r="Q858" s="188"/>
      <c r="R858" s="188"/>
      <c r="S858" s="188"/>
      <c r="T858" s="188"/>
      <c r="U858" s="188"/>
      <c r="V858" s="188"/>
      <c r="W858" s="188"/>
    </row>
    <row r="859">
      <c r="A859" s="229"/>
      <c r="B859" s="188"/>
      <c r="C859" s="229"/>
      <c r="D859" s="229"/>
      <c r="E859" s="229"/>
      <c r="F859" s="188"/>
      <c r="G859" s="188"/>
      <c r="H859" s="188"/>
      <c r="I859" s="188"/>
      <c r="J859" s="188"/>
      <c r="K859" s="188"/>
      <c r="L859" s="188"/>
      <c r="M859" s="188"/>
      <c r="N859" s="188"/>
      <c r="O859" s="188"/>
      <c r="P859" s="188"/>
      <c r="Q859" s="188"/>
      <c r="R859" s="188"/>
      <c r="S859" s="188"/>
      <c r="T859" s="188"/>
      <c r="U859" s="188"/>
      <c r="V859" s="188"/>
      <c r="W859" s="188"/>
    </row>
    <row r="860">
      <c r="A860" s="229"/>
      <c r="B860" s="188"/>
      <c r="C860" s="229"/>
      <c r="D860" s="229"/>
      <c r="E860" s="229"/>
      <c r="F860" s="188"/>
      <c r="G860" s="188"/>
      <c r="H860" s="188"/>
      <c r="I860" s="188"/>
      <c r="J860" s="188"/>
      <c r="K860" s="188"/>
      <c r="L860" s="188"/>
      <c r="M860" s="188"/>
      <c r="N860" s="188"/>
      <c r="O860" s="188"/>
      <c r="P860" s="188"/>
      <c r="Q860" s="188"/>
      <c r="R860" s="188"/>
      <c r="S860" s="188"/>
      <c r="T860" s="188"/>
      <c r="U860" s="188"/>
      <c r="V860" s="188"/>
      <c r="W860" s="188"/>
    </row>
    <row r="861">
      <c r="A861" s="229"/>
      <c r="B861" s="188"/>
      <c r="C861" s="229"/>
      <c r="D861" s="229"/>
      <c r="E861" s="229"/>
      <c r="F861" s="188"/>
      <c r="G861" s="188"/>
      <c r="H861" s="188"/>
      <c r="I861" s="188"/>
      <c r="J861" s="188"/>
      <c r="K861" s="188"/>
      <c r="L861" s="188"/>
      <c r="M861" s="188"/>
      <c r="N861" s="188"/>
      <c r="O861" s="188"/>
      <c r="P861" s="188"/>
      <c r="Q861" s="188"/>
      <c r="R861" s="188"/>
      <c r="S861" s="188"/>
      <c r="T861" s="188"/>
      <c r="U861" s="188"/>
      <c r="V861" s="188"/>
      <c r="W861" s="188"/>
    </row>
    <row r="862">
      <c r="A862" s="229"/>
      <c r="B862" s="188"/>
      <c r="C862" s="229"/>
      <c r="D862" s="229"/>
      <c r="E862" s="229"/>
      <c r="F862" s="188"/>
      <c r="G862" s="188"/>
      <c r="H862" s="188"/>
      <c r="I862" s="188"/>
      <c r="J862" s="188"/>
      <c r="K862" s="188"/>
      <c r="L862" s="188"/>
      <c r="M862" s="188"/>
      <c r="N862" s="188"/>
      <c r="O862" s="188"/>
      <c r="P862" s="188"/>
      <c r="Q862" s="188"/>
      <c r="R862" s="188"/>
      <c r="S862" s="188"/>
      <c r="T862" s="188"/>
      <c r="U862" s="188"/>
      <c r="V862" s="188"/>
      <c r="W862" s="188"/>
    </row>
    <row r="863">
      <c r="A863" s="229"/>
      <c r="B863" s="188"/>
      <c r="C863" s="229"/>
      <c r="D863" s="229"/>
      <c r="E863" s="229"/>
      <c r="F863" s="188"/>
      <c r="G863" s="188"/>
      <c r="H863" s="188"/>
      <c r="I863" s="188"/>
      <c r="J863" s="188"/>
      <c r="K863" s="188"/>
      <c r="L863" s="188"/>
      <c r="M863" s="188"/>
      <c r="N863" s="188"/>
      <c r="O863" s="188"/>
      <c r="P863" s="188"/>
      <c r="Q863" s="188"/>
      <c r="R863" s="188"/>
      <c r="S863" s="188"/>
      <c r="T863" s="188"/>
      <c r="U863" s="188"/>
      <c r="V863" s="188"/>
      <c r="W863" s="188"/>
    </row>
    <row r="864">
      <c r="A864" s="229"/>
      <c r="B864" s="188"/>
      <c r="C864" s="229"/>
      <c r="D864" s="229"/>
      <c r="E864" s="229"/>
      <c r="F864" s="188"/>
      <c r="G864" s="188"/>
      <c r="H864" s="188"/>
      <c r="I864" s="188"/>
      <c r="J864" s="188"/>
      <c r="K864" s="188"/>
      <c r="L864" s="188"/>
      <c r="M864" s="188"/>
      <c r="N864" s="188"/>
      <c r="O864" s="188"/>
      <c r="P864" s="188"/>
      <c r="Q864" s="188"/>
      <c r="R864" s="188"/>
      <c r="S864" s="188"/>
      <c r="T864" s="188"/>
      <c r="U864" s="188"/>
      <c r="V864" s="188"/>
      <c r="W864" s="188"/>
    </row>
    <row r="865">
      <c r="A865" s="229"/>
      <c r="B865" s="188"/>
      <c r="C865" s="229"/>
      <c r="D865" s="229"/>
      <c r="E865" s="229"/>
      <c r="F865" s="188"/>
      <c r="G865" s="188"/>
      <c r="H865" s="188"/>
      <c r="I865" s="188"/>
      <c r="J865" s="188"/>
      <c r="K865" s="188"/>
      <c r="L865" s="188"/>
      <c r="M865" s="188"/>
      <c r="N865" s="188"/>
      <c r="O865" s="188"/>
      <c r="P865" s="188"/>
      <c r="Q865" s="188"/>
      <c r="R865" s="188"/>
      <c r="S865" s="188"/>
      <c r="T865" s="188"/>
      <c r="U865" s="188"/>
      <c r="V865" s="188"/>
      <c r="W865" s="188"/>
    </row>
    <row r="866">
      <c r="A866" s="229"/>
      <c r="B866" s="188"/>
      <c r="C866" s="229"/>
      <c r="D866" s="229"/>
      <c r="E866" s="229"/>
      <c r="F866" s="188"/>
      <c r="G866" s="188"/>
      <c r="H866" s="188"/>
      <c r="I866" s="188"/>
      <c r="J866" s="188"/>
      <c r="K866" s="188"/>
      <c r="L866" s="188"/>
      <c r="M866" s="188"/>
      <c r="N866" s="188"/>
      <c r="O866" s="188"/>
      <c r="P866" s="188"/>
      <c r="Q866" s="188"/>
      <c r="R866" s="188"/>
      <c r="S866" s="188"/>
      <c r="T866" s="188"/>
      <c r="U866" s="188"/>
      <c r="V866" s="188"/>
      <c r="W866" s="188"/>
    </row>
    <row r="867">
      <c r="A867" s="229"/>
      <c r="B867" s="188"/>
      <c r="C867" s="229"/>
      <c r="D867" s="229"/>
      <c r="E867" s="229"/>
      <c r="F867" s="188"/>
      <c r="G867" s="188"/>
      <c r="H867" s="188"/>
      <c r="I867" s="188"/>
      <c r="J867" s="188"/>
      <c r="K867" s="188"/>
      <c r="L867" s="188"/>
      <c r="M867" s="188"/>
      <c r="N867" s="188"/>
      <c r="O867" s="188"/>
      <c r="P867" s="188"/>
      <c r="Q867" s="188"/>
      <c r="R867" s="188"/>
      <c r="S867" s="188"/>
      <c r="T867" s="188"/>
      <c r="U867" s="188"/>
      <c r="V867" s="188"/>
      <c r="W867" s="188"/>
    </row>
    <row r="868">
      <c r="A868" s="229"/>
      <c r="B868" s="188"/>
      <c r="C868" s="229"/>
      <c r="D868" s="229"/>
      <c r="E868" s="229"/>
      <c r="F868" s="188"/>
      <c r="G868" s="188"/>
      <c r="H868" s="188"/>
      <c r="I868" s="188"/>
      <c r="J868" s="188"/>
      <c r="K868" s="188"/>
      <c r="L868" s="188"/>
      <c r="M868" s="188"/>
      <c r="N868" s="188"/>
      <c r="O868" s="188"/>
      <c r="P868" s="188"/>
      <c r="Q868" s="188"/>
      <c r="R868" s="188"/>
      <c r="S868" s="188"/>
      <c r="T868" s="188"/>
      <c r="U868" s="188"/>
      <c r="V868" s="188"/>
      <c r="W868" s="188"/>
    </row>
    <row r="869">
      <c r="A869" s="229"/>
      <c r="B869" s="188"/>
      <c r="C869" s="229"/>
      <c r="D869" s="229"/>
      <c r="E869" s="229"/>
      <c r="F869" s="188"/>
      <c r="G869" s="188"/>
      <c r="H869" s="188"/>
      <c r="I869" s="188"/>
      <c r="J869" s="188"/>
      <c r="K869" s="188"/>
      <c r="L869" s="188"/>
      <c r="M869" s="188"/>
      <c r="N869" s="188"/>
      <c r="O869" s="188"/>
      <c r="P869" s="188"/>
      <c r="Q869" s="188"/>
      <c r="R869" s="188"/>
      <c r="S869" s="188"/>
      <c r="T869" s="188"/>
      <c r="U869" s="188"/>
      <c r="V869" s="188"/>
      <c r="W869" s="188"/>
    </row>
    <row r="870">
      <c r="A870" s="229"/>
      <c r="B870" s="188"/>
      <c r="C870" s="229"/>
      <c r="D870" s="229"/>
      <c r="E870" s="229"/>
      <c r="F870" s="188"/>
      <c r="G870" s="188"/>
      <c r="H870" s="188"/>
      <c r="I870" s="188"/>
      <c r="J870" s="188"/>
      <c r="K870" s="188"/>
      <c r="L870" s="188"/>
      <c r="M870" s="188"/>
      <c r="N870" s="188"/>
      <c r="O870" s="188"/>
      <c r="P870" s="188"/>
      <c r="Q870" s="188"/>
      <c r="R870" s="188"/>
      <c r="S870" s="188"/>
      <c r="T870" s="188"/>
      <c r="U870" s="188"/>
      <c r="V870" s="188"/>
      <c r="W870" s="188"/>
    </row>
    <row r="871">
      <c r="A871" s="229"/>
      <c r="B871" s="188"/>
      <c r="C871" s="229"/>
      <c r="D871" s="229"/>
      <c r="E871" s="229"/>
      <c r="F871" s="188"/>
      <c r="G871" s="188"/>
      <c r="H871" s="188"/>
      <c r="I871" s="188"/>
      <c r="J871" s="188"/>
      <c r="K871" s="188"/>
      <c r="L871" s="188"/>
      <c r="M871" s="188"/>
      <c r="N871" s="188"/>
      <c r="O871" s="188"/>
      <c r="P871" s="188"/>
      <c r="Q871" s="188"/>
      <c r="R871" s="188"/>
      <c r="S871" s="188"/>
      <c r="T871" s="188"/>
      <c r="U871" s="188"/>
      <c r="V871" s="188"/>
      <c r="W871" s="188"/>
    </row>
    <row r="872">
      <c r="A872" s="229"/>
      <c r="B872" s="188"/>
      <c r="C872" s="229"/>
      <c r="D872" s="229"/>
      <c r="E872" s="229"/>
      <c r="F872" s="188"/>
      <c r="G872" s="188"/>
      <c r="H872" s="188"/>
      <c r="I872" s="188"/>
      <c r="J872" s="188"/>
      <c r="K872" s="188"/>
      <c r="L872" s="188"/>
      <c r="M872" s="188"/>
      <c r="N872" s="188"/>
      <c r="O872" s="188"/>
      <c r="P872" s="188"/>
      <c r="Q872" s="188"/>
      <c r="R872" s="188"/>
      <c r="S872" s="188"/>
      <c r="T872" s="188"/>
      <c r="U872" s="188"/>
      <c r="V872" s="188"/>
      <c r="W872" s="188"/>
    </row>
    <row r="873">
      <c r="A873" s="229"/>
      <c r="B873" s="188"/>
      <c r="C873" s="229"/>
      <c r="D873" s="229"/>
      <c r="E873" s="229"/>
      <c r="F873" s="188"/>
      <c r="G873" s="188"/>
      <c r="H873" s="188"/>
      <c r="I873" s="188"/>
      <c r="J873" s="188"/>
      <c r="K873" s="188"/>
      <c r="L873" s="188"/>
      <c r="M873" s="188"/>
      <c r="N873" s="188"/>
      <c r="O873" s="188"/>
      <c r="P873" s="188"/>
      <c r="Q873" s="188"/>
      <c r="R873" s="188"/>
      <c r="S873" s="188"/>
      <c r="T873" s="188"/>
      <c r="U873" s="188"/>
      <c r="V873" s="188"/>
      <c r="W873" s="188"/>
    </row>
    <row r="874">
      <c r="A874" s="229"/>
      <c r="B874" s="188"/>
      <c r="C874" s="229"/>
      <c r="D874" s="229"/>
      <c r="E874" s="229"/>
      <c r="F874" s="188"/>
      <c r="G874" s="188"/>
      <c r="H874" s="188"/>
      <c r="I874" s="188"/>
      <c r="J874" s="188"/>
      <c r="K874" s="188"/>
      <c r="L874" s="188"/>
      <c r="M874" s="188"/>
      <c r="N874" s="188"/>
      <c r="O874" s="188"/>
      <c r="P874" s="188"/>
      <c r="Q874" s="188"/>
      <c r="R874" s="188"/>
      <c r="S874" s="188"/>
      <c r="T874" s="188"/>
      <c r="U874" s="188"/>
      <c r="V874" s="188"/>
      <c r="W874" s="188"/>
    </row>
    <row r="875">
      <c r="A875" s="229"/>
      <c r="B875" s="188"/>
      <c r="C875" s="229"/>
      <c r="D875" s="229"/>
      <c r="E875" s="229"/>
      <c r="F875" s="188"/>
      <c r="G875" s="188"/>
      <c r="H875" s="188"/>
      <c r="I875" s="188"/>
      <c r="J875" s="188"/>
      <c r="K875" s="188"/>
      <c r="L875" s="188"/>
      <c r="M875" s="188"/>
      <c r="N875" s="188"/>
      <c r="O875" s="188"/>
      <c r="P875" s="188"/>
      <c r="Q875" s="188"/>
      <c r="R875" s="188"/>
      <c r="S875" s="188"/>
      <c r="T875" s="188"/>
      <c r="U875" s="188"/>
      <c r="V875" s="188"/>
      <c r="W875" s="188"/>
    </row>
    <row r="876">
      <c r="A876" s="229"/>
      <c r="B876" s="188"/>
      <c r="C876" s="229"/>
      <c r="D876" s="229"/>
      <c r="E876" s="229"/>
      <c r="F876" s="188"/>
      <c r="G876" s="188"/>
      <c r="H876" s="188"/>
      <c r="I876" s="188"/>
      <c r="J876" s="188"/>
      <c r="K876" s="188"/>
      <c r="L876" s="188"/>
      <c r="M876" s="188"/>
      <c r="N876" s="188"/>
      <c r="O876" s="188"/>
      <c r="P876" s="188"/>
      <c r="Q876" s="188"/>
      <c r="R876" s="188"/>
      <c r="S876" s="188"/>
      <c r="T876" s="188"/>
      <c r="U876" s="188"/>
      <c r="V876" s="188"/>
      <c r="W876" s="188"/>
    </row>
    <row r="877">
      <c r="A877" s="229"/>
      <c r="B877" s="188"/>
      <c r="C877" s="229"/>
      <c r="D877" s="229"/>
      <c r="E877" s="229"/>
      <c r="F877" s="188"/>
      <c r="G877" s="188"/>
      <c r="H877" s="188"/>
      <c r="I877" s="188"/>
      <c r="J877" s="188"/>
      <c r="K877" s="188"/>
      <c r="L877" s="188"/>
      <c r="M877" s="188"/>
      <c r="N877" s="188"/>
      <c r="O877" s="188"/>
      <c r="P877" s="188"/>
      <c r="Q877" s="188"/>
      <c r="R877" s="188"/>
      <c r="S877" s="188"/>
      <c r="T877" s="188"/>
      <c r="U877" s="188"/>
      <c r="V877" s="188"/>
      <c r="W877" s="188"/>
    </row>
    <row r="878">
      <c r="A878" s="229"/>
      <c r="B878" s="188"/>
      <c r="C878" s="229"/>
      <c r="D878" s="229"/>
      <c r="E878" s="229"/>
      <c r="F878" s="188"/>
      <c r="G878" s="188"/>
      <c r="H878" s="188"/>
      <c r="I878" s="188"/>
      <c r="J878" s="188"/>
      <c r="K878" s="188"/>
      <c r="L878" s="188"/>
      <c r="M878" s="188"/>
      <c r="N878" s="188"/>
      <c r="O878" s="188"/>
      <c r="P878" s="188"/>
      <c r="Q878" s="188"/>
      <c r="R878" s="188"/>
      <c r="S878" s="188"/>
      <c r="T878" s="188"/>
      <c r="U878" s="188"/>
      <c r="V878" s="188"/>
      <c r="W878" s="188"/>
    </row>
    <row r="879">
      <c r="A879" s="229"/>
      <c r="B879" s="188"/>
      <c r="C879" s="229"/>
      <c r="D879" s="229"/>
      <c r="E879" s="229"/>
      <c r="F879" s="188"/>
      <c r="G879" s="188"/>
      <c r="H879" s="188"/>
      <c r="I879" s="188"/>
      <c r="J879" s="188"/>
      <c r="K879" s="188"/>
      <c r="L879" s="188"/>
      <c r="M879" s="188"/>
      <c r="N879" s="188"/>
      <c r="O879" s="188"/>
      <c r="P879" s="188"/>
      <c r="Q879" s="188"/>
      <c r="R879" s="188"/>
      <c r="S879" s="188"/>
      <c r="T879" s="188"/>
      <c r="U879" s="188"/>
      <c r="V879" s="188"/>
      <c r="W879" s="188"/>
    </row>
    <row r="880">
      <c r="A880" s="229"/>
      <c r="B880" s="188"/>
      <c r="C880" s="229"/>
      <c r="D880" s="229"/>
      <c r="E880" s="229"/>
      <c r="F880" s="188"/>
      <c r="G880" s="188"/>
      <c r="H880" s="188"/>
      <c r="I880" s="188"/>
      <c r="J880" s="188"/>
      <c r="K880" s="188"/>
      <c r="L880" s="188"/>
      <c r="M880" s="188"/>
      <c r="N880" s="188"/>
      <c r="O880" s="188"/>
      <c r="P880" s="188"/>
      <c r="Q880" s="188"/>
      <c r="R880" s="188"/>
      <c r="S880" s="188"/>
      <c r="T880" s="188"/>
      <c r="U880" s="188"/>
      <c r="V880" s="188"/>
      <c r="W880" s="188"/>
    </row>
    <row r="881">
      <c r="A881" s="229"/>
      <c r="B881" s="188"/>
      <c r="C881" s="229"/>
      <c r="D881" s="229"/>
      <c r="E881" s="229"/>
      <c r="F881" s="188"/>
      <c r="G881" s="188"/>
      <c r="H881" s="188"/>
      <c r="I881" s="188"/>
      <c r="J881" s="188"/>
      <c r="K881" s="188"/>
      <c r="L881" s="188"/>
      <c r="M881" s="188"/>
      <c r="N881" s="188"/>
      <c r="O881" s="188"/>
      <c r="P881" s="188"/>
      <c r="Q881" s="188"/>
      <c r="R881" s="188"/>
      <c r="S881" s="188"/>
      <c r="T881" s="188"/>
      <c r="U881" s="188"/>
      <c r="V881" s="188"/>
      <c r="W881" s="188"/>
    </row>
    <row r="882">
      <c r="A882" s="229"/>
      <c r="B882" s="188"/>
      <c r="C882" s="229"/>
      <c r="D882" s="229"/>
      <c r="E882" s="229"/>
      <c r="F882" s="188"/>
      <c r="G882" s="188"/>
      <c r="H882" s="188"/>
      <c r="I882" s="188"/>
      <c r="J882" s="188"/>
      <c r="K882" s="188"/>
      <c r="L882" s="188"/>
      <c r="M882" s="188"/>
      <c r="N882" s="188"/>
      <c r="O882" s="188"/>
      <c r="P882" s="188"/>
      <c r="Q882" s="188"/>
      <c r="R882" s="188"/>
      <c r="S882" s="188"/>
      <c r="T882" s="188"/>
      <c r="U882" s="188"/>
      <c r="V882" s="188"/>
      <c r="W882" s="188"/>
    </row>
    <row r="883">
      <c r="A883" s="229"/>
      <c r="B883" s="188"/>
      <c r="C883" s="229"/>
      <c r="D883" s="229"/>
      <c r="E883" s="229"/>
      <c r="F883" s="188"/>
      <c r="G883" s="188"/>
      <c r="H883" s="188"/>
      <c r="I883" s="188"/>
      <c r="J883" s="188"/>
      <c r="K883" s="188"/>
      <c r="L883" s="188"/>
      <c r="M883" s="188"/>
      <c r="N883" s="188"/>
      <c r="O883" s="188"/>
      <c r="P883" s="188"/>
      <c r="Q883" s="188"/>
      <c r="R883" s="188"/>
      <c r="S883" s="188"/>
      <c r="T883" s="188"/>
      <c r="U883" s="188"/>
      <c r="V883" s="188"/>
      <c r="W883" s="188"/>
    </row>
    <row r="884">
      <c r="A884" s="229"/>
      <c r="B884" s="188"/>
      <c r="C884" s="229"/>
      <c r="D884" s="229"/>
      <c r="E884" s="229"/>
      <c r="F884" s="188"/>
      <c r="G884" s="188"/>
      <c r="H884" s="188"/>
      <c r="I884" s="188"/>
      <c r="J884" s="188"/>
      <c r="K884" s="188"/>
      <c r="L884" s="188"/>
      <c r="M884" s="188"/>
      <c r="N884" s="188"/>
      <c r="O884" s="188"/>
      <c r="P884" s="188"/>
      <c r="Q884" s="188"/>
      <c r="R884" s="188"/>
      <c r="S884" s="188"/>
      <c r="T884" s="188"/>
      <c r="U884" s="188"/>
      <c r="V884" s="188"/>
      <c r="W884" s="188"/>
    </row>
    <row r="885">
      <c r="A885" s="229"/>
      <c r="B885" s="188"/>
      <c r="C885" s="229"/>
      <c r="D885" s="229"/>
      <c r="E885" s="229"/>
      <c r="F885" s="188"/>
      <c r="G885" s="188"/>
      <c r="H885" s="188"/>
      <c r="I885" s="188"/>
      <c r="J885" s="188"/>
      <c r="K885" s="188"/>
      <c r="L885" s="188"/>
      <c r="M885" s="188"/>
      <c r="N885" s="188"/>
      <c r="O885" s="188"/>
      <c r="P885" s="188"/>
      <c r="Q885" s="188"/>
      <c r="R885" s="188"/>
      <c r="S885" s="188"/>
      <c r="T885" s="188"/>
      <c r="U885" s="188"/>
      <c r="V885" s="188"/>
      <c r="W885" s="188"/>
    </row>
    <row r="886">
      <c r="A886" s="229"/>
      <c r="B886" s="188"/>
      <c r="C886" s="229"/>
      <c r="D886" s="229"/>
      <c r="E886" s="229"/>
      <c r="F886" s="188"/>
      <c r="G886" s="188"/>
      <c r="H886" s="188"/>
      <c r="I886" s="188"/>
      <c r="J886" s="188"/>
      <c r="K886" s="188"/>
      <c r="L886" s="188"/>
      <c r="M886" s="188"/>
      <c r="N886" s="188"/>
      <c r="O886" s="188"/>
      <c r="P886" s="188"/>
      <c r="Q886" s="188"/>
      <c r="R886" s="188"/>
      <c r="S886" s="188"/>
      <c r="T886" s="188"/>
      <c r="U886" s="188"/>
      <c r="V886" s="188"/>
      <c r="W886" s="188"/>
    </row>
    <row r="887">
      <c r="A887" s="229"/>
      <c r="B887" s="188"/>
      <c r="C887" s="229"/>
      <c r="D887" s="229"/>
      <c r="E887" s="229"/>
      <c r="F887" s="188"/>
      <c r="G887" s="188"/>
      <c r="H887" s="188"/>
      <c r="I887" s="188"/>
      <c r="J887" s="188"/>
      <c r="K887" s="188"/>
      <c r="L887" s="188"/>
      <c r="M887" s="188"/>
      <c r="N887" s="188"/>
      <c r="O887" s="188"/>
      <c r="P887" s="188"/>
      <c r="Q887" s="188"/>
      <c r="R887" s="188"/>
      <c r="S887" s="188"/>
      <c r="T887" s="188"/>
      <c r="U887" s="188"/>
      <c r="V887" s="188"/>
      <c r="W887" s="188"/>
    </row>
    <row r="888">
      <c r="A888" s="229"/>
      <c r="B888" s="188"/>
      <c r="C888" s="229"/>
      <c r="D888" s="229"/>
      <c r="E888" s="229"/>
      <c r="F888" s="188"/>
      <c r="G888" s="188"/>
      <c r="H888" s="188"/>
      <c r="I888" s="188"/>
      <c r="J888" s="188"/>
      <c r="K888" s="188"/>
      <c r="L888" s="188"/>
      <c r="M888" s="188"/>
      <c r="N888" s="188"/>
      <c r="O888" s="188"/>
      <c r="P888" s="188"/>
      <c r="Q888" s="188"/>
      <c r="R888" s="188"/>
      <c r="S888" s="188"/>
      <c r="T888" s="188"/>
      <c r="U888" s="188"/>
      <c r="V888" s="188"/>
      <c r="W888" s="188"/>
    </row>
    <row r="889">
      <c r="A889" s="229"/>
      <c r="B889" s="188"/>
      <c r="C889" s="229"/>
      <c r="D889" s="229"/>
      <c r="E889" s="229"/>
      <c r="F889" s="188"/>
      <c r="G889" s="188"/>
      <c r="H889" s="188"/>
      <c r="I889" s="188"/>
      <c r="J889" s="188"/>
      <c r="K889" s="188"/>
      <c r="L889" s="188"/>
      <c r="M889" s="188"/>
      <c r="N889" s="188"/>
      <c r="O889" s="188"/>
      <c r="P889" s="188"/>
      <c r="Q889" s="188"/>
      <c r="R889" s="188"/>
      <c r="S889" s="188"/>
      <c r="T889" s="188"/>
      <c r="U889" s="188"/>
      <c r="V889" s="188"/>
      <c r="W889" s="188"/>
    </row>
    <row r="890">
      <c r="A890" s="229"/>
      <c r="B890" s="188"/>
      <c r="C890" s="229"/>
      <c r="D890" s="229"/>
      <c r="E890" s="229"/>
      <c r="F890" s="188"/>
      <c r="G890" s="188"/>
      <c r="H890" s="188"/>
      <c r="I890" s="188"/>
      <c r="J890" s="188"/>
      <c r="K890" s="188"/>
      <c r="L890" s="188"/>
      <c r="M890" s="188"/>
      <c r="N890" s="188"/>
      <c r="O890" s="188"/>
      <c r="P890" s="188"/>
      <c r="Q890" s="188"/>
      <c r="R890" s="188"/>
      <c r="S890" s="188"/>
      <c r="T890" s="188"/>
      <c r="U890" s="188"/>
      <c r="V890" s="188"/>
      <c r="W890" s="188"/>
    </row>
    <row r="891">
      <c r="A891" s="229"/>
      <c r="B891" s="188"/>
      <c r="C891" s="229"/>
      <c r="D891" s="229"/>
      <c r="E891" s="229"/>
      <c r="F891" s="188"/>
      <c r="G891" s="188"/>
      <c r="H891" s="188"/>
      <c r="I891" s="188"/>
      <c r="J891" s="188"/>
      <c r="K891" s="188"/>
      <c r="L891" s="188"/>
      <c r="M891" s="188"/>
      <c r="N891" s="188"/>
      <c r="O891" s="188"/>
      <c r="P891" s="188"/>
      <c r="Q891" s="188"/>
      <c r="R891" s="188"/>
      <c r="S891" s="188"/>
      <c r="T891" s="188"/>
      <c r="U891" s="188"/>
      <c r="V891" s="188"/>
      <c r="W891" s="188"/>
    </row>
    <row r="892">
      <c r="A892" s="229"/>
      <c r="B892" s="188"/>
      <c r="C892" s="229"/>
      <c r="D892" s="229"/>
      <c r="E892" s="229"/>
      <c r="F892" s="188"/>
      <c r="G892" s="188"/>
      <c r="H892" s="188"/>
      <c r="I892" s="188"/>
      <c r="J892" s="188"/>
      <c r="K892" s="188"/>
      <c r="L892" s="188"/>
      <c r="M892" s="188"/>
      <c r="N892" s="188"/>
      <c r="O892" s="188"/>
      <c r="P892" s="188"/>
      <c r="Q892" s="188"/>
      <c r="R892" s="188"/>
      <c r="S892" s="188"/>
      <c r="T892" s="188"/>
      <c r="U892" s="188"/>
      <c r="V892" s="188"/>
      <c r="W892" s="188"/>
    </row>
    <row r="893">
      <c r="A893" s="229"/>
      <c r="B893" s="188"/>
      <c r="C893" s="229"/>
      <c r="D893" s="229"/>
      <c r="E893" s="229"/>
      <c r="F893" s="188"/>
      <c r="G893" s="188"/>
      <c r="H893" s="188"/>
      <c r="I893" s="188"/>
      <c r="J893" s="188"/>
      <c r="K893" s="188"/>
      <c r="L893" s="188"/>
      <c r="M893" s="188"/>
      <c r="N893" s="188"/>
      <c r="O893" s="188"/>
      <c r="P893" s="188"/>
      <c r="Q893" s="188"/>
      <c r="R893" s="188"/>
      <c r="S893" s="188"/>
      <c r="T893" s="188"/>
      <c r="U893" s="188"/>
      <c r="V893" s="188"/>
      <c r="W893" s="188"/>
    </row>
    <row r="894">
      <c r="A894" s="229"/>
      <c r="B894" s="188"/>
      <c r="C894" s="229"/>
      <c r="D894" s="229"/>
      <c r="E894" s="229"/>
      <c r="F894" s="188"/>
      <c r="G894" s="188"/>
      <c r="H894" s="188"/>
      <c r="I894" s="188"/>
      <c r="J894" s="188"/>
      <c r="K894" s="188"/>
      <c r="L894" s="188"/>
      <c r="M894" s="188"/>
      <c r="N894" s="188"/>
      <c r="O894" s="188"/>
      <c r="P894" s="188"/>
      <c r="Q894" s="188"/>
      <c r="R894" s="188"/>
      <c r="S894" s="188"/>
      <c r="T894" s="188"/>
      <c r="U894" s="188"/>
      <c r="V894" s="188"/>
      <c r="W894" s="188"/>
    </row>
    <row r="895">
      <c r="A895" s="229"/>
      <c r="B895" s="188"/>
      <c r="C895" s="229"/>
      <c r="D895" s="229"/>
      <c r="E895" s="229"/>
      <c r="F895" s="188"/>
      <c r="G895" s="188"/>
      <c r="H895" s="188"/>
      <c r="I895" s="188"/>
      <c r="J895" s="188"/>
      <c r="K895" s="188"/>
      <c r="L895" s="188"/>
      <c r="M895" s="188"/>
      <c r="N895" s="188"/>
      <c r="O895" s="188"/>
      <c r="P895" s="188"/>
      <c r="Q895" s="188"/>
      <c r="R895" s="188"/>
      <c r="S895" s="188"/>
      <c r="T895" s="188"/>
      <c r="U895" s="188"/>
      <c r="V895" s="188"/>
      <c r="W895" s="188"/>
    </row>
    <row r="896">
      <c r="A896" s="229"/>
      <c r="B896" s="188"/>
      <c r="C896" s="229"/>
      <c r="D896" s="229"/>
      <c r="E896" s="229"/>
      <c r="F896" s="188"/>
      <c r="G896" s="188"/>
      <c r="H896" s="188"/>
      <c r="I896" s="188"/>
      <c r="J896" s="188"/>
      <c r="K896" s="188"/>
      <c r="L896" s="188"/>
      <c r="M896" s="188"/>
      <c r="N896" s="188"/>
      <c r="O896" s="188"/>
      <c r="P896" s="188"/>
      <c r="Q896" s="188"/>
      <c r="R896" s="188"/>
      <c r="S896" s="188"/>
      <c r="T896" s="188"/>
      <c r="U896" s="188"/>
      <c r="V896" s="188"/>
      <c r="W896" s="188"/>
    </row>
    <row r="897">
      <c r="A897" s="229"/>
      <c r="B897" s="188"/>
      <c r="C897" s="229"/>
      <c r="D897" s="229"/>
      <c r="E897" s="229"/>
      <c r="F897" s="188"/>
      <c r="G897" s="188"/>
      <c r="H897" s="188"/>
      <c r="I897" s="188"/>
      <c r="J897" s="188"/>
      <c r="K897" s="188"/>
      <c r="L897" s="188"/>
      <c r="M897" s="188"/>
      <c r="N897" s="188"/>
      <c r="O897" s="188"/>
      <c r="P897" s="188"/>
      <c r="Q897" s="188"/>
      <c r="R897" s="188"/>
      <c r="S897" s="188"/>
      <c r="T897" s="188"/>
      <c r="U897" s="188"/>
      <c r="V897" s="188"/>
      <c r="W897" s="188"/>
    </row>
    <row r="898">
      <c r="A898" s="229"/>
      <c r="B898" s="188"/>
      <c r="C898" s="229"/>
      <c r="D898" s="229"/>
      <c r="E898" s="229"/>
      <c r="F898" s="188"/>
      <c r="G898" s="188"/>
      <c r="H898" s="188"/>
      <c r="I898" s="188"/>
      <c r="J898" s="188"/>
      <c r="K898" s="188"/>
      <c r="L898" s="188"/>
      <c r="M898" s="188"/>
      <c r="N898" s="188"/>
      <c r="O898" s="188"/>
      <c r="P898" s="188"/>
      <c r="Q898" s="188"/>
      <c r="R898" s="188"/>
      <c r="S898" s="188"/>
      <c r="T898" s="188"/>
      <c r="U898" s="188"/>
      <c r="V898" s="188"/>
      <c r="W898" s="188"/>
    </row>
    <row r="899">
      <c r="A899" s="229"/>
      <c r="B899" s="188"/>
      <c r="C899" s="229"/>
      <c r="D899" s="229"/>
      <c r="E899" s="229"/>
      <c r="F899" s="188"/>
      <c r="G899" s="188"/>
      <c r="H899" s="188"/>
      <c r="I899" s="188"/>
      <c r="J899" s="188"/>
      <c r="K899" s="188"/>
      <c r="L899" s="188"/>
      <c r="M899" s="188"/>
      <c r="N899" s="188"/>
      <c r="O899" s="188"/>
      <c r="P899" s="188"/>
      <c r="Q899" s="188"/>
      <c r="R899" s="188"/>
      <c r="S899" s="188"/>
      <c r="T899" s="188"/>
      <c r="U899" s="188"/>
      <c r="V899" s="188"/>
      <c r="W899" s="188"/>
    </row>
    <row r="900">
      <c r="A900" s="229"/>
      <c r="B900" s="188"/>
      <c r="C900" s="229"/>
      <c r="D900" s="229"/>
      <c r="E900" s="229"/>
      <c r="F900" s="188"/>
      <c r="G900" s="188"/>
      <c r="H900" s="188"/>
      <c r="I900" s="188"/>
      <c r="J900" s="188"/>
      <c r="K900" s="188"/>
      <c r="L900" s="188"/>
      <c r="M900" s="188"/>
      <c r="N900" s="188"/>
      <c r="O900" s="188"/>
      <c r="P900" s="188"/>
      <c r="Q900" s="188"/>
      <c r="R900" s="188"/>
      <c r="S900" s="188"/>
      <c r="T900" s="188"/>
      <c r="U900" s="188"/>
      <c r="V900" s="188"/>
      <c r="W900" s="188"/>
    </row>
    <row r="901">
      <c r="A901" s="229"/>
      <c r="B901" s="188"/>
      <c r="C901" s="229"/>
      <c r="D901" s="229"/>
      <c r="E901" s="229"/>
      <c r="F901" s="188"/>
      <c r="G901" s="188"/>
      <c r="H901" s="188"/>
      <c r="I901" s="188"/>
      <c r="J901" s="188"/>
      <c r="K901" s="188"/>
      <c r="L901" s="188"/>
      <c r="M901" s="188"/>
      <c r="N901" s="188"/>
      <c r="O901" s="188"/>
      <c r="P901" s="188"/>
      <c r="Q901" s="188"/>
      <c r="R901" s="188"/>
      <c r="S901" s="188"/>
      <c r="T901" s="188"/>
      <c r="U901" s="188"/>
      <c r="V901" s="188"/>
      <c r="W901" s="188"/>
    </row>
    <row r="902">
      <c r="A902" s="229"/>
      <c r="B902" s="188"/>
      <c r="C902" s="229"/>
      <c r="D902" s="229"/>
      <c r="E902" s="229"/>
      <c r="F902" s="188"/>
      <c r="G902" s="188"/>
      <c r="H902" s="188"/>
      <c r="I902" s="188"/>
      <c r="J902" s="188"/>
      <c r="K902" s="188"/>
      <c r="L902" s="188"/>
      <c r="M902" s="188"/>
      <c r="N902" s="188"/>
      <c r="O902" s="188"/>
      <c r="P902" s="188"/>
      <c r="Q902" s="188"/>
      <c r="R902" s="188"/>
      <c r="S902" s="188"/>
      <c r="T902" s="188"/>
      <c r="U902" s="188"/>
      <c r="V902" s="188"/>
      <c r="W902" s="188"/>
    </row>
    <row r="903">
      <c r="A903" s="229"/>
      <c r="B903" s="188"/>
      <c r="C903" s="229"/>
      <c r="D903" s="229"/>
      <c r="E903" s="229"/>
      <c r="F903" s="188"/>
      <c r="G903" s="188"/>
      <c r="H903" s="188"/>
      <c r="I903" s="188"/>
      <c r="J903" s="188"/>
      <c r="K903" s="188"/>
      <c r="L903" s="188"/>
      <c r="M903" s="188"/>
      <c r="N903" s="188"/>
      <c r="O903" s="188"/>
      <c r="P903" s="188"/>
      <c r="Q903" s="188"/>
      <c r="R903" s="188"/>
      <c r="S903" s="188"/>
      <c r="T903" s="188"/>
      <c r="U903" s="188"/>
      <c r="V903" s="188"/>
      <c r="W903" s="188"/>
    </row>
    <row r="904">
      <c r="A904" s="229"/>
      <c r="B904" s="188"/>
      <c r="C904" s="229"/>
      <c r="D904" s="229"/>
      <c r="E904" s="229"/>
      <c r="F904" s="188"/>
      <c r="G904" s="188"/>
      <c r="H904" s="188"/>
      <c r="I904" s="188"/>
      <c r="J904" s="188"/>
      <c r="K904" s="188"/>
      <c r="L904" s="188"/>
      <c r="M904" s="188"/>
      <c r="N904" s="188"/>
      <c r="O904" s="188"/>
      <c r="P904" s="188"/>
      <c r="Q904" s="188"/>
      <c r="R904" s="188"/>
      <c r="S904" s="188"/>
      <c r="T904" s="188"/>
      <c r="U904" s="188"/>
      <c r="V904" s="188"/>
      <c r="W904" s="188"/>
    </row>
    <row r="905">
      <c r="A905" s="229"/>
      <c r="B905" s="188"/>
      <c r="C905" s="229"/>
      <c r="D905" s="229"/>
      <c r="E905" s="229"/>
      <c r="F905" s="188"/>
      <c r="G905" s="188"/>
      <c r="H905" s="188"/>
      <c r="I905" s="188"/>
      <c r="J905" s="188"/>
      <c r="K905" s="188"/>
      <c r="L905" s="188"/>
      <c r="M905" s="188"/>
      <c r="N905" s="188"/>
      <c r="O905" s="188"/>
      <c r="P905" s="188"/>
      <c r="Q905" s="188"/>
      <c r="R905" s="188"/>
      <c r="S905" s="188"/>
      <c r="T905" s="188"/>
      <c r="U905" s="188"/>
      <c r="V905" s="188"/>
      <c r="W905" s="188"/>
    </row>
    <row r="906">
      <c r="A906" s="229"/>
      <c r="B906" s="188"/>
      <c r="C906" s="229"/>
      <c r="D906" s="229"/>
      <c r="E906" s="229"/>
      <c r="F906" s="188"/>
      <c r="G906" s="188"/>
      <c r="H906" s="188"/>
      <c r="I906" s="188"/>
      <c r="J906" s="188"/>
      <c r="K906" s="188"/>
      <c r="L906" s="188"/>
      <c r="M906" s="188"/>
      <c r="N906" s="188"/>
      <c r="O906" s="188"/>
      <c r="P906" s="188"/>
      <c r="Q906" s="188"/>
      <c r="R906" s="188"/>
      <c r="S906" s="188"/>
      <c r="T906" s="188"/>
      <c r="U906" s="188"/>
      <c r="V906" s="188"/>
      <c r="W906" s="188"/>
    </row>
    <row r="907">
      <c r="A907" s="229"/>
      <c r="B907" s="188"/>
      <c r="C907" s="229"/>
      <c r="D907" s="229"/>
      <c r="E907" s="229"/>
      <c r="F907" s="188"/>
      <c r="G907" s="188"/>
      <c r="H907" s="188"/>
      <c r="I907" s="188"/>
      <c r="J907" s="188"/>
      <c r="K907" s="188"/>
      <c r="L907" s="188"/>
      <c r="M907" s="188"/>
      <c r="N907" s="188"/>
      <c r="O907" s="188"/>
      <c r="P907" s="188"/>
      <c r="Q907" s="188"/>
      <c r="R907" s="188"/>
      <c r="S907" s="188"/>
      <c r="T907" s="188"/>
      <c r="U907" s="188"/>
      <c r="V907" s="188"/>
      <c r="W907" s="188"/>
    </row>
    <row r="908">
      <c r="A908" s="229"/>
      <c r="B908" s="188"/>
      <c r="C908" s="229"/>
      <c r="D908" s="229"/>
      <c r="E908" s="229"/>
      <c r="F908" s="188"/>
      <c r="G908" s="188"/>
      <c r="H908" s="188"/>
      <c r="I908" s="188"/>
      <c r="J908" s="188"/>
      <c r="K908" s="188"/>
      <c r="L908" s="188"/>
      <c r="M908" s="188"/>
      <c r="N908" s="188"/>
      <c r="O908" s="188"/>
      <c r="P908" s="188"/>
      <c r="Q908" s="188"/>
      <c r="R908" s="188"/>
      <c r="S908" s="188"/>
      <c r="T908" s="188"/>
      <c r="U908" s="188"/>
      <c r="V908" s="188"/>
      <c r="W908" s="188"/>
    </row>
    <row r="909">
      <c r="A909" s="229"/>
      <c r="B909" s="188"/>
      <c r="C909" s="229"/>
      <c r="D909" s="229"/>
      <c r="E909" s="229"/>
      <c r="F909" s="188"/>
      <c r="G909" s="188"/>
      <c r="H909" s="188"/>
      <c r="I909" s="188"/>
      <c r="J909" s="188"/>
      <c r="K909" s="188"/>
      <c r="L909" s="188"/>
      <c r="M909" s="188"/>
      <c r="N909" s="188"/>
      <c r="O909" s="188"/>
      <c r="P909" s="188"/>
      <c r="Q909" s="188"/>
      <c r="R909" s="188"/>
      <c r="S909" s="188"/>
      <c r="T909" s="188"/>
      <c r="U909" s="188"/>
      <c r="V909" s="188"/>
      <c r="W909" s="188"/>
    </row>
    <row r="910">
      <c r="A910" s="229"/>
      <c r="B910" s="188"/>
      <c r="C910" s="229"/>
      <c r="D910" s="229"/>
      <c r="E910" s="229"/>
      <c r="F910" s="188"/>
      <c r="G910" s="188"/>
      <c r="H910" s="188"/>
      <c r="I910" s="188"/>
      <c r="J910" s="188"/>
      <c r="K910" s="188"/>
      <c r="L910" s="188"/>
      <c r="M910" s="188"/>
      <c r="N910" s="188"/>
      <c r="O910" s="188"/>
      <c r="P910" s="188"/>
      <c r="Q910" s="188"/>
      <c r="R910" s="188"/>
      <c r="S910" s="188"/>
      <c r="T910" s="188"/>
      <c r="U910" s="188"/>
      <c r="V910" s="188"/>
      <c r="W910" s="188"/>
    </row>
    <row r="911">
      <c r="A911" s="229"/>
      <c r="B911" s="188"/>
      <c r="C911" s="229"/>
      <c r="D911" s="229"/>
      <c r="E911" s="229"/>
      <c r="F911" s="188"/>
      <c r="G911" s="188"/>
      <c r="H911" s="188"/>
      <c r="I911" s="188"/>
      <c r="J911" s="188"/>
      <c r="K911" s="188"/>
      <c r="L911" s="188"/>
      <c r="M911" s="188"/>
      <c r="N911" s="188"/>
      <c r="O911" s="188"/>
      <c r="P911" s="188"/>
      <c r="Q911" s="188"/>
      <c r="R911" s="188"/>
      <c r="S911" s="188"/>
      <c r="T911" s="188"/>
      <c r="U911" s="188"/>
      <c r="V911" s="188"/>
      <c r="W911" s="188"/>
    </row>
    <row r="912">
      <c r="A912" s="229"/>
      <c r="B912" s="188"/>
      <c r="C912" s="229"/>
      <c r="D912" s="229"/>
      <c r="E912" s="229"/>
      <c r="F912" s="188"/>
      <c r="G912" s="188"/>
      <c r="H912" s="188"/>
      <c r="I912" s="188"/>
      <c r="J912" s="188"/>
      <c r="K912" s="188"/>
      <c r="L912" s="188"/>
      <c r="M912" s="188"/>
      <c r="N912" s="188"/>
      <c r="O912" s="188"/>
      <c r="P912" s="188"/>
      <c r="Q912" s="188"/>
      <c r="R912" s="188"/>
      <c r="S912" s="188"/>
      <c r="T912" s="188"/>
      <c r="U912" s="188"/>
      <c r="V912" s="188"/>
      <c r="W912" s="188"/>
    </row>
    <row r="913">
      <c r="A913" s="229"/>
      <c r="B913" s="188"/>
      <c r="C913" s="229"/>
      <c r="D913" s="229"/>
      <c r="E913" s="229"/>
      <c r="F913" s="188"/>
      <c r="G913" s="188"/>
      <c r="H913" s="188"/>
      <c r="I913" s="188"/>
      <c r="J913" s="188"/>
      <c r="K913" s="188"/>
      <c r="L913" s="188"/>
      <c r="M913" s="188"/>
      <c r="N913" s="188"/>
      <c r="O913" s="188"/>
      <c r="P913" s="188"/>
      <c r="Q913" s="188"/>
      <c r="R913" s="188"/>
      <c r="S913" s="188"/>
      <c r="T913" s="188"/>
      <c r="U913" s="188"/>
      <c r="V913" s="188"/>
      <c r="W913" s="188"/>
    </row>
    <row r="914">
      <c r="A914" s="229"/>
      <c r="B914" s="188"/>
      <c r="C914" s="229"/>
      <c r="D914" s="229"/>
      <c r="E914" s="229"/>
      <c r="F914" s="188"/>
      <c r="G914" s="188"/>
      <c r="H914" s="188"/>
      <c r="I914" s="188"/>
      <c r="J914" s="188"/>
      <c r="K914" s="188"/>
      <c r="L914" s="188"/>
      <c r="M914" s="188"/>
      <c r="N914" s="188"/>
      <c r="O914" s="188"/>
      <c r="P914" s="188"/>
      <c r="Q914" s="188"/>
      <c r="R914" s="188"/>
      <c r="S914" s="188"/>
      <c r="T914" s="188"/>
      <c r="U914" s="188"/>
      <c r="V914" s="188"/>
      <c r="W914" s="188"/>
    </row>
    <row r="915">
      <c r="A915" s="229"/>
      <c r="B915" s="188"/>
      <c r="C915" s="229"/>
      <c r="D915" s="229"/>
      <c r="E915" s="229"/>
      <c r="F915" s="188"/>
      <c r="G915" s="188"/>
      <c r="H915" s="188"/>
      <c r="I915" s="188"/>
      <c r="J915" s="188"/>
      <c r="K915" s="188"/>
      <c r="L915" s="188"/>
      <c r="M915" s="188"/>
      <c r="N915" s="188"/>
      <c r="O915" s="188"/>
      <c r="P915" s="188"/>
      <c r="Q915" s="188"/>
      <c r="R915" s="188"/>
      <c r="S915" s="188"/>
      <c r="T915" s="188"/>
      <c r="U915" s="188"/>
      <c r="V915" s="188"/>
      <c r="W915" s="188"/>
    </row>
    <row r="916">
      <c r="A916" s="229"/>
      <c r="B916" s="188"/>
      <c r="C916" s="229"/>
      <c r="D916" s="229"/>
      <c r="E916" s="229"/>
      <c r="F916" s="188"/>
      <c r="G916" s="188"/>
      <c r="H916" s="188"/>
      <c r="I916" s="188"/>
      <c r="J916" s="188"/>
      <c r="K916" s="188"/>
      <c r="L916" s="188"/>
      <c r="M916" s="188"/>
      <c r="N916" s="188"/>
      <c r="O916" s="188"/>
      <c r="P916" s="188"/>
      <c r="Q916" s="188"/>
      <c r="R916" s="188"/>
      <c r="S916" s="188"/>
      <c r="T916" s="188"/>
      <c r="U916" s="188"/>
      <c r="V916" s="188"/>
      <c r="W916" s="188"/>
    </row>
    <row r="917">
      <c r="A917" s="229"/>
      <c r="B917" s="188"/>
      <c r="C917" s="229"/>
      <c r="D917" s="229"/>
      <c r="E917" s="229"/>
      <c r="F917" s="188"/>
      <c r="G917" s="188"/>
      <c r="H917" s="188"/>
      <c r="I917" s="188"/>
      <c r="J917" s="188"/>
      <c r="K917" s="188"/>
      <c r="L917" s="188"/>
      <c r="M917" s="188"/>
      <c r="N917" s="188"/>
      <c r="O917" s="188"/>
      <c r="P917" s="188"/>
      <c r="Q917" s="188"/>
      <c r="R917" s="188"/>
      <c r="S917" s="188"/>
      <c r="T917" s="188"/>
      <c r="U917" s="188"/>
      <c r="V917" s="188"/>
      <c r="W917" s="188"/>
    </row>
    <row r="918">
      <c r="A918" s="229"/>
      <c r="B918" s="188"/>
      <c r="C918" s="229"/>
      <c r="D918" s="229"/>
      <c r="E918" s="229"/>
      <c r="F918" s="188"/>
      <c r="G918" s="188"/>
      <c r="H918" s="188"/>
      <c r="I918" s="188"/>
      <c r="J918" s="188"/>
      <c r="K918" s="188"/>
      <c r="L918" s="188"/>
      <c r="M918" s="188"/>
      <c r="N918" s="188"/>
      <c r="O918" s="188"/>
      <c r="P918" s="188"/>
      <c r="Q918" s="188"/>
      <c r="R918" s="188"/>
      <c r="S918" s="188"/>
      <c r="T918" s="188"/>
      <c r="U918" s="188"/>
      <c r="V918" s="188"/>
      <c r="W918" s="188"/>
    </row>
    <row r="919">
      <c r="A919" s="229"/>
      <c r="B919" s="188"/>
      <c r="C919" s="229"/>
      <c r="D919" s="229"/>
      <c r="E919" s="229"/>
      <c r="F919" s="188"/>
      <c r="G919" s="188"/>
      <c r="H919" s="188"/>
      <c r="I919" s="188"/>
      <c r="J919" s="188"/>
      <c r="K919" s="188"/>
      <c r="L919" s="188"/>
      <c r="M919" s="188"/>
      <c r="N919" s="188"/>
      <c r="O919" s="188"/>
      <c r="P919" s="188"/>
      <c r="Q919" s="188"/>
      <c r="R919" s="188"/>
      <c r="S919" s="188"/>
      <c r="T919" s="188"/>
      <c r="U919" s="188"/>
      <c r="V919" s="188"/>
      <c r="W919" s="188"/>
    </row>
    <row r="920">
      <c r="A920" s="229"/>
      <c r="B920" s="188"/>
      <c r="C920" s="229"/>
      <c r="D920" s="229"/>
      <c r="E920" s="229"/>
      <c r="F920" s="188"/>
      <c r="G920" s="188"/>
      <c r="H920" s="188"/>
      <c r="I920" s="188"/>
      <c r="J920" s="188"/>
      <c r="K920" s="188"/>
      <c r="L920" s="188"/>
      <c r="M920" s="188"/>
      <c r="N920" s="188"/>
      <c r="O920" s="188"/>
      <c r="P920" s="188"/>
      <c r="Q920" s="188"/>
      <c r="R920" s="188"/>
      <c r="S920" s="188"/>
      <c r="T920" s="188"/>
      <c r="U920" s="188"/>
      <c r="V920" s="188"/>
      <c r="W920" s="188"/>
    </row>
    <row r="921">
      <c r="A921" s="229"/>
      <c r="B921" s="188"/>
      <c r="C921" s="229"/>
      <c r="D921" s="229"/>
      <c r="E921" s="229"/>
      <c r="F921" s="188"/>
      <c r="G921" s="188"/>
      <c r="H921" s="188"/>
      <c r="I921" s="188"/>
      <c r="J921" s="188"/>
      <c r="K921" s="188"/>
      <c r="L921" s="188"/>
      <c r="M921" s="188"/>
      <c r="N921" s="188"/>
      <c r="O921" s="188"/>
      <c r="P921" s="188"/>
      <c r="Q921" s="188"/>
      <c r="R921" s="188"/>
      <c r="S921" s="188"/>
      <c r="T921" s="188"/>
      <c r="U921" s="188"/>
      <c r="V921" s="188"/>
      <c r="W921" s="188"/>
    </row>
    <row r="922">
      <c r="A922" s="229"/>
      <c r="B922" s="188"/>
      <c r="C922" s="229"/>
      <c r="D922" s="229"/>
      <c r="E922" s="229"/>
      <c r="F922" s="188"/>
      <c r="G922" s="188"/>
      <c r="H922" s="188"/>
      <c r="I922" s="188"/>
      <c r="J922" s="188"/>
      <c r="K922" s="188"/>
      <c r="L922" s="188"/>
      <c r="M922" s="188"/>
      <c r="N922" s="188"/>
      <c r="O922" s="188"/>
      <c r="P922" s="188"/>
      <c r="Q922" s="188"/>
      <c r="R922" s="188"/>
      <c r="S922" s="188"/>
      <c r="T922" s="188"/>
      <c r="U922" s="188"/>
      <c r="V922" s="188"/>
      <c r="W922" s="188"/>
    </row>
    <row r="923">
      <c r="A923" s="229"/>
      <c r="B923" s="188"/>
      <c r="C923" s="229"/>
      <c r="D923" s="229"/>
      <c r="E923" s="229"/>
      <c r="F923" s="188"/>
      <c r="G923" s="188"/>
      <c r="H923" s="188"/>
      <c r="I923" s="188"/>
      <c r="J923" s="188"/>
      <c r="K923" s="188"/>
      <c r="L923" s="188"/>
      <c r="M923" s="188"/>
      <c r="N923" s="188"/>
      <c r="O923" s="188"/>
      <c r="P923" s="188"/>
      <c r="Q923" s="188"/>
      <c r="R923" s="188"/>
      <c r="S923" s="188"/>
      <c r="T923" s="188"/>
      <c r="U923" s="188"/>
      <c r="V923" s="188"/>
      <c r="W923" s="188"/>
    </row>
    <row r="924">
      <c r="A924" s="229"/>
      <c r="B924" s="188"/>
      <c r="C924" s="229"/>
      <c r="D924" s="229"/>
      <c r="E924" s="229"/>
      <c r="F924" s="188"/>
      <c r="G924" s="188"/>
      <c r="H924" s="188"/>
      <c r="I924" s="188"/>
      <c r="J924" s="188"/>
      <c r="K924" s="188"/>
      <c r="L924" s="188"/>
      <c r="M924" s="188"/>
      <c r="N924" s="188"/>
      <c r="O924" s="188"/>
      <c r="P924" s="188"/>
      <c r="Q924" s="188"/>
      <c r="R924" s="188"/>
      <c r="S924" s="188"/>
      <c r="T924" s="188"/>
      <c r="U924" s="188"/>
      <c r="V924" s="188"/>
      <c r="W924" s="188"/>
    </row>
    <row r="925">
      <c r="A925" s="229"/>
      <c r="B925" s="188"/>
      <c r="C925" s="229"/>
      <c r="D925" s="229"/>
      <c r="E925" s="229"/>
      <c r="F925" s="188"/>
      <c r="G925" s="188"/>
      <c r="H925" s="188"/>
      <c r="I925" s="188"/>
      <c r="J925" s="188"/>
      <c r="K925" s="188"/>
      <c r="L925" s="188"/>
      <c r="M925" s="188"/>
      <c r="N925" s="188"/>
      <c r="O925" s="188"/>
      <c r="P925" s="188"/>
      <c r="Q925" s="188"/>
      <c r="R925" s="188"/>
      <c r="S925" s="188"/>
      <c r="T925" s="188"/>
      <c r="U925" s="188"/>
      <c r="V925" s="188"/>
      <c r="W925" s="188"/>
    </row>
    <row r="926">
      <c r="A926" s="229"/>
      <c r="B926" s="188"/>
      <c r="C926" s="229"/>
      <c r="D926" s="229"/>
      <c r="E926" s="229"/>
      <c r="F926" s="188"/>
      <c r="G926" s="188"/>
      <c r="H926" s="188"/>
      <c r="I926" s="188"/>
      <c r="J926" s="188"/>
      <c r="K926" s="188"/>
      <c r="L926" s="188"/>
      <c r="M926" s="188"/>
      <c r="N926" s="188"/>
      <c r="O926" s="188"/>
      <c r="P926" s="188"/>
      <c r="Q926" s="188"/>
      <c r="R926" s="188"/>
      <c r="S926" s="188"/>
      <c r="T926" s="188"/>
      <c r="U926" s="188"/>
      <c r="V926" s="188"/>
      <c r="W926" s="188"/>
    </row>
    <row r="927">
      <c r="A927" s="229"/>
      <c r="B927" s="188"/>
      <c r="C927" s="229"/>
      <c r="D927" s="229"/>
      <c r="E927" s="229"/>
      <c r="F927" s="188"/>
      <c r="G927" s="188"/>
      <c r="H927" s="188"/>
      <c r="I927" s="188"/>
      <c r="J927" s="188"/>
      <c r="K927" s="188"/>
      <c r="L927" s="188"/>
      <c r="M927" s="188"/>
      <c r="N927" s="188"/>
      <c r="O927" s="188"/>
      <c r="P927" s="188"/>
      <c r="Q927" s="188"/>
      <c r="R927" s="188"/>
      <c r="S927" s="188"/>
      <c r="T927" s="188"/>
      <c r="U927" s="188"/>
      <c r="V927" s="188"/>
      <c r="W927" s="188"/>
    </row>
    <row r="928">
      <c r="A928" s="229"/>
      <c r="B928" s="188"/>
      <c r="C928" s="229"/>
      <c r="D928" s="229"/>
      <c r="E928" s="229"/>
      <c r="F928" s="188"/>
      <c r="G928" s="188"/>
      <c r="H928" s="188"/>
      <c r="I928" s="188"/>
      <c r="J928" s="188"/>
      <c r="K928" s="188"/>
      <c r="L928" s="188"/>
      <c r="M928" s="188"/>
      <c r="N928" s="188"/>
      <c r="O928" s="188"/>
      <c r="P928" s="188"/>
      <c r="Q928" s="188"/>
      <c r="R928" s="188"/>
      <c r="S928" s="188"/>
      <c r="T928" s="188"/>
      <c r="U928" s="188"/>
      <c r="V928" s="188"/>
      <c r="W928" s="188"/>
    </row>
    <row r="929">
      <c r="A929" s="229"/>
      <c r="B929" s="188"/>
      <c r="C929" s="229"/>
      <c r="D929" s="229"/>
      <c r="E929" s="229"/>
      <c r="F929" s="188"/>
      <c r="G929" s="188"/>
      <c r="H929" s="188"/>
      <c r="I929" s="188"/>
      <c r="J929" s="188"/>
      <c r="K929" s="188"/>
      <c r="L929" s="188"/>
      <c r="M929" s="188"/>
      <c r="N929" s="188"/>
      <c r="O929" s="188"/>
      <c r="P929" s="188"/>
      <c r="Q929" s="188"/>
      <c r="R929" s="188"/>
      <c r="S929" s="188"/>
      <c r="T929" s="188"/>
      <c r="U929" s="188"/>
      <c r="V929" s="188"/>
      <c r="W929" s="188"/>
    </row>
    <row r="930">
      <c r="A930" s="229"/>
      <c r="B930" s="188"/>
      <c r="C930" s="229"/>
      <c r="D930" s="229"/>
      <c r="E930" s="229"/>
      <c r="F930" s="188"/>
      <c r="G930" s="188"/>
      <c r="H930" s="188"/>
      <c r="I930" s="188"/>
      <c r="J930" s="188"/>
      <c r="K930" s="188"/>
      <c r="L930" s="188"/>
      <c r="M930" s="188"/>
      <c r="N930" s="188"/>
      <c r="O930" s="188"/>
      <c r="P930" s="188"/>
      <c r="Q930" s="188"/>
      <c r="R930" s="188"/>
      <c r="S930" s="188"/>
      <c r="T930" s="188"/>
      <c r="U930" s="188"/>
      <c r="V930" s="188"/>
      <c r="W930" s="188"/>
    </row>
    <row r="931">
      <c r="A931" s="229"/>
      <c r="B931" s="188"/>
      <c r="C931" s="229"/>
      <c r="D931" s="229"/>
      <c r="E931" s="229"/>
      <c r="F931" s="188"/>
      <c r="G931" s="188"/>
      <c r="H931" s="188"/>
      <c r="I931" s="188"/>
      <c r="J931" s="188"/>
      <c r="K931" s="188"/>
      <c r="L931" s="188"/>
      <c r="M931" s="188"/>
      <c r="N931" s="188"/>
      <c r="O931" s="188"/>
      <c r="P931" s="188"/>
      <c r="Q931" s="188"/>
      <c r="R931" s="188"/>
      <c r="S931" s="188"/>
      <c r="T931" s="188"/>
      <c r="U931" s="188"/>
      <c r="V931" s="188"/>
      <c r="W931" s="188"/>
    </row>
    <row r="932">
      <c r="A932" s="229"/>
      <c r="B932" s="188"/>
      <c r="C932" s="229"/>
      <c r="D932" s="229"/>
      <c r="E932" s="229"/>
      <c r="F932" s="188"/>
      <c r="G932" s="188"/>
      <c r="H932" s="188"/>
      <c r="I932" s="188"/>
      <c r="J932" s="188"/>
      <c r="K932" s="188"/>
      <c r="L932" s="188"/>
      <c r="M932" s="188"/>
      <c r="N932" s="188"/>
      <c r="O932" s="188"/>
      <c r="P932" s="188"/>
      <c r="Q932" s="188"/>
      <c r="R932" s="188"/>
      <c r="S932" s="188"/>
      <c r="T932" s="188"/>
      <c r="U932" s="188"/>
      <c r="V932" s="188"/>
      <c r="W932" s="188"/>
    </row>
    <row r="933">
      <c r="A933" s="229"/>
      <c r="B933" s="188"/>
      <c r="C933" s="229"/>
      <c r="D933" s="229"/>
      <c r="E933" s="229"/>
      <c r="F933" s="188"/>
      <c r="G933" s="188"/>
      <c r="H933" s="188"/>
      <c r="I933" s="188"/>
      <c r="J933" s="188"/>
      <c r="K933" s="188"/>
      <c r="L933" s="188"/>
      <c r="M933" s="188"/>
      <c r="N933" s="188"/>
      <c r="O933" s="188"/>
      <c r="P933" s="188"/>
      <c r="Q933" s="188"/>
      <c r="R933" s="188"/>
      <c r="S933" s="188"/>
      <c r="T933" s="188"/>
      <c r="U933" s="188"/>
      <c r="V933" s="188"/>
      <c r="W933" s="188"/>
    </row>
    <row r="934">
      <c r="A934" s="229"/>
      <c r="B934" s="188"/>
      <c r="C934" s="229"/>
      <c r="D934" s="229"/>
      <c r="E934" s="229"/>
      <c r="F934" s="188"/>
      <c r="G934" s="188"/>
      <c r="H934" s="188"/>
      <c r="I934" s="188"/>
      <c r="J934" s="188"/>
      <c r="K934" s="188"/>
      <c r="L934" s="188"/>
      <c r="M934" s="188"/>
      <c r="N934" s="188"/>
      <c r="O934" s="188"/>
      <c r="P934" s="188"/>
      <c r="Q934" s="188"/>
      <c r="R934" s="188"/>
      <c r="S934" s="188"/>
      <c r="T934" s="188"/>
      <c r="U934" s="188"/>
      <c r="V934" s="188"/>
      <c r="W934" s="188"/>
    </row>
    <row r="935">
      <c r="A935" s="229"/>
      <c r="B935" s="188"/>
      <c r="C935" s="229"/>
      <c r="D935" s="229"/>
      <c r="E935" s="229"/>
      <c r="F935" s="188"/>
      <c r="G935" s="188"/>
      <c r="H935" s="188"/>
      <c r="I935" s="188"/>
      <c r="J935" s="188"/>
      <c r="K935" s="188"/>
      <c r="L935" s="188"/>
      <c r="M935" s="188"/>
      <c r="N935" s="188"/>
      <c r="O935" s="188"/>
      <c r="P935" s="188"/>
      <c r="Q935" s="188"/>
      <c r="R935" s="188"/>
      <c r="S935" s="188"/>
      <c r="T935" s="188"/>
      <c r="U935" s="188"/>
      <c r="V935" s="188"/>
      <c r="W935" s="188"/>
    </row>
    <row r="936">
      <c r="A936" s="229"/>
      <c r="B936" s="188"/>
      <c r="C936" s="229"/>
      <c r="D936" s="229"/>
      <c r="E936" s="229"/>
      <c r="F936" s="188"/>
      <c r="G936" s="188"/>
      <c r="H936" s="188"/>
      <c r="I936" s="188"/>
      <c r="J936" s="188"/>
      <c r="K936" s="188"/>
      <c r="L936" s="188"/>
      <c r="M936" s="188"/>
      <c r="N936" s="188"/>
      <c r="O936" s="188"/>
      <c r="P936" s="188"/>
      <c r="Q936" s="188"/>
      <c r="R936" s="188"/>
      <c r="S936" s="188"/>
      <c r="T936" s="188"/>
      <c r="U936" s="188"/>
      <c r="V936" s="188"/>
      <c r="W936" s="188"/>
    </row>
    <row r="937">
      <c r="A937" s="229"/>
      <c r="B937" s="188"/>
      <c r="C937" s="229"/>
      <c r="D937" s="229"/>
      <c r="E937" s="229"/>
      <c r="F937" s="188"/>
      <c r="G937" s="188"/>
      <c r="H937" s="188"/>
      <c r="I937" s="188"/>
      <c r="J937" s="188"/>
      <c r="K937" s="188"/>
      <c r="L937" s="188"/>
      <c r="M937" s="188"/>
      <c r="N937" s="188"/>
      <c r="O937" s="188"/>
      <c r="P937" s="188"/>
      <c r="Q937" s="188"/>
      <c r="R937" s="188"/>
      <c r="S937" s="188"/>
      <c r="T937" s="188"/>
      <c r="U937" s="188"/>
      <c r="V937" s="188"/>
      <c r="W937" s="188"/>
    </row>
    <row r="938">
      <c r="A938" s="229"/>
      <c r="B938" s="188"/>
      <c r="C938" s="229"/>
      <c r="D938" s="229"/>
      <c r="E938" s="229"/>
      <c r="F938" s="188"/>
      <c r="G938" s="188"/>
      <c r="H938" s="188"/>
      <c r="I938" s="188"/>
      <c r="J938" s="188"/>
      <c r="K938" s="188"/>
      <c r="L938" s="188"/>
      <c r="M938" s="188"/>
      <c r="N938" s="188"/>
      <c r="O938" s="188"/>
      <c r="P938" s="188"/>
      <c r="Q938" s="188"/>
      <c r="R938" s="188"/>
      <c r="S938" s="188"/>
      <c r="T938" s="188"/>
      <c r="U938" s="188"/>
      <c r="V938" s="188"/>
      <c r="W938" s="188"/>
    </row>
    <row r="939">
      <c r="A939" s="229"/>
      <c r="B939" s="188"/>
      <c r="C939" s="229"/>
      <c r="D939" s="229"/>
      <c r="E939" s="229"/>
      <c r="F939" s="188"/>
      <c r="G939" s="188"/>
      <c r="H939" s="188"/>
      <c r="I939" s="188"/>
      <c r="J939" s="188"/>
      <c r="K939" s="188"/>
      <c r="L939" s="188"/>
      <c r="M939" s="188"/>
      <c r="N939" s="188"/>
      <c r="O939" s="188"/>
      <c r="P939" s="188"/>
      <c r="Q939" s="188"/>
      <c r="R939" s="188"/>
      <c r="S939" s="188"/>
      <c r="T939" s="188"/>
      <c r="U939" s="188"/>
      <c r="V939" s="188"/>
      <c r="W939" s="188"/>
    </row>
    <row r="940">
      <c r="A940" s="229"/>
      <c r="B940" s="188"/>
      <c r="C940" s="229"/>
      <c r="D940" s="229"/>
      <c r="E940" s="229"/>
      <c r="F940" s="188"/>
      <c r="G940" s="188"/>
      <c r="H940" s="188"/>
      <c r="I940" s="188"/>
      <c r="J940" s="188"/>
      <c r="K940" s="188"/>
      <c r="L940" s="188"/>
      <c r="M940" s="188"/>
      <c r="N940" s="188"/>
      <c r="O940" s="188"/>
      <c r="P940" s="188"/>
      <c r="Q940" s="188"/>
      <c r="R940" s="188"/>
      <c r="S940" s="188"/>
      <c r="T940" s="188"/>
      <c r="U940" s="188"/>
      <c r="V940" s="188"/>
      <c r="W940" s="188"/>
    </row>
    <row r="941">
      <c r="A941" s="229"/>
      <c r="B941" s="188"/>
      <c r="C941" s="229"/>
      <c r="D941" s="229"/>
      <c r="E941" s="229"/>
      <c r="F941" s="188"/>
      <c r="G941" s="188"/>
      <c r="H941" s="188"/>
      <c r="I941" s="188"/>
      <c r="J941" s="188"/>
      <c r="K941" s="188"/>
      <c r="L941" s="188"/>
      <c r="M941" s="188"/>
      <c r="N941" s="188"/>
      <c r="O941" s="188"/>
      <c r="P941" s="188"/>
      <c r="Q941" s="188"/>
      <c r="R941" s="188"/>
      <c r="S941" s="188"/>
      <c r="T941" s="188"/>
      <c r="U941" s="188"/>
      <c r="V941" s="188"/>
      <c r="W941" s="188"/>
    </row>
    <row r="942">
      <c r="A942" s="229"/>
      <c r="B942" s="188"/>
      <c r="C942" s="229"/>
      <c r="D942" s="229"/>
      <c r="E942" s="229"/>
      <c r="F942" s="188"/>
      <c r="G942" s="188"/>
      <c r="H942" s="188"/>
      <c r="I942" s="188"/>
      <c r="J942" s="188"/>
      <c r="K942" s="188"/>
      <c r="L942" s="188"/>
      <c r="M942" s="188"/>
      <c r="N942" s="188"/>
      <c r="O942" s="188"/>
      <c r="P942" s="188"/>
      <c r="Q942" s="188"/>
      <c r="R942" s="188"/>
      <c r="S942" s="188"/>
      <c r="T942" s="188"/>
      <c r="U942" s="188"/>
      <c r="V942" s="188"/>
      <c r="W942" s="188"/>
    </row>
    <row r="943">
      <c r="A943" s="229"/>
      <c r="B943" s="188"/>
      <c r="C943" s="229"/>
      <c r="D943" s="229"/>
      <c r="E943" s="229"/>
      <c r="F943" s="188"/>
      <c r="G943" s="188"/>
      <c r="H943" s="188"/>
      <c r="I943" s="188"/>
      <c r="J943" s="188"/>
      <c r="K943" s="188"/>
      <c r="L943" s="188"/>
      <c r="M943" s="188"/>
      <c r="N943" s="188"/>
      <c r="O943" s="188"/>
      <c r="P943" s="188"/>
      <c r="Q943" s="188"/>
      <c r="R943" s="188"/>
      <c r="S943" s="188"/>
      <c r="T943" s="188"/>
      <c r="U943" s="188"/>
      <c r="V943" s="188"/>
      <c r="W943" s="188"/>
    </row>
    <row r="944">
      <c r="A944" s="229"/>
      <c r="B944" s="188"/>
      <c r="C944" s="229"/>
      <c r="D944" s="229"/>
      <c r="E944" s="229"/>
      <c r="F944" s="188"/>
      <c r="G944" s="188"/>
      <c r="H944" s="188"/>
      <c r="I944" s="188"/>
      <c r="J944" s="188"/>
      <c r="K944" s="188"/>
      <c r="L944" s="188"/>
      <c r="M944" s="188"/>
      <c r="N944" s="188"/>
      <c r="O944" s="188"/>
      <c r="P944" s="188"/>
      <c r="Q944" s="188"/>
      <c r="R944" s="188"/>
      <c r="S944" s="188"/>
      <c r="T944" s="188"/>
      <c r="U944" s="188"/>
      <c r="V944" s="188"/>
      <c r="W944" s="188"/>
    </row>
    <row r="945">
      <c r="A945" s="229"/>
      <c r="B945" s="188"/>
      <c r="C945" s="229"/>
      <c r="D945" s="229"/>
      <c r="E945" s="229"/>
      <c r="F945" s="188"/>
      <c r="G945" s="188"/>
      <c r="H945" s="188"/>
      <c r="I945" s="188"/>
      <c r="J945" s="188"/>
      <c r="K945" s="188"/>
      <c r="L945" s="188"/>
      <c r="M945" s="188"/>
      <c r="N945" s="188"/>
      <c r="O945" s="188"/>
      <c r="P945" s="188"/>
      <c r="Q945" s="188"/>
      <c r="R945" s="188"/>
      <c r="S945" s="188"/>
      <c r="T945" s="188"/>
      <c r="U945" s="188"/>
      <c r="V945" s="188"/>
      <c r="W945" s="188"/>
    </row>
    <row r="946">
      <c r="A946" s="229"/>
      <c r="B946" s="188"/>
      <c r="C946" s="229"/>
      <c r="D946" s="229"/>
      <c r="E946" s="229"/>
      <c r="F946" s="188"/>
      <c r="G946" s="188"/>
      <c r="H946" s="188"/>
      <c r="I946" s="188"/>
      <c r="J946" s="188"/>
      <c r="K946" s="188"/>
      <c r="L946" s="188"/>
      <c r="M946" s="188"/>
      <c r="N946" s="188"/>
      <c r="O946" s="188"/>
      <c r="P946" s="188"/>
      <c r="Q946" s="188"/>
      <c r="R946" s="188"/>
      <c r="S946" s="188"/>
      <c r="T946" s="188"/>
      <c r="U946" s="188"/>
      <c r="V946" s="188"/>
      <c r="W946" s="188"/>
    </row>
    <row r="947">
      <c r="A947" s="229"/>
      <c r="B947" s="188"/>
      <c r="C947" s="229"/>
      <c r="D947" s="229"/>
      <c r="E947" s="229"/>
      <c r="F947" s="188"/>
      <c r="G947" s="188"/>
      <c r="H947" s="188"/>
      <c r="I947" s="188"/>
      <c r="J947" s="188"/>
      <c r="K947" s="188"/>
      <c r="L947" s="188"/>
      <c r="M947" s="188"/>
      <c r="N947" s="188"/>
      <c r="O947" s="188"/>
      <c r="P947" s="188"/>
      <c r="Q947" s="188"/>
      <c r="R947" s="188"/>
      <c r="S947" s="188"/>
      <c r="T947" s="188"/>
      <c r="U947" s="188"/>
      <c r="V947" s="188"/>
      <c r="W947" s="188"/>
    </row>
    <row r="948">
      <c r="A948" s="229"/>
      <c r="B948" s="188"/>
      <c r="C948" s="229"/>
      <c r="D948" s="229"/>
      <c r="E948" s="229"/>
      <c r="F948" s="188"/>
      <c r="G948" s="188"/>
      <c r="H948" s="188"/>
      <c r="I948" s="188"/>
      <c r="J948" s="188"/>
      <c r="K948" s="188"/>
      <c r="L948" s="188"/>
      <c r="M948" s="188"/>
      <c r="N948" s="188"/>
      <c r="O948" s="188"/>
      <c r="P948" s="188"/>
      <c r="Q948" s="188"/>
      <c r="R948" s="188"/>
      <c r="S948" s="188"/>
      <c r="T948" s="188"/>
      <c r="U948" s="188"/>
      <c r="V948" s="188"/>
      <c r="W948" s="188"/>
    </row>
    <row r="949">
      <c r="A949" s="229"/>
      <c r="B949" s="188"/>
      <c r="C949" s="229"/>
      <c r="D949" s="229"/>
      <c r="E949" s="229"/>
      <c r="F949" s="188"/>
      <c r="G949" s="188"/>
      <c r="H949" s="188"/>
      <c r="I949" s="188"/>
      <c r="J949" s="188"/>
      <c r="K949" s="188"/>
      <c r="L949" s="188"/>
      <c r="M949" s="188"/>
      <c r="N949" s="188"/>
      <c r="O949" s="188"/>
      <c r="P949" s="188"/>
      <c r="Q949" s="188"/>
      <c r="R949" s="188"/>
      <c r="S949" s="188"/>
      <c r="T949" s="188"/>
      <c r="U949" s="188"/>
      <c r="V949" s="188"/>
      <c r="W949" s="188"/>
    </row>
    <row r="950">
      <c r="A950" s="229"/>
      <c r="B950" s="188"/>
      <c r="C950" s="229"/>
      <c r="D950" s="229"/>
      <c r="E950" s="229"/>
      <c r="F950" s="188"/>
      <c r="G950" s="188"/>
      <c r="H950" s="188"/>
      <c r="I950" s="188"/>
      <c r="J950" s="188"/>
      <c r="K950" s="188"/>
      <c r="L950" s="188"/>
      <c r="M950" s="188"/>
      <c r="N950" s="188"/>
      <c r="O950" s="188"/>
      <c r="P950" s="188"/>
      <c r="Q950" s="188"/>
      <c r="R950" s="188"/>
      <c r="S950" s="188"/>
      <c r="T950" s="188"/>
      <c r="U950" s="188"/>
      <c r="V950" s="188"/>
      <c r="W950" s="188"/>
    </row>
    <row r="951">
      <c r="A951" s="229"/>
      <c r="B951" s="188"/>
      <c r="C951" s="229"/>
      <c r="D951" s="229"/>
      <c r="E951" s="229"/>
      <c r="F951" s="188"/>
      <c r="G951" s="188"/>
      <c r="H951" s="188"/>
      <c r="I951" s="188"/>
      <c r="J951" s="188"/>
      <c r="K951" s="188"/>
      <c r="L951" s="188"/>
      <c r="M951" s="188"/>
      <c r="N951" s="188"/>
      <c r="O951" s="188"/>
      <c r="P951" s="188"/>
      <c r="Q951" s="188"/>
      <c r="R951" s="188"/>
      <c r="S951" s="188"/>
      <c r="T951" s="188"/>
      <c r="U951" s="188"/>
      <c r="V951" s="188"/>
      <c r="W951" s="188"/>
    </row>
    <row r="952">
      <c r="A952" s="229"/>
      <c r="B952" s="188"/>
      <c r="C952" s="229"/>
      <c r="D952" s="229"/>
      <c r="E952" s="229"/>
      <c r="F952" s="188"/>
      <c r="G952" s="188"/>
      <c r="H952" s="188"/>
      <c r="I952" s="188"/>
      <c r="J952" s="188"/>
      <c r="K952" s="188"/>
      <c r="L952" s="188"/>
      <c r="M952" s="188"/>
      <c r="N952" s="188"/>
      <c r="O952" s="188"/>
      <c r="P952" s="188"/>
      <c r="Q952" s="188"/>
      <c r="R952" s="188"/>
      <c r="S952" s="188"/>
      <c r="T952" s="188"/>
      <c r="U952" s="188"/>
      <c r="V952" s="188"/>
      <c r="W952" s="188"/>
    </row>
    <row r="953">
      <c r="A953" s="229"/>
      <c r="B953" s="188"/>
      <c r="C953" s="229"/>
      <c r="D953" s="229"/>
      <c r="E953" s="229"/>
      <c r="F953" s="188"/>
      <c r="G953" s="188"/>
      <c r="H953" s="188"/>
      <c r="I953" s="188"/>
      <c r="J953" s="188"/>
      <c r="K953" s="188"/>
      <c r="L953" s="188"/>
      <c r="M953" s="188"/>
      <c r="N953" s="188"/>
      <c r="O953" s="188"/>
      <c r="P953" s="188"/>
      <c r="Q953" s="188"/>
      <c r="R953" s="188"/>
      <c r="S953" s="188"/>
      <c r="T953" s="188"/>
      <c r="U953" s="188"/>
      <c r="V953" s="188"/>
      <c r="W953" s="188"/>
    </row>
    <row r="954">
      <c r="A954" s="229"/>
      <c r="B954" s="188"/>
      <c r="C954" s="229"/>
      <c r="D954" s="229"/>
      <c r="E954" s="229"/>
      <c r="F954" s="188"/>
      <c r="G954" s="188"/>
      <c r="H954" s="188"/>
      <c r="I954" s="188"/>
      <c r="J954" s="188"/>
      <c r="K954" s="188"/>
      <c r="L954" s="188"/>
      <c r="M954" s="188"/>
      <c r="N954" s="188"/>
      <c r="O954" s="188"/>
      <c r="P954" s="188"/>
      <c r="Q954" s="188"/>
      <c r="R954" s="188"/>
      <c r="S954" s="188"/>
      <c r="T954" s="188"/>
      <c r="U954" s="188"/>
      <c r="V954" s="188"/>
      <c r="W954" s="188"/>
    </row>
    <row r="955">
      <c r="A955" s="229"/>
      <c r="B955" s="188"/>
      <c r="C955" s="229"/>
      <c r="D955" s="229"/>
      <c r="E955" s="229"/>
      <c r="F955" s="188"/>
      <c r="G955" s="188"/>
      <c r="H955" s="188"/>
      <c r="I955" s="188"/>
      <c r="J955" s="188"/>
      <c r="K955" s="188"/>
      <c r="L955" s="188"/>
      <c r="M955" s="188"/>
      <c r="N955" s="188"/>
      <c r="O955" s="188"/>
      <c r="P955" s="188"/>
      <c r="Q955" s="188"/>
      <c r="R955" s="188"/>
      <c r="S955" s="188"/>
      <c r="T955" s="188"/>
      <c r="U955" s="188"/>
      <c r="V955" s="188"/>
      <c r="W955" s="188"/>
    </row>
    <row r="956">
      <c r="A956" s="229"/>
      <c r="B956" s="188"/>
      <c r="C956" s="229"/>
      <c r="D956" s="229"/>
      <c r="E956" s="229"/>
      <c r="F956" s="188"/>
      <c r="G956" s="188"/>
      <c r="H956" s="188"/>
      <c r="I956" s="188"/>
      <c r="J956" s="188"/>
      <c r="K956" s="188"/>
      <c r="L956" s="188"/>
      <c r="M956" s="188"/>
      <c r="N956" s="188"/>
      <c r="O956" s="188"/>
      <c r="P956" s="188"/>
      <c r="Q956" s="188"/>
      <c r="R956" s="188"/>
      <c r="S956" s="188"/>
      <c r="T956" s="188"/>
      <c r="U956" s="188"/>
      <c r="V956" s="188"/>
      <c r="W956" s="188"/>
    </row>
    <row r="957">
      <c r="A957" s="229"/>
      <c r="B957" s="188"/>
      <c r="C957" s="229"/>
      <c r="D957" s="229"/>
      <c r="E957" s="229"/>
      <c r="F957" s="188"/>
      <c r="G957" s="188"/>
      <c r="H957" s="188"/>
      <c r="I957" s="188"/>
      <c r="J957" s="188"/>
      <c r="K957" s="188"/>
      <c r="L957" s="188"/>
      <c r="M957" s="188"/>
      <c r="N957" s="188"/>
      <c r="O957" s="188"/>
      <c r="P957" s="188"/>
      <c r="Q957" s="188"/>
      <c r="R957" s="188"/>
      <c r="S957" s="188"/>
      <c r="T957" s="188"/>
      <c r="U957" s="188"/>
      <c r="V957" s="188"/>
      <c r="W957" s="188"/>
    </row>
    <row r="958">
      <c r="A958" s="229"/>
      <c r="B958" s="188"/>
      <c r="C958" s="229"/>
      <c r="D958" s="229"/>
      <c r="E958" s="229"/>
      <c r="F958" s="188"/>
      <c r="G958" s="188"/>
      <c r="H958" s="188"/>
      <c r="I958" s="188"/>
      <c r="J958" s="188"/>
      <c r="K958" s="188"/>
      <c r="L958" s="188"/>
      <c r="M958" s="188"/>
      <c r="N958" s="188"/>
      <c r="O958" s="188"/>
      <c r="P958" s="188"/>
      <c r="Q958" s="188"/>
      <c r="R958" s="188"/>
      <c r="S958" s="188"/>
      <c r="T958" s="188"/>
      <c r="U958" s="188"/>
      <c r="V958" s="188"/>
      <c r="W958" s="188"/>
    </row>
    <row r="959">
      <c r="A959" s="229"/>
      <c r="B959" s="188"/>
      <c r="C959" s="229"/>
      <c r="D959" s="229"/>
      <c r="E959" s="229"/>
      <c r="F959" s="188"/>
      <c r="G959" s="188"/>
      <c r="H959" s="188"/>
      <c r="I959" s="188"/>
      <c r="J959" s="188"/>
      <c r="K959" s="188"/>
      <c r="L959" s="188"/>
      <c r="M959" s="188"/>
      <c r="N959" s="188"/>
      <c r="O959" s="188"/>
      <c r="P959" s="188"/>
      <c r="Q959" s="188"/>
      <c r="R959" s="188"/>
      <c r="S959" s="188"/>
      <c r="T959" s="188"/>
      <c r="U959" s="188"/>
      <c r="V959" s="188"/>
      <c r="W959" s="188"/>
    </row>
    <row r="960">
      <c r="A960" s="229"/>
      <c r="B960" s="188"/>
      <c r="C960" s="229"/>
      <c r="D960" s="229"/>
      <c r="E960" s="229"/>
      <c r="F960" s="188"/>
      <c r="G960" s="188"/>
      <c r="H960" s="188"/>
      <c r="I960" s="188"/>
      <c r="J960" s="188"/>
      <c r="K960" s="188"/>
      <c r="L960" s="188"/>
      <c r="M960" s="188"/>
      <c r="N960" s="188"/>
      <c r="O960" s="188"/>
      <c r="P960" s="188"/>
      <c r="Q960" s="188"/>
      <c r="R960" s="188"/>
      <c r="S960" s="188"/>
      <c r="T960" s="188"/>
      <c r="U960" s="188"/>
      <c r="V960" s="188"/>
      <c r="W960" s="188"/>
    </row>
    <row r="961">
      <c r="A961" s="229"/>
      <c r="B961" s="188"/>
      <c r="C961" s="229"/>
      <c r="D961" s="229"/>
      <c r="E961" s="229"/>
      <c r="F961" s="188"/>
      <c r="G961" s="188"/>
      <c r="H961" s="188"/>
      <c r="I961" s="188"/>
      <c r="J961" s="188"/>
      <c r="K961" s="188"/>
      <c r="L961" s="188"/>
      <c r="M961" s="188"/>
      <c r="N961" s="188"/>
      <c r="O961" s="188"/>
      <c r="P961" s="188"/>
      <c r="Q961" s="188"/>
      <c r="R961" s="188"/>
      <c r="S961" s="188"/>
      <c r="T961" s="188"/>
      <c r="U961" s="188"/>
      <c r="V961" s="188"/>
      <c r="W961" s="188"/>
    </row>
    <row r="962">
      <c r="A962" s="229"/>
      <c r="B962" s="188"/>
      <c r="C962" s="229"/>
      <c r="D962" s="229"/>
      <c r="E962" s="229"/>
      <c r="F962" s="188"/>
      <c r="G962" s="188"/>
      <c r="H962" s="188"/>
      <c r="I962" s="188"/>
      <c r="J962" s="188"/>
      <c r="K962" s="188"/>
      <c r="L962" s="188"/>
      <c r="M962" s="188"/>
      <c r="N962" s="188"/>
      <c r="O962" s="188"/>
      <c r="P962" s="188"/>
      <c r="Q962" s="188"/>
      <c r="R962" s="188"/>
      <c r="S962" s="188"/>
      <c r="T962" s="188"/>
      <c r="U962" s="188"/>
      <c r="V962" s="188"/>
      <c r="W962" s="188"/>
    </row>
    <row r="963">
      <c r="A963" s="229"/>
      <c r="B963" s="188"/>
      <c r="C963" s="229"/>
      <c r="D963" s="229"/>
      <c r="E963" s="229"/>
      <c r="F963" s="188"/>
      <c r="G963" s="188"/>
      <c r="H963" s="188"/>
      <c r="I963" s="188"/>
      <c r="J963" s="188"/>
      <c r="K963" s="188"/>
      <c r="L963" s="188"/>
      <c r="M963" s="188"/>
      <c r="N963" s="188"/>
      <c r="O963" s="188"/>
      <c r="P963" s="188"/>
      <c r="Q963" s="188"/>
      <c r="R963" s="188"/>
      <c r="S963" s="188"/>
      <c r="T963" s="188"/>
      <c r="U963" s="188"/>
      <c r="V963" s="188"/>
      <c r="W963" s="188"/>
    </row>
    <row r="964">
      <c r="A964" s="229"/>
      <c r="B964" s="188"/>
      <c r="C964" s="229"/>
      <c r="D964" s="229"/>
      <c r="E964" s="229"/>
      <c r="F964" s="188"/>
      <c r="G964" s="188"/>
      <c r="H964" s="188"/>
      <c r="I964" s="188"/>
      <c r="J964" s="188"/>
      <c r="K964" s="188"/>
      <c r="L964" s="188"/>
      <c r="M964" s="188"/>
      <c r="N964" s="188"/>
      <c r="O964" s="188"/>
      <c r="P964" s="188"/>
      <c r="Q964" s="188"/>
      <c r="R964" s="188"/>
      <c r="S964" s="188"/>
      <c r="T964" s="188"/>
      <c r="U964" s="188"/>
      <c r="V964" s="188"/>
      <c r="W964" s="188"/>
    </row>
    <row r="965">
      <c r="A965" s="229"/>
      <c r="B965" s="188"/>
      <c r="C965" s="229"/>
      <c r="D965" s="229"/>
      <c r="E965" s="229"/>
      <c r="F965" s="188"/>
      <c r="G965" s="188"/>
      <c r="H965" s="188"/>
      <c r="I965" s="188"/>
      <c r="J965" s="188"/>
      <c r="K965" s="188"/>
      <c r="L965" s="188"/>
      <c r="M965" s="188"/>
      <c r="N965" s="188"/>
      <c r="O965" s="188"/>
      <c r="P965" s="188"/>
      <c r="Q965" s="188"/>
      <c r="R965" s="188"/>
      <c r="S965" s="188"/>
      <c r="T965" s="188"/>
      <c r="U965" s="188"/>
      <c r="V965" s="188"/>
      <c r="W965" s="188"/>
    </row>
    <row r="966">
      <c r="A966" s="229"/>
      <c r="B966" s="188"/>
      <c r="C966" s="229"/>
      <c r="D966" s="229"/>
      <c r="E966" s="229"/>
      <c r="F966" s="188"/>
      <c r="G966" s="188"/>
      <c r="H966" s="188"/>
      <c r="I966" s="188"/>
      <c r="J966" s="188"/>
      <c r="K966" s="188"/>
      <c r="L966" s="188"/>
      <c r="M966" s="188"/>
      <c r="N966" s="188"/>
      <c r="O966" s="188"/>
      <c r="P966" s="188"/>
      <c r="Q966" s="188"/>
      <c r="R966" s="188"/>
      <c r="S966" s="188"/>
      <c r="T966" s="188"/>
      <c r="U966" s="188"/>
      <c r="V966" s="188"/>
      <c r="W966" s="188"/>
    </row>
    <row r="967">
      <c r="A967" s="229"/>
      <c r="B967" s="188"/>
      <c r="C967" s="229"/>
      <c r="D967" s="229"/>
      <c r="E967" s="229"/>
      <c r="F967" s="188"/>
      <c r="G967" s="188"/>
      <c r="H967" s="188"/>
      <c r="I967" s="188"/>
      <c r="J967" s="188"/>
      <c r="K967" s="188"/>
      <c r="L967" s="188"/>
      <c r="M967" s="188"/>
      <c r="N967" s="188"/>
      <c r="O967" s="188"/>
      <c r="P967" s="188"/>
      <c r="Q967" s="188"/>
      <c r="R967" s="188"/>
      <c r="S967" s="188"/>
      <c r="T967" s="188"/>
      <c r="U967" s="188"/>
      <c r="V967" s="188"/>
      <c r="W967" s="188"/>
    </row>
    <row r="968">
      <c r="A968" s="229"/>
      <c r="B968" s="188"/>
      <c r="C968" s="229"/>
      <c r="D968" s="229"/>
      <c r="E968" s="229"/>
      <c r="F968" s="188"/>
      <c r="G968" s="188"/>
      <c r="H968" s="188"/>
      <c r="I968" s="188"/>
      <c r="J968" s="188"/>
      <c r="K968" s="188"/>
      <c r="L968" s="188"/>
      <c r="M968" s="188"/>
      <c r="N968" s="188"/>
      <c r="O968" s="188"/>
      <c r="P968" s="188"/>
      <c r="Q968" s="188"/>
      <c r="R968" s="188"/>
      <c r="S968" s="188"/>
      <c r="T968" s="188"/>
      <c r="U968" s="188"/>
      <c r="V968" s="188"/>
      <c r="W968" s="188"/>
    </row>
    <row r="969">
      <c r="A969" s="229"/>
      <c r="B969" s="188"/>
      <c r="C969" s="229"/>
      <c r="D969" s="229"/>
      <c r="E969" s="229"/>
      <c r="F969" s="188"/>
      <c r="G969" s="188"/>
      <c r="H969" s="188"/>
      <c r="I969" s="188"/>
      <c r="J969" s="188"/>
      <c r="K969" s="188"/>
      <c r="L969" s="188"/>
      <c r="M969" s="188"/>
      <c r="N969" s="188"/>
      <c r="O969" s="188"/>
      <c r="P969" s="188"/>
      <c r="Q969" s="188"/>
      <c r="R969" s="188"/>
      <c r="S969" s="188"/>
      <c r="T969" s="188"/>
      <c r="U969" s="188"/>
      <c r="V969" s="188"/>
      <c r="W969" s="188"/>
    </row>
    <row r="970">
      <c r="A970" s="229"/>
      <c r="B970" s="188"/>
      <c r="C970" s="229"/>
      <c r="D970" s="229"/>
      <c r="E970" s="229"/>
      <c r="F970" s="188"/>
      <c r="G970" s="188"/>
      <c r="H970" s="188"/>
      <c r="I970" s="188"/>
      <c r="J970" s="188"/>
      <c r="K970" s="188"/>
      <c r="L970" s="188"/>
      <c r="M970" s="188"/>
      <c r="N970" s="188"/>
      <c r="O970" s="188"/>
      <c r="P970" s="188"/>
      <c r="Q970" s="188"/>
      <c r="R970" s="188"/>
      <c r="S970" s="188"/>
      <c r="T970" s="188"/>
      <c r="U970" s="188"/>
      <c r="V970" s="188"/>
      <c r="W970" s="188"/>
    </row>
    <row r="971">
      <c r="A971" s="229"/>
      <c r="B971" s="188"/>
      <c r="C971" s="229"/>
      <c r="D971" s="229"/>
      <c r="E971" s="229"/>
      <c r="F971" s="188"/>
      <c r="G971" s="188"/>
      <c r="H971" s="188"/>
      <c r="I971" s="188"/>
      <c r="J971" s="188"/>
      <c r="K971" s="188"/>
      <c r="L971" s="188"/>
      <c r="M971" s="188"/>
      <c r="N971" s="188"/>
      <c r="O971" s="188"/>
      <c r="P971" s="188"/>
      <c r="Q971" s="188"/>
      <c r="R971" s="188"/>
      <c r="S971" s="188"/>
      <c r="T971" s="188"/>
      <c r="U971" s="188"/>
      <c r="V971" s="188"/>
      <c r="W971" s="188"/>
    </row>
    <row r="972">
      <c r="A972" s="229"/>
      <c r="B972" s="188"/>
      <c r="C972" s="229"/>
      <c r="D972" s="229"/>
      <c r="E972" s="229"/>
      <c r="F972" s="188"/>
      <c r="G972" s="188"/>
      <c r="H972" s="188"/>
      <c r="I972" s="188"/>
      <c r="J972" s="188"/>
      <c r="K972" s="188"/>
      <c r="L972" s="188"/>
      <c r="M972" s="188"/>
      <c r="N972" s="188"/>
      <c r="O972" s="188"/>
      <c r="P972" s="188"/>
      <c r="Q972" s="188"/>
      <c r="R972" s="188"/>
      <c r="S972" s="188"/>
      <c r="T972" s="188"/>
      <c r="U972" s="188"/>
      <c r="V972" s="188"/>
      <c r="W972" s="188"/>
    </row>
    <row r="973">
      <c r="A973" s="229"/>
      <c r="B973" s="188"/>
      <c r="C973" s="229"/>
      <c r="D973" s="229"/>
      <c r="E973" s="229"/>
      <c r="F973" s="188"/>
      <c r="G973" s="188"/>
      <c r="H973" s="188"/>
      <c r="I973" s="188"/>
      <c r="J973" s="188"/>
      <c r="K973" s="188"/>
      <c r="L973" s="188"/>
      <c r="M973" s="188"/>
      <c r="N973" s="188"/>
      <c r="O973" s="188"/>
      <c r="P973" s="188"/>
      <c r="Q973" s="188"/>
      <c r="R973" s="188"/>
      <c r="S973" s="188"/>
      <c r="T973" s="188"/>
      <c r="U973" s="188"/>
      <c r="V973" s="188"/>
      <c r="W973" s="188"/>
    </row>
    <row r="974">
      <c r="A974" s="229"/>
      <c r="B974" s="188"/>
      <c r="C974" s="229"/>
      <c r="D974" s="229"/>
      <c r="E974" s="229"/>
      <c r="F974" s="188"/>
      <c r="G974" s="188"/>
      <c r="H974" s="188"/>
      <c r="I974" s="188"/>
      <c r="J974" s="188"/>
      <c r="K974" s="188"/>
      <c r="L974" s="188"/>
      <c r="M974" s="188"/>
      <c r="N974" s="188"/>
      <c r="O974" s="188"/>
      <c r="P974" s="188"/>
      <c r="Q974" s="188"/>
      <c r="R974" s="188"/>
      <c r="S974" s="188"/>
      <c r="T974" s="188"/>
      <c r="U974" s="188"/>
      <c r="V974" s="188"/>
      <c r="W974" s="188"/>
    </row>
    <row r="975">
      <c r="A975" s="229"/>
      <c r="B975" s="188"/>
      <c r="C975" s="229"/>
      <c r="D975" s="229"/>
      <c r="E975" s="229"/>
      <c r="F975" s="188"/>
      <c r="G975" s="188"/>
      <c r="H975" s="188"/>
      <c r="I975" s="188"/>
      <c r="J975" s="188"/>
      <c r="K975" s="188"/>
      <c r="L975" s="188"/>
      <c r="M975" s="188"/>
      <c r="N975" s="188"/>
      <c r="O975" s="188"/>
      <c r="P975" s="188"/>
      <c r="Q975" s="188"/>
      <c r="R975" s="188"/>
      <c r="S975" s="188"/>
      <c r="T975" s="188"/>
      <c r="U975" s="188"/>
      <c r="V975" s="188"/>
      <c r="W975" s="188"/>
    </row>
    <row r="976">
      <c r="A976" s="229"/>
      <c r="B976" s="188"/>
      <c r="C976" s="229"/>
      <c r="D976" s="229"/>
      <c r="E976" s="229"/>
      <c r="F976" s="188"/>
      <c r="G976" s="188"/>
      <c r="H976" s="188"/>
      <c r="I976" s="188"/>
      <c r="J976" s="188"/>
      <c r="K976" s="188"/>
      <c r="L976" s="188"/>
      <c r="M976" s="188"/>
      <c r="N976" s="188"/>
      <c r="O976" s="188"/>
      <c r="P976" s="188"/>
      <c r="Q976" s="188"/>
      <c r="R976" s="188"/>
      <c r="S976" s="188"/>
      <c r="T976" s="188"/>
      <c r="U976" s="188"/>
      <c r="V976" s="188"/>
      <c r="W976" s="188"/>
    </row>
    <row r="977">
      <c r="A977" s="229"/>
      <c r="B977" s="188"/>
      <c r="C977" s="229"/>
      <c r="D977" s="229"/>
      <c r="E977" s="229"/>
      <c r="F977" s="188"/>
      <c r="G977" s="188"/>
      <c r="H977" s="188"/>
      <c r="I977" s="188"/>
      <c r="J977" s="188"/>
      <c r="K977" s="188"/>
      <c r="L977" s="188"/>
      <c r="M977" s="188"/>
      <c r="N977" s="188"/>
      <c r="O977" s="188"/>
      <c r="P977" s="188"/>
      <c r="Q977" s="188"/>
      <c r="R977" s="188"/>
      <c r="S977" s="188"/>
      <c r="T977" s="188"/>
      <c r="U977" s="188"/>
      <c r="V977" s="188"/>
      <c r="W977" s="188"/>
    </row>
    <row r="978">
      <c r="A978" s="229"/>
      <c r="B978" s="188"/>
      <c r="C978" s="229"/>
      <c r="D978" s="229"/>
      <c r="E978" s="229"/>
      <c r="F978" s="188"/>
      <c r="G978" s="188"/>
      <c r="H978" s="188"/>
      <c r="I978" s="188"/>
      <c r="J978" s="188"/>
      <c r="K978" s="188"/>
      <c r="L978" s="188"/>
      <c r="M978" s="188"/>
      <c r="N978" s="188"/>
      <c r="O978" s="188"/>
      <c r="P978" s="188"/>
      <c r="Q978" s="188"/>
      <c r="R978" s="188"/>
      <c r="S978" s="188"/>
      <c r="T978" s="188"/>
      <c r="U978" s="188"/>
      <c r="V978" s="188"/>
      <c r="W978" s="188"/>
    </row>
    <row r="979">
      <c r="A979" s="229"/>
      <c r="B979" s="188"/>
      <c r="C979" s="229"/>
      <c r="D979" s="229"/>
      <c r="E979" s="229"/>
      <c r="F979" s="188"/>
      <c r="G979" s="188"/>
      <c r="H979" s="188"/>
      <c r="I979" s="188"/>
      <c r="J979" s="188"/>
      <c r="K979" s="188"/>
      <c r="L979" s="188"/>
      <c r="M979" s="188"/>
      <c r="N979" s="188"/>
      <c r="O979" s="188"/>
      <c r="P979" s="188"/>
      <c r="Q979" s="188"/>
      <c r="R979" s="188"/>
      <c r="S979" s="188"/>
      <c r="T979" s="188"/>
      <c r="U979" s="188"/>
      <c r="V979" s="188"/>
      <c r="W979" s="188"/>
    </row>
    <row r="980">
      <c r="A980" s="229"/>
      <c r="B980" s="188"/>
      <c r="C980" s="229"/>
      <c r="D980" s="229"/>
      <c r="E980" s="229"/>
      <c r="F980" s="188"/>
      <c r="G980" s="188"/>
      <c r="H980" s="188"/>
      <c r="I980" s="188"/>
      <c r="J980" s="188"/>
      <c r="K980" s="188"/>
      <c r="L980" s="188"/>
      <c r="M980" s="188"/>
      <c r="N980" s="188"/>
      <c r="O980" s="188"/>
      <c r="P980" s="188"/>
      <c r="Q980" s="188"/>
      <c r="R980" s="188"/>
      <c r="S980" s="188"/>
      <c r="T980" s="188"/>
      <c r="U980" s="188"/>
      <c r="V980" s="188"/>
      <c r="W980" s="188"/>
    </row>
    <row r="981">
      <c r="A981" s="229"/>
      <c r="B981" s="188"/>
      <c r="C981" s="229"/>
      <c r="D981" s="229"/>
      <c r="E981" s="229"/>
      <c r="F981" s="188"/>
      <c r="G981" s="188"/>
      <c r="H981" s="188"/>
      <c r="I981" s="188"/>
      <c r="J981" s="188"/>
      <c r="K981" s="188"/>
      <c r="L981" s="188"/>
      <c r="M981" s="188"/>
      <c r="N981" s="188"/>
      <c r="O981" s="188"/>
      <c r="P981" s="188"/>
      <c r="Q981" s="188"/>
      <c r="R981" s="188"/>
      <c r="S981" s="188"/>
      <c r="T981" s="188"/>
      <c r="U981" s="188"/>
      <c r="V981" s="188"/>
      <c r="W981" s="188"/>
    </row>
    <row r="982">
      <c r="A982" s="229"/>
      <c r="B982" s="188"/>
      <c r="C982" s="229"/>
      <c r="D982" s="229"/>
      <c r="E982" s="229"/>
      <c r="F982" s="188"/>
      <c r="G982" s="188"/>
      <c r="H982" s="188"/>
      <c r="I982" s="188"/>
      <c r="J982" s="188"/>
      <c r="K982" s="188"/>
      <c r="L982" s="188"/>
      <c r="M982" s="188"/>
      <c r="N982" s="188"/>
      <c r="O982" s="188"/>
      <c r="P982" s="188"/>
      <c r="Q982" s="188"/>
      <c r="R982" s="188"/>
      <c r="S982" s="188"/>
      <c r="T982" s="188"/>
      <c r="U982" s="188"/>
      <c r="V982" s="188"/>
      <c r="W982" s="188"/>
    </row>
    <row r="983">
      <c r="A983" s="229"/>
      <c r="B983" s="188"/>
      <c r="C983" s="229"/>
      <c r="D983" s="229"/>
      <c r="E983" s="229"/>
      <c r="F983" s="188"/>
      <c r="G983" s="188"/>
      <c r="H983" s="188"/>
      <c r="I983" s="188"/>
      <c r="J983" s="188"/>
      <c r="K983" s="188"/>
      <c r="L983" s="188"/>
      <c r="M983" s="188"/>
      <c r="N983" s="188"/>
      <c r="O983" s="188"/>
      <c r="P983" s="188"/>
      <c r="Q983" s="188"/>
      <c r="R983" s="188"/>
      <c r="S983" s="188"/>
      <c r="T983" s="188"/>
      <c r="U983" s="188"/>
      <c r="V983" s="188"/>
      <c r="W983" s="188"/>
    </row>
    <row r="984">
      <c r="A984" s="229"/>
      <c r="B984" s="188"/>
      <c r="C984" s="229"/>
      <c r="D984" s="229"/>
      <c r="E984" s="229"/>
      <c r="F984" s="188"/>
      <c r="G984" s="188"/>
      <c r="H984" s="188"/>
      <c r="I984" s="188"/>
      <c r="J984" s="188"/>
      <c r="K984" s="188"/>
      <c r="L984" s="188"/>
      <c r="M984" s="188"/>
      <c r="N984" s="188"/>
      <c r="O984" s="188"/>
      <c r="P984" s="188"/>
      <c r="Q984" s="188"/>
      <c r="R984" s="188"/>
      <c r="S984" s="188"/>
      <c r="T984" s="188"/>
      <c r="U984" s="188"/>
      <c r="V984" s="188"/>
      <c r="W984" s="188"/>
    </row>
    <row r="985">
      <c r="A985" s="229"/>
      <c r="B985" s="188"/>
      <c r="C985" s="229"/>
      <c r="D985" s="229"/>
      <c r="E985" s="229"/>
      <c r="F985" s="188"/>
      <c r="G985" s="188"/>
      <c r="H985" s="188"/>
      <c r="I985" s="188"/>
      <c r="J985" s="188"/>
      <c r="K985" s="188"/>
      <c r="L985" s="188"/>
      <c r="M985" s="188"/>
      <c r="N985" s="188"/>
      <c r="O985" s="188"/>
      <c r="P985" s="188"/>
      <c r="Q985" s="188"/>
      <c r="R985" s="188"/>
      <c r="S985" s="188"/>
      <c r="T985" s="188"/>
      <c r="U985" s="188"/>
      <c r="V985" s="188"/>
      <c r="W985" s="188"/>
    </row>
    <row r="986">
      <c r="A986" s="229"/>
      <c r="B986" s="188"/>
      <c r="C986" s="229"/>
      <c r="D986" s="229"/>
      <c r="E986" s="229"/>
      <c r="F986" s="188"/>
      <c r="G986" s="188"/>
      <c r="H986" s="188"/>
      <c r="I986" s="188"/>
      <c r="J986" s="188"/>
      <c r="K986" s="188"/>
      <c r="L986" s="188"/>
      <c r="M986" s="188"/>
      <c r="N986" s="188"/>
      <c r="O986" s="188"/>
      <c r="P986" s="188"/>
      <c r="Q986" s="188"/>
      <c r="R986" s="188"/>
      <c r="S986" s="188"/>
      <c r="T986" s="188"/>
      <c r="U986" s="188"/>
      <c r="V986" s="188"/>
      <c r="W986" s="188"/>
    </row>
    <row r="987">
      <c r="A987" s="229"/>
      <c r="B987" s="188"/>
      <c r="C987" s="229"/>
      <c r="D987" s="229"/>
      <c r="E987" s="229"/>
      <c r="F987" s="188"/>
      <c r="G987" s="188"/>
      <c r="H987" s="188"/>
      <c r="I987" s="188"/>
      <c r="J987" s="188"/>
      <c r="K987" s="188"/>
      <c r="L987" s="188"/>
      <c r="M987" s="188"/>
      <c r="N987" s="188"/>
      <c r="O987" s="188"/>
      <c r="P987" s="188"/>
      <c r="Q987" s="188"/>
      <c r="R987" s="188"/>
      <c r="S987" s="188"/>
      <c r="T987" s="188"/>
      <c r="U987" s="188"/>
      <c r="V987" s="188"/>
      <c r="W987" s="188"/>
    </row>
    <row r="988">
      <c r="A988" s="229"/>
      <c r="B988" s="188"/>
      <c r="C988" s="229"/>
      <c r="D988" s="229"/>
      <c r="E988" s="229"/>
      <c r="F988" s="188"/>
      <c r="G988" s="188"/>
      <c r="H988" s="188"/>
      <c r="I988" s="188"/>
      <c r="J988" s="188"/>
      <c r="K988" s="188"/>
      <c r="L988" s="188"/>
      <c r="M988" s="188"/>
      <c r="N988" s="188"/>
      <c r="O988" s="188"/>
      <c r="P988" s="188"/>
      <c r="Q988" s="188"/>
      <c r="R988" s="188"/>
      <c r="S988" s="188"/>
      <c r="T988" s="188"/>
      <c r="U988" s="188"/>
      <c r="V988" s="188"/>
      <c r="W988" s="188"/>
    </row>
    <row r="989">
      <c r="A989" s="229"/>
      <c r="B989" s="188"/>
      <c r="C989" s="229"/>
      <c r="D989" s="229"/>
      <c r="E989" s="229"/>
      <c r="F989" s="188"/>
      <c r="G989" s="188"/>
      <c r="H989" s="188"/>
      <c r="I989" s="188"/>
      <c r="J989" s="188"/>
      <c r="K989" s="188"/>
      <c r="L989" s="188"/>
      <c r="M989" s="188"/>
      <c r="N989" s="188"/>
      <c r="O989" s="188"/>
      <c r="P989" s="188"/>
      <c r="Q989" s="188"/>
      <c r="R989" s="188"/>
      <c r="S989" s="188"/>
      <c r="T989" s="188"/>
      <c r="U989" s="188"/>
      <c r="V989" s="188"/>
      <c r="W989" s="188"/>
    </row>
    <row r="990">
      <c r="A990" s="229"/>
      <c r="B990" s="188"/>
      <c r="C990" s="229"/>
      <c r="D990" s="229"/>
      <c r="E990" s="229"/>
      <c r="F990" s="188"/>
      <c r="G990" s="188"/>
      <c r="H990" s="188"/>
      <c r="I990" s="188"/>
      <c r="J990" s="188"/>
      <c r="K990" s="188"/>
      <c r="L990" s="188"/>
      <c r="M990" s="188"/>
      <c r="N990" s="188"/>
      <c r="O990" s="188"/>
      <c r="P990" s="188"/>
      <c r="Q990" s="188"/>
      <c r="R990" s="188"/>
      <c r="S990" s="188"/>
      <c r="T990" s="188"/>
      <c r="U990" s="188"/>
      <c r="V990" s="188"/>
      <c r="W990" s="188"/>
    </row>
    <row r="991">
      <c r="A991" s="229"/>
      <c r="B991" s="188"/>
      <c r="C991" s="229"/>
      <c r="D991" s="229"/>
      <c r="E991" s="229"/>
      <c r="F991" s="188"/>
      <c r="G991" s="188"/>
      <c r="H991" s="188"/>
      <c r="I991" s="188"/>
      <c r="J991" s="188"/>
      <c r="K991" s="188"/>
      <c r="L991" s="188"/>
      <c r="M991" s="188"/>
      <c r="N991" s="188"/>
      <c r="O991" s="188"/>
      <c r="P991" s="188"/>
      <c r="Q991" s="188"/>
      <c r="R991" s="188"/>
      <c r="S991" s="188"/>
      <c r="T991" s="188"/>
      <c r="U991" s="188"/>
      <c r="V991" s="188"/>
      <c r="W991" s="188"/>
    </row>
    <row r="992">
      <c r="A992" s="229"/>
      <c r="B992" s="188"/>
      <c r="C992" s="229"/>
      <c r="D992" s="229"/>
      <c r="E992" s="229"/>
      <c r="F992" s="188"/>
      <c r="G992" s="188"/>
      <c r="H992" s="188"/>
      <c r="I992" s="188"/>
      <c r="J992" s="188"/>
      <c r="K992" s="188"/>
      <c r="L992" s="188"/>
      <c r="M992" s="188"/>
      <c r="N992" s="188"/>
      <c r="O992" s="188"/>
      <c r="P992" s="188"/>
      <c r="Q992" s="188"/>
      <c r="R992" s="188"/>
      <c r="S992" s="188"/>
      <c r="T992" s="188"/>
      <c r="U992" s="188"/>
      <c r="V992" s="188"/>
      <c r="W992" s="188"/>
    </row>
    <row r="993">
      <c r="A993" s="229"/>
      <c r="B993" s="188"/>
      <c r="C993" s="229"/>
      <c r="D993" s="229"/>
      <c r="E993" s="229"/>
      <c r="F993" s="188"/>
      <c r="G993" s="188"/>
      <c r="H993" s="188"/>
      <c r="I993" s="188"/>
      <c r="J993" s="188"/>
      <c r="K993" s="188"/>
      <c r="L993" s="188"/>
      <c r="M993" s="188"/>
      <c r="N993" s="188"/>
      <c r="O993" s="188"/>
      <c r="P993" s="188"/>
      <c r="Q993" s="188"/>
      <c r="R993" s="188"/>
      <c r="S993" s="188"/>
      <c r="T993" s="188"/>
      <c r="U993" s="188"/>
      <c r="V993" s="188"/>
      <c r="W993" s="188"/>
    </row>
    <row r="994">
      <c r="A994" s="229"/>
      <c r="B994" s="188"/>
      <c r="C994" s="229"/>
      <c r="D994" s="229"/>
      <c r="E994" s="229"/>
      <c r="F994" s="188"/>
      <c r="G994" s="188"/>
      <c r="H994" s="188"/>
      <c r="I994" s="188"/>
      <c r="J994" s="188"/>
      <c r="K994" s="188"/>
      <c r="L994" s="188"/>
      <c r="M994" s="188"/>
      <c r="N994" s="188"/>
      <c r="O994" s="188"/>
      <c r="P994" s="188"/>
      <c r="Q994" s="188"/>
      <c r="R994" s="188"/>
      <c r="S994" s="188"/>
      <c r="T994" s="188"/>
      <c r="U994" s="188"/>
      <c r="V994" s="188"/>
      <c r="W994" s="188"/>
    </row>
    <row r="995">
      <c r="A995" s="229"/>
      <c r="B995" s="188"/>
      <c r="C995" s="229"/>
      <c r="D995" s="229"/>
      <c r="E995" s="229"/>
      <c r="F995" s="188"/>
      <c r="G995" s="188"/>
      <c r="H995" s="188"/>
      <c r="I995" s="188"/>
      <c r="J995" s="188"/>
      <c r="K995" s="188"/>
      <c r="L995" s="188"/>
      <c r="M995" s="188"/>
      <c r="N995" s="188"/>
      <c r="O995" s="188"/>
      <c r="P995" s="188"/>
      <c r="Q995" s="188"/>
      <c r="R995" s="188"/>
      <c r="S995" s="188"/>
      <c r="T995" s="188"/>
      <c r="U995" s="188"/>
      <c r="V995" s="188"/>
      <c r="W995" s="188"/>
    </row>
    <row r="996">
      <c r="A996" s="229"/>
      <c r="B996" s="188"/>
      <c r="C996" s="229"/>
      <c r="D996" s="229"/>
      <c r="E996" s="229"/>
      <c r="F996" s="188"/>
      <c r="G996" s="188"/>
      <c r="H996" s="188"/>
      <c r="I996" s="188"/>
      <c r="J996" s="188"/>
      <c r="K996" s="188"/>
      <c r="L996" s="188"/>
      <c r="M996" s="188"/>
      <c r="N996" s="188"/>
      <c r="O996" s="188"/>
      <c r="P996" s="188"/>
      <c r="Q996" s="188"/>
      <c r="R996" s="188"/>
      <c r="S996" s="188"/>
      <c r="T996" s="188"/>
      <c r="U996" s="188"/>
      <c r="V996" s="188"/>
      <c r="W996" s="188"/>
    </row>
    <row r="997">
      <c r="A997" s="229"/>
      <c r="B997" s="188"/>
      <c r="C997" s="229"/>
      <c r="D997" s="229"/>
      <c r="E997" s="229"/>
      <c r="F997" s="188"/>
      <c r="G997" s="188"/>
      <c r="H997" s="188"/>
      <c r="I997" s="188"/>
      <c r="J997" s="188"/>
      <c r="K997" s="188"/>
      <c r="L997" s="188"/>
      <c r="M997" s="188"/>
      <c r="N997" s="188"/>
      <c r="O997" s="188"/>
      <c r="P997" s="188"/>
      <c r="Q997" s="188"/>
      <c r="R997" s="188"/>
      <c r="S997" s="188"/>
      <c r="T997" s="188"/>
      <c r="U997" s="188"/>
      <c r="V997" s="188"/>
      <c r="W997" s="188"/>
    </row>
    <row r="998">
      <c r="A998" s="229"/>
      <c r="B998" s="188"/>
      <c r="C998" s="229"/>
      <c r="D998" s="229"/>
      <c r="E998" s="229"/>
      <c r="F998" s="188"/>
      <c r="G998" s="188"/>
      <c r="H998" s="188"/>
      <c r="I998" s="188"/>
      <c r="J998" s="188"/>
      <c r="K998" s="188"/>
      <c r="L998" s="188"/>
      <c r="M998" s="188"/>
      <c r="N998" s="188"/>
      <c r="O998" s="188"/>
      <c r="P998" s="188"/>
      <c r="Q998" s="188"/>
      <c r="R998" s="188"/>
      <c r="S998" s="188"/>
      <c r="T998" s="188"/>
      <c r="U998" s="188"/>
      <c r="V998" s="188"/>
      <c r="W998" s="188"/>
    </row>
    <row r="999">
      <c r="A999" s="229"/>
      <c r="B999" s="188"/>
      <c r="C999" s="229"/>
      <c r="D999" s="229"/>
      <c r="E999" s="229"/>
      <c r="F999" s="188"/>
      <c r="G999" s="188"/>
      <c r="H999" s="188"/>
      <c r="I999" s="188"/>
      <c r="J999" s="188"/>
      <c r="K999" s="188"/>
      <c r="L999" s="188"/>
      <c r="M999" s="188"/>
      <c r="N999" s="188"/>
      <c r="O999" s="188"/>
      <c r="P999" s="188"/>
      <c r="Q999" s="188"/>
      <c r="R999" s="188"/>
      <c r="S999" s="188"/>
      <c r="T999" s="188"/>
      <c r="U999" s="188"/>
      <c r="V999" s="188"/>
      <c r="W999" s="188"/>
    </row>
    <row r="1000">
      <c r="A1000" s="229"/>
      <c r="B1000" s="188"/>
      <c r="C1000" s="229"/>
      <c r="D1000" s="229"/>
      <c r="E1000" s="229"/>
      <c r="F1000" s="188"/>
      <c r="G1000" s="188"/>
      <c r="H1000" s="188"/>
      <c r="I1000" s="188"/>
      <c r="J1000" s="188"/>
      <c r="K1000" s="188"/>
      <c r="L1000" s="188"/>
      <c r="M1000" s="188"/>
      <c r="N1000" s="188"/>
      <c r="O1000" s="188"/>
      <c r="P1000" s="188"/>
      <c r="Q1000" s="188"/>
      <c r="R1000" s="188"/>
      <c r="S1000" s="188"/>
      <c r="T1000" s="188"/>
      <c r="U1000" s="188"/>
      <c r="V1000" s="188"/>
      <c r="W1000" s="188"/>
    </row>
  </sheetData>
  <dataValidations>
    <dataValidation type="list" allowBlank="1" showErrorMessage="1" sqref="E2:E1000">
      <formula1>"YES,NO"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13"/>
  </cols>
  <sheetData>
    <row r="1">
      <c r="A1" s="133" t="str">
        <f>Saud!F1</f>
        <v>Description</v>
      </c>
      <c r="B1" s="133" t="str">
        <f>Saud!E1</f>
        <v>Status</v>
      </c>
      <c r="C1" s="133" t="str">
        <f>Saud!C1</f>
        <v>Reference number</v>
      </c>
    </row>
    <row r="2">
      <c r="A2" s="133" t="str">
        <f>Saud!F2</f>
        <v>Butcher's Natural &amp; Healthy Dog with Chicken and Rice Pate 390g</v>
      </c>
      <c r="B2" s="133" t="str">
        <f>Saud!E2</f>
        <v>REJECTED</v>
      </c>
      <c r="C2" s="133" t="str">
        <f>Saud!C2</f>
        <v>P-1-N-180820-2290</v>
      </c>
    </row>
    <row r="3">
      <c r="A3" s="133" t="str">
        <f>Saud!F3</f>
        <v>Butcher's Natural &amp; Healthy Dog with Beef and Rice Pate 390g</v>
      </c>
      <c r="B3" s="133" t="str">
        <f>Saud!E3</f>
        <v>REJECTED</v>
      </c>
      <c r="C3" s="133" t="str">
        <f>Saud!C3</f>
        <v>P-1-N-180820-2291</v>
      </c>
    </row>
    <row r="4">
      <c r="A4" s="133" t="str">
        <f>Saud!F4</f>
        <v>Butcher's Natural &amp; Healthy Dog with Lamb and Rice Pate 390g</v>
      </c>
      <c r="B4" s="133" t="str">
        <f>Saud!E4</f>
        <v>REJECTED</v>
      </c>
      <c r="C4" s="133" t="str">
        <f>Saud!C4</f>
        <v>P-1-N-180820-2292</v>
      </c>
    </row>
    <row r="5">
      <c r="A5" s="133" t="str">
        <f>Saud!F5</f>
        <v>Sanal Anti-Hairball Bites Malt 75g</v>
      </c>
      <c r="B5" s="133" t="str">
        <f>Saud!E5</f>
        <v>تمت طباعة الشهادة</v>
      </c>
      <c r="C5" s="133" t="str">
        <f>Saud!C5</f>
        <v>P-1-N-190820-2298</v>
      </c>
    </row>
    <row r="6">
      <c r="A6" s="133" t="str">
        <f>Saud!F6</f>
        <v>Sanal Cheese Bites 75g</v>
      </c>
      <c r="B6" s="133" t="str">
        <f>Saud!E6</f>
        <v>تمت طباعة الشهادة</v>
      </c>
      <c r="C6" s="133" t="str">
        <f>Saud!C6</f>
        <v>P-1-N-190820-2300</v>
      </c>
    </row>
    <row r="7">
      <c r="A7" s="133" t="str">
        <f>Saud!F7</f>
        <v>Sanal Denta’s 75g</v>
      </c>
      <c r="B7" s="133" t="str">
        <f>Saud!E7</f>
        <v>تمت طباعة الشهادة</v>
      </c>
      <c r="C7" s="133" t="str">
        <f>Saud!C7</f>
        <v>P-1-N-200820-2316</v>
      </c>
    </row>
    <row r="8">
      <c r="A8" s="133" t="str">
        <f>Saud!F8</f>
        <v>Sanal Fish Bites 75g</v>
      </c>
      <c r="B8" s="133" t="str">
        <f>Saud!E8</f>
        <v>تمت طباعة الشهادة</v>
      </c>
      <c r="C8" s="133" t="str">
        <f>Saud!C8</f>
        <v>P-1-N-200820-2318</v>
      </c>
    </row>
    <row r="9">
      <c r="A9" s="133" t="str">
        <f>Saud!F9</f>
        <v>Sanal Fiesta 75g</v>
      </c>
      <c r="B9" s="133" t="str">
        <f>Saud!E9</f>
        <v>تمت طباعة الشهادة</v>
      </c>
      <c r="C9" s="133" t="str">
        <f>Saud!C9</f>
        <v>P-1-N-200820-2319</v>
      </c>
    </row>
    <row r="10">
      <c r="A10" s="133" t="str">
        <f>Saud!F10</f>
        <v>Sanal Cranberry &amp; Chicken Bites 75g</v>
      </c>
      <c r="B10" s="133" t="str">
        <f>Saud!E10</f>
        <v>تمت طباعة الشهادة</v>
      </c>
      <c r="C10" s="133" t="str">
        <f>Saud!C10</f>
        <v>P-1-N-200820-2321</v>
      </c>
    </row>
    <row r="11">
      <c r="A11" s="133" t="str">
        <f>Saud!F11</f>
        <v>Prestige Premium Canary 800 G</v>
      </c>
      <c r="B11" s="133" t="str">
        <f>Saud!E11</f>
        <v>تمت طباعة الشهادة</v>
      </c>
      <c r="C11" s="133" t="str">
        <f>Saud!C11</f>
        <v>P-1-N-220820-2331</v>
      </c>
    </row>
    <row r="12">
      <c r="A12" s="133" t="str">
        <f>Saud!F12</f>
        <v>Prestige Premium Canary 2.50 KG</v>
      </c>
      <c r="B12" s="133" t="str">
        <f>Saud!E12</f>
        <v>تمت طباعة الشهادة</v>
      </c>
      <c r="C12" s="133" t="str">
        <f>Saud!C12</f>
        <v>P-1-N-220820-2332</v>
      </c>
    </row>
    <row r="13">
      <c r="A13" s="133" t="str">
        <f>Saud!F13</f>
        <v>Prestige Premium Budgie 800g</v>
      </c>
      <c r="B13" s="133" t="str">
        <f>Saud!E13</f>
        <v>تمت طباعة الشهادة</v>
      </c>
      <c r="C13" s="133" t="str">
        <f>Saud!C13</f>
        <v>P-1-N-220820-2333</v>
      </c>
    </row>
    <row r="14">
      <c r="A14" s="133" t="str">
        <f>Saud!F14</f>
        <v>Prestige Premium Budgie 2.50 KG</v>
      </c>
      <c r="B14" s="133" t="str">
        <f>Saud!E14</f>
        <v>تمت طباعة الشهادة</v>
      </c>
      <c r="C14" s="133" t="str">
        <f>Saud!C14</f>
        <v>P-1-N-220820-2334</v>
      </c>
    </row>
    <row r="15">
      <c r="A15" s="133" t="str">
        <f>Saud!F15</f>
        <v>Prestige Premium Tropical Finches 800g</v>
      </c>
      <c r="B15" s="133" t="str">
        <f>Saud!E15</f>
        <v>تمت طباعة الشهادة</v>
      </c>
      <c r="C15" s="133" t="str">
        <f>Saud!C15</f>
        <v>P-1-N-220820-2335</v>
      </c>
    </row>
    <row r="16">
      <c r="A16" s="133" t="str">
        <f>Saud!F16</f>
        <v>Prestige Premium Parrots 2 KG</v>
      </c>
      <c r="B16" s="133" t="str">
        <f>Saud!E16</f>
        <v>تمت طباعة الشهادة</v>
      </c>
      <c r="C16" s="133" t="str">
        <f>Saud!C16</f>
        <v>P-1-N-220820-2336</v>
      </c>
    </row>
    <row r="17">
      <c r="A17" s="133" t="str">
        <f>Saud!F17</f>
        <v>Sanal Soft Sticks Salmon &amp; Trout 15g</v>
      </c>
      <c r="B17" s="133" t="str">
        <f>Saud!E17</f>
        <v>تمت طباعة الشهادة</v>
      </c>
      <c r="C17" s="133" t="str">
        <f>Saud!C17</f>
        <v>P-1-N-230820-2342</v>
      </c>
    </row>
    <row r="18">
      <c r="A18" s="133" t="str">
        <f>Saud!F18</f>
        <v/>
      </c>
      <c r="B18" s="133" t="str">
        <f>Saud!E18</f>
        <v>تمت طباعة الشهادة</v>
      </c>
      <c r="C18" s="133" t="str">
        <f>Saud!C18</f>
        <v>P-1-N-230820-2347</v>
      </c>
    </row>
    <row r="19">
      <c r="A19" s="133" t="str">
        <f>Saud!F19</f>
        <v>Sanal Soft Sticks Turkey &amp; Liver 15g</v>
      </c>
      <c r="B19" s="133" t="str">
        <f>Saud!E19</f>
        <v>تمت طباعة الشهادة</v>
      </c>
      <c r="C19" s="133" t="str">
        <f>Saud!C19</f>
        <v>P-1-N-230820-2348</v>
      </c>
    </row>
    <row r="20">
      <c r="A20" s="133" t="str">
        <f>Saud!F20</f>
        <v>Sanal Soft Sticks Lamb &amp; Rice 15g</v>
      </c>
      <c r="B20" s="133" t="str">
        <f>Saud!E20</f>
        <v>تمت طباعة الشهادة</v>
      </c>
      <c r="C20" s="133" t="str">
        <f>Saud!C20</f>
        <v>P-1-N-230820-2350</v>
      </c>
    </row>
    <row r="21">
      <c r="A21" s="133" t="str">
        <f>Saud!F21</f>
        <v>Sanal Soft Stick Beef 12g</v>
      </c>
      <c r="B21" s="133" t="str">
        <f>Saud!E21</f>
        <v>تمت طباعة الشهادة</v>
      </c>
      <c r="C21" s="133" t="str">
        <f>Saud!C21</f>
        <v>P-1-N-230820-2354</v>
      </c>
    </row>
    <row r="22">
      <c r="A22" s="133" t="str">
        <f>Saud!F22</f>
        <v>Sanal Soft Stick Poultry 12g</v>
      </c>
      <c r="B22" s="133" t="str">
        <f>Saud!E22</f>
        <v>تمت طباعة الشهادة</v>
      </c>
      <c r="C22" s="133" t="str">
        <f>Saud!C22</f>
        <v>P-1-N-230820-2356</v>
      </c>
    </row>
    <row r="23">
      <c r="A23" s="133" t="str">
        <f>Saud!F23</f>
        <v>Prestige Loro Parque African Parrot 1 KG</v>
      </c>
      <c r="B23" s="133" t="str">
        <f>Saud!E23</f>
        <v>REJECTED</v>
      </c>
      <c r="C23" s="133" t="str">
        <f>Saud!C23</f>
        <v>P-1-N-240820-2390</v>
      </c>
    </row>
    <row r="24">
      <c r="A24" s="133" t="str">
        <f>Saud!F24</f>
        <v>Prestige Loro Parque African Parrot 2.50 KG</v>
      </c>
      <c r="B24" s="133" t="str">
        <f>Saud!E24</f>
        <v>REJECTED</v>
      </c>
      <c r="C24" s="133" t="str">
        <f>Saud!C24</f>
        <v>P-1-N-240820-2391</v>
      </c>
    </row>
    <row r="25">
      <c r="A25" s="133" t="str">
        <f>Saud!F25</f>
        <v>Prestige Loro Parque Amazone Parrot 1 KG</v>
      </c>
      <c r="B25" s="133" t="str">
        <f>Saud!E25</f>
        <v>REJECTED</v>
      </c>
      <c r="C25" s="133" t="str">
        <f>Saud!C25</f>
        <v>P-1-N-240820-2392</v>
      </c>
    </row>
    <row r="26">
      <c r="A26" s="133" t="str">
        <f>Saud!F26</f>
        <v>Prestige Loro Parque Amazone Parrot 15 KG</v>
      </c>
      <c r="B26" s="133" t="str">
        <f>Saud!E26</f>
        <v>تمت طباعة الشهادة</v>
      </c>
      <c r="C26" s="133" t="str">
        <f>Saud!C26</f>
        <v>P-1-N-240820-2393</v>
      </c>
    </row>
    <row r="27">
      <c r="A27" s="133" t="str">
        <f>Saud!F27</f>
        <v>Prestige Loro Parque Australian Parrot 1 KG</v>
      </c>
      <c r="B27" s="133" t="str">
        <f>Saud!E27</f>
        <v>REJECTED</v>
      </c>
      <c r="C27" s="133" t="str">
        <f>Saud!C27</f>
        <v>P-1-N-240820-2394</v>
      </c>
    </row>
    <row r="28">
      <c r="A28" s="133" t="str">
        <f>Saud!F28</f>
        <v>Butcher's Natural &amp; Healthy with Trout Chunks in Jelly </v>
      </c>
      <c r="B28" s="133" t="str">
        <f>Saud!E28</f>
        <v>REJECTED</v>
      </c>
      <c r="C28" s="133" t="str">
        <f>Saud!C28</f>
        <v>P-1-N-250820-2416</v>
      </c>
    </row>
    <row r="29">
      <c r="A29" s="133" t="str">
        <f>Saud!F29</f>
        <v>Butcher's Natural &amp; Healthy with Game Chunks in Jelly </v>
      </c>
      <c r="B29" s="133" t="str">
        <f>Saud!E29</f>
        <v>REJECTED</v>
      </c>
      <c r="C29" s="133" t="str">
        <f>Saud!C29</f>
        <v>P-1-N-250820-2420</v>
      </c>
    </row>
    <row r="30">
      <c r="A30" s="133" t="str">
        <f>Saud!F30</f>
        <v>Butcher's Natural &amp; Healthy with Ocean Fish Chunks in Jelly </v>
      </c>
      <c r="B30" s="133" t="str">
        <f>Saud!E30</f>
        <v>REJECTED</v>
      </c>
      <c r="C30" s="133" t="str">
        <f>Saud!C30</f>
        <v>P-1-N-250820-2421</v>
      </c>
    </row>
    <row r="31">
      <c r="A31" s="133" t="str">
        <f>Saud!F31</f>
        <v>Butcher's Natural &amp; Healthy with Chicken Chunks in Jelly </v>
      </c>
      <c r="B31" s="133" t="str">
        <f>Saud!E31</f>
        <v>REJECTED</v>
      </c>
      <c r="C31" s="133" t="str">
        <f>Saud!C31</f>
        <v>P-1-N-250820-2422</v>
      </c>
    </row>
    <row r="32">
      <c r="A32" s="133" t="str">
        <f>Saud!F32</f>
        <v>Butcher's Natural &amp; Healthy with Beef Chunks in Jelly </v>
      </c>
      <c r="B32" s="133" t="str">
        <f>Saud!E32</f>
        <v>REJECTED</v>
      </c>
      <c r="C32" s="133" t="str">
        <f>Saud!C32</f>
        <v>P-1-N-250820-2423</v>
      </c>
    </row>
    <row r="33">
      <c r="A33" s="133" t="str">
        <f>Saud!F33</f>
        <v>Healthy Treats Skin &amp; Coat For Dogs and Puppies 70g</v>
      </c>
      <c r="B33" s="133" t="str">
        <f>Saud!E33</f>
        <v>تمت طباعة الشهادة</v>
      </c>
      <c r="C33" s="133" t="str">
        <f>Saud!C33</f>
        <v>P-1-N-250820-2430</v>
      </c>
    </row>
    <row r="34">
      <c r="A34" s="133" t="str">
        <f>Saud!F34</f>
        <v>Healthy Treats Breath &amp; Dental 70g</v>
      </c>
      <c r="B34" s="133" t="str">
        <f>Saud!E34</f>
        <v>تمت طباعة الشهادة</v>
      </c>
      <c r="C34" s="133" t="str">
        <f>Saud!C34</f>
        <v>P-1-N-260820-2435</v>
      </c>
    </row>
    <row r="35">
      <c r="A35" s="133" t="str">
        <f>Saud!F35</f>
        <v>Healthy Treats Nutri-Booster 50g</v>
      </c>
      <c r="B35" s="133" t="str">
        <f>Saud!E35</f>
        <v>تمت طباعة الشهادة</v>
      </c>
      <c r="C35" s="133" t="str">
        <f>Saud!C35</f>
        <v>P-1-N-260820-2438</v>
      </c>
    </row>
    <row r="36">
      <c r="A36" s="133" t="str">
        <f>Saud!F36</f>
        <v>Healthy Treats Teething 50g</v>
      </c>
      <c r="B36" s="133" t="str">
        <f>Saud!E36</f>
        <v>تمت طباعة الشهادة</v>
      </c>
      <c r="C36" s="133" t="str">
        <f>Saud!C36</f>
        <v>P-1-N-260820-2440</v>
      </c>
    </row>
    <row r="37">
      <c r="A37" s="133" t="str">
        <f>Saud!F37</f>
        <v>Sunburst Macaw 1.36 KG</v>
      </c>
      <c r="B37" s="133" t="str">
        <f>Saud!E37</f>
        <v>تمت طباعة الشهادة</v>
      </c>
      <c r="C37" s="133" t="str">
        <f>Saud!C37</f>
        <v>P-1-N-260820-2441</v>
      </c>
    </row>
    <row r="38">
      <c r="A38" s="133" t="str">
        <f>Saud!F38</f>
        <v>Healthy Treats Calming For Puppies 50g</v>
      </c>
      <c r="B38" s="133" t="str">
        <f>Saud!E38</f>
        <v>تمت طباعة الشهادة</v>
      </c>
      <c r="C38" s="133" t="str">
        <f>Saud!C38</f>
        <v>P-1-N-270820-2458</v>
      </c>
    </row>
    <row r="39">
      <c r="A39" s="133" t="str">
        <f>Saud!F39</f>
        <v>Healthy Treats Intestinal Aid For Puppies 50g</v>
      </c>
      <c r="B39" s="133" t="str">
        <f>Saud!E39</f>
        <v>تمت طباعة الشهادة</v>
      </c>
      <c r="C39" s="133" t="str">
        <f>Saud!C39</f>
        <v>P-1-N-270820-2459</v>
      </c>
    </row>
    <row r="40">
      <c r="A40" s="133" t="str">
        <f>Saud!F40</f>
        <v>Healthy Treats Fleaguard For Dogs &amp; Puppies 70g</v>
      </c>
      <c r="B40" s="133" t="str">
        <f>Saud!E40</f>
        <v>تمت طباعة الشهادة</v>
      </c>
      <c r="C40" s="133" t="str">
        <f>Saud!C40</f>
        <v>P-1-N-270820-2462</v>
      </c>
    </row>
    <row r="41">
      <c r="A41" s="133" t="str">
        <f>Saud!F41</f>
        <v>InTune Harmony Macaw 1.36 KG</v>
      </c>
      <c r="B41" s="133" t="str">
        <f>Saud!E41</f>
        <v>تمت طباعة الشهادة</v>
      </c>
      <c r="C41" s="133" t="str">
        <f>Saud!C41</f>
        <v>P-1-N-270820-2464</v>
      </c>
    </row>
    <row r="42">
      <c r="A42" s="133" t="str">
        <f>Saud!F42</f>
        <v>InTune Harmony Parakeet 0.91 KG</v>
      </c>
      <c r="B42" s="133" t="str">
        <f>Saud!E42</f>
        <v>تمت طباعة الشهادة</v>
      </c>
      <c r="C42" s="133" t="str">
        <f>Saud!C42</f>
        <v>P-1-N-270820-2465</v>
      </c>
    </row>
    <row r="43">
      <c r="A43" s="133" t="str">
        <f>Saud!F43</f>
        <v>InTune Harmony Parrot 1.36 KG</v>
      </c>
      <c r="B43" s="133" t="str">
        <f>Saud!E43</f>
        <v>تمت طباعة الشهادة</v>
      </c>
      <c r="C43" s="133" t="str">
        <f>Saud!C43</f>
        <v>P-1-N-270820-2466</v>
      </c>
    </row>
    <row r="44">
      <c r="A44" s="133" t="str">
        <f>Saud!F44</f>
        <v>InTune Harmony Parrot 7.94 KG</v>
      </c>
      <c r="B44" s="133" t="str">
        <f>Saud!E44</f>
        <v>تمت طباعة الشهادة</v>
      </c>
      <c r="C44" s="133" t="str">
        <f>Saud!C44</f>
        <v>P-1-N-270820-2467</v>
      </c>
    </row>
    <row r="45">
      <c r="A45" s="133" t="str">
        <f>Saud!F45</f>
        <v>InTune Harmony Macaw 7.94 KG</v>
      </c>
      <c r="B45" s="133" t="str">
        <f>Saud!E45</f>
        <v>تمت طباعة الشهادة</v>
      </c>
      <c r="C45" s="133" t="str">
        <f>Saud!C45</f>
        <v>P-1-N-270820-2468</v>
      </c>
    </row>
    <row r="46">
      <c r="A46" s="133" t="str">
        <f>Saud!F46</f>
        <v>InTune Harmony Conure &amp; Cockatiel 0.91 KG</v>
      </c>
      <c r="B46" s="133" t="str">
        <f>Saud!E46</f>
        <v>تمت طباعة الشهادة</v>
      </c>
      <c r="C46" s="133" t="str">
        <f>Saud!C46</f>
        <v>P-1-N-270820-2469</v>
      </c>
    </row>
    <row r="47">
      <c r="A47" s="133" t="str">
        <f>Saud!F47</f>
        <v>Healthy Bites Breath &amp; Dental For Cats &amp; Kittens 65g</v>
      </c>
      <c r="B47" s="133" t="str">
        <f>Saud!E47</f>
        <v>REJECTED</v>
      </c>
      <c r="C47" s="133" t="str">
        <f>Saud!C47</f>
        <v>P-1-N-270820-2470</v>
      </c>
    </row>
    <row r="48">
      <c r="A48" s="133" t="str">
        <f>Saud!F48</f>
        <v>InTune Harmony Conure &amp; Cockatiel 7.94 KG</v>
      </c>
      <c r="B48" s="133" t="str">
        <f>Saud!E48</f>
        <v>تمت طباعة الشهادة</v>
      </c>
      <c r="C48" s="133" t="str">
        <f>Saud!C48</f>
        <v>P-1-N-270820-2471</v>
      </c>
    </row>
    <row r="49">
      <c r="A49" s="133" t="str">
        <f>Saud!F49</f>
        <v>InTune Hand Feed 283 G</v>
      </c>
      <c r="B49" s="133" t="str">
        <f>Saud!E49</f>
        <v>تمت طباعة الشهادة</v>
      </c>
      <c r="C49" s="133" t="str">
        <f>Saud!C49</f>
        <v>P-1-N-270820-2473</v>
      </c>
    </row>
    <row r="50">
      <c r="A50" s="133" t="str">
        <f>Saud!F50</f>
        <v>InTune Hand Feed 2.27 KG</v>
      </c>
      <c r="B50" s="133" t="str">
        <f>Saud!E50</f>
        <v>تمت طباعة الشهادة</v>
      </c>
      <c r="C50" s="133" t="str">
        <f>Saud!C50</f>
        <v>P-1-N-270820-2474</v>
      </c>
    </row>
    <row r="51">
      <c r="A51" s="133" t="str">
        <f>Saud!F51</f>
        <v>InTune Hand Feed HE 2.27 KG</v>
      </c>
      <c r="B51" s="133" t="str">
        <f>Saud!E51</f>
        <v>تمت طباعة الشهادة</v>
      </c>
      <c r="C51" s="133" t="str">
        <f>Saud!C51</f>
        <v>P-1-N-270820-2475</v>
      </c>
    </row>
    <row r="52">
      <c r="A52" s="133" t="str">
        <f>Saud!F52</f>
        <v>InTune Hand Feed HE 283 G</v>
      </c>
      <c r="B52" s="133" t="str">
        <f>Saud!E52</f>
        <v>تمت طباعة الشهادة</v>
      </c>
      <c r="C52" s="133" t="str">
        <f>Saud!C52</f>
        <v>P-1-N-270820-2476</v>
      </c>
    </row>
    <row r="53">
      <c r="A53" s="133" t="str">
        <f>Saud!F53</f>
        <v>Healthy Bites Hairball Remedy For Cats &amp; Kittens 65g</v>
      </c>
      <c r="B53" s="133" t="str">
        <f>Saud!E53</f>
        <v>REJECTED</v>
      </c>
      <c r="C53" s="133" t="str">
        <f>Saud!C53</f>
        <v>P-1-N-300820-2488</v>
      </c>
    </row>
    <row r="54">
      <c r="A54" s="133" t="str">
        <f>Saud!F54</f>
        <v>Healthy Bites Nutri Booster For Kittens 65g</v>
      </c>
      <c r="B54" s="133" t="str">
        <f>Saud!E54</f>
        <v>REJECTED</v>
      </c>
      <c r="C54" s="133" t="str">
        <f>Saud!C54</f>
        <v>P-1-N-300820-2489</v>
      </c>
    </row>
    <row r="55">
      <c r="A55" s="133" t="str">
        <f>Saud!F55</f>
        <v>Healthy Bites Urinary Care For Cats &amp; Kittens 65g</v>
      </c>
      <c r="B55" s="133" t="str">
        <f>Saud!E55</f>
        <v>تمت طباعة الشهادة</v>
      </c>
      <c r="C55" s="133" t="str">
        <f>Saud!C55</f>
        <v>P-1-N-300820-2492</v>
      </c>
    </row>
    <row r="56">
      <c r="A56" s="133" t="str">
        <f>Saud!F56</f>
        <v>Healthy Bites Growth Support For Kittens 65g</v>
      </c>
      <c r="B56" s="133" t="str">
        <f>Saud!E56</f>
        <v>تمت طباعة الشهادة</v>
      </c>
      <c r="C56" s="133" t="str">
        <f>Saud!C56</f>
        <v>P-1-N-300820-2499</v>
      </c>
    </row>
    <row r="57">
      <c r="A57" s="133" t="str">
        <f>Saud!F57</f>
        <v>Feline Happy Chicken 60g</v>
      </c>
      <c r="B57" s="133" t="str">
        <f>Saud!E57</f>
        <v>تمت طباعة الشهادة</v>
      </c>
      <c r="C57" s="133" t="str">
        <f>Saud!C57</f>
        <v>P-1-N-300820-2504</v>
      </c>
    </row>
    <row r="58">
      <c r="A58" s="133" t="str">
        <f>Saud!F58</f>
        <v>Feline Happy Duck 60g</v>
      </c>
      <c r="B58" s="133" t="str">
        <f>Saud!E58</f>
        <v>تمت طباعة الشهادة</v>
      </c>
      <c r="C58" s="133" t="str">
        <f>Saud!C58</f>
        <v>P-1-N-300820-2506</v>
      </c>
    </row>
    <row r="59">
      <c r="A59" s="133" t="str">
        <f>Saud!F59</f>
        <v>Feline Happy Salmon 60g</v>
      </c>
      <c r="B59" s="133" t="str">
        <f>Saud!E59</f>
        <v>تمت طباعة الشهادة</v>
      </c>
      <c r="C59" s="133" t="str">
        <f>Saud!C59</f>
        <v>P-1-N-300820-2507</v>
      </c>
    </row>
    <row r="60">
      <c r="A60" s="133" t="str">
        <f>Saud!F60</f>
        <v>ARA Parrot 2 KG</v>
      </c>
      <c r="B60" s="133" t="str">
        <f>Saud!E60</f>
        <v>تمت طباعة الشهادة</v>
      </c>
      <c r="C60" s="133" t="str">
        <f>Saud!C60</f>
        <v>P-1-N-300820-2508</v>
      </c>
    </row>
    <row r="61">
      <c r="A61" s="133" t="str">
        <f>Saud!F61</f>
        <v>Prestige ARA Parrot 15 kg</v>
      </c>
      <c r="B61" s="133" t="str">
        <f>Saud!E61</f>
        <v>تمت طباعة الشهادة</v>
      </c>
      <c r="C61" s="133" t="str">
        <f>Saud!C61</f>
        <v>P-1-N-300820-2509</v>
      </c>
    </row>
    <row r="62">
      <c r="A62" s="133" t="str">
        <f>Saud!F62</f>
        <v>Prestige Budgie 1 KG</v>
      </c>
      <c r="B62" s="133" t="str">
        <f>Saud!E62</f>
        <v>تمت طباعة الشهادة</v>
      </c>
      <c r="C62" s="133" t="str">
        <f>Saud!C62</f>
        <v>P-1-N-300820-2510</v>
      </c>
    </row>
    <row r="63">
      <c r="A63" s="133" t="str">
        <f>Saud!F63</f>
        <v>Prestige Budgie 4 KG</v>
      </c>
      <c r="B63" s="133" t="str">
        <f>Saud!E63</f>
        <v>تمت طباعة الشهادة</v>
      </c>
      <c r="C63" s="133" t="str">
        <f>Saud!C63</f>
        <v>P-1-N-300820-2512</v>
      </c>
    </row>
    <row r="64">
      <c r="A64" s="133" t="str">
        <f>Saud!F64</f>
        <v>Healthy Centres Mature Cheese Flavour Treats 80g</v>
      </c>
      <c r="B64" s="133" t="str">
        <f>Saud!E64</f>
        <v>تمت طباعة الشهادة</v>
      </c>
      <c r="C64" s="133" t="str">
        <f>Saud!C64</f>
        <v>P-1-N-310820-2517</v>
      </c>
    </row>
    <row r="65">
      <c r="A65" s="133" t="str">
        <f>Saud!F65</f>
        <v>Healthy Centres Roast Chicken Flavour Treats 80g</v>
      </c>
      <c r="B65" s="133" t="str">
        <f>Saud!E65</f>
        <v>REJECTED</v>
      </c>
      <c r="C65" s="133" t="str">
        <f>Saud!C65</f>
        <v>P-1-N-310820-2518</v>
      </c>
    </row>
    <row r="66">
      <c r="A66" s="133" t="str">
        <f>Saud!F66</f>
        <v>Healthy Centres with Real Chicken &amp; Vegetables 113g</v>
      </c>
      <c r="B66" s="133" t="str">
        <f>Saud!E66</f>
        <v>تمت طباعة الشهادة</v>
      </c>
      <c r="C66" s="133" t="str">
        <f>Saud!C66</f>
        <v>P-1-N-310820-2519</v>
      </c>
    </row>
    <row r="67">
      <c r="A67" s="133" t="str">
        <f>Saud!F67</f>
        <v>Healthy Centres with Real Turkey &amp; Cranberry 113g</v>
      </c>
      <c r="B67" s="133" t="str">
        <f>Saud!E67</f>
        <v>تمت طباعة الشهادة</v>
      </c>
      <c r="C67" s="133" t="str">
        <f>Saud!C67</f>
        <v>P-1-N-310820-2520</v>
      </c>
    </row>
    <row r="68">
      <c r="A68" s="133" t="str">
        <f>Saud!F68</f>
        <v>Prestige Canary 1 KG</v>
      </c>
      <c r="B68" s="133" t="str">
        <f>Saud!E68</f>
        <v>تمت طباعة الشهادة</v>
      </c>
      <c r="C68" s="133" t="str">
        <f>Saud!C68</f>
        <v>P-1-N-010920-2536</v>
      </c>
    </row>
    <row r="69">
      <c r="A69" s="133" t="str">
        <f>Saud!F69</f>
        <v>Prestige Parrot 1 KG</v>
      </c>
      <c r="B69" s="133" t="str">
        <f>Saud!E69</f>
        <v>تمت طباعة الشهادة</v>
      </c>
      <c r="C69" s="133" t="str">
        <f>Saud!C69</f>
        <v>P-1-N-010920-2537</v>
      </c>
    </row>
    <row r="70">
      <c r="A70" s="133" t="str">
        <f>Saud!F70</f>
        <v>Prestige Parrot 3 KG</v>
      </c>
      <c r="B70" s="133" t="str">
        <f>Saud!E70</f>
        <v>تمت طباعة الشهادة</v>
      </c>
      <c r="C70" s="133" t="str">
        <f>Saud!C70</f>
        <v>P-1-N-010920-2538</v>
      </c>
    </row>
    <row r="71">
      <c r="A71" s="133" t="str">
        <f>Saud!F71</f>
        <v>Prestige Big Parakeet 1 KG</v>
      </c>
      <c r="B71" s="133" t="str">
        <f>Saud!E71</f>
        <v>تمت طباعة الشهادة</v>
      </c>
      <c r="C71" s="133" t="str">
        <f>Saud!C71</f>
        <v>P-1-N-010920-2539</v>
      </c>
    </row>
    <row r="72">
      <c r="A72" s="133" t="str">
        <f>Saud!F72</f>
        <v>Prestige Big Parakeet 4 KG</v>
      </c>
      <c r="B72" s="133" t="str">
        <f>Saud!E72</f>
        <v>تمت طباعة الشهادة</v>
      </c>
      <c r="C72" s="133" t="str">
        <f>Saud!C72</f>
        <v>P-1-N-010920-2540</v>
      </c>
    </row>
    <row r="73">
      <c r="A73" s="133" t="str">
        <f>Saud!F73</f>
        <v>Prestige Tropical Finches 4 KG</v>
      </c>
      <c r="B73" s="133" t="str">
        <f>Saud!E73</f>
        <v>تمت طباعة الشهادة</v>
      </c>
      <c r="C73" s="133" t="str">
        <f>Saud!C73</f>
        <v>P-1-N-010920-2541</v>
      </c>
    </row>
    <row r="74">
      <c r="A74" s="133" t="str">
        <f>Saud!F74</f>
        <v>Prestige Tropical Finches 1 KG</v>
      </c>
      <c r="B74" s="133" t="str">
        <f>Saud!E74</f>
        <v>تمت طباعة الشهادة</v>
      </c>
      <c r="C74" s="133" t="str">
        <f>Saud!C74</f>
        <v>P-1-N-010920-2542</v>
      </c>
    </row>
    <row r="75">
      <c r="A75" s="133" t="str">
        <f>Saud!F75</f>
        <v>Prestige Canary 4 KG</v>
      </c>
      <c r="B75" s="133" t="str">
        <f>Saud!E75</f>
        <v>تمت طباعة الشهادة</v>
      </c>
      <c r="C75" s="133" t="str">
        <f>Saud!C75</f>
        <v>P-1-N-010920-2544</v>
      </c>
    </row>
    <row r="76">
      <c r="A76" s="133" t="str">
        <f>Saud!F76</f>
        <v>Prestige European Finches 1 KG</v>
      </c>
      <c r="B76" s="133" t="str">
        <f>Saud!E76</f>
        <v>تمت طباعة الشهادة</v>
      </c>
      <c r="C76" s="133" t="str">
        <f>Saud!C76</f>
        <v>P-1-N-010920-2546</v>
      </c>
    </row>
    <row r="77">
      <c r="A77" s="133" t="str">
        <f>Saud!F77</f>
        <v>Profine Adult Chicken &amp; Potatoes 15 KG</v>
      </c>
      <c r="B77" s="133" t="str">
        <f>Saud!E77</f>
        <v>تمت طباعة الشهادة</v>
      </c>
      <c r="C77" s="133" t="str">
        <f>Saud!C77</f>
        <v>P-1-N-020920-2561</v>
      </c>
    </row>
    <row r="78">
      <c r="A78" s="133" t="str">
        <f>Saud!F78</f>
        <v>Profine Energy Chicken &amp; Potatoes 15 KG</v>
      </c>
      <c r="B78" s="133" t="str">
        <f>Saud!E78</f>
        <v>تمت طباعة الشهادة</v>
      </c>
      <c r="C78" s="133" t="str">
        <f>Saud!C78</f>
        <v>P-1-N-020920-2562</v>
      </c>
    </row>
    <row r="79">
      <c r="A79" s="133" t="str">
        <f>Saud!F79</f>
        <v>Profine Adult Lamb &amp; Potatoes 15 KG</v>
      </c>
      <c r="B79" s="133" t="str">
        <f>Saud!E79</f>
        <v>تمت طباعة الشهادة</v>
      </c>
      <c r="C79" s="133" t="str">
        <f>Saud!C79</f>
        <v>P-1-N-020920-2563</v>
      </c>
    </row>
    <row r="80">
      <c r="A80" s="133" t="str">
        <f>Saud!F80</f>
        <v>Profine Puppy Chicken &amp; Potatoes 15 KG</v>
      </c>
      <c r="B80" s="133" t="str">
        <f>Saud!E80</f>
        <v>تمت طباعة الشهادة</v>
      </c>
      <c r="C80" s="133" t="str">
        <f>Saud!C80</f>
        <v>P-1-N-020920-2564</v>
      </c>
    </row>
    <row r="81">
      <c r="A81" s="133" t="str">
        <f>Saud!F81</f>
        <v>Profine Puppy Lamb &amp; Potatoes 15 Kg</v>
      </c>
      <c r="B81" s="133" t="str">
        <f>Saud!E81</f>
        <v>تمت طباعة الشهادة</v>
      </c>
      <c r="C81" s="133" t="str">
        <f>Saud!C81</f>
        <v>P-1-N-020920-2565</v>
      </c>
    </row>
    <row r="82">
      <c r="A82" s="133" t="str">
        <f>Saud!F82</f>
        <v>Profine Kitten 10 KG</v>
      </c>
      <c r="B82" s="133" t="str">
        <f>Saud!E82</f>
        <v>تمت طباعة الشهادة</v>
      </c>
      <c r="C82" s="133" t="str">
        <f>Saud!C82</f>
        <v>P-1-N-020920-2566</v>
      </c>
    </row>
    <row r="83">
      <c r="A83" s="133" t="str">
        <f>Saud!F83</f>
        <v>Profine kitten 2 KG</v>
      </c>
      <c r="B83" s="133" t="str">
        <f>Saud!E83</f>
        <v>تمت طباعة الشهادة</v>
      </c>
      <c r="C83" s="133" t="str">
        <f>Saud!C83</f>
        <v>P-1-N-020920-2567</v>
      </c>
    </row>
    <row r="84">
      <c r="A84" s="133" t="str">
        <f>Saud!F84</f>
        <v>Profine Kitten 300 g</v>
      </c>
      <c r="B84" s="133" t="str">
        <f>Saud!E84</f>
        <v>تمت طباعة الشهادة</v>
      </c>
      <c r="C84" s="133" t="str">
        <f>Saud!C84</f>
        <v>P-1-N-020920-2568</v>
      </c>
    </row>
    <row r="85">
      <c r="A85" s="133" t="str">
        <f>Saud!F85</f>
        <v>Profine Cat Sterilised 2 KG</v>
      </c>
      <c r="B85" s="133" t="str">
        <f>Saud!E85</f>
        <v>تمت طباعة الشهادة</v>
      </c>
      <c r="C85" s="133" t="str">
        <f>Saud!C85</f>
        <v>P-1-N-020920-2570</v>
      </c>
    </row>
    <row r="86">
      <c r="A86" s="133" t="str">
        <f>Saud!F86</f>
        <v>Profine Cat Sterilised 10 KG</v>
      </c>
      <c r="B86" s="133" t="str">
        <f>Saud!E86</f>
        <v>تمت طباعة الشهادة</v>
      </c>
      <c r="C86" s="133" t="str">
        <f>Saud!C86</f>
        <v>P-1-N-020920-2571</v>
      </c>
    </row>
    <row r="87">
      <c r="A87" s="133" t="str">
        <f>Saud!F87</f>
        <v>Profine Sterilised 300 g</v>
      </c>
      <c r="B87" s="133" t="str">
        <f>Saud!E87</f>
        <v>تمت طباعة الشهادة</v>
      </c>
      <c r="C87" s="133" t="str">
        <f>Saud!C87</f>
        <v>P-1-N-020920-2572</v>
      </c>
    </row>
    <row r="88">
      <c r="A88" s="133" t="str">
        <f>Saud!F88</f>
        <v>Profine Cat Derma Adult Salmon 2 KG</v>
      </c>
      <c r="B88" s="133" t="str">
        <f>Saud!E88</f>
        <v>تمت طباعة الشهادة</v>
      </c>
      <c r="C88" s="133" t="str">
        <f>Saud!C88</f>
        <v>P-1-N-020920-2573</v>
      </c>
    </row>
    <row r="89">
      <c r="A89" s="133" t="str">
        <f>Saud!F89</f>
        <v>Profine Cat Derma Adult Salmon 2 KG</v>
      </c>
      <c r="B89" s="133" t="str">
        <f>Saud!E89</f>
        <v>تمت طباعة الشهادة</v>
      </c>
      <c r="C89" s="133" t="str">
        <f>Saud!C89</f>
        <v>P-1-N-020920-2574</v>
      </c>
    </row>
    <row r="90">
      <c r="A90" s="133" t="str">
        <f>Saud!F90</f>
        <v>Profine Cat Derma Adult Salmon 10 KG</v>
      </c>
      <c r="B90" s="133" t="str">
        <f>Saud!E90</f>
        <v>تمت طباعة الشهادة</v>
      </c>
      <c r="C90" s="133" t="str">
        <f>Saud!C90</f>
        <v>P-1-N-020920-2575</v>
      </c>
    </row>
    <row r="91">
      <c r="A91" s="133" t="str">
        <f>Saud!F91</f>
        <v>Profine Cat Derma Adult Salmon 300 g</v>
      </c>
      <c r="B91" s="133" t="str">
        <f>Saud!E91</f>
        <v>تمت طباعة الشهادة</v>
      </c>
      <c r="C91" s="133" t="str">
        <f>Saud!C91</f>
        <v>P-1-N-020920-2576</v>
      </c>
    </row>
    <row r="92">
      <c r="A92" s="133" t="str">
        <f>Saud!F92</f>
        <v>Profine Cat Original Adult Chincken 2 Kg</v>
      </c>
      <c r="B92" s="133" t="str">
        <f>Saud!E92</f>
        <v>تمت طباعة الشهادة</v>
      </c>
      <c r="C92" s="133" t="str">
        <f>Saud!C92</f>
        <v>P-1-N-020920-2578</v>
      </c>
    </row>
    <row r="93">
      <c r="A93" s="133" t="str">
        <f>Saud!F93</f>
        <v>Profine Cat Original Adult Chicken 10 KG</v>
      </c>
      <c r="B93" s="133" t="str">
        <f>Saud!E93</f>
        <v>تمت طباعة الشهادة</v>
      </c>
      <c r="C93" s="133" t="str">
        <f>Saud!C93</f>
        <v>P-1-N-020920-2579</v>
      </c>
    </row>
    <row r="94">
      <c r="A94" s="133" t="str">
        <f>Saud!F94</f>
        <v>Profine Cat Original Adult Chicken 300 g</v>
      </c>
      <c r="B94" s="133" t="str">
        <f>Saud!E94</f>
        <v>تمت طباعة الشهادة</v>
      </c>
      <c r="C94" s="133" t="str">
        <f>Saud!C94</f>
        <v>P-1-N-020920-2580</v>
      </c>
    </row>
    <row r="95">
      <c r="A95" s="133" t="str">
        <f>Saud!F95</f>
        <v>VETIQ Defurr-um 70g</v>
      </c>
      <c r="B95" s="133" t="str">
        <f>Saud!E95</f>
        <v>تمت طباعة الشهادة</v>
      </c>
      <c r="C95" s="133" t="str">
        <f>Saud!C95</f>
        <v>P-1-N-030920-2583</v>
      </c>
    </row>
    <row r="96">
      <c r="A96" s="133" t="str">
        <f>Saud!F96</f>
        <v>VETIQ Urinary Care Paste 100g</v>
      </c>
      <c r="B96" s="133" t="str">
        <f>Saud!E96</f>
        <v>تمت طباعة الشهادة</v>
      </c>
      <c r="C96" s="133" t="str">
        <f>Saud!C96</f>
        <v>P-1-N-030920-2587</v>
      </c>
    </row>
    <row r="97">
      <c r="A97" s="133" t="str">
        <f>Saud!F97</f>
        <v>VetIQ Skin and Coat Liquid 250ml</v>
      </c>
      <c r="B97" s="133" t="str">
        <f>Saud!E97</f>
        <v>تمت طباعة الشهادة</v>
      </c>
      <c r="C97" s="133" t="str">
        <f>Saud!C97</f>
        <v>P-1-N-030920-2589</v>
      </c>
    </row>
    <row r="98">
      <c r="A98" s="133" t="str">
        <f>Saud!F98</f>
        <v>VetIQ Nutri-Vit Plus Cat 70g</v>
      </c>
      <c r="B98" s="133" t="str">
        <f>Saud!E98</f>
        <v>تمت طباعة الشهادة</v>
      </c>
      <c r="C98" s="133" t="str">
        <f>Saud!C98</f>
        <v>P-1-N-030920-2590</v>
      </c>
    </row>
    <row r="99">
      <c r="A99" s="133" t="str">
        <f>Saud!F99</f>
        <v>VetIQ Nutri-Vit Plus Dog 100g</v>
      </c>
      <c r="B99" s="133" t="str">
        <f>Saud!E99</f>
        <v>تمت طباعة الشهادة</v>
      </c>
      <c r="C99" s="133" t="str">
        <f>Saud!C99</f>
        <v>P-1-N-030920-2592</v>
      </c>
    </row>
    <row r="100">
      <c r="A100" s="133" t="str">
        <f>Saud!F100</f>
        <v>VetIQ Megavit 30 Tablets 88g</v>
      </c>
      <c r="B100" s="133" t="str">
        <f>Saud!E100</f>
        <v>تمت طباعة الشهادة</v>
      </c>
      <c r="C100" s="133" t="str">
        <f>Saud!C100</f>
        <v>P-1-N-030920-2593</v>
      </c>
    </row>
    <row r="101">
      <c r="A101" s="133" t="str">
        <f>Saud!F101</f>
        <v>VetIQ Kalsium Plus 60 Tabletss 76g</v>
      </c>
      <c r="B101" s="133" t="str">
        <f>Saud!E101</f>
        <v>تمت طباعة الشهادة</v>
      </c>
      <c r="C101" s="133" t="str">
        <f>Saud!C101</f>
        <v>P-1-N-030920-2594</v>
      </c>
    </row>
    <row r="102">
      <c r="A102" s="133" t="str">
        <f>Saud!F102</f>
        <v>Applaws Adult Cat Chicken with Extra Salmon 2 kg</v>
      </c>
      <c r="B102" s="133" t="str">
        <f>Saud!E102</f>
        <v>تمت طباعة الشهادة</v>
      </c>
      <c r="C102" s="133" t="str">
        <f>Saud!C102</f>
        <v>P-1-N-060920-2630</v>
      </c>
    </row>
    <row r="103">
      <c r="A103" s="133" t="str">
        <f>Saud!F103</f>
        <v>Applaws Adult Cat Chicken with Extra Salmon 7.5 kg</v>
      </c>
      <c r="B103" s="133" t="str">
        <f>Saud!E103</f>
        <v>تمت طباعة الشهادة</v>
      </c>
      <c r="C103" s="133" t="str">
        <f>Saud!C103</f>
        <v>P-1-N-070920-2656</v>
      </c>
    </row>
    <row r="104">
      <c r="A104" s="133" t="str">
        <f>Saud!F104</f>
        <v>Applaws Senior Cat Chicken 7.5 kg</v>
      </c>
      <c r="B104" s="133" t="str">
        <f>Saud!E104</f>
        <v>تمت طباعة الشهادة</v>
      </c>
      <c r="C104" s="133" t="str">
        <f>Saud!C104</f>
        <v>P-1-N-070920-2657</v>
      </c>
    </row>
    <row r="105">
      <c r="A105" s="133" t="str">
        <f>Saud!F105</f>
        <v>Prestige Loro Parque Australian Parakeet 1 KG</v>
      </c>
      <c r="B105" s="133" t="str">
        <f>Saud!E105</f>
        <v>تمت طباعة الشهادة</v>
      </c>
      <c r="C105" s="133" t="str">
        <f>Saud!C105</f>
        <v>P-1-N-070920-2659</v>
      </c>
    </row>
    <row r="106">
      <c r="A106" s="133" t="str">
        <f>Saud!F106</f>
        <v>Prestige Loro Parque Australian Parakeet 2.50 KG</v>
      </c>
      <c r="B106" s="133" t="str">
        <f>Saud!E106</f>
        <v>تمت طباعة الشهادة</v>
      </c>
      <c r="C106" s="133" t="str">
        <f>Saud!C106</f>
        <v>P-1-N-070920-2660</v>
      </c>
    </row>
    <row r="107">
      <c r="A107" s="133" t="str">
        <f>Saud!F107</f>
        <v>Gistocal 250g</v>
      </c>
      <c r="B107" s="133" t="str">
        <f>Saud!E107</f>
        <v>تمت طباعة الشهادة</v>
      </c>
      <c r="C107" s="133" t="str">
        <f>Saud!C107</f>
        <v>P-1-N-070920-2661</v>
      </c>
    </row>
    <row r="108">
      <c r="A108" s="133" t="str">
        <f>Saud!F108</f>
        <v>Prestige Loro Parque Australian Parakeet 20 KG</v>
      </c>
      <c r="B108" s="133" t="str">
        <f>Saud!E108</f>
        <v>تمت طباعة الشهادة</v>
      </c>
      <c r="C108" s="133" t="str">
        <f>Saud!C108</f>
        <v>P-1-N-070920-2662</v>
      </c>
    </row>
    <row r="109">
      <c r="A109" s="133" t="str">
        <f>Saud!F109</f>
        <v>Kit cat Purr Puree Plus Joint care (Tuna &amp; Glucosamine) 60g</v>
      </c>
      <c r="B109" s="133" t="str">
        <f>Saud!E109</f>
        <v>تمت طباعة الشهادة</v>
      </c>
      <c r="C109" s="133" t="str">
        <f>Saud!C109</f>
        <v>P-1-N-070920-2677</v>
      </c>
    </row>
    <row r="110">
      <c r="A110" s="133" t="str">
        <f>Saud!F110</f>
        <v>Hamster Vitamin Solution 75ml</v>
      </c>
      <c r="B110" s="133" t="str">
        <f>Saud!E110</f>
        <v>تمت طباعة الشهادة</v>
      </c>
      <c r="C110" s="133" t="str">
        <f>Saud!C110</f>
        <v>P-1-N-080920-2696</v>
      </c>
    </row>
    <row r="111">
      <c r="A111" s="133" t="str">
        <f>Saud!F111</f>
        <v>Poultry Paste 100g</v>
      </c>
      <c r="B111" s="133" t="str">
        <f>Saud!E111</f>
        <v>تمت طباعة الشهادة</v>
      </c>
      <c r="C111" s="133" t="str">
        <f>Saud!C111</f>
        <v>P-1-N-080920-2697</v>
      </c>
    </row>
    <row r="112">
      <c r="A112" s="133" t="str">
        <f>Saud!F112</f>
        <v>Salmon Oil Paste100g</v>
      </c>
      <c r="B112" s="133" t="str">
        <f>Saud!E112</f>
        <v>تمت طباعة الشهادة</v>
      </c>
      <c r="C112" s="133" t="str">
        <f>Saud!C112</f>
        <v>P-1-N-080920-2699</v>
      </c>
    </row>
    <row r="113">
      <c r="A113" s="133" t="str">
        <f>Saud!F113</f>
        <v>Multi Vitamin Paste Duo-active Cat 100g</v>
      </c>
      <c r="B113" s="133" t="str">
        <f>Saud!E113</f>
        <v>تمت طباعة الشهادة</v>
      </c>
      <c r="C113" s="133" t="str">
        <f>Saud!C113</f>
        <v>P-1-N-080920-2700</v>
      </c>
    </row>
    <row r="114">
      <c r="A114" s="133" t="str">
        <f>Saud!F114</f>
        <v>Multi Vitamin Paste Dog 100g</v>
      </c>
      <c r="B114" s="133" t="str">
        <f>Saud!E114</f>
        <v>تمت طباعة الشهادة</v>
      </c>
      <c r="C114" s="133" t="str">
        <f>Saud!C114</f>
        <v>P-1-N-080920-2701</v>
      </c>
    </row>
    <row r="115">
      <c r="A115" s="133" t="str">
        <f>Saud!F115</f>
        <v>Vitamine A Bird 20ml</v>
      </c>
      <c r="B115" s="133" t="str">
        <f>Saud!E115</f>
        <v>تمت طباعة الشهادة</v>
      </c>
      <c r="C115" s="133" t="str">
        <f>Saud!C115</f>
        <v>P-1-N-080920-2706</v>
      </c>
    </row>
    <row r="116">
      <c r="A116" s="133" t="str">
        <f>Saud!F116</f>
        <v>Multi-Vit Parrots and Parakeets 20ml</v>
      </c>
      <c r="B116" s="133" t="str">
        <f>Saud!E116</f>
        <v>تمت طباعة الشهادة</v>
      </c>
      <c r="C116" s="133" t="str">
        <f>Saud!C116</f>
        <v>P-1-N-080920-2711</v>
      </c>
    </row>
    <row r="117">
      <c r="A117" s="133" t="str">
        <f>Saud!F117</f>
        <v>Vitamine B 50ml</v>
      </c>
      <c r="B117" s="133" t="str">
        <f>Saud!E117</f>
        <v>تمت طباعة الشهادة</v>
      </c>
      <c r="C117" s="133" t="str">
        <f>Saud!C117</f>
        <v>P-1-N-080920-2715</v>
      </c>
    </row>
    <row r="118">
      <c r="A118" s="133" t="str">
        <f>Saud!F118</f>
        <v>Prestige Loro Parque Australian Parrot 1 KG</v>
      </c>
      <c r="B118" s="133" t="str">
        <f>Saud!E118</f>
        <v>تمت طباعة الشهادة</v>
      </c>
      <c r="C118" s="133" t="str">
        <f>Saud!C118</f>
        <v>P-1-N-080920-2738</v>
      </c>
    </row>
    <row r="119">
      <c r="A119" s="133" t="str">
        <f>Saud!F119</f>
        <v>Prestige Loro Parque Amazone Parrot 1 KG</v>
      </c>
      <c r="B119" s="133" t="str">
        <f>Saud!E119</f>
        <v>تمت طباعة الشهادة</v>
      </c>
      <c r="C119" s="133" t="str">
        <f>Saud!C119</f>
        <v>P-1-N-080920-2740</v>
      </c>
    </row>
    <row r="120">
      <c r="A120" s="133" t="str">
        <f>Saud!F120</f>
        <v>Prestige Loro Parque African Parrot 1 KG</v>
      </c>
      <c r="B120" s="133" t="str">
        <f>Saud!E120</f>
        <v>تمت طباعة الشهادة</v>
      </c>
      <c r="C120" s="133" t="str">
        <f>Saud!C120</f>
        <v>P-1-N-080920-2743</v>
      </c>
    </row>
    <row r="121">
      <c r="A121" s="133" t="str">
        <f>Saud!F121</f>
        <v>Prestige Loro Parque African Parrot 2.50 KG</v>
      </c>
      <c r="B121" s="133" t="str">
        <f>Saud!E121</f>
        <v>تمت طباعة الشهادة</v>
      </c>
      <c r="C121" s="133" t="str">
        <f>Saud!C121</f>
        <v>P-1-N-080920-2746</v>
      </c>
    </row>
    <row r="122">
      <c r="A122" s="133" t="str">
        <f>Saud!F122</f>
        <v>Kitcat classic 32 1.20 kg</v>
      </c>
      <c r="B122" s="133" t="str">
        <f>Saud!E122</f>
        <v>تمت طباعة الشهادة</v>
      </c>
      <c r="C122" s="133" t="str">
        <f>Saud!C122</f>
        <v>P-1-N-120920-2863</v>
      </c>
    </row>
    <row r="123">
      <c r="A123" s="133" t="str">
        <f>Saud!F123</f>
        <v>Top 10 Cat 150g</v>
      </c>
      <c r="B123" s="133" t="str">
        <f>Saud!E123</f>
        <v>REJECTED</v>
      </c>
      <c r="C123" s="133" t="str">
        <f>Saud!C123</f>
        <v>P-1-N-130920-2879</v>
      </c>
    </row>
    <row r="124">
      <c r="A124" s="133" t="str">
        <f>Saud!F124</f>
        <v>Top 10 Dog 118g</v>
      </c>
      <c r="B124" s="133" t="str">
        <f>Saud!E124</f>
        <v>REJECTED</v>
      </c>
      <c r="C124" s="133" t="str">
        <f>Saud!C124</f>
        <v>P-1-N-130920-2880</v>
      </c>
    </row>
    <row r="125">
      <c r="A125" s="133" t="str">
        <f>Saud!F125</f>
        <v>Multi-Vit Birds 20ml</v>
      </c>
      <c r="B125" s="133" t="str">
        <f>Saud!E125</f>
        <v>تمت طباعة الشهادة</v>
      </c>
      <c r="C125" s="133" t="str">
        <f>Saud!C125</f>
        <v>P-1-N-130920-2882</v>
      </c>
    </row>
    <row r="126">
      <c r="A126" s="133" t="str">
        <f>Saud!F126</f>
        <v>NAME EN</v>
      </c>
      <c r="B126" s="133" t="str">
        <f>Saud!E126</f>
        <v>تمت طباعة الشهادة</v>
      </c>
      <c r="C126" s="133" t="str">
        <f>Saud!C126</f>
        <v>P-1-N-130920-2885</v>
      </c>
    </row>
    <row r="127">
      <c r="A127" s="133" t="str">
        <f>Saud!F127</f>
        <v>Laveta Super Multi-vitamin + Taurin 50ml</v>
      </c>
      <c r="B127" s="133" t="str">
        <f>Saud!E127</f>
        <v>REJECTED</v>
      </c>
      <c r="C127" s="133" t="str">
        <f>Saud!C127</f>
        <v>P-1-N-130920-2886</v>
      </c>
    </row>
    <row r="128">
      <c r="A128" s="133" t="str">
        <f>Saud!F128</f>
        <v>Laveta Super Multi-vitamin + Carnitine 50ml</v>
      </c>
      <c r="B128" s="133" t="str">
        <f>Saud!E128</f>
        <v>تمت طباعة الشهادة</v>
      </c>
      <c r="C128" s="133" t="str">
        <f>Saud!C128</f>
        <v>P-1-N-130920-2887</v>
      </c>
    </row>
    <row r="129">
      <c r="A129" s="133" t="str">
        <f>Saud!F129</f>
        <v>Junior Paste Duo-Active 100g</v>
      </c>
      <c r="B129" s="133" t="str">
        <f>Saud!E129</f>
        <v>تمت طباعة الشهادة</v>
      </c>
      <c r="C129" s="133" t="str">
        <f>Saud!C129</f>
        <v>P-1-N-130920-2888</v>
      </c>
    </row>
    <row r="130">
      <c r="A130" s="133" t="str">
        <f>Saud!F130</f>
        <v>Dental Sticks M/L 182g</v>
      </c>
      <c r="B130" s="133" t="str">
        <f>Saud!E130</f>
        <v>تمت طباعة الشهادة</v>
      </c>
      <c r="C130" s="133" t="str">
        <f>Saud!C130</f>
        <v>P-1-N-130920-2889</v>
      </c>
    </row>
    <row r="131">
      <c r="A131" s="133" t="str">
        <f>Saud!F131</f>
        <v>Dental Sticks Small 112g</v>
      </c>
      <c r="B131" s="133" t="str">
        <f>Saud!E131</f>
        <v>تمت طباعة الشهادة</v>
      </c>
      <c r="C131" s="133" t="str">
        <f>Saud!C131</f>
        <v>P-1-N-130920-2890</v>
      </c>
    </row>
    <row r="132">
      <c r="A132" s="133" t="str">
        <f>Saud!F132</f>
        <v>Beaphar Lactol Kitten Milk 250g</v>
      </c>
      <c r="B132" s="133" t="str">
        <f>Saud!E132</f>
        <v>تمت طباعة الشهادة</v>
      </c>
      <c r="C132" s="133" t="str">
        <f>Saud!C132</f>
        <v>P-1-N-130920-2891</v>
      </c>
    </row>
    <row r="133">
      <c r="A133" s="133" t="str">
        <f>Saud!F133</f>
        <v>Beaphar Lactol Puppy Milk 250g</v>
      </c>
      <c r="B133" s="133" t="str">
        <f>Saud!E133</f>
        <v>تمت طباعة الشهادة</v>
      </c>
      <c r="C133" s="133" t="str">
        <f>Saud!C133</f>
        <v>P-1-N-130920-2893</v>
      </c>
    </row>
    <row r="134">
      <c r="A134" s="133" t="str">
        <f>Saud!F134</f>
        <v>Applaws Senior Cat Chicken 2 kg</v>
      </c>
      <c r="B134" s="133" t="str">
        <f>Saud!E134</f>
        <v>تمت طباعة الشهادة</v>
      </c>
      <c r="C134" s="133" t="str">
        <f>Saud!C134</f>
        <v>P-1-N-130920-2898</v>
      </c>
    </row>
    <row r="135">
      <c r="A135" s="133" t="str">
        <f>Saud!F135</f>
        <v>Grilled Chicken fillet in crab flavored broth 25 g</v>
      </c>
      <c r="B135" s="133" t="str">
        <f>Saud!E135</f>
        <v>تمت طباعة الشهادة</v>
      </c>
      <c r="C135" s="133" t="str">
        <f>Saud!C135</f>
        <v>P-1-N-140920-2908</v>
      </c>
    </row>
    <row r="136">
      <c r="A136" s="133" t="str">
        <f>Saud!F136</f>
        <v>Grilled Chicken fillet in chicken flavored broth 25 g</v>
      </c>
      <c r="B136" s="133" t="str">
        <f>Saud!E136</f>
        <v>تمت طباعة الشهادة</v>
      </c>
      <c r="C136" s="133" t="str">
        <f>Saud!C136</f>
        <v>P-1-N-140920-2909</v>
      </c>
    </row>
    <row r="137">
      <c r="A137" s="133" t="str">
        <f>Saud!F137</f>
        <v>Grilled Chicken fillet extra tender in crab flavored broth 25 g</v>
      </c>
      <c r="B137" s="133" t="str">
        <f>Saud!E137</f>
        <v>تمت طباعة الشهادة</v>
      </c>
      <c r="C137" s="133" t="str">
        <f>Saud!C137</f>
        <v>P-1-N-140920-2910</v>
      </c>
    </row>
    <row r="138">
      <c r="A138" s="133" t="str">
        <f>Saud!F138</f>
        <v>Grilled Chicken fillet in scallop flavored broth 25 g</v>
      </c>
      <c r="B138" s="133" t="str">
        <f>Saud!E138</f>
        <v>تمت طباعة الشهادة</v>
      </c>
      <c r="C138" s="133" t="str">
        <f>Saud!C138</f>
        <v>P-1-N-140920-2911</v>
      </c>
    </row>
    <row r="139">
      <c r="A139" s="133" t="str">
        <f>Saud!F139</f>
        <v>Grilled Chicken fillet in Shrimp flavored broth 25 g</v>
      </c>
      <c r="B139" s="133" t="str">
        <f>Saud!E139</f>
        <v>تمت طباعة الشهادة</v>
      </c>
      <c r="C139" s="133" t="str">
        <f>Saud!C139</f>
        <v>P-1-N-140920-2912</v>
      </c>
    </row>
    <row r="140">
      <c r="A140" s="133" t="str">
        <f>Saud!F140</f>
        <v>CHURU Tuna recipe 56g</v>
      </c>
      <c r="B140" s="133" t="str">
        <f>Saud!E140</f>
        <v>تمت طباعة الشهادة</v>
      </c>
      <c r="C140" s="133" t="str">
        <f>Saud!C140</f>
        <v>P-1-N-140920-2913</v>
      </c>
    </row>
    <row r="141">
      <c r="A141" s="133" t="str">
        <f>Saud!F141</f>
        <v>CHURU Tuna with chicken 56g</v>
      </c>
      <c r="B141" s="133" t="str">
        <f>Saud!E141</f>
        <v>تمت طباعة الشهادة</v>
      </c>
      <c r="C141" s="133" t="str">
        <f>Saud!C141</f>
        <v>P-1-N-140920-2914</v>
      </c>
    </row>
    <row r="142">
      <c r="A142" s="133" t="str">
        <f>Saud!F142</f>
        <v>CHURU Chicken recipe 56g</v>
      </c>
      <c r="B142" s="133" t="str">
        <f>Saud!E142</f>
        <v>تمت طباعة الشهادة</v>
      </c>
      <c r="C142" s="133" t="str">
        <f>Saud!C142</f>
        <v>P-1-N-140920-2915</v>
      </c>
    </row>
    <row r="143">
      <c r="A143" s="133" t="str">
        <f>Saud!F143</f>
        <v>CHURU Tuna with scallop recipe 56g</v>
      </c>
      <c r="B143" s="133" t="str">
        <f>Saud!E143</f>
        <v>تمت طباعة الشهادة</v>
      </c>
      <c r="C143" s="133" t="str">
        <f>Saud!C143</f>
        <v>P-1-N-140920-2916</v>
      </c>
    </row>
    <row r="144">
      <c r="A144" s="133" t="str">
        <f>Saud!F144</f>
        <v>CHURU Chicken with scallop recipe 56g</v>
      </c>
      <c r="B144" s="133" t="str">
        <f>Saud!E144</f>
        <v>تمت طباعة الشهادة</v>
      </c>
      <c r="C144" s="133" t="str">
        <f>Saud!C144</f>
        <v>P-1-N-140920-2917</v>
      </c>
    </row>
    <row r="145">
      <c r="A145" s="133" t="str">
        <f>Saud!F145</f>
        <v>CHURU Tuna with salmon recipe 56g</v>
      </c>
      <c r="B145" s="133" t="str">
        <f>Saud!E145</f>
        <v>تمت طباعة الشهادة</v>
      </c>
      <c r="C145" s="133" t="str">
        <f>Saud!C145</f>
        <v>P-1-N-140920-2919</v>
      </c>
    </row>
    <row r="146">
      <c r="A146" s="133" t="str">
        <f>Saud!F146</f>
        <v>CHURU Chicken with cheese recipe 56g</v>
      </c>
      <c r="B146" s="133" t="str">
        <f>Saud!E146</f>
        <v>تمت طباعة الشهادة</v>
      </c>
      <c r="C146" s="133" t="str">
        <f>Saud!C146</f>
        <v>P-1-N-140920-2921</v>
      </c>
    </row>
    <row r="147">
      <c r="A147" s="133" t="str">
        <f>Saud!F147</f>
        <v>CHURU Chicken with shrimp flavored recipe 56g</v>
      </c>
      <c r="B147" s="133" t="str">
        <f>Saud!E147</f>
        <v>تمت طباعة الشهادة</v>
      </c>
      <c r="C147" s="133" t="str">
        <f>Saud!C147</f>
        <v>P-1-N-140920-2922</v>
      </c>
    </row>
    <row r="148">
      <c r="A148" s="133" t="str">
        <f>Saud!F148</f>
        <v>CHURU Chicken with crab flavor recipe 56g</v>
      </c>
      <c r="B148" s="133" t="str">
        <f>Saud!E148</f>
        <v>تمت طباعة الشهادة</v>
      </c>
      <c r="C148" s="133" t="str">
        <f>Saud!C148</f>
        <v>P-1-N-140920-2924</v>
      </c>
    </row>
    <row r="149">
      <c r="A149" s="133" t="str">
        <f>Saud!F149</f>
        <v>Applaws Cat Chicken with Lamb 7.5 kg</v>
      </c>
      <c r="B149" s="133" t="str">
        <f>Saud!E149</f>
        <v>تمت طباعة الشهادة</v>
      </c>
      <c r="C149" s="133" t="str">
        <f>Saud!C149</f>
        <v>P-1-N-140920-2928</v>
      </c>
    </row>
    <row r="150">
      <c r="A150" s="133" t="str">
        <f>Saud!F150</f>
        <v>CHURU Bites chicken recipe wraps tuna recipe 30 g</v>
      </c>
      <c r="B150" s="133" t="str">
        <f>Saud!E150</f>
        <v>تمت طباعة الشهادة</v>
      </c>
      <c r="C150" s="133" t="str">
        <f>Saud!C150</f>
        <v>P-1-N-140920-2929</v>
      </c>
    </row>
    <row r="151">
      <c r="A151" s="133" t="str">
        <f>Saud!F151</f>
        <v>CHURU Bites chicken recipe wraps tuna with scallop recipe 30g</v>
      </c>
      <c r="B151" s="133" t="str">
        <f>Saud!E151</f>
        <v>تمت طباعة الشهادة</v>
      </c>
      <c r="C151" s="133" t="str">
        <f>Saud!C151</f>
        <v>P-1-N-140920-2930</v>
      </c>
    </row>
    <row r="152">
      <c r="A152" s="133" t="str">
        <f>Saud!F152</f>
        <v>CHURU Bites chicken recipe wraps tuna with salmon recipe 30g</v>
      </c>
      <c r="B152" s="133" t="str">
        <f>Saud!E152</f>
        <v>تمت طباعة الشهادة</v>
      </c>
      <c r="C152" s="133" t="str">
        <f>Saud!C152</f>
        <v>P-1-N-140920-2931</v>
      </c>
    </row>
    <row r="153">
      <c r="A153" s="133" t="str">
        <f>Saud!F153</f>
        <v>CHURU Bites chicken recipe wraps chicken recipe 30g</v>
      </c>
      <c r="B153" s="133" t="str">
        <f>Saud!E153</f>
        <v>تمت طباعة الشهادة</v>
      </c>
      <c r="C153" s="133" t="str">
        <f>Saud!C153</f>
        <v>P-1-N-140920-2932</v>
      </c>
    </row>
    <row r="154">
      <c r="A154" s="133" t="str">
        <f>Saud!F154</f>
        <v>Dog CHURU chicken recipe 160g</v>
      </c>
      <c r="B154" s="133" t="str">
        <f>Saud!E154</f>
        <v>تمت طباعة الشهادة</v>
      </c>
      <c r="C154" s="133" t="str">
        <f>Saud!C154</f>
        <v>P-1-N-140920-2933</v>
      </c>
    </row>
    <row r="155">
      <c r="A155" s="133" t="str">
        <f>Saud!F155</f>
        <v>Dog CHURU chicken with tuna recipe 160g</v>
      </c>
      <c r="B155" s="133" t="str">
        <f>Saud!E155</f>
        <v>تمت طباعة الشهادة</v>
      </c>
      <c r="C155" s="133" t="str">
        <f>Saud!C155</f>
        <v>P-1-N-140920-2934</v>
      </c>
    </row>
    <row r="156">
      <c r="A156" s="133" t="str">
        <f>Saud!F156</f>
        <v>Dog CHURU chicken with salmon recipe 160g</v>
      </c>
      <c r="B156" s="133" t="str">
        <f>Saud!E156</f>
        <v>تمت طباعة الشهادة</v>
      </c>
      <c r="C156" s="133" t="str">
        <f>Saud!C156</f>
        <v>P-1-N-140920-2935</v>
      </c>
    </row>
    <row r="157">
      <c r="A157" s="133" t="str">
        <f>Saud!F157</f>
        <v>Dog CHURU chicken with cheese recipe 160g</v>
      </c>
      <c r="B157" s="133" t="str">
        <f>Saud!E157</f>
        <v>تمت طباعة الشهادة</v>
      </c>
      <c r="C157" s="133" t="str">
        <f>Saud!C157</f>
        <v>P-1-N-140920-2936</v>
      </c>
    </row>
    <row r="158">
      <c r="A158" s="133" t="str">
        <f>Saud!F158</f>
        <v>Dog CHURU chicken with vegetable recipe 160g</v>
      </c>
      <c r="B158" s="133" t="str">
        <f>Saud!E158</f>
        <v>تمت طباعة الشهادة</v>
      </c>
      <c r="C158" s="133" t="str">
        <f>Saud!C158</f>
        <v>P-1-N-140920-2937</v>
      </c>
    </row>
    <row r="159">
      <c r="A159" s="133" t="str">
        <f>Saud!F159</f>
        <v>CHURU POPS tuna recipe 60g</v>
      </c>
      <c r="B159" s="133" t="str">
        <f>Saud!E159</f>
        <v>تمت طباعة الشهادة</v>
      </c>
      <c r="C159" s="133" t="str">
        <f>Saud!C159</f>
        <v>P-1-N-140920-2938</v>
      </c>
    </row>
    <row r="160">
      <c r="A160" s="133" t="str">
        <f>Saud!F160</f>
        <v>CHURU POPS chicken recipe 60g</v>
      </c>
      <c r="B160" s="133" t="str">
        <f>Saud!E160</f>
        <v>تمت طباعة الشهادة</v>
      </c>
      <c r="C160" s="133" t="str">
        <f>Saud!C160</f>
        <v>P-1-N-140920-2939</v>
      </c>
    </row>
    <row r="161">
      <c r="A161" s="133" t="str">
        <f>Saud!F161</f>
        <v>CHURU POPS Tuna with chicken recipe 60g</v>
      </c>
      <c r="B161" s="133" t="str">
        <f>Saud!E161</f>
        <v>تمت طباعة الشهادة</v>
      </c>
      <c r="C161" s="133" t="str">
        <f>Saud!C161</f>
        <v>P-1-N-140920-2940</v>
      </c>
    </row>
    <row r="162">
      <c r="A162" s="133" t="str">
        <f>Saud!F162</f>
        <v>CHURU Rolls chicken recipe wraps tuna recipe 40g</v>
      </c>
      <c r="B162" s="133" t="str">
        <f>Saud!E162</f>
        <v>تمت طباعة الشهادة</v>
      </c>
      <c r="C162" s="133" t="str">
        <f>Saud!C162</f>
        <v>P-1-N-140920-2941</v>
      </c>
    </row>
    <row r="163">
      <c r="A163" s="133" t="str">
        <f>Saud!F163</f>
        <v>CHURU Rolls chicken recipe wraps tuna with scallop recipe 40g</v>
      </c>
      <c r="B163" s="133" t="str">
        <f>Saud!E163</f>
        <v>تمت طباعة الشهادة</v>
      </c>
      <c r="C163" s="133" t="str">
        <f>Saud!C163</f>
        <v>P-1-N-140920-2942</v>
      </c>
    </row>
    <row r="164">
      <c r="A164" s="133" t="str">
        <f>Saud!F164</f>
        <v>CHURU Rolls chicken recipe wraps chicken recipe 40g</v>
      </c>
      <c r="B164" s="133" t="str">
        <f>Saud!E164</f>
        <v>تمت طباعة الشهادة</v>
      </c>
      <c r="C164" s="133" t="str">
        <f>Saud!C164</f>
        <v>P-1-N-140920-2943</v>
      </c>
    </row>
    <row r="165">
      <c r="A165" s="133" t="str">
        <f>Saud!F165</f>
        <v>Juicy Bites tuna &amp; chicken flavor 33.9g</v>
      </c>
      <c r="B165" s="133" t="str">
        <f>Saud!E165</f>
        <v>تمت طباعة الشهادة</v>
      </c>
      <c r="C165" s="133" t="str">
        <f>Saud!C165</f>
        <v>P-1-N-140920-2944</v>
      </c>
    </row>
    <row r="166">
      <c r="A166" s="133" t="str">
        <f>Saud!F166</f>
        <v>Juicy Bites fish &amp; clam flavor 33.9g</v>
      </c>
      <c r="B166" s="133" t="str">
        <f>Saud!E166</f>
        <v>تمت طباعة الشهادة</v>
      </c>
      <c r="C166" s="133" t="str">
        <f>Saud!C166</f>
        <v>P-1-N-140920-2945</v>
      </c>
    </row>
    <row r="167">
      <c r="A167" s="133" t="str">
        <f>Saud!F167</f>
        <v>Juicy Bites scallop &amp; crab flavor 33.9g</v>
      </c>
      <c r="B167" s="133" t="str">
        <f>Saud!E167</f>
        <v>تمت طباعة الشهادة</v>
      </c>
      <c r="C167" s="133" t="str">
        <f>Saud!C167</f>
        <v>P-1-N-140920-2946</v>
      </c>
    </row>
    <row r="168">
      <c r="A168" s="133" t="str">
        <f>Saud!F168</f>
        <v>Juicy Bites shrimp &amp; seafood mix flavor 33.9g</v>
      </c>
      <c r="B168" s="133" t="str">
        <f>Saud!E168</f>
        <v>تمت طباعة الشهادة</v>
      </c>
      <c r="C168" s="133" t="str">
        <f>Saud!C168</f>
        <v>P-1-N-140920-2947</v>
      </c>
    </row>
    <row r="169">
      <c r="A169" s="133" t="str">
        <f>Saud!F169</f>
        <v>Juicy Bites homestyle broth &amp; calamari flavor 33.9g</v>
      </c>
      <c r="B169" s="133" t="str">
        <f>Saud!E169</f>
        <v>تمت طباعة الشهادة</v>
      </c>
      <c r="C169" s="133" t="str">
        <f>Saud!C169</f>
        <v>P-1-N-140920-2948</v>
      </c>
    </row>
    <row r="170">
      <c r="A170" s="133" t="str">
        <f>Saud!F170</f>
        <v>Grilled Tuna fillet in tuna flavored broth 25g</v>
      </c>
      <c r="B170" s="133" t="str">
        <f>Saud!E170</f>
        <v>تمت طباعة الشهادة</v>
      </c>
      <c r="C170" s="133" t="str">
        <f>Saud!C170</f>
        <v>P-1-N-140920-2949</v>
      </c>
    </row>
    <row r="171">
      <c r="A171" s="133" t="str">
        <f>Saud!F171</f>
        <v>Grilled Tuna fillet in scallop flavored broth 25g</v>
      </c>
      <c r="B171" s="133" t="str">
        <f>Saud!E171</f>
        <v>تمت طباعة الشهادة</v>
      </c>
      <c r="C171" s="133" t="str">
        <f>Saud!C171</f>
        <v>P-1-N-140920-2950</v>
      </c>
    </row>
    <row r="172">
      <c r="A172" s="133" t="str">
        <f>Saud!F172</f>
        <v>Grilled Tuna fillet in homestyle broth 25g</v>
      </c>
      <c r="B172" s="133" t="str">
        <f>Saud!E172</f>
        <v>تمت طباعة الشهادة</v>
      </c>
      <c r="C172" s="133" t="str">
        <f>Saud!C172</f>
        <v>P-1-N-140920-2951</v>
      </c>
    </row>
    <row r="173">
      <c r="A173" s="133" t="str">
        <f>Saud!F173</f>
        <v>Grilled Tuna fillet in crab flavored broth 25g</v>
      </c>
      <c r="B173" s="133" t="str">
        <f>Saud!E173</f>
        <v>تمت طباعة الشهادة</v>
      </c>
      <c r="C173" s="133" t="str">
        <f>Saud!C173</f>
        <v>P-1-N-140920-2952</v>
      </c>
    </row>
    <row r="174">
      <c r="A174" s="133" t="str">
        <f>Saud!F174</f>
        <v>Grilled Tuna fillet extra tender in tuna flavored broth 25g</v>
      </c>
      <c r="B174" s="133" t="str">
        <f>Saud!E174</f>
        <v>تمت طباعة الشهادة</v>
      </c>
      <c r="C174" s="133" t="str">
        <f>Saud!C174</f>
        <v>P-1-N-140920-2953</v>
      </c>
    </row>
    <row r="175">
      <c r="A175" s="133" t="str">
        <f>Saud!F175</f>
        <v>Grilled Tuna fillet in shrimp flavored broth 25g</v>
      </c>
      <c r="B175" s="133" t="str">
        <f>Saud!E175</f>
        <v>تمت طباعة الشهادة</v>
      </c>
      <c r="C175" s="133" t="str">
        <f>Saud!C175</f>
        <v>P-1-N-140920-2954</v>
      </c>
    </row>
    <row r="176">
      <c r="A176" s="133" t="str">
        <f>Saud!F176</f>
        <v>Grilled Tuna fillet in calamari flavored 25g</v>
      </c>
      <c r="B176" s="133" t="str">
        <f>Saud!E176</f>
        <v>تمت طباعة الشهادة</v>
      </c>
      <c r="C176" s="133" t="str">
        <f>Saud!C176</f>
        <v>P-1-N-140920-2955</v>
      </c>
    </row>
    <row r="177">
      <c r="A177" s="133" t="str">
        <f>Saud!F177</f>
        <v>Healthy Bites Breath &amp; Dental for Cats &amp; Kittens 65g</v>
      </c>
      <c r="B177" s="133" t="str">
        <f>Saud!E177</f>
        <v>تمت طباعة الشهادة</v>
      </c>
      <c r="C177" s="133" t="str">
        <f>Saud!C177</f>
        <v>P-1-N-160920-3010</v>
      </c>
    </row>
    <row r="178">
      <c r="A178" s="133" t="str">
        <f>Saud!F178</f>
        <v>Applaws Adult Cat Chicken with Extra Duck 7.5 kg</v>
      </c>
      <c r="B178" s="133" t="str">
        <f>Saud!E178</f>
        <v>تمت طباعة الشهادة</v>
      </c>
      <c r="C178" s="133" t="str">
        <f>Saud!C178</f>
        <v>P-1-N-170920-3024</v>
      </c>
    </row>
    <row r="179">
      <c r="A179" s="133" t="str">
        <f>Saud!F179</f>
        <v>Applaws Adult Cat Chicken with Extra Duck 2 kg</v>
      </c>
      <c r="B179" s="133" t="str">
        <f>Saud!E179</f>
        <v>تمت طباعة الشهادة</v>
      </c>
      <c r="C179" s="133" t="str">
        <f>Saud!C179</f>
        <v>P-1-N-170920-3025</v>
      </c>
    </row>
    <row r="180">
      <c r="A180" s="133" t="str">
        <f>Saud!F180</f>
        <v>Applaws Senior Cat Chicken </v>
      </c>
      <c r="B180" s="133" t="str">
        <f>Saud!E180</f>
        <v>تمت طباعة الشهادة</v>
      </c>
      <c r="C180" s="133" t="str">
        <f>Saud!C180</f>
        <v>P-1-N-170920-3027</v>
      </c>
    </row>
    <row r="181">
      <c r="A181" s="133" t="str">
        <f>Saud!F181</f>
        <v>Applaws Adult Cat Chicken with Extra Duck </v>
      </c>
      <c r="B181" s="133" t="str">
        <f>Saud!E181</f>
        <v>تمت طباعة الشهادة</v>
      </c>
      <c r="C181" s="133" t="str">
        <f>Saud!C181</f>
        <v>P-1-N-170920-3028</v>
      </c>
    </row>
    <row r="182">
      <c r="A182" s="133" t="str">
        <f>Saud!F182</f>
        <v>Applaws Adult Cat Chicken 7.5 kg</v>
      </c>
      <c r="B182" s="133" t="str">
        <f>Saud!E182</f>
        <v>تمت طباعة الشهادة</v>
      </c>
      <c r="C182" s="133" t="str">
        <f>Saud!C182</f>
        <v>P-1-N-170920-3029</v>
      </c>
    </row>
    <row r="183">
      <c r="A183" s="133" t="str">
        <f>Saud!F183</f>
        <v>Applaws Adult Cat Chicken 2 kg</v>
      </c>
      <c r="B183" s="133" t="str">
        <f>Saud!E183</f>
        <v>تمت طباعة الشهادة</v>
      </c>
      <c r="C183" s="133" t="str">
        <f>Saud!C183</f>
        <v>P-1-N-170920-3030</v>
      </c>
    </row>
    <row r="184">
      <c r="A184" s="133" t="str">
        <f>Saud!F184</f>
        <v>Applaws Adult Cat Chicken </v>
      </c>
      <c r="B184" s="133" t="str">
        <f>Saud!E184</f>
        <v>تمت طباعة الشهادة</v>
      </c>
      <c r="C184" s="133" t="str">
        <f>Saud!C184</f>
        <v>P-1-N-170920-3032</v>
      </c>
    </row>
    <row r="185">
      <c r="A185" s="133" t="str">
        <f>Saud!F185</f>
        <v>Applaws Kitten Chicken 7.5 kg</v>
      </c>
      <c r="B185" s="133" t="str">
        <f>Saud!E185</f>
        <v>تمت طباعة الشهادة</v>
      </c>
      <c r="C185" s="133" t="str">
        <f>Saud!C185</f>
        <v>P-1-N-170920-3033</v>
      </c>
    </row>
    <row r="186">
      <c r="A186" s="133" t="str">
        <f>Saud!F186</f>
        <v>Applaws Kitten Chicken 2 kg</v>
      </c>
      <c r="B186" s="133" t="str">
        <f>Saud!E186</f>
        <v>تمت طباعة الشهادة</v>
      </c>
      <c r="C186" s="133" t="str">
        <f>Saud!C186</f>
        <v>P-1-N-170920-3034</v>
      </c>
    </row>
    <row r="187">
      <c r="A187" s="133" t="str">
        <f>Saud!F187</f>
        <v>Applaws Kitten Chicken </v>
      </c>
      <c r="B187" s="133" t="str">
        <f>Saud!E187</f>
        <v>تمت طباعة الشهادة</v>
      </c>
      <c r="C187" s="133" t="str">
        <f>Saud!C187</f>
        <v>P-1-N-170920-3035</v>
      </c>
    </row>
    <row r="188">
      <c r="A188" s="133" t="str">
        <f>Saud!F188</f>
        <v>Applaws Adult Cat Chicken with Extra Salmon </v>
      </c>
      <c r="B188" s="133" t="str">
        <f>Saud!E188</f>
        <v>تمت طباعة الشهادة</v>
      </c>
      <c r="C188" s="133" t="str">
        <f>Saud!C188</f>
        <v>P-1-N-170920-3036</v>
      </c>
    </row>
    <row r="189">
      <c r="A189" s="133" t="str">
        <f>Saud!F189</f>
        <v>Applaws Cat Chicken with Lamb 2 kg</v>
      </c>
      <c r="B189" s="133" t="str">
        <f>Saud!E189</f>
        <v>تمت طباعة الشهادة</v>
      </c>
      <c r="C189" s="133" t="str">
        <f>Saud!C189</f>
        <v>P-1-N-170920-3037</v>
      </c>
    </row>
    <row r="190">
      <c r="A190" s="133" t="str">
        <f>Saud!F190</f>
        <v>Applaws Cat Chicken with Lamb </v>
      </c>
      <c r="B190" s="133" t="str">
        <f>Saud!E190</f>
        <v>تمت طباعة الشهادة</v>
      </c>
      <c r="C190" s="133" t="str">
        <f>Saud!C190</f>
        <v>P-1-N-170920-3038</v>
      </c>
    </row>
    <row r="191">
      <c r="A191" s="133" t="str">
        <f>Saud!F191</f>
        <v>Healthy Bites Nutri Booster For Kittens 65g</v>
      </c>
      <c r="B191" s="133" t="str">
        <f>Saud!E191</f>
        <v>تمت طباعة الشهادة</v>
      </c>
      <c r="C191" s="133" t="str">
        <f>Saud!C191</f>
        <v>P-1-N-170920-3043</v>
      </c>
    </row>
    <row r="192">
      <c r="A192" s="133" t="str">
        <f>Saud!F192</f>
        <v>Healthy Bites Hairball Remedy For Cats &amp; Kittens 65g</v>
      </c>
      <c r="B192" s="133" t="str">
        <f>Saud!E192</f>
        <v>تمت طباعة الشهادة</v>
      </c>
      <c r="C192" s="133" t="str">
        <f>Saud!C192</f>
        <v>P-1-N-170920-3044</v>
      </c>
    </row>
    <row r="193">
      <c r="A193" s="133" t="str">
        <f>Saud!F193</f>
        <v>Applaws Chicken Breast 70g</v>
      </c>
      <c r="B193" s="133" t="str">
        <f>Saud!E193</f>
        <v>تمت طباعة الشهادة</v>
      </c>
      <c r="C193" s="133" t="str">
        <f>Saud!C193</f>
        <v>P-1-N-200920-3084</v>
      </c>
    </row>
    <row r="194">
      <c r="A194" s="133" t="str">
        <f>Saud!F194</f>
        <v>Applaws Tuna Fillet 70g</v>
      </c>
      <c r="B194" s="133" t="str">
        <f>Saud!E194</f>
        <v>تمت طباعة الشهادة</v>
      </c>
      <c r="C194" s="133" t="str">
        <f>Saud!C194</f>
        <v>P-1-N-200920-3099</v>
      </c>
    </row>
    <row r="195">
      <c r="A195" s="133" t="str">
        <f>Saud!F195</f>
        <v>Applaws Chicken Breast with Cheese 70g</v>
      </c>
      <c r="B195" s="133" t="str">
        <f>Saud!E195</f>
        <v>REJECTED</v>
      </c>
      <c r="C195" s="133" t="str">
        <f>Saud!C195</f>
        <v>P-1-N-200920-3100</v>
      </c>
    </row>
    <row r="196">
      <c r="A196" s="133" t="str">
        <f>Saud!F196</f>
        <v>Applaws Tuna Fillet with Cheese 70g</v>
      </c>
      <c r="B196" s="133" t="str">
        <f>Saud!E196</f>
        <v>REJECTED</v>
      </c>
      <c r="C196" s="133" t="str">
        <f>Saud!C196</f>
        <v>P-1-N-200920-3101</v>
      </c>
    </row>
    <row r="197">
      <c r="A197" s="133" t="str">
        <f>Saud!F197</f>
        <v>Applaws Tuna Fillet with Prawn 70g</v>
      </c>
      <c r="B197" s="133" t="str">
        <f>Saud!E197</f>
        <v>REJECTED</v>
      </c>
      <c r="C197" s="133" t="str">
        <f>Saud!C197</f>
        <v>P-1-N-200920-3103</v>
      </c>
    </row>
    <row r="198">
      <c r="A198" s="133" t="str">
        <f>Saud!F198</f>
        <v>Applaws Chicken Breast with Pumpkin 70g</v>
      </c>
      <c r="B198" s="133" t="str">
        <f>Saud!E198</f>
        <v>REJECTED</v>
      </c>
      <c r="C198" s="133" t="str">
        <f>Saud!C198</f>
        <v>P-1-N-200920-3104</v>
      </c>
    </row>
    <row r="199">
      <c r="A199" s="133" t="str">
        <f>Saud!F199</f>
        <v>Applaws Chicken Breast with Duck 70g</v>
      </c>
      <c r="B199" s="133" t="str">
        <f>Saud!E199</f>
        <v>REJECTED</v>
      </c>
      <c r="C199" s="133" t="str">
        <f>Saud!C199</f>
        <v>P-1-N-200920-3105</v>
      </c>
    </row>
    <row r="200">
      <c r="A200" s="133" t="str">
        <f>Saud!F200</f>
        <v>Applaws Tuna Fillet with Crab 70g</v>
      </c>
      <c r="B200" s="133" t="str">
        <f>Saud!E200</f>
        <v>REJECTED</v>
      </c>
      <c r="C200" s="133" t="str">
        <f>Saud!C200</f>
        <v>P-1-N-200920-3106</v>
      </c>
    </row>
    <row r="201">
      <c r="A201" s="133" t="str">
        <f>Saud!F201</f>
        <v>Cat Tin 1x(24x70g) Kitten - Chicken Breast</v>
      </c>
      <c r="B201" s="133" t="str">
        <f>Saud!E201</f>
        <v>تمت طباعة الشهادة</v>
      </c>
      <c r="C201" s="133" t="str">
        <f>Saud!C201</f>
        <v>P-1-N-210920-3128</v>
      </c>
    </row>
    <row r="202">
      <c r="A202" s="133" t="str">
        <f>Saud!F202</f>
        <v>Chicken Soup with Chicken 3x40g</v>
      </c>
      <c r="B202" s="133" t="str">
        <f>Saud!E202</f>
        <v>تمت طباعة الشهادة</v>
      </c>
      <c r="C202" s="133" t="str">
        <f>Saud!C202</f>
        <v>P-1-N-210920-3133</v>
      </c>
    </row>
    <row r="203">
      <c r="A203" s="133" t="str">
        <f>Saud!F203</f>
        <v>Crunchy stick canary. Canary seed - honey 85g</v>
      </c>
      <c r="B203" s="133" t="str">
        <f>Saud!E203</f>
        <v>تمت طباعة الشهادة</v>
      </c>
      <c r="C203" s="133" t="str">
        <f>Saud!C203</f>
        <v>P-1-N-220920-3159</v>
      </c>
    </row>
    <row r="204">
      <c r="A204" s="133" t="str">
        <f>Saud!F204</f>
        <v>Crunchy stick canary. Canary seed - sticklewort 85g</v>
      </c>
      <c r="B204" s="133" t="str">
        <f>Saud!E204</f>
        <v>تمت طباعة الشهادة</v>
      </c>
      <c r="C204" s="133" t="str">
        <f>Saud!C204</f>
        <v>P-1-N-220920-3160</v>
      </c>
    </row>
    <row r="205">
      <c r="A205" s="133" t="str">
        <f>Saud!F205</f>
        <v>Crunchy stick canary. Canary seed - Carrot 85g</v>
      </c>
      <c r="B205" s="133" t="str">
        <f>Saud!E205</f>
        <v>تمت طباعة الشهادة</v>
      </c>
      <c r="C205" s="133" t="str">
        <f>Saud!C205</f>
        <v>P-1-N-220920-3161</v>
      </c>
    </row>
    <row r="206">
      <c r="A206" s="133" t="str">
        <f>Saud!F206</f>
        <v>Crunchy stick Exotic Millet - Honey 85g</v>
      </c>
      <c r="B206" s="133" t="str">
        <f>Saud!E206</f>
        <v>تمت طباعة الشهادة</v>
      </c>
      <c r="C206" s="133" t="str">
        <f>Saud!C206</f>
        <v>P-1-N-220920-3163</v>
      </c>
    </row>
    <row r="207">
      <c r="A207" s="133" t="str">
        <f>Saud!F207</f>
        <v>Crunchy stick Exotic Millet - Apple 85g</v>
      </c>
      <c r="B207" s="133" t="str">
        <f>Saud!E207</f>
        <v>تمت طباعة الشهادة</v>
      </c>
      <c r="C207" s="133" t="str">
        <f>Saud!C207</f>
        <v>P-1-N-220920-3164</v>
      </c>
    </row>
    <row r="208">
      <c r="A208" s="133" t="str">
        <f>Saud!F208</f>
        <v>Crunchy stick Large parakeet Currant - Mountain-Ash 115g</v>
      </c>
      <c r="B208" s="133" t="str">
        <f>Saud!E208</f>
        <v>تمت طباعة الشهادة</v>
      </c>
      <c r="C208" s="133" t="str">
        <f>Saud!C208</f>
        <v>P-1-N-220920-3165</v>
      </c>
    </row>
    <row r="209">
      <c r="A209" s="133" t="str">
        <f>Saud!F209</f>
        <v>Crunchy stick Large Parakeet Sunflower - Peanut 115g</v>
      </c>
      <c r="B209" s="133" t="str">
        <f>Saud!E209</f>
        <v>تمت طباعة الشهادة</v>
      </c>
      <c r="C209" s="133" t="str">
        <f>Saud!C209</f>
        <v>P-1-N-220920-3167</v>
      </c>
    </row>
    <row r="210">
      <c r="A210" s="133" t="str">
        <f>Saud!F210</f>
        <v>Crunchy stick Parrot Peanut - Apple 115g</v>
      </c>
      <c r="B210" s="133" t="str">
        <f>Saud!E210</f>
        <v>تمت طباعة الشهادة</v>
      </c>
      <c r="C210" s="133" t="str">
        <f>Saud!C210</f>
        <v>P-1-N-220920-3168</v>
      </c>
    </row>
    <row r="211">
      <c r="A211" s="133" t="str">
        <f>Saud!F211</f>
        <v>Crunchy stick Parrot Peanut - Banana 115g</v>
      </c>
      <c r="B211" s="133" t="str">
        <f>Saud!E211</f>
        <v>تمت طباعة الشهادة</v>
      </c>
      <c r="C211" s="133" t="str">
        <f>Saud!C211</f>
        <v>P-1-N-220920-3169</v>
      </c>
    </row>
    <row r="212">
      <c r="A212" s="133" t="str">
        <f>Saud!F212</f>
        <v>Crunchy stick Parakeet Millet - Apple 85g</v>
      </c>
      <c r="B212" s="133" t="str">
        <f>Saud!E212</f>
        <v>تمت طباعة الشهادة</v>
      </c>
      <c r="C212" s="133" t="str">
        <f>Saud!C212</f>
        <v>P-1-N-220920-3170</v>
      </c>
    </row>
    <row r="213">
      <c r="A213" s="133" t="str">
        <f>Saud!F213</f>
        <v>Crunchy stick Parakeet Coconut - Banana 85g</v>
      </c>
      <c r="B213" s="133" t="str">
        <f>Saud!E213</f>
        <v>تمت طباعة الشهادة</v>
      </c>
      <c r="C213" s="133" t="str">
        <f>Saud!C213</f>
        <v>P-1-N-220920-3171</v>
      </c>
    </row>
    <row r="214">
      <c r="A214" s="133" t="str">
        <f>Saud!F214</f>
        <v>Crunchy stick Parakeet Millet - Honey 85g</v>
      </c>
      <c r="B214" s="133" t="str">
        <f>Saud!E214</f>
        <v>تمت طباعة الشهادة</v>
      </c>
      <c r="C214" s="133" t="str">
        <f>Saud!C214</f>
        <v>P-1-N-220920-3172</v>
      </c>
    </row>
    <row r="215">
      <c r="A215" s="133" t="str">
        <f>Saud!F215</f>
        <v>Pumpkin Soup with Salmon 3x40g</v>
      </c>
      <c r="B215" s="133" t="str">
        <f>Saud!E215</f>
        <v>تمت طباعة الشهادة</v>
      </c>
      <c r="C215" s="133" t="str">
        <f>Saud!C215</f>
        <v>P-1-N-280920-3222</v>
      </c>
    </row>
    <row r="216">
      <c r="A216" s="133" t="str">
        <f>Saud!F216</f>
        <v>Pumpkin Soup with Seabream 3x40g</v>
      </c>
      <c r="B216" s="133" t="str">
        <f>Saud!E216</f>
        <v>تمت طباعة الشهادة</v>
      </c>
      <c r="C216" s="133" t="str">
        <f>Saud!C216</f>
        <v>P-1-N-280920-3223</v>
      </c>
    </row>
    <row r="217">
      <c r="A217" s="133" t="str">
        <f>Saud!F217</f>
        <v>Applaws Chicken Breast with Rice 60g</v>
      </c>
      <c r="B217" s="133" t="str">
        <f>Saud!E217</f>
        <v>تمت طباعة الشهادة</v>
      </c>
      <c r="C217" s="133" t="str">
        <f>Saud!C217</f>
        <v>P-1-N-041020-3312</v>
      </c>
    </row>
    <row r="218">
      <c r="A218" s="133" t="str">
        <f>Saud!F218</f>
        <v>Applaws Chicken Breast with Duck 60g</v>
      </c>
      <c r="B218" s="133" t="str">
        <f>Saud!E218</f>
        <v>تمت طباعة الشهادة</v>
      </c>
      <c r="C218" s="133" t="str">
        <f>Saud!C218</f>
        <v>P-1-N-041020-3313</v>
      </c>
    </row>
    <row r="219">
      <c r="A219" s="133" t="str">
        <f>Saud!F219</f>
        <v>Applaws Tuna Fillet with Crab 60g</v>
      </c>
      <c r="B219" s="133" t="str">
        <f>Saud!E219</f>
        <v>REJECTED</v>
      </c>
      <c r="C219" s="133" t="str">
        <f>Saud!C219</f>
        <v>P-1-N-041020-3314</v>
      </c>
    </row>
    <row r="220">
      <c r="A220" s="133" t="str">
        <f>Saud!F220</f>
        <v>Applaws Tuna Fillet with Prawn 60g</v>
      </c>
      <c r="B220" s="133" t="str">
        <f>Saud!E220</f>
        <v>تمت طباعة الشهادة</v>
      </c>
      <c r="C220" s="133" t="str">
        <f>Saud!C220</f>
        <v>P-1-N-041020-3315</v>
      </c>
    </row>
    <row r="221">
      <c r="A221" s="133" t="str">
        <f>Saud!F221</f>
        <v>Applaws Chicken Breast with Asparagus 70g</v>
      </c>
      <c r="B221" s="133" t="str">
        <f>Saud!E221</f>
        <v>تمت طباعة الشهادة</v>
      </c>
      <c r="C221" s="133" t="str">
        <f>Saud!C221</f>
        <v>P-1-N-041020-3318</v>
      </c>
    </row>
    <row r="222">
      <c r="A222" s="133" t="str">
        <f>Saud!F222</f>
        <v>Applaws Chicken Breast with Tuna Roe 60g</v>
      </c>
      <c r="B222" s="133" t="str">
        <f>Saud!E222</f>
        <v>REJECTED</v>
      </c>
      <c r="C222" s="133" t="str">
        <f>Saud!C222</f>
        <v>P-1-N-041020-3319</v>
      </c>
    </row>
    <row r="223">
      <c r="A223" s="133" t="str">
        <f>Saud!F223</f>
        <v>MAFE20201515</v>
      </c>
      <c r="B223" s="133" t="str">
        <f>Saud!E223</f>
        <v>REJECTED</v>
      </c>
      <c r="C223" s="133" t="str">
        <f>Saud!C223</f>
        <v>P-1-N-041020-3320</v>
      </c>
    </row>
    <row r="224">
      <c r="A224" s="133" t="str">
        <f>Saud!F224</f>
        <v>Applaws Tuna with Salmon in Jelly 70g</v>
      </c>
      <c r="B224" s="133" t="str">
        <f>Saud!E224</f>
        <v>تمت طباعة الشهادة</v>
      </c>
      <c r="C224" s="133" t="str">
        <f>Saud!C224</f>
        <v>P-1-N-041020-3327</v>
      </c>
    </row>
    <row r="225">
      <c r="A225" s="133" t="str">
        <f>Saud!F225</f>
        <v>Applaws Tuna in Jelly 70g</v>
      </c>
      <c r="B225" s="133" t="str">
        <f>Saud!E225</f>
        <v>تمت طباعة الشهادة</v>
      </c>
      <c r="C225" s="133" t="str">
        <f>Saud!C225</f>
        <v>P-1-N-041020-3329</v>
      </c>
    </row>
    <row r="226">
      <c r="A226" s="133" t="str">
        <f>Saud!F226</f>
        <v>Applaws Chicken Breast &amp; Wild Rice 70g</v>
      </c>
      <c r="B226" s="133" t="str">
        <f>Saud!E226</f>
        <v>REJECTED</v>
      </c>
      <c r="C226" s="133" t="str">
        <f>Saud!C226</f>
        <v>P-1-N-041020-3330</v>
      </c>
    </row>
    <row r="227">
      <c r="A227" s="133" t="str">
        <f>Saud!F227</f>
        <v>Applaws Tuna Fillet with Whole Anchovy 70g</v>
      </c>
      <c r="B227" s="133" t="str">
        <f>Saud!E227</f>
        <v>تمت طباعة الشهادة</v>
      </c>
      <c r="C227" s="133" t="str">
        <f>Saud!C227</f>
        <v>P-1-N-041020-3331</v>
      </c>
    </row>
    <row r="228">
      <c r="A228" s="133" t="str">
        <f>Saud!F228</f>
        <v>Tuna whole meat and rice in jelly (50*6) 300g</v>
      </c>
      <c r="B228" s="133" t="str">
        <f>Saud!E228</f>
        <v>تمت طباعة الشهادة</v>
      </c>
      <c r="C228" s="133" t="str">
        <f>Saud!C228</f>
        <v>P-1-N-131020-3500</v>
      </c>
    </row>
    <row r="229">
      <c r="A229" s="133" t="str">
        <f>Saud!F229</f>
        <v>Tuna whole meat with shrimp and rice in jelly (50*6) 300g</v>
      </c>
      <c r="B229" s="133" t="str">
        <f>Saud!E229</f>
        <v>تمت طباعة الشهادة</v>
      </c>
      <c r="C229" s="133" t="str">
        <f>Saud!C229</f>
        <v>P-1-N-131020-3501</v>
      </c>
    </row>
    <row r="230">
      <c r="A230" s="133" t="str">
        <f>Saud!F230</f>
        <v>Tuna whole meat with beef and rice in jelly (50*6) 300g</v>
      </c>
      <c r="B230" s="133" t="str">
        <f>Saud!E230</f>
        <v>تمت طباعة الشهادة</v>
      </c>
      <c r="C230" s="133" t="str">
        <f>Saud!C230</f>
        <v>P-1-N-131020-3502</v>
      </c>
    </row>
    <row r="231">
      <c r="A231" s="133" t="str">
        <f>Saud!F231</f>
        <v>Chicken flake with rice (6*50) 300g</v>
      </c>
      <c r="B231" s="133" t="str">
        <f>Saud!E231</f>
        <v>تمت طباعة الشهادة</v>
      </c>
      <c r="C231" s="133" t="str">
        <f>Saud!C231</f>
        <v>P-1-N-131020-3504</v>
      </c>
    </row>
    <row r="232">
      <c r="A232" s="133" t="str">
        <f>Saud!F232</f>
        <v>Tuna whole meat with seabass and rice in jelly (6*50) 300g</v>
      </c>
      <c r="B232" s="133" t="str">
        <f>Saud!E232</f>
        <v>تمت طباعة الشهادة</v>
      </c>
      <c r="C232" s="133" t="str">
        <f>Saud!C232</f>
        <v>P-1-N-131020-3505</v>
      </c>
    </row>
    <row r="233">
      <c r="A233" s="133" t="str">
        <f>Saud!F233</f>
        <v>Tuna white meat and rice in solution (6*50) 300g</v>
      </c>
      <c r="B233" s="133" t="str">
        <f>Saud!E233</f>
        <v>تمت طباعة الشهادة</v>
      </c>
      <c r="C233" s="133" t="str">
        <f>Saud!C233</f>
        <v>P-1-N-131020-3506</v>
      </c>
    </row>
    <row r="234">
      <c r="A234" s="133" t="str">
        <f>Saud!F234</f>
        <v>Chicken and rice with duck in solution (6*50) 300g</v>
      </c>
      <c r="B234" s="133" t="str">
        <f>Saud!E234</f>
        <v>تمت طباعة الشهادة</v>
      </c>
      <c r="C234" s="133" t="str">
        <f>Saud!C234</f>
        <v>P-1-N-131020-3507</v>
      </c>
    </row>
    <row r="235">
      <c r="A235" s="133" t="str">
        <f>Saud!F235</f>
        <v>Chicken and rice with pumpkin in solution (6*50) 300g</v>
      </c>
      <c r="B235" s="133" t="str">
        <f>Saud!E235</f>
        <v>تمت طباعة الشهادة</v>
      </c>
      <c r="C235" s="133" t="str">
        <f>Saud!C235</f>
        <v>P-1-N-131020-3508</v>
      </c>
    </row>
    <row r="236">
      <c r="A236" s="133" t="str">
        <f>Saud!F236</f>
        <v>Tuna whole meat with salmon and rice in soft jelly (6*50) 300g</v>
      </c>
      <c r="B236" s="133" t="str">
        <f>Saud!E236</f>
        <v>تمت طباعة الشهادة</v>
      </c>
      <c r="C236" s="133" t="str">
        <f>Saud!C236</f>
        <v>P-1-N-131020-3509</v>
      </c>
    </row>
    <row r="237">
      <c r="A237" s="133" t="str">
        <f>Saud!F237</f>
        <v>Tuna whole meat with seabream and rice in soft jelly (6*50) 300g</v>
      </c>
      <c r="B237" s="133" t="str">
        <f>Saud!E237</f>
        <v>تمت طباعة الشهادة</v>
      </c>
      <c r="C237" s="133" t="str">
        <f>Saud!C237</f>
        <v>P-1-N-131020-3510</v>
      </c>
    </row>
    <row r="238">
      <c r="A238" s="133" t="str">
        <f>Saud!F238</f>
        <v>Tuna whole meat, chicken, rice in soft jelly (6*50) 300g</v>
      </c>
      <c r="B238" s="133" t="str">
        <f>Saud!E238</f>
        <v>REJECTED</v>
      </c>
      <c r="C238" s="133" t="str">
        <f>Saud!C238</f>
        <v>P-1-N-131020-3512</v>
      </c>
    </row>
    <row r="239">
      <c r="A239" s="133" t="str">
        <f>Saud!F239</f>
        <v>Tuna whole meat, papaya, rice in soft jelly (6*50) 300g</v>
      </c>
      <c r="B239" s="133" t="str">
        <f>Saud!E239</f>
        <v>REJECTED</v>
      </c>
      <c r="C239" s="133" t="str">
        <f>Saud!C239</f>
        <v>P-1-N-131020-3513</v>
      </c>
    </row>
    <row r="240">
      <c r="A240" s="133" t="str">
        <f>Saud!F240</f>
        <v>Tuna whole meat with rice in jelly 85g</v>
      </c>
      <c r="B240" s="133" t="str">
        <f>Saud!E240</f>
        <v>تمت طباعة الشهادة</v>
      </c>
      <c r="C240" s="133" t="str">
        <f>Saud!C240</f>
        <v>P-1-N-131020-3514</v>
      </c>
    </row>
    <row r="241">
      <c r="A241" s="133" t="str">
        <f>Saud!F241</f>
        <v>Tuna whole meat with surimi and rice in jelly 85g</v>
      </c>
      <c r="B241" s="133" t="str">
        <f>Saud!E241</f>
        <v>تمت طباعة الشهادة</v>
      </c>
      <c r="C241" s="133" t="str">
        <f>Saud!C241</f>
        <v>P-1-N-131020-3515</v>
      </c>
    </row>
    <row r="242">
      <c r="A242" s="133" t="str">
        <f>Saud!F242</f>
        <v>Tuna with chicken 85g</v>
      </c>
      <c r="B242" s="133" t="str">
        <f>Saud!E242</f>
        <v>تمت طباعة الشهادة</v>
      </c>
      <c r="C242" s="133" t="str">
        <f>Saud!C242</f>
        <v>P-1-N-131020-3516</v>
      </c>
    </row>
    <row r="243">
      <c r="A243" s="133" t="str">
        <f>Saud!F243</f>
        <v>Tuna with shrimp 85g</v>
      </c>
      <c r="B243" s="133" t="str">
        <f>Saud!E243</f>
        <v>تمت طباعة الشهادة</v>
      </c>
      <c r="C243" s="133" t="str">
        <f>Saud!C243</f>
        <v>P-1-N-131020-3517</v>
      </c>
    </row>
    <row r="244">
      <c r="A244" s="133" t="str">
        <f>Saud!F244</f>
        <v>Tuna white meat with shirasu and rice 85g</v>
      </c>
      <c r="B244" s="133" t="str">
        <f>Saud!E244</f>
        <v>تمت طباعة الشهادة</v>
      </c>
      <c r="C244" s="133" t="str">
        <f>Saud!C244</f>
        <v>P-1-N-131020-3518</v>
      </c>
    </row>
    <row r="245">
      <c r="A245" s="133" t="str">
        <f>Saud!F245</f>
        <v>Tuna whole meat with beef and rice in gel 85g</v>
      </c>
      <c r="B245" s="133" t="str">
        <f>Saud!E245</f>
        <v>تمت طباعة الشهادة</v>
      </c>
      <c r="C245" s="133" t="str">
        <f>Saud!C245</f>
        <v>P-1-N-131020-3519</v>
      </c>
    </row>
    <row r="246">
      <c r="A246" s="133" t="str">
        <f>Saud!F246</f>
        <v>Tuna whole meat with rice and seaweed in gel 85g</v>
      </c>
      <c r="B246" s="133" t="str">
        <f>Saud!E246</f>
        <v>تمت طباعة الشهادة</v>
      </c>
      <c r="C246" s="133" t="str">
        <f>Saud!C246</f>
        <v>P-1-N-131020-3520</v>
      </c>
    </row>
    <row r="247">
      <c r="A247" s="133" t="str">
        <f>Saud!F247</f>
        <v>Tuna whole meat with aloe and rice in gel 85g</v>
      </c>
      <c r="B247" s="133" t="str">
        <f>Saud!E247</f>
        <v>تمت طباعة الشهادة</v>
      </c>
      <c r="C247" s="133" t="str">
        <f>Saud!C247</f>
        <v>P-1-N-131020-3521</v>
      </c>
    </row>
    <row r="248">
      <c r="A248" s="133" t="str">
        <f>Saud!F248</f>
        <v>Chicken flake with rice in gel 85g</v>
      </c>
      <c r="B248" s="133" t="str">
        <f>Saud!E248</f>
        <v>تمت طباعة الشهادة</v>
      </c>
      <c r="C248" s="133" t="str">
        <f>Saud!C248</f>
        <v>P-1-N-131020-3522</v>
      </c>
    </row>
    <row r="249">
      <c r="A249" s="133" t="str">
        <f>Saud!F249</f>
        <v>Chicken fillets with surimi 85g</v>
      </c>
      <c r="B249" s="133" t="str">
        <f>Saud!E249</f>
        <v>تمت طباعة الشهادة</v>
      </c>
      <c r="C249" s="133" t="str">
        <f>Saud!C249</f>
        <v>P-1-N-131020-3523</v>
      </c>
    </row>
    <row r="250">
      <c r="A250" s="133" t="str">
        <f>Saud!F250</f>
        <v>Chicken fillets 85g</v>
      </c>
      <c r="B250" s="133" t="str">
        <f>Saud!E250</f>
        <v>تمت طباعة الشهادة</v>
      </c>
      <c r="C250" s="133" t="str">
        <f>Saud!C250</f>
        <v>P-1-N-131020-3524</v>
      </c>
    </row>
    <row r="251">
      <c r="A251" s="133" t="str">
        <f>Saud!F251</f>
        <v>Tuna white meat and chicken with rice 85g</v>
      </c>
      <c r="B251" s="133" t="str">
        <f>Saud!E251</f>
        <v>تمت طباعة الشهادة</v>
      </c>
      <c r="C251" s="133" t="str">
        <f>Saud!C251</f>
        <v>P-1-N-131020-3525</v>
      </c>
    </row>
    <row r="252">
      <c r="A252" s="133" t="str">
        <f>Saud!F252</f>
        <v>Tuna white meat and beef with rice 85g</v>
      </c>
      <c r="B252" s="133" t="str">
        <f>Saud!E252</f>
        <v>تمت طباعة الشهادة</v>
      </c>
      <c r="C252" s="133" t="str">
        <f>Saud!C252</f>
        <v>P-1-N-131020-3526</v>
      </c>
    </row>
    <row r="253">
      <c r="A253" s="133" t="str">
        <f>Saud!F253</f>
        <v>Tuna white meat with shirasu and rice 85g</v>
      </c>
      <c r="B253" s="133" t="str">
        <f>Saud!E253</f>
        <v>تمت طباعة الشهادة</v>
      </c>
      <c r="C253" s="133" t="str">
        <f>Saud!C253</f>
        <v>P-1-N-131020-3527</v>
      </c>
    </row>
    <row r="254">
      <c r="A254" s="133" t="str">
        <f>Saud!F254</f>
        <v>Chicken flake with rice 85g</v>
      </c>
      <c r="B254" s="133" t="str">
        <f>Saud!E254</f>
        <v>تمت طباعة الشهادة</v>
      </c>
      <c r="C254" s="133" t="str">
        <f>Saud!C254</f>
        <v>P-1-N-131020-3528</v>
      </c>
    </row>
    <row r="255">
      <c r="A255" s="133" t="str">
        <f>Saud!F255</f>
        <v>Chicken and beef with rice 85g</v>
      </c>
      <c r="B255" s="133" t="str">
        <f>Saud!E255</f>
        <v>تمت طباعة الشهادة</v>
      </c>
      <c r="C255" s="133" t="str">
        <f>Saud!C255</f>
        <v>P-1-N-131020-3529</v>
      </c>
    </row>
    <row r="256">
      <c r="A256" s="133" t="str">
        <f>Saud!F256</f>
        <v>Tuna with aloe kitten 85g</v>
      </c>
      <c r="B256" s="133" t="str">
        <f>Saud!E256</f>
        <v>تمت طباعة الشهادة</v>
      </c>
      <c r="C256" s="133" t="str">
        <f>Saud!C256</f>
        <v>P-1-N-131020-3530</v>
      </c>
    </row>
    <row r="257">
      <c r="A257" s="133" t="str">
        <f>Saud!F257</f>
        <v>Chicken and rice with aloe in gel 85g</v>
      </c>
      <c r="B257" s="133" t="str">
        <f>Saud!E257</f>
        <v>تمت طباعة الشهادة</v>
      </c>
      <c r="C257" s="133" t="str">
        <f>Saud!C257</f>
        <v>P-1-N-131020-3531</v>
      </c>
    </row>
    <row r="258">
      <c r="A258" s="133" t="str">
        <f>Saud!F258</f>
        <v>Tuna white meat flakes and rice 85g</v>
      </c>
      <c r="B258" s="133" t="str">
        <f>Saud!E258</f>
        <v>تمت طباعة الشهادة</v>
      </c>
      <c r="C258" s="133" t="str">
        <f>Saud!C258</f>
        <v>P-1-N-131020-3532</v>
      </c>
    </row>
    <row r="259">
      <c r="A259" s="133" t="str">
        <f>Saud!F259</f>
        <v>Tuna whole meat and rice in jelly 140g</v>
      </c>
      <c r="B259" s="133" t="str">
        <f>Saud!E259</f>
        <v>تمت طباعة الشهادة</v>
      </c>
      <c r="C259" s="133" t="str">
        <f>Saud!C259</f>
        <v>P-1-N-131020-3533</v>
      </c>
    </row>
    <row r="260">
      <c r="A260" s="133" t="str">
        <f>Saud!F260</f>
        <v>Tuna whole meat with beef and rice in gel 140g</v>
      </c>
      <c r="B260" s="133" t="str">
        <f>Saud!E260</f>
        <v>تمت طباعة الشهادة</v>
      </c>
      <c r="C260" s="133" t="str">
        <f>Saud!C260</f>
        <v>P-1-N-131020-3534</v>
      </c>
    </row>
    <row r="261">
      <c r="A261" s="133" t="str">
        <f>Saud!F261</f>
        <v>Tuna white meat and rice with shirasu in solution 140g</v>
      </c>
      <c r="B261" s="133" t="str">
        <f>Saud!E261</f>
        <v>تمت طباعة الشهادة</v>
      </c>
      <c r="C261" s="133" t="str">
        <f>Saud!C261</f>
        <v>P-1-N-131020-3535</v>
      </c>
    </row>
    <row r="262">
      <c r="A262" s="133" t="str">
        <f>Saud!F262</f>
        <v>Chicken flake and rice in gel 140g</v>
      </c>
      <c r="B262" s="133" t="str">
        <f>Saud!E262</f>
        <v>تمت طباعة الشهادة</v>
      </c>
      <c r="C262" s="133" t="str">
        <f>Saud!C262</f>
        <v>P-1-N-131020-3536</v>
      </c>
    </row>
    <row r="263">
      <c r="A263" s="133" t="str">
        <f>Saud!F263</f>
        <v>Tuna whole meat and rice with aloe in gel 140g</v>
      </c>
      <c r="B263" s="133" t="str">
        <f>Saud!E263</f>
        <v>REJECTED</v>
      </c>
      <c r="C263" s="133" t="str">
        <f>Saud!C263</f>
        <v>P-1-N-131020-3538</v>
      </c>
    </row>
    <row r="264">
      <c r="A264" s="133" t="str">
        <f>Saud!F264</f>
        <v>Chicken and rice with aloe in gel 140g</v>
      </c>
      <c r="B264" s="133" t="str">
        <f>Saud!E264</f>
        <v>REJECTED</v>
      </c>
      <c r="C264" s="133" t="str">
        <f>Saud!C264</f>
        <v>P-1-N-131020-3539</v>
      </c>
    </row>
    <row r="265">
      <c r="A265" s="133" t="str">
        <f>Saud!F265</f>
        <v>Chicken and rice with carrot in jelly 285g</v>
      </c>
      <c r="B265" s="133" t="str">
        <f>Saud!E265</f>
        <v>تمت طباعة الشهادة</v>
      </c>
      <c r="C265" s="133" t="str">
        <f>Saud!C265</f>
        <v>P-1-N-131020-3540</v>
      </c>
    </row>
    <row r="266">
      <c r="A266" s="133" t="str">
        <f>Saud!F266</f>
        <v>Chicken, rice with potato and carrot in jelly 285g</v>
      </c>
      <c r="B266" s="133" t="str">
        <f>Saud!E266</f>
        <v>تمت طباعة الشهادة</v>
      </c>
      <c r="C266" s="133" t="str">
        <f>Saud!C266</f>
        <v>P-1-N-131020-3541</v>
      </c>
    </row>
    <row r="267">
      <c r="A267" s="133" t="str">
        <f>Saud!F267</f>
        <v>Chicken and rice with pumpkin in jelly 285g</v>
      </c>
      <c r="B267" s="133" t="str">
        <f>Saud!E267</f>
        <v>تمت طباعة الشهادة</v>
      </c>
      <c r="C267" s="133" t="str">
        <f>Saud!C267</f>
        <v>P-1-N-131020-3542</v>
      </c>
    </row>
    <row r="268">
      <c r="A268" s="133" t="str">
        <f>Saud!F268</f>
        <v>Chicken and rice with green pea in jelly 285g</v>
      </c>
      <c r="B268" s="133" t="str">
        <f>Saud!E268</f>
        <v>تمت طباعة الشهادة</v>
      </c>
      <c r="C268" s="133" t="str">
        <f>Saud!C268</f>
        <v>P-1-N-131020-3543</v>
      </c>
    </row>
    <row r="269">
      <c r="A269" s="133" t="str">
        <f>Saud!F269</f>
        <v>Butcher's Natural &amp; Healthy Dog with Chicken and Rice Pate 390g</v>
      </c>
      <c r="B269" s="133" t="str">
        <f>Saud!E269</f>
        <v>REJECTED</v>
      </c>
      <c r="C269" s="133" t="str">
        <f>Saud!C269</f>
        <v>P-1-N-211020-3705</v>
      </c>
    </row>
    <row r="270">
      <c r="A270" s="133" t="str">
        <f>Saud!F270</f>
        <v>Tuna whole meat, chicken, rice in soft jelly (6*50) 300g</v>
      </c>
      <c r="B270" s="133" t="str">
        <f>Saud!E270</f>
        <v>تمت طباعة الشهادة</v>
      </c>
      <c r="C270" s="133" t="str">
        <f>Saud!C270</f>
        <v>P-1-N-291020-3850</v>
      </c>
    </row>
    <row r="271">
      <c r="A271" s="133" t="str">
        <f>Saud!F271</f>
        <v>Butcher's Natural &amp; Healthy Dog with Beef and Rice Pate 390g</v>
      </c>
      <c r="B271" s="133" t="str">
        <f>Saud!E271</f>
        <v>تمت طباعة الشهادة</v>
      </c>
      <c r="C271" s="133" t="str">
        <f>Saud!C271</f>
        <v>P-1-N-291020-3853</v>
      </c>
    </row>
    <row r="272">
      <c r="A272" s="133" t="str">
        <f>Saud!F272</f>
        <v>Butcher's Natural &amp; Healthy Dog with Lamb and Rice Pate 390g</v>
      </c>
      <c r="B272" s="133" t="str">
        <f>Saud!E272</f>
        <v>تمت طباعة الشهادة</v>
      </c>
      <c r="C272" s="133" t="str">
        <f>Saud!C272</f>
        <v>P-1-N-291020-3854</v>
      </c>
    </row>
    <row r="273">
      <c r="A273" s="133" t="str">
        <f>Saud!F273</f>
        <v>Butcher's Natural &amp; Healthy Dog with Chicken and Rice Pate 390g</v>
      </c>
      <c r="B273" s="133" t="str">
        <f>Saud!E273</f>
        <v>تمت طباعة الشهادة</v>
      </c>
      <c r="C273" s="133" t="str">
        <f>Saud!C273</f>
        <v>P-1-N-291020-3856</v>
      </c>
    </row>
    <row r="274">
      <c r="A274" s="133" t="str">
        <f>Saud!F274</f>
        <v>Fruitables Pumpkin Superblend Digestive Supplement 425g</v>
      </c>
      <c r="B274" s="133" t="str">
        <f>Saud!E274</f>
        <v>تمت طباعة الشهادة</v>
      </c>
      <c r="C274" s="133" t="str">
        <f>Saud!C274</f>
        <v>P-1-N-011120-3874</v>
      </c>
    </row>
    <row r="275">
      <c r="A275" s="133" t="str">
        <f>Saud!F275</f>
        <v>Fruitables Switch Food Transition Supplement 425g</v>
      </c>
      <c r="B275" s="133" t="str">
        <f>Saud!E275</f>
        <v>تمت طباعة الشهادة</v>
      </c>
      <c r="C275" s="133" t="str">
        <f>Saud!C275</f>
        <v>P-1-N-021120-3890</v>
      </c>
    </row>
    <row r="276">
      <c r="A276" s="133" t="str">
        <f>Saud!F276</f>
        <v>Wildly Natural Chicken Flavor 71g</v>
      </c>
      <c r="B276" s="133" t="str">
        <f>Saud!E276</f>
        <v>تمت طباعة الشهادة</v>
      </c>
      <c r="C276" s="133" t="str">
        <f>Saud!C276</f>
        <v>P-1-N-021120-3893</v>
      </c>
    </row>
    <row r="277">
      <c r="A277" s="133" t="str">
        <f>Saud!F277</f>
        <v>Wildly Natural Salmon Flavor 71g</v>
      </c>
      <c r="B277" s="133" t="str">
        <f>Saud!E277</f>
        <v>تمت طباعة الشهادة</v>
      </c>
      <c r="C277" s="133" t="str">
        <f>Saud!C277</f>
        <v>P-1-N-021120-3894</v>
      </c>
    </row>
    <row r="278">
      <c r="A278" s="133" t="str">
        <f>Saud!F278</f>
        <v>Wildly Natural Tuna Flavor 71g</v>
      </c>
      <c r="B278" s="133" t="str">
        <f>Saud!E278</f>
        <v>تمت طباعة الشهادة</v>
      </c>
      <c r="C278" s="133" t="str">
        <f>Saud!C278</f>
        <v>P-1-N-021120-3895</v>
      </c>
    </row>
    <row r="279">
      <c r="A279" s="133" t="str">
        <f>Saud!F279</f>
        <v>Wildly Natural Whole Jerky Roast Chick Tenders 141g</v>
      </c>
      <c r="B279" s="133" t="str">
        <f>Saud!E279</f>
        <v>تمت طباعة الشهادة</v>
      </c>
      <c r="C279" s="133" t="str">
        <f>Saud!C279</f>
        <v>P-1-N-021120-3896</v>
      </c>
    </row>
    <row r="280">
      <c r="A280" s="133" t="str">
        <f>Saud!F280</f>
        <v>Wildly Natural Whole Jerky Roast Chick Tenders 340g</v>
      </c>
      <c r="B280" s="133" t="str">
        <f>Saud!E280</f>
        <v>تمت طباعة الشهادة</v>
      </c>
      <c r="C280" s="133" t="str">
        <f>Saud!C280</f>
        <v>P-1-N-021120-3897</v>
      </c>
    </row>
    <row r="281">
      <c r="A281" s="133" t="str">
        <f>Saud!F281</f>
        <v>Wildly Natural Whole Jerky Alaskan Salmon Strips 141g</v>
      </c>
      <c r="B281" s="133" t="str">
        <f>Saud!E281</f>
        <v>تمت طباعة الشهادة</v>
      </c>
      <c r="C281" s="133" t="str">
        <f>Saud!C281</f>
        <v>P-1-N-021120-3898</v>
      </c>
    </row>
    <row r="282">
      <c r="A282" s="133" t="str">
        <f>Saud!F282</f>
        <v>Wildly Natural Whole Jerky Grilled Bison Strips 340g</v>
      </c>
      <c r="B282" s="133" t="str">
        <f>Saud!E282</f>
        <v>تمت طباعة الشهادة</v>
      </c>
      <c r="C282" s="133" t="str">
        <f>Saud!C282</f>
        <v>P-1-N-021120-3899</v>
      </c>
    </row>
    <row r="283">
      <c r="A283" s="133" t="str">
        <f>Saud!F283</f>
        <v>Wildly Natural Whole Jerky Grilled Bison Strips 141g</v>
      </c>
      <c r="B283" s="133" t="str">
        <f>Saud!E283</f>
        <v>تمت طباعة الشهادة</v>
      </c>
      <c r="C283" s="133" t="str">
        <f>Saud!C283</f>
        <v>P-1-N-021120-3900</v>
      </c>
    </row>
    <row r="284">
      <c r="A284" s="133" t="str">
        <f>Saud!F284</f>
        <v>Wildly Natural Whole Jerky Grilled Duck Strips 141g</v>
      </c>
      <c r="B284" s="133" t="str">
        <f>Saud!E284</f>
        <v>تمت طباعة الشهادة</v>
      </c>
      <c r="C284" s="133" t="str">
        <f>Saud!C284</f>
        <v>P-1-N-021120-3901</v>
      </c>
    </row>
    <row r="285">
      <c r="A285" s="133" t="str">
        <f>Saud!F285</f>
        <v>Tuna whole meat, papaya, rice in soft jelly (6*50) 300g</v>
      </c>
      <c r="B285" s="133" t="str">
        <f>Saud!E285</f>
        <v>تمت طباعة الشهادة</v>
      </c>
      <c r="C285" s="133" t="str">
        <f>Saud!C285</f>
        <v>P-1-N-031120-3927</v>
      </c>
    </row>
    <row r="286">
      <c r="A286" s="133" t="str">
        <f>Saud!F286</f>
        <v>Fruitables Pumpkin &amp; Oatmeal Weightloss Supplement 425g</v>
      </c>
      <c r="B286" s="133" t="str">
        <f>Saud!E286</f>
        <v>تمت طباعة الشهادة</v>
      </c>
      <c r="C286" s="133" t="str">
        <f>Saud!C286</f>
        <v>P-1-N-031120-3929</v>
      </c>
    </row>
    <row r="287">
      <c r="A287" s="133" t="str">
        <f>Saud!F287</f>
        <v>Fruitables Pumpkin &amp; Banana Flavor 198g</v>
      </c>
      <c r="B287" s="133" t="str">
        <f>Saud!E287</f>
        <v>تمت طباعة الشهادة</v>
      </c>
      <c r="C287" s="133" t="str">
        <f>Saud!C287</f>
        <v>P-1-N-031120-3932</v>
      </c>
    </row>
    <row r="288">
      <c r="A288" s="133" t="str">
        <f>Saud!F288</f>
        <v>Fruitables Pumpkin &amp; Apple Flavor 198g</v>
      </c>
      <c r="B288" s="133" t="str">
        <f>Saud!E288</f>
        <v>تمت طباعة الشهادة</v>
      </c>
      <c r="C288" s="133" t="str">
        <f>Saud!C288</f>
        <v>P-1-N-031120-3933</v>
      </c>
    </row>
    <row r="289">
      <c r="A289" s="133" t="str">
        <f>Saud!F289</f>
        <v>Fruitables Pumpkin &amp; Blueberry Flavor 198g</v>
      </c>
      <c r="B289" s="133" t="str">
        <f>Saud!E289</f>
        <v>تمت طباعة الشهادة</v>
      </c>
      <c r="C289" s="133" t="str">
        <f>Saud!C289</f>
        <v>P-1-N-031120-3935</v>
      </c>
    </row>
    <row r="290">
      <c r="A290" s="133" t="str">
        <f>Saud!F290</f>
        <v>Fruitables Pumpkin &amp; Cranberry Flavor 198g</v>
      </c>
      <c r="B290" s="133" t="str">
        <f>Saud!E290</f>
        <v>تمت طباعة الشهادة</v>
      </c>
      <c r="C290" s="133" t="str">
        <f>Saud!C290</f>
        <v>P-1-N-031120-3936</v>
      </c>
    </row>
    <row r="291">
      <c r="A291" s="133" t="str">
        <f>Saud!F291</f>
        <v>Fruitables Skinny Minis Pumpkin &amp; Berry Flavor 141g</v>
      </c>
      <c r="B291" s="133" t="str">
        <f>Saud!E291</f>
        <v>REJECTED</v>
      </c>
      <c r="C291" s="133" t="str">
        <f>Saud!C291</f>
        <v>P-1-N-031120-3937</v>
      </c>
    </row>
    <row r="292">
      <c r="A292" s="133" t="str">
        <f>Saud!F292</f>
        <v>Fruitables Skinny Minis Pumpkin &amp; Mango Flavor 141g</v>
      </c>
      <c r="B292" s="133" t="str">
        <f>Saud!E292</f>
        <v>REJECTED</v>
      </c>
      <c r="C292" s="133" t="str">
        <f>Saud!C292</f>
        <v>P-1-N-031120-3938</v>
      </c>
    </row>
    <row r="293">
      <c r="A293" s="133" t="str">
        <f>Saud!F293</f>
        <v>Fruitables Skinny Minis Rotisserie Chicken Flavor 141g</v>
      </c>
      <c r="B293" s="133" t="str">
        <f>Saud!E293</f>
        <v>REJECTED</v>
      </c>
      <c r="C293" s="133" t="str">
        <f>Saud!C293</f>
        <v>P-1-N-031120-3939</v>
      </c>
    </row>
    <row r="294">
      <c r="A294" s="133" t="str">
        <f>Saud!F294</f>
        <v>Fruitables Skinny Minis Grilled Bison Flavor 141g</v>
      </c>
      <c r="B294" s="133" t="str">
        <f>Saud!E294</f>
        <v>REJECTED</v>
      </c>
      <c r="C294" s="133" t="str">
        <f>Saud!C294</f>
        <v>P-1-N-031120-3941</v>
      </c>
    </row>
    <row r="295">
      <c r="A295" s="133" t="str">
        <f>Saud!F295</f>
        <v>Fruitables Watermelon Flavor 141g</v>
      </c>
      <c r="B295" s="133" t="str">
        <f>Saud!E295</f>
        <v>REJECTED</v>
      </c>
      <c r="C295" s="133" t="str">
        <f>Saud!C295</f>
        <v>P-1-N-041120-3946</v>
      </c>
    </row>
    <row r="296">
      <c r="A296" s="133" t="str">
        <f>Saud!F296</f>
        <v>Fruitables Pumpkin &amp; Spice Flavor 141g</v>
      </c>
      <c r="B296" s="133" t="str">
        <f>Saud!E296</f>
        <v>تمت طباعة الشهادة</v>
      </c>
      <c r="C296" s="133" t="str">
        <f>Saud!C296</f>
        <v>P-1-N-041120-3948</v>
      </c>
    </row>
    <row r="297">
      <c r="A297" s="133" t="str">
        <f>Saud!F297</f>
        <v>Fruitables Pumpkin 141g</v>
      </c>
      <c r="B297" s="133" t="str">
        <f>Saud!E297</f>
        <v>REJECTED</v>
      </c>
      <c r="C297" s="133" t="str">
        <f>Saud!C297</f>
        <v>P-1-N-041120-3951</v>
      </c>
    </row>
    <row r="298">
      <c r="A298" s="133" t="str">
        <f>Saud!F298</f>
        <v>Fruitables Salmon Flavor with Cranberry 70g</v>
      </c>
      <c r="B298" s="133" t="str">
        <f>Saud!E298</f>
        <v>تمت طباعة الشهادة</v>
      </c>
      <c r="C298" s="133" t="str">
        <f>Saud!C298</f>
        <v>P-1-N-041120-3952</v>
      </c>
    </row>
    <row r="299">
      <c r="A299" s="133" t="str">
        <f>Saud!F299</f>
        <v>Fruitables Tuna Flavour with Pumpkin 70g</v>
      </c>
      <c r="B299" s="133" t="str">
        <f>Saud!E299</f>
        <v>تمت طباعة الشهادة</v>
      </c>
      <c r="C299" s="133" t="str">
        <f>Saud!C299</f>
        <v>P-1-N-041120-3953</v>
      </c>
    </row>
    <row r="300">
      <c r="A300" s="133" t="str">
        <f>Saud!F300</f>
        <v>Fruitables Chicken Flavor with Blueberry 70g</v>
      </c>
      <c r="B300" s="133" t="str">
        <f>Saud!E300</f>
        <v>تمت طباعة الشهادة</v>
      </c>
      <c r="C300" s="133" t="str">
        <f>Saud!C300</f>
        <v>P-1-N-041120-3955</v>
      </c>
    </row>
    <row r="301">
      <c r="A301" s="133" t="str">
        <f>Saud!F301</f>
        <v>Whimzees Toothbrush Star (XS) 360g</v>
      </c>
      <c r="B301" s="133" t="str">
        <f>Saud!E301</f>
        <v>تمت طباعة الشهادة</v>
      </c>
      <c r="C301" s="133" t="str">
        <f>Saud!C301</f>
        <v>P-1-N-041120-3964</v>
      </c>
    </row>
    <row r="302">
      <c r="A302" s="133" t="str">
        <f>Saud!F302</f>
        <v>Whimzees Toothbrush Star (S) 360g</v>
      </c>
      <c r="B302" s="133" t="str">
        <f>Saud!E302</f>
        <v>تمت طباعة الشهادة</v>
      </c>
      <c r="C302" s="133" t="str">
        <f>Saud!C302</f>
        <v>P-1-N-081120-3986</v>
      </c>
    </row>
    <row r="303">
      <c r="A303" s="133" t="str">
        <f>Saud!F303</f>
        <v>Whimzees Toothbrush Star (M) 360g</v>
      </c>
      <c r="B303" s="133" t="str">
        <f>Saud!E303</f>
        <v>تمت طباعة الشهادة</v>
      </c>
      <c r="C303" s="133" t="str">
        <f>Saud!C303</f>
        <v>P-1-N-081120-3987</v>
      </c>
    </row>
    <row r="304">
      <c r="A304" s="133" t="str">
        <f>Saud!F304</f>
        <v>Whimzees Toothbrush Star (L) 360g</v>
      </c>
      <c r="B304" s="133" t="str">
        <f>Saud!E304</f>
        <v>تمت طباعة الشهادة</v>
      </c>
      <c r="C304" s="133" t="str">
        <f>Saud!C304</f>
        <v>P-1-N-081120-3988</v>
      </c>
    </row>
    <row r="305">
      <c r="A305" s="133" t="str">
        <f>Saud!F305</f>
        <v>Whimzees Alligator (S) 360g</v>
      </c>
      <c r="B305" s="133" t="str">
        <f>Saud!E305</f>
        <v>تمت طباعة الشهادة</v>
      </c>
      <c r="C305" s="133" t="str">
        <f>Saud!C305</f>
        <v>P-1-N-081120-3989</v>
      </c>
    </row>
    <row r="306">
      <c r="A306" s="133" t="str">
        <f>Saud!F306</f>
        <v>Whimzees Alligator (M) 360g</v>
      </c>
      <c r="B306" s="133" t="str">
        <f>Saud!E306</f>
        <v>تمت طباعة الشهادة</v>
      </c>
      <c r="C306" s="133" t="str">
        <f>Saud!C306</f>
        <v>P-1-N-081120-3990</v>
      </c>
    </row>
    <row r="307">
      <c r="A307" s="133" t="str">
        <f>Saud!F307</f>
        <v>Whimzees Rice Bone 540g</v>
      </c>
      <c r="B307" s="133" t="str">
        <f>Saud!E307</f>
        <v>تمت طباعة الشهادة</v>
      </c>
      <c r="C307" s="133" t="str">
        <f>Saud!C307</f>
        <v>P-1-N-081120-3991</v>
      </c>
    </row>
    <row r="308">
      <c r="A308" s="133" t="str">
        <f>Saud!F308</f>
        <v>Whimzees Stix (XS) 420g</v>
      </c>
      <c r="B308" s="133" t="str">
        <f>Saud!E308</f>
        <v>تمت طباعة الشهادة</v>
      </c>
      <c r="C308" s="133" t="str">
        <f>Saud!C308</f>
        <v>P-1-N-081120-3992</v>
      </c>
    </row>
    <row r="309">
      <c r="A309" s="133" t="str">
        <f>Saud!F309</f>
        <v>Whimzees Stix (XS) 60g</v>
      </c>
      <c r="B309" s="133" t="str">
        <f>Saud!E309</f>
        <v>تمت طباعة الشهادة</v>
      </c>
      <c r="C309" s="133" t="str">
        <f>Saud!C309</f>
        <v>P-1-N-081120-3994</v>
      </c>
    </row>
    <row r="310">
      <c r="A310" s="133" t="str">
        <f>Saud!F310</f>
        <v>Whimzees Stix (S) 210g</v>
      </c>
      <c r="B310" s="133" t="str">
        <f>Saud!E310</f>
        <v>تمت طباعة الشهادة</v>
      </c>
      <c r="C310" s="133" t="str">
        <f>Saud!C310</f>
        <v>P-1-N-081120-3996</v>
      </c>
    </row>
    <row r="311">
      <c r="A311" s="133" t="str">
        <f>Saud!F311</f>
        <v>Whimzees Stix (M) 210g</v>
      </c>
      <c r="B311" s="133" t="str">
        <f>Saud!E311</f>
        <v>تمت طباعة الشهادة</v>
      </c>
      <c r="C311" s="133" t="str">
        <f>Saud!C311</f>
        <v>P-1-N-081120-3997</v>
      </c>
    </row>
    <row r="312">
      <c r="A312" s="133" t="str">
        <f>Saud!F312</f>
        <v>Butcher's Natural &amp; Healthy with Game Chunks in Jelly </v>
      </c>
      <c r="B312" s="133" t="str">
        <f>Saud!E312</f>
        <v>REJECTED</v>
      </c>
      <c r="C312" s="133" t="str">
        <f>Saud!C312</f>
        <v>P-1-N-101120-4086</v>
      </c>
    </row>
    <row r="313">
      <c r="A313" s="133" t="str">
        <f>Saud!F313</f>
        <v>Butcher's Natural &amp; Healthy with Trout Chunks in Jelly </v>
      </c>
      <c r="B313" s="133" t="str">
        <f>Saud!E313</f>
        <v>REJECTED</v>
      </c>
      <c r="C313" s="133" t="str">
        <f>Saud!C313</f>
        <v>P-1-N-101120-4088</v>
      </c>
    </row>
    <row r="314">
      <c r="A314" s="133" t="str">
        <f>Saud!F314</f>
        <v>Butcher's Natural &amp; Healthy with Beef Chunks in Jelly </v>
      </c>
      <c r="B314" s="133" t="str">
        <f>Saud!E314</f>
        <v>REJECTED</v>
      </c>
      <c r="C314" s="133" t="str">
        <f>Saud!C314</f>
        <v>P-1-N-101120-4091</v>
      </c>
    </row>
    <row r="315">
      <c r="A315" s="133" t="str">
        <f>Saud!F315</f>
        <v>Butcher's Natural &amp; Healthy with Chicken Chunks in Jelly </v>
      </c>
      <c r="B315" s="133" t="str">
        <f>Saud!E315</f>
        <v>REJECTED</v>
      </c>
      <c r="C315" s="133" t="str">
        <f>Saud!C315</f>
        <v>P-1-N-101120-4092</v>
      </c>
    </row>
    <row r="316">
      <c r="A316" s="133" t="str">
        <f>Saud!F316</f>
        <v>Butcher's Natural &amp; Healthy with Ocean Fish Chunks in Jelly </v>
      </c>
      <c r="B316" s="133" t="str">
        <f>Saud!E316</f>
        <v>REJECTED</v>
      </c>
      <c r="C316" s="133" t="str">
        <f>Saud!C316</f>
        <v>P-1-N-101120-4093</v>
      </c>
    </row>
    <row r="317">
      <c r="A317" s="133" t="str">
        <f>Saud!F317</f>
        <v>Chicken and Rice with Papaya in Gel 150g</v>
      </c>
      <c r="B317" s="133" t="str">
        <f>Saud!E317</f>
        <v>REJECTED</v>
      </c>
      <c r="C317" s="133" t="str">
        <f>Saud!C317</f>
        <v>P-1-N-111120-4105</v>
      </c>
    </row>
    <row r="318">
      <c r="A318" s="133" t="str">
        <f>Saud!F318</f>
        <v>Chicken and Rice with Pineapple in Solution 150g</v>
      </c>
      <c r="B318" s="133" t="str">
        <f>Saud!E318</f>
        <v>تمت طباعة الشهادة</v>
      </c>
      <c r="C318" s="133" t="str">
        <f>Saud!C318</f>
        <v>P-1-N-111120-4106</v>
      </c>
    </row>
    <row r="319">
      <c r="A319" s="133" t="str">
        <f>Saud!F319</f>
        <v>Chicken and Rice with Apple in Solution 150g</v>
      </c>
      <c r="B319" s="133" t="str">
        <f>Saud!E319</f>
        <v>تمت طباعة الشهادة</v>
      </c>
      <c r="C319" s="133" t="str">
        <f>Saud!C319</f>
        <v>P-1-N-111120-4107</v>
      </c>
    </row>
    <row r="320">
      <c r="A320" s="133" t="str">
        <f>Saud!F320</f>
        <v>Chicken Fillets 150g</v>
      </c>
      <c r="B320" s="133" t="str">
        <f>Saud!E320</f>
        <v>تمت طباعة الشهادة</v>
      </c>
      <c r="C320" s="133" t="str">
        <f>Saud!C320</f>
        <v>P-1-N-111120-4108</v>
      </c>
    </row>
    <row r="321">
      <c r="A321" s="133" t="str">
        <f>Saud!F321</f>
        <v>Tuna whole meat and rice in jelly 150g</v>
      </c>
      <c r="B321" s="133" t="str">
        <f>Saud!E321</f>
        <v>تمت طباعة الشهادة</v>
      </c>
      <c r="C321" s="133" t="str">
        <f>Saud!C321</f>
        <v>P-1-N-111120-4109</v>
      </c>
    </row>
    <row r="322">
      <c r="A322" s="133" t="str">
        <f>Saud!F322</f>
        <v>Chicken and Beef with Rice 150g</v>
      </c>
      <c r="B322" s="133" t="str">
        <f>Saud!E322</f>
        <v>تمت طباعة الشهادة</v>
      </c>
      <c r="C322" s="133" t="str">
        <f>Saud!C322</f>
        <v>P-1-N-111120-4111</v>
      </c>
    </row>
    <row r="323">
      <c r="A323" s="133" t="str">
        <f>Saud!F323</f>
        <v>Chicken and rice with aloe in gel 150g</v>
      </c>
      <c r="B323" s="133" t="str">
        <f>Saud!E323</f>
        <v>REJECTED</v>
      </c>
      <c r="C323" s="133" t="str">
        <f>Saud!C323</f>
        <v>P-1-N-111120-4112</v>
      </c>
    </row>
    <row r="324">
      <c r="A324" s="133" t="str">
        <f>Saud!F324</f>
        <v>Tuna whole meat and rice with aloe in gel 150g</v>
      </c>
      <c r="B324" s="133" t="str">
        <f>Saud!E324</f>
        <v>REJECTED</v>
      </c>
      <c r="C324" s="133" t="str">
        <f>Saud!C324</f>
        <v>P-1-N-111120-4113</v>
      </c>
    </row>
    <row r="325">
      <c r="A325" s="133" t="str">
        <f>Saud!F325</f>
        <v>Chicken and rice with aloe in gel 150g</v>
      </c>
      <c r="B325" s="133" t="str">
        <f>Saud!E325</f>
        <v>REJECTED</v>
      </c>
      <c r="C325" s="133" t="str">
        <f>Saud!C325</f>
        <v>P-1-N-111120-4115</v>
      </c>
    </row>
    <row r="326">
      <c r="A326" s="133">
        <f>Saud!F326</f>
        <v>0</v>
      </c>
      <c r="B326" s="133" t="str">
        <f>Saud!E326</f>
        <v>REJECTED</v>
      </c>
      <c r="C326" s="133" t="str">
        <f>Saud!C326</f>
        <v>P-1-N-111120-4138</v>
      </c>
    </row>
    <row r="327">
      <c r="A327" s="133" t="str">
        <f>Saud!F327</f>
        <v>Tuna Soup with Squid 85g</v>
      </c>
      <c r="B327" s="133" t="str">
        <f>Saud!E327</f>
        <v>REJECTED</v>
      </c>
      <c r="C327" s="133" t="str">
        <f>Saud!C327</f>
        <v>P-1-N-111120-4139</v>
      </c>
    </row>
    <row r="328">
      <c r="A328" s="133" t="str">
        <f>Saud!F328</f>
        <v>Tuna Soup with Papaya 85g</v>
      </c>
      <c r="B328" s="133" t="str">
        <f>Saud!E328</f>
        <v>REJECTED</v>
      </c>
      <c r="C328" s="133" t="str">
        <f>Saud!C328</f>
        <v>P-1-N-111120-4140</v>
      </c>
    </row>
    <row r="329">
      <c r="A329" s="133" t="str">
        <f>Saud!F329</f>
        <v>Tuna Soup with Carrot and Pumpkin 85g</v>
      </c>
      <c r="B329" s="133" t="str">
        <f>Saud!E329</f>
        <v>REJECTED</v>
      </c>
      <c r="C329" s="133" t="str">
        <f>Saud!C329</f>
        <v>P-1-N-111120-4141</v>
      </c>
    </row>
    <row r="330">
      <c r="A330" s="133" t="str">
        <f>Saud!F330</f>
        <v>Chicken with Carrot and Pumpkin 85g</v>
      </c>
      <c r="B330" s="133" t="str">
        <f>Saud!E330</f>
        <v>REJECTED</v>
      </c>
      <c r="C330" s="133" t="str">
        <f>Saud!C330</f>
        <v>P-1-N-111120-4144</v>
      </c>
    </row>
    <row r="331">
      <c r="A331" s="133" t="str">
        <f>Saud!F331</f>
        <v>Salmon Soup with Carrot 85g</v>
      </c>
      <c r="B331" s="133" t="str">
        <f>Saud!E331</f>
        <v>REJECTED</v>
      </c>
      <c r="C331" s="133" t="str">
        <f>Saud!C331</f>
        <v>P-1-N-111120-4145</v>
      </c>
    </row>
    <row r="332">
      <c r="A332" s="133" t="str">
        <f>Saud!F332</f>
        <v>Tuna whole meat and rice with kiwi in soft gel 75g</v>
      </c>
      <c r="B332" s="133" t="str">
        <f>Saud!E332</f>
        <v>تمت طباعة الشهادة</v>
      </c>
      <c r="C332" s="133" t="str">
        <f>Saud!C332</f>
        <v>P-1-N-121120-4156</v>
      </c>
    </row>
    <row r="333">
      <c r="A333" s="133" t="str">
        <f>Saud!F333</f>
        <v>Tuna white meat rice with mango in solution 75g</v>
      </c>
      <c r="B333" s="133" t="str">
        <f>Saud!E333</f>
        <v>تمت طباعة الشهادة</v>
      </c>
      <c r="C333" s="133" t="str">
        <f>Saud!C333</f>
        <v>P-1-N-121120-4157</v>
      </c>
    </row>
    <row r="334">
      <c r="A334" s="133" t="str">
        <f>Saud!F334</f>
        <v>Tuna whole meat, rice with pineapple in gel 75g</v>
      </c>
      <c r="B334" s="133" t="str">
        <f>Saud!E334</f>
        <v>تمت طباعة الشهادة</v>
      </c>
      <c r="C334" s="133" t="str">
        <f>Saud!C334</f>
        <v>P-1-N-121120-4158</v>
      </c>
    </row>
    <row r="335">
      <c r="A335" s="133" t="str">
        <f>Saud!F335</f>
        <v>Chicken and rice with apple in solution 75g</v>
      </c>
      <c r="B335" s="133" t="str">
        <f>Saud!E335</f>
        <v>تمت طباعة الشهادة</v>
      </c>
      <c r="C335" s="133" t="str">
        <f>Saud!C335</f>
        <v>P-1-N-121120-4159</v>
      </c>
    </row>
    <row r="336">
      <c r="A336" s="133">
        <f>Saud!F336</f>
        <v>0</v>
      </c>
      <c r="B336" s="133" t="str">
        <f>Saud!E336</f>
        <v>تمت طباعة الشهادة</v>
      </c>
      <c r="C336" s="133" t="str">
        <f>Saud!C336</f>
        <v>P-1-N-121120-4160</v>
      </c>
    </row>
    <row r="337">
      <c r="A337" s="133" t="str">
        <f>Saud!F337</f>
        <v>Tuna whole meat and rice with papaya in gel 75g</v>
      </c>
      <c r="B337" s="133" t="str">
        <f>Saud!E337</f>
        <v>تمت طباعة الشهادة</v>
      </c>
      <c r="C337" s="133" t="str">
        <f>Saud!C337</f>
        <v>P-1-N-121120-4161</v>
      </c>
    </row>
    <row r="338">
      <c r="A338" s="133" t="str">
        <f>Saud!F338</f>
        <v>Butcher's Natural &amp; Healthy Cat Game and Beef CIJ </v>
      </c>
      <c r="B338" s="133" t="str">
        <f>Saud!E338</f>
        <v>تمت طباعة الشهادة</v>
      </c>
      <c r="C338" s="133" t="str">
        <f>Saud!C338</f>
        <v>P-1-N-121120-4164</v>
      </c>
    </row>
    <row r="339">
      <c r="A339" s="133" t="str">
        <f>Saud!F339</f>
        <v>Butcher's Natural &amp; Healthy Cat Trout CIJ </v>
      </c>
      <c r="B339" s="133" t="str">
        <f>Saud!E339</f>
        <v>تمت طباعة الشهادة</v>
      </c>
      <c r="C339" s="133" t="str">
        <f>Saud!C339</f>
        <v>P-1-N-121120-4165</v>
      </c>
    </row>
    <row r="340">
      <c r="A340" s="133" t="str">
        <f>Saud!F340</f>
        <v>Butcher's Natural &amp; Healthy Cat Beef CIJ </v>
      </c>
      <c r="B340" s="133" t="str">
        <f>Saud!E340</f>
        <v>تمت طباعة الشهادة</v>
      </c>
      <c r="C340" s="133" t="str">
        <f>Saud!C340</f>
        <v>P-1-N-121120-4166</v>
      </c>
    </row>
    <row r="341">
      <c r="A341" s="133" t="str">
        <f>Saud!F341</f>
        <v>Butcher's Natural &amp; Healthy Cat Chicken CIJ </v>
      </c>
      <c r="B341" s="133" t="str">
        <f>Saud!E341</f>
        <v>تمت طباعة الشهادة</v>
      </c>
      <c r="C341" s="133" t="str">
        <f>Saud!C341</f>
        <v>P-1-N-121120-4167</v>
      </c>
    </row>
    <row r="342">
      <c r="A342" s="133" t="str">
        <f>Saud!F342</f>
        <v>Butcher's Natural &amp; Healthy with Ocean Fish Chunks in Jelly </v>
      </c>
      <c r="B342" s="133" t="str">
        <f>Saud!E342</f>
        <v>تمت طباعة الشهادة</v>
      </c>
      <c r="C342" s="133" t="str">
        <f>Saud!C342</f>
        <v>P-1-N-121120-4168</v>
      </c>
    </row>
    <row r="343">
      <c r="A343" s="133" t="str">
        <f>Saud!F343</f>
        <v>Bavaro Force 28/16 18kg</v>
      </c>
      <c r="B343" s="133" t="str">
        <f>Saud!E343</f>
        <v>تمت طباعة الشهادة</v>
      </c>
      <c r="C343" s="133" t="str">
        <f>Saud!C343</f>
        <v>P-1-N-151120-4186</v>
      </c>
    </row>
    <row r="344">
      <c r="A344" s="133" t="str">
        <f>Saud!F344</f>
        <v>Bavaro Task 23/9 18kg</v>
      </c>
      <c r="B344" s="133" t="str">
        <f>Saud!E344</f>
        <v>تمت طباعة الشهادة</v>
      </c>
      <c r="C344" s="133" t="str">
        <f>Saud!C344</f>
        <v>P-1-N-151120-4196</v>
      </c>
    </row>
    <row r="345">
      <c r="A345" s="133" t="str">
        <f>Saud!F345</f>
        <v>Bavaro Work 26/12 18kg</v>
      </c>
      <c r="B345" s="133" t="str">
        <f>Saud!E345</f>
        <v>تمت طباعة الشهادة</v>
      </c>
      <c r="C345" s="133" t="str">
        <f>Saud!C345</f>
        <v>P-1-N-151120-4197</v>
      </c>
    </row>
    <row r="346">
      <c r="A346" s="133" t="str">
        <f>Saud!F346</f>
        <v>شركة جوسيرا بت فود جي ام بي اتش كاي جي</v>
      </c>
      <c r="B346" s="133" t="str">
        <f>Saud!E346</f>
        <v>تمت طباعة الشهادة</v>
      </c>
      <c r="C346" s="133" t="str">
        <f>Saud!C346</f>
        <v>P-1-N-151120-4202</v>
      </c>
    </row>
    <row r="347">
      <c r="A347" s="133" t="str">
        <f>Saud!F347</f>
        <v>JosiCat Crunchy Duck 18kg</v>
      </c>
      <c r="B347" s="133" t="str">
        <f>Saud!E347</f>
        <v>تمت طباعة الشهادة</v>
      </c>
      <c r="C347" s="133" t="str">
        <f>Saud!C347</f>
        <v>P-1-N-151120-4203</v>
      </c>
    </row>
    <row r="348">
      <c r="A348" s="133" t="str">
        <f>Saud!F348</f>
        <v>JosiCat Tasty Beef 18kg</v>
      </c>
      <c r="B348" s="133" t="str">
        <f>Saud!E348</f>
        <v>تمت طباعة الشهادة</v>
      </c>
      <c r="C348" s="133" t="str">
        <f>Saud!C348</f>
        <v>P-1-N-151120-4204</v>
      </c>
    </row>
    <row r="349">
      <c r="A349" s="133" t="str">
        <f>Saud!F349</f>
        <v>JosiDog Active 18kg</v>
      </c>
      <c r="B349" s="133" t="str">
        <f>Saud!E349</f>
        <v>تمت طباعة الشهادة</v>
      </c>
      <c r="C349" s="133" t="str">
        <f>Saud!C349</f>
        <v>P-1-N-171120-4228</v>
      </c>
    </row>
    <row r="350">
      <c r="A350" s="133" t="str">
        <f>Saud!F350</f>
        <v>Catelux 10kg</v>
      </c>
      <c r="B350" s="133" t="str">
        <f>Saud!E350</f>
        <v>تمت طباعة الشهادة</v>
      </c>
      <c r="C350" s="133" t="str">
        <f>Saud!C350</f>
        <v>P-1-N-181120-4252</v>
      </c>
    </row>
    <row r="351">
      <c r="A351" s="133" t="str">
        <f>Saud!F351</f>
        <v>Catelux 60g</v>
      </c>
      <c r="B351" s="133" t="str">
        <f>Saud!E351</f>
        <v>تمت طباعة الشهادة</v>
      </c>
      <c r="C351" s="133" t="str">
        <f>Saud!C351</f>
        <v>P-1-N-181120-4253</v>
      </c>
    </row>
    <row r="352">
      <c r="A352" s="133" t="str">
        <f>Saud!F352</f>
        <v>Catelux 4.25kg</v>
      </c>
      <c r="B352" s="133" t="str">
        <f>Saud!E352</f>
        <v>تمت طباعة الشهادة</v>
      </c>
      <c r="C352" s="133" t="str">
        <f>Saud!C352</f>
        <v>P-1-N-181120-4254</v>
      </c>
    </row>
    <row r="353">
      <c r="A353" s="133" t="str">
        <f>Saud!F353</f>
        <v>Catelux </v>
      </c>
      <c r="B353" s="133" t="str">
        <f>Saud!E353</f>
        <v>تمت طباعة الشهادة</v>
      </c>
      <c r="C353" s="133" t="str">
        <f>Saud!C353</f>
        <v>P-1-N-181120-4255</v>
      </c>
    </row>
    <row r="354">
      <c r="A354" s="133" t="str">
        <f>Saud!F354</f>
        <v>Catelux 2kg</v>
      </c>
      <c r="B354" s="133" t="str">
        <f>Saud!E354</f>
        <v>تمت طباعة الشهادة</v>
      </c>
      <c r="C354" s="133" t="str">
        <f>Saud!C354</f>
        <v>P-1-N-181120-4256</v>
      </c>
    </row>
    <row r="355">
      <c r="A355" s="133" t="str">
        <f>Saud!F355</f>
        <v>Catelux 15kg</v>
      </c>
      <c r="B355" s="133" t="str">
        <f>Saud!E355</f>
        <v>تمت طباعة الشهادة</v>
      </c>
      <c r="C355" s="133" t="str">
        <f>Saud!C355</f>
        <v>P-1-N-181120-4257</v>
      </c>
    </row>
    <row r="356">
      <c r="A356" s="133" t="str">
        <f>Saud!F356</f>
        <v>شركة جوسيرا بت فود جي ام بي اتش كاي جي</v>
      </c>
      <c r="B356" s="133" t="str">
        <f>Saud!E356</f>
        <v>تمت طباعة الشهادة</v>
      </c>
      <c r="C356" s="133" t="str">
        <f>Saud!C356</f>
        <v>P-1-N-191120-4286</v>
      </c>
    </row>
    <row r="357">
      <c r="A357" s="133" t="str">
        <f>Saud!F357</f>
        <v>Carismo 60g</v>
      </c>
      <c r="B357" s="133" t="str">
        <f>Saud!E357</f>
        <v>تمت طباعة الشهادة</v>
      </c>
      <c r="C357" s="133" t="str">
        <f>Saud!C357</f>
        <v>P-1-N-191120-4292</v>
      </c>
    </row>
    <row r="358">
      <c r="A358" s="133" t="str">
        <f>Saud!F358</f>
        <v>Culinesse 60g</v>
      </c>
      <c r="B358" s="133" t="str">
        <f>Saud!E358</f>
        <v>تمت طباعة الشهادة</v>
      </c>
      <c r="C358" s="133" t="str">
        <f>Saud!C358</f>
        <v>P-1-N-191120-4293</v>
      </c>
    </row>
    <row r="359">
      <c r="A359" s="133" t="str">
        <f>Saud!F359</f>
        <v>Culinesse 4.25kg</v>
      </c>
      <c r="B359" s="133" t="str">
        <f>Saud!E359</f>
        <v>تمت طباعة الشهادة</v>
      </c>
      <c r="C359" s="133" t="str">
        <f>Saud!C359</f>
        <v>P-1-N-191120-4294</v>
      </c>
    </row>
    <row r="360">
      <c r="A360" s="133" t="str">
        <f>Saud!F360</f>
        <v>Culinesse 15kg</v>
      </c>
      <c r="B360" s="133" t="str">
        <f>Saud!E360</f>
        <v>تمت طباعة الشهادة</v>
      </c>
      <c r="C360" s="133" t="str">
        <f>Saud!C360</f>
        <v>P-1-N-191120-4296</v>
      </c>
    </row>
    <row r="361">
      <c r="A361" s="133" t="str">
        <f>Saud!F361</f>
        <v>Culinesse 10kg</v>
      </c>
      <c r="B361" s="133" t="str">
        <f>Saud!E361</f>
        <v>تمت طباعة الشهادة</v>
      </c>
      <c r="C361" s="133" t="str">
        <f>Saud!C361</f>
        <v>P-1-N-191120-4298</v>
      </c>
    </row>
    <row r="362">
      <c r="A362" s="133" t="str">
        <f>Saud!F362</f>
        <v>Culinesse 2kg</v>
      </c>
      <c r="B362" s="133" t="str">
        <f>Saud!E362</f>
        <v>تمت طباعة الشهادة</v>
      </c>
      <c r="C362" s="133" t="str">
        <f>Saud!C362</f>
        <v>P-1-N-191120-4299</v>
      </c>
    </row>
    <row r="363">
      <c r="A363" s="133" t="str">
        <f>Saud!F363</f>
        <v>Culinesse </v>
      </c>
      <c r="B363" s="133" t="str">
        <f>Saud!E363</f>
        <v>تمت طباعة الشهادة</v>
      </c>
      <c r="C363" s="133" t="str">
        <f>Saud!C363</f>
        <v>P-1-N-191120-4300</v>
      </c>
    </row>
    <row r="364">
      <c r="A364" s="133" t="str">
        <f>Saud!F364</f>
        <v>Chicken and Rice with Papaya in Gel 150g</v>
      </c>
      <c r="B364" s="133" t="str">
        <f>Saud!E364</f>
        <v>تمت طباعة الشهادة</v>
      </c>
      <c r="C364" s="133" t="str">
        <f>Saud!C364</f>
        <v>P-1-N-221120-4321</v>
      </c>
    </row>
    <row r="365">
      <c r="A365" s="133" t="str">
        <f>Saud!F365</f>
        <v>Tuna whole meat and rice with aloe in gel 140g</v>
      </c>
      <c r="B365" s="133" t="str">
        <f>Saud!E365</f>
        <v>REJECTED</v>
      </c>
      <c r="C365" s="133" t="str">
        <f>Saud!C365</f>
        <v>P-1-N-221120-4322</v>
      </c>
    </row>
    <row r="366">
      <c r="A366" s="133">
        <f>Saud!F366</f>
        <v>0</v>
      </c>
      <c r="B366" s="133" t="str">
        <f>Saud!E366</f>
        <v>REJECTED</v>
      </c>
      <c r="C366" s="133" t="str">
        <f>Saud!C366</f>
        <v>P-1-N-221120-4324</v>
      </c>
    </row>
    <row r="367">
      <c r="A367" s="133" t="str">
        <f>Saud!F367</f>
        <v>Dailycat 60g</v>
      </c>
      <c r="B367" s="133" t="str">
        <f>Saud!E367</f>
        <v>تمت طباعة الشهادة</v>
      </c>
      <c r="C367" s="133" t="str">
        <f>Saud!C367</f>
        <v>P-1-N-231120-4330</v>
      </c>
    </row>
    <row r="368">
      <c r="A368" s="133" t="str">
        <f>Saud!F368</f>
        <v>Dailycat </v>
      </c>
      <c r="B368" s="133" t="str">
        <f>Saud!E368</f>
        <v>تمت طباعة الشهادة</v>
      </c>
      <c r="C368" s="133" t="str">
        <f>Saud!C368</f>
        <v>P-1-N-231120-4331</v>
      </c>
    </row>
    <row r="369">
      <c r="A369" s="133" t="str">
        <f>Saud!F369</f>
        <v>Dailycat 2kg</v>
      </c>
      <c r="B369" s="133" t="str">
        <f>Saud!E369</f>
        <v>تمت طباعة الشهادة</v>
      </c>
      <c r="C369" s="133" t="str">
        <f>Saud!C369</f>
        <v>P-1-N-231120-4332</v>
      </c>
    </row>
    <row r="370">
      <c r="A370" s="133" t="str">
        <f>Saud!F370</f>
        <v>Dailycat 4.25kg</v>
      </c>
      <c r="B370" s="133" t="str">
        <f>Saud!E370</f>
        <v>تمت طباعة الشهادة</v>
      </c>
      <c r="C370" s="133" t="str">
        <f>Saud!C370</f>
        <v>P-1-N-231120-4333</v>
      </c>
    </row>
    <row r="371">
      <c r="A371" s="133" t="str">
        <f>Saud!F371</f>
        <v>Dailycat 10kg</v>
      </c>
      <c r="B371" s="133" t="str">
        <f>Saud!E371</f>
        <v>تمت طباعة الشهادة</v>
      </c>
      <c r="C371" s="133" t="str">
        <f>Saud!C371</f>
        <v>P-1-N-231120-4334</v>
      </c>
    </row>
    <row r="372">
      <c r="A372" s="133" t="str">
        <f>Saud!F372</f>
        <v>Kitten 60g</v>
      </c>
      <c r="B372" s="133" t="str">
        <f>Saud!E372</f>
        <v>تمت طباعة الشهادة</v>
      </c>
      <c r="C372" s="133" t="str">
        <f>Saud!C372</f>
        <v>P-1-N-231120-4337</v>
      </c>
    </row>
    <row r="373">
      <c r="A373" s="133" t="str">
        <f>Saud!F373</f>
        <v>Kitten </v>
      </c>
      <c r="B373" s="133" t="str">
        <f>Saud!E373</f>
        <v>تمت طباعة الشهادة</v>
      </c>
      <c r="C373" s="133" t="str">
        <f>Saud!C373</f>
        <v>P-1-N-231120-4338</v>
      </c>
    </row>
    <row r="374">
      <c r="A374" s="133" t="str">
        <f>Saud!F374</f>
        <v>Kitten 2kg</v>
      </c>
      <c r="B374" s="133" t="str">
        <f>Saud!E374</f>
        <v>تمت طباعة الشهادة</v>
      </c>
      <c r="C374" s="133" t="str">
        <f>Saud!C374</f>
        <v>P-1-N-231120-4339</v>
      </c>
    </row>
    <row r="375">
      <c r="A375" s="133" t="str">
        <f>Saud!F375</f>
        <v>Kitten 10kg</v>
      </c>
      <c r="B375" s="133" t="str">
        <f>Saud!E375</f>
        <v>تمت طباعة الشهادة</v>
      </c>
      <c r="C375" s="133" t="str">
        <f>Saud!C375</f>
        <v>P-1-N-231120-4340</v>
      </c>
    </row>
    <row r="376">
      <c r="A376" s="133" t="str">
        <f>Saud!F376</f>
        <v>شركة جوسيرا بت فود جي ام بي اتش كاي جي</v>
      </c>
      <c r="B376" s="133" t="str">
        <f>Saud!E376</f>
        <v>تمت طباعة الشهادة</v>
      </c>
      <c r="C376" s="133" t="str">
        <f>Saud!C376</f>
        <v>P-1-N-231120-4343</v>
      </c>
    </row>
    <row r="377">
      <c r="A377" s="133" t="str">
        <f>Saud!F377</f>
        <v>Marinesse </v>
      </c>
      <c r="B377" s="133" t="str">
        <f>Saud!E377</f>
        <v>تمت طباعة الشهادة</v>
      </c>
      <c r="C377" s="133" t="str">
        <f>Saud!C377</f>
        <v>P-1-N-231120-4344</v>
      </c>
    </row>
    <row r="378">
      <c r="A378" s="133" t="str">
        <f>Saud!F378</f>
        <v>Marinesse 2kg</v>
      </c>
      <c r="B378" s="133" t="str">
        <f>Saud!E378</f>
        <v>تمت طباعة الشهادة</v>
      </c>
      <c r="C378" s="133" t="str">
        <f>Saud!C378</f>
        <v>P-1-N-231120-4345</v>
      </c>
    </row>
    <row r="379">
      <c r="A379" s="133" t="str">
        <f>Saud!F379</f>
        <v>Marinesse 4.25kg</v>
      </c>
      <c r="B379" s="133" t="str">
        <f>Saud!E379</f>
        <v>تمت طباعة الشهادة</v>
      </c>
      <c r="C379" s="133" t="str">
        <f>Saud!C379</f>
        <v>P-1-N-231120-4346</v>
      </c>
    </row>
    <row r="380">
      <c r="A380" s="133" t="str">
        <f>Saud!F380</f>
        <v>Marinesse 10kg</v>
      </c>
      <c r="B380" s="133" t="str">
        <f>Saud!E380</f>
        <v>تمت طباعة الشهادة</v>
      </c>
      <c r="C380" s="133" t="str">
        <f>Saud!C380</f>
        <v>P-1-N-231120-4347</v>
      </c>
    </row>
    <row r="381">
      <c r="A381" s="133" t="str">
        <f>Saud!F381</f>
        <v>Naturecat 60g</v>
      </c>
      <c r="B381" s="133" t="str">
        <f>Saud!E381</f>
        <v>تمت طباعة الشهادة</v>
      </c>
      <c r="C381" s="133" t="str">
        <f>Saud!C381</f>
        <v>P-1-N-231120-4348</v>
      </c>
    </row>
    <row r="382">
      <c r="A382" s="133" t="str">
        <f>Saud!F382</f>
        <v>Naturecat </v>
      </c>
      <c r="B382" s="133" t="str">
        <f>Saud!E382</f>
        <v>تمت طباعة الشهادة</v>
      </c>
      <c r="C382" s="133" t="str">
        <f>Saud!C382</f>
        <v>P-1-N-231120-4349</v>
      </c>
    </row>
    <row r="383">
      <c r="A383" s="133" t="str">
        <f>Saud!F383</f>
        <v>Naturecat 2kg</v>
      </c>
      <c r="B383" s="133" t="str">
        <f>Saud!E383</f>
        <v>تمت طباعة الشهادة</v>
      </c>
      <c r="C383" s="133" t="str">
        <f>Saud!C383</f>
        <v>P-1-N-231120-4350</v>
      </c>
    </row>
    <row r="384">
      <c r="A384" s="133" t="str">
        <f>Saud!F384</f>
        <v>Naturecat 4.25kg</v>
      </c>
      <c r="B384" s="133" t="str">
        <f>Saud!E384</f>
        <v>تمت طباعة الشهادة</v>
      </c>
      <c r="C384" s="133" t="str">
        <f>Saud!C384</f>
        <v>P-1-N-231120-4351</v>
      </c>
    </row>
    <row r="385">
      <c r="A385" s="133" t="str">
        <f>Saud!F385</f>
        <v>Naturecat 10kg</v>
      </c>
      <c r="B385" s="133" t="str">
        <f>Saud!E385</f>
        <v>تمت طباعة الشهادة</v>
      </c>
      <c r="C385" s="133" t="str">
        <f>Saud!C385</f>
        <v>P-1-N-231120-4352</v>
      </c>
    </row>
    <row r="386">
      <c r="A386" s="133" t="str">
        <f>Saud!F386</f>
        <v>شركة جوسيرا بت فود جي ام بي اتش كاي جي</v>
      </c>
      <c r="B386" s="133" t="str">
        <f>Saud!E386</f>
        <v>تمت طباعة الشهادة</v>
      </c>
      <c r="C386" s="133" t="str">
        <f>Saud!C386</f>
        <v>P-1-N-231120-4353</v>
      </c>
    </row>
    <row r="387">
      <c r="A387" s="133" t="str">
        <f>Saud!F387</f>
        <v>Naturelle </v>
      </c>
      <c r="B387" s="133" t="str">
        <f>Saud!E387</f>
        <v>تمت طباعة الشهادة</v>
      </c>
      <c r="C387" s="133" t="str">
        <f>Saud!C387</f>
        <v>P-1-N-231120-4354</v>
      </c>
    </row>
    <row r="388">
      <c r="A388" s="133" t="str">
        <f>Saud!F388</f>
        <v>Naturelle 2kg</v>
      </c>
      <c r="B388" s="133" t="str">
        <f>Saud!E388</f>
        <v>تمت طباعة الشهادة</v>
      </c>
      <c r="C388" s="133" t="str">
        <f>Saud!C388</f>
        <v>P-1-N-231120-4355</v>
      </c>
    </row>
    <row r="389">
      <c r="A389" s="133" t="str">
        <f>Saud!F389</f>
        <v>Naturelle 4.25kg</v>
      </c>
      <c r="B389" s="133" t="str">
        <f>Saud!E389</f>
        <v>تمت طباعة الشهادة</v>
      </c>
      <c r="C389" s="133" t="str">
        <f>Saud!C389</f>
        <v>P-1-N-231120-4356</v>
      </c>
    </row>
    <row r="390">
      <c r="A390" s="133" t="str">
        <f>Saud!F390</f>
        <v>Naturelle 10kg</v>
      </c>
      <c r="B390" s="133" t="str">
        <f>Saud!E390</f>
        <v>تمت طباعة الشهادة</v>
      </c>
      <c r="C390" s="133" t="str">
        <f>Saud!C390</f>
        <v>P-1-N-231120-4357</v>
      </c>
    </row>
    <row r="391">
      <c r="A391" s="133" t="str">
        <f>Saud!F391</f>
        <v>JosiDog Agilo Sport 18kg</v>
      </c>
      <c r="B391" s="133" t="str">
        <f>Saud!E391</f>
        <v>REJECTED</v>
      </c>
      <c r="C391" s="133" t="str">
        <f>Saud!C391</f>
        <v>P-1-N-231120-4359</v>
      </c>
    </row>
    <row r="392">
      <c r="A392" s="133" t="str">
        <f>Saud!F392</f>
        <v>JosiDog Master Mix 18kg - 15 KG</v>
      </c>
      <c r="B392" s="133" t="str">
        <f>Saud!E392</f>
        <v>تمت طباعة الشهادة</v>
      </c>
      <c r="C392" s="133" t="str">
        <f>Saud!C392</f>
        <v>P-1-N-231120-4360</v>
      </c>
    </row>
    <row r="393">
      <c r="A393" s="133" t="str">
        <f>Saud!F393</f>
        <v>JosiDog Mini 18kg - 10KG</v>
      </c>
      <c r="B393" s="133" t="str">
        <f>Saud!E393</f>
        <v>تمت طباعة الشهادة</v>
      </c>
      <c r="C393" s="133" t="str">
        <f>Saud!C393</f>
        <v>P-1-N-231120-4361</v>
      </c>
    </row>
    <row r="394">
      <c r="A394" s="133" t="str">
        <f>Saud!F394</f>
        <v>JosiDog Junior 18kg</v>
      </c>
      <c r="B394" s="133" t="str">
        <f>Saud!E394</f>
        <v>تمت طباعة الشهادة</v>
      </c>
      <c r="C394" s="133" t="str">
        <f>Saud!C394</f>
        <v>P-1-N-231120-4363</v>
      </c>
    </row>
    <row r="395">
      <c r="A395" s="133" t="str">
        <f>Saud!F395</f>
        <v>JosiDog Family 18kg</v>
      </c>
      <c r="B395" s="133" t="str">
        <f>Saud!E395</f>
        <v>تمت طباعة الشهادة</v>
      </c>
      <c r="C395" s="133" t="str">
        <f>Saud!C395</f>
        <v>P-1-N-231120-4365</v>
      </c>
    </row>
    <row r="396">
      <c r="A396" s="133" t="str">
        <f>Saud!F396</f>
        <v>شركة جوسيرا بت فود جي ام بي اتش كاي جي</v>
      </c>
      <c r="B396" s="133" t="str">
        <f>Saud!E396</f>
        <v>تمت طباعة الشهادة</v>
      </c>
      <c r="C396" s="133" t="str">
        <f>Saud!C396</f>
        <v>P-1-N-261120-4407</v>
      </c>
    </row>
    <row r="397">
      <c r="A397" s="133" t="str">
        <f>Saud!F397</f>
        <v>Tuna whole meat and rice with aloe in gel 140g</v>
      </c>
      <c r="B397" s="133" t="str">
        <f>Saud!E397</f>
        <v>REJECTED</v>
      </c>
      <c r="C397" s="133" t="str">
        <f>Saud!C397</f>
        <v>P-1-N-291120-4425</v>
      </c>
    </row>
    <row r="398">
      <c r="A398" s="133" t="str">
        <f>Saud!F398</f>
        <v>Chicken and rice with aloe in gel 140g</v>
      </c>
      <c r="B398" s="133" t="str">
        <f>Saud!E398</f>
        <v>REJECTED</v>
      </c>
      <c r="C398" s="133" t="str">
        <f>Saud!C398</f>
        <v>P-1-N-021220-4478</v>
      </c>
    </row>
    <row r="399">
      <c r="A399" s="133" t="str">
        <f>Saud!F399</f>
        <v>Schesir NS DRY Duck 1.4 Kg</v>
      </c>
      <c r="B399" s="133" t="str">
        <f>Saud!E399</f>
        <v>تمت طباعة الشهادة</v>
      </c>
      <c r="C399" s="133" t="str">
        <f>Saud!C399</f>
        <v>P-1-N-071220-4584</v>
      </c>
    </row>
    <row r="400">
      <c r="A400" s="133" t="str">
        <f>Saud!F400</f>
        <v>Schesir NS Dry Turkey 2.24 kg</v>
      </c>
      <c r="B400" s="133" t="str">
        <f>Saud!E400</f>
        <v>تمت طباعة الشهادة</v>
      </c>
      <c r="C400" s="133" t="str">
        <f>Saud!C400</f>
        <v>P-1-N-131220-4685</v>
      </c>
    </row>
    <row r="401">
      <c r="A401" s="133" t="str">
        <f>Saud!F401</f>
        <v>Schesir NS Dry Lamb 2.24 kg</v>
      </c>
      <c r="B401" s="133" t="str">
        <f>Saud!E401</f>
        <v>تمت طباعة الشهادة</v>
      </c>
      <c r="C401" s="133" t="str">
        <f>Saud!C401</f>
        <v>P-1-N-131220-4686</v>
      </c>
    </row>
    <row r="402">
      <c r="A402" s="133" t="str">
        <f>Saud!F402</f>
        <v>Schesir NS Dry Turkey 2.24 kg</v>
      </c>
      <c r="B402" s="133" t="str">
        <f>Saud!E402</f>
        <v>تمت طباعة الشهادة</v>
      </c>
      <c r="C402" s="133" t="str">
        <f>Saud!C402</f>
        <v>P-1-N-131220-4687</v>
      </c>
    </row>
    <row r="403">
      <c r="A403" s="133" t="str">
        <f>Saud!F403</f>
        <v>Schesir NS Dry Lamb 2.24 kg</v>
      </c>
      <c r="B403" s="133" t="str">
        <f>Saud!E403</f>
        <v>تمت طباعة الشهادة</v>
      </c>
      <c r="C403" s="133" t="str">
        <f>Saud!C403</f>
        <v>P-1-N-131220-4689</v>
      </c>
    </row>
    <row r="404">
      <c r="A404" s="133" t="str">
        <f>Saud!F404</f>
        <v>Schesir NS Dry Turkey 2.24 kg</v>
      </c>
      <c r="B404" s="133" t="str">
        <f>Saud!E404</f>
        <v>تمت طباعة الشهادة</v>
      </c>
      <c r="C404" s="133" t="str">
        <f>Saud!C404</f>
        <v>P-1-N-131220-4690</v>
      </c>
    </row>
    <row r="405">
      <c r="A405" s="133" t="str">
        <f>Saud!F405</f>
        <v>Schesir NS Dry Tuna 2.24 kg</v>
      </c>
      <c r="B405" s="133" t="str">
        <f>Saud!E405</f>
        <v>تمت طباعة الشهادة</v>
      </c>
      <c r="C405" s="133" t="str">
        <f>Saud!C405</f>
        <v>P-1-N-131220-4691</v>
      </c>
    </row>
    <row r="406">
      <c r="A406" s="133">
        <f>Saud!F406</f>
        <v>0</v>
      </c>
      <c r="B406" s="133" t="str">
        <f>Saud!E406</f>
        <v>تمت طباعة الشهادة</v>
      </c>
      <c r="C406" s="133" t="str">
        <f>Saud!C406</f>
        <v>P-1-N-131220-4692</v>
      </c>
    </row>
    <row r="407">
      <c r="A407" s="133" t="str">
        <f>Saud!F407</f>
        <v>Schesir NS Dry Turkey 4.5 kg</v>
      </c>
      <c r="B407" s="133" t="str">
        <f>Saud!E407</f>
        <v>تمت طباعة الشهادة</v>
      </c>
      <c r="C407" s="133" t="str">
        <f>Saud!C407</f>
        <v>P-1-N-131220-4694</v>
      </c>
    </row>
    <row r="408">
      <c r="A408" s="133" t="str">
        <f>Saud!F408</f>
        <v>Schesir NS Dry Turkey 9.6 kg</v>
      </c>
      <c r="B408" s="133" t="str">
        <f>Saud!E408</f>
        <v>REJECTED</v>
      </c>
      <c r="C408" s="133" t="str">
        <f>Saud!C408</f>
        <v>P-1-N-131220-4695</v>
      </c>
    </row>
    <row r="409">
      <c r="A409" s="133" t="str">
        <f>Saud!F409</f>
        <v>Schesir NS Dry Tuna 9.6 kg</v>
      </c>
      <c r="B409" s="133" t="str">
        <f>Saud!E409</f>
        <v>تمت طباعة الشهادة</v>
      </c>
      <c r="C409" s="133" t="str">
        <f>Saud!C409</f>
        <v>P-1-N-131220-4696</v>
      </c>
    </row>
    <row r="410">
      <c r="A410" s="133" t="str">
        <f>Saud!F410</f>
        <v>Schesir NS Dry Lamb 9.6 kg</v>
      </c>
      <c r="B410" s="133" t="str">
        <f>Saud!E410</f>
        <v>تمت طباعة الشهادة</v>
      </c>
      <c r="C410" s="133" t="str">
        <f>Saud!C410</f>
        <v>P-1-N-131220-4697</v>
      </c>
    </row>
    <row r="411">
      <c r="A411" s="133" t="str">
        <f>Saud!F411</f>
        <v>NutriMeal mixed food for canaries 800g</v>
      </c>
      <c r="B411" s="133" t="str">
        <f>Saud!E411</f>
        <v>تمت طباعة الشهادة</v>
      </c>
      <c r="C411" s="133" t="str">
        <f>Saud!C411</f>
        <v>P-1-N-161220-4815</v>
      </c>
    </row>
    <row r="412">
      <c r="A412" s="133" t="str">
        <f>Saud!F412</f>
        <v>NutriMeal Mixed Food for Canaries 2.5kg</v>
      </c>
      <c r="B412" s="133" t="str">
        <f>Saud!E412</f>
        <v>تمت طباعة الشهادة</v>
      </c>
      <c r="C412" s="133" t="str">
        <f>Saud!C412</f>
        <v>P-1-N-161220-4816</v>
      </c>
    </row>
    <row r="413">
      <c r="A413" s="133" t="str">
        <f>Saud!F413</f>
        <v>NutriMeal Mixed Food for Exotic Birds 800g</v>
      </c>
      <c r="B413" s="133" t="str">
        <f>Saud!E413</f>
        <v>تمت طباعة الشهادة</v>
      </c>
      <c r="C413" s="133" t="str">
        <f>Saud!C413</f>
        <v>P-1-N-161220-4821</v>
      </c>
    </row>
    <row r="414">
      <c r="A414" s="133" t="str">
        <f>Saud!F414</f>
        <v>NutriMeal Mixed Food for Exotic Birds 2.5 kg</v>
      </c>
      <c r="B414" s="133" t="str">
        <f>Saud!E414</f>
        <v>تمت طباعة الشهادة</v>
      </c>
      <c r="C414" s="133" t="str">
        <f>Saud!C414</f>
        <v>P-1-N-161220-4822</v>
      </c>
    </row>
    <row r="415">
      <c r="A415" s="133" t="str">
        <f>Saud!F415</f>
        <v>NutriMeal Mixed Food for Parakeets 800g</v>
      </c>
      <c r="B415" s="133" t="str">
        <f>Saud!E415</f>
        <v>تمت طباعة الشهادة</v>
      </c>
      <c r="C415" s="133" t="str">
        <f>Saud!C415</f>
        <v>P-1-N-161220-4824</v>
      </c>
    </row>
    <row r="416">
      <c r="A416" s="133">
        <f>Saud!F416</f>
        <v>0</v>
      </c>
      <c r="B416" s="133" t="str">
        <f>Saud!E416</f>
        <v>تمت طباعة الشهادة</v>
      </c>
      <c r="C416" s="133" t="str">
        <f>Saud!C416</f>
        <v>P-1-N-161220-4825</v>
      </c>
    </row>
    <row r="417">
      <c r="A417" s="133" t="str">
        <f>Saud!F417</f>
        <v>NutriMeal Mixed Food for Large Budgerigars 800g</v>
      </c>
      <c r="B417" s="133" t="str">
        <f>Saud!E417</f>
        <v>تمت طباعة الشهادة</v>
      </c>
      <c r="C417" s="133" t="str">
        <f>Saud!C417</f>
        <v>P-1-N-161220-4828</v>
      </c>
    </row>
    <row r="418">
      <c r="A418" s="133" t="str">
        <f>Saud!F418</f>
        <v>NutriMeal Mixed Food for Large Budgerigars 2.5 kg</v>
      </c>
      <c r="B418" s="133" t="str">
        <f>Saud!E418</f>
        <v>تمت طباعة الشهادة</v>
      </c>
      <c r="C418" s="133" t="str">
        <f>Saud!C418</f>
        <v>P-1-N-161220-4829</v>
      </c>
    </row>
    <row r="419">
      <c r="A419" s="133" t="str">
        <f>Saud!F419</f>
        <v>NutriMeal Mixed Food for Parrots 700g</v>
      </c>
      <c r="B419" s="133" t="str">
        <f>Saud!E419</f>
        <v>تمت طباعة الشهادة</v>
      </c>
      <c r="C419" s="133" t="str">
        <f>Saud!C419</f>
        <v>P-1-N-161220-4831</v>
      </c>
    </row>
    <row r="420">
      <c r="A420" s="133" t="str">
        <f>Saud!F420</f>
        <v>NutriMeal Mixed Food for Parrots 2.25 kg</v>
      </c>
      <c r="B420" s="133" t="str">
        <f>Saud!E420</f>
        <v>تمت طباعة الشهادة</v>
      </c>
      <c r="C420" s="133" t="str">
        <f>Saud!C420</f>
        <v>P-1-N-161220-4832</v>
      </c>
    </row>
    <row r="421">
      <c r="A421" s="133" t="str">
        <f>Saud!F421</f>
        <v>NutriMeal Mixed Food for Dwarf Rabbits Juniors 800g</v>
      </c>
      <c r="B421" s="133" t="str">
        <f>Saud!E421</f>
        <v>تمت طباعة الشهادة</v>
      </c>
      <c r="C421" s="133" t="str">
        <f>Saud!C421</f>
        <v>P-1-N-181220-4883</v>
      </c>
    </row>
    <row r="422">
      <c r="A422" s="133" t="str">
        <f>Saud!F422</f>
        <v>NutriMeal Mixed Food for Dwarf Rabbits Adults 800g</v>
      </c>
      <c r="B422" s="133" t="str">
        <f>Saud!E422</f>
        <v>تمت طباعة الشهادة</v>
      </c>
      <c r="C422" s="133" t="str">
        <f>Saud!C422</f>
        <v>P-1-N-181220-4884</v>
      </c>
    </row>
    <row r="423">
      <c r="A423" s="133" t="str">
        <f>Saud!F423</f>
        <v>NutriMeal Mixed Food for Hamsters 600g</v>
      </c>
      <c r="B423" s="133" t="str">
        <f>Saud!E423</f>
        <v>REJECTED</v>
      </c>
      <c r="C423" s="133" t="str">
        <f>Saud!C423</f>
        <v>P-1-N-181220-4885</v>
      </c>
    </row>
    <row r="424">
      <c r="A424" s="133" t="str">
        <f>Saud!F424</f>
        <v>Snack Chicken Fillets 70g Rich in Chicken</v>
      </c>
      <c r="B424" s="133" t="str">
        <f>Saud!E424</f>
        <v>تمت طباعة الشهادة</v>
      </c>
      <c r="C424" s="133" t="str">
        <f>Saud!C424</f>
        <v>P-1-N-181220-4886</v>
      </c>
    </row>
    <row r="425">
      <c r="A425" s="133" t="str">
        <f>Saud!F425</f>
        <v>Snack Chewing Sticks with Chicken x10 Rich in Chicken 85g</v>
      </c>
      <c r="B425" s="133" t="str">
        <f>Saud!E425</f>
        <v>REJECTED</v>
      </c>
      <c r="C425" s="133" t="str">
        <f>Saud!C425</f>
        <v>P-1-N-181220-4887</v>
      </c>
    </row>
    <row r="426">
      <c r="A426" s="133">
        <f>Saud!F426</f>
        <v>0</v>
      </c>
      <c r="B426" s="133" t="str">
        <f>Saud!E426</f>
        <v>تمت طباعة الشهادة</v>
      </c>
      <c r="C426" s="133" t="str">
        <f>Saud!C426</f>
        <v>P-1-N-181220-4888</v>
      </c>
    </row>
    <row r="427">
      <c r="A427" s="133" t="str">
        <f>Saud!F427</f>
        <v>Snack Chewing Bones with Chicken XS x7 Rich in Chicken 90g</v>
      </c>
      <c r="B427" s="133" t="str">
        <f>Saud!E427</f>
        <v>تمت طباعة الشهادة</v>
      </c>
      <c r="C427" s="133" t="str">
        <f>Saud!C427</f>
        <v>P-1-N-181220-4889</v>
      </c>
    </row>
    <row r="428">
      <c r="A428" s="133" t="str">
        <f>Saud!F428</f>
        <v>Snack Chewing Bones with Chicken M x1 Rich in Chicken 65g</v>
      </c>
      <c r="B428" s="133" t="str">
        <f>Saud!E428</f>
        <v>تمت طباعة الشهادة</v>
      </c>
      <c r="C428" s="133" t="str">
        <f>Saud!C428</f>
        <v>P-1-N-181220-4890</v>
      </c>
    </row>
    <row r="429">
      <c r="A429" s="133" t="str">
        <f>Saud!F429</f>
        <v>Chewing Bone with Chicken S x2 55g</v>
      </c>
      <c r="B429" s="133" t="str">
        <f>Saud!E429</f>
        <v>REJECTED</v>
      </c>
      <c r="C429" s="133" t="str">
        <f>Saud!C429</f>
        <v>P-1-N-181220-4891</v>
      </c>
    </row>
    <row r="430">
      <c r="A430" s="133" t="str">
        <f>Saud!F430</f>
        <v>Chicken with Cheese 70g</v>
      </c>
      <c r="B430" s="133" t="str">
        <f>Saud!E430</f>
        <v>تمت طباعة الشهادة</v>
      </c>
      <c r="C430" s="133" t="str">
        <f>Saud!C430</f>
        <v>P-1-N-211220-4958</v>
      </c>
    </row>
    <row r="431">
      <c r="A431" s="133" t="str">
        <f>Saud!F431</f>
        <v>Tuna with Cheese 70g</v>
      </c>
      <c r="B431" s="133" t="str">
        <f>Saud!E431</f>
        <v>تمت طباعة الشهادة</v>
      </c>
      <c r="C431" s="133" t="str">
        <f>Saud!C431</f>
        <v>P-1-N-211220-4959</v>
      </c>
    </row>
    <row r="432">
      <c r="A432" s="133" t="str">
        <f>Saud!F432</f>
        <v>Tuna with Shrimp 70g</v>
      </c>
      <c r="B432" s="133" t="str">
        <f>Saud!E432</f>
        <v>تمت طباعة الشهادة</v>
      </c>
      <c r="C432" s="133" t="str">
        <f>Saud!C432</f>
        <v>P-1-N-211220-4961</v>
      </c>
    </row>
    <row r="433">
      <c r="A433" s="133" t="str">
        <f>Saud!F433</f>
        <v>Chicken with Pumpkin 70g</v>
      </c>
      <c r="B433" s="133" t="str">
        <f>Saud!E433</f>
        <v>تمت طباعة الشهادة</v>
      </c>
      <c r="C433" s="133" t="str">
        <f>Saud!C433</f>
        <v>P-1-N-211220-4963</v>
      </c>
    </row>
    <row r="434">
      <c r="A434" s="133" t="str">
        <f>Saud!F434</f>
        <v>Chicken with Duck 70g</v>
      </c>
      <c r="B434" s="133" t="str">
        <f>Saud!E434</f>
        <v>تمت طباعة الشهادة</v>
      </c>
      <c r="C434" s="133" t="str">
        <f>Saud!C434</f>
        <v>P-1-N-211220-4964</v>
      </c>
    </row>
    <row r="435">
      <c r="A435" s="133" t="str">
        <f>Saud!F435</f>
        <v>Tuna Fillet with Crab 70g</v>
      </c>
      <c r="B435" s="133" t="str">
        <f>Saud!E435</f>
        <v>تمت طباعة الشهادة</v>
      </c>
      <c r="C435" s="133" t="str">
        <f>Saud!C435</f>
        <v>P-1-N-211220-4965</v>
      </c>
    </row>
    <row r="436">
      <c r="A436" s="133">
        <f>Saud!F436</f>
        <v>0</v>
      </c>
      <c r="B436" s="133" t="str">
        <f>Saud!E436</f>
        <v>تمت طباعة الشهادة</v>
      </c>
      <c r="C436" s="133" t="str">
        <f>Saud!C436</f>
        <v>P-1-N-211220-4966</v>
      </c>
    </row>
    <row r="437">
      <c r="A437" s="133" t="str">
        <f>Saud!F437</f>
        <v>Chicken and Rice 70g</v>
      </c>
      <c r="B437" s="133" t="str">
        <f>Saud!E437</f>
        <v>تمت طباعة الشهادة</v>
      </c>
      <c r="C437" s="133" t="str">
        <f>Saud!C437</f>
        <v>P-1-N-211220-4967</v>
      </c>
    </row>
    <row r="438">
      <c r="A438" s="133" t="str">
        <f>Saud!F438</f>
        <v>Schesir NS Dry Duck 350g</v>
      </c>
      <c r="B438" s="133" t="str">
        <f>Saud!E438</f>
        <v>REJECTED</v>
      </c>
      <c r="C438" s="133" t="str">
        <f>Saud!C438</f>
        <v>P-1-N-231220-5018</v>
      </c>
    </row>
    <row r="439">
      <c r="A439" s="133" t="str">
        <f>Saud!F439</f>
        <v>Schesir NS Dry Turkey 350g</v>
      </c>
      <c r="B439" s="133" t="str">
        <f>Saud!E439</f>
        <v>REJECTED</v>
      </c>
      <c r="C439" s="133" t="str">
        <f>Saud!C439</f>
        <v>P-1-N-231220-5019</v>
      </c>
    </row>
    <row r="440">
      <c r="A440" s="133" t="str">
        <f>Saud!F440</f>
        <v>Schesir NS Dry Chicken 350g</v>
      </c>
      <c r="B440" s="133" t="str">
        <f>Saud!E440</f>
        <v>REJECTED</v>
      </c>
      <c r="C440" s="133" t="str">
        <f>Saud!C440</f>
        <v>P-1-N-231220-5020</v>
      </c>
    </row>
    <row r="441">
      <c r="A441" s="133" t="str">
        <f>Saud!F441</f>
        <v>Schesir NS Dry Beef 350g</v>
      </c>
      <c r="B441" s="133" t="str">
        <f>Saud!E441</f>
        <v>REJECTED</v>
      </c>
      <c r="C441" s="133" t="str">
        <f>Saud!C441</f>
        <v>P-1-N-231220-5022</v>
      </c>
    </row>
    <row r="442">
      <c r="A442" s="133" t="str">
        <f>Saud!F442</f>
        <v>Schesir NS Dry Turkey 1.4 kg</v>
      </c>
      <c r="B442" s="133" t="str">
        <f>Saud!E442</f>
        <v>REJECTED</v>
      </c>
      <c r="C442" s="133" t="str">
        <f>Saud!C442</f>
        <v>P-1-N-231220-5023</v>
      </c>
    </row>
    <row r="443">
      <c r="A443" s="133" t="str">
        <f>Saud!F443</f>
        <v>Schesir NS Dry Duck 1.4 kg</v>
      </c>
      <c r="B443" s="133" t="str">
        <f>Saud!E443</f>
        <v>REJECTED</v>
      </c>
      <c r="C443" s="133" t="str">
        <f>Saud!C443</f>
        <v>P-1-N-231220-5024</v>
      </c>
    </row>
    <row r="444">
      <c r="A444" s="133" t="str">
        <f>Saud!F444</f>
        <v>Schesir NS Dry Chicken 1.4 kg</v>
      </c>
      <c r="B444" s="133" t="str">
        <f>Saud!E444</f>
        <v>تمت طباعة الشهادة</v>
      </c>
      <c r="C444" s="133" t="str">
        <f>Saud!C444</f>
        <v>P-1-N-231220-5026</v>
      </c>
    </row>
    <row r="445">
      <c r="A445" s="133" t="str">
        <f>Saud!F445</f>
        <v>Schesir NS Dry Beef 1.4 kg</v>
      </c>
      <c r="B445" s="133" t="str">
        <f>Saud!E445</f>
        <v>تمت طباعة الشهادة</v>
      </c>
      <c r="C445" s="133" t="str">
        <f>Saud!C445</f>
        <v>P-1-N-231220-5027</v>
      </c>
    </row>
    <row r="446">
      <c r="A446" s="133">
        <f>Saud!F446</f>
        <v>0</v>
      </c>
      <c r="B446" s="133" t="str">
        <f>Saud!E446</f>
        <v>تمت طباعة الشهادة</v>
      </c>
      <c r="C446" s="133" t="str">
        <f>Saud!C446</f>
        <v>P-1-N-231220-5028</v>
      </c>
    </row>
    <row r="447">
      <c r="A447" s="133" t="str">
        <f>Saud!F447</f>
        <v>Schesir NS Dry Turkey 1.4 kg</v>
      </c>
      <c r="B447" s="133" t="str">
        <f>Saud!E447</f>
        <v>تمت طباعة الشهادة</v>
      </c>
      <c r="C447" s="133" t="str">
        <f>Saud!C447</f>
        <v>P-1-N-231220-5030</v>
      </c>
    </row>
    <row r="448">
      <c r="A448" s="133" t="str">
        <f>Saud!F448</f>
        <v>Schesir NS Dry Turkey 9.6 kg</v>
      </c>
      <c r="B448" s="133" t="str">
        <f>Saud!E448</f>
        <v>تمت طباعة الشهادة</v>
      </c>
      <c r="C448" s="133" t="str">
        <f>Saud!C448</f>
        <v>P-1-N-241220-5053</v>
      </c>
    </row>
    <row r="449">
      <c r="A449" s="133" t="str">
        <f>Saud!F449</f>
        <v>Chicken and Rice 156g</v>
      </c>
      <c r="B449" s="133" t="str">
        <f>Saud!E449</f>
        <v>REJECTED</v>
      </c>
      <c r="C449" s="133" t="str">
        <f>Saud!C449</f>
        <v>P-1-N-271220-5088</v>
      </c>
    </row>
    <row r="450">
      <c r="A450" s="133" t="str">
        <f>Saud!F450</f>
        <v>Chicken, Vegetable and Rice 156g</v>
      </c>
      <c r="B450" s="133" t="str">
        <f>Saud!E450</f>
        <v>تمت طباعة الشهادة</v>
      </c>
      <c r="C450" s="133" t="str">
        <f>Saud!C450</f>
        <v>P-1-N-271220-5089</v>
      </c>
    </row>
    <row r="451">
      <c r="A451" s="133" t="str">
        <f>Saud!F451</f>
        <v>Applaws Chicken Breast with Lamb in Jelly 156g</v>
      </c>
      <c r="B451" s="133" t="str">
        <f>Saud!E451</f>
        <v>REJECTED</v>
      </c>
      <c r="C451" s="133" t="str">
        <f>Saud!C451</f>
        <v>P-1-N-271220-5091</v>
      </c>
    </row>
    <row r="452">
      <c r="A452" s="133" t="str">
        <f>Saud!F452</f>
        <v>Profine Puppy Chicken &amp; Potatoes 3kg</v>
      </c>
      <c r="B452" s="133" t="str">
        <f>Saud!E452</f>
        <v>تمت طباعة الشهادة</v>
      </c>
      <c r="C452" s="133" t="str">
        <f>Saud!C452</f>
        <v>P-1-N-281220-5118</v>
      </c>
    </row>
    <row r="453">
      <c r="A453" s="133" t="str">
        <f>Saud!F453</f>
        <v>Profine Junior Large Chicken &amp; Potatoes 15kg</v>
      </c>
      <c r="B453" s="133" t="str">
        <f>Saud!E453</f>
        <v>تمت طباعة الشهادة</v>
      </c>
      <c r="C453" s="133" t="str">
        <f>Saud!C453</f>
        <v>P-1-N-281220-5119</v>
      </c>
    </row>
    <row r="454">
      <c r="A454" s="133" t="str">
        <f>Saud!F454</f>
        <v>Profine Adult Small Chicken &amp; Potatoes 10kg</v>
      </c>
      <c r="B454" s="133" t="str">
        <f>Saud!E454</f>
        <v>تمت طباعة الشهادة</v>
      </c>
      <c r="C454" s="133" t="str">
        <f>Saud!C454</f>
        <v>P-1-N-281220-5120</v>
      </c>
    </row>
    <row r="455">
      <c r="A455" s="133" t="str">
        <f>Saud!F455</f>
        <v>Profine Adult Small Chicken &amp; Potatoes 2kg</v>
      </c>
      <c r="B455" s="133" t="str">
        <f>Saud!E455</f>
        <v>تمت طباعة الشهادة</v>
      </c>
      <c r="C455" s="133" t="str">
        <f>Saud!C455</f>
        <v>P-1-N-281220-5121</v>
      </c>
    </row>
    <row r="456">
      <c r="A456" s="133">
        <f>Saud!F456</f>
        <v>0</v>
      </c>
      <c r="B456" s="133" t="str">
        <f>Saud!E456</f>
        <v>تمت طباعة الشهادة</v>
      </c>
      <c r="C456" s="133" t="str">
        <f>Saud!C456</f>
        <v>P-1-N-281220-5122</v>
      </c>
    </row>
    <row r="457">
      <c r="A457" s="133" t="str">
        <f>Saud!F457</f>
        <v>Profine Adult Chicken &amp; Potatoes 3kg</v>
      </c>
      <c r="B457" s="133" t="str">
        <f>Saud!E457</f>
        <v>تمت طباعة الشهادة</v>
      </c>
      <c r="C457" s="133" t="str">
        <f>Saud!C457</f>
        <v>P-1-N-281220-5123</v>
      </c>
    </row>
    <row r="458">
      <c r="A458" s="133" t="str">
        <f>Saud!F458</f>
        <v>Profine Energy Chicken &amp; Potatoes 3kg</v>
      </c>
      <c r="B458" s="133" t="str">
        <f>Saud!E458</f>
        <v>تمت طباعة الشهادة</v>
      </c>
      <c r="C458" s="133" t="str">
        <f>Saud!C458</f>
        <v>P-1-N-281220-5124</v>
      </c>
    </row>
    <row r="459">
      <c r="A459" s="133" t="str">
        <f>Saud!F459</f>
        <v>Profine Light Lamb &amp; Potatoes 15kg</v>
      </c>
      <c r="B459" s="133" t="str">
        <f>Saud!E459</f>
        <v>تمت طباعة الشهادة</v>
      </c>
      <c r="C459" s="133" t="str">
        <f>Saud!C459</f>
        <v>P-1-N-281220-5125</v>
      </c>
    </row>
    <row r="460">
      <c r="A460" s="133" t="str">
        <f>Saud!F460</f>
        <v>Profine Adult Salmon &amp; Potatoes 15kg</v>
      </c>
      <c r="B460" s="133" t="str">
        <f>Saud!E460</f>
        <v>تمت طباعة الشهادة</v>
      </c>
      <c r="C460" s="133" t="str">
        <f>Saud!C460</f>
        <v>P-1-N-281220-5126</v>
      </c>
    </row>
    <row r="461">
      <c r="A461" s="133">
        <f>Saud!F461</f>
        <v>0</v>
      </c>
      <c r="B461" s="133" t="str">
        <f>Saud!E461</f>
        <v>تمت طباعة الشهادة</v>
      </c>
      <c r="C461" s="133" t="str">
        <f>Saud!C461</f>
        <v>P-1-N-291220-5182</v>
      </c>
    </row>
    <row r="462">
      <c r="A462" s="133" t="str">
        <f>Saud!F462</f>
        <v>Chicken and Rice with Spinach in Jelly 285g</v>
      </c>
      <c r="B462" s="133" t="str">
        <f>Saud!E462</f>
        <v>REJECTED</v>
      </c>
      <c r="C462" s="133" t="str">
        <f>Saud!C462</f>
        <v>P-1-N-291220-5207</v>
      </c>
    </row>
    <row r="463">
      <c r="A463" s="133" t="str">
        <f>Saud!F463</f>
        <v>Salmon and Rice in Solution 85g</v>
      </c>
      <c r="B463" s="133" t="str">
        <f>Saud!E463</f>
        <v>تمت طباعة الشهادة</v>
      </c>
      <c r="C463" s="133" t="str">
        <f>Saud!C463</f>
        <v>P-1-N-291220-5214</v>
      </c>
    </row>
    <row r="464">
      <c r="A464" s="133" t="str">
        <f>Saud!F464</f>
        <v>Tuna White Meat and Beef with Rice 85g</v>
      </c>
      <c r="B464" s="133" t="str">
        <f>Saud!E464</f>
        <v>تمت طباعة الشهادة</v>
      </c>
      <c r="C464" s="133" t="str">
        <f>Saud!C464</f>
        <v>P-1-N-291220-5217</v>
      </c>
    </row>
    <row r="465">
      <c r="A465" s="133" t="str">
        <f>Saud!F465</f>
        <v>Tuna with Aloe Kitten 85g</v>
      </c>
      <c r="B465" s="133" t="str">
        <f>Saud!E465</f>
        <v>تمت طباعة الشهادة</v>
      </c>
      <c r="C465" s="133" t="str">
        <f>Saud!C465</f>
        <v>P-1-N-291220-5235</v>
      </c>
    </row>
    <row r="466">
      <c r="A466" s="133" t="str">
        <f>Saud!F466</f>
        <v>Tuna White Meat, Seabream and Rice in Fish Broth 70g</v>
      </c>
      <c r="B466" s="133" t="str">
        <f>Saud!E466</f>
        <v>تمت طباعة الشهادة</v>
      </c>
      <c r="C466" s="133" t="str">
        <f>Saud!C466</f>
        <v>P-1-N-311220-5257</v>
      </c>
    </row>
    <row r="467">
      <c r="A467" s="133" t="str">
        <f>Saud!F467</f>
        <v>Tuna with Shrimp 70g</v>
      </c>
      <c r="B467" s="133" t="str">
        <f>Saud!E467</f>
        <v>تمت طباعة الشهادة</v>
      </c>
      <c r="C467" s="133" t="str">
        <f>Saud!C467</f>
        <v>P-1-N-311220-5258</v>
      </c>
    </row>
    <row r="468">
      <c r="A468" s="133">
        <f>Saud!F468</f>
        <v>0</v>
      </c>
      <c r="B468" s="133" t="str">
        <f>Saud!E468</f>
        <v>REJECTED</v>
      </c>
      <c r="C468" s="133" t="str">
        <f>Saud!C468</f>
        <v>P-1-N-311220-5259</v>
      </c>
    </row>
    <row r="469">
      <c r="A469" s="133" t="str">
        <f>Saud!F469</f>
        <v>Tuna Whole Meat with Aloe and Rice in Gel 150g</v>
      </c>
      <c r="B469" s="133" t="str">
        <f>Saud!E469</f>
        <v>REJECTED</v>
      </c>
      <c r="C469" s="133" t="str">
        <f>Saud!C469</f>
        <v>P-1-N-311220-5260</v>
      </c>
    </row>
    <row r="470">
      <c r="A470" s="133" t="str">
        <f>Saud!F470</f>
        <v>Chicken with Aloe and Rice in Jelly 150g</v>
      </c>
      <c r="B470" s="133" t="str">
        <f>Saud!E470</f>
        <v>REJECTED</v>
      </c>
      <c r="C470" s="133" t="str">
        <f>Saud!C470</f>
        <v>P-1-N-311220-5262</v>
      </c>
    </row>
    <row r="471">
      <c r="A471" s="133" t="str">
        <f>Saud!F471</f>
        <v>Chicken and Rice with Aloe in Gel 140g</v>
      </c>
      <c r="B471" s="133" t="str">
        <f>Saud!E471</f>
        <v>REJECTED</v>
      </c>
      <c r="C471" s="133" t="str">
        <f>Saud!C471</f>
        <v>P-1-N-311220-5269</v>
      </c>
    </row>
    <row r="472">
      <c r="A472" s="133" t="str">
        <f>Saud!F472</f>
        <v>Tuna with Aloe Kitten 140g</v>
      </c>
      <c r="B472" s="133" t="str">
        <f>Saud!E472</f>
        <v>REJECTED</v>
      </c>
      <c r="C472" s="133" t="str">
        <f>Saud!C472</f>
        <v>P-1-N-311220-5270</v>
      </c>
    </row>
    <row r="473">
      <c r="A473" s="133" t="str">
        <f>Saud!F473</f>
        <v>Butchers Functional Dog Junior Chicken CIJ </v>
      </c>
      <c r="B473" s="133" t="str">
        <f>Saud!E473</f>
        <v>REJECTED</v>
      </c>
      <c r="C473" s="133" t="str">
        <f>Saud!C473</f>
        <v>P-1-N-030121-9</v>
      </c>
    </row>
    <row r="474">
      <c r="A474" s="133" t="str">
        <f>Saud!F474</f>
        <v>P-1-N-030121-14</v>
      </c>
      <c r="B474" s="133" t="str">
        <f>Saud!E474</f>
        <v>REJECTED</v>
      </c>
      <c r="C474" s="133" t="str">
        <f>Saud!C474</f>
        <v>P-1-N-030121-11</v>
      </c>
    </row>
    <row r="475">
      <c r="A475" s="133" t="str">
        <f>Saud!F475</f>
        <v>Butchers Functional Cat Beauty Salmon CIJ </v>
      </c>
      <c r="B475" s="133" t="str">
        <f>Saud!E475</f>
        <v>REJECTED</v>
      </c>
      <c r="C475" s="133" t="str">
        <f>Saud!C475</f>
        <v>P-1-N-030121-14</v>
      </c>
    </row>
    <row r="476">
      <c r="A476" s="133" t="str">
        <f>Saud!F476</f>
        <v>Butchers Functional Cat Beauty Chicken CIJ </v>
      </c>
      <c r="B476" s="133" t="str">
        <f>Saud!E476</f>
        <v>تمت طباعة الشهادة</v>
      </c>
      <c r="C476" s="133" t="str">
        <f>Saud!C476</f>
        <v>P-1-N-030121-16</v>
      </c>
    </row>
    <row r="477">
      <c r="A477" s="133" t="str">
        <f>Saud!F477</f>
        <v>Chewing Bone with Chicken S x2 55g</v>
      </c>
      <c r="B477" s="133" t="str">
        <f>Saud!E477</f>
        <v>REJECTED</v>
      </c>
      <c r="C477" s="133" t="str">
        <f>Saud!C477</f>
        <v>P-1-N-050121-35</v>
      </c>
    </row>
    <row r="478">
      <c r="A478" s="133">
        <f>Saud!F478</f>
        <v>0</v>
      </c>
      <c r="B478" s="133" t="str">
        <f>Saud!E478</f>
        <v>تمت طباعة الشهادة</v>
      </c>
      <c r="C478" s="133" t="str">
        <f>Saud!C478</f>
        <v>P-1-N-050121-36</v>
      </c>
    </row>
    <row r="479">
      <c r="A479" s="133" t="str">
        <f>Saud!F479</f>
        <v>Sanal Cat Salmon Bites 75g</v>
      </c>
      <c r="B479" s="133" t="str">
        <f>Saud!E479</f>
        <v>تمت طباعة الشهادة</v>
      </c>
      <c r="C479" s="133" t="str">
        <f>Saud!C479</f>
        <v>P-1-N-050121-37</v>
      </c>
    </row>
    <row r="480">
      <c r="A480" s="133" t="str">
        <f>Saud!F480</f>
        <v>Sanal Joint Care 75g</v>
      </c>
      <c r="B480" s="133" t="str">
        <f>Saud!E480</f>
        <v>تمت طباعة الشهادة</v>
      </c>
      <c r="C480" s="133" t="str">
        <f>Saud!C480</f>
        <v>P-1-N-050121-38</v>
      </c>
    </row>
    <row r="481">
      <c r="A481" s="133" t="str">
        <f>Saud!F481</f>
        <v>Sanal Cat Multi Vitamin 350g</v>
      </c>
      <c r="B481" s="133" t="str">
        <f>Saud!E481</f>
        <v>تمت طباعة الشهادة</v>
      </c>
      <c r="C481" s="133" t="str">
        <f>Saud!C481</f>
        <v>P-1-N-050121-39</v>
      </c>
    </row>
    <row r="482">
      <c r="A482" s="133" t="str">
        <f>Saud!F482</f>
        <v>Sanal Fish Trio 75g</v>
      </c>
      <c r="B482" s="133" t="str">
        <f>Saud!E482</f>
        <v>تمت طباعة الشهادة</v>
      </c>
      <c r="C482" s="133" t="str">
        <f>Saud!C482</f>
        <v>P-1-N-050121-40</v>
      </c>
    </row>
    <row r="483">
      <c r="A483" s="133" t="str">
        <f>Saud!F483</f>
        <v>Sanal Calcium Plus 200g</v>
      </c>
      <c r="B483" s="133" t="str">
        <f>Saud!E483</f>
        <v>تمت طباعة الشهادة</v>
      </c>
      <c r="C483" s="133" t="str">
        <f>Saud!C483</f>
        <v>P-1-N-050121-41</v>
      </c>
    </row>
    <row r="484">
      <c r="A484" s="133" t="str">
        <f>Saud!F484</f>
        <v>P-1-N-050121-43</v>
      </c>
      <c r="B484" s="133" t="str">
        <f>Saud!E484</f>
        <v>تمت طباعة الشهادة</v>
      </c>
      <c r="C484" s="133" t="str">
        <f>Saud!C484</f>
        <v>P-1-N-050121-42</v>
      </c>
    </row>
    <row r="485">
      <c r="A485" s="133" t="str">
        <f>Saud!F485</f>
        <v>Sanal Choco Drops 250g</v>
      </c>
      <c r="B485" s="133" t="str">
        <f>Saud!E485</f>
        <v>تمت طباعة الشهادة</v>
      </c>
      <c r="C485" s="133" t="str">
        <f>Saud!C485</f>
        <v>P-1-N-050121-43</v>
      </c>
    </row>
    <row r="486">
      <c r="A486" s="133" t="str">
        <f>Saud!F486</f>
        <v>Sanal Milk Drops 250g</v>
      </c>
      <c r="B486" s="133" t="str">
        <f>Saud!E486</f>
        <v>تمت طباعة الشهادة</v>
      </c>
      <c r="C486" s="133" t="str">
        <f>Saud!C486</f>
        <v>P-1-N-050121-44</v>
      </c>
    </row>
    <row r="487">
      <c r="A487" s="133" t="str">
        <f>Saud!F487</f>
        <v>Sanal Biotin 350g</v>
      </c>
      <c r="B487" s="133" t="str">
        <f>Saud!E487</f>
        <v>تمت طباعة الشهادة</v>
      </c>
      <c r="C487" s="133" t="str">
        <f>Saud!C487</f>
        <v>P-1-N-050121-46</v>
      </c>
    </row>
    <row r="488">
      <c r="A488" s="133">
        <f>Saud!F488</f>
        <v>0</v>
      </c>
      <c r="B488" s="133" t="str">
        <f>Saud!E488</f>
        <v>تمت طباعة الشهادة</v>
      </c>
      <c r="C488" s="133" t="str">
        <f>Saud!C488</f>
        <v>P-1-N-050121-47</v>
      </c>
    </row>
    <row r="489">
      <c r="A489" s="133" t="str">
        <f>Saud!F489</f>
        <v>Sanal Soft Stick Lamb 12g</v>
      </c>
      <c r="B489" s="133" t="str">
        <f>Saud!E489</f>
        <v>تمت طباعة الشهادة</v>
      </c>
      <c r="C489" s="133" t="str">
        <f>Saud!C489</f>
        <v>P-1-N-050121-48</v>
      </c>
    </row>
    <row r="490">
      <c r="A490" s="133" t="str">
        <f>Saud!F490</f>
        <v>Sanal Vita Bones Chicken &amp; Beef 100g</v>
      </c>
      <c r="B490" s="133" t="str">
        <f>Saud!E490</f>
        <v>تمت طباعة الشهادة</v>
      </c>
      <c r="C490" s="133" t="str">
        <f>Saud!C490</f>
        <v>P-1-N-050121-49</v>
      </c>
    </row>
    <row r="491">
      <c r="A491" s="133" t="str">
        <f>Saud!F491</f>
        <v>Sanal Sport Mix Chicken &amp; Beef 100g</v>
      </c>
      <c r="B491" s="133" t="str">
        <f>Saud!E491</f>
        <v>تمت طباعة الشهادة</v>
      </c>
      <c r="C491" s="133" t="str">
        <f>Saud!C491</f>
        <v>P-1-N-050121-50</v>
      </c>
    </row>
    <row r="492">
      <c r="A492" s="133" t="str">
        <f>Saud!F492</f>
        <v>Sanal Mini Bones Chicken &amp; Beef 100g</v>
      </c>
      <c r="B492" s="133" t="str">
        <f>Saud!E492</f>
        <v>تمت طباعة الشهادة</v>
      </c>
      <c r="C492" s="133" t="str">
        <f>Saud!C492</f>
        <v>P-1-N-050121-51</v>
      </c>
    </row>
    <row r="493">
      <c r="A493" s="133" t="str">
        <f>Saud!F493</f>
        <v>Sanal Dog Trainers Fantasy Mix 300g</v>
      </c>
      <c r="B493" s="133" t="str">
        <f>Saud!E493</f>
        <v>تمت طباعة الشهادة</v>
      </c>
      <c r="C493" s="133" t="str">
        <f>Saud!C493</f>
        <v>P-1-N-050121-53</v>
      </c>
    </row>
    <row r="494">
      <c r="A494" s="133" t="str">
        <f>Saud!F494</f>
        <v>P-1-N-050121-55</v>
      </c>
      <c r="B494" s="133" t="str">
        <f>Saud!E494</f>
        <v>تمت طباعة الشهادة</v>
      </c>
      <c r="C494" s="133" t="str">
        <f>Saud!C494</f>
        <v>P-1-N-050121-54</v>
      </c>
    </row>
    <row r="495">
      <c r="A495" s="133" t="str">
        <f>Saud!F495</f>
        <v>Sanal Dog Trainers Mini Bones 300g</v>
      </c>
      <c r="B495" s="133" t="str">
        <f>Saud!E495</f>
        <v>تمت طباعة الشهادة</v>
      </c>
      <c r="C495" s="133" t="str">
        <f>Saud!C495</f>
        <v>P-1-N-050121-55</v>
      </c>
    </row>
    <row r="496">
      <c r="A496" s="133" t="str">
        <f>Saud!F496</f>
        <v>Butchers Functional Cat Beauty Salmon CIJ </v>
      </c>
      <c r="B496" s="133" t="str">
        <f>Saud!E496</f>
        <v>تمت طباعة الشهادة</v>
      </c>
      <c r="C496" s="133" t="str">
        <f>Saud!C496</f>
        <v>P-1-N-050121-56</v>
      </c>
    </row>
    <row r="497">
      <c r="A497" s="133" t="str">
        <f>Saud!F497</f>
        <v>Applaws Puppy Small Medium Breed 15kg</v>
      </c>
      <c r="B497" s="133" t="str">
        <f>Saud!E497</f>
        <v>تمت طباعة الشهادة</v>
      </c>
      <c r="C497" s="133" t="str">
        <f>Saud!C497</f>
        <v>P-1-N-070121-88</v>
      </c>
    </row>
    <row r="498">
      <c r="A498" s="133">
        <f>Saud!F498</f>
        <v>0</v>
      </c>
      <c r="B498" s="133" t="str">
        <f>Saud!E498</f>
        <v>تمت طباعة الشهادة</v>
      </c>
      <c r="C498" s="133" t="str">
        <f>Saud!C498</f>
        <v>P-1-N-070121-89</v>
      </c>
    </row>
    <row r="499">
      <c r="A499" s="133" t="str">
        <f>Saud!F499</f>
        <v>Applaws Adult Dog Small &amp; Medium Breed Chicken with Lamb 15kg</v>
      </c>
      <c r="B499" s="133" t="str">
        <f>Saud!E499</f>
        <v>تمت طباعة الشهادة</v>
      </c>
      <c r="C499" s="133" t="str">
        <f>Saud!C499</f>
        <v>P-1-N-070121-90</v>
      </c>
    </row>
    <row r="500">
      <c r="A500" s="133" t="str">
        <f>Saud!F500</f>
        <v>Tuna Soup with Squid 85g</v>
      </c>
      <c r="B500" s="133" t="str">
        <f>Saud!E500</f>
        <v>تمت طباعة الشهادة</v>
      </c>
      <c r="C500" s="133" t="str">
        <f>Saud!C500</f>
        <v>P-1-N-100121-106</v>
      </c>
    </row>
    <row r="501">
      <c r="A501" s="133" t="str">
        <f>Saud!F501</f>
        <v>Tuna Soup with Carrot and Pumpkin 85g</v>
      </c>
      <c r="B501" s="133" t="str">
        <f>Saud!E501</f>
        <v>تمت طباعة الشهادة</v>
      </c>
      <c r="C501" s="133" t="str">
        <f>Saud!C501</f>
        <v>P-1-N-100121-107</v>
      </c>
    </row>
    <row r="502">
      <c r="A502" s="133" t="str">
        <f>Saud!F502</f>
        <v>Tuna Soup with Papaya 85g</v>
      </c>
      <c r="B502" s="133" t="str">
        <f>Saud!E502</f>
        <v>REJECTED</v>
      </c>
      <c r="C502" s="133" t="str">
        <f>Saud!C502</f>
        <v>P-1-N-100121-109</v>
      </c>
    </row>
    <row r="503">
      <c r="A503" s="133" t="str">
        <f>Saud!F503</f>
        <v>Salmon Soup with Carrot 85g</v>
      </c>
      <c r="B503" s="133" t="str">
        <f>Saud!E503</f>
        <v>REJECTED</v>
      </c>
      <c r="C503" s="133" t="str">
        <f>Saud!C503</f>
        <v>P-1-N-100121-111</v>
      </c>
    </row>
    <row r="504">
      <c r="A504" s="133" t="str">
        <f>Saud!F504</f>
        <v>Salmon Soup with Carrot 85g</v>
      </c>
      <c r="B504" s="133" t="str">
        <f>Saud!E504</f>
        <v>REJECTED</v>
      </c>
      <c r="C504" s="133" t="str">
        <f>Saud!C504</f>
        <v>P-1-N-100121-112</v>
      </c>
    </row>
    <row r="505">
      <c r="A505" s="133" t="str">
        <f>Saud!F505</f>
        <v>Chicken with Carrot and Pumpkin 85g</v>
      </c>
      <c r="B505" s="133" t="str">
        <f>Saud!E505</f>
        <v>REJECTED</v>
      </c>
      <c r="C505" s="133" t="str">
        <f>Saud!C505</f>
        <v>P-1-N-100121-113</v>
      </c>
    </row>
    <row r="506">
      <c r="A506" s="133" t="str">
        <f>Saud!F506</f>
        <v>Multi-Vit Rabbits and Rodents 20 ml</v>
      </c>
      <c r="B506" s="133" t="str">
        <f>Saud!E506</f>
        <v>REJECTED</v>
      </c>
      <c r="C506" s="133" t="str">
        <f>Saud!C506</f>
        <v>P-1-N-100121-117</v>
      </c>
    </row>
    <row r="507">
      <c r="A507" s="133" t="str">
        <f>Saud!F507</f>
        <v>Applaws Adult Cat Ocean Fish with Salmon 1.8kg</v>
      </c>
      <c r="B507" s="133" t="str">
        <f>Saud!E507</f>
        <v>تمت طباعة الشهادة</v>
      </c>
      <c r="C507" s="133" t="str">
        <f>Saud!C507</f>
        <v>P-1-N-100121-118</v>
      </c>
    </row>
    <row r="508">
      <c r="A508" s="133">
        <f>Saud!F508</f>
        <v>0</v>
      </c>
      <c r="B508" s="133" t="str">
        <f>Saud!E508</f>
        <v>تمت طباعة الشهادة</v>
      </c>
      <c r="C508" s="133" t="str">
        <f>Saud!C508</f>
        <v>P-1-N-110121-140</v>
      </c>
    </row>
    <row r="509">
      <c r="A509" s="133" t="str">
        <f>Saud!F509</f>
        <v>Alfies Diner Succulent Chicken 100g</v>
      </c>
      <c r="B509" s="133" t="str">
        <f>Saud!E509</f>
        <v>تمت طباعة الشهادة</v>
      </c>
      <c r="C509" s="133" t="str">
        <f>Saud!C509</f>
        <v>P-1-N-110121-141</v>
      </c>
    </row>
    <row r="510">
      <c r="A510" s="133" t="str">
        <f>Saud!F510</f>
        <v>Alfies Diner Tender Turkey 100g</v>
      </c>
      <c r="B510" s="133" t="str">
        <f>Saud!E510</f>
        <v>تمت طباعة الشهادة</v>
      </c>
      <c r="C510" s="133" t="str">
        <f>Saud!C510</f>
        <v>P-1-N-110121-143</v>
      </c>
    </row>
    <row r="511">
      <c r="A511" s="133" t="str">
        <f>Saud!F511</f>
        <v>Federkur Paganol Vitamintropfen 50ml</v>
      </c>
      <c r="B511" s="133" t="str">
        <f>Saud!E511</f>
        <v>REJECTED</v>
      </c>
      <c r="C511" s="133" t="str">
        <f>Saud!C511</f>
        <v>P-1-N-240121-316</v>
      </c>
    </row>
    <row r="512">
      <c r="A512" s="133" t="str">
        <f>Saud!F512</f>
        <v>Healthy Treats Breath &amp; Dental for Dogs 70g</v>
      </c>
      <c r="B512" s="133" t="str">
        <f>Saud!E512</f>
        <v>تمت طباعة الشهادة</v>
      </c>
      <c r="C512" s="133" t="str">
        <f>Saud!C512</f>
        <v>P-1-N-240121-321</v>
      </c>
    </row>
    <row r="513">
      <c r="A513" s="133" t="str">
        <f>Saud!F513</f>
        <v>Healthy Treats Joint &amp; Hip for Dogs &amp; Puppies 70g</v>
      </c>
      <c r="B513" s="133" t="str">
        <f>Saud!E513</f>
        <v>تمت طباعة الشهادة</v>
      </c>
      <c r="C513" s="133" t="str">
        <f>Saud!C513</f>
        <v>P-1-N-240121-322</v>
      </c>
    </row>
    <row r="514">
      <c r="A514" s="133" t="str">
        <f>Saud!F514</f>
        <v>Healthy Treats Skin &amp; Coat For Dogs and Puppies 70g</v>
      </c>
      <c r="B514" s="133" t="str">
        <f>Saud!E514</f>
        <v>تمت طباعة الشهادة</v>
      </c>
      <c r="C514" s="133" t="str">
        <f>Saud!C514</f>
        <v>P-1-N-240121-323</v>
      </c>
    </row>
    <row r="515">
      <c r="A515" s="133" t="str">
        <f>Saud!F515</f>
        <v>Healthy Treats Teething for Puppies 50g</v>
      </c>
      <c r="B515" s="133" t="str">
        <f>Saud!E515</f>
        <v>تمت طباعة الشهادة</v>
      </c>
      <c r="C515" s="133" t="str">
        <f>Saud!C515</f>
        <v>P-1-N-240121-324</v>
      </c>
    </row>
    <row r="516">
      <c r="A516" s="133" t="str">
        <f>Saud!F516</f>
        <v>Healthy Bites Breath &amp; Dental For Cats &amp; Kittens 65g</v>
      </c>
      <c r="B516" s="133" t="str">
        <f>Saud!E516</f>
        <v>تمت طباعة الشهادة</v>
      </c>
      <c r="C516" s="133" t="str">
        <f>Saud!C516</f>
        <v>P-1-N-240121-325</v>
      </c>
    </row>
    <row r="517">
      <c r="A517" s="133">
        <f>Saud!F517</f>
        <v>0</v>
      </c>
      <c r="B517" s="133" t="str">
        <f>Saud!E517</f>
        <v>تمت طباعة الشهادة</v>
      </c>
      <c r="C517" s="133" t="str">
        <f>Saud!C517</f>
        <v>P-1-N-240121-326</v>
      </c>
    </row>
    <row r="518">
      <c r="A518" s="133" t="str">
        <f>Saud!F518</f>
        <v>Healthy Bites Urinary Care For Cats &amp; Kittens 65g</v>
      </c>
      <c r="B518" s="133" t="str">
        <f>Saud!E518</f>
        <v>تمت طباعة الشهادة</v>
      </c>
      <c r="C518" s="133" t="str">
        <f>Saud!C518</f>
        <v>P-1-N-240121-327</v>
      </c>
    </row>
    <row r="519">
      <c r="A519" s="133" t="str">
        <f>Saud!F519</f>
        <v>Applaws Chicken Breast with Lamb in Jelly 156g</v>
      </c>
      <c r="B519" s="133" t="str">
        <f>Saud!E519</f>
        <v>REJECTED</v>
      </c>
      <c r="C519" s="133" t="str">
        <f>Saud!C519</f>
        <v>P-1-N-280121-379</v>
      </c>
    </row>
    <row r="520">
      <c r="A520" s="133" t="str">
        <f>Saud!F520</f>
        <v>Tuna whole meat and rice in jelly 100g</v>
      </c>
      <c r="B520" s="133" t="str">
        <f>Saud!E520</f>
        <v>تمت طباعة الشهادة</v>
      </c>
      <c r="C520" s="133" t="str">
        <f>Saud!C520</f>
        <v>P-1-N-280121-385</v>
      </c>
    </row>
    <row r="521">
      <c r="A521" s="133" t="str">
        <f>Saud!F521</f>
        <v>Tuna with Chicken 100g</v>
      </c>
      <c r="B521" s="133" t="str">
        <f>Saud!E521</f>
        <v>تمت طباعة الشهادة</v>
      </c>
      <c r="C521" s="133" t="str">
        <f>Saud!C521</f>
        <v>P-1-N-280121-386</v>
      </c>
    </row>
    <row r="522">
      <c r="A522" s="133" t="str">
        <f>Saud!F522</f>
        <v>Chicken Fillets 100g</v>
      </c>
      <c r="B522" s="133" t="str">
        <f>Saud!E522</f>
        <v>تمت طباعة الشهادة</v>
      </c>
      <c r="C522" s="133" t="str">
        <f>Saud!C522</f>
        <v>P-1-N-280121-387</v>
      </c>
    </row>
    <row r="523">
      <c r="A523" s="133" t="str">
        <f>Saud!F523</f>
        <v>Tuna Whole Meat with Seabass in Gel 100g</v>
      </c>
      <c r="B523" s="133" t="str">
        <f>Saud!E523</f>
        <v>تمت طباعة الشهادة</v>
      </c>
      <c r="C523" s="133" t="str">
        <f>Saud!C523</f>
        <v>P-1-N-280121-388</v>
      </c>
    </row>
    <row r="524">
      <c r="A524" s="133" t="str">
        <f>Saud!F524</f>
        <v>Chicken with seabass in gel 100g</v>
      </c>
      <c r="B524" s="133" t="str">
        <f>Saud!E524</f>
        <v>تمت طباعة الشهادة</v>
      </c>
      <c r="C524" s="133" t="str">
        <f>Saud!C524</f>
        <v>P-1-N-280121-389</v>
      </c>
    </row>
    <row r="525">
      <c r="A525" s="133" t="str">
        <f>Saud!F525</f>
        <v>Kitten Tuna Whole Meat in Jelly 100g</v>
      </c>
      <c r="B525" s="133" t="str">
        <f>Saud!E525</f>
        <v>تمت طباعة الشهادة</v>
      </c>
      <c r="C525" s="133" t="str">
        <f>Saud!C525</f>
        <v>P-1-N-280121-390</v>
      </c>
    </row>
    <row r="526">
      <c r="A526" s="133" t="str">
        <f>Saud!F526</f>
        <v>Kitten Chicken Flake in Jelly 100g</v>
      </c>
      <c r="B526" s="133" t="str">
        <f>Saud!E526</f>
        <v>تمت طباعة الشهادة</v>
      </c>
      <c r="C526" s="133" t="str">
        <f>Saud!C526</f>
        <v>P-1-N-280121-391</v>
      </c>
    </row>
    <row r="527">
      <c r="A527" s="133">
        <f>Saud!F527</f>
        <v>0</v>
      </c>
      <c r="B527" s="133" t="str">
        <f>Saud!E527</f>
        <v>تمت طباعة الشهادة</v>
      </c>
      <c r="C527" s="133" t="str">
        <f>Saud!C527</f>
        <v>P-1-N-280121-393</v>
      </c>
    </row>
    <row r="528">
      <c r="A528" s="133" t="str">
        <f>Saud!F528</f>
        <v>Chicken and Rice in Chicken Broth 100g</v>
      </c>
      <c r="B528" s="133" t="str">
        <f>Saud!E528</f>
        <v>تمت طباعة الشهادة</v>
      </c>
      <c r="C528" s="133" t="str">
        <f>Saud!C528</f>
        <v>P-1-N-280121-394</v>
      </c>
    </row>
    <row r="529">
      <c r="A529" s="133" t="str">
        <f>Saud!F529</f>
        <v>Tuna White Meat, Seabream and Rice in Fish Broth 100g</v>
      </c>
      <c r="B529" s="133" t="str">
        <f>Saud!E529</f>
        <v>تمت طباعة الشهادة</v>
      </c>
      <c r="C529" s="133" t="str">
        <f>Saud!C529</f>
        <v>P-1-N-280121-395</v>
      </c>
    </row>
    <row r="530">
      <c r="A530" s="133" t="str">
        <f>Saud!F530</f>
        <v>Tuna Whole Meat with Salmon and Rice in Soft Jelly 100g</v>
      </c>
      <c r="B530" s="133" t="str">
        <f>Saud!E530</f>
        <v>تمت طباعة الشهادة</v>
      </c>
      <c r="C530" s="133" t="str">
        <f>Saud!C530</f>
        <v>P-1-N-280121-396</v>
      </c>
    </row>
    <row r="531">
      <c r="A531" s="133" t="str">
        <f>Saud!F531</f>
        <v>Tuna Whole Meat with Aloe and Rice in Gel 150g</v>
      </c>
      <c r="B531" s="133" t="str">
        <f>Saud!E531</f>
        <v>REJECTED</v>
      </c>
      <c r="C531" s="133" t="str">
        <f>Saud!C531</f>
        <v>P-1-N-280121-397</v>
      </c>
    </row>
    <row r="532">
      <c r="A532" s="133" t="str">
        <f>Saud!F532</f>
        <v>Chicken with Aloe and Rice in Jelly 150g</v>
      </c>
      <c r="B532" s="133" t="str">
        <f>Saud!E532</f>
        <v>REJECTED</v>
      </c>
      <c r="C532" s="133" t="str">
        <f>Saud!C532</f>
        <v>P-1-N-280121-398</v>
      </c>
    </row>
    <row r="533">
      <c r="A533" s="133" t="str">
        <f>Saud!F533</f>
        <v>Chicken and Rice with Aloe in Gel 140g</v>
      </c>
      <c r="B533" s="133" t="str">
        <f>Saud!E533</f>
        <v>REJECTED</v>
      </c>
      <c r="C533" s="133" t="str">
        <f>Saud!C533</f>
        <v>P-1-N-280121-399</v>
      </c>
    </row>
    <row r="534">
      <c r="A534" s="133" t="str">
        <f>Saud!F534</f>
        <v>Tuna with Aloe Kitten 140g</v>
      </c>
      <c r="B534" s="133" t="str">
        <f>Saud!E534</f>
        <v>REJECTED</v>
      </c>
      <c r="C534" s="133" t="str">
        <f>Saud!C534</f>
        <v>P-1-N-280121-400</v>
      </c>
    </row>
    <row r="535">
      <c r="A535" s="133" t="str">
        <f>Saud!F535</f>
        <v>Dog Tin Beef Steak 156g</v>
      </c>
      <c r="B535" s="133" t="str">
        <f>Saud!E535</f>
        <v>REJECTED</v>
      </c>
      <c r="C535" s="133" t="str">
        <f>Saud!C535</f>
        <v>P-1-N-310121-422</v>
      </c>
    </row>
    <row r="536">
      <c r="A536" s="133" t="str">
        <f>Saud!F536</f>
        <v>Dog Tin Beef Steak with Potato 156g</v>
      </c>
      <c r="B536" s="133" t="str">
        <f>Saud!E536</f>
        <v>REJECTED</v>
      </c>
      <c r="C536" s="133" t="str">
        <f>Saud!C536</f>
        <v>P-1-N-310121-423</v>
      </c>
    </row>
    <row r="537">
      <c r="A537" s="133">
        <f>Saud!F537</f>
        <v>0</v>
      </c>
      <c r="B537" s="133" t="str">
        <f>Saud!E537</f>
        <v>REJECTED</v>
      </c>
      <c r="C537" s="133" t="str">
        <f>Saud!C537</f>
        <v>P-1-N-310121-424</v>
      </c>
    </row>
    <row r="538">
      <c r="A538" s="133" t="str">
        <f>Saud!F538</f>
        <v>Canned Petfood Tuna &amp; Crab </v>
      </c>
      <c r="B538" s="133" t="str">
        <f>Saud!E538</f>
        <v>REJECTED</v>
      </c>
      <c r="C538" s="133" t="str">
        <f>Saud!C538</f>
        <v>P-1-N-020221-461</v>
      </c>
    </row>
    <row r="539">
      <c r="A539" s="133" t="str">
        <f>Saud!F539</f>
        <v>Canned Petfood Tuna &amp; Mackerel </v>
      </c>
      <c r="B539" s="133" t="str">
        <f>Saud!E539</f>
        <v>REJECTED</v>
      </c>
      <c r="C539" s="133" t="str">
        <f>Saud!C539</f>
        <v>P-1-N-020221-463</v>
      </c>
    </row>
    <row r="540">
      <c r="A540" s="133" t="str">
        <f>Saud!F540</f>
        <v>Canned Petfood Tuna &amp; Prawn </v>
      </c>
      <c r="B540" s="133" t="str">
        <f>Saud!E540</f>
        <v>REJECTED</v>
      </c>
      <c r="C540" s="133" t="str">
        <f>Saud!C540</f>
        <v>P-1-N-020221-464</v>
      </c>
    </row>
    <row r="541">
      <c r="A541" s="133" t="str">
        <f>Saud!F541</f>
        <v>Canned Petfood Tuna &amp; Katsuobushi </v>
      </c>
      <c r="B541" s="133" t="str">
        <f>Saud!E541</f>
        <v>رفض التس</v>
      </c>
      <c r="C541" s="133" t="str">
        <f>Saud!C541</f>
        <v>P-1-N-020221-465</v>
      </c>
    </row>
    <row r="542">
      <c r="A542" s="133" t="str">
        <f>Saud!F542</f>
        <v>Canned Petfood Tuna &amp; Whitebait </v>
      </c>
      <c r="B542" s="133" t="str">
        <f>Saud!E542</f>
        <v>REJECTED</v>
      </c>
      <c r="C542" s="133" t="str">
        <f>Saud!C542</f>
        <v>P-1-N-020221-466</v>
      </c>
    </row>
    <row r="543">
      <c r="A543" s="133" t="str">
        <f>Saud!F543</f>
        <v>Canned Petfood Mousse with Tuna 80g</v>
      </c>
      <c r="B543" s="133" t="str">
        <f>Saud!E543</f>
        <v>REJECTED</v>
      </c>
      <c r="C543" s="133" t="str">
        <f>Saud!C543</f>
        <v>P-1-N-020221-471</v>
      </c>
    </row>
    <row r="544">
      <c r="A544" s="133" t="str">
        <f>Saud!F544</f>
        <v>Canned Petfood Mousse with Chicken 80g</v>
      </c>
      <c r="B544" s="133" t="str">
        <f>Saud!E544</f>
        <v>REJECTED</v>
      </c>
      <c r="C544" s="133" t="str">
        <f>Saud!C544</f>
        <v>P-1-N-020221-472</v>
      </c>
    </row>
    <row r="545">
      <c r="A545" s="133" t="str">
        <f>Saud!F545</f>
        <v>Canned Petfood Tuna Mousse &amp; Chicken Toppers 80g</v>
      </c>
      <c r="B545" s="133" t="str">
        <f>Saud!E545</f>
        <v>REJECTED</v>
      </c>
      <c r="C545" s="133" t="str">
        <f>Saud!C545</f>
        <v>P-1-N-020221-473</v>
      </c>
    </row>
    <row r="546">
      <c r="A546" s="133" t="str">
        <f>Saud!F546</f>
        <v>Canned Petfood Chicken Mousse &amp; Tuna Toppers 80g</v>
      </c>
      <c r="B546" s="133" t="str">
        <f>Saud!E546</f>
        <v>REJECTED</v>
      </c>
      <c r="C546" s="133" t="str">
        <f>Saud!C546</f>
        <v>P-1-N-020221-474</v>
      </c>
    </row>
    <row r="547">
      <c r="A547" s="133">
        <f>Saud!F547</f>
        <v>0</v>
      </c>
      <c r="B547" s="133" t="str">
        <f>Saud!E547</f>
        <v>REJECTED</v>
      </c>
      <c r="C547" s="133" t="str">
        <f>Saud!C547</f>
        <v>P-1-N-080221-563</v>
      </c>
    </row>
    <row r="548">
      <c r="A548" s="133" t="str">
        <f>Saud!F548</f>
        <v>VetIQ 2in1 Dental Care Liquid 250ml</v>
      </c>
      <c r="B548" s="133" t="str">
        <f>Saud!E548</f>
        <v>REJECTED</v>
      </c>
      <c r="C548" s="133" t="str">
        <f>Saud!C548</f>
        <v>P-1-N-080221-564</v>
      </c>
    </row>
    <row r="549">
      <c r="A549" s="133" t="str">
        <f>Saud!F549</f>
        <v>VetIQ 2in1 Dental Care Chews 60g</v>
      </c>
      <c r="B549" s="133" t="str">
        <f>Saud!E549</f>
        <v>REJECTED</v>
      </c>
      <c r="C549" s="133" t="str">
        <f>Saud!C549</f>
        <v>P-1-N-080221-565</v>
      </c>
    </row>
    <row r="550">
      <c r="A550" s="133" t="str">
        <f>Saud!F550</f>
        <v>Dental Easy Treat 35g</v>
      </c>
      <c r="B550" s="133" t="str">
        <f>Saud!E550</f>
        <v>تمت طباعة الشهادة</v>
      </c>
      <c r="C550" s="133" t="str">
        <f>Saud!C550</f>
        <v>P-1-N-090221-582</v>
      </c>
    </row>
    <row r="551">
      <c r="A551" s="133" t="str">
        <f>Saud!F551</f>
        <v>Multi-Vit Rabbits and Rodents 20 ml</v>
      </c>
      <c r="B551" s="133" t="str">
        <f>Saud!E551</f>
        <v>تمت طباعة الشهادة</v>
      </c>
      <c r="C551" s="133" t="str">
        <f>Saud!C551</f>
        <v>P-1-N-090221-584</v>
      </c>
    </row>
    <row r="552">
      <c r="A552" s="133" t="str">
        <f>Saud!F552</f>
        <v>Federkur Paganol Vitamintropfen 50ml</v>
      </c>
      <c r="B552" s="133" t="str">
        <f>Saud!E552</f>
        <v>تمت طباعة الشهادة</v>
      </c>
      <c r="C552" s="133" t="str">
        <f>Saud!C552</f>
        <v>P-1-N-090221-585</v>
      </c>
    </row>
    <row r="553">
      <c r="A553" s="133">
        <f>Saud!F553</f>
        <v>0</v>
      </c>
      <c r="B553" s="133" t="str">
        <f>Saud!E553</f>
        <v>تمت طباعة الشهادة</v>
      </c>
      <c r="C553" s="133" t="str">
        <f>Saud!C553</f>
        <v>P-1-N-100221-613</v>
      </c>
    </row>
    <row r="554">
      <c r="A554" s="133" t="str">
        <f>Saud!F554</f>
        <v>Tuna Whole Meat with Aloe and Rice in Gel 150g</v>
      </c>
      <c r="B554" s="133" t="str">
        <f>Saud!E554</f>
        <v>تمت طباعة الشهادة</v>
      </c>
      <c r="C554" s="133" t="str">
        <f>Saud!C554</f>
        <v>P-1-N-170221-726</v>
      </c>
    </row>
    <row r="555">
      <c r="A555" s="133" t="str">
        <f>Saud!F555</f>
        <v>Chicken with Aloe and Rice in Jelly 150g</v>
      </c>
      <c r="B555" s="133" t="str">
        <f>Saud!E555</f>
        <v>تمت طباعة الشهادة</v>
      </c>
      <c r="C555" s="133" t="str">
        <f>Saud!C555</f>
        <v>P-1-N-170221-727</v>
      </c>
    </row>
    <row r="556">
      <c r="A556" s="133" t="str">
        <f>Saud!F556</f>
        <v>Chicken and Rice with Aloe in Gel 140g</v>
      </c>
      <c r="B556" s="133" t="str">
        <f>Saud!E556</f>
        <v>تمت طباعة الشهادة</v>
      </c>
      <c r="C556" s="133" t="str">
        <f>Saud!C556</f>
        <v>P-1-N-170221-728</v>
      </c>
    </row>
    <row r="557">
      <c r="A557" s="133" t="str">
        <f>Saud!F557</f>
        <v>Tuna with Aloe Kitten 140g</v>
      </c>
      <c r="B557" s="133" t="str">
        <f>Saud!E557</f>
        <v>تمت طباعة الشهادة</v>
      </c>
      <c r="C557" s="133" t="str">
        <f>Saud!C557</f>
        <v>P-1-N-170221-729</v>
      </c>
    </row>
    <row r="558">
      <c r="A558" s="133">
        <f>Saud!F558</f>
        <v>0</v>
      </c>
      <c r="B558" s="133" t="str">
        <f>Saud!E558</f>
        <v>تمت طباعة الشهادة</v>
      </c>
      <c r="C558" s="133" t="str">
        <f>Saud!C558</f>
        <v>P-1-N-210221-795</v>
      </c>
    </row>
    <row r="559">
      <c r="A559" s="133" t="str">
        <f>Saud!F559</f>
        <v>Schesir NS Dry Beef 2.24 kg</v>
      </c>
      <c r="B559" s="133" t="str">
        <f>Saud!E559</f>
        <v>تمت طباعة الشهادة</v>
      </c>
      <c r="C559" s="133" t="str">
        <f>Saud!C559</f>
        <v>P-1-N-210221-796</v>
      </c>
    </row>
    <row r="560">
      <c r="A560" s="133" t="str">
        <f>Saud!F560</f>
        <v>Schesir NS Dry Lamb 4.5 kg</v>
      </c>
      <c r="B560" s="133" t="str">
        <f>Saud!E560</f>
        <v>تمت طباعة الشهادة</v>
      </c>
      <c r="C560" s="133" t="str">
        <f>Saud!C560</f>
        <v>P-1-N-210221-797</v>
      </c>
    </row>
    <row r="561">
      <c r="A561" s="133" t="str">
        <f>Saud!F561</f>
        <v>Schesir NS Dry Tuna 4.5 kg</v>
      </c>
      <c r="B561" s="133" t="str">
        <f>Saud!E561</f>
        <v>تمت طباعة الشهادة</v>
      </c>
      <c r="C561" s="133" t="str">
        <f>Saud!C561</f>
        <v>P-1-N-210221-798</v>
      </c>
    </row>
    <row r="562">
      <c r="A562" s="133" t="str">
        <f>Saud!F562</f>
        <v>Schesir NS Dry Beef 2.24 kg</v>
      </c>
      <c r="B562" s="133" t="str">
        <f>Saud!E562</f>
        <v>تمت طباعة الشهادة</v>
      </c>
      <c r="C562" s="133" t="str">
        <f>Saud!C562</f>
        <v>P-1-N-210221-799</v>
      </c>
    </row>
    <row r="563">
      <c r="A563" s="133" t="str">
        <f>Saud!F563</f>
        <v>Schesir NS Dry Beef 9.6 kg</v>
      </c>
      <c r="B563" s="133" t="str">
        <f>Saud!E563</f>
        <v>تمت طباعة الشهادة</v>
      </c>
      <c r="C563" s="133" t="str">
        <f>Saud!C563</f>
        <v>P-1-N-210221-800</v>
      </c>
    </row>
    <row r="564">
      <c r="A564" s="133" t="str">
        <f>Saud!F564</f>
        <v>Schesir NS Dry Tuna 4.5 kg</v>
      </c>
      <c r="B564" s="133" t="str">
        <f>Saud!E564</f>
        <v>تمت طباعة الشهادة</v>
      </c>
      <c r="C564" s="133" t="str">
        <f>Saud!C564</f>
        <v>P-1-N-210221-801</v>
      </c>
    </row>
    <row r="565">
      <c r="A565" s="133" t="str">
        <f>Saud!F565</f>
        <v>Schesir NS Dry Turkey 4.5 kg</v>
      </c>
      <c r="B565" s="133" t="str">
        <f>Saud!E565</f>
        <v>تمت طباعة الشهادة</v>
      </c>
      <c r="C565" s="133" t="str">
        <f>Saud!C565</f>
        <v>P-1-N-210221-802</v>
      </c>
    </row>
    <row r="566">
      <c r="A566" s="133" t="str">
        <f>Saud!F566</f>
        <v>Schesir NS Dry Duck 4.5 kg</v>
      </c>
      <c r="B566" s="133" t="str">
        <f>Saud!E566</f>
        <v>تمت طباعة الشهادة</v>
      </c>
      <c r="C566" s="133" t="str">
        <f>Saud!C566</f>
        <v>P-1-N-210221-803</v>
      </c>
    </row>
    <row r="567">
      <c r="A567" s="133" t="str">
        <f>Saud!F567</f>
        <v>Schesir NS Dry Beef 4.5 kg</v>
      </c>
      <c r="B567" s="133" t="str">
        <f>Saud!E567</f>
        <v>تمت طباعة الشهادة</v>
      </c>
      <c r="C567" s="133" t="str">
        <f>Saud!C567</f>
        <v>P-1-N-210221-804</v>
      </c>
    </row>
    <row r="568">
      <c r="A568" s="133">
        <f>Saud!F568</f>
        <v>0</v>
      </c>
      <c r="B568" s="133" t="str">
        <f>Saud!E568</f>
        <v>تمت طباعة الشهادة</v>
      </c>
      <c r="C568" s="133" t="str">
        <f>Saud!C568</f>
        <v>P-1-N-030321-1071</v>
      </c>
    </row>
    <row r="569">
      <c r="A569" s="133" t="str">
        <f>Saud!F569</f>
        <v>Schesir NS Dry Duck 350g</v>
      </c>
      <c r="B569" s="133" t="str">
        <f>Saud!E569</f>
        <v>تمت طباعة الشهادة</v>
      </c>
      <c r="C569" s="133" t="str">
        <f>Saud!C569</f>
        <v>P-1-N-070321-1126</v>
      </c>
    </row>
    <row r="570">
      <c r="A570" s="133" t="str">
        <f>Saud!F570</f>
        <v>Schesir NS Dry Turkey 350g</v>
      </c>
      <c r="B570" s="133" t="str">
        <f>Saud!E570</f>
        <v>تمت طباعة الشهادة</v>
      </c>
      <c r="C570" s="133" t="str">
        <f>Saud!C570</f>
        <v>P-1-N-070321-1127</v>
      </c>
    </row>
    <row r="571">
      <c r="A571" s="133" t="str">
        <f>Saud!F571</f>
        <v>Schesir NS Dry Chicken 350g</v>
      </c>
      <c r="B571" s="133" t="str">
        <f>Saud!E571</f>
        <v>تمت طباعة الشهادة</v>
      </c>
      <c r="C571" s="133" t="str">
        <f>Saud!C571</f>
        <v>P-1-N-070321-1128</v>
      </c>
    </row>
    <row r="572">
      <c r="A572" s="133" t="str">
        <f>Saud!F572</f>
        <v>English Name</v>
      </c>
      <c r="B572" s="133" t="str">
        <f>Saud!E572</f>
        <v>تمت طباعة الشهادة</v>
      </c>
      <c r="C572" s="133" t="str">
        <f>Saud!C572</f>
        <v>P-1-N-070321-1130</v>
      </c>
    </row>
    <row r="573">
      <c r="A573" s="133" t="str">
        <f>Saud!F573</f>
        <v>Butchers Functional Dog Junior Lamb CIJ </v>
      </c>
      <c r="B573" s="133" t="str">
        <f>Saud!E573</f>
        <v>تمت طباعة الشهادة</v>
      </c>
      <c r="C573" s="133" t="str">
        <f>Saud!C573</f>
        <v>P-1-N-070321-1132</v>
      </c>
    </row>
    <row r="574">
      <c r="A574" s="133" t="str">
        <f>Saud!F574</f>
        <v>Tiki Cat Velvet Mousse with Chicken &amp; Egg 80g</v>
      </c>
      <c r="B574" s="133" t="str">
        <f>Saud!E574</f>
        <v>تمت طباعة الشهادة</v>
      </c>
      <c r="C574" s="133" t="str">
        <f>Saud!C574</f>
        <v>P-1-N-070321-1133</v>
      </c>
    </row>
    <row r="575">
      <c r="A575" s="133" t="str">
        <f>Saud!F575</f>
        <v>Kit Cat Deboned Tuna Classic Aspic for Kitten 80g</v>
      </c>
      <c r="B575" s="133" t="str">
        <f>Saud!E575</f>
        <v>REJECTED</v>
      </c>
      <c r="C575" s="133" t="str">
        <f>Saud!C575</f>
        <v>P-1-N-070321-1138</v>
      </c>
    </row>
    <row r="576">
      <c r="A576" s="133" t="str">
        <f>Saud!F576</f>
        <v>Kit Cat Deboned Chicken Classic Aspic for Kitten 80g</v>
      </c>
      <c r="B576" s="133" t="str">
        <f>Saud!E576</f>
        <v>REJECTED</v>
      </c>
      <c r="C576" s="133" t="str">
        <f>Saud!C576</f>
        <v>P-1-N-070321-1139</v>
      </c>
    </row>
    <row r="577">
      <c r="A577" s="133" t="str">
        <f>Saud!F577</f>
        <v>Dog Churu Chicken Recipe 80g</v>
      </c>
      <c r="B577" s="133" t="str">
        <f>Saud!E577</f>
        <v>تمت طباعة الشهادة</v>
      </c>
      <c r="C577" s="133" t="str">
        <f>Saud!C577</f>
        <v>P-1-N-080321-1168</v>
      </c>
    </row>
    <row r="578">
      <c r="A578" s="133" t="str">
        <f>Saud!F578</f>
        <v>Dog Churu Chicken with Tuna Recipe 80g</v>
      </c>
      <c r="B578" s="133" t="str">
        <f>Saud!E578</f>
        <v>تمت طباعة الشهادة</v>
      </c>
      <c r="C578" s="133" t="str">
        <f>Saud!C578</f>
        <v>P-1-N-080321-1169</v>
      </c>
    </row>
    <row r="579">
      <c r="A579" s="133" t="str">
        <f>Saud!F579</f>
        <v>Dog Churu Chicken with Salmon Recipe 80g</v>
      </c>
      <c r="B579" s="133" t="str">
        <f>Saud!E579</f>
        <v>تمت طباعة الشهادة</v>
      </c>
      <c r="C579" s="133" t="str">
        <f>Saud!C579</f>
        <v>P-1-N-080321-1170</v>
      </c>
    </row>
    <row r="580">
      <c r="A580" s="133" t="str">
        <f>Saud!F580</f>
        <v>Dog Churu Chicken with Cheese Recipe 80g</v>
      </c>
      <c r="B580" s="133" t="str">
        <f>Saud!E580</f>
        <v>تمت طباعة الشهادة</v>
      </c>
      <c r="C580" s="133" t="str">
        <f>Saud!C580</f>
        <v>P-1-N-080321-1171</v>
      </c>
    </row>
    <row r="581">
      <c r="A581" s="133" t="str">
        <f>Saud!F581</f>
        <v>Dog Churu Chicken with Vegetables Recipe 80g</v>
      </c>
      <c r="B581" s="133" t="str">
        <f>Saud!E581</f>
        <v>تمت طباعة الشهادة</v>
      </c>
      <c r="C581" s="133" t="str">
        <f>Saud!C581</f>
        <v>P-1-N-080321-1172</v>
      </c>
    </row>
    <row r="582">
      <c r="A582" s="133" t="str">
        <f>Saud!F582</f>
        <v>Churu Bites for Dog Chicken Recipe Wraps Chicken Recipe 96g</v>
      </c>
      <c r="B582" s="133" t="str">
        <f>Saud!E582</f>
        <v>تمت طباعة الشهادة</v>
      </c>
      <c r="C582" s="133" t="str">
        <f>Saud!C582</f>
        <v>P-1-N-080321-1173</v>
      </c>
    </row>
    <row r="583">
      <c r="A583" s="133" t="str">
        <f>Saud!F583</f>
        <v>Churu Bites for Dog Chicken Recipe Wraps Chicken with Tuna Recipe 96g</v>
      </c>
      <c r="B583" s="133" t="str">
        <f>Saud!E583</f>
        <v>تمت طباعة الشهادة</v>
      </c>
      <c r="C583" s="133" t="str">
        <f>Saud!C583</f>
        <v>P-1-N-080321-1174</v>
      </c>
    </row>
    <row r="584">
      <c r="A584" s="133" t="str">
        <f>Saud!F584</f>
        <v>Churu Bites for Dog Chicken Recipe Wraps Chicken with Cheese Recipe 96g</v>
      </c>
      <c r="B584" s="133" t="str">
        <f>Saud!E584</f>
        <v>تمت طباعة الشهادة</v>
      </c>
      <c r="C584" s="133" t="str">
        <f>Saud!C584</f>
        <v>P-1-N-080321-1175</v>
      </c>
    </row>
    <row r="585">
      <c r="A585" s="133" t="str">
        <f>Saud!F585</f>
        <v>Churu Bites for Dog Chicken Recipe Wraps Chicken with Salmon Recipe 96g</v>
      </c>
      <c r="B585" s="133" t="str">
        <f>Saud!E585</f>
        <v>تمت طباعة الشهادة</v>
      </c>
      <c r="C585" s="133" t="str">
        <f>Saud!C585</f>
        <v>P-1-N-080321-1176</v>
      </c>
    </row>
    <row r="586">
      <c r="A586" s="133" t="str">
        <f>Saud!F586</f>
        <v>Churu Rolls for Dog Chicken Recipe Wraps Chicken Recipe 96g</v>
      </c>
      <c r="B586" s="133" t="str">
        <f>Saud!E586</f>
        <v>تمت طباعة الشهادة</v>
      </c>
      <c r="C586" s="133" t="str">
        <f>Saud!C586</f>
        <v>P-1-N-080321-1177</v>
      </c>
    </row>
    <row r="587">
      <c r="A587" s="133" t="str">
        <f>Saud!F587</f>
        <v>Churu Rolls for Dog Chicken Recipe Wraps Chicken with Salmon Recipe 96g</v>
      </c>
      <c r="B587" s="133" t="str">
        <f>Saud!E587</f>
        <v>تمت طباعة الشهادة</v>
      </c>
      <c r="C587" s="133" t="str">
        <f>Saud!C587</f>
        <v>P-1-N-080321-1178</v>
      </c>
    </row>
    <row r="588">
      <c r="A588" s="133" t="str">
        <f>Saud!F588</f>
        <v>Churu Rolls for Dog Chicken Recipe Wraps Chicken with Cheese Recipe 96g</v>
      </c>
      <c r="B588" s="133" t="str">
        <f>Saud!E588</f>
        <v>تمت طباعة الشهادة</v>
      </c>
      <c r="C588" s="133" t="str">
        <f>Saud!C588</f>
        <v>P-1-N-080321-1179</v>
      </c>
    </row>
    <row r="589">
      <c r="A589" s="133" t="str">
        <f>Saud!F589</f>
        <v>Applaws Kitten Tuna 70g</v>
      </c>
      <c r="B589" s="133" t="str">
        <f>Saud!E589</f>
        <v>تمت طباعة الشهادة</v>
      </c>
      <c r="C589" s="133" t="str">
        <f>Saud!C589</f>
        <v>P-1-N-080321-1191</v>
      </c>
    </row>
    <row r="590">
      <c r="A590" s="133" t="str">
        <f>Saud!F590</f>
        <v>Applaws Chicken with Duck in Jelly 156g</v>
      </c>
      <c r="B590" s="133" t="str">
        <f>Saud!E590</f>
        <v>تمت طباعة الشهادة</v>
      </c>
      <c r="C590" s="133" t="str">
        <f>Saud!C590</f>
        <v>P-1-N-080321-1192</v>
      </c>
    </row>
    <row r="591">
      <c r="A591" s="133" t="str">
        <f>Saud!F591</f>
        <v>Applaws Chicken with Lamb in Jelly 156g</v>
      </c>
      <c r="B591" s="133" t="str">
        <f>Saud!E591</f>
        <v>تمت طباعة الشهادة</v>
      </c>
      <c r="C591" s="133" t="str">
        <f>Saud!C591</f>
        <v>P-1-N-080321-1193</v>
      </c>
    </row>
    <row r="592">
      <c r="A592" s="133" t="str">
        <f>Saud!F592</f>
        <v>Applaws Cat Pouch 70g Tuna with Seabream</v>
      </c>
      <c r="B592" s="133" t="str">
        <f>Saud!E592</f>
        <v>REJECTED</v>
      </c>
      <c r="C592" s="133" t="str">
        <f>Saud!C592</f>
        <v>P-1-N-080321-1194</v>
      </c>
    </row>
    <row r="593">
      <c r="A593" s="133" t="str">
        <f>Saud!F593</f>
        <v>Kit Cat Deboned Tuna Classic Aspic for Kitten 80g</v>
      </c>
      <c r="B593" s="133" t="str">
        <f>Saud!E593</f>
        <v>REJECTED</v>
      </c>
      <c r="C593" s="133" t="str">
        <f>Saud!C593</f>
        <v>P-1-N-090321-1210</v>
      </c>
    </row>
    <row r="594">
      <c r="A594" s="133" t="str">
        <f>Saud!F594</f>
        <v>Butcher’s Beef 15kg</v>
      </c>
      <c r="B594" s="133" t="str">
        <f>Saud!E594</f>
        <v>تمت طباعة الشهادة</v>
      </c>
      <c r="C594" s="133" t="str">
        <f>Saud!C594</f>
        <v>P-1-N-110321-1246</v>
      </c>
    </row>
    <row r="595">
      <c r="A595" s="133" t="str">
        <f>Saud!F595</f>
        <v>Butcher’s Chicken 15kg</v>
      </c>
      <c r="B595" s="133" t="str">
        <f>Saud!E595</f>
        <v>تمت طباعة الشهادة</v>
      </c>
      <c r="C595" s="133" t="str">
        <f>Saud!C595</f>
        <v>P-1-N-110321-1247</v>
      </c>
    </row>
    <row r="596">
      <c r="A596" s="133" t="str">
        <f>Saud!F596</f>
        <v>Chicken with Pumpkin 70g</v>
      </c>
      <c r="B596" s="133" t="str">
        <f>Saud!E596</f>
        <v>تمت طباعة الشهادة</v>
      </c>
      <c r="C596" s="133" t="str">
        <f>Saud!C596</f>
        <v>P-1-N-140321-1268</v>
      </c>
    </row>
    <row r="597">
      <c r="A597" s="133" t="str">
        <f>Saud!F597</f>
        <v>Applaws Cat Pouch 70g Tuna with Prawn</v>
      </c>
      <c r="B597" s="133" t="str">
        <f>Saud!E597</f>
        <v>تمت طباعة الشهادة</v>
      </c>
      <c r="C597" s="133" t="str">
        <f>Saud!C597</f>
        <v>P-1-N-140321-1270</v>
      </c>
    </row>
    <row r="598">
      <c r="A598" s="133" t="str">
        <f>Saud!F598</f>
        <v>Kit Cat Deboned Chicken &amp; Whitebait Toppers 80g</v>
      </c>
      <c r="B598" s="133" t="str">
        <f>Saud!E598</f>
        <v>تمت طباعة الشهادة</v>
      </c>
      <c r="C598" s="133" t="str">
        <f>Saud!C598</f>
        <v>P-1-N-140321-1272</v>
      </c>
    </row>
    <row r="599">
      <c r="A599" s="133" t="str">
        <f>Saud!F599</f>
        <v>Kit Cat Chicken &amp; Crabstick Toppers 80g</v>
      </c>
      <c r="B599" s="133" t="str">
        <f>Saud!E599</f>
        <v>تمت طباعة الشهادة</v>
      </c>
      <c r="C599" s="133" t="str">
        <f>Saud!C599</f>
        <v>P-1-N-140321-1273</v>
      </c>
    </row>
    <row r="600">
      <c r="A600" s="133" t="str">
        <f>Saud!F600</f>
        <v>Kit Cat Deboned Tuna and Whitebait Toppers 80g</v>
      </c>
      <c r="B600" s="133" t="str">
        <f>Saud!E600</f>
        <v>تمت طباعة الشهادة</v>
      </c>
      <c r="C600" s="133" t="str">
        <f>Saud!C600</f>
        <v>P-1-N-140321-1274</v>
      </c>
    </row>
    <row r="601">
      <c r="A601" s="133" t="str">
        <f>Saud!F601</f>
        <v>Kit Cat Tuna with Anchovy </v>
      </c>
      <c r="B601" s="133" t="str">
        <f>Saud!E601</f>
        <v>تمت طباعة الشهادة</v>
      </c>
      <c r="C601" s="133" t="str">
        <f>Saud!C601</f>
        <v>P-1-N-140321-1276</v>
      </c>
    </row>
    <row r="602">
      <c r="A602" s="133" t="str">
        <f>Saud!F602</f>
        <v>Kit Cat Tuna with Chicken </v>
      </c>
      <c r="B602" s="133" t="str">
        <f>Saud!E602</f>
        <v>تمت طباعة الشهادة</v>
      </c>
      <c r="C602" s="133" t="str">
        <f>Saud!C602</f>
        <v>P-1-N-140321-1277</v>
      </c>
    </row>
    <row r="603">
      <c r="A603" s="133" t="str">
        <f>Saud!F603</f>
        <v>Kit Cat Canned Petfood Atlantic Tuna with Wild Salmon </v>
      </c>
      <c r="B603" s="133" t="str">
        <f>Saud!E603</f>
        <v>REJECTED</v>
      </c>
      <c r="C603" s="133" t="str">
        <f>Saud!C603</f>
        <v>P-1-N-140321-1278</v>
      </c>
    </row>
    <row r="604">
      <c r="A604" s="133" t="str">
        <f>Saud!F604</f>
        <v>NutriMeal Mixed Food for Hamsters 600g</v>
      </c>
      <c r="B604" s="133" t="str">
        <f>Saud!E604</f>
        <v>تمت طباعة الشهادة</v>
      </c>
      <c r="C604" s="133" t="str">
        <f>Saud!C604</f>
        <v>P-1-N-210321-1423</v>
      </c>
    </row>
    <row r="605">
      <c r="A605" s="133" t="str">
        <f>Saud!F605</f>
        <v>Butchers Functional Dog Junior Chicken CIJ </v>
      </c>
      <c r="B605" s="133" t="str">
        <f>Saud!E605</f>
        <v>تمت طباعة الشهادة</v>
      </c>
      <c r="C605" s="133" t="str">
        <f>Saud!C605</f>
        <v>P-1-N-280321-1540</v>
      </c>
    </row>
    <row r="606">
      <c r="A606" s="133" t="str">
        <f>Saud!F606</f>
        <v>Butchers Functional Dog Junior Lamb CIJ </v>
      </c>
      <c r="B606" s="133" t="str">
        <f>Saud!E606</f>
        <v>تمت طباعة الشهادة</v>
      </c>
      <c r="C606" s="133" t="str">
        <f>Saud!C606</f>
        <v>P-1-N-280321-1541</v>
      </c>
    </row>
    <row r="607">
      <c r="A607" s="133" t="str">
        <f>Saud!F607</f>
        <v>Butchers Functional Dog Junior Lamb CIJ </v>
      </c>
      <c r="B607" s="133" t="str">
        <f>Saud!E607</f>
        <v>تمت طباعة الشهادة</v>
      </c>
      <c r="C607" s="133" t="str">
        <f>Saud!C607</f>
        <v>P-1-N-290321-1563</v>
      </c>
    </row>
    <row r="608">
      <c r="A608" s="133" t="str">
        <f>Saud!F608</f>
        <v>Chicken with Rice 156g</v>
      </c>
      <c r="B608" s="133" t="str">
        <f>Saud!E608</f>
        <v>تمت طباعة الشهادة</v>
      </c>
      <c r="C608" s="133" t="str">
        <f>Saud!C608</f>
        <v>P-1-N-010421-1645</v>
      </c>
    </row>
    <row r="609">
      <c r="A609" s="133" t="str">
        <f>Saud!F609</f>
        <v>Chicken with Beef Liver and Vegetable 156 g</v>
      </c>
      <c r="B609" s="133" t="str">
        <f>Saud!E609</f>
        <v>تمت طباعة الشهادة</v>
      </c>
      <c r="C609" s="133" t="str">
        <f>Saud!C609</f>
        <v>P-1-N-010421-1652</v>
      </c>
    </row>
    <row r="610">
      <c r="A610" s="133" t="str">
        <f>Saud!F610</f>
        <v>Crispy Muesli Hamsters &amp; Co 2.75 kg</v>
      </c>
      <c r="B610" s="133" t="str">
        <f>Saud!E610</f>
        <v>تمت طباعة الشهادة</v>
      </c>
      <c r="C610" s="133" t="str">
        <f>Saud!C610</f>
        <v>P-1-N-060421-1830</v>
      </c>
    </row>
    <row r="611">
      <c r="A611" s="133" t="str">
        <f>Saud!F611</f>
        <v>Festival 15kg</v>
      </c>
      <c r="B611" s="133" t="str">
        <f>Saud!E611</f>
        <v>تمت طباعة الشهادة</v>
      </c>
      <c r="C611" s="133" t="str">
        <f>Saud!C611</f>
        <v>P-1-N-270421-2279</v>
      </c>
    </row>
    <row r="612">
      <c r="A612" s="133" t="str">
        <f>Saud!F612</f>
        <v>Kids 15kg</v>
      </c>
      <c r="B612" s="133" t="str">
        <f>Saud!E612</f>
        <v>تمت طباعة الشهادة</v>
      </c>
      <c r="C612" s="133" t="str">
        <f>Saud!C612</f>
        <v>P-1-N-270421-2288</v>
      </c>
    </row>
    <row r="613">
      <c r="A613" s="133" t="str">
        <f>Saud!F613</f>
        <v>FamilyPlus 15kg</v>
      </c>
      <c r="B613" s="133" t="str">
        <f>Saud!E613</f>
        <v>تمت طباعة الشهادة</v>
      </c>
      <c r="C613" s="133" t="str">
        <f>Saud!C613</f>
        <v>P-1-N-270421-2294</v>
      </c>
    </row>
    <row r="614">
      <c r="A614" s="133" t="str">
        <f>Saud!F614</f>
        <v>Hypoallergenic 15kg</v>
      </c>
      <c r="B614" s="133" t="str">
        <f>Saud!E614</f>
        <v>تمت طباعة الشهادة</v>
      </c>
      <c r="C614" s="133" t="str">
        <f>Saud!C614</f>
        <v>P-1-N-270421-2295</v>
      </c>
    </row>
    <row r="615">
      <c r="A615" s="133" t="str">
        <f>Saud!F615</f>
        <v>JosiDog Economy 15kg</v>
      </c>
      <c r="B615" s="133" t="str">
        <f>Saud!E615</f>
        <v>تمت طباعة الشهادة</v>
      </c>
      <c r="C615" s="133" t="str">
        <f>Saud!C615</f>
        <v>P-1-N-270421-2297</v>
      </c>
    </row>
    <row r="616">
      <c r="A616" s="133" t="str">
        <f>Saud!F616</f>
        <v>MiniDeluxe 15kg</v>
      </c>
      <c r="B616" s="133" t="str">
        <f>Saud!E616</f>
        <v>تمت طباعة الشهادة</v>
      </c>
      <c r="C616" s="133" t="str">
        <f>Saud!C616</f>
        <v>P-1-N-270421-2309</v>
      </c>
    </row>
    <row r="617">
      <c r="A617" s="133" t="str">
        <f>Saud!F617</f>
        <v>MiniJunior 15kg</v>
      </c>
      <c r="B617" s="133" t="str">
        <f>Saud!E617</f>
        <v>تمت طباعة الشهادة</v>
      </c>
      <c r="C617" s="133" t="str">
        <f>Saud!C617</f>
        <v>P-1-N-270421-2310</v>
      </c>
    </row>
    <row r="618">
      <c r="A618" s="133" t="str">
        <f>Saud!F618</f>
        <v>Optiness 15kg</v>
      </c>
      <c r="B618" s="133" t="str">
        <f>Saud!E618</f>
        <v>تمت طباعة الشهادة</v>
      </c>
      <c r="C618" s="133" t="str">
        <f>Saud!C618</f>
        <v>P-1-N-270421-2311</v>
      </c>
    </row>
    <row r="619">
      <c r="A619" s="133" t="str">
        <f>Saud!F619</f>
        <v>SensiCat 10kg</v>
      </c>
      <c r="B619" s="133" t="str">
        <f>Saud!E619</f>
        <v>تمت طباعة الشهادة</v>
      </c>
      <c r="C619" s="133" t="str">
        <f>Saud!C619</f>
        <v>P-1-N-270421-2312</v>
      </c>
    </row>
    <row r="620">
      <c r="A620" s="133" t="str">
        <f>Saud!F620</f>
        <v>SensiJunior 15kg</v>
      </c>
      <c r="B620" s="133" t="str">
        <f>Saud!E620</f>
        <v>تمت طباعة الشهادة</v>
      </c>
      <c r="C620" s="133" t="str">
        <f>Saud!C620</f>
        <v>P-1-N-270421-2313</v>
      </c>
    </row>
    <row r="621">
      <c r="A621" s="133" t="str">
        <f>Saud!F621</f>
        <v>SensiPlus 15kg</v>
      </c>
      <c r="B621" s="133" t="str">
        <f>Saud!E621</f>
        <v>تمت طباعة الشهادة</v>
      </c>
      <c r="C621" s="133" t="str">
        <f>Saud!C621</f>
        <v>P-1-N-270421-2314</v>
      </c>
    </row>
    <row r="622">
      <c r="A622" s="133" t="str">
        <f>Saud!F622</f>
        <v>YoungStar 15kg</v>
      </c>
      <c r="B622" s="133" t="str">
        <f>Saud!E622</f>
        <v>تمت طباعة الشهادة</v>
      </c>
      <c r="C622" s="133" t="str">
        <f>Saud!C622</f>
        <v>P-1-N-270421-2315</v>
      </c>
    </row>
    <row r="623">
      <c r="A623" s="133" t="str">
        <f>Saud!F623</f>
        <v>Schesir NS Dry Turkey 490g</v>
      </c>
      <c r="B623" s="133" t="str">
        <f>Saud!E623</f>
        <v>REJECTED</v>
      </c>
      <c r="C623" s="133" t="str">
        <f>Saud!C623</f>
        <v>P-1-N-020521-2376</v>
      </c>
    </row>
    <row r="624">
      <c r="A624" s="133" t="str">
        <f>Saud!F624</f>
        <v>Schesir NS Dry Turkey 490g</v>
      </c>
      <c r="B624" s="133" t="str">
        <f>Saud!E624</f>
        <v>تمت طباعة الشهادة</v>
      </c>
      <c r="C624" s="133" t="str">
        <f>Saud!C624</f>
        <v>P-1-N-020521-2377</v>
      </c>
    </row>
    <row r="625">
      <c r="A625" s="133" t="str">
        <f>Saud!F625</f>
        <v>Schesir NS Dry Lamb 490g</v>
      </c>
      <c r="B625" s="133" t="str">
        <f>Saud!E625</f>
        <v>REJECTED</v>
      </c>
      <c r="C625" s="133" t="str">
        <f>Saud!C625</f>
        <v>P-1-N-020521-2378</v>
      </c>
    </row>
    <row r="626">
      <c r="A626" s="133" t="str">
        <f>Saud!F626</f>
        <v>Schesir NS Dry Lamb 490g</v>
      </c>
      <c r="B626" s="133" t="str">
        <f>Saud!E626</f>
        <v>تمت طباعة الشهادة</v>
      </c>
      <c r="C626" s="133" t="str">
        <f>Saud!C626</f>
        <v>P-1-N-020521-2379</v>
      </c>
    </row>
    <row r="627">
      <c r="A627" s="133" t="str">
        <f>Saud!F627</f>
        <v>Festival 900g</v>
      </c>
      <c r="B627" s="133" t="str">
        <f>Saud!E627</f>
        <v>تمت طباعة الشهادة</v>
      </c>
      <c r="C627" s="133" t="str">
        <f>Saud!C627</f>
        <v>P-1-N-040521-2440</v>
      </c>
    </row>
    <row r="628">
      <c r="A628" s="133" t="str">
        <f>Saud!F628</f>
        <v>Kids 900g</v>
      </c>
      <c r="B628" s="133" t="str">
        <f>Saud!E628</f>
        <v>تمت طباعة الشهادة</v>
      </c>
      <c r="C628" s="133" t="str">
        <f>Saud!C628</f>
        <v>P-1-N-040521-2441</v>
      </c>
    </row>
    <row r="629">
      <c r="A629" s="133" t="str">
        <f>Saud!F629</f>
        <v>Hypoallergenic 900g</v>
      </c>
      <c r="B629" s="133" t="str">
        <f>Saud!E629</f>
        <v>تمت طباعة الشهادة</v>
      </c>
      <c r="C629" s="133" t="str">
        <f>Saud!C629</f>
        <v>P-1-N-040521-2442</v>
      </c>
    </row>
    <row r="630">
      <c r="A630" s="133" t="str">
        <f>Saud!F630</f>
        <v>MiniDeluxe 900g</v>
      </c>
      <c r="B630" s="133" t="str">
        <f>Saud!E630</f>
        <v>تمت طباعة الشهادة</v>
      </c>
      <c r="C630" s="133" t="str">
        <f>Saud!C630</f>
        <v>P-1-N-040521-2443</v>
      </c>
    </row>
    <row r="631">
      <c r="A631" s="133" t="str">
        <f>Saud!F631</f>
        <v>MiniJunior 900g</v>
      </c>
      <c r="B631" s="133" t="str">
        <f>Saud!E631</f>
        <v>تمت طباعة الشهادة</v>
      </c>
      <c r="C631" s="133" t="str">
        <f>Saud!C631</f>
        <v>P-1-N-040521-2444</v>
      </c>
    </row>
    <row r="632">
      <c r="A632" s="133" t="str">
        <f>Saud!F632</f>
        <v>Optiness 900g</v>
      </c>
      <c r="B632" s="133" t="str">
        <f>Saud!E632</f>
        <v>تمت طباعة الشهادة</v>
      </c>
      <c r="C632" s="133" t="str">
        <f>Saud!C632</f>
        <v>P-1-N-040521-2445</v>
      </c>
    </row>
    <row r="633">
      <c r="A633" s="133" t="str">
        <f>Saud!F633</f>
        <v>SensiJunior 900g</v>
      </c>
      <c r="B633" s="133" t="str">
        <f>Saud!E633</f>
        <v>تمت طباعة الشهادة</v>
      </c>
      <c r="C633" s="133" t="str">
        <f>Saud!C633</f>
        <v>P-1-N-040521-2446</v>
      </c>
    </row>
    <row r="634">
      <c r="A634" s="133" t="str">
        <f>Saud!F634</f>
        <v>SensiPlus 900g</v>
      </c>
      <c r="B634" s="133" t="str">
        <f>Saud!E634</f>
        <v>تمت طباعة الشهادة</v>
      </c>
      <c r="C634" s="133" t="str">
        <f>Saud!C634</f>
        <v>P-1-N-040521-2447</v>
      </c>
    </row>
    <row r="635">
      <c r="A635" s="133" t="str">
        <f>Saud!F635</f>
        <v>YoungStar 900g</v>
      </c>
      <c r="B635" s="133" t="str">
        <f>Saud!E635</f>
        <v>تمت طباعة الشهادة</v>
      </c>
      <c r="C635" s="133" t="str">
        <f>Saud!C635</f>
        <v>P-1-N-040521-2448</v>
      </c>
    </row>
    <row r="636">
      <c r="A636" s="133" t="str">
        <f>Saud!F636</f>
        <v>Schesir NS Dry Turkey 490g</v>
      </c>
      <c r="B636" s="133" t="str">
        <f>Saud!E636</f>
        <v>تمت طباعة الشهادة</v>
      </c>
      <c r="C636" s="133" t="str">
        <f>Saud!C636</f>
        <v>P-1-N-040521-2449</v>
      </c>
    </row>
    <row r="637">
      <c r="A637" s="133" t="str">
        <f>Saud!F637</f>
        <v>Schesir NS Dry Lamb 490g</v>
      </c>
      <c r="B637" s="133" t="str">
        <f>Saud!E637</f>
        <v>تمت طباعة الشهادة</v>
      </c>
      <c r="C637" s="133" t="str">
        <f>Saud!C637</f>
        <v>P-1-N-040521-2450</v>
      </c>
    </row>
    <row r="638">
      <c r="A638" s="133" t="str">
        <f>Saud!F638</f>
        <v>Crispy Muesli Rabbits 2.75 Kg</v>
      </c>
      <c r="B638" s="133" t="str">
        <f>Saud!E638</f>
        <v>تمت طباعة الشهادة</v>
      </c>
      <c r="C638" s="133" t="str">
        <f>Saud!C638</f>
        <v>P-1-N-040521-2451</v>
      </c>
    </row>
    <row r="639">
      <c r="A639" s="133" t="str">
        <f>Saud!F639</f>
        <v>Crispy Crunchies Fruit 75g</v>
      </c>
      <c r="B639" s="133" t="str">
        <f>Saud!E639</f>
        <v>تمت طباعة الشهادة</v>
      </c>
      <c r="C639" s="133" t="str">
        <f>Saud!C639</f>
        <v>P-1-N-040521-2452</v>
      </c>
    </row>
    <row r="640">
      <c r="A640" s="133" t="str">
        <f>Saud!F640</f>
        <v>Crispy Crunchies Hay 75g</v>
      </c>
      <c r="B640" s="133" t="str">
        <f>Saud!E640</f>
        <v>تمت طباعة الشهادة</v>
      </c>
      <c r="C640" s="133" t="str">
        <f>Saud!C640</f>
        <v>P-1-N-040521-2453</v>
      </c>
    </row>
    <row r="641">
      <c r="A641" s="133" t="str">
        <f>Saud!F641</f>
        <v>Crispy Toasties Vegetable 150g</v>
      </c>
      <c r="B641" s="133" t="str">
        <f>Saud!E641</f>
        <v>تمت طباعة الشهادة</v>
      </c>
      <c r="C641" s="133" t="str">
        <f>Saud!C641</f>
        <v>P-1-N-040521-2454</v>
      </c>
    </row>
    <row r="642">
      <c r="A642" s="133" t="str">
        <f>Saud!F642</f>
        <v>Poultry-Meal 15kg</v>
      </c>
      <c r="B642" s="133" t="str">
        <f>Saud!E642</f>
        <v>تمت طباعة الشهادة</v>
      </c>
      <c r="C642" s="133" t="str">
        <f>Saud!C642</f>
        <v>P-1-N-040521-2460</v>
      </c>
    </row>
    <row r="643">
      <c r="A643" s="133" t="str">
        <f>Saud!F643</f>
        <v>Poultry-Menu 900g / 90 g</v>
      </c>
      <c r="B643" s="133" t="str">
        <f>Saud!E643</f>
        <v>تمت طباعة الشهادة</v>
      </c>
      <c r="C643" s="133" t="str">
        <f>Saud!C643</f>
        <v>P-1-N-040521-2461</v>
      </c>
    </row>
    <row r="644">
      <c r="A644" s="133" t="str">
        <f>Saud!F644</f>
        <v>Kitten Grainfree  / 60 g</v>
      </c>
      <c r="B644" s="133" t="str">
        <f>Saud!E644</f>
        <v>تمت طباعة الشهادة</v>
      </c>
      <c r="C644" s="133" t="str">
        <f>Saud!C644</f>
        <v>P-1-N-040521-2465</v>
      </c>
    </row>
    <row r="645">
      <c r="A645" s="133" t="str">
        <f>Saud!F645</f>
        <v>Kitten Grainfree 2kg</v>
      </c>
      <c r="B645" s="133" t="str">
        <f>Saud!E645</f>
        <v>تمت طباعة الشهادة</v>
      </c>
      <c r="C645" s="133" t="str">
        <f>Saud!C645</f>
        <v>P-1-N-040521-2466</v>
      </c>
    </row>
    <row r="646">
      <c r="A646" s="133" t="str">
        <f>Saud!F646</f>
        <v>Prestige Millet Red 100g</v>
      </c>
      <c r="B646" s="133" t="str">
        <f>Saud!E646</f>
        <v>تمت طباعة الشهادة</v>
      </c>
      <c r="C646" s="133" t="str">
        <f>Saud!C646</f>
        <v>P-1-N-040521-2482</v>
      </c>
    </row>
    <row r="647">
      <c r="A647" s="133" t="str">
        <f>Saud!F647</f>
        <v>Crispy Muesli Guinea Pig 2.75 Kg</v>
      </c>
      <c r="B647" s="133" t="str">
        <f>Saud!E647</f>
        <v>تمت طباعة الشهادة</v>
      </c>
      <c r="C647" s="133" t="str">
        <f>Saud!C647</f>
        <v>P-1-N-040521-2484</v>
      </c>
    </row>
    <row r="648">
      <c r="A648" s="133" t="str">
        <f>Saud!F648</f>
        <v>Sticks Big Parakeets Exotic Fruit 140g</v>
      </c>
      <c r="B648" s="133" t="str">
        <f>Saud!E648</f>
        <v>تمت طباعة الشهادة</v>
      </c>
      <c r="C648" s="133" t="str">
        <f>Saud!C648</f>
        <v>P-1-N-040521-2485</v>
      </c>
    </row>
    <row r="649">
      <c r="A649" s="133" t="str">
        <f>Saud!F649</f>
        <v>Sticks Big Parakeets Nuts &amp; Honey 140g</v>
      </c>
      <c r="B649" s="133" t="str">
        <f>Saud!E649</f>
        <v>تمت طباعة الشهادة</v>
      </c>
      <c r="C649" s="133" t="str">
        <f>Saud!C649</f>
        <v>P-1-N-040521-2486</v>
      </c>
    </row>
    <row r="650">
      <c r="A650" s="133" t="str">
        <f>Saud!F650</f>
        <v>Sticks Budgies Egg-Oyster Shell 60g</v>
      </c>
      <c r="B650" s="133" t="str">
        <f>Saud!E650</f>
        <v>تمت طباعة الشهادة</v>
      </c>
      <c r="C650" s="133" t="str">
        <f>Saud!C650</f>
        <v>P-1-N-040521-2487</v>
      </c>
    </row>
    <row r="651">
      <c r="A651" s="133" t="str">
        <f>Saud!F651</f>
        <v>Sticks Budgies Exotic Fruit 60g</v>
      </c>
      <c r="B651" s="133" t="str">
        <f>Saud!E651</f>
        <v>تمت طباعة الشهادة</v>
      </c>
      <c r="C651" s="133" t="str">
        <f>Saud!C651</f>
        <v>P-1-N-040521-2488</v>
      </c>
    </row>
    <row r="652">
      <c r="A652" s="133" t="str">
        <f>Saud!F652</f>
        <v>Sticks Budgies Forest Fruit 60g</v>
      </c>
      <c r="B652" s="133" t="str">
        <f>Saud!E652</f>
        <v>تمت طباعة الشهادة</v>
      </c>
      <c r="C652" s="133" t="str">
        <f>Saud!C652</f>
        <v>P-1-N-040521-2491</v>
      </c>
    </row>
    <row r="653">
      <c r="A653" s="133" t="str">
        <f>Saud!F653</f>
        <v>Sticks Budgies Honey 60g</v>
      </c>
      <c r="B653" s="133" t="str">
        <f>Saud!E653</f>
        <v>تمت طباعة الشهادة</v>
      </c>
      <c r="C653" s="133" t="str">
        <f>Saud!C653</f>
        <v>P-1-N-040521-2492</v>
      </c>
    </row>
    <row r="654">
      <c r="A654" s="133" t="str">
        <f>Saud!F654</f>
        <v>Sticks Budgie Triple Variety Pack 90g</v>
      </c>
      <c r="B654" s="133" t="str">
        <f>Saud!E654</f>
        <v>تمت طباعة الشهادة</v>
      </c>
      <c r="C654" s="133" t="str">
        <f>Saud!C654</f>
        <v>P-1-N-040521-2494</v>
      </c>
    </row>
    <row r="655">
      <c r="A655" s="133" t="str">
        <f>Saud!F655</f>
        <v>Sticks Canary Egg-Oyster Shell 60g</v>
      </c>
      <c r="B655" s="133" t="str">
        <f>Saud!E655</f>
        <v>تمت طباعة الشهادة</v>
      </c>
      <c r="C655" s="133" t="str">
        <f>Saud!C655</f>
        <v>P-1-N-040521-2495</v>
      </c>
    </row>
    <row r="656">
      <c r="A656" s="133" t="str">
        <f>Saud!F656</f>
        <v>Sticks Canaries Exotic Fruit 60g</v>
      </c>
      <c r="B656" s="133" t="str">
        <f>Saud!E656</f>
        <v>تمت طباعة الشهادة</v>
      </c>
      <c r="C656" s="133" t="str">
        <f>Saud!C656</f>
        <v>P-1-N-040521-2497</v>
      </c>
    </row>
    <row r="657">
      <c r="A657" s="133" t="str">
        <f>Saud!F657</f>
        <v>Sticks Canaries Forest Fruit 60g</v>
      </c>
      <c r="B657" s="133" t="str">
        <f>Saud!E657</f>
        <v>تمت طباعة الشهادة</v>
      </c>
      <c r="C657" s="133" t="str">
        <f>Saud!C657</f>
        <v>P-1-N-040521-2498</v>
      </c>
    </row>
    <row r="658">
      <c r="A658" s="133" t="str">
        <f>Saud!F658</f>
        <v>Sticks Canaries Honey 60g</v>
      </c>
      <c r="B658" s="133" t="str">
        <f>Saud!E658</f>
        <v>تمت طباعة الشهادة</v>
      </c>
      <c r="C658" s="133" t="str">
        <f>Saud!C658</f>
        <v>P-1-N-040521-2499</v>
      </c>
    </row>
    <row r="659">
      <c r="A659" s="133" t="str">
        <f>Saud!F659</f>
        <v>Sticks Canary Triple Variety Pack 90g</v>
      </c>
      <c r="B659" s="133" t="str">
        <f>Saud!E659</f>
        <v>تمت طباعة الشهادة</v>
      </c>
      <c r="C659" s="133" t="str">
        <f>Saud!C659</f>
        <v>P-1-N-040521-2500</v>
      </c>
    </row>
    <row r="660">
      <c r="A660" s="133" t="str">
        <f>Saud!F660</f>
        <v>Sticks Parrots Exotic Fruit 140g</v>
      </c>
      <c r="B660" s="133" t="str">
        <f>Saud!E660</f>
        <v>تمت طباعة الشهادة</v>
      </c>
      <c r="C660" s="133" t="str">
        <f>Saud!C660</f>
        <v>P-1-N-040521-2502</v>
      </c>
    </row>
    <row r="661">
      <c r="A661" s="133" t="str">
        <f>Saud!F661</f>
        <v>Sticks Parrots Nuts &amp; Honey 140g</v>
      </c>
      <c r="B661" s="133" t="str">
        <f>Saud!E661</f>
        <v>تمت طباعة الشهادة</v>
      </c>
      <c r="C661" s="133" t="str">
        <f>Saud!C661</f>
        <v>P-1-N-040521-2503</v>
      </c>
    </row>
    <row r="662">
      <c r="A662" s="133" t="str">
        <f>Saud!F662</f>
        <v>Prestige Snack Big Parakeets 125g</v>
      </c>
      <c r="B662" s="133" t="str">
        <f>Saud!E662</f>
        <v>تمت طباعة الشهادة</v>
      </c>
      <c r="C662" s="133" t="str">
        <f>Saud!C662</f>
        <v>P-1-N-040521-2504</v>
      </c>
    </row>
    <row r="663">
      <c r="A663" s="133" t="str">
        <f>Saud!F663</f>
        <v>Poultry-Menu 15kg</v>
      </c>
      <c r="B663" s="133" t="str">
        <f>Saud!E663</f>
        <v>تمت طباعة الشهادة</v>
      </c>
      <c r="C663" s="133" t="str">
        <f>Saud!C663</f>
        <v>P-1-N-050521-2537</v>
      </c>
    </row>
    <row r="664">
      <c r="A664" s="133" t="str">
        <f>Saud!F664</f>
        <v>Kitten Grainfree 10kg</v>
      </c>
      <c r="B664" s="133" t="str">
        <f>Saud!E664</f>
        <v>تمت طباعة الشهادة</v>
      </c>
      <c r="C664" s="133" t="str">
        <f>Saud!C664</f>
        <v>P-1-N-110521-2661</v>
      </c>
    </row>
    <row r="665">
      <c r="A665" s="133" t="str">
        <f>Saud!F665</f>
        <v>Kitten Grainfree 4.25kg</v>
      </c>
      <c r="B665" s="133" t="str">
        <f>Saud!E665</f>
        <v>تمت طباعة الشهادة</v>
      </c>
      <c r="C665" s="133" t="str">
        <f>Saud!C665</f>
        <v>P-1-N-110521-2662</v>
      </c>
    </row>
    <row r="666">
      <c r="A666" s="133" t="str">
        <f>Saud!F666</f>
        <v>Nutribird A18 Lori 800g</v>
      </c>
      <c r="B666" s="133" t="str">
        <f>Saud!E666</f>
        <v>تمت طباعة الشهادة</v>
      </c>
      <c r="C666" s="133" t="str">
        <f>Saud!C666</f>
        <v>P-1-N-180521-2690</v>
      </c>
    </row>
    <row r="667">
      <c r="A667" s="133" t="str">
        <f>Saud!F667</f>
        <v>Nutribird A19 800g</v>
      </c>
      <c r="B667" s="133" t="str">
        <f>Saud!E667</f>
        <v>تمت طباعة الشهادة</v>
      </c>
      <c r="C667" s="133" t="str">
        <f>Saud!C667</f>
        <v>P-1-N-180521-2691</v>
      </c>
    </row>
    <row r="668">
      <c r="A668" s="133" t="str">
        <f>Saud!F668</f>
        <v>Nutribird A19 H.E. 800g</v>
      </c>
      <c r="B668" s="133" t="str">
        <f>Saud!E668</f>
        <v>تمت طباعة الشهادة</v>
      </c>
      <c r="C668" s="133" t="str">
        <f>Saud!C668</f>
        <v>P-1-N-180521-2692</v>
      </c>
    </row>
    <row r="669">
      <c r="A669" s="133" t="str">
        <f>Saud!F669</f>
        <v>Nutribird A21 800g</v>
      </c>
      <c r="B669" s="133" t="str">
        <f>Saud!E669</f>
        <v>تمت طباعة الشهادة</v>
      </c>
      <c r="C669" s="133" t="str">
        <f>Saud!C669</f>
        <v>P-1-N-180521-2693</v>
      </c>
    </row>
    <row r="670">
      <c r="A670" s="133" t="str">
        <f>Saud!F670</f>
        <v>Chicken and Rice with Spinach in Jelly 285g</v>
      </c>
      <c r="B670" s="133" t="str">
        <f>Saud!E670</f>
        <v>تمت طباعة الشهادة</v>
      </c>
      <c r="C670" s="133" t="str">
        <f>Saud!C670</f>
        <v>P-1-N-180521-2694</v>
      </c>
    </row>
    <row r="671">
      <c r="A671" s="133" t="str">
        <f>Saud!F671</f>
        <v>Tuna White Meat and Rice with Carrot in broth 285g</v>
      </c>
      <c r="B671" s="133" t="str">
        <f>Saud!E671</f>
        <v>تمت طباعة الشهادة</v>
      </c>
      <c r="C671" s="133" t="str">
        <f>Saud!C671</f>
        <v>P-1-N-180521-2695</v>
      </c>
    </row>
    <row r="672">
      <c r="A672" s="133" t="str">
        <f>Saud!F672</f>
        <v>Nutribird A18 Lori 3kg</v>
      </c>
      <c r="B672" s="133" t="str">
        <f>Saud!E672</f>
        <v>تمت طباعة الشهادة</v>
      </c>
      <c r="C672" s="133" t="str">
        <f>Saud!C672</f>
        <v>P-1-N-230521-2788</v>
      </c>
    </row>
    <row r="673">
      <c r="A673" s="133" t="str">
        <f>Saud!F673</f>
        <v>Nutribird A19 3kg</v>
      </c>
      <c r="B673" s="133" t="str">
        <f>Saud!E673</f>
        <v>تمت طباعة الشهادة</v>
      </c>
      <c r="C673" s="133" t="str">
        <f>Saud!C673</f>
        <v>P-1-N-230521-2789</v>
      </c>
    </row>
    <row r="674">
      <c r="A674" s="133" t="str">
        <f>Saud!F674</f>
        <v>Nutribird A19 H.E. 3kg</v>
      </c>
      <c r="B674" s="133" t="str">
        <f>Saud!E674</f>
        <v>تمت طباعة الشهادة</v>
      </c>
      <c r="C674" s="133" t="str">
        <f>Saud!C674</f>
        <v>P-1-N-230521-2790</v>
      </c>
    </row>
    <row r="675">
      <c r="A675" s="133" t="str">
        <f>Saud!F675</f>
        <v>Nutribird A21 3kg</v>
      </c>
      <c r="B675" s="133" t="str">
        <f>Saud!E675</f>
        <v>تمت طباعة الشهادة</v>
      </c>
      <c r="C675" s="133" t="str">
        <f>Saud!C675</f>
        <v>P-1-N-230521-2791</v>
      </c>
    </row>
    <row r="676">
      <c r="A676" s="133" t="str">
        <f>Saud!F676</f>
        <v>Mountain Hay Mint 500g</v>
      </c>
      <c r="B676" s="133" t="str">
        <f>Saud!E676</f>
        <v>تمت طباعة الشهادة</v>
      </c>
      <c r="C676" s="133" t="str">
        <f>Saud!C676</f>
        <v>P-1-N-230521-2804</v>
      </c>
    </row>
    <row r="677">
      <c r="A677" s="133" t="str">
        <f>Saud!F677</f>
        <v>Prestige Snack Canaries 125g</v>
      </c>
      <c r="B677" s="133" t="str">
        <f>Saud!E677</f>
        <v>تمت طباعة الشهادة</v>
      </c>
      <c r="C677" s="133" t="str">
        <f>Saud!C677</f>
        <v>P-1-N-230521-2815</v>
      </c>
    </row>
    <row r="678">
      <c r="A678" s="133" t="str">
        <f>Saud!F678</f>
        <v>Prestige Snack Budgies 125g</v>
      </c>
      <c r="B678" s="133" t="str">
        <f>Saud!E678</f>
        <v>تمت طباعة الشهادة</v>
      </c>
      <c r="C678" s="133" t="str">
        <f>Saud!C678</f>
        <v>P-1-N-230521-2816</v>
      </c>
    </row>
    <row r="679">
      <c r="A679" s="133" t="str">
        <f>Saud!F679</f>
        <v>Prestige Snack Finches 125g</v>
      </c>
      <c r="B679" s="133" t="str">
        <f>Saud!E679</f>
        <v>تمت طباعة الشهادة</v>
      </c>
      <c r="C679" s="133" t="str">
        <f>Saud!C679</f>
        <v>P-1-N-230521-2817</v>
      </c>
    </row>
    <row r="680">
      <c r="A680" s="133" t="str">
        <f>Saud!F680</f>
        <v>Prestige Snack Wild Seed 125g</v>
      </c>
      <c r="B680" s="133" t="str">
        <f>Saud!E680</f>
        <v>تمت طباعة الشهادة</v>
      </c>
      <c r="C680" s="133" t="str">
        <f>Saud!C680</f>
        <v>P-1-N-230521-2818</v>
      </c>
    </row>
    <row r="681">
      <c r="A681" s="133" t="str">
        <f>Saud!F681</f>
        <v>Sticks Finches Exotic Fruit 60g</v>
      </c>
      <c r="B681" s="133" t="str">
        <f>Saud!E681</f>
        <v>تمت طباعة الشهادة</v>
      </c>
      <c r="C681" s="133" t="str">
        <f>Saud!C681</f>
        <v>P-1-N-230521-2820</v>
      </c>
    </row>
    <row r="682">
      <c r="A682" s="133" t="str">
        <f>Saud!F682</f>
        <v>Mountain Hay Herbs 500g</v>
      </c>
      <c r="B682" s="133" t="str">
        <f>Saud!E682</f>
        <v>تمت طباعة الشهادة</v>
      </c>
      <c r="C682" s="133" t="str">
        <f>Saud!C682</f>
        <v>P-1-N-230521-2822</v>
      </c>
    </row>
    <row r="683">
      <c r="A683" s="133" t="str">
        <f>Saud!F683</f>
        <v>Mountain Hay Dandelion 500g</v>
      </c>
      <c r="B683" s="133" t="str">
        <f>Saud!E683</f>
        <v>تمت طباعة الشهادة</v>
      </c>
      <c r="C683" s="133" t="str">
        <f>Saud!C683</f>
        <v>P-1-N-230521-2823</v>
      </c>
    </row>
    <row r="684">
      <c r="A684" s="133" t="str">
        <f>Saud!F684</f>
        <v>Mountain Hay Camomille 500g</v>
      </c>
      <c r="B684" s="133" t="str">
        <f>Saud!E684</f>
        <v>تمت طباعة الشهادة</v>
      </c>
      <c r="C684" s="133" t="str">
        <f>Saud!C684</f>
        <v>P-1-N-230521-2824</v>
      </c>
    </row>
    <row r="685">
      <c r="A685" s="133" t="str">
        <f>Saud!F685</f>
        <v>Prestige Millet Gold 100g</v>
      </c>
      <c r="B685" s="133" t="str">
        <f>Saud!E685</f>
        <v>REJECTED</v>
      </c>
      <c r="C685" s="133" t="str">
        <f>Saud!C685</f>
        <v>P-1-N-230521-2827</v>
      </c>
    </row>
    <row r="686">
      <c r="A686" s="133" t="str">
        <f>Saud!F686</f>
        <v>Prestige Millet Gold 300g</v>
      </c>
      <c r="B686" s="133" t="str">
        <f>Saud!E686</f>
        <v>REJECTED</v>
      </c>
      <c r="C686" s="133" t="str">
        <f>Saud!C686</f>
        <v>P-1-N-230521-2828</v>
      </c>
    </row>
    <row r="687">
      <c r="A687" s="133" t="str">
        <f>Saud!F687</f>
        <v>Prestige Millet Gold 1kg</v>
      </c>
      <c r="B687" s="133" t="str">
        <f>Saud!E687</f>
        <v>REJECTED</v>
      </c>
      <c r="C687" s="133" t="str">
        <f>Saud!C687</f>
        <v>P-1-N-230521-2829</v>
      </c>
    </row>
    <row r="688">
      <c r="A688" s="133" t="str">
        <f>Saud!F688</f>
        <v>Nature Timothy Hay Beetroot &amp; Tomato 500g</v>
      </c>
      <c r="B688" s="133" t="str">
        <f>Saud!E688</f>
        <v>تمت طباعة الشهادة</v>
      </c>
      <c r="C688" s="133" t="str">
        <f>Saud!C688</f>
        <v>P-1-N-240521-2834</v>
      </c>
    </row>
    <row r="689">
      <c r="A689" s="133" t="str">
        <f>Saud!F689</f>
        <v>Nature Timothy Hay Bell Pepper &amp; Parsnip 500g</v>
      </c>
      <c r="B689" s="133" t="str">
        <f>Saud!E689</f>
        <v>تمت طباعة الشهادة</v>
      </c>
      <c r="C689" s="133" t="str">
        <f>Saud!C689</f>
        <v>P-1-N-240521-2835</v>
      </c>
    </row>
    <row r="690">
      <c r="A690" s="133" t="str">
        <f>Saud!F690</f>
        <v>Nature Timothy Hay Carrots &amp; Pumpkin 500g</v>
      </c>
      <c r="B690" s="133" t="str">
        <f>Saud!E690</f>
        <v>تمت طباعة الشهادة</v>
      </c>
      <c r="C690" s="133" t="str">
        <f>Saud!C690</f>
        <v>P-1-N-240521-2836</v>
      </c>
    </row>
    <row r="691">
      <c r="A691" s="133" t="str">
        <f>Saud!F691</f>
        <v>Crispy Muesli Hamsters &amp; Co </v>
      </c>
      <c r="B691" s="133" t="str">
        <f>Saud!E691</f>
        <v>تمت طباعة الشهادة</v>
      </c>
      <c r="C691" s="133" t="str">
        <f>Saud!C691</f>
        <v>P-1-N-240521-2838</v>
      </c>
    </row>
    <row r="692">
      <c r="A692" s="133" t="str">
        <f>Saud!F692</f>
        <v>Nature Snack Berries 85g</v>
      </c>
      <c r="B692" s="133" t="str">
        <f>Saud!E692</f>
        <v>تمت طباعة الشهادة</v>
      </c>
      <c r="C692" s="133" t="str">
        <f>Saud!C692</f>
        <v>P-1-N-240521-2841</v>
      </c>
    </row>
    <row r="693">
      <c r="A693" s="133" t="str">
        <f>Saud!F693</f>
        <v>Nature Snack Fruities 85g</v>
      </c>
      <c r="B693" s="133" t="str">
        <f>Saud!E693</f>
        <v>تمت طباعة الشهادة</v>
      </c>
      <c r="C693" s="133" t="str">
        <f>Saud!C693</f>
        <v>P-1-N-240521-2842</v>
      </c>
    </row>
    <row r="694">
      <c r="A694" s="133" t="str">
        <f>Saud!F694</f>
        <v>Nature Snack Proteins 85g</v>
      </c>
      <c r="B694" s="133" t="str">
        <f>Saud!E694</f>
        <v>تمت طباعة الشهادة</v>
      </c>
      <c r="C694" s="133" t="str">
        <f>Saud!C694</f>
        <v>P-1-N-240521-2843</v>
      </c>
    </row>
    <row r="695">
      <c r="A695" s="133" t="str">
        <f>Saud!F695</f>
        <v>Nature Snack Veggies 85g</v>
      </c>
      <c r="B695" s="133" t="str">
        <f>Saud!E695</f>
        <v>تمت طباعة الشهادة</v>
      </c>
      <c r="C695" s="133" t="str">
        <f>Saud!C695</f>
        <v>P-1-N-240521-2844</v>
      </c>
    </row>
    <row r="696">
      <c r="A696" s="133" t="str">
        <f>Saud!F696</f>
        <v>Oropharma Ferti-Vit 25g</v>
      </c>
      <c r="B696" s="133" t="str">
        <f>Saud!E696</f>
        <v>تمت طباعة الشهادة</v>
      </c>
      <c r="C696" s="133" t="str">
        <f>Saud!C696</f>
        <v>P-1-N-240521-2849</v>
      </c>
    </row>
    <row r="697">
      <c r="A697" s="133" t="str">
        <f>Saud!F697</f>
        <v>Oropharma Ferti-Vit 200g</v>
      </c>
      <c r="B697" s="133" t="str">
        <f>Saud!E697</f>
        <v>تمت طباعة الشهادة</v>
      </c>
      <c r="C697" s="133" t="str">
        <f>Saud!C697</f>
        <v>P-1-N-240521-2850</v>
      </c>
    </row>
    <row r="698">
      <c r="A698" s="133" t="str">
        <f>Saud!F698</f>
        <v>Oropharma Muta-Vit 25g</v>
      </c>
      <c r="B698" s="133" t="str">
        <f>Saud!E698</f>
        <v>تمت طباعة الشهادة</v>
      </c>
      <c r="C698" s="133" t="str">
        <f>Saud!C698</f>
        <v>P-1-N-240521-2851</v>
      </c>
    </row>
    <row r="699">
      <c r="A699" s="133" t="str">
        <f>Saud!F699</f>
        <v>Oropharma Muta-Vit 200g</v>
      </c>
      <c r="B699" s="133" t="str">
        <f>Saud!E699</f>
        <v>تمت طباعة الشهادة</v>
      </c>
      <c r="C699" s="133" t="str">
        <f>Saud!C699</f>
        <v>P-1-N-240521-2852</v>
      </c>
    </row>
    <row r="700">
      <c r="A700" s="133" t="str">
        <f>Saud!F700</f>
        <v>Oropharma Omni-Vit 25g</v>
      </c>
      <c r="B700" s="133" t="str">
        <f>Saud!E700</f>
        <v>تمت طباعة الشهادة</v>
      </c>
      <c r="C700" s="133" t="str">
        <f>Saud!C700</f>
        <v>P-1-N-240521-2853</v>
      </c>
    </row>
    <row r="701">
      <c r="A701" s="133" t="str">
        <f>Saud!F701</f>
        <v>Oropharma Omni-Vit 200g</v>
      </c>
      <c r="B701" s="133" t="str">
        <f>Saud!E701</f>
        <v>تمت طباعة الشهادة</v>
      </c>
      <c r="C701" s="133" t="str">
        <f>Saud!C701</f>
        <v>P-1-N-240521-2854</v>
      </c>
    </row>
    <row r="702">
      <c r="A702" s="133" t="str">
        <f>Saud!F702</f>
        <v>Prestige Millet Gold 100g</v>
      </c>
      <c r="B702" s="133" t="str">
        <f>Saud!E702</f>
        <v>تمت طباعة الشهادة</v>
      </c>
      <c r="C702" s="133" t="str">
        <f>Saud!C702</f>
        <v>P-1-N-250521-2887</v>
      </c>
    </row>
    <row r="703">
      <c r="A703" s="133" t="str">
        <f>Saud!F703</f>
        <v>Prestige Millet Gold 300g</v>
      </c>
      <c r="B703" s="133" t="str">
        <f>Saud!E703</f>
        <v>تمت طباعة الشهادة</v>
      </c>
      <c r="C703" s="133" t="str">
        <f>Saud!C703</f>
        <v>P-1-N-250521-2888</v>
      </c>
    </row>
    <row r="704">
      <c r="A704" s="133" t="str">
        <f>Saud!F704</f>
        <v>Prestige Millet Gold 1kg</v>
      </c>
      <c r="B704" s="133" t="str">
        <f>Saud!E704</f>
        <v>تمت طباعة الشهادة</v>
      </c>
      <c r="C704" s="133" t="str">
        <f>Saud!C704</f>
        <v>P-1-N-250521-2889</v>
      </c>
    </row>
    <row r="705">
      <c r="A705" s="133" t="str">
        <f>Saud!F705</f>
        <v>Profine Cat Light Turkey 2kg</v>
      </c>
      <c r="B705" s="133" t="str">
        <f>Saud!E705</f>
        <v>تمت طباعة الشهادة</v>
      </c>
      <c r="C705" s="133" t="str">
        <f>Saud!C705</f>
        <v>P-1-N-260521-2913</v>
      </c>
    </row>
    <row r="706">
      <c r="A706" s="133" t="str">
        <f>Saud!F706</f>
        <v>Profine Cat Light Turkey 10kg</v>
      </c>
      <c r="B706" s="133" t="str">
        <f>Saud!E706</f>
        <v>تمت طباعة الشهادة</v>
      </c>
      <c r="C706" s="133" t="str">
        <f>Saud!C706</f>
        <v>P-1-N-260521-2914</v>
      </c>
    </row>
    <row r="707">
      <c r="A707" s="133" t="str">
        <f>Saud!F707</f>
        <v>Profine Grain Free Duck Snack 200g</v>
      </c>
      <c r="B707" s="133" t="str">
        <f>Saud!E707</f>
        <v>تمت طباعة الشهادة</v>
      </c>
      <c r="C707" s="133" t="str">
        <f>Saud!C707</f>
        <v>P-1-N-260521-2916</v>
      </c>
    </row>
    <row r="708">
      <c r="A708" s="133" t="str">
        <f>Saud!F708</f>
        <v>Profine Grain Free Chicken Snack 200g</v>
      </c>
      <c r="B708" s="133" t="str">
        <f>Saud!E708</f>
        <v>تمت طباعة الشهادة</v>
      </c>
      <c r="C708" s="133" t="str">
        <f>Saud!C708</f>
        <v>P-1-N-260521-2917</v>
      </c>
    </row>
    <row r="709">
      <c r="A709" s="133" t="str">
        <f>Saud!F709</f>
        <v>Porfine Grain Free Lamb Snack 200g</v>
      </c>
      <c r="B709" s="133" t="str">
        <f>Saud!E709</f>
        <v>تمت طباعة الشهادة</v>
      </c>
      <c r="C709" s="133" t="str">
        <f>Saud!C709</f>
        <v>P-1-N-260521-2918</v>
      </c>
    </row>
    <row r="710">
      <c r="A710" s="133" t="str">
        <f>Saud!F710</f>
        <v>Porfine Grain Free Salmon Snack 200g</v>
      </c>
      <c r="B710" s="133" t="str">
        <f>Saud!E710</f>
        <v>تمت طباعة الشهادة</v>
      </c>
      <c r="C710" s="133" t="str">
        <f>Saud!C710</f>
        <v>P-1-N-260521-2919</v>
      </c>
    </row>
    <row r="711">
      <c r="A711" s="133" t="str">
        <f>Saud!F711</f>
        <v>Porfine Grain Free Turkey Snack 200g</v>
      </c>
      <c r="B711" s="133" t="str">
        <f>Saud!E711</f>
        <v>تمت طباعة الشهادة</v>
      </c>
      <c r="C711" s="133" t="str">
        <f>Saud!C711</f>
        <v>P-1-N-260521-2920</v>
      </c>
    </row>
    <row r="712">
      <c r="A712" s="133" t="str">
        <f>Saud!F712</f>
        <v>Porfine Duck Enriched with Goji Berries 50g</v>
      </c>
      <c r="B712" s="133" t="str">
        <f>Saud!E712</f>
        <v>تمت طباعة الشهادة</v>
      </c>
      <c r="C712" s="133" t="str">
        <f>Saud!C712</f>
        <v>P-1-N-260521-2921</v>
      </c>
    </row>
    <row r="713">
      <c r="A713" s="133" t="str">
        <f>Saud!F713</f>
        <v>Porfine Tuna Enriched with Fennel 50g</v>
      </c>
      <c r="B713" s="133" t="str">
        <f>Saud!E713</f>
        <v>تمت طباعة الشهادة</v>
      </c>
      <c r="C713" s="133" t="str">
        <f>Saud!C713</f>
        <v>P-1-N-260521-2922</v>
      </c>
    </row>
    <row r="714">
      <c r="A714" s="133" t="str">
        <f>Saud!F714</f>
        <v>Porfine Turkey Enriched with Oat Grass 50g</v>
      </c>
      <c r="B714" s="133" t="str">
        <f>Saud!E714</f>
        <v>تمت طباعة الشهادة</v>
      </c>
      <c r="C714" s="133" t="str">
        <f>Saud!C714</f>
        <v>P-1-N-260521-2923</v>
      </c>
    </row>
    <row r="715">
      <c r="A715" s="133" t="str">
        <f>Saud!F715</f>
        <v>Porfine Puppy Lamb &amp; Potatoes 3kg</v>
      </c>
      <c r="B715" s="133" t="str">
        <f>Saud!E715</f>
        <v>تمت طباعة الشهادة</v>
      </c>
      <c r="C715" s="133" t="str">
        <f>Saud!C715</f>
        <v>P-1-N-260521-2928</v>
      </c>
    </row>
    <row r="716">
      <c r="A716" s="133" t="str">
        <f>Saud!F716</f>
        <v>Porfine Adult Lamb &amp; Potatoes 3kg</v>
      </c>
      <c r="B716" s="133" t="str">
        <f>Saud!E716</f>
        <v>تمت طباعة الشهادة</v>
      </c>
      <c r="C716" s="133" t="str">
        <f>Saud!C716</f>
        <v>P-1-N-260521-2929</v>
      </c>
    </row>
    <row r="717">
      <c r="A717" s="133" t="str">
        <f>Saud!F717</f>
        <v>Porfine Cat Indoor Adult Lamb 2kg</v>
      </c>
      <c r="B717" s="133" t="str">
        <f>Saud!E717</f>
        <v>تمت طباعة الشهادة</v>
      </c>
      <c r="C717" s="133" t="str">
        <f>Saud!C717</f>
        <v>P-1-N-260521-2930</v>
      </c>
    </row>
    <row r="718">
      <c r="A718" s="133" t="str">
        <f>Saud!F718</f>
        <v>Orlux Lori 700g</v>
      </c>
      <c r="B718" s="133" t="str">
        <f>Saud!E718</f>
        <v>تمت طباعة الشهادة</v>
      </c>
      <c r="C718" s="133" t="str">
        <f>Saud!C718</f>
        <v>P-1-N-300521-3010</v>
      </c>
    </row>
    <row r="719">
      <c r="A719" s="133" t="str">
        <f>Saud!F719</f>
        <v>Orlux Lori 3kg</v>
      </c>
      <c r="B719" s="133" t="str">
        <f>Saud!E719</f>
        <v>تمت طباعة الشهادة</v>
      </c>
      <c r="C719" s="133" t="str">
        <f>Saud!C719</f>
        <v>P-1-N-300521-3011</v>
      </c>
    </row>
    <row r="720">
      <c r="A720" s="133" t="str">
        <f>Saud!F720</f>
        <v>Schesir NS Dry Chicken 4.5 kg</v>
      </c>
      <c r="B720" s="133" t="str">
        <f>Saud!E720</f>
        <v>تمت طباعة الشهادة</v>
      </c>
      <c r="C720" s="133" t="str">
        <f>Saud!C720</f>
        <v>P-1-N-300521-3022</v>
      </c>
    </row>
    <row r="721">
      <c r="A721" s="133" t="str">
        <f>Saud!F721</f>
        <v>Schesir NS Dry Tuna 350g</v>
      </c>
      <c r="B721" s="133" t="str">
        <f>Saud!E721</f>
        <v>تمت طباعة الشهادة</v>
      </c>
      <c r="C721" s="133" t="str">
        <f>Saud!C721</f>
        <v>P-1-N-300521-3040</v>
      </c>
    </row>
    <row r="722">
      <c r="A722" s="133" t="str">
        <f>Saud!F722</f>
        <v>Schesir NS Dry Duck 350g</v>
      </c>
      <c r="B722" s="133" t="str">
        <f>Saud!E722</f>
        <v>تمت طباعة الشهادة</v>
      </c>
      <c r="C722" s="133" t="str">
        <f>Saud!C722</f>
        <v>P-1-N-300521-3041</v>
      </c>
    </row>
    <row r="723">
      <c r="A723" s="133" t="str">
        <f>Saud!F723</f>
        <v>Schesir NS Dry Turkey 350g</v>
      </c>
      <c r="B723" s="133" t="str">
        <f>Saud!E723</f>
        <v>تمت طباعة الشهادة</v>
      </c>
      <c r="C723" s="133" t="str">
        <f>Saud!C723</f>
        <v>P-1-N-300521-3042</v>
      </c>
    </row>
    <row r="724">
      <c r="A724" s="133" t="str">
        <f>Saud!F724</f>
        <v>Butchers Functional Cat Beauty Lamb CIJ </v>
      </c>
      <c r="B724" s="133" t="str">
        <f>Saud!E724</f>
        <v>تمت طباعة الشهادة</v>
      </c>
      <c r="C724" s="133" t="str">
        <f>Saud!C724</f>
        <v>P-1-N-020621-3212</v>
      </c>
    </row>
    <row r="725">
      <c r="A725" s="133" t="str">
        <f>Saud!F725</f>
        <v>Multi Vit Reptiles 20ml</v>
      </c>
      <c r="B725" s="133" t="str">
        <f>Saud!E725</f>
        <v>تمت طباعة الشهادة</v>
      </c>
      <c r="C725" s="133" t="str">
        <f>Saud!C725</f>
        <v>P-1-N-100621-3439</v>
      </c>
    </row>
    <row r="726">
      <c r="A726" s="133" t="str">
        <f>Saud!F726</f>
        <v>Snack Duck Fillets 70g Rich in Duck</v>
      </c>
      <c r="B726" s="133" t="str">
        <f>Saud!E726</f>
        <v>تمت طباعة الشهادة</v>
      </c>
      <c r="C726" s="133" t="str">
        <f>Saud!C726</f>
        <v>P-1-N-170621-3656</v>
      </c>
    </row>
    <row r="727">
      <c r="A727" s="133" t="str">
        <f>Saud!F727</f>
        <v>Snack Chicken Wings 100g Rich in Chicken</v>
      </c>
      <c r="B727" s="133" t="str">
        <f>Saud!E727</f>
        <v>تمت طباعة الشهادة</v>
      </c>
      <c r="C727" s="133" t="str">
        <f>Saud!C727</f>
        <v>P-1-N-170621-3657</v>
      </c>
    </row>
    <row r="728">
      <c r="A728" s="133" t="str">
        <f>Saud!F728</f>
        <v>Snack Chewing Sticks with Chicken x10 Rich in Chicken 85g</v>
      </c>
      <c r="B728" s="133" t="str">
        <f>Saud!E728</f>
        <v>تمت طباعة الشهادة</v>
      </c>
      <c r="C728" s="133" t="str">
        <f>Saud!C728</f>
        <v>P-1-N-170621-3658</v>
      </c>
    </row>
    <row r="729">
      <c r="A729" s="133" t="str">
        <f>Saud!F729</f>
        <v>Snack Chicken Sausages 100g Rich in Chicken</v>
      </c>
      <c r="B729" s="133" t="str">
        <f>Saud!E729</f>
        <v>تمت طباعة الشهادة</v>
      </c>
      <c r="C729" s="133" t="str">
        <f>Saud!C729</f>
        <v>P-1-N-170621-3659</v>
      </c>
    </row>
    <row r="730">
      <c r="A730" s="133" t="str">
        <f>Saud!F730</f>
        <v>Snack Chicken Sandwich 100g Rich in Chicken</v>
      </c>
      <c r="B730" s="133" t="str">
        <f>Saud!E730</f>
        <v>تمت طباعة الشهادة</v>
      </c>
      <c r="C730" s="133" t="str">
        <f>Saud!C730</f>
        <v>P-1-N-170621-3660</v>
      </c>
    </row>
    <row r="731">
      <c r="A731" s="133" t="str">
        <f>Saud!F731</f>
        <v>Snack Chicken Sushi 100g Rich in Chicken</v>
      </c>
      <c r="B731" s="133" t="str">
        <f>Saud!E731</f>
        <v>تمت طباعة الشهادة</v>
      </c>
      <c r="C731" s="133" t="str">
        <f>Saud!C731</f>
        <v>P-1-N-170621-3661</v>
      </c>
    </row>
    <row r="732">
      <c r="A732" s="133" t="str">
        <f>Saud!F732</f>
        <v>Snack Mini Chicken Fillets 50g Rich in Chicken</v>
      </c>
      <c r="B732" s="133" t="str">
        <f>Saud!E732</f>
        <v>تمت طباعة الشهادة</v>
      </c>
      <c r="C732" s="133" t="str">
        <f>Saud!C732</f>
        <v>P-1-N-170621-3662</v>
      </c>
    </row>
    <row r="733">
      <c r="A733" s="133" t="str">
        <f>Saud!F733</f>
        <v>Snack Mini Duck Slices 50g Rich in Duck</v>
      </c>
      <c r="B733" s="133" t="str">
        <f>Saud!E733</f>
        <v>تمت طباعة الشهادة</v>
      </c>
      <c r="C733" s="133" t="str">
        <f>Saud!C733</f>
        <v>P-1-N-170621-3663</v>
      </c>
    </row>
    <row r="734">
      <c r="A734" s="133" t="str">
        <f>Saud!F734</f>
        <v>Snack Mini Chicken Sandwich 50g Rich in Chicken</v>
      </c>
      <c r="B734" s="133" t="str">
        <f>Saud!E734</f>
        <v>تمت طباعة الشهادة</v>
      </c>
      <c r="C734" s="133" t="str">
        <f>Saud!C734</f>
        <v>P-1-N-170621-3664</v>
      </c>
    </row>
    <row r="735">
      <c r="A735" s="133" t="str">
        <f>Saud!F735</f>
        <v>Snack Mini Chicken Sushi 50g Rich in Chicken</v>
      </c>
      <c r="B735" s="133" t="str">
        <f>Saud!E735</f>
        <v>تمت طباعة الشهادة</v>
      </c>
      <c r="C735" s="133" t="str">
        <f>Saud!C735</f>
        <v>P-1-N-170621-3665</v>
      </c>
    </row>
    <row r="736">
      <c r="A736" s="133" t="str">
        <f>Saud!F736</f>
        <v>Nutri-Vet Hairball Chicken Paw Gel for Cats 89ml</v>
      </c>
      <c r="B736" s="133" t="str">
        <f>Saud!E736</f>
        <v>تمت طباعة الشهادة</v>
      </c>
      <c r="C736" s="133" t="str">
        <f>Saud!C736</f>
        <v>P-1-N-200621-3701</v>
      </c>
    </row>
    <row r="737">
      <c r="A737" s="133" t="str">
        <f>Saud!F737</f>
        <v>Nutri-Vet Hip and Joint Paw Gel for Cats 89ml</v>
      </c>
      <c r="B737" s="133" t="str">
        <f>Saud!E737</f>
        <v>تمت طباعة الشهادة</v>
      </c>
      <c r="C737" s="133" t="str">
        <f>Saud!C737</f>
        <v>P-1-N-200621-3705</v>
      </c>
    </row>
    <row r="738">
      <c r="A738" s="133" t="str">
        <f>Saud!F738</f>
        <v>Nutri-Vet Multi-Vite Paw-Gel for Cats 89ml</v>
      </c>
      <c r="B738" s="133" t="str">
        <f>Saud!E738</f>
        <v>تمت طباعة الشهادة</v>
      </c>
      <c r="C738" s="133" t="str">
        <f>Saud!C738</f>
        <v>P-1-N-200621-3707</v>
      </c>
    </row>
    <row r="739">
      <c r="A739" s="133" t="str">
        <f>Saud!F739</f>
        <v>Nutri-Vet Pet-Ease Paw-Gel for Cats 89ml</v>
      </c>
      <c r="B739" s="133" t="str">
        <f>Saud!E739</f>
        <v>تمت طباعة الشهادة</v>
      </c>
      <c r="C739" s="133" t="str">
        <f>Saud!C739</f>
        <v>P-1-N-210621-3719</v>
      </c>
    </row>
    <row r="740">
      <c r="A740" s="133" t="str">
        <f>Saud!F740</f>
        <v>Nutri-Vet Hairball Salmon Paw Gel for Cats 89ml</v>
      </c>
      <c r="B740" s="133" t="str">
        <f>Saud!E740</f>
        <v>تمت طباعة الشهادة</v>
      </c>
      <c r="C740" s="133" t="str">
        <f>Saud!C740</f>
        <v>P-1-N-210621-3721</v>
      </c>
    </row>
    <row r="741">
      <c r="A741" s="133" t="str">
        <f>Saud!F741</f>
        <v>Nutri-Vet Wild Alaskan Salmon Oil for Cats 118ml</v>
      </c>
      <c r="B741" s="133" t="str">
        <f>Saud!E741</f>
        <v>تمت طباعة الشهادة</v>
      </c>
      <c r="C741" s="133" t="str">
        <f>Saud!C741</f>
        <v>P-1-N-210621-3722</v>
      </c>
    </row>
    <row r="742">
      <c r="A742" s="133" t="str">
        <f>Saud!F742</f>
        <v>Nutri-Vet Breath and Tartar Biscuits for Dogs 553g</v>
      </c>
      <c r="B742" s="133" t="str">
        <f>Saud!E742</f>
        <v>تمت طباعة الشهادة</v>
      </c>
      <c r="C742" s="133" t="str">
        <f>Saud!C742</f>
        <v>P-1-N-210621-3724</v>
      </c>
    </row>
    <row r="743">
      <c r="A743" s="133" t="str">
        <f>Saud!F743</f>
        <v>Nutri-Vet Hip and Joint Biscuits for Dogs 553g</v>
      </c>
      <c r="B743" s="133" t="str">
        <f>Saud!E743</f>
        <v>تمت طباعة الشهادة</v>
      </c>
      <c r="C743" s="133" t="str">
        <f>Saud!C743</f>
        <v>P-1-N-210621-3727</v>
      </c>
    </row>
    <row r="744">
      <c r="A744" s="133" t="str">
        <f>Saud!F744</f>
        <v>Nutri-Vet Hip and Joint Biscuits for Dogs 2.7kg</v>
      </c>
      <c r="B744" s="133" t="str">
        <f>Saud!E744</f>
        <v>تمت طباعة الشهادة</v>
      </c>
      <c r="C744" s="133" t="str">
        <f>Saud!C744</f>
        <v>P-1-N-210621-3728</v>
      </c>
    </row>
    <row r="745">
      <c r="A745" s="133" t="str">
        <f>Saud!F745</f>
        <v>Nutri-Vet Wild Alaskan Salmon Oil for Dogs 399ml</v>
      </c>
      <c r="B745" s="133" t="str">
        <f>Saud!E745</f>
        <v>تمت طباعة الشهادة</v>
      </c>
      <c r="C745" s="133" t="str">
        <f>Saud!C745</f>
        <v>P-1-N-210621-3729</v>
      </c>
    </row>
    <row r="746">
      <c r="A746" s="133" t="str">
        <f>Saud!F746</f>
        <v>Nutri-Vet Wild Alaskan Salmon Oil for Dogs 192ml</v>
      </c>
      <c r="B746" s="133" t="str">
        <f>Saud!E746</f>
        <v>تمت طباعة الشهادة</v>
      </c>
      <c r="C746" s="133" t="str">
        <f>Saud!C746</f>
        <v>P-1-N-210621-3730</v>
      </c>
    </row>
    <row r="747">
      <c r="A747" s="133" t="str">
        <f>Saud!F747</f>
        <v>SCHESIR for Cat Tuna with Whitebaits 85g</v>
      </c>
      <c r="B747" s="133" t="str">
        <f>Saud!E747</f>
        <v>تمت طباعة الشهادة</v>
      </c>
      <c r="C747" s="133" t="str">
        <f>Saud!C747</f>
        <v>P-1-N-230621-3793</v>
      </c>
    </row>
    <row r="748">
      <c r="A748" s="133" t="str">
        <f>Saud!F748</f>
        <v>SCHESIR for Cat Tuna with Pineapple 85g</v>
      </c>
      <c r="B748" s="133" t="str">
        <f>Saud!E748</f>
        <v>تمت طباعة الشهادة</v>
      </c>
      <c r="C748" s="133" t="str">
        <f>Saud!C748</f>
        <v>P-1-N-230621-3794</v>
      </c>
    </row>
    <row r="749">
      <c r="A749" s="133" t="str">
        <f>Saud!F749</f>
        <v>SCHESIR for Cat Tuna with Shrimp 85g</v>
      </c>
      <c r="B749" s="133" t="str">
        <f>Saud!E749</f>
        <v>تمت طباعة الشهادة</v>
      </c>
      <c r="C749" s="133" t="str">
        <f>Saud!C749</f>
        <v>P-1-N-230621-3795</v>
      </c>
    </row>
    <row r="750">
      <c r="A750" s="133" t="str">
        <f>Saud!F750</f>
        <v>SCHESIR for Cat Tuna with Apple 85g</v>
      </c>
      <c r="B750" s="133" t="str">
        <f>Saud!E750</f>
        <v>تمت طباعة الشهادة</v>
      </c>
      <c r="C750" s="133" t="str">
        <f>Saud!C750</f>
        <v>P-1-N-230621-3796</v>
      </c>
    </row>
    <row r="751">
      <c r="A751" s="133" t="str">
        <f>Saud!F751</f>
        <v>SCHESIR for Cat Tuna with Papaya 85g</v>
      </c>
      <c r="B751" s="133" t="str">
        <f>Saud!E751</f>
        <v>تمت طباعة الشهادة</v>
      </c>
      <c r="C751" s="133" t="str">
        <f>Saud!C751</f>
        <v>P-1-N-230621-3797</v>
      </c>
    </row>
    <row r="752">
      <c r="A752" s="133" t="str">
        <f>Saud!F752</f>
        <v>SCHESIR for Cat Tuna with Mackerel 85g</v>
      </c>
      <c r="B752" s="133" t="str">
        <f>Saud!E752</f>
        <v>تمت طباعة الشهادة</v>
      </c>
      <c r="C752" s="133" t="str">
        <f>Saud!C752</f>
        <v>P-1-N-230621-3798</v>
      </c>
    </row>
    <row r="753">
      <c r="A753" s="133" t="str">
        <f>Saud!F753</f>
        <v>SCHESIR for Cat Tuna with Chicken Slices 85g</v>
      </c>
      <c r="B753" s="133" t="str">
        <f>Saud!E753</f>
        <v>تمت طباعة الشهادة</v>
      </c>
      <c r="C753" s="133" t="str">
        <f>Saud!C753</f>
        <v>P-1-N-230621-3800</v>
      </c>
    </row>
    <row r="754">
      <c r="A754" s="133" t="str">
        <f>Saud!F754</f>
        <v>Salmon in Cooking Water 4x70g</v>
      </c>
      <c r="B754" s="133" t="str">
        <f>Saud!E754</f>
        <v>تمت طباعة الشهادة</v>
      </c>
      <c r="C754" s="133" t="str">
        <f>Saud!C754</f>
        <v>P-1-N-230621-3816</v>
      </c>
    </row>
    <row r="755">
      <c r="A755" s="133" t="str">
        <f>Saud!F755</f>
        <v>Salmon with Carrots in Cooking Water 70g</v>
      </c>
      <c r="B755" s="133" t="str">
        <f>Saud!E755</f>
        <v>تمت طباعة الشهادة</v>
      </c>
      <c r="C755" s="133" t="str">
        <f>Saud!C755</f>
        <v>P-1-N-230621-3817</v>
      </c>
    </row>
    <row r="756">
      <c r="A756" s="133" t="str">
        <f>Saud!F756</f>
        <v>Salmon with Pumpkin in Cooking Water 70g</v>
      </c>
      <c r="B756" s="133" t="str">
        <f>Saud!E756</f>
        <v>تمت طباعة الشهادة</v>
      </c>
      <c r="C756" s="133" t="str">
        <f>Saud!C756</f>
        <v>P-1-N-230621-3818</v>
      </c>
    </row>
    <row r="757">
      <c r="A757" s="133" t="str">
        <f>Saud!F757</f>
        <v>Salmon with Papaya in Cooking Water 70g</v>
      </c>
      <c r="B757" s="133" t="str">
        <f>Saud!E757</f>
        <v>تمت طباعة الشهادة</v>
      </c>
      <c r="C757" s="133" t="str">
        <f>Saud!C757</f>
        <v>P-1-N-230621-3819</v>
      </c>
    </row>
    <row r="758">
      <c r="A758" s="133" t="str">
        <f>Saud!F758</f>
        <v>Salmon with Mango in Cooking Water 70g</v>
      </c>
      <c r="B758" s="133" t="str">
        <f>Saud!E758</f>
        <v>تمت طباعة الشهادة</v>
      </c>
      <c r="C758" s="133" t="str">
        <f>Saud!C758</f>
        <v>P-1-N-230621-3820</v>
      </c>
    </row>
    <row r="759">
      <c r="A759" s="133" t="str">
        <f>Saud!F759</f>
        <v>Beaphar Lactol Puppy Milk 500g</v>
      </c>
      <c r="B759" s="133" t="str">
        <f>Saud!E759</f>
        <v>تمت طباعة الشهادة</v>
      </c>
      <c r="C759" s="133" t="str">
        <f>Saud!C759</f>
        <v>P-1-N-070721-4202</v>
      </c>
    </row>
    <row r="760">
      <c r="A760" s="133" t="str">
        <f>Saud!F760</f>
        <v>Beaphar Lactol Puppy Milk 1kg</v>
      </c>
      <c r="B760" s="133" t="str">
        <f>Saud!E760</f>
        <v>تمت طباعة الشهادة</v>
      </c>
      <c r="C760" s="133" t="str">
        <f>Saud!C760</f>
        <v>P-1-N-070721-4203</v>
      </c>
    </row>
    <row r="761">
      <c r="A761" s="133" t="str">
        <f>Saud!F761</f>
        <v>Butchers Functional Dog Sensitive Lamb &amp; Rice Pate 390g</v>
      </c>
      <c r="B761" s="133" t="str">
        <f>Saud!E761</f>
        <v>تمت طباعة الشهادة</v>
      </c>
      <c r="C761" s="133" t="str">
        <f>Saud!C761</f>
        <v>P-1-N-070721-4207</v>
      </c>
    </row>
    <row r="762">
      <c r="A762" s="133" t="str">
        <f>Saud!F762</f>
        <v>Butchers Functional Dog Beauty Salmon </v>
      </c>
      <c r="B762" s="133" t="str">
        <f>Saud!E762</f>
        <v>تمت طباعة الشهادة</v>
      </c>
      <c r="C762" s="133" t="str">
        <f>Saud!C762</f>
        <v>P-1-N-070721-4214</v>
      </c>
    </row>
    <row r="763">
      <c r="A763" s="133" t="str">
        <f>Saud!F763</f>
        <v>English Name</v>
      </c>
      <c r="B763" s="133" t="str">
        <f>Saud!E763</f>
        <v>تمت طباعة الشهادة</v>
      </c>
      <c r="C763" s="133" t="str">
        <f>Saud!C763</f>
        <v>P-1-N-260721-4505</v>
      </c>
    </row>
    <row r="764">
      <c r="A764" s="133" t="str">
        <f>Saud!F764</f>
        <v>Fruitables Peanut Butter &amp; Banana Bar 170g</v>
      </c>
      <c r="B764" s="133" t="str">
        <f>Saud!E764</f>
        <v>تمت طباعة الشهادة</v>
      </c>
      <c r="C764" s="133" t="str">
        <f>Saud!C764</f>
        <v>P-1-N-260721-4510</v>
      </c>
    </row>
    <row r="765">
      <c r="A765" s="133" t="str">
        <f>Saud!F765</f>
        <v>Fruitables Peanut Butter &amp; Blueberry Bar 170g</v>
      </c>
      <c r="B765" s="133" t="str">
        <f>Saud!E765</f>
        <v>تمت طباعة الشهادة</v>
      </c>
      <c r="C765" s="133" t="str">
        <f>Saud!C765</f>
        <v>P-1-N-260721-4511</v>
      </c>
    </row>
    <row r="766">
      <c r="A766" s="133" t="str">
        <f>Saud!F766</f>
        <v>Fruitables Biggies Peanut Butter &amp; Banana Crunchy Flavor 454g</v>
      </c>
      <c r="B766" s="133" t="str">
        <f>Saud!E766</f>
        <v>تمت طباعة الشهادة</v>
      </c>
      <c r="C766" s="133" t="str">
        <f>Saud!C766</f>
        <v>P-1-N-260721-4512</v>
      </c>
    </row>
    <row r="767">
      <c r="A767" s="133" t="str">
        <f>Saud!F767</f>
        <v>Fruitables Biggies Almond Butter &amp; Coconut Flavor 454g</v>
      </c>
      <c r="B767" s="133" t="str">
        <f>Saud!E767</f>
        <v>تمت طباعة الشهادة</v>
      </c>
      <c r="C767" s="133" t="str">
        <f>Saud!C767</f>
        <v>P-1-N-260721-4514</v>
      </c>
    </row>
    <row r="768">
      <c r="A768" s="133" t="str">
        <f>Saud!F768</f>
        <v>Fruitables Biggies Pumpkin &amp; Blueberry Flavor 454g</v>
      </c>
      <c r="B768" s="133" t="str">
        <f>Saud!E768</f>
        <v>تمت طباعة الشهادة</v>
      </c>
      <c r="C768" s="133" t="str">
        <f>Saud!C768</f>
        <v>P-1-N-260721-4515</v>
      </c>
    </row>
    <row r="769">
      <c r="A769" s="133" t="str">
        <f>Saud!F769</f>
        <v>Fruitables Pumpkin 425g</v>
      </c>
      <c r="B769" s="133" t="str">
        <f>Saud!E769</f>
        <v>تمت طباعة الشهادة</v>
      </c>
      <c r="C769" s="133" t="str">
        <f>Saud!C769</f>
        <v>P-1-N-270721-4522</v>
      </c>
    </row>
    <row r="770">
      <c r="A770" s="133" t="str">
        <f>Saud!F770</f>
        <v>Nutri-Vet L-Lysine Soft Chew for Cats 108g</v>
      </c>
      <c r="B770" s="133" t="str">
        <f>Saud!E770</f>
        <v>تمت طباعة الشهادة</v>
      </c>
      <c r="C770" s="133" t="str">
        <f>Saud!C770</f>
        <v>P-1-N-290721-4601</v>
      </c>
    </row>
    <row r="771">
      <c r="A771" s="133" t="str">
        <f>Saud!F771</f>
        <v>Fruitables Pumpkin &amp; Blueberry Flavor 340g</v>
      </c>
      <c r="B771" s="133" t="str">
        <f>Saud!E771</f>
        <v>تمت طباعة الشهادة</v>
      </c>
      <c r="C771" s="133" t="str">
        <f>Saud!C771</f>
        <v>P-1-N-290721-4605</v>
      </c>
    </row>
    <row r="772">
      <c r="A772" s="133" t="str">
        <f>Saud!F772</f>
        <v>Fruitables Pumpkin &amp; Banana Flavor 340g</v>
      </c>
      <c r="B772" s="133" t="str">
        <f>Saud!E772</f>
        <v>تمت طباعة الشهادة</v>
      </c>
      <c r="C772" s="133" t="str">
        <f>Saud!C772</f>
        <v>P-1-N-290721-4606</v>
      </c>
    </row>
    <row r="773">
      <c r="A773" s="133" t="str">
        <f>Saud!F773</f>
        <v>English Name</v>
      </c>
      <c r="B773" s="133" t="str">
        <f>Saud!E773</f>
        <v>تمت طباعة الشهادة</v>
      </c>
      <c r="C773" s="133" t="str">
        <f>Saud!C773</f>
        <v>P-1-N-290721-4607</v>
      </c>
    </row>
    <row r="774">
      <c r="A774" s="133" t="str">
        <f>Saud!F774</f>
        <v>Nutri-Vet Uri-Ease Paw-Gel for Cats 89ml</v>
      </c>
      <c r="B774" s="133" t="str">
        <f>Saud!E774</f>
        <v>REJECTED</v>
      </c>
      <c r="C774" s="133" t="str">
        <f>Saud!C774</f>
        <v>P-1-N-050821-4824</v>
      </c>
    </row>
    <row r="775">
      <c r="A775" s="133" t="str">
        <f>Saud!F775</f>
        <v>Nutri-Vet Multi-Vite for Dogs 204g</v>
      </c>
      <c r="B775" s="133" t="str">
        <f>Saud!E775</f>
        <v>تمت طباعة الشهادة</v>
      </c>
      <c r="C775" s="133" t="str">
        <f>Saud!C775</f>
        <v>P-1-N-100821-4901</v>
      </c>
    </row>
    <row r="776">
      <c r="A776" s="133" t="str">
        <f>Saud!F776</f>
        <v>Nutri-Vet Brewers Yeast Chewables for Dogs 275g</v>
      </c>
      <c r="B776" s="133" t="str">
        <f>Saud!E776</f>
        <v>تمت طباعة الشهادة</v>
      </c>
      <c r="C776" s="133" t="str">
        <f>Saud!C776</f>
        <v>P-1-N-100821-4903</v>
      </c>
    </row>
    <row r="777">
      <c r="A777" s="133" t="str">
        <f>Saud!F777</f>
        <v>Nutri-Vet Uri-Ease Paw-Gel for Cats 89ml</v>
      </c>
      <c r="B777" s="133" t="str">
        <f>Saud!E777</f>
        <v>تمت طباعة الشهادة</v>
      </c>
      <c r="C777" s="133" t="str">
        <f>Saud!C777</f>
        <v>P-1-N-150821-5057</v>
      </c>
    </row>
    <row r="778">
      <c r="A778" s="133" t="str">
        <f>Saud!F778</f>
        <v>Chicken</v>
      </c>
      <c r="B778" s="133" t="str">
        <f>Saud!E778</f>
        <v>تمت طباعة الشهادة</v>
      </c>
      <c r="C778" s="133" t="str">
        <f>Saud!C778</f>
        <v>P-1-N-070921-5731</v>
      </c>
    </row>
    <row r="779">
      <c r="A779" s="133" t="str">
        <f>Saud!F779</f>
        <v>Vet’s Best Comfort Calm Gel for Cats 100g</v>
      </c>
      <c r="B779" s="133" t="str">
        <f>Saud!E779</f>
        <v>تمت طباعة الشهادة</v>
      </c>
      <c r="C779" s="133" t="str">
        <f>Saud!C779</f>
        <v>P-1-N-290921-6286</v>
      </c>
    </row>
    <row r="780">
      <c r="A780" s="133" t="str">
        <f>Saud!F780</f>
        <v>Vet’s Best Comfort Calm Tablets for Dogs 132g</v>
      </c>
      <c r="B780" s="133" t="str">
        <f>Saud!E780</f>
        <v>تمت طباعة الشهادة</v>
      </c>
      <c r="C780" s="133" t="str">
        <f>Saud!C780</f>
        <v>P-1-N-290921-6287</v>
      </c>
    </row>
    <row r="781">
      <c r="A781" s="133" t="str">
        <f>Saud!F781</f>
        <v>Vet’s Best Immune Support Tablets for Dogs 150g</v>
      </c>
      <c r="B781" s="133" t="str">
        <f>Saud!E781</f>
        <v>تمت طباعة الشهادة</v>
      </c>
      <c r="C781" s="133" t="str">
        <f>Saud!C781</f>
        <v>P-1-N-290921-6288</v>
      </c>
    </row>
    <row r="782">
      <c r="A782" s="133" t="str">
        <f>Saud!F782</f>
        <v>Vet’s Best Hairball Control Gel for Cats 100g</v>
      </c>
      <c r="B782" s="133" t="str">
        <f>Saud!E782</f>
        <v>تمت طباعة الشهادة</v>
      </c>
      <c r="C782" s="133" t="str">
        <f>Saud!C782</f>
        <v>P-1-N-290921-6289</v>
      </c>
    </row>
    <row r="783">
      <c r="A783" s="133" t="str">
        <f>Saud!F783</f>
        <v>English Name</v>
      </c>
      <c r="B783" s="133" t="str">
        <f>Saud!E783</f>
        <v>تمت طباعة الشهادة</v>
      </c>
      <c r="C783" s="133" t="str">
        <f>Saud!C783</f>
        <v>P-1-N-290921-6290</v>
      </c>
    </row>
    <row r="784">
      <c r="A784" s="133" t="str">
        <f>Saud!F784</f>
        <v>Vet’s Best Urinary Tract Support Gel for Cats 100g</v>
      </c>
      <c r="B784" s="133" t="str">
        <f>Saud!E784</f>
        <v>تمت طباعة الشهادة</v>
      </c>
      <c r="C784" s="133" t="str">
        <f>Saud!C784</f>
        <v>P-1-N-290921-6291</v>
      </c>
    </row>
    <row r="785">
      <c r="A785" s="133" t="str">
        <f>Saud!F785</f>
        <v>Vet’s Best Multi System Support Gel for Cats 100g</v>
      </c>
      <c r="B785" s="133" t="str">
        <f>Saud!E785</f>
        <v>تمت طباعة الشهادة</v>
      </c>
      <c r="C785" s="133" t="str">
        <f>Saud!C785</f>
        <v>P-1-N-290921-6292</v>
      </c>
    </row>
    <row r="786">
      <c r="A786" s="133" t="str">
        <f>Saud!F786</f>
        <v>Applaws Cat Pouch 70g Tuna with Seabream</v>
      </c>
      <c r="B786" s="133" t="str">
        <f>Saud!E786</f>
        <v>تمت طباعة الشهادة</v>
      </c>
      <c r="C786" s="133" t="str">
        <f>Saud!C786</f>
        <v>P-1-N-300921-6338</v>
      </c>
    </row>
    <row r="787">
      <c r="A787" s="133" t="str">
        <f>Saud!F787</f>
        <v>Profine Chicken and Marigold 50g</v>
      </c>
      <c r="B787" s="133" t="str">
        <f>Saud!E787</f>
        <v>تمت طباعة الشهادة</v>
      </c>
      <c r="C787" s="133" t="str">
        <f>Saud!C787</f>
        <v>P-1-N-211021-6970</v>
      </c>
    </row>
    <row r="788">
      <c r="A788" s="133" t="str">
        <f>Saud!F788</f>
        <v>Profine Lamb with Chokeberries 50g</v>
      </c>
      <c r="B788" s="133" t="str">
        <f>Saud!E788</f>
        <v>تمت طباعة الشهادة</v>
      </c>
      <c r="C788" s="133" t="str">
        <f>Saud!C788</f>
        <v>P-1-N-211021-6971</v>
      </c>
    </row>
    <row r="789">
      <c r="A789" s="133" t="str">
        <f>Saud!F789</f>
        <v>Profine Salmon with Thyme 50g</v>
      </c>
      <c r="B789" s="133" t="str">
        <f>Saud!E789</f>
        <v>تمت طباعة الشهادة</v>
      </c>
      <c r="C789" s="133" t="str">
        <f>Saud!C789</f>
        <v>P-1-N-211021-6972</v>
      </c>
    </row>
    <row r="790">
      <c r="A790" s="133" t="str">
        <f>Saud!F790</f>
        <v>Crispy Muesli Hamsters &amp; Co 1 kg</v>
      </c>
      <c r="B790" s="133" t="str">
        <f>Saud!E790</f>
        <v>REJECTED</v>
      </c>
      <c r="C790" s="133" t="str">
        <f>Saud!C790</f>
        <v>P-1-N-011121-7322</v>
      </c>
    </row>
    <row r="791">
      <c r="A791" s="133" t="str">
        <f>Saud!F791</f>
        <v>Sanal Taurin 60g</v>
      </c>
      <c r="B791" s="133" t="str">
        <f>Saud!E791</f>
        <v>تمت طباعة الشهادة</v>
      </c>
      <c r="C791" s="133" t="str">
        <f>Saud!C791</f>
        <v>P-1-N-011121-7323</v>
      </c>
    </row>
    <row r="792">
      <c r="A792" s="133" t="str">
        <f>Saud!F792</f>
        <v>English Name</v>
      </c>
      <c r="B792" s="133" t="str">
        <f>Saud!E792</f>
        <v>تمت طباعة الشهادة</v>
      </c>
      <c r="C792" s="133" t="str">
        <f>Saud!C792</f>
        <v>P-1-N-021121-7370</v>
      </c>
    </row>
    <row r="793">
      <c r="A793" s="133" t="str">
        <f>Saud!F793</f>
        <v>SensiCat  / 60 g </v>
      </c>
      <c r="B793" s="133" t="str">
        <f>Saud!E793</f>
        <v>تمت طباعة الشهادة</v>
      </c>
      <c r="C793" s="133" t="str">
        <f>Saud!C793</f>
        <v>P-1-N-021121-7372</v>
      </c>
    </row>
    <row r="794">
      <c r="A794" s="133" t="str">
        <f>Saud!F794</f>
        <v>Kit</v>
      </c>
      <c r="B794" s="133" t="str">
        <f>Saud!E794</f>
        <v>تمت طباعة الشهادة</v>
      </c>
      <c r="C794" s="133" t="str">
        <f>Saud!C794</f>
        <v>P-1-N-081121-7514</v>
      </c>
    </row>
    <row r="795">
      <c r="A795" s="133" t="str">
        <f>Saud!F795</f>
        <v>English Name</v>
      </c>
      <c r="B795" s="133" t="str">
        <f>Saud!E795</f>
        <v>تمت طباعة الشهادة</v>
      </c>
      <c r="C795" s="133" t="str">
        <f>Saud!C795</f>
        <v>P-1-N-081121-7520</v>
      </c>
    </row>
    <row r="796">
      <c r="A796" s="133" t="str">
        <f>Saud!F796</f>
        <v>Applaws Adult Cat Ocean Fish with Salmon 6kg</v>
      </c>
      <c r="B796" s="133" t="str">
        <f>Saud!E796</f>
        <v>REJECTED</v>
      </c>
      <c r="C796" s="133" t="str">
        <f>Saud!C796</f>
        <v>P-1-N-101121-7590</v>
      </c>
    </row>
    <row r="797">
      <c r="A797" s="133" t="str">
        <f>Saud!F797</f>
        <v>Applaws Adult Cat Ocean Fish with Salmon 350g</v>
      </c>
      <c r="B797" s="133" t="str">
        <f>Saud!E797</f>
        <v>REJECTED</v>
      </c>
      <c r="C797" s="133" t="str">
        <f>Saud!C797</f>
        <v>P-1-N-101121-7591</v>
      </c>
    </row>
    <row r="798">
      <c r="A798" s="133" t="str">
        <f>Saud!F798</f>
        <v>Vet’s</v>
      </c>
      <c r="B798" s="133" t="str">
        <f>Saud!E798</f>
        <v>REJECTED</v>
      </c>
      <c r="C798" s="133" t="str">
        <f>Saud!C798</f>
        <v>P-1-N-211121-7879</v>
      </c>
    </row>
    <row r="799">
      <c r="A799" s="133" t="str">
        <f>Saud!F799</f>
        <v>Absolute Holistic Grain free Indoor - Chicken 1.36kg</v>
      </c>
      <c r="B799" s="133" t="str">
        <f>Saud!E799</f>
        <v>تمت طباعة الشهادة</v>
      </c>
      <c r="C799" s="133" t="str">
        <f>Saud!C799</f>
        <v>P-1-N-221121-7917</v>
      </c>
    </row>
    <row r="800">
      <c r="A800" s="133" t="str">
        <f>Saud!F800</f>
        <v>Absolute Holistic Grain free Coat Care - Salmon &amp; Cod 1.36kg</v>
      </c>
      <c r="B800" s="133" t="str">
        <f>Saud!E800</f>
        <v>تمت طباعة الشهادة</v>
      </c>
      <c r="C800" s="133" t="str">
        <f>Saud!C800</f>
        <v>P-1-N-221121-7918</v>
      </c>
    </row>
    <row r="801">
      <c r="A801" s="133" t="str">
        <f>Saud!F801</f>
        <v>Absolute Holistic Grain free Kitten - Chicken &amp; Salmon 1.36kg</v>
      </c>
      <c r="B801" s="133" t="str">
        <f>Saud!E801</f>
        <v>تمت طباعة الشهادة</v>
      </c>
      <c r="C801" s="133" t="str">
        <f>Saud!C801</f>
        <v>P-1-N-221121-7920</v>
      </c>
    </row>
    <row r="802">
      <c r="A802" s="133" t="str">
        <f>Saud!F802</f>
        <v>Absolute Holistic Grain free Urinary - Tuna &amp; Chicken 1.36kg</v>
      </c>
      <c r="B802" s="133" t="str">
        <f>Saud!E802</f>
        <v>تمت طباعة الشهادة</v>
      </c>
      <c r="C802" s="133" t="str">
        <f>Saud!C802</f>
        <v>P-1-N-221121-7921</v>
      </c>
    </row>
    <row r="803">
      <c r="A803" s="133" t="str">
        <f>Saud!F803</f>
        <v>English Name</v>
      </c>
      <c r="B803" s="133" t="str">
        <f>Saud!E803</f>
        <v>تمت طباعة الشهادة</v>
      </c>
      <c r="C803" s="133" t="str">
        <f>Saud!C803</f>
        <v>P-1-N-221121-7922</v>
      </c>
    </row>
    <row r="804">
      <c r="A804" s="133" t="str">
        <f>Saud!F804</f>
        <v>SANAL DOG CHICKEN BONES 80g</v>
      </c>
      <c r="B804" s="133" t="str">
        <f>Saud!E804</f>
        <v>تمت طباعة الشهادة</v>
      </c>
      <c r="C804" s="133" t="str">
        <f>Saud!C804</f>
        <v>P-1-N-231121-7948</v>
      </c>
    </row>
    <row r="805">
      <c r="A805" s="133" t="str">
        <f>Saud!F805</f>
        <v>Sanal Dog Chicken Wrap 80g</v>
      </c>
      <c r="B805" s="133" t="str">
        <f>Saud!E805</f>
        <v>تمت طباعة الشهادة</v>
      </c>
      <c r="C805" s="133" t="str">
        <f>Saud!C805</f>
        <v>P-1-N-231121-7949</v>
      </c>
    </row>
    <row r="806">
      <c r="A806" s="133" t="str">
        <f>Saud!F806</f>
        <v>Sanal Dog Chicken &amp; Fish Strips 80g</v>
      </c>
      <c r="B806" s="133" t="str">
        <f>Saud!E806</f>
        <v>تمت طباعة الشهادة</v>
      </c>
      <c r="C806" s="133" t="str">
        <f>Saud!C806</f>
        <v>P-1-N-231121-7956</v>
      </c>
    </row>
    <row r="807">
      <c r="A807" s="133" t="str">
        <f>Saud!F807</f>
        <v>Sanal Dog Duck Filet 80g</v>
      </c>
      <c r="B807" s="133" t="str">
        <f>Saud!E807</f>
        <v>تمت طباعة الشهادة</v>
      </c>
      <c r="C807" s="133" t="str">
        <f>Saud!C807</f>
        <v>P-1-N-231121-7957</v>
      </c>
    </row>
    <row r="808">
      <c r="A808" s="133" t="str">
        <f>Saud!F808</f>
        <v>Sanal Dog Calcium Chicken Bones 80g</v>
      </c>
      <c r="B808" s="133" t="str">
        <f>Saud!E808</f>
        <v>تمت طباعة الشهادة</v>
      </c>
      <c r="C808" s="133" t="str">
        <f>Saud!C808</f>
        <v>P-1-N-231121-7958</v>
      </c>
    </row>
    <row r="809">
      <c r="A809" s="133" t="str">
        <f>Saud!F809</f>
        <v>Sanal Dog Combo Rice &amp; Chicken 80g</v>
      </c>
      <c r="B809" s="133" t="str">
        <f>Saud!E809</f>
        <v>تمت طباعة الشهادة</v>
      </c>
      <c r="C809" s="133" t="str">
        <f>Saud!C809</f>
        <v>P-1-N-231121-7959</v>
      </c>
    </row>
    <row r="810">
      <c r="A810" s="133" t="str">
        <f>Saud!F810</f>
        <v>Sanal Dog Chicken Sushi 80g</v>
      </c>
      <c r="B810" s="133" t="str">
        <f>Saud!E810</f>
        <v>تمت طباعة الشهادة</v>
      </c>
      <c r="C810" s="133" t="str">
        <f>Saud!C810</f>
        <v>P-1-N-231121-7960</v>
      </c>
    </row>
    <row r="811">
      <c r="A811" s="133" t="str">
        <f>Saud!F811</f>
        <v>Sanal Dog Chicken Filet 80g</v>
      </c>
      <c r="B811" s="133" t="str">
        <f>Saud!E811</f>
        <v>تمت طباعة الشهادة</v>
      </c>
      <c r="C811" s="133" t="str">
        <f>Saud!C811</f>
        <v>P-1-N-231121-7961</v>
      </c>
    </row>
    <row r="812">
      <c r="A812" s="133" t="str">
        <f>Saud!F812</f>
        <v>Vet’s Best Hip &amp; Joint Tablets for Dogs 144g</v>
      </c>
      <c r="B812" s="133" t="str">
        <f>Saud!E812</f>
        <v>REJECTED</v>
      </c>
      <c r="C812" s="133" t="str">
        <f>Saud!C812</f>
        <v>P-1-N-051221-8369</v>
      </c>
    </row>
    <row r="813">
      <c r="A813" s="133" t="str">
        <f>Saud!F813</f>
        <v>English Name</v>
      </c>
      <c r="B813" s="133" t="str">
        <f>Saud!E813</f>
        <v>تمت طباعة الشهادة</v>
      </c>
      <c r="C813" s="133" t="str">
        <f>Saud!C813</f>
        <v>P-1-N-061221-8398</v>
      </c>
    </row>
    <row r="814">
      <c r="A814" s="133" t="str">
        <f>Saud!F814</f>
        <v>Buddy Biscuits Grain Free Cat Treats with Tender Chicken 85g</v>
      </c>
      <c r="B814" s="133" t="str">
        <f>Saud!E814</f>
        <v>تمت طباعة الشهادة</v>
      </c>
      <c r="C814" s="133" t="str">
        <f>Saud!C814</f>
        <v>P-1-N-071221-8447</v>
      </c>
    </row>
    <row r="815">
      <c r="A815" s="133" t="str">
        <f>Saud!F815</f>
        <v>Buddy Biscuits Mini Jerky Chicken &amp; Sweet Potato 113g</v>
      </c>
      <c r="B815" s="133" t="str">
        <f>Saud!E815</f>
        <v>تمت طباعة الشهادة</v>
      </c>
      <c r="C815" s="133" t="str">
        <f>Saud!C815</f>
        <v>P-1-N-071221-8448</v>
      </c>
    </row>
    <row r="816">
      <c r="A816" s="133" t="str">
        <f>Saud!F816</f>
        <v>Buddy Biscuits Assorted Flavors - Roasted Chicken, Grilled Beef, Sharp Cheddar 453g</v>
      </c>
      <c r="B816" s="133" t="str">
        <f>Saud!E816</f>
        <v>تمت طباعة الشهادة</v>
      </c>
      <c r="C816" s="133" t="str">
        <f>Saud!C816</f>
        <v>P-1-N-071221-8449</v>
      </c>
    </row>
    <row r="817">
      <c r="A817" s="133" t="str">
        <f>Saud!F817</f>
        <v>Buddy Biscuits Chewy Treats with Peanut Butter 170g</v>
      </c>
      <c r="B817" s="133" t="str">
        <f>Saud!E817</f>
        <v>تمت طباعة الشهادة</v>
      </c>
      <c r="C817" s="133" t="str">
        <f>Saud!C817</f>
        <v>P-1-N-071221-8450</v>
      </c>
    </row>
    <row r="818">
      <c r="A818" s="133" t="str">
        <f>Saud!F818</f>
        <v>Buddy Biscuits Chewy Treats with Roasted Chicken 170g</v>
      </c>
      <c r="B818" s="133" t="str">
        <f>Saud!E818</f>
        <v>تمت طباعة الشهادة</v>
      </c>
      <c r="C818" s="133" t="str">
        <f>Saud!C818</f>
        <v>P-1-N-071221-8451</v>
      </c>
    </row>
    <row r="819">
      <c r="A819" s="133" t="str">
        <f>Saud!F819</f>
        <v>Buddy Biscuits Crunchy Treats with Roasted Chicken 453g</v>
      </c>
      <c r="B819" s="133" t="str">
        <f>Saud!E819</f>
        <v>تمت طباعة الشهادة</v>
      </c>
      <c r="C819" s="133" t="str">
        <f>Saud!C819</f>
        <v>P-1-N-071221-8452</v>
      </c>
    </row>
    <row r="820">
      <c r="A820" s="133" t="str">
        <f>Saud!F820</f>
        <v>Buddy Biscuits Crunchy Treats with Roasted Chicken 1.58kg</v>
      </c>
      <c r="B820" s="133" t="str">
        <f>Saud!E820</f>
        <v>تمت طباعة الشهادة</v>
      </c>
      <c r="C820" s="133" t="str">
        <f>Saud!C820</f>
        <v>P-1-N-071221-8453</v>
      </c>
    </row>
    <row r="821">
      <c r="A821" s="133" t="str">
        <f>Saud!F821</f>
        <v>Buddy Biscuits Crunchy Treats with Peanut Butter 1.58kg</v>
      </c>
      <c r="B821" s="133" t="str">
        <f>Saud!E821</f>
        <v>تمت طباعة الشهادة</v>
      </c>
      <c r="C821" s="133" t="str">
        <f>Saud!C821</f>
        <v>P-1-N-071221-8454</v>
      </c>
    </row>
    <row r="822">
      <c r="A822" s="133" t="str">
        <f>Saud!F822</f>
        <v>Buddy Biscuits Crunchy Treats with Peanut Butter 453g</v>
      </c>
      <c r="B822" s="133" t="str">
        <f>Saud!E822</f>
        <v>تمت طباعة الشهادة</v>
      </c>
      <c r="C822" s="133" t="str">
        <f>Saud!C822</f>
        <v>P-1-N-071221-8455</v>
      </c>
    </row>
    <row r="823">
      <c r="A823" s="133" t="str">
        <f>Saud!F823</f>
        <v>English Name</v>
      </c>
      <c r="B823" s="133" t="str">
        <f>Saud!E823</f>
        <v>تمت طباعة الشهادة</v>
      </c>
      <c r="C823" s="133" t="str">
        <f>Saud!C823</f>
        <v>P-1-N-071221-8456</v>
      </c>
    </row>
    <row r="824">
      <c r="A824" s="133" t="str">
        <f>Saud!F824</f>
        <v>Buddy Biscuits Grain Free Chewy Treats with Peanut Butter 141g</v>
      </c>
      <c r="B824" s="133" t="str">
        <f>Saud!E824</f>
        <v>تمت طباعة الشهادة</v>
      </c>
      <c r="C824" s="133" t="str">
        <f>Saud!C824</f>
        <v>P-1-N-071221-8457</v>
      </c>
    </row>
    <row r="825">
      <c r="A825" s="133" t="str">
        <f>Saud!F825</f>
        <v>Buddy Biscuits Grain Free Chewy Treats with Roasted Chicken 141g</v>
      </c>
      <c r="B825" s="133" t="str">
        <f>Saud!E825</f>
        <v>تمت طباعة الشهادة</v>
      </c>
      <c r="C825" s="133" t="str">
        <f>Saud!C825</f>
        <v>P-1-N-071221-8458</v>
      </c>
    </row>
    <row r="826">
      <c r="A826" s="133" t="str">
        <f>Saud!F826</f>
        <v>Buddy Biscuits Grain Free Crunchy Treats with Roasted Chicken 396g</v>
      </c>
      <c r="B826" s="133" t="str">
        <f>Saud!E826</f>
        <v>تمت طباعة الشهادة</v>
      </c>
      <c r="C826" s="133" t="str">
        <f>Saud!C826</f>
        <v>P-1-N-071221-8459</v>
      </c>
    </row>
    <row r="827">
      <c r="A827" s="133" t="str">
        <f>Saud!F827</f>
        <v>Buddy Biscuits Grain Free Crunchy Treats with Peanut Butter 396g</v>
      </c>
      <c r="B827" s="133" t="str">
        <f>Saud!E827</f>
        <v>تمت طباعة الشهادة</v>
      </c>
      <c r="C827" s="133" t="str">
        <f>Saud!C827</f>
        <v>P-1-N-071221-8460</v>
      </c>
    </row>
    <row r="828">
      <c r="A828" s="133" t="str">
        <f>Saud!F828</f>
        <v>Buddy Biscuits Grain Free TEENY Crunchy Treats with Peanut Butter 198g</v>
      </c>
      <c r="B828" s="133" t="str">
        <f>Saud!E828</f>
        <v>تمت طباعة الشهادة</v>
      </c>
      <c r="C828" s="133" t="str">
        <f>Saud!C828</f>
        <v>P-1-N-071221-8461</v>
      </c>
    </row>
    <row r="829">
      <c r="A829" s="133" t="str">
        <f>Saud!F829</f>
        <v>Buddy Biscuits Grain Free TEENY Crunchy Treats with Roasted Chicken 198g</v>
      </c>
      <c r="B829" s="133" t="str">
        <f>Saud!E829</f>
        <v>تمت طباعة الشهادة</v>
      </c>
      <c r="C829" s="133" t="str">
        <f>Saud!C829</f>
        <v>P-1-N-071221-8462</v>
      </c>
    </row>
    <row r="830">
      <c r="A830" s="133" t="str">
        <f>Saud!F830</f>
        <v>Buddy Biscuits TEENY Crunchy Treats with Peanut Butter 227g</v>
      </c>
      <c r="B830" s="133" t="str">
        <f>Saud!E830</f>
        <v>تمت طباعة الشهادة</v>
      </c>
      <c r="C830" s="133" t="str">
        <f>Saud!C830</f>
        <v>P-1-N-071221-8463</v>
      </c>
    </row>
    <row r="831">
      <c r="A831" s="133" t="str">
        <f>Saud!F831</f>
        <v>Buddy Biscuits TEENY Crunchy Treats with Roasted Chicken 227g</v>
      </c>
      <c r="B831" s="133" t="str">
        <f>Saud!E831</f>
        <v>تمت طباعة الشهادة</v>
      </c>
      <c r="C831" s="133" t="str">
        <f>Saud!C831</f>
        <v>P-1-N-071221-8464</v>
      </c>
    </row>
    <row r="832">
      <c r="A832" s="133" t="str">
        <f>Saud!F832</f>
        <v>Buddy Trainers Training Chews with Chicken Liver 198g</v>
      </c>
      <c r="B832" s="133" t="str">
        <f>Saud!E832</f>
        <v>تمت طباعة الشهادة</v>
      </c>
      <c r="C832" s="133" t="str">
        <f>Saud!C832</f>
        <v>P-1-N-071221-8465</v>
      </c>
    </row>
    <row r="833">
      <c r="A833" s="133" t="str">
        <f>Saud!F833</f>
        <v>English Name</v>
      </c>
      <c r="B833" s="133" t="str">
        <f>Saud!E833</f>
        <v>تمت طباعة الشهادة</v>
      </c>
      <c r="C833" s="133" t="str">
        <f>Saud!C833</f>
        <v>P-1-N-071221-8466</v>
      </c>
    </row>
    <row r="834">
      <c r="A834" s="133" t="str">
        <f>Saud!F834</f>
        <v>Tiki Cat Aloha Friends Wet Cat Food Tuna, Tilapia &amp; Pumpkin 85g</v>
      </c>
      <c r="B834" s="133" t="str">
        <f>Saud!E834</f>
        <v>REJECTED</v>
      </c>
      <c r="C834" s="133" t="str">
        <f>Saud!C834</f>
        <v>P-1-N-281221-9165</v>
      </c>
    </row>
    <row r="835">
      <c r="A835" s="133" t="str">
        <f>Saud!F835</f>
        <v>Tiki Cat Aloha Friends Wet Cat Food Tuna, Ocean Whitefish &amp; Pumpkin 85g</v>
      </c>
      <c r="B835" s="133" t="str">
        <f>Saud!E835</f>
        <v>REJECTED</v>
      </c>
      <c r="C835" s="133" t="str">
        <f>Saud!C835</f>
        <v>P-1-N-281221-9167</v>
      </c>
    </row>
    <row r="836">
      <c r="A836" s="133" t="str">
        <f>Saud!F836</f>
        <v>Tiki Cat Aloha Friends Wet Cat Food Tuna, Shrimp &amp; Pumpkin 85g</v>
      </c>
      <c r="B836" s="133" t="str">
        <f>Saud!E836</f>
        <v>REJECTED</v>
      </c>
      <c r="C836" s="133" t="str">
        <f>Saud!C836</f>
        <v>P-1-N-281221-9168</v>
      </c>
    </row>
    <row r="837">
      <c r="A837" s="133" t="str">
        <f>Saud!F837</f>
        <v>Tiki Cat Aloha Friends Wet Cat Food Tuna, Calamari &amp; Pumpkin 85g</v>
      </c>
      <c r="B837" s="133" t="str">
        <f>Saud!E837</f>
        <v>REJECTED</v>
      </c>
      <c r="C837" s="133" t="str">
        <f>Saud!C837</f>
        <v>P-1-N-281221-9169</v>
      </c>
    </row>
    <row r="838">
      <c r="A838" s="133" t="str">
        <f>Saud!F838</f>
        <v>Tiki Cat Aloha Friends Wet Cat Food Tuna &amp; Pumpkin 85g</v>
      </c>
      <c r="B838" s="133" t="str">
        <f>Saud!E838</f>
        <v>REJECTED</v>
      </c>
      <c r="C838" s="133" t="str">
        <f>Saud!C838</f>
        <v>P-1-N-281221-9170</v>
      </c>
    </row>
    <row r="839">
      <c r="A839" s="133" t="str">
        <f>Saud!F839</f>
        <v>Tiki Cat Aloha Friends Wet Cat Food Tuna, Tilapia &amp; Pumpkin 85g</v>
      </c>
      <c r="B839" s="133" t="str">
        <f>Saud!E839</f>
        <v>تمت طباعة الشهادة</v>
      </c>
      <c r="C839" s="133" t="str">
        <f>Saud!C839</f>
        <v>P-1-N-090122-169</v>
      </c>
    </row>
    <row r="840">
      <c r="A840" s="133" t="str">
        <f>Saud!F840</f>
        <v>Tiki Cat Aloha Friends Wet Cat Food Tuna, Ocean Whitefish &amp; Pumpkin 85g</v>
      </c>
      <c r="B840" s="133" t="str">
        <f>Saud!E840</f>
        <v>تمت طباعة الشهادة</v>
      </c>
      <c r="C840" s="133" t="str">
        <f>Saud!C840</f>
        <v>P-1-N-090122-170</v>
      </c>
    </row>
    <row r="841">
      <c r="A841" s="133" t="str">
        <f>Saud!F841</f>
        <v>Tiki Cat Aloha Friends Wet Cat Food Tuna, Shrimp &amp; Pumpkin 85g</v>
      </c>
      <c r="B841" s="133" t="str">
        <f>Saud!E841</f>
        <v>تمت طباعة الشهادة</v>
      </c>
      <c r="C841" s="133" t="str">
        <f>Saud!C841</f>
        <v>P-1-N-090122-171</v>
      </c>
    </row>
    <row r="842">
      <c r="A842" s="133" t="str">
        <f>Saud!F842</f>
        <v>Tiki Cat Aloha Friends Wet Cat Food Tuna, Calamari &amp; Pumpkin 85g</v>
      </c>
      <c r="B842" s="133" t="str">
        <f>Saud!E842</f>
        <v>تمت طباعة الشهادة</v>
      </c>
      <c r="C842" s="133" t="str">
        <f>Saud!C842</f>
        <v>P-1-N-090122-172</v>
      </c>
    </row>
    <row r="843">
      <c r="A843" s="133" t="str">
        <f>Saud!F843</f>
        <v/>
      </c>
      <c r="B843" s="133" t="str">
        <f>Saud!E843</f>
        <v>تمت طباعة الشهادة</v>
      </c>
      <c r="C843" s="133" t="str">
        <f>Saud!C843</f>
        <v>P-1-N-090122-173</v>
      </c>
    </row>
    <row r="844">
      <c r="A844" s="133" t="str">
        <f>Saud!F844</f>
        <v>Sanal Cream Sticks with Salmon 75g</v>
      </c>
      <c r="B844" s="133" t="str">
        <f>Saud!E844</f>
        <v>تمت طباعة الشهادة</v>
      </c>
      <c r="C844" s="133" t="str">
        <f>Saud!C844</f>
        <v>P-1-N-230122-484</v>
      </c>
    </row>
    <row r="845">
      <c r="A845" s="133" t="str">
        <f>Saud!F845</f>
        <v>Sanal Cream Sticks with Chicken 75g</v>
      </c>
      <c r="B845" s="133" t="str">
        <f>Saud!E845</f>
        <v>تمت طباعة الشهادة</v>
      </c>
      <c r="C845" s="133" t="str">
        <f>Saud!C845</f>
        <v>P-1-N-230122-485</v>
      </c>
    </row>
    <row r="846">
      <c r="A846" s="133" t="str">
        <f>Saud!F846</f>
        <v>Schesir Chicken and Tuna Mousse with Blueberry 85g</v>
      </c>
      <c r="B846" s="133" t="str">
        <f>Saud!E846</f>
        <v>REJECTED</v>
      </c>
      <c r="C846" s="133" t="str">
        <f>Saud!C846</f>
        <v>P-1-N-060222-745</v>
      </c>
    </row>
    <row r="847">
      <c r="A847" s="133" t="str">
        <f>Saud!F847</f>
        <v>Schesir Tuna Mousse with Chicken and Shrimp 80g</v>
      </c>
      <c r="B847" s="133" t="str">
        <f>Saud!E847</f>
        <v>تمت طباعة الشهادة</v>
      </c>
      <c r="C847" s="133" t="str">
        <f>Saud!C847</f>
        <v>P-1-N-060222-746</v>
      </c>
    </row>
    <row r="848">
      <c r="A848" s="133" t="str">
        <f>Saud!F848</f>
        <v>Schesir</v>
      </c>
      <c r="B848" s="133" t="str">
        <f>Saud!E848</f>
        <v>تمت طباعة الشهادة</v>
      </c>
      <c r="C848" s="133" t="str">
        <f>Saud!C848</f>
        <v>P-1-N-060222-747</v>
      </c>
    </row>
    <row r="849">
      <c r="A849" s="133" t="str">
        <f>Saud!F849</f>
        <v>Schesir Tuna with Beef Mousse 80g</v>
      </c>
      <c r="B849" s="133" t="str">
        <f>Saud!E849</f>
        <v>تمت طباعة الشهادة</v>
      </c>
      <c r="C849" s="133" t="str">
        <f>Saud!C849</f>
        <v>P-1-N-060222-748</v>
      </c>
    </row>
    <row r="850">
      <c r="A850" s="133" t="str">
        <f>Saud!F850</f>
        <v>Schesir Chicken and Tuna Mousse with Kiwi 80g</v>
      </c>
      <c r="B850" s="133" t="str">
        <f>Saud!E850</f>
        <v>تمت طباعة الشهادة</v>
      </c>
      <c r="C850" s="133" t="str">
        <f>Saud!C850</f>
        <v>P-1-N-060222-749</v>
      </c>
    </row>
    <row r="851">
      <c r="A851" s="133" t="str">
        <f>Saud!F851</f>
        <v>Schesir Chicken and Tuna Mousse with Mango 80g</v>
      </c>
      <c r="B851" s="133" t="str">
        <f>Saud!E851</f>
        <v>تمت طباعة الشهادة</v>
      </c>
      <c r="C851" s="133" t="str">
        <f>Saud!C851</f>
        <v>P-1-N-060222-750</v>
      </c>
    </row>
    <row r="852">
      <c r="A852" s="133" t="str">
        <f>Saud!F852</f>
        <v>Schesir Tuna with Anchovy, Sweet Potato &amp; Cranberry 85g</v>
      </c>
      <c r="B852" s="133" t="str">
        <f>Saud!E852</f>
        <v>تمت طباعة الشهادة</v>
      </c>
      <c r="C852" s="133" t="str">
        <f>Saud!C852</f>
        <v>P-1-N-060222-751</v>
      </c>
    </row>
    <row r="853">
      <c r="A853" s="133" t="str">
        <f>Saud!F853</f>
        <v>English Name</v>
      </c>
      <c r="B853" s="133" t="str">
        <f>Saud!E853</f>
        <v>تمت طباعة الشهادة</v>
      </c>
      <c r="C853" s="133" t="str">
        <f>Saud!C853</f>
        <v>P-1-N-060222-752</v>
      </c>
    </row>
    <row r="854">
      <c r="A854" s="133" t="str">
        <f>Saud!F854</f>
        <v>Schesir Ocean Fish with Pumpkin &amp; Pear 85g</v>
      </c>
      <c r="B854" s="133" t="str">
        <f>Saud!E854</f>
        <v>تمت طباعة الشهادة</v>
      </c>
      <c r="C854" s="133" t="str">
        <f>Saud!C854</f>
        <v>P-1-N-060222-753</v>
      </c>
    </row>
    <row r="855">
      <c r="A855" s="133" t="str">
        <f>Saud!F855</f>
        <v>Schesir Chicken with Goji Berry &amp; Spinach 85g</v>
      </c>
      <c r="B855" s="133" t="str">
        <f>Saud!E855</f>
        <v>تمت طباعة الشهادة</v>
      </c>
      <c r="C855" s="133" t="str">
        <f>Saud!C855</f>
        <v>P-1-N-060222-754</v>
      </c>
    </row>
    <row r="856">
      <c r="A856" s="133" t="str">
        <f>Saud!F856</f>
        <v>Schesir Chicken with Pineapple &amp; Carrot 85g</v>
      </c>
      <c r="B856" s="133" t="str">
        <f>Saud!E856</f>
        <v>تمت طباعة الشهادة</v>
      </c>
      <c r="C856" s="133" t="str">
        <f>Saud!C856</f>
        <v>P-1-N-060222-755</v>
      </c>
    </row>
    <row r="857">
      <c r="A857" s="133" t="str">
        <f>Saud!F857</f>
        <v>Schesir Chicken with Beef, Mango &amp; Green Beans 85g</v>
      </c>
      <c r="B857" s="133" t="str">
        <f>Saud!E857</f>
        <v>تمت طباعة الشهادة</v>
      </c>
      <c r="C857" s="133" t="str">
        <f>Saud!C857</f>
        <v>P-1-N-060222-756</v>
      </c>
    </row>
    <row r="858">
      <c r="A858" s="133" t="str">
        <f>Saud!F858</f>
        <v>EXOTIC</v>
      </c>
      <c r="B858" s="133" t="str">
        <f>Saud!E858</f>
        <v>تمت طباعة الشهادة</v>
      </c>
      <c r="C858" s="133" t="str">
        <f>Saud!C858</f>
        <v>P-1-N-080222-838</v>
      </c>
    </row>
    <row r="859">
      <c r="A859" s="133" t="str">
        <f>Saud!F859</f>
        <v>EXOTIC NUTS MIX EXPERT 750g</v>
      </c>
      <c r="B859" s="133" t="str">
        <f>Saud!E859</f>
        <v>تمت طباعة الشهادة</v>
      </c>
      <c r="C859" s="133" t="str">
        <f>Saud!C859</f>
        <v>P-1-N-080222-840</v>
      </c>
    </row>
    <row r="860">
      <c r="A860" s="133" t="str">
        <f>Saud!F860</f>
        <v>Schesir Chicken and Tuna Mousse with Blueberry 80g</v>
      </c>
      <c r="B860" s="133" t="str">
        <f>Saud!E860</f>
        <v>تمت طباعة الشهادة</v>
      </c>
      <c r="C860" s="133" t="str">
        <f>Saud!C860</f>
        <v>P-1-N-130222-927</v>
      </c>
    </row>
    <row r="861">
      <c r="A861" s="133" t="str">
        <f>Saud!F861</f>
        <v>Tiki Cat Special Fussy with Duck Liver and Egg in Broth 68g</v>
      </c>
      <c r="B861" s="133" t="str">
        <f>Saud!E861</f>
        <v>تمت طباعة الشهادة</v>
      </c>
      <c r="C861" s="133" t="str">
        <f>Saud!C861</f>
        <v>P-1-N-130222-944</v>
      </c>
    </row>
    <row r="862">
      <c r="A862" s="133" t="str">
        <f>Saud!F862</f>
        <v>Tiki Cat Special Light Chicken with Turkey and Pumpkin Recipe in Broth 68g</v>
      </c>
      <c r="B862" s="133" t="str">
        <f>Saud!E862</f>
        <v>تمت طباعة الشهادة</v>
      </c>
      <c r="C862" s="133" t="str">
        <f>Saud!C862</f>
        <v>P-1-N-130222-946</v>
      </c>
    </row>
    <row r="863">
      <c r="A863" s="133" t="str">
        <f>Saud!F863</f>
        <v>English Name</v>
      </c>
      <c r="B863" s="133" t="str">
        <f>Saud!E863</f>
        <v>تمت طباعة الشهادة</v>
      </c>
      <c r="C863" s="133" t="str">
        <f>Saud!C863</f>
        <v>P-1-N-130222-947</v>
      </c>
    </row>
    <row r="864">
      <c r="A864" s="133" t="str">
        <f>Saud!F864</f>
        <v>Tiki Cat Velvet Mousse Kitten with Chicken &amp; Chicken Liver 68g</v>
      </c>
      <c r="B864" s="133" t="str">
        <f>Saud!E864</f>
        <v>تمت طباعة الشهادة</v>
      </c>
      <c r="C864" s="133" t="str">
        <f>Saud!C864</f>
        <v>P-1-N-130222-948</v>
      </c>
    </row>
    <row r="865">
      <c r="A865" s="133" t="str">
        <f>Saud!F865</f>
        <v>Tiki Cat Velvet Mousse Kitten with Salmon &amp; Chicken 68g</v>
      </c>
      <c r="B865" s="133" t="str">
        <f>Saud!E865</f>
        <v>تمت طباعة الشهادة</v>
      </c>
      <c r="C865" s="133" t="str">
        <f>Saud!C865</f>
        <v>P-1-N-130222-949</v>
      </c>
    </row>
    <row r="866">
      <c r="A866" s="133" t="str">
        <f>Saud!F866</f>
        <v>Tiki Cat Velvet Mousse with Chicken &amp; Egg 80g</v>
      </c>
      <c r="B866" s="133" t="str">
        <f>Saud!E866</f>
        <v>تمت طباعة الشهادة</v>
      </c>
      <c r="C866" s="133" t="str">
        <f>Saud!C866</f>
        <v>P-1-N-130222-950</v>
      </c>
    </row>
    <row r="867">
      <c r="A867" s="133" t="str">
        <f>Saud!F867</f>
        <v>Tiki Cat Velvet Mousse with Chicken 80g</v>
      </c>
      <c r="B867" s="133" t="str">
        <f>Saud!E867</f>
        <v>تمت طباعة الشهادة</v>
      </c>
      <c r="C867" s="133" t="str">
        <f>Saud!C867</f>
        <v>P-1-N-130222-951</v>
      </c>
    </row>
    <row r="868">
      <c r="A868" s="133" t="str">
        <f>Saud!F868</f>
        <v>Tiki Cat Velvet Mousse with Salmon 80g</v>
      </c>
      <c r="B868" s="133" t="str">
        <f>Saud!E868</f>
        <v>تمت طباعة الشهادة</v>
      </c>
      <c r="C868" s="133" t="str">
        <f>Saud!C868</f>
        <v>P-1-N-130222-952</v>
      </c>
    </row>
    <row r="869">
      <c r="A869" s="133" t="str">
        <f>Saud!F869</f>
        <v>Tiki Cat Chicken Recipe in Chicken Consomme 80g</v>
      </c>
      <c r="B869" s="133" t="str">
        <f>Saud!E869</f>
        <v>تمت طباعة الشهادة</v>
      </c>
      <c r="C869" s="133" t="str">
        <f>Saud!C869</f>
        <v>P-1-N-130222-953</v>
      </c>
    </row>
    <row r="870">
      <c r="A870" s="133" t="str">
        <f>Saud!F870</f>
        <v>Tiki Cat Tilapia Recipe in Tilapia Consomme 80g</v>
      </c>
      <c r="B870" s="133" t="str">
        <f>Saud!E870</f>
        <v>تمت طباعة الشهادة</v>
      </c>
      <c r="C870" s="133" t="str">
        <f>Saud!C870</f>
        <v>P-1-N-130222-954</v>
      </c>
    </row>
    <row r="871">
      <c r="A871" s="133" t="str">
        <f>Saud!F871</f>
        <v>Tiki Cat Stix Wet Treats with Tuna in Creamy Gravy 85g</v>
      </c>
      <c r="B871" s="133" t="str">
        <f>Saud!E871</f>
        <v>تمت طباعة الشهادة</v>
      </c>
      <c r="C871" s="133" t="str">
        <f>Saud!C871</f>
        <v>P-1-N-130222-955</v>
      </c>
    </row>
    <row r="872">
      <c r="A872" s="133" t="str">
        <f>Saud!F872</f>
        <v>Tiki Cat Stix Wet Treats with Tuna &amp; Scallops in Creamy Gravy 85g</v>
      </c>
      <c r="B872" s="133" t="str">
        <f>Saud!E872</f>
        <v>تمت طباعة الشهادة</v>
      </c>
      <c r="C872" s="133" t="str">
        <f>Saud!C872</f>
        <v>P-1-N-130222-956</v>
      </c>
    </row>
    <row r="873">
      <c r="A873" s="133" t="str">
        <f>Saud!F873</f>
        <v>English Name</v>
      </c>
      <c r="B873" s="133" t="str">
        <f>Saud!E873</f>
        <v>تمت طباعة الشهادة</v>
      </c>
      <c r="C873" s="133" t="str">
        <f>Saud!C873</f>
        <v>P-1-N-150222-978</v>
      </c>
    </row>
    <row r="874">
      <c r="A874" s="133" t="str">
        <f>Saud!F874</f>
        <v>Complete Cuni Junior 500g</v>
      </c>
      <c r="B874" s="133" t="str">
        <f>Saud!E874</f>
        <v>تمت طباعة الشهادة</v>
      </c>
      <c r="C874" s="133" t="str">
        <f>Saud!C874</f>
        <v>P-1-N-150222-979</v>
      </c>
    </row>
    <row r="875">
      <c r="A875" s="133" t="str">
        <f>Saud!F875</f>
        <v>Complete Cuni Sensitive 500g</v>
      </c>
      <c r="B875" s="133" t="str">
        <f>Saud!E875</f>
        <v>تمت طباعة الشهادة</v>
      </c>
      <c r="C875" s="133" t="str">
        <f>Saud!C875</f>
        <v>P-1-N-150222-980</v>
      </c>
    </row>
    <row r="876">
      <c r="A876" s="133" t="str">
        <f>Saud!F876</f>
        <v>Complete Cuni Adult 500g</v>
      </c>
      <c r="B876" s="133" t="str">
        <f>Saud!E876</f>
        <v>تمت طباعة الشهادة</v>
      </c>
      <c r="C876" s="133" t="str">
        <f>Saud!C876</f>
        <v>P-1-N-150222-981</v>
      </c>
    </row>
    <row r="877">
      <c r="A877" s="133" t="str">
        <f>Saud!F877</f>
        <v>Complete Hamster &amp; Gerbil 500g</v>
      </c>
      <c r="B877" s="133" t="str">
        <f>Saud!E877</f>
        <v>تمت طباعة الشهادة</v>
      </c>
      <c r="C877" s="133" t="str">
        <f>Saud!C877</f>
        <v>P-1-N-150222-982</v>
      </c>
    </row>
    <row r="878">
      <c r="A878" s="133" t="str">
        <f>Saud!F878</f>
        <v>Oropharma</v>
      </c>
      <c r="B878" s="133" t="str">
        <f>Saud!E878</f>
        <v>تمت طباعة الشهادة</v>
      </c>
      <c r="C878" s="133" t="str">
        <f>Saud!C878</f>
        <v>P-1-N-150222-983</v>
      </c>
    </row>
    <row r="879">
      <c r="A879" s="133" t="str">
        <f>Saud!F879</f>
        <v>Oropharma Calci-Lux 150g</v>
      </c>
      <c r="B879" s="133" t="str">
        <f>Saud!E879</f>
        <v>تمت طباعة الشهادة</v>
      </c>
      <c r="C879" s="133" t="str">
        <f>Saud!C879</f>
        <v>P-1-N-150222-984</v>
      </c>
    </row>
    <row r="880">
      <c r="A880" s="133" t="str">
        <f>Saud!F880</f>
        <v>Prestige Loro Parque African Parakeet Mix 1kg</v>
      </c>
      <c r="B880" s="133" t="str">
        <f>Saud!E880</f>
        <v>تمت طباعة الشهادة</v>
      </c>
      <c r="C880" s="133" t="str">
        <f>Saud!C880</f>
        <v>P-1-N-150222-985</v>
      </c>
    </row>
    <row r="881">
      <c r="A881" s="133" t="str">
        <f>Saud!F881</f>
        <v>Prestige Loro Parque African Parakeet Mix - Expert 20kg</v>
      </c>
      <c r="B881" s="133" t="str">
        <f>Saud!E881</f>
        <v>تمت طباعة الشهادة</v>
      </c>
      <c r="C881" s="133" t="str">
        <f>Saud!C881</f>
        <v>P-1-N-150222-986</v>
      </c>
    </row>
    <row r="882">
      <c r="A882" s="133" t="str">
        <f>Saud!F882</f>
        <v>Prestige Loro Parque African Parrot Mix 1kg</v>
      </c>
      <c r="B882" s="133" t="str">
        <f>Saud!E882</f>
        <v>تمت طباعة الشهادة</v>
      </c>
      <c r="C882" s="133" t="str">
        <f>Saud!C882</f>
        <v>P-1-N-150222-987</v>
      </c>
    </row>
    <row r="883">
      <c r="A883" s="133" t="str">
        <f>Saud!F883</f>
        <v>English Name</v>
      </c>
      <c r="B883" s="133" t="str">
        <f>Saud!E883</f>
        <v>تمت طباعة الشهادة</v>
      </c>
      <c r="C883" s="133" t="str">
        <f>Saud!C883</f>
        <v>P-1-N-150222-988</v>
      </c>
    </row>
    <row r="884">
      <c r="A884" s="133" t="str">
        <f>Saud!F884</f>
        <v>Prestige Loro Parque African Parrot Mix - Expert 15kg</v>
      </c>
      <c r="B884" s="133" t="str">
        <f>Saud!E884</f>
        <v>تمت طباعة الشهادة</v>
      </c>
      <c r="C884" s="133" t="str">
        <f>Saud!C884</f>
        <v>P-1-N-150222-989</v>
      </c>
    </row>
    <row r="885">
      <c r="A885" s="133" t="str">
        <f>Saud!F885</f>
        <v>Crispy Muesli Rabbits </v>
      </c>
      <c r="B885" s="133" t="str">
        <f>Saud!E885</f>
        <v>تمت طباعة الشهادة</v>
      </c>
      <c r="C885" s="133" t="str">
        <f>Saud!C885</f>
        <v>P-1-N-170222-1056</v>
      </c>
    </row>
    <row r="886">
      <c r="A886" s="133" t="str">
        <f>Saud!F886</f>
        <v>Nutribird A18 Lori 800g</v>
      </c>
      <c r="B886" s="133" t="str">
        <f>Saud!E886</f>
        <v>تمت طباعة الشهادة</v>
      </c>
      <c r="C886" s="133" t="str">
        <f>Saud!C886</f>
        <v>P-1-N-170222-1057</v>
      </c>
    </row>
    <row r="887">
      <c r="A887" s="133" t="str">
        <f>Saud!F887</f>
        <v>Nutribird A19 250g</v>
      </c>
      <c r="B887" s="133" t="str">
        <f>Saud!E887</f>
        <v>تمت طباعة الشهادة</v>
      </c>
      <c r="C887" s="133" t="str">
        <f>Saud!C887</f>
        <v>P-1-N-170222-1058</v>
      </c>
    </row>
    <row r="888">
      <c r="A888" s="133" t="str">
        <f>Saud!F888</f>
        <v>Nutribird A19 800g</v>
      </c>
      <c r="B888" s="133" t="str">
        <f>Saud!E888</f>
        <v>تمت طباعة الشهادة</v>
      </c>
      <c r="C888" s="133" t="str">
        <f>Saud!C888</f>
        <v>P-1-N-170222-1059</v>
      </c>
    </row>
    <row r="889">
      <c r="A889" s="133" t="str">
        <f>Saud!F889</f>
        <v>Nutribird A21 250g</v>
      </c>
      <c r="B889" s="133" t="str">
        <f>Saud!E889</f>
        <v>تمت طباعة الشهادة</v>
      </c>
      <c r="C889" s="133" t="str">
        <f>Saud!C889</f>
        <v>P-1-N-170222-1060</v>
      </c>
    </row>
    <row r="890">
      <c r="A890" s="133" t="str">
        <f>Saud!F890</f>
        <v>Nutribird A21 800g</v>
      </c>
      <c r="B890" s="133" t="str">
        <f>Saud!E890</f>
        <v>تمت طباعة الشهادة</v>
      </c>
      <c r="C890" s="133" t="str">
        <f>Saud!C890</f>
        <v>P-1-N-170222-1061</v>
      </c>
    </row>
    <row r="891">
      <c r="A891" s="133" t="str">
        <f>Saud!F891</f>
        <v>Nutribird A21 3kg</v>
      </c>
      <c r="B891" s="133" t="str">
        <f>Saud!E891</f>
        <v>تمت طباعة الشهادة</v>
      </c>
      <c r="C891" s="133" t="str">
        <f>Saud!C891</f>
        <v>P-1-N-170222-1062</v>
      </c>
    </row>
    <row r="892">
      <c r="A892" s="133" t="str">
        <f>Saud!F892</f>
        <v>Nutribird ALLROUND 250g</v>
      </c>
      <c r="B892" s="133" t="str">
        <f>Saud!E892</f>
        <v>تمت طباعة الشهادة</v>
      </c>
      <c r="C892" s="133" t="str">
        <f>Saud!C892</f>
        <v>P-1-N-170222-1063</v>
      </c>
    </row>
    <row r="893">
      <c r="A893" s="133" t="str">
        <f>Saud!F893</f>
        <v>English Name</v>
      </c>
      <c r="B893" s="133" t="str">
        <f>Saud!E893</f>
        <v>تمت طباعة الشهادة</v>
      </c>
      <c r="C893" s="133" t="str">
        <f>Saud!C893</f>
        <v>P-1-N-170222-1064</v>
      </c>
    </row>
    <row r="894">
      <c r="A894" s="133" t="str">
        <f>Saud!F894</f>
        <v>Nutribird B14 800g</v>
      </c>
      <c r="B894" s="133" t="str">
        <f>Saud!E894</f>
        <v>تمت طباعة الشهادة</v>
      </c>
      <c r="C894" s="133" t="str">
        <f>Saud!C894</f>
        <v>P-1-N-170222-1074</v>
      </c>
    </row>
    <row r="895">
      <c r="A895" s="133" t="str">
        <f>Saud!F895</f>
        <v>Nutribird B18 3kg</v>
      </c>
      <c r="B895" s="133" t="str">
        <f>Saud!E895</f>
        <v>تمت طباعة الشهادة</v>
      </c>
      <c r="C895" s="133" t="str">
        <f>Saud!C895</f>
        <v>P-1-N-170222-1075</v>
      </c>
    </row>
    <row r="896">
      <c r="A896" s="133" t="str">
        <f>Saud!F896</f>
        <v>Nutribird G14 Tropical 1kg</v>
      </c>
      <c r="B896" s="133" t="str">
        <f>Saud!E896</f>
        <v>تمت طباعة الشهادة</v>
      </c>
      <c r="C896" s="133" t="str">
        <f>Saud!C896</f>
        <v>P-1-N-170222-1076</v>
      </c>
    </row>
    <row r="897">
      <c r="A897" s="133" t="str">
        <f>Saud!F897</f>
        <v>Nutribird G14 Tropical 3kg</v>
      </c>
      <c r="B897" s="133" t="str">
        <f>Saud!E897</f>
        <v>تمت طباعة الشهادة</v>
      </c>
      <c r="C897" s="133" t="str">
        <f>Saud!C897</f>
        <v>P-1-N-170222-1077</v>
      </c>
    </row>
    <row r="898">
      <c r="A898" s="133" t="str">
        <f>Saud!F898</f>
        <v>Nutribird P15 Tropical 1kg</v>
      </c>
      <c r="B898" s="133" t="str">
        <f>Saud!E898</f>
        <v>تمت طباعة الشهادة</v>
      </c>
      <c r="C898" s="133" t="str">
        <f>Saud!C898</f>
        <v>P-1-N-170222-1078</v>
      </c>
    </row>
    <row r="899">
      <c r="A899" s="133" t="str">
        <f>Saud!F899</f>
        <v>Nutribird P15 Tropical 3kg</v>
      </c>
      <c r="B899" s="133" t="str">
        <f>Saud!E899</f>
        <v>تمت طباعة الشهادة</v>
      </c>
      <c r="C899" s="133" t="str">
        <f>Saud!C899</f>
        <v>P-1-N-170222-1079</v>
      </c>
    </row>
    <row r="900">
      <c r="A900" s="133" t="str">
        <f>Saud!F900</f>
        <v>Nutribird Lori 700g</v>
      </c>
      <c r="B900" s="133" t="str">
        <f>Saud!E900</f>
        <v>تمت طباعة الشهادة</v>
      </c>
      <c r="C900" s="133" t="str">
        <f>Saud!C900</f>
        <v>P-1-N-170222-1081</v>
      </c>
    </row>
    <row r="901">
      <c r="A901" s="133" t="str">
        <f>Saud!F901</f>
        <v>Nutribird Handmix 500g</v>
      </c>
      <c r="B901" s="133" t="str">
        <f>Saud!E901</f>
        <v>تمت طباعة الشهادة</v>
      </c>
      <c r="C901" s="133" t="str">
        <f>Saud!C901</f>
        <v>P-1-N-170222-1082</v>
      </c>
    </row>
    <row r="902">
      <c r="A902" s="133" t="str">
        <f>Saud!F902</f>
        <v>Orlux Forti Patee 250g</v>
      </c>
      <c r="B902" s="133" t="str">
        <f>Saud!E902</f>
        <v>تمت طباعة الشهادة</v>
      </c>
      <c r="C902" s="133" t="str">
        <f>Saud!C902</f>
        <v>P-1-N-170222-1084</v>
      </c>
    </row>
    <row r="903">
      <c r="A903" s="133" t="str">
        <f>Saud!F903</f>
        <v>Orlux Frutti Patee 250g</v>
      </c>
      <c r="B903" s="133" t="str">
        <f>Saud!E903</f>
        <v>تمت طباعة الشهادة</v>
      </c>
      <c r="C903" s="133" t="str">
        <f>Saud!C903</f>
        <v>P-1-N-170222-1085</v>
      </c>
    </row>
    <row r="904">
      <c r="A904" s="133" t="str">
        <f>Saud!F904</f>
        <v>Orlux Frutti Patee Expert 1kg</v>
      </c>
      <c r="B904" s="133" t="str">
        <f>Saud!E904</f>
        <v>تمت طباعة الشهادة</v>
      </c>
      <c r="C904" s="133" t="str">
        <f>Saud!C904</f>
        <v>P-1-N-170222-1086</v>
      </c>
    </row>
    <row r="905">
      <c r="A905" s="133" t="str">
        <f>Saud!F905</f>
        <v>Orlux Gold Patee Yellow Expert 1kg</v>
      </c>
      <c r="B905" s="133" t="str">
        <f>Saud!E905</f>
        <v>تمت طباعة الشهادة</v>
      </c>
      <c r="C905" s="133" t="str">
        <f>Saud!C905</f>
        <v>P-1-N-170222-1087</v>
      </c>
    </row>
    <row r="906">
      <c r="A906" s="133" t="str">
        <f>Saud!F906</f>
        <v>Orlux Gold Patee Small Parakeets 250g</v>
      </c>
      <c r="B906" s="133" t="str">
        <f>Saud!E906</f>
        <v>تمت طباعة الشهادة</v>
      </c>
      <c r="C906" s="133" t="str">
        <f>Saud!C906</f>
        <v>P-1-N-170222-1088</v>
      </c>
    </row>
    <row r="907">
      <c r="A907" s="133" t="str">
        <f>Saud!F907</f>
        <v>Orlux Gold Patee Small Parakeets 1kg</v>
      </c>
      <c r="B907" s="133" t="str">
        <f>Saud!E907</f>
        <v>تمت طباعة الشهادة</v>
      </c>
      <c r="C907" s="133" t="str">
        <f>Saud!C907</f>
        <v>P-1-N-170222-1089</v>
      </c>
    </row>
    <row r="908">
      <c r="A908" s="133" t="str">
        <f>Saud!F908</f>
        <v>Absolute Holistic Grain free Indoor - Chicken 4.54kg</v>
      </c>
      <c r="B908" s="133" t="str">
        <f>Saud!E908</f>
        <v>تمت طباعة الشهادة</v>
      </c>
      <c r="C908" s="133" t="str">
        <f>Saud!C908</f>
        <v>P-1-N-210222-1220</v>
      </c>
    </row>
    <row r="909">
      <c r="A909" s="133" t="str">
        <f>Saud!F909</f>
        <v>Absolute Holistic Grain free Coat Care - Salmon &amp; Cod 4.54kg</v>
      </c>
      <c r="B909" s="133" t="str">
        <f>Saud!E909</f>
        <v>تمت طباعة الشهادة</v>
      </c>
      <c r="C909" s="133" t="str">
        <f>Saud!C909</f>
        <v>P-1-N-210222-1221</v>
      </c>
    </row>
    <row r="910">
      <c r="A910" s="133" t="str">
        <f>Saud!F910</f>
        <v>Absolute Holistic Grain free Kitten - Chicken &amp; Salmon 4.54kg</v>
      </c>
      <c r="B910" s="133" t="str">
        <f>Saud!E910</f>
        <v>تمت طباعة الشهادة</v>
      </c>
      <c r="C910" s="133" t="str">
        <f>Saud!C910</f>
        <v>P-1-N-210222-1222</v>
      </c>
    </row>
    <row r="911">
      <c r="A911" s="133" t="str">
        <f>Saud!F911</f>
        <v>Absolute Holistic Grain free Urinary - Tuna &amp; Chicken 4.54kg</v>
      </c>
      <c r="B911" s="133" t="str">
        <f>Saud!E911</f>
        <v>تمت طباعة الشهادة</v>
      </c>
      <c r="C911" s="133" t="str">
        <f>Saud!C911</f>
        <v>P-1-N-210222-1223</v>
      </c>
    </row>
    <row r="912">
      <c r="A912" s="133" t="str">
        <f>Saud!F912</f>
        <v>Absolute Holistic Grain free Hairball - Turkey, Chicken &amp; Duck 4.54kg</v>
      </c>
      <c r="B912" s="133" t="str">
        <f>Saud!E912</f>
        <v>تمت طباعة الشهادة</v>
      </c>
      <c r="C912" s="133" t="str">
        <f>Saud!C912</f>
        <v>P-1-N-210222-1224</v>
      </c>
    </row>
    <row r="913">
      <c r="A913" s="133" t="str">
        <f>Saud!F913</f>
        <v>Kidney Support Easy 35g</v>
      </c>
      <c r="B913" s="133" t="str">
        <f>Saud!E913</f>
        <v>تمت طباعة الشهادة</v>
      </c>
      <c r="C913" s="133" t="str">
        <f>Saud!C913</f>
        <v>P-1-N-210222-1225</v>
      </c>
    </row>
    <row r="914">
      <c r="A914" s="133" t="str">
        <f>Saud!F914</f>
        <v>Tiki Dog Stix Wet Treats with Chicken in Creamy Gravy 85g</v>
      </c>
      <c r="B914" s="133" t="str">
        <f>Saud!E914</f>
        <v>تمت طباعة الشهادة</v>
      </c>
      <c r="C914" s="133" t="str">
        <f>Saud!C914</f>
        <v>P-1-N-010322-1432</v>
      </c>
    </row>
    <row r="915">
      <c r="A915" s="133" t="str">
        <f>Saud!F915</f>
        <v>Tiki Dog Stix Wet Treats with Duck in Creamy Gravy 85g</v>
      </c>
      <c r="B915" s="133" t="str">
        <f>Saud!E915</f>
        <v>تمت طباعة الشهادة</v>
      </c>
      <c r="C915" s="133" t="str">
        <f>Saud!C915</f>
        <v>P-1-N-010322-1433</v>
      </c>
    </row>
    <row r="916">
      <c r="A916" s="133" t="str">
        <f>Saud!F916</f>
        <v>Chicken in Broth 85g</v>
      </c>
      <c r="B916" s="133" t="str">
        <f>Saud!E916</f>
        <v>تمت طباعة الشهادة</v>
      </c>
      <c r="C916" s="133" t="str">
        <f>Saud!C916</f>
        <v>P-1-N-080322-1585</v>
      </c>
    </row>
    <row r="917">
      <c r="A917" s="133" t="str">
        <f>Saud!F917</f>
        <v>Ocean Fish Topper 85g</v>
      </c>
      <c r="B917" s="133" t="str">
        <f>Saud!E917</f>
        <v>تمت طباعة الشهادة</v>
      </c>
      <c r="C917" s="133" t="str">
        <f>Saud!C917</f>
        <v>P-1-N-080322-1586</v>
      </c>
    </row>
    <row r="918">
      <c r="A918" s="133" t="str">
        <f>Saud!F918</f>
        <v>Tuna Salad 85g</v>
      </c>
      <c r="B918" s="133" t="str">
        <f>Saud!E918</f>
        <v>تمت طباعة الشهادة</v>
      </c>
      <c r="C918" s="133" t="str">
        <f>Saud!C918</f>
        <v>P-1-N-080322-1587</v>
      </c>
    </row>
    <row r="919">
      <c r="A919" s="133" t="str">
        <f>Saud!F919</f>
        <v>Chicken with Potato in Gravy 85g</v>
      </c>
      <c r="B919" s="133" t="str">
        <f>Saud!E919</f>
        <v>تمت طباعة الشهادة</v>
      </c>
      <c r="C919" s="133" t="str">
        <f>Saud!C919</f>
        <v>P-1-N-080322-1588</v>
      </c>
    </row>
    <row r="920">
      <c r="A920" s="133" t="str">
        <f>Saud!F920</f>
        <v>Chicken Salad 85g</v>
      </c>
      <c r="B920" s="133" t="str">
        <f>Saud!E920</f>
        <v>تمت طباعة الشهادة</v>
      </c>
      <c r="C920" s="133" t="str">
        <f>Saud!C920</f>
        <v>P-1-N-080322-1589</v>
      </c>
    </row>
    <row r="921">
      <c r="A921" s="133" t="str">
        <f>Saud!F921</f>
        <v>Chicken with Lamb Topper 85g</v>
      </c>
      <c r="B921" s="133" t="str">
        <f>Saud!E921</f>
        <v>تمت طباعة الشهادة</v>
      </c>
      <c r="C921" s="133" t="str">
        <f>Saud!C921</f>
        <v>P-1-N-080322-1590</v>
      </c>
    </row>
    <row r="922">
      <c r="A922" s="133" t="str">
        <f>Saud!F922</f>
        <v>Tiki Cat Salmon &amp; Chicken Recipe in Chicken Consomme 80g</v>
      </c>
      <c r="B922" s="133" t="str">
        <f>Saud!E922</f>
        <v>تمت طباعة الشهادة</v>
      </c>
      <c r="C922" s="133" t="str">
        <f>Saud!C922</f>
        <v>P-1-N-090322-1599</v>
      </c>
    </row>
    <row r="923">
      <c r="A923" s="133" t="str">
        <f>Saud!F923</f>
        <v>Tiki Dog Peking Duck Recipe in Broth 85g</v>
      </c>
      <c r="B923" s="133" t="str">
        <f>Saud!E923</f>
        <v>تمت طباعة الشهادة</v>
      </c>
      <c r="C923" s="133" t="str">
        <f>Saud!C923</f>
        <v>P-1-N-090322-1608</v>
      </c>
    </row>
    <row r="924">
      <c r="A924" s="133" t="str">
        <f>Saud!F924</f>
        <v>Tiki Dog Petites Chicken with Beef Liver Recipe in Chicken Broth 85g</v>
      </c>
      <c r="B924" s="133" t="str">
        <f>Saud!E924</f>
        <v>تمت طباعة الشهادة</v>
      </c>
      <c r="C924" s="133" t="str">
        <f>Saud!C924</f>
        <v>P-1-N-090322-1609</v>
      </c>
    </row>
    <row r="925">
      <c r="A925" s="133" t="str">
        <f>Saud!F925</f>
        <v>Tiki Dog Petites Chicken with Chicken Liver Recipe in Chicken Broth 85g</v>
      </c>
      <c r="B925" s="133" t="str">
        <f>Saud!E925</f>
        <v>تمت طباعة الشهادة</v>
      </c>
      <c r="C925" s="133" t="str">
        <f>Saud!C925</f>
        <v>P-1-N-090322-1610</v>
      </c>
    </row>
    <row r="926">
      <c r="A926" s="133" t="str">
        <f>Saud!F926</f>
        <v>Tiki Dog Petites Chicken with Duck Recipe in Chicken Broth 85g</v>
      </c>
      <c r="B926" s="133" t="str">
        <f>Saud!E926</f>
        <v>تمت طباعة الشهادة</v>
      </c>
      <c r="C926" s="133" t="str">
        <f>Saud!C926</f>
        <v>P-1-N-090322-1611</v>
      </c>
    </row>
    <row r="927">
      <c r="A927" s="133" t="str">
        <f>Saud!F927</f>
        <v>Tiki</v>
      </c>
      <c r="B927" s="133" t="str">
        <f>Saud!E927</f>
        <v>تمت طباعة الشهادة</v>
      </c>
      <c r="C927" s="133" t="str">
        <f>Saud!C927</f>
        <v>P-1-N-090322-1612</v>
      </c>
    </row>
    <row r="928">
      <c r="A928" s="133" t="str">
        <f>Saud!F928</f>
        <v>Tiki Dog Chicken with Beef Recipe in Broth 85g</v>
      </c>
      <c r="B928" s="133" t="str">
        <f>Saud!E928</f>
        <v>تمت طباعة الشهادة</v>
      </c>
      <c r="C928" s="133" t="str">
        <f>Saud!C928</f>
        <v>P-1-N-090322-1613</v>
      </c>
    </row>
    <row r="929">
      <c r="A929" s="133" t="str">
        <f>Saud!F929</f>
        <v>Tiki Dog Chicken with Duck Recipe in Broth 85g</v>
      </c>
      <c r="B929" s="133" t="str">
        <f>Saud!E929</f>
        <v>تمت طباعة الشهادة</v>
      </c>
      <c r="C929" s="133" t="str">
        <f>Saud!C929</f>
        <v>P-1-N-090322-1614</v>
      </c>
    </row>
    <row r="930">
      <c r="A930" s="133" t="str">
        <f>Saud!F930</f>
        <v>Tiki Dog Chicken with Egg Recipe in Broth 85g</v>
      </c>
      <c r="B930" s="133" t="str">
        <f>Saud!E930</f>
        <v>تمت طباعة الشهادة</v>
      </c>
      <c r="C930" s="133" t="str">
        <f>Saud!C930</f>
        <v>P-1-N-090322-1615</v>
      </c>
    </row>
    <row r="931">
      <c r="A931" s="133" t="str">
        <f>Saud!F931</f>
        <v>Tiki Dog Chicken with Salmon Recipe in Broth 85g</v>
      </c>
      <c r="B931" s="133" t="str">
        <f>Saud!E931</f>
        <v>تمت طباعة الشهادة</v>
      </c>
      <c r="C931" s="133" t="str">
        <f>Saud!C931</f>
        <v>P-1-N-090322-1616</v>
      </c>
    </row>
    <row r="932">
      <c r="A932" s="133" t="str">
        <f>Saud!F932</f>
        <v>Tiki Dog Beef with Potatoes &amp; Carrot Burgundy Recipe in Broth 85g</v>
      </c>
      <c r="B932" s="133" t="str">
        <f>Saud!E932</f>
        <v>تمت طباعة الشهادة</v>
      </c>
      <c r="C932" s="133" t="str">
        <f>Saud!C932</f>
        <v>P-1-N-090322-1617</v>
      </c>
    </row>
    <row r="933">
      <c r="A933" s="133" t="str">
        <f>Saud!F933</f>
        <v>Tiki Dog Chicken Curry Recipe in Broth 85g</v>
      </c>
      <c r="B933" s="133" t="str">
        <f>Saud!E933</f>
        <v>تمت طباعة الشهادة</v>
      </c>
      <c r="C933" s="133" t="str">
        <f>Saud!C933</f>
        <v>P-1-N-090322-1618</v>
      </c>
    </row>
    <row r="934">
      <c r="A934" s="133" t="str">
        <f>Saud!F934</f>
        <v>Tiki Dog Chicken Masala Recipe in Broth 85g</v>
      </c>
      <c r="B934" s="133" t="str">
        <f>Saud!E934</f>
        <v>تمت طباعة الشهادة</v>
      </c>
      <c r="C934" s="133" t="str">
        <f>Saud!C934</f>
        <v>P-1-N-090322-1619</v>
      </c>
    </row>
    <row r="935">
      <c r="A935" s="133" t="str">
        <f>Saud!F935</f>
        <v>Tiki Dog Lamb with Couscous &amp; Chickpea Recipe in Broth 85g</v>
      </c>
      <c r="B935" s="133" t="str">
        <f>Saud!E935</f>
        <v>تمت طباعة الشهادة</v>
      </c>
      <c r="C935" s="133" t="str">
        <f>Saud!C935</f>
        <v>P-1-N-090322-1620</v>
      </c>
    </row>
    <row r="936">
      <c r="A936" s="133" t="str">
        <f>Saud!F936</f>
        <v>Tiki Dog Chicken with Snow Peas Stir Fry Recipe in Broth 85g</v>
      </c>
      <c r="B936" s="133" t="str">
        <f>Saud!E936</f>
        <v>تمت طباعة الشهادة</v>
      </c>
      <c r="C936" s="133" t="str">
        <f>Saud!C936</f>
        <v>P-1-N-090322-1621</v>
      </c>
    </row>
    <row r="937">
      <c r="A937" s="133" t="str">
        <f>Saud!F937</f>
        <v>Tiki Cat Luau Chicken with Egg Recipe in Chicken Consomme 80g</v>
      </c>
      <c r="B937" s="133" t="str">
        <f>Saud!E937</f>
        <v>تمت طباعة الشهادة</v>
      </c>
      <c r="C937" s="133" t="str">
        <f>Saud!C937</f>
        <v>P-1-N-100322-1633</v>
      </c>
    </row>
    <row r="938">
      <c r="A938" s="133" t="str">
        <f>Saud!F938</f>
        <v>Tiki Cat After Dark Chicken Recipe in Broth 80g</v>
      </c>
      <c r="B938" s="133" t="str">
        <f>Saud!E938</f>
        <v>تمت طباعة الشهادة</v>
      </c>
      <c r="C938" s="133" t="str">
        <f>Saud!C938</f>
        <v>P-1-N-100322-1634</v>
      </c>
    </row>
    <row r="939">
      <c r="A939" s="133" t="str">
        <f>Saud!F939</f>
        <v>Tiki Cat After Dark Chicken with Duck Recipe in Broth 80g</v>
      </c>
      <c r="B939" s="133" t="str">
        <f>Saud!E939</f>
        <v>تمت طباعة الشهادة</v>
      </c>
      <c r="C939" s="133" t="str">
        <f>Saud!C939</f>
        <v>P-1-N-100322-1635</v>
      </c>
    </row>
    <row r="940">
      <c r="A940" s="133" t="str">
        <f>Saud!F940</f>
        <v>Tiki Cat After Dark Chicken with Quail Egg Recipe in Broth 80g</v>
      </c>
      <c r="B940" s="133" t="str">
        <f>Saud!E940</f>
        <v>تمت طباعة الشهادة</v>
      </c>
      <c r="C940" s="133" t="str">
        <f>Saud!C940</f>
        <v>P-1-N-100322-1636</v>
      </c>
    </row>
    <row r="941">
      <c r="A941" s="133" t="str">
        <f>Saud!F941</f>
        <v>Tiki Cat After Dark Chicken with Beef Recipe in Broth 80g</v>
      </c>
      <c r="B941" s="133" t="str">
        <f>Saud!E941</f>
        <v>تمت طباعة الشهادة</v>
      </c>
      <c r="C941" s="133" t="str">
        <f>Saud!C941</f>
        <v>P-1-N-100322-1637</v>
      </c>
    </row>
    <row r="942">
      <c r="A942" s="133" t="str">
        <f>Saud!F942</f>
        <v>Tiki Cat After Dark Chicken with Lamb Recipe in Broth 80g</v>
      </c>
      <c r="B942" s="133" t="str">
        <f>Saud!E942</f>
        <v>تمت طباعة الشهادة</v>
      </c>
      <c r="C942" s="133" t="str">
        <f>Saud!C942</f>
        <v>P-1-N-100322-1638</v>
      </c>
    </row>
    <row r="943">
      <c r="A943" s="133" t="str">
        <f>Saud!F943</f>
        <v>Tiki Cat Velvet Mousse with Chicken &amp; Salmon in Broth 80g</v>
      </c>
      <c r="B943" s="133" t="str">
        <f>Saud!E943</f>
        <v>تمت طباعة الشهادة</v>
      </c>
      <c r="C943" s="133" t="str">
        <f>Saud!C943</f>
        <v>P-1-N-100322-1639</v>
      </c>
    </row>
    <row r="944">
      <c r="A944" s="133" t="str">
        <f>Saud!F944</f>
        <v>Tiki Cat Velvet Mousse with Tuna &amp; Chicken in Broth 80g</v>
      </c>
      <c r="B944" s="133" t="str">
        <f>Saud!E944</f>
        <v>تمت طباعة الشهادة</v>
      </c>
      <c r="C944" s="133" t="str">
        <f>Saud!C944</f>
        <v>P-1-N-100322-1640</v>
      </c>
    </row>
    <row r="945">
      <c r="A945" s="133" t="str">
        <f>Saud!F945</f>
        <v>Tiki Cat Velvet Mousse with Tuna &amp; Mackerel in Broth 80g</v>
      </c>
      <c r="B945" s="133" t="str">
        <f>Saud!E945</f>
        <v>تمت طباعة الشهادة</v>
      </c>
      <c r="C945" s="133" t="str">
        <f>Saud!C945</f>
        <v>P-1-N-100322-1641</v>
      </c>
    </row>
    <row r="946">
      <c r="A946" s="133" t="str">
        <f>Saud!F946</f>
        <v>Tiki Cat Aloha Friends Chicken with Pumpkin Recipe in Broth 70g</v>
      </c>
      <c r="B946" s="133" t="str">
        <f>Saud!E946</f>
        <v>تمت طباعة الشهادة</v>
      </c>
      <c r="C946" s="133" t="str">
        <f>Saud!C946</f>
        <v>P-1-N-100322-1642</v>
      </c>
    </row>
    <row r="947">
      <c r="A947" s="133" t="str">
        <f>Saud!F947</f>
        <v>Tiki Cat Aloha Friends Chicken with Pumpkin &amp; Duck Recipe in Broth 70g</v>
      </c>
      <c r="B947" s="133" t="str">
        <f>Saud!E947</f>
        <v>تمت طباعة الشهادة</v>
      </c>
      <c r="C947" s="133" t="str">
        <f>Saud!C947</f>
        <v>P-1-N-100322-1643</v>
      </c>
    </row>
    <row r="948">
      <c r="A948" s="133" t="str">
        <f>Saud!F948</f>
        <v>Tiki Cat Aloha Friends Chicken with Pumpkin &amp; Lamb Recipe in Broth 70g</v>
      </c>
      <c r="B948" s="133" t="str">
        <f>Saud!E948</f>
        <v>تمت طباعة الشهادة</v>
      </c>
      <c r="C948" s="133" t="str">
        <f>Saud!C948</f>
        <v>P-1-N-100322-1644</v>
      </c>
    </row>
    <row r="949">
      <c r="A949" s="133" t="str">
        <f>Saud!F949</f>
        <v>Tiki Cat Aloha Friends Chicken with Pumpkin &amp; Egg Recipe in Broth 70g</v>
      </c>
      <c r="B949" s="133" t="str">
        <f>Saud!E949</f>
        <v>تمت طباعة الشهادة</v>
      </c>
      <c r="C949" s="133" t="str">
        <f>Saud!C949</f>
        <v>P-1-N-100322-1645</v>
      </c>
    </row>
    <row r="950">
      <c r="A950" s="133" t="str">
        <f>Saud!F950</f>
        <v>Tiki Cat Salmon Recipe in Salmon Consomme 80g</v>
      </c>
      <c r="B950" s="133" t="str">
        <f>Saud!E950</f>
        <v>تمت طباعة الشهادة</v>
      </c>
      <c r="C950" s="133" t="str">
        <f>Saud!C950</f>
        <v>P-1-N-100322-1646</v>
      </c>
    </row>
    <row r="951">
      <c r="A951" s="133" t="str">
        <f>Saud!F951</f>
        <v>Tiki Cat Stix Wet Treats with Salmon in Creamy Gravy 85g</v>
      </c>
      <c r="B951" s="133" t="str">
        <f>Saud!E951</f>
        <v>تمت طباعة الشهادة</v>
      </c>
      <c r="C951" s="133" t="str">
        <f>Saud!C951</f>
        <v>P-1-N-100322-1647</v>
      </c>
    </row>
    <row r="952">
      <c r="A952" s="133" t="str">
        <f>Saud!F952</f>
        <v>Tiki Cat Stix Wet Treats with Chicken in Creamy Gravy 85g</v>
      </c>
      <c r="B952" s="133" t="str">
        <f>Saud!E952</f>
        <v>تمت طباعة الشهادة</v>
      </c>
      <c r="C952" s="133" t="str">
        <f>Saud!C952</f>
        <v>P-1-N-100322-1648</v>
      </c>
    </row>
    <row r="953">
      <c r="A953" s="133" t="str">
        <f>Saud!F953</f>
        <v>Beaphar Intensive Red 10g</v>
      </c>
      <c r="B953" s="133" t="str">
        <f>Saud!E953</f>
        <v>REJECTED</v>
      </c>
      <c r="C953" s="133" t="str">
        <f>Saud!C953</f>
        <v>P-1-N-170322-1813</v>
      </c>
    </row>
    <row r="954">
      <c r="A954" s="133" t="str">
        <f>Saud!F954</f>
        <v>Calming Cat Treats 35 g</v>
      </c>
      <c r="B954" s="133" t="str">
        <f>Saud!E954</f>
        <v>REJECTED</v>
      </c>
      <c r="C954" s="133" t="str">
        <f>Saud!C954</f>
        <v>P-1-N-190322-1883</v>
      </c>
    </row>
    <row r="955">
      <c r="A955" s="133" t="str">
        <f>Saud!F955</f>
        <v>Tiki Dog Petites Chicken with Salmon Recipe in Chicken Broth 85g</v>
      </c>
      <c r="B955" s="133" t="str">
        <f>Saud!E955</f>
        <v>تمت طباعة الشهادة</v>
      </c>
      <c r="C955" s="133" t="str">
        <f>Saud!C955</f>
        <v>P-1-N-140422-2497</v>
      </c>
    </row>
    <row r="956">
      <c r="A956" s="133" t="str">
        <f>Saud!F956</f>
        <v>NUTRIMEAL3 CANARY 800g</v>
      </c>
      <c r="B956" s="133" t="str">
        <f>Saud!E956</f>
        <v>تمت طباعة الشهادة</v>
      </c>
      <c r="C956" s="133" t="str">
        <f>Saud!C956</f>
        <v>P-1-N-160522-2947</v>
      </c>
    </row>
    <row r="957">
      <c r="A957" s="133" t="str">
        <f>Saud!F957</f>
        <v>NUTRIMEAL 3 CANARY 2.5kg</v>
      </c>
      <c r="B957" s="133" t="str">
        <f>Saud!E957</f>
        <v>تمت طباعة الشهادة</v>
      </c>
      <c r="C957" s="133" t="str">
        <f>Saud!C957</f>
        <v>P-1-N-160522-2948</v>
      </c>
    </row>
    <row r="958">
      <c r="A958" s="133" t="str">
        <f>Saud!F958</f>
        <v>NUTRIMEAL3 EXOTIC BIRD 800g</v>
      </c>
      <c r="B958" s="133" t="str">
        <f>Saud!E958</f>
        <v>تمت طباعة الشهادة</v>
      </c>
      <c r="C958" s="133" t="str">
        <f>Saud!C958</f>
        <v>P-1-N-160522-2949</v>
      </c>
    </row>
    <row r="959">
      <c r="A959" s="133" t="str">
        <f>Saud!F959</f>
        <v>NUTRIMEAL3 EXOTIC BIRD 2.5kg</v>
      </c>
      <c r="B959" s="133" t="str">
        <f>Saud!E959</f>
        <v>تمت طباعة الشهادة</v>
      </c>
      <c r="C959" s="133" t="str">
        <f>Saud!C959</f>
        <v>P-1-N-160522-2950</v>
      </c>
    </row>
    <row r="960">
      <c r="A960" s="133" t="str">
        <f>Saud!F960</f>
        <v>NUTRIMEAL3 PARAKEETS 800g</v>
      </c>
      <c r="B960" s="133" t="str">
        <f>Saud!E960</f>
        <v>تمت طباعة الشهادة</v>
      </c>
      <c r="C960" s="133" t="str">
        <f>Saud!C960</f>
        <v>P-1-N-160522-2951</v>
      </c>
    </row>
    <row r="961">
      <c r="A961" s="133" t="str">
        <f>Saud!F961</f>
        <v>NUTRIMEAL3 PARAKEETS 2.5kg</v>
      </c>
      <c r="B961" s="133" t="str">
        <f>Saud!E961</f>
        <v>تمت طباعة الشهادة</v>
      </c>
      <c r="C961" s="133" t="str">
        <f>Saud!C961</f>
        <v>P-1-N-160522-2952</v>
      </c>
    </row>
    <row r="962">
      <c r="A962" s="133" t="str">
        <f>Saud!F962</f>
        <v>NUTRIMEAL3 LARGE PARAKEETS 800g</v>
      </c>
      <c r="B962" s="133" t="str">
        <f>Saud!E962</f>
        <v>تمت طباعة الشهادة</v>
      </c>
      <c r="C962" s="133" t="str">
        <f>Saud!C962</f>
        <v>P-1-N-160522-2953</v>
      </c>
    </row>
    <row r="963">
      <c r="A963" s="133" t="str">
        <f>Saud!F963</f>
        <v>NUTRIMEAL3 LARGE PARAKEETS 2.5kg</v>
      </c>
      <c r="B963" s="133" t="str">
        <f>Saud!E963</f>
        <v>تمت طباعة الشهادة</v>
      </c>
      <c r="C963" s="133" t="str">
        <f>Saud!C963</f>
        <v>P-1-N-160522-2954</v>
      </c>
    </row>
    <row r="964">
      <c r="A964" s="133" t="str">
        <f>Saud!F964</f>
        <v>NUTRIMEAL3 PARROTS 700g</v>
      </c>
      <c r="B964" s="133" t="str">
        <f>Saud!E964</f>
        <v>تمت طباعة الشهادة</v>
      </c>
      <c r="C964" s="133" t="str">
        <f>Saud!C964</f>
        <v>P-1-N-160522-2955</v>
      </c>
    </row>
    <row r="965">
      <c r="A965" s="133" t="str">
        <f>Saud!F965</f>
        <v>NUTRIMEAL3 PARROTS 2.25kg</v>
      </c>
      <c r="B965" s="133" t="str">
        <f>Saud!E965</f>
        <v>تمت طباعة الشهادة</v>
      </c>
      <c r="C965" s="133" t="str">
        <f>Saud!C965</f>
        <v>P-1-N-160522-2956</v>
      </c>
    </row>
    <row r="966">
      <c r="A966" s="133" t="str">
        <f>Saud!F966</f>
        <v>NUTRIMEAL3 JUNIOR DWARF RABBITS 800g</v>
      </c>
      <c r="B966" s="133" t="str">
        <f>Saud!E966</f>
        <v>تمت طباعة الشهادة</v>
      </c>
      <c r="C966" s="133" t="str">
        <f>Saud!C966</f>
        <v>P-1-N-160522-2957</v>
      </c>
    </row>
    <row r="967">
      <c r="A967" s="133" t="str">
        <f>Saud!F967</f>
        <v>NUTRIMEAL3 JUNIOR DWARF RABBITS PELLETS 800g</v>
      </c>
      <c r="B967" s="133" t="str">
        <f>Saud!E967</f>
        <v>تمت طباعة الشهادة</v>
      </c>
      <c r="C967" s="133" t="str">
        <f>Saud!C967</f>
        <v>P-1-N-160522-2958</v>
      </c>
    </row>
    <row r="968">
      <c r="A968" s="133" t="str">
        <f>Saud!F968</f>
        <v>NUTRIMEAL3 JUNIOR DWARF RABBITS PELLETS 2.5kg</v>
      </c>
      <c r="B968" s="133" t="str">
        <f>Saud!E968</f>
        <v>تمت طباعة الشهادة</v>
      </c>
      <c r="C968" s="133" t="str">
        <f>Saud!C968</f>
        <v>P-1-N-160522-2959</v>
      </c>
    </row>
    <row r="969">
      <c r="A969" s="133" t="str">
        <f>Saud!F969</f>
        <v>NUTRIMEAL3 ADULT DWARF RABBITS PELLETS 800g</v>
      </c>
      <c r="B969" s="133" t="str">
        <f>Saud!E969</f>
        <v>تمت طباعة الشهادة</v>
      </c>
      <c r="C969" s="133" t="str">
        <f>Saud!C969</f>
        <v>P-1-N-160522-2960</v>
      </c>
    </row>
    <row r="970">
      <c r="A970" s="133" t="str">
        <f>Saud!F970</f>
        <v>NUTRIMEAL3 ADULT DWARF RABBITS PELLETS 2.5kg</v>
      </c>
      <c r="B970" s="133" t="str">
        <f>Saud!E970</f>
        <v>تمت طباعة الشهادة</v>
      </c>
      <c r="C970" s="133" t="str">
        <f>Saud!C970</f>
        <v>P-1-N-160522-2961</v>
      </c>
    </row>
    <row r="971">
      <c r="A971" s="133" t="str">
        <f>Saud!F971</f>
        <v>NUTRIMEAL3 ADULT DWARF RABBITS PELLETS 7kg</v>
      </c>
      <c r="B971" s="133" t="str">
        <f>Saud!E971</f>
        <v>تمت طباعة الشهادة</v>
      </c>
      <c r="C971" s="133" t="str">
        <f>Saud!C971</f>
        <v>P-1-N-160522-2962</v>
      </c>
    </row>
    <row r="972">
      <c r="A972" s="133" t="str">
        <f>Saud!F972</f>
        <v>NUTRIMEAL3 ADULT DWARF RABBITS 800g</v>
      </c>
      <c r="B972" s="133" t="str">
        <f>Saud!E972</f>
        <v>تمت طباعة الشهادة</v>
      </c>
      <c r="C972" s="133" t="str">
        <f>Saud!C972</f>
        <v>P-1-N-160522-2963</v>
      </c>
    </row>
    <row r="973">
      <c r="A973" s="133" t="str">
        <f>Saud!F973</f>
        <v>NUTRIMEAL3 ADULT DWARF RABBITS 2.5kg</v>
      </c>
      <c r="B973" s="133" t="str">
        <f>Saud!E973</f>
        <v>تمت طباعة الشهادة</v>
      </c>
      <c r="C973" s="133" t="str">
        <f>Saud!C973</f>
        <v>P-1-N-160522-2964</v>
      </c>
    </row>
    <row r="974">
      <c r="A974" s="133" t="str">
        <f>Saud!F974</f>
        <v>NUTRIMEAL3 ADULT DWARF RABBITS 6kg</v>
      </c>
      <c r="B974" s="133" t="str">
        <f>Saud!E974</f>
        <v>تمت طباعة الشهادة</v>
      </c>
      <c r="C974" s="133" t="str">
        <f>Saud!C974</f>
        <v>P-1-N-160522-2965</v>
      </c>
    </row>
    <row r="975">
      <c r="A975" s="133" t="str">
        <f>Saud!F975</f>
        <v>NUTRIMEAL</v>
      </c>
      <c r="B975" s="133" t="str">
        <f>Saud!E975</f>
        <v>تمت طباعة الشهادة</v>
      </c>
      <c r="C975" s="133" t="str">
        <f>Saud!C975</f>
        <v>P-1-N-160522-2966</v>
      </c>
    </row>
    <row r="976">
      <c r="A976" s="133" t="str">
        <f>Saud!F976</f>
        <v>NUTRIMEAL3 HAMSTERS 600g</v>
      </c>
      <c r="B976" s="133" t="str">
        <f>Saud!E976</f>
        <v>تمت طباعة الشهادة</v>
      </c>
      <c r="C976" s="133" t="str">
        <f>Saud!C976</f>
        <v>P-1-N-160522-2967</v>
      </c>
    </row>
    <row r="977">
      <c r="A977" s="133" t="str">
        <f>Saud!F977</f>
        <v>NUTRIMEAL3 GUINEA PIGS 800g</v>
      </c>
      <c r="B977" s="133" t="str">
        <f>Saud!E977</f>
        <v>تمت طباعة الشهادة</v>
      </c>
      <c r="C977" s="133" t="str">
        <f>Saud!C977</f>
        <v>P-1-N-160522-2968</v>
      </c>
    </row>
    <row r="978">
      <c r="A978" s="133" t="str">
        <f>Saud!F978</f>
        <v>NUTRIMEAL3 GUINEA PIGS 2.5kg</v>
      </c>
      <c r="B978" s="133" t="str">
        <f>Saud!E978</f>
        <v>تمت طباعة الشهادة</v>
      </c>
      <c r="C978" s="133" t="str">
        <f>Saud!C978</f>
        <v>P-1-N-160522-2969</v>
      </c>
    </row>
    <row r="979">
      <c r="A979" s="133" t="str">
        <f>Saud!F979</f>
        <v>NUTRIMEAL 3 GUINEA PIGS PELLETS 800g</v>
      </c>
      <c r="B979" s="133" t="str">
        <f>Saud!E979</f>
        <v>تمت طباعة الشهادة</v>
      </c>
      <c r="C979" s="133" t="str">
        <f>Saud!C979</f>
        <v>P-1-N-160522-2970</v>
      </c>
    </row>
    <row r="980">
      <c r="A980" s="133" t="str">
        <f>Saud!F980</f>
        <v>NUTRIMEAL3 GUINEA PIGS PELLETS 2.5kg</v>
      </c>
      <c r="B980" s="133" t="str">
        <f>Saud!E980</f>
        <v>تمت طباعة الشهادة</v>
      </c>
      <c r="C980" s="133" t="str">
        <f>Saud!C980</f>
        <v>P-1-N-160522-2971</v>
      </c>
    </row>
    <row r="981">
      <c r="A981" s="133" t="str">
        <f>Saud!F981</f>
        <v>Churu Tuna Recipe 5x14g Churu Tuna with Chicken Recipe 5x14g Churu Tuna with Scallop Recipe 5x14g Churu Tuna with Cheese Recipe 5x14g</v>
      </c>
      <c r="B981" s="133" t="str">
        <f>Saud!E981</f>
        <v>تمت طباعة الشهادة</v>
      </c>
      <c r="C981" s="133" t="str">
        <f>Saud!C981</f>
        <v>P-1-N-280622-3882</v>
      </c>
    </row>
    <row r="982">
      <c r="A982" s="133" t="str">
        <f>Saud!F982</f>
        <v>Churu Chicken Recipe 5x14g Churu Chicken with Scallop Recipe 5x14g Churu Chicken with Cheese Recipe 5x14g Churu Chicken with Crab Flavor Recipe 5x14g</v>
      </c>
      <c r="B982" s="133" t="str">
        <f>Saud!E982</f>
        <v>تمت طباعة الشهادة</v>
      </c>
      <c r="C982" s="133" t="str">
        <f>Saud!C982</f>
        <v>P-1-N-290622-3900</v>
      </c>
    </row>
    <row r="983">
      <c r="A983" s="133" t="str">
        <f>Saud!F983</f>
        <v>Churu Chicken with Cheese Recipe 5x14g Churu Chicken with Beef Recipe 5x14g Churu Chicken with Cheese &amp; Beef Recipe 5x14g Churu Chicken with Salmon Recipe 5x14g</v>
      </c>
      <c r="B983" s="133" t="str">
        <f>Saud!E983</f>
        <v>تمت طباعة الشهادة</v>
      </c>
      <c r="C983" s="133" t="str">
        <f>Saud!C983</f>
        <v>P-1-N-290622-3901</v>
      </c>
    </row>
    <row r="984">
      <c r="A984" s="133" t="str">
        <f>Saud!F984</f>
        <v>Churu Tuna Recipe 10x14g Churu Tuna with Beef Recipe 10x14g Churu Tuna with Bonito Flakes Recipe 10x14g Churu Tuna Recipe with Seafood Flavor 10x14g</v>
      </c>
      <c r="B984" s="133" t="str">
        <f>Saud!E984</f>
        <v>تمت طباعة الشهادة</v>
      </c>
      <c r="C984" s="133" t="str">
        <f>Saud!C984</f>
        <v>P-1-N-290622-3904</v>
      </c>
    </row>
    <row r="985">
      <c r="A985" s="133" t="str">
        <f>Saud!F985</f>
        <v>Churu Chicken Recipe 5x14g Churu Chicken with Scallop Recipe 5x14g Churu Chicken with Crab Flavor Recipe 5x14g Churu Chicken with Beef Recipe 5x14g</v>
      </c>
      <c r="B985" s="133" t="str">
        <f>Saud!E985</f>
        <v>تمت طباعة الشهادة</v>
      </c>
      <c r="C985" s="133" t="str">
        <f>Saud!C985</f>
        <v>P-1-N-290622-3905</v>
      </c>
    </row>
    <row r="986">
      <c r="A986" s="133" t="str">
        <f>Saud!F986</f>
        <v>Churu Tuna with Beef Recipe 4x14g</v>
      </c>
      <c r="B986" s="133" t="str">
        <f>Saud!E986</f>
        <v>تمت طباعة الشهادة</v>
      </c>
      <c r="C986" s="133" t="str">
        <f>Saud!C986</f>
        <v>P-1-N-290622-3906</v>
      </c>
    </row>
    <row r="987">
      <c r="A987" s="133" t="str">
        <f>Saud!F987</f>
        <v>Churu Chicken with Beef Recipe 4x14g</v>
      </c>
      <c r="B987" s="133" t="str">
        <f>Saud!E987</f>
        <v>تمت طباعة الشهادة</v>
      </c>
      <c r="C987" s="133" t="str">
        <f>Saud!C987</f>
        <v>P-1-N-290622-3907</v>
      </c>
    </row>
    <row r="988">
      <c r="A988" s="133" t="str">
        <f>Saud!F988</f>
        <v>Churu Tuna with Cheese Recipe 4x14g</v>
      </c>
      <c r="B988" s="133" t="str">
        <f>Saud!E988</f>
        <v>تمت طباعة الشهادة</v>
      </c>
      <c r="C988" s="133" t="str">
        <f>Saud!C988</f>
        <v>P-1-N-290622-3908</v>
      </c>
    </row>
    <row r="989">
      <c r="A989" s="133" t="str">
        <f>Saud!F989</f>
        <v>Churu Tuna with Clam Flavor 4x14g</v>
      </c>
      <c r="B989" s="133" t="str">
        <f>Saud!E989</f>
        <v>تمت طباعة الشهادة</v>
      </c>
      <c r="C989" s="133" t="str">
        <f>Saud!C989</f>
        <v>P-1-N-290622-3910</v>
      </c>
    </row>
    <row r="990">
      <c r="A990" s="133" t="str">
        <f>Saud!F990</f>
        <v>Churu Tuna Recipe with Crab Flavor 4x14g</v>
      </c>
      <c r="B990" s="133" t="str">
        <f>Saud!E990</f>
        <v>تمت طباعة الشهادة</v>
      </c>
      <c r="C990" s="133" t="str">
        <f>Saud!C990</f>
        <v>P-1-N-290622-3911</v>
      </c>
    </row>
    <row r="991">
      <c r="A991" s="133" t="str">
        <f>Saud!F991</f>
        <v>Churu Tuna Recipe with Shrimp Flavor 4x14g</v>
      </c>
      <c r="B991" s="133" t="str">
        <f>Saud!E991</f>
        <v>تمت طباعة الشهادة</v>
      </c>
      <c r="C991" s="133" t="str">
        <f>Saud!C991</f>
        <v>P-1-N-290622-3912</v>
      </c>
    </row>
    <row r="992">
      <c r="A992" s="133" t="str">
        <f>Saud!F992</f>
        <v>Churu Chicken with Salmon Recipe 4x14g</v>
      </c>
      <c r="B992" s="133" t="str">
        <f>Saud!E992</f>
        <v>تمت طباعة الشهادة</v>
      </c>
      <c r="C992" s="133" t="str">
        <f>Saud!C992</f>
        <v>P-1-N-290622-3913</v>
      </c>
    </row>
    <row r="993">
      <c r="A993" s="133" t="str">
        <f>Saud!F993</f>
        <v>Churu Chicken with Cheese &amp; Beef Recipe 4x14g</v>
      </c>
      <c r="B993" s="133" t="str">
        <f>Saud!E993</f>
        <v>تمت طباعة الشهادة</v>
      </c>
      <c r="C993" s="133" t="str">
        <f>Saud!C993</f>
        <v>P-1-N-290622-3915</v>
      </c>
    </row>
    <row r="994">
      <c r="A994" s="133" t="str">
        <f>Saud!F994</f>
        <v>Churu Tuna with Salmon Recipe 10x14g Churu Tuna with Cheese Recipe 10x14g Churu Tuna Recipe with Clam Flavor 10x14g Churu Tuna Recipe with Crab Flavor 10x14g Churu Tuna Recipe with Shrimp Flavor 10x14g Churu Tuna with Bonito Flakes Recipe 10x14g</v>
      </c>
      <c r="B994" s="133" t="str">
        <f>Saud!E994</f>
        <v>تمت طباعة الشهادة</v>
      </c>
      <c r="C994" s="133" t="str">
        <f>Saud!C994</f>
        <v>P-1-N-290622-3917</v>
      </c>
    </row>
    <row r="995">
      <c r="A995" s="133" t="str">
        <f>Saud!F995</f>
        <v>Churu Chicken Recipe 10x14g Churu Chicken with Scallop Recipe 10x14g Churu Chicken with Cheese Recipe 10x14g Churu Chicken with Beef Recipe 10x14g Churu Chicken with Cheese &amp; Beef Recipe 10x14g Churu Chicken with Salmon Recipe 10x14g</v>
      </c>
      <c r="B995" s="133" t="str">
        <f>Saud!E995</f>
        <v>تمت طباعة الشهادة</v>
      </c>
      <c r="C995" s="133" t="str">
        <f>Saud!C995</f>
        <v>P-1-N-290622-3919</v>
      </c>
    </row>
    <row r="996">
      <c r="A996" s="133" t="str">
        <f>Saud!F996</f>
        <v>Churu Fun Bites Chicken Recipe Wraps Tuna Recipe 3x20g</v>
      </c>
      <c r="B996" s="133" t="str">
        <f>Saud!E996</f>
        <v>تمت طباعة الشهادة</v>
      </c>
      <c r="C996" s="133" t="str">
        <f>Saud!C996</f>
        <v>P-1-N-290622-3921</v>
      </c>
    </row>
    <row r="997">
      <c r="A997" s="133" t="str">
        <f>Saud!F997</f>
        <v>Churu Fun Bites Chicken Recipe Wraps Tuna with Scallop Recipe 3x20g</v>
      </c>
      <c r="B997" s="133" t="str">
        <f>Saud!E997</f>
        <v>تمت طباعة الشهادة</v>
      </c>
      <c r="C997" s="133" t="str">
        <f>Saud!C997</f>
        <v>P-1-N-290622-3922</v>
      </c>
    </row>
    <row r="998">
      <c r="A998" s="133" t="str">
        <f>Saud!F998</f>
        <v>Churu Fun Bites Chicken Recipe Wraps Chicken Recipe 3x20g</v>
      </c>
      <c r="B998" s="133" t="str">
        <f>Saud!E998</f>
        <v>تمت طباعة الشهادة</v>
      </c>
      <c r="C998" s="133" t="str">
        <f>Saud!C998</f>
        <v>P-1-N-290622-3923</v>
      </c>
    </row>
    <row r="999">
      <c r="A999" s="133" t="str">
        <f>Saud!F999</f>
        <v>Sanal TopMix 50g</v>
      </c>
      <c r="B999" s="133" t="str">
        <f>Saud!E999</f>
        <v>تمت طباعة الشهادة</v>
      </c>
      <c r="C999" s="133" t="str">
        <f>Saud!C999</f>
        <v>P-1-N-310722-4291</v>
      </c>
    </row>
    <row r="1000">
      <c r="A1000" s="133" t="str">
        <f>Saud!F1000</f>
        <v>Sanal Kitten 30g</v>
      </c>
      <c r="B1000" s="133" t="str">
        <f>Saud!E1000</f>
        <v>تمت طباعة الشهادة</v>
      </c>
      <c r="C1000" s="133" t="str">
        <f>Saud!C1000</f>
        <v>P-1-N-310722-4292</v>
      </c>
    </row>
    <row r="1001">
      <c r="A1001" s="133" t="str">
        <f>Saud!F1001</f>
        <v>Sanal Catnip 30g</v>
      </c>
      <c r="B1001" s="133" t="str">
        <f>Saud!E1001</f>
        <v>تمت طباعة الشهادة</v>
      </c>
      <c r="C1001" s="133" t="str">
        <f>Saud!C1001</f>
        <v>P-1-N-310722-4293</v>
      </c>
    </row>
    <row r="1002">
      <c r="A1002" s="133" t="str">
        <f>Saud!F1002</f>
        <v>Sanal Cat Fantasy 150g</v>
      </c>
      <c r="B1002" s="133" t="str">
        <f>Saud!E1002</f>
        <v>تمت طباعة الشهادة</v>
      </c>
      <c r="C1002" s="133" t="str">
        <f>Saud!C1002</f>
        <v>P-1-N-310722-4294</v>
      </c>
    </row>
    <row r="1003">
      <c r="A1003" s="133" t="str">
        <f>Saud!F1003</f>
        <v>Sanal Malt Paste 15g</v>
      </c>
      <c r="B1003" s="133" t="str">
        <f>Saud!E1003</f>
        <v>تمت طباعة الشهادة</v>
      </c>
      <c r="C1003" s="133" t="str">
        <f>Saud!C1003</f>
        <v>P-1-N-310722-4295</v>
      </c>
    </row>
    <row r="1004">
      <c r="A1004" s="133" t="str">
        <f>Saud!F1004</f>
        <v>Sanal Malt Paste 100g</v>
      </c>
      <c r="B1004" s="133" t="str">
        <f>Saud!E1004</f>
        <v>تمت طباعة الشهادة</v>
      </c>
      <c r="C1004" s="133" t="str">
        <f>Saud!C1004</f>
        <v>P-1-N-310722-4296</v>
      </c>
    </row>
    <row r="1005">
      <c r="A1005" s="133" t="str">
        <f>Saud!F1005</f>
        <v>Sanal Puppy Training 30g</v>
      </c>
      <c r="B1005" s="133" t="str">
        <f>Saud!E1005</f>
        <v>تمت طباعة الشهادة</v>
      </c>
      <c r="C1005" s="133" t="str">
        <f>Saud!C1005</f>
        <v>P-1-N-310722-4297</v>
      </c>
    </row>
    <row r="1006">
      <c r="A1006" s="133" t="str">
        <f>Saud!F1006</f>
        <v>Sanal Puppy Training 75g</v>
      </c>
      <c r="B1006" s="133" t="str">
        <f>Saud!E1006</f>
        <v>تمت طباعة الشهادة</v>
      </c>
      <c r="C1006" s="133" t="str">
        <f>Saud!C1006</f>
        <v>P-1-N-310722-4298</v>
      </c>
    </row>
    <row r="1007">
      <c r="A1007" s="133" t="str">
        <f>Saud!F1007</f>
        <v>Sanal Dog Multi Vitamin Paste 100g</v>
      </c>
      <c r="B1007" s="133" t="str">
        <f>Saud!E1007</f>
        <v>تمت طباعة الشهادة</v>
      </c>
      <c r="C1007" s="133" t="str">
        <f>Saud!C1007</f>
        <v>P-1-N-310722-4299</v>
      </c>
    </row>
    <row r="1008">
      <c r="A1008" s="133" t="str">
        <f>Saud!F1008</f>
        <v>VL GOLDENFEAST CENTRAL AMERICAN 1.36KG</v>
      </c>
      <c r="B1008" s="133" t="str">
        <f>Saud!E1008</f>
        <v>تمت طباعة الشهادة</v>
      </c>
      <c r="C1008" s="133" t="str">
        <f>Saud!C1008</f>
        <v>P-1-N-080822-4490</v>
      </c>
    </row>
    <row r="1009">
      <c r="A1009" s="133" t="str">
        <f>Saud!F1009</f>
        <v>VL GOLDENFEAST INDONESIAN 1.36KG</v>
      </c>
      <c r="B1009" s="133" t="str">
        <f>Saud!E1009</f>
        <v>تمت طباعة الشهادة</v>
      </c>
      <c r="C1009" s="133" t="str">
        <f>Saud!C1009</f>
        <v>P-1-N-080822-4491</v>
      </c>
    </row>
    <row r="1010">
      <c r="A1010" s="133" t="str">
        <f>Saud!F1010</f>
        <v>VL GOLDENFEAST MADAGASCAR 1.36KG</v>
      </c>
      <c r="B1010" s="133" t="str">
        <f>Saud!E1010</f>
        <v>تمت طباعة الشهادة</v>
      </c>
      <c r="C1010" s="133" t="str">
        <f>Saud!C1010</f>
        <v>P-1-N-080822-4492</v>
      </c>
    </row>
    <row r="1011">
      <c r="A1011" s="133" t="str">
        <f>Saud!F1011</f>
        <v>VL GOLDENFEAST AMAZON 1.36KG</v>
      </c>
      <c r="B1011" s="133" t="str">
        <f>Saud!E1011</f>
        <v>تمت طباعة الشهادة</v>
      </c>
      <c r="C1011" s="133" t="str">
        <f>Saud!C1011</f>
        <v>P-1-N-080822-4493</v>
      </c>
    </row>
    <row r="1012">
      <c r="A1012" s="133" t="str">
        <f>Saud!F1012</f>
        <v>VL GOLDENFEAST CARRIBEAN 1.36KG</v>
      </c>
      <c r="B1012" s="133" t="str">
        <f>Saud!E1012</f>
        <v>تمت طباعة الشهادة</v>
      </c>
      <c r="C1012" s="133" t="str">
        <f>Saud!C1012</f>
        <v>P-1-N-080822-4494</v>
      </c>
    </row>
    <row r="1013">
      <c r="A1013" s="133" t="str">
        <f>Saud!F1013</f>
        <v>VL GOLDENFEAST BONITA NUT 1.36KG</v>
      </c>
      <c r="B1013" s="133" t="str">
        <f>Saud!E1013</f>
        <v>تمت طباعة الشهادة</v>
      </c>
      <c r="C1013" s="133" t="str">
        <f>Saud!C1013</f>
        <v>P-1-N-080822-4495</v>
      </c>
    </row>
    <row r="1014">
      <c r="A1014" s="133" t="str">
        <f>Saud!F1014</f>
        <v>VL GOLDENFEAST BEAN SUPREME TREAT 1.36KG</v>
      </c>
      <c r="B1014" s="133" t="str">
        <f>Saud!E1014</f>
        <v>تمت طباعة الشهادة</v>
      </c>
      <c r="C1014" s="133" t="str">
        <f>Saud!C1014</f>
        <v>P-1-N-080822-4496</v>
      </c>
    </row>
    <row r="1015">
      <c r="A1015" s="133" t="str">
        <f>Saud!F1015</f>
        <v>VITA SEED PARROT 1.36KG</v>
      </c>
      <c r="B1015" s="133" t="str">
        <f>Saud!E1015</f>
        <v>تمت طباعة الشهادة</v>
      </c>
      <c r="C1015" s="133" t="str">
        <f>Saud!C1015</f>
        <v>P-1-N-080822-4498</v>
      </c>
    </row>
    <row r="1016">
      <c r="A1016" s="133" t="str">
        <f>Saud!F1016</f>
        <v>VITA SEED CONURE/LOVEBIRD 1.13KG</v>
      </c>
      <c r="B1016" s="133" t="str">
        <f>Saud!E1016</f>
        <v>تمت طباعة الشهادة</v>
      </c>
      <c r="C1016" s="133" t="str">
        <f>Saud!C1016</f>
        <v>P-1-N-080822-4499</v>
      </c>
    </row>
    <row r="1017">
      <c r="A1017" s="133" t="str">
        <f>Saud!F1017</f>
        <v>VITA SEED COCKATIEL 1.13KG</v>
      </c>
      <c r="B1017" s="133" t="str">
        <f>Saud!E1017</f>
        <v>تمت طباعة الشهادة</v>
      </c>
      <c r="C1017" s="133" t="str">
        <f>Saud!C1017</f>
        <v>P-1-N-080822-4500</v>
      </c>
    </row>
    <row r="1018">
      <c r="A1018" s="133" t="str">
        <f>Saud!F1018</f>
        <v>MAYAN HARVEST YUCATAN 1.36KG</v>
      </c>
      <c r="B1018" s="133" t="str">
        <f>Saud!E1018</f>
        <v>تمت طباعة الشهادة</v>
      </c>
      <c r="C1018" s="133" t="str">
        <f>Saud!C1018</f>
        <v>P-1-N-080822-4501</v>
      </c>
    </row>
    <row r="1019">
      <c r="A1019" s="133" t="str">
        <f>Saud!F1019</f>
        <v>MAYAN HARVEST TIKAL 1.36KG</v>
      </c>
      <c r="B1019" s="133" t="str">
        <f>Saud!E1019</f>
        <v>تمت طباعة الشهادة</v>
      </c>
      <c r="C1019" s="133" t="str">
        <f>Saud!C1019</f>
        <v>P-1-N-080822-4502</v>
      </c>
    </row>
    <row r="1020">
      <c r="A1020" s="133" t="str">
        <f>Saud!F1020</f>
        <v>SUNBURST CONURE 1.36KG</v>
      </c>
      <c r="B1020" s="133" t="str">
        <f>Saud!E1020</f>
        <v>تمت طباعة الشهادة</v>
      </c>
      <c r="C1020" s="133" t="str">
        <f>Saud!C1020</f>
        <v>P-1-N-080822-4503</v>
      </c>
    </row>
    <row r="1021">
      <c r="A1021" s="133" t="str">
        <f>Saud!F1021</f>
        <v>SUNBURST PARROT 1.36KG</v>
      </c>
      <c r="B1021" s="133" t="str">
        <f>Saud!E1021</f>
        <v>تمت طباعة الشهادة</v>
      </c>
      <c r="C1021" s="133" t="str">
        <f>Saud!C1021</f>
        <v>P-1-N-080822-4504</v>
      </c>
    </row>
    <row r="1022">
      <c r="A1022" s="133" t="str">
        <f>Saud!F1022</f>
        <v>SUNBURST TREATS FRUIT TO NUTS 141.75G</v>
      </c>
      <c r="B1022" s="133" t="str">
        <f>Saud!E1022</f>
        <v>تمت طباعة الشهادة</v>
      </c>
      <c r="C1022" s="133" t="str">
        <f>Saud!C1022</f>
        <v>P-1-N-080822-4505</v>
      </c>
    </row>
    <row r="1023">
      <c r="A1023" s="133" t="str">
        <f>Saud!F1023</f>
        <v>PROTEIN EGG FOOD 141.75G</v>
      </c>
      <c r="B1023" s="133" t="str">
        <f>Saud!E1023</f>
        <v>تمت طباعة الشهادة</v>
      </c>
      <c r="C1023" s="133" t="str">
        <f>Saud!C1023</f>
        <v>P-1-N-080822-4506</v>
      </c>
    </row>
    <row r="1024">
      <c r="A1024" s="133" t="str">
        <f>Saud!F1024</f>
        <v>SCHESIR KITTEN CHICKEN CREAM 150g</v>
      </c>
      <c r="B1024" s="133" t="str">
        <f>Saud!E1024</f>
        <v>تمت طباعة الشهادة</v>
      </c>
      <c r="C1024" s="133" t="str">
        <f>Saud!C1024</f>
        <v>P-1-N-080822-4519</v>
      </c>
    </row>
    <row r="1025">
      <c r="A1025" s="133" t="str">
        <f>Saud!F1025</f>
        <v>Schesir Kitten Tuna Cream 150g</v>
      </c>
      <c r="B1025" s="133" t="str">
        <f>Saud!E1025</f>
        <v>تمت طباعة الشهادة</v>
      </c>
      <c r="C1025" s="133" t="str">
        <f>Saud!C1025</f>
        <v>P-1-N-080822-4520</v>
      </c>
    </row>
    <row r="1026">
      <c r="A1026" s="133" t="str">
        <f>Saud!F1026</f>
        <v>SCHESIR KITTEN CHICKEN MOUSSE 85g</v>
      </c>
      <c r="B1026" s="133" t="str">
        <f>Saud!E1026</f>
        <v>تمت طباعة الشهادة</v>
      </c>
      <c r="C1026" s="133" t="str">
        <f>Saud!C1026</f>
        <v>P-1-N-080822-4522</v>
      </c>
    </row>
    <row r="1027">
      <c r="A1027" s="133" t="str">
        <f>Saud!F1027</f>
        <v>Schesir Kitten Tuna Mousse 85g</v>
      </c>
      <c r="B1027" s="133" t="str">
        <f>Saud!E1027</f>
        <v>تمت طباعة الشهادة</v>
      </c>
      <c r="C1027" s="133" t="str">
        <f>Saud!C1027</f>
        <v>P-1-N-080822-4523</v>
      </c>
    </row>
    <row r="1028">
      <c r="A1028" s="133" t="str">
        <f>Saud!F1028</f>
        <v>Fruitables Yogos Real Yogurt &amp; Strawberry/Banana Treats 340g</v>
      </c>
      <c r="B1028" s="133" t="str">
        <f>Saud!E1028</f>
        <v>تمت طباعة الشهادة</v>
      </c>
      <c r="C1028" s="133" t="str">
        <f>Saud!C1028</f>
        <v>P-1-N-140822-4663</v>
      </c>
    </row>
    <row r="1029">
      <c r="A1029" s="133" t="str">
        <f>Saud!F1029</f>
        <v>Fruitables Yogos Real Yogurt &amp; Blueberry Treats 340g</v>
      </c>
      <c r="B1029" s="133" t="str">
        <f>Saud!E1029</f>
        <v>تمت طباعة الشهادة</v>
      </c>
      <c r="C1029" s="133" t="str">
        <f>Saud!C1029</f>
        <v>P-1-N-140822-4664</v>
      </c>
    </row>
    <row r="1030">
      <c r="A1030" s="133" t="str">
        <f>Saud!F1030</f>
        <v>Fruitables Yogos Real Yogurt &amp; Coconut Treats 340g</v>
      </c>
      <c r="B1030" s="133" t="str">
        <f>Saud!E1030</f>
        <v>تمت طباعة الشهادة</v>
      </c>
      <c r="C1030" s="133" t="str">
        <f>Saud!C1030</f>
        <v>P-1-N-140822-4665</v>
      </c>
    </row>
    <row r="1031">
      <c r="A1031" s="133" t="str">
        <f>Saud!F1031</f>
        <v>Kit</v>
      </c>
      <c r="B1031" s="133" t="str">
        <f>Saud!E1031</f>
        <v>تمت طباعة الشهادة</v>
      </c>
      <c r="C1031" s="133" t="str">
        <f>Saud!C1031</f>
        <v>P-1-N-150822-4729</v>
      </c>
    </row>
    <row r="1032">
      <c r="A1032" s="133" t="str">
        <f>Saud!F1032</f>
        <v>Kit Cat Cat Stick - Salmon &amp; Katsuobushi 15g</v>
      </c>
      <c r="B1032" s="133" t="str">
        <f>Saud!E1032</f>
        <v>تمت طباعة الشهادة</v>
      </c>
      <c r="C1032" s="133" t="str">
        <f>Saud!C1032</f>
        <v>P-1-N-150822-4732</v>
      </c>
    </row>
    <row r="1033">
      <c r="A1033" s="133" t="str">
        <f>Saud!F1033</f>
        <v>Kit Cat Purrfect Pockets Dental Care 60g</v>
      </c>
      <c r="B1033" s="133" t="str">
        <f>Saud!E1033</f>
        <v>تمت طباعة الشهادة</v>
      </c>
      <c r="C1033" s="133" t="str">
        <f>Saud!C1033</f>
        <v>P-1-N-180822-4858</v>
      </c>
    </row>
    <row r="1034">
      <c r="A1034" s="133" t="str">
        <f>Saud!F1034</f>
        <v>JosiCat Chicken in Sauce 415g</v>
      </c>
      <c r="B1034" s="133" t="str">
        <f>Saud!E1034</f>
        <v>تمت طباعة الشهادة</v>
      </c>
      <c r="C1034" s="133" t="str">
        <f>Saud!C1034</f>
        <v>P-1-N-240822-4978</v>
      </c>
    </row>
    <row r="1035">
      <c r="A1035" s="133" t="str">
        <f>Saud!F1035</f>
        <v>JosiCat Beef in Sauce 415g</v>
      </c>
      <c r="B1035" s="133" t="str">
        <f>Saud!E1035</f>
        <v>تمت طباعة الشهادة</v>
      </c>
      <c r="C1035" s="133" t="str">
        <f>Saud!C1035</f>
        <v>P-1-N-240822-4979</v>
      </c>
    </row>
    <row r="1036">
      <c r="A1036" s="133" t="str">
        <f>Saud!F1036</f>
        <v>JosiCat Fish in Sauce 415g</v>
      </c>
      <c r="B1036" s="133" t="str">
        <f>Saud!E1036</f>
        <v>تمت طباعة الشهادة</v>
      </c>
      <c r="C1036" s="133" t="str">
        <f>Saud!C1036</f>
        <v>P-1-N-240822-4980</v>
      </c>
    </row>
    <row r="1037">
      <c r="A1037" s="133" t="str">
        <f>Saud!F1037</f>
        <v>JosiDog Beef in Sauce 415g</v>
      </c>
      <c r="B1037" s="133" t="str">
        <f>Saud!E1037</f>
        <v>تمت طباعة الشهادة</v>
      </c>
      <c r="C1037" s="133" t="str">
        <f>Saud!C1037</f>
        <v>P-1-N-240822-4981</v>
      </c>
    </row>
    <row r="1038">
      <c r="A1038" s="133" t="str">
        <f>Saud!F1038</f>
        <v>JosiDog Chicken in Sauce 415g</v>
      </c>
      <c r="B1038" s="133" t="str">
        <f>Saud!E1038</f>
        <v>تمت طباعة الشهادة</v>
      </c>
      <c r="C1038" s="133" t="str">
        <f>Saud!C1038</f>
        <v>P-1-N-240822-4982</v>
      </c>
    </row>
    <row r="1039">
      <c r="A1039" s="133" t="str">
        <f>Saud!F1039</f>
        <v>JosiDog Game in Sauce 415g</v>
      </c>
      <c r="B1039" s="133" t="str">
        <f>Saud!E1039</f>
        <v>تمت طباعة الشهادة</v>
      </c>
      <c r="C1039" s="133" t="str">
        <f>Saud!C1039</f>
        <v>P-1-N-240822-4983</v>
      </c>
    </row>
    <row r="1040">
      <c r="A1040" s="133" t="str">
        <f>Saud!F1040</f>
        <v>Gastrointestinal Cat 2kg</v>
      </c>
      <c r="B1040" s="133" t="str">
        <f>Saud!E1040</f>
        <v>تمت طباعة الشهادة</v>
      </c>
      <c r="C1040" s="133" t="str">
        <f>Saud!C1040</f>
        <v>P-1-N-290822-5039</v>
      </c>
    </row>
    <row r="1041">
      <c r="A1041" s="133" t="str">
        <f>Saud!F1041</f>
        <v>Hypoallergenic Cat 2kg</v>
      </c>
      <c r="B1041" s="133" t="str">
        <f>Saud!E1041</f>
        <v>تمت طباعة الشهادة</v>
      </c>
      <c r="C1041" s="133" t="str">
        <f>Saud!C1041</f>
        <v>P-1-N-290822-5040</v>
      </c>
    </row>
    <row r="1042">
      <c r="A1042" s="133" t="str">
        <f>Saud!F1042</f>
        <v>Renal Cat 2kg</v>
      </c>
      <c r="B1042" s="133" t="str">
        <f>Saud!E1042</f>
        <v>تمت طباعة الشهادة</v>
      </c>
      <c r="C1042" s="133" t="str">
        <f>Saud!C1042</f>
        <v>P-1-N-290822-5041</v>
      </c>
    </row>
    <row r="1043">
      <c r="A1043" s="133" t="str">
        <f>Saud!F1043</f>
        <v>Urinary Cat 2kg</v>
      </c>
      <c r="B1043" s="133" t="str">
        <f>Saud!E1043</f>
        <v>تمت طباعة الشهادة</v>
      </c>
      <c r="C1043" s="133" t="str">
        <f>Saud!C1043</f>
        <v>P-1-N-290822-5042</v>
      </c>
    </row>
    <row r="1044">
      <c r="A1044" s="133" t="str">
        <f>Saud!F1044</f>
        <v>Weight &amp; Diabetic Cat 2kg</v>
      </c>
      <c r="B1044" s="133" t="str">
        <f>Saud!E1044</f>
        <v>تمت طباعة الشهادة</v>
      </c>
      <c r="C1044" s="133" t="str">
        <f>Saud!C1044</f>
        <v>P-1-N-290822-5043</v>
      </c>
    </row>
    <row r="1045">
      <c r="A1045" s="133" t="str">
        <f>Saud!F1045</f>
        <v>ZUPREEM FRUITBLEND SMALL 907g</v>
      </c>
      <c r="B1045" s="133" t="str">
        <f>Saud!E1045</f>
        <v>تمت طباعة الشهادة</v>
      </c>
      <c r="C1045" s="133" t="str">
        <f>Saud!C1045</f>
        <v>P-1-N-150922-5340</v>
      </c>
    </row>
    <row r="1046">
      <c r="A1046" s="133" t="str">
        <f>Saud!F1046</f>
        <v>ZUPREEM FRUITBLEND SMALL 4.5kg</v>
      </c>
      <c r="B1046" s="133" t="str">
        <f>Saud!E1046</f>
        <v>تمت طباعة الشهادة</v>
      </c>
      <c r="C1046" s="133" t="str">
        <f>Saud!C1046</f>
        <v>P-1-N-150922-5341</v>
      </c>
    </row>
    <row r="1047">
      <c r="A1047" s="133" t="str">
        <f>Saud!F1047</f>
        <v>ZUPREEM FRUITBLEND MEDIUM 907g</v>
      </c>
      <c r="B1047" s="133" t="str">
        <f>Saud!E1047</f>
        <v>تمت طباعة الشهادة</v>
      </c>
      <c r="C1047" s="133" t="str">
        <f>Saud!C1047</f>
        <v>P-1-N-150922-5342</v>
      </c>
    </row>
    <row r="1048">
      <c r="A1048" s="133" t="str">
        <f>Saud!F1048</f>
        <v>ZUPREEM TROPICAL MIX MEDIUM 170g</v>
      </c>
      <c r="B1048" s="133" t="str">
        <f>Saud!E1048</f>
        <v>تمت طباعة الشهادة</v>
      </c>
      <c r="C1048" s="133" t="str">
        <f>Saud!C1048</f>
        <v>P-1-N-150922-5344</v>
      </c>
    </row>
    <row r="1049">
      <c r="A1049" s="133" t="str">
        <f>Saud!F1049</f>
        <v>ZUPREEM TROPICAL MIX LARGE 170g</v>
      </c>
      <c r="B1049" s="133" t="str">
        <f>Saud!E1049</f>
        <v>تمت طباعة الشهادة</v>
      </c>
      <c r="C1049" s="133" t="str">
        <f>Saud!C1049</f>
        <v>P-1-N-150922-5345</v>
      </c>
    </row>
    <row r="1050">
      <c r="A1050" s="133" t="str">
        <f>Saud!F1050</f>
        <v>ZUPREEM GARDEN MIX MEDIUM 170g</v>
      </c>
      <c r="B1050" s="133" t="str">
        <f>Saud!E1050</f>
        <v>تمت طباعة الشهادة</v>
      </c>
      <c r="C1050" s="133" t="str">
        <f>Saud!C1050</f>
        <v>P-1-N-150922-5346</v>
      </c>
    </row>
    <row r="1051">
      <c r="A1051" s="133" t="str">
        <f>Saud!F1051</f>
        <v>ZUPREEM GARDEN MIX LARGE 170g</v>
      </c>
      <c r="B1051" s="133" t="str">
        <f>Saud!E1051</f>
        <v>تمت طباعة الشهادة</v>
      </c>
      <c r="C1051" s="133" t="str">
        <f>Saud!C1051</f>
        <v>P-1-N-150922-5347</v>
      </c>
    </row>
    <row r="1052">
      <c r="A1052" s="133" t="str">
        <f>Saud!F1052</f>
        <v>ZUPREEM ORCHARD MIX MEDIUM 170g</v>
      </c>
      <c r="B1052" s="133" t="str">
        <f>Saud!E1052</f>
        <v>تمت طباعة الشهادة</v>
      </c>
      <c r="C1052" s="133" t="str">
        <f>Saud!C1052</f>
        <v>P-1-N-150922-5348</v>
      </c>
    </row>
    <row r="1053">
      <c r="A1053" s="133" t="str">
        <f>Saud!F1053</f>
        <v>ZUPREEM ORCHARD MIX LARGE 170g</v>
      </c>
      <c r="B1053" s="133" t="str">
        <f>Saud!E1053</f>
        <v>تمت طباعة الشهادة</v>
      </c>
      <c r="C1053" s="133" t="str">
        <f>Saud!C1053</f>
        <v>P-1-N-150922-5349</v>
      </c>
    </row>
    <row r="1054">
      <c r="A1054" s="133" t="str">
        <f>Saud!F1054</f>
        <v>ZUPREEM NATURAL SMALL 1kg</v>
      </c>
      <c r="B1054" s="133" t="str">
        <f>Saud!E1054</f>
        <v>تمت طباعة الشهادة</v>
      </c>
      <c r="C1054" s="133" t="str">
        <f>Saud!C1054</f>
        <v>P-1-N-150922-5350</v>
      </c>
    </row>
    <row r="1055">
      <c r="A1055" s="133" t="str">
        <f>Saud!F1055</f>
        <v>ZUPREEM NATURAL MEDIUM 1.1kg</v>
      </c>
      <c r="B1055" s="133" t="str">
        <f>Saud!E1055</f>
        <v>تمت طباعة الشهادة</v>
      </c>
      <c r="C1055" s="133" t="str">
        <f>Saud!C1055</f>
        <v>P-1-N-150922-5351</v>
      </c>
    </row>
    <row r="1056">
      <c r="A1056" s="133" t="str">
        <f>Saud!F1056</f>
        <v>ZUPREEM NATURAL LARGE 1.4kg</v>
      </c>
      <c r="B1056" s="133" t="str">
        <f>Saud!E1056</f>
        <v>تمت طباعة الشهادة</v>
      </c>
      <c r="C1056" s="133" t="str">
        <f>Saud!C1056</f>
        <v>P-1-N-150922-5352</v>
      </c>
    </row>
    <row r="1057">
      <c r="A1057" s="133" t="str">
        <f>Saud!F1057</f>
        <v>ZUPREEM SMARTSELECTS CAN&amp;FICH 907g</v>
      </c>
      <c r="B1057" s="133" t="str">
        <f>Saud!E1057</f>
        <v>REJECTED</v>
      </c>
      <c r="C1057" s="133" t="str">
        <f>Saud!C1057</f>
        <v>P-1-N-061022-5690</v>
      </c>
    </row>
    <row r="1058">
      <c r="A1058" s="133" t="str">
        <f>Saud!F1058</f>
        <v>ZUPREEM SMARTSELECTS PARAKEETS 907g</v>
      </c>
      <c r="B1058" s="133" t="str">
        <f>Saud!E1058</f>
        <v>REJECTED</v>
      </c>
      <c r="C1058" s="133" t="str">
        <f>Saud!C1058</f>
        <v>P-1-N-061022-5691</v>
      </c>
    </row>
    <row r="1059">
      <c r="A1059" s="133" t="str">
        <f>Saud!F1059</f>
        <v>ZUPREEM SMARTSELECTS COCKTIEL 1.1kg</v>
      </c>
      <c r="B1059" s="133" t="str">
        <f>Saud!E1059</f>
        <v>REJECTED</v>
      </c>
      <c r="C1059" s="133" t="str">
        <f>Saud!C1059</f>
        <v>P-1-N-061022-5692</v>
      </c>
    </row>
    <row r="1060">
      <c r="A1060" s="133" t="str">
        <f>Saud!F1060</f>
        <v>ZUPREEM SMARTSELECTS P&amp;C 1.8kg</v>
      </c>
      <c r="B1060" s="133" t="str">
        <f>Saud!E1060</f>
        <v>REJECTED</v>
      </c>
      <c r="C1060" s="133" t="str">
        <f>Saud!C1060</f>
        <v>P-1-N-061022-5693</v>
      </c>
    </row>
    <row r="1061">
      <c r="A1061" s="133" t="str">
        <f>Saud!F1061</f>
        <v>ZUPREEM SMARTSELECTS MACAWS 1.8kg</v>
      </c>
      <c r="B1061" s="133" t="str">
        <f>Saud!E1061</f>
        <v>REJECTED</v>
      </c>
      <c r="C1061" s="133" t="str">
        <f>Saud!C1061</f>
        <v>P-1-N-061022-5694</v>
      </c>
    </row>
    <row r="1062">
      <c r="A1062" s="133" t="str">
        <f>Saud!F1062</f>
        <v>ZUPREEM PURE FUN SMALL 907g</v>
      </c>
      <c r="B1062" s="133" t="str">
        <f>Saud!E1062</f>
        <v>REJECTED</v>
      </c>
      <c r="C1062" s="133" t="str">
        <f>Saud!C1062</f>
        <v>P-1-N-061022-5695</v>
      </c>
    </row>
    <row r="1063">
      <c r="A1063" s="133" t="str">
        <f>Saud!F1063</f>
        <v>ZUPREEM FUN MEDIUM 907g</v>
      </c>
      <c r="B1063" s="133" t="str">
        <f>Saud!E1063</f>
        <v>REJECTED</v>
      </c>
      <c r="C1063" s="133" t="str">
        <f>Saud!C1063</f>
        <v>P-1-N-061022-5696</v>
      </c>
    </row>
    <row r="1064">
      <c r="A1064" s="133" t="str">
        <f>Saud!F1064</f>
        <v>ZUPREEM PURE FUN P&amp;C 907g</v>
      </c>
      <c r="B1064" s="133" t="str">
        <f>Saud!E1064</f>
        <v>REJECTED</v>
      </c>
      <c r="C1064" s="133" t="str">
        <f>Saud!C1064</f>
        <v>P-1-N-061022-5697</v>
      </c>
    </row>
    <row r="1065">
      <c r="A1065" s="133" t="str">
        <f>Saud!F1065</f>
        <v>ZUPREEM PURE FUN LARGE 907g</v>
      </c>
      <c r="B1065" s="133" t="str">
        <f>Saud!E1065</f>
        <v>REJECTED</v>
      </c>
      <c r="C1065" s="133" t="str">
        <f>Saud!C1065</f>
        <v>P-1-N-061022-5698</v>
      </c>
    </row>
    <row r="1066">
      <c r="A1066" s="133" t="str">
        <f>Saud!F1066</f>
        <v>ZUPREEM SENSIBLE SEED SMALL 907g</v>
      </c>
      <c r="B1066" s="133" t="str">
        <f>Saud!E1066</f>
        <v>REJECTED</v>
      </c>
      <c r="C1066" s="133" t="str">
        <f>Saud!C1066</f>
        <v>P-1-N-061022-5699</v>
      </c>
    </row>
    <row r="1067">
      <c r="A1067" s="133" t="str">
        <f>Saud!F1067</f>
        <v>ZUPREEM SENSIBLE SEED MEDIUM 907g</v>
      </c>
      <c r="B1067" s="133" t="str">
        <f>Saud!E1067</f>
        <v>REJECTED</v>
      </c>
      <c r="C1067" s="133" t="str">
        <f>Saud!C1067</f>
        <v>P-1-N-061022-5700</v>
      </c>
    </row>
    <row r="1068">
      <c r="A1068" s="133" t="str">
        <f>Saud!F1068</f>
        <v>ZUPREEM SENSIBLE SEED P&amp;C 907g</v>
      </c>
      <c r="B1068" s="133" t="str">
        <f>Saud!E1068</f>
        <v>REJECTED</v>
      </c>
      <c r="C1068" s="133" t="str">
        <f>Saud!C1068</f>
        <v>P-1-N-061022-5701</v>
      </c>
    </row>
    <row r="1069">
      <c r="A1069" s="133" t="str">
        <f>Saud!F1069</f>
        <v>ZUPREEM SENSIBLE SEED LARGE 907g</v>
      </c>
      <c r="B1069" s="133" t="str">
        <f>Saud!E1069</f>
        <v>REJECTED</v>
      </c>
      <c r="C1069" s="133" t="str">
        <f>Saud!C1069</f>
        <v>P-1-N-061022-5702</v>
      </c>
    </row>
    <row r="1070">
      <c r="A1070" s="133" t="str">
        <f>Saud!F1070</f>
        <v>ZUPREEM FRUITBLEND XSMALL 907g</v>
      </c>
      <c r="B1070" s="133" t="str">
        <f>Saud!E1070</f>
        <v>REJECTED</v>
      </c>
      <c r="C1070" s="133" t="str">
        <f>Saud!C1070</f>
        <v>P-1-N-091022-5730</v>
      </c>
    </row>
    <row r="1071">
      <c r="A1071" s="133" t="str">
        <f>Saud!F1071</f>
        <v>ZUPREEM FRUITBLEND XSMALL 4.5kg</v>
      </c>
      <c r="B1071" s="133" t="str">
        <f>Saud!E1071</f>
        <v>REJECTED</v>
      </c>
      <c r="C1071" s="133" t="str">
        <f>Saud!C1071</f>
        <v>P-1-N-091022-5731</v>
      </c>
    </row>
    <row r="1072">
      <c r="A1072" s="133" t="str">
        <f>Saud!F1072</f>
        <v>ZUPREEM FRUITBLEND MED/LARGE 907g</v>
      </c>
      <c r="B1072" s="133" t="str">
        <f>Saud!E1072</f>
        <v>REJECTED</v>
      </c>
      <c r="C1072" s="133" t="str">
        <f>Saud!C1072</f>
        <v>P-1-N-091022-5732</v>
      </c>
    </row>
    <row r="1073">
      <c r="A1073" s="133" t="str">
        <f>Saud!F1073</f>
        <v>ZUPREEM FRUITBLEND LARGE 907g</v>
      </c>
      <c r="B1073" s="133" t="str">
        <f>Saud!E1073</f>
        <v>REJECTED</v>
      </c>
      <c r="C1073" s="133" t="str">
        <f>Saud!C1073</f>
        <v>P-1-N-091022-5733</v>
      </c>
    </row>
    <row r="1074">
      <c r="A1074" s="133" t="str">
        <f>Saud!F1074</f>
        <v>ZUPREEM FRUITBLEND MED BREEDER 907g</v>
      </c>
      <c r="B1074" s="133" t="str">
        <f>Saud!E1074</f>
        <v>REJECTED</v>
      </c>
      <c r="C1074" s="133" t="str">
        <f>Saud!C1074</f>
        <v>P-1-N-091022-5734</v>
      </c>
    </row>
    <row r="1075">
      <c r="A1075" s="133" t="str">
        <f>Saud!F1075</f>
        <v>ZUPREEM FRUITBLEND MED/LARGE BREEDER 907g</v>
      </c>
      <c r="B1075" s="133" t="str">
        <f>Saud!E1075</f>
        <v>REJECTED</v>
      </c>
      <c r="C1075" s="133" t="str">
        <f>Saud!C1075</f>
        <v>P-1-N-091022-5735</v>
      </c>
    </row>
    <row r="1076">
      <c r="A1076" s="133" t="str">
        <f>Saud!F1076</f>
        <v>NUTRIMEAL Premium sticks for canaries - CANARY GRASS + SHELLS 110g</v>
      </c>
      <c r="B1076" s="133" t="str">
        <f>Saud!E1076</f>
        <v>REJECTED</v>
      </c>
      <c r="C1076" s="133" t="str">
        <f>Saud!C1076</f>
        <v>P-1-N-201022-6005</v>
      </c>
    </row>
    <row r="1077">
      <c r="A1077" s="133" t="str">
        <f>Saud!F1077</f>
        <v>NUTRILMEAL PREMIUM STICKS FOR EXOTIC BIRDS - YELLOW MILLET + SHELLS 110g</v>
      </c>
      <c r="B1077" s="133" t="str">
        <f>Saud!E1077</f>
        <v>تمت طباعة الشهادة</v>
      </c>
      <c r="C1077" s="133" t="str">
        <f>Saud!C1077</f>
        <v>P-1-N-201022-6006</v>
      </c>
    </row>
    <row r="1078">
      <c r="A1078" s="133" t="str">
        <f>Saud!F1078</f>
        <v>NUTRILMEAL PREMIUM STICKS FOR PARAKEETS - RED MILLET + SHELLS 110g</v>
      </c>
      <c r="B1078" s="133" t="str">
        <f>Saud!E1078</f>
        <v>تمت طباعة الشهادة</v>
      </c>
      <c r="C1078" s="133" t="str">
        <f>Saud!C1078</f>
        <v>P-1-N-201022-6007</v>
      </c>
    </row>
    <row r="1079">
      <c r="A1079" s="133" t="str">
        <f>Saud!F1079</f>
        <v>NUTRILMEAL PREMIUM STICKS FOR LARGE PARAKEETS - SUNFLOWER SEED + SHELLS 110g</v>
      </c>
      <c r="B1079" s="133" t="str">
        <f>Saud!E1079</f>
        <v>تمت طباعة الشهادة</v>
      </c>
      <c r="C1079" s="133" t="str">
        <f>Saud!C1079</f>
        <v>P-1-N-201022-6008</v>
      </c>
    </row>
    <row r="1080">
      <c r="A1080" s="133" t="str">
        <f>Saud!F1080</f>
        <v>NUTRILMEAL PREMIUM STICKS FOR DWARF RABBITS - CARROT 115g</v>
      </c>
      <c r="B1080" s="133" t="str">
        <f>Saud!E1080</f>
        <v>تمت طباعة الشهادة</v>
      </c>
      <c r="C1080" s="133" t="str">
        <f>Saud!C1080</f>
        <v>P-1-N-201022-6009</v>
      </c>
    </row>
    <row r="1081">
      <c r="A1081" s="133" t="str">
        <f>Saud!F1081</f>
        <v>NUTRILMEAL PREMIUM STICKS FOR DWARF RABBITS - VEGETABLES 115g</v>
      </c>
      <c r="B1081" s="133" t="str">
        <f>Saud!E1081</f>
        <v>تمت طباعة الشهادة</v>
      </c>
      <c r="C1081" s="133" t="str">
        <f>Saud!C1081</f>
        <v>P-1-N-201022-6010</v>
      </c>
    </row>
    <row r="1082">
      <c r="A1082" s="133" t="str">
        <f>Saud!F1082</f>
        <v>NUTRILMEAL PREMIUM STICKS FOR HAMSTERS AND GERBILS - OATS 110g</v>
      </c>
      <c r="B1082" s="133" t="str">
        <f>Saud!E1082</f>
        <v>تمت طباعة الشهادة</v>
      </c>
      <c r="C1082" s="133" t="str">
        <f>Saud!C1082</f>
        <v>P-1-N-201022-6011</v>
      </c>
    </row>
    <row r="1083">
      <c r="A1083" s="133" t="str">
        <f>Saud!F1083</f>
        <v>MINERAL GRIT 170.1g</v>
      </c>
      <c r="B1083" s="133" t="str">
        <f>Saud!E1083</f>
        <v>REJECTED</v>
      </c>
      <c r="C1083" s="133" t="str">
        <f>Saud!C1083</f>
        <v>P-1-N-251022-6105</v>
      </c>
    </row>
    <row r="1084">
      <c r="A1084" s="133" t="str">
        <f>Saud!F1084</f>
        <v>ZUPREEM NUTBLEND 1.5kg</v>
      </c>
      <c r="B1084" s="133" t="str">
        <f>Saud!E1084</f>
        <v>تمت طباعة الشهادة</v>
      </c>
      <c r="C1084" s="133" t="str">
        <f>Saud!C1084</f>
        <v>P-1-N-301022-6209</v>
      </c>
    </row>
    <row r="1085">
      <c r="A1085" s="133" t="str">
        <f>Saud!F1085</f>
        <v>ZUPREEM VEGBLEND 1.5kg</v>
      </c>
      <c r="B1085" s="133" t="str">
        <f>Saud!E1085</f>
        <v>تمت طباعة الشهادة</v>
      </c>
      <c r="C1085" s="133" t="str">
        <f>Saud!C1085</f>
        <v>P-1-N-301022-6210</v>
      </c>
    </row>
    <row r="1086">
      <c r="A1086" s="133" t="str">
        <f>Saud!F1086</f>
        <v>ZUPREEM NATURAL MED/LARGE BREED 1.4kg</v>
      </c>
      <c r="B1086" s="133" t="str">
        <f>Saud!E1086</f>
        <v>تمت طباعة الشهادة</v>
      </c>
      <c r="C1086" s="133" t="str">
        <f>Saud!C1086</f>
        <v>P-1-N-301022-6212</v>
      </c>
    </row>
    <row r="1087">
      <c r="A1087" s="133" t="str">
        <f>Saud!F1087</f>
        <v>ZUPREEM PASTABLEND MED/LARGE 1.4kg</v>
      </c>
      <c r="B1087" s="133" t="str">
        <f>Saud!E1087</f>
        <v>تمت طباعة الشهادة</v>
      </c>
      <c r="C1087" s="133" t="str">
        <f>Saud!C1087</f>
        <v>P-1-N-301022-6213</v>
      </c>
    </row>
    <row r="1088">
      <c r="A1088" s="133" t="str">
        <f>Saud!F1088</f>
        <v>ZUPREEM PASTABLEND MEDIUM 907G</v>
      </c>
      <c r="B1088" s="133" t="str">
        <f>Saud!E1088</f>
        <v>تمت طباعة الشهادة</v>
      </c>
      <c r="C1088" s="133" t="str">
        <f>Saud!C1088</f>
        <v>P-1-N-301022-6214</v>
      </c>
    </row>
    <row r="1089">
      <c r="A1089" s="133" t="str">
        <f>Saud!F1089</f>
        <v>ZUPREEM PASTABLEND LARGE 1.4kg</v>
      </c>
      <c r="B1089" s="133" t="str">
        <f>Saud!E1089</f>
        <v>تمت طباعة الشهادة</v>
      </c>
      <c r="C1089" s="133" t="str">
        <f>Saud!C1089</f>
        <v>P-1-N-301022-6215</v>
      </c>
    </row>
    <row r="1090">
      <c r="A1090" s="133" t="str">
        <f>Saud!F1090</f>
        <v>ZUPREEM SMARTSELECTS CAN&amp;FICH 907g</v>
      </c>
      <c r="B1090" s="133" t="str">
        <f>Saud!E1090</f>
        <v>تمت طباعة الشهادة</v>
      </c>
      <c r="C1090" s="133" t="str">
        <f>Saud!C1090</f>
        <v>P-1-N-301022-6216</v>
      </c>
    </row>
    <row r="1091">
      <c r="A1091" s="133" t="str">
        <f>Saud!F1091</f>
        <v>ZUPREEM SMARTSELECTS PARAKEETS 907g</v>
      </c>
      <c r="B1091" s="133" t="str">
        <f>Saud!E1091</f>
        <v>تمت طباعة الشهادة</v>
      </c>
      <c r="C1091" s="133" t="str">
        <f>Saud!C1091</f>
        <v>P-1-N-301022-6217</v>
      </c>
    </row>
    <row r="1092">
      <c r="A1092" s="133" t="str">
        <f>Saud!F1092</f>
        <v>ZUPREEM SMARTSELECTS COCKTIEL 1.1kg</v>
      </c>
      <c r="B1092" s="133" t="str">
        <f>Saud!E1092</f>
        <v>تمت طباعة الشهادة</v>
      </c>
      <c r="C1092" s="133" t="str">
        <f>Saud!C1092</f>
        <v>P-1-N-301022-6218</v>
      </c>
    </row>
    <row r="1093">
      <c r="A1093" s="133" t="str">
        <f>Saud!F1093</f>
        <v>ZUPREEM SMARTSELECTS P&amp;C 1.8kg</v>
      </c>
      <c r="B1093" s="133" t="str">
        <f>Saud!E1093</f>
        <v>تمت طباعة الشهادة</v>
      </c>
      <c r="C1093" s="133" t="str">
        <f>Saud!C1093</f>
        <v>P-1-N-301022-6219</v>
      </c>
    </row>
    <row r="1094">
      <c r="A1094" s="133" t="str">
        <f>Saud!F1094</f>
        <v>ZUPREEM SMARTSELECTS MACAWS 1.8kg</v>
      </c>
      <c r="B1094" s="133" t="str">
        <f>Saud!E1094</f>
        <v>تمت طباعة الشهادة</v>
      </c>
      <c r="C1094" s="133" t="str">
        <f>Saud!C1094</f>
        <v>P-1-N-301022-6220</v>
      </c>
    </row>
    <row r="1095">
      <c r="A1095" s="133" t="str">
        <f>Saud!F1095</f>
        <v>ZUPREEM PURE FUN SMALL 907g</v>
      </c>
      <c r="B1095" s="133" t="str">
        <f>Saud!E1095</f>
        <v>تمت طباعة الشهادة</v>
      </c>
      <c r="C1095" s="133" t="str">
        <f>Saud!C1095</f>
        <v>P-1-N-301022-6221</v>
      </c>
    </row>
    <row r="1096">
      <c r="A1096" s="133" t="str">
        <f>Saud!F1096</f>
        <v>ZUPREEM FUN MEDIUM 907g</v>
      </c>
      <c r="B1096" s="133" t="str">
        <f>Saud!E1096</f>
        <v>تمت طباعة الشهادة</v>
      </c>
      <c r="C1096" s="133" t="str">
        <f>Saud!C1096</f>
        <v>P-1-N-301022-6222</v>
      </c>
    </row>
    <row r="1097">
      <c r="A1097" s="133" t="str">
        <f>Saud!F1097</f>
        <v>ZUPREEM PURE FUN P&amp;C 907g</v>
      </c>
      <c r="B1097" s="133" t="str">
        <f>Saud!E1097</f>
        <v>تمت طباعة الشهادة</v>
      </c>
      <c r="C1097" s="133" t="str">
        <f>Saud!C1097</f>
        <v>P-1-N-301022-6223</v>
      </c>
    </row>
    <row r="1098">
      <c r="A1098" s="133" t="str">
        <f>Saud!F1098</f>
        <v>ZUPREEM PURE FUN LARGE 907g</v>
      </c>
      <c r="B1098" s="133" t="str">
        <f>Saud!E1098</f>
        <v>تمت طباعة الشهادة</v>
      </c>
      <c r="C1098" s="133" t="str">
        <f>Saud!C1098</f>
        <v>P-1-N-301022-6224</v>
      </c>
    </row>
    <row r="1099">
      <c r="A1099" s="133" t="str">
        <f>Saud!F1099</f>
        <v>ZUPREEM SENSIBLE SEED SMALL 907g</v>
      </c>
      <c r="B1099" s="133" t="str">
        <f>Saud!E1099</f>
        <v>تمت طباعة الشهادة</v>
      </c>
      <c r="C1099" s="133" t="str">
        <f>Saud!C1099</f>
        <v>P-1-N-301022-6225</v>
      </c>
    </row>
    <row r="1100">
      <c r="A1100" s="133" t="str">
        <f>Saud!F1100</f>
        <v>ZUPREEM SENSIBLE SEED MEDIUM 907g</v>
      </c>
      <c r="B1100" s="133" t="str">
        <f>Saud!E1100</f>
        <v>تمت طباعة الشهادة</v>
      </c>
      <c r="C1100" s="133" t="str">
        <f>Saud!C1100</f>
        <v>P-1-N-301022-6226</v>
      </c>
    </row>
    <row r="1101">
      <c r="A1101" s="133" t="str">
        <f>Saud!F1101</f>
        <v>ZUPREEM SENSIBLE SEED P&amp;C 907g</v>
      </c>
      <c r="B1101" s="133" t="str">
        <f>Saud!E1101</f>
        <v>تمت طباعة الشهادة</v>
      </c>
      <c r="C1101" s="133" t="str">
        <f>Saud!C1101</f>
        <v>P-1-N-301022-6227</v>
      </c>
    </row>
    <row r="1102">
      <c r="A1102" s="133" t="str">
        <f>Saud!F1102</f>
        <v>ZUPREEM SENSIBLE SEED LARGE 907g</v>
      </c>
      <c r="B1102" s="133" t="str">
        <f>Saud!E1102</f>
        <v>تمت طباعة الشهادة</v>
      </c>
      <c r="C1102" s="133" t="str">
        <f>Saud!C1102</f>
        <v>P-1-N-301022-6228</v>
      </c>
    </row>
    <row r="1103">
      <c r="A1103" s="133" t="str">
        <f>Saud!F1103</f>
        <v>ZUPREEM FRUITBLEND XSMALL 907g</v>
      </c>
      <c r="B1103" s="133" t="str">
        <f>Saud!E1103</f>
        <v>تمت طباعة الشهادة</v>
      </c>
      <c r="C1103" s="133" t="str">
        <f>Saud!C1103</f>
        <v>P-1-N-301022-6229</v>
      </c>
    </row>
    <row r="1104">
      <c r="A1104" s="133" t="str">
        <f>Saud!F1104</f>
        <v>ZUPREEM FRUITBLEND XSMALL 4.5kg</v>
      </c>
      <c r="B1104" s="133" t="str">
        <f>Saud!E1104</f>
        <v>تمت طباعة الشهادة</v>
      </c>
      <c r="C1104" s="133" t="str">
        <f>Saud!C1104</f>
        <v>P-1-N-301022-6230</v>
      </c>
    </row>
    <row r="1105">
      <c r="A1105" s="133" t="str">
        <f>Saud!F1105</f>
        <v>ZUPREEM FRUITBLEND MED/LARGE 907g</v>
      </c>
      <c r="B1105" s="133" t="str">
        <f>Saud!E1105</f>
        <v>تمت طباعة الشهادة</v>
      </c>
      <c r="C1105" s="133" t="str">
        <f>Saud!C1105</f>
        <v>P-1-N-301022-6231</v>
      </c>
    </row>
    <row r="1106">
      <c r="A1106" s="133" t="str">
        <f>Saud!F1106</f>
        <v>ZUPREEM FRUITBLEND LARGE 907g</v>
      </c>
      <c r="B1106" s="133" t="str">
        <f>Saud!E1106</f>
        <v>تمت طباعة الشهادة</v>
      </c>
      <c r="C1106" s="133" t="str">
        <f>Saud!C1106</f>
        <v>P-1-N-301022-6232</v>
      </c>
    </row>
    <row r="1107">
      <c r="A1107" s="133" t="str">
        <f>Saud!F1107</f>
        <v>ZUPREEM FRUITBLEND MED BREEDER 907g</v>
      </c>
      <c r="B1107" s="133" t="str">
        <f>Saud!E1107</f>
        <v>تمت طباعة الشهادة</v>
      </c>
      <c r="C1107" s="133" t="str">
        <f>Saud!C1107</f>
        <v>P-1-N-301022-6233</v>
      </c>
    </row>
    <row r="1108">
      <c r="A1108" s="133" t="str">
        <f>Saud!F1108</f>
        <v>ZUPREEM FRUITBLEND MED/LARGE BREEDER 907g</v>
      </c>
      <c r="B1108" s="133" t="str">
        <f>Saud!E1108</f>
        <v>تمت طباعة الشهادة</v>
      </c>
      <c r="C1108" s="133" t="str">
        <f>Saud!C1108</f>
        <v>P-1-N-301022-6234</v>
      </c>
    </row>
    <row r="1109">
      <c r="A1109" s="133" t="str">
        <f>Saud!F1109</f>
        <v>ZUPREEM RABBIT 2.3KG</v>
      </c>
      <c r="B1109" s="133" t="str">
        <f>Saud!E1109</f>
        <v>تمت طباعة الشهادة</v>
      </c>
      <c r="C1109" s="133" t="str">
        <f>Saud!C1109</f>
        <v>P-1-N-301022-6236</v>
      </c>
    </row>
    <row r="1110">
      <c r="A1110" s="133" t="str">
        <f>Saud!F1110</f>
        <v>ZUPREEM GUINEA PIG 2.3kg</v>
      </c>
      <c r="B1110" s="133" t="str">
        <f>Saud!E1110</f>
        <v>تمت طباعة الشهادة</v>
      </c>
      <c r="C1110" s="133" t="str">
        <f>Saud!C1110</f>
        <v>P-1-N-301022-6237</v>
      </c>
    </row>
    <row r="1111">
      <c r="A1111" s="133" t="str">
        <f>Saud!F1111</f>
        <v>ZUPREEM HAY 397g</v>
      </c>
      <c r="B1111" s="133" t="str">
        <f>Saud!E1111</f>
        <v>تمت طباعة الشهادة</v>
      </c>
      <c r="C1111" s="133" t="str">
        <f>Saud!C1111</f>
        <v>P-1-N-301022-6238</v>
      </c>
    </row>
    <row r="1112">
      <c r="A1112" s="133" t="str">
        <f>Saud!F1112</f>
        <v>ZUPREEM HAY 1.13kg</v>
      </c>
      <c r="B1112" s="133" t="str">
        <f>Saud!E1112</f>
        <v>تمت طباعة الشهادة</v>
      </c>
      <c r="C1112" s="133" t="str">
        <f>Saud!C1112</f>
        <v>P-1-N-301022-6239</v>
      </c>
    </row>
    <row r="1113">
      <c r="A1113" s="133" t="str">
        <f>Saud!F1113</f>
        <v>NUTRIMEAL Premium sticks for canaries - CANARY GRASS + SHELLS 110g</v>
      </c>
      <c r="B1113" s="133" t="str">
        <f>Saud!E1113</f>
        <v>تمت طباعة الشهادة</v>
      </c>
      <c r="C1113" s="133" t="str">
        <f>Saud!C1113</f>
        <v>P-1-N-021122-6290</v>
      </c>
    </row>
    <row r="1114">
      <c r="A1114" s="133" t="str">
        <f>Saud!F1114</f>
        <v>Twin Packs Tuna &amp; Chicken with Scallop Recipe in Scallop Broth 80g</v>
      </c>
      <c r="B1114" s="133" t="str">
        <f>Saud!E1114</f>
        <v>تمت طباعة الشهادة</v>
      </c>
      <c r="C1114" s="133" t="str">
        <f>Saud!C1114</f>
        <v>P-1-N-101122-6435</v>
      </c>
    </row>
    <row r="1115">
      <c r="A1115" s="133" t="str">
        <f>Saud!F1115</f>
        <v>Twin Packs Tuna &amp; Chicken Recipe in Tuna Broth 80g</v>
      </c>
      <c r="B1115" s="133" t="str">
        <f>Saud!E1115</f>
        <v>تمت طباعة الشهادة</v>
      </c>
      <c r="C1115" s="133" t="str">
        <f>Saud!C1115</f>
        <v>P-1-N-101122-6436</v>
      </c>
    </row>
    <row r="1116">
      <c r="A1116" s="133" t="str">
        <f>Saud!F1116</f>
        <v>Twin Packs Chicken Recipe in Chicken Broth 80g</v>
      </c>
      <c r="B1116" s="133" t="str">
        <f>Saud!E1116</f>
        <v>تمت طباعة الشهادة</v>
      </c>
      <c r="C1116" s="133" t="str">
        <f>Saud!C1116</f>
        <v>P-1-N-101122-6437</v>
      </c>
    </row>
    <row r="1117">
      <c r="A1117" s="133" t="str">
        <f>Saud!F1117</f>
        <v>goDUCK with superfoods 150g</v>
      </c>
      <c r="B1117" s="133" t="str">
        <f>Saud!E1117</f>
        <v>تمت طباعة الشهادة</v>
      </c>
      <c r="C1117" s="133" t="str">
        <f>Saud!C1117</f>
        <v>P-1-N-061222-7027</v>
      </c>
    </row>
    <row r="1118">
      <c r="A1118" s="133" t="str">
        <f>Saud!F1118</f>
        <v>goDUCK with superfoods for Dog-Puppy 150g</v>
      </c>
      <c r="B1118" s="133" t="str">
        <f>Saud!E1118</f>
        <v>تمت طباعة الشهادة</v>
      </c>
      <c r="C1118" s="133" t="str">
        <f>Saud!C1118</f>
        <v>P-1-N-061222-7028</v>
      </c>
    </row>
    <row r="1119">
      <c r="A1119" s="133" t="str">
        <f>Saud!F1119</f>
        <v>goLAMB with superfoods for Dogs 150g</v>
      </c>
      <c r="B1119" s="133" t="str">
        <f>Saud!E1119</f>
        <v>تمت طباعة الشهادة</v>
      </c>
      <c r="C1119" s="133" t="str">
        <f>Saud!C1119</f>
        <v>P-1-N-061222-7029</v>
      </c>
    </row>
    <row r="1120">
      <c r="A1120" s="133" t="str">
        <f>Saud!F1120</f>
        <v>goVENISON with superfoods for Dogs 150g</v>
      </c>
      <c r="B1120" s="133" t="str">
        <f>Saud!E1120</f>
        <v>تمت طباعة الشهادة</v>
      </c>
      <c r="C1120" s="133" t="str">
        <f>Saud!C1120</f>
        <v>P-1-N-061222-7030</v>
      </c>
    </row>
    <row r="1121">
      <c r="A1121" s="133" t="str">
        <f>Saud!F1121</f>
        <v>goRABBIT with superfoods for Dogs 150g</v>
      </c>
      <c r="B1121" s="133" t="str">
        <f>Saud!E1121</f>
        <v>تمت طباعة الشهادة</v>
      </c>
      <c r="C1121" s="133" t="str">
        <f>Saud!C1121</f>
        <v>P-1-N-061222-7031</v>
      </c>
    </row>
    <row r="1122">
      <c r="A1122" s="133" t="str">
        <f>Saud!F1122</f>
        <v>goDUCK with superfoods for Cats 85g</v>
      </c>
      <c r="B1122" s="133" t="str">
        <f>Saud!E1122</f>
        <v>تمت طباعة الشهادة</v>
      </c>
      <c r="C1122" s="133" t="str">
        <f>Saud!C1122</f>
        <v>P-1-N-061222-7032</v>
      </c>
    </row>
    <row r="1123">
      <c r="A1123" s="133" t="str">
        <f>Saud!F1123</f>
        <v>goCHICKEN with superfoods for Cats 85g</v>
      </c>
      <c r="B1123" s="133" t="str">
        <f>Saud!E1123</f>
        <v>تمت طباعة الشهادة</v>
      </c>
      <c r="C1123" s="133" t="str">
        <f>Saud!C1123</f>
        <v>P-1-N-061222-7033</v>
      </c>
    </row>
    <row r="1124">
      <c r="A1124" s="133" t="str">
        <f>Saud!F1124</f>
        <v>GoSALMON &amp; CHICKEN with superfoods for Cats 85g</v>
      </c>
      <c r="B1124" s="133" t="str">
        <f>Saud!E1124</f>
        <v>تمت طباعة الشهادة</v>
      </c>
      <c r="C1124" s="133" t="str">
        <f>Saud!C1124</f>
        <v>P-1-N-061222-7034</v>
      </c>
    </row>
    <row r="1125">
      <c r="A1125" s="133" t="str">
        <f>Saud!F1125</f>
        <v>goGOOSE for Kitten 85g</v>
      </c>
      <c r="B1125" s="133" t="str">
        <f>Saud!E1125</f>
        <v>تمت طباعة الشهادة</v>
      </c>
      <c r="C1125" s="133" t="str">
        <f>Saud!C1125</f>
        <v>P-1-N-061222-7035</v>
      </c>
    </row>
    <row r="1126">
      <c r="A1126" s="133" t="str">
        <f>Saud!F1126</f>
        <v>Lara Adult Beef Flavour 10kg</v>
      </c>
      <c r="B1126" s="133" t="str">
        <f>Saud!E1126</f>
        <v>تمت طباعة الشهادة</v>
      </c>
      <c r="C1126" s="133" t="str">
        <f>Saud!C1126</f>
        <v>P-1-N-131222-7219</v>
      </c>
    </row>
    <row r="1127">
      <c r="A1127" s="133" t="str">
        <f>Saud!F1127</f>
        <v>Lara Adult Beef Flavour 2kg</v>
      </c>
      <c r="B1127" s="133" t="str">
        <f>Saud!E1127</f>
        <v>تمت طباعة الشهادة</v>
      </c>
      <c r="C1127" s="133" t="str">
        <f>Saud!C1127</f>
        <v>P-1-N-131222-7220</v>
      </c>
    </row>
    <row r="1128">
      <c r="A1128" s="133" t="str">
        <f>Saud!F1128</f>
        <v>Lara Adult Indoor with Turkey-Chicken 2kg</v>
      </c>
      <c r="B1128" s="133" t="str">
        <f>Saud!E1128</f>
        <v>تمت طباعة الشهادة</v>
      </c>
      <c r="C1128" s="133" t="str">
        <f>Saud!C1128</f>
        <v>P-1-N-131222-7221</v>
      </c>
    </row>
    <row r="1129">
      <c r="A1129" s="133" t="str">
        <f>Saud!F1129</f>
        <v>Lara Adult Sterilized with Chicken 10kg</v>
      </c>
      <c r="B1129" s="133" t="str">
        <f>Saud!E1129</f>
        <v>تمت طباعة الشهادة</v>
      </c>
      <c r="C1129" s="133" t="str">
        <f>Saud!C1129</f>
        <v>P-1-N-131222-7222</v>
      </c>
    </row>
    <row r="1130">
      <c r="A1130" s="133" t="str">
        <f>Saud!F1130</f>
        <v>Lara Adult Sterilized with Chicken 350g</v>
      </c>
      <c r="B1130" s="133" t="str">
        <f>Saud!E1130</f>
        <v>تمت طباعة الشهادة</v>
      </c>
      <c r="C1130" s="133" t="str">
        <f>Saud!C1130</f>
        <v>P-1-N-131222-7223</v>
      </c>
    </row>
    <row r="1131">
      <c r="A1131" s="133" t="str">
        <f>Saud!F1131</f>
        <v>Lara Adult Sterilized with Chicken 2kg</v>
      </c>
      <c r="B1131" s="133" t="str">
        <f>Saud!E1131</f>
        <v>تمت طباعة الشهادة</v>
      </c>
      <c r="C1131" s="133" t="str">
        <f>Saud!C1131</f>
        <v>P-1-N-131222-7224</v>
      </c>
    </row>
    <row r="1132">
      <c r="A1132" s="133" t="str">
        <f>Saud!F1132</f>
        <v>Lara Adult Urinary Care with Chicken 2kg</v>
      </c>
      <c r="B1132" s="133" t="str">
        <f>Saud!E1132</f>
        <v>تمت طباعة الشهادة</v>
      </c>
      <c r="C1132" s="133" t="str">
        <f>Saud!C1132</f>
        <v>P-1-N-131222-7226</v>
      </c>
    </row>
    <row r="1133">
      <c r="A1133" s="133" t="str">
        <f>Saud!F1133</f>
        <v>Lara Adult with Lamb 2kg</v>
      </c>
      <c r="B1133" s="133" t="str">
        <f>Saud!E1133</f>
        <v>تمت طباعة الشهادة</v>
      </c>
      <c r="C1133" s="133" t="str">
        <f>Saud!C1133</f>
        <v>P-1-N-131222-7227</v>
      </c>
    </row>
    <row r="1134">
      <c r="A1134" s="133" t="str">
        <f>Saud!F1134</f>
        <v>Lara Adult with Lamb 10kg</v>
      </c>
      <c r="B1134" s="133" t="str">
        <f>Saud!E1134</f>
        <v>تمت طباعة الشهادة</v>
      </c>
      <c r="C1134" s="133" t="str">
        <f>Saud!C1134</f>
        <v>P-1-N-131222-7228</v>
      </c>
    </row>
    <row r="1135">
      <c r="A1135" s="133" t="str">
        <f>Saud!F1135</f>
        <v>Lara Adult with Salmon 10kg</v>
      </c>
      <c r="B1135" s="133" t="str">
        <f>Saud!E1135</f>
        <v>تمت طباعة الشهادة</v>
      </c>
      <c r="C1135" s="133" t="str">
        <f>Saud!C1135</f>
        <v>P-1-N-131222-7229</v>
      </c>
    </row>
    <row r="1136">
      <c r="A1136" s="133" t="str">
        <f>Saud!F1136</f>
        <v>Lara</v>
      </c>
      <c r="B1136" s="133" t="str">
        <f>Saud!E1136</f>
        <v>تمت طباعة الشهادة</v>
      </c>
      <c r="C1136" s="133" t="str">
        <f>Saud!C1136</f>
        <v>P-1-N-131222-7230</v>
      </c>
    </row>
    <row r="1137">
      <c r="A1137" s="133" t="str">
        <f>Saud!F1137</f>
        <v>Lara Adult with Salmon 2kg</v>
      </c>
      <c r="B1137" s="133" t="str">
        <f>Saud!E1137</f>
        <v>تمت طباعة الشهادة</v>
      </c>
      <c r="C1137" s="133" t="str">
        <f>Saud!C1137</f>
        <v>P-1-N-131222-7231</v>
      </c>
    </row>
    <row r="1138">
      <c r="A1138" s="133" t="str">
        <f>Saud!F1138</f>
        <v>Lara Adult with Turkey-Chicken 10kg</v>
      </c>
      <c r="B1138" s="133" t="str">
        <f>Saud!E1138</f>
        <v>تمت طباعة الشهادة</v>
      </c>
      <c r="C1138" s="133" t="str">
        <f>Saud!C1138</f>
        <v>P-1-N-131222-7232</v>
      </c>
    </row>
    <row r="1139">
      <c r="A1139" s="133" t="str">
        <f>Saud!F1139</f>
        <v>Lara Adult with Turkey-Chicken 350g</v>
      </c>
      <c r="B1139" s="133" t="str">
        <f>Saud!E1139</f>
        <v>تمت طباعة الشهادة</v>
      </c>
      <c r="C1139" s="133" t="str">
        <f>Saud!C1139</f>
        <v>P-1-N-131222-7233</v>
      </c>
    </row>
    <row r="1140">
      <c r="A1140" s="133" t="str">
        <f>Saud!F1140</f>
        <v>Lara Adult with Turkey-Chicken 2kg</v>
      </c>
      <c r="B1140" s="133" t="str">
        <f>Saud!E1140</f>
        <v>تمت طباعة الشهادة</v>
      </c>
      <c r="C1140" s="133" t="str">
        <f>Saud!C1140</f>
        <v>P-1-N-131222-7234</v>
      </c>
    </row>
    <row r="1141">
      <c r="A1141" s="133" t="str">
        <f>Saud!F1141</f>
        <v>Lara Junior with Chicken 350g</v>
      </c>
      <c r="B1141" s="133" t="str">
        <f>Saud!E1141</f>
        <v>تمت طباعة الشهادة</v>
      </c>
      <c r="C1141" s="133" t="str">
        <f>Saud!C1141</f>
        <v>P-1-N-131222-7235</v>
      </c>
    </row>
    <row r="1142">
      <c r="A1142" s="133" t="str">
        <f>Saud!F1142</f>
        <v>Lara Junior with Chicken 2kg</v>
      </c>
      <c r="B1142" s="133" t="str">
        <f>Saud!E1142</f>
        <v>تمت طباعة الشهادة</v>
      </c>
      <c r="C1142" s="133" t="str">
        <f>Saud!C1142</f>
        <v>P-1-N-131222-7236</v>
      </c>
    </row>
    <row r="1143">
      <c r="A1143" s="133" t="str">
        <f>Saud!F1143</f>
        <v>Lara Senior with Turkey-Chicken 350g</v>
      </c>
      <c r="B1143" s="133" t="str">
        <f>Saud!E1143</f>
        <v>تمت طباعة الشهادة</v>
      </c>
      <c r="C1143" s="133" t="str">
        <f>Saud!C1143</f>
        <v>P-1-N-131222-7237</v>
      </c>
    </row>
    <row r="1144">
      <c r="A1144" s="133" t="str">
        <f>Saud!F1144</f>
        <v>Lara Senior with Turkey-Chicken 2kg</v>
      </c>
      <c r="B1144" s="133" t="str">
        <f>Saud!E1144</f>
        <v>تمت طباعة الشهادة</v>
      </c>
      <c r="C1144" s="133" t="str">
        <f>Saud!C1144</f>
        <v>P-1-N-131222-7238</v>
      </c>
    </row>
    <row r="1145">
      <c r="A1145" s="133" t="str">
        <f>Saud!F1145</f>
        <v>Kit Cat Petite Pouch 70g - Tuna &amp; Chicken</v>
      </c>
      <c r="B1145" s="133" t="str">
        <f>Saud!E1145</f>
        <v>تمت طباعة الشهادة</v>
      </c>
      <c r="C1145" s="133" t="str">
        <f>Saud!C1145</f>
        <v>P-1-N-141222-7258</v>
      </c>
    </row>
    <row r="1146">
      <c r="A1146" s="133" t="str">
        <f>Saud!F1146</f>
        <v>Kit Cat Petite Pouch 70g - Tuna &amp; Whitefish</v>
      </c>
      <c r="B1146" s="133" t="str">
        <f>Saud!E1146</f>
        <v>تمت طباعة الشهادة</v>
      </c>
      <c r="C1146" s="133" t="str">
        <f>Saud!C1146</f>
        <v>P-1-N-141222-7259</v>
      </c>
    </row>
    <row r="1147">
      <c r="A1147" s="133" t="str">
        <f>Saud!F1147</f>
        <v>Kit Cat Petite Pouch 70g - Tuna &amp; Saba</v>
      </c>
      <c r="B1147" s="133" t="str">
        <f>Saud!E1147</f>
        <v>تمت طباعة الشهادة</v>
      </c>
      <c r="C1147" s="133" t="str">
        <f>Saud!C1147</f>
        <v>P-1-N-141222-7260</v>
      </c>
    </row>
    <row r="1148">
      <c r="A1148" s="133" t="str">
        <f>Saud!F1148</f>
        <v>Kit Cat Petite Pouch 70g - Tuna &amp; Salmon</v>
      </c>
      <c r="B1148" s="133" t="str">
        <f>Saud!E1148</f>
        <v>تمت طباعة الشهادة</v>
      </c>
      <c r="C1148" s="133" t="str">
        <f>Saud!C1148</f>
        <v>P-1-N-141222-7261</v>
      </c>
    </row>
    <row r="1149">
      <c r="A1149" s="133" t="str">
        <f>Saud!F1149</f>
        <v>Kit Cat Petite Pouch 70g - Tuna &amp; Beef</v>
      </c>
      <c r="B1149" s="133" t="str">
        <f>Saud!E1149</f>
        <v>تمت طباعة الشهادة</v>
      </c>
      <c r="C1149" s="133" t="str">
        <f>Saud!C1149</f>
        <v>P-1-N-141222-7262</v>
      </c>
    </row>
    <row r="1150">
      <c r="A1150" s="133" t="str">
        <f>Saud!F1150</f>
        <v>Kit Cat Petite Pouch 70g – Classic Tuna</v>
      </c>
      <c r="B1150" s="133" t="str">
        <f>Saud!E1150</f>
        <v>تمت طباعة الشهادة</v>
      </c>
      <c r="C1150" s="133" t="str">
        <f>Saud!C1150</f>
        <v>P-1-N-141222-7263</v>
      </c>
    </row>
    <row r="1151">
      <c r="A1151" s="133" t="str">
        <f>Saud!F1151</f>
        <v>Kit Cat Petite Pouch 70g – Kitten Tuna</v>
      </c>
      <c r="B1151" s="133" t="str">
        <f>Saud!E1151</f>
        <v>تمت طباعة الشهادة</v>
      </c>
      <c r="C1151" s="133" t="str">
        <f>Saud!C1151</f>
        <v>P-1-N-141222-7264</v>
      </c>
    </row>
    <row r="1152">
      <c r="A1152" s="133" t="str">
        <f>Saud!F1152</f>
        <v>Kit Cat Petite Pouch 70g - Chicken &amp; Tuna</v>
      </c>
      <c r="B1152" s="133" t="str">
        <f>Saud!E1152</f>
        <v>تمت طباعة الشهادة</v>
      </c>
      <c r="C1152" s="133" t="str">
        <f>Saud!C1152</f>
        <v>P-1-N-141222-7265</v>
      </c>
    </row>
    <row r="1153">
      <c r="A1153" s="133" t="str">
        <f>Saud!F1153</f>
        <v>Kit Cat Petite Pouch 70g - Chicken &amp; Whitefish</v>
      </c>
      <c r="B1153" s="133" t="str">
        <f>Saud!E1153</f>
        <v>تمت طباعة الشهادة</v>
      </c>
      <c r="C1153" s="133" t="str">
        <f>Saud!C1153</f>
        <v>P-1-N-141222-7266</v>
      </c>
    </row>
    <row r="1154">
      <c r="A1154" s="133" t="str">
        <f>Saud!F1154</f>
        <v>Kit Cat Petite Pouch 70g - Chicken &amp; Saba</v>
      </c>
      <c r="B1154" s="133" t="str">
        <f>Saud!E1154</f>
        <v>تمت طباعة الشهادة</v>
      </c>
      <c r="C1154" s="133" t="str">
        <f>Saud!C1154</f>
        <v>P-1-N-141222-7267</v>
      </c>
    </row>
    <row r="1155">
      <c r="A1155" s="133" t="str">
        <f>Saud!F1155</f>
        <v>Kit Cat Petite Pouch 70g - Chicken &amp; Salmon</v>
      </c>
      <c r="B1155" s="133" t="str">
        <f>Saud!E1155</f>
        <v>تمت طباعة الشهادة</v>
      </c>
      <c r="C1155" s="133" t="str">
        <f>Saud!C1155</f>
        <v>P-1-N-141222-7268</v>
      </c>
    </row>
    <row r="1156">
      <c r="A1156" s="133" t="str">
        <f>Saud!F1156</f>
        <v>Kit Cat Petite Pouch 70g - Chicken &amp; Beef</v>
      </c>
      <c r="B1156" s="133" t="str">
        <f>Saud!E1156</f>
        <v>تمت طباعة الشهادة</v>
      </c>
      <c r="C1156" s="133" t="str">
        <f>Saud!C1156</f>
        <v>P-1-N-141222-7269</v>
      </c>
    </row>
    <row r="1157">
      <c r="A1157" s="133" t="str">
        <f>Saud!F1157</f>
        <v>Kit Cat Petite Pouch 70g – Classic Chicken</v>
      </c>
      <c r="B1157" s="133" t="str">
        <f>Saud!E1157</f>
        <v>تمت طباعة الشهادة</v>
      </c>
      <c r="C1157" s="133" t="str">
        <f>Saud!C1157</f>
        <v>P-1-N-141222-7270</v>
      </c>
    </row>
    <row r="1158">
      <c r="A1158" s="133" t="str">
        <f>Saud!F1158</f>
        <v>Kit Cat Petite Pouch 70g – Kitten Chicken</v>
      </c>
      <c r="B1158" s="133" t="str">
        <f>Saud!E1158</f>
        <v>تمت طباعة الشهادة</v>
      </c>
      <c r="C1158" s="133" t="str">
        <f>Saud!C1158</f>
        <v>P-1-N-141222-7271</v>
      </c>
    </row>
    <row r="1159">
      <c r="A1159" s="133" t="str">
        <f>Saud!F1159</f>
        <v>Churu Bisque Chicken with Beef Recipe 40g</v>
      </c>
      <c r="B1159" s="133" t="str">
        <f>Saud!E1159</f>
        <v>تمت طباعة الشهادة</v>
      </c>
      <c r="C1159" s="133" t="str">
        <f>Saud!C1159</f>
        <v>P-1-N-080123-142</v>
      </c>
    </row>
    <row r="1160">
      <c r="A1160" s="133" t="str">
        <f>Saud!F1160</f>
        <v>Churu Bisque Chicken Recipe 40g</v>
      </c>
      <c r="B1160" s="133" t="str">
        <f>Saud!E1160</f>
        <v>تمت طباعة الشهادة</v>
      </c>
      <c r="C1160" s="133" t="str">
        <f>Saud!C1160</f>
        <v>P-1-N-080123-143</v>
      </c>
    </row>
    <row r="1161">
      <c r="A1161" s="133" t="str">
        <f>Saud!F1161</f>
        <v>Churu Bisque Tuna with Salmon Recipe 40g</v>
      </c>
      <c r="B1161" s="133" t="str">
        <f>Saud!E1161</f>
        <v>تمت طباعة الشهادة</v>
      </c>
      <c r="C1161" s="133" t="str">
        <f>Saud!C1161</f>
        <v>P-1-N-080123-145</v>
      </c>
    </row>
    <row r="1162">
      <c r="A1162" s="133" t="str">
        <f>Saud!F1162</f>
        <v>Churu Bisque Tuna Recipe 40g</v>
      </c>
      <c r="B1162" s="133" t="str">
        <f>Saud!E1162</f>
        <v>تمت طباعة الشهادة</v>
      </c>
      <c r="C1162" s="133" t="str">
        <f>Saud!C1162</f>
        <v>P-1-N-080123-146</v>
      </c>
    </row>
    <row r="1163">
      <c r="A1163" s="133" t="str">
        <f>Saud!F1163</f>
        <v>Churu for Kitten Tuna Recipe 56g</v>
      </c>
      <c r="B1163" s="133" t="str">
        <f>Saud!E1163</f>
        <v>تمت طباعة الشهادة</v>
      </c>
      <c r="C1163" s="133" t="str">
        <f>Saud!C1163</f>
        <v>P-1-N-120123-262</v>
      </c>
    </row>
    <row r="1164">
      <c r="A1164" s="133" t="str">
        <f>Saud!F1164</f>
        <v>Churu for Kitten Chicken Recipe 56g</v>
      </c>
      <c r="B1164" s="133" t="str">
        <f>Saud!E1164</f>
        <v>تمت طباعة الشهادة</v>
      </c>
      <c r="C1164" s="133" t="str">
        <f>Saud!C1164</f>
        <v>P-1-N-120123-263</v>
      </c>
    </row>
    <row r="1165">
      <c r="A1165" s="133" t="str">
        <f>Saud!F1165</f>
        <v>EXPERT CANARY MIDDLE EAST 20KG</v>
      </c>
      <c r="B1165" s="133" t="str">
        <f>Saud!E1165</f>
        <v>تمت طباعة الشهادة</v>
      </c>
      <c r="C1165" s="133" t="str">
        <f>Saud!C1165</f>
        <v>P-1-N-160123-323</v>
      </c>
    </row>
    <row r="1166">
      <c r="A1166" s="133" t="str">
        <f>Saud!F1166</f>
        <v>EXPERT LARGE PARAKEET MIDDLE EAST 20KG</v>
      </c>
      <c r="B1166" s="133" t="str">
        <f>Saud!E1166</f>
        <v>تمت طباعة الشهادة</v>
      </c>
      <c r="C1166" s="133" t="str">
        <f>Saud!C1166</f>
        <v>P-1-N-160123-324</v>
      </c>
    </row>
    <row r="1167">
      <c r="A1167" s="133" t="str">
        <f>Saud!F1167</f>
        <v>Kit Cat Cranberry Crisps - Chicken Flavor 20g x 50</v>
      </c>
      <c r="B1167" s="133" t="str">
        <f>Saud!E1167</f>
        <v>تمت طباعة الشهادة</v>
      </c>
      <c r="C1167" s="133" t="str">
        <f>Saud!C1167</f>
        <v>P-1-N-230123-483</v>
      </c>
    </row>
    <row r="1168">
      <c r="A1168" s="133" t="str">
        <f>Saud!F1168</f>
        <v>Kit Cat Cranberry Crisps - Beef Flavor 20g x 50</v>
      </c>
      <c r="B1168" s="133" t="str">
        <f>Saud!E1168</f>
        <v>تمت طباعة الشهادة</v>
      </c>
      <c r="C1168" s="133" t="str">
        <f>Saud!C1168</f>
        <v>P-1-N-230123-484</v>
      </c>
    </row>
    <row r="1169">
      <c r="A1169" s="133" t="str">
        <f>Saud!F1169</f>
        <v>Kit Cat Cranberry Crisps - Lamb Flavor 20g x 50</v>
      </c>
      <c r="B1169" s="133" t="str">
        <f>Saud!E1169</f>
        <v>تمت طباعة الشهادة</v>
      </c>
      <c r="C1169" s="133" t="str">
        <f>Saud!C1169</f>
        <v>P-1-N-230123-485</v>
      </c>
    </row>
    <row r="1170">
      <c r="A1170" s="133" t="str">
        <f>Saud!F1170</f>
        <v>Kit Cat Cranberry Crisps - Salmon Flavor 20g x 50</v>
      </c>
      <c r="B1170" s="133" t="str">
        <f>Saud!E1170</f>
        <v>تمت طباعة الشهادة</v>
      </c>
      <c r="C1170" s="133" t="str">
        <f>Saud!C1170</f>
        <v>P-1-N-230123-486</v>
      </c>
    </row>
    <row r="1171">
      <c r="A1171" s="133" t="str">
        <f>Saud!F1171</f>
        <v>Kit Cat Cranberry Crisps - Seafood Flavor 20g x 50</v>
      </c>
      <c r="B1171" s="133" t="str">
        <f>Saud!E1171</f>
        <v>تمت طباعة الشهادة</v>
      </c>
      <c r="C1171" s="133" t="str">
        <f>Saud!C1171</f>
        <v>P-1-N-230123-487</v>
      </c>
    </row>
    <row r="1172">
      <c r="A1172" s="133" t="str">
        <f>Saud!F1172</f>
        <v>Kit Cat Cranberry Crisps - Tuna Flavor 20g x 50</v>
      </c>
      <c r="B1172" s="133" t="str">
        <f>Saud!E1172</f>
        <v>تمت طباعة الشهادة</v>
      </c>
      <c r="C1172" s="133" t="str">
        <f>Saud!C1172</f>
        <v>P-1-N-230123-488</v>
      </c>
    </row>
    <row r="1173">
      <c r="A1173" s="133" t="str">
        <f>Saud!F1173</f>
        <v>Butcher's Delicious Dinners Cat with game chunks in Jelly </v>
      </c>
      <c r="B1173" s="133" t="str">
        <f>Saud!E1173</f>
        <v>تمت طباعة الشهادة</v>
      </c>
      <c r="C1173" s="133" t="str">
        <f>Saud!C1173</f>
        <v>P-1-N-070223-739</v>
      </c>
    </row>
    <row r="1174">
      <c r="A1174" s="133" t="str">
        <f>Saud!F1174</f>
        <v>Butcher's Delicious Dinners Cat with chicken chunks in Jelly </v>
      </c>
      <c r="B1174" s="133" t="str">
        <f>Saud!E1174</f>
        <v>تمت طباعة الشهادة</v>
      </c>
      <c r="C1174" s="133" t="str">
        <f>Saud!C1174</f>
        <v>P-1-N-070223-740</v>
      </c>
    </row>
    <row r="1175">
      <c r="A1175" s="133" t="str">
        <f>Saud!F1175</f>
        <v>Butcher's Delicious Dinners Cat with trout chunks in Jelly </v>
      </c>
      <c r="B1175" s="133" t="str">
        <f>Saud!E1175</f>
        <v>تمت طباعة الشهادة</v>
      </c>
      <c r="C1175" s="133" t="str">
        <f>Saud!C1175</f>
        <v>P-1-N-070223-741</v>
      </c>
    </row>
    <row r="1176">
      <c r="A1176" s="133" t="str">
        <f>Saud!F1176</f>
        <v>Butcher's Delicious Dinners Cat with beef chunks in Jelly </v>
      </c>
      <c r="B1176" s="133" t="str">
        <f>Saud!E1176</f>
        <v>تمت طباعة الشهادة</v>
      </c>
      <c r="C1176" s="133" t="str">
        <f>Saud!C1176</f>
        <v>P-1-N-070223-742</v>
      </c>
    </row>
    <row r="1177">
      <c r="A1177" s="133" t="str">
        <f>Saud!F1177</f>
        <v>Butcher's Delicious Dinners Cat with sea fish chunks in Jelly </v>
      </c>
      <c r="B1177" s="133" t="str">
        <f>Saud!E1177</f>
        <v>تمت طباعة الشهادة</v>
      </c>
      <c r="C1177" s="133" t="str">
        <f>Saud!C1177</f>
        <v>P-1-N-070223-743</v>
      </c>
    </row>
    <row r="1178">
      <c r="A1178" s="133" t="str">
        <f>Saud!F1178</f>
        <v>Butcher's Original Dog Recipe with beef in Gravy </v>
      </c>
      <c r="B1178" s="133" t="str">
        <f>Saud!E1178</f>
        <v>تمت طباعة الشهادة</v>
      </c>
      <c r="C1178" s="133" t="str">
        <f>Saud!C1178</f>
        <v>P-1-N-070223-744</v>
      </c>
    </row>
    <row r="1179">
      <c r="A1179" s="133" t="str">
        <f>Saud!F1179</f>
        <v>Butcher's Original Dog Recipe with turkey in Gravy </v>
      </c>
      <c r="B1179" s="133" t="str">
        <f>Saud!E1179</f>
        <v>تمت طباعة الشهادة</v>
      </c>
      <c r="C1179" s="133" t="str">
        <f>Saud!C1179</f>
        <v>P-1-N-070223-745</v>
      </c>
    </row>
    <row r="1180">
      <c r="A1180" s="133" t="str">
        <f>Saud!F1180</f>
        <v>Butcher's Original Dog Recipe with Lamb in Jelly </v>
      </c>
      <c r="B1180" s="133" t="str">
        <f>Saud!E1180</f>
        <v>تمت طباعة الشهادة</v>
      </c>
      <c r="C1180" s="133" t="str">
        <f>Saud!C1180</f>
        <v>P-1-N-070223-746</v>
      </c>
    </row>
    <row r="1181">
      <c r="A1181" s="133" t="str">
        <f>Saud!F1181</f>
        <v>Butcher's Original Dog Recipe with chicken in Jelly </v>
      </c>
      <c r="B1181" s="133" t="str">
        <f>Saud!E1181</f>
        <v>تمت طباعة الشهادة</v>
      </c>
      <c r="C1181" s="133" t="str">
        <f>Saud!C1181</f>
        <v>P-1-N-070223-747</v>
      </c>
    </row>
    <row r="1182">
      <c r="A1182" s="133" t="str">
        <f>Saud!F1182</f>
        <v>Butcher's Original Dog Junior with beef chunks in Jelly </v>
      </c>
      <c r="B1182" s="133" t="str">
        <f>Saud!E1182</f>
        <v>تمت طباعة الشهادة</v>
      </c>
      <c r="C1182" s="133" t="str">
        <f>Saud!C1182</f>
        <v>P-1-N-070223-748</v>
      </c>
    </row>
    <row r="1183">
      <c r="A1183" s="133" t="str">
        <f>Saud!F1183</f>
        <v>Butcher's Original Dog Junior with chicken chunks in Jelly </v>
      </c>
      <c r="B1183" s="133" t="str">
        <f>Saud!E1183</f>
        <v>تمت طباعة الشهادة</v>
      </c>
      <c r="C1183" s="133" t="str">
        <f>Saud!C1183</f>
        <v>P-1-N-070223-749</v>
      </c>
    </row>
    <row r="1184">
      <c r="A1184" s="133" t="str">
        <f>Saud!F1184</f>
        <v>ALPINE PREMIUM HAY 500G</v>
      </c>
      <c r="B1184" s="133" t="str">
        <f>Saud!E1184</f>
        <v>تمت طباعة الشهادة</v>
      </c>
      <c r="C1184" s="133" t="str">
        <f>Saud!C1184</f>
        <v>P-1-N-140223-880</v>
      </c>
    </row>
    <row r="1185">
      <c r="A1185" s="133" t="str">
        <f>Saud!F1185</f>
        <v>ALPINE PREMIUM HAY 1.5KG</v>
      </c>
      <c r="B1185" s="133" t="str">
        <f>Saud!E1185</f>
        <v>تمت طباعة الشهادة</v>
      </c>
      <c r="C1185" s="133" t="str">
        <f>Saud!C1185</f>
        <v>P-1-N-140223-881</v>
      </c>
    </row>
    <row r="1186">
      <c r="A1186" s="133" t="str">
        <f>Saud!F1186</f>
        <v>ALPINE PREMIUM HAY 2.5KG</v>
      </c>
      <c r="B1186" s="133" t="str">
        <f>Saud!E1186</f>
        <v>تمت طباعة الشهادة</v>
      </c>
      <c r="C1186" s="133" t="str">
        <f>Saud!C1186</f>
        <v>P-1-N-140223-882</v>
      </c>
    </row>
    <row r="1187">
      <c r="A1187" s="133" t="str">
        <f>Saud!F1187</f>
        <v>NMEAL3 ALPINE HAY APP/BEET 1KG</v>
      </c>
      <c r="B1187" s="133" t="str">
        <f>Saud!E1187</f>
        <v>تمت طباعة الشهادة</v>
      </c>
      <c r="C1187" s="133" t="str">
        <f>Saud!C1187</f>
        <v>P-1-N-140223-883</v>
      </c>
    </row>
    <row r="1188">
      <c r="A1188" s="133" t="str">
        <f>Saud!F1188</f>
        <v>ALPINE PREM HAY CARR/DAND 1KG</v>
      </c>
      <c r="B1188" s="133" t="str">
        <f>Saud!E1188</f>
        <v>تمت طباعة الشهادة</v>
      </c>
      <c r="C1188" s="133" t="str">
        <f>Saud!C1188</f>
        <v>P-1-N-140223-884</v>
      </c>
    </row>
    <row r="1189">
      <c r="A1189" s="133" t="str">
        <f>Saud!F1189</f>
        <v>ALPINE PREM HAY MINT/CHAM 1KG</v>
      </c>
      <c r="B1189" s="133" t="str">
        <f>Saud!E1189</f>
        <v>تمت طباعة الشهادة</v>
      </c>
      <c r="C1189" s="133" t="str">
        <f>Saud!C1189</f>
        <v>P-1-N-140223-885</v>
      </c>
    </row>
    <row r="1190">
      <c r="A1190" s="133" t="str">
        <f>Saud!F1190</f>
        <v>MEADOW</v>
      </c>
      <c r="B1190" s="133" t="str">
        <f>Saud!E1190</f>
        <v>تمت طباعة الشهادة</v>
      </c>
      <c r="C1190" s="133" t="str">
        <f>Saud!C1190</f>
        <v>P-1-N-140223-886</v>
      </c>
    </row>
    <row r="1191">
      <c r="A1191" s="133" t="str">
        <f>Saud!F1191</f>
        <v>MEADOW HAY 2.5KG</v>
      </c>
      <c r="B1191" s="133" t="str">
        <f>Saud!E1191</f>
        <v>تمت طباعة الشهادة</v>
      </c>
      <c r="C1191" s="133" t="str">
        <f>Saud!C1191</f>
        <v>P-1-N-140223-887</v>
      </c>
    </row>
    <row r="1192">
      <c r="A1192" s="133" t="str">
        <f>Saud!F1192</f>
        <v>MEADOW HAY 240L</v>
      </c>
      <c r="B1192" s="133" t="str">
        <f>Saud!E1192</f>
        <v>تمت طباعة الشهادة</v>
      </c>
      <c r="C1192" s="133" t="str">
        <f>Saud!C1192</f>
        <v>P-1-N-140223-889</v>
      </c>
    </row>
    <row r="1193">
      <c r="A1193" s="133" t="str">
        <f>Saud!F1193</f>
        <v>ZUPREEM FRUITBLEND EXTRA SMALL 200g</v>
      </c>
      <c r="B1193" s="133" t="str">
        <f>Saud!E1193</f>
        <v>تمت طباعة الشهادة</v>
      </c>
      <c r="C1193" s="133" t="str">
        <f>Saud!C1193</f>
        <v>P-1-N-150223-937</v>
      </c>
    </row>
    <row r="1194">
      <c r="A1194" s="133" t="str">
        <f>Saud!F1194</f>
        <v>ZUPREEM FRUITBLEND EXTRA SMALL 379g</v>
      </c>
      <c r="B1194" s="133" t="str">
        <f>Saud!E1194</f>
        <v>تمت طباعة الشهادة</v>
      </c>
      <c r="C1194" s="133" t="str">
        <f>Saud!C1194</f>
        <v>P-1-N-150223-938</v>
      </c>
    </row>
    <row r="1195">
      <c r="A1195" s="133" t="str">
        <f>Saud!F1195</f>
        <v>ZUPREEM FRUITBLEND SMALL 200g</v>
      </c>
      <c r="B1195" s="133" t="str">
        <f>Saud!E1195</f>
        <v>تمت طباعة الشهادة</v>
      </c>
      <c r="C1195" s="133" t="str">
        <f>Saud!C1195</f>
        <v>P-1-N-150223-939</v>
      </c>
    </row>
    <row r="1196">
      <c r="A1196" s="133" t="str">
        <f>Saud!F1196</f>
        <v>ZUPREEM FRUITBLEND SMALL 397g</v>
      </c>
      <c r="B1196" s="133" t="str">
        <f>Saud!E1196</f>
        <v>تمت طباعة الشهادة</v>
      </c>
      <c r="C1196" s="133" t="str">
        <f>Saud!C1196</f>
        <v>P-1-N-150223-940</v>
      </c>
    </row>
    <row r="1197">
      <c r="A1197" s="133" t="str">
        <f>Saud!F1197</f>
        <v>ZUPREEM FRUITBLEND MEDIUM 200g</v>
      </c>
      <c r="B1197" s="133" t="str">
        <f>Saud!E1197</f>
        <v>تمت طباعة الشهادة</v>
      </c>
      <c r="C1197" s="133" t="str">
        <f>Saud!C1197</f>
        <v>P-1-N-150223-941</v>
      </c>
    </row>
    <row r="1198">
      <c r="A1198" s="133" t="str">
        <f>Saud!F1198</f>
        <v>ZUPREEM FRUITBLEND MEDIUM 397g</v>
      </c>
      <c r="B1198" s="133" t="str">
        <f>Saud!E1198</f>
        <v>تمت طباعة الشهادة</v>
      </c>
      <c r="C1198" s="133" t="str">
        <f>Saud!C1198</f>
        <v>P-1-N-150223-942</v>
      </c>
    </row>
    <row r="1199">
      <c r="A1199" s="133" t="str">
        <f>Saud!F1199</f>
        <v>ZUPREEM FRUITBLEND PARROTS &amp; CONURES 1.6 kg</v>
      </c>
      <c r="B1199" s="133" t="str">
        <f>Saud!E1199</f>
        <v>تمت طباعة الشهادة</v>
      </c>
      <c r="C1199" s="133" t="str">
        <f>Saud!C1199</f>
        <v>P-1-N-150223-944</v>
      </c>
    </row>
    <row r="1200">
      <c r="A1200" s="133" t="str">
        <f>Saud!F1200</f>
        <v>ZUPREEM</v>
      </c>
      <c r="B1200" s="133" t="str">
        <f>Saud!E1200</f>
        <v>تمت طباعة الشهادة</v>
      </c>
      <c r="C1200" s="133" t="str">
        <f>Saud!C1200</f>
        <v>P-1-N-150223-945</v>
      </c>
    </row>
    <row r="1201">
      <c r="A1201" s="133" t="str">
        <f>Saud!F1201</f>
        <v>ZUPREEM FRUITBLEND LARGE 1.6 kg</v>
      </c>
      <c r="B1201" s="133" t="str">
        <f>Saud!E1201</f>
        <v>تمت طباعة الشهادة</v>
      </c>
      <c r="C1201" s="133" t="str">
        <f>Saud!C1201</f>
        <v>P-1-N-150223-946</v>
      </c>
    </row>
    <row r="1202">
      <c r="A1202" s="133" t="str">
        <f>Saud!F1202</f>
        <v>ZUPREEM FRUITBLEND LARGE 5.4 kg</v>
      </c>
      <c r="B1202" s="133" t="str">
        <f>Saud!E1202</f>
        <v>تمت طباعة الشهادة</v>
      </c>
      <c r="C1202" s="133" t="str">
        <f>Saud!C1202</f>
        <v>P-1-N-150223-948</v>
      </c>
    </row>
    <row r="1203">
      <c r="A1203" s="133" t="str">
        <f>Saud!F1203</f>
        <v>ZUPREEM NUTBLEND PARROTS &amp; CONURES 7.94 kg</v>
      </c>
      <c r="B1203" s="133" t="str">
        <f>Saud!E1203</f>
        <v>تمت طباعة الشهادة</v>
      </c>
      <c r="C1203" s="133" t="str">
        <f>Saud!C1203</f>
        <v>P-1-N-150223-949</v>
      </c>
    </row>
    <row r="1204">
      <c r="A1204" s="133" t="str">
        <f>Saud!F1204</f>
        <v>ZUPREEM VEGGIEBLEND MEDIUM 907 kg</v>
      </c>
      <c r="B1204" s="133" t="str">
        <f>Saud!E1204</f>
        <v>تمت طباعة الشهادة</v>
      </c>
      <c r="C1204" s="133" t="str">
        <f>Saud!C1204</f>
        <v>P-1-N-150223-950</v>
      </c>
    </row>
    <row r="1205">
      <c r="A1205" s="133" t="str">
        <f>Saud!F1205</f>
        <v>ZUPREEM VEGGIEBLEND PARROTS &amp; CONURES 7.94 kg</v>
      </c>
      <c r="B1205" s="133" t="str">
        <f>Saud!E1205</f>
        <v>تمت طباعة الشهادة</v>
      </c>
      <c r="C1205" s="133" t="str">
        <f>Saud!C1205</f>
        <v>P-1-N-150223-951</v>
      </c>
    </row>
    <row r="1206">
      <c r="A1206" s="133" t="str">
        <f>Saud!F1206</f>
        <v>ZUPREEM TIMOTHY NATURALS HAY 1.6kg</v>
      </c>
      <c r="B1206" s="133" t="str">
        <f>Saud!E1206</f>
        <v>تمت طباعة الشهادة</v>
      </c>
      <c r="C1206" s="133" t="str">
        <f>Saud!C1206</f>
        <v>P-1-N-150223-952</v>
      </c>
    </row>
    <row r="1207">
      <c r="A1207" s="133" t="str">
        <f>Saud!F1207</f>
        <v>ZUPREEM TIMOTHY NATURALS GUINEA PIG 1.6kg</v>
      </c>
      <c r="B1207" s="133" t="str">
        <f>Saud!E1207</f>
        <v>مكتمل</v>
      </c>
      <c r="C1207" s="133" t="str">
        <f>Saud!C1207</f>
        <v>P-1-N-150223-953</v>
      </c>
    </row>
    <row r="1208">
      <c r="A1208" s="133" t="str">
        <f>Saud!F1208</f>
        <v>EXPERT BUDGIE MIX MIDDLE EAST 20KG</v>
      </c>
      <c r="B1208" s="133" t="str">
        <f>Saud!E1208</f>
        <v>تمت طباعة الشهادة</v>
      </c>
      <c r="C1208" s="133" t="str">
        <f>Saud!C1208</f>
        <v>P-1-N-160223-984</v>
      </c>
    </row>
    <row r="1209">
      <c r="A1209" s="133" t="str">
        <f>Saud!F1209</f>
        <v>EXPERT PARROTS MIDDLE EAST 12.5 KG</v>
      </c>
      <c r="B1209" s="133" t="str">
        <f>Saud!E1209</f>
        <v>تمت طباعة الشهادة</v>
      </c>
      <c r="C1209" s="133" t="str">
        <f>Saud!C1209</f>
        <v>P-1-N-160223-985</v>
      </c>
    </row>
    <row r="1210">
      <c r="A1210" s="133" t="str">
        <f>Saud!F1210</f>
        <v>Crispy</v>
      </c>
      <c r="B1210" s="133" t="str">
        <f>Saud!E1210</f>
        <v>تمت طباعة الشهادة</v>
      </c>
      <c r="C1210" s="133" t="str">
        <f>Saud!C1210</f>
        <v>P-1-N-210223-1095</v>
      </c>
    </row>
    <row r="1211">
      <c r="A1211" s="133" t="str">
        <f>Saud!F1211</f>
        <v>Complete Crock Apple 50g</v>
      </c>
      <c r="B1211" s="133" t="str">
        <f>Saud!E1211</f>
        <v>تمت طباعة الشهادة</v>
      </c>
      <c r="C1211" s="133" t="str">
        <f>Saud!C1211</f>
        <v>P-1-N-210223-1096</v>
      </c>
    </row>
    <row r="1212">
      <c r="A1212" s="133" t="str">
        <f>Saud!F1212</f>
        <v>Complete Crock Carrot 50g</v>
      </c>
      <c r="B1212" s="133" t="str">
        <f>Saud!E1212</f>
        <v>تمت طباعة الشهادة</v>
      </c>
      <c r="C1212" s="133" t="str">
        <f>Saud!C1212</f>
        <v>P-1-N-210223-1097</v>
      </c>
    </row>
    <row r="1213">
      <c r="A1213" s="133" t="str">
        <f>Saud!F1213</f>
        <v>Complete Crock Berry 50g</v>
      </c>
      <c r="B1213" s="133" t="str">
        <f>Saud!E1213</f>
        <v>تمت طباعة الشهادة</v>
      </c>
      <c r="C1213" s="133" t="str">
        <f>Saud!C1213</f>
        <v>P-1-N-210223-1098</v>
      </c>
    </row>
    <row r="1214">
      <c r="A1214" s="133" t="str">
        <f>Saud!F1214</f>
        <v>Oropharma Opti-Breed 500g</v>
      </c>
      <c r="B1214" s="133" t="str">
        <f>Saud!E1214</f>
        <v>تمت طباعة الشهادة</v>
      </c>
      <c r="C1214" s="133" t="str">
        <f>Saud!C1214</f>
        <v>P-1-N-210223-1099</v>
      </c>
    </row>
    <row r="1215">
      <c r="A1215" s="133" t="str">
        <f>Saud!F1215</f>
        <v>Filet Chicken with Duck 70g</v>
      </c>
      <c r="B1215" s="133" t="str">
        <f>Saud!E1215</f>
        <v>تمت طباعة الشهادة</v>
      </c>
      <c r="C1215" s="133" t="str">
        <f>Saud!C1215</f>
        <v>P-1-N-260223-1182</v>
      </c>
    </row>
    <row r="1216">
      <c r="A1216" s="133" t="str">
        <f>Saud!F1216</f>
        <v>Filet Chicken with Veal 70g</v>
      </c>
      <c r="B1216" s="133" t="str">
        <f>Saud!E1216</f>
        <v>مرجع للتعديل</v>
      </c>
      <c r="C1216" s="133" t="str">
        <f>Saud!C1216</f>
        <v>P-1-N-260223-1183</v>
      </c>
    </row>
    <row r="1217">
      <c r="A1217" s="133" t="str">
        <f>Saud!F1217</f>
        <v>Filet Chicken with Salmon 70g</v>
      </c>
      <c r="B1217" s="133" t="str">
        <f>Saud!E1217</f>
        <v>مرجع للتعديل</v>
      </c>
      <c r="C1217" s="133" t="str">
        <f>Saud!C1217</f>
        <v>P-1-N-260223-1184</v>
      </c>
    </row>
    <row r="1218">
      <c r="A1218" s="133" t="str">
        <f>Saud!F1218</f>
        <v>Filet Chicken with Beef 70g</v>
      </c>
      <c r="B1218" s="133" t="str">
        <f>Saud!E1218</f>
        <v>مرجع للتعديل</v>
      </c>
      <c r="C1218" s="133" t="str">
        <f>Saud!C1218</f>
        <v>P-1-N-260223-1185</v>
      </c>
    </row>
    <row r="1219">
      <c r="A1219" s="133" t="str">
        <f>Saud!F1219</f>
        <v>Filet Pure Chicken 70g</v>
      </c>
      <c r="B1219" s="133" t="str">
        <f>Saud!E1219</f>
        <v>مرجع للتعديل</v>
      </c>
      <c r="C1219" s="133" t="str">
        <f>Saud!C1219</f>
        <v>P-1-N-260223-1186</v>
      </c>
    </row>
    <row r="1220">
      <c r="A1220" s="133" t="str">
        <f>Saud!F1220</f>
        <v>Pate Duck &amp; Chicken with Parsley 85g</v>
      </c>
      <c r="B1220" s="133" t="str">
        <f>Saud!E1220</f>
        <v>تمت طباعة الشهادة</v>
      </c>
      <c r="C1220" s="133" t="str">
        <f>Saud!C1220</f>
        <v>P-1-N-260223-1187</v>
      </c>
    </row>
    <row r="1221">
      <c r="A1221" s="133" t="str">
        <f>Saud!F1221</f>
        <v>EXPERT CANARY MIDDLE EAST 20KG</v>
      </c>
      <c r="B1221" s="133" t="str">
        <f>Saud!E1221</f>
        <v>تمت طباعة الشهادة</v>
      </c>
      <c r="C1221" s="133" t="str">
        <f>Saud!C1221</f>
        <v>P-1-N-260223-1196</v>
      </c>
    </row>
    <row r="1222">
      <c r="A1222" s="133" t="str">
        <f>Saud!F1222</f>
        <v>EXPERT LARGE PARAKEET MIDDLE EAST 20KG</v>
      </c>
      <c r="B1222" s="133" t="str">
        <f>Saud!E1222</f>
        <v>تمت طباعة الشهادة</v>
      </c>
      <c r="C1222" s="133" t="str">
        <f>Saud!C1222</f>
        <v>P-1-N-260223-1199</v>
      </c>
    </row>
    <row r="1223">
      <c r="A1223" s="133" t="str">
        <f>Saud!F1223</f>
        <v>EXPERT PARROTS MIX FRUIT MIDDLE EAST 12.5KG</v>
      </c>
      <c r="B1223" s="133" t="str">
        <f>Saud!E1223</f>
        <v>تمت طباعة الشهادة</v>
      </c>
      <c r="C1223" s="133" t="str">
        <f>Saud!C1223</f>
        <v>P-1-N-260223-1200</v>
      </c>
    </row>
    <row r="1224">
      <c r="A1224" s="133" t="str">
        <f>Saud!F1224</f>
        <v>EXPERT BUDGIE MIX MIDDLE EAST 20KG</v>
      </c>
      <c r="B1224" s="133" t="str">
        <f>Saud!E1224</f>
        <v>تمت طباعة الشهادة</v>
      </c>
      <c r="C1224" s="133" t="str">
        <f>Saud!C1224</f>
        <v>P-1-N-260223-1202</v>
      </c>
    </row>
    <row r="1225">
      <c r="A1225" s="133" t="str">
        <f>Saud!F1225</f>
        <v>EXPERT PARROTS MIDDLE EAST 12.5 KG</v>
      </c>
      <c r="B1225" s="133" t="str">
        <f>Saud!E1225</f>
        <v>تمت طباعة الشهادة</v>
      </c>
      <c r="C1225" s="133" t="str">
        <f>Saud!C1225</f>
        <v>P-1-N-260223-1203</v>
      </c>
    </row>
    <row r="1226">
      <c r="A1226" s="133" t="str">
        <f>Saud!F1226</f>
        <v>ZUPREEM NATURAL SMALL 9.07kg</v>
      </c>
      <c r="B1226" s="133" t="str">
        <f>Saud!E1226</f>
        <v>تمت طباعة الشهادة</v>
      </c>
      <c r="C1226" s="133" t="str">
        <f>Saud!C1226</f>
        <v>P-1-N-270223-1219</v>
      </c>
    </row>
    <row r="1227">
      <c r="A1227" s="133" t="str">
        <f>Saud!F1227</f>
        <v>ZUPREEM NATURAL MEDIUM 9.07kg</v>
      </c>
      <c r="B1227" s="133" t="str">
        <f>Saud!E1227</f>
        <v>تمت طباعة الشهادة</v>
      </c>
      <c r="C1227" s="133" t="str">
        <f>Saud!C1227</f>
        <v>P-1-N-270223-1220</v>
      </c>
    </row>
    <row r="1228">
      <c r="A1228" s="133" t="str">
        <f>Saud!F1228</f>
        <v>ZUPREEM NATURAL PARROTS &amp; CONURES 9.07kg</v>
      </c>
      <c r="B1228" s="133" t="str">
        <f>Saud!E1228</f>
        <v>تمت طباعة الشهادة</v>
      </c>
      <c r="C1228" s="133" t="str">
        <f>Saud!C1228</f>
        <v>P-1-N-270223-1221</v>
      </c>
    </row>
    <row r="1229">
      <c r="A1229" s="133" t="str">
        <f>Saud!F1229</f>
        <v>ZUPREEM NATURAL LARGE 9.07kg</v>
      </c>
      <c r="B1229" s="133" t="str">
        <f>Saud!E1229</f>
        <v>تمت طباعة الشهادة</v>
      </c>
      <c r="C1229" s="133" t="str">
        <f>Saud!C1229</f>
        <v>P-1-N-270223-1223</v>
      </c>
    </row>
    <row r="1230">
      <c r="A1230" s="133" t="str">
        <f>Saud!F1230</f>
        <v>ZUPREM FRUITBLEND AVIANBREEDER LARGE 18.1kg</v>
      </c>
      <c r="B1230" s="133" t="str">
        <f>Saud!E1230</f>
        <v>تمت طباعة الشهادة</v>
      </c>
      <c r="C1230" s="133" t="str">
        <f>Saud!C1230</f>
        <v>P-1-N-270223-1236</v>
      </c>
    </row>
    <row r="1231">
      <c r="A1231" s="133" t="str">
        <f>Saud!F1231</f>
        <v>ZUPREM FRUITBLEND AVIANBREEDER PARROTS &amp; CONURES 18.1kg</v>
      </c>
      <c r="B1231" s="133" t="str">
        <f>Saud!E1231</f>
        <v>تمت طباعة الشهادة</v>
      </c>
      <c r="C1231" s="133" t="str">
        <f>Saud!C1231</f>
        <v>P-1-N-270223-1237</v>
      </c>
    </row>
    <row r="1232">
      <c r="A1232" s="133" t="str">
        <f>Saud!F1232</f>
        <v>ZUPREM FRUITBLEND AVIANBREEDER MEDIUM 18.1kg</v>
      </c>
      <c r="B1232" s="133" t="str">
        <f>Saud!E1232</f>
        <v>تمت طباعة الشهادة</v>
      </c>
      <c r="C1232" s="133" t="str">
        <f>Saud!C1232</f>
        <v>P-1-N-270223-1238</v>
      </c>
    </row>
    <row r="1233">
      <c r="A1233" s="133" t="str">
        <f>Saud!F1233</f>
        <v>ZUPREM NATURAL AVIANBREEDER PARROTS &amp; CONURES 18.1kg</v>
      </c>
      <c r="B1233" s="133" t="str">
        <f>Saud!E1233</f>
        <v>تمت طباعة الشهادة</v>
      </c>
      <c r="C1233" s="133" t="str">
        <f>Saud!C1233</f>
        <v>P-1-N-270223-1239</v>
      </c>
    </row>
    <row r="1234">
      <c r="A1234" s="133" t="str">
        <f>Saud!F1234</f>
        <v>ZUPREM NATURAL AVIANBREEDER MEDIUM 18.1kg</v>
      </c>
      <c r="B1234" s="133" t="str">
        <f>Saud!E1234</f>
        <v>تمت طباعة الشهادة</v>
      </c>
      <c r="C1234" s="133" t="str">
        <f>Saud!C1234</f>
        <v>P-1-N-270223-1241</v>
      </c>
    </row>
    <row r="1235">
      <c r="A1235" s="133" t="str">
        <f>Saud!F1235</f>
        <v>ZUPREEM FRUITBLEND LARGE 7.94kg</v>
      </c>
      <c r="B1235" s="133" t="str">
        <f>Saud!E1235</f>
        <v>تمت طباعة الشهادة</v>
      </c>
      <c r="C1235" s="133" t="str">
        <f>Saud!C1235</f>
        <v>P-1-N-270223-1244</v>
      </c>
    </row>
    <row r="1236">
      <c r="A1236" s="133" t="str">
        <f>Saud!F1236</f>
        <v>ZUPREEM FRUITBLEND PARROTS &amp; CONURES 7.94kg</v>
      </c>
      <c r="B1236" s="133" t="str">
        <f>Saud!E1236</f>
        <v>تمت طباعة الشهادة</v>
      </c>
      <c r="C1236" s="133" t="str">
        <f>Saud!C1236</f>
        <v>P-1-N-270223-1245</v>
      </c>
    </row>
    <row r="1237">
      <c r="A1237" s="133" t="str">
        <f>Saud!F1237</f>
        <v>ZUPREEM FRUITBLEND MEDIUM 7.94kg</v>
      </c>
      <c r="B1237" s="133" t="str">
        <f>Saud!E1237</f>
        <v>تمت طباعة الشهادة</v>
      </c>
      <c r="C1237" s="133" t="str">
        <f>Saud!C1237</f>
        <v>P-1-N-270223-1246</v>
      </c>
    </row>
    <row r="1238">
      <c r="A1238" s="133" t="str">
        <f>Saud!F1238</f>
        <v>ZUPREEM FRUITBLEND LARGE 15.88kg</v>
      </c>
      <c r="B1238" s="133" t="str">
        <f>Saud!E1238</f>
        <v>تمت طباعة الشهادة</v>
      </c>
      <c r="C1238" s="133" t="str">
        <f>Saud!C1238</f>
        <v>P-1-N-270223-1247</v>
      </c>
    </row>
    <row r="1239">
      <c r="A1239" s="133" t="str">
        <f>Saud!F1239</f>
        <v>ZUPREEM FRUITBLEND PARROTS &amp; CONURES 15.88kg</v>
      </c>
      <c r="B1239" s="133" t="str">
        <f>Saud!E1239</f>
        <v>تمت طباعة الشهادة</v>
      </c>
      <c r="C1239" s="133" t="str">
        <f>Saud!C1239</f>
        <v>P-1-N-270223-1249</v>
      </c>
    </row>
    <row r="1240">
      <c r="A1240" s="133" t="str">
        <f>Saud!F1240</f>
        <v>ZUPREEM FRUITBLEND MEDIUM 15.88kg</v>
      </c>
      <c r="B1240" s="133" t="str">
        <f>Saud!E1240</f>
        <v>تمت طباعة الشهادة</v>
      </c>
      <c r="C1240" s="133" t="str">
        <f>Saud!C1240</f>
        <v>P-1-N-270223-1250</v>
      </c>
    </row>
    <row r="1241">
      <c r="A1241" s="133" t="str">
        <f>Saud!F1241</f>
        <v>Pate Beef &amp; Chicken Goulash 85g</v>
      </c>
      <c r="B1241" s="133" t="str">
        <f>Saud!E1241</f>
        <v>تمت طباعة الشهادة</v>
      </c>
      <c r="C1241" s="133" t="str">
        <f>Saud!C1241</f>
        <v>P-1-N-280223-1259</v>
      </c>
    </row>
    <row r="1242">
      <c r="A1242" s="133" t="str">
        <f>Saud!F1242</f>
        <v>Pate Chicken with Spinach 85g</v>
      </c>
      <c r="B1242" s="133" t="str">
        <f>Saud!E1242</f>
        <v>تمت طباعة الشهادة</v>
      </c>
      <c r="C1242" s="133" t="str">
        <f>Saud!C1242</f>
        <v>P-1-N-280223-1260</v>
      </c>
    </row>
    <row r="1243">
      <c r="A1243" s="133" t="str">
        <f>Saud!F1243</f>
        <v>Pate Kitten 85g</v>
      </c>
      <c r="B1243" s="133" t="str">
        <f>Saud!E1243</f>
        <v>تمت طباعة الشهادة</v>
      </c>
      <c r="C1243" s="133" t="str">
        <f>Saud!C1243</f>
        <v>P-1-N-280223-1261</v>
      </c>
    </row>
    <row r="1244">
      <c r="A1244" s="133" t="str">
        <f>Saud!F1244</f>
        <v>Pate Salmon with Seaweed 80g</v>
      </c>
      <c r="B1244" s="133" t="str">
        <f>Saud!E1244</f>
        <v>تمت طباعة الشهادة</v>
      </c>
      <c r="C1244" s="133" t="str">
        <f>Saud!C1244</f>
        <v>P-1-N-280223-1262</v>
      </c>
    </row>
    <row r="1245">
      <c r="A1245" s="133" t="str">
        <f>Saud!F1245</f>
        <v>Pate Turkey with Zucchini 85g</v>
      </c>
      <c r="B1245" s="133" t="str">
        <f>Saud!E1245</f>
        <v>تمت طباعة الشهادة</v>
      </c>
      <c r="C1245" s="133" t="str">
        <f>Saud!C1245</f>
        <v>P-1-N-280223-1263</v>
      </c>
    </row>
    <row r="1246">
      <c r="A1246" s="133" t="str">
        <f>Saud!F1246</f>
        <v>Multipack Filet a 6x70g</v>
      </c>
      <c r="B1246" s="133" t="str">
        <f>Saud!E1246</f>
        <v>تمت طباعة الشهادة</v>
      </c>
      <c r="C1246" s="133" t="str">
        <f>Saud!C1246</f>
        <v>P-1-N-280223-1264</v>
      </c>
    </row>
    <row r="1247">
      <c r="A1247" s="133" t="str">
        <f>Saud!F1247</f>
        <v>Multipack Pate a 6x85g</v>
      </c>
      <c r="B1247" s="133" t="str">
        <f>Saud!E1247</f>
        <v>تمت طباعة الشهادة</v>
      </c>
      <c r="C1247" s="133" t="str">
        <f>Saud!C1247</f>
        <v>P-1-N-280223-1265</v>
      </c>
    </row>
    <row r="1248">
      <c r="A1248" s="133" t="str">
        <f>Saud!F1248</f>
        <v>Soup Chicken with Carrots &amp; Spinach 70g</v>
      </c>
      <c r="B1248" s="133" t="str">
        <f>Saud!E1248</f>
        <v>مرجع للتعديل</v>
      </c>
      <c r="C1248" s="133" t="str">
        <f>Saud!C1248</f>
        <v>P-1-N-280223-1270</v>
      </c>
    </row>
    <row r="1249">
      <c r="A1249" s="133" t="str">
        <f>Saud!F1249</f>
        <v>Prestige Premium Parrots Exotic Nuts Mix 750g</v>
      </c>
      <c r="B1249" s="133" t="str">
        <f>Saud!E1249</f>
        <v>تمت طباعة الشهادة</v>
      </c>
      <c r="C1249" s="133" t="str">
        <f>Saud!C1249</f>
        <v>P-1-N-050323-1347</v>
      </c>
    </row>
    <row r="1250">
      <c r="A1250" s="133" t="str">
        <f>Saud!F1250</f>
        <v>PRESTIGE PREMIUM CANARIES EXPERT 20KG</v>
      </c>
      <c r="B1250" s="133" t="str">
        <f>Saud!E1250</f>
        <v>تمت طباعة الشهادة</v>
      </c>
      <c r="C1250" s="133" t="str">
        <f>Saud!C1250</f>
        <v>P-1-N-050323-1348</v>
      </c>
    </row>
    <row r="1251">
      <c r="A1251" s="133" t="str">
        <f>Saud!F1251</f>
        <v>PRESTIGE PREMIUM BUDGIES 20KG</v>
      </c>
      <c r="B1251" s="133" t="str">
        <f>Saud!E1251</f>
        <v>تمت طباعة الشهادة</v>
      </c>
      <c r="C1251" s="133" t="str">
        <f>Saud!C1251</f>
        <v>P-1-N-060323-1362</v>
      </c>
    </row>
    <row r="1252">
      <c r="A1252" s="133" t="str">
        <f>Saud!F1252</f>
        <v>Prestige Parrots Fruit Mega 15kg</v>
      </c>
      <c r="B1252" s="133" t="str">
        <f>Saud!E1252</f>
        <v>تمت طباعة الشهادة</v>
      </c>
      <c r="C1252" s="133" t="str">
        <f>Saud!C1252</f>
        <v>P-1-N-060323-1365</v>
      </c>
    </row>
    <row r="1253">
      <c r="A1253" s="133" t="str">
        <f>Saud!F1253</f>
        <v>PRESTIGE BUDGIES 20KG</v>
      </c>
      <c r="B1253" s="133" t="str">
        <f>Saud!E1253</f>
        <v>تمت طباعة الشهادة</v>
      </c>
      <c r="C1253" s="133" t="str">
        <f>Saud!C1253</f>
        <v>P-1-N-060323-1367</v>
      </c>
    </row>
    <row r="1254">
      <c r="A1254" s="133" t="str">
        <f>Saud!F1254</f>
        <v>PRESTIGE BUDGIES GOURMET 20KG</v>
      </c>
      <c r="B1254" s="133" t="str">
        <f>Saud!E1254</f>
        <v>تمت طباعة الشهادة</v>
      </c>
      <c r="C1254" s="133" t="str">
        <f>Saud!C1254</f>
        <v>P-1-N-060323-1368</v>
      </c>
    </row>
    <row r="1255">
      <c r="A1255" s="133" t="str">
        <f>Saud!F1255</f>
        <v>Applaws Adult Cat Ocean Fish with Salmon 350g</v>
      </c>
      <c r="B1255" s="133" t="str">
        <f>Saud!E1255</f>
        <v>تمت طباعة الشهادة</v>
      </c>
      <c r="C1255" s="133" t="str">
        <f>Saud!C1255</f>
        <v>P-1-N-140323-1534</v>
      </c>
    </row>
    <row r="1256">
      <c r="A1256" s="133" t="str">
        <f>Saud!F1256</f>
        <v>Applaws Cat Dry Food Fish with Salmon 6kg</v>
      </c>
      <c r="B1256" s="133" t="str">
        <f>Saud!E1256</f>
        <v>تمت طباعة الشهادة</v>
      </c>
      <c r="C1256" s="133" t="str">
        <f>Saud!C1256</f>
        <v>P-1-N-140323-1535</v>
      </c>
    </row>
    <row r="1257">
      <c r="A1257" s="133" t="str">
        <f>Saud!F1257</f>
        <v>Soup Chicken with Carrots &amp; Spinach 70g</v>
      </c>
      <c r="B1257" s="133" t="str">
        <f>Saud!E1257</f>
        <v>تمت طباعة الشهادة</v>
      </c>
      <c r="C1257" s="133" t="str">
        <f>Saud!C1257</f>
        <v>P-1-N-220323-1705</v>
      </c>
    </row>
    <row r="1258">
      <c r="A1258" s="133" t="str">
        <f>Saud!F1258</f>
        <v>Schesir Pouch Tuna in jelly 85g</v>
      </c>
      <c r="B1258" s="133" t="str">
        <f>Saud!E1258</f>
        <v>تمت طباعة الشهادة</v>
      </c>
      <c r="C1258" s="133" t="str">
        <f>Saud!C1258</f>
        <v>P-1-N-260323-1834</v>
      </c>
    </row>
    <row r="1259">
      <c r="A1259" s="133" t="str">
        <f>Saud!F1259</f>
        <v>Schesir Pouch Tuna and Seabass in Jelly 85g</v>
      </c>
      <c r="B1259" s="133" t="str">
        <f>Saud!E1259</f>
        <v>تمت طباعة الشهادة</v>
      </c>
      <c r="C1259" s="133" t="str">
        <f>Saud!C1259</f>
        <v>P-1-N-260323-1835</v>
      </c>
    </row>
    <row r="1260">
      <c r="A1260" s="133" t="str">
        <f>Saud!F1260</f>
        <v>Schesir</v>
      </c>
      <c r="B1260" s="133" t="str">
        <f>Saud!E1260</f>
        <v>تمت طباعة الشهادة</v>
      </c>
      <c r="C1260" s="133" t="str">
        <f>Saud!C1260</f>
        <v>P-1-N-260323-1836</v>
      </c>
    </row>
    <row r="1261">
      <c r="A1261" s="133" t="str">
        <f>Saud!F1261</f>
        <v>Schesir Pouch Chicken in Jelly 85g</v>
      </c>
      <c r="B1261" s="133" t="str">
        <f>Saud!E1261</f>
        <v>تمت طباعة الشهادة</v>
      </c>
      <c r="C1261" s="133" t="str">
        <f>Saud!C1261</f>
        <v>P-1-N-260323-1837</v>
      </c>
    </row>
    <row r="1262">
      <c r="A1262" s="133" t="str">
        <f>Saud!F1262</f>
        <v>Schesir Pouch Chicken and Seabass in Jelly 85g</v>
      </c>
      <c r="B1262" s="133" t="str">
        <f>Saud!E1262</f>
        <v>تمت طباعة الشهادة</v>
      </c>
      <c r="C1262" s="133" t="str">
        <f>Saud!C1262</f>
        <v>P-1-N-260323-1838</v>
      </c>
    </row>
    <row r="1263">
      <c r="A1263" s="133" t="str">
        <f>Saud!F1263</f>
        <v>Schesir Pouch Chicken Slices in Sauce 85g</v>
      </c>
      <c r="B1263" s="133" t="str">
        <f>Saud!E1263</f>
        <v>تمت طباعة الشهادة</v>
      </c>
      <c r="C1263" s="133" t="str">
        <f>Saud!C1263</f>
        <v>P-1-N-260323-1839</v>
      </c>
    </row>
    <row r="1264">
      <c r="A1264" s="133" t="str">
        <f>Saud!F1264</f>
        <v>Schesir Pouch Tuna with Seabream in Jelly 85g</v>
      </c>
      <c r="B1264" s="133" t="str">
        <f>Saud!E1264</f>
        <v>تمت طباعة الشهادة</v>
      </c>
      <c r="C1264" s="133" t="str">
        <f>Saud!C1264</f>
        <v>P-1-N-260323-1840</v>
      </c>
    </row>
    <row r="1265">
      <c r="A1265" s="133" t="str">
        <f>Saud!F1265</f>
        <v>Schesir Pouch Tuna with Salmon in Jelly 85g</v>
      </c>
      <c r="B1265" s="133" t="str">
        <f>Saud!E1265</f>
        <v>تمت طباعة الشهادة</v>
      </c>
      <c r="C1265" s="133" t="str">
        <f>Saud!C1265</f>
        <v>P-1-N-260323-1841</v>
      </c>
    </row>
    <row r="1266">
      <c r="A1266" s="133" t="str">
        <f>Saud!F1266</f>
        <v>Schesir Tuna and Chicken with Shrimps in Jelly 85g</v>
      </c>
      <c r="B1266" s="133" t="str">
        <f>Saud!E1266</f>
        <v>تمت طباعة الشهادة</v>
      </c>
      <c r="C1266" s="133" t="str">
        <f>Saud!C1266</f>
        <v>P-1-N-260323-1842</v>
      </c>
    </row>
    <row r="1267">
      <c r="A1267" s="133" t="str">
        <f>Saud!F1267</f>
        <v>Prestige Big Parakeets Gourmet Jana 20kg</v>
      </c>
      <c r="B1267" s="133" t="str">
        <f>Saud!E1267</f>
        <v>تمت طباعة الشهادة</v>
      </c>
      <c r="C1267" s="133" t="str">
        <f>Saud!C1267</f>
        <v>P-1-N-280323-1892</v>
      </c>
    </row>
    <row r="1268">
      <c r="A1268" s="133" t="str">
        <f>Saud!F1268</f>
        <v>Prestige Canaries Gourmet Expert 20kg</v>
      </c>
      <c r="B1268" s="133" t="str">
        <f>Saud!E1268</f>
        <v>تمت طباعة الشهادة</v>
      </c>
      <c r="C1268" s="133" t="str">
        <f>Saud!C1268</f>
        <v>P-1-N-280323-1893</v>
      </c>
    </row>
    <row r="1269">
      <c r="A1269" s="133" t="str">
        <f>Saud!F1269</f>
        <v>Prestige Big Parakeets | Cockatiels Expert 20kg</v>
      </c>
      <c r="B1269" s="133" t="str">
        <f>Saud!E1269</f>
        <v>تمت طباعة الشهادة</v>
      </c>
      <c r="C1269" s="133" t="str">
        <f>Saud!C1269</f>
        <v>P-1-N-280323-1894</v>
      </c>
    </row>
    <row r="1270">
      <c r="A1270" s="133" t="str">
        <f>Saud!F1270</f>
        <v>Prestige Canaries Expert 20kg</v>
      </c>
      <c r="B1270" s="133" t="str">
        <f>Saud!E1270</f>
        <v>تمت طباعة الشهادة</v>
      </c>
      <c r="C1270" s="133" t="str">
        <f>Saud!C1270</f>
        <v>P-1-N-280323-1895</v>
      </c>
    </row>
    <row r="1271">
      <c r="A1271" s="133" t="str">
        <f>Saud!F1271</f>
        <v>PRINCESS CLASSIC CHICKEN &amp; TUNA TOPPING CRABSTICK 170g</v>
      </c>
      <c r="B1271" s="133" t="str">
        <f>Saud!E1271</f>
        <v>تمت طباعة الشهادة</v>
      </c>
      <c r="C1271" s="133" t="str">
        <f>Saud!C1271</f>
        <v>P-1-N-290323-1917</v>
      </c>
    </row>
    <row r="1272">
      <c r="A1272" s="133" t="str">
        <f>Saud!F1272</f>
        <v>PRINCESS CLASSIC CHICKEN &amp; TUNA TOPPING BABY CLAM 170g</v>
      </c>
      <c r="B1272" s="133" t="str">
        <f>Saud!E1272</f>
        <v>تمت طباعة الشهادة</v>
      </c>
      <c r="C1272" s="133" t="str">
        <f>Saud!C1272</f>
        <v>P-1-N-290323-1918</v>
      </c>
    </row>
    <row r="1273">
      <c r="A1273" s="133" t="str">
        <f>Saud!F1273</f>
        <v>PRINCESS CLASSIC CHICKEN &amp; TUNA SHRIMP CAVIAR FLAVOR 170g</v>
      </c>
      <c r="B1273" s="133" t="str">
        <f>Saud!E1273</f>
        <v>مكتمل</v>
      </c>
      <c r="C1273" s="133" t="str">
        <f>Saud!C1273</f>
        <v>P-1-N-290323-1919</v>
      </c>
    </row>
    <row r="1274">
      <c r="A1274" s="133" t="str">
        <f>Saud!F1274</f>
        <v>PRINCESS CLASSIC CHICKEN &amp; TUNA TOPPING VEGETABLES 170g</v>
      </c>
      <c r="B1274" s="133" t="str">
        <f>Saud!E1274</f>
        <v>تمت طباعة الشهادة</v>
      </c>
      <c r="C1274" s="133" t="str">
        <f>Saud!C1274</f>
        <v>P-1-N-290323-1920</v>
      </c>
    </row>
    <row r="1275">
      <c r="A1275" s="133" t="str">
        <f>Saud!F1275</f>
        <v>PRINCESS CLASSIC CHICKEN &amp; TUNA 170g</v>
      </c>
      <c r="B1275" s="133" t="str">
        <f>Saud!E1275</f>
        <v>تمت طباعة الشهادة</v>
      </c>
      <c r="C1275" s="133" t="str">
        <f>Saud!C1275</f>
        <v>P-1-N-290323-1921</v>
      </c>
    </row>
    <row r="1276">
      <c r="A1276" s="133" t="str">
        <f>Saud!F1276</f>
        <v>PRINCESS CLASSIC CHICKEN &amp; TUNA TOPPING SHRIMP 170g</v>
      </c>
      <c r="B1276" s="133" t="str">
        <f>Saud!E1276</f>
        <v>تمت طباعة الشهادة</v>
      </c>
      <c r="C1276" s="133" t="str">
        <f>Saud!C1276</f>
        <v>P-1-N-290323-1922</v>
      </c>
    </row>
    <row r="1277">
      <c r="A1277" s="133" t="str">
        <f>Saud!F1277</f>
        <v>PRINCESS CLASSIC CHICKEN &amp; TUNA TOPPING WHITE BAIT 170g</v>
      </c>
      <c r="B1277" s="133" t="str">
        <f>Saud!E1277</f>
        <v>تمت طباعة الشهادة</v>
      </c>
      <c r="C1277" s="133" t="str">
        <f>Saud!C1277</f>
        <v>P-1-N-290323-1923</v>
      </c>
    </row>
    <row r="1278">
      <c r="A1278" s="133" t="str">
        <f>Saud!F1278</f>
        <v>PRINCESS CLASSIC CHICKEN &amp; TUNA GINSENG EXTRACT &amp; HONEY FLAVORS 170g</v>
      </c>
      <c r="B1278" s="133" t="str">
        <f>Saud!E1278</f>
        <v>تمت طباعة الشهادة</v>
      </c>
      <c r="C1278" s="133" t="str">
        <f>Saud!C1278</f>
        <v>P-1-N-290323-1924</v>
      </c>
    </row>
    <row r="1279">
      <c r="A1279" s="133" t="str">
        <f>Saud!F1279</f>
        <v>PRINCESS CLASSIC CHICKEN &amp; TUNA TOPPING OYSTER 170g</v>
      </c>
      <c r="B1279" s="133" t="str">
        <f>Saud!E1279</f>
        <v>مكتمل</v>
      </c>
      <c r="C1279" s="133" t="str">
        <f>Saud!C1279</f>
        <v>P-1-N-290323-1925</v>
      </c>
    </row>
    <row r="1280">
      <c r="A1280" s="133" t="str">
        <f>Saud!F1280</f>
        <v>PRINCESS CLASSIC CHICKEN &amp; TUNA OMELETTE &amp; LOBSTER FLAVORS 170g</v>
      </c>
      <c r="B1280" s="133" t="str">
        <f>Saud!E1280</f>
        <v>تمت طباعة الشهادة</v>
      </c>
      <c r="C1280" s="133" t="str">
        <f>Saud!C1280</f>
        <v>P-1-N-290323-1926</v>
      </c>
    </row>
    <row r="1281">
      <c r="A1281" s="133" t="str">
        <f>Saud!F1281</f>
        <v>PRINCESS CLASSIC CHICKEN &amp; TUNA TOPPING BELL PEPPER 170g</v>
      </c>
      <c r="B1281" s="133" t="str">
        <f>Saud!E1281</f>
        <v>تمت طباعة الشهادة</v>
      </c>
      <c r="C1281" s="133" t="str">
        <f>Saud!C1281</f>
        <v>P-1-N-290323-1927</v>
      </c>
    </row>
    <row r="1282">
      <c r="A1282" s="133" t="str">
        <f>Saud!F1282</f>
        <v>PRINCESS CLASSIC PACIFIC TUNA 170g</v>
      </c>
      <c r="B1282" s="133" t="str">
        <f>Saud!E1282</f>
        <v>تمت طباعة الشهادة</v>
      </c>
      <c r="C1282" s="133" t="str">
        <f>Saud!C1282</f>
        <v>P-1-N-290323-1928</v>
      </c>
    </row>
    <row r="1283">
      <c r="A1283" s="133" t="str">
        <f>Saud!F1283</f>
        <v>PRINCESS CLASSIC PACIFIC TUNA TOPPING CHEESE 170g</v>
      </c>
      <c r="B1283" s="133" t="str">
        <f>Saud!E1283</f>
        <v>تمت طباعة الشهادة</v>
      </c>
      <c r="C1283" s="133" t="str">
        <f>Saud!C1283</f>
        <v>P-1-N-290323-1929</v>
      </c>
    </row>
    <row r="1284">
      <c r="A1284" s="133" t="str">
        <f>Saud!F1284</f>
        <v>PRINCESS CLASSIC PACIFIC TUNA TOPPING PANGASIUS 170g</v>
      </c>
      <c r="B1284" s="133" t="str">
        <f>Saud!E1284</f>
        <v>مكتمل</v>
      </c>
      <c r="C1284" s="133" t="str">
        <f>Saud!C1284</f>
        <v>P-1-N-290323-1930</v>
      </c>
    </row>
    <row r="1285">
      <c r="A1285" s="133" t="str">
        <f>Saud!F1285</f>
        <v>PRINCESS CLASSIC PACIFIC TUNA TOPPING COD 170g</v>
      </c>
      <c r="B1285" s="133" t="str">
        <f>Saud!E1285</f>
        <v>تمت طباعة الشهادة</v>
      </c>
      <c r="C1285" s="133" t="str">
        <f>Saud!C1285</f>
        <v>P-1-N-290323-1931</v>
      </c>
    </row>
    <row r="1286">
      <c r="A1286" s="133" t="str">
        <f>Saud!F1286</f>
        <v>PRINCESS CLASSIC CHICKEN &amp; TUNA CARROT &amp; ZUCCHINI &amp; TOMATO FLAVORS 170g</v>
      </c>
      <c r="B1286" s="133" t="str">
        <f>Saud!E1286</f>
        <v>تمت طباعة الشهادة</v>
      </c>
      <c r="C1286" s="133" t="str">
        <f>Saud!C1286</f>
        <v>P-1-N-290323-1932</v>
      </c>
    </row>
    <row r="1287">
      <c r="A1287" s="133" t="str">
        <f>Saud!F1287</f>
        <v>PRINCESS CLASSIC CHICKEN &amp; TUNA GINKGO &amp; GOJI BERRY FLAVORS 170g</v>
      </c>
      <c r="B1287" s="133" t="str">
        <f>Saud!E1287</f>
        <v>تمت طباعة الشهادة</v>
      </c>
      <c r="C1287" s="133" t="str">
        <f>Saud!C1287</f>
        <v>P-1-N-290323-1933</v>
      </c>
    </row>
    <row r="1288">
      <c r="A1288" s="133" t="str">
        <f>Saud!F1288</f>
        <v>PRINCESS EXCELLENCE CHICKEN &amp; TUNA TOPPING SALMON 70g</v>
      </c>
      <c r="B1288" s="133" t="str">
        <f>Saud!E1288</f>
        <v>تمت طباعة الشهادة</v>
      </c>
      <c r="C1288" s="133" t="str">
        <f>Saud!C1288</f>
        <v>P-1-N-300323-1956</v>
      </c>
    </row>
    <row r="1289">
      <c r="A1289" s="133" t="str">
        <f>Saud!F1289</f>
        <v>PRINCESS EXCELLENCE CHICKEN &amp; TUNA 70g</v>
      </c>
      <c r="B1289" s="133" t="str">
        <f>Saud!E1289</f>
        <v>تمت طباعة الشهادة</v>
      </c>
      <c r="C1289" s="133" t="str">
        <f>Saud!C1289</f>
        <v>P-1-N-300323-1957</v>
      </c>
    </row>
    <row r="1290">
      <c r="A1290" s="133" t="str">
        <f>Saud!F1290</f>
        <v>PRINCESS EXCELLENCE CHICKEN &amp; TUNA TOPPING SQUID RING 70g
</v>
      </c>
      <c r="B1290" s="133" t="str">
        <f>Saud!E1290</f>
        <v>تمت طباعة الشهادة</v>
      </c>
      <c r="C1290" s="133" t="str">
        <f>Saud!C1290</f>
        <v>P-1-N-300323-1958</v>
      </c>
    </row>
    <row r="1291">
      <c r="A1291" s="133" t="str">
        <f>Saud!F1291</f>
        <v>PRINCESS EXCELLENCE CHICKEN &amp; TUNA TOPPING PUMPKIN 70g</v>
      </c>
      <c r="B1291" s="133" t="str">
        <f>Saud!E1291</f>
        <v>تمت طباعة الشهادة</v>
      </c>
      <c r="C1291" s="133" t="str">
        <f>Saud!C1291</f>
        <v>P-1-N-300323-1959</v>
      </c>
    </row>
    <row r="1292">
      <c r="A1292" s="133" t="str">
        <f>Saud!F1292</f>
        <v>PRINCESS EXCELLENCE CHICKEN &amp; TUNA TOPPING SHRIMP 70g</v>
      </c>
      <c r="B1292" s="133" t="str">
        <f>Saud!E1292</f>
        <v>تمت طباعة الشهادة</v>
      </c>
      <c r="C1292" s="133" t="str">
        <f>Saud!C1292</f>
        <v>P-1-N-300323-1960</v>
      </c>
    </row>
    <row r="1293">
      <c r="A1293" s="133" t="str">
        <f>Saud!F1293</f>
        <v>PRINCESS EXCELLENCE CHICKEN &amp; TUNA TOPPING ALOE VERA 70g</v>
      </c>
      <c r="B1293" s="133" t="str">
        <f>Saud!E1293</f>
        <v>تمت طباعة الشهادة</v>
      </c>
      <c r="C1293" s="133" t="str">
        <f>Saud!C1293</f>
        <v>P-1-N-300323-1961</v>
      </c>
    </row>
    <row r="1294">
      <c r="A1294" s="133" t="str">
        <f>Saud!F1294</f>
        <v>PRINCESS EXCELLENCE CHICKEN &amp; TUNA TOPPING WHITE BAIT 70g</v>
      </c>
      <c r="B1294" s="133" t="str">
        <f>Saud!E1294</f>
        <v>تمت طباعة الشهادة</v>
      </c>
      <c r="C1294" s="133" t="str">
        <f>Saud!C1294</f>
        <v>P-1-N-300323-1962</v>
      </c>
    </row>
    <row r="1295">
      <c r="A1295" s="133" t="str">
        <f>Saud!F1295</f>
        <v>PRINCESS EXCELLENCE PACIFIC TUNA 70g</v>
      </c>
      <c r="B1295" s="133" t="str">
        <f>Saud!E1295</f>
        <v>تمت طباعة الشهادة</v>
      </c>
      <c r="C1295" s="133" t="str">
        <f>Saud!C1295</f>
        <v>P-1-N-300323-1963</v>
      </c>
    </row>
    <row r="1296">
      <c r="A1296" s="133" t="str">
        <f>Saud!F1296</f>
        <v>PRINCESS EXCELLENCE CHICKEN BREAST 70g</v>
      </c>
      <c r="B1296" s="133" t="str">
        <f>Saud!E1296</f>
        <v>تمت طباعة الشهادة</v>
      </c>
      <c r="C1296" s="133" t="str">
        <f>Saud!C1296</f>
        <v>P-1-N-300323-1964</v>
      </c>
    </row>
    <row r="1297">
      <c r="A1297" s="133" t="str">
        <f>Saud!F1297</f>
        <v>PRINCESS EXCELLENCE GOLD CHICKEN BREAST 70g</v>
      </c>
      <c r="B1297" s="133" t="str">
        <f>Saud!E1297</f>
        <v>تمت طباعة الشهادة</v>
      </c>
      <c r="C1297" s="133" t="str">
        <f>Saud!C1297</f>
        <v>P-1-N-300323-1965</v>
      </c>
    </row>
    <row r="1298">
      <c r="A1298" s="133" t="str">
        <f>Saud!F1298</f>
        <v>PRINCESS EXCELLENCE CHICKEN BREAST TOPPING TURKEY 70g</v>
      </c>
      <c r="B1298" s="133" t="str">
        <f>Saud!E1298</f>
        <v>تمت طباعة الشهادة</v>
      </c>
      <c r="C1298" s="133" t="str">
        <f>Saud!C1298</f>
        <v>P-1-N-300323-1966</v>
      </c>
    </row>
    <row r="1299">
      <c r="A1299" s="133" t="str">
        <f>Saud!F1299</f>
        <v>PRINCESS ZEST CHICKEN &amp; TUNA TOPPING SURIMI 170g</v>
      </c>
      <c r="B1299" s="133" t="str">
        <f>Saud!E1299</f>
        <v>تمت طباعة الشهادة</v>
      </c>
      <c r="C1299" s="133" t="str">
        <f>Saud!C1299</f>
        <v>P-1-N-020423-2000</v>
      </c>
    </row>
    <row r="1300">
      <c r="A1300" s="133" t="str">
        <f>Saud!F1300</f>
        <v>PRINCESS ZEST CHICKEN &amp; TUNA TOPPING PAPAYA 170g</v>
      </c>
      <c r="B1300" s="133" t="str">
        <f>Saud!E1300</f>
        <v>تمت طباعة الشهادة</v>
      </c>
      <c r="C1300" s="133" t="str">
        <f>Saud!C1300</f>
        <v>P-1-N-020423-2001</v>
      </c>
    </row>
    <row r="1301">
      <c r="A1301" s="133" t="str">
        <f>Saud!F1301</f>
        <v>PRINCESS ZEST CHICKEN &amp; TUNA TOPPING MUSSELS 170g</v>
      </c>
      <c r="B1301" s="133" t="str">
        <f>Saud!E1301</f>
        <v>تمت طباعة الشهادة</v>
      </c>
      <c r="C1301" s="133" t="str">
        <f>Saud!C1301</f>
        <v>P-1-N-020423-2002</v>
      </c>
    </row>
    <row r="1302">
      <c r="A1302" s="133" t="str">
        <f>Saud!F1302</f>
        <v>PRINCESS ZEST CHICKEN &amp; TUNA TOPPING SALMON FLAKES 170g</v>
      </c>
      <c r="B1302" s="133" t="str">
        <f>Saud!E1302</f>
        <v>تمت طباعة الشهادة</v>
      </c>
      <c r="C1302" s="133" t="str">
        <f>Saud!C1302</f>
        <v>P-1-N-020423-2003</v>
      </c>
    </row>
    <row r="1303">
      <c r="A1303" s="133" t="str">
        <f>Saud!F1303</f>
        <v>PRINCESS ZEST CHICKEN &amp; TUNA TOPPING VANNAMEI SHRIMP 170g</v>
      </c>
      <c r="B1303" s="133" t="str">
        <f>Saud!E1303</f>
        <v>تمت طباعة الشهادة</v>
      </c>
      <c r="C1303" s="133" t="str">
        <f>Saud!C1303</f>
        <v>P-1-N-020423-2004</v>
      </c>
    </row>
    <row r="1304">
      <c r="A1304" s="133" t="str">
        <f>Saud!F1304</f>
        <v>PRINCESS CLASSIC GOLD CHICKEN &amp; TUNA TOPPING SCALLOP CRANBERRY FLAVOR 170g</v>
      </c>
      <c r="B1304" s="133" t="str">
        <f>Saud!E1304</f>
        <v>تمت طباعة الشهادة</v>
      </c>
      <c r="C1304" s="133" t="str">
        <f>Saud!C1304</f>
        <v>P-1-N-030423-2020</v>
      </c>
    </row>
    <row r="1305">
      <c r="A1305" s="133" t="str">
        <f>Saud!F1305</f>
        <v>PRINCESS CLASSIC GOLD CHICKEN &amp; TUNA TOPPING SCALLOP 170g</v>
      </c>
      <c r="B1305" s="133" t="str">
        <f>Saud!E1305</f>
        <v>تمت طباعة الشهادة</v>
      </c>
      <c r="C1305" s="133" t="str">
        <f>Saud!C1305</f>
        <v>P-1-N-030423-2021</v>
      </c>
    </row>
    <row r="1306">
      <c r="A1306" s="133" t="str">
        <f>Saud!F1306</f>
        <v>PRINCESS CLASSIC GOLD CHICKEN &amp; TUNA TOPPING SALMON FLAKES 170g</v>
      </c>
      <c r="B1306" s="133" t="str">
        <f>Saud!E1306</f>
        <v>تمت طباعة الشهادة</v>
      </c>
      <c r="C1306" s="133" t="str">
        <f>Saud!C1306</f>
        <v>P-1-N-030423-2022</v>
      </c>
    </row>
    <row r="1307">
      <c r="A1307" s="133" t="str">
        <f>Saud!F1307</f>
        <v>PRINCESS CLASSIC GOLD CHICKEN &amp; TUNA TOPPING VANNAMEI SHRIMP 170g</v>
      </c>
      <c r="B1307" s="133" t="str">
        <f>Saud!E1307</f>
        <v>تمت طباعة الشهادة</v>
      </c>
      <c r="C1307" s="133" t="str">
        <f>Saud!C1307</f>
        <v>P-1-N-030423-2023</v>
      </c>
    </row>
    <row r="1308">
      <c r="A1308" s="133" t="str">
        <f>Saud!F1308</f>
        <v>PRINCESS CLASSIC GOLD CHICKEN &amp; TUNA TOPPING PAPAYA 170g</v>
      </c>
      <c r="B1308" s="133" t="str">
        <f>Saud!E1308</f>
        <v>تمت طباعة الشهادة</v>
      </c>
      <c r="C1308" s="133" t="str">
        <f>Saud!C1308</f>
        <v>P-1-N-030423-2024</v>
      </c>
    </row>
    <row r="1309">
      <c r="A1309" s="133" t="str">
        <f>Saud!F1309</f>
        <v>PRINCESS CLASSIC POUCH CHICKEN &amp; TUNA 70g</v>
      </c>
      <c r="B1309" s="133" t="str">
        <f>Saud!E1309</f>
        <v>تمت طباعة الشهادة</v>
      </c>
      <c r="C1309" s="133" t="str">
        <f>Saud!C1309</f>
        <v>P-1-N-030423-2028</v>
      </c>
    </row>
    <row r="1310">
      <c r="A1310" s="133" t="str">
        <f>Saud!F1310</f>
        <v>PRINCESS CLASSIC POUCH CHICKEN &amp; TUNA TOPPING SHRIMP 70g</v>
      </c>
      <c r="B1310" s="133" t="str">
        <f>Saud!E1310</f>
        <v>تمت طباعة الشهادة</v>
      </c>
      <c r="C1310" s="133" t="str">
        <f>Saud!C1310</f>
        <v>P-1-N-030423-2029</v>
      </c>
    </row>
    <row r="1311">
      <c r="A1311" s="133" t="str">
        <f>Saud!F1311</f>
        <v>PRINCESS CLASSIC POUCH CHICKEN &amp; TUNA TOPPING VEGETABLES 70g</v>
      </c>
      <c r="B1311" s="133" t="str">
        <f>Saud!E1311</f>
        <v>تمت طباعة الشهادة</v>
      </c>
      <c r="C1311" s="133" t="str">
        <f>Saud!C1311</f>
        <v>P-1-N-030423-2031</v>
      </c>
    </row>
    <row r="1312">
      <c r="A1312" s="133" t="str">
        <f>Saud!F1312</f>
        <v>PRINCESS CLASSIC POUCH CHICKEN &amp; TUNA TOPPING CRABSTICK 70g</v>
      </c>
      <c r="B1312" s="133" t="str">
        <f>Saud!E1312</f>
        <v>تمت طباعة الشهادة</v>
      </c>
      <c r="C1312" s="133" t="str">
        <f>Saud!C1312</f>
        <v>P-1-N-030423-2032</v>
      </c>
    </row>
    <row r="1313">
      <c r="A1313" s="133" t="str">
        <f>Saud!F1313</f>
        <v>PRINCESS CLASSIC POUCH CHICKEN &amp; TUNA TOPPING WHITE BAIT 70g</v>
      </c>
      <c r="B1313" s="133" t="str">
        <f>Saud!E1313</f>
        <v>تمت طباعة الشهادة</v>
      </c>
      <c r="C1313" s="133" t="str">
        <f>Saud!C1313</f>
        <v>P-1-N-030423-2033</v>
      </c>
    </row>
    <row r="1314">
      <c r="A1314" s="133" t="str">
        <f>Saud!F1314</f>
        <v>PRINCESS CLASSIC POUCH CHICKEN &amp; TUNA TOPPING BABY CLAM 70g</v>
      </c>
      <c r="B1314" s="133" t="str">
        <f>Saud!E1314</f>
        <v>تمت طباعة الشهادة</v>
      </c>
      <c r="C1314" s="133" t="str">
        <f>Saud!C1314</f>
        <v>P-1-N-030423-2034</v>
      </c>
    </row>
    <row r="1315">
      <c r="A1315" s="133" t="str">
        <f>Saud!F1315</f>
        <v>PRINCESS CLASSIC POUCH CHICKEN &amp; TUNA 70g</v>
      </c>
      <c r="B1315" s="133" t="str">
        <f>Saud!E1315</f>
        <v>تمت طباعة الشهادة</v>
      </c>
      <c r="C1315" s="133" t="str">
        <f>Saud!C1315</f>
        <v>P-1-N-030423-2035</v>
      </c>
    </row>
    <row r="1316">
      <c r="A1316" s="133" t="str">
        <f>Saud!F1316</f>
        <v>PRINCESS CLASSIC POUCH CHICKEN &amp; TUNA TOPPING SHRIMP 70g</v>
      </c>
      <c r="B1316" s="133" t="str">
        <f>Saud!E1316</f>
        <v>تمت طباعة الشهادة</v>
      </c>
      <c r="C1316" s="133" t="str">
        <f>Saud!C1316</f>
        <v>P-1-N-030423-2036</v>
      </c>
    </row>
    <row r="1317">
      <c r="A1317" s="133" t="str">
        <f>Saud!F1317</f>
        <v>CéDé Eggfood canary 1KG</v>
      </c>
      <c r="B1317" s="133" t="str">
        <f>Saud!E1317</f>
        <v>تمت طباعة الشهادة</v>
      </c>
      <c r="C1317" s="133" t="str">
        <f>Saud!C1317</f>
        <v>P-1-N-040423-2062</v>
      </c>
    </row>
    <row r="1318">
      <c r="A1318" s="133" t="str">
        <f>Saud!F1318</f>
        <v>CéDé Eggfood canary 5kg</v>
      </c>
      <c r="B1318" s="133" t="str">
        <f>Saud!E1318</f>
        <v>تمت طباعة الشهادة</v>
      </c>
      <c r="C1318" s="133" t="str">
        <f>Saud!C1318</f>
        <v>P-1-N-040423-2063</v>
      </c>
    </row>
    <row r="1319">
      <c r="A1319" s="133" t="str">
        <f>Saud!F1319</f>
        <v>CéDé Eggfood Budgie 1kg</v>
      </c>
      <c r="B1319" s="133" t="str">
        <f>Saud!E1319</f>
        <v>تمت طباعة الشهادة</v>
      </c>
      <c r="C1319" s="133" t="str">
        <f>Saud!C1319</f>
        <v>P-1-N-040423-2064</v>
      </c>
    </row>
    <row r="1320">
      <c r="A1320" s="133" t="str">
        <f>Saud!F1320</f>
        <v>CéDé Bird Minerals 1200g</v>
      </c>
      <c r="B1320" s="133" t="str">
        <f>Saud!E1320</f>
        <v>تمت طباعة الشهادة</v>
      </c>
      <c r="C1320" s="133" t="str">
        <f>Saud!C1320</f>
        <v>P-1-N-040423-2065</v>
      </c>
    </row>
    <row r="1321">
      <c r="A1321" s="133" t="str">
        <f>Saud!F1321</f>
        <v>CéDé Premium Eggfood allround 240g</v>
      </c>
      <c r="B1321" s="133" t="str">
        <f>Saud!E1321</f>
        <v>تمت طباعة الشهادة</v>
      </c>
      <c r="C1321" s="133" t="str">
        <f>Saud!C1321</f>
        <v>P-1-N-040423-2066</v>
      </c>
    </row>
    <row r="1322">
      <c r="A1322" s="133" t="str">
        <f>Saud!F1322</f>
        <v>CéDé Protein Mix 1kg</v>
      </c>
      <c r="B1322" s="133" t="str">
        <f>Saud!E1322</f>
        <v>تمت طباعة الشهادة</v>
      </c>
      <c r="C1322" s="133" t="str">
        <f>Saud!C1322</f>
        <v>P-1-N-040423-2067</v>
      </c>
    </row>
    <row r="1323">
      <c r="A1323" s="133" t="str">
        <f>Saud!F1323</f>
        <v>CéDé Insectfood 600g</v>
      </c>
      <c r="B1323" s="133" t="str">
        <f>Saud!E1323</f>
        <v>تمت طباعة الشهادة</v>
      </c>
      <c r="C1323" s="133" t="str">
        <f>Saud!C1323</f>
        <v>P-1-N-040423-2069</v>
      </c>
    </row>
    <row r="1324">
      <c r="A1324" s="133" t="str">
        <f>Saud!F1324</f>
        <v>CéDé Multivitamin 200ml</v>
      </c>
      <c r="B1324" s="133" t="str">
        <f>Saud!E1324</f>
        <v>تمت طباعة الشهادة</v>
      </c>
      <c r="C1324" s="133" t="str">
        <f>Saud!C1324</f>
        <v>P-1-N-040423-2070</v>
      </c>
    </row>
    <row r="1325">
      <c r="A1325" s="133" t="str">
        <f>Saud!F1325</f>
        <v>COUNTRY Canary 0.6kg</v>
      </c>
      <c r="B1325" s="133" t="str">
        <f>Saud!E1325</f>
        <v>تمت طباعة الشهادة</v>
      </c>
      <c r="C1325" s="133" t="str">
        <f>Saud!C1325</f>
        <v>P-1-N-100423-2199</v>
      </c>
    </row>
    <row r="1326">
      <c r="A1326" s="133" t="str">
        <f>Saud!F1326</f>
        <v>COUNTRY Canary 2.5kg</v>
      </c>
      <c r="B1326" s="133" t="str">
        <f>Saud!E1326</f>
        <v>تمت طباعة الشهادة</v>
      </c>
      <c r="C1326" s="133" t="str">
        <f>Saud!C1326</f>
        <v>P-1-N-100423-2200</v>
      </c>
    </row>
    <row r="1327">
      <c r="A1327" s="133" t="str">
        <f>Saud!F1327</f>
        <v>COUNTRY Snack muesli 0.8kg</v>
      </c>
      <c r="B1327" s="133" t="str">
        <f>Saud!E1327</f>
        <v>تمت طباعة الشهادة</v>
      </c>
      <c r="C1327" s="133" t="str">
        <f>Saud!C1327</f>
        <v>P-1-N-100423-2201</v>
      </c>
    </row>
    <row r="1328">
      <c r="A1328" s="133" t="str">
        <f>Saud!F1328</f>
        <v>COUNTRY Lovebird 0.6kg</v>
      </c>
      <c r="B1328" s="133" t="str">
        <f>Saud!E1328</f>
        <v>تمت طباعة الشهادة</v>
      </c>
      <c r="C1328" s="133" t="str">
        <f>Saud!C1328</f>
        <v>P-1-N-100423-2202</v>
      </c>
    </row>
    <row r="1329">
      <c r="A1329" s="133" t="str">
        <f>Saud!F1329</f>
        <v>COUNTRY Lovebird 2.5kg</v>
      </c>
      <c r="B1329" s="133" t="str">
        <f>Saud!E1329</f>
        <v>تمت طباعة الشهادة</v>
      </c>
      <c r="C1329" s="133" t="str">
        <f>Saud!C1329</f>
        <v>P-1-N-100423-2203</v>
      </c>
    </row>
    <row r="1330">
      <c r="A1330" s="133" t="str">
        <f>Saud!F1330</f>
        <v>COUNTRY Rabbit 0.8kg</v>
      </c>
      <c r="B1330" s="133" t="str">
        <f>Saud!E1330</f>
        <v>تمت طباعة الشهادة</v>
      </c>
      <c r="C1330" s="133" t="str">
        <f>Saud!C1330</f>
        <v>P-1-N-100423-2204</v>
      </c>
    </row>
    <row r="1331">
      <c r="A1331" s="133" t="str">
        <f>Saud!F1331</f>
        <v>COUNTRY Rabbit 2.5kg</v>
      </c>
      <c r="B1331" s="133" t="str">
        <f>Saud!E1331</f>
        <v>تمت طباعة الشهادة</v>
      </c>
      <c r="C1331" s="133" t="str">
        <f>Saud!C1331</f>
        <v>P-1-N-100423-2205</v>
      </c>
    </row>
    <row r="1332">
      <c r="A1332" s="133" t="str">
        <f>Saud!F1332</f>
        <v>COUNTRY Large Parakeet 0,55KG</v>
      </c>
      <c r="B1332" s="133" t="str">
        <f>Saud!E1332</f>
        <v>تمت طباعة الشهادة</v>
      </c>
      <c r="C1332" s="133" t="str">
        <f>Saud!C1332</f>
        <v>P-1-N-100423-2206</v>
      </c>
    </row>
    <row r="1333">
      <c r="A1333" s="133" t="str">
        <f>Saud!F1333</f>
        <v>COUNTRY Large Parakeet 2.5kg</v>
      </c>
      <c r="B1333" s="133" t="str">
        <f>Saud!E1333</f>
        <v>تمت طباعة الشهادة</v>
      </c>
      <c r="C1333" s="133" t="str">
        <f>Saud!C1333</f>
        <v>P-1-N-100423-2207</v>
      </c>
    </row>
    <row r="1334">
      <c r="A1334" s="133" t="str">
        <f>Saud!F1334</f>
        <v>COUNTRY Hamster 850g</v>
      </c>
      <c r="B1334" s="133" t="str">
        <f>Saud!E1334</f>
        <v>تمت طباعة الشهادة</v>
      </c>
      <c r="C1334" s="133" t="str">
        <f>Saud!C1334</f>
        <v>P-1-N-100423-2208</v>
      </c>
    </row>
    <row r="1335">
      <c r="A1335" s="133" t="str">
        <f>Saud!F1335</f>
        <v>COUNTRY hamster 3.0kg</v>
      </c>
      <c r="B1335" s="133" t="str">
        <f>Saud!E1335</f>
        <v>تمت طباعة الشهادة</v>
      </c>
      <c r="C1335" s="133" t="str">
        <f>Saud!C1335</f>
        <v>P-1-N-100423-2209</v>
      </c>
    </row>
    <row r="1336">
      <c r="A1336" s="133" t="str">
        <f>Saud!F1336</f>
        <v>PRINCE CLASSIC PACIFIC TUNA TOPPING VANNAMEI SHRIMP 170g</v>
      </c>
      <c r="B1336" s="133" t="str">
        <f>Saud!E1336</f>
        <v>تمت طباعة الشهادة</v>
      </c>
      <c r="C1336" s="133" t="str">
        <f>Saud!C1336</f>
        <v>P-1-N-180423-2329</v>
      </c>
    </row>
    <row r="1337">
      <c r="A1337" s="133" t="str">
        <f>Saud!F1337</f>
        <v>PRINCE CLASSIC PACIFIC TUNA 170g</v>
      </c>
      <c r="B1337" s="133" t="str">
        <f>Saud!E1337</f>
        <v>تمت طباعة الشهادة</v>
      </c>
      <c r="C1337" s="133" t="str">
        <f>Saud!C1337</f>
        <v>P-1-N-180423-2330</v>
      </c>
    </row>
    <row r="1338">
      <c r="A1338" s="133" t="str">
        <f>Saud!F1338</f>
        <v>PRINCE CLASSIC CHICKEN &amp; TUNA 170g</v>
      </c>
      <c r="B1338" s="133" t="str">
        <f>Saud!E1338</f>
        <v>تمت طباعة الشهادة</v>
      </c>
      <c r="C1338" s="133" t="str">
        <f>Saud!C1338</f>
        <v>P-1-N-180423-2332</v>
      </c>
    </row>
    <row r="1339">
      <c r="A1339" s="133" t="str">
        <f>Saud!F1339</f>
        <v>PRINCE CLASSIC CHICKEN &amp; TUNA TOPPING CRABSTICK 170g</v>
      </c>
      <c r="B1339" s="133" t="str">
        <f>Saud!E1339</f>
        <v>تمت طباعة الشهادة</v>
      </c>
      <c r="C1339" s="133" t="str">
        <f>Saud!C1339</f>
        <v>P-1-N-180423-2333</v>
      </c>
    </row>
    <row r="1340">
      <c r="A1340" s="133" t="str">
        <f>Saud!F1340</f>
        <v>PRINCE CLASSIC CHICKEN &amp; TUNA GINSENG EXTRACT &amp; HONEY FLAVORS 170g</v>
      </c>
      <c r="B1340" s="133" t="str">
        <f>Saud!E1340</f>
        <v>تمت طباعة الشهادة</v>
      </c>
      <c r="C1340" s="133" t="str">
        <f>Saud!C1340</f>
        <v>P-1-N-180423-2334</v>
      </c>
    </row>
    <row r="1341">
      <c r="A1341" s="133" t="str">
        <f>Saud!F1341</f>
        <v>PRINCE CLASSIC CHICKEN &amp; TUNA TOPPING SHRIMP 170g</v>
      </c>
      <c r="B1341" s="133" t="str">
        <f>Saud!E1341</f>
        <v>تمت طباعة الشهادة</v>
      </c>
      <c r="C1341" s="133" t="str">
        <f>Saud!C1341</f>
        <v>P-1-N-180423-2335</v>
      </c>
    </row>
    <row r="1342">
      <c r="A1342" s="133" t="str">
        <f>Saud!F1342</f>
        <v>CéDé Eggfood Budgie 5kg</v>
      </c>
      <c r="B1342" s="133" t="str">
        <f>Saud!E1342</f>
        <v>تمت طباعة الشهادة</v>
      </c>
      <c r="C1342" s="133" t="str">
        <f>Saud!C1342</f>
        <v>P-1-N-040523-2527</v>
      </c>
    </row>
    <row r="1343">
      <c r="A1343" s="133" t="str">
        <f>Saud!F1343</f>
        <v>CéDé Premium Eggfood allround 10Kg</v>
      </c>
      <c r="B1343" s="133" t="str">
        <f>Saud!E1343</f>
        <v>تمت طباعة الشهادة</v>
      </c>
      <c r="C1343" s="133" t="str">
        <f>Saud!C1343</f>
        <v>P-1-N-040523-2528</v>
      </c>
    </row>
    <row r="1344">
      <c r="A1344" s="133" t="str">
        <f>Saud!F1344</f>
        <v>COUNTRY Guinea-Pig 0.85kg</v>
      </c>
      <c r="B1344" s="133" t="str">
        <f>Saud!E1344</f>
        <v>تمت طباعة الشهادة</v>
      </c>
      <c r="C1344" s="133" t="str">
        <f>Saud!C1344</f>
        <v>P-1-N-070523-2572</v>
      </c>
    </row>
    <row r="1345">
      <c r="A1345" s="133" t="str">
        <f>Saud!F1345</f>
        <v>COUNTRY Guinea-Pig 3,0KG</v>
      </c>
      <c r="B1345" s="133" t="str">
        <f>Saud!E1345</f>
        <v>تمت طباعة الشهادة</v>
      </c>
      <c r="C1345" s="133" t="str">
        <f>Saud!C1345</f>
        <v>P-1-N-070523-2573</v>
      </c>
    </row>
    <row r="1346">
      <c r="A1346" s="133" t="str">
        <f>Saud!F1346</f>
        <v>COUNTRY Finches 0.6kg</v>
      </c>
      <c r="B1346" s="133" t="str">
        <f>Saud!E1346</f>
        <v>تمت طباعة الشهادة</v>
      </c>
      <c r="C1346" s="133" t="str">
        <f>Saud!C1346</f>
        <v>P-1-N-070523-2574</v>
      </c>
    </row>
    <row r="1347">
      <c r="A1347" s="133" t="str">
        <f>Saud!F1347</f>
        <v>COUNTRY Budgie 0.6kg</v>
      </c>
      <c r="B1347" s="133" t="str">
        <f>Saud!E1347</f>
        <v>تمت طباعة الشهادة</v>
      </c>
      <c r="C1347" s="133" t="str">
        <f>Saud!C1347</f>
        <v>P-1-N-070523-2575</v>
      </c>
    </row>
    <row r="1348">
      <c r="A1348" s="133" t="str">
        <f>Saud!F1348</f>
        <v>COUNTRY Budgie 2.5kg</v>
      </c>
      <c r="B1348" s="133" t="str">
        <f>Saud!E1348</f>
        <v>تمت طباعة الشهادة</v>
      </c>
      <c r="C1348" s="133" t="str">
        <f>Saud!C1348</f>
        <v>P-1-N-070523-2576</v>
      </c>
    </row>
    <row r="1349">
      <c r="A1349" s="133" t="str">
        <f>Saud!F1349</f>
        <v>COUNTRY Parrot 2kg</v>
      </c>
      <c r="B1349" s="133" t="str">
        <f>Saud!E1349</f>
        <v>تمت طباعة الشهادة</v>
      </c>
      <c r="C1349" s="133" t="str">
        <f>Saud!C1349</f>
        <v>P-1-N-070523-2577</v>
      </c>
    </row>
    <row r="1350">
      <c r="A1350" s="133" t="str">
        <f>Saud!F1350</f>
        <v>APPLAWS KITTEN CHICKEN </v>
      </c>
      <c r="B1350" s="133" t="str">
        <f>Saud!E1350</f>
        <v>مكتمل</v>
      </c>
      <c r="C1350" s="133" t="str">
        <f>Saud!C1350</f>
        <v>P-1-N-110523-2687</v>
      </c>
    </row>
    <row r="1351">
      <c r="A1351" s="133" t="str">
        <f>Saud!F1351</f>
        <v>APPLAWS KITTEN CHICKEN 2KG</v>
      </c>
      <c r="B1351" s="133" t="str">
        <f>Saud!E1351</f>
        <v>مكتمل</v>
      </c>
      <c r="C1351" s="133" t="str">
        <f>Saud!C1351</f>
        <v>P-1-N-110523-2688</v>
      </c>
    </row>
    <row r="1352">
      <c r="A1352" s="133" t="str">
        <f>Saud!F1352</f>
        <v>APPLAWS KITTEN CHICKEN 7.5KG</v>
      </c>
      <c r="B1352" s="133" t="str">
        <f>Saud!E1352</f>
        <v>مكتمل</v>
      </c>
      <c r="C1352" s="133" t="str">
        <f>Saud!C1352</f>
        <v>P-1-N-110523-2689</v>
      </c>
    </row>
    <row r="1353">
      <c r="A1353" s="133" t="str">
        <f>Saud!F1353</f>
        <v>APPLAWS ADULT CAT CHICKEN </v>
      </c>
      <c r="B1353" s="133" t="str">
        <f>Saud!E1353</f>
        <v>مكتمل</v>
      </c>
      <c r="C1353" s="133" t="str">
        <f>Saud!C1353</f>
        <v>P-1-N-110523-2691</v>
      </c>
    </row>
    <row r="1354">
      <c r="A1354" s="133" t="str">
        <f>Saud!F1354</f>
        <v>APPLAWS ADULT CAT CHICKEN 2KG</v>
      </c>
      <c r="B1354" s="133" t="str">
        <f>Saud!E1354</f>
        <v>مكتمل</v>
      </c>
      <c r="C1354" s="133" t="str">
        <f>Saud!C1354</f>
        <v>P-1-N-110523-2692</v>
      </c>
    </row>
    <row r="1355">
      <c r="A1355" s="133" t="str">
        <f>Saud!F1355</f>
        <v>APPLAWS ADULT CAT CHICKEN 7.5KG</v>
      </c>
      <c r="B1355" s="133" t="str">
        <f>Saud!E1355</f>
        <v>تمت طباعة الشهادة</v>
      </c>
      <c r="C1355" s="133" t="str">
        <f>Saud!C1355</f>
        <v>P-1-N-110523-2693</v>
      </c>
    </row>
    <row r="1356">
      <c r="A1356" s="133" t="str">
        <f>Saud!F1356</f>
        <v>APPLAWS ADULT CAT CHICKEN WITH EXTRA SALMON </v>
      </c>
      <c r="B1356" s="133" t="str">
        <f>Saud!E1356</f>
        <v>مكتمل</v>
      </c>
      <c r="C1356" s="133" t="str">
        <f>Saud!C1356</f>
        <v>P-1-N-110523-2694</v>
      </c>
    </row>
    <row r="1357">
      <c r="A1357" s="133" t="str">
        <f>Saud!F1357</f>
        <v>APPLAWS ADULT CAT CHICKEN WITH EXTRA SALMON 2KG</v>
      </c>
      <c r="B1357" s="133" t="str">
        <f>Saud!E1357</f>
        <v>مكتمل</v>
      </c>
      <c r="C1357" s="133" t="str">
        <f>Saud!C1357</f>
        <v>P-1-N-110523-2695</v>
      </c>
    </row>
    <row r="1358">
      <c r="A1358" s="133" t="str">
        <f>Saud!F1358</f>
        <v>APPLAWS ADULT CAT CHICKEN WITH EXTRA SALMON 7.5KG</v>
      </c>
      <c r="B1358" s="133" t="str">
        <f>Saud!E1358</f>
        <v>مكتمل</v>
      </c>
      <c r="C1358" s="133" t="str">
        <f>Saud!C1358</f>
        <v>P-1-N-110523-2696</v>
      </c>
    </row>
    <row r="1359">
      <c r="A1359" s="133" t="str">
        <f>Saud!F1359</f>
        <v>APPLAWS SENIOR CAT CHICKEN </v>
      </c>
      <c r="B1359" s="133" t="str">
        <f>Saud!E1359</f>
        <v>مكتمل</v>
      </c>
      <c r="C1359" s="133" t="str">
        <f>Saud!C1359</f>
        <v>P-1-N-110523-2700</v>
      </c>
    </row>
    <row r="1360">
      <c r="A1360" s="133" t="str">
        <f>Saud!F1360</f>
        <v>APPLAWS SENIOR CAT CHICKEN 2KG</v>
      </c>
      <c r="B1360" s="133" t="str">
        <f>Saud!E1360</f>
        <v>مكتمل</v>
      </c>
      <c r="C1360" s="133" t="str">
        <f>Saud!C1360</f>
        <v>P-1-N-110523-2701</v>
      </c>
    </row>
    <row r="1361">
      <c r="A1361" s="133" t="str">
        <f>Saud!F1361</f>
        <v>APPLAWS SENIOR CAT CHICKEN 7.5KG</v>
      </c>
      <c r="B1361" s="133" t="str">
        <f>Saud!E1361</f>
        <v>مكتمل</v>
      </c>
      <c r="C1361" s="133" t="str">
        <f>Saud!C1361</f>
        <v>P-1-N-110523-2702</v>
      </c>
    </row>
    <row r="1362">
      <c r="A1362" s="133" t="str">
        <f>Saud!F1362</f>
        <v>APPLAWS ADULT CAT CHICKEN WITH EXTRA DUCK </v>
      </c>
      <c r="B1362" s="133" t="str">
        <f>Saud!E1362</f>
        <v>مكتمل</v>
      </c>
      <c r="C1362" s="133" t="str">
        <f>Saud!C1362</f>
        <v>P-1-N-110523-2703</v>
      </c>
    </row>
    <row r="1363">
      <c r="A1363" s="133" t="str">
        <f>Saud!F1363</f>
        <v>APPLAWS ADULT CAT CHICKEN WITH EXTRA DUCK 2KG</v>
      </c>
      <c r="B1363" s="133" t="str">
        <f>Saud!E1363</f>
        <v>مكتمل</v>
      </c>
      <c r="C1363" s="133" t="str">
        <f>Saud!C1363</f>
        <v>P-1-N-110523-2704</v>
      </c>
    </row>
    <row r="1364">
      <c r="A1364" s="133" t="str">
        <f>Saud!F1364</f>
        <v>APPLAWS ADULT CAT CHICKEN WITH EXTRA DUCK 7.5KG</v>
      </c>
      <c r="B1364" s="133" t="str">
        <f>Saud!E1364</f>
        <v>مكتمل</v>
      </c>
      <c r="C1364" s="133" t="str">
        <f>Saud!C1364</f>
        <v>P-1-N-110523-2705</v>
      </c>
    </row>
    <row r="1365">
      <c r="A1365" s="133" t="str">
        <f>Saud!F1365</f>
        <v>APPLAWS ADULT CAT OCEAN FISH WITH SALMON 350G</v>
      </c>
      <c r="B1365" s="133" t="str">
        <f>Saud!E1365</f>
        <v>مكتمل</v>
      </c>
      <c r="C1365" s="133" t="str">
        <f>Saud!C1365</f>
        <v>P-1-N-110523-2708</v>
      </c>
    </row>
    <row r="1366">
      <c r="A1366" s="133" t="str">
        <f>Saud!F1366</f>
        <v>APPLAWS ADULT CAT OCEAN FISH WITH SALMON 1.8KG</v>
      </c>
      <c r="B1366" s="133" t="str">
        <f>Saud!E1366</f>
        <v>مكتمل</v>
      </c>
      <c r="C1366" s="133" t="str">
        <f>Saud!C1366</f>
        <v>P-1-N-110523-2709</v>
      </c>
    </row>
    <row r="1367">
      <c r="A1367" s="133" t="str">
        <f>Saud!F1367</f>
        <v>APPLAWS ADULT CAT OCEAN FISH WITH SALMON 6KG</v>
      </c>
      <c r="B1367" s="133" t="str">
        <f>Saud!E1367</f>
        <v>مكتمل</v>
      </c>
      <c r="C1367" s="133" t="str">
        <f>Saud!C1367</f>
        <v>P-1-N-110523-2710</v>
      </c>
    </row>
    <row r="1368">
      <c r="A1368" s="133" t="str">
        <f>Saud!F1368</f>
        <v>JosiCat Kitten 650g</v>
      </c>
      <c r="B1368" s="133" t="str">
        <f>Saud!E1368</f>
        <v>تمت طباعة الشهادة</v>
      </c>
      <c r="C1368" s="133" t="str">
        <f>Saud!C1368</f>
        <v>P-1-N-150623-3602</v>
      </c>
    </row>
    <row r="1369">
      <c r="A1369" s="133" t="str">
        <f>Saud!F1369</f>
        <v>JosiCat Kitten 1.9kg</v>
      </c>
      <c r="B1369" s="133" t="str">
        <f>Saud!E1369</f>
        <v>تمت طباعة الشهادة</v>
      </c>
      <c r="C1369" s="133" t="str">
        <f>Saud!C1369</f>
        <v>P-1-N-150623-3603</v>
      </c>
    </row>
    <row r="1370">
      <c r="A1370" s="133" t="str">
        <f>Saud!F1370</f>
        <v>JosiCat Kitten 10kg</v>
      </c>
      <c r="B1370" s="133" t="str">
        <f>Saud!E1370</f>
        <v>تمت طباعة الشهادة</v>
      </c>
      <c r="C1370" s="133" t="str">
        <f>Saud!C1370</f>
        <v>P-1-N-150623-3605</v>
      </c>
    </row>
    <row r="1371">
      <c r="A1371" s="133" t="str">
        <f>Saud!F1371</f>
        <v>PUUR Budgie wh 750GR</v>
      </c>
      <c r="B1371" s="133" t="str">
        <f>Saud!E1371</f>
        <v>تمت طباعة الشهادة</v>
      </c>
      <c r="C1371" s="133" t="str">
        <f>Saud!C1371</f>
        <v>P-1-N-080823-4674</v>
      </c>
    </row>
    <row r="1372">
      <c r="A1372" s="133" t="str">
        <f>Saud!F1372</f>
        <v>PUUR Budgie wh 2KG</v>
      </c>
      <c r="B1372" s="133" t="str">
        <f>Saud!E1372</f>
        <v>تمت طباعة الشهادة</v>
      </c>
      <c r="C1372" s="133" t="str">
        <f>Saud!C1372</f>
        <v>P-1-N-080823-4675</v>
      </c>
    </row>
    <row r="1373">
      <c r="A1373" s="133" t="str">
        <f>Saud!F1373</f>
        <v>PUUR Canary wh 750GR</v>
      </c>
      <c r="B1373" s="133" t="str">
        <f>Saud!E1373</f>
        <v>تمت طباعة الشهادة</v>
      </c>
      <c r="C1373" s="133" t="str">
        <f>Saud!C1373</f>
        <v>P-1-N-080823-4676</v>
      </c>
    </row>
    <row r="1374">
      <c r="A1374" s="133" t="str">
        <f>Saud!F1374</f>
        <v>PUUR Canary wh 2KG</v>
      </c>
      <c r="B1374" s="133" t="str">
        <f>Saud!E1374</f>
        <v>تمت طباعة الشهادة</v>
      </c>
      <c r="C1374" s="133" t="str">
        <f>Saud!C1374</f>
        <v>P-1-N-080823-4677</v>
      </c>
    </row>
    <row r="1375">
      <c r="A1375" s="133" t="str">
        <f>Saud!F1375</f>
        <v>PUUR Dwarf hamster &amp; friends R</v>
      </c>
      <c r="B1375" s="133" t="str">
        <f>Saud!E1375</f>
        <v>تمت طباعة الشهادة</v>
      </c>
      <c r="C1375" s="133" t="str">
        <f>Saud!C1375</f>
        <v>P-1-N-080823-4678</v>
      </c>
    </row>
    <row r="1376">
      <c r="A1376" s="133" t="str">
        <f>Saud!F1376</f>
        <v>PUUR Guinea Pig 700GR</v>
      </c>
      <c r="B1376" s="133" t="str">
        <f>Saud!E1376</f>
        <v>تمت طباعة الشهادة</v>
      </c>
      <c r="C1376" s="133" t="str">
        <f>Saud!C1376</f>
        <v>P-1-N-080823-4679</v>
      </c>
    </row>
    <row r="1377">
      <c r="A1377" s="133" t="str">
        <f>Saud!F1377</f>
        <v>PUUR Guinea Pig 2.5KG</v>
      </c>
      <c r="B1377" s="133" t="str">
        <f>Saud!E1377</f>
        <v>تمت طباعة الشهادة</v>
      </c>
      <c r="C1377" s="133" t="str">
        <f>Saud!C1377</f>
        <v>P-1-N-080823-4680</v>
      </c>
    </row>
    <row r="1378">
      <c r="A1378" s="133" t="str">
        <f>Saud!F1378</f>
        <v>PUUR Hamster r</v>
      </c>
      <c r="B1378" s="133" t="str">
        <f>Saud!E1378</f>
        <v>تمت طباعة الشهادة</v>
      </c>
      <c r="C1378" s="133" t="str">
        <f>Saud!C1378</f>
        <v>P-1-N-080823-4681</v>
      </c>
    </row>
    <row r="1379">
      <c r="A1379" s="133" t="str">
        <f>Saud!F1379</f>
        <v>PUUR Hamster 1.5KG</v>
      </c>
      <c r="B1379" s="133" t="str">
        <f>Saud!E1379</f>
        <v>تمت طباعة الشهادة</v>
      </c>
      <c r="C1379" s="133" t="str">
        <f>Saud!C1379</f>
        <v>P-1-N-080823-4682</v>
      </c>
    </row>
    <row r="1380">
      <c r="A1380" s="133" t="str">
        <f>Saud!F1380</f>
        <v>PUUR Large Parakeet and cockatoo wh 750GR</v>
      </c>
      <c r="B1380" s="133" t="str">
        <f>Saud!E1380</f>
        <v>تمت طباعة الشهادة</v>
      </c>
      <c r="C1380" s="133" t="str">
        <f>Saud!C1380</f>
        <v>P-1-N-080823-4683</v>
      </c>
    </row>
    <row r="1381">
      <c r="A1381" s="133" t="str">
        <f>Saud!F1381</f>
        <v>PUUR Large Parakeet and cockatoo wh 2kg</v>
      </c>
      <c r="B1381" s="133" t="str">
        <f>Saud!E1381</f>
        <v>تمت طباعة الشهادة</v>
      </c>
      <c r="C1381" s="133" t="str">
        <f>Saud!C1381</f>
        <v>P-1-N-080823-4684</v>
      </c>
    </row>
    <row r="1382">
      <c r="A1382" s="133" t="str">
        <f>Saud!F1382</f>
        <v>PUUR Lovebird wh 750GR</v>
      </c>
      <c r="B1382" s="133" t="str">
        <f>Saud!E1382</f>
        <v>تمت طباعة الشهادة</v>
      </c>
      <c r="C1382" s="133" t="str">
        <f>Saud!C1382</f>
        <v>P-1-N-080823-4685</v>
      </c>
    </row>
    <row r="1383">
      <c r="A1383" s="133" t="str">
        <f>Saud!F1383</f>
        <v>PUUR Lovebird wh 2KG</v>
      </c>
      <c r="B1383" s="133" t="str">
        <f>Saud!E1383</f>
        <v>تمت طباعة الشهادة</v>
      </c>
      <c r="C1383" s="133" t="str">
        <f>Saud!C1383</f>
        <v>P-1-N-080823-4686</v>
      </c>
    </row>
    <row r="1384">
      <c r="A1384" s="133" t="str">
        <f>Saud!F1384</f>
        <v>PUUR Parrot wh/wp 2kg</v>
      </c>
      <c r="B1384" s="133" t="str">
        <f>Saud!E1384</f>
        <v>تمت طباعة الشهادة</v>
      </c>
      <c r="C1384" s="133" t="str">
        <f>Saud!C1384</f>
        <v>P-1-N-080823-4687</v>
      </c>
    </row>
    <row r="1385">
      <c r="A1385" s="133" t="str">
        <f>Saud!F1385</f>
        <v>PUUR Rabbit 600gr</v>
      </c>
      <c r="B1385" s="133" t="str">
        <f>Saud!E1385</f>
        <v>تمت طباعة الشهادة</v>
      </c>
      <c r="C1385" s="133" t="str">
        <f>Saud!C1385</f>
        <v>P-1-N-080823-4688</v>
      </c>
    </row>
    <row r="1386">
      <c r="A1386" s="133" t="str">
        <f>Saud!F1386</f>
        <v>PUUR Rabbit 2kg</v>
      </c>
      <c r="B1386" s="133" t="str">
        <f>Saud!E1386</f>
        <v>تمت طباعة الشهادة</v>
      </c>
      <c r="C1386" s="133" t="str">
        <f>Saud!C1386</f>
        <v>P-1-N-080823-4689</v>
      </c>
    </row>
    <row r="1387">
      <c r="A1387" s="133" t="str">
        <f>Saud!F1387</f>
        <v>PUUR Rabbit Junior 600gr</v>
      </c>
      <c r="B1387" s="133" t="str">
        <f>Saud!E1387</f>
        <v>تمت طباعة الشهادة</v>
      </c>
      <c r="C1387" s="133" t="str">
        <f>Saud!C1387</f>
        <v>P-1-N-080823-4690</v>
      </c>
    </row>
    <row r="1388">
      <c r="A1388" s="133" t="str">
        <f>Saud!F1388</f>
        <v>PUUR Tropical Bird 750gr</v>
      </c>
      <c r="B1388" s="133" t="str">
        <f>Saud!E1388</f>
        <v>تمت طباعة الشهادة</v>
      </c>
      <c r="C1388" s="133" t="str">
        <f>Saud!C1388</f>
        <v>P-1-N-080823-4691</v>
      </c>
    </row>
    <row r="1389">
      <c r="A1389" s="133" t="str">
        <f>Saud!F1389</f>
        <v>PUUR Tropical Bird 2kg</v>
      </c>
      <c r="B1389" s="133" t="str">
        <f>Saud!E1389</f>
        <v>تمت طباعة الشهادة</v>
      </c>
      <c r="C1389" s="133" t="str">
        <f>Saud!C1389</f>
        <v>P-1-N-080823-4692</v>
      </c>
    </row>
    <row r="1390">
      <c r="A1390" s="133" t="str">
        <f>Saud!F1390</f>
        <v>Yow Up Para perros 115g</v>
      </c>
      <c r="B1390" s="133" t="str">
        <f>Saud!E1390</f>
        <v>تمت طباعة الشهادة</v>
      </c>
      <c r="C1390" s="133" t="str">
        <f>Saud!C1390</f>
        <v>P-1-N-140823-4825</v>
      </c>
    </row>
    <row r="1391">
      <c r="A1391" s="133" t="str">
        <f>Saud!F1391</f>
        <v>YOW UP Para Gatos 85g</v>
      </c>
      <c r="B1391" s="133" t="str">
        <f>Saud!E1391</f>
        <v>تمت طباعة الشهادة</v>
      </c>
      <c r="C1391" s="133" t="str">
        <f>Saud!C1391</f>
        <v>P-1-N-140823-4827</v>
      </c>
    </row>
    <row r="1392">
      <c r="A1392" s="133" t="str">
        <f>Saud!F1392</f>
        <v>Country Blossom hay carrot 500g</v>
      </c>
      <c r="B1392" s="133" t="str">
        <f>Saud!E1392</f>
        <v>تمت طباعة الشهادة</v>
      </c>
      <c r="C1392" s="133" t="str">
        <f>Saud!C1392</f>
        <v>P-1-N-160823-4867</v>
      </c>
    </row>
    <row r="1393">
      <c r="A1393" s="133" t="str">
        <f>Saud!F1393</f>
        <v>Country Blossom hay rose blossom 500g</v>
      </c>
      <c r="B1393" s="133" t="str">
        <f>Saud!E1393</f>
        <v>تمت طباعة الشهادة</v>
      </c>
      <c r="C1393" s="133" t="str">
        <f>Saud!C1393</f>
        <v>P-1-N-160823-4868</v>
      </c>
    </row>
    <row r="1394">
      <c r="A1394" s="133" t="str">
        <f>Saud!F1394</f>
        <v>Country Seed sticks finch apple &amp; sesame seed 60g</v>
      </c>
      <c r="B1394" s="133" t="str">
        <f>Saud!E1394</f>
        <v>تمت طباعة الشهادة</v>
      </c>
      <c r="C1394" s="133" t="str">
        <f>Saud!C1394</f>
        <v>P-1-N-160823-4885</v>
      </c>
    </row>
    <row r="1395">
      <c r="A1395" s="133" t="str">
        <f>Saud!F1395</f>
        <v>Country Seed sticks canary elder &amp; cranberry 60g</v>
      </c>
      <c r="B1395" s="133" t="str">
        <f>Saud!E1395</f>
        <v>تمت طباعة الشهادة</v>
      </c>
      <c r="C1395" s="133" t="str">
        <f>Saud!C1395</f>
        <v>P-1-N-160823-4886</v>
      </c>
    </row>
    <row r="1396">
      <c r="A1396" s="133" t="str">
        <f>Saud!F1396</f>
        <v>Country Seed sticks parakeet kiwi &amp; pear 140g</v>
      </c>
      <c r="B1396" s="133" t="str">
        <f>Saud!E1396</f>
        <v>تمت طباعة الشهادة</v>
      </c>
      <c r="C1396" s="133" t="str">
        <f>Saud!C1396</f>
        <v>P-1-N-160823-4887</v>
      </c>
    </row>
    <row r="1397">
      <c r="A1397" s="133" t="str">
        <f>Saud!F1397</f>
        <v>Country Seed sticks parrot rosehip &amp; elderberry 140g</v>
      </c>
      <c r="B1397" s="133" t="str">
        <f>Saud!E1397</f>
        <v>تمت طباعة الشهادة</v>
      </c>
      <c r="C1397" s="133" t="str">
        <f>Saud!C1397</f>
        <v>P-1-N-160823-4888</v>
      </c>
    </row>
    <row r="1398">
      <c r="A1398" s="133" t="str">
        <f>Saud!F1398</f>
        <v>Country Chew sticks carrot &amp; leek 110g</v>
      </c>
      <c r="B1398" s="133" t="str">
        <f>Saud!E1398</f>
        <v>تمت طباعة الشهادة</v>
      </c>
      <c r="C1398" s="133" t="str">
        <f>Saud!C1398</f>
        <v>P-1-N-160823-4889</v>
      </c>
    </row>
    <row r="1399">
      <c r="A1399" s="133" t="str">
        <f>Saud!F1399</f>
        <v>Country Millet spray 150g</v>
      </c>
      <c r="B1399" s="133" t="str">
        <f>Saud!E1399</f>
        <v>تمت طباعة الشهادة</v>
      </c>
      <c r="C1399" s="133" t="str">
        <f>Saud!C1399</f>
        <v>P-1-N-160823-4890</v>
      </c>
    </row>
    <row r="1400">
      <c r="A1400" s="133" t="str">
        <f>Saud!F1400</f>
        <v>Country Chew sticks papaya &amp; hibiscus 110g</v>
      </c>
      <c r="B1400" s="133" t="str">
        <f>Saud!E1400</f>
        <v>تمت طباعة الشهادة</v>
      </c>
      <c r="C1400" s="133" t="str">
        <f>Saud!C1400</f>
        <v>P-1-N-160823-4891</v>
      </c>
    </row>
    <row r="1401">
      <c r="A1401" s="133" t="str">
        <f>Saud!F1401</f>
        <v>Country Chew sticks elderberry &amp; apple 110g</v>
      </c>
      <c r="B1401" s="133" t="str">
        <f>Saud!E1401</f>
        <v>تمت طباعة الشهادة</v>
      </c>
      <c r="C1401" s="133" t="str">
        <f>Saud!C1401</f>
        <v>P-1-N-160823-4892</v>
      </c>
    </row>
    <row r="1402">
      <c r="A1402" s="133" t="str">
        <f>Saud!F1402</f>
        <v>Country Chew sticks tomato &amp; peas 180g</v>
      </c>
      <c r="B1402" s="133" t="str">
        <f>Saud!E1402</f>
        <v>تمت طباعة الشهادة</v>
      </c>
      <c r="C1402" s="133" t="str">
        <f>Saud!C1402</f>
        <v>P-1-N-160823-4893</v>
      </c>
    </row>
    <row r="1403">
      <c r="A1403" s="133" t="str">
        <f>Saud!F1403</f>
        <v>Country Chew sticks coconut &amp; orange 180g</v>
      </c>
      <c r="B1403" s="133" t="str">
        <f>Saud!E1403</f>
        <v>تمت طباعة الشهادة</v>
      </c>
      <c r="C1403" s="133" t="str">
        <f>Saud!C1403</f>
        <v>P-1-N-160823-4894</v>
      </c>
    </row>
    <row r="1404">
      <c r="A1404" s="133" t="str">
        <f>Saud!F1404</f>
        <v>PUUR Stick Cockatoo Kiwi/Eucalyptus 1 ST 140g</v>
      </c>
      <c r="B1404" s="133" t="str">
        <f>Saud!E1404</f>
        <v>تمت طباعة الشهادة</v>
      </c>
      <c r="C1404" s="133" t="str">
        <f>Saud!C1404</f>
        <v>P-1-N-240823-5043</v>
      </c>
    </row>
    <row r="1405">
      <c r="A1405" s="133" t="str">
        <f>Saud!F1405</f>
        <v>PUUR Stick Parrot Pineapple/Peanut 1 ST 140g</v>
      </c>
      <c r="B1405" s="133" t="str">
        <f>Saud!E1405</f>
        <v>تمت طباعة الشهادة</v>
      </c>
      <c r="C1405" s="133" t="str">
        <f>Saud!C1405</f>
        <v>P-1-N-240823-5044</v>
      </c>
    </row>
    <row r="1406">
      <c r="A1406" s="133" t="str">
        <f>Saud!F1406</f>
        <v>PUUR PUUR Pauze Sticks parrot banana &amp; rosehip 1 ST 140g</v>
      </c>
      <c r="B1406" s="133" t="str">
        <f>Saud!E1406</f>
        <v>تمت طباعة الشهادة</v>
      </c>
      <c r="C1406" s="133" t="str">
        <f>Saud!C1406</f>
        <v>P-1-N-240823-5045</v>
      </c>
    </row>
    <row r="1407">
      <c r="A1407" s="133" t="str">
        <f>Saud!F1407</f>
        <v>PUUR Stick Parrot Papaya 1 ST 140g</v>
      </c>
      <c r="B1407" s="133" t="str">
        <f>Saud!E1407</f>
        <v>تمت طباعة الشهادة</v>
      </c>
      <c r="C1407" s="133" t="str">
        <f>Saud!C1407</f>
        <v>P-1-N-240823-5046</v>
      </c>
    </row>
    <row r="1408">
      <c r="A1408" s="133" t="str">
        <f>Saud!F1408</f>
        <v>PUUR Stick Lovebird Honey/Date 1 ST 60g</v>
      </c>
      <c r="B1408" s="133" t="str">
        <f>Saud!E1408</f>
        <v>تمت طباعة الشهادة</v>
      </c>
      <c r="C1408" s="133" t="str">
        <f>Saud!C1408</f>
        <v>P-1-N-240823-5047</v>
      </c>
    </row>
    <row r="1409">
      <c r="A1409" s="133" t="str">
        <f>Saud!F1409</f>
        <v>PUUR Stick Large Parakeet Apricot 1 ST 140g</v>
      </c>
      <c r="B1409" s="133" t="str">
        <f>Saud!E1409</f>
        <v>تمت طباعة الشهادة</v>
      </c>
      <c r="C1409" s="133" t="str">
        <f>Saud!C1409</f>
        <v>P-1-N-240823-5048</v>
      </c>
    </row>
    <row r="1410">
      <c r="A1410" s="133" t="str">
        <f>Saud!F1410</f>
        <v>PUUR Pauze Sticks I parakeet fennel &amp; pepper 1ST 140g</v>
      </c>
      <c r="B1410" s="133" t="str">
        <f>Saud!E1410</f>
        <v>تمت طباعة الشهادة</v>
      </c>
      <c r="C1410" s="133" t="str">
        <f>Saud!C1410</f>
        <v>P-1-N-240823-5049</v>
      </c>
    </row>
    <row r="1411">
      <c r="A1411" s="133" t="str">
        <f>Saud!F1411</f>
        <v>PUUR Stick Budgie Apple/Rosehip 1 ST 60g</v>
      </c>
      <c r="B1411" s="133" t="str">
        <f>Saud!E1411</f>
        <v>تمت طباعة الشهادة</v>
      </c>
      <c r="C1411" s="133" t="str">
        <f>Saud!C1411</f>
        <v>P-1-N-240823-5050</v>
      </c>
    </row>
    <row r="1412">
      <c r="A1412" s="133" t="str">
        <f>Saud!F1412</f>
        <v>PUUR Pauze Sticks budgie rasp &amp; elderberry 1 ST 60g</v>
      </c>
      <c r="B1412" s="133" t="str">
        <f>Saud!E1412</f>
        <v>تمت طباعة الشهادة</v>
      </c>
      <c r="C1412" s="133" t="str">
        <f>Saud!C1412</f>
        <v>P-1-N-240823-5051</v>
      </c>
    </row>
    <row r="1413">
      <c r="A1413" s="133" t="str">
        <f>Saud!F1413</f>
        <v>PUUR Stick Budgie Papaya/Orange 1 ST 60g</v>
      </c>
      <c r="B1413" s="133" t="str">
        <f>Saud!E1413</f>
        <v>تمت طباعة الشهادة</v>
      </c>
      <c r="C1413" s="133" t="str">
        <f>Saud!C1413</f>
        <v>P-1-N-240823-5052</v>
      </c>
    </row>
    <row r="1414">
      <c r="A1414" s="133" t="str">
        <f>Saud!F1414</f>
        <v>PUUR Stick Canary Apple/Pear 1ST 60g</v>
      </c>
      <c r="B1414" s="133" t="str">
        <f>Saud!E1414</f>
        <v>تمت طباعة الشهادة</v>
      </c>
      <c r="C1414" s="133" t="str">
        <f>Saud!C1414</f>
        <v>P-1-N-240823-5053</v>
      </c>
    </row>
    <row r="1415">
      <c r="A1415" s="133" t="str">
        <f>Saud!F1415</f>
        <v>PUUR Pauze Sticks canary cranberrry &amp; kiwi 1 ST 60g</v>
      </c>
      <c r="B1415" s="133" t="str">
        <f>Saud!E1415</f>
        <v>تمت طباعة الشهادة</v>
      </c>
      <c r="C1415" s="133" t="str">
        <f>Saud!C1415</f>
        <v>P-1-N-240823-5054</v>
      </c>
    </row>
    <row r="1416">
      <c r="A1416" s="133" t="str">
        <f>Saud!F1416</f>
        <v>PUUR Stick Canary Elderberry/Cranberry 1 ST 60g</v>
      </c>
      <c r="B1416" s="133" t="str">
        <f>Saud!E1416</f>
        <v>تمت طباعة الشهادة</v>
      </c>
      <c r="C1416" s="133" t="str">
        <f>Saud!C1416</f>
        <v>P-1-N-240823-5055</v>
      </c>
    </row>
    <row r="1417">
      <c r="A1417" s="133" t="str">
        <f>Saud!F1417</f>
        <v>PUUR Stick Tropical birds Wild Seeds 1 ST 60g</v>
      </c>
      <c r="B1417" s="133" t="str">
        <f>Saud!E1417</f>
        <v>تمت طباعة الشهادة</v>
      </c>
      <c r="C1417" s="133" t="str">
        <f>Saud!C1417</f>
        <v>P-1-N-240823-5056</v>
      </c>
    </row>
    <row r="1418">
      <c r="A1418" s="133" t="str">
        <f>Saud!F1418</f>
        <v>PUUR Mix Nuts &amp; Fruit 200GR</v>
      </c>
      <c r="B1418" s="133" t="str">
        <f>Saud!E1418</f>
        <v>تمت طباعة الشهادة</v>
      </c>
      <c r="C1418" s="133" t="str">
        <f>Saud!C1418</f>
        <v>P-1-N-280823-5125</v>
      </c>
    </row>
    <row r="1419">
      <c r="A1419" s="133" t="str">
        <f>Saud!F1419</f>
        <v>PUUR Snack Muesli 700GR</v>
      </c>
      <c r="B1419" s="133" t="str">
        <f>Saud!E1419</f>
        <v>تمت طباعة الشهادة</v>
      </c>
      <c r="C1419" s="133" t="str">
        <f>Saud!C1419</f>
        <v>P-1-N-280823-5126</v>
      </c>
    </row>
    <row r="1420">
      <c r="A1420" s="133" t="str">
        <f>Saud!F1420</f>
        <v>PUUR Snack vegetables /herbs 100GR</v>
      </c>
      <c r="B1420" s="133" t="str">
        <f>Saud!E1420</f>
        <v>تمت طباعة الشهادة</v>
      </c>
      <c r="C1420" s="133" t="str">
        <f>Saud!C1420</f>
        <v>P-1-N-280823-5127</v>
      </c>
    </row>
    <row r="1421">
      <c r="A1421" s="133" t="str">
        <f>Saud!F1421</f>
        <v>PUUR Orchard hay 500 GR</v>
      </c>
      <c r="B1421" s="133" t="str">
        <f>Saud!E1421</f>
        <v>تمت طباعة الشهادة</v>
      </c>
      <c r="C1421" s="133" t="str">
        <f>Saud!C1421</f>
        <v>P-1-N-280823-5128</v>
      </c>
    </row>
    <row r="1422">
      <c r="A1422" s="133" t="str">
        <f>Saud!F1422</f>
        <v>PUUR Timothy hay 500 GR</v>
      </c>
      <c r="B1422" s="133" t="str">
        <f>Saud!E1422</f>
        <v>تمت طباعة الشهادة</v>
      </c>
      <c r="C1422" s="133" t="str">
        <f>Saud!C1422</f>
        <v>P-1-N-280823-5129</v>
      </c>
    </row>
    <row r="1423">
      <c r="A1423" s="133" t="str">
        <f>Saud!F1423</f>
        <v>PUUR Timothy hay vegetables 500 GR</v>
      </c>
      <c r="B1423" s="133" t="str">
        <f>Saud!E1423</f>
        <v>تمت طباعة الشهادة</v>
      </c>
      <c r="C1423" s="133" t="str">
        <f>Saud!C1423</f>
        <v>P-1-N-280823-5130</v>
      </c>
    </row>
    <row r="1424">
      <c r="A1424" s="133" t="str">
        <f>Saud!F1424</f>
        <v>PUUR Timothy hay herbs 500 GR</v>
      </c>
      <c r="B1424" s="133" t="str">
        <f>Saud!E1424</f>
        <v>تمت طباعة الشهادة</v>
      </c>
      <c r="C1424" s="133" t="str">
        <f>Saud!C1424</f>
        <v>P-1-N-280823-5131</v>
      </c>
    </row>
    <row r="1425">
      <c r="A1425" s="133" t="str">
        <f>Saud!F1425</f>
        <v>PUUR Meadow hay flowers 500 GR</v>
      </c>
      <c r="B1425" s="133" t="str">
        <f>Saud!E1425</f>
        <v>تمت طباعة الشهادة</v>
      </c>
      <c r="C1425" s="133" t="str">
        <f>Saud!C1425</f>
        <v>P-1-N-280823-5132</v>
      </c>
    </row>
    <row r="1426">
      <c r="A1426" s="133" t="str">
        <f>Saud!F1426</f>
        <v>PUUR Meadow hay vegetables 500 GR</v>
      </c>
      <c r="B1426" s="133" t="str">
        <f>Saud!E1426</f>
        <v>تمت طباعة الشهادة</v>
      </c>
      <c r="C1426" s="133" t="str">
        <f>Saud!C1426</f>
        <v>P-1-N-280823-5133</v>
      </c>
    </row>
    <row r="1427">
      <c r="A1427" s="133" t="str">
        <f>Saud!F1427</f>
        <v>PUUR Hay roll Strawberry/Cranberry 200 GR</v>
      </c>
      <c r="B1427" s="133" t="str">
        <f>Saud!E1427</f>
        <v>تمت طباعة الشهادة</v>
      </c>
      <c r="C1427" s="133" t="str">
        <f>Saud!C1427</f>
        <v>P-1-N-280823-5134</v>
      </c>
    </row>
    <row r="1428">
      <c r="A1428" s="133" t="str">
        <f>Saud!F1428</f>
        <v>PUUR Hay roll Hibiscus/Mint 200 GR</v>
      </c>
      <c r="B1428" s="133" t="str">
        <f>Saud!E1428</f>
        <v>تمت طباعة الشهادة</v>
      </c>
      <c r="C1428" s="133" t="str">
        <f>Saud!C1428</f>
        <v>P-1-N-280823-5135</v>
      </c>
    </row>
    <row r="1429">
      <c r="A1429" s="133" t="str">
        <f>Saud!F1429</f>
        <v>PUUR Hay roll Celery/Paprika 200 GR</v>
      </c>
      <c r="B1429" s="133" t="str">
        <f>Saud!E1429</f>
        <v>تمت طباعة الشهادة</v>
      </c>
      <c r="C1429" s="133" t="str">
        <f>Saud!C1429</f>
        <v>P-1-N-280823-5136</v>
      </c>
    </row>
    <row r="1430">
      <c r="A1430" s="133" t="str">
        <f>Saud!F1430</f>
        <v>PUUR Hay roll Carrot/Pumpkin 200 GR</v>
      </c>
      <c r="B1430" s="133" t="str">
        <f>Saud!E1430</f>
        <v>تمت طباعة الشهادة</v>
      </c>
      <c r="C1430" s="133" t="str">
        <f>Saud!C1430</f>
        <v>P-1-N-280823-5137</v>
      </c>
    </row>
    <row r="1431">
      <c r="A1431" s="133" t="str">
        <f>Saud!F1431</f>
        <v>PUUR Pauze marigold tube flowers &amp; herbs 80gr Yellow</v>
      </c>
      <c r="B1431" s="133" t="str">
        <f>Saud!E1431</f>
        <v>تمت طباعة الشهادة</v>
      </c>
      <c r="C1431" s="133" t="str">
        <f>Saud!C1431</f>
        <v>P-1-N-280823-5138</v>
      </c>
    </row>
    <row r="1432">
      <c r="A1432" s="133" t="str">
        <f>Saud!F1432</f>
        <v>PUUR Pauze parsley tube carrot &amp; plantain 200gr Green</v>
      </c>
      <c r="B1432" s="133" t="str">
        <f>Saud!E1432</f>
        <v>تمت طباعة الشهادة</v>
      </c>
      <c r="C1432" s="133" t="str">
        <f>Saud!C1432</f>
        <v>P-1-N-280823-5140</v>
      </c>
    </row>
    <row r="1433">
      <c r="A1433" s="133" t="str">
        <f>Saud!F1433</f>
        <v>PUUR Pauze parsley tube carrot &amp; plantain 100gr Green</v>
      </c>
      <c r="B1433" s="133" t="str">
        <f>Saud!E1433</f>
        <v>تمت طباعة الشهادة</v>
      </c>
      <c r="C1433" s="133" t="str">
        <f>Saud!C1433</f>
        <v>P-1-N-280823-5142</v>
      </c>
    </row>
    <row r="1434">
      <c r="A1434" s="133" t="str">
        <f>Saud!F1434</f>
        <v>PUUR Pauze beetroot tube parsnip &amp; carrot 100gr Red</v>
      </c>
      <c r="B1434" s="133" t="str">
        <f>Saud!E1434</f>
        <v>تمت طباعة الشهادة</v>
      </c>
      <c r="C1434" s="133" t="str">
        <f>Saud!C1434</f>
        <v>P-1-N-280823-5143</v>
      </c>
    </row>
    <row r="1435">
      <c r="A1435" s="133" t="str">
        <f>Saud!F1435</f>
        <v>PUUR Pauze carrot tube grain &amp; nettle 100gr</v>
      </c>
      <c r="B1435" s="133" t="str">
        <f>Saud!E1435</f>
        <v>تمت طباعة الشهادة</v>
      </c>
      <c r="C1435" s="133" t="str">
        <f>Saud!C1435</f>
        <v>P-1-N-280823-5144</v>
      </c>
    </row>
    <row r="1436">
      <c r="A1436" s="133" t="str">
        <f>Saud!F1436</f>
        <v>PUUR Hay tunnel Vegetables 280 GR</v>
      </c>
      <c r="B1436" s="133" t="str">
        <f>Saud!E1436</f>
        <v>تمت طباعة الشهادة</v>
      </c>
      <c r="C1436" s="133" t="str">
        <f>Saud!C1436</f>
        <v>P-1-N-280823-5145</v>
      </c>
    </row>
    <row r="1437">
      <c r="A1437" s="133" t="str">
        <f>Saud!F1437</f>
        <v>PUUR Hay tunnel Parsnip 425 GR</v>
      </c>
      <c r="B1437" s="133" t="str">
        <f>Saud!E1437</f>
        <v>تمت طباعة الشهادة</v>
      </c>
      <c r="C1437" s="133" t="str">
        <f>Saud!C1437</f>
        <v>P-1-N-280823-5146</v>
      </c>
    </row>
    <row r="1438">
      <c r="A1438" s="133" t="str">
        <f>Saud!F1438</f>
        <v>PUUR Hay tunnel Parsley/Flowers 60 GR</v>
      </c>
      <c r="B1438" s="133" t="str">
        <f>Saud!E1438</f>
        <v>تمت طباعة الشهادة</v>
      </c>
      <c r="C1438" s="133" t="str">
        <f>Saud!C1438</f>
        <v>P-1-N-280823-5147</v>
      </c>
    </row>
    <row r="1439">
      <c r="A1439" s="133" t="str">
        <f>Saud!F1439</f>
        <v>PUUR Rabbit Junior 2kg</v>
      </c>
      <c r="B1439" s="133" t="str">
        <f>Saud!E1439</f>
        <v>تمت طباعة الشهادة</v>
      </c>
      <c r="C1439" s="133" t="str">
        <f>Saud!C1439</f>
        <v>P-1-N-040923-5240</v>
      </c>
    </row>
    <row r="1440">
      <c r="A1440" s="133" t="str">
        <f>Saud!F1440</f>
        <v>Country Seed sticks budgie apricot &amp; fig 60g</v>
      </c>
      <c r="B1440" s="133" t="str">
        <f>Saud!E1440</f>
        <v>تمت طباعة الشهادة</v>
      </c>
      <c r="C1440" s="133" t="str">
        <f>Saud!C1440</f>
        <v>P-1-N-040923-5242</v>
      </c>
    </row>
    <row r="1441">
      <c r="A1441" s="133" t="str">
        <f>Saud!F1441</f>
        <v>CIAO SUGOI CRUNCHY TUNA FLAVOR PLUS PREBIOTICS 110G</v>
      </c>
      <c r="B1441" s="133" t="str">
        <f>Saud!E1441</f>
        <v>تمت طباعة الشهادة</v>
      </c>
      <c r="C1441" s="133" t="str">
        <f>Saud!C1441</f>
        <v>P-1-N-040923-5245</v>
      </c>
    </row>
    <row r="1442">
      <c r="A1442" s="133" t="str">
        <f>Saud!F1442</f>
        <v>CIAO SUGOI CRUNCHY TUNA FLAVOR PLUS PREBIOTICS 1.14KG</v>
      </c>
      <c r="B1442" s="133" t="str">
        <f>Saud!E1442</f>
        <v>تمت طباعة الشهادة</v>
      </c>
      <c r="C1442" s="133" t="str">
        <f>Saud!C1442</f>
        <v>P-1-N-040923-5246</v>
      </c>
    </row>
    <row r="1443">
      <c r="A1443" s="133" t="str">
        <f>Saud!F1443</f>
        <v>CIAO SUGOI CRUNCHY SCALLOP FLAVOR PLUS PREBIOTICS 110G</v>
      </c>
      <c r="B1443" s="133" t="str">
        <f>Saud!E1443</f>
        <v>تمت طباعة الشهادة</v>
      </c>
      <c r="C1443" s="133" t="str">
        <f>Saud!C1443</f>
        <v>P-1-N-040923-5247</v>
      </c>
    </row>
    <row r="1444">
      <c r="A1444" s="133" t="str">
        <f>Saud!F1444</f>
        <v>CIAO SUGOI CRUNCHY CHICKEN FLAVOR PLUS PREBIOTICS 110G</v>
      </c>
      <c r="B1444" s="133" t="str">
        <f>Saud!E1444</f>
        <v>تمت طباعة الشهادة</v>
      </c>
      <c r="C1444" s="133" t="str">
        <f>Saud!C1444</f>
        <v>P-1-N-040923-5248</v>
      </c>
    </row>
    <row r="1445">
      <c r="A1445" s="133" t="str">
        <f>Saud!F1445</f>
        <v>CIAO SUGOI CRUNCHY CHICKEN FLAVOR PLUS PREBIOTICS 1.14KG</v>
      </c>
      <c r="B1445" s="133" t="str">
        <f>Saud!E1445</f>
        <v>تمت طباعة الشهادة</v>
      </c>
      <c r="C1445" s="133" t="str">
        <f>Saud!C1445</f>
        <v>P-1-N-040923-5249</v>
      </c>
    </row>
    <row r="1446">
      <c r="A1446" s="133" t="str">
        <f>Saud!F1446</f>
        <v>CIAO SUGOI CRUNCHY SALMON FLAVOR PLUS PREBIOTICS 110G</v>
      </c>
      <c r="B1446" s="133" t="str">
        <f>Saud!E1446</f>
        <v>تمت طباعة الشهادة</v>
      </c>
      <c r="C1446" s="133" t="str">
        <f>Saud!C1446</f>
        <v>P-1-N-040923-5250</v>
      </c>
    </row>
    <row r="1447">
      <c r="A1447" s="133" t="str">
        <f>Saud!F1447</f>
        <v>Country Chew sticks fig &amp; pineapple 110g</v>
      </c>
      <c r="B1447" s="133" t="str">
        <f>Saud!E1447</f>
        <v>تمت طباعة الشهادة</v>
      </c>
      <c r="C1447" s="133" t="str">
        <f>Saud!C1447</f>
        <v>P-1-N-190923-5561</v>
      </c>
    </row>
    <row r="1448">
      <c r="A1448" s="133" t="str">
        <f>Saud!F1448</f>
        <v>JosiCat Sterilised Classic 650g</v>
      </c>
      <c r="B1448" s="133" t="str">
        <f>Saud!E1448</f>
        <v>تمت طباعة الشهادة</v>
      </c>
      <c r="C1448" s="133" t="str">
        <f>Saud!C1448</f>
        <v>P-1-N-250923-5693</v>
      </c>
    </row>
    <row r="1449">
      <c r="A1449" s="133" t="str">
        <f>Saud!F1449</f>
        <v>JosiCat Crispy Duck 650g</v>
      </c>
      <c r="B1449" s="133" t="str">
        <f>Saud!E1449</f>
        <v>تمت طباعة الشهادة</v>
      </c>
      <c r="C1449" s="133" t="str">
        <f>Saud!C1449</f>
        <v>P-1-N-250923-5694</v>
      </c>
    </row>
    <row r="1450">
      <c r="A1450" s="133" t="str">
        <f>Saud!F1450</f>
        <v>JosiCat Crunchy Chicken 650g</v>
      </c>
      <c r="B1450" s="133" t="str">
        <f>Saud!E1450</f>
        <v>تمت طباعة الشهادة</v>
      </c>
      <c r="C1450" s="133" t="str">
        <f>Saud!C1450</f>
        <v>P-1-N-250923-5695</v>
      </c>
    </row>
    <row r="1451">
      <c r="A1451" s="133" t="str">
        <f>Saud!F1451</f>
        <v>JosiCat Tasty Beef 650g</v>
      </c>
      <c r="B1451" s="133" t="str">
        <f>Saud!E1451</f>
        <v>تمت طباعة الشهادة</v>
      </c>
      <c r="C1451" s="133" t="str">
        <f>Saud!C1451</f>
        <v>P-1-N-250923-5696</v>
      </c>
    </row>
    <row r="1452">
      <c r="A1452" s="133" t="str">
        <f>Saud!F1452</f>
        <v>JosiCat Sterilised Classic 18kg - 650 g</v>
      </c>
      <c r="B1452" s="133" t="str">
        <f>Saud!E1452</f>
        <v>مرجع للتعديل</v>
      </c>
      <c r="C1452" s="133" t="str">
        <f>Saud!C1452</f>
        <v>P-1-N-250923-5697</v>
      </c>
    </row>
    <row r="1453">
      <c r="A1453" s="133" t="str">
        <f>Saud!F1453</f>
        <v>PUUR Fruits &amp; Nuts Crumble 200gr</v>
      </c>
      <c r="B1453" s="133" t="str">
        <f>Saud!E1453</f>
        <v>تمت طباعة الشهادة</v>
      </c>
      <c r="C1453" s="133" t="str">
        <f>Saud!C1453</f>
        <v>P-1-N-270923-5779</v>
      </c>
    </row>
    <row r="1454">
      <c r="A1454" s="133" t="str">
        <f>Saud!F1454</f>
        <v>Dr. Clauder’s High Premium Adult Grainfree 1.5 kg</v>
      </c>
      <c r="B1454" s="133" t="str">
        <f>Saud!E1454</f>
        <v>تمت طباعة الشهادة</v>
      </c>
      <c r="C1454" s="133" t="str">
        <f>Saud!C1454</f>
        <v>P-1-N-301023-6531</v>
      </c>
    </row>
    <row r="1455">
      <c r="A1455" s="133" t="str">
        <f>Saud!F1455</f>
        <v>Dr. Clauder’s High Premium Adult Grainfree 4 kg</v>
      </c>
      <c r="B1455" s="133" t="str">
        <f>Saud!E1455</f>
        <v>تمت طباعة الشهادة</v>
      </c>
      <c r="C1455" s="133" t="str">
        <f>Saud!C1455</f>
        <v>P-1-N-301023-6532</v>
      </c>
    </row>
    <row r="1456">
      <c r="A1456" s="133" t="str">
        <f>Saud!F1456</f>
        <v>Dr. Clauder’s High Premium Adult Grainfree 10 kg</v>
      </c>
      <c r="B1456" s="133" t="str">
        <f>Saud!E1456</f>
        <v>تمت طباعة الشهادة</v>
      </c>
      <c r="C1456" s="133" t="str">
        <f>Saud!C1456</f>
        <v>P-1-N-301023-6533</v>
      </c>
    </row>
    <row r="1457">
      <c r="A1457" s="133" t="str">
        <f>Saud!F1457</f>
        <v>Dr. Clauder’s High Premium Indoor 4 kg</v>
      </c>
      <c r="B1457" s="133" t="str">
        <f>Saud!E1457</f>
        <v>تمت طباعة الشهادة</v>
      </c>
      <c r="C1457" s="133" t="str">
        <f>Saud!C1457</f>
        <v>P-1-N-301023-6534</v>
      </c>
    </row>
    <row r="1458">
      <c r="A1458" s="133" t="str">
        <f>Saud!F1458</f>
        <v>Dr. Clauder’s High Premium Indoor 10 kg</v>
      </c>
      <c r="B1458" s="133" t="str">
        <f>Saud!E1458</f>
        <v>تمت طباعة الشهادة</v>
      </c>
      <c r="C1458" s="133" t="str">
        <f>Saud!C1458</f>
        <v>P-1-N-301023-6535</v>
      </c>
    </row>
    <row r="1459">
      <c r="A1459" s="133" t="str">
        <f>Saud!F1459</f>
        <v>Dr. Clauder’s High Premium Kitten </v>
      </c>
      <c r="B1459" s="133" t="str">
        <f>Saud!E1459</f>
        <v>تمت طباعة الشهادة</v>
      </c>
      <c r="C1459" s="133" t="str">
        <f>Saud!C1459</f>
        <v>P-1-N-301023-6536</v>
      </c>
    </row>
    <row r="1460">
      <c r="A1460" s="133" t="str">
        <f>Saud!F1460</f>
        <v>Dr. Clauder’s High Premium Kitten 1.5kg</v>
      </c>
      <c r="B1460" s="133" t="str">
        <f>Saud!E1460</f>
        <v>تمت طباعة الشهادة</v>
      </c>
      <c r="C1460" s="133" t="str">
        <f>Saud!C1460</f>
        <v>P-1-N-301023-6537</v>
      </c>
    </row>
    <row r="1461">
      <c r="A1461" s="133" t="str">
        <f>Saud!F1461</f>
        <v>Dr. Clauder’s High Premium Kitten 4kg</v>
      </c>
      <c r="B1461" s="133" t="str">
        <f>Saud!E1461</f>
        <v>تمت طباعة الشهادة</v>
      </c>
      <c r="C1461" s="133" t="str">
        <f>Saud!C1461</f>
        <v>P-1-N-301023-6538</v>
      </c>
    </row>
    <row r="1462">
      <c r="A1462" s="133" t="str">
        <f>Saud!F1462</f>
        <v>Dr. Clauder’s High Premium Kitten 10kg</v>
      </c>
      <c r="B1462" s="133" t="str">
        <f>Saud!E1462</f>
        <v>تمت طباعة الشهادة</v>
      </c>
      <c r="C1462" s="133" t="str">
        <f>Saud!C1462</f>
        <v>P-1-N-301023-6539</v>
      </c>
    </row>
    <row r="1463">
      <c r="A1463" s="133" t="str">
        <f>Saud!F1463</f>
        <v>Dr. Clauder’s High Premium Outdoor 1.5 kg</v>
      </c>
      <c r="B1463" s="133" t="str">
        <f>Saud!E1463</f>
        <v>تمت طباعة الشهادة</v>
      </c>
      <c r="C1463" s="133" t="str">
        <f>Saud!C1463</f>
        <v>P-1-N-301023-6541</v>
      </c>
    </row>
    <row r="1464">
      <c r="A1464" s="133" t="str">
        <f>Saud!F1464</f>
        <v>Dr. Clauder’s High Premium Outdoor 4 kg</v>
      </c>
      <c r="B1464" s="133" t="str">
        <f>Saud!E1464</f>
        <v>تمت طباعة الشهادة</v>
      </c>
      <c r="C1464" s="133" t="str">
        <f>Saud!C1464</f>
        <v>P-1-N-301023-6542</v>
      </c>
    </row>
    <row r="1465">
      <c r="A1465" s="133" t="str">
        <f>Saud!F1465</f>
        <v>Dr. Clauder’s High Premium Outdoor 10 kg</v>
      </c>
      <c r="B1465" s="133" t="str">
        <f>Saud!E1465</f>
        <v>تمت طباعة الشهادة</v>
      </c>
      <c r="C1465" s="133" t="str">
        <f>Saud!C1465</f>
        <v>P-1-N-301023-6543</v>
      </c>
    </row>
    <row r="1466">
      <c r="A1466" s="133" t="str">
        <f>Saud!F1466</f>
        <v>Dr. Clauder’s High Premium Senior/Light 1.5kg</v>
      </c>
      <c r="B1466" s="133" t="str">
        <f>Saud!E1466</f>
        <v>تمت طباعة الشهادة</v>
      </c>
      <c r="C1466" s="133" t="str">
        <f>Saud!C1466</f>
        <v>P-1-N-301023-6544</v>
      </c>
    </row>
    <row r="1467">
      <c r="A1467" s="133" t="str">
        <f>Saud!F1467</f>
        <v>Dr. Clauder’s High Premium Senior/Light 4kg</v>
      </c>
      <c r="B1467" s="133" t="str">
        <f>Saud!E1467</f>
        <v>تمت طباعة الشهادة</v>
      </c>
      <c r="C1467" s="133" t="str">
        <f>Saud!C1467</f>
        <v>P-1-N-301023-6545</v>
      </c>
    </row>
    <row r="1468">
      <c r="A1468" s="133" t="str">
        <f>Saud!F1468</f>
        <v>Dr. Clauder’s High Premium Senior/Light 10kg</v>
      </c>
      <c r="B1468" s="133" t="str">
        <f>Saud!E1468</f>
        <v>تمت طباعة الشهادة</v>
      </c>
      <c r="C1468" s="133" t="str">
        <f>Saud!C1468</f>
        <v>P-1-N-301023-6546</v>
      </c>
    </row>
    <row r="1469">
      <c r="A1469" s="133" t="str">
        <f>Saud!F1469</f>
        <v>Dr. Clauder’s Selected Meat Ente 100 g</v>
      </c>
      <c r="B1469" s="133" t="str">
        <f>Saud!E1469</f>
        <v>تمت طباعة الشهادة</v>
      </c>
      <c r="C1469" s="133" t="str">
        <f>Saud!C1469</f>
        <v>P-1-N-311023-6580</v>
      </c>
    </row>
    <row r="1470">
      <c r="A1470" s="133" t="str">
        <f>Saud!F1470</f>
        <v>Dr. Clauder’s Selected Meat Geflügel 100 g</v>
      </c>
      <c r="B1470" s="133" t="str">
        <f>Saud!E1470</f>
        <v>تمت طباعة الشهادة</v>
      </c>
      <c r="C1470" s="133" t="str">
        <f>Saud!C1470</f>
        <v>P-1-N-311023-6581</v>
      </c>
    </row>
    <row r="1471">
      <c r="A1471" s="133" t="str">
        <f>Saud!F1471</f>
        <v>Dr. Clauder’s Selected Meat Lachs &amp; Reis 100 g</v>
      </c>
      <c r="B1471" s="133" t="str">
        <f>Saud!E1471</f>
        <v>تمت طباعة الشهادة</v>
      </c>
      <c r="C1471" s="133" t="str">
        <f>Saud!C1471</f>
        <v>P-1-N-311023-6582</v>
      </c>
    </row>
    <row r="1472">
      <c r="A1472" s="133" t="str">
        <f>Saud!F1472</f>
        <v>Dr. Clauder’s Selected Meat Pute &amp; Reis 100 g</v>
      </c>
      <c r="B1472" s="133" t="str">
        <f>Saud!E1472</f>
        <v>تمت طباعة الشهادة</v>
      </c>
      <c r="C1472" s="133" t="str">
        <f>Saud!C1472</f>
        <v>P-1-N-311023-6583</v>
      </c>
    </row>
    <row r="1473">
      <c r="A1473" s="133" t="str">
        <f>Saud!F1473</f>
        <v>SOLID GOLD MIGHTY MINI TOY &amp; SMALL BREED LAMB GRAIN FREE 99g</v>
      </c>
      <c r="B1473" s="133" t="str">
        <f>Saud!E1473</f>
        <v>مكتمل</v>
      </c>
      <c r="C1473" s="133" t="str">
        <f>Saud!C1473</f>
        <v>P-1-N-131123-6896</v>
      </c>
    </row>
    <row r="1474">
      <c r="A1474" s="133" t="str">
        <f>Saud!F1474</f>
        <v>SOLID GOLD MIGHTY MINI TOY &amp; SMALL BREED CHICKEN GRAIN FREE 99g</v>
      </c>
      <c r="B1474" s="133" t="str">
        <f>Saud!E1474</f>
        <v>مكتمل</v>
      </c>
      <c r="C1474" s="133" t="str">
        <f>Saud!C1474</f>
        <v>P-1-N-131123-6897</v>
      </c>
    </row>
    <row r="1475">
      <c r="A1475" s="133" t="str">
        <f>Saud!F1475</f>
        <v>SOLID GOLD NB LOVE AT FIRST BARK CHICKEN GRAIN FREE 9.98kg</v>
      </c>
      <c r="B1475" s="133" t="str">
        <f>Saud!E1475</f>
        <v>REJECTED</v>
      </c>
      <c r="C1475" s="133" t="str">
        <f>Saud!C1475</f>
        <v>P-1-N-131123-6912</v>
      </c>
    </row>
    <row r="1476">
      <c r="A1476" s="133" t="str">
        <f>Saud!F1476</f>
        <v>SOLID GOLD NB LOVE AT FIRST BARK CHICKEN GRAIN FREE 1.7kg</v>
      </c>
      <c r="B1476" s="133" t="str">
        <f>Saud!E1476</f>
        <v>REJECTED</v>
      </c>
      <c r="C1476" s="133" t="str">
        <f>Saud!C1476</f>
        <v>P-1-N-131123-6913</v>
      </c>
    </row>
    <row r="1477">
      <c r="A1477" s="133" t="str">
        <f>Saud!F1477</f>
        <v>Solid Gold NB Mighty Mini Chicken 1.7Kg</v>
      </c>
      <c r="B1477" s="133" t="str">
        <f>Saud!E1477</f>
        <v>مكتمل</v>
      </c>
      <c r="C1477" s="133" t="str">
        <f>Saud!C1477</f>
        <v>P-1-N-181223-7728</v>
      </c>
    </row>
    <row r="1478">
      <c r="A1478" s="133" t="str">
        <f>Saud!F1478</f>
        <v>Solid Gold NB Barking at the Moon Beef 1.7Kg</v>
      </c>
      <c r="B1478" s="133" t="str">
        <f>Saud!E1478</f>
        <v>مكتمل</v>
      </c>
      <c r="C1478" s="133" t="str">
        <f>Saud!C1478</f>
        <v>P-1-N-191123-7085</v>
      </c>
    </row>
    <row r="1479">
      <c r="A1479" s="133" t="str">
        <f>Saud!F1479</f>
        <v>Solid Gold NB Barking at the Moon Beef 4.99Kg</v>
      </c>
      <c r="B1479" s="133" t="str">
        <f>Saud!E1479</f>
        <v>مكتمل</v>
      </c>
      <c r="C1479" s="133" t="str">
        <f>Saud!C1479</f>
        <v>P-1-N-191123-7086</v>
      </c>
    </row>
    <row r="1480">
      <c r="A1480" s="133" t="str">
        <f>Saud!F1480</f>
        <v>Solid Gold NB Barking at the Moon Beef 9.98Kg</v>
      </c>
      <c r="B1480" s="133" t="str">
        <f>Saud!E1480</f>
        <v>مكتمل</v>
      </c>
      <c r="C1480" s="133" t="str">
        <f>Saud!C1480</f>
        <v>P-1-N-191123-7087</v>
      </c>
    </row>
    <row r="1481">
      <c r="A1481" s="133" t="str">
        <f>Saud!F1481</f>
        <v>Solid Gold LET'S STAY IN CHICKEN GF 1.36 kg</v>
      </c>
      <c r="B1481" s="133" t="str">
        <f>Saud!E1481</f>
        <v>تمت طباعة الشهادة</v>
      </c>
      <c r="C1481" s="133" t="str">
        <f>Saud!C1481</f>
        <v>P-1-N-191123-7090</v>
      </c>
    </row>
    <row r="1482">
      <c r="A1482" s="133" t="str">
        <f>Saud!F1482</f>
        <v>Solid Gold LET'S STAY IN CHICKEN GF 2.72 kg</v>
      </c>
      <c r="B1482" s="133" t="str">
        <f>Saud!E1482</f>
        <v>تمت طباعة الشهادة</v>
      </c>
      <c r="C1482" s="133" t="str">
        <f>Saud!C1482</f>
        <v>P-1-N-191123-7091</v>
      </c>
    </row>
    <row r="1483">
      <c r="A1483" s="133" t="str">
        <f>Saud!F1483</f>
        <v>Solid Gold LET'S STAY IN CHICKEN GF IN 5.44 kg</v>
      </c>
      <c r="B1483" s="133" t="str">
        <f>Saud!E1483</f>
        <v>تمت طباعة الشهادة</v>
      </c>
      <c r="C1483" s="133" t="str">
        <f>Saud!C1483</f>
        <v>P-1-N-191123-7092</v>
      </c>
    </row>
    <row r="1484">
      <c r="A1484" s="133" t="str">
        <f>Saud!F1484</f>
        <v>SOLID GOLD MIGHTY MINI TURKEY GRAVY GF 99g</v>
      </c>
      <c r="B1484" s="133" t="str">
        <f>Saud!E1484</f>
        <v>REJECTED</v>
      </c>
      <c r="C1484" s="133" t="str">
        <f>Saud!C1484</f>
        <v>P-1-N-191123-7093</v>
      </c>
    </row>
    <row r="1485">
      <c r="A1485" s="133" t="str">
        <f>Saud!F1485</f>
        <v>Sanal Biotin 75 g</v>
      </c>
      <c r="B1485" s="133" t="str">
        <f>Saud!E1485</f>
        <v>تمت طباعة الشهادة</v>
      </c>
      <c r="C1485" s="133" t="str">
        <f>Saud!C1485</f>
        <v>P-1-N-271123-7233</v>
      </c>
    </row>
    <row r="1486">
      <c r="A1486" s="133" t="str">
        <f>Saud!F1486</f>
        <v>Dr. Clauder’s Best Choice Mini Adult 2 kg</v>
      </c>
      <c r="B1486" s="133" t="str">
        <f>Saud!E1486</f>
        <v>تمت طباعة الشهادة</v>
      </c>
      <c r="C1486" s="133" t="str">
        <f>Saud!C1486</f>
        <v>P-1-N-031223-7361</v>
      </c>
    </row>
    <row r="1487">
      <c r="A1487" s="133" t="str">
        <f>Saud!F1487</f>
        <v>Dr. Clauder’s Best Choice Mini Adult Lamm &amp; Reis 2kg</v>
      </c>
      <c r="B1487" s="133" t="str">
        <f>Saud!E1487</f>
        <v>تمت طباعة الشهادة</v>
      </c>
      <c r="C1487" s="133" t="str">
        <f>Saud!C1487</f>
        <v>P-1-N-031223-7362</v>
      </c>
    </row>
    <row r="1488">
      <c r="A1488" s="133" t="str">
        <f>Saud!F1488</f>
        <v>Dr. Clauder’s Best Choice Mini Junior Lachs 2 kg</v>
      </c>
      <c r="B1488" s="133" t="str">
        <f>Saud!E1488</f>
        <v>تمت طباعة الشهادة</v>
      </c>
      <c r="C1488" s="133" t="str">
        <f>Saud!C1488</f>
        <v>P-1-N-031223-7363</v>
      </c>
    </row>
    <row r="1489">
      <c r="A1489" s="133" t="str">
        <f>Saud!F1489</f>
        <v>Dr</v>
      </c>
      <c r="B1489" s="133" t="str">
        <f>Saud!E1489</f>
        <v>تمت طباعة الشهادة</v>
      </c>
      <c r="C1489" s="133" t="str">
        <f>Saud!C1489</f>
        <v>P-1-N-031223-7364</v>
      </c>
    </row>
    <row r="1490">
      <c r="A1490" s="133" t="str">
        <f>Saud!F1490</f>
        <v>Dr. Clauder’s Best Choice Adult Medium 12.5 kg</v>
      </c>
      <c r="B1490" s="133" t="str">
        <f>Saud!E1490</f>
        <v>تمت طباعة الشهادة</v>
      </c>
      <c r="C1490" s="133" t="str">
        <f>Saud!C1490</f>
        <v>P-1-N-031223-7365</v>
      </c>
    </row>
    <row r="1491">
      <c r="A1491" s="133" t="str">
        <f>Saud!F1491</f>
        <v>Clauder’s Best Choice Junior Medium 4 kg</v>
      </c>
      <c r="B1491" s="133" t="str">
        <f>Saud!E1491</f>
        <v>تمت طباعة الشهادة</v>
      </c>
      <c r="C1491" s="133" t="str">
        <f>Saud!C1491</f>
        <v>P-1-N-031223-7366</v>
      </c>
    </row>
    <row r="1492">
      <c r="A1492" s="133" t="str">
        <f>Saud!F1492</f>
        <v>Dr. Clauder’s Best Choice Junior Medium 12.5 kg</v>
      </c>
      <c r="B1492" s="133" t="str">
        <f>Saud!E1492</f>
        <v>تمت طباعة الشهادة</v>
      </c>
      <c r="C1492" s="133" t="str">
        <f>Saud!C1492</f>
        <v>P-1-N-031223-7367</v>
      </c>
    </row>
    <row r="1493">
      <c r="A1493" s="133" t="str">
        <f>Saud!F1493</f>
        <v>Dr. Clauder’s Best Choice Performance PowerPlus 4 kg</v>
      </c>
      <c r="B1493" s="133" t="str">
        <f>Saud!E1493</f>
        <v>تمت طباعة الشهادة</v>
      </c>
      <c r="C1493" s="133" t="str">
        <f>Saud!C1493</f>
        <v>P-1-N-051223-7411</v>
      </c>
    </row>
    <row r="1494">
      <c r="A1494" s="133" t="str">
        <f>Saud!F1494</f>
        <v>Dr. Clauder’s Best Choice Performance PowerPlus 12.5 kg</v>
      </c>
      <c r="B1494" s="133" t="str">
        <f>Saud!E1494</f>
        <v>تمت طباعة الشهادة</v>
      </c>
      <c r="C1494" s="133" t="str">
        <f>Saud!C1494</f>
        <v>P-1-N-051223-7412</v>
      </c>
    </row>
    <row r="1495">
      <c r="A1495" s="133" t="str">
        <f>Saud!F1495</f>
        <v>Dr. Clauder’s Best Choice Adult Lamm &amp; Reis 4 kg</v>
      </c>
      <c r="B1495" s="133" t="str">
        <f>Saud!E1495</f>
        <v>تمت طباعة الشهادة</v>
      </c>
      <c r="C1495" s="133" t="str">
        <f>Saud!C1495</f>
        <v>P-1-N-051223-7413</v>
      </c>
    </row>
    <row r="1496">
      <c r="A1496" s="133" t="str">
        <f>Saud!F1496</f>
        <v>Dr. Clauder’s Best Choice Adult Lamm &amp; Reis 12.5 kg</v>
      </c>
      <c r="B1496" s="133" t="str">
        <f>Saud!E1496</f>
        <v>تمت طباعة الشهادة</v>
      </c>
      <c r="C1496" s="133" t="str">
        <f>Saud!C1496</f>
        <v>P-1-N-051223-7414</v>
      </c>
    </row>
    <row r="1497">
      <c r="A1497" s="133" t="str">
        <f>Saud!F1497</f>
        <v>Dr. Clauder’s Best Choice Junior Lamm &amp; Reis 4 kg</v>
      </c>
      <c r="B1497" s="133" t="str">
        <f>Saud!E1497</f>
        <v>تمت طباعة الشهادة</v>
      </c>
      <c r="C1497" s="133" t="str">
        <f>Saud!C1497</f>
        <v>P-1-N-051223-7415</v>
      </c>
    </row>
    <row r="1498">
      <c r="A1498" s="133" t="str">
        <f>Saud!F1498</f>
        <v>Dr. Clauder’s Best Choice Junior Lamm &amp; Reis 12.5 kg</v>
      </c>
      <c r="B1498" s="133" t="str">
        <f>Saud!E1498</f>
        <v>تمت طباعة الشهادة</v>
      </c>
      <c r="C1498" s="133" t="str">
        <f>Saud!C1498</f>
        <v>P-1-N-051223-7416</v>
      </c>
    </row>
    <row r="1499">
      <c r="A1499" s="133" t="str">
        <f>Saud!F1499</f>
        <v>Dr. Clauder’s Ente&amp;Kartoffel 11.5 kg</v>
      </c>
      <c r="B1499" s="133" t="str">
        <f>Saud!E1499</f>
        <v>تمت طباعة الشهادة</v>
      </c>
      <c r="C1499" s="133" t="str">
        <f>Saud!C1499</f>
        <v>P-1-N-051223-7417</v>
      </c>
    </row>
    <row r="1500">
      <c r="A1500" s="133" t="str">
        <f>Saud!F1500</f>
        <v>Dr. Clauder’s Mini Ente&amp;Kartoffel 2 kg</v>
      </c>
      <c r="B1500" s="133" t="str">
        <f>Saud!E1500</f>
        <v>تمت طباعة الشهادة</v>
      </c>
      <c r="C1500" s="133" t="str">
        <f>Saud!C1500</f>
        <v>P-1-N-051223-7418</v>
      </c>
    </row>
    <row r="1501">
      <c r="A1501" s="133" t="str">
        <f>Saud!F1501</f>
        <v>Dr. Clauder’s Mini Ente&amp;Kartoffel 12.5 kg</v>
      </c>
      <c r="B1501" s="133" t="str">
        <f>Saud!E1501</f>
        <v>تمت طباعة الشهادة</v>
      </c>
      <c r="C1501" s="133" t="str">
        <f>Saud!C1501</f>
        <v>P-1-N-051223-7419</v>
      </c>
    </row>
    <row r="1502">
      <c r="A1502" s="133" t="str">
        <f>Saud!F1502</f>
        <v>Dr. Clauder’s Wildlife Ente 2 kg</v>
      </c>
      <c r="B1502" s="133" t="str">
        <f>Saud!E1502</f>
        <v>تمت طباعة الشهادة</v>
      </c>
      <c r="C1502" s="133" t="str">
        <f>Saud!C1502</f>
        <v>P-1-N-051223-7421</v>
      </c>
    </row>
    <row r="1503">
      <c r="A1503" s="133" t="str">
        <f>Saud!F1503</f>
        <v>Dr. Clauder’s Wildlife Ente 11.5 kg</v>
      </c>
      <c r="B1503" s="133" t="str">
        <f>Saud!E1503</f>
        <v>تمت طباعة الشهادة</v>
      </c>
      <c r="C1503" s="133" t="str">
        <f>Saud!C1503</f>
        <v>P-1-N-051223-7422</v>
      </c>
    </row>
    <row r="1504">
      <c r="A1504" s="133" t="str">
        <f>Saud!F1504</f>
        <v>Dr. Clauder’s Wildlife Lamm 2 kg</v>
      </c>
      <c r="B1504" s="133" t="str">
        <f>Saud!E1504</f>
        <v>تمت طباعة الشهادة</v>
      </c>
      <c r="C1504" s="133" t="str">
        <f>Saud!C1504</f>
        <v>P-1-N-051223-7423</v>
      </c>
    </row>
    <row r="1505">
      <c r="A1505" s="133" t="str">
        <f>Saud!F1505</f>
        <v>Dr. Clauder’s Wildlife Lamm 11.5 kg</v>
      </c>
      <c r="B1505" s="133" t="str">
        <f>Saud!E1505</f>
        <v>تمت طباعة الشهادة</v>
      </c>
      <c r="C1505" s="133" t="str">
        <f>Saud!C1505</f>
        <v>P-1-N-051223-7424</v>
      </c>
    </row>
    <row r="1506">
      <c r="A1506" s="133" t="str">
        <f>Saud!F1506</f>
        <v>Dr. Clauder’s Diät FSD Haar &amp; Hautdiät 1 kg</v>
      </c>
      <c r="B1506" s="133" t="str">
        <f>Saud!E1506</f>
        <v>تمت طباعة الشهادة</v>
      </c>
      <c r="C1506" s="133" t="str">
        <f>Saud!C1506</f>
        <v>P-1-N-051223-7425</v>
      </c>
    </row>
    <row r="1507">
      <c r="A1507" s="133" t="str">
        <f>Saud!F1507</f>
        <v>Dr. Clauder’s Diät FSD Haar &amp; Hautdiät 4 kg</v>
      </c>
      <c r="B1507" s="133" t="str">
        <f>Saud!E1507</f>
        <v>تمت طباعة الشهادة</v>
      </c>
      <c r="C1507" s="133" t="str">
        <f>Saud!C1507</f>
        <v>P-1-N-051223-7426</v>
      </c>
    </row>
    <row r="1508">
      <c r="A1508" s="133" t="str">
        <f>Saud!F1508</f>
        <v>Dr. Clauder’s High Premium Junior 15 kg</v>
      </c>
      <c r="B1508" s="133" t="str">
        <f>Saud!E1508</f>
        <v>تمت طباعة الشهادة</v>
      </c>
      <c r="C1508" s="133" t="str">
        <f>Saud!C1508</f>
        <v>P-1-N-051223-7427</v>
      </c>
    </row>
    <row r="1509">
      <c r="A1509" s="133" t="str">
        <f>Saud!F1509</f>
        <v>Dr. Clauder’s High Premium Lamm &amp; Reis 15 kg</v>
      </c>
      <c r="B1509" s="133" t="str">
        <f>Saud!E1509</f>
        <v>تمت طباعة الشهادة</v>
      </c>
      <c r="C1509" s="133" t="str">
        <f>Saud!C1509</f>
        <v>P-1-N-051223-7428</v>
      </c>
    </row>
    <row r="1510">
      <c r="A1510" s="133" t="str">
        <f>Saud!F1510</f>
        <v>Dr. Clauder’s Basic Nature Energy 20 kg</v>
      </c>
      <c r="B1510" s="133" t="str">
        <f>Saud!E1510</f>
        <v>تمت طباعة الشهادة</v>
      </c>
      <c r="C1510" s="133" t="str">
        <f>Saud!C1510</f>
        <v>P-1-N-051223-7429</v>
      </c>
    </row>
    <row r="1511">
      <c r="A1511" s="133" t="str">
        <f>Saud!F1511</f>
        <v>Dr. Clauder’s Basic Nature Vollkost Croc 20 kg</v>
      </c>
      <c r="B1511" s="133" t="str">
        <f>Saud!E1511</f>
        <v>تمت طباعة الشهادة</v>
      </c>
      <c r="C1511" s="133" t="str">
        <f>Saud!C1511</f>
        <v>P-1-N-051223-7430</v>
      </c>
    </row>
    <row r="1512">
      <c r="A1512" s="133" t="str">
        <f>Saud!F1512</f>
        <v>Schesir After Dark Velvet Mousse Chicken with quail egg 80g</v>
      </c>
      <c r="B1512" s="133" t="str">
        <f>Saud!E1512</f>
        <v>تمت طباعة الشهادة</v>
      </c>
      <c r="C1512" s="133" t="str">
        <f>Saud!C1512</f>
        <v>P-1-N-061223-7456</v>
      </c>
    </row>
    <row r="1513">
      <c r="A1513" s="133" t="str">
        <f>Saud!F1513</f>
        <v>Schesir After Dark Velvet Mousse Chicken with beef 80g</v>
      </c>
      <c r="B1513" s="133" t="str">
        <f>Saud!E1513</f>
        <v>تمت طباعة الشهادة</v>
      </c>
      <c r="C1513" s="133" t="str">
        <f>Saud!C1513</f>
        <v>P-1-N-061223-7457</v>
      </c>
    </row>
    <row r="1514">
      <c r="A1514" s="133" t="str">
        <f>Saud!F1514</f>
        <v>Schesir After Dark Velvet Mousse Chicken 80g</v>
      </c>
      <c r="B1514" s="133" t="str">
        <f>Saud!E1514</f>
        <v>تمت طباعة الشهادة</v>
      </c>
      <c r="C1514" s="133" t="str">
        <f>Saud!C1514</f>
        <v>P-1-N-061223-7458</v>
      </c>
    </row>
    <row r="1515">
      <c r="A1515" s="133" t="str">
        <f>Saud!F1515</f>
        <v>Schesir After Dark Velvet Mousse Chicken with duck 80g</v>
      </c>
      <c r="B1515" s="133" t="str">
        <f>Saud!E1515</f>
        <v>تمت طباعة الشهادة</v>
      </c>
      <c r="C1515" s="133" t="str">
        <f>Saud!C1515</f>
        <v>P-1-N-061223-7459</v>
      </c>
    </row>
    <row r="1516">
      <c r="A1516" s="133" t="str">
        <f>Saud!F1516</f>
        <v>Schesir After Dark Chicken with quail egg Pate 80g</v>
      </c>
      <c r="B1516" s="133" t="str">
        <f>Saud!E1516</f>
        <v>تمت طباعة الشهادة</v>
      </c>
      <c r="C1516" s="133" t="str">
        <f>Saud!C1516</f>
        <v>P-1-N-061223-7460</v>
      </c>
    </row>
    <row r="1517">
      <c r="A1517" s="133" t="str">
        <f>Saud!F1517</f>
        <v>Schesir After Dark Chicken with beef Pate 80g</v>
      </c>
      <c r="B1517" s="133" t="str">
        <f>Saud!E1517</f>
        <v>تمت طباعة الشهادة</v>
      </c>
      <c r="C1517" s="133" t="str">
        <f>Saud!C1517</f>
        <v>P-1-N-061223-7461</v>
      </c>
    </row>
    <row r="1518">
      <c r="A1518" s="133" t="str">
        <f>Saud!F1518</f>
        <v>Schesir After Dark Chicken with duck Pate 80g</v>
      </c>
      <c r="B1518" s="133" t="str">
        <f>Saud!E1518</f>
        <v>تمت طباعة الشهادة</v>
      </c>
      <c r="C1518" s="133" t="str">
        <f>Saud!C1518</f>
        <v>P-1-N-061223-7463</v>
      </c>
    </row>
    <row r="1519">
      <c r="A1519" s="133" t="str">
        <f>Saud!F1519</f>
        <v>Schesir After Dark Chicken Pate 80g</v>
      </c>
      <c r="B1519" s="133" t="str">
        <f>Saud!E1519</f>
        <v>تمت طباعة الشهادة</v>
      </c>
      <c r="C1519" s="133" t="str">
        <f>Saud!C1519</f>
        <v>P-1-N-061223-7464</v>
      </c>
    </row>
    <row r="1520">
      <c r="A1520" s="133" t="str">
        <f>Saud!F1520</f>
        <v>Schesir After Dark Chicken with quail egg in broth 80g</v>
      </c>
      <c r="B1520" s="133" t="str">
        <f>Saud!E1520</f>
        <v>تمت طباعة الشهادة</v>
      </c>
      <c r="C1520" s="133" t="str">
        <f>Saud!C1520</f>
        <v>P-1-N-061223-7465</v>
      </c>
    </row>
    <row r="1521">
      <c r="A1521" s="133" t="str">
        <f>Saud!F1521</f>
        <v>Schesir After Dark Chicken in broth 80g</v>
      </c>
      <c r="B1521" s="133" t="str">
        <f>Saud!E1521</f>
        <v>تمت طباعة الشهادة</v>
      </c>
      <c r="C1521" s="133" t="str">
        <f>Saud!C1521</f>
        <v>P-1-N-061223-7466</v>
      </c>
    </row>
    <row r="1522">
      <c r="A1522" s="133" t="str">
        <f>Saud!F1522</f>
        <v>Schesir After Dark Chicken with beef in broth 80g</v>
      </c>
      <c r="B1522" s="133" t="str">
        <f>Saud!E1522</f>
        <v>تمت طباعة الشهادة</v>
      </c>
      <c r="C1522" s="133" t="str">
        <f>Saud!C1522</f>
        <v>P-1-N-061223-7467</v>
      </c>
    </row>
    <row r="1523">
      <c r="A1523" s="133" t="str">
        <f>Saud!F1523</f>
        <v>Schesir After Dark Chicken with duck in broth 80g</v>
      </c>
      <c r="B1523" s="133" t="str">
        <f>Saud!E1523</f>
        <v>تمت طباعة الشهادة</v>
      </c>
      <c r="C1523" s="133" t="str">
        <f>Saud!C1523</f>
        <v>P-1-N-061223-7468</v>
      </c>
    </row>
    <row r="1524">
      <c r="A1524" s="133" t="str">
        <f>Saud!F1524</f>
        <v>Schesir Baby Chicken with salmon in broth 70g</v>
      </c>
      <c r="B1524" s="133" t="str">
        <f>Saud!E1524</f>
        <v>تمت طباعة الشهادة</v>
      </c>
      <c r="C1524" s="133" t="str">
        <f>Saud!C1524</f>
        <v>P-1-N-061223-7480</v>
      </c>
    </row>
    <row r="1525">
      <c r="A1525" s="133" t="str">
        <f>Saud!F1525</f>
        <v>Schesir Baby Chicken with chicken liver in broth 70g</v>
      </c>
      <c r="B1525" s="133" t="str">
        <f>Saud!E1525</f>
        <v>تمت طباعة الشهادة</v>
      </c>
      <c r="C1525" s="133" t="str">
        <f>Saud!C1525</f>
        <v>P-1-N-061223-7481</v>
      </c>
    </row>
    <row r="1526">
      <c r="A1526" s="133" t="str">
        <f>Saud!F1526</f>
        <v>Schesir Baby Chicken with salmon and chicken liver 3 x 55g</v>
      </c>
      <c r="B1526" s="133" t="str">
        <f>Saud!E1526</f>
        <v>تمت طباعة الشهادة</v>
      </c>
      <c r="C1526" s="133" t="str">
        <f>Saud!C1526</f>
        <v>P-1-N-061223-7482</v>
      </c>
    </row>
    <row r="1527">
      <c r="A1527" s="133" t="str">
        <f>Saud!F1527</f>
        <v>Schesir Silver Tuna and mackerel in broth 70g</v>
      </c>
      <c r="B1527" s="133" t="str">
        <f>Saud!E1527</f>
        <v>تمت طباعة الشهادة</v>
      </c>
      <c r="C1527" s="133" t="str">
        <f>Saud!C1527</f>
        <v>P-1-N-061223-7484</v>
      </c>
    </row>
    <row r="1528">
      <c r="A1528" s="133" t="str">
        <f>Saud!F1528</f>
        <v>Schesir Silver Chicken with duck 70g</v>
      </c>
      <c r="B1528" s="133" t="str">
        <f>Saud!E1528</f>
        <v>تمت طباعة الشهادة</v>
      </c>
      <c r="C1528" s="133" t="str">
        <f>Saud!C1528</f>
        <v>P-1-N-061223-7485</v>
      </c>
    </row>
    <row r="1529">
      <c r="A1529" s="133" t="str">
        <f>Saud!F1529</f>
        <v>Schesir</v>
      </c>
      <c r="B1529" s="133" t="str">
        <f>Saud!E1529</f>
        <v>تمت طباعة الشهادة</v>
      </c>
      <c r="C1529" s="133" t="str">
        <f>Saud!C1529</f>
        <v>P-1-N-061223-7486</v>
      </c>
    </row>
    <row r="1530">
      <c r="A1530" s="133" t="str">
        <f>Saud!F1530</f>
        <v>Schesir Special Mousse Chicken with duck liver 70g</v>
      </c>
      <c r="B1530" s="133" t="str">
        <f>Saud!E1530</f>
        <v>تمت طباعة الشهادة</v>
      </c>
      <c r="C1530" s="133" t="str">
        <f>Saud!C1530</f>
        <v>P-1-N-061223-7487</v>
      </c>
    </row>
    <row r="1531">
      <c r="A1531" s="133" t="str">
        <f>Saud!F1531</f>
        <v>Schesir Special Mousse Chicken 70g</v>
      </c>
      <c r="B1531" s="133" t="str">
        <f>Saud!E1531</f>
        <v>تمت طباعة الشهادة</v>
      </c>
      <c r="C1531" s="133" t="str">
        <f>Saud!C1531</f>
        <v>P-1-N-061223-7489</v>
      </c>
    </row>
    <row r="1532">
      <c r="A1532" s="133" t="str">
        <f>Saud!F1532</f>
        <v>Schesir Special Mousse Salmon with Chicken 70g</v>
      </c>
      <c r="B1532" s="133" t="str">
        <f>Saud!E1532</f>
        <v>تمت طباعة الشهادة</v>
      </c>
      <c r="C1532" s="133" t="str">
        <f>Saud!C1532</f>
        <v>P-1-N-061223-7490</v>
      </c>
    </row>
    <row r="1533">
      <c r="A1533" s="133" t="str">
        <f>Saud!F1533</f>
        <v>Schesir Baby Mousse Chicken with chicken Liver 70g</v>
      </c>
      <c r="B1533" s="133" t="str">
        <f>Saud!E1533</f>
        <v>تمت طباعة الشهادة</v>
      </c>
      <c r="C1533" s="133" t="str">
        <f>Saud!C1533</f>
        <v>P-1-N-061223-7491</v>
      </c>
    </row>
    <row r="1534">
      <c r="A1534" s="133" t="str">
        <f>Saud!F1534</f>
        <v>Schesir Baby Mousse Salmon and chicken 70g</v>
      </c>
      <c r="B1534" s="133" t="str">
        <f>Saud!E1534</f>
        <v>تمت طباعة الشهادة</v>
      </c>
      <c r="C1534" s="133" t="str">
        <f>Saud!C1534</f>
        <v>P-1-N-061223-7493</v>
      </c>
    </row>
    <row r="1535">
      <c r="A1535" s="133" t="str">
        <f>Saud!F1535</f>
        <v>Schesir Stix Creamy snacks with Duck 6 x 15g</v>
      </c>
      <c r="B1535" s="133" t="str">
        <f>Saud!E1535</f>
        <v>تمت طباعة الشهادة</v>
      </c>
      <c r="C1535" s="133" t="str">
        <f>Saud!C1535</f>
        <v>P-1-N-061223-7495</v>
      </c>
    </row>
    <row r="1536">
      <c r="A1536" s="133" t="str">
        <f>Saud!F1536</f>
        <v>Schesir Stix Creamy snacks Chicken 6 x 15g</v>
      </c>
      <c r="B1536" s="133" t="str">
        <f>Saud!E1536</f>
        <v>تمت طباعة الشهادة</v>
      </c>
      <c r="C1536" s="133" t="str">
        <f>Saud!C1536</f>
        <v>P-1-N-061223-7497</v>
      </c>
    </row>
    <row r="1537">
      <c r="A1537" s="133" t="str">
        <f>Saud!F1537</f>
        <v>Schesir Stix Creamy snacks with Salmon 6 x 15g</v>
      </c>
      <c r="B1537" s="133" t="str">
        <f>Saud!E1537</f>
        <v>تمت طباعة الشهادة</v>
      </c>
      <c r="C1537" s="133" t="str">
        <f>Saud!C1537</f>
        <v>P-1-N-071223-7501</v>
      </c>
    </row>
    <row r="1538">
      <c r="A1538" s="133" t="str">
        <f>Saud!F1538</f>
        <v>Schesir Stix Creamy snacks Tuna 6 x 15g</v>
      </c>
      <c r="B1538" s="133" t="str">
        <f>Saud!E1538</f>
        <v>تمت طباعة الشهادة</v>
      </c>
      <c r="C1538" s="133" t="str">
        <f>Saud!C1538</f>
        <v>P-1-N-071223-7502</v>
      </c>
    </row>
    <row r="1539">
      <c r="A1539" s="133" t="str">
        <f>Saud!F1539</f>
        <v>Schesir Baby Thrive Chicken with chicken liver 8g</v>
      </c>
      <c r="B1539" s="133" t="str">
        <f>Saud!E1539</f>
        <v>تمت طباعة الشهادة</v>
      </c>
      <c r="C1539" s="133" t="str">
        <f>Saud!C1539</f>
        <v>P-1-N-071223-7503</v>
      </c>
    </row>
    <row r="1540">
      <c r="A1540" s="133" t="str">
        <f>Saud!F1540</f>
        <v>Schesir Baby Thrive Chicken with chicken liver 20 x 8g</v>
      </c>
      <c r="B1540" s="133" t="str">
        <f>Saud!E1540</f>
        <v>تمت طباعة الشهادة</v>
      </c>
      <c r="C1540" s="133" t="str">
        <f>Saud!C1540</f>
        <v>P-1-N-071223-7504</v>
      </c>
    </row>
    <row r="1541">
      <c r="A1541" s="133" t="str">
        <f>Saud!F1541</f>
        <v>Schesir Silver Mousse Chicken 80g</v>
      </c>
      <c r="B1541" s="133" t="str">
        <f>Saud!E1541</f>
        <v>تمت طباعة الشهادة</v>
      </c>
      <c r="C1541" s="133" t="str">
        <f>Saud!C1541</f>
        <v>P-1-N-071223-7505</v>
      </c>
    </row>
    <row r="1542">
      <c r="A1542" s="133" t="str">
        <f>Saud!F1542</f>
        <v>Schesir Silver Mousse Salmon and chicken 80g</v>
      </c>
      <c r="B1542" s="133" t="str">
        <f>Saud!E1542</f>
        <v>تمت طباعة الشهادة</v>
      </c>
      <c r="C1542" s="133" t="str">
        <f>Saud!C1542</f>
        <v>P-1-N-071223-7506</v>
      </c>
    </row>
    <row r="1543">
      <c r="A1543" s="133" t="str">
        <f>Saud!F1543</f>
        <v>Solid Gold NB Barking at the Moon Beef 9.98Kg</v>
      </c>
      <c r="B1543" s="133" t="str">
        <f>Saud!E1543</f>
        <v>تمت طباعة الشهادة</v>
      </c>
      <c r="C1543" s="133" t="str">
        <f>Saud!C1543</f>
        <v>P-1-N-131223-7647</v>
      </c>
    </row>
    <row r="1544">
      <c r="A1544" s="133" t="str">
        <f>Saud!F1544</f>
        <v>SOLID GOLD NB LOVE AT FIRST BARK CHICKEN GRAIN FREE 9.98kg</v>
      </c>
      <c r="B1544" s="133" t="str">
        <f>Saud!E1544</f>
        <v>تمت طباعة الشهادة</v>
      </c>
      <c r="C1544" s="133" t="str">
        <f>Saud!C1544</f>
        <v>P-1-N-181223-7718</v>
      </c>
    </row>
    <row r="1545">
      <c r="A1545" s="133" t="str">
        <f>Saud!F1545</f>
        <v>SOLID GOLD NB LOVE AT FIRST BARK CHICKEN GRAIN FREE 1.7kg</v>
      </c>
      <c r="B1545" s="133" t="str">
        <f>Saud!E1545</f>
        <v>تمت طباعة الشهادة</v>
      </c>
      <c r="C1545" s="133" t="str">
        <f>Saud!C1545</f>
        <v>P-1-N-181223-7719</v>
      </c>
    </row>
    <row r="1546">
      <c r="A1546" s="133" t="str">
        <f>Saud!F1546</f>
        <v>Solid Gold NB Mighty Mini Chicken 4.99Kg</v>
      </c>
      <c r="B1546" s="133" t="str">
        <f>Saud!E1546</f>
        <v>مكتمل</v>
      </c>
      <c r="C1546" s="133" t="str">
        <f>Saud!C1546</f>
        <v>P-1-N-181223-7729</v>
      </c>
    </row>
    <row r="1547">
      <c r="A1547" s="133" t="str">
        <f>Saud!F1547</f>
        <v>Solid Gold NB Barking at the Moon Beef 1.7Kg</v>
      </c>
      <c r="B1547" s="133" t="str">
        <f>Saud!E1547</f>
        <v>تمت طباعة الشهادة</v>
      </c>
      <c r="C1547" s="133" t="str">
        <f>Saud!C1547</f>
        <v>P-1-N-191223-7739</v>
      </c>
    </row>
    <row r="1548">
      <c r="A1548" s="133" t="str">
        <f>Saud!F1548</f>
        <v>Solid Gold NB Barking at the Moon Beef 4.99Kg</v>
      </c>
      <c r="B1548" s="133" t="str">
        <f>Saud!E1548</f>
        <v>REJECTED</v>
      </c>
      <c r="C1548" s="133" t="str">
        <f>Saud!C1548</f>
        <v>P-1-N-191223-7740</v>
      </c>
    </row>
    <row r="1549">
      <c r="A1549" s="133" t="str">
        <f>Saud!F1549</f>
        <v>Poultry Menu 12.5kg</v>
      </c>
      <c r="B1549" s="133" t="str">
        <f>Saud!E1549</f>
        <v>تمت طباعة الشهادة</v>
      </c>
      <c r="C1549" s="133" t="str">
        <f>Saud!C1549</f>
        <v>P-1-N-241223-7844</v>
      </c>
    </row>
    <row r="1550">
      <c r="A1550" s="133" t="str">
        <f>Saud!F1550</f>
        <v>MiniDeluxe 10kg</v>
      </c>
      <c r="B1550" s="133" t="str">
        <f>Saud!E1550</f>
        <v>تمت طباعة الشهادة</v>
      </c>
      <c r="C1550" s="133" t="str">
        <f>Saud!C1550</f>
        <v>P-1-N-241223-7845</v>
      </c>
    </row>
    <row r="1551">
      <c r="A1551" s="133" t="str">
        <f>Saud!F1551</f>
        <v>SOLID GOLD NB LEAPING WATERS SENSITIVE STOMACH SALMON &amp; VEGETABLES GRAIN FREE 9.98Kg</v>
      </c>
      <c r="B1551" s="133" t="str">
        <f>Saud!E1551</f>
        <v>REJECTED</v>
      </c>
      <c r="C1551" s="133" t="str">
        <f>Saud!C1551</f>
        <v>P-1-N-090124-197</v>
      </c>
    </row>
    <row r="1552">
      <c r="A1552" s="133" t="str">
        <f>Saud!F1552</f>
        <v>SOLID GOLD FIT AS A FIDDLE ALASKAN POLLOCK GRAIN FREE 1.36 kg</v>
      </c>
      <c r="B1552" s="133" t="str">
        <f>Saud!E1552</f>
        <v>تمت طباعة الشهادة</v>
      </c>
      <c r="C1552" s="133" t="str">
        <f>Saud!C1552</f>
        <v>P-1-N-090124-199</v>
      </c>
    </row>
    <row r="1553">
      <c r="A1553" s="133" t="str">
        <f>Saud!F1553</f>
        <v>Solid Gold Holistique Blendz Oatmeal 1.81 kg</v>
      </c>
      <c r="B1553" s="133" t="str">
        <f>Saud!E1553</f>
        <v>تمت طباعة الشهادة</v>
      </c>
      <c r="C1553" s="133" t="str">
        <f>Saud!C1553</f>
        <v>P-1-N-090124-200</v>
      </c>
    </row>
    <row r="1554">
      <c r="A1554" s="133" t="str">
        <f>Saud!F1554</f>
        <v>Solid Gold FIT AND FABULOUS POLLOCK 1.81 kg</v>
      </c>
      <c r="B1554" s="133" t="str">
        <f>Saud!E1554</f>
        <v>REJECTED</v>
      </c>
      <c r="C1554" s="133" t="str">
        <f>Saud!C1554</f>
        <v>P-1-N-090124-202</v>
      </c>
    </row>
    <row r="1555">
      <c r="A1555" s="133" t="str">
        <f>Saud!F1555</f>
        <v>Solid Gold FIT AND FABULOUS POLLOCK WC 10.89 kg</v>
      </c>
      <c r="B1555" s="133" t="str">
        <f>Saud!E1555</f>
        <v>REJECTED</v>
      </c>
      <c r="C1555" s="133" t="str">
        <f>Saud!C1555</f>
        <v>P-1-N-090124-203</v>
      </c>
    </row>
    <row r="1556">
      <c r="A1556" s="133" t="str">
        <f>Saud!F1556</f>
        <v>Solid Gold Holistique Blendz Oatmeal SR 6.80 kg</v>
      </c>
      <c r="B1556" s="133" t="str">
        <f>Saud!E1556</f>
        <v>تمت طباعة الشهادة</v>
      </c>
      <c r="C1556" s="133" t="str">
        <f>Saud!C1556</f>
        <v>P-1-N-090124-204</v>
      </c>
    </row>
    <row r="1557">
      <c r="A1557" s="133" t="str">
        <f>Saud!F1557</f>
        <v>Solid Gold Holistique Blendz Oatmeal SR 10.89kg</v>
      </c>
      <c r="B1557" s="133" t="str">
        <f>Saud!E1557</f>
        <v>تمت طباعة الشهادة</v>
      </c>
      <c r="C1557" s="133" t="str">
        <f>Saud!C1557</f>
        <v>P-1-N-090124-205</v>
      </c>
    </row>
    <row r="1558">
      <c r="A1558" s="133" t="str">
        <f>Saud!F1558</f>
        <v>Solid Gold INDIGO MOON POLLOCK GF 1.36 kg</v>
      </c>
      <c r="B1558" s="133" t="str">
        <f>Saud!E1558</f>
        <v>تمت طباعة الشهادة</v>
      </c>
      <c r="C1558" s="133" t="str">
        <f>Saud!C1558</f>
        <v>P-1-N-090124-206</v>
      </c>
    </row>
    <row r="1559">
      <c r="A1559" s="133" t="str">
        <f>Saud!F1559</f>
        <v>Solid Gold INDIGO MOON POLLOCK GF 2.72 kg</v>
      </c>
      <c r="B1559" s="133" t="str">
        <f>Saud!E1559</f>
        <v>تمت طباعة الشهادة</v>
      </c>
      <c r="C1559" s="133" t="str">
        <f>Saud!C1559</f>
        <v>P-1-N-090124-207</v>
      </c>
    </row>
    <row r="1560">
      <c r="A1560" s="133" t="str">
        <f>Saud!F1560</f>
        <v>Solid Gold INDIGO MOON POLLOCK GF 5.44 kg</v>
      </c>
      <c r="B1560" s="133" t="str">
        <f>Saud!E1560</f>
        <v>تمت طباعة الشهادة</v>
      </c>
      <c r="C1560" s="133" t="str">
        <f>Saud!C1560</f>
        <v>P-1-N-090124-208</v>
      </c>
    </row>
    <row r="1561">
      <c r="A1561" s="133" t="str">
        <f>Saud!F1561</f>
        <v>Solid Gold WINGED TIGER QUAIL GE 2.72kg</v>
      </c>
      <c r="B1561" s="133" t="str">
        <f>Saud!E1561</f>
        <v>تمت طباعة الشهادة</v>
      </c>
      <c r="C1561" s="133" t="str">
        <f>Saud!C1561</f>
        <v>P-1-N-090124-209</v>
      </c>
    </row>
    <row r="1562">
      <c r="A1562" s="133" t="str">
        <f>Saud!F1562</f>
        <v>Solid Gold NUTRIENT BOOST KATZ N FLOCKEN LAMB 4.98kg</v>
      </c>
      <c r="B1562" s="133" t="str">
        <f>Saud!E1562</f>
        <v>REJECTED</v>
      </c>
      <c r="C1562" s="133" t="str">
        <f>Saud!C1562</f>
        <v>FEP-2024-80877
</v>
      </c>
    </row>
    <row r="1563">
      <c r="A1563" s="133" t="str">
        <f>Saud!F1563</f>
        <v>Applaws Chicken Breast with Cheese 70 gram</v>
      </c>
      <c r="B1563" s="133" t="str">
        <f>Saud!E1563</f>
        <v>REJECTED</v>
      </c>
      <c r="C1563" s="133" t="str">
        <f>Saud!C1563</f>
        <v>P-1-N-140124-322</v>
      </c>
    </row>
    <row r="1564">
      <c r="A1564" s="133" t="str">
        <f>Saud!F1564</f>
        <v>Applaws Chicken Breast with Pumpkin 70 gram</v>
      </c>
      <c r="B1564" s="133" t="str">
        <f>Saud!E1564</f>
        <v>REJECTED</v>
      </c>
      <c r="C1564" s="133" t="str">
        <f>Saud!C1564</f>
        <v>P-1-N-140124-324</v>
      </c>
    </row>
    <row r="1565">
      <c r="A1565" s="133" t="str">
        <f>Saud!F1565</f>
        <v>Applaws Tuna with crab 60 gram</v>
      </c>
      <c r="B1565" s="133" t="str">
        <f>Saud!E1565</f>
        <v>REJECTED</v>
      </c>
      <c r="C1565" s="133" t="str">
        <f>Saud!C1565</f>
        <v>P-1-N-140124-326</v>
      </c>
    </row>
    <row r="1566">
      <c r="A1566" s="133" t="str">
        <f>Saud!F1566</f>
        <v>Tuna with Prawn 60 gram</v>
      </c>
      <c r="B1566" s="133" t="str">
        <f>Saud!E1566</f>
        <v>REJECTED</v>
      </c>
      <c r="C1566" s="133" t="str">
        <f>Saud!C1566</f>
        <v>P-1-N-150124-333</v>
      </c>
    </row>
    <row r="1567">
      <c r="A1567" s="133" t="str">
        <f>Saud!F1567</f>
        <v>Chicken with Duck 60 gram</v>
      </c>
      <c r="B1567" s="133" t="str">
        <f>Saud!E1567</f>
        <v>REJECTED</v>
      </c>
      <c r="C1567" s="133" t="str">
        <f>Saud!C1567</f>
        <v>P-1-N-150124-334</v>
      </c>
    </row>
    <row r="1568">
      <c r="A1568" s="133" t="str">
        <f>Saud!F1568</f>
        <v>Delicious Dinners Pouch Chicken And Liver CIJ /Chicken And Beef CIJ 4x100g</v>
      </c>
      <c r="B1568" s="133" t="str">
        <f>Saud!E1568</f>
        <v>تمت طباعة الشهادة</v>
      </c>
      <c r="C1568" s="133" t="str">
        <f>Saud!C1568</f>
        <v>P-1-N-160124-368</v>
      </c>
    </row>
    <row r="1569">
      <c r="A1569" s="133" t="str">
        <f>Saud!F1569</f>
        <v>Delicious Dinners Pouch with Ocean Fish CIJ/ with Haddock CIJ 4x100g</v>
      </c>
      <c r="B1569" s="133" t="str">
        <f>Saud!E1569</f>
        <v>تمت طباعة الشهادة</v>
      </c>
      <c r="C1569" s="133" t="str">
        <f>Saud!C1569</f>
        <v>P-1-N-160124-369</v>
      </c>
    </row>
    <row r="1570">
      <c r="A1570" s="133" t="str">
        <f>Saud!F1570</f>
        <v>Delicious Dinners Pouch Chicken And Salmon CIJ /with Trout CIJ 4x100g</v>
      </c>
      <c r="B1570" s="133" t="str">
        <f>Saud!E1570</f>
        <v>تمت طباعة الشهادة</v>
      </c>
      <c r="C1570" s="133" t="str">
        <f>Saud!C1570</f>
        <v>P-1-N-160124-370</v>
      </c>
    </row>
    <row r="1571">
      <c r="A1571" s="133" t="str">
        <f>Saud!F1571</f>
        <v>Delicious Dinners Pouch Chicken CIJ/Chicken And Turkey CIJ 4x100g</v>
      </c>
      <c r="B1571" s="133" t="str">
        <f>Saud!E1571</f>
        <v>تمت طباعة الشهادة</v>
      </c>
      <c r="C1571" s="133" t="str">
        <f>Saud!C1571</f>
        <v>P-1-N-160124-371</v>
      </c>
    </row>
    <row r="1572">
      <c r="A1572" s="133" t="str">
        <f>Saud!F1572</f>
        <v>Delicious Dinners Pouch Chicken CIJ/ Chicken And Turkey CIJ /Chicken And Liver CIJ /Chicken And Beef CIJ 4x100g</v>
      </c>
      <c r="B1572" s="133" t="str">
        <f>Saud!E1572</f>
        <v>تمت طباعة الشهادة</v>
      </c>
      <c r="C1572" s="133" t="str">
        <f>Saud!C1572</f>
        <v>P-1-N-160124-372</v>
      </c>
    </row>
    <row r="1573">
      <c r="A1573" s="133" t="str">
        <f>Saud!F1573</f>
        <v>BAB’IN CLASSIC JUNIOR 3 KG</v>
      </c>
      <c r="B1573" s="133" t="str">
        <f>Saud!E1573</f>
        <v>تمت طباعة الشهادة</v>
      </c>
      <c r="C1573" s="133" t="str">
        <f>Saud!C1573</f>
        <v>P-1-N-180124-453</v>
      </c>
    </row>
    <row r="1574">
      <c r="A1574" s="133" t="str">
        <f>Saud!F1574</f>
        <v>BAB’IN CLASSIC JUNIOR 14 KG</v>
      </c>
      <c r="B1574" s="133" t="str">
        <f>Saud!E1574</f>
        <v>تمت طباعة الشهادة</v>
      </c>
      <c r="C1574" s="133" t="str">
        <f>Saud!C1574</f>
        <v>P-1-N-180124-454</v>
      </c>
    </row>
    <row r="1575">
      <c r="A1575" s="133" t="str">
        <f>Saud!F1575</f>
        <v>BAB’IN CLASSIC MAINTENANCE 3 KG</v>
      </c>
      <c r="B1575" s="133" t="str">
        <f>Saud!E1575</f>
        <v>تمت طباعة الشهادة</v>
      </c>
      <c r="C1575" s="133" t="str">
        <f>Saud!C1575</f>
        <v>P-1-N-180124-455</v>
      </c>
    </row>
    <row r="1576">
      <c r="A1576" s="133" t="str">
        <f>Saud!F1576</f>
        <v>BAB’IN CLASSIC MAINTENANCE 14 KG</v>
      </c>
      <c r="B1576" s="133" t="str">
        <f>Saud!E1576</f>
        <v>تمت طباعة الشهادة</v>
      </c>
      <c r="C1576" s="133" t="str">
        <f>Saud!C1576</f>
        <v>P-1-N-180124-456</v>
      </c>
    </row>
    <row r="1577">
      <c r="A1577" s="133" t="str">
        <f>Saud!F1577</f>
        <v>BAB’IN CLASSIC EFFORT 3 KG</v>
      </c>
      <c r="B1577" s="133" t="str">
        <f>Saud!E1577</f>
        <v>تمت طباعة الشهادة</v>
      </c>
      <c r="C1577" s="133" t="str">
        <f>Saud!C1577</f>
        <v>P-1-N-180124-458</v>
      </c>
    </row>
    <row r="1578">
      <c r="A1578" s="133" t="str">
        <f>Saud!F1578</f>
        <v>BAB’IN CLASSIC EFFORT 14 KG</v>
      </c>
      <c r="B1578" s="133" t="str">
        <f>Saud!E1578</f>
        <v>تمت طباعة الشهادة</v>
      </c>
      <c r="C1578" s="133" t="str">
        <f>Saud!C1578</f>
        <v>P-1-N-180124-459</v>
      </c>
    </row>
    <row r="1579">
      <c r="A1579" s="133" t="str">
        <f>Saud!F1579</f>
        <v>Applaws Chicken with Tuna Roe 60 gram</v>
      </c>
      <c r="B1579" s="133" t="str">
        <f>Saud!E1579</f>
        <v>REJECTED</v>
      </c>
      <c r="C1579" s="133" t="str">
        <f>Saud!C1579</f>
        <v>P-1-N-210124-518</v>
      </c>
    </row>
    <row r="1580">
      <c r="A1580" s="133" t="str">
        <f>Saud!F1580</f>
        <v>Applaws chicken and Rice 60 gram</v>
      </c>
      <c r="B1580" s="133" t="str">
        <f>Saud!E1580</f>
        <v>REJECTED</v>
      </c>
      <c r="C1580" s="133" t="str">
        <f>Saud!C1580</f>
        <v>P-1-N-210124-520</v>
      </c>
    </row>
    <row r="1581">
      <c r="A1581" s="133" t="str">
        <f>Saud!F1581</f>
        <v>Applaws Sardine and Mackerel 60 gram</v>
      </c>
      <c r="B1581" s="133" t="str">
        <f>Saud!E1581</f>
        <v>REJECTED</v>
      </c>
      <c r="C1581" s="133" t="str">
        <f>Saud!C1581</f>
        <v>P-1-N-210124-521</v>
      </c>
    </row>
    <row r="1582">
      <c r="A1582" s="133" t="str">
        <f>Saud!F1582</f>
        <v>Princess Kitten 20kg</v>
      </c>
      <c r="B1582" s="133" t="str">
        <f>Saud!E1582</f>
        <v>REJECTED</v>
      </c>
      <c r="C1582" s="133" t="str">
        <f>Saud!C1582</f>
        <v>P-1-N-210124-523</v>
      </c>
    </row>
    <row r="1583">
      <c r="A1583" s="133" t="str">
        <f>Saud!F1583</f>
        <v>Princess Maintenance15 kg</v>
      </c>
      <c r="B1583" s="133" t="str">
        <f>Saud!E1583</f>
        <v>REJECTED</v>
      </c>
      <c r="C1583" s="133" t="str">
        <f>Saud!C1583</f>
        <v>P-1-N-210124-524</v>
      </c>
    </row>
    <row r="1584">
      <c r="A1584" s="133" t="str">
        <f>Saud!F1584</f>
        <v>Princess Temptation 20 kg</v>
      </c>
      <c r="B1584" s="133" t="str">
        <f>Saud!E1584</f>
        <v>REJECTED</v>
      </c>
      <c r="C1584" s="133" t="str">
        <f>Saud!C1584</f>
        <v>P-1-N-210124-525</v>
      </c>
    </row>
    <row r="1585">
      <c r="A1585" s="133" t="str">
        <f>Saud!F1585</f>
        <v>Princess Sterilized 20kg</v>
      </c>
      <c r="B1585" s="133" t="str">
        <f>Saud!E1585</f>
        <v>REJECTED</v>
      </c>
      <c r="C1585" s="133" t="str">
        <f>Saud!C1585</f>
        <v>P-1-N-210124-526</v>
      </c>
    </row>
    <row r="1586">
      <c r="A1586" s="133" t="str">
        <f>Saud!F1586</f>
        <v>BAB’IN SIGNATURE MINI JUNIOR 2 KG</v>
      </c>
      <c r="B1586" s="133" t="str">
        <f>Saud!E1586</f>
        <v>تمت طباعة الشهادة</v>
      </c>
      <c r="C1586" s="133" t="str">
        <f>Saud!C1586</f>
        <v>P-1-N-210124-531</v>
      </c>
    </row>
    <row r="1587">
      <c r="A1587" s="133" t="str">
        <f>Saud!F1587</f>
        <v>BAB’IN SIGNATURE MEDIUM JUNIOR 3 KG</v>
      </c>
      <c r="B1587" s="133" t="str">
        <f>Saud!E1587</f>
        <v>تمت طباعة الشهادة</v>
      </c>
      <c r="C1587" s="133" t="str">
        <f>Saud!C1587</f>
        <v>P-1-N-210124-532</v>
      </c>
    </row>
    <row r="1588">
      <c r="A1588" s="133" t="str">
        <f>Saud!F1588</f>
        <v>BAB’IN SIGNATURE MEDIUM JUNIOR 12 KG</v>
      </c>
      <c r="B1588" s="133" t="str">
        <f>Saud!E1588</f>
        <v>تمت طباعة الشهادة</v>
      </c>
      <c r="C1588" s="133" t="str">
        <f>Saud!C1588</f>
        <v>P-1-N-210124-533</v>
      </c>
    </row>
    <row r="1589">
      <c r="A1589" s="133" t="str">
        <f>Saud!F1589</f>
        <v>BAB’IN SIGNATURE GIANT JUNIOR 12 KG</v>
      </c>
      <c r="B1589" s="133" t="str">
        <f>Saud!E1589</f>
        <v>تمت طباعة الشهادة</v>
      </c>
      <c r="C1589" s="133" t="str">
        <f>Saud!C1589</f>
        <v>P-1-N-210124-534</v>
      </c>
    </row>
    <row r="1590">
      <c r="A1590" s="133" t="str">
        <f>Saud!F1590</f>
        <v>BAB’IN SIGNATURE MINI ADULT 2 KG</v>
      </c>
      <c r="B1590" s="133" t="str">
        <f>Saud!E1590</f>
        <v>تمت طباعة الشهادة</v>
      </c>
      <c r="C1590" s="133" t="str">
        <f>Saud!C1590</f>
        <v>P-1-N-210124-535</v>
      </c>
    </row>
    <row r="1591">
      <c r="A1591" s="133" t="str">
        <f>Saud!F1591</f>
        <v>BAB’IN SIGNATURE MINI ADULT 6 KG</v>
      </c>
      <c r="B1591" s="133" t="str">
        <f>Saud!E1591</f>
        <v>تمت طباعة الشهادة</v>
      </c>
      <c r="C1591" s="133" t="str">
        <f>Saud!C1591</f>
        <v>P-1-N-210124-536</v>
      </c>
    </row>
    <row r="1592">
      <c r="A1592" s="133" t="str">
        <f>Saud!F1592</f>
        <v>BAB’IN SIGNATURE MINI STERILIZED 2 KG</v>
      </c>
      <c r="B1592" s="133" t="str">
        <f>Saud!E1592</f>
        <v>تمت طباعة الشهادة</v>
      </c>
      <c r="C1592" s="133" t="str">
        <f>Saud!C1592</f>
        <v>P-1-N-210124-537</v>
      </c>
    </row>
    <row r="1593">
      <c r="A1593" s="133" t="str">
        <f>Saud!F1593</f>
        <v>BAB’IN SIGNATURE MINI STERILIZED 6 KG</v>
      </c>
      <c r="B1593" s="133" t="str">
        <f>Saud!E1593</f>
        <v>تمت طباعة الشهادة</v>
      </c>
      <c r="C1593" s="133" t="str">
        <f>Saud!C1593</f>
        <v>P-1-N-210124-538</v>
      </c>
    </row>
    <row r="1594">
      <c r="A1594" s="133" t="str">
        <f>Saud!F1594</f>
        <v>BAB’IN SIGNATURE MEDIUM ADULT 3 KG</v>
      </c>
      <c r="B1594" s="133" t="str">
        <f>Saud!E1594</f>
        <v>تمت طباعة الشهادة</v>
      </c>
      <c r="C1594" s="133" t="str">
        <f>Saud!C1594</f>
        <v>P-1-N-210124-539</v>
      </c>
    </row>
    <row r="1595">
      <c r="A1595" s="133" t="str">
        <f>Saud!F1595</f>
        <v>BAB’IN SIGNATURE MEDIUM ADULT 12 KG</v>
      </c>
      <c r="B1595" s="133" t="str">
        <f>Saud!E1595</f>
        <v>تمت طباعة الشهادة</v>
      </c>
      <c r="C1595" s="133" t="str">
        <f>Saud!C1595</f>
        <v>P-1-N-210124-540</v>
      </c>
    </row>
    <row r="1596">
      <c r="A1596" s="133" t="str">
        <f>Saud!F1596</f>
        <v>BAB’IN SIGNATURE MEDIUM STERILIZED 3 KG</v>
      </c>
      <c r="B1596" s="133" t="str">
        <f>Saud!E1596</f>
        <v>تمت طباعة الشهادة</v>
      </c>
      <c r="C1596" s="133" t="str">
        <f>Saud!C1596</f>
        <v>P-1-N-210124-541</v>
      </c>
    </row>
    <row r="1597">
      <c r="A1597" s="133" t="str">
        <f>Saud!F1597</f>
        <v>BAB’IN SIGNATURE MEDIUM STERILIZED 12 KG</v>
      </c>
      <c r="B1597" s="133" t="str">
        <f>Saud!E1597</f>
        <v>تمت طباعة الشهادة</v>
      </c>
      <c r="C1597" s="133" t="str">
        <f>Saud!C1597</f>
        <v>P-1-N-210124-542</v>
      </c>
    </row>
    <row r="1598">
      <c r="A1598" s="133" t="str">
        <f>Saud!F1598</f>
        <v>BAB’IN SIGNATURE GIANT BREED ADULT 12 KG</v>
      </c>
      <c r="B1598" s="133" t="str">
        <f>Saud!E1598</f>
        <v>تمت طباعة الشهادة</v>
      </c>
      <c r="C1598" s="133" t="str">
        <f>Saud!C1598</f>
        <v>P-1-N-210124-543</v>
      </c>
    </row>
    <row r="1599">
      <c r="A1599" s="133" t="str">
        <f>Saud!F1599</f>
        <v>BAB’IN SIGNATURE MINI SENIOR 2 KG</v>
      </c>
      <c r="B1599" s="133" t="str">
        <f>Saud!E1599</f>
        <v>تمت طباعة الشهادة</v>
      </c>
      <c r="C1599" s="133" t="str">
        <f>Saud!C1599</f>
        <v>P-1-N-210124-544</v>
      </c>
    </row>
    <row r="1600">
      <c r="A1600" s="133" t="str">
        <f>Saud!F1600</f>
        <v>BAB’IN SIGNATURE MINI SENIOR 6 KG</v>
      </c>
      <c r="B1600" s="133" t="str">
        <f>Saud!E1600</f>
        <v>تمت طباعة الشهادة</v>
      </c>
      <c r="C1600" s="133" t="str">
        <f>Saud!C1600</f>
        <v>P-1-N-210124-545</v>
      </c>
    </row>
    <row r="1601">
      <c r="A1601" s="133" t="str">
        <f>Saud!F1601</f>
        <v>Princess Temptation 20 kg</v>
      </c>
      <c r="B1601" s="133" t="str">
        <f>Saud!E1601</f>
        <v>تمت طباعة الشهادة</v>
      </c>
      <c r="C1601" s="133" t="str">
        <f>Saud!C1601</f>
        <v>P-1-N-300124-692</v>
      </c>
    </row>
    <row r="1602">
      <c r="A1602" s="133" t="str">
        <f>Saud!F1602</f>
        <v>Princess Maintenance15 kg</v>
      </c>
      <c r="B1602" s="133" t="str">
        <f>Saud!E1602</f>
        <v>تمت طباعة الشهادة</v>
      </c>
      <c r="C1602" s="133" t="str">
        <f>Saud!C1602</f>
        <v>P-1-N-300124-694</v>
      </c>
    </row>
    <row r="1603">
      <c r="A1603" s="133" t="str">
        <f>Saud!F1603</f>
        <v>Princess Kitten 20kg</v>
      </c>
      <c r="B1603" s="133" t="str">
        <f>Saud!E1603</f>
        <v>تمت طباعة الشهادة</v>
      </c>
      <c r="C1603" s="133" t="str">
        <f>Saud!C1603</f>
        <v>P-1-N-300124-695</v>
      </c>
    </row>
    <row r="1604">
      <c r="A1604" s="133" t="str">
        <f>Saud!F1604</f>
        <v>BAB’IN CLASSIC CROC 18 KG</v>
      </c>
      <c r="B1604" s="133" t="str">
        <f>Saud!E1604</f>
        <v>تمت طباعة الشهادة</v>
      </c>
      <c r="C1604" s="133" t="str">
        <f>Saud!C1604</f>
        <v>P-1-N-310124-714</v>
      </c>
    </row>
    <row r="1605">
      <c r="A1605" s="133" t="str">
        <f>Saud!F1605</f>
        <v>BAB’IN SIGNATURE MAXI JUNIOR 12 KG</v>
      </c>
      <c r="B1605" s="133" t="str">
        <f>Saud!E1605</f>
        <v>تمت طباعة الشهادة</v>
      </c>
      <c r="C1605" s="133" t="str">
        <f>Saud!C1605</f>
        <v>P-1-N-310124-715</v>
      </c>
    </row>
    <row r="1606">
      <c r="A1606" s="133" t="str">
        <f>Saud!F1606</f>
        <v>BAB’IN SIGNATURE MAXI ADULT 12 KG</v>
      </c>
      <c r="B1606" s="133" t="str">
        <f>Saud!E1606</f>
        <v>تمت طباعة الشهادة</v>
      </c>
      <c r="C1606" s="133" t="str">
        <f>Saud!C1606</f>
        <v>P-1-N-310124-716</v>
      </c>
    </row>
    <row r="1607">
      <c r="A1607" s="133" t="str">
        <f>Saud!F1607</f>
        <v>BAB’IN SIGNATURE SENIOR MEDIUM &amp; MAXI 3 KG</v>
      </c>
      <c r="B1607" s="133" t="str">
        <f>Saud!E1607</f>
        <v>تمت طباعة الشهادة</v>
      </c>
      <c r="C1607" s="133" t="str">
        <f>Saud!C1607</f>
        <v>P-1-N-310124-717</v>
      </c>
    </row>
    <row r="1608">
      <c r="A1608" s="133" t="str">
        <f>Saud!F1608</f>
        <v>BAB’IN SIGNATURE SENIOR MEDIUM &amp; MAXI 12 KG</v>
      </c>
      <c r="B1608" s="133" t="str">
        <f>Saud!E1608</f>
        <v>تمت طباعة الشهادة</v>
      </c>
      <c r="C1608" s="133" t="str">
        <f>Saud!C1608</f>
        <v>P-1-N-310124-718</v>
      </c>
    </row>
    <row r="1609">
      <c r="A1609" s="133" t="str">
        <f>Saud!F1609</f>
        <v>BAB’IN SIGNATURE MAXI STERILIZED 12 KG</v>
      </c>
      <c r="B1609" s="133" t="str">
        <f>Saud!E1609</f>
        <v>تمت طباعة الشهادة</v>
      </c>
      <c r="C1609" s="133" t="str">
        <f>Saud!C1609</f>
        <v>P-1-N-310124-719</v>
      </c>
    </row>
    <row r="1610">
      <c r="A1610" s="133" t="str">
        <f>Saud!F1610</f>
        <v>BAB’IN SIGNATURE ADULTE DUCK 3 KG</v>
      </c>
      <c r="B1610" s="133" t="str">
        <f>Saud!E1610</f>
        <v>تمت طباعة الشهادة</v>
      </c>
      <c r="C1610" s="133" t="str">
        <f>Saud!C1610</f>
        <v>P-1-N-310124-720</v>
      </c>
    </row>
    <row r="1611">
      <c r="A1611" s="133" t="str">
        <f>Saud!F1611</f>
        <v>BAB’IN SIGNATURE ADULTE DUCK 12 KG</v>
      </c>
      <c r="B1611" s="133" t="str">
        <f>Saud!E1611</f>
        <v>تمت طباعة الشهادة</v>
      </c>
      <c r="C1611" s="133" t="str">
        <f>Saud!C1611</f>
        <v>P-1-N-310124-721</v>
      </c>
    </row>
    <row r="1612">
      <c r="A1612" s="133" t="str">
        <f>Saud!F1612</f>
        <v>Delicious Dinners Pouch Chicken CIJ/ Chicken And Turkey CIJ /Chicken And Liver CIJ /Chicken And Beef CIJ 40x100g</v>
      </c>
      <c r="B1612" s="133" t="str">
        <f>Saud!E1612</f>
        <v>تمت طباعة الشهادة</v>
      </c>
      <c r="C1612" s="133" t="str">
        <f>Saud!C1612</f>
        <v>P-1-N-040224-763</v>
      </c>
    </row>
    <row r="1613">
      <c r="A1613" s="133" t="str">
        <f>Saud!F1613</f>
        <v>BAB’IN SIGNATURE GRAIN FREE JUNIOR CHICKEN 3 KG</v>
      </c>
      <c r="B1613" s="133" t="str">
        <f>Saud!E1613</f>
        <v>تمت طباعة الشهادة</v>
      </c>
      <c r="C1613" s="133" t="str">
        <f>Saud!C1613</f>
        <v>P-1-N-040224-777</v>
      </c>
    </row>
    <row r="1614">
      <c r="A1614" s="133" t="str">
        <f>Saud!F1614</f>
        <v>BAB’IN SIGNATURE GRAIN FREE JUNIOR CHICKEN 12 KG</v>
      </c>
      <c r="B1614" s="133" t="str">
        <f>Saud!E1614</f>
        <v>تمت طباعة الشهادة</v>
      </c>
      <c r="C1614" s="133" t="str">
        <f>Saud!C1614</f>
        <v>P-1-N-040224-778</v>
      </c>
    </row>
    <row r="1615">
      <c r="A1615" s="133" t="str">
        <f>Saud!F1615</f>
        <v>BAB’IN SIGNATURE GRAIN FREE MEDIUM ADULT CHICKEN 3 KG</v>
      </c>
      <c r="B1615" s="133" t="str">
        <f>Saud!E1615</f>
        <v>تمت طباعة الشهادة</v>
      </c>
      <c r="C1615" s="133" t="str">
        <f>Saud!C1615</f>
        <v>P-1-N-040224-779</v>
      </c>
    </row>
    <row r="1616">
      <c r="A1616" s="133" t="str">
        <f>Saud!F1616</f>
        <v>BAB’IN SIGNATURE GRAIN FREE MEDIUM ADULT CHICKEN 12 KG</v>
      </c>
      <c r="B1616" s="133" t="str">
        <f>Saud!E1616</f>
        <v>تمت طباعة الشهادة</v>
      </c>
      <c r="C1616" s="133" t="str">
        <f>Saud!C1616</f>
        <v>P-1-N-040224-780</v>
      </c>
    </row>
    <row r="1617">
      <c r="A1617" s="133" t="str">
        <f>Saud!F1617</f>
        <v>BAB’IN SIGNATURE GRAIN FREE ADULT DUCK 3 KG</v>
      </c>
      <c r="B1617" s="133" t="str">
        <f>Saud!E1617</f>
        <v>تمت طباعة الشهادة</v>
      </c>
      <c r="C1617" s="133" t="str">
        <f>Saud!C1617</f>
        <v>P-1-N-040224-781</v>
      </c>
    </row>
    <row r="1618">
      <c r="A1618" s="133" t="str">
        <f>Saud!F1618</f>
        <v>BAB’IN SIGNATURE GRAIN FREE ADULT DUCK 12 KG</v>
      </c>
      <c r="B1618" s="133" t="str">
        <f>Saud!E1618</f>
        <v>تمت طباعة الشهادة</v>
      </c>
      <c r="C1618" s="133" t="str">
        <f>Saud!C1618</f>
        <v>P-1-N-040224-782</v>
      </c>
    </row>
    <row r="1619">
      <c r="A1619" s="133" t="str">
        <f>Saud!F1619</f>
        <v>BAB’IN SIGNATURE GRAIN FREE MINI ADULT CHICKEN 2 KG</v>
      </c>
      <c r="B1619" s="133" t="str">
        <f>Saud!E1619</f>
        <v>تمت طباعة الشهادة</v>
      </c>
      <c r="C1619" s="133" t="str">
        <f>Saud!C1619</f>
        <v>P-1-N-040224-783</v>
      </c>
    </row>
    <row r="1620">
      <c r="A1620" s="133" t="str">
        <f>Saud!F1620</f>
        <v>BAB’IN SIGNATURE GRAIN FREE MINI ADULT CHICKEN 6 KG</v>
      </c>
      <c r="B1620" s="133" t="str">
        <f>Saud!E1620</f>
        <v>تمت طباعة الشهادة</v>
      </c>
      <c r="C1620" s="133" t="str">
        <f>Saud!C1620</f>
        <v>P-1-N-040224-784</v>
      </c>
    </row>
    <row r="1621">
      <c r="A1621" s="133" t="str">
        <f>Saud!F1621</f>
        <v>BAB’IN SIGNATURE GRAIN FREE MAXI ADULT CHICKEN 12 KG</v>
      </c>
      <c r="B1621" s="133" t="str">
        <f>Saud!E1621</f>
        <v>تمت طباعة الشهادة</v>
      </c>
      <c r="C1621" s="133" t="str">
        <f>Saud!C1621</f>
        <v>P-1-N-040224-785</v>
      </c>
    </row>
    <row r="1622">
      <c r="A1622" s="133" t="str">
        <f>Saud!F1622</f>
        <v>Applaws Chicken Breast with Cheese 70 gram</v>
      </c>
      <c r="B1622" s="133" t="str">
        <f>Saud!E1622</f>
        <v>تمت طباعة الشهادة</v>
      </c>
      <c r="C1622" s="133" t="str">
        <f>Saud!C1622</f>
        <v>P-1-N-050224-801</v>
      </c>
    </row>
    <row r="1623">
      <c r="A1623" s="133" t="str">
        <f>Saud!F1623</f>
        <v>Applaws Chicken Breast with Pumpkin 70 gram</v>
      </c>
      <c r="B1623" s="133" t="str">
        <f>Saud!E1623</f>
        <v>تمت طباعة الشهادة</v>
      </c>
      <c r="C1623" s="133" t="str">
        <f>Saud!C1623</f>
        <v>P-1-N-050224-802</v>
      </c>
    </row>
    <row r="1624">
      <c r="A1624" s="133" t="str">
        <f>Saud!F1624</f>
        <v>Applaws Tuna with crab 60 gram</v>
      </c>
      <c r="B1624" s="133" t="str">
        <f>Saud!E1624</f>
        <v>تمت طباعة الشهادة</v>
      </c>
      <c r="C1624" s="133" t="str">
        <f>Saud!C1624</f>
        <v>P-1-N-050224-803</v>
      </c>
    </row>
    <row r="1625">
      <c r="A1625" s="133" t="str">
        <f>Saud!F1625</f>
        <v>Tuna with Prawn</v>
      </c>
      <c r="B1625" s="133" t="str">
        <f>Saud!E1625</f>
        <v>تمت طباعة الشهادة</v>
      </c>
      <c r="C1625" s="133" t="str">
        <f>Saud!C1625</f>
        <v>P-1-N-050224-804</v>
      </c>
    </row>
    <row r="1626">
      <c r="A1626" s="133" t="str">
        <f>Saud!F1626</f>
        <v>BAB’IN LAB JUNIOR SKIN &amp; COAT CARE SALMON 2 KG</v>
      </c>
      <c r="B1626" s="133" t="str">
        <f>Saud!E1626</f>
        <v>تمت طباعة الشهادة</v>
      </c>
      <c r="C1626" s="133" t="str">
        <f>Saud!C1626</f>
        <v>P-1-N-050224-808</v>
      </c>
    </row>
    <row r="1627">
      <c r="A1627" s="133" t="str">
        <f>Saud!F1627</f>
        <v>BAB’IN LAB JUNIOR SKIN &amp; COAT CARE SALMON 12 KG</v>
      </c>
      <c r="B1627" s="133" t="str">
        <f>Saud!E1627</f>
        <v>تمت طباعة الشهادة</v>
      </c>
      <c r="C1627" s="133" t="str">
        <f>Saud!C1627</f>
        <v>P-1-N-050224-809</v>
      </c>
    </row>
    <row r="1628">
      <c r="A1628" s="133" t="str">
        <f>Saud!F1628</f>
        <v>BAB’IN LAB MINI ADULT DIGESTIVE CARE CHICKEN 2 KG</v>
      </c>
      <c r="B1628" s="133" t="str">
        <f>Saud!E1628</f>
        <v>تمت طباعة الشهادة</v>
      </c>
      <c r="C1628" s="133" t="str">
        <f>Saud!C1628</f>
        <v>P-1-N-050224-810</v>
      </c>
    </row>
    <row r="1629">
      <c r="A1629" s="133" t="str">
        <f>Saud!F1629</f>
        <v>BAB’IN LAB MINI ADULT DIGESTIVE CARE CHICKEN 6 KG</v>
      </c>
      <c r="B1629" s="133" t="str">
        <f>Saud!E1629</f>
        <v>تمت طباعة الشهادة</v>
      </c>
      <c r="C1629" s="133" t="str">
        <f>Saud!C1629</f>
        <v>P-1-N-050224-811</v>
      </c>
    </row>
    <row r="1630">
      <c r="A1630" s="133" t="str">
        <f>Saud!F1630</f>
        <v>BAB’IN LAB MEDIUM &amp; MAXI ADULT DIGESTIVE CARE CHICKEN 12 KG</v>
      </c>
      <c r="B1630" s="133" t="str">
        <f>Saud!E1630</f>
        <v>تمت طباعة الشهادة</v>
      </c>
      <c r="C1630" s="133" t="str">
        <f>Saud!C1630</f>
        <v>P-1-N-050224-812</v>
      </c>
    </row>
    <row r="1631">
      <c r="A1631" s="133" t="str">
        <f>Saud!F1631</f>
        <v>BAB’IN LAB MEDIUM &amp; MAXI ADULT SKIN &amp; COAT CARE SALMON 12 KG</v>
      </c>
      <c r="B1631" s="133" t="str">
        <f>Saud!E1631</f>
        <v>تمت طباعة الشهادة</v>
      </c>
      <c r="C1631" s="133" t="str">
        <f>Saud!C1631</f>
        <v>P-1-N-050224-813</v>
      </c>
    </row>
    <row r="1632">
      <c r="A1632" s="133" t="str">
        <f>Saud!F1632</f>
        <v>BAB’IN LAB ADULT LOW FAT LAMB 2 KG</v>
      </c>
      <c r="B1632" s="133" t="str">
        <f>Saud!E1632</f>
        <v>تمت طباعة الشهادة</v>
      </c>
      <c r="C1632" s="133" t="str">
        <f>Saud!C1632</f>
        <v>P-1-N-050224-814</v>
      </c>
    </row>
    <row r="1633">
      <c r="A1633" s="133" t="str">
        <f>Saud!F1633</f>
        <v>BAB’IN LAB ADULT LOW FAT LAMB 12 KG</v>
      </c>
      <c r="B1633" s="133" t="str">
        <f>Saud!E1633</f>
        <v>تمت طباعة الشهادة</v>
      </c>
      <c r="C1633" s="133" t="str">
        <f>Saud!C1633</f>
        <v>P-1-N-050224-815</v>
      </c>
    </row>
    <row r="1634">
      <c r="A1634" s="133" t="str">
        <f>Saud!F1634</f>
        <v>BAB’IN LAB ADULT WEIGHT LOSS 2 KG</v>
      </c>
      <c r="B1634" s="133" t="str">
        <f>Saud!E1634</f>
        <v>تمت طباعة الشهادة</v>
      </c>
      <c r="C1634" s="133" t="str">
        <f>Saud!C1634</f>
        <v>P-1-N-050224-816</v>
      </c>
    </row>
    <row r="1635">
      <c r="A1635" s="133" t="str">
        <f>Saud!F1635</f>
        <v>BAB’IN LAB ADULT WEIGHT LOSS 12 KG</v>
      </c>
      <c r="B1635" s="133" t="str">
        <f>Saud!E1635</f>
        <v>تمت طباعة الشهادة</v>
      </c>
      <c r="C1635" s="133" t="str">
        <f>Saud!C1635</f>
        <v>P-1-N-050224-817</v>
      </c>
    </row>
    <row r="1636">
      <c r="A1636" s="133" t="str">
        <f>Saud!F1636</f>
        <v>BAB’IN LAB ADULT RENAL 2 KG</v>
      </c>
      <c r="B1636" s="133" t="str">
        <f>Saud!E1636</f>
        <v>تمت طباعة الشهادة</v>
      </c>
      <c r="C1636" s="133" t="str">
        <f>Saud!C1636</f>
        <v>P-1-N-050224-818</v>
      </c>
    </row>
    <row r="1637">
      <c r="A1637" s="133" t="str">
        <f>Saud!F1637</f>
        <v>BAB’IN LAB ADULT RENAL 2 KG</v>
      </c>
      <c r="B1637" s="133" t="str">
        <f>Saud!E1637</f>
        <v>تمت طباعة الشهادة</v>
      </c>
      <c r="C1637" s="133" t="str">
        <f>Saud!C1637</f>
        <v>P-1-N-050224-819</v>
      </c>
    </row>
    <row r="1638">
      <c r="A1638" s="133" t="str">
        <f>Saud!F1638</f>
        <v>BAB’IN LAB ADULT RENAL 10 KG</v>
      </c>
      <c r="B1638" s="133" t="str">
        <f>Saud!E1638</f>
        <v>تمت طباعة الشهادة</v>
      </c>
      <c r="C1638" s="133" t="str">
        <f>Saud!C1638</f>
        <v>P-1-N-050224-820</v>
      </c>
    </row>
    <row r="1639">
      <c r="A1639" s="133" t="str">
        <f>Saud!F1639</f>
        <v>BAB’IN LAB ADULT HYPOALLERGENIC 2 KG</v>
      </c>
      <c r="B1639" s="133" t="str">
        <f>Saud!E1639</f>
        <v>تمت طباعة الشهادة</v>
      </c>
      <c r="C1639" s="133" t="str">
        <f>Saud!C1639</f>
        <v>P-1-N-050224-821</v>
      </c>
    </row>
    <row r="1640">
      <c r="A1640" s="133" t="str">
        <f>Saud!F1640</f>
        <v>BAB’IN LAB ADULT HYPOALLERGENIC 10 KG</v>
      </c>
      <c r="B1640" s="133" t="str">
        <f>Saud!E1640</f>
        <v>تمت طباعة الشهادة</v>
      </c>
      <c r="C1640" s="133" t="str">
        <f>Saud!C1640</f>
        <v>P-1-N-050224-822</v>
      </c>
    </row>
    <row r="1641">
      <c r="A1641" s="133" t="str">
        <f>Saud!F1641</f>
        <v>BAB’IN LAB ADULT JOINT CARE 12 KG</v>
      </c>
      <c r="B1641" s="133" t="str">
        <f>Saud!E1641</f>
        <v>تمت طباعة الشهادة</v>
      </c>
      <c r="C1641" s="133" t="str">
        <f>Saud!C1641</f>
        <v>P-1-N-050224-823</v>
      </c>
    </row>
    <row r="1642">
      <c r="A1642" s="133" t="str">
        <f>Saud!F1642</f>
        <v>BAB’IN LAB MINI ADULT SKIN &amp; COAT CARE SALMON 2 KG</v>
      </c>
      <c r="B1642" s="133" t="str">
        <f>Saud!E1642</f>
        <v>تمت طباعة الشهادة</v>
      </c>
      <c r="C1642" s="133" t="str">
        <f>Saud!C1642</f>
        <v>P-1-N-050224-824</v>
      </c>
    </row>
    <row r="1643">
      <c r="A1643" s="133" t="str">
        <f>Saud!F1643</f>
        <v>BAB’IN LAB MINI ADULT SKIN &amp; COAT CARE SALMON 6 KG</v>
      </c>
      <c r="B1643" s="133" t="str">
        <f>Saud!E1643</f>
        <v>تمت طباعة الشهادة</v>
      </c>
      <c r="C1643" s="133" t="str">
        <f>Saud!C1643</f>
        <v>P-1-N-050224-825</v>
      </c>
    </row>
    <row r="1644">
      <c r="A1644" s="133" t="str">
        <f>Saud!F1644</f>
        <v>Princess Temptation 20 kg</v>
      </c>
      <c r="B1644" s="133" t="str">
        <f>Saud!E1644</f>
        <v>تمت طباعة الشهادة</v>
      </c>
      <c r="C1644" s="133" t="str">
        <f>Saud!C1644</f>
        <v>P-1-N-060224-835</v>
      </c>
    </row>
    <row r="1645">
      <c r="A1645" s="133" t="str">
        <f>Saud!F1645</f>
        <v>Princess Temptation 20 kg</v>
      </c>
      <c r="B1645" s="133" t="str">
        <f>Saud!E1645</f>
        <v>تمت طباعة الشهادة</v>
      </c>
      <c r="C1645" s="133" t="str">
        <f>Saud!C1645</f>
        <v>P-1-N-060224-837</v>
      </c>
    </row>
    <row r="1646">
      <c r="A1646" s="133" t="str">
        <f>Saud!F1646</f>
        <v>Princess Kitten 20kg</v>
      </c>
      <c r="B1646" s="133" t="str">
        <f>Saud!E1646</f>
        <v>تمت طباعة الشهادة</v>
      </c>
      <c r="C1646" s="133" t="str">
        <f>Saud!C1646</f>
        <v>P-1-N-060224-838</v>
      </c>
    </row>
    <row r="1647">
      <c r="A1647" s="133" t="str">
        <f>Saud!F1647</f>
        <v>Princess Maintenance15 kg</v>
      </c>
      <c r="B1647" s="133" t="str">
        <f>Saud!E1647</f>
        <v>تمت طباعة الشهادة</v>
      </c>
      <c r="C1647" s="133" t="str">
        <f>Saud!C1647</f>
        <v>P-1-N-060224-845</v>
      </c>
    </row>
    <row r="1648">
      <c r="A1648" s="133" t="str">
        <f>Saud!F1648</f>
        <v>BAB’IN SIGNATURE KITTEN CHICKEN 1.5 KG</v>
      </c>
      <c r="B1648" s="133" t="str">
        <f>Saud!E1648</f>
        <v>REJECTED</v>
      </c>
      <c r="C1648" s="133" t="str">
        <f>Saud!C1648</f>
        <v>P-1-N-080224-887</v>
      </c>
    </row>
    <row r="1649">
      <c r="A1649" s="133" t="str">
        <f>Saud!F1649</f>
        <v>BAB’IN SIGNATURE KITTEN CHICKEN 3 KG</v>
      </c>
      <c r="B1649" s="133" t="str">
        <f>Saud!E1649</f>
        <v>REJECTED</v>
      </c>
      <c r="C1649" s="133" t="str">
        <f>Saud!C1649</f>
        <v>P-1-N-080224-888</v>
      </c>
    </row>
    <row r="1650">
      <c r="A1650" s="133" t="str">
        <f>Saud!F1650</f>
        <v>BAB’IN SIGNATURE KITTEN SALMON 1.5 KG</v>
      </c>
      <c r="B1650" s="133" t="str">
        <f>Saud!E1650</f>
        <v>REJECTED</v>
      </c>
      <c r="C1650" s="133" t="str">
        <f>Saud!C1650</f>
        <v>P-1-N-080224-889</v>
      </c>
    </row>
    <row r="1651">
      <c r="A1651" s="133" t="str">
        <f>Saud!F1651</f>
        <v>BAB’IN SIGNATURE KITTEN SALMON 3 KG</v>
      </c>
      <c r="B1651" s="133" t="str">
        <f>Saud!E1651</f>
        <v>REJECTED</v>
      </c>
      <c r="C1651" s="133" t="str">
        <f>Saud!C1651</f>
        <v>P-1-N-080224-890</v>
      </c>
    </row>
    <row r="1652">
      <c r="A1652" s="133" t="str">
        <f>Saud!F1652</f>
        <v>BAB’IN SIGNATURE ADULT NEUTERED CAT CHICKEN 1.5 KG</v>
      </c>
      <c r="B1652" s="133" t="str">
        <f>Saud!E1652</f>
        <v>REJECTED</v>
      </c>
      <c r="C1652" s="133" t="str">
        <f>Saud!C1652</f>
        <v>P-1-N-080224-891</v>
      </c>
    </row>
    <row r="1653">
      <c r="A1653" s="133" t="str">
        <f>Saud!F1653</f>
        <v>BAB’IN SIGNATURE ADULT NEUTERED CAT CHICKEN 3 KG</v>
      </c>
      <c r="B1653" s="133" t="str">
        <f>Saud!E1653</f>
        <v>REJECTED</v>
      </c>
      <c r="C1653" s="133" t="str">
        <f>Saud!C1653</f>
        <v>P-1-N-080224-892</v>
      </c>
    </row>
    <row r="1654">
      <c r="A1654" s="133" t="str">
        <f>Saud!F1654</f>
        <v>BAB’IN SIGNATURE ADULT NEUTERED CAT CHICKEN 6 KG</v>
      </c>
      <c r="B1654" s="133" t="str">
        <f>Saud!E1654</f>
        <v>REJECTED</v>
      </c>
      <c r="C1654" s="133" t="str">
        <f>Saud!C1654</f>
        <v>P-1-N-080224-893</v>
      </c>
    </row>
    <row r="1655">
      <c r="A1655" s="133" t="str">
        <f>Saud!F1655</f>
        <v>BAB’IN SIGNATURE ADULT NEUTERED CAT SALMON 1.5 KG</v>
      </c>
      <c r="B1655" s="133" t="str">
        <f>Saud!E1655</f>
        <v>REJECTED</v>
      </c>
      <c r="C1655" s="133" t="str">
        <f>Saud!C1655</f>
        <v>P-1-N-080224-894</v>
      </c>
    </row>
    <row r="1656">
      <c r="A1656" s="133" t="str">
        <f>Saud!F1656</f>
        <v>BAB’IN SIGNATURE ADULT NEUTERED CAT SALMON 3 KG</v>
      </c>
      <c r="B1656" s="133" t="str">
        <f>Saud!E1656</f>
        <v>REJECTED</v>
      </c>
      <c r="C1656" s="133" t="str">
        <f>Saud!C1656</f>
        <v>P-1-N-080224-895</v>
      </c>
    </row>
    <row r="1657">
      <c r="A1657" s="133" t="str">
        <f>Saud!F1657</f>
        <v>BAB’IN SIGNATURE ADULT NEUTERED CAT SALMON 6 KG</v>
      </c>
      <c r="B1657" s="133" t="str">
        <f>Saud!E1657</f>
        <v>REJECTED</v>
      </c>
      <c r="C1657" s="133" t="str">
        <f>Saud!C1657</f>
        <v>P-1-N-080224-896</v>
      </c>
    </row>
    <row r="1658">
      <c r="A1658" s="133" t="str">
        <f>Saud!F1658</f>
        <v>BAB’IN SIGNATURE ADULT NEUTERED CAT DUCK 1.5 KG</v>
      </c>
      <c r="B1658" s="133" t="str">
        <f>Saud!E1658</f>
        <v>REJECTED</v>
      </c>
      <c r="C1658" s="133" t="str">
        <f>Saud!C1658</f>
        <v>P-1-N-080224-897</v>
      </c>
    </row>
    <row r="1659">
      <c r="A1659" s="133" t="str">
        <f>Saud!F1659</f>
        <v>BAB’IN SIGNATURE ADULT NEUTERED CAT DUCK 3 KG</v>
      </c>
      <c r="B1659" s="133" t="str">
        <f>Saud!E1659</f>
        <v>REJECTED</v>
      </c>
      <c r="C1659" s="133" t="str">
        <f>Saud!C1659</f>
        <v>P-1-N-080224-898</v>
      </c>
    </row>
    <row r="1660">
      <c r="A1660" s="133" t="str">
        <f>Saud!F1660</f>
        <v>BAB’IN SIGNATURE ADULT NEUTERED CAT DUCK 6 KG</v>
      </c>
      <c r="B1660" s="133" t="str">
        <f>Saud!E1660</f>
        <v>REJECTED</v>
      </c>
      <c r="C1660" s="133" t="str">
        <f>Saud!C1660</f>
        <v>P-1-N-080224-899</v>
      </c>
    </row>
    <row r="1661">
      <c r="A1661" s="133" t="str">
        <f>Saud!F1661</f>
        <v>BAB’IN SIGNATURE SENIOR NEUTERED CAT 1.5 KG</v>
      </c>
      <c r="B1661" s="133" t="str">
        <f>Saud!E1661</f>
        <v>REJECTED</v>
      </c>
      <c r="C1661" s="133" t="str">
        <f>Saud!C1661</f>
        <v>P-1-N-080224-900</v>
      </c>
    </row>
    <row r="1662">
      <c r="A1662" s="133" t="str">
        <f>Saud!F1662</f>
        <v>BAB’IN SIGNATURE SENIOR NEUTERED CAT 3 KG</v>
      </c>
      <c r="B1662" s="133" t="str">
        <f>Saud!E1662</f>
        <v>تمت طباعة الشهادة</v>
      </c>
      <c r="C1662" s="133" t="str">
        <f>Saud!C1662</f>
        <v>P-1-N-080224-902</v>
      </c>
    </row>
    <row r="1663">
      <c r="A1663" s="133" t="str">
        <f>Saud!F1663</f>
        <v>BAB’IN SIGNATURE ADULT NEUTERED CAT GRAIN FREE CHICKEN 1.5 KG</v>
      </c>
      <c r="B1663" s="133" t="str">
        <f>Saud!E1663</f>
        <v>تمت طباعة الشهادة</v>
      </c>
      <c r="C1663" s="133" t="str">
        <f>Saud!C1663</f>
        <v>P-1-N-080224-903</v>
      </c>
    </row>
    <row r="1664">
      <c r="A1664" s="133" t="str">
        <f>Saud!F1664</f>
        <v>BAB’IN SIGNATURE ADULT NEUTERED CAT GRAIN FREE CHICKEN 3 KG</v>
      </c>
      <c r="B1664" s="133" t="str">
        <f>Saud!E1664</f>
        <v>تمت طباعة الشهادة</v>
      </c>
      <c r="C1664" s="133" t="str">
        <f>Saud!C1664</f>
        <v>P-1-N-080224-904</v>
      </c>
    </row>
    <row r="1665">
      <c r="A1665" s="133" t="str">
        <f>Saud!F1665</f>
        <v>BAB’IN SIGNATURE ADULT NEUTERED CAT GRAIN FREE CHICKEN 6 KG</v>
      </c>
      <c r="B1665" s="133" t="str">
        <f>Saud!E1665</f>
        <v>تمت طباعة الشهادة</v>
      </c>
      <c r="C1665" s="133" t="str">
        <f>Saud!C1665</f>
        <v>P-1-N-080224-905</v>
      </c>
    </row>
    <row r="1666">
      <c r="A1666" s="133" t="str">
        <f>Saud!F1666</f>
        <v>BAB’IN SIGNATURE ADULT NEUTERED CAT GRAIN FREE SALMON 1.5 KG</v>
      </c>
      <c r="B1666" s="133" t="str">
        <f>Saud!E1666</f>
        <v>تمت طباعة الشهادة</v>
      </c>
      <c r="C1666" s="133" t="str">
        <f>Saud!C1666</f>
        <v>P-1-N-080224-906</v>
      </c>
    </row>
    <row r="1667">
      <c r="A1667" s="133" t="str">
        <f>Saud!F1667</f>
        <v>BAB’IN SIGNATURE ADULT NEUTERED CAT GRAIN FREE SALMON 3 KG</v>
      </c>
      <c r="B1667" s="133" t="str">
        <f>Saud!E1667</f>
        <v>تمت طباعة الشهادة</v>
      </c>
      <c r="C1667" s="133" t="str">
        <f>Saud!C1667</f>
        <v>P-1-N-080224-907</v>
      </c>
    </row>
    <row r="1668">
      <c r="A1668" s="133" t="str">
        <f>Saud!F1668</f>
        <v>BAB’IN SIGNATURE ADULT NEUTERED CAT GRAIN FREE SALMON 6 KG</v>
      </c>
      <c r="B1668" s="133" t="str">
        <f>Saud!E1668</f>
        <v>تمت طباعة الشهادة</v>
      </c>
      <c r="C1668" s="133" t="str">
        <f>Saud!C1668</f>
        <v>P-1-N-080224-908</v>
      </c>
    </row>
    <row r="1669">
      <c r="A1669" s="133" t="str">
        <f>Saud!F1669</f>
        <v>BAB’IN SIGNATURE ADULT NEUTERED CAT GRAIN FREE LARGE BREED 3 KG</v>
      </c>
      <c r="B1669" s="133" t="str">
        <f>Saud!E1669</f>
        <v>تمت طباعة الشهادة</v>
      </c>
      <c r="C1669" s="133" t="str">
        <f>Saud!C1669</f>
        <v>P-1-N-080224-909</v>
      </c>
    </row>
    <row r="1670">
      <c r="A1670" s="133" t="str">
        <f>Saud!F1670</f>
        <v>BAB’IN SIGNATURE ADULT NEUTERED CAT GRAIN FREE LARGE BREED 6 KG</v>
      </c>
      <c r="B1670" s="133" t="str">
        <f>Saud!E1670</f>
        <v>تمت طباعة الشهادة</v>
      </c>
      <c r="C1670" s="133" t="str">
        <f>Saud!C1670</f>
        <v>P-1-N-080224-910</v>
      </c>
    </row>
    <row r="1671">
      <c r="A1671" s="133" t="str">
        <f>Saud!F1671</f>
        <v>BAB'IN CLASSIC ADULT CAT SALMON 3 KG</v>
      </c>
      <c r="B1671" s="133" t="str">
        <f>Saud!E1671</f>
        <v>تمت طباعة الشهادة</v>
      </c>
      <c r="C1671" s="133" t="str">
        <f>Saud!C1671</f>
        <v>P-1-N-110224-929</v>
      </c>
    </row>
    <row r="1672">
      <c r="A1672" s="133" t="str">
        <f>Saud!F1672</f>
        <v>BAB'IN CLASSIC ADULT CAT SALMON 3 KG</v>
      </c>
      <c r="B1672" s="133" t="str">
        <f>Saud!E1672</f>
        <v>مرجع للتعديل</v>
      </c>
      <c r="C1672" s="133" t="str">
        <f>Saud!C1672</f>
        <v>P-1-N-110224-930</v>
      </c>
    </row>
    <row r="1673">
      <c r="A1673" s="133" t="str">
        <f>Saud!F1673</f>
        <v>BAB'IN CLASSIC ADULT CAT SALMON 14 KG</v>
      </c>
      <c r="B1673" s="133" t="str">
        <f>Saud!E1673</f>
        <v>تمت طباعة الشهادة</v>
      </c>
      <c r="C1673" s="133" t="str">
        <f>Saud!C1673</f>
        <v>P-1-N-110224-931</v>
      </c>
    </row>
    <row r="1674">
      <c r="A1674" s="133" t="str">
        <f>Saud!F1674</f>
        <v>BAB'IN LAB ADULT CAT SKIN &amp; COAT 1.5 KG</v>
      </c>
      <c r="B1674" s="133" t="str">
        <f>Saud!E1674</f>
        <v>تمت طباعة الشهادة</v>
      </c>
      <c r="C1674" s="133" t="str">
        <f>Saud!C1674</f>
        <v>P-1-N-110224-932</v>
      </c>
    </row>
    <row r="1675">
      <c r="A1675" s="133" t="str">
        <f>Saud!F1675</f>
        <v>BAB'IN LAB ADULT CAT SKIN &amp; COAT 3 KG</v>
      </c>
      <c r="B1675" s="133" t="str">
        <f>Saud!E1675</f>
        <v>تمت طباعة الشهادة</v>
      </c>
      <c r="C1675" s="133" t="str">
        <f>Saud!C1675</f>
        <v>P-1-N-110224-933</v>
      </c>
    </row>
    <row r="1676">
      <c r="A1676" s="133" t="str">
        <f>Saud!F1676</f>
        <v>BAB'IN LAB ADULT CAT HAIRBALL 1.5 KG</v>
      </c>
      <c r="B1676" s="133" t="str">
        <f>Saud!E1676</f>
        <v>تمت طباعة الشهادة</v>
      </c>
      <c r="C1676" s="133" t="str">
        <f>Saud!C1676</f>
        <v>P-1-N-110224-934</v>
      </c>
    </row>
    <row r="1677">
      <c r="A1677" s="133" t="str">
        <f>Saud!F1677</f>
        <v>BAB'IN LAB ADULT CAT HAIRBALL 3 KG</v>
      </c>
      <c r="B1677" s="133" t="str">
        <f>Saud!E1677</f>
        <v>تمت طباعة الشهادة</v>
      </c>
      <c r="C1677" s="133" t="str">
        <f>Saud!C1677</f>
        <v>P-1-N-110224-935</v>
      </c>
    </row>
    <row r="1678">
      <c r="A1678" s="133" t="str">
        <f>Saud!F1678</f>
        <v>BAB'IN LAB ADULT CAT URINARY 1.5 KG</v>
      </c>
      <c r="B1678" s="133" t="str">
        <f>Saud!E1678</f>
        <v>تمت طباعة الشهادة</v>
      </c>
      <c r="C1678" s="133" t="str">
        <f>Saud!C1678</f>
        <v>P-1-N-110224-936</v>
      </c>
    </row>
    <row r="1679">
      <c r="A1679" s="133" t="str">
        <f>Saud!F1679</f>
        <v>BAB'IN LAB ADULT CAT URINARY 3 KG</v>
      </c>
      <c r="B1679" s="133" t="str">
        <f>Saud!E1679</f>
        <v>تمت طباعة الشهادة</v>
      </c>
      <c r="C1679" s="133" t="str">
        <f>Saud!C1679</f>
        <v>P-1-N-110224-937</v>
      </c>
    </row>
    <row r="1680">
      <c r="A1680" s="133" t="str">
        <f>Saud!F1680</f>
        <v>BAB'IN LAB ADULT CAT DIGESTION 1.5 KG</v>
      </c>
      <c r="B1680" s="133" t="str">
        <f>Saud!E1680</f>
        <v>تمت طباعة الشهادة</v>
      </c>
      <c r="C1680" s="133" t="str">
        <f>Saud!C1680</f>
        <v>P-1-N-110224-938</v>
      </c>
    </row>
    <row r="1681">
      <c r="A1681" s="133" t="str">
        <f>Saud!F1681</f>
        <v>BAB'IN LAB ADULT CAT DIGESTION 3 KG</v>
      </c>
      <c r="B1681" s="133" t="str">
        <f>Saud!E1681</f>
        <v>تمت طباعة الشهادة</v>
      </c>
      <c r="C1681" s="133" t="str">
        <f>Saud!C1681</f>
        <v>P-1-N-110224-939</v>
      </c>
    </row>
    <row r="1682">
      <c r="A1682" s="133" t="str">
        <f>Saud!F1682</f>
        <v>BAB'IN LAB ADULT CAT WEIGHT LOSS 1.5 KG</v>
      </c>
      <c r="B1682" s="133" t="str">
        <f>Saud!E1682</f>
        <v>تمت طباعة الشهادة</v>
      </c>
      <c r="C1682" s="133" t="str">
        <f>Saud!C1682</f>
        <v>P-1-N-110224-940</v>
      </c>
    </row>
    <row r="1683">
      <c r="A1683" s="133" t="str">
        <f>Saud!F1683</f>
        <v>BAB'IN LAB ADULT CAT WEIGHT LOSS 3 KG</v>
      </c>
      <c r="B1683" s="133" t="str">
        <f>Saud!E1683</f>
        <v>تمت طباعة الشهادة</v>
      </c>
      <c r="C1683" s="133" t="str">
        <f>Saud!C1683</f>
        <v>P-1-N-110224-941</v>
      </c>
    </row>
    <row r="1684">
      <c r="A1684" s="133" t="str">
        <f>Saud!F1684</f>
        <v>FORZA10 Maintenance Cat STERILIZED Chicken 1 KG</v>
      </c>
      <c r="B1684" s="133" t="str">
        <f>Saud!E1684</f>
        <v>مكتمل</v>
      </c>
      <c r="C1684" s="133" t="str">
        <f>Saud!C1684</f>
        <v>P-1-N-130224-993</v>
      </c>
    </row>
    <row r="1685">
      <c r="A1685" s="133" t="str">
        <f>Saud!F1685</f>
        <v>FORZA10 Maintenance Cat STERILIZED Chicken 350G</v>
      </c>
      <c r="B1685" s="133" t="str">
        <f>Saud!E1685</f>
        <v>مكتمل</v>
      </c>
      <c r="C1685" s="133" t="str">
        <f>Saud!C1685</f>
        <v>P-1-N-130224-994</v>
      </c>
    </row>
    <row r="1686">
      <c r="A1686" s="133" t="str">
        <f>Saud!F1686</f>
        <v>FORZA10 Maintenance Cat STERILIZED Salmon 1 KG</v>
      </c>
      <c r="B1686" s="133" t="str">
        <f>Saud!E1686</f>
        <v>مكتمل</v>
      </c>
      <c r="C1686" s="133" t="str">
        <f>Saud!C1686</f>
        <v>P-1-N-130224-995</v>
      </c>
    </row>
    <row r="1687">
      <c r="A1687" s="133" t="str">
        <f>Saud!F1687</f>
        <v>FORZA10 Maintenance Cat STERILIZED Salmon 350G</v>
      </c>
      <c r="B1687" s="133" t="str">
        <f>Saud!E1687</f>
        <v>مكتمل</v>
      </c>
      <c r="C1687" s="133" t="str">
        <f>Saud!C1687</f>
        <v>P-1-N-130224-996</v>
      </c>
    </row>
    <row r="1688">
      <c r="A1688" s="133" t="str">
        <f>Saud!F1688</f>
        <v>FORZA10 Maintenance Cat ADULT Duck 1 KG
</v>
      </c>
      <c r="B1688" s="133" t="str">
        <f>Saud!E1688</f>
        <v>مكتمل</v>
      </c>
      <c r="C1688" s="133" t="str">
        <f>Saud!C1688</f>
        <v>P-1-N-130224-997</v>
      </c>
    </row>
    <row r="1689">
      <c r="A1689" s="133" t="str">
        <f>Saud!F1689</f>
        <v>FORZA10 Maintenance Cat ADULT Duck 350G</v>
      </c>
      <c r="B1689" s="133" t="str">
        <f>Saud!E1689</f>
        <v>مكتمل</v>
      </c>
      <c r="C1689" s="133" t="str">
        <f>Saud!C1689</f>
        <v>P-1-N-130224-998</v>
      </c>
    </row>
    <row r="1690">
      <c r="A1690" s="133" t="str">
        <f>Saud!F1690</f>
        <v>FORZA10 Mini Adult Maintenance Fish 2kg</v>
      </c>
      <c r="B1690" s="133" t="str">
        <f>Saud!E1690</f>
        <v>مكتمل</v>
      </c>
      <c r="C1690" s="133" t="str">
        <f>Saud!C1690</f>
        <v>P-1-N-140224-1035</v>
      </c>
    </row>
    <row r="1691">
      <c r="A1691" s="133" t="str">
        <f>Saud!F1691</f>
        <v>FORZA10 Mini Adult Maintenance Fish 4kg</v>
      </c>
      <c r="B1691" s="133" t="str">
        <f>Saud!E1691</f>
        <v>مكتمل</v>
      </c>
      <c r="C1691" s="133" t="str">
        <f>Saud!C1691</f>
        <v>P-1-N-140224-1036</v>
      </c>
    </row>
    <row r="1692">
      <c r="A1692" s="133" t="str">
        <f>Saud!F1692</f>
        <v>FORZA10 Medium Adult Maintenance Fish 2kg</v>
      </c>
      <c r="B1692" s="133" t="str">
        <f>Saud!E1692</f>
        <v>مكتمل</v>
      </c>
      <c r="C1692" s="133" t="str">
        <f>Saud!C1692</f>
        <v>P-1-N-140224-1037</v>
      </c>
    </row>
    <row r="1693">
      <c r="A1693" s="133" t="str">
        <f>Saud!F1693</f>
        <v>FORZA10 Medium Adult Maintenance Fish 12kg</v>
      </c>
      <c r="B1693" s="133" t="str">
        <f>Saud!E1693</f>
        <v>مكتمل</v>
      </c>
      <c r="C1693" s="133" t="str">
        <f>Saud!C1693</f>
        <v>P-1-N-140224-1038</v>
      </c>
    </row>
    <row r="1694">
      <c r="A1694" s="133" t="str">
        <f>Saud!F1694</f>
        <v>FORZA10 Maxi Adult Maintenance Fish 12kg</v>
      </c>
      <c r="B1694" s="133" t="str">
        <f>Saud!E1694</f>
        <v>مكتمل</v>
      </c>
      <c r="C1694" s="133" t="str">
        <f>Saud!C1694</f>
        <v>P-1-N-140224-1039</v>
      </c>
    </row>
    <row r="1695">
      <c r="A1695" s="133" t="str">
        <f>Saud!F1695</f>
        <v>FORZA10 Medium Adult Maintenance Venison &amp; Potatoes 2kg</v>
      </c>
      <c r="B1695" s="133" t="str">
        <f>Saud!E1695</f>
        <v>مكتمل</v>
      </c>
      <c r="C1695" s="133" t="str">
        <f>Saud!C1695</f>
        <v>P-1-N-140224-1040</v>
      </c>
    </row>
    <row r="1696">
      <c r="A1696" s="133" t="str">
        <f>Saud!F1696</f>
        <v>FORZA10 Medium Adult Maintenance Venison &amp; Potatoes 12kg</v>
      </c>
      <c r="B1696" s="133" t="str">
        <f>Saud!E1696</f>
        <v>مكتمل</v>
      </c>
      <c r="C1696" s="133" t="str">
        <f>Saud!C1696</f>
        <v>P-1-N-140224-1041</v>
      </c>
    </row>
    <row r="1697">
      <c r="A1697" s="133" t="str">
        <f>Saud!F1697</f>
        <v>FORZA10 Maxi Adult Maintenance Venison &amp; Potatoes 12kg</v>
      </c>
      <c r="B1697" s="133" t="str">
        <f>Saud!E1697</f>
        <v>مكتمل</v>
      </c>
      <c r="C1697" s="133" t="str">
        <f>Saud!C1697</f>
        <v>P-1-N-140224-1042</v>
      </c>
    </row>
    <row r="1698">
      <c r="A1698" s="133" t="str">
        <f>Saud!F1698</f>
        <v>FORZA10 Mini Adult Maintenance Venison &amp; Potatoes 2kg</v>
      </c>
      <c r="B1698" s="133" t="str">
        <f>Saud!E1698</f>
        <v>مكتمل</v>
      </c>
      <c r="C1698" s="133" t="str">
        <f>Saud!C1698</f>
        <v>P-1-N-140224-1043</v>
      </c>
    </row>
    <row r="1699">
      <c r="A1699" s="133" t="str">
        <f>Saud!F1699</f>
        <v>FORZA10 Mini Adult Maintenance Chicken &amp; Potatoes 2kg</v>
      </c>
      <c r="B1699" s="133" t="str">
        <f>Saud!E1699</f>
        <v>مكتمل</v>
      </c>
      <c r="C1699" s="133" t="str">
        <f>Saud!C1699</f>
        <v>P-1-N-140224-1044</v>
      </c>
    </row>
    <row r="1700">
      <c r="A1700" s="133" t="str">
        <f>Saud!F1700</f>
        <v>FORZA10 Medium Adult Maintenance Chicken &amp; Potatoes 12kg</v>
      </c>
      <c r="B1700" s="133" t="str">
        <f>Saud!E1700</f>
        <v>مكتمل</v>
      </c>
      <c r="C1700" s="133" t="str">
        <f>Saud!C1700</f>
        <v>P-1-N-140224-1045</v>
      </c>
    </row>
    <row r="1701">
      <c r="A1701" s="133" t="str">
        <f>Saud!F1701</f>
        <v>FORZA10 All Breeds Maintenance Fish &amp; Rice 2kg</v>
      </c>
      <c r="B1701" s="133" t="str">
        <f>Saud!E1701</f>
        <v>مكتمل</v>
      </c>
      <c r="C1701" s="133" t="str">
        <f>Saud!C1701</f>
        <v>P-1-N-140224-1046</v>
      </c>
    </row>
    <row r="1702">
      <c r="A1702" s="133" t="str">
        <f>Saud!F1702</f>
        <v>FORZA10 All Breeds Maintenance Fish &amp; Rice 12kg</v>
      </c>
      <c r="B1702" s="133" t="str">
        <f>Saud!E1702</f>
        <v>مكتمل</v>
      </c>
      <c r="C1702" s="133" t="str">
        <f>Saud!C1702</f>
        <v>P-1-N-140224-1047</v>
      </c>
    </row>
    <row r="1703">
      <c r="A1703" s="133" t="str">
        <f>Saud!F1703</f>
        <v>FORZA10 Light All Breeds Maintenance Tuna &amp; Rice 12kg</v>
      </c>
      <c r="B1703" s="133" t="str">
        <f>Saud!E1703</f>
        <v>مكتمل</v>
      </c>
      <c r="C1703" s="133" t="str">
        <f>Saud!C1703</f>
        <v>P-1-N-140224-1048</v>
      </c>
    </row>
    <row r="1704">
      <c r="A1704" s="133" t="str">
        <f>Saud!F1704</f>
        <v>FORZA10 Mini Adult Maintenance Lamb &amp; Rice SM 2kg</v>
      </c>
      <c r="B1704" s="133" t="str">
        <f>Saud!E1704</f>
        <v>تمت طباعة الشهادة</v>
      </c>
      <c r="C1704" s="133" t="str">
        <f>Saud!C1704</f>
        <v>P-1-N-200224-1172</v>
      </c>
    </row>
    <row r="1705">
      <c r="A1705" s="133" t="str">
        <f>Saud!F1705</f>
        <v>FORZA10 Medium Adult Maintenance Lamb &amp; Rice 12kg</v>
      </c>
      <c r="B1705" s="133" t="str">
        <f>Saud!E1705</f>
        <v>تمت طباعة الشهادة</v>
      </c>
      <c r="C1705" s="133" t="str">
        <f>Saud!C1705</f>
        <v>P-1-N-200224-1173</v>
      </c>
    </row>
    <row r="1706">
      <c r="A1706" s="133" t="str">
        <f>Saud!F1706</f>
        <v>FORZA10 Puppy Junior Fish 2kg</v>
      </c>
      <c r="B1706" s="133" t="str">
        <f>Saud!E1706</f>
        <v>تمت طباعة الشهادة</v>
      </c>
      <c r="C1706" s="133" t="str">
        <f>Saud!C1706</f>
        <v>P-1-N-200224-1175</v>
      </c>
    </row>
    <row r="1707">
      <c r="A1707" s="133" t="str">
        <f>Saud!F1707</f>
        <v>FORZA10 Puppy Junior Fish 12kg</v>
      </c>
      <c r="B1707" s="133" t="str">
        <f>Saud!E1707</f>
        <v>تمت طباعة الشهادة</v>
      </c>
      <c r="C1707" s="133" t="str">
        <f>Saud!C1707</f>
        <v>P-1-N-200224-1176</v>
      </c>
    </row>
    <row r="1708">
      <c r="A1708" s="133" t="str">
        <f>Saud!F1708</f>
        <v>FORZA10 Puppy Junior Chicken &amp; Potatoes 2kg</v>
      </c>
      <c r="B1708" s="133" t="str">
        <f>Saud!E1708</f>
        <v>تمت طباعة الشهادة</v>
      </c>
      <c r="C1708" s="133" t="str">
        <f>Saud!C1708</f>
        <v>P-1-N-200224-1177</v>
      </c>
    </row>
    <row r="1709">
      <c r="A1709" s="133" t="str">
        <f>Saud!F1709</f>
        <v>FORZA10 Puppy Junior Chicken &amp; Potatoes 12kg</v>
      </c>
      <c r="B1709" s="133" t="str">
        <f>Saud!E1709</f>
        <v>تمت طباعة الشهادة</v>
      </c>
      <c r="C1709" s="133" t="str">
        <f>Saud!C1709</f>
        <v>P-1-N-200224-1178</v>
      </c>
    </row>
    <row r="1710">
      <c r="A1710" s="133" t="str">
        <f>Saud!F1710</f>
        <v>ZOLUX CHICKEN FILLETS 70G</v>
      </c>
      <c r="B1710" s="133" t="str">
        <f>Saud!E1710</f>
        <v>تمت طباعة الشهادة</v>
      </c>
      <c r="C1710" s="133" t="str">
        <f>Saud!C1710</f>
        <v>P-1-N-260224-1331</v>
      </c>
    </row>
    <row r="1711">
      <c r="A1711" s="133" t="str">
        <f>Saud!F1711</f>
        <v>ZOLUX DUCK FILLETS 70G</v>
      </c>
      <c r="B1711" s="133" t="str">
        <f>Saud!E1711</f>
        <v>تمت طباعة الشهادة</v>
      </c>
      <c r="C1711" s="133" t="str">
        <f>Saud!C1711</f>
        <v>P-1-N-260224-1332</v>
      </c>
    </row>
    <row r="1712">
      <c r="A1712" s="133" t="str">
        <f>Saud!F1712</f>
        <v>ZOLUX CHEWING STICKS WITH CHICKEN X10 85G</v>
      </c>
      <c r="B1712" s="133" t="str">
        <f>Saud!E1712</f>
        <v>تمت طباعة الشهادة</v>
      </c>
      <c r="C1712" s="133" t="str">
        <f>Saud!C1712</f>
        <v>P-1-N-260224-1333</v>
      </c>
    </row>
    <row r="1713">
      <c r="A1713" s="133" t="str">
        <f>Saud!F1713</f>
        <v>ZOLUX CHEWING DRUM STICKS WITH CHICKEN X7 70G</v>
      </c>
      <c r="B1713" s="133" t="str">
        <f>Saud!E1713</f>
        <v>تمت طباعة الشهادة</v>
      </c>
      <c r="C1713" s="133" t="str">
        <f>Saud!C1713</f>
        <v>P-1-N-260224-1334</v>
      </c>
    </row>
    <row r="1714">
      <c r="A1714" s="133" t="str">
        <f>Saud!F1714</f>
        <v>ZOLUX CHEWING BONES WITH CHICKEN X7 90G</v>
      </c>
      <c r="B1714" s="133" t="str">
        <f>Saud!E1714</f>
        <v>تمت طباعة الشهادة</v>
      </c>
      <c r="C1714" s="133" t="str">
        <f>Saud!C1714</f>
        <v>P-1-N-260224-1335</v>
      </c>
    </row>
    <row r="1715">
      <c r="A1715" s="133" t="str">
        <f>Saud!F1715</f>
        <v>ZOLUX CHICKEN SAUSAGES 100G</v>
      </c>
      <c r="B1715" s="133" t="str">
        <f>Saud!E1715</f>
        <v>تمت طباعة الشهادة</v>
      </c>
      <c r="C1715" s="133" t="str">
        <f>Saud!C1715</f>
        <v>P-1-N-260224-1337</v>
      </c>
    </row>
    <row r="1716">
      <c r="A1716" s="133" t="str">
        <f>Saud!F1716</f>
        <v>ZOLUX CHICKEN SANDWICH 100G</v>
      </c>
      <c r="B1716" s="133" t="str">
        <f>Saud!E1716</f>
        <v>تمت طباعة الشهادة</v>
      </c>
      <c r="C1716" s="133" t="str">
        <f>Saud!C1716</f>
        <v>P-1-N-260224-1338</v>
      </c>
    </row>
    <row r="1717">
      <c r="A1717" s="133" t="str">
        <f>Saud!F1717</f>
        <v>ZOLUX CHICKEN SUSHI 100G</v>
      </c>
      <c r="B1717" s="133" t="str">
        <f>Saud!E1717</f>
        <v>تمت طباعة الشهادة</v>
      </c>
      <c r="C1717" s="133" t="str">
        <f>Saud!C1717</f>
        <v>P-1-N-260224-1340</v>
      </c>
    </row>
    <row r="1718">
      <c r="A1718" s="133" t="str">
        <f>Saud!F1718</f>
        <v>PRINCE TRAINER 20kg</v>
      </c>
      <c r="B1718" s="133" t="str">
        <f>Saud!E1718</f>
        <v>تمت طباعة الشهادة</v>
      </c>
      <c r="C1718" s="133" t="str">
        <f>Saud!C1718</f>
        <v>P-1-N-170324-1827</v>
      </c>
    </row>
    <row r="1719">
      <c r="A1719" s="133" t="str">
        <f>Saud!F1719</f>
        <v>PRINCE MINI 2kg</v>
      </c>
      <c r="B1719" s="133" t="str">
        <f>Saud!E1719</f>
        <v>تمت طباعة الشهادة</v>
      </c>
      <c r="C1719" s="133" t="str">
        <f>Saud!C1719</f>
        <v>P-1-N-170324-1831</v>
      </c>
    </row>
    <row r="1720">
      <c r="A1720" s="133" t="str">
        <f>Saud!F1720</f>
        <v>Princess Sterilized 20 KG</v>
      </c>
      <c r="B1720" s="133" t="str">
        <f>Saud!E1720</f>
        <v>مرجع للتعديل</v>
      </c>
      <c r="C1720" s="133" t="str">
        <f>Saud!C1720</f>
        <v>P-1-N-190324-1881</v>
      </c>
    </row>
    <row r="1721">
      <c r="A1721" s="133" t="str">
        <f>Saud!F1721</f>
        <v>Princess Kitten 2kg</v>
      </c>
      <c r="B1721" s="133" t="str">
        <f>Saud!E1721</f>
        <v>تمت طباعة الشهادة</v>
      </c>
      <c r="C1721" s="133" t="str">
        <f>Saud!C1721</f>
        <v>P-1-N-210324-1955</v>
      </c>
    </row>
    <row r="1722">
      <c r="A1722" s="133" t="str">
        <f>Saud!F1722</f>
        <v>Princess Temptation 2kg</v>
      </c>
      <c r="B1722" s="133" t="str">
        <f>Saud!E1722</f>
        <v>تمت طباعة الشهادة</v>
      </c>
      <c r="C1722" s="133" t="str">
        <f>Saud!C1722</f>
        <v>P-1-N-210324-1956</v>
      </c>
    </row>
    <row r="1723">
      <c r="A1723" s="133" t="str">
        <f>Saud!F1723</f>
        <v>PRINCE TRAINER 2kg</v>
      </c>
      <c r="B1723" s="133" t="str">
        <f>Saud!E1723</f>
        <v>تمت طباعة الشهادة</v>
      </c>
      <c r="C1723" s="133" t="str">
        <f>Saud!C1723</f>
        <v>P-1-N-210324-1958</v>
      </c>
    </row>
    <row r="1724">
      <c r="A1724" s="133" t="str">
        <f>Saud!F1724</f>
        <v>PRINCE MINI 20kg</v>
      </c>
      <c r="B1724" s="133" t="str">
        <f>Saud!E1724</f>
        <v>تمت طباعة الشهادة</v>
      </c>
      <c r="C1724" s="133" t="str">
        <f>Saud!C1724</f>
        <v>P-1-N-210324-1959</v>
      </c>
    </row>
    <row r="1725">
      <c r="A1725" s="133" t="str">
        <f>Saud!F1725</f>
        <v>Dr. Clauder’s Best Choice Mini Adult Lamm&amp;Reis </v>
      </c>
      <c r="B1725" s="133" t="str">
        <f>Saud!E1725</f>
        <v>تمت طباعة الشهادة</v>
      </c>
      <c r="C1725" s="133" t="str">
        <f>Saud!C1725</f>
        <v>P-1-N-210324-1961</v>
      </c>
    </row>
    <row r="1726">
      <c r="A1726" s="133" t="str">
        <f>Saud!F1726</f>
        <v>Dr. Clauder’s Wildlife Ente 350g</v>
      </c>
      <c r="B1726" s="133" t="str">
        <f>Saud!E1726</f>
        <v>تمت طباعة الشهادة</v>
      </c>
      <c r="C1726" s="133" t="str">
        <f>Saud!C1726</f>
        <v>P-1-N-210324-1963</v>
      </c>
    </row>
    <row r="1727">
      <c r="A1727" s="133" t="str">
        <f>Saud!F1727</f>
        <v>Sanal Cat Multi Vitamin Salmon, e 100g</v>
      </c>
      <c r="B1727" s="133" t="str">
        <f>Saud!E1727</f>
        <v>تمت طباعة الشهادة</v>
      </c>
      <c r="C1727" s="133" t="str">
        <f>Saud!C1727</f>
        <v>P-1-N-210324-1968</v>
      </c>
    </row>
    <row r="1728">
      <c r="A1728" s="133" t="str">
        <f>Saud!F1728</f>
        <v>Sanal Cat Multi Vitamin Salmon, e 100g</v>
      </c>
      <c r="B1728" s="133" t="str">
        <f>Saud!E1728</f>
        <v>تمت طباعة الشهادة</v>
      </c>
      <c r="C1728" s="133" t="str">
        <f>Saud!C1728</f>
        <v>P-1-N-210324-1970</v>
      </c>
    </row>
    <row r="1729">
      <c r="A1729" s="133" t="str">
        <f>Saud!F1729</f>
        <v>Dr. Clauder’s Wildlife Lamm 350g</v>
      </c>
      <c r="B1729" s="133" t="str">
        <f>Saud!E1729</f>
        <v>تمت طباعة الشهادة</v>
      </c>
      <c r="C1729" s="133" t="str">
        <f>Saud!C1729</f>
        <v>P-1-N-210324-1971</v>
      </c>
    </row>
    <row r="1730">
      <c r="A1730" s="133" t="str">
        <f>Saud!F1730</f>
        <v>Dr. Clauder’s Best Choice Mini Adult </v>
      </c>
      <c r="B1730" s="133" t="str">
        <f>Saud!E1730</f>
        <v>تمت طباعة الشهادة</v>
      </c>
      <c r="C1730" s="133" t="str">
        <f>Saud!C1730</f>
        <v>P-1-N-210324-1972</v>
      </c>
    </row>
    <row r="1731">
      <c r="A1731" s="133" t="str">
        <f>Saud!F1731</f>
        <v>Dr. Clauder’s Best Choice Mini Junior Lachs </v>
      </c>
      <c r="B1731" s="133" t="str">
        <f>Saud!E1731</f>
        <v>تمت طباعة الشهادة</v>
      </c>
      <c r="C1731" s="133" t="str">
        <f>Saud!C1731</f>
        <v>P-1-N-210324-1973</v>
      </c>
    </row>
    <row r="1732">
      <c r="A1732" s="133" t="str">
        <f>Saud!F1732</f>
        <v>Dr. Clauder’s Best Choice Mini Ente &amp; Kartoffel </v>
      </c>
      <c r="B1732" s="133" t="str">
        <f>Saud!E1732</f>
        <v>تمت طباعة الشهادة</v>
      </c>
      <c r="C1732" s="133" t="str">
        <f>Saud!C1732</f>
        <v>P-1-N-210324-1974</v>
      </c>
    </row>
    <row r="1733">
      <c r="A1733" s="133" t="str">
        <f>Saud!F1733</f>
        <v>Dr. Clauder’s WorkOut Snack mit Rind 100g</v>
      </c>
      <c r="B1733" s="133" t="str">
        <f>Saud!E1733</f>
        <v>تمت طباعة الشهادة</v>
      </c>
      <c r="C1733" s="133" t="str">
        <f>Saud!C1733</f>
        <v>P-1-N-210324-1975</v>
      </c>
    </row>
    <row r="1734">
      <c r="A1734" s="133" t="str">
        <f>Saud!F1734</f>
        <v>Dr. Clauder’s WorkOut Snack mit Käse 100g</v>
      </c>
      <c r="B1734" s="133" t="str">
        <f>Saud!E1734</f>
        <v>تمت طباعة الشهادة</v>
      </c>
      <c r="C1734" s="133" t="str">
        <f>Saud!C1734</f>
        <v>P-1-N-210324-1976</v>
      </c>
    </row>
    <row r="1735">
      <c r="A1735" s="133" t="str">
        <f>Saud!F1735</f>
        <v>Dr. Clauder’s WorkOut Snack mit Huhn 100g</v>
      </c>
      <c r="B1735" s="133" t="str">
        <f>Saud!E1735</f>
        <v>تمت طباعة الشهادة</v>
      </c>
      <c r="C1735" s="133" t="str">
        <f>Saud!C1735</f>
        <v>P-1-N-210324-1977</v>
      </c>
    </row>
    <row r="1736">
      <c r="A1736" s="133" t="str">
        <f>Saud!F1736</f>
        <v>Dr. Clauder’s WorkOut Snack Energy Power Fresh 100g</v>
      </c>
      <c r="B1736" s="133" t="str">
        <f>Saud!E1736</f>
        <v>تمت طباعة الشهادة</v>
      </c>
      <c r="C1736" s="133" t="str">
        <f>Saud!C1736</f>
        <v>P-1-N-210324-1978</v>
      </c>
    </row>
    <row r="1737">
      <c r="A1737" s="133" t="str">
        <f>Saud!F1737</f>
        <v>Dr. Clauder’s WorkOut Snack mit Lamm 100g</v>
      </c>
      <c r="B1737" s="133" t="str">
        <f>Saud!E1737</f>
        <v>تمت طباعة الشهادة</v>
      </c>
      <c r="C1737" s="133" t="str">
        <f>Saud!C1737</f>
        <v>P-1-N-210324-1979</v>
      </c>
    </row>
    <row r="1738">
      <c r="A1738" s="133" t="str">
        <f>Saud!F1738</f>
        <v>Dr. Clauder’s WorkOut Snack Multivitamin 100g</v>
      </c>
      <c r="B1738" s="133" t="str">
        <f>Saud!E1738</f>
        <v>تمت طباعة الشهادة</v>
      </c>
      <c r="C1738" s="133" t="str">
        <f>Saud!C1738</f>
        <v>P-1-N-210324-1980</v>
      </c>
    </row>
    <row r="1739">
      <c r="A1739" s="133" t="str">
        <f>Saud!F1739</f>
        <v>Dr. Clauder’s WorkOut Snack mit Lachs 100g</v>
      </c>
      <c r="B1739" s="133" t="str">
        <f>Saud!E1739</f>
        <v>تمت طباعة الشهادة</v>
      </c>
      <c r="C1739" s="133" t="str">
        <f>Saud!C1739</f>
        <v>P-1-N-210324-1981</v>
      </c>
    </row>
    <row r="1740">
      <c r="A1740" s="133" t="str">
        <f>Saud!F1740</f>
        <v>Dr. Clauder’s SnackIT Geflügellebercreme 75g</v>
      </c>
      <c r="B1740" s="133" t="str">
        <f>Saud!E1740</f>
        <v>تمت طباعة الشهادة</v>
      </c>
      <c r="C1740" s="133" t="str">
        <f>Saud!C1740</f>
        <v>P-1-N-210324-1982</v>
      </c>
    </row>
    <row r="1741">
      <c r="A1741" s="133" t="str">
        <f>Saud!F1741</f>
        <v>Dr. Clauder’s SnackIT Lachscreme 75g</v>
      </c>
      <c r="B1741" s="133" t="str">
        <f>Saud!E1741</f>
        <v>تمت طباعة الشهادة</v>
      </c>
      <c r="C1741" s="133" t="str">
        <f>Saud!C1741</f>
        <v>P-1-N-210324-1983</v>
      </c>
    </row>
    <row r="1742">
      <c r="A1742" s="133" t="str">
        <f>Saud!F1742</f>
        <v>Dr. Clauder’s F&amp;C Hündin &amp; Welpenemulsion 150g</v>
      </c>
      <c r="B1742" s="133" t="str">
        <f>Saud!E1742</f>
        <v>تمت طباعة الشهادة</v>
      </c>
      <c r="C1742" s="133" t="str">
        <f>Saud!C1742</f>
        <v>P-1-N-210324-1984</v>
      </c>
    </row>
    <row r="1743">
      <c r="A1743" s="133" t="str">
        <f>Saud!F1743</f>
        <v>Dr. Clauder’s SnackIT Lachscreme 75g</v>
      </c>
      <c r="B1743" s="133" t="str">
        <f>Saud!E1743</f>
        <v>تمت طباعة الشهادة</v>
      </c>
      <c r="C1743" s="133" t="str">
        <f>Saud!C1743</f>
        <v>P-1-N-210324-1985</v>
      </c>
    </row>
    <row r="1744">
      <c r="A1744" s="133" t="str">
        <f>Saud!F1744</f>
        <v>Dr. Clauder’s SnackIT Light Anti-Hairball paste 100g</v>
      </c>
      <c r="B1744" s="133" t="str">
        <f>Saud!E1744</f>
        <v>تمت طباعة الشهادة</v>
      </c>
      <c r="C1744" s="133" t="str">
        <f>Saud!C1744</f>
        <v>P-1-N-210324-1986</v>
      </c>
    </row>
    <row r="1745">
      <c r="A1745" s="133" t="str">
        <f>Saud!F1745</f>
        <v>Dr. Clauder’s SnackIT Light Käsecreme 100g</v>
      </c>
      <c r="B1745" s="133" t="str">
        <f>Saud!E1745</f>
        <v>تمت طباعة الشهادة</v>
      </c>
      <c r="C1745" s="133" t="str">
        <f>Saud!C1745</f>
        <v>P-1-N-210324-1987</v>
      </c>
    </row>
    <row r="1746">
      <c r="A1746" s="133" t="str">
        <f>Saud!F1746</f>
        <v>Dr. Clauder’s SnackIT Light Multivitamin 100g</v>
      </c>
      <c r="B1746" s="133" t="str">
        <f>Saud!E1746</f>
        <v>تمت طباعة الشهادة</v>
      </c>
      <c r="C1746" s="133" t="str">
        <f>Saud!C1746</f>
        <v>P-1-N-210324-1988</v>
      </c>
    </row>
    <row r="1747">
      <c r="A1747" s="133" t="str">
        <f>Saud!F1747</f>
        <v>Dr. Clauder’s SnackIT Light Lachscreme 100g</v>
      </c>
      <c r="B1747" s="133" t="str">
        <f>Saud!E1747</f>
        <v>تمت طباعة الشهادة</v>
      </c>
      <c r="C1747" s="133" t="str">
        <f>Saud!C1747</f>
        <v>P-1-N-210324-1989</v>
      </c>
    </row>
    <row r="1748">
      <c r="A1748" s="133" t="str">
        <f>Saud!F1748</f>
        <v>DC F&amp;C Anti Hairball paste 100g</v>
      </c>
      <c r="B1748" s="133" t="str">
        <f>Saud!E1748</f>
        <v>تمت طباعة الشهادة</v>
      </c>
      <c r="C1748" s="133" t="str">
        <f>Saud!C1748</f>
        <v>P-1-N-210324-1990</v>
      </c>
    </row>
    <row r="1749">
      <c r="A1749" s="133" t="str">
        <f>Saud!F1749</f>
        <v>Dr. Clauder’s F&amp;C Fell Plus Serum 100ml</v>
      </c>
      <c r="B1749" s="133" t="str">
        <f>Saud!E1749</f>
        <v>تمت طباعة الشهادة</v>
      </c>
      <c r="C1749" s="133" t="str">
        <f>Saud!C1749</f>
        <v>P-1-N-210324-1991</v>
      </c>
    </row>
    <row r="1750">
      <c r="A1750" s="133" t="str">
        <f>Saud!F1750</f>
        <v>Dr. Clauder’s F&amp;C Fell Aktiv Lachs Röllchen 100g</v>
      </c>
      <c r="B1750" s="133" t="str">
        <f>Saud!E1750</f>
        <v>تمت طباعة الشهادة</v>
      </c>
      <c r="C1750" s="133" t="str">
        <f>Saud!C1750</f>
        <v>P-1-N-210324-1992</v>
      </c>
    </row>
    <row r="1751">
      <c r="A1751" s="133" t="str">
        <f>Saud!F1751</f>
        <v>Dr. Clauder’s F&amp;C ImmunAktiv Cat Mint Röllchen 100g</v>
      </c>
      <c r="B1751" s="133" t="str">
        <f>Saud!E1751</f>
        <v>تمت طباعة الشهادة</v>
      </c>
      <c r="C1751" s="133" t="str">
        <f>Saud!C1751</f>
        <v>P-1-N-210324-1993</v>
      </c>
    </row>
    <row r="1752">
      <c r="A1752" s="133" t="str">
        <f>Saud!F1752</f>
        <v>Zesty Paws Allergy &amp; Immune Bites Lamb 315mL</v>
      </c>
      <c r="B1752" s="133" t="str">
        <f>Saud!E1752</f>
        <v>تمت طباعة الشهادة</v>
      </c>
      <c r="C1752" s="133" t="str">
        <f>Saud!C1752</f>
        <v>P-1-N-240324-2016</v>
      </c>
    </row>
    <row r="1753">
      <c r="A1753" s="133" t="str">
        <f>Saud!F1753</f>
        <v>Zesty Paws Skin &amp; Coat Bites Chicken 315mL</v>
      </c>
      <c r="B1753" s="133" t="str">
        <f>Saud!E1753</f>
        <v>تمت طباعة الشهادة</v>
      </c>
      <c r="C1753" s="133" t="str">
        <f>Saud!C1753</f>
        <v>P-1-N-240324-2018</v>
      </c>
    </row>
    <row r="1754">
      <c r="A1754" s="133" t="str">
        <f>Saud!F1754</f>
        <v>Zesty Paws Probiotic Bites Chicken 315mL</v>
      </c>
      <c r="B1754" s="133" t="str">
        <f>Saud!E1754</f>
        <v>تمت طباعة الشهادة</v>
      </c>
      <c r="C1754" s="133" t="str">
        <f>Saud!C1754</f>
        <v>P-1-N-240324-2019</v>
      </c>
    </row>
    <row r="1755">
      <c r="A1755" s="133" t="str">
        <f>Saud!F1755</f>
        <v>Zesty Paws Probiotic Bites Pumpkin 315mL</v>
      </c>
      <c r="B1755" s="133" t="str">
        <f>Saud!E1755</f>
        <v>تمت طباعة الشهادة</v>
      </c>
      <c r="C1755" s="133" t="str">
        <f>Saud!C1755</f>
        <v>P-1-N-240324-2020</v>
      </c>
    </row>
    <row r="1756">
      <c r="A1756" s="133" t="str">
        <f>Saud!F1756</f>
        <v>Zesty Paws Wild Alaskan Salmon Oil 237mL</v>
      </c>
      <c r="B1756" s="133" t="str">
        <f>Saud!E1756</f>
        <v>تمت طباعة الشهادة</v>
      </c>
      <c r="C1756" s="133" t="str">
        <f>Saud!C1756</f>
        <v>P-1-N-240324-2021</v>
      </c>
    </row>
    <row r="1757">
      <c r="A1757" s="133" t="str">
        <f>Saud!F1757</f>
        <v>Zesty Paws Wild Alaskan Salmon Oil 473mL</v>
      </c>
      <c r="B1757" s="133" t="str">
        <f>Saud!E1757</f>
        <v>تمت طباعة الشهادة</v>
      </c>
      <c r="C1757" s="133" t="str">
        <f>Saud!C1757</f>
        <v>P-1-N-240324-2022</v>
      </c>
    </row>
    <row r="1758">
      <c r="A1758" s="133" t="str">
        <f>Saud!F1758</f>
        <v>Zesty Paws Wild Alaskan Salmon Oil 946mL</v>
      </c>
      <c r="B1758" s="133" t="str">
        <f>Saud!E1758</f>
        <v>تمت طباعة الشهادة</v>
      </c>
      <c r="C1758" s="133" t="str">
        <f>Saud!C1758</f>
        <v>P-1-N-240324-2023</v>
      </c>
    </row>
    <row r="1759">
      <c r="A1759" s="133" t="str">
        <f>Saud!F1759</f>
        <v>Zesty Paws Skin &amp; Coat Bites Bacon 315mL</v>
      </c>
      <c r="B1759" s="133" t="str">
        <f>Saud!E1759</f>
        <v>تمت طباعة الشهادة</v>
      </c>
      <c r="C1759" s="133">
        <f>Saud!C1759</f>
        <v>4</v>
      </c>
    </row>
    <row r="1760">
      <c r="A1760" s="133" t="str">
        <f>Saud!F1760</f>
        <v>FORZA10 Adult Medium Monodiet Lamb 1.5kg</v>
      </c>
      <c r="B1760" s="133" t="str">
        <f>Saud!E1760</f>
        <v>مكتمل</v>
      </c>
      <c r="C1760" s="133" t="str">
        <f>Saud!C1760</f>
        <v>P-1-N-270324-2163</v>
      </c>
    </row>
    <row r="1761">
      <c r="A1761" s="133" t="str">
        <f>Saud!F1761</f>
        <v>FORZA10 Adult Medium Monodiet Venison/Potatoes 1.5kg</v>
      </c>
      <c r="B1761" s="133" t="str">
        <f>Saud!E1761</f>
        <v>تمت طباعة الشهادة</v>
      </c>
      <c r="C1761" s="133" t="str">
        <f>Saud!C1761</f>
        <v>P-1-N-270324-2164</v>
      </c>
    </row>
    <row r="1762">
      <c r="A1762" s="133" t="str">
        <f>Saud!F1762</f>
        <v>Sanal skin &amp; Coat bites, e 75g</v>
      </c>
      <c r="B1762" s="133" t="str">
        <f>Saud!E1762</f>
        <v>معتمد أولي</v>
      </c>
      <c r="C1762" s="133" t="str">
        <f>Saud!C1762</f>
        <v>P-1-N-040424-2297</v>
      </c>
    </row>
    <row r="1763">
      <c r="A1763" s="133" t="str">
        <f>Saud!F1763</f>
        <v>Forza10 Adult Medium Monodiet Fish 1.5kg</v>
      </c>
      <c r="B1763" s="133" t="str">
        <f>Saud!E1763</f>
        <v>مكتمل</v>
      </c>
      <c r="C1763" s="133" t="str">
        <f>Saud!C1763</f>
        <v>P-1-N-080424-2365</v>
      </c>
    </row>
    <row r="1764">
      <c r="A1764" s="133" t="str">
        <f>Saud!F1764</f>
        <v>Forza10 Adult Medium Monodiet Vension/Potatoes 1.5kg</v>
      </c>
      <c r="B1764" s="133" t="str">
        <f>Saud!E1764</f>
        <v>تمت طباعة الشهادة</v>
      </c>
      <c r="C1764" s="133" t="str">
        <f>Saud!C1764</f>
        <v>P-1-N-080424-2366</v>
      </c>
    </row>
    <row r="1765">
      <c r="A1765" s="133" t="str">
        <f>Saud!F1765</f>
        <v>Forza10 Adult Medium Monodiet Lamb 1.5kg</v>
      </c>
      <c r="B1765" s="133" t="str">
        <f>Saud!E1765</f>
        <v>تمت طباعة الشهادة</v>
      </c>
      <c r="C1765" s="133" t="str">
        <f>Saud!C1765</f>
        <v>P-1-N-080424-2367</v>
      </c>
    </row>
    <row r="1766">
      <c r="A1766" s="133" t="str">
        <f>Saud!F1766</f>
        <v>Forza10 Adult Mini Monodiet Fish 1.5kg</v>
      </c>
      <c r="B1766" s="133" t="str">
        <f>Saud!E1766</f>
        <v>تمت طباعة الشهادة</v>
      </c>
      <c r="C1766" s="133" t="str">
        <f>Saud!C1766</f>
        <v>P-1-N-080424-2368</v>
      </c>
    </row>
    <row r="1767">
      <c r="A1767" s="133" t="str">
        <f>Saud!F1767</f>
        <v>Applaws Adult Cat Chicken with Extra Salmon 7.5 kg</v>
      </c>
      <c r="B1767" s="133" t="str">
        <f>Saud!E1767</f>
        <v>REJECTED</v>
      </c>
      <c r="C1767" s="133" t="str">
        <f>Saud!C1767</f>
        <v>P-1-N-120720-1901</v>
      </c>
    </row>
    <row r="1768">
      <c r="A1768" s="133" t="str">
        <f>Saud!F1768</f>
        <v>Applaws Cat Chicken with Lamb 7.5kg</v>
      </c>
      <c r="B1768" s="133" t="str">
        <f>Saud!E1768</f>
        <v>REJECTED</v>
      </c>
      <c r="C1768" s="133" t="str">
        <f>Saud!C1768</f>
        <v>P-1-N-160720-1969</v>
      </c>
    </row>
    <row r="1769">
      <c r="A1769" s="133" t="str">
        <f>Saud!F1769</f>
        <v>Butcher's Natural &amp; Healthy Dog with Lamb and Rice Pate 390g</v>
      </c>
      <c r="B1769" s="133" t="str">
        <f>Saud!E1769</f>
        <v>REJECTED</v>
      </c>
      <c r="C1769" s="133" t="str">
        <f>Saud!C1769</f>
        <v>P-1-N-180820-2289</v>
      </c>
    </row>
    <row r="1770">
      <c r="A1770" s="133" t="str">
        <f>Saud!F1770</f>
        <v>Kitcat Purr Puree Tuna &amp; Salmon 4*15g</v>
      </c>
      <c r="B1770" s="133" t="str">
        <f>Saud!E1770</f>
        <v>تمت طباعة الشهادة</v>
      </c>
      <c r="C1770" s="133" t="str">
        <f>Saud!C1770</f>
        <v>P-1-N-070920-2663</v>
      </c>
    </row>
    <row r="1771">
      <c r="A1771" s="133" t="str">
        <f>Saud!F1771</f>
        <v>Kitcat Purr Puree Tuna &amp; fiber (Hairball) 4*15g</v>
      </c>
      <c r="B1771" s="133" t="str">
        <f>Saud!E1771</f>
        <v>تمت طباعة الشهادة</v>
      </c>
      <c r="C1771" s="133" t="str">
        <f>Saud!C1771</f>
        <v>P-1-N-070920-2664</v>
      </c>
    </row>
    <row r="1772">
      <c r="A1772" s="133" t="str">
        <f>Saud!F1772</f>
        <v>Kitcat Purr Puree Tuna &amp; Smoked fish 4*15g</v>
      </c>
      <c r="B1772" s="133" t="str">
        <f>Saud!E1772</f>
        <v>تمت طباعة الشهادة</v>
      </c>
      <c r="C1772" s="133" t="str">
        <f>Saud!C1772</f>
        <v>P-1-N-070920-2665</v>
      </c>
    </row>
    <row r="1773">
      <c r="A1773" s="133" t="str">
        <f>Saud!F1773</f>
        <v>Kitcat Purr Puree Tuna &amp; Scallop 4*15g</v>
      </c>
      <c r="B1773" s="133" t="str">
        <f>Saud!E1773</f>
        <v>تمت طباعة الشهادة</v>
      </c>
      <c r="C1773" s="133" t="str">
        <f>Saud!C1773</f>
        <v>P-1-N-070920-2666</v>
      </c>
    </row>
    <row r="1774">
      <c r="A1774" s="133" t="str">
        <f>Saud!F1774</f>
        <v>Kitcat Purr Puree Chicken &amp; Salmon 4*15g</v>
      </c>
      <c r="B1774" s="133" t="str">
        <f>Saud!E1774</f>
        <v>تمت طباعة الشهادة</v>
      </c>
      <c r="C1774" s="133" t="str">
        <f>Saud!C1774</f>
        <v>P-1-N-070920-2667</v>
      </c>
    </row>
    <row r="1775">
      <c r="A1775" s="133" t="str">
        <f>Saud!F1775</f>
        <v>Kitcat Purr Puree Chicken &amp; fiber (Hairball) 4*15g</v>
      </c>
      <c r="B1775" s="133" t="str">
        <f>Saud!E1775</f>
        <v>تمت طباعة الشهادة</v>
      </c>
      <c r="C1775" s="133" t="str">
        <f>Saud!C1775</f>
        <v>P-1-N-070920-2668</v>
      </c>
    </row>
    <row r="1776">
      <c r="A1776" s="133" t="str">
        <f>Saud!F1776</f>
        <v>Kitcat Purr Puree Chicken &amp; Smoked fish 4*15g</v>
      </c>
      <c r="B1776" s="133" t="str">
        <f>Saud!E1776</f>
        <v>تمت طباعة الشهادة</v>
      </c>
      <c r="C1776" s="133" t="str">
        <f>Saud!C1776</f>
        <v>P-1-N-070920-2669</v>
      </c>
    </row>
    <row r="1777">
      <c r="A1777" s="133" t="str">
        <f>Saud!F1777</f>
        <v>Kitcat Purr Puree Chicken &amp; Scallop 4*15g</v>
      </c>
      <c r="B1777" s="133" t="str">
        <f>Saud!E1777</f>
        <v>تمت طباعة الشهادة</v>
      </c>
      <c r="C1777" s="133" t="str">
        <f>Saud!C1777</f>
        <v>P-1-N-070920-2670</v>
      </c>
    </row>
    <row r="1778">
      <c r="A1778" s="133" t="str">
        <f>Saud!F1778</f>
        <v>Kit cat Purr Puree Skin &amp; Coat (Chicken &amp; Fish oil) 4*15g</v>
      </c>
      <c r="B1778" s="133" t="str">
        <f>Saud!E1778</f>
        <v>تمت طباعة الشهادة</v>
      </c>
      <c r="C1778" s="133" t="str">
        <f>Saud!C1778</f>
        <v>P-1-N-070920-2671</v>
      </c>
    </row>
    <row r="1779">
      <c r="A1779" s="133" t="str">
        <f>Saud!F1779</f>
        <v>Kit cat Purr Puree Urinary care (Chicken &amp; cranberry) 4*15g</v>
      </c>
      <c r="B1779" s="133" t="str">
        <f>Saud!E1779</f>
        <v>تمت طباعة الشهادة</v>
      </c>
      <c r="C1779" s="133" t="str">
        <f>Saud!C1779</f>
        <v>P-1-N-070920-2672</v>
      </c>
    </row>
    <row r="1780">
      <c r="A1780" s="133" t="str">
        <f>Saud!F1780</f>
        <v>Kit cat Purr Puree Joint care (Chicken &amp; Glucosamine) 4*15g</v>
      </c>
      <c r="B1780" s="133" t="str">
        <f>Saud!E1780</f>
        <v>تمت طباعة الشهادة</v>
      </c>
      <c r="C1780" s="133" t="str">
        <f>Saud!C1780</f>
        <v>P-1-N-070920-2673</v>
      </c>
    </row>
    <row r="1781">
      <c r="A1781" s="133" t="str">
        <f>Saud!F1781</f>
        <v>Kit cat Purr Puree Collagen care (Chicken &amp; Collagen) 4*15g</v>
      </c>
      <c r="B1781" s="133" t="str">
        <f>Saud!E1781</f>
        <v>تمت طباعة الشهادة</v>
      </c>
      <c r="C1781" s="133" t="str">
        <f>Saud!C1781</f>
        <v>P-1-N-070920-2674</v>
      </c>
    </row>
    <row r="1782">
      <c r="A1782" s="133" t="str">
        <f>Saud!F1782</f>
        <v>Kit cat Purr Puree Urinary care (Tuna &amp; cranberry) 4*15g</v>
      </c>
      <c r="B1782" s="133" t="str">
        <f>Saud!E1782</f>
        <v>تمت طباعة الشهادة</v>
      </c>
      <c r="C1782" s="133" t="str">
        <f>Saud!C1782</f>
        <v>P-1-N-070920-2675</v>
      </c>
    </row>
    <row r="1783">
      <c r="A1783" s="133" t="str">
        <f>Saud!F1783</f>
        <v>Kit cat Purr Puree Collagen care (Tuna &amp; Collagen) 4*15g</v>
      </c>
      <c r="B1783" s="133" t="str">
        <f>Saud!E1783</f>
        <v>تمت طباعة الشهادة</v>
      </c>
      <c r="C1783" s="133" t="str">
        <f>Saud!C1783</f>
        <v>P-1-N-070920-2676</v>
      </c>
    </row>
    <row r="1784">
      <c r="A1784" s="133" t="str">
        <f>Saud!F1784</f>
        <v>Kitcat Purr Puree Chicken &amp; fiber (Hairball) 4*15g</v>
      </c>
      <c r="B1784" s="133" t="str">
        <f>Saud!E1784</f>
        <v>تمت طباعة الشهادة</v>
      </c>
      <c r="C1784" s="133" t="str">
        <f>Saud!C1784</f>
        <v>P-1-N-070920-2678</v>
      </c>
    </row>
    <row r="1785">
      <c r="A1785" s="133" t="str">
        <f>Saud!F1785</f>
        <v>Kitcat Purr Puree Chicken &amp; Smoked fish 4*15g</v>
      </c>
      <c r="B1785" s="133" t="str">
        <f>Saud!E1785</f>
        <v>تمت طباعة الشهادة</v>
      </c>
      <c r="C1785" s="133" t="str">
        <f>Saud!C1785</f>
        <v>P-1-N-070920-2679</v>
      </c>
    </row>
    <row r="1786">
      <c r="A1786" s="133" t="str">
        <f>Saud!F1786</f>
        <v>Kitcat Purr Puree Chicken &amp; Scallop 4*15g</v>
      </c>
      <c r="B1786" s="133" t="str">
        <f>Saud!E1786</f>
        <v>تمت طباعة الشهادة</v>
      </c>
      <c r="C1786" s="133" t="str">
        <f>Saud!C1786</f>
        <v>P-1-N-070920-2680</v>
      </c>
    </row>
    <row r="1787">
      <c r="A1787" s="133" t="str">
        <f>Saud!F1787</f>
        <v>Kit cat Purr Puree Skin &amp; Coat (Chicken &amp; Fish oil) 4*15g</v>
      </c>
      <c r="B1787" s="133" t="str">
        <f>Saud!E1787</f>
        <v>تمت طباعة الشهادة</v>
      </c>
      <c r="C1787" s="133" t="str">
        <f>Saud!C1787</f>
        <v>P-1-N-070920-2681</v>
      </c>
    </row>
    <row r="1788">
      <c r="A1788" s="133" t="str">
        <f>Saud!F1788</f>
        <v>Kit cat Purr Puree Urinary care (Chicken &amp; cranberry) 4*15g</v>
      </c>
      <c r="B1788" s="133" t="str">
        <f>Saud!E1788</f>
        <v>تمت طباعة الشهادة</v>
      </c>
      <c r="C1788" s="133" t="str">
        <f>Saud!C1788</f>
        <v>P-1-N-070920-2682</v>
      </c>
    </row>
    <row r="1789">
      <c r="A1789" s="133" t="str">
        <f>Saud!F1789</f>
        <v>Kitcat Kittycrunch cat Beef Flavor 60G</v>
      </c>
      <c r="B1789" s="133" t="str">
        <f>Saud!E1789</f>
        <v>تمت طباعة الشهادة</v>
      </c>
      <c r="C1789" s="133" t="str">
        <f>Saud!C1789</f>
        <v>P-1-N-070920-2684</v>
      </c>
    </row>
    <row r="1790">
      <c r="A1790" s="133" t="str">
        <f>Saud!F1790</f>
        <v>Kitcat kittycrunch cat Salmon Flavor 60 G</v>
      </c>
      <c r="B1790" s="133" t="str">
        <f>Saud!E1790</f>
        <v>تمت طباعة الشهادة</v>
      </c>
      <c r="C1790" s="133" t="str">
        <f>Saud!C1790</f>
        <v>P-1-N-070920-2685</v>
      </c>
    </row>
    <row r="1791">
      <c r="A1791" s="133" t="str">
        <f>Saud!F1791</f>
        <v>Kitcat Breath Bites Chicken Flavor 60G</v>
      </c>
      <c r="B1791" s="133" t="str">
        <f>Saud!E1791</f>
        <v>تمت طباعة الشهادة</v>
      </c>
      <c r="C1791" s="133" t="str">
        <f>Saud!C1791</f>
        <v>P-1-N-070920-2686</v>
      </c>
    </row>
    <row r="1792">
      <c r="A1792" s="133" t="str">
        <f>Saud!F1792</f>
        <v>Kitcat Breath Bites Beef Flavor 60G</v>
      </c>
      <c r="B1792" s="133" t="str">
        <f>Saud!E1792</f>
        <v>تمت طباعة الشهادة</v>
      </c>
      <c r="C1792" s="133" t="str">
        <f>Saud!C1792</f>
        <v>P-1-N-070920-2687</v>
      </c>
    </row>
    <row r="1793">
      <c r="A1793" s="133" t="str">
        <f>Saud!F1793</f>
        <v>Kitcat Breath Bites Lamb Flavor 60G</v>
      </c>
      <c r="B1793" s="133" t="str">
        <f>Saud!E1793</f>
        <v>تمت طباعة الشهادة</v>
      </c>
      <c r="C1793" s="133" t="str">
        <f>Saud!C1793</f>
        <v>P-1-N-070920-2688</v>
      </c>
    </row>
    <row r="1794">
      <c r="A1794" s="133" t="str">
        <f>Saud!F1794</f>
        <v>Kitcat Breath Bites Salmon Flavor 60G</v>
      </c>
      <c r="B1794" s="133" t="str">
        <f>Saud!E1794</f>
        <v>تمت طباعة الشهادة</v>
      </c>
      <c r="C1794" s="133" t="str">
        <f>Saud!C1794</f>
        <v>P-1-N-070920-2689</v>
      </c>
    </row>
    <row r="1795">
      <c r="A1795" s="133" t="str">
        <f>Saud!F1795</f>
        <v>Kitcat Breath Bites Tuna Flavor 60G</v>
      </c>
      <c r="B1795" s="133" t="str">
        <f>Saud!E1795</f>
        <v>تمت طباعة الشهادة</v>
      </c>
      <c r="C1795" s="133" t="str">
        <f>Saud!C1795</f>
        <v>P-1-N-070920-2690</v>
      </c>
    </row>
    <row r="1796">
      <c r="A1796" s="133" t="str">
        <f>Saud!F1796</f>
        <v>Kitcat Breath Bites Seafood Flavor 60G</v>
      </c>
      <c r="B1796" s="133" t="str">
        <f>Saud!E1796</f>
        <v>تمت طباعة الشهادة</v>
      </c>
      <c r="C1796" s="133" t="str">
        <f>Saud!C1796</f>
        <v>P-1-N-070920-2691</v>
      </c>
    </row>
    <row r="1797">
      <c r="A1797" s="133" t="str">
        <f>Saud!F1797</f>
        <v>Kitcat Boneless Chicken shred &amp; cheese goat milk 70g</v>
      </c>
      <c r="B1797" s="133" t="str">
        <f>Saud!E1797</f>
        <v>تمت طباعة الشهادة</v>
      </c>
      <c r="C1797" s="133" t="str">
        <f>Saud!C1797</f>
        <v>P-1-N-080920-2749</v>
      </c>
    </row>
    <row r="1798">
      <c r="A1798" s="133" t="str">
        <f>Saud!F1798</f>
        <v>Kitcat Boneless Chicken shred &amp; Crab with goat milk 70g</v>
      </c>
      <c r="B1798" s="133" t="str">
        <f>Saud!E1798</f>
        <v>تمت طباعة الشهادة</v>
      </c>
      <c r="C1798" s="133" t="str">
        <f>Saud!C1798</f>
        <v>P-1-N-080920-2750</v>
      </c>
    </row>
    <row r="1799">
      <c r="A1799" s="133" t="str">
        <f>Saud!F1799</f>
        <v>Kitcat Boneless Chicken shred &amp; salmon with Goat milk 70g</v>
      </c>
      <c r="B1799" s="133" t="str">
        <f>Saud!E1799</f>
        <v>تمت طباعة الشهادة</v>
      </c>
      <c r="C1799" s="133" t="str">
        <f>Saud!C1799</f>
        <v>P-1-N-080920-2751</v>
      </c>
    </row>
    <row r="1800">
      <c r="A1800" s="133" t="str">
        <f>Saud!F1800</f>
        <v>Kitcat Boneless Chicken shred &amp; Whitebait with Goat milk 70g</v>
      </c>
      <c r="B1800" s="133" t="str">
        <f>Saud!E1800</f>
        <v>تمت طباعة الشهادة</v>
      </c>
      <c r="C1800" s="133" t="str">
        <f>Saud!C1800</f>
        <v>P-1-N-080920-2752</v>
      </c>
    </row>
    <row r="1801">
      <c r="A1801" s="133" t="str">
        <f>Saud!F1801</f>
        <v>Kitcat Boneless Chicken shred &amp; Smoked fish flakes with Goat milk 70g</v>
      </c>
      <c r="B1801" s="133" t="str">
        <f>Saud!E1801</f>
        <v>تمت طباعة الشهادة</v>
      </c>
      <c r="C1801" s="133" t="str">
        <f>Saud!C1801</f>
        <v>P-1-N-080920-2753</v>
      </c>
    </row>
    <row r="1802">
      <c r="A1802" s="133" t="str">
        <f>Saud!F1802</f>
        <v>Kitcat Boneless Chicken shred &amp; Shrimp with Goat milk 70g</v>
      </c>
      <c r="B1802" s="133" t="str">
        <f>Saud!E1802</f>
        <v>تمت طباعة الشهادة</v>
      </c>
      <c r="C1802" s="133" t="str">
        <f>Saud!C1802</f>
        <v>P-1-N-080920-2754</v>
      </c>
    </row>
    <row r="1803">
      <c r="A1803" s="133" t="str">
        <f>Saud!F1803</f>
        <v>Kitcat white meat tuna flakes with Smoked fish flakes Goat milk 70g</v>
      </c>
      <c r="B1803" s="133" t="str">
        <f>Saud!E1803</f>
        <v>تمت طباعة الشهادة</v>
      </c>
      <c r="C1803" s="133" t="str">
        <f>Saud!C1803</f>
        <v>P-1-N-080920-2755</v>
      </c>
    </row>
    <row r="1804">
      <c r="A1804" s="133" t="str">
        <f>Saud!F1804</f>
        <v>Kitcat white meat tuna flakes and cheese with Goat milk 70g</v>
      </c>
      <c r="B1804" s="133" t="str">
        <f>Saud!E1804</f>
        <v>تمت طباعة الشهادة</v>
      </c>
      <c r="C1804" s="133" t="str">
        <f>Saud!C1804</f>
        <v>P-1-N-080920-2756</v>
      </c>
    </row>
    <row r="1805">
      <c r="A1805" s="133" t="str">
        <f>Saud!F1805</f>
        <v>Kitcat white meat tuna flakes &amp; Crab with Goat milk 70g</v>
      </c>
      <c r="B1805" s="133" t="str">
        <f>Saud!E1805</f>
        <v>تمت طباعة الشهادة</v>
      </c>
      <c r="C1805" s="133" t="str">
        <f>Saud!C1805</f>
        <v>P-1-N-080920-2757</v>
      </c>
    </row>
    <row r="1806">
      <c r="A1806" s="133" t="str">
        <f>Saud!F1806</f>
        <v>Kitcat white meat tuna flakes and cheese with Goat milk 70g</v>
      </c>
      <c r="B1806" s="133" t="str">
        <f>Saud!E1806</f>
        <v>تمت طباعة الشهادة</v>
      </c>
      <c r="C1806" s="133" t="str">
        <f>Saud!C1806</f>
        <v>P-1-N-080920-2758</v>
      </c>
    </row>
    <row r="1807">
      <c r="A1807" s="133" t="str">
        <f>Saud!F1807</f>
        <v>Kitcat white meat tuna flakes &amp; Shrimp with Goat milk 70g</v>
      </c>
      <c r="B1807" s="133" t="str">
        <f>Saud!E1807</f>
        <v>تمت طباعة الشهادة</v>
      </c>
      <c r="C1807" s="133" t="str">
        <f>Saud!C1807</f>
        <v>P-1-N-080920-2759</v>
      </c>
    </row>
    <row r="1808">
      <c r="A1808" s="133" t="str">
        <f>Saud!F1808</f>
        <v>Kitcat white meat tuna flakes &amp; Whitebait with Goat milk 70g</v>
      </c>
      <c r="B1808" s="133" t="str">
        <f>Saud!E1808</f>
        <v>تمت طباعة الشهادة</v>
      </c>
      <c r="C1808" s="133" t="str">
        <f>Saud!C1808</f>
        <v>P-1-N-080920-2760</v>
      </c>
    </row>
    <row r="1809">
      <c r="A1809" s="133" t="str">
        <f>Saud!F1809</f>
        <v>Kitcat deboned chicken &amp; salmon toppers 80g</v>
      </c>
      <c r="B1809" s="133" t="str">
        <f>Saud!E1809</f>
        <v>تمت طباعة الشهادة</v>
      </c>
      <c r="C1809" s="133" t="str">
        <f>Saud!C1809</f>
        <v>P-1-N-120920-2851</v>
      </c>
    </row>
    <row r="1810">
      <c r="A1810" s="133" t="str">
        <f>Saud!F1810</f>
        <v>Kitcat deboned chicken &amp; seafood toppers 80g</v>
      </c>
      <c r="B1810" s="133" t="str">
        <f>Saud!E1810</f>
        <v>تمت طباعة الشهادة</v>
      </c>
      <c r="C1810" s="133" t="str">
        <f>Saud!C1810</f>
        <v>P-1-N-120920-2852</v>
      </c>
    </row>
    <row r="1811">
      <c r="A1811" s="133" t="str">
        <f>Saud!F1811</f>
        <v>Kitcat Deboned tuna &amp; Anchovy toppers 80g</v>
      </c>
      <c r="B1811" s="133" t="str">
        <f>Saud!E1811</f>
        <v>تمت طباعة الشهادة</v>
      </c>
      <c r="C1811" s="133" t="str">
        <f>Saud!C1811</f>
        <v>P-1-N-120920-2853</v>
      </c>
    </row>
    <row r="1812">
      <c r="A1812" s="133" t="str">
        <f>Saud!F1812</f>
        <v>Kitcat Deboned tuna classic aspic 80g</v>
      </c>
      <c r="B1812" s="133" t="str">
        <f>Saud!E1812</f>
        <v>تمت طباعة الشهادة</v>
      </c>
      <c r="C1812" s="133" t="str">
        <f>Saud!C1812</f>
        <v>P-1-N-120920-2854</v>
      </c>
    </row>
    <row r="1813">
      <c r="A1813" s="133" t="str">
        <f>Saud!F1813</f>
        <v>Kitcat deboned tuna &amp; crab toppers 80g</v>
      </c>
      <c r="B1813" s="133" t="str">
        <f>Saud!E1813</f>
        <v>تمت طباعة الشهادة</v>
      </c>
      <c r="C1813" s="133" t="str">
        <f>Saud!C1813</f>
        <v>P-1-N-120920-2855</v>
      </c>
    </row>
    <row r="1814">
      <c r="A1814" s="133" t="str">
        <f>Saud!F1814</f>
        <v>Kitcat deboned tuna &amp; scallop toppers 80g</v>
      </c>
      <c r="B1814" s="133" t="str">
        <f>Saud!E1814</f>
        <v>تمت طباعة الشهادة</v>
      </c>
      <c r="C1814" s="133" t="str">
        <f>Saud!C1814</f>
        <v>P-1-N-120920-2856</v>
      </c>
    </row>
    <row r="1815">
      <c r="A1815" s="133" t="str">
        <f>Saud!F1815</f>
        <v>Kitcat deboned tuna &amp; salmon toppers 80g</v>
      </c>
      <c r="B1815" s="133" t="str">
        <f>Saud!E1815</f>
        <v>تمت طباعة الشهادة</v>
      </c>
      <c r="C1815" s="133" t="str">
        <f>Saud!C1815</f>
        <v>P-1-N-120920-2857</v>
      </c>
    </row>
    <row r="1816">
      <c r="A1816" s="133" t="str">
        <f>Saud!F1816</f>
        <v>Kitcat deboned tuna &amp; chicken toppers 80g</v>
      </c>
      <c r="B1816" s="133" t="str">
        <f>Saud!E1816</f>
        <v>تمت طباعة الشهادة</v>
      </c>
      <c r="C1816" s="133" t="str">
        <f>Saud!C1816</f>
        <v>P-1-N-120920-2858</v>
      </c>
    </row>
    <row r="1817">
      <c r="A1817" s="133" t="str">
        <f>Saud!F1817</f>
        <v>Kitcat deboned chicken &amp; beef toppers 80g</v>
      </c>
      <c r="B1817" s="133" t="str">
        <f>Saud!E1817</f>
        <v>تمت طباعة الشهادة</v>
      </c>
      <c r="C1817" s="133" t="str">
        <f>Saud!C1817</f>
        <v>P-1-N-120920-2859</v>
      </c>
    </row>
    <row r="1818">
      <c r="A1818" s="133" t="str">
        <f>Saud!F1818</f>
        <v>Kitcat Deboned chicken &amp; lamb toppers 80g</v>
      </c>
      <c r="B1818" s="133" t="str">
        <f>Saud!E1818</f>
        <v>تمت طباعة الشهادة</v>
      </c>
      <c r="C1818" s="133" t="str">
        <f>Saud!C1818</f>
        <v>P-1-N-120920-2860</v>
      </c>
    </row>
    <row r="1819">
      <c r="A1819" s="133" t="str">
        <f>Saud!F1819</f>
        <v>Kitcat Deboned chicken &amp; prawn toppers 80g</v>
      </c>
      <c r="B1819" s="133" t="str">
        <f>Saud!E1819</f>
        <v>تمت طباعة الشهادة</v>
      </c>
      <c r="C1819" s="133" t="str">
        <f>Saud!C1819</f>
        <v>P-1-N-120920-2861</v>
      </c>
    </row>
    <row r="1820">
      <c r="A1820" s="133" t="str">
        <f>Saud!F1820</f>
        <v>Kitcat Deboned chicken classic 80g</v>
      </c>
      <c r="B1820" s="133" t="str">
        <f>Saud!E1820</f>
        <v>تمت طباعة الشهادة</v>
      </c>
      <c r="C1820" s="133" t="str">
        <f>Saud!C1820</f>
        <v>P-1-N-120920-2862</v>
      </c>
    </row>
    <row r="1821">
      <c r="A1821" s="133" t="str">
        <f>Saud!F1821</f>
        <v>Kitcat Pick of the ocean 1.20 KG</v>
      </c>
      <c r="B1821" s="133" t="str">
        <f>Saud!E1821</f>
        <v>تمت طباعة الشهادة</v>
      </c>
      <c r="C1821" s="133" t="str">
        <f>Saud!C1821</f>
        <v>P-1-N-120920-2864</v>
      </c>
    </row>
    <row r="1822">
      <c r="A1822" s="133" t="str">
        <f>Saud!F1822</f>
        <v>Kitcat fillet "O" flakes 1.20 KG</v>
      </c>
      <c r="B1822" s="133" t="str">
        <f>Saud!E1822</f>
        <v>تمت طباعة الشهادة</v>
      </c>
      <c r="C1822" s="133" t="str">
        <f>Saud!C1822</f>
        <v>P-1-N-120920-2865</v>
      </c>
    </row>
    <row r="1823">
      <c r="A1823" s="133" t="str">
        <f>Saud!F1823</f>
        <v>FOM-2024-5403-FEB-2024-49847 -C-0041-70644
</v>
      </c>
      <c r="B1823" s="133" t="str">
        <f>Saud!E1823</f>
        <v>تمت طباعة الشهادة</v>
      </c>
      <c r="C1823" s="133" t="str">
        <f>Saud!C1823</f>
        <v>P-1-N-120920-2866</v>
      </c>
    </row>
    <row r="1824">
      <c r="A1824" s="133" t="str">
        <f>Saud!F1824</f>
        <v>Kitcat chicken cuisine 1.20 KG</v>
      </c>
      <c r="B1824" s="133" t="str">
        <f>Saud!E1824</f>
        <v>تمت طباعة الشهادة</v>
      </c>
      <c r="C1824" s="133" t="str">
        <f>Saud!C1824</f>
        <v>P-1-N-120920-2867</v>
      </c>
    </row>
    <row r="1825">
      <c r="A1825" s="133" t="str">
        <f>Saud!F1825</f>
        <v>Kitcat signature salmon 1.20 KG</v>
      </c>
      <c r="B1825" s="133" t="str">
        <f>Saud!E1825</f>
        <v>تمت طباعة الشهادة</v>
      </c>
      <c r="C1825" s="133" t="str">
        <f>Saud!C1825</f>
        <v>P-1-N-120920-2868</v>
      </c>
    </row>
    <row r="1826">
      <c r="A1826" s="133" t="str">
        <f>Saud!F1826</f>
        <v>Gravy Classic Tuna 70g</v>
      </c>
      <c r="B1826" s="133" t="str">
        <f>Saud!E1826</f>
        <v>تمت طباعة الشهادة</v>
      </c>
      <c r="C1826" s="133" t="str">
        <f>Saud!C1826</f>
        <v>P-1-N-041020-3342</v>
      </c>
    </row>
    <row r="1827">
      <c r="A1827" s="133" t="str">
        <f>Saud!F1827</f>
        <v>Gravy chicken &amp; beef 70g</v>
      </c>
      <c r="B1827" s="133" t="str">
        <f>Saud!E1827</f>
        <v>تمت طباعة الشهادة</v>
      </c>
      <c r="C1827" s="133" t="str">
        <f>Saud!C1827</f>
        <v>P-1-N-041020-3343</v>
      </c>
    </row>
    <row r="1828">
      <c r="A1828" s="133" t="str">
        <f>Saud!F1828</f>
        <v>Gravy chicken &amp; Quail egg 70 g</v>
      </c>
      <c r="B1828" s="133" t="str">
        <f>Saud!E1828</f>
        <v>تمت طباعة الشهادة</v>
      </c>
      <c r="C1828" s="133" t="str">
        <f>Saud!C1828</f>
        <v>P-1-N-041020-3344</v>
      </c>
    </row>
    <row r="1829">
      <c r="A1829" s="133" t="str">
        <f>Saud!F1829</f>
        <v>Gravy chicken &amp; salmon 70g</v>
      </c>
      <c r="B1829" s="133" t="str">
        <f>Saud!E1829</f>
        <v>تمت طباعة الشهادة</v>
      </c>
      <c r="C1829" s="133" t="str">
        <f>Saud!C1829</f>
        <v>P-1-N-041020-3345</v>
      </c>
    </row>
    <row r="1830">
      <c r="A1830" s="133" t="str">
        <f>Saud!F1830</f>
        <v>Gravy chicken &amp; whitebait 70g</v>
      </c>
      <c r="B1830" s="133" t="str">
        <f>Saud!E1830</f>
        <v>تمت طباعة الشهادة</v>
      </c>
      <c r="C1830" s="133" t="str">
        <f>Saud!C1830</f>
        <v>P-1-N-041020-3346</v>
      </c>
    </row>
    <row r="1831">
      <c r="A1831" s="133" t="str">
        <f>Saud!F1831</f>
        <v>Gravy classic chicken 70g</v>
      </c>
      <c r="B1831" s="133" t="str">
        <f>Saud!E1831</f>
        <v>تمت طباعة الشهادة</v>
      </c>
      <c r="C1831" s="133" t="str">
        <f>Saud!C1831</f>
        <v>P-1-N-041020-3347</v>
      </c>
    </row>
    <row r="1832">
      <c r="A1832" s="133" t="str">
        <f>Saud!F1832</f>
        <v>Gravy tuna &amp; whitebait 70g</v>
      </c>
      <c r="B1832" s="133" t="str">
        <f>Saud!E1832</f>
        <v>تمت طباعة الشهادة</v>
      </c>
      <c r="C1832" s="133" t="str">
        <f>Saud!C1832</f>
        <v>P-1-N-041020-3348</v>
      </c>
    </row>
    <row r="1833">
      <c r="A1833" s="133" t="str">
        <f>Saud!F1833</f>
        <v>Gravy tuna &amp; beef 70g</v>
      </c>
      <c r="B1833" s="133" t="str">
        <f>Saud!E1833</f>
        <v>تمت طباعة الشهادة</v>
      </c>
      <c r="C1833" s="133" t="str">
        <f>Saud!C1833</f>
        <v>P-1-N-041020-3349</v>
      </c>
    </row>
    <row r="1834">
      <c r="A1834" s="133" t="str">
        <f>Saud!F1834</f>
        <v>Gravy tuna &amp; chicken 70g</v>
      </c>
      <c r="B1834" s="133" t="str">
        <f>Saud!E1834</f>
        <v>تمت طباعة الشهادة</v>
      </c>
      <c r="C1834" s="133" t="str">
        <f>Saud!C1834</f>
        <v>P-1-N-041020-3350</v>
      </c>
    </row>
    <row r="1835">
      <c r="A1835" s="133" t="str">
        <f>Saud!F1835</f>
        <v>Gravy tuna &amp; salmon 70g</v>
      </c>
      <c r="B1835" s="133" t="str">
        <f>Saud!E1835</f>
        <v>تمت طباعة الشهادة</v>
      </c>
      <c r="C1835" s="133" t="str">
        <f>Saud!C1835</f>
        <v>P-1-N-041020-3351</v>
      </c>
    </row>
    <row r="1836">
      <c r="A1836" s="133" t="str">
        <f>Saud!F1836</f>
        <v>Gravy chicken &amp; skipjack 70g</v>
      </c>
      <c r="B1836" s="133" t="str">
        <f>Saud!E1836</f>
        <v>تمت طباعة الشهادة</v>
      </c>
      <c r="C1836" s="133" t="str">
        <f>Saud!C1836</f>
        <v>P-1-N-041020-3353</v>
      </c>
    </row>
    <row r="1837">
      <c r="A1837" s="133" t="str">
        <f>Saud!F1837</f>
        <v>Gravy tuna &amp; quail egg 70g</v>
      </c>
      <c r="B1837" s="133" t="str">
        <f>Saud!E1837</f>
        <v>تمت طباعة الشهادة</v>
      </c>
      <c r="C1837" s="133" t="str">
        <f>Saud!C1837</f>
        <v>P-1-N-041020-3354</v>
      </c>
    </row>
    <row r="1838">
      <c r="A1838" s="133" t="str">
        <f>Saud!F1838</f>
        <v>Kit Cat Chicken Cuisine 5kg</v>
      </c>
      <c r="B1838" s="133" t="str">
        <f>Saud!E1838</f>
        <v>تمت طباعة الشهادة</v>
      </c>
      <c r="C1838" s="133" t="str">
        <f>Saud!C1838</f>
        <v>P-1-N-291220-5176</v>
      </c>
    </row>
    <row r="1839">
      <c r="A1839" s="133" t="str">
        <f>Saud!F1839</f>
        <v>Kit Cat Classic 32 5kg</v>
      </c>
      <c r="B1839" s="133" t="str">
        <f>Saud!E1839</f>
        <v>تمت طباعة الشهادة</v>
      </c>
      <c r="C1839" s="133" t="str">
        <f>Saud!C1839</f>
        <v>P-1-N-291220-5177</v>
      </c>
    </row>
    <row r="1840">
      <c r="A1840" s="133" t="str">
        <f>Saud!F1840</f>
        <v>Kit Cat Classic 32 15kg</v>
      </c>
      <c r="B1840" s="133" t="str">
        <f>Saud!E1840</f>
        <v>تمت طباعة الشهادة</v>
      </c>
      <c r="C1840" s="133" t="str">
        <f>Saud!C1840</f>
        <v>P-1-N-291220-5178</v>
      </c>
    </row>
    <row r="1841">
      <c r="A1841" s="133" t="str">
        <f>Saud!F1841</f>
        <v>Kit Cat Fillet ‘O’ Flakes 5kg</v>
      </c>
      <c r="B1841" s="133" t="str">
        <f>Saud!E1841</f>
        <v>تمت طباعة الشهادة</v>
      </c>
      <c r="C1841" s="133" t="str">
        <f>Saud!C1841</f>
        <v>P-1-N-291220-5179</v>
      </c>
    </row>
    <row r="1842">
      <c r="A1842" s="133" t="str">
        <f>Saud!F1842</f>
        <v>Kit Cat Mini Fish Medley 5kg</v>
      </c>
      <c r="B1842" s="133" t="str">
        <f>Saud!E1842</f>
        <v>تمت طباعة الشهادة</v>
      </c>
      <c r="C1842" s="133" t="str">
        <f>Saud!C1842</f>
        <v>P-1-N-291220-5181</v>
      </c>
    </row>
    <row r="1843">
      <c r="A1843" s="133" t="str">
        <f>Saud!F1843</f>
        <v>Kit Cat Pick of the Ocean 15kg</v>
      </c>
      <c r="B1843" s="133" t="str">
        <f>Saud!E1843</f>
        <v>تمت طباعة الشهادة</v>
      </c>
      <c r="C1843" s="133" t="str">
        <f>Saud!C1843</f>
        <v>P-1-N-291220-5183</v>
      </c>
    </row>
    <row r="1844">
      <c r="A1844" s="133" t="str">
        <f>Saud!F1844</f>
        <v>Kit Cat Dry Food - Kittens &amp; Pregnant Cat 1.2kg</v>
      </c>
      <c r="B1844" s="133" t="str">
        <f>Saud!E1844</f>
        <v>تمت طباعة الشهادة</v>
      </c>
      <c r="C1844" s="133" t="str">
        <f>Saud!C1844</f>
        <v>P-1-N-291220-5184</v>
      </c>
    </row>
    <row r="1845">
      <c r="A1845" s="133" t="str">
        <f>Saud!F1845</f>
        <v>Kit Cat Dry Food - Kittens &amp; Pregnant Cat 5kg</v>
      </c>
      <c r="B1845" s="133" t="str">
        <f>Saud!E1845</f>
        <v>تمت طباعة الشهادة</v>
      </c>
      <c r="C1845" s="133" t="str">
        <f>Saud!C1845</f>
        <v>P-1-N-291220-5185</v>
      </c>
    </row>
    <row r="1846">
      <c r="A1846" s="133" t="str">
        <f>Saud!F1846</f>
        <v>Kitcat Milk for Kittens 250ml</v>
      </c>
      <c r="B1846" s="133" t="str">
        <f>Saud!E1846</f>
        <v>تمت طباعة الشهادة</v>
      </c>
      <c r="C1846" s="133" t="str">
        <f>Saud!C1846</f>
        <v>P-1-N-190121-247</v>
      </c>
    </row>
    <row r="1847">
      <c r="A1847" s="133" t="str">
        <f>Saud!F1847</f>
        <v>Kit Cat Kitten Mousse </v>
      </c>
      <c r="B1847" s="133" t="str">
        <f>Saud!E1847</f>
        <v>تمت طباعة الشهادة</v>
      </c>
      <c r="C1847" s="133" t="str">
        <f>Saud!C1847</f>
        <v>P-1-N-100221-609</v>
      </c>
    </row>
    <row r="1848">
      <c r="A1848" s="133" t="str">
        <f>Saud!F1848</f>
        <v>Kit Cat Atlantic Tuna with Crab </v>
      </c>
      <c r="B1848" s="133" t="str">
        <f>Saud!E1848</f>
        <v>تمت طباعة الشهادة</v>
      </c>
      <c r="C1848" s="133" t="str">
        <f>Saud!C1848</f>
        <v>P-1-N-100221-610</v>
      </c>
    </row>
    <row r="1849">
      <c r="A1849" s="133" t="str">
        <f>Saud!F1849</f>
        <v>Kit Cat Tuna with Mackerel </v>
      </c>
      <c r="B1849" s="133" t="str">
        <f>Saud!E1849</f>
        <v>تمت طباعة الشهادة</v>
      </c>
      <c r="C1849" s="133" t="str">
        <f>Saud!C1849</f>
        <v>P-1-N-100221-611</v>
      </c>
    </row>
    <row r="1850">
      <c r="A1850" s="133" t="str">
        <f>Saud!F1850</f>
        <v>Kit Cat Tuna with Prawn </v>
      </c>
      <c r="B1850" s="133" t="str">
        <f>Saud!E1850</f>
        <v>تمت طباعة الشهادة</v>
      </c>
      <c r="C1850" s="133" t="str">
        <f>Saud!C1850</f>
        <v>P-1-N-100221-612</v>
      </c>
    </row>
    <row r="1851">
      <c r="A1851" s="133" t="str">
        <f>Saud!F1851</f>
        <v>Kit Cat Tuna with Whitebait </v>
      </c>
      <c r="B1851" s="133" t="str">
        <f>Saud!E1851</f>
        <v>تمت طباعة الشهادة</v>
      </c>
      <c r="C1851" s="133" t="str">
        <f>Saud!C1851</f>
        <v>P-1-N-100221-614</v>
      </c>
    </row>
    <row r="1852">
      <c r="A1852" s="133" t="str">
        <f>Saud!F1852</f>
        <v>Kit Cat Kitten Mousse with Tuna 80g</v>
      </c>
      <c r="B1852" s="133" t="str">
        <f>Saud!E1852</f>
        <v>تمت طباعة الشهادة</v>
      </c>
      <c r="C1852" s="133" t="str">
        <f>Saud!C1852</f>
        <v>P-1-N-100221-615</v>
      </c>
    </row>
    <row r="1853">
      <c r="A1853" s="133" t="str">
        <f>Saud!F1853</f>
        <v>Kit Cat Kitten Mousse with Chicken 80g</v>
      </c>
      <c r="B1853" s="133" t="str">
        <f>Saud!E1853</f>
        <v>تمت طباعة الشهادة</v>
      </c>
      <c r="C1853" s="133" t="str">
        <f>Saud!C1853</f>
        <v>P-1-N-100221-616</v>
      </c>
    </row>
    <row r="1854">
      <c r="A1854" s="133" t="str">
        <f>Saud!F1854</f>
        <v>Kit Cat Tuna Mousse &amp; Chicken Toppers 80g</v>
      </c>
      <c r="B1854" s="133" t="str">
        <f>Saud!E1854</f>
        <v>تمت طباعة الشهادة</v>
      </c>
      <c r="C1854" s="133" t="str">
        <f>Saud!C1854</f>
        <v>P-1-N-100221-617</v>
      </c>
    </row>
    <row r="1855">
      <c r="A1855" s="133" t="str">
        <f>Saud!F1855</f>
        <v>Kit Cat Chicken Mousse &amp; Tuna Toppers 80g</v>
      </c>
      <c r="B1855" s="133" t="str">
        <f>Saud!E1855</f>
        <v>تمت طباعة الشهادة</v>
      </c>
      <c r="C1855" s="133" t="str">
        <f>Saud!C1855</f>
        <v>P-1-N-100221-618</v>
      </c>
    </row>
    <row r="1856">
      <c r="A1856" s="133" t="str">
        <f>Saud!F1856</f>
        <v>Kit Cat Deboned Tuna &amp; Shrimp Toppers 80g</v>
      </c>
      <c r="B1856" s="133" t="str">
        <f>Saud!E1856</f>
        <v>تمت طباعة الشهادة</v>
      </c>
      <c r="C1856" s="133" t="str">
        <f>Saud!C1856</f>
        <v>P-1-N-040321-1093</v>
      </c>
    </row>
    <row r="1857">
      <c r="A1857" s="133" t="str">
        <f>Saud!F1857</f>
        <v>Kit Cat Tuna with Salmon </v>
      </c>
      <c r="B1857" s="133" t="str">
        <f>Saud!E1857</f>
        <v>تمت طباعة الشهادة</v>
      </c>
      <c r="C1857" s="133" t="str">
        <f>Saud!C1857</f>
        <v>P-1-N-280321-1527</v>
      </c>
    </row>
    <row r="1858">
      <c r="A1858" s="133" t="str">
        <f>Saud!F1858</f>
        <v>Kit Cat Deboned Kitten Tuna Flakes with Aspic 80g</v>
      </c>
      <c r="B1858" s="133" t="str">
        <f>Saud!E1858</f>
        <v>تمت طباعة الشهادة</v>
      </c>
      <c r="C1858" s="133" t="str">
        <f>Saud!C1858</f>
        <v>P-1-N-180521-2697</v>
      </c>
    </row>
    <row r="1859">
      <c r="A1859" s="133" t="str">
        <f>Saud!F1859</f>
        <v>Kit Cat Deboned Kitten Chicken Flakes with Aspic 80g</v>
      </c>
      <c r="B1859" s="133" t="str">
        <f>Saud!E1859</f>
        <v>تمت طباعة الشهادة</v>
      </c>
      <c r="C1859" s="133" t="str">
        <f>Saud!C1859</f>
        <v>P-1-N-180521-2698</v>
      </c>
    </row>
    <row r="1860">
      <c r="A1860" s="133" t="str">
        <f>Saud!F1860</f>
        <v>Beaphar Lactol Kitten Milk 500g</v>
      </c>
      <c r="B1860" s="133" t="str">
        <f>Saud!E1860</f>
        <v>تمت طباعة الشهادة</v>
      </c>
      <c r="C1860" s="133" t="str">
        <f>Saud!C1860</f>
        <v>P-1-N-060721-4181</v>
      </c>
    </row>
    <row r="1861">
      <c r="A1861" s="133" t="str">
        <f>Saud!F1861</f>
        <v>Kit Cat Complete Cuisine - Chicken &amp; Chia Seed 150g</v>
      </c>
      <c r="B1861" s="133" t="str">
        <f>Saud!E1861</f>
        <v>تمت طباعة الشهادة</v>
      </c>
      <c r="C1861" s="133" t="str">
        <f>Saud!C1861</f>
        <v>P-1-N-011121-7311</v>
      </c>
    </row>
    <row r="1862">
      <c r="A1862" s="133" t="str">
        <f>Saud!F1862</f>
        <v>Kit Cat Complete Cuisine - Chicken &amp; Salmon 150g</v>
      </c>
      <c r="B1862" s="133" t="str">
        <f>Saud!E1862</f>
        <v>تمت طباعة الشهادة</v>
      </c>
      <c r="C1862" s="133" t="str">
        <f>Saud!C1862</f>
        <v>P-1-N-081121-7511</v>
      </c>
    </row>
    <row r="1863">
      <c r="A1863" s="133" t="str">
        <f>Saud!F1863</f>
        <v>Kit Cat Complete Cuisine - Chicken &amp; Skipjack 150g</v>
      </c>
      <c r="B1863" s="133" t="str">
        <f>Saud!E1863</f>
        <v>تمت طباعة الشهادة</v>
      </c>
      <c r="C1863" s="133" t="str">
        <f>Saud!C1863</f>
        <v>P-1-N-081121-7512</v>
      </c>
    </row>
    <row r="1864">
      <c r="A1864" s="133" t="str">
        <f>Saud!F1864</f>
        <v>Kit Cat Complete Cuisine - Chicken Classic 150g</v>
      </c>
      <c r="B1864" s="133" t="str">
        <f>Saud!E1864</f>
        <v>تمت طباعة الشهادة</v>
      </c>
      <c r="C1864" s="133" t="str">
        <f>Saud!C1864</f>
        <v>P-1-N-081121-7513</v>
      </c>
    </row>
    <row r="1865">
      <c r="A1865" s="133" t="str">
        <f>Saud!F1865</f>
        <v>Kit Cat Complete Cuisine - Tuna &amp; Chicken 150g</v>
      </c>
      <c r="B1865" s="133" t="str">
        <f>Saud!E1865</f>
        <v>تمت طباعة الشهادة</v>
      </c>
      <c r="C1865" s="133" t="str">
        <f>Saud!C1865</f>
        <v>P-1-N-081121-7516</v>
      </c>
    </row>
    <row r="1866">
      <c r="A1866" s="133" t="str">
        <f>Saud!F1866</f>
        <v>Kit Cat Complete Cuisine - Tuna &amp; Goji Berry 150g</v>
      </c>
      <c r="B1866" s="133" t="str">
        <f>Saud!E1866</f>
        <v>تمت طباعة الشهادة</v>
      </c>
      <c r="C1866" s="133" t="str">
        <f>Saud!C1866</f>
        <v>P-1-N-081121-7517</v>
      </c>
    </row>
    <row r="1867">
      <c r="A1867" s="133" t="str">
        <f>Saud!F1867</f>
        <v>Kit Cat Complete Cuisine - Tuna &amp; Salmon 150g</v>
      </c>
      <c r="B1867" s="133" t="str">
        <f>Saud!E1867</f>
        <v>تمت طباعة الشهادة</v>
      </c>
      <c r="C1867" s="133" t="str">
        <f>Saud!C1867</f>
        <v>P-1-N-081121-7518</v>
      </c>
    </row>
    <row r="1868">
      <c r="A1868" s="133" t="str">
        <f>Saud!F1868</f>
        <v>Kit Cat Complete Cuisine - Tuna &amp; Whitebait 150g</v>
      </c>
      <c r="B1868" s="133" t="str">
        <f>Saud!E1868</f>
        <v>تمت طباعة الشهادة</v>
      </c>
      <c r="C1868" s="133" t="str">
        <f>Saud!C1868</f>
        <v>P-1-N-081121-7519</v>
      </c>
    </row>
    <row r="1869">
      <c r="A1869" s="133" t="str">
        <f>Saud!F1869</f>
        <v>Kit Cat Complete Cuisine -Chicken &amp; Whitebait 150g</v>
      </c>
      <c r="B1869" s="133" t="str">
        <f>Saud!E1869</f>
        <v>تمت طباعة الشهادة</v>
      </c>
      <c r="C1869" s="133" t="str">
        <f>Saud!C1869</f>
        <v>P-1-N-081121-7522</v>
      </c>
    </row>
    <row r="1870">
      <c r="A1870" s="133" t="str">
        <f>Saud!F1870</f>
        <v>Kit Cat Complete Cuisine-Chicken &amp; Goji Berry 150g</v>
      </c>
      <c r="B1870" s="133" t="str">
        <f>Saud!E1870</f>
        <v>تمت طباعة الشهادة</v>
      </c>
      <c r="C1870" s="133" t="str">
        <f>Saud!C1870</f>
        <v>P-1-N-081121-7523</v>
      </c>
    </row>
    <row r="1871">
      <c r="A1871" s="133" t="str">
        <f>Saud!F1871</f>
        <v>Kit Cat Complete Cuisine Kitten Recipe Chicken 150g</v>
      </c>
      <c r="B1871" s="133" t="str">
        <f>Saud!E1871</f>
        <v>تمت طباعة الشهادة</v>
      </c>
      <c r="C1871" s="133" t="str">
        <f>Saud!C1871</f>
        <v>P-1-N-150522-2936</v>
      </c>
    </row>
    <row r="1872">
      <c r="A1872" s="133" t="str">
        <f>Saud!F1872</f>
        <v>Kit Cat Complete Cuisine Kitten Recipe Tuna 150g</v>
      </c>
      <c r="B1872" s="133" t="str">
        <f>Saud!E1872</f>
        <v>تمت طباعة الشهادة</v>
      </c>
      <c r="C1872" s="133" t="str">
        <f>Saud!C1872</f>
        <v>P-1-N-150522-2937</v>
      </c>
    </row>
    <row r="1873">
      <c r="A1873" s="133" t="str">
        <f>Saud!F1873</f>
        <v>Kit Cat Cat Stick - Chicken &amp; Wild Berries 15g</v>
      </c>
      <c r="B1873" s="133" t="str">
        <f>Saud!E1873</f>
        <v>تمت طباعة الشهادة</v>
      </c>
      <c r="C1873" s="133" t="str">
        <f>Saud!C1873</f>
        <v>P-1-N-150822-4725</v>
      </c>
    </row>
    <row r="1874">
      <c r="A1874" s="133" t="str">
        <f>Saud!F1874</f>
        <v>Kit Cat Cat Stick - Chicken &amp; Salmon 15g</v>
      </c>
      <c r="B1874" s="133" t="str">
        <f>Saud!E1874</f>
        <v>تمت طباعة الشهادة</v>
      </c>
      <c r="C1874" s="133" t="str">
        <f>Saud!C1874</f>
        <v>P-1-N-150822-4726</v>
      </c>
    </row>
    <row r="1875">
      <c r="A1875" s="133" t="str">
        <f>Saud!F1875</f>
        <v>Kit Cat Cat Stick - Chicken , Duck &amp; Cranberries 15g</v>
      </c>
      <c r="B1875" s="133" t="str">
        <f>Saud!E1875</f>
        <v>تمت طباعة الشهادة</v>
      </c>
      <c r="C1875" s="133" t="str">
        <f>Saud!C1875</f>
        <v>P-1-N-150822-4727</v>
      </c>
    </row>
    <row r="1876">
      <c r="A1876" s="133" t="str">
        <f>Saud!F1876</f>
        <v>Kit Cat Cat Stick - Atlantic Salmon 15g</v>
      </c>
      <c r="B1876" s="133" t="str">
        <f>Saud!E1876</f>
        <v>تمت طباعة الشهادة</v>
      </c>
      <c r="C1876" s="133" t="str">
        <f>Saud!C1876</f>
        <v>P-1-N-150822-4728</v>
      </c>
    </row>
    <row r="1877">
      <c r="A1877" s="133" t="str">
        <f>Saud!F1877</f>
        <v>Kit Cat Cat Stick - Salmon &amp; Tuna 15g</v>
      </c>
      <c r="B1877" s="133" t="str">
        <f>Saud!E1877</f>
        <v>تمت طباعة الشهادة</v>
      </c>
      <c r="C1877" s="133" t="str">
        <f>Saud!C1877</f>
        <v>P-1-N-150822-4730</v>
      </c>
    </row>
    <row r="1878">
      <c r="A1878" s="133" t="str">
        <f>Saud!F1878</f>
        <v>Kit Cat Cat Stick - Salmon &amp; Scallop 15g</v>
      </c>
      <c r="B1878" s="133" t="str">
        <f>Saud!E1878</f>
        <v>تمت طباعة الشهادة</v>
      </c>
      <c r="C1878" s="133" t="str">
        <f>Saud!C1878</f>
        <v>P-1-N-150822-4731</v>
      </c>
    </row>
    <row r="1879">
      <c r="A1879" s="133" t="str">
        <f>Saud!F1879</f>
        <v>Kit Cat Purrfect Pockets Chicken &amp; Cheese 60g</v>
      </c>
      <c r="B1879" s="133" t="str">
        <f>Saud!E1879</f>
        <v>تمت طباعة الشهادة</v>
      </c>
      <c r="C1879" s="133" t="str">
        <f>Saud!C1879</f>
        <v>P-1-N-180822-4857</v>
      </c>
    </row>
    <row r="1880">
      <c r="A1880" s="133" t="str">
        <f>Saud!F1880</f>
        <v>Kit Cat Purrfect Pockets Hairball Control 60g</v>
      </c>
      <c r="B1880" s="133" t="str">
        <f>Saud!E1880</f>
        <v>تمت طباعة الشهادة</v>
      </c>
      <c r="C1880" s="133" t="str">
        <f>Saud!C1880</f>
        <v>P-1-N-180822-4859</v>
      </c>
    </row>
    <row r="1881">
      <c r="A1881" s="133" t="str">
        <f>Saud!F1881</f>
        <v>Kit Cat Purrfect Pockets Salmon 60g</v>
      </c>
      <c r="B1881" s="133" t="str">
        <f>Saud!E1881</f>
        <v>تمت طباعة الشهادة</v>
      </c>
      <c r="C1881" s="133" t="str">
        <f>Saud!C1881</f>
        <v>P-1-N-180822-4860</v>
      </c>
    </row>
    <row r="1882">
      <c r="A1882" s="133" t="str">
        <f>Saud!F1882</f>
        <v>Kit Cat Purrfect Pockets Sensitive Care 60g</v>
      </c>
      <c r="B1882" s="133" t="str">
        <f>Saud!E1882</f>
        <v>تمت طباعة الشهادة</v>
      </c>
      <c r="C1882" s="133" t="str">
        <f>Saud!C1882</f>
        <v>P-1-N-180822-4861</v>
      </c>
    </row>
    <row r="1883">
      <c r="A1883" s="133" t="str">
        <f>Saud!F1883</f>
        <v>Kit Cat Purrfect Pockets Skin &amp; Coat Care 60g</v>
      </c>
      <c r="B1883" s="133" t="str">
        <f>Saud!E1883</f>
        <v>تمت طباعة الشهادة</v>
      </c>
      <c r="C1883" s="133" t="str">
        <f>Saud!C1883</f>
        <v>P-1-N-180822-4862</v>
      </c>
    </row>
    <row r="1884">
      <c r="A1884" s="133" t="str">
        <f>Saud!F1884</f>
        <v>Kit Cat Freeze Dried Yogurt Yums 10g - Original</v>
      </c>
      <c r="B1884" s="133" t="str">
        <f>Saud!E1884</f>
        <v>تمت طباعة الشهادة</v>
      </c>
      <c r="C1884" s="133" t="str">
        <f>Saud!C1884</f>
        <v>P-1-N-210822-4880</v>
      </c>
    </row>
    <row r="1885">
      <c r="A1885" s="133" t="str">
        <f>Saud!F1885</f>
        <v>Kit Cat Freeze Dried Yogurt Yums 10g - Blueberry</v>
      </c>
      <c r="B1885" s="133" t="str">
        <f>Saud!E1885</f>
        <v>تمت طباعة الشهادة</v>
      </c>
      <c r="C1885" s="133" t="str">
        <f>Saud!C1885</f>
        <v>P-1-N-210822-4881</v>
      </c>
    </row>
    <row r="1886">
      <c r="A1886" s="133" t="str">
        <f>Saud!F1886</f>
        <v>Kit Cat Freeze Dried Yogurt Yums 10g - Cranberry</v>
      </c>
      <c r="B1886" s="133" t="str">
        <f>Saud!E1886</f>
        <v>تمت طباعة الشهادة</v>
      </c>
      <c r="C1886" s="133" t="str">
        <f>Saud!C1886</f>
        <v>P-1-N-210822-4882</v>
      </c>
    </row>
    <row r="1887">
      <c r="A1887" s="133" t="str">
        <f>Saud!F1887</f>
        <v>Kit Cat Freeze Dried Yogurt Yums 10g - Pumpkin</v>
      </c>
      <c r="B1887" s="133" t="str">
        <f>Saud!E1887</f>
        <v>تمت طباعة الشهادة</v>
      </c>
      <c r="C1887" s="133" t="str">
        <f>Saud!C1887</f>
        <v>P-1-N-210822-4883</v>
      </c>
    </row>
    <row r="1888">
      <c r="A1888" s="133" t="str">
        <f>Saud!F1888</f>
        <v>Kit Cat Freeze Dried Yogurt Yums 10g - Strawberry</v>
      </c>
      <c r="B1888" s="133" t="str">
        <f>Saud!E1888</f>
        <v>تمت طباعة الشهادة</v>
      </c>
      <c r="C1888" s="133" t="str">
        <f>Saud!C1888</f>
        <v>P-1-N-210822-4884</v>
      </c>
    </row>
    <row r="1889">
      <c r="A1889" s="133" t="str">
        <f>Saud!F1889</f>
        <v>Kit Cat Freeze Dried Yogurt Yums 10g - Apple</v>
      </c>
      <c r="B1889" s="133" t="str">
        <f>Saud!E1889</f>
        <v>تمت طباعة الشهادة</v>
      </c>
      <c r="C1889" s="133" t="str">
        <f>Saud!C1889</f>
        <v>P-1-N-210822-4886</v>
      </c>
    </row>
    <row r="1890">
      <c r="A1890" s="133" t="str">
        <f>Saud!F1890</f>
        <v>Kit Cat Freeze Dried Yogurt Yums 10g - Egg yolk</v>
      </c>
      <c r="B1890" s="133" t="str">
        <f>Saud!E1890</f>
        <v>تمت طباعة الشهادة</v>
      </c>
      <c r="C1890" s="133" t="str">
        <f>Saud!C1890</f>
        <v>P-1-N-210822-4887</v>
      </c>
    </row>
    <row r="1891">
      <c r="A1891" s="133" t="str">
        <f>Saud!F1891</f>
        <v>Kit Cat Freeze Dried Yogurt Yums 10g - Cheese</v>
      </c>
      <c r="B1891" s="133" t="str">
        <f>Saud!E1891</f>
        <v>تمت طباعة الشهادة</v>
      </c>
      <c r="C1891" s="133" t="str">
        <f>Saud!C1891</f>
        <v>P-1-N-210822-4888</v>
      </c>
    </row>
    <row r="1892">
      <c r="A1892" s="133" t="str">
        <f>Saud!F1892</f>
        <v>Kit Cat Cranberry Crisps - Chicken Flavor 20g</v>
      </c>
      <c r="B1892" s="133" t="str">
        <f>Saud!E1892</f>
        <v>تمت طباعة الشهادة</v>
      </c>
      <c r="C1892" s="133" t="str">
        <f>Saud!C1892</f>
        <v>P-1-N-230123-477</v>
      </c>
    </row>
    <row r="1893">
      <c r="A1893" s="133" t="str">
        <f>Saud!F1893</f>
        <v>Kit Cat Cranberry Crisps - Beef Flavor 20g</v>
      </c>
      <c r="B1893" s="133" t="str">
        <f>Saud!E1893</f>
        <v>تمت طباعة الشهادة</v>
      </c>
      <c r="C1893" s="133" t="str">
        <f>Saud!C1893</f>
        <v>P-1-N-230123-478</v>
      </c>
    </row>
    <row r="1894">
      <c r="A1894" s="133" t="str">
        <f>Saud!F1894</f>
        <v>Kit Cat Cranberry Crisps - Lamb Flavor 20g</v>
      </c>
      <c r="B1894" s="133" t="str">
        <f>Saud!E1894</f>
        <v>تمت طباعة الشهادة</v>
      </c>
      <c r="C1894" s="133" t="str">
        <f>Saud!C1894</f>
        <v>P-1-N-230123-479</v>
      </c>
    </row>
    <row r="1895">
      <c r="A1895" s="133" t="str">
        <f>Saud!F1895</f>
        <v>Kit Cat Cranberry Crisps - Salmon Flavor 20g</v>
      </c>
      <c r="B1895" s="133" t="str">
        <f>Saud!E1895</f>
        <v>تمت طباعة الشهادة</v>
      </c>
      <c r="C1895" s="133" t="str">
        <f>Saud!C1895</f>
        <v>P-1-N-230123-480</v>
      </c>
    </row>
    <row r="1896">
      <c r="A1896" s="133" t="str">
        <f>Saud!F1896</f>
        <v>Kit Cat Cranberry Crisps - Seafood Flavor 20g</v>
      </c>
      <c r="B1896" s="133" t="str">
        <f>Saud!E1896</f>
        <v>تمت طباعة الشهادة</v>
      </c>
      <c r="C1896" s="133" t="str">
        <f>Saud!C1896</f>
        <v>P-1-N-230123-481</v>
      </c>
    </row>
    <row r="1897">
      <c r="A1897" s="133" t="str">
        <f>Saud!F1897</f>
        <v>Kit Cat Cranberry Crisps - Tuna Flavor 20g</v>
      </c>
      <c r="B1897" s="133" t="str">
        <f>Saud!E1897</f>
        <v>تمت طباعة الشهادة</v>
      </c>
      <c r="C1897" s="133" t="str">
        <f>Saud!C1897</f>
        <v>P-1-N-230123-482</v>
      </c>
    </row>
    <row r="1898">
      <c r="A1898" s="133">
        <f>Saud!F1898</f>
        <v>0</v>
      </c>
      <c r="B1898" s="133" t="str">
        <f>Saud!E1898</f>
        <v>REJECTED</v>
      </c>
      <c r="C1898" s="133" t="str">
        <f>Saud!C1898</f>
        <v>P-1-N-160424-2415</v>
      </c>
    </row>
    <row r="1899">
      <c r="A1899" s="133">
        <f>Saud!F1899</f>
        <v>0</v>
      </c>
      <c r="B1899" s="133" t="str">
        <f>Saud!E1899</f>
        <v>REJECTED</v>
      </c>
      <c r="C1899" s="133" t="str">
        <f>Saud!C1899</f>
        <v>P-1-N-160424-2416</v>
      </c>
    </row>
    <row r="1900">
      <c r="A1900" s="133">
        <f>Saud!F1900</f>
        <v>0</v>
      </c>
      <c r="B1900" s="133" t="str">
        <f>Saud!E1900</f>
        <v>REJECTED</v>
      </c>
      <c r="C1900" s="133" t="str">
        <f>Saud!C1900</f>
        <v>P-1-N-160424-2417</v>
      </c>
    </row>
    <row r="1901">
      <c r="A1901" s="133">
        <f>Saud!F1901</f>
        <v>0</v>
      </c>
      <c r="B1901" s="133" t="str">
        <f>Saud!E1901</f>
        <v>REJECTED</v>
      </c>
      <c r="C1901" s="133" t="str">
        <f>Saud!C1901</f>
        <v>P-1-N-160424-2418</v>
      </c>
    </row>
    <row r="1902">
      <c r="A1902" s="133">
        <f>Saud!F1902</f>
        <v>0</v>
      </c>
      <c r="B1902" s="133" t="str">
        <f>Saud!E1902</f>
        <v>REJECTED</v>
      </c>
      <c r="C1902" s="133" t="str">
        <f>Saud!C1902</f>
        <v>P-1-N-160424-2420</v>
      </c>
    </row>
    <row r="1903">
      <c r="A1903" s="133">
        <f>Saud!F1903</f>
        <v>0</v>
      </c>
      <c r="B1903" s="133" t="str">
        <f>Saud!E1903</f>
        <v>REJECTED</v>
      </c>
      <c r="C1903" s="133" t="str">
        <f>Saud!C1903</f>
        <v>P-1-N-160424-2424</v>
      </c>
    </row>
    <row r="1904">
      <c r="A1904" s="133">
        <f>Saud!F1904</f>
        <v>0</v>
      </c>
      <c r="B1904" s="133" t="str">
        <f>Saud!E1904</f>
        <v>REJECTED</v>
      </c>
      <c r="C1904" s="133" t="str">
        <f>Saud!C1904</f>
        <v>P-1-N-160424-2425</v>
      </c>
    </row>
    <row r="1905">
      <c r="A1905" s="133">
        <f>Saud!F1905</f>
        <v>0</v>
      </c>
      <c r="B1905" s="133" t="str">
        <f>Saud!E1905</f>
        <v>REJECTED</v>
      </c>
      <c r="C1905" s="133" t="str">
        <f>Saud!C1905</f>
        <v>P-1-N-160424-2426</v>
      </c>
    </row>
    <row r="1906">
      <c r="A1906" s="133">
        <f>Saud!F1906</f>
        <v>0</v>
      </c>
      <c r="B1906" s="133" t="str">
        <f>Saud!E1906</f>
        <v>REJECTED</v>
      </c>
      <c r="C1906" s="133" t="str">
        <f>Saud!C1906</f>
        <v>P-1-N-160424-2427</v>
      </c>
    </row>
    <row r="1907">
      <c r="A1907" s="133">
        <f>Saud!F1907</f>
        <v>0</v>
      </c>
      <c r="B1907" s="133" t="str">
        <f>Saud!E1907</f>
        <v>REJECTED</v>
      </c>
      <c r="C1907" s="133" t="str">
        <f>Saud!C1907</f>
        <v>P-1-N-160424-2428</v>
      </c>
    </row>
    <row r="1908">
      <c r="A1908" s="133">
        <f>Saud!F1908</f>
        <v>0</v>
      </c>
      <c r="B1908" s="133" t="str">
        <f>Saud!E1908</f>
        <v>REJECTED</v>
      </c>
      <c r="C1908" s="133" t="str">
        <f>Saud!C1908</f>
        <v>P-1-N-160424-2429</v>
      </c>
    </row>
    <row r="1909">
      <c r="A1909" s="133" t="str">
        <f>Saud!F1909</f>
        <v>Garden Bites dental Sticks S 420g</v>
      </c>
      <c r="B1909" s="133" t="str">
        <f>Saud!E1909</f>
        <v>تمت طباعة الشهادة</v>
      </c>
      <c r="C1909" s="133" t="str">
        <f>Saud!C1909</f>
        <v>P-1-N-160424-2442</v>
      </c>
    </row>
    <row r="1910">
      <c r="A1910" s="133" t="str">
        <f>Saud!F1910</f>
        <v>Garden Bites dental Sticks S 3.24KG
</v>
      </c>
      <c r="B1910" s="133" t="str">
        <f>Saud!E1910</f>
        <v>تمت طباعة الشهادة</v>
      </c>
      <c r="C1910" s="133" t="str">
        <f>Saud!C1910</f>
        <v>P-1-N-160424-2443</v>
      </c>
    </row>
    <row r="1911">
      <c r="A1911" s="133" t="str">
        <f>Saud!F1911</f>
        <v>Garden Bites dental Sticks L 420G
</v>
      </c>
      <c r="B1911" s="133" t="str">
        <f>Saud!E1911</f>
        <v>تمت طباعة الشهادة</v>
      </c>
      <c r="C1911" s="133" t="str">
        <f>Saud!C1911</f>
        <v>P-1-N-170424-2460</v>
      </c>
    </row>
    <row r="1912">
      <c r="A1912" s="133" t="str">
        <f>Saud!F1912</f>
        <v>Garden Bites dental Sticks L 3.60KG
</v>
      </c>
      <c r="B1912" s="133" t="str">
        <f>Saud!E1912</f>
        <v>تمت طباعة الشهادة</v>
      </c>
      <c r="C1912" s="133" t="str">
        <f>Saud!C1912</f>
        <v>P-1-N-170424-2461</v>
      </c>
    </row>
    <row r="1913">
      <c r="A1913" s="133" t="str">
        <f>Saud!F1913</f>
        <v>Garden Bites Veggie Friends S 270g
</v>
      </c>
      <c r="B1913" s="133" t="str">
        <f>Saud!E1913</f>
        <v>تمت طباعة الشهادة</v>
      </c>
      <c r="C1913" s="133" t="str">
        <f>Saud!C1913</f>
        <v>P-1-N-170424-2462</v>
      </c>
    </row>
    <row r="1914">
      <c r="A1914" s="133" t="str">
        <f>Saud!F1914</f>
        <v>Garden Bites Veggie Friends L 270g
</v>
      </c>
      <c r="B1914" s="133" t="str">
        <f>Saud!E1914</f>
        <v>تمت طباعة الشهادة</v>
      </c>
      <c r="C1914" s="133" t="str">
        <f>Saud!C1914</f>
        <v>P-1-N-170424-2463</v>
      </c>
    </row>
    <row r="1915">
      <c r="A1915" s="133" t="str">
        <f>Saud!F1915</f>
        <v>Garden Bites toby toothbrush S 500g
</v>
      </c>
      <c r="B1915" s="133" t="str">
        <f>Saud!E1915</f>
        <v>تمت طباعة الشهادة</v>
      </c>
      <c r="C1915" s="133" t="str">
        <f>Saud!C1915</f>
        <v>P-1-N-170424-2464</v>
      </c>
    </row>
    <row r="1916">
      <c r="A1916" s="133" t="str">
        <f>Saud!F1916</f>
        <v>Garden Bites toby toothbrush L500g
</v>
      </c>
      <c r="B1916" s="133" t="str">
        <f>Saud!E1916</f>
        <v>تمت طباعة الشهادة</v>
      </c>
      <c r="C1916" s="133" t="str">
        <f>Saud!C1916</f>
        <v>P-1-N-170424-2465</v>
      </c>
    </row>
    <row r="1917">
      <c r="A1917" s="133" t="str">
        <f>Saud!F1917</f>
        <v>Garden Bites Fruity friends S 270g
</v>
      </c>
      <c r="B1917" s="133" t="str">
        <f>Saud!E1917</f>
        <v>تمت طباعة الشهادة</v>
      </c>
      <c r="C1917" s="133" t="str">
        <f>Saud!C1917</f>
        <v>P-1-N-170424-2467</v>
      </c>
    </row>
    <row r="1918">
      <c r="A1918" s="133" t="str">
        <f>Saud!F1918</f>
        <v>Garden Bites Fruity friends L 270g
</v>
      </c>
      <c r="B1918" s="133" t="str">
        <f>Saud!E1918</f>
        <v>تمت طباعة الشهادة</v>
      </c>
      <c r="C1918" s="133" t="str">
        <f>Saud!C1918</f>
        <v>P-1-N-170424-2469</v>
      </c>
    </row>
    <row r="1919">
      <c r="A1919" s="133" t="str">
        <f>Saud!F1919</f>
        <v>Garden Bites Fruity Tonya toothpaste S 270g
</v>
      </c>
      <c r="B1919" s="133" t="str">
        <f>Saud!E1919</f>
        <v>تمت طباعة الشهادة</v>
      </c>
      <c r="C1919" s="133" t="str">
        <f>Saud!C1919</f>
        <v>P-1-N-170424-2471</v>
      </c>
    </row>
    <row r="1920">
      <c r="A1920" s="133" t="str">
        <f>Saud!F1920</f>
        <v>Garden Bites Fruity Tonya toothpaste L 270g</v>
      </c>
      <c r="B1920" s="133" t="str">
        <f>Saud!E1920</f>
        <v>تمت طباعة الشهادة</v>
      </c>
      <c r="C1920" s="133" t="str">
        <f>Saud!C1920</f>
        <v>P-1-N-170424-2472</v>
      </c>
    </row>
    <row r="1921">
      <c r="A1921" s="133" t="str">
        <f>Saud!F1921</f>
        <v>Garden Bites Fruity dental Swirls S230g
</v>
      </c>
      <c r="B1921" s="133" t="str">
        <f>Saud!E1921</f>
        <v>تمت طباعة الشهادة</v>
      </c>
      <c r="C1921" s="133" t="str">
        <f>Saud!C1921</f>
        <v>P-1-N-170424-2483</v>
      </c>
    </row>
    <row r="1922">
      <c r="A1922" s="133" t="str">
        <f>Saud!F1922</f>
        <v>Garden Bites Fruity dental Swirls L 270g
</v>
      </c>
      <c r="B1922" s="133" t="str">
        <f>Saud!E1922</f>
        <v>تمت طباعة الشهادة</v>
      </c>
      <c r="C1922" s="133" t="str">
        <f>Saud!C1922</f>
        <v>P-1-N-170424-2484</v>
      </c>
    </row>
    <row r="1923">
      <c r="A1923" s="133" t="str">
        <f>Saud!F1923</f>
        <v>Garden Bites Fruity friends S 2.7kg
</v>
      </c>
      <c r="B1923" s="133" t="str">
        <f>Saud!E1923</f>
        <v>تمت طباعة الشهادة</v>
      </c>
      <c r="C1923" s="133" t="str">
        <f>Saud!C1923</f>
        <v>P-1-N-170424-2490</v>
      </c>
    </row>
    <row r="1924">
      <c r="A1924" s="133" t="str">
        <f>Saud!F1924</f>
        <v>Garden Bites Fruity friends L 1.62kg
</v>
      </c>
      <c r="B1924" s="133" t="str">
        <f>Saud!E1924</f>
        <v>تمت طباعة الشهادة</v>
      </c>
      <c r="C1924" s="133" t="str">
        <f>Saud!C1924</f>
        <v>P-1-N-180424-2503</v>
      </c>
    </row>
    <row r="1925">
      <c r="A1925" s="133" t="str">
        <f>Saud!F1925</f>
        <v>Top 10 Multi Vitamin Tablets for cats 180 Tab
</v>
      </c>
      <c r="B1925" s="133" t="str">
        <f>Saud!E1925</f>
        <v>تمت طباعة الشهادة</v>
      </c>
      <c r="C1925" s="133" t="str">
        <f>Saud!C1925</f>
        <v>P-1-N-220424-2567</v>
      </c>
    </row>
    <row r="1926">
      <c r="A1926" s="133" t="str">
        <f>Saud!F1926</f>
        <v>Top 10 Multi Vitamin Tablets for dogs 180 tab
</v>
      </c>
      <c r="B1926" s="133" t="str">
        <f>Saud!E1926</f>
        <v>تمت طباعة الشهادة</v>
      </c>
      <c r="C1926" s="133" t="str">
        <f>Saud!C1926</f>
        <v>P-1-N-220424-2568</v>
      </c>
    </row>
    <row r="1927">
      <c r="A1927" s="133" t="str">
        <f>Saud!F1927</f>
        <v>Calming Cat treats 35G
</v>
      </c>
      <c r="B1927" s="133" t="str">
        <f>Saud!E1927</f>
        <v>تمت طباعة الشهادة</v>
      </c>
      <c r="C1927" s="133" t="str">
        <f>Saud!C1927</f>
        <v>P-1-N-220424-2569</v>
      </c>
    </row>
    <row r="1928">
      <c r="A1928" s="133" t="str">
        <f>Saud!F1928</f>
        <v>beaphar Vitamin B6/B12 50ml
</v>
      </c>
      <c r="B1928" s="133" t="str">
        <f>Saud!E1928</f>
        <v>تمت طباعة الشهادة</v>
      </c>
      <c r="C1928" s="133" t="str">
        <f>Saud!C1928</f>
        <v>P-1-N-220424-2571</v>
      </c>
    </row>
    <row r="1929">
      <c r="A1929" s="133" t="str">
        <f>Saud!F1929</f>
        <v>Beaphar Multi-Vit Vinka 50ml
</v>
      </c>
      <c r="B1929" s="133" t="str">
        <f>Saud!E1929</f>
        <v>تمت طباعة الشهادة</v>
      </c>
      <c r="C1929" s="133" t="str">
        <f>Saud!C1929</f>
        <v>P-1-N-220424-2578</v>
      </c>
    </row>
    <row r="1930">
      <c r="A1930" s="133" t="str">
        <f>Saud!F1930</f>
        <v>Beaphar Laveta super multi-vitamin + Carnitine 50ml
</v>
      </c>
      <c r="B1930" s="133" t="str">
        <f>Saud!E1930</f>
        <v>جديد</v>
      </c>
      <c r="C1930" s="133" t="str">
        <f>Saud!C1930</f>
        <v>P-1-N-290424-2710</v>
      </c>
    </row>
    <row r="1931">
      <c r="A1931" s="133" t="str">
        <f>Saud!F1931</f>
        <v>beaphar junior paste 100g
</v>
      </c>
      <c r="B1931" s="133" t="str">
        <f>Saud!E1931</f>
        <v>جديد</v>
      </c>
      <c r="C1931" s="133" t="str">
        <f>Saud!C1931</f>
        <v>P-1-N-290424-2711</v>
      </c>
    </row>
    <row r="1932">
      <c r="A1932" s="133" t="str">
        <f>Saud!F1932</f>
        <v>BAB’IN SIGNATURE KITTEN CHICKEN 1.5 KG
</v>
      </c>
      <c r="B1932" s="133" t="str">
        <f>Saud!E1932</f>
        <v>جديد</v>
      </c>
      <c r="C1932" s="133" t="str">
        <f>Saud!C1932</f>
        <v>P-1-N-010524-2748</v>
      </c>
    </row>
    <row r="1933">
      <c r="A1933" s="133" t="str">
        <f>Saud!F1933</f>
        <v>Beaphar Multi-Vitamin Paste 100g</v>
      </c>
      <c r="B1933" s="133" t="str">
        <f>Saud!E1933</f>
        <v>جديد</v>
      </c>
      <c r="C1933" s="133" t="str">
        <f>Saud!C1933</f>
        <v>P-1-N-060524-2810</v>
      </c>
    </row>
    <row r="1934">
      <c r="A1934" s="133" t="str">
        <f>Saud!F1934</f>
        <v>Beaphar Poultary Paste 100g</v>
      </c>
      <c r="B1934" s="133" t="str">
        <f>Saud!E1934</f>
        <v>جديد</v>
      </c>
      <c r="C1934" s="133" t="str">
        <f>Saud!C1934</f>
        <v>P-1-N-060524-2812</v>
      </c>
    </row>
    <row r="1935">
      <c r="A1935" s="133" t="str">
        <f>Saud!F1935</f>
        <v>Calming Cat treats 35G</v>
      </c>
      <c r="B1935" s="133" t="str">
        <f>Saud!E1935</f>
        <v>مكتمل</v>
      </c>
      <c r="C1935" s="133" t="str">
        <f>Saud!C1935</f>
        <v>P-1-N-220424-2569</v>
      </c>
    </row>
    <row r="1936">
      <c r="A1936" s="133" t="str">
        <f>Saud!F1936</f>
        <v>Beaphar Multi-Vit Vinka 50ml</v>
      </c>
      <c r="B1936" s="133" t="str">
        <f>Saud!E1936</f>
        <v>مكتمل </v>
      </c>
      <c r="C1936" s="133" t="str">
        <f>Saud!C1936</f>
        <v>P-1-N-220424-2578</v>
      </c>
    </row>
    <row r="1937">
      <c r="A1937" s="133" t="str">
        <f>Saud!F1937</f>
        <v>PRINCE TRAINER 4kg - 2kg</v>
      </c>
      <c r="B1937" s="133" t="str">
        <f>Saud!E1937</f>
        <v>مكتمل </v>
      </c>
      <c r="C1937" s="133" t="str">
        <f>Saud!C1937</f>
        <v>2025-372523
</v>
      </c>
    </row>
    <row r="1938">
      <c r="A1938" s="133" t="str">
        <f>Saud!F1938</f>
        <v>Josicat Chicken in jelly </v>
      </c>
      <c r="B1938" s="133" t="str">
        <f>Saud!E1938</f>
        <v>تمت طباعة الشهادة</v>
      </c>
      <c r="C1938" s="133" t="str">
        <f>Saud!C1938</f>
        <v>P-1-N-130524-2926</v>
      </c>
    </row>
    <row r="1939">
      <c r="A1939" s="133" t="str">
        <f>Saud!F1939</f>
        <v>Josicat beef in jelly </v>
      </c>
      <c r="B1939" s="133" t="str">
        <f>Saud!E1939</f>
        <v>تمت طباعة الشهادة</v>
      </c>
      <c r="C1939" s="133" t="str">
        <f>Saud!C1939</f>
        <v>P-1-N-130524-2927</v>
      </c>
    </row>
    <row r="1940">
      <c r="A1940" s="133" t="str">
        <f>Saud!F1940</f>
        <v>  </v>
      </c>
      <c r="B1940" s="133" t="str">
        <f>Saud!E1940</f>
        <v>جديد
</v>
      </c>
      <c r="C1940" s="133" t="str">
        <f>Saud!C1940</f>
        <v>P-1-N-160524-2995</v>
      </c>
    </row>
    <row r="1941">
      <c r="A1941" s="133" t="str">
        <f>Saud!F1941</f>
        <v/>
      </c>
      <c r="B1941" s="133" t="str">
        <f>Saud!E1941</f>
        <v/>
      </c>
      <c r="C1941" s="133" t="str">
        <f>Saud!C1941</f>
        <v/>
      </c>
    </row>
    <row r="1942">
      <c r="A1942" s="133" t="str">
        <f>Saud!F1942</f>
        <v>Zolux Dog creamy stick chicken cheese 14g</v>
      </c>
      <c r="B1942" s="133" t="str">
        <f>Saud!E1942</f>
        <v>مكتمل</v>
      </c>
      <c r="C1942" s="133" t="str">
        <f>Saud!C1942</f>
        <v>P-1-N-260524-3274</v>
      </c>
    </row>
    <row r="1943">
      <c r="A1943" s="133" t="str">
        <f>Saud!F1943</f>
        <v>Zolux Dog creamy stick duck 14g</v>
      </c>
      <c r="B1943" s="133" t="str">
        <f>Saud!E1943</f>
        <v>مكتمل</v>
      </c>
      <c r="C1943" s="133" t="str">
        <f>Saud!C1943</f>
        <v>P-1-N-260524-3275</v>
      </c>
    </row>
    <row r="1944">
      <c r="A1944" s="133" t="str">
        <f>Saud!F1944</f>
        <v>Zolux Dog creamy stick chicken 14g</v>
      </c>
      <c r="B1944" s="133" t="str">
        <f>Saud!E1944</f>
        <v>مكتمل</v>
      </c>
      <c r="C1944" s="133" t="str">
        <f>Saud!C1944</f>
        <v>P-1-N-260524-3276</v>
      </c>
    </row>
    <row r="1945">
      <c r="A1945" s="133" t="str">
        <f>Saud!F1945</f>
        <v>Zolux Dog creamy stick chicken Salmon 14g</v>
      </c>
      <c r="B1945" s="133" t="str">
        <f>Saud!E1945</f>
        <v>مكتمل</v>
      </c>
      <c r="C1945" s="133" t="str">
        <f>Saud!C1945</f>
        <v>P-1-N-260524-3277</v>
      </c>
    </row>
    <row r="1946">
      <c r="A1946" s="133" t="str">
        <f>Saud!F1946</f>
        <v>Zolux Cat creamy stick tuna 14g</v>
      </c>
      <c r="B1946" s="133" t="str">
        <f>Saud!E1946</f>
        <v>مكتمل</v>
      </c>
      <c r="C1946" s="133" t="str">
        <f>Saud!C1946</f>
        <v>P-1-N-260524-3278</v>
      </c>
    </row>
    <row r="1947">
      <c r="A1947" s="133" t="str">
        <f>Saud!F1947</f>
        <v>Zolux Cat creamy stick chicken 14g</v>
      </c>
      <c r="B1947" s="133" t="str">
        <f>Saud!E1947</f>
        <v>مكتمل</v>
      </c>
      <c r="C1947" s="133" t="str">
        <f>Saud!C1947</f>
        <v>P-1-N-260524-3279</v>
      </c>
    </row>
    <row r="1948">
      <c r="A1948" s="133" t="str">
        <f>Saud!F1948</f>
        <v>Zolux cat creamy stick tuna shrimp 14g</v>
      </c>
      <c r="B1948" s="133" t="str">
        <f>Saud!E1948</f>
        <v>مكتمل</v>
      </c>
      <c r="C1948" s="133" t="str">
        <f>Saud!C1948</f>
        <v>P-1-N-260524-3280</v>
      </c>
    </row>
    <row r="1949">
      <c r="A1949" s="133" t="str">
        <f>Saud!F1949</f>
        <v>Zolux cat creamy stick tuna salmon 14g</v>
      </c>
      <c r="B1949" s="133" t="str">
        <f>Saud!E1949</f>
        <v>مكتمل</v>
      </c>
      <c r="C1949" s="133" t="str">
        <f>Saud!C1949</f>
        <v>P-1-N-260524-3281</v>
      </c>
    </row>
    <row r="1950">
      <c r="A1950" s="133" t="str">
        <f>Saud!F1950</f>
        <v>Zolux cat creamy stick tuna crab 14g</v>
      </c>
      <c r="B1950" s="133" t="str">
        <f>Saud!E1950</f>
        <v>مكتمل</v>
      </c>
      <c r="C1950" s="133" t="str">
        <f>Saud!C1950</f>
        <v>P-1-N-260524-3282</v>
      </c>
    </row>
    <row r="1951">
      <c r="A1951" s="133" t="str">
        <f>Saud!F1951</f>
        <v>Zolux cat creamy stick chicken crab 14g</v>
      </c>
      <c r="B1951" s="133" t="str">
        <f>Saud!E1951</f>
        <v>مكتمل</v>
      </c>
      <c r="C1951" s="133" t="str">
        <f>Saud!C1951</f>
        <v>P-1-N-260524-3283</v>
      </c>
    </row>
    <row r="1952">
      <c r="A1952" s="133" t="str">
        <f>Saud!F1952</f>
        <v>PUUR Pauze Snack Muesli Parrot Fruit 750g
</v>
      </c>
      <c r="B1952" s="133" t="str">
        <f>Saud!E1952</f>
        <v>تمت طباعة الشهادة </v>
      </c>
      <c r="C1952" s="133" t="str">
        <f>Saud!C1952</f>
        <v>P-1-N-050624-3486</v>
      </c>
    </row>
    <row r="1953">
      <c r="A1953" s="133" t="str">
        <f>Saud!F1953</f>
        <v>PUUR Pauze Snack Muesli Parrot Nuts 750g
</v>
      </c>
      <c r="B1953" s="133" t="str">
        <f>Saud!E1953</f>
        <v>تمت طباعة الشهادة </v>
      </c>
      <c r="C1953" s="133" t="str">
        <f>Saud!C1953</f>
        <v>P-1-N-050624-3487</v>
      </c>
    </row>
    <row r="1954">
      <c r="A1954" s="133" t="str">
        <f>Saud!F1954</f>
        <v>Indigo Moon Blended Tuna Recipe in Gravy 85g</v>
      </c>
      <c r="B1954" s="133" t="str">
        <f>Saud!E1954</f>
        <v>مكتمل</v>
      </c>
      <c r="C1954" s="133" t="str">
        <f>Saud!C1954</f>
        <v>P-1-N-100624-3540</v>
      </c>
    </row>
    <row r="1955">
      <c r="A1955" s="133" t="str">
        <f>Saud!F1955</f>
        <v>FOM-2024-6220-FEB-2024-58709 -C-0041-79517
</v>
      </c>
      <c r="B1955" s="133" t="str">
        <f>Saud!E1955</f>
        <v>مكتمل</v>
      </c>
      <c r="C1955" s="133" t="str">
        <f>Saud!C1955</f>
        <v>P-1-N-100624-3541</v>
      </c>
    </row>
    <row r="1956">
      <c r="A1956" s="133" t="str">
        <f>Saud!F1956</f>
        <v>Indigo Moon Pate with chicken &amp; coconut oil 85g</v>
      </c>
      <c r="B1956" s="133" t="str">
        <f>Saud!E1956</f>
        <v>مكتمل</v>
      </c>
      <c r="C1956" s="133" t="str">
        <f>Saud!C1956</f>
        <v>P-1-N-100624-3543</v>
      </c>
    </row>
    <row r="1957">
      <c r="A1957" s="133" t="str">
        <f>Saud!F1957</f>
        <v>Indigo Moon Pate with liver chicken &amp; coconut oil 85g</v>
      </c>
      <c r="B1957" s="133" t="str">
        <f>Saud!E1957</f>
        <v>مكتمل</v>
      </c>
      <c r="C1957" s="133" t="str">
        <f>Saud!C1957</f>
        <v>P-1-N-100624-3544</v>
      </c>
    </row>
    <row r="1958">
      <c r="A1958" s="133" t="str">
        <f>Saud!F1958</f>
        <v>Indigo Moon Pate with salmon &amp; coconut oil 85g</v>
      </c>
      <c r="B1958" s="133" t="str">
        <f>Saud!E1958</f>
        <v>مكتمل</v>
      </c>
      <c r="C1958" s="133" t="str">
        <f>Saud!C1958</f>
        <v>P-1-N-100624-3545</v>
      </c>
    </row>
    <row r="1959">
      <c r="A1959" s="133" t="str">
        <f>Saud!F1959</f>
        <v>Indigo Moon Sardine &amp; Tuna Recipe in Gravy 85g</v>
      </c>
      <c r="B1959" s="133" t="str">
        <f>Saud!E1959</f>
        <v>مكتمل</v>
      </c>
      <c r="C1959" s="133" t="str">
        <f>Saud!C1959</f>
        <v>P-1-N-100624-3546</v>
      </c>
    </row>
    <row r="1960">
      <c r="A1960" s="133" t="str">
        <f>Saud!F1960</f>
        <v>Indigo Moon with Tuna &amp; Shrimp in Gravy 85g</v>
      </c>
      <c r="B1960" s="133" t="str">
        <f>Saud!E1960</f>
        <v>مكتمل</v>
      </c>
      <c r="C1960" s="133" t="str">
        <f>Saud!C1960</f>
        <v>P-1-N-100624-3547</v>
      </c>
    </row>
    <row r="1961">
      <c r="A1961" s="133" t="str">
        <f>Saud!F1961</f>
        <v>Indigo Moon with Tuna &amp; Shrimp in Gravy 85g</v>
      </c>
      <c r="B1961" s="133" t="str">
        <f>Saud!E1961</f>
        <v>مكتمل</v>
      </c>
      <c r="C1961" s="133" t="str">
        <f>Saud!C1961</f>
        <v>P-1-N-100624-3549	</v>
      </c>
    </row>
    <row r="1962">
      <c r="A1962" s="133" t="str">
        <f>Saud!F1962</f>
        <v>Indigo Moon Sardine &amp; Tuna Recipe in Gravy 85g
</v>
      </c>
      <c r="B1962" s="133" t="str">
        <f>Saud!E1962</f>
        <v>مكتمل</v>
      </c>
      <c r="C1962" s="133" t="str">
        <f>Saud!C1962</f>
        <v>P-1-N-100624-3550        </v>
      </c>
    </row>
    <row r="1963">
      <c r="A1963" s="133" t="str">
        <f>Saud!F1963</f>
        <v>Indigo Moon Blended Tuna Recipe in Gravy 85g
</v>
      </c>
      <c r="B1963" s="133" t="str">
        <f>Saud!E1963</f>
        <v>مكتمل</v>
      </c>
      <c r="C1963" s="133" t="str">
        <f>Saud!C1963</f>
        <v>P-1-N-100624-3551	</v>
      </c>
    </row>
    <row r="1964">
      <c r="A1964" s="133" t="str">
        <f>Saud!F1964</f>
        <v>Indigo Moon Mackerel &amp; Tuna Recipe in Gravy 85g
</v>
      </c>
      <c r="B1964" s="133" t="str">
        <f>Saud!E1964</f>
        <v>مكتمل</v>
      </c>
      <c r="C1964" s="133" t="str">
        <f>Saud!C1964</f>
        <v>P-1-N-100624-3552	</v>
      </c>
    </row>
    <row r="1965">
      <c r="A1965" s="133" t="str">
        <f>Saud!F1965</f>
        <v>Kit Cat Kitten Milk Replacer 200g</v>
      </c>
      <c r="B1965" s="133" t="str">
        <f>Saud!E1965</f>
        <v>تمت طباعة الشهادة </v>
      </c>
      <c r="C1965" s="133" t="str">
        <f>Saud!C1965</f>
        <v>P-1-N-240624-3738</v>
      </c>
    </row>
    <row r="1966">
      <c r="A1966" s="133" t="str">
        <f>Saud!F1966</f>
        <v>VitaliDog 75g
</v>
      </c>
      <c r="B1966" s="133" t="str">
        <f>Saud!E1966</f>
        <v>مرفوض</v>
      </c>
      <c r="C1966" s="133" t="str">
        <f>Saud!C1966</f>
        <v>P-1-N-300624-3923</v>
      </c>
    </row>
    <row r="1967">
      <c r="A1967" s="133" t="str">
        <f>Saud!F1967</f>
        <v>FORZA10 PUPPY MONODIET FISH 1.5kg</v>
      </c>
      <c r="B1967" s="133" t="str">
        <f>Saud!E1967</f>
        <v>مكتمل</v>
      </c>
      <c r="C1967" s="133" t="str">
        <f>Saud!C1967</f>
        <v>P-1-N-100724-4272</v>
      </c>
    </row>
    <row r="1968">
      <c r="A1968" s="133" t="str">
        <f>Saud!F1968</f>
        <v>FORZA10 CUT MONODIET FISH 1.5kg</v>
      </c>
      <c r="B1968" s="133" t="str">
        <f>Saud!E1968</f>
        <v>مكتمل</v>
      </c>
      <c r="C1968" s="133" t="str">
        <f>Saud!C1968</f>
        <v>P-1-N-100724-4273</v>
      </c>
    </row>
    <row r="1969">
      <c r="A1969" s="133" t="str">
        <f>Saud!F1969</f>
        <v>Dr.Clauder's Tuna mousse with spinach flavor 90g</v>
      </c>
      <c r="B1969" s="133" t="str">
        <f>Saud!E1969</f>
        <v>مكتمل</v>
      </c>
      <c r="C1969" s="133" t="str">
        <f>Saud!C1969</f>
        <v>P-1-N-180724-4487</v>
      </c>
    </row>
    <row r="1970">
      <c r="A1970" s="133" t="str">
        <f>Saud!F1970</f>
        <v>Dr.Clauder's Chicken breast in broth (For kitten) 70g</v>
      </c>
      <c r="B1970" s="133" t="str">
        <f>Saud!E1970</f>
        <v>مكتمل</v>
      </c>
      <c r="C1970" s="133" t="str">
        <f>Saud!C1970</f>
        <v>P-1-N-180724-4488</v>
      </c>
    </row>
    <row r="1971">
      <c r="A1971" s="133" t="str">
        <f>Saud!F1971</f>
        <v>Dr.Clauder's Tuna in broth (For kitten) 70g</v>
      </c>
      <c r="B1971" s="133" t="str">
        <f>Saud!E1971</f>
        <v>مكتمل</v>
      </c>
      <c r="C1971" s="133" t="str">
        <f>Saud!C1971</f>
        <v>P-1-N-180724-4489</v>
      </c>
    </row>
    <row r="1972">
      <c r="A1972" s="133" t="str">
        <f>Saud!F1972</f>
        <v>Dr.Clauder's Chicken breast with shrimp in broth 70g</v>
      </c>
      <c r="B1972" s="133" t="str">
        <f>Saud!E1972</f>
        <v>مكتمل</v>
      </c>
      <c r="C1972" s="133" t="str">
        <f>Saud!C1972</f>
        <v>P-1-N-180724-4490</v>
      </c>
    </row>
    <row r="1973">
      <c r="A1973" s="133" t="str">
        <f>Saud!F1973</f>
        <v>Dr.Clauder's Chicken breast with salmon in broth 70g</v>
      </c>
      <c r="B1973" s="133" t="str">
        <f>Saud!E1973</f>
        <v>مكتمل</v>
      </c>
      <c r="C1973" s="133" t="str">
        <f>Saud!C1973</f>
        <v>P-1-N-180724-4491</v>
      </c>
    </row>
    <row r="1974">
      <c r="A1974" s="133" t="str">
        <f>Saud!F1974</f>
        <v>Dr.Clauder's Chicken breast with chicken liver in broth 70g</v>
      </c>
      <c r="B1974" s="133" t="str">
        <f>Saud!E1974</f>
        <v>مكتمل</v>
      </c>
      <c r="C1974" s="133" t="str">
        <f>Saud!C1974</f>
        <v>P-1-N-180724-4492</v>
      </c>
    </row>
    <row r="1975">
      <c r="A1975" s="133" t="str">
        <f>Saud!F1975</f>
        <v>Dr.Clauder's Tuna with shrimp in broth 70g</v>
      </c>
      <c r="B1975" s="133" t="str">
        <f>Saud!E1975</f>
        <v>مكتمل</v>
      </c>
      <c r="C1975" s="133" t="str">
        <f>Saud!C1975</f>
        <v>P-1-N-180724-4493</v>
      </c>
    </row>
    <row r="1976">
      <c r="A1976" s="133" t="str">
        <f>Saud!F1976</f>
        <v>Dr.Clauder's Tuna with salmon in broth 70g</v>
      </c>
      <c r="B1976" s="133" t="str">
        <f>Saud!E1976</f>
        <v>مكتمل</v>
      </c>
      <c r="C1976" s="133" t="str">
        <f>Saud!C1976</f>
        <v>P-1-N-180724-4494</v>
      </c>
    </row>
    <row r="1977">
      <c r="A1977" s="133" t="str">
        <f>Saud!F1977</f>
        <v>Dr.Claudert s Tuna with chicken breast in broth 70g</v>
      </c>
      <c r="B1977" s="133" t="str">
        <f>Saud!E1977</f>
        <v>مكتمل</v>
      </c>
      <c r="C1977" s="133" t="str">
        <f>Saud!C1977</f>
        <v>P-1-N-180724-4495</v>
      </c>
    </row>
    <row r="1978">
      <c r="A1978" s="133" t="str">
        <f>Saud!F1978</f>
        <v>Dr.Clauder's Chicken breast in broth 70g</v>
      </c>
      <c r="B1978" s="133" t="str">
        <f>Saud!E1978</f>
        <v>مكتمل</v>
      </c>
      <c r="C1978" s="133" t="str">
        <f>Saud!C1978</f>
        <v>P-1-N-180724-4496</v>
      </c>
    </row>
    <row r="1979">
      <c r="A1979" s="133" t="str">
        <f>Saud!F1979</f>
        <v>Dr.Clauder's Tuna fillet 70g</v>
      </c>
      <c r="B1979" s="133" t="str">
        <f>Saud!E1979</f>
        <v>مكتمل</v>
      </c>
      <c r="C1979" s="133" t="str">
        <f>Saud!C1979</f>
        <v>P-1-N-210724-4533</v>
      </c>
    </row>
    <row r="1980">
      <c r="A1980" s="133" t="str">
        <f>Saud!F1980</f>
        <v>Dr.Clauder's Salmon fillet 30g</v>
      </c>
      <c r="B1980" s="133" t="str">
        <f>Saud!E1980</f>
        <v>مكتمل</v>
      </c>
      <c r="C1980" s="133" t="str">
        <f>Saud!C1980</f>
        <v>P-1-N-210724-4534</v>
      </c>
    </row>
    <row r="1981">
      <c r="A1981" s="133" t="str">
        <f>Saud!F1981</f>
        <v>Dr.Clauder's Mackerel fillet 30g</v>
      </c>
      <c r="B1981" s="133" t="str">
        <f>Saud!E1981</f>
        <v>مكتمل</v>
      </c>
      <c r="C1981" s="133" t="str">
        <f>Saud!C1981</f>
        <v>P-1-N-210724-4535</v>
      </c>
    </row>
    <row r="1982">
      <c r="A1982" s="133" t="str">
        <f>Saud!F1982</f>
        <v>Dr.Clauder's Chicken breast fillet 30g</v>
      </c>
      <c r="B1982" s="133" t="str">
        <f>Saud!E1982</f>
        <v>مكتمل</v>
      </c>
      <c r="C1982" s="133" t="str">
        <f>Saud!C1982</f>
        <v>P-1-N-210724-4536</v>
      </c>
    </row>
    <row r="1983">
      <c r="A1983" s="133" t="str">
        <f>Saud!F1983</f>
        <v>Dr.Clauder's Tuna and salmon mousse with carrot 90g</v>
      </c>
      <c r="B1983" s="133" t="str">
        <f>Saud!E1983</f>
        <v>مكتمل</v>
      </c>
      <c r="C1983" s="133" t="str">
        <f>Saud!C1983</f>
        <v>P-1-N-210724-4537</v>
      </c>
    </row>
    <row r="1984">
      <c r="A1984" s="133" t="str">
        <f>Saud!F1984</f>
        <v>Dr.Clauder's Tuna in broth 30g</v>
      </c>
      <c r="B1984" s="133" t="str">
        <f>Saud!E1984</f>
        <v>مكتمل</v>
      </c>
      <c r="C1984" s="133" t="str">
        <f>Saud!C1984</f>
        <v>P-1-N-210724-4548</v>
      </c>
    </row>
    <row r="1985">
      <c r="A1985" s="133" t="str">
        <f>Saud!F1985</f>
        <v>Dr.Clauder's Tuna and chicken mousse with pumpkin 90g</v>
      </c>
      <c r="B1985" s="133" t="str">
        <f>Saud!E1985</f>
        <v>مكتمل</v>
      </c>
      <c r="C1985" s="133" t="str">
        <f>Saud!C1985</f>
        <v>P-1-N-210724-4538</v>
      </c>
    </row>
    <row r="1986">
      <c r="A1986" s="133" t="str">
        <f>Saud!F1986</f>
        <v>Dr.Clauder's Mackerel mousse with aloe vera 90g</v>
      </c>
      <c r="B1986" s="133" t="str">
        <f>Saud!E1986</f>
        <v>مكتمل</v>
      </c>
      <c r="C1986" s="133" t="str">
        <f>Saud!C1986</f>
        <v>P-1-N-210724-4539</v>
      </c>
    </row>
    <row r="1987">
      <c r="A1987" s="133" t="str">
        <f>Saud!F1987</f>
        <v>Dr.Clauder's Tuna, rice flavor in jelly 100g</v>
      </c>
      <c r="B1987" s="133" t="str">
        <f>Saud!E1987</f>
        <v>مكتمل</v>
      </c>
      <c r="C1987" s="133" t="str">
        <f>Saud!C1987</f>
        <v>P-1-N-210724-4540</v>
      </c>
    </row>
    <row r="1988">
      <c r="A1988" s="133" t="str">
        <f>Saud!F1988</f>
        <v>Dr.Clauder's Chicken breast, rice flavor topping beef in jelly 100g</v>
      </c>
      <c r="B1988" s="133" t="str">
        <f>Saud!E1988</f>
        <v>مكتمل</v>
      </c>
      <c r="C1988" s="133" t="str">
        <f>Saud!C1988</f>
        <v>P-1-N-210724-4541</v>
      </c>
    </row>
    <row r="1989">
      <c r="A1989" s="133" t="str">
        <f>Saud!F1989</f>
        <v>Dr.Clauder's Tuna light meat, rice flavor topping shrimp in jelly 100g</v>
      </c>
      <c r="B1989" s="133" t="str">
        <f>Saud!E1989</f>
        <v>مكتمل</v>
      </c>
      <c r="C1989" s="133" t="str">
        <f>Saud!C1989</f>
        <v>P-1-N-210724-4542</v>
      </c>
    </row>
    <row r="1990">
      <c r="A1990" s="133" t="str">
        <f>Saud!F1990</f>
        <v>Dr.Clauder's Tuna, rice flavor topping chicken in jelly 100g</v>
      </c>
      <c r="B1990" s="133" t="str">
        <f>Saud!E1990</f>
        <v>مكتمل</v>
      </c>
      <c r="C1990" s="133" t="str">
        <f>Saud!C1990</f>
        <v>P-1-N-210724-4543</v>
      </c>
    </row>
    <row r="1991">
      <c r="A1991" s="133" t="str">
        <f>Saud!F1991</f>
        <v>Dr.Clauder's Chicken breast, rice flavor in jelly 100g</v>
      </c>
      <c r="B1991" s="133" t="str">
        <f>Saud!E1991</f>
        <v>مكتمل</v>
      </c>
      <c r="C1991" s="133" t="str">
        <f>Saud!C1991</f>
        <v>P-1-N-210724-4544</v>
      </c>
    </row>
    <row r="1992">
      <c r="A1992" s="133" t="str">
        <f>Saud!F1992</f>
        <v>Dr.Clauder's Salmon mousse, seaweed flavor 15g</v>
      </c>
      <c r="B1992" s="133" t="str">
        <f>Saud!E1992</f>
        <v>رفض</v>
      </c>
      <c r="C1992" s="133" t="str">
        <f>Saud!C1992</f>
        <v>P-1-N-210724-4545</v>
      </c>
    </row>
    <row r="1993">
      <c r="A1993" s="133" t="str">
        <f>Saud!F1993</f>
        <v>Dr.Clauder's Chicken mousse, parsley flavor 15g</v>
      </c>
      <c r="B1993" s="133" t="str">
        <f>Saud!E1993</f>
        <v>تمت طباعة الشهادة </v>
      </c>
      <c r="C1993" s="133" t="str">
        <f>Saud!C1993</f>
        <v>P-1-N-210724-4546</v>
      </c>
    </row>
    <row r="1994">
      <c r="A1994" s="133" t="str">
        <f>Saud!F1994</f>
        <v>Kit Cat Complete Cuisine Pure Chicken Classic In Broth 70g</v>
      </c>
      <c r="B1994" s="133" t="str">
        <f>Saud!E1994</f>
        <v>تمت طباعة الشهادة </v>
      </c>
      <c r="C1994" s="133" t="str">
        <f>Saud!C1994</f>
        <v>P-1-N-210724-4555</v>
      </c>
    </row>
    <row r="1995">
      <c r="A1995" s="133" t="str">
        <f>Saud!F1995</f>
        <v>Kit Cat Complete Cuisine Pure Chicken &amp; Salmon In Broth 70g</v>
      </c>
      <c r="B1995" s="133" t="str">
        <f>Saud!E1995</f>
        <v>تمت طباعة الشهادة </v>
      </c>
      <c r="C1995" s="133" t="str">
        <f>Saud!C1995</f>
        <v>P-1-N-210724-4557</v>
      </c>
    </row>
    <row r="1996">
      <c r="A1996" s="133" t="str">
        <f>Saud!F1996</f>
        <v>Kit Cat Complete Cuisine Pure Kitten Chicken In Broth 70g</v>
      </c>
      <c r="B1996" s="133" t="str">
        <f>Saud!E1996</f>
        <v>تمت طباعة الشهادة </v>
      </c>
      <c r="C1996" s="133" t="str">
        <f>Saud!C1996</f>
        <v>P-1-N-210724-4559</v>
      </c>
    </row>
    <row r="1997">
      <c r="A1997" s="133" t="str">
        <f>Saud!F1997</f>
        <v>Kit Cat Complete Cuisine Pure Tuna Classic In Broth 70g</v>
      </c>
      <c r="B1997" s="133" t="str">
        <f>Saud!E1997</f>
        <v>تمت طباعة الشهادة </v>
      </c>
      <c r="C1997" s="133" t="str">
        <f>Saud!C1997</f>
        <v>P-1-N-210724-4560</v>
      </c>
    </row>
    <row r="1998">
      <c r="A1998" s="133" t="str">
        <f>Saud!F1998</f>
        <v>Kit Cat Complete Cuisine Pure Kitten Tuna In Broth 70g</v>
      </c>
      <c r="B1998" s="133" t="str">
        <f>Saud!E1998</f>
        <v>تمت طباعة الشهادة </v>
      </c>
      <c r="C1998" s="133" t="str">
        <f>Saud!C1998</f>
        <v>P-1-N-210724-4564</v>
      </c>
    </row>
    <row r="1999">
      <c r="A1999" s="133" t="str">
        <f>Saud!F1999</f>
        <v>Kit Cat Complete Cuisine Pure Tuna &amp; Salmon In Broth 70g</v>
      </c>
      <c r="B1999" s="133" t="str">
        <f>Saud!E1999</f>
        <v>تمت طباعة الشهادة </v>
      </c>
      <c r="C1999" s="133" t="str">
        <f>Saud!C1999</f>
        <v>P-1-N-210724-4563</v>
      </c>
    </row>
    <row r="2000">
      <c r="A2000" s="133" t="str">
        <f>Saud!F2000</f>
        <v>Kit Cat Complete Cuisine Pure Tuna &amp; Chicken In Broth 70g</v>
      </c>
      <c r="B2000" s="133" t="str">
        <f>Saud!E2000</f>
        <v>تمت طباعة الشهادة </v>
      </c>
      <c r="C2000" s="133" t="str">
        <f>Saud!C2000</f>
        <v>P-1-N-210724-4565</v>
      </c>
    </row>
    <row r="2001">
      <c r="A2001" s="133" t="str">
        <f>Saud!F2001</f>
        <v>fish meal 65% (50kg)</v>
      </c>
      <c r="B2001" s="133" t="str">
        <f>Saud!E2001</f>
        <v>تمت طباعة الشهادة </v>
      </c>
      <c r="C2001" s="133" t="str">
        <f>Saud!C2001</f>
        <v/>
      </c>
    </row>
    <row r="2002">
      <c r="A2002" s="133" t="str">
        <f>Saud!F2002</f>
        <v>ZUPREEM NUTBLEND 907G </v>
      </c>
      <c r="B2002" s="133" t="str">
        <f>Saud!E2002</f>
        <v>تمت طباعة الشهادة </v>
      </c>
      <c r="C2002" s="133" t="str">
        <f>Saud!C2002</f>
        <v>P-1-N-300724-4780</v>
      </c>
    </row>
    <row r="2003">
      <c r="A2003" s="133" t="str">
        <f>Saud!F2003</f>
        <v>Applaws Tuna with crab 60 gram
</v>
      </c>
      <c r="B2003" s="133" t="str">
        <f>Saud!E2003</f>
        <v>تمت طباعة الشهادة </v>
      </c>
      <c r="C2003" s="133" t="str">
        <f>Saud!C2003</f>
        <v>P-1-N-050824-4875</v>
      </c>
    </row>
    <row r="2004">
      <c r="A2004" s="133" t="str">
        <f>Saud!F2004</f>
        <v>Applaws Chicken Breast with Tuna Roe 60g</v>
      </c>
      <c r="B2004" s="133" t="str">
        <f>Saud!E2004</f>
        <v>رفض </v>
      </c>
      <c r="C2004" s="133" t="str">
        <f>Saud!C2004</f>
        <v>P-1-N-060824-4896</v>
      </c>
    </row>
    <row r="2005">
      <c r="A2005" s="133" t="str">
        <f>Saud!F2005</f>
        <v>Applaws Sardine with Mackerel 60g</v>
      </c>
      <c r="B2005" s="133" t="str">
        <f>Saud!E2005</f>
        <v>رفض </v>
      </c>
      <c r="C2005" s="133" t="str">
        <f>Saud!C2005</f>
        <v>P-1-N-060824-4899</v>
      </c>
    </row>
    <row r="2006">
      <c r="A2006" s="133" t="str">
        <f>Saud!F2006</f>
        <v>Applaws chicken with Duck 60 gram</v>
      </c>
      <c r="B2006" s="133" t="str">
        <f>Saud!E2006</f>
        <v>رفض </v>
      </c>
      <c r="C2006" s="133" t="str">
        <f>Saud!C2006</f>
        <v> P-1-N-120824-4990</v>
      </c>
    </row>
    <row r="2007">
      <c r="A2007" s="133" t="str">
        <f>Saud!F2007</f>
        <v>Applaws kitten chicken 70g</v>
      </c>
      <c r="B2007" s="133" t="str">
        <f>Saud!E2007</f>
        <v>رفض </v>
      </c>
      <c r="C2007" s="133" t="str">
        <f>Saud!C2007</f>
        <v>P-1-N-120824-4997</v>
      </c>
    </row>
    <row r="2008">
      <c r="A2008" s="133" t="str">
        <f>Saud!F2008</f>
        <v>Applaws kitten Tuna 70g</v>
      </c>
      <c r="B2008" s="133" t="str">
        <f>Saud!E2008</f>
        <v>رفض </v>
      </c>
      <c r="C2008" s="133" t="str">
        <f>Saud!C2008</f>
        <v>P-1-N-120824-4998</v>
      </c>
    </row>
    <row r="2009">
      <c r="A2009" s="133" t="str">
        <f>Saud!F2009</f>
        <v>Vitalicat Paste 100mL</v>
      </c>
      <c r="B2009" s="133" t="str">
        <f>Saud!E2009</f>
        <v>رفض </v>
      </c>
      <c r="C2009" s="133" t="str">
        <f>Saud!C2009</f>
        <v>P-1-N-120824-4999</v>
      </c>
    </row>
    <row r="2010">
      <c r="A2010" s="133" t="str">
        <f>Saud!F2010</f>
        <v>SOLID GOLD INDIGO MOON CHICKEN GRAIN FREE 2.72KG</v>
      </c>
      <c r="B2010" s="133" t="str">
        <f>Saud!E2010</f>
        <v>مكتمل</v>
      </c>
      <c r="C2010" s="133" t="str">
        <f>Saud!C2010</f>
        <v>P-1-N-140824-5067</v>
      </c>
    </row>
    <row r="2011">
      <c r="A2011" s="133" t="str">
        <f>Saud!F2011</f>
        <v>SOLID GOLD INDIGO MOON CHICKEN GRAIN FREE 1.36KG</v>
      </c>
      <c r="B2011" s="133" t="str">
        <f>Saud!E2011</f>
        <v>مكتمل</v>
      </c>
      <c r="C2011" s="133" t="str">
        <f>Saud!C2011</f>
        <v>P-1-N-140824-5066</v>
      </c>
    </row>
    <row r="2012">
      <c r="A2012" s="133" t="str">
        <f>Saud!F2012</f>
        <v>SOLID GOLD FIT AS A FIDDLE POLLOCK GRAIN FREE 5.44KG</v>
      </c>
      <c r="B2012" s="133" t="str">
        <f>Saud!E2012</f>
        <v>مكتمل</v>
      </c>
      <c r="C2012" s="133" t="str">
        <f>Saud!C2012</f>
        <v>P-1-N-140824-5065</v>
      </c>
    </row>
    <row r="2013">
      <c r="A2013" s="133" t="str">
        <f>Saud!F2013</f>
        <v>SOLID GOLD FIT AS A FIDDLE POLLOCK GRAIN FREE 2.72KG</v>
      </c>
      <c r="B2013" s="133" t="str">
        <f>Saud!E2013</f>
        <v>رفض </v>
      </c>
      <c r="C2013" s="133" t="str">
        <f>Saud!C2013</f>
        <v>P-1-N-140824-5064</v>
      </c>
    </row>
    <row r="2014">
      <c r="A2014" s="133" t="str">
        <f>Saud!F2014</f>
        <v>SOLID GOLD FIT AND FABULOUS CHICKEN GRAIN FREE 374G</v>
      </c>
      <c r="B2014" s="133" t="str">
        <f>Saud!E2014</f>
        <v>رفض </v>
      </c>
      <c r="C2014" s="133" t="str">
        <f>Saud!C2014</f>
        <v>P-1-N-140824-5062</v>
      </c>
    </row>
    <row r="2015">
      <c r="A2015" s="133" t="str">
        <f>Saud!F2015</f>
        <v>Applaws Tuna with crab in broth 70g</v>
      </c>
      <c r="B2015" s="133" t="str">
        <f>Saud!E2015</f>
        <v>رفض </v>
      </c>
      <c r="C2015" s="133" t="str">
        <f>Saud!C2015</f>
        <v>P-1-N-140824-5057</v>
      </c>
    </row>
    <row r="2016">
      <c r="A2016" s="133" t="str">
        <f>Saud!F2016</f>
        <v>Applaws Chicken breast in broth 60g</v>
      </c>
      <c r="B2016" s="133" t="str">
        <f>Saud!E2016</f>
        <v>رفض </v>
      </c>
      <c r="C2016" s="133" t="str">
        <f>Saud!C2016</f>
        <v>P-1-N-140824-5055</v>
      </c>
    </row>
    <row r="2017">
      <c r="A2017" s="133" t="str">
        <f>Saud!F2017</f>
        <v>Applaws Chicken Breast with Tuna fillet in broth 70g</v>
      </c>
      <c r="B2017" s="133" t="str">
        <f>Saud!E2017</f>
        <v>رفض </v>
      </c>
      <c r="C2017" s="133" t="str">
        <f>Saud!C2017</f>
        <v>P-1-N-130824-5041</v>
      </c>
    </row>
    <row r="2018">
      <c r="A2018" s="133" t="str">
        <f>Saud!F2018</f>
        <v>Applaws Chicken breast in broth 70</v>
      </c>
      <c r="B2018" s="133" t="str">
        <f>Saud!E2018</f>
        <v>رفض </v>
      </c>
      <c r="C2018" s="133" t="str">
        <f>Saud!C2018</f>
        <v>P-1-N-130824-5039</v>
      </c>
    </row>
    <row r="2019">
      <c r="A2019" s="133" t="str">
        <f>Saud!F2019</f>
        <v>Applaws Tuna Fillet in Broth 70g</v>
      </c>
      <c r="B2019" s="133" t="str">
        <f>Saud!E2019</f>
        <v>رفض </v>
      </c>
      <c r="C2019" s="133" t="str">
        <f>Saud!C2019</f>
        <v>P-1-N-130824-5037</v>
      </c>
    </row>
    <row r="2020">
      <c r="A2020" s="133" t="str">
        <f>Saud!F2020</f>
        <v>Dermacat Paste 100mL</v>
      </c>
      <c r="B2020" s="133" t="str">
        <f>Saud!E2020</f>
        <v>رفض </v>
      </c>
      <c r="C2020" s="133" t="str">
        <f>Saud!C2020</f>
        <v>P-1-N-130824-5036</v>
      </c>
    </row>
    <row r="2021">
      <c r="A2021" s="133" t="str">
        <f>Saud!F2021</f>
        <v>Bio Puppy 200g</v>
      </c>
      <c r="B2021" s="133" t="str">
        <f>Saud!E2021</f>
        <v>رفض </v>
      </c>
      <c r="C2021" s="133" t="str">
        <f>Saud!C2021</f>
        <v>P-1-N-130824-5035</v>
      </c>
    </row>
    <row r="2022">
      <c r="A2022" s="133" t="str">
        <f>Saud!F2022</f>
        <v>Bio Kitten 200g</v>
      </c>
      <c r="B2022" s="133" t="str">
        <f>Saud!E2022</f>
        <v>رفض </v>
      </c>
      <c r="C2022" s="133" t="str">
        <f>Saud!C2022</f>
        <v>P-1-N-130824-5034</v>
      </c>
    </row>
    <row r="2023">
      <c r="A2023" s="133" t="str">
        <f>Saud!F2023</f>
        <v>بيو كيتن الجرو الحيوي معجون ديرماكات 100 مل</v>
      </c>
      <c r="B2023" s="133" t="str">
        <f>Saud!E2023</f>
        <v>رفض </v>
      </c>
      <c r="C2023" s="133" t="str">
        <f>Saud!C2023</f>
        <v>P-1-N-130824-5032</v>
      </c>
    </row>
    <row r="2024">
      <c r="A2024" s="133" t="str">
        <f>Saud!F2024</f>
        <v>Catimalt Plus Soft Paste 100mL</v>
      </c>
      <c r="B2024" s="133" t="str">
        <f>Saud!E2024</f>
        <v>رفض </v>
      </c>
      <c r="C2024" s="133" t="str">
        <f>Saud!C2024</f>
        <v>P-1-N-130824-5030</v>
      </c>
    </row>
    <row r="2025">
      <c r="A2025" s="133" t="str">
        <f>Saud!F2025</f>
        <v>Catimalt Plus Soft Paste 25mL</v>
      </c>
      <c r="B2025" s="133" t="str">
        <f>Saud!E2025</f>
        <v>رفض </v>
      </c>
      <c r="C2025" s="133" t="str">
        <f>Saud!C2025</f>
        <v>P-1-N-130824-5029</v>
      </c>
    </row>
    <row r="2026">
      <c r="A2026" s="133" t="str">
        <f>Saud!F2026</f>
        <v>Calming Cat Paste 100mL</v>
      </c>
      <c r="B2026" s="133" t="str">
        <f>Saud!E2026</f>
        <v>رفض </v>
      </c>
      <c r="C2026" s="133" t="str">
        <f>Saud!C2026</f>
        <v>P-1-N-130824-5028</v>
      </c>
    </row>
    <row r="2027">
      <c r="A2027" s="133" t="str">
        <f>Saud!F2027</f>
        <v>Felilysine Gel 100mL</v>
      </c>
      <c r="B2027" s="133" t="str">
        <f>Saud!E2027</f>
        <v>رفض </v>
      </c>
      <c r="C2027" s="133" t="str">
        <f>Saud!C2027</f>
        <v>P-1-N-130824-5027</v>
      </c>
    </row>
    <row r="2028">
      <c r="A2028" s="133" t="str">
        <f>Saud!F2028</f>
        <v>Vitalicat Junior Paste 100mL</v>
      </c>
      <c r="B2028" s="133" t="str">
        <f>Saud!E2028</f>
        <v>رفض </v>
      </c>
      <c r="C2028" s="133" t="str">
        <f>Saud!C2028</f>
        <v>P-1-N-130824-5026</v>
      </c>
    </row>
    <row r="2029">
      <c r="A2029" s="133" t="str">
        <f>Saud!F2029</f>
        <v>Silycumin 67.5g</v>
      </c>
      <c r="B2029" s="133" t="str">
        <f>Saud!E2029</f>
        <v>رفض </v>
      </c>
      <c r="C2029" s="133" t="str">
        <f>Saud!C2029</f>
        <v>P-1-N-130824-5025</v>
      </c>
    </row>
    <row r="2030">
      <c r="A2030" s="133" t="str">
        <f>Saud!F2030</f>
        <v>Silycumin 50g</v>
      </c>
      <c r="B2030" s="133" t="str">
        <f>Saud!E2030</f>
        <v>رفض </v>
      </c>
      <c r="C2030" s="133" t="str">
        <f>Saud!C2030</f>
        <v>P-1-N-130824-5024</v>
      </c>
    </row>
    <row r="2031">
      <c r="A2031" s="133" t="str">
        <f>Saud!F2031</f>
        <v>D-Kaltabs 126g</v>
      </c>
      <c r="B2031" s="133" t="str">
        <f>Saud!E2031</f>
        <v>رفض </v>
      </c>
      <c r="C2031" s="133" t="str">
        <f>Saud!C2031</f>
        <v>P-1-N-130824-5023</v>
      </c>
    </row>
    <row r="2032">
      <c r="A2032" s="133" t="str">
        <f>Saud!F2032</f>
        <v>Biodermdog 37.5g</v>
      </c>
      <c r="B2032" s="133" t="str">
        <f>Saud!E2032</f>
        <v>رفض </v>
      </c>
      <c r="C2032" s="133" t="str">
        <f>Saud!C2032</f>
        <v>P-1-N-130824-5022</v>
      </c>
    </row>
    <row r="2033">
      <c r="A2033" s="133" t="str">
        <f>Saud!F2033</f>
        <v>Dermadog 0,5 Small Breed 30g</v>
      </c>
      <c r="B2033" s="133" t="str">
        <f>Saud!E2033</f>
        <v>رفض </v>
      </c>
      <c r="C2033" s="133" t="str">
        <f>Saud!C2033</f>
        <v>P-1-N-130824-5020</v>
      </c>
    </row>
    <row r="2034">
      <c r="A2034" s="133" t="str">
        <f>Saud!F2034</f>
        <v>Dermadog 1.5 75g</v>
      </c>
      <c r="B2034" s="133" t="str">
        <f>Saud!E2034</f>
        <v>رفض </v>
      </c>
      <c r="C2034" s="133" t="str">
        <f>Saud!C2034</f>
        <v>P-1-N-130824-5018</v>
      </c>
    </row>
    <row r="2035">
      <c r="A2035" s="133" t="str">
        <f>Saud!F2035</f>
        <v>Vitalidog Junior Paste 100mL</v>
      </c>
      <c r="B2035" s="133" t="str">
        <f>Saud!E2035</f>
        <v>رفض </v>
      </c>
      <c r="C2035" s="133" t="str">
        <f>Saud!C2035</f>
        <v>P-1-N-130824-5017</v>
      </c>
    </row>
    <row r="2036">
      <c r="A2036" s="133" t="str">
        <f>Saud!F2036</f>
        <v>Vitalidog Paste 100mL</v>
      </c>
      <c r="B2036" s="133" t="str">
        <f>Saud!E2036</f>
        <v>رفض </v>
      </c>
      <c r="C2036" s="133" t="str">
        <f>Saud!C2036</f>
        <v>P-1-N-130824-5016</v>
      </c>
    </row>
    <row r="2037">
      <c r="A2037" s="133" t="str">
        <f>Saud!F2037</f>
        <v>SOLID GOLD INDIGO MOON CHICKEN GRAIN FREE 5.44KG</v>
      </c>
      <c r="B2037" s="133" t="str">
        <f>Saud!E2037</f>
        <v>مكتمل</v>
      </c>
      <c r="C2037" s="133" t="str">
        <f>Saud!C2037</f>
        <v>P-1-N-140824-5068</v>
      </c>
    </row>
    <row r="2038">
      <c r="A2038" s="133" t="str">
        <f>Saud!F2038</f>
        <v>SOLID GOLD KATZ N FLOCKEN LAMB 1.81KG</v>
      </c>
      <c r="B2038" s="133" t="str">
        <f>Saud!E2038</f>
        <v>مكتمل</v>
      </c>
      <c r="C2038" s="133" t="str">
        <f>Saud!C2038</f>
        <v>P-1-N-140824-5069</v>
      </c>
    </row>
    <row r="2039">
      <c r="A2039" s="133" t="str">
        <f>Saud!F2039</f>
        <v>SOLID GOLD KATZ N FLOCKEN LAMB 5.44KG</v>
      </c>
      <c r="B2039" s="133" t="str">
        <f>Saud!E2039</f>
        <v>مكتمل</v>
      </c>
      <c r="C2039" s="133" t="str">
        <f>Saud!C2039</f>
        <v>P-1-N-140824-5070</v>
      </c>
    </row>
    <row r="2040">
      <c r="A2040" s="133" t="str">
        <f>Saud!F2040</f>
        <v>SOLID GOLD LET’S STAY IN SALMON 5.44KG</v>
      </c>
      <c r="B2040" s="133" t="str">
        <f>Saud!E2040</f>
        <v>مكتمل</v>
      </c>
      <c r="C2040" s="133" t="str">
        <f>Saud!C2040</f>
        <v>P-1-N-140824-5071</v>
      </c>
    </row>
    <row r="2041">
      <c r="A2041" s="133" t="str">
        <f>Saud!F2041</f>
        <v>SOLID GOLD LET’S STAY IN SALMON 1.36KG</v>
      </c>
      <c r="B2041" s="133" t="str">
        <f>Saud!E2041</f>
        <v>مكتمل</v>
      </c>
      <c r="C2041" s="133" t="str">
        <f>Saud!C2041</f>
        <v>P-1-N-140824-5072</v>
      </c>
    </row>
    <row r="2042">
      <c r="A2042" s="133" t="str">
        <f>Saud!F2042</f>
        <v>SOLID GOLD NB BARKING AT THE MOON BEEF 4.99KG</v>
      </c>
      <c r="B2042" s="133" t="str">
        <f>Saud!E2042</f>
        <v>مكتمل</v>
      </c>
      <c r="C2042" s="133" t="str">
        <f>Saud!C2042</f>
        <v>P-1-N-140824-5073</v>
      </c>
    </row>
    <row r="2043">
      <c r="A2043" s="133" t="str">
        <f>Saud!F2043</f>
        <v>SOLID GOLD NB HUND N FLOCKEN LAMB 1.81KG</v>
      </c>
      <c r="B2043" s="133" t="str">
        <f>Saud!E2043</f>
        <v>مكتمل</v>
      </c>
      <c r="C2043" s="133" t="str">
        <f>Saud!C2043</f>
        <v/>
      </c>
    </row>
    <row r="2044">
      <c r="A2044" s="133" t="str">
        <f>Saud!F2044</f>
        <v>SOLID GOLD NB HUND N FLOCKEN LAMB 10.89KG</v>
      </c>
      <c r="B2044" s="133" t="str">
        <f>Saud!E2044</f>
        <v>رفض </v>
      </c>
      <c r="C2044" s="133" t="str">
        <f>Saud!C2044</f>
        <v>P-1-N-140824-5076</v>
      </c>
    </row>
    <row r="2045">
      <c r="A2045" s="133" t="str">
        <f>Saud!F2045</f>
        <v>SOLID GOLD NB WOLF KING BISON 4.99KG</v>
      </c>
      <c r="B2045" s="133" t="str">
        <f>Saud!E2045</f>
        <v>مكتمل</v>
      </c>
      <c r="C2045" s="133" t="str">
        <f>Saud!C2045</f>
        <v>P-1-N-140824-5078</v>
      </c>
    </row>
    <row r="2046">
      <c r="A2046" s="133" t="str">
        <f>Saud!F2046</f>
        <v>SOLID GOLD NB WOLF KING BISON 9.98KG</v>
      </c>
      <c r="B2046" s="133" t="str">
        <f>Saud!E2046</f>
        <v>مكتمل</v>
      </c>
      <c r="C2046" s="133" t="str">
        <f>Saud!C2046</f>
        <v>P-1-N-140824-5079</v>
      </c>
    </row>
    <row r="2047">
      <c r="A2047" s="133" t="str">
        <f>Saud!F2047</f>
        <v>SOLID GOLD STAR CHASER CHICKEN LOAF 374G</v>
      </c>
      <c r="B2047" s="133" t="str">
        <f>Saud!E2047</f>
        <v>مكتمل</v>
      </c>
      <c r="C2047" s="133" t="str">
        <f>Saud!C2047</f>
        <v>P-1-N-140824-5080</v>
      </c>
    </row>
    <row r="2048">
      <c r="A2048" s="133" t="str">
        <f>Saud!F2048</f>
        <v>Applaws Chicken Breast with Pumpkin 70G</v>
      </c>
      <c r="B2048" s="133" t="str">
        <f>Saud!E2048</f>
        <v>رفض </v>
      </c>
      <c r="C2048" s="133" t="str">
        <f>Saud!C2048</f>
        <v>P-1-N-140824-5082</v>
      </c>
    </row>
    <row r="2049">
      <c r="A2049" s="133" t="str">
        <f>Saud!F2049</f>
        <v>SOLID GOLD WINGED TIGER WITH QUAIL 1.36KG</v>
      </c>
      <c r="B2049" s="133" t="str">
        <f>Saud!E2049</f>
        <v>مكتمل</v>
      </c>
      <c r="C2049" s="133" t="str">
        <f>Saud!C2049</f>
        <v>P-1-N-140824-5085</v>
      </c>
    </row>
    <row r="2050">
      <c r="A2050" s="133" t="str">
        <f>Saud!F2050</f>
        <v>SOLID GOLD SUN DANCER CHICKEN LOAF 374G</v>
      </c>
      <c r="B2050" s="133" t="str">
        <f>Saud!E2050</f>
        <v>مكتمل</v>
      </c>
      <c r="C2050" s="133" t="str">
        <f>Saud!C2050</f>
        <v>P-1-N-140824-5086</v>
      </c>
    </row>
    <row r="2051">
      <c r="A2051" s="133" t="str">
        <f>Saud!F2051</f>
        <v>Applaws chicken breast with beef In jelly 70g</v>
      </c>
      <c r="B2051" s="133" t="str">
        <f>Saud!E2051</f>
        <v>رفض </v>
      </c>
      <c r="C2051" s="133" t="str">
        <f>Saud!C2051</f>
        <v>P-1-N-140824-5087</v>
      </c>
    </row>
    <row r="2052">
      <c r="A2052" s="133" t="str">
        <f>Saud!F2052</f>
        <v>Applaws chicken breast with lamp in Jelly 70g</v>
      </c>
      <c r="B2052" s="133" t="str">
        <f>Saud!E2052</f>
        <v>رفض </v>
      </c>
      <c r="C2052" s="133" t="str">
        <f>Saud!C2052</f>
        <v>P-1-N-140824-5088</v>
      </c>
    </row>
    <row r="2053">
      <c r="A2053" s="133" t="str">
        <f>Saud!F2053</f>
        <v>Applaws Tuna Fillet in jelly 70g</v>
      </c>
      <c r="B2053" s="133" t="str">
        <f>Saud!E2053</f>
        <v>رفض </v>
      </c>
      <c r="C2053" s="133" t="str">
        <f>Saud!C2053</f>
        <v>P-1-N-140824-5089</v>
      </c>
    </row>
    <row r="2054">
      <c r="A2054" s="133" t="str">
        <f>Saud!F2054</f>
        <v>Applaws tuna fillet with mackerel in jelly 70g</v>
      </c>
      <c r="B2054" s="133" t="str">
        <f>Saud!E2054</f>
        <v>رفض </v>
      </c>
      <c r="C2054" s="133" t="str">
        <f>Saud!C2054</f>
        <v>P-1-N-140824-5090</v>
      </c>
    </row>
    <row r="2055">
      <c r="A2055" s="133" t="str">
        <f>Saud!F2055</f>
        <v>Applaws tuna fillet with salmon in jelly 70g</v>
      </c>
      <c r="B2055" s="133" t="str">
        <f>Saud!E2055</f>
        <v>رفض </v>
      </c>
      <c r="C2055" s="133" t="str">
        <f>Saud!C2055</f>
        <v>P-1-N-140824-5092</v>
      </c>
    </row>
    <row r="2056">
      <c r="A2056" s="133" t="str">
        <f>Saud!F2056</f>
        <v>SOLID GOLD NB WEE BIT BISON 1.7KG</v>
      </c>
      <c r="B2056" s="133" t="str">
        <f>Saud!E2056</f>
        <v>مكتمل</v>
      </c>
      <c r="C2056" s="133" t="str">
        <f>Saud!C2056</f>
        <v>P-1-N-150824-5116</v>
      </c>
    </row>
    <row r="2057">
      <c r="A2057" s="133" t="str">
        <f>Saud!F2057</f>
        <v>SOLID GOLD NB WEE BIT BISON 9.98KG</v>
      </c>
      <c r="B2057" s="133" t="str">
        <f>Saud!E2057</f>
        <v>مكتمل</v>
      </c>
      <c r="C2057" s="133" t="str">
        <f>Saud!C2057</f>
        <v>P-1-N-150824-5117</v>
      </c>
    </row>
    <row r="2058">
      <c r="A2058" s="133" t="str">
        <f>Saud!F2058</f>
        <v>SOLID GOLD NB HUND N FLOCKEN LAMB 1.7KG</v>
      </c>
      <c r="B2058" s="133" t="str">
        <f>Saud!E2058</f>
        <v>مكتمل</v>
      </c>
      <c r="C2058" s="133" t="str">
        <f>Saud!C2058</f>
        <v/>
      </c>
    </row>
    <row r="2059">
      <c r="A2059" s="133" t="str">
        <f>Saud!F2059</f>
        <v>SOLID GOLD NB HUND N FLOCKEN LAMB 9.98KG</v>
      </c>
      <c r="B2059" s="133" t="str">
        <f>Saud!E2059</f>
        <v>مكتمل</v>
      </c>
      <c r="C2059" s="133" t="str">
        <f>Saud!C2059</f>
        <v>P-1-N-150824-5119</v>
      </c>
    </row>
    <row r="2060">
      <c r="A2060" s="133" t="str">
        <f>Saud!F2060</f>
        <v>Yowup Yogurt SKIN AND HAIR DOG 115g</v>
      </c>
      <c r="B2060" s="133" t="str">
        <f>Saud!E2060</f>
        <v>رفض </v>
      </c>
      <c r="C2060" s="133" t="str">
        <f>Saud!C2060</f>
        <v>P-1-N-190824-5182</v>
      </c>
    </row>
    <row r="2061">
      <c r="A2061" s="133" t="str">
        <f>Saud!F2061</f>
        <v>Yowup Yogurt ARTICULAR DOG 115g</v>
      </c>
      <c r="B2061" s="133" t="str">
        <f>Saud!E2061</f>
        <v>رفض </v>
      </c>
      <c r="C2061" s="133" t="str">
        <f>Saud!C2061</f>
        <v>P-1-N-190824-5183</v>
      </c>
    </row>
    <row r="2062">
      <c r="A2062" s="133" t="str">
        <f>Saud!F2062</f>
        <v>Yowup Yogurt SKIN AND HAIR CAT 85g</v>
      </c>
      <c r="B2062" s="133" t="str">
        <f>Saud!E2062</f>
        <v>رفض </v>
      </c>
      <c r="C2062" s="133" t="str">
        <f>Saud!C2062</f>
        <v>P-1-N-190824-5184</v>
      </c>
    </row>
    <row r="2063">
      <c r="A2063" s="133" t="str">
        <f>Saud!F2063</f>
        <v>Applaws Tuna Fillet with Anchovy &amp; Seaweed in broth 70g</v>
      </c>
      <c r="B2063" s="133" t="str">
        <f>Saud!E2063</f>
        <v>رفض </v>
      </c>
      <c r="C2063" s="133" t="str">
        <f>Saud!C2063</f>
        <v>P-1-N-190824-5187</v>
      </c>
    </row>
    <row r="2064">
      <c r="A2064" s="133" t="str">
        <f>Saud!F2064</f>
        <v>Applaws Tuna Fillet with sea bream in broth 70G</v>
      </c>
      <c r="B2064" s="133" t="str">
        <f>Saud!E2064</f>
        <v>رفض </v>
      </c>
      <c r="C2064" s="133" t="str">
        <f>Saud!C2064</f>
        <v>P-1-N-190824-5190</v>
      </c>
    </row>
    <row r="2065">
      <c r="A2065" s="133" t="str">
        <f>Saud!F2065</f>
        <v>Immune Cat Paste 100ml</v>
      </c>
      <c r="B2065" s="133" t="str">
        <f>Saud!E2065</f>
        <v>رفض </v>
      </c>
      <c r="C2065" s="133" t="str">
        <f>Saud!C2065</f>
        <v>P-1-N-200824-5196</v>
      </c>
    </row>
    <row r="2066">
      <c r="A2066" s="133" t="str">
        <f>Saud!F2066</f>
        <v>Hairball Control 45g</v>
      </c>
      <c r="B2066" s="133" t="str">
        <f>Saud!E2066</f>
        <v>رفض </v>
      </c>
      <c r="C2066" s="133" t="str">
        <f>Saud!C2066</f>
        <v>P-1-N-200824-5197</v>
      </c>
    </row>
    <row r="2067">
      <c r="A2067" s="133" t="str">
        <f>Saud!F2067</f>
        <v>Natural Code Chicken and vegetables 85g</v>
      </c>
      <c r="B2067" s="133" t="str">
        <f>Saud!E2067</f>
        <v>رفض </v>
      </c>
      <c r="C2067" s="133" t="str">
        <f>Saud!C2067</f>
        <v>P-1-N-200824-5208</v>
      </c>
    </row>
    <row r="2068">
      <c r="A2068" s="133" t="str">
        <f>Saud!F2068</f>
        <v>Natural Code Chicken with beef 85g</v>
      </c>
      <c r="B2068" s="133" t="str">
        <f>Saud!E2068</f>
        <v>رفض </v>
      </c>
      <c r="C2068" s="133" t="str">
        <f>Saud!C2068</f>
        <v>P-1-N-200824-5207</v>
      </c>
    </row>
    <row r="2069">
      <c r="A2069" s="133" t="str">
        <f>Saud!F2069</f>
        <v>Natural code tuna slices 85g</v>
      </c>
      <c r="B2069" s="133" t="str">
        <f>Saud!E2069</f>
        <v>رفض </v>
      </c>
      <c r="C2069" s="133" t="str">
        <f>Saud!C2069</f>
        <v>P-1-N-200824-5210</v>
      </c>
    </row>
    <row r="2070">
      <c r="A2070" s="133" t="str">
        <f>Saud!F2070</f>
        <v>Natural Code Chicken with Tuna 85g</v>
      </c>
      <c r="B2070" s="133" t="str">
        <f>Saud!E2070</f>
        <v>رفض </v>
      </c>
      <c r="C2070" s="133" t="str">
        <f>Saud!C2070</f>
        <v>P-1-N-200824-5206</v>
      </c>
    </row>
    <row r="2071">
      <c r="A2071" s="133" t="str">
        <f>Saud!F2071</f>
        <v>Natural Code Chicken with Shrimps 85g</v>
      </c>
      <c r="B2071" s="133" t="str">
        <f>Saud!E2071</f>
        <v>رفض </v>
      </c>
      <c r="C2071" s="133" t="str">
        <f>Saud!C2071</f>
        <v>P-1-N-200824-5205</v>
      </c>
    </row>
    <row r="2072">
      <c r="A2072" s="133" t="str">
        <f>Saud!F2072</f>
        <v>Natural Code Chicken and Salmon 85g</v>
      </c>
      <c r="B2072" s="133" t="str">
        <f>Saud!E2072</f>
        <v>رفض </v>
      </c>
      <c r="C2072" s="133" t="str">
        <f>Saud!C2072</f>
        <v>P-1-N-200824-5204</v>
      </c>
    </row>
    <row r="2073">
      <c r="A2073" s="133" t="str">
        <f>Saud!F2073</f>
        <v>Natural Code chicken fillets 85g</v>
      </c>
      <c r="B2073" s="133" t="str">
        <f>Saud!E2073</f>
        <v>رفض </v>
      </c>
      <c r="C2073" s="133" t="str">
        <f>Saud!C2073</f>
        <v>P-1-N-200824-5203</v>
      </c>
    </row>
    <row r="2074">
      <c r="A2074" s="133" t="str">
        <f>Saud!F2074</f>
        <v>Natural Code Chicken with beef and vegetables 90g</v>
      </c>
      <c r="B2074" s="133" t="str">
        <f>Saud!E2074</f>
        <v>رفض </v>
      </c>
      <c r="C2074" s="133" t="str">
        <f>Saud!C2074</f>
        <v>P-1-N-200824-5209</v>
      </c>
    </row>
    <row r="2075">
      <c r="A2075" s="133" t="str">
        <f>Saud!F2075</f>
        <v>Natural code tuna with beef liver in jelly 85g</v>
      </c>
      <c r="B2075" s="133" t="str">
        <f>Saud!E2075</f>
        <v>رفض </v>
      </c>
      <c r="C2075" s="133" t="str">
        <f>Saud!C2075</f>
        <v>P-1-N-200824-5211</v>
      </c>
    </row>
    <row r="2076">
      <c r="A2076" s="133" t="str">
        <f>Saud!F2076</f>
        <v>Applaws Tuna fillet with prawn in broth 70g</v>
      </c>
      <c r="B2076" s="133" t="str">
        <f>Saud!E2076</f>
        <v>رفض </v>
      </c>
      <c r="C2076" s="133" t="str">
        <f>Saud!C2076</f>
        <v>P-1-N-210824-5232</v>
      </c>
    </row>
    <row r="2077">
      <c r="A2077" s="133" t="str">
        <f>Saud!F2077</f>
        <v>Yowup Yogurt ARTICULAR DOG 115g</v>
      </c>
      <c r="B2077" s="133" t="str">
        <f>Saud!E2077</f>
        <v>مكتمل</v>
      </c>
      <c r="C2077" s="133" t="str">
        <f>Saud!C2077</f>
        <v>2024-251203
</v>
      </c>
    </row>
    <row r="2078">
      <c r="A2078" s="133" t="str">
        <f>Saud!F2078</f>
        <v>Yowup Yogurt SKIN AND HAIR DOG 115g</v>
      </c>
      <c r="B2078" s="133" t="str">
        <f>Saud!E2078</f>
        <v>مكتمل</v>
      </c>
      <c r="C2078" s="133" t="str">
        <f>Saud!C2078</f>
        <v>2024-251073</v>
      </c>
    </row>
    <row r="2079">
      <c r="A2079" s="133" t="str">
        <f>Saud!F2079</f>
        <v>Yowup Yogurt SKIN AND HAIR CAT </v>
      </c>
      <c r="B2079" s="133" t="str">
        <f>Saud!E2079</f>
        <v>مكتمل</v>
      </c>
      <c r="C2079" s="133" t="str">
        <f>Saud!C2079</f>
        <v>2024-253261</v>
      </c>
    </row>
    <row r="2080">
      <c r="A2080" s="133" t="str">
        <f>Saud!F2080</f>
        <v>Applaws Chicken Breast with Tuna Roe 60g</v>
      </c>
      <c r="B2080" s="133" t="str">
        <f>Saud!E2080</f>
        <v>مكتمل</v>
      </c>
      <c r="C2080" s="133" t="str">
        <f>Saud!C2080</f>
        <v>2024-253384</v>
      </c>
    </row>
    <row r="2081">
      <c r="A2081" s="133" t="str">
        <f>Saud!F2081</f>
        <v>Applaws Sardine with Mackerel 60g</v>
      </c>
      <c r="B2081" s="133" t="str">
        <f>Saud!E2081</f>
        <v>مكتمل</v>
      </c>
      <c r="C2081" s="133" t="str">
        <f>Saud!C2081</f>
        <v>2024-253397</v>
      </c>
    </row>
    <row r="2082">
      <c r="A2082" s="133" t="str">
        <f>Saud!F2082</f>
        <v>Applaws chicken with Duck 60 gram</v>
      </c>
      <c r="B2082" s="133" t="str">
        <f>Saud!E2082</f>
        <v>مكتمل</v>
      </c>
      <c r="C2082" s="133" t="str">
        <f>Saud!C2082</f>
        <v>2024-253410</v>
      </c>
    </row>
    <row r="2083">
      <c r="A2083" s="133" t="str">
        <f>Saud!F2083</f>
        <v>Applaws chicken breast freeze dried treats 10g</v>
      </c>
      <c r="B2083" s="133" t="str">
        <f>Saud!E2083</f>
        <v>عاد الي مقدم الطلب </v>
      </c>
      <c r="C2083" s="133" t="str">
        <f>Saud!C2083</f>
        <v>2024-255074</v>
      </c>
    </row>
    <row r="2084">
      <c r="A2084" s="133" t="str">
        <f>Saud!F2084</f>
        <v>Applaws tuna fillet freeze dried treats 10g</v>
      </c>
      <c r="B2084" s="133" t="str">
        <f>Saud!E2084</f>
        <v>عاد الي مقدم الطلب </v>
      </c>
      <c r="C2084" s="133" t="str">
        <f>Saud!C2084</f>
        <v>2024-255102</v>
      </c>
    </row>
    <row r="2085">
      <c r="A2085" s="133" t="str">
        <f>Saud!F2085</f>
        <v>Applaws kitten chicken 70g</v>
      </c>
      <c r="B2085" s="133" t="str">
        <f>Saud!E2085</f>
        <v>عاد الي مقدم الطلب </v>
      </c>
      <c r="C2085" s="133" t="str">
        <f>Saud!C2085</f>
        <v>2024-255120</v>
      </c>
    </row>
    <row r="2086">
      <c r="A2086" s="133" t="str">
        <f>Saud!F2086</f>
        <v>Applaws kitten Tuna 70g</v>
      </c>
      <c r="B2086" s="133" t="str">
        <f>Saud!E2086</f>
        <v>عاد الي مقدم الطلب </v>
      </c>
      <c r="C2086" s="133" t="str">
        <f>Saud!C2086</f>
        <v>2024-255136</v>
      </c>
    </row>
    <row r="2087">
      <c r="A2087" s="133" t="str">
        <f>Saud!F2087</f>
        <v>Applaws Tuna Fillet in Broth 70g</v>
      </c>
      <c r="B2087" s="133" t="str">
        <f>Saud!E2087</f>
        <v>مكتمل</v>
      </c>
      <c r="C2087" s="133" t="str">
        <f>Saud!C2087</f>
        <v>2024-257277</v>
      </c>
    </row>
    <row r="2088">
      <c r="A2088" s="133" t="str">
        <f>Saud!F2088</f>
        <v>Applaws Chicken breast in broth 70g</v>
      </c>
      <c r="B2088" s="133" t="str">
        <f>Saud!E2088</f>
        <v>مكتمل </v>
      </c>
      <c r="C2088" s="133" t="str">
        <f>Saud!C2088</f>
        <v>2024-257302</v>
      </c>
    </row>
    <row r="2089">
      <c r="A2089" s="133" t="str">
        <f>Saud!F2089</f>
        <v>Applaws Chicken Breast with Tuna fillet in broth 70g</v>
      </c>
      <c r="B2089" s="133" t="str">
        <f>Saud!E2089</f>
        <v>مكتمل </v>
      </c>
      <c r="C2089" s="133" t="str">
        <f>Saud!C2089</f>
        <v>2024-257328</v>
      </c>
    </row>
    <row r="2090">
      <c r="A2090" s="133" t="str">
        <f>Saud!F2090</f>
        <v>Applaws Chicken breast in broth 60g</v>
      </c>
      <c r="B2090" s="133" t="str">
        <f>Saud!E2090</f>
        <v>عاد الي مقدم الطلب </v>
      </c>
      <c r="C2090" s="133" t="str">
        <f>Saud!C2090</f>
        <v>2024-257436</v>
      </c>
    </row>
    <row r="2091">
      <c r="A2091" s="133" t="str">
        <f>Saud!F2091</f>
        <v>Applaws Tuna with crab in broth 70g</v>
      </c>
      <c r="B2091" s="133" t="str">
        <f>Saud!E2091</f>
        <v>عاد الي مقدم الطلب </v>
      </c>
      <c r="C2091" s="133" t="str">
        <f>Saud!C2091</f>
        <v>2024-257467</v>
      </c>
    </row>
    <row r="2092">
      <c r="A2092" s="133" t="str">
        <f>Saud!F2092</f>
        <v>Applaws Chicken Breast with Pumpkin 70G</v>
      </c>
      <c r="B2092" s="133" t="str">
        <f>Saud!E2092</f>
        <v>مكتمل</v>
      </c>
      <c r="C2092" s="133" t="str">
        <f>Saud!C2092</f>
        <v>2024-257476</v>
      </c>
    </row>
    <row r="2093">
      <c r="A2093" s="133" t="str">
        <f>Saud!F2093</f>
        <v>Applaws Tuna Fillet with sea bream in broth 70G</v>
      </c>
      <c r="B2093" s="133" t="str">
        <f>Saud!E2093</f>
        <v>عاد الي مقدم الطلب </v>
      </c>
      <c r="C2093" s="133" t="str">
        <f>Saud!C2093</f>
        <v>2024-257493</v>
      </c>
    </row>
    <row r="2094">
      <c r="A2094" s="133" t="str">
        <f>Saud!F2094</f>
        <v>Applaws Tuna Fillet with Anchovy &amp; Seaweed in broth 70g</v>
      </c>
      <c r="B2094" s="133" t="str">
        <f>Saud!E2094</f>
        <v>عاد الي مقدم الطلب </v>
      </c>
      <c r="C2094" s="133" t="str">
        <f>Saud!C2094</f>
        <v>2024-257501</v>
      </c>
    </row>
    <row r="2095">
      <c r="A2095" s="133" t="str">
        <f>Saud!F2095</f>
        <v>Applaws chicken breast with chicken liver in jelly 70g</v>
      </c>
      <c r="B2095" s="133" t="str">
        <f>Saud!E2095</f>
        <v>مكتمل </v>
      </c>
      <c r="C2095" s="133" t="str">
        <f>Saud!C2095</f>
        <v>2024-257512</v>
      </c>
    </row>
    <row r="2096">
      <c r="A2096" s="133" t="str">
        <f>Saud!F2096</f>
        <v>Applaws chicken breast with beef In jelly 70g</v>
      </c>
      <c r="B2096" s="133" t="str">
        <f>Saud!E2096</f>
        <v>مكتمل</v>
      </c>
      <c r="C2096" s="133" t="str">
        <f>Saud!C2096</f>
        <v>2024-257527</v>
      </c>
    </row>
    <row r="2097">
      <c r="A2097" s="133" t="str">
        <f>Saud!F2097</f>
        <v>SOLID GOLD FIT AS A FIDDLE POLLOCK GRAIN FREE 3Kg,</v>
      </c>
      <c r="B2097" s="133" t="str">
        <f>Saud!E2097</f>
        <v>مكتمل</v>
      </c>
      <c r="C2097" s="133" t="str">
        <f>Saud!C2097</f>
        <v/>
      </c>
    </row>
    <row r="2098">
      <c r="A2098" s="133" t="str">
        <f>Saud!F2098</f>
        <v>SOLID GOLD FIT AND FABULOUS CHICKEN GRAIN FREE 374G</v>
      </c>
      <c r="B2098" s="133" t="str">
        <f>Saud!E2098</f>
        <v>مكتمل</v>
      </c>
      <c r="C2098" s="133" t="str">
        <f>Saud!C2098</f>
        <v/>
      </c>
    </row>
    <row r="2099">
      <c r="A2099" s="133" t="str">
        <f>Saud!F2099</f>
        <v>Vitalicat 75g</v>
      </c>
      <c r="B2099" s="133" t="str">
        <f>Saud!E2099</f>
        <v>مكتمل</v>
      </c>
      <c r="C2099" s="133" t="str">
        <f>Saud!C2099</f>
        <v>2024-252386</v>
      </c>
    </row>
    <row r="2100">
      <c r="A2100" s="133" t="str">
        <f>Saud!F2100</f>
        <v>Dermacat 0.3 23g</v>
      </c>
      <c r="B2100" s="133" t="str">
        <f>Saud!E2100</f>
        <v>مكتمل</v>
      </c>
      <c r="C2100" s="133" t="str">
        <f>Saud!C2100</f>
        <v>2024-252389</v>
      </c>
    </row>
    <row r="2101">
      <c r="A2101" s="133" t="str">
        <f>Saud!F2101</f>
        <v>Biodermcat 30g</v>
      </c>
      <c r="B2101" s="133" t="str">
        <f>Saud!E2101</f>
        <v>مكتمل</v>
      </c>
      <c r="C2101" s="133" t="str">
        <f>Saud!C2101</f>
        <v>2024-252403</v>
      </c>
    </row>
    <row r="2102">
      <c r="A2102" s="133" t="str">
        <f>Saud!F2102</f>
        <v>Vitalidog Paste 100Ml
</v>
      </c>
      <c r="B2102" s="133" t="str">
        <f>Saud!E2102</f>
        <v>مكتمل</v>
      </c>
      <c r="C2102" s="133" t="str">
        <f>Saud!C2102</f>
        <v>2024-253329</v>
      </c>
    </row>
    <row r="2103">
      <c r="A2103" s="133" t="str">
        <f>Saud!F2103</f>
        <v>Vitalicat Paste 100Ml</v>
      </c>
      <c r="B2103" s="133" t="str">
        <f>Saud!E2103</f>
        <v>مكتمل</v>
      </c>
      <c r="C2103" s="133" t="str">
        <f>Saud!C2103</f>
        <v>2024-253316</v>
      </c>
    </row>
    <row r="2104">
      <c r="A2104" s="133" t="str">
        <f>Saud!F2104</f>
        <v>Vitalidog Junior Paste 100ml</v>
      </c>
      <c r="B2104" s="133" t="str">
        <f>Saud!E2104</f>
        <v>مكتمل</v>
      </c>
      <c r="C2104" s="133" t="str">
        <f>Saud!C2104</f>
        <v>2024-253333</v>
      </c>
    </row>
    <row r="2105">
      <c r="A2105" s="133" t="str">
        <f>Saud!F2105</f>
        <v>Dermadog 1.5 75G</v>
      </c>
      <c r="B2105" s="133" t="str">
        <f>Saud!E2105</f>
        <v>مكتمل</v>
      </c>
      <c r="C2105" s="133" t="str">
        <f>Saud!C2105</f>
        <v>2024-253335</v>
      </c>
    </row>
    <row r="2106">
      <c r="A2106" s="133" t="str">
        <f>Saud!F2106</f>
        <v>Dermadog 0,5 Small Breed 30G</v>
      </c>
      <c r="B2106" s="133" t="str">
        <f>Saud!E2106</f>
        <v>مكتمل</v>
      </c>
      <c r="C2106" s="133" t="str">
        <f>Saud!C2106</f>
        <v>2024-253341</v>
      </c>
    </row>
    <row r="2107">
      <c r="A2107" s="133" t="str">
        <f>Saud!F2107</f>
        <v>Vitalicat 30G</v>
      </c>
      <c r="B2107" s="133" t="str">
        <f>Saud!E2107</f>
        <v>مكتمل</v>
      </c>
      <c r="C2107" s="133" t="str">
        <f>Saud!C2107</f>
        <v>2024-252383</v>
      </c>
    </row>
    <row r="2108">
      <c r="A2108" s="133" t="str">
        <f>Saud!F2108</f>
        <v>Synbioflora Tab for Small Breed Dogs 30G</v>
      </c>
      <c r="B2108" s="133" t="str">
        <f>Saud!E2108</f>
        <v>مكتمل</v>
      </c>
      <c r="C2108" s="133" t="str">
        <f>Saud!C2108</f>
        <v>2024-253413</v>
      </c>
    </row>
    <row r="2109">
      <c r="A2109" s="133" t="str">
        <f>Saud!F2109</f>
        <v>Synbioflora Tab for Cats 30G</v>
      </c>
      <c r="B2109" s="133" t="str">
        <f>Saud!E2109</f>
        <v>مكتمل</v>
      </c>
      <c r="C2109" s="133" t="str">
        <f>Saud!C2109</f>
        <v>2024-253409</v>
      </c>
    </row>
    <row r="2110">
      <c r="A2110" s="133" t="str">
        <f>Saud!F2110</f>
        <v>Silycumin 50G</v>
      </c>
      <c r="B2110" s="133" t="str">
        <f>Saud!E2110</f>
        <v>مكتمل</v>
      </c>
      <c r="C2110" s="133" t="str">
        <f>Saud!C2110</f>
        <v>2024-253359</v>
      </c>
    </row>
    <row r="2111">
      <c r="A2111" s="133" t="str">
        <f>Saud!F2111</f>
        <v>Hairball Control 45G</v>
      </c>
      <c r="B2111" s="133" t="str">
        <f>Saud!E2111</f>
        <v>مكتمل</v>
      </c>
      <c r="C2111" s="133" t="str">
        <f>Saud!C2111</f>
        <v>2024-253408</v>
      </c>
    </row>
    <row r="2112">
      <c r="A2112" s="133" t="str">
        <f>Saud!F2112</f>
        <v>Immune Cat Paste 100Ml
 </v>
      </c>
      <c r="B2112" s="133" t="str">
        <f>Saud!E2112</f>
        <v>مكتمل</v>
      </c>
      <c r="C2112" s="133" t="str">
        <f>Saud!C2112</f>
        <v>2024-253405</v>
      </c>
    </row>
    <row r="2113">
      <c r="A2113" s="133" t="str">
        <f>Saud!F2113</f>
        <v>Silycumin 68G</v>
      </c>
      <c r="B2113" s="133" t="str">
        <f>Saud!E2113</f>
        <v>مكتمل</v>
      </c>
      <c r="C2113" s="133" t="str">
        <f>Saud!C2113</f>
        <v>2024-253364</v>
      </c>
    </row>
    <row r="2114">
      <c r="A2114" s="133" t="str">
        <f>Saud!F2114</f>
        <v>Dermacat Paste 100Ml</v>
      </c>
      <c r="B2114" s="133" t="str">
        <f>Saud!E2114</f>
        <v>مكتمل</v>
      </c>
      <c r="C2114" s="133" t="str">
        <f>Saud!C2114</f>
        <v>2024-253401</v>
      </c>
    </row>
    <row r="2115">
      <c r="A2115" s="133" t="str">
        <f>Saud!F2115</f>
        <v>Bio Kitten 200G</v>
      </c>
      <c r="B2115" s="133" t="str">
        <f>Saud!E2115</f>
        <v>مكتمل</v>
      </c>
      <c r="C2115" s="133" t="str">
        <f>Saud!C2115</f>
        <v>2024-253394</v>
      </c>
    </row>
    <row r="2116">
      <c r="A2116" s="133" t="str">
        <f>Saud!F2116</f>
        <v>Calming Cat Paste 100Ml</v>
      </c>
      <c r="B2116" s="133" t="str">
        <f>Saud!E2116</f>
        <v>مكتمل</v>
      </c>
      <c r="C2116" s="133" t="str">
        <f>Saud!C2116</f>
        <v>2024-253375</v>
      </c>
    </row>
    <row r="2117">
      <c r="A2117" s="133" t="str">
        <f>Saud!F2117</f>
        <v>Catimalt Plus Soft Paste 25g</v>
      </c>
      <c r="B2117" s="133" t="str">
        <f>Saud!E2117</f>
        <v>مكتمل</v>
      </c>
      <c r="C2117" s="133" t="str">
        <f>Saud!C2117</f>
        <v>2024-253379</v>
      </c>
    </row>
    <row r="2118">
      <c r="A2118" s="133" t="str">
        <f>Saud!F2118</f>
        <v>Biodermdog 38g</v>
      </c>
      <c r="B2118" s="133" t="str">
        <f>Saud!E2118</f>
        <v>مكتمل</v>
      </c>
      <c r="C2118" s="133" t="str">
        <f>Saud!C2118</f>
        <v>2024-253349</v>
      </c>
    </row>
    <row r="2119">
      <c r="A2119" s="133" t="str">
        <f>Saud!F2119</f>
        <v>Vitalicat Junior Paste 100ml</v>
      </c>
      <c r="B2119" s="133" t="str">
        <f>Saud!E2119</f>
        <v>مكتمل</v>
      </c>
      <c r="C2119" s="133" t="str">
        <f>Saud!C2119</f>
        <v>2024-253368</v>
      </c>
    </row>
    <row r="2120">
      <c r="A2120" s="133" t="str">
        <f>Saud!F2120</f>
        <v>Vitalidog Small Breed 30g</v>
      </c>
      <c r="B2120" s="133" t="str">
        <f>Saud!E2120</f>
        <v>مكتمل</v>
      </c>
      <c r="C2120" s="133" t="str">
        <f>Saud!C2120</f>
        <v>2024-253390</v>
      </c>
    </row>
    <row r="2121">
      <c r="A2121" s="133" t="str">
        <f>Saud!F2121</f>
        <v>Natural Code Chicken with beef and vegetables 90g</v>
      </c>
      <c r="B2121" s="133" t="str">
        <f>Saud!E2121</f>
        <v>مكتمل</v>
      </c>
      <c r="C2121" s="133" t="str">
        <f>Saud!C2121</f>
        <v>2024-261401</v>
      </c>
    </row>
    <row r="2122">
      <c r="A2122" s="133" t="str">
        <f>Saud!F2122</f>
        <v>Natural Code Chicken and vegetables 85g</v>
      </c>
      <c r="B2122" s="133" t="str">
        <f>Saud!E2122</f>
        <v>مكتمل</v>
      </c>
      <c r="C2122" s="133" t="str">
        <f>Saud!C2122</f>
        <v>2024-266683</v>
      </c>
    </row>
    <row r="2123">
      <c r="A2123" s="133" t="str">
        <f>Saud!F2123</f>
        <v>Natural Code Chicken with beef 85g</v>
      </c>
      <c r="B2123" s="133" t="str">
        <f>Saud!E2123</f>
        <v>مكتمل</v>
      </c>
      <c r="C2123" s="133" t="str">
        <f>Saud!C2123</f>
        <v>2024-261546</v>
      </c>
    </row>
    <row r="2124">
      <c r="A2124" s="133" t="str">
        <f>Saud!F2124</f>
        <v>Natural code tuna slices 85g</v>
      </c>
      <c r="B2124" s="133" t="str">
        <f>Saud!E2124</f>
        <v>مكتمل</v>
      </c>
      <c r="C2124" s="133" t="str">
        <f>Saud!C2124</f>
        <v>2024-261559</v>
      </c>
    </row>
    <row r="2125">
      <c r="A2125" s="133" t="str">
        <f>Saud!F2125</f>
        <v>Natural Code Chicken with Tuna 85g</v>
      </c>
      <c r="B2125" s="133" t="str">
        <f>Saud!E2125</f>
        <v>مكتمل</v>
      </c>
      <c r="C2125" s="133" t="str">
        <f>Saud!C2125</f>
        <v>2024-261573</v>
      </c>
    </row>
    <row r="2126">
      <c r="A2126" s="133" t="str">
        <f>Saud!F2126</f>
        <v>Natural Code Chicken with Shrimps 85g</v>
      </c>
      <c r="B2126" s="133" t="str">
        <f>Saud!E2126</f>
        <v>مكتمل</v>
      </c>
      <c r="C2126" s="133" t="str">
        <f>Saud!C2126</f>
        <v>2024-264574</v>
      </c>
    </row>
    <row r="2127">
      <c r="A2127" s="133" t="str">
        <f>Saud!F2127</f>
        <v>Natural Code Chicken and Salmon 85g</v>
      </c>
      <c r="B2127" s="133" t="str">
        <f>Saud!E2127</f>
        <v>مكتمل</v>
      </c>
      <c r="C2127" s="133" t="str">
        <f>Saud!C2127</f>
        <v>2024-266645</v>
      </c>
    </row>
    <row r="2128">
      <c r="A2128" s="133" t="str">
        <f>Saud!F2128</f>
        <v>Natural Code chicken fillets 85g</v>
      </c>
      <c r="B2128" s="133" t="str">
        <f>Saud!E2128</f>
        <v>مكتمل</v>
      </c>
      <c r="C2128" s="133" t="str">
        <f>Saud!C2128</f>
        <v>2024-266664</v>
      </c>
    </row>
    <row r="2129">
      <c r="A2129" s="133" t="str">
        <f>Saud!F2129</f>
        <v>D-Kaltabs (Calcium Tablets for Dogs and Cats) 84 Tabs</v>
      </c>
      <c r="B2129" s="133" t="str">
        <f>Saud!E2129</f>
        <v>مرفوض </v>
      </c>
      <c r="C2129" s="133" t="str">
        <f>Saud!C2129</f>
        <v>2024-276961</v>
      </c>
    </row>
    <row r="2130">
      <c r="A2130" s="133" t="str">
        <f>Saud!F2130</f>
        <v>D-Kaltabs Cat (Calcium Tablets for Cats) 60 Tabs</v>
      </c>
      <c r="B2130" s="133" t="str">
        <f>Saud!E2130</f>
        <v>مرفوض </v>
      </c>
      <c r="C2130" s="133" t="str">
        <f>Saud!C2130</f>
        <v>2024-276961</v>
      </c>
    </row>
    <row r="2131">
      <c r="A2131" s="133" t="str">
        <f>Saud!F2131</f>
        <v>Felilysine (L-Lysine Tablet for Cats) 90 Tabs</v>
      </c>
      <c r="B2131" s="133" t="str">
        <f>Saud!E2131</f>
        <v>عاد الي مقدم الطلب </v>
      </c>
      <c r="C2131" s="133" t="str">
        <f>Saud!C2131</f>
        <v>2024-277760</v>
      </c>
    </row>
    <row r="2132">
      <c r="A2132" s="133" t="str">
        <f>Saud!F2132</f>
        <v>Bio Urinamin 40 Tabs (Urinary Tract Health Support)</v>
      </c>
      <c r="B2132" s="133" t="str">
        <f>Saud!E2132</f>
        <v>مكتمل </v>
      </c>
      <c r="C2132" s="133" t="str">
        <f>Saud!C2132</f>
        <v>2024-278742</v>
      </c>
    </row>
    <row r="2133">
      <c r="A2133" s="133" t="str">
        <f>Saud!F2133</f>
        <v>Bio Puppy (Puppy Milk Replacer) 200 g</v>
      </c>
      <c r="B2133" s="133" t="str">
        <f>Saud!E2133</f>
        <v>عاد الي مقدم الطلب </v>
      </c>
      <c r="C2133" s="133" t="str">
        <f>Saud!C2133</f>
        <v>2024-253396</v>
      </c>
    </row>
    <row r="2134">
      <c r="A2134" s="133" t="str">
        <f>Saud!F2134</f>
        <v>Felilysine Gel (L-Lysine Gel for Cats)</v>
      </c>
      <c r="B2134" s="133" t="str">
        <f>Saud!E2134</f>
        <v>مكتمل </v>
      </c>
      <c r="C2134" s="133" t="str">
        <f>Saud!C2134</f>
        <v>2024-277818</v>
      </c>
    </row>
    <row r="2135">
      <c r="A2135" s="133" t="str">
        <f>Saud!F2135</f>
        <v>CatiMalt Plus (Hairball Control for Cats) 100 ml</v>
      </c>
      <c r="B2135" s="133" t="str">
        <f>Saud!E2135</f>
        <v>تحت الاجراء </v>
      </c>
      <c r="C2135" s="133" t="str">
        <f>Saud!C2135</f>
        <v>2024-278010</v>
      </c>
    </row>
    <row r="2136">
      <c r="A2136" s="133" t="str">
        <f>Saud!F2136</f>
        <v>Multimix (vitamin and mineral mix powder) 50 g</v>
      </c>
      <c r="B2136" s="133" t="str">
        <f>Saud!E2136</f>
        <v>مكتمل </v>
      </c>
      <c r="C2136" s="133" t="str">
        <f>Saud!C2136</f>
        <v>2024-278099</v>
      </c>
    </row>
    <row r="2137">
      <c r="A2137" s="133" t="str">
        <f>Saud!F2137</f>
        <v>Breed Vit E</v>
      </c>
      <c r="B2137" s="133" t="str">
        <f>Saud!E2137</f>
        <v>مكتمل </v>
      </c>
      <c r="C2137" s="133" t="str">
        <f>Saud!C2137</f>
        <v>2024-278760</v>
      </c>
    </row>
    <row r="2138">
      <c r="A2138" s="133" t="str">
        <f>Saud!F2138</f>
        <v>Bird Vita Fix</v>
      </c>
      <c r="B2138" s="133" t="str">
        <f>Saud!E2138</f>
        <v>مكتمل </v>
      </c>
      <c r="C2138" s="133" t="str">
        <f>Saud!C2138</f>
        <v>2024-278776</v>
      </c>
    </row>
    <row r="2139">
      <c r="A2139" s="133" t="str">
        <f>Saud!F2139</f>
        <v>Yeast Stock</v>
      </c>
      <c r="B2139" s="133" t="str">
        <f>Saud!E2139</f>
        <v>مكتمل </v>
      </c>
      <c r="C2139" s="133" t="str">
        <f>Saud!C2139</f>
        <v>2024-278799</v>
      </c>
    </row>
    <row r="2140">
      <c r="A2140" s="133" t="str">
        <f>Saud!F2140</f>
        <v>Flora Control</v>
      </c>
      <c r="B2140" s="133" t="str">
        <f>Saud!E2140</f>
        <v>مكتمل</v>
      </c>
      <c r="C2140" s="133" t="str">
        <f>Saud!C2140</f>
        <v>2024-287738</v>
      </c>
    </row>
    <row r="2141">
      <c r="A2141" s="133" t="str">
        <f>Saud!F2141</f>
        <v>Calsi Bird</v>
      </c>
      <c r="B2141" s="133" t="str">
        <f>Saud!E2141</f>
        <v>مكتمل </v>
      </c>
      <c r="C2141" s="133" t="str">
        <f>Saud!C2141</f>
        <v>2024-278812</v>
      </c>
    </row>
    <row r="2142">
      <c r="A2142" s="133" t="str">
        <f>Saud!F2142</f>
        <v>Bio Avivitaminasol</v>
      </c>
      <c r="B2142" s="133" t="str">
        <f>Saud!E2142</f>
        <v/>
      </c>
      <c r="C2142" s="133" t="str">
        <f>Saud!C2142</f>
        <v/>
      </c>
    </row>
    <row r="2143">
      <c r="A2143" s="133" t="str">
        <f>Saud!F2143</f>
        <v>D-Kaltabs Cat</v>
      </c>
      <c r="B2143" s="133" t="str">
        <f>Saud!E2143</f>
        <v>تحت الاجراء </v>
      </c>
      <c r="C2143" s="133" t="str">
        <f>Saud!C2143</f>
        <v>2024-293243</v>
      </c>
    </row>
    <row r="2144">
      <c r="A2144" s="133" t="str">
        <f>Saud!F2144</f>
        <v>D-Kaltabs</v>
      </c>
      <c r="B2144" s="133" t="str">
        <f>Saud!E2144</f>
        <v>مكتمل</v>
      </c>
      <c r="C2144" s="133" t="str">
        <f>Saud!C2144</f>
        <v>2024-293366</v>
      </c>
    </row>
    <row r="2145">
      <c r="A2145" s="133" t="str">
        <f>Saud!F2145</f>
        <v>Felilysine</v>
      </c>
      <c r="B2145" s="133" t="str">
        <f>Saud!E2145</f>
        <v>مكتمل</v>
      </c>
      <c r="C2145" s="133" t="str">
        <f>Saud!C2145</f>
        <v>2024-293415</v>
      </c>
    </row>
    <row r="2146">
      <c r="A2146" s="133" t="str">
        <f>Saud!F2146</f>
        <v>Butcher's Delicious Dinners meat in jelly</v>
      </c>
      <c r="B2146" s="133" t="str">
        <f>Saud!E2146</f>
        <v/>
      </c>
      <c r="C2146" s="133" t="str">
        <f>Saud!C2146</f>
        <v/>
      </c>
    </row>
    <row r="2147">
      <c r="A2147" s="133" t="str">
        <f>Saud!F2147</f>
        <v>Butcher's Delicious Dinners fish in jelly</v>
      </c>
      <c r="B2147" s="133" t="str">
        <f>Saud!E2147</f>
        <v/>
      </c>
      <c r="C2147" s="133" t="str">
        <f>Saud!C2147</f>
        <v/>
      </c>
    </row>
    <row r="2148">
      <c r="A2148" s="133" t="str">
        <f>Saud!F2148</f>
        <v>ACANA Adult Dog Food 2kg</v>
      </c>
      <c r="B2148" s="133" t="str">
        <f>Saud!E2148</f>
        <v>مكتمل</v>
      </c>
      <c r="C2148" s="133" t="str">
        <f>Saud!C2148</f>
        <v>2024-306569</v>
      </c>
    </row>
    <row r="2149">
      <c r="A2149" s="133" t="str">
        <f>Saud!F2149</f>
        <v>ACANA Adult Large Breed Dog Food</v>
      </c>
      <c r="B2149" s="133" t="str">
        <f>Saud!E2149</f>
        <v>مكتمل</v>
      </c>
      <c r="C2149" s="133" t="str">
        <f>Saud!C2149</f>
        <v>2024-306624</v>
      </c>
    </row>
    <row r="2150">
      <c r="A2150" s="133" t="str">
        <f>Saud!F2150</f>
        <v>ACANA Adult Small Breed Dog Food 2kg</v>
      </c>
      <c r="B2150" s="133" t="str">
        <f>Saud!E2150</f>
        <v>مكتمل</v>
      </c>
      <c r="C2150" s="133" t="str">
        <f>Saud!C2150</f>
        <v>2024-306641</v>
      </c>
    </row>
    <row r="2151">
      <c r="A2151" s="133" t="str">
        <f>Saud!F2151</f>
        <v>ACANA Bountiful Catch Cat Food 1.8 kg</v>
      </c>
      <c r="B2151" s="133" t="str">
        <f>Saud!E2151</f>
        <v>مكتمل</v>
      </c>
      <c r="C2151" s="133" t="str">
        <f>Saud!C2151</f>
        <v>2024-306654</v>
      </c>
    </row>
    <row r="2152">
      <c r="A2152" s="133" t="str">
        <f>Saud!F2152</f>
        <v>ACANA Classics Prairie Poultry Recipe Dog Food</v>
      </c>
      <c r="B2152" s="133" t="str">
        <f>Saud!E2152</f>
        <v>مكتمل</v>
      </c>
      <c r="C2152" s="133" t="str">
        <f>Saud!C2152</f>
        <v>2024-306660</v>
      </c>
    </row>
    <row r="2153">
      <c r="A2153" s="133" t="str">
        <f>Saud!F2153</f>
        <v>ACANA Classics Wild Coast Recipe Dog Food</v>
      </c>
      <c r="B2153" s="133" t="str">
        <f>Saud!E2153</f>
        <v>تحت الاجراء </v>
      </c>
      <c r="C2153" s="133" t="str">
        <f>Saud!C2153</f>
        <v/>
      </c>
    </row>
    <row r="2154">
      <c r="A2154" s="133" t="str">
        <f>Saud!F2154</f>
        <v>ACANA Free-Run Duck Dog Food</v>
      </c>
      <c r="B2154" s="133" t="str">
        <f>Saud!E2154</f>
        <v>مكتمل</v>
      </c>
      <c r="C2154" s="133" t="str">
        <f>Saud!C2154</f>
        <v>2024-306709</v>
      </c>
    </row>
    <row r="2155">
      <c r="A2155" s="133" t="str">
        <f>Saud!F2155</f>
        <v>ACANA GRASS-FED LAMB DOG Food</v>
      </c>
      <c r="B2155" s="133" t="str">
        <f>Saud!E2155</f>
        <v>مكتمل</v>
      </c>
      <c r="C2155" s="133" t="str">
        <f>Saud!C2155</f>
        <v>2024-306725</v>
      </c>
    </row>
    <row r="2156">
      <c r="A2156" s="133" t="str">
        <f>Saud!F2156</f>
        <v>ACANA Highest Protein Grasslands Cat Food 1.8 kg</v>
      </c>
      <c r="B2156" s="133" t="str">
        <f>Saud!E2156</f>
        <v>مكتمل</v>
      </c>
      <c r="C2156" s="133" t="str">
        <f>Saud!C2156</f>
        <v>2024-306749</v>
      </c>
    </row>
    <row r="2157">
      <c r="A2157" s="133" t="str">
        <f>Saud!F2157</f>
        <v>ACANA Highest Protein Grasslands Dog Food</v>
      </c>
      <c r="B2157" s="133" t="str">
        <f>Saud!E2157</f>
        <v>مكتمل</v>
      </c>
      <c r="C2157" s="133" t="str">
        <f>Saud!C2157</f>
        <v>2024-306770</v>
      </c>
    </row>
    <row r="2158">
      <c r="A2158" s="133" t="str">
        <f>Saud!F2158</f>
        <v>ACANA Highest Protein Indoor Cat Food 1.8 kg</v>
      </c>
      <c r="B2158" s="133" t="str">
        <f>Saud!E2158</f>
        <v>مكتمل</v>
      </c>
      <c r="C2158" s="133" t="str">
        <f>Saud!C2158</f>
        <v>2024-306775</v>
      </c>
    </row>
    <row r="2159">
      <c r="A2159" s="133" t="str">
        <f>Saud!F2159</f>
        <v>ACANA Highest Protein Kitten Cat Food</v>
      </c>
      <c r="B2159" s="133" t="str">
        <f>Saud!E2159</f>
        <v>مكتمل</v>
      </c>
      <c r="C2159" s="133" t="str">
        <f>Saud!C2159</f>
        <v>2024-306797</v>
      </c>
    </row>
    <row r="2160">
      <c r="A2160" s="133" t="str">
        <f>Saud!F2160</f>
        <v>ACANA Highest Protein Pacifica Cat Food 1.8 kg</v>
      </c>
      <c r="B2160" s="133" t="str">
        <f>Saud!E2160</f>
        <v>مكتمل</v>
      </c>
      <c r="C2160" s="133" t="str">
        <f>Saud!C2160</f>
        <v>2024-306802</v>
      </c>
    </row>
    <row r="2161">
      <c r="A2161" s="133" t="str">
        <f>Saud!F2161</f>
        <v>ACANA Highest Protein Pacifica Dog Food</v>
      </c>
      <c r="B2161" s="133" t="str">
        <f>Saud!E2161</f>
        <v>مكتمل</v>
      </c>
      <c r="C2161" s="133" t="str">
        <f>Saud!C2161</f>
        <v>2024-306815</v>
      </c>
    </row>
    <row r="2162">
      <c r="A2162" s="133" t="str">
        <f>Saud!F2162</f>
        <v>ACANA Highest Protein Wild Prairie Cat Food 1.8 kg</v>
      </c>
      <c r="B2162" s="133" t="str">
        <f>Saud!E2162</f>
        <v>مكتمل</v>
      </c>
      <c r="C2162" s="133" t="str">
        <f>Saud!C2162</f>
        <v>2024-306828</v>
      </c>
    </row>
    <row r="2163">
      <c r="A2163" s="133" t="str">
        <f>Saud!F2163</f>
        <v>ACANA Highest Protein Wild Prairie Dog Food</v>
      </c>
      <c r="B2163" s="133" t="str">
        <f>Saud!E2163</f>
        <v>مكتمل</v>
      </c>
      <c r="C2163" s="133" t="str">
        <f>Saud!C2163</f>
        <v>2024-306840</v>
      </c>
    </row>
    <row r="2164">
      <c r="A2164" s="133" t="str">
        <f>Saud!F2164</f>
        <v>ACANA Homestead Harvest Cat Food 1.8 kg</v>
      </c>
      <c r="B2164" s="133" t="str">
        <f>Saud!E2164</f>
        <v>مكتمل</v>
      </c>
      <c r="C2164" s="133" t="str">
        <f>Saud!C2164</f>
        <v>2024-306884</v>
      </c>
    </row>
    <row r="2165">
      <c r="A2165" s="133" t="str">
        <f>Saud!F2165</f>
        <v>ACANA Kitten First Feast Cat Food 1.8</v>
      </c>
      <c r="B2165" s="133" t="str">
        <f>Saud!E2165</f>
        <v>مكتمل</v>
      </c>
      <c r="C2165" s="133" t="str">
        <f>Saud!C2165</f>
        <v>2024-306924</v>
      </c>
    </row>
    <row r="2166">
      <c r="A2166" s="133" t="str">
        <f>Saud!F2166</f>
        <v>ACANA Light Fit Dog Food 2 kg</v>
      </c>
      <c r="B2166" s="133" t="str">
        <f>Saud!E2166</f>
        <v>مكتمل</v>
      </c>
      <c r="C2166" s="133" t="str">
        <f>Saud!C2166</f>
        <v>2024-306941</v>
      </c>
    </row>
    <row r="2167">
      <c r="A2167" s="133" t="str">
        <f>Saud!F2167</f>
        <v>ACANA Puppy Dog Food 11.4 kg</v>
      </c>
      <c r="B2167" s="133" t="str">
        <f>Saud!E2167</f>
        <v>مكتمل</v>
      </c>
      <c r="C2167" s="133" t="str">
        <f>Saud!C2167</f>
        <v>2024-306980</v>
      </c>
    </row>
    <row r="2168">
      <c r="A2168" s="133" t="str">
        <f>Saud!F2168</f>
        <v>ACANA Puppy Large Breed Dog Food</v>
      </c>
      <c r="B2168" s="133" t="str">
        <f>Saud!E2168</f>
        <v>مكتمل</v>
      </c>
      <c r="C2168" s="133" t="str">
        <f>Saud!C2168</f>
        <v>2024-306988</v>
      </c>
    </row>
    <row r="2169">
      <c r="A2169" s="133" t="str">
        <f>Saud!F2169</f>
        <v>ACANA Puppy Small Breed Food 6 kg</v>
      </c>
      <c r="B2169" s="133" t="str">
        <f>Saud!E2169</f>
        <v>مكتمل</v>
      </c>
      <c r="C2169" s="133" t="str">
        <f>Saud!C2169</f>
        <v>2024-307000</v>
      </c>
    </row>
    <row r="2170">
      <c r="A2170" s="133" t="str">
        <f>Saud!F2170</f>
        <v>ACANA Senior Dog Food 2 kg</v>
      </c>
      <c r="B2170" s="133" t="str">
        <f>Saud!E2170</f>
        <v>مكتمل</v>
      </c>
      <c r="C2170" s="133" t="str">
        <f>Saud!C2170</f>
        <v>2024-308863</v>
      </c>
    </row>
    <row r="2171">
      <c r="A2171" s="133" t="str">
        <f>Saud!F2171</f>
        <v>ACANA Singles Grass-Fed Lamb Recipe Dog Food</v>
      </c>
      <c r="B2171" s="133" t="str">
        <f>Saud!E2171</f>
        <v>مكتمل</v>
      </c>
      <c r="C2171" s="133" t="str">
        <f>Saud!C2171</f>
        <v>2024-309241</v>
      </c>
    </row>
    <row r="2172">
      <c r="A2172" s="133" t="str">
        <f>Saud!F2172</f>
        <v>ACANA Sport &amp; Agility Dog Food 11.4 kg</v>
      </c>
      <c r="B2172" s="133" t="str">
        <f>Saud!E2172</f>
        <v>مكتمل</v>
      </c>
      <c r="C2172" s="133" t="str">
        <f>Saud!C2172</f>
        <v>2024-308891</v>
      </c>
    </row>
    <row r="2173">
      <c r="A2173" s="133" t="str">
        <f>Saud!F2173</f>
        <v>INTL ACANA Indoor Entree Cat 1.8 kg</v>
      </c>
      <c r="B2173" s="133" t="str">
        <f>Saud!E2173</f>
        <v>مكتمل</v>
      </c>
      <c r="C2173" s="133" t="str">
        <f>Saud!C2173</f>
        <v>2024-308910</v>
      </c>
    </row>
    <row r="2174">
      <c r="A2174" s="133" t="str">
        <f>Saud!F2174</f>
        <v>ORIJEN Fit &amp; Trim Cat Food 1 kg</v>
      </c>
      <c r="B2174" s="133" t="str">
        <f>Saud!E2174</f>
        <v>مكتمل</v>
      </c>
      <c r="C2174" s="133" t="str">
        <f>Saud!C2174</f>
        <v>2024-308924</v>
      </c>
    </row>
    <row r="2175">
      <c r="A2175" s="133" t="str">
        <f>Saud!F2175</f>
        <v>ORIJEN Fit &amp; Trim Dog Food 2 kg</v>
      </c>
      <c r="B2175" s="133" t="str">
        <f>Saud!E2175</f>
        <v>مكتمل</v>
      </c>
      <c r="C2175" s="133" t="str">
        <f>Saud!C2175</f>
        <v>2024-308941</v>
      </c>
    </row>
    <row r="2176">
      <c r="A2176" s="133" t="str">
        <f>Saud!F2176</f>
        <v>ORIJEN Guardian 8 Cat Food 1.8kg</v>
      </c>
      <c r="B2176" s="133" t="str">
        <f>Saud!E2176</f>
        <v>مكتمل</v>
      </c>
      <c r="C2176" s="133" t="str">
        <f>Saud!C2176</f>
        <v>2024-308947</v>
      </c>
    </row>
    <row r="2177">
      <c r="A2177" s="133" t="str">
        <f>Saud!F2177</f>
        <v>ORIJEN Kitten Cat Food 1.8 kg</v>
      </c>
      <c r="B2177" s="133" t="str">
        <f>Saud!E2177</f>
        <v>مكتمل</v>
      </c>
      <c r="C2177" s="133" t="str">
        <f>Saud!C2177</f>
        <v>2024-308992</v>
      </c>
    </row>
    <row r="2178">
      <c r="A2178" s="133" t="str">
        <f>Saud!F2178</f>
        <v>ORIJEN Large Breed Adult Dog Food</v>
      </c>
      <c r="B2178" s="133" t="str">
        <f>Saud!E2178</f>
        <v>مكتمل</v>
      </c>
      <c r="C2178" s="133" t="str">
        <f>Saud!C2178</f>
        <v>2024-309010</v>
      </c>
    </row>
    <row r="2179">
      <c r="A2179" s="133" t="str">
        <f>Saud!F2179</f>
        <v>ORIJEN Original Cat Food 1.8 kg</v>
      </c>
      <c r="B2179" s="133" t="str">
        <f>Saud!E2179</f>
        <v>مكتمل</v>
      </c>
      <c r="C2179" s="133" t="str">
        <f>Saud!C2179</f>
        <v>2024-309022</v>
      </c>
    </row>
    <row r="2180">
      <c r="A2180" s="133" t="str">
        <f>Saud!F2180</f>
        <v>ORIJEN Original Dog Food 2 kg</v>
      </c>
      <c r="B2180" s="133" t="str">
        <f>Saud!E2180</f>
        <v>مكتمل</v>
      </c>
      <c r="C2180" s="133" t="str">
        <f>Saud!C2180</f>
        <v>2024-309064</v>
      </c>
    </row>
    <row r="2181">
      <c r="A2181" s="133" t="str">
        <f>Saud!F2181</f>
        <v>ORIJEN Puppy Dog Food 2 kg</v>
      </c>
      <c r="B2181" s="133" t="str">
        <f>Saud!E2181</f>
        <v>مكتمل</v>
      </c>
      <c r="C2181" s="133" t="str">
        <f>Saud!C2181</f>
        <v>2024-309078</v>
      </c>
    </row>
    <row r="2182">
      <c r="A2182" s="133" t="str">
        <f>Saud!F2182</f>
        <v>ORIJEN Puppy Large Dog Food 6 kg</v>
      </c>
      <c r="B2182" s="133" t="str">
        <f>Saud!E2182</f>
        <v>مكتمل</v>
      </c>
      <c r="C2182" s="133" t="str">
        <f>Saud!C2182</f>
        <v>2024-309084</v>
      </c>
    </row>
    <row r="2183">
      <c r="A2183" s="133" t="str">
        <f>Saud!F2183</f>
        <v>ORIJEN Senior Dog Food2 kg</v>
      </c>
      <c r="B2183" s="133" t="str">
        <f>Saud!E2183</f>
        <v>مكتمل</v>
      </c>
      <c r="C2183" s="133" t="str">
        <f>Saud!C2183</f>
        <v>2024-309090</v>
      </c>
    </row>
    <row r="2184">
      <c r="A2184" s="133" t="str">
        <f>Saud!F2184</f>
        <v>ORIJEN Six Fish Cat Food 1.8 kg</v>
      </c>
      <c r="B2184" s="133" t="str">
        <f>Saud!E2184</f>
        <v>مكتمل</v>
      </c>
      <c r="C2184" s="133" t="str">
        <f>Saud!C2184</f>
        <v>2024-309095</v>
      </c>
    </row>
    <row r="2185">
      <c r="A2185" s="133" t="str">
        <f>Saud!F2185</f>
        <v>ORIJEN Six Fish Dog Food 2 kg</v>
      </c>
      <c r="B2185" s="133" t="str">
        <f>Saud!E2185</f>
        <v>مكتمل</v>
      </c>
      <c r="C2185" s="133" t="str">
        <f>Saud!C2185</f>
        <v>2024-309108</v>
      </c>
    </row>
    <row r="2186">
      <c r="A2186" s="133" t="str">
        <f>Saud!F2186</f>
        <v>ORIJEN Small Breed Dog Food 1.8 kg</v>
      </c>
      <c r="B2186" s="133" t="str">
        <f>Saud!E2186</f>
        <v>مكتمل</v>
      </c>
      <c r="C2186" s="133" t="str">
        <f>Saud!C2186</f>
        <v>2024-309201</v>
      </c>
    </row>
    <row r="2187">
      <c r="A2187" s="133" t="str">
        <f>Saud!F2187</f>
        <v>ORIJEN Small Breed Marine Fish Dog Food 1.8 kg</v>
      </c>
      <c r="B2187" s="133" t="str">
        <f>Saud!E2187</f>
        <v>مكتمل</v>
      </c>
      <c r="C2187" s="133" t="str">
        <f>Saud!C2187</f>
        <v>2024-309212</v>
      </c>
    </row>
    <row r="2188">
      <c r="A2188" s="133" t="str">
        <f>Saud!F2188</f>
        <v>ORIJEN Small Breed Puppy Dog Food 4.5 kg</v>
      </c>
      <c r="B2188" s="133" t="str">
        <f>Saud!E2188</f>
        <v>مكتمل</v>
      </c>
      <c r="C2188" s="133" t="str">
        <f>Saud!C2188</f>
        <v>2024-309222</v>
      </c>
    </row>
    <row r="2189">
      <c r="A2189" s="133" t="str">
        <f>Saud!F2189</f>
        <v>Dr.Clauder's Trainee snack deer 80g</v>
      </c>
      <c r="B2189" s="133" t="str">
        <f>Saud!E2189</f>
        <v>مكتمل</v>
      </c>
      <c r="C2189" s="133" t="str">
        <f>Saud!C2189</f>
        <v>2024-312067</v>
      </c>
    </row>
    <row r="2190">
      <c r="A2190" s="133" t="str">
        <f>Saud!F2190</f>
        <v>Dr.Clauder's Trainee snack horse 80g</v>
      </c>
      <c r="B2190" s="133" t="str">
        <f>Saud!E2190</f>
        <v>مكتمل</v>
      </c>
      <c r="C2190" s="133" t="str">
        <f>Saud!C2190</f>
        <v>2024-312087</v>
      </c>
    </row>
    <row r="2191">
      <c r="A2191" s="133" t="str">
        <f>Saud!F2191</f>
        <v>Dr.Clauder's Trainee snack duck 80g</v>
      </c>
      <c r="B2191" s="133" t="str">
        <f>Saud!E2191</f>
        <v>مكتمل</v>
      </c>
      <c r="C2191" s="133" t="str">
        <f>Saud!C2191</f>
        <v>2024-312099</v>
      </c>
    </row>
    <row r="2192">
      <c r="A2192" s="133" t="str">
        <f>Saud!F2192</f>
        <v>Dr.Clauder's Trainee snack rabbit 80g</v>
      </c>
      <c r="B2192" s="133" t="str">
        <f>Saud!E2192</f>
        <v>مكتمل</v>
      </c>
      <c r="C2192" s="133" t="str">
        <f>Saud!C2192</f>
        <v>2024-312104</v>
      </c>
    </row>
    <row r="2193">
      <c r="A2193" s="133" t="str">
        <f>Saud!F2193</f>
        <v>Dr.Clauder's Trainee snack cheese 80g</v>
      </c>
      <c r="B2193" s="133" t="str">
        <f>Saud!E2193</f>
        <v>مكتمل</v>
      </c>
      <c r="C2193" s="133" t="str">
        <f>Saud!C2193</f>
        <v>2024-312109</v>
      </c>
    </row>
    <row r="2194">
      <c r="A2194" s="133" t="str">
        <f>Saud!F2194</f>
        <v>Dr.Clauder's Trainee snack Goat 80g</v>
      </c>
      <c r="B2194" s="133" t="str">
        <f>Saud!E2194</f>
        <v>مكتمل</v>
      </c>
      <c r="C2194" s="133" t="str">
        <f>Saud!C2194</f>
        <v>2024-312112</v>
      </c>
    </row>
    <row r="2195">
      <c r="A2195" s="133" t="str">
        <f>Saud!F2195</f>
        <v>INABA CUP DASHI DELIGHTS CHICKEN WITH TUNA RECIPE (USA-861)</v>
      </c>
      <c r="B2195" s="133" t="str">
        <f>Saud!E2195</f>
        <v>مكتمل</v>
      </c>
      <c r="C2195" s="133" t="str">
        <f>Saud!C2195</f>
        <v>2024-312585</v>
      </c>
    </row>
    <row r="2196">
      <c r="A2196" s="133" t="str">
        <f>Saud!F2196</f>
        <v>INABA CUP DASHI DELIGHTS CHICKEN WITH TUNA SALMON RECIPE (USA-862)</v>
      </c>
      <c r="B2196" s="133" t="str">
        <f>Saud!E2196</f>
        <v>مكتمل</v>
      </c>
      <c r="C2196" s="133" t="str">
        <f>Saud!C2196</f>
        <v>2024-312605</v>
      </c>
    </row>
    <row r="2197">
      <c r="A2197" s="133" t="str">
        <f>Saud!F2197</f>
        <v>INABA CUP DASHI DELIGHTS CHICKEN WITH TUNA &amp; SCALLOP
 RECIPE (USA-863)</v>
      </c>
      <c r="B2197" s="133" t="str">
        <f>Saud!E2197</f>
        <v>مكتمل</v>
      </c>
      <c r="C2197" s="133" t="str">
        <f>Saud!C2197</f>
        <v>2024-312617</v>
      </c>
    </row>
    <row r="2198">
      <c r="A2198" s="133" t="str">
        <f>Saud!F2198</f>
        <v>INABA CUP DASHI DELIGHTS CHICKEN RECIPE (USA-864)</v>
      </c>
      <c r="B2198" s="133" t="str">
        <f>Saud!E2198</f>
        <v>مكتمل</v>
      </c>
      <c r="C2198" s="133" t="str">
        <f>Saud!C2198</f>
        <v>2024-312626</v>
      </c>
    </row>
    <row r="2199">
      <c r="A2199" s="133" t="str">
        <f>Saud!F2199</f>
        <v>INABA CUP DASHI DELIGHTS CHICKEN WITH SCALLOP
 RECIPE (USA-865)</v>
      </c>
      <c r="B2199" s="133" t="str">
        <f>Saud!E2199</f>
        <v>مكتمل</v>
      </c>
      <c r="C2199" s="133" t="str">
        <f>Saud!C2199</f>
        <v>2024-312633</v>
      </c>
    </row>
    <row r="2200">
      <c r="A2200" s="133" t="str">
        <f>Saud!F2200</f>
        <v>INABA CUP DASHI DELIGHTS CHICKEN W ITH CHEESE RECIPE
 (USA-866)</v>
      </c>
      <c r="B2200" s="133" t="str">
        <f>Saud!E2200</f>
        <v>مكتمل</v>
      </c>
      <c r="C2200" s="133" t="str">
        <f>Saud!C2200</f>
        <v>2024-312643</v>
      </c>
    </row>
    <row r="2201">
      <c r="A2201" s="133" t="str">
        <f>Saud!F2201</f>
        <v>INABA CUP DASHI DELIGHT S CHICKEN WITH BONITO FLAKES
 RECIPE (USA-867)</v>
      </c>
      <c r="B2201" s="133" t="str">
        <f>Saud!E2201</f>
        <v>مكتمل</v>
      </c>
      <c r="C2201" s="133" t="str">
        <f>Saud!C2201</f>
        <v>2024-312647</v>
      </c>
    </row>
    <row r="2202">
      <c r="A2202" s="133" t="str">
        <f>Saud!F2202</f>
        <v>INABA CUP DASHI DELIGHTS CHICKEN WITH SALMON RECIPE (USA-868)</v>
      </c>
      <c r="B2202" s="133" t="str">
        <f>Saud!E2202</f>
        <v>مكتمل</v>
      </c>
      <c r="C2202" s="133" t="str">
        <f>Saud!C2202</f>
        <v>2024-312651</v>
      </c>
    </row>
    <row r="2203">
      <c r="A2203" s="133" t="str">
        <f>Saud!F2203</f>
        <v>WEL WD CORE 95 Turkey with Kale </v>
      </c>
      <c r="B2203" s="133" t="str">
        <f>Saud!E2203</f>
        <v>مكتمل </v>
      </c>
      <c r="C2203" s="133" t="str">
        <f>Saud!C2203</f>
        <v>2024-330246</v>
      </c>
    </row>
    <row r="2204">
      <c r="A2204" s="133" t="str">
        <f>Saud!F2204</f>
        <v>WEL WD CORE 95 Lamb With Pumpkin </v>
      </c>
      <c r="B2204" s="133" t="str">
        <f>Saud!E2204</f>
        <v>مكتمل</v>
      </c>
      <c r="C2204" s="133" t="str">
        <f>Saud!C2204</f>
        <v>2024-330277</v>
      </c>
    </row>
    <row r="2205">
      <c r="A2205" s="133" t="str">
        <f>Saud!F2205</f>
        <v>WEL WD CORE 95 Beef with Broccoli </v>
      </c>
      <c r="B2205" s="133" t="str">
        <f>Saud!E2205</f>
        <v>مكتمل </v>
      </c>
      <c r="C2205" s="133" t="str">
        <f>Saud!C2205</f>
        <v>2024-330299</v>
      </c>
    </row>
    <row r="2206">
      <c r="A2206" s="133" t="str">
        <f>Saud!F2206</f>
        <v>WEL WD CORE 95 Turkey with Goat </v>
      </c>
      <c r="B2206" s="133" t="str">
        <f>Saud!E2206</f>
        <v>مكتمل </v>
      </c>
      <c r="C2206" s="133" t="str">
        <f>Saud!C2206</f>
        <v>2024-330316</v>
      </c>
    </row>
    <row r="2207">
      <c r="A2207" s="133" t="str">
        <f>Saud!F2207</f>
        <v>WEL WD CORE 95 Chicken with Duck with carrots </v>
      </c>
      <c r="B2207" s="133" t="str">
        <f>Saud!E2207</f>
        <v>مكتمل</v>
      </c>
      <c r="C2207" s="133" t="str">
        <f>Saud!C2207</f>
        <v>2024-330324</v>
      </c>
    </row>
    <row r="2208">
      <c r="A2208" s="133" t="str">
        <f>Saud!F2208</f>
        <v>WEL WD CORE 95 Puppy original </v>
      </c>
      <c r="B2208" s="133" t="str">
        <f>Saud!E2208</f>
        <v>مكتمل </v>
      </c>
      <c r="C2208" s="133" t="str">
        <f>Saud!C2208</f>
        <v>2024-330334</v>
      </c>
    </row>
    <row r="2209">
      <c r="A2209" s="133" t="str">
        <f>Saud!F2209</f>
        <v>WEL WC CORE 98% Beef Recipe 12/85g</v>
      </c>
      <c r="B2209" s="133" t="str">
        <f>Saud!E2209</f>
        <v>مكتمل </v>
      </c>
      <c r="C2209" s="133" t="str">
        <f>Saud!C2209</f>
        <v>2024-346683</v>
      </c>
    </row>
    <row r="2210">
      <c r="A2210" s="133" t="str">
        <f>Saud!F2210</f>
        <v>WEL WC CORE 98% Turkey Recipe12/85g</v>
      </c>
      <c r="B2210" s="133" t="str">
        <f>Saud!E2210</f>
        <v>مكتمل </v>
      </c>
      <c r="C2210" s="133" t="str">
        <f>Saud!C2210</f>
        <v>2024-346711</v>
      </c>
    </row>
    <row r="2211">
      <c r="A2211" s="133" t="str">
        <f>Saud!F2211</f>
        <v>WEL WC CORE 98% Ckn/SalmRecip12/85g</v>
      </c>
      <c r="B2211" s="133" t="str">
        <f>Saud!E2211</f>
        <v>مكتمل </v>
      </c>
      <c r="C2211" s="133" t="str">
        <f>Saud!C2211</f>
        <v>2024-346720</v>
      </c>
    </row>
    <row r="2212">
      <c r="A2212" s="133" t="str">
        <f>Saud!F2212</f>
        <v>WEL WC CORE 98% Ckn/Wild Boar12/85g</v>
      </c>
      <c r="B2212" s="133" t="str">
        <f>Saud!E2212</f>
        <v>مرفوض </v>
      </c>
      <c r="C2212" s="133" t="str">
        <f>Saud!C2212</f>
        <v>2024-346733</v>
      </c>
    </row>
    <row r="2213">
      <c r="A2213" s="133" t="str">
        <f>Saud!F2213</f>
        <v>Wellness core purely pate adult chicken</v>
      </c>
      <c r="B2213" s="133" t="str">
        <f>Saud!E2213</f>
        <v>مكتمل</v>
      </c>
      <c r="C2213" s="133" t="str">
        <f>Saud!C2213</f>
        <v>2024-346809</v>
      </c>
    </row>
    <row r="2214">
      <c r="A2214" s="133" t="str">
        <f>Saud!F2214</f>
        <v>Wellness core purely pate adult chicken &amp; turkey</v>
      </c>
      <c r="B2214" s="133" t="str">
        <f>Saud!E2214</f>
        <v>مكتمل</v>
      </c>
      <c r="C2214" s="133" t="str">
        <f>Saud!C2214</f>
        <v>2024-346825</v>
      </c>
    </row>
    <row r="2215">
      <c r="A2215" s="133" t="str">
        <f>Saud!F2215</f>
        <v>Wellness core purely pate adult chicken &amp; beef</v>
      </c>
      <c r="B2215" s="133" t="str">
        <f>Saud!E2215</f>
        <v>مكتمل</v>
      </c>
      <c r="C2215" s="133" t="str">
        <f>Saud!C2215</f>
        <v>2024-346831</v>
      </c>
    </row>
    <row r="2216">
      <c r="A2216" s="133" t="str">
        <f>Saud!F2216</f>
        <v>Wellness core purely pate adult Duck &amp; Chicken</v>
      </c>
      <c r="B2216" s="133" t="str">
        <f>Saud!E2216</f>
        <v>مكتمل</v>
      </c>
      <c r="C2216" s="133" t="str">
        <f>Saud!C2216</f>
        <v>2024-346837</v>
      </c>
    </row>
    <row r="2217">
      <c r="A2217" s="133" t="str">
        <f>Saud!F2217</f>
        <v>Wellness core purely pate kitten chicken &amp; Tuna</v>
      </c>
      <c r="B2217" s="133" t="str">
        <f>Saud!E2217</f>
        <v>مكتمل</v>
      </c>
      <c r="C2217" s="133" t="str">
        <f>Saud!C2217</f>
        <v>2024-346845</v>
      </c>
    </row>
    <row r="2218">
      <c r="A2218" s="133" t="str">
        <f>Saud!F2218</f>
        <v>WEL WD CORE 95 Puppy original </v>
      </c>
      <c r="B2218" s="133" t="str">
        <f>Saud!E2218</f>
        <v>مكتمل</v>
      </c>
      <c r="C2218" s="133" t="str">
        <f>Saud!C2218</f>
        <v>2024-330334</v>
      </c>
    </row>
    <row r="2219">
      <c r="A2219" s="133" t="str">
        <f>Saud!F2219</f>
        <v>Wellness CORE Tender Cuts with Tuna in Savoury Gravy</v>
      </c>
      <c r="B2219" s="133" t="str">
        <f>Saud!E2219</f>
        <v>مكتمل</v>
      </c>
      <c r="C2219" s="133" t="str">
        <f>Saud!C2219</f>
        <v>2024-341003</v>
      </c>
    </row>
    <row r="2220">
      <c r="A2220" s="133" t="str">
        <f>Saud!F2220</f>
        <v>Wellness CORE Signature Selects Chunky Entree Flavoured with Beef &amp; Boneless Chicken in Sauce</v>
      </c>
      <c r="B2220" s="133" t="str">
        <f>Saud!E2220</f>
        <v>مكتمل</v>
      </c>
      <c r="C2220" s="133" t="str">
        <f>Saud!C2220</f>
        <v>2024-339892</v>
      </c>
    </row>
    <row r="2221">
      <c r="A2221" s="133" t="str">
        <f>Saud!F2221</f>
        <v>Wellness CORE Signature Selects Flaked Skipjack Tuna with Shrimp Entree in Broth</v>
      </c>
      <c r="B2221" s="133" t="str">
        <f>Saud!E2221</f>
        <v>مكتمل</v>
      </c>
      <c r="C2221" s="133" t="str">
        <f>Saud!C2221</f>
        <v>2024-339955</v>
      </c>
    </row>
    <row r="2222">
      <c r="A2222" s="133" t="str">
        <f>Saud!F2222</f>
        <v>Wellness CORE Tender Cuts with Chicken &amp; Salmon in Savoury Gravy</v>
      </c>
      <c r="B2222" s="133" t="str">
        <f>Saud!E2222</f>
        <v>مكتمل</v>
      </c>
      <c r="C2222" s="133" t="str">
        <f>Saud!C2222</f>
        <v>2024-341489</v>
      </c>
    </row>
    <row r="2223">
      <c r="A2223" s="133" t="str">
        <f>Saud!F2223</f>
        <v>Wellness CORE Tender Cuts with Turkey &amp; Duck in Savoury Gravy</v>
      </c>
      <c r="B2223" s="133" t="str">
        <f>Saud!E2223</f>
        <v>مكتمل</v>
      </c>
      <c r="C2223" s="133" t="str">
        <f>Saud!C2223</f>
        <v>2024-341501</v>
      </c>
    </row>
    <row r="2224">
      <c r="A2224" s="133" t="str">
        <f>Saud!F2224</f>
        <v>Wellness CORE Tender Cuts with Chicken &amp; Chicken Liver in Savoury Gravy</v>
      </c>
      <c r="B2224" s="133" t="str">
        <f>Saud!E2224</f>
        <v>مكتمل</v>
      </c>
      <c r="C2224" s="133" t="str">
        <f>Saud!C2224</f>
        <v>2024-341523</v>
      </c>
    </row>
    <row r="2225">
      <c r="A2225" s="133" t="str">
        <f>Saud!F2225</f>
        <v>Wellness CORE Small Breed Savoury Medleys Flavoured with Roasted Chicken, Duck, Peas &amp; Carrot</v>
      </c>
      <c r="B2225" s="133" t="str">
        <f>Saud!E2225</f>
        <v>مكتمل</v>
      </c>
      <c r="C2225" s="133" t="str">
        <f>Saud!C2225</f>
        <v>2024-343330</v>
      </c>
    </row>
    <row r="2226">
      <c r="A2226" s="133" t="str">
        <f>Saud!F2226</f>
        <v>Wellness CORE Small Breed Savoury Medleys Flavoured with Tender Chicken, Turkey, Carrots &amp; Green Beans</v>
      </c>
      <c r="B2226" s="133" t="str">
        <f>Saud!E2226</f>
        <v>مكتمل</v>
      </c>
      <c r="C2226" s="133" t="str">
        <f>Saud!C2226</f>
        <v>2024-343359</v>
      </c>
    </row>
    <row r="2227">
      <c r="A2227" s="133" t="str">
        <f>Saud!F2227</f>
        <v>Wellness CORE Small Breed Savoury Medleys Flavoured with Braised Lamb, Venison, White Sweet Potatoes &amp; CatTots</v>
      </c>
      <c r="B2227" s="133" t="str">
        <f>Saud!E2227</f>
        <v>مكتمل</v>
      </c>
      <c r="C2227" s="133" t="str">
        <f>Saud!C2227</f>
        <v>2024-343379</v>
      </c>
    </row>
    <row r="2228">
      <c r="A2228" s="133" t="str">
        <f>Saud!F2228</f>
        <v>Wellness CORE Small Breed Savoury Medleys Flavoured with Roasted Chicken, Beef, Green Beans &amp; Red Peppers</v>
      </c>
      <c r="B2228" s="133" t="str">
        <f>Saud!E2228</f>
        <v>مكتمل</v>
      </c>
      <c r="C2228" s="133" t="str">
        <f>Saud!C2228</f>
        <v>2024-343410</v>
      </c>
    </row>
    <row r="2229">
      <c r="A2229" s="133" t="str">
        <f>Saud!F2229</f>
        <v>Wellness CORE Signature Selects Shredded Boneless Chicken Entree Flavoured with Chicken Liver in Sauce</v>
      </c>
      <c r="B2229" s="133" t="str">
        <f>Saud!E2229</f>
        <v>مكتمل</v>
      </c>
      <c r="C2229" s="133" t="str">
        <f>Saud!C2229</f>
        <v>2024-339974</v>
      </c>
    </row>
    <row r="2230">
      <c r="A2230" s="133" t="str">
        <f>Saud!F2230</f>
        <v>Wellness CORE Signature Selects Shredded Boneless Chicken Entree Flavoured with Turkey in Sauce</v>
      </c>
      <c r="B2230" s="133" t="str">
        <f>Saud!E2230</f>
        <v>مكتمل</v>
      </c>
      <c r="C2230" s="133" t="str">
        <f>Saud!C2230</f>
        <v>2024-340000</v>
      </c>
    </row>
    <row r="2231">
      <c r="A2231" s="133" t="str">
        <f>Saud!F2231</f>
        <v>Wellness CORE Tender Cuts with Chicken &amp; Turkey in Savoury Gravy</v>
      </c>
      <c r="B2231" s="133" t="str">
        <f>Saud!E2231</f>
        <v>مكتمل</v>
      </c>
      <c r="C2231" s="133" t="str">
        <f>Saud!C2231</f>
        <v>2024-341532</v>
      </c>
    </row>
    <row r="2232">
      <c r="A2232" s="133" t="str">
        <f>Saud!F2232</f>
        <v>Wellness CORE Tender Cuts with Salmon &amp; Tuna in Savoury Gravy</v>
      </c>
      <c r="B2232" s="133" t="str">
        <f>Saud!E2232</f>
        <v>مكتمل</v>
      </c>
      <c r="C2232" s="133" t="str">
        <f>Saud!C2232</f>
        <v>2024-341544</v>
      </c>
    </row>
    <row r="2233">
      <c r="A2233" s="133" t="str">
        <f>Saud!F2233</f>
        <v>JosiDog Agilo Sport</v>
      </c>
      <c r="B2233" s="133" t="str">
        <f>Saud!E2233</f>
        <v>مكتمل</v>
      </c>
      <c r="C2233" s="133" t="str">
        <f>Saud!C2233</f>
        <v/>
      </c>
    </row>
    <row r="2234">
      <c r="A2234" s="133" t="str">
        <f>Saud!F2234</f>
        <v>JosiDog Active</v>
      </c>
      <c r="B2234" s="133" t="str">
        <f>Saud!E2234</f>
        <v>مكتمل</v>
      </c>
      <c r="C2234" s="133" t="str">
        <f>Saud!C2234</f>
        <v/>
      </c>
    </row>
    <row r="2235">
      <c r="A2235" s="133" t="str">
        <f>Saud!F2235</f>
        <v>ZOLUX CHICKEN WINGS 100G</v>
      </c>
      <c r="B2235" s="133" t="str">
        <f>Saud!E2235</f>
        <v>مكتمل </v>
      </c>
      <c r="C2235" s="133" t="str">
        <f>Saud!C2235</f>
        <v>2024-356398</v>
      </c>
    </row>
    <row r="2236">
      <c r="A2236" s="133" t="str">
        <f>Saud!F2236</f>
        <v>DASHI DELIGHTS SILKY BROTH CHICKEN RECIPE</v>
      </c>
      <c r="B2236" s="133" t="str">
        <f>Saud!E2236</f>
        <v>مكتمل</v>
      </c>
      <c r="C2236" s="133" t="str">
        <f>Saud!C2236</f>
        <v>2024-360361</v>
      </c>
    </row>
    <row r="2237">
      <c r="A2237" s="133" t="str">
        <f>Saud!F2237</f>
        <v>DASHI DELIGHTS SILKY BROTH CHICKEN WITH CHEESE RECIPE</v>
      </c>
      <c r="B2237" s="133" t="str">
        <f>Saud!E2237</f>
        <v>مكتمل</v>
      </c>
      <c r="C2237" s="133" t="str">
        <f>Saud!C2237</f>
        <v>2024-360401</v>
      </c>
    </row>
    <row r="2238">
      <c r="A2238" s="133" t="str">
        <f>Saud!F2238</f>
        <v>DASHI DELIGHTS SILKY BROTH CHICKEN WITH SALMON RECIPE</v>
      </c>
      <c r="B2238" s="133" t="str">
        <f>Saud!E2238</f>
        <v>مكتمل</v>
      </c>
      <c r="C2238" s="133" t="str">
        <f>Saud!C2238</f>
        <v>2024-360412</v>
      </c>
    </row>
    <row r="2239">
      <c r="A2239" s="133" t="str">
        <f>Saud!F2239</f>
        <v>DASHI DELIGHTS DELICATE FLAKES CHICKEN WITH SALMON RECIPE</v>
      </c>
      <c r="B2239" s="133" t="str">
        <f>Saud!E2239</f>
        <v>مكتمل</v>
      </c>
      <c r="C2239" s="133" t="str">
        <f>Saud!C2239</f>
        <v>2024-360561</v>
      </c>
    </row>
    <row r="2240">
      <c r="A2240" s="133" t="str">
        <f>Saud!F2240</f>
        <v>DASHI DELIGHTS DELICATE FLAKES CHICKEN WITH CHEESE RECIPE</v>
      </c>
      <c r="B2240" s="133" t="str">
        <f>Saud!E2240</f>
        <v>مكتمل</v>
      </c>
      <c r="C2240" s="133" t="str">
        <f>Saud!C2240</f>
        <v>2024-360581</v>
      </c>
    </row>
    <row r="2241">
      <c r="A2241" s="133" t="str">
        <f>Saud!F2241</f>
        <v>DASHI DELIGHTS DELICATE FLAKES CHICKEN WITH TUNA RECIPE</v>
      </c>
      <c r="B2241" s="133" t="str">
        <f>Saud!E2241</f>
        <v>مكتمل</v>
      </c>
      <c r="C2241" s="133" t="str">
        <f>Saud!C2241</f>
        <v>2024-360592</v>
      </c>
    </row>
    <row r="2242">
      <c r="A2242" s="133" t="str">
        <f>Saud!F2242</f>
        <v>DASHI DELIGHTS DELICATE FLAKES CHICKEN RECIPE</v>
      </c>
      <c r="B2242" s="133" t="str">
        <f>Saud!E2242</f>
        <v>مكتمل</v>
      </c>
      <c r="C2242" s="133" t="str">
        <f>Saud!C2242</f>
        <v>2024-360604</v>
      </c>
    </row>
    <row r="2243">
      <c r="A2243" s="133" t="str">
        <f>Saud!F2243</f>
        <v>DASHI DELIGHTS SILKY BROTH CHICKEN WITH TUNA RECIPE</v>
      </c>
      <c r="B2243" s="133" t="str">
        <f>Saud!E2243</f>
        <v>مكتمل</v>
      </c>
      <c r="C2243" s="133" t="str">
        <f>Saud!C2243</f>
        <v>2024-360481</v>
      </c>
    </row>
    <row r="2244">
      <c r="A2244" s="133" t="str">
        <f>Saud!F2244</f>
        <v>DASHI DELIGHTS DELICATE FLAKES CHICKEN WITH TUNA &amp; SALMON RECIPE</v>
      </c>
      <c r="B2244" s="133" t="str">
        <f>Saud!E2244</f>
        <v>مكتمل</v>
      </c>
      <c r="C2244" s="133" t="str">
        <f>Saud!C2244</f>
        <v>2024-360613</v>
      </c>
    </row>
    <row r="2245">
      <c r="A2245" s="133" t="str">
        <f>Saud!F2245</f>
        <v>DASHI DELIGHTS DELICATE FLAKES CHICKEN WITH TUNA &amp; SCALLOP RECIPE</v>
      </c>
      <c r="B2245" s="133" t="str">
        <f>Saud!E2245</f>
        <v>مكتمل</v>
      </c>
      <c r="C2245" s="133" t="str">
        <f>Saud!C2245</f>
        <v>2024-360630</v>
      </c>
    </row>
    <row r="2246">
      <c r="A2246" s="133" t="str">
        <f>Saud!F2246</f>
        <v>DASHI DELIGHTS SILKY BROTH CHICKEN WITH TUNA &amp; SALMON RECIPE</v>
      </c>
      <c r="B2246" s="133" t="str">
        <f>Saud!E2246</f>
        <v>مكتمل </v>
      </c>
      <c r="C2246" s="133" t="str">
        <f>Saud!C2246</f>
        <v>2024-360428</v>
      </c>
    </row>
    <row r="2247">
      <c r="A2247" s="133" t="str">
        <f>Saud!F2247</f>
        <v>DASHI DELIGHTS SILKY BROTH CHICKEN WITH TUNA &amp; SCALLOP RECIPE</v>
      </c>
      <c r="B2247" s="133" t="str">
        <f>Saud!E2247</f>
        <v>مكتمل</v>
      </c>
      <c r="C2247" s="133" t="str">
        <f>Saud!C2247</f>
        <v>2024-360468</v>
      </c>
    </row>
    <row r="2248">
      <c r="A2248" s="133" t="str">
        <f>Saud!F2248</f>
        <v>Kit Cat Savoury Soup Chicken</v>
      </c>
      <c r="B2248" s="133" t="str">
        <f>Saud!E2248</f>
        <v>مكتمل</v>
      </c>
      <c r="C2248" s="133" t="str">
        <f>Saud!C2248</f>
        <v>2024-370596</v>
      </c>
    </row>
    <row r="2249">
      <c r="A2249" s="133" t="str">
        <f>Saud!F2249</f>
        <v>Kit Cat Savoury Soup Tuna</v>
      </c>
      <c r="B2249" s="133" t="str">
        <f>Saud!E2249</f>
        <v>مكتمل</v>
      </c>
      <c r="C2249" s="133" t="str">
        <f>Saud!C2249</f>
        <v>2024-370608</v>
      </c>
    </row>
    <row r="2250">
      <c r="A2250" s="133" t="str">
        <f>Saud!F2250</f>
        <v>Kit Cat Savoury Soup Salmon</v>
      </c>
      <c r="B2250" s="133" t="str">
        <f>Saud!E2250</f>
        <v>مكتمل</v>
      </c>
      <c r="C2250" s="133" t="str">
        <f>Saud!C2250</f>
        <v>2024-370618</v>
      </c>
    </row>
    <row r="2251">
      <c r="A2251" s="133" t="str">
        <f>Saud!F2251</f>
        <v>Kit Cat Savoury Soup Seafood</v>
      </c>
      <c r="B2251" s="133" t="str">
        <f>Saud!E2251</f>
        <v>مكتمل</v>
      </c>
      <c r="C2251" s="133" t="str">
        <f>Saud!C2251</f>
        <v>2024-370630</v>
      </c>
    </row>
    <row r="2252">
      <c r="A2252" s="133" t="str">
        <f>Saud!F2252</f>
        <v>Kit Cat Goatmilk Cat</v>
      </c>
      <c r="B2252" s="133" t="str">
        <f>Saud!E2252</f>
        <v>مكتمل</v>
      </c>
      <c r="C2252" s="133" t="str">
        <f>Saud!C2252</f>
        <v>2024-370636</v>
      </c>
    </row>
    <row r="2253">
      <c r="A2253" s="133" t="str">
        <f>Saud!F2253</f>
        <v>Kit Cat Goatmilk Kitten</v>
      </c>
      <c r="B2253" s="133" t="str">
        <f>Saud!E2253</f>
        <v>تحت الاجراء </v>
      </c>
      <c r="C2253" s="133" t="str">
        <f>Saud!C2253</f>
        <v>2024-370699</v>
      </c>
    </row>
    <row r="2254">
      <c r="A2254" s="133" t="str">
        <f>Saud!F2254</f>
        <v>Whimzees Ricebone 540g</v>
      </c>
      <c r="B2254" s="133" t="str">
        <f>Saud!E2254</f>
        <v>مكتمل</v>
      </c>
      <c r="C2254" s="133" t="str">
        <f>Saud!C2254</f>
        <v>2024-371365</v>
      </c>
    </row>
    <row r="2255">
      <c r="A2255" s="133" t="str">
        <f>Saud!F2255</f>
        <v>Whimzees Stix S 420g</v>
      </c>
      <c r="B2255" s="133" t="str">
        <f>Saud!E2255</f>
        <v>مكتمل</v>
      </c>
      <c r="C2255" s="133" t="str">
        <f>Saud!C2255</f>
        <v>2024-371592</v>
      </c>
    </row>
    <row r="2256">
      <c r="A2256" s="133" t="str">
        <f>Saud!F2256</f>
        <v>Whimzees Stix M 420g</v>
      </c>
      <c r="B2256" s="133" t="str">
        <f>Saud!E2256</f>
        <v>مكتمل</v>
      </c>
      <c r="C2256" s="133" t="str">
        <f>Saud!C2256</f>
        <v>2024-371619</v>
      </c>
    </row>
    <row r="2257">
      <c r="A2257" s="133" t="str">
        <f>Saud!F2257</f>
        <v>Whimzees Stix L 420g</v>
      </c>
      <c r="B2257" s="133" t="str">
        <f>Saud!E2257</f>
        <v>مكتمل</v>
      </c>
      <c r="C2257" s="133" t="str">
        <f>Saud!C2257</f>
        <v>2024-371642</v>
      </c>
    </row>
    <row r="2258">
      <c r="A2258" s="133" t="str">
        <f>Saud!F2258</f>
        <v>Whimzees Alligator M 360g</v>
      </c>
      <c r="B2258" s="133" t="str">
        <f>Saud!E2258</f>
        <v>مكتمل</v>
      </c>
      <c r="C2258" s="133" t="str">
        <f>Saud!C2258</f>
        <v>2024-371662</v>
      </c>
    </row>
    <row r="2259">
      <c r="A2259" s="133" t="str">
        <f>Saud!F2259</f>
        <v>Whimzees Alligator S 360g</v>
      </c>
      <c r="B2259" s="133" t="str">
        <f>Saud!E2259</f>
        <v>مكتمل</v>
      </c>
      <c r="C2259" s="133" t="str">
        <f>Saud!C2259</f>
        <v>2024-371672</v>
      </c>
    </row>
    <row r="2260">
      <c r="A2260" s="133" t="str">
        <f>Saud!F2260</f>
        <v>Whimzees Stix XS 420g</v>
      </c>
      <c r="B2260" s="133" t="str">
        <f>Saud!E2260</f>
        <v>مكتمل</v>
      </c>
      <c r="C2260" s="133" t="str">
        <f>Saud!C2260</f>
        <v>2024-371685</v>
      </c>
    </row>
    <row r="2261">
      <c r="A2261" s="133" t="str">
        <f>Saud!F2261</f>
        <v>Whimzees Toothbrush Star XS 360g</v>
      </c>
      <c r="B2261" s="133" t="str">
        <f>Saud!E2261</f>
        <v>مكتمل</v>
      </c>
      <c r="C2261" s="133" t="str">
        <f>Saud!C2261</f>
        <v>2024-371710</v>
      </c>
    </row>
    <row r="2262">
      <c r="A2262" s="133" t="str">
        <f>Saud!F2262</f>
        <v>Whimzees Toothbrush Star S 360g</v>
      </c>
      <c r="B2262" s="133" t="str">
        <f>Saud!E2262</f>
        <v>مكتمل</v>
      </c>
      <c r="C2262" s="133" t="str">
        <f>Saud!C2262</f>
        <v>2024-371728</v>
      </c>
    </row>
    <row r="2263">
      <c r="A2263" s="133" t="str">
        <f>Saud!F2263</f>
        <v>Whimzees Toothbrush Star M 360g</v>
      </c>
      <c r="B2263" s="133" t="str">
        <f>Saud!E2263</f>
        <v>مكتمل</v>
      </c>
      <c r="C2263" s="133" t="str">
        <f>Saud!C2263</f>
        <v>2024-371738</v>
      </c>
    </row>
    <row r="2264">
      <c r="A2264" s="133" t="str">
        <f>Saud!F2264</f>
        <v>Whimzees Toothbrush Star L 360g</v>
      </c>
      <c r="B2264" s="133" t="str">
        <f>Saud!E2264</f>
        <v>مكتمل</v>
      </c>
      <c r="C2264" s="133" t="str">
        <f>Saud!C2264</f>
        <v>2024-371751</v>
      </c>
    </row>
    <row r="2265">
      <c r="A2265" s="133" t="str">
        <f>Saud!F2265</f>
        <v>Sanal Dog Dental Sticks Medium 140g</v>
      </c>
      <c r="B2265" s="133" t="str">
        <f>Saud!E2265</f>
        <v>مكتمل</v>
      </c>
      <c r="C2265" s="133" t="str">
        <f>Saud!C2265</f>
        <v>2024-372268</v>
      </c>
    </row>
    <row r="2266">
      <c r="A2266" s="133" t="str">
        <f>Saud!F2266</f>
        <v>Sanal Dog Dental Sticks Small 105g</v>
      </c>
      <c r="B2266" s="133" t="str">
        <f>Saud!E2266</f>
        <v>مكتمل</v>
      </c>
      <c r="C2266" s="133" t="str">
        <f>Saud!C2266</f>
        <v>2024-372287</v>
      </c>
    </row>
    <row r="2267">
      <c r="A2267" s="133" t="str">
        <f>Saud!F2267</f>
        <v>Sanal Dog Mini Hearts 100g</v>
      </c>
      <c r="B2267" s="133" t="str">
        <f>Saud!E2267</f>
        <v>مكتمل</v>
      </c>
      <c r="C2267" s="133" t="str">
        <f>Saud!C2267</f>
        <v>2024-372303</v>
      </c>
    </row>
    <row r="2268">
      <c r="A2268" s="133" t="str">
        <f>Saud!F2268</f>
        <v>Sanal Dog Trainers Duo Hearts 300g</v>
      </c>
      <c r="B2268" s="133" t="str">
        <f>Saud!E2268</f>
        <v>مكتمل</v>
      </c>
      <c r="C2268" s="133" t="str">
        <f>Saud!C2268</f>
        <v>2024-372322</v>
      </c>
    </row>
    <row r="2269">
      <c r="A2269" s="133" t="str">
        <f>Saud!F2269</f>
        <v>Kit Cat Daily Supplement Gel - Hairball 120g</v>
      </c>
      <c r="B2269" s="133" t="str">
        <f>Saud!E2269</f>
        <v>مكتمل</v>
      </c>
      <c r="C2269" s="133" t="str">
        <f>Saud!C2269</f>
        <v>2024-376027</v>
      </c>
    </row>
    <row r="2270">
      <c r="A2270" s="133" t="str">
        <f>Saud!F2270</f>
        <v>Kit Cat Daily Supplement Gel - Multi Vitamin 120g</v>
      </c>
      <c r="B2270" s="133" t="str">
        <f>Saud!E2270</f>
        <v>مكتمل </v>
      </c>
      <c r="C2270" s="133" t="str">
        <f>Saud!C2270</f>
        <v>2024-376081</v>
      </c>
    </row>
    <row r="2271">
      <c r="A2271" s="133" t="str">
        <f>Saud!F2271</f>
        <v>Kit Cat Daily Supplement Gel - Skin &amp; Coat 120g</v>
      </c>
      <c r="B2271" s="133" t="str">
        <f>Saud!E2271</f>
        <v>مكتمل</v>
      </c>
      <c r="C2271" s="133" t="str">
        <f>Saud!C2271</f>
        <v>2024-376105</v>
      </c>
    </row>
    <row r="2272">
      <c r="A2272" s="133" t="str">
        <f>Saud!F2272</f>
        <v>Kit Cat Daily Supplement Gel -urinaru care</v>
      </c>
      <c r="B2272" s="133" t="str">
        <f>Saud!E2272</f>
        <v>مكتمل </v>
      </c>
      <c r="C2272" s="133" t="str">
        <f>Saud!C2272</f>
        <v>2024-376121</v>
      </c>
    </row>
    <row r="2273">
      <c r="A2273" s="133" t="str">
        <f>Saud!F2273</f>
        <v>Kit Cat Daily Supplement Gel - Weight Gain</v>
      </c>
      <c r="B2273" s="133" t="str">
        <f>Saud!E2273</f>
        <v>مكتمل</v>
      </c>
      <c r="C2273" s="133" t="str">
        <f>Saud!C2273</f>
        <v>2024-376139</v>
      </c>
    </row>
    <row r="2274">
      <c r="A2274" s="133" t="str">
        <f>Saud!F2274</f>
        <v>Kit Cat Kitten Milk Replacer 200g</v>
      </c>
      <c r="B2274" s="133" t="str">
        <f>Saud!E2274</f>
        <v>مكتمل </v>
      </c>
      <c r="C2274" s="133" t="str">
        <f>Saud!C2274</f>
        <v>2024-376170</v>
      </c>
    </row>
    <row r="2275">
      <c r="A2275" s="133" t="str">
        <f>Saud!F2275</f>
        <v>Josera Fohlen &amp; Stute 20kg</v>
      </c>
      <c r="B2275" s="133" t="str">
        <f>Saud!E2275</f>
        <v>رفض الطلب </v>
      </c>
      <c r="C2275" s="133" t="str">
        <f>Saud!C2275</f>
        <v>2024-393876</v>
      </c>
    </row>
    <row r="2276">
      <c r="A2276" s="133" t="str">
        <f>Saud!F2276</f>
        <v>Josera Joker-Mineral 15kg</v>
      </c>
      <c r="B2276" s="133" t="str">
        <f>Saud!E2276</f>
        <v>مكتمل </v>
      </c>
      <c r="C2276" s="133" t="str">
        <f>Saud!C2276</f>
        <v>2024-393918</v>
      </c>
    </row>
    <row r="2277">
      <c r="A2277" s="133" t="str">
        <f>Saud!F2277</f>
        <v>Josera Joker-Mineral 4kg</v>
      </c>
      <c r="B2277" s="133" t="str">
        <f>Saud!E2277</f>
        <v>مكتمل </v>
      </c>
      <c r="C2277" s="133" t="str">
        <f>Saud!C2277</f>
        <v>2025-12303</v>
      </c>
    </row>
    <row r="2278">
      <c r="A2278" s="133" t="str">
        <f>Saud!F2278</f>
        <v>Josera Kraut &amp; Ruben Mineral 4kg</v>
      </c>
      <c r="B2278" s="133" t="str">
        <f>Saud!E2278</f>
        <v>مكتمل </v>
      </c>
      <c r="C2278" s="133" t="str">
        <f>Saud!C2278</f>
        <v>2025-12323</v>
      </c>
    </row>
    <row r="2279">
      <c r="A2279" s="133" t="str">
        <f>Saud!F2279</f>
        <v>Josera Kraut &amp; Ruben Mash 15kg</v>
      </c>
      <c r="B2279" s="133" t="str">
        <f>Saud!E2279</f>
        <v>مكتمل </v>
      </c>
      <c r="C2279" s="133" t="str">
        <f>Saud!C2279</f>
        <v>2024-393939</v>
      </c>
    </row>
    <row r="2280">
      <c r="A2280" s="133" t="str">
        <f>Saud!F2280</f>
        <v>Josera Kraut &amp; Ruben Mash 2kg</v>
      </c>
      <c r="B2280" s="133" t="str">
        <f>Saud!E2280</f>
        <v>مكتمل </v>
      </c>
      <c r="C2280" s="133" t="str">
        <f>Saud!C2280</f>
        <v>2025-12338</v>
      </c>
    </row>
    <row r="2281">
      <c r="A2281" s="133" t="str">
        <f>Saud!F2281</f>
        <v>Josera Kraut &amp; Ruben Mineral 15kg</v>
      </c>
      <c r="B2281" s="133" t="str">
        <f>Saud!E2281</f>
        <v>مكتمل </v>
      </c>
      <c r="C2281" s="133" t="str">
        <f>Saud!C2281</f>
        <v>2024-393954</v>
      </c>
    </row>
    <row r="2282">
      <c r="A2282" s="133" t="str">
        <f>Saud!F2282</f>
        <v>Josera Kraut &amp; Ruben Mineral</v>
      </c>
      <c r="B2282" s="133" t="str">
        <f>Saud!E2282</f>
        <v>مكتمل </v>
      </c>
      <c r="C2282" s="133" t="str">
        <f>Saud!C2282</f>
        <v>2024-402113</v>
      </c>
    </row>
    <row r="2283">
      <c r="A2283" s="133" t="str">
        <f>Saud!F2283</f>
        <v>Josera Wald &amp; Wiese 15kg</v>
      </c>
      <c r="B2283" s="133" t="str">
        <f>Saud!E2283</f>
        <v>مكتمل </v>
      </c>
      <c r="C2283" s="133" t="str">
        <f>Saud!C2283</f>
        <v>2024-402170</v>
      </c>
    </row>
    <row r="2284">
      <c r="A2284" s="133" t="str">
        <f>Saud!F2284</f>
        <v>Josera Help MvoGast Struktur 15kg</v>
      </c>
      <c r="B2284" s="133" t="str">
        <f>Saud!E2284</f>
        <v>مكتمل </v>
      </c>
      <c r="C2284" s="133" t="str">
        <f>Saud!C2284</f>
        <v>2024-402286</v>
      </c>
    </row>
    <row r="2285">
      <c r="A2285" s="133" t="str">
        <f>Saud!F2285</f>
        <v>Josera Help AminoBalancer 4kg</v>
      </c>
      <c r="B2285" s="133" t="str">
        <f>Saud!E2285</f>
        <v>رفض الطلب </v>
      </c>
      <c r="C2285" s="133" t="str">
        <f>Saud!C2285</f>
        <v>2024-402314</v>
      </c>
    </row>
    <row r="2286">
      <c r="A2286" s="133" t="str">
        <f>Saud!F2286</f>
        <v>CéDé Complete Handrearing food Protein+ P21-800g</v>
      </c>
      <c r="B2286" s="133" t="str">
        <f>Saud!E2286</f>
        <v>مكتمل </v>
      </c>
      <c r="C2286" s="133" t="str">
        <f>Saud!C2286</f>
        <v>2024-402592</v>
      </c>
    </row>
    <row r="2287">
      <c r="A2287" s="133" t="str">
        <f>Saud!F2287</f>
        <v>CéDé Complete Handrearing food Protein+ P21-200g</v>
      </c>
      <c r="B2287" s="133" t="str">
        <f>Saud!E2287</f>
        <v>مكتمل </v>
      </c>
      <c r="C2287" s="133" t="str">
        <f>Saud!C2287</f>
        <v/>
      </c>
    </row>
    <row r="2288">
      <c r="A2288" s="133" t="str">
        <f>Saud!F2288</f>
        <v>CéDé Complete Handrearing food Energy+ P19 - 800g</v>
      </c>
      <c r="B2288" s="133" t="str">
        <f>Saud!E2288</f>
        <v>مكتمل </v>
      </c>
      <c r="C2288" s="133" t="str">
        <f>Saud!C2288</f>
        <v>2024-402637</v>
      </c>
    </row>
    <row r="2289">
      <c r="A2289" s="133" t="str">
        <f>Saud!F2289</f>
        <v>CéDé Complete Handrearing food Energy+ P19 - 200g</v>
      </c>
      <c r="B2289" s="133" t="str">
        <f>Saud!E2289</f>
        <v>مكتمل </v>
      </c>
      <c r="C2289" s="133" t="str">
        <f>Saud!C2289</f>
        <v/>
      </c>
    </row>
    <row r="2290">
      <c r="A2290" s="133" t="str">
        <f>Saud!F2290</f>
        <v>DC Stripes Beef Snack Small 80g</v>
      </c>
      <c r="B2290" s="133" t="str">
        <f>Saud!E2290</f>
        <v>مكتمل </v>
      </c>
      <c r="C2290" s="133" t="str">
        <f>Saud!C2290</f>
        <v>2024-415807</v>
      </c>
    </row>
    <row r="2291">
      <c r="A2291" s="133" t="str">
        <f>Saud!F2291</f>
        <v>DC Stripes Chicken Snack Small 80g</v>
      </c>
      <c r="B2291" s="133" t="str">
        <f>Saud!E2291</f>
        <v>مكتمل </v>
      </c>
      <c r="C2291" s="133" t="str">
        <f>Saud!C2291</f>
        <v>2024-415821</v>
      </c>
    </row>
    <row r="2292">
      <c r="A2292" s="133" t="str">
        <f>Saud!F2292</f>
        <v>DC Stripes Duck Snack Small 80g</v>
      </c>
      <c r="B2292" s="133" t="str">
        <f>Saud!E2292</f>
        <v>مكتمل </v>
      </c>
      <c r="C2292" s="133" t="str">
        <f>Saud!C2292</f>
        <v>2024-415828</v>
      </c>
    </row>
    <row r="2293">
      <c r="A2293" s="133" t="str">
        <f>Saud!F2293</f>
        <v>DC Stripes Lamb Snack Small 80g</v>
      </c>
      <c r="B2293" s="133" t="str">
        <f>Saud!E2293</f>
        <v>مكتمل</v>
      </c>
      <c r="C2293" s="133" t="str">
        <f>Saud!C2293</f>
        <v>2024-415839</v>
      </c>
    </row>
    <row r="2294">
      <c r="A2294" s="133" t="str">
        <f>Saud!F2294</f>
        <v>DC F&amp;C Mother &amp; Puppy Emulsion 150g</v>
      </c>
      <c r="B2294" s="133" t="str">
        <f>Saud!E2294</f>
        <v>عاد لمقدم الطلب </v>
      </c>
      <c r="C2294" s="133" t="str">
        <f>Saud!C2294</f>
        <v>2024-415845</v>
      </c>
    </row>
    <row r="2295">
      <c r="A2295" s="133" t="str">
        <f>Saud!F2295</f>
        <v>DC High Premium Indoor 1.5kg</v>
      </c>
      <c r="B2295" s="133" t="str">
        <f>Saud!E2295</f>
        <v>مرفوض </v>
      </c>
      <c r="C2295" s="133" t="str">
        <f>Saud!C2295</f>
        <v>2024-415851</v>
      </c>
    </row>
    <row r="2296">
      <c r="A2296" s="133" t="str">
        <f>Saud!F2296</f>
        <v>Josera Meat Bars Beef 40g</v>
      </c>
      <c r="B2296" s="133" t="str">
        <f>Saud!E2296</f>
        <v>مكتمل</v>
      </c>
      <c r="C2296" s="133" t="str">
        <f>Saud!C2296</f>
        <v>2024-406431</v>
      </c>
    </row>
    <row r="2297">
      <c r="A2297" s="133" t="str">
        <f>Saud!F2297</f>
        <v>Josera Meat Bars Chicken 40g</v>
      </c>
      <c r="B2297" s="133" t="str">
        <f>Saud!E2297</f>
        <v>مكتمل</v>
      </c>
      <c r="C2297" s="133" t="str">
        <f>Saud!C2297</f>
        <v>2024-406441</v>
      </c>
    </row>
    <row r="2298">
      <c r="A2298" s="133" t="str">
        <f>Saud!F2298</f>
        <v>.Josera Meat Bars Turkey 40g</v>
      </c>
      <c r="B2298" s="133" t="str">
        <f>Saud!E2298</f>
        <v>مكتمل</v>
      </c>
      <c r="C2298" s="133" t="str">
        <f>Saud!C2298</f>
        <v>2024-406464</v>
      </c>
    </row>
    <row r="2299">
      <c r="A2299" s="133" t="str">
        <f>Saud!F2299</f>
        <v>Josera Meat Chunks Beef 70g</v>
      </c>
      <c r="B2299" s="133" t="str">
        <f>Saud!E2299</f>
        <v>مكتمل</v>
      </c>
      <c r="C2299" s="133" t="str">
        <f>Saud!C2299</f>
        <v>2024-406474</v>
      </c>
    </row>
    <row r="2300">
      <c r="A2300" s="133" t="str">
        <f>Saud!F2300</f>
        <v>Josera Meat Chunks Chicken 70g</v>
      </c>
      <c r="B2300" s="133" t="str">
        <f>Saud!E2300</f>
        <v>مكتمل</v>
      </c>
      <c r="C2300" s="133" t="str">
        <f>Saud!C2300</f>
        <v>2024-406491</v>
      </c>
    </row>
    <row r="2301">
      <c r="A2301" s="133" t="str">
        <f>Saud!F2301</f>
        <v>Josera Meat Chunks Turkey 70g</v>
      </c>
      <c r="B2301" s="133" t="str">
        <f>Saud!E2301</f>
        <v>مكتمل</v>
      </c>
      <c r="C2301" s="133" t="str">
        <f>Saud!C2301</f>
        <v>2024-406497</v>
      </c>
    </row>
    <row r="2302">
      <c r="A2302" s="133" t="str">
        <f>Saud!F2302</f>
        <v>Josera Meat Bites Mini Beef 70g</v>
      </c>
      <c r="B2302" s="133" t="str">
        <f>Saud!E2302</f>
        <v>مكتمل</v>
      </c>
      <c r="C2302" s="133" t="str">
        <f>Saud!C2302</f>
        <v>2024-406508</v>
      </c>
    </row>
    <row r="2303">
      <c r="A2303" s="133" t="str">
        <f>Saud!F2303</f>
        <v>Josera Meat Bites Mini Chicken 70g</v>
      </c>
      <c r="B2303" s="133" t="str">
        <f>Saud!E2303</f>
        <v>مكتمل</v>
      </c>
      <c r="C2303" s="133" t="str">
        <f>Saud!C2303</f>
        <v>2024-406529</v>
      </c>
    </row>
    <row r="2304">
      <c r="A2304" s="133" t="str">
        <f>Saud!F2304</f>
        <v>Josera Meat Bites Mini Turkey 70g</v>
      </c>
      <c r="B2304" s="133" t="str">
        <f>Saud!E2304</f>
        <v>مكتمل</v>
      </c>
      <c r="C2304" s="133" t="str">
        <f>Saud!C2304</f>
        <v>2024-406563</v>
      </c>
    </row>
    <row r="2305">
      <c r="A2305" s="133" t="str">
        <f>Saud!F2305</f>
        <v>Josera Meat Hearts Beef 70g</v>
      </c>
      <c r="B2305" s="133" t="str">
        <f>Saud!E2305</f>
        <v>مكتمل</v>
      </c>
      <c r="C2305" s="133" t="str">
        <f>Saud!C2305</f>
        <v>2024-406575</v>
      </c>
    </row>
    <row r="2306">
      <c r="A2306" s="133" t="str">
        <f>Saud!F2306</f>
        <v>Josera Meat Hearts Chicken 70g</v>
      </c>
      <c r="B2306" s="133" t="str">
        <f>Saud!E2306</f>
        <v>مكتمل</v>
      </c>
      <c r="C2306" s="133" t="str">
        <f>Saud!C2306</f>
        <v>2024-406600</v>
      </c>
    </row>
    <row r="2307">
      <c r="A2307" s="133" t="str">
        <f>Saud!F2307</f>
        <v>Josera Meat Hearts Turkey 70g</v>
      </c>
      <c r="B2307" s="133" t="str">
        <f>Saud!E2307</f>
        <v>مكتمل</v>
      </c>
      <c r="C2307" s="133" t="str">
        <f>Saud!C2307</f>
        <v>2024-406611</v>
      </c>
    </row>
    <row r="2308">
      <c r="A2308" s="133" t="str">
        <f>Saud!F2308</f>
        <v>JosiCat Meat Sticks Beef Lamb 20 x 35 g</v>
      </c>
      <c r="B2308" s="133" t="str">
        <f>Saud!E2308</f>
        <v>مكتمل</v>
      </c>
      <c r="C2308" s="133" t="str">
        <f>Saud!C2308</f>
        <v>2024-404647</v>
      </c>
    </row>
    <row r="2309">
      <c r="A2309" s="133" t="str">
        <f>Saud!F2309</f>
        <v>JosiCat Meat Sticks Chicken &amp; Duck 20 x 35 g</v>
      </c>
      <c r="B2309" s="133" t="str">
        <f>Saud!E2309</f>
        <v>مكتمل</v>
      </c>
      <c r="C2309" s="133" t="str">
        <f>Saud!C2309</f>
        <v>2024-404683</v>
      </c>
    </row>
    <row r="2310">
      <c r="A2310" s="133" t="str">
        <f>Saud!F2310</f>
        <v>JosiCat Meat Sticks Salmon &amp; Trout 20 x 35 g</v>
      </c>
      <c r="B2310" s="133" t="str">
        <f>Saud!E2310</f>
        <v>مكتمل</v>
      </c>
      <c r="C2310" s="133" t="str">
        <f>Saud!C2310</f>
        <v>2024-404692</v>
      </c>
    </row>
    <row r="2311">
      <c r="A2311" s="133" t="str">
        <f>Saud!F2311</f>
        <v>JosiDog Meat Sticks Beef20 x 33 g</v>
      </c>
      <c r="B2311" s="133" t="str">
        <f>Saud!E2311</f>
        <v>مكتمل</v>
      </c>
      <c r="C2311" s="133" t="str">
        <f>Saud!C2311</f>
        <v>2024-404707</v>
      </c>
    </row>
    <row r="2312">
      <c r="A2312" s="133" t="str">
        <f>Saud!F2312</f>
        <v>JosiDog Meat Sticks lamb</v>
      </c>
      <c r="B2312" s="133" t="str">
        <f>Saud!E2312</f>
        <v>مكتمل</v>
      </c>
      <c r="C2312" s="133" t="str">
        <f>Saud!C2312</f>
        <v>2024-404720</v>
      </c>
    </row>
    <row r="2313">
      <c r="A2313" s="133" t="str">
        <f>Saud!F2313</f>
        <v>JosiDog Meat Sticks Chicken 20 x 33 g</v>
      </c>
      <c r="B2313" s="133" t="str">
        <f>Saud!E2313</f>
        <v>مكتمل</v>
      </c>
      <c r="C2313" s="133" t="str">
        <f>Saud!C2313</f>
        <v>2024-404728</v>
      </c>
    </row>
    <row r="2314">
      <c r="A2314" s="133" t="str">
        <f>Saud!F2314</f>
        <v>WEL DD CORE SB 1.5 (3 items) hlthy ocean original  </v>
      </c>
      <c r="B2314" s="133" t="str">
        <f>Saud!E2314</f>
        <v>رفض</v>
      </c>
      <c r="C2314" s="133" t="str">
        <f>Saud!C2314</f>
        <v>2025-5525</v>
      </c>
    </row>
    <row r="2315">
      <c r="A2315" s="133" t="str">
        <f>Saud!F2315</f>
        <v>WEL DD CORE SB 5 ( 3 items) adult original , adult ocean , low fat </v>
      </c>
      <c r="B2315" s="133" t="str">
        <f>Saud!E2315</f>
        <v/>
      </c>
      <c r="C2315" s="133" t="str">
        <f>Saud!C2315</f>
        <v/>
      </c>
    </row>
    <row r="2316">
      <c r="A2316" s="133" t="str">
        <f>Saud!F2316</f>
        <v>WEL DD CORE LB 2.75 10kg 10 kg puppy , puppy , original</v>
      </c>
      <c r="B2316" s="133" t="str">
        <f>Saud!E2316</f>
        <v>رفض</v>
      </c>
      <c r="C2316" s="133" t="str">
        <f>Saud!C2316</f>
        <v>2025-5708</v>
      </c>
    </row>
    <row r="2317">
      <c r="A2317" s="133" t="str">
        <f>Saud!F2317</f>
        <v/>
      </c>
      <c r="B2317" s="133" t="str">
        <f>Saud!E2317</f>
        <v/>
      </c>
      <c r="C2317" s="133" t="str">
        <f>Saud!C2317</f>
        <v/>
      </c>
    </row>
    <row r="2318">
      <c r="A2318" s="133" t="str">
        <f>Saud!F2318</f>
        <v/>
      </c>
      <c r="B2318" s="133" t="str">
        <f>Saud!E2318</f>
        <v/>
      </c>
      <c r="C2318" s="133" t="str">
        <f>Saud!C2318</f>
        <v/>
      </c>
    </row>
    <row r="2319">
      <c r="A2319" s="133" t="str">
        <f>Saud!F2319</f>
        <v>WEL DD CORE PUPPY 1.5 KG 10 KG</v>
      </c>
      <c r="B2319" s="133" t="str">
        <f>Saud!E2319</f>
        <v>مكتمل </v>
      </c>
      <c r="C2319" s="133" t="str">
        <f>Saud!C2319</f>
        <v>2025-5747</v>
      </c>
    </row>
    <row r="2320">
      <c r="A2320" s="133" t="str">
        <f>Saud!F2320</f>
        <v/>
      </c>
      <c r="B2320" s="133" t="str">
        <f>Saud!E2320</f>
        <v/>
      </c>
      <c r="C2320" s="133" t="str">
        <f>Saud!C2320</f>
        <v/>
      </c>
    </row>
    <row r="2321">
      <c r="A2321" s="133" t="str">
        <f>Saud!F2321</f>
        <v>WEL DD CORE OCEAN 1.8 &amp; 10 KG</v>
      </c>
      <c r="B2321" s="133" t="str">
        <f>Saud!E2321</f>
        <v>مكتمل </v>
      </c>
      <c r="C2321" s="133" t="str">
        <f>Saud!C2321</f>
        <v>2025-5766</v>
      </c>
    </row>
    <row r="2322">
      <c r="A2322" s="133" t="str">
        <f>Saud!F2322</f>
        <v/>
      </c>
      <c r="B2322" s="133" t="str">
        <f>Saud!E2322</f>
        <v/>
      </c>
      <c r="C2322" s="133" t="str">
        <f>Saud!C2322</f>
        <v/>
      </c>
    </row>
    <row r="2323">
      <c r="A2323" s="133" t="str">
        <f>Saud!F2323</f>
        <v>WEL DD CORE SENIOR ORIGINAL 1.8 &amp; 10KG</v>
      </c>
      <c r="B2323" s="133" t="str">
        <f>Saud!E2323</f>
        <v>مكتمل </v>
      </c>
      <c r="C2323" s="133" t="str">
        <f>Saud!C2323</f>
        <v>2025-5811</v>
      </c>
    </row>
    <row r="2324">
      <c r="A2324" s="133" t="str">
        <f>Saud!F2324</f>
        <v/>
      </c>
      <c r="B2324" s="133" t="str">
        <f>Saud!E2324</f>
        <v/>
      </c>
      <c r="C2324" s="133" t="str">
        <f>Saud!C2324</f>
        <v/>
      </c>
    </row>
    <row r="2325">
      <c r="A2325" s="133" t="str">
        <f>Saud!F2325</f>
        <v>WEL DD CORE healthy weight 1.8 &amp; 10 KG</v>
      </c>
      <c r="B2325" s="133" t="str">
        <f>Saud!E2325</f>
        <v>مكتمل </v>
      </c>
      <c r="C2325" s="133" t="str">
        <f>Saud!C2325</f>
        <v>2025-6358</v>
      </c>
    </row>
    <row r="2326">
      <c r="A2326" s="133" t="str">
        <f>Saud!F2326</f>
        <v/>
      </c>
      <c r="B2326" s="133" t="str">
        <f>Saud!E2326</f>
        <v/>
      </c>
      <c r="C2326" s="133" t="str">
        <f>Saud!C2326</f>
        <v/>
      </c>
    </row>
    <row r="2327">
      <c r="A2327" s="133" t="str">
        <f>Saud!F2327</f>
        <v>WEL DD ACTIVE LIFE 10KG</v>
      </c>
      <c r="B2327" s="133" t="str">
        <f>Saud!E2327</f>
        <v>مكتمل</v>
      </c>
      <c r="C2327" s="133" t="str">
        <f>Saud!C2327</f>
        <v>2025-6385</v>
      </c>
    </row>
    <row r="2328">
      <c r="A2328" s="133" t="str">
        <f>Saud!F2328</f>
        <v>WEL DC CORE Sterilised ( original + ocean + origina; + ocean ) 300g 1.75kg 1.75kg 4 kg</v>
      </c>
      <c r="B2328" s="133" t="str">
        <f>Saud!E2328</f>
        <v>رفض</v>
      </c>
      <c r="C2328" s="133" t="str">
        <f>Saud!C2328</f>
        <v>2025-8163</v>
      </c>
    </row>
    <row r="2329">
      <c r="A2329" s="133" t="str">
        <f>Saud!F2329</f>
        <v>WEL DC CORE Sterilised ocean 300g/ 1.75kg </v>
      </c>
      <c r="B2329" s="133" t="str">
        <f>Saud!E2329</f>
        <v>مكتمل</v>
      </c>
      <c r="C2329" s="133" t="str">
        <f>Saud!C2329</f>
        <v>2025-116684</v>
      </c>
    </row>
    <row r="2330">
      <c r="A2330" s="133" t="str">
        <f>Saud!F2330</f>
        <v>WEL DC CORE Sterilised</v>
      </c>
      <c r="B2330" s="133" t="str">
        <f>Saud!E2330</f>
        <v>مكتمل</v>
      </c>
      <c r="C2330" s="133" t="str">
        <f>Saud!C2330</f>
        <v>2025-116850</v>
      </c>
    </row>
    <row r="2331">
      <c r="A2331" s="133" t="str">
        <f>Saud!F2331</f>
        <v>WEL DC CORE original Sterilised</v>
      </c>
      <c r="B2331" s="133" t="str">
        <f>Saud!E2331</f>
        <v>مكتمل</v>
      </c>
      <c r="C2331" s="133" t="str">
        <f>Saud!C2331</f>
        <v>2025-116961</v>
      </c>
    </row>
    <row r="2332">
      <c r="A2332" s="133" t="str">
        <f>Saud!F2332</f>
        <v>WEL DC CORE  lamb 1.8kg , 10kg </v>
      </c>
      <c r="B2332" s="133" t="str">
        <f>Saud!E2332</f>
        <v>مكتمل</v>
      </c>
      <c r="C2332" s="133" t="str">
        <f>Saud!C2332</f>
        <v>2025-117932</v>
      </c>
    </row>
    <row r="2333">
      <c r="A2333" s="133" t="str">
        <f>Saud!F2333</f>
        <v>WEL DC CORE Ocean 6/300g</v>
      </c>
      <c r="B2333" s="133" t="str">
        <f>Saud!E2333</f>
        <v>مكتمل </v>
      </c>
      <c r="C2333" s="133" t="str">
        <f>Saud!C2333</f>
        <v>2025-8224</v>
      </c>
    </row>
    <row r="2334">
      <c r="A2334" s="133" t="str">
        <f>Saud!F2334</f>
        <v>WEL DC CORE Original 6/300g</v>
      </c>
      <c r="B2334" s="133" t="str">
        <f>Saud!E2334</f>
        <v>مكتمل </v>
      </c>
      <c r="C2334" s="133" t="str">
        <f>Saud!C2334</f>
        <v>2025-8235</v>
      </c>
    </row>
    <row r="2335">
      <c r="A2335" s="133" t="str">
        <f>Saud!F2335</f>
        <v>WEL DC CORE Kitten 6/300g</v>
      </c>
      <c r="B2335" s="133" t="str">
        <f>Saud!E2335</f>
        <v>مكتمل </v>
      </c>
      <c r="C2335" s="133" t="str">
        <f>Saud!C2335</f>
        <v>2025-8266</v>
      </c>
    </row>
    <row r="2336">
      <c r="A2336" s="133" t="str">
        <f>Saud!F2336</f>
        <v>WEL DC CORE Adult OriginaL (1.75KG +4 KG )</v>
      </c>
      <c r="B2336" s="133" t="str">
        <f>Saud!E2336</f>
        <v>مكتمل </v>
      </c>
      <c r="C2336" s="133" t="str">
        <f>Saud!C2336</f>
        <v>2025-8321</v>
      </c>
    </row>
    <row r="2337">
      <c r="A2337" s="133" t="str">
        <f>Saud!F2337</f>
        <v>WEL DC CORE OCEAN (1.75KG +4 KG )</v>
      </c>
      <c r="B2337" s="133" t="str">
        <f>Saud!E2337</f>
        <v>مكتمل </v>
      </c>
      <c r="C2337" s="133" t="str">
        <f>Saud!C2337</f>
        <v>2025-8367</v>
      </c>
    </row>
    <row r="2338">
      <c r="A2338" s="133" t="str">
        <f>Saud!F2338</f>
        <v>WEL DD CORE SB Hlthy Wt 1.5kg</v>
      </c>
      <c r="B2338" s="133" t="str">
        <f>Saud!E2338</f>
        <v>مكتمل</v>
      </c>
      <c r="C2338" s="133" t="str">
        <f>Saud!C2338</f>
        <v>2025-18532</v>
      </c>
    </row>
    <row r="2339">
      <c r="A2339" s="133" t="str">
        <f>Saud!F2339</f>
        <v>WEL DD CORE SB Adult Ocean 1.5kg 5kg</v>
      </c>
      <c r="B2339" s="133" t="str">
        <f>Saud!E2339</f>
        <v>مكتمل</v>
      </c>
      <c r="C2339" s="133" t="str">
        <f>Saud!C2339</f>
        <v>2025-18473</v>
      </c>
    </row>
    <row r="2340">
      <c r="A2340" s="133" t="str">
        <f>Saud!F2340</f>
        <v>WEL DD CORE SB Original 1.5kg</v>
      </c>
      <c r="B2340" s="133" t="str">
        <f>Saud!E2340</f>
        <v>مكتمل</v>
      </c>
      <c r="C2340" s="133" t="str">
        <f>Saud!C2340</f>
        <v>2025-18511</v>
      </c>
    </row>
    <row r="2341">
      <c r="A2341" s="133" t="str">
        <f>Saud!F2341</f>
        <v>WEL DD CORE SB adult Original 5kg</v>
      </c>
      <c r="B2341" s="133" t="str">
        <f>Saud!E2341</f>
        <v>مكتمل</v>
      </c>
      <c r="C2341" s="133" t="str">
        <f>Saud!C2341</f>
        <v>2025-18517</v>
      </c>
    </row>
    <row r="2342">
      <c r="A2342" s="133" t="str">
        <f>Saud!F2342</f>
        <v>WEL DD CORE LB Puppy 2.75kg 10kg </v>
      </c>
      <c r="B2342" s="133" t="str">
        <f>Saud!E2342</f>
        <v>مكتمل</v>
      </c>
      <c r="C2342" s="133" t="str">
        <f>Saud!C2342</f>
        <v>2025-18561</v>
      </c>
    </row>
    <row r="2343">
      <c r="A2343" s="133" t="str">
        <f>Saud!F2343</f>
        <v>WEL DD CORE SB Adult Low Fat 5kg</v>
      </c>
      <c r="B2343" s="133" t="str">
        <f>Saud!E2343</f>
        <v>مكتمل</v>
      </c>
      <c r="C2343" s="133" t="str">
        <f>Saud!C2343</f>
        <v>2025-18539</v>
      </c>
    </row>
    <row r="2344">
      <c r="A2344" s="133" t="str">
        <f>Saud!F2344</f>
        <v>WEL DD CORE LB Original 10kg</v>
      </c>
      <c r="B2344" s="133" t="str">
        <f>Saud!E2344</f>
        <v>مكتمل</v>
      </c>
      <c r="C2344" s="133" t="str">
        <f>Saud!C2344</f>
        <v>2025-20431</v>
      </c>
    </row>
    <row r="2345">
      <c r="A2345" s="133" t="str">
        <f>Saud!F2345</f>
        <v>Solid Gold NUTRIENT BOOST KATZ N FLOCKEN LAMB 4.98kg</v>
      </c>
      <c r="B2345" s="133" t="str">
        <f>Saud!E2345</f>
        <v>مكتمل </v>
      </c>
      <c r="C2345" s="133" t="str">
        <f>Saud!C2345</f>
        <v>2024-257407</v>
      </c>
    </row>
    <row r="2346">
      <c r="A2346" s="133" t="str">
        <f>Saud!F2346</f>
        <v>SOLID GOLD LEAPNIG WATERS SALMON LOAF</v>
      </c>
      <c r="B2346" s="133" t="str">
        <f>Saud!E2346</f>
        <v>مكتمل </v>
      </c>
      <c r="C2346" s="133" t="str">
        <f>Saud!C2346</f>
        <v>2024-257490</v>
      </c>
    </row>
    <row r="2347">
      <c r="A2347" s="133" t="str">
        <f>Saud!F2347</f>
        <v>SOLID GOLD NB KATZ N FLOCKEN LAMB</v>
      </c>
      <c r="B2347" s="133" t="str">
        <f>Saud!E2347</f>
        <v>مكتمل </v>
      </c>
      <c r="C2347" s="133" t="str">
        <f>Saud!C2347</f>
        <v>2024-257381</v>
      </c>
    </row>
    <row r="2348">
      <c r="A2348" s="133" t="str">
        <f>Saud!F2348</f>
        <v>Encore Cat Chicken Breast in Broth 70g</v>
      </c>
      <c r="B2348" s="133" t="str">
        <f>Saud!E2348</f>
        <v>مكتمل </v>
      </c>
      <c r="C2348" s="133" t="str">
        <f>Saud!C2348</f>
        <v>2025-44881</v>
      </c>
    </row>
    <row r="2349">
      <c r="A2349" s="133" t="str">
        <f>Saud!F2349</f>
        <v>Encore Cat Tuna Fillet in Broth 70g</v>
      </c>
      <c r="B2349" s="133" t="str">
        <f>Saud!E2349</f>
        <v>مكتمل </v>
      </c>
      <c r="C2349" s="133" t="str">
        <f>Saud!C2349</f>
        <v>2025-44899</v>
      </c>
    </row>
    <row r="2350">
      <c r="A2350" s="133" t="str">
        <f>Saud!F2350</f>
        <v>Encore Cat Tuna Fillet with Shrimp in Broth 70g</v>
      </c>
      <c r="B2350" s="133" t="str">
        <f>Saud!E2350</f>
        <v>مكتمل</v>
      </c>
      <c r="C2350" s="133" t="str">
        <f>Saud!C2350</f>
        <v>2025-128620</v>
      </c>
    </row>
    <row r="2351">
      <c r="A2351" s="133" t="str">
        <f>Saud!F2351</f>
        <v>Encore Cat Tuna Fillet with Salmon in Broth 70غ</v>
      </c>
      <c r="B2351" s="133" t="str">
        <f>Saud!E2351</f>
        <v>مكتمل</v>
      </c>
      <c r="C2351" s="133" t="str">
        <f>Saud!C2351</f>
        <v>2025-128651</v>
      </c>
    </row>
    <row r="2352">
      <c r="A2352" s="133" t="str">
        <f>Saud!F2352</f>
        <v>Encore Cat Chicken Breast with Brown Rice in Broth 70g</v>
      </c>
      <c r="B2352" s="133" t="str">
        <f>Saud!E2352</f>
        <v>مكتمل</v>
      </c>
      <c r="C2352" s="133" t="str">
        <f>Saud!C2352</f>
        <v>2025-44943</v>
      </c>
    </row>
    <row r="2353">
      <c r="A2353" s="133" t="str">
        <f>Saud!F2353</f>
        <v>Encore Cat Tuna Fillet with Prawn in Broth 70g</v>
      </c>
      <c r="B2353" s="133" t="str">
        <f>Saud!E2353</f>
        <v>مكتمل</v>
      </c>
      <c r="C2353" s="133" t="str">
        <f>Saud!C2353</f>
        <v>2025-44919</v>
      </c>
    </row>
    <row r="2354">
      <c r="A2354" s="133" t="str">
        <f>Saud!F2354</f>
        <v>Encore Cat Tuna in Jelly 50g</v>
      </c>
      <c r="B2354" s="133" t="str">
        <f>Saud!E2354</f>
        <v>artwork missing </v>
      </c>
      <c r="C2354" s="133" t="str">
        <f>Saud!C2354</f>
        <v/>
      </c>
    </row>
    <row r="2355">
      <c r="A2355" s="133" t="str">
        <f>Saud!F2355</f>
        <v>Encore Cat Tuna with Mackerel in Jelly 50g</v>
      </c>
      <c r="B2355" s="133" t="str">
        <f>Saud!E2355</f>
        <v>artwork missing </v>
      </c>
      <c r="C2355" s="133" t="str">
        <f>Saud!C2355</f>
        <v/>
      </c>
    </row>
    <row r="2356">
      <c r="A2356" s="133" t="str">
        <f>Saud!F2356</f>
        <v>Encore Cat Tuna with Salmon in Jelly 50g</v>
      </c>
      <c r="B2356" s="133" t="str">
        <f>Saud!E2356</f>
        <v>artwork missing </v>
      </c>
      <c r="C2356" s="133" t="str">
        <f>Saud!C2356</f>
        <v/>
      </c>
    </row>
    <row r="2357">
      <c r="A2357" s="133" t="str">
        <f>Saud!F2357</f>
        <v>Princess Plus Kitten Complete Cat Food</v>
      </c>
      <c r="B2357" s="133" t="str">
        <f>Saud!E2357</f>
        <v>مكتمل </v>
      </c>
      <c r="C2357" s="133" t="str">
        <f>Saud!C2357</f>
        <v/>
      </c>
    </row>
    <row r="2358">
      <c r="A2358" s="133" t="str">
        <f>Saud!F2358</f>
        <v>Princess Plus Maintenance Complete Cat Food</v>
      </c>
      <c r="B2358" s="133" t="str">
        <f>Saud!E2358</f>
        <v>مكتمل </v>
      </c>
      <c r="C2358" s="133" t="str">
        <f>Saud!C2358</f>
        <v>2025-51211</v>
      </c>
    </row>
    <row r="2359">
      <c r="A2359" s="133" t="str">
        <f>Saud!F2359</f>
        <v>CeDe eivoer kanarie 1kg</v>
      </c>
      <c r="B2359" s="133" t="str">
        <f>Saud!E2359</f>
        <v>مكتمل</v>
      </c>
      <c r="C2359" s="133" t="str">
        <f>Saud!C2359</f>
        <v>2025-64459</v>
      </c>
    </row>
    <row r="2360">
      <c r="A2360" s="133" t="str">
        <f>Saud!F2360</f>
        <v>CeDe opfokvoer Bianco 1kg</v>
      </c>
      <c r="B2360" s="133" t="str">
        <f>Saud!E2360</f>
        <v>مكتمل </v>
      </c>
      <c r="C2360" s="133" t="str">
        <f>Saud!C2360</f>
        <v>2025-64402</v>
      </c>
    </row>
    <row r="2361">
      <c r="A2361" s="133" t="str">
        <f>Saud!F2361</f>
        <v>CeDe eivoer grasparkiet 1kg</v>
      </c>
      <c r="B2361" s="133" t="str">
        <f>Saud!E2361</f>
        <v>مكتمل </v>
      </c>
      <c r="C2361" s="133" t="str">
        <f>Saud!C2361</f>
        <v>2025-64493</v>
      </c>
    </row>
    <row r="2362">
      <c r="A2362" s="133" t="str">
        <f>Saud!F2362</f>
        <v>CéDé egg food tropical finches 1kg</v>
      </c>
      <c r="B2362" s="133" t="str">
        <f>Saud!E2362</f>
        <v>مكتمل</v>
      </c>
      <c r="C2362" s="133" t="str">
        <f>Saud!C2362</f>
        <v>2025-64383</v>
      </c>
    </row>
    <row r="2363">
      <c r="A2363" s="133" t="str">
        <f>Saud!F2363</f>
        <v>CeDe eivoer grate parkiet &amp; papegaai 1kg</v>
      </c>
      <c r="B2363" s="133" t="str">
        <f>Saud!E2363</f>
        <v>مكتمل</v>
      </c>
      <c r="C2363" s="133" t="str">
        <f>Saud!C2363</f>
        <v>2025-64420</v>
      </c>
    </row>
    <row r="2364">
      <c r="A2364" s="133" t="str">
        <f>Saud!F2364</f>
        <v>CeDe onderhoudsvoer Allround 1kg</v>
      </c>
      <c r="B2364" s="133" t="str">
        <f>Saud!E2364</f>
        <v>مكتمل</v>
      </c>
      <c r="C2364" s="133" t="str">
        <f>Saud!C2364</f>
        <v>2025-63169</v>
      </c>
    </row>
    <row r="2365">
      <c r="A2365" s="133" t="str">
        <f>Saud!F2365</f>
        <v>CeDe prote"ine mix 1kg</v>
      </c>
      <c r="B2365" s="133" t="str">
        <f>Saud!E2365</f>
        <v>مكتمل </v>
      </c>
      <c r="C2365" s="133" t="str">
        <f>Saud!C2365</f>
        <v>2025-64438</v>
      </c>
    </row>
    <row r="2366">
      <c r="A2366" s="133" t="str">
        <f>Saud!F2366</f>
        <v>CeDe eivoer rul Allround 1kg 200g</v>
      </c>
      <c r="B2366" s="133" t="str">
        <f>Saud!E2366</f>
        <v>مكتمل</v>
      </c>
      <c r="C2366" s="133" t="str">
        <f>Saud!C2366</f>
        <v>2025-63137</v>
      </c>
    </row>
    <row r="2367">
      <c r="A2367" s="133" t="str">
        <f>Saud!F2367</f>
        <v/>
      </c>
      <c r="B2367" s="133" t="str">
        <f>Saud!E2367</f>
        <v/>
      </c>
      <c r="C2367" s="133" t="str">
        <f>Saud!C2367</f>
        <v/>
      </c>
    </row>
    <row r="2368">
      <c r="A2368" s="133" t="str">
        <f>Saud!F2368</f>
        <v>CeDe eivoer rul All round tropisch fruit 200g</v>
      </c>
      <c r="B2368" s="133" t="str">
        <f>Saud!E2368</f>
        <v>مكتمل</v>
      </c>
      <c r="C2368" s="133" t="str">
        <f>Saud!C2368</f>
        <v>2025-63178</v>
      </c>
    </row>
    <row r="2369">
      <c r="A2369" s="133" t="str">
        <f>Saud!F2369</f>
        <v>CeDe eivoer rul Allround kruiden &amp; appel 200g</v>
      </c>
      <c r="B2369" s="133" t="str">
        <f>Saud!E2369</f>
        <v>مكتمل</v>
      </c>
      <c r="C2369" s="133" t="str">
        <f>Saud!C2369</f>
        <v>2025-63216</v>
      </c>
    </row>
    <row r="2370">
      <c r="A2370" s="133" t="str">
        <f>Saud!F2370</f>
        <v>CeDe eivoer rul All round noten &amp; fruit grof 200g</v>
      </c>
      <c r="B2370" s="133" t="str">
        <f>Saud!E2370</f>
        <v>مكتمل</v>
      </c>
      <c r="C2370" s="133" t="str">
        <f>Saud!C2370</f>
        <v>2025-63233</v>
      </c>
    </row>
    <row r="2371">
      <c r="A2371" s="133" t="str">
        <f>Saud!F2371</f>
        <v>CeDe eivoer Allround 100% eicake 120g</v>
      </c>
      <c r="B2371" s="133" t="str">
        <f>Saud!E2371</f>
        <v>مكتمل</v>
      </c>
      <c r="C2371" s="133" t="str">
        <f>Saud!C2371</f>
        <v>2025-63285</v>
      </c>
    </row>
    <row r="2372">
      <c r="A2372" s="133" t="str">
        <f>Saud!F2372</f>
        <v>ECHO Mini/Toy 1,5kg</v>
      </c>
      <c r="B2372" s="133" t="str">
        <f>Saud!E2372</f>
        <v>مكتمل</v>
      </c>
      <c r="C2372" s="133" t="str">
        <f>Saud!C2372</f>
        <v>2025-34214</v>
      </c>
    </row>
    <row r="2373">
      <c r="A2373" s="133" t="str">
        <f>Saud!F2373</f>
        <v>DERMO Mini/Toy 1,5kg</v>
      </c>
      <c r="B2373" s="133" t="str">
        <f>Saud!E2373</f>
        <v>مكتمل</v>
      </c>
      <c r="C2373" s="133" t="str">
        <f>Saud!C2373</f>
        <v>2025-34253</v>
      </c>
    </row>
    <row r="2374">
      <c r="A2374" s="133" t="str">
        <f>Saud!F2374</f>
        <v>INTESTINAL Mini/Toy 1 ,5kg </v>
      </c>
      <c r="B2374" s="133" t="str">
        <f>Saud!E2374</f>
        <v>مكتمل</v>
      </c>
      <c r="C2374" s="133" t="str">
        <f>Saud!C2374</f>
        <v>2025-34301</v>
      </c>
    </row>
    <row r="2375">
      <c r="A2375" s="133" t="str">
        <f>Saud!F2375</f>
        <v>Salmon Oil 430ml</v>
      </c>
      <c r="B2375" s="133" t="str">
        <f>Saud!E2375</f>
        <v>مكتمل</v>
      </c>
      <c r="C2375" s="133" t="str">
        <f>Saud!C2375</f>
        <v/>
      </c>
    </row>
    <row r="2376">
      <c r="A2376" s="133" t="str">
        <f>Saud!F2376</f>
        <v>Felyngo Salmon in gravy 75g</v>
      </c>
      <c r="B2376" s="133" t="str">
        <f>Saud!E2376</f>
        <v>مكتمل</v>
      </c>
      <c r="C2376" s="133" t="str">
        <f>Saud!C2376</f>
        <v>2025-73675</v>
      </c>
    </row>
    <row r="2377">
      <c r="A2377" s="133" t="str">
        <f>Saud!F2377</f>
        <v>Felyn Go C&amp;B Cans Tuna in Gravy 75g</v>
      </c>
      <c r="B2377" s="133" t="str">
        <f>Saud!E2377</f>
        <v>مكتمل </v>
      </c>
      <c r="C2377" s="133" t="str">
        <f>Saud!C2377</f>
        <v>2025-75574</v>
      </c>
    </row>
    <row r="2378">
      <c r="A2378" s="133" t="str">
        <f>Saud!F2378</f>
        <v>Felyn Go C&amp;B Cans Mackerel with Pumpkin in Jelly 75g</v>
      </c>
      <c r="B2378" s="133" t="str">
        <f>Saud!E2378</f>
        <v>مكتمل </v>
      </c>
      <c r="C2378" s="133" t="str">
        <f>Saud!C2378</f>
        <v>2025-73702</v>
      </c>
    </row>
    <row r="2379">
      <c r="A2379" s="133" t="str">
        <f>Saud!F2379</f>
        <v>Felyn Go C&amp;B Cans Chicken in Gravy 75g</v>
      </c>
      <c r="B2379" s="133" t="str">
        <f>Saud!E2379</f>
        <v>مكتمل </v>
      </c>
      <c r="C2379" s="133" t="str">
        <f>Saud!C2379</f>
        <v>2025-75587</v>
      </c>
    </row>
    <row r="2380">
      <c r="A2380" s="133" t="str">
        <f>Saud!F2380</f>
        <v>Felyn Go C&amp;B Cans Chicken with Pumpkin &amp; Vegetables in Gravy 75g</v>
      </c>
      <c r="B2380" s="133" t="str">
        <f>Saud!E2380</f>
        <v>مكتمل </v>
      </c>
      <c r="C2380" s="133" t="str">
        <f>Saud!C2380</f>
        <v>2025-73750</v>
      </c>
    </row>
    <row r="2381">
      <c r="A2381" s="133" t="str">
        <f>Saud!F2381</f>
        <v>Felyn Go C&amp;B Cans Tuna with Pumpkin in Gravy 75g</v>
      </c>
      <c r="B2381" s="133" t="str">
        <f>Saud!E2381</f>
        <v>مكتمل </v>
      </c>
      <c r="C2381" s="133" t="str">
        <f>Saud!C2381</f>
        <v>2025-75597</v>
      </c>
    </row>
    <row r="2382">
      <c r="A2382" s="133" t="str">
        <f>Saud!F2382</f>
        <v>Felyn Go C&amp;B Cans Tuna with Rice in Jelly 75g</v>
      </c>
      <c r="B2382" s="133" t="str">
        <f>Saud!E2382</f>
        <v>مكتمل </v>
      </c>
      <c r="C2382" s="133" t="str">
        <f>Saud!C2382</f>
        <v>2025-75606</v>
      </c>
    </row>
    <row r="2383">
      <c r="A2383" s="133" t="str">
        <f>Saud!F2383</f>
        <v>Tuna white meat and Rice with Pumpkin in Broth</v>
      </c>
      <c r="B2383" s="133" t="str">
        <f>Saud!E2383</f>
        <v/>
      </c>
      <c r="C2383" s="133" t="str">
        <f>Saud!C2383</f>
        <v>missing artwork</v>
      </c>
    </row>
    <row r="2384">
      <c r="A2384" s="133" t="str">
        <f>Saud!F2384</f>
        <v>Tuna white meat and Rice in Fish broth</v>
      </c>
      <c r="B2384" s="133" t="str">
        <f>Saud!E2384</f>
        <v/>
      </c>
      <c r="C2384" s="133" t="str">
        <f>Saud!C2384</f>
        <v>missing artwork</v>
      </c>
    </row>
    <row r="2385">
      <c r="A2385" s="133" t="str">
        <f>Saud!F2385</f>
        <v>Tuna white meat, Seabream and Rice in Fish broth</v>
      </c>
      <c r="B2385" s="133" t="str">
        <f>Saud!E2385</f>
        <v/>
      </c>
      <c r="C2385" s="133" t="str">
        <f>Saud!C2385</f>
        <v>missing artwork</v>
      </c>
    </row>
    <row r="2386">
      <c r="A2386" s="133" t="str">
        <f>Saud!F2386</f>
        <v>Chicken with Seabream and Rice in Chicken broth</v>
      </c>
      <c r="B2386" s="133" t="str">
        <f>Saud!E2386</f>
        <v/>
      </c>
      <c r="C2386" s="133" t="str">
        <f>Saud!C2386</f>
        <v>missing artwork</v>
      </c>
    </row>
    <row r="2387">
      <c r="A2387" s="133" t="str">
        <f>Saud!F2387</f>
        <v>Felyngo Chicken and Rice with Spinach in Jelly</v>
      </c>
      <c r="B2387" s="133" t="str">
        <f>Saud!E2387</f>
        <v>مرفوض </v>
      </c>
      <c r="C2387" s="133" t="str">
        <f>Saud!C2387</f>
        <v>2025-73720</v>
      </c>
    </row>
    <row r="2388">
      <c r="A2388" s="133" t="str">
        <f>Saud!F2388</f>
        <v>Felyn Go C&amp;B Cans Chicken with Beef in Jelly 75g</v>
      </c>
      <c r="B2388" s="133" t="str">
        <f>Saud!E2388</f>
        <v>مكتمل </v>
      </c>
      <c r="C2388" s="133" t="str">
        <f>Saud!C2388</f>
        <v>2025-74007</v>
      </c>
    </row>
    <row r="2389">
      <c r="A2389" s="133" t="str">
        <f>Saud!F2389</f>
        <v>Felyn Go C&amp;B Cans Chicken with Pumpkin &amp; Rice in Jelly 75g</v>
      </c>
      <c r="B2389" s="133" t="str">
        <f>Saud!E2389</f>
        <v>مكتمل </v>
      </c>
      <c r="C2389" s="133" t="str">
        <f>Saud!C2389</f>
        <v>2025-74030</v>
      </c>
    </row>
    <row r="2390">
      <c r="A2390" s="133" t="str">
        <f>Saud!F2390</f>
        <v>Felyn Go C&amp;B Cans Chicken with Green Peas &amp; Rice in Jelly 75g</v>
      </c>
      <c r="B2390" s="133" t="str">
        <f>Saud!E2390</f>
        <v>مكتمل </v>
      </c>
      <c r="C2390" s="133" t="str">
        <f>Saud!C2390</f>
        <v>2025-74056</v>
      </c>
    </row>
    <row r="2391">
      <c r="A2391" s="133" t="str">
        <f>Saud!F2391</f>
        <v>Salmon and Rice in Solution</v>
      </c>
      <c r="B2391" s="133" t="str">
        <f>Saud!E2391</f>
        <v/>
      </c>
      <c r="C2391" s="133" t="str">
        <f>Saud!C2391</f>
        <v>missing artwork</v>
      </c>
    </row>
    <row r="2392">
      <c r="A2392" s="133" t="str">
        <f>Saud!F2392</f>
        <v>Felyn Go C&amp;B Cans Tuna with Surimi in Jelly 75g</v>
      </c>
      <c r="B2392" s="133" t="str">
        <f>Saud!E2392</f>
        <v>مكتمل </v>
      </c>
      <c r="C2392" s="133" t="str">
        <f>Saud!C2392</f>
        <v>2025-74090</v>
      </c>
    </row>
    <row r="2393">
      <c r="A2393" s="133" t="str">
        <f>Saud!F2393</f>
        <v>Felyn Go C&amp;B Cans Chicken Breast with Cheese in Gravy 75g</v>
      </c>
      <c r="B2393" s="133" t="str">
        <f>Saud!E2393</f>
        <v>مكتمل </v>
      </c>
      <c r="C2393" s="133" t="str">
        <f>Saud!C2393</f>
        <v>2025-74108</v>
      </c>
    </row>
    <row r="2394">
      <c r="A2394" s="133" t="str">
        <f>Saud!F2394</f>
        <v>Felyn Go C&amp;B Cans Chicken Fillets in Jelly 75g</v>
      </c>
      <c r="B2394" s="133" t="str">
        <f>Saud!E2394</f>
        <v>مكتمل </v>
      </c>
      <c r="C2394" s="133" t="str">
        <f>Saud!C2394</f>
        <v>2025-74166</v>
      </c>
    </row>
    <row r="2395">
      <c r="A2395" s="133" t="str">
        <f>Saud!F2395</f>
        <v>Felyn Go C&amp;B Cans Tuna &amp; Chicken in Gravy 75g</v>
      </c>
      <c r="B2395" s="133" t="str">
        <f>Saud!E2395</f>
        <v>مكتمل </v>
      </c>
      <c r="C2395" s="133" t="str">
        <f>Saud!C2395</f>
        <v>2025-74176</v>
      </c>
    </row>
    <row r="2396">
      <c r="A2396" s="133" t="str">
        <f>Saud!F2396</f>
        <v>Felyn Go C&amp;B Cans Chicken Breast with Pumpkin in Gravy 75g</v>
      </c>
      <c r="B2396" s="133" t="str">
        <f>Saud!E2396</f>
        <v>مكتمل </v>
      </c>
      <c r="C2396" s="133" t="str">
        <f>Saud!C2396</f>
        <v>2025-74190</v>
      </c>
    </row>
    <row r="2397">
      <c r="A2397" s="133" t="str">
        <f>Saud!F2397</f>
        <v>Felyn Go C&amp;B Cans Tuna with Shrimp in Jelly 75g</v>
      </c>
      <c r="B2397" s="133" t="str">
        <f>Saud!E2397</f>
        <v>مكتمل </v>
      </c>
      <c r="C2397" s="133" t="str">
        <f>Saud!C2397</f>
        <v>2025-74209</v>
      </c>
    </row>
    <row r="2398">
      <c r="A2398" s="133" t="str">
        <f>Saud!F2398</f>
        <v>Felyn Go C&amp;B Cans Tuna with Chicken in Jelly 75g</v>
      </c>
      <c r="B2398" s="133" t="str">
        <f>Saud!E2398</f>
        <v>مكتمل </v>
      </c>
      <c r="C2398" s="133" t="str">
        <f>Saud!C2398</f>
        <v>2025-74220</v>
      </c>
    </row>
    <row r="2399">
      <c r="A2399" s="133" t="str">
        <f>Saud!F2399</f>
        <v>Felyn Go C&amp;B Cans Chicken Fillets with Surimi in Jelly 75g</v>
      </c>
      <c r="B2399" s="133" t="str">
        <f>Saud!E2399</f>
        <v>مكتمل </v>
      </c>
      <c r="C2399" s="133" t="str">
        <f>Saud!C2399</f>
        <v>2025-74226</v>
      </c>
    </row>
    <row r="2400">
      <c r="A2400" s="133" t="str">
        <f>Saud!F2400</f>
        <v>Chicken Breast with Vegetables</v>
      </c>
      <c r="B2400" s="133" t="str">
        <f>Saud!E2400</f>
        <v/>
      </c>
      <c r="C2400" s="133" t="str">
        <f>Saud!C2400</f>
        <v>missing artwork</v>
      </c>
    </row>
    <row r="2401">
      <c r="A2401" s="133" t="str">
        <f>Saud!F2401</f>
        <v>Chicken Breast with Salmon and Vegetables</v>
      </c>
      <c r="B2401" s="133" t="str">
        <f>Saud!E2401</f>
        <v/>
      </c>
      <c r="C2401" s="133" t="str">
        <f>Saud!C2401</f>
        <v>missing artwork</v>
      </c>
    </row>
    <row r="2402">
      <c r="A2402" s="133" t="str">
        <f>Saud!F2402</f>
        <v>Chicken Breast with Beef Liver &amp; Vegetables</v>
      </c>
      <c r="B2402" s="133" t="str">
        <f>Saud!E2402</f>
        <v/>
      </c>
      <c r="C2402" s="133" t="str">
        <f>Saud!C2402</f>
        <v>missing artwork</v>
      </c>
    </row>
    <row r="2403">
      <c r="A2403" s="133" t="str">
        <f>Saud!F2403</f>
        <v>Chicken &amp; Beef with Baby Corn &amp; Broccoli</v>
      </c>
      <c r="B2403" s="133" t="str">
        <f>Saud!E2403</f>
        <v/>
      </c>
      <c r="C2403" s="133" t="str">
        <f>Saud!C2403</f>
        <v>missing artwork</v>
      </c>
    </row>
    <row r="2404">
      <c r="A2404" s="133" t="str">
        <f>Saud!F2404</f>
        <v>Tuna Fillets with Cheese</v>
      </c>
      <c r="B2404" s="133" t="str">
        <f>Saud!E2404</f>
        <v/>
      </c>
      <c r="C2404" s="133" t="str">
        <f>Saud!C2404</f>
        <v>missing artwork</v>
      </c>
    </row>
    <row r="2405">
      <c r="A2405" s="133" t="str">
        <f>Saud!F2405</f>
        <v>Tuna Fillets with Prawn</v>
      </c>
      <c r="B2405" s="133" t="str">
        <f>Saud!E2405</f>
        <v/>
      </c>
      <c r="C2405" s="133" t="str">
        <f>Saud!C2405</f>
        <v>missing artwork</v>
      </c>
    </row>
    <row r="2406">
      <c r="A2406" s="133" t="str">
        <f>Saud!F2406</f>
        <v>Felyn Go C&amp;B Cans Tuna in Jelly for Kittens 75g</v>
      </c>
      <c r="B2406" s="133" t="str">
        <f>Saud!E2406</f>
        <v>مكتمل</v>
      </c>
      <c r="C2406" s="133" t="str">
        <f>Saud!C2406</f>
        <v>2025-74246</v>
      </c>
    </row>
    <row r="2407">
      <c r="A2407" s="133" t="str">
        <f>Saud!F2407</f>
        <v>Felyngo Kitten Chicken in Jelly</v>
      </c>
      <c r="B2407" s="133" t="str">
        <f>Saud!E2407</f>
        <v/>
      </c>
      <c r="C2407" s="133" t="str">
        <f>Saud!C2407</f>
        <v>artwork missing</v>
      </c>
    </row>
    <row r="2408">
      <c r="A2408" s="133" t="str">
        <f>Saud!F2408</f>
        <v>Felyngo Tuna with rice in jelly 75g</v>
      </c>
      <c r="B2408" s="133" t="str">
        <f>Saud!E2408</f>
        <v>مكتمل</v>
      </c>
      <c r="C2408" s="133" t="str">
        <f>Saud!C2408</f>
        <v>2025-74284</v>
      </c>
    </row>
    <row r="2409">
      <c r="A2409" s="133" t="str">
        <f>Saud!F2409</f>
        <v>Felyngo Tuna soup with papaya</v>
      </c>
      <c r="B2409" s="133" t="str">
        <f>Saud!E2409</f>
        <v>مرفوض</v>
      </c>
      <c r="C2409" s="133" t="str">
        <f>Saud!C2409</f>
        <v>2025-74293</v>
      </c>
    </row>
    <row r="2410">
      <c r="A2410" s="133" t="str">
        <f>Saud!F2410</f>
        <v>Kit Cat Tuna &amp; Chicken 80g</v>
      </c>
      <c r="B2410" s="133" t="str">
        <f>Saud!E2410</f>
        <v/>
      </c>
      <c r="C2410" s="133" t="str">
        <f>Saud!C2410</f>
        <v>artwork missing</v>
      </c>
    </row>
    <row r="2411">
      <c r="A2411" s="133" t="str">
        <f>Saud!F2411</f>
        <v>Kit Cat Classic Tuna 80g</v>
      </c>
      <c r="B2411" s="133" t="str">
        <f>Saud!E2411</f>
        <v/>
      </c>
      <c r="C2411" s="133" t="str">
        <f>Saud!C2411</f>
        <v>artwork missing</v>
      </c>
    </row>
    <row r="2412">
      <c r="A2412" s="133" t="str">
        <f>Saud!F2412</f>
        <v>Kit Cat Tuna &amp; Salmon 80g</v>
      </c>
      <c r="B2412" s="133" t="str">
        <f>Saud!E2412</f>
        <v/>
      </c>
      <c r="C2412" s="133" t="str">
        <f>Saud!C2412</f>
        <v>artwork missing</v>
      </c>
    </row>
    <row r="2413">
      <c r="A2413" s="133" t="str">
        <f>Saud!F2413</f>
        <v>Kit Cat Tuna &amp; Egg Yolk 80g</v>
      </c>
      <c r="B2413" s="133" t="str">
        <f>Saud!E2413</f>
        <v>مكتمل</v>
      </c>
      <c r="C2413" s="133" t="str">
        <f>Saud!C2413</f>
        <v>2025-84453</v>
      </c>
    </row>
    <row r="2414">
      <c r="A2414" s="133" t="str">
        <f>Saud!F2414</f>
        <v>Kit Cat Tuna &amp; Chicken Heart 80g</v>
      </c>
      <c r="B2414" s="133" t="str">
        <f>Saud!E2414</f>
        <v>مكتمل</v>
      </c>
      <c r="C2414" s="133" t="str">
        <f>Saud!C2414</f>
        <v>2025-84527</v>
      </c>
    </row>
    <row r="2415">
      <c r="A2415" s="133" t="str">
        <f>Saud!F2415</f>
        <v>Kit Cat Classic Chicken 80g</v>
      </c>
      <c r="B2415" s="133" t="str">
        <f>Saud!E2415</f>
        <v/>
      </c>
      <c r="C2415" s="133" t="str">
        <f>Saud!C2415</f>
        <v>artwork missing</v>
      </c>
    </row>
    <row r="2416">
      <c r="A2416" s="133" t="str">
        <f>Saud!F2416</f>
        <v>Kit Cat Chicken &amp; Egg Yolk 80g</v>
      </c>
      <c r="B2416" s="133" t="str">
        <f>Saud!E2416</f>
        <v>مكتمل</v>
      </c>
      <c r="C2416" s="133" t="str">
        <f>Saud!C2416</f>
        <v>2025-84561</v>
      </c>
    </row>
    <row r="2417">
      <c r="A2417" s="133" t="str">
        <f>Saud!F2417</f>
        <v>Kit Cat Chicken &amp; Chicken Heart 80g</v>
      </c>
      <c r="B2417" s="133" t="str">
        <f>Saud!E2417</f>
        <v>مكتمل</v>
      </c>
      <c r="C2417" s="133" t="str">
        <f>Saud!C2417</f>
        <v>2025-86054</v>
      </c>
    </row>
    <row r="2418">
      <c r="A2418" s="133" t="str">
        <f>Saud!F2418</f>
        <v>Kit Cat Chicken &amp; Whitebait 80g</v>
      </c>
      <c r="B2418" s="133" t="str">
        <f>Saud!E2418</f>
        <v/>
      </c>
      <c r="C2418" s="133" t="str">
        <f>Saud!C2418</f>
        <v>artwork missing</v>
      </c>
    </row>
    <row r="2419">
      <c r="A2419" s="133" t="str">
        <f>Saud!F2419</f>
        <v>Kit Cat Chicken &amp; Salmon 80g</v>
      </c>
      <c r="B2419" s="133" t="str">
        <f>Saud!E2419</f>
        <v/>
      </c>
      <c r="C2419" s="133" t="str">
        <f>Saud!C2419</f>
        <v>artwork missing</v>
      </c>
    </row>
    <row r="2420">
      <c r="A2420" s="133" t="str">
        <f>Saud!F2420</f>
        <v>Kit Cat Purrpuree Salmon Mix 900g</v>
      </c>
      <c r="B2420" s="133" t="str">
        <f>Saud!E2420</f>
        <v>مكتمل</v>
      </c>
      <c r="C2420" s="133" t="str">
        <f>Saud!C2420</f>
        <v>2025-84600</v>
      </c>
    </row>
    <row r="2421">
      <c r="A2421" s="133" t="str">
        <f>Saud!F2421</f>
        <v>Kit Cat Purrpuree Tuna Mix 900g</v>
      </c>
      <c r="B2421" s="133" t="str">
        <f>Saud!E2421</f>
        <v>مكتمل</v>
      </c>
      <c r="C2421" s="133" t="str">
        <f>Saud!C2421</f>
        <v>2025-84613</v>
      </c>
    </row>
    <row r="2422">
      <c r="A2422" s="133" t="str">
        <f>Saud!F2422</f>
        <v>Kit Cat Purrpuree Egg Yolk Mix 900g</v>
      </c>
      <c r="B2422" s="133" t="str">
        <f>Saud!E2422</f>
        <v>مكتمل</v>
      </c>
      <c r="C2422" s="133" t="str">
        <f>Saud!C2422</f>
        <v>2025-84636</v>
      </c>
    </row>
    <row r="2423">
      <c r="A2423" s="133" t="str">
        <f>Saud!F2423</f>
        <v>Kit Cat Purrpuree Goat Milk Mix 900g</v>
      </c>
      <c r="B2423" s="133" t="str">
        <f>Saud!E2423</f>
        <v>مكتمل</v>
      </c>
      <c r="C2423" s="133" t="str">
        <f>Saud!C2423</f>
        <v>2025-84644</v>
      </c>
    </row>
    <row r="2424">
      <c r="A2424" s="133" t="str">
        <f>Saud!F2424</f>
        <v>Kit Cat Purrpuree Chicken Mix 900g</v>
      </c>
      <c r="B2424" s="133" t="str">
        <f>Saud!E2424</f>
        <v>مكتمل</v>
      </c>
      <c r="C2424" s="133" t="str">
        <f>Saud!C2424</f>
        <v>2025-84650</v>
      </c>
    </row>
    <row r="2425">
      <c r="A2425" s="133" t="str">
        <f>Saud!F2425</f>
        <v>Kit Cat Purrpuree Variety Mix 900g</v>
      </c>
      <c r="B2425" s="133" t="str">
        <f>Saud!E2425</f>
        <v>مكتمل</v>
      </c>
      <c r="C2425" s="133" t="str">
        <f>Saud!C2425</f>
        <v>2025-84667</v>
      </c>
    </row>
    <row r="2426">
      <c r="A2426" s="133" t="str">
        <f>Saud!F2426</f>
        <v>Kit Cat Purrpuree Tuna &amp; Fiber ( Hairball ) 75g</v>
      </c>
      <c r="B2426" s="133" t="str">
        <f>Saud!E2426</f>
        <v>مكتمل</v>
      </c>
      <c r="C2426" s="133" t="str">
        <f>Saud!C2426</f>
        <v>2025-84672</v>
      </c>
    </row>
    <row r="2427">
      <c r="A2427" s="133" t="str">
        <f>Saud!F2427</f>
        <v>Kit Cat Purrpuree Tuna &amp; Goat Milk 75g</v>
      </c>
      <c r="B2427" s="133" t="str">
        <f>Saud!E2427</f>
        <v>مكتمل</v>
      </c>
      <c r="C2427" s="133" t="str">
        <f>Saud!C2427</f>
        <v>2025-84682</v>
      </c>
    </row>
    <row r="2428">
      <c r="A2428" s="133" t="str">
        <f>Saud!F2428</f>
        <v>Kit Cat Purrpuree Chicken &amp; Salmon 75g</v>
      </c>
      <c r="B2428" s="133" t="str">
        <f>Saud!E2428</f>
        <v>مكتمل</v>
      </c>
      <c r="C2428" s="133" t="str">
        <f>Saud!C2428</f>
        <v>2025-84696</v>
      </c>
    </row>
    <row r="2429">
      <c r="A2429" s="133" t="str">
        <f>Saud!F2429</f>
        <v>Kit Cat Purrpuree Chicken &amp; Goat Milk 75g</v>
      </c>
      <c r="B2429" s="133" t="str">
        <f>Saud!E2429</f>
        <v>مكتمل</v>
      </c>
      <c r="C2429" s="133" t="str">
        <f>Saud!C2429</f>
        <v>2025-84709</v>
      </c>
    </row>
    <row r="2430">
      <c r="A2430" s="133" t="str">
        <f>Saud!F2430</f>
        <v>Kit Cat Purrpuree Tuna &amp; Egg Yolk 75g</v>
      </c>
      <c r="B2430" s="133" t="str">
        <f>Saud!E2430</f>
        <v>مكتمل</v>
      </c>
      <c r="C2430" s="133" t="str">
        <f>Saud!C2430</f>
        <v>2025-84722</v>
      </c>
    </row>
    <row r="2431">
      <c r="A2431" s="133" t="str">
        <f>Saud!F2431</f>
        <v>Kit Cat Purrpuree Chicken &amp; Egg Yolk 75g</v>
      </c>
      <c r="B2431" s="133" t="str">
        <f>Saud!E2431</f>
        <v>مكتمل</v>
      </c>
      <c r="C2431" s="133" t="str">
        <f>Saud!C2431</f>
        <v>2025-84730</v>
      </c>
    </row>
    <row r="2432">
      <c r="A2432" s="133" t="str">
        <f>Saud!F2432</f>
        <v>Kit Cat Purrpuree Tuna &amp; Salmon 75g</v>
      </c>
      <c r="B2432" s="133" t="str">
        <f>Saud!E2432</f>
        <v>مكتمل</v>
      </c>
      <c r="C2432" s="133" t="str">
        <f>Saud!C2432</f>
        <v>2025-84738</v>
      </c>
    </row>
    <row r="2433">
      <c r="A2433" s="133" t="str">
        <f>Saud!F2433</f>
        <v>Kit Cat Purrpuree Salmon 75g</v>
      </c>
      <c r="B2433" s="133" t="str">
        <f>Saud!E2433</f>
        <v>مكتمل</v>
      </c>
      <c r="C2433" s="133" t="str">
        <f>Saud!C2433</f>
        <v>2025-84751</v>
      </c>
    </row>
    <row r="2434">
      <c r="A2434" s="133" t="str">
        <f>Saud!F2434</f>
        <v>Kit Cat Purrpuree Salmon &amp; Fiber ( Hairball) 75g</v>
      </c>
      <c r="B2434" s="133" t="str">
        <f>Saud!E2434</f>
        <v>مكتمل</v>
      </c>
      <c r="C2434" s="133" t="str">
        <f>Saud!C2434</f>
        <v>2025-84822</v>
      </c>
    </row>
    <row r="2435">
      <c r="A2435" s="133" t="str">
        <f>Saud!F2435</f>
        <v>Kit Cat Purrpuree Salmon &amp; Goat Milk 75g</v>
      </c>
      <c r="B2435" s="133" t="str">
        <f>Saud!E2435</f>
        <v>مكتمل</v>
      </c>
      <c r="C2435" s="133" t="str">
        <f>Saud!C2435</f>
        <v>2025-84830</v>
      </c>
    </row>
    <row r="2436">
      <c r="A2436" s="133" t="str">
        <f>Saud!F2436</f>
        <v>Kit Cat Purrpuree Salmon &amp; Egg Yolk 75g</v>
      </c>
      <c r="B2436" s="133" t="str">
        <f>Saud!E2436</f>
        <v>مكتمل</v>
      </c>
      <c r="C2436" s="133" t="str">
        <f>Saud!C2436</f>
        <v>2025-84836</v>
      </c>
    </row>
    <row r="2437">
      <c r="A2437" s="133" t="str">
        <f>Saud!F2437</f>
        <v>ACANA Premium Pate Beef for adult cats 85g</v>
      </c>
      <c r="B2437" s="133" t="str">
        <f>Saud!E2437</f>
        <v>مكتمل</v>
      </c>
      <c r="C2437" s="133" t="str">
        <f>Saud!C2437</f>
        <v>2025-89400</v>
      </c>
    </row>
    <row r="2438">
      <c r="A2438" s="133" t="str">
        <f>Saud!F2438</f>
        <v>ACANA Premium Pate Chicken for adult cats</v>
      </c>
      <c r="B2438" s="133" t="str">
        <f>Saud!E2438</f>
        <v>مكتمل</v>
      </c>
      <c r="C2438" s="133" t="str">
        <f>Saud!C2438</f>
        <v>2025-89420</v>
      </c>
    </row>
    <row r="2439">
      <c r="A2439" s="133" t="str">
        <f>Saud!F2439</f>
        <v>ACANA Premium Pate Chicken with Fish for kittens</v>
      </c>
      <c r="B2439" s="133" t="str">
        <f>Saud!E2439</f>
        <v>مكتمل</v>
      </c>
      <c r="C2439" s="133" t="str">
        <f>Saud!C2439</f>
        <v>2025-89429</v>
      </c>
    </row>
    <row r="2440">
      <c r="A2440" s="133" t="str">
        <f>Saud!F2440</f>
        <v>ACANA Premium Pate Lamb for adult cats</v>
      </c>
      <c r="B2440" s="133" t="str">
        <f>Saud!E2440</f>
        <v>مكتمل </v>
      </c>
      <c r="C2440" s="133" t="str">
        <f>Saud!C2440</f>
        <v>2025-89453</v>
      </c>
    </row>
    <row r="2441">
      <c r="A2441" s="133" t="str">
        <f>Saud!F2441</f>
        <v>ACANA Premium Pate Salmon with Chicken for adult cats</v>
      </c>
      <c r="B2441" s="133" t="str">
        <f>Saud!E2441</f>
        <v>مكتمل </v>
      </c>
      <c r="C2441" s="133" t="str">
        <f>Saud!C2441</f>
        <v>2025-89465</v>
      </c>
    </row>
    <row r="2442">
      <c r="A2442" s="133" t="str">
        <f>Saud!F2442</f>
        <v>ACANA Premium Pate Tuna with Chicken for adult cats</v>
      </c>
      <c r="B2442" s="133" t="str">
        <f>Saud!E2442</f>
        <v>مكتمل</v>
      </c>
      <c r="C2442" s="133" t="str">
        <f>Saud!C2442</f>
        <v>2025-89482</v>
      </c>
    </row>
    <row r="2443">
      <c r="A2443" s="133" t="str">
        <f>Saud!F2443</f>
        <v>Garden Bites veggie buddies S - 6cm 270g</v>
      </c>
      <c r="B2443" s="133" t="str">
        <f>Saud!E2443</f>
        <v>اعادة الطلب </v>
      </c>
      <c r="C2443" s="133" t="str">
        <f>Saud!C2443</f>
        <v>2025-104929</v>
      </c>
    </row>
    <row r="2444">
      <c r="A2444" s="133" t="str">
        <f>Saud!F2444</f>
        <v>Garden Bites veggie buddies M 270g</v>
      </c>
      <c r="B2444" s="133" t="str">
        <f>Saud!E2444</f>
        <v>مكتمل</v>
      </c>
      <c r="C2444" s="133" t="str">
        <f>Saud!C2444</f>
        <v>2025-105199</v>
      </c>
    </row>
    <row r="2445">
      <c r="A2445" s="133" t="str">
        <f>Saud!F2445</f>
        <v>Garden Bites triple vegan sticks S - 13cm - 20pcs multicolour 300g</v>
      </c>
      <c r="B2445" s="133" t="str">
        <f>Saud!E2445</f>
        <v>اعادة الطلب </v>
      </c>
      <c r="C2445" s="133" t="str">
        <f>Saud!C2445</f>
        <v>2025-105224</v>
      </c>
    </row>
    <row r="2446">
      <c r="A2446" s="133" t="str">
        <f>Saud!F2446</f>
        <v>Garden Bites triple vegan sticks M - 15cm - 300g</v>
      </c>
      <c r="B2446" s="133" t="str">
        <f>Saud!E2446</f>
        <v>مكتمل </v>
      </c>
      <c r="C2446" s="133" t="str">
        <f>Saud!C2446</f>
        <v>2025-105240</v>
      </c>
    </row>
    <row r="2447">
      <c r="A2447" s="133" t="str">
        <f>Saud!F2447</f>
        <v>Garden Bites triple vegan sticks XL - 25cm - 3pcs multicolour 120g</v>
      </c>
      <c r="B2447" s="133" t="str">
        <f>Saud!E2447</f>
        <v>مكتمل </v>
      </c>
      <c r="C2447" s="133" t="str">
        <f>Saud!C2447</f>
        <v>2025-105261</v>
      </c>
    </row>
    <row r="2448">
      <c r="A2448" s="133" t="str">
        <f>Saud!F2448</f>
        <v>Garden Bites veggie buddies S - 6cm - 15g  2.7kg - display mixed colors</v>
      </c>
      <c r="B2448" s="133" t="str">
        <f>Saud!E2448</f>
        <v>مكتمل </v>
      </c>
      <c r="C2448" s="133" t="str">
        <f>Saud!C2448</f>
        <v>2025-105291</v>
      </c>
    </row>
    <row r="2449">
      <c r="A2449" s="133" t="str">
        <f>Saud!F2449</f>
        <v>Garden Bites veggie buddies M - 8,5cm - 45g 2.7kg display mixed colors</v>
      </c>
      <c r="B2449" s="133" t="str">
        <f>Saud!E2449</f>
        <v>مكتمل </v>
      </c>
      <c r="C2449" s="133" t="str">
        <f>Saud!C2449</f>
        <v>2025-105313</v>
      </c>
    </row>
    <row r="2450">
      <c r="A2450" s="133" t="str">
        <f>Saud!F2450</f>
        <v>Garden Bites veggie buddies L - 11cm - 90g - display mixed colors</v>
      </c>
      <c r="B2450" s="133" t="str">
        <f>Saud!E2450</f>
        <v>مكتمل </v>
      </c>
      <c r="C2450" s="133" t="str">
        <f>Saud!C2450</f>
        <v>2025-105322</v>
      </c>
    </row>
    <row r="2451">
      <c r="A2451" s="133" t="str">
        <f>Saud!F2451</f>
        <v>Garden Bites triple vegan sticks ( 3.15kg , 2.7kg , 3.24kg )</v>
      </c>
      <c r="B2451" s="133" t="str">
        <f>Saud!E2451</f>
        <v>مكتمل </v>
      </c>
      <c r="C2451" s="133" t="str">
        <f>Saud!C2451</f>
        <v>2025-105620</v>
      </c>
    </row>
    <row r="2452">
      <c r="A2452" s="133" t="str">
        <f>Saud!F2452</f>
        <v/>
      </c>
      <c r="B2452" s="133" t="str">
        <f>Saud!E2452</f>
        <v>مكتمل </v>
      </c>
      <c r="C2452" s="133" t="str">
        <f>Saud!C2452</f>
        <v/>
      </c>
    </row>
    <row r="2453">
      <c r="A2453" s="133" t="str">
        <f>Saud!F2453</f>
        <v/>
      </c>
      <c r="B2453" s="133" t="str">
        <f>Saud!E2453</f>
        <v>مكتمل </v>
      </c>
      <c r="C2453" s="133" t="str">
        <f>Saud!C2453</f>
        <v/>
      </c>
    </row>
    <row r="2454">
      <c r="A2454" s="133" t="str">
        <f>Saud!F2454</f>
        <v>Garden Bites Fruity friends M ( 270g &amp; 2.7kg)</v>
      </c>
      <c r="B2454" s="133" t="str">
        <f>Saud!E2454</f>
        <v>مكتمل</v>
      </c>
      <c r="C2454" s="133" t="str">
        <f>Saud!C2454</f>
        <v>2025-106631</v>
      </c>
    </row>
    <row r="2455">
      <c r="A2455" s="133" t="str">
        <f>Saud!F2455</f>
        <v/>
      </c>
      <c r="B2455" s="133" t="str">
        <f>Saud!E2455</f>
        <v/>
      </c>
      <c r="C2455" s="133" t="str">
        <f>Saud!C2455</f>
        <v/>
      </c>
    </row>
    <row r="2456">
      <c r="A2456" s="133" t="str">
        <f>Saud!F2456</f>
        <v>Garden Bites dental twisters XL 120g/ 3.24kg</v>
      </c>
      <c r="B2456" s="133" t="str">
        <f>Saud!E2456</f>
        <v>مكتمل</v>
      </c>
      <c r="C2456" s="133" t="str">
        <f>Saud!C2456</f>
        <v>2025-106603</v>
      </c>
    </row>
    <row r="2457">
      <c r="A2457" s="133" t="str">
        <f>Saud!F2457</f>
        <v/>
      </c>
      <c r="B2457" s="133" t="str">
        <f>Saud!E2457</f>
        <v/>
      </c>
      <c r="C2457" s="133" t="str">
        <f>Saud!C2457</f>
        <v/>
      </c>
    </row>
    <row r="2458">
      <c r="A2458" s="133" t="str">
        <f>Saud!F2458</f>
        <v>Garden Bites dental sticks XL 120g &amp; 3.24kg</v>
      </c>
      <c r="B2458" s="133" t="str">
        <f>Saud!E2458</f>
        <v>مكتمل</v>
      </c>
      <c r="C2458" s="133" t="str">
        <f>Saud!C2458</f>
        <v>2025-108366</v>
      </c>
    </row>
    <row r="2459">
      <c r="A2459" s="133" t="str">
        <f>Saud!F2459</f>
        <v/>
      </c>
      <c r="B2459" s="133" t="str">
        <f>Saud!E2459</f>
        <v>مكتمل</v>
      </c>
      <c r="C2459" s="133" t="str">
        <f>Saud!C2459</f>
        <v/>
      </c>
    </row>
    <row r="2460">
      <c r="A2460" s="133" t="str">
        <f>Saud!F2460</f>
        <v>Wellness CORE Reward + calming duck recipe</v>
      </c>
      <c r="B2460" s="133" t="str">
        <f>Saud!E2460</f>
        <v>مكتمل</v>
      </c>
      <c r="C2460" s="133" t="str">
        <f>Saud!C2460</f>
        <v>2025-119841</v>
      </c>
    </row>
    <row r="2461">
      <c r="A2461" s="133" t="str">
        <f>Saud!F2461</f>
        <v>Wellness CORE Reward + digestion krill recipe</v>
      </c>
      <c r="B2461" s="133" t="str">
        <f>Saud!E2461</f>
        <v>مكتمل</v>
      </c>
      <c r="C2461" s="133" t="str">
        <f>Saud!C2461</f>
        <v>2025-119865</v>
      </c>
    </row>
    <row r="2462">
      <c r="A2462" s="133" t="str">
        <f>Saud!F2462</f>
        <v>Wellness CORE Reward + mobility sport recipe</v>
      </c>
      <c r="B2462" s="133" t="str">
        <f>Saud!E2462</f>
        <v>مكتمل</v>
      </c>
      <c r="C2462" s="133" t="str">
        <f>Saud!C2462</f>
        <v>2025-119886</v>
      </c>
    </row>
    <row r="2463">
      <c r="A2463" s="133" t="str">
        <f>Saud!F2463</f>
        <v>Wellness Core Reward + Skin &amp; Coat salmon sport recipe</v>
      </c>
      <c r="B2463" s="133" t="str">
        <f>Saud!E2463</f>
        <v>مكتمل</v>
      </c>
      <c r="C2463" s="133" t="str">
        <f>Saud!C2463</f>
        <v>2025-119894</v>
      </c>
    </row>
    <row r="2464">
      <c r="A2464" s="133" t="str">
        <f>Saud!F2464</f>
        <v>Wellness Core training treats chicken recipe flavored with berries</v>
      </c>
      <c r="B2464" s="133" t="str">
        <f>Saud!E2464</f>
        <v>مكتمل</v>
      </c>
      <c r="C2464" s="133" t="str">
        <f>Saud!C2464</f>
        <v>2025-119905</v>
      </c>
    </row>
    <row r="2465">
      <c r="A2465" s="133" t="str">
        <f>Saud!F2465</f>
        <v>Wellness Core puppy trainers chicken recipe with carrots</v>
      </c>
      <c r="B2465" s="133" t="str">
        <f>Saud!E2465</f>
        <v>مكتمل</v>
      </c>
      <c r="C2465" s="133" t="str">
        <f>Saud!C2465</f>
        <v>2025-119925</v>
      </c>
    </row>
    <row r="2466">
      <c r="A2466" s="133" t="str">
        <f>Saud!F2466</f>
        <v>Wellness Core training treats lamb reipe flavored with apples</v>
      </c>
      <c r="B2466" s="133" t="str">
        <f>Saud!E2466</f>
        <v>مكتمل</v>
      </c>
      <c r="C2466" s="133" t="str">
        <f>Saud!C2466</f>
        <v>2025-119943</v>
      </c>
    </row>
    <row r="2467">
      <c r="A2467" s="133" t="str">
        <f>Saud!F2467</f>
        <v>Applaws Cat Tin Tuna Fillet with Seaweed ( 70g &amp; 156g)</v>
      </c>
      <c r="B2467" s="133" t="str">
        <f>Saud!E2467</f>
        <v>مكتمل</v>
      </c>
      <c r="C2467" s="133" t="str">
        <f>Saud!C2467</f>
        <v>2025-129713</v>
      </c>
    </row>
    <row r="2468">
      <c r="A2468" s="133" t="str">
        <f>Saud!F2468</f>
        <v>Applaws Cat Chicken Breast 156g</v>
      </c>
      <c r="B2468" s="133" t="str">
        <f>Saud!E2468</f>
        <v>مكتمل</v>
      </c>
      <c r="C2468" s="133" t="str">
        <f>Saud!C2468</f>
        <v>2025-131126</v>
      </c>
    </row>
    <row r="2469">
      <c r="A2469" s="133" t="str">
        <f>Saud!F2469</f>
        <v>Applaws Cat Tuna Fillet 156g</v>
      </c>
      <c r="B2469" s="133" t="str">
        <f>Saud!E2469</f>
        <v>مكتمل</v>
      </c>
      <c r="C2469" s="133" t="str">
        <f>Saud!C2469</f>
        <v>2025-131131</v>
      </c>
    </row>
    <row r="2470">
      <c r="A2470" s="133" t="str">
        <f>Saud!F2470</f>
        <v>Applaws Cat Ocean Fish in broth 156g</v>
      </c>
      <c r="B2470" s="133" t="str">
        <f>Saud!E2470</f>
        <v>مكتمل</v>
      </c>
      <c r="C2470" s="133" t="str">
        <f>Saud!C2470</f>
        <v>2025-131137</v>
      </c>
    </row>
    <row r="2471">
      <c r="A2471" s="133" t="str">
        <f>Saud!F2471</f>
        <v>Applaws Cat Tuna Fillet with Cheese in broth 156g</v>
      </c>
      <c r="B2471" s="133" t="str">
        <f>Saud!E2471</f>
        <v>مكتمل</v>
      </c>
      <c r="C2471" s="133" t="str">
        <f>Saud!C2471</f>
        <v>2025-131142</v>
      </c>
    </row>
    <row r="2472">
      <c r="A2472" s="133" t="str">
        <f>Saud!F2472</f>
        <v>Applaws Cat Chicken Breast with Duck 156g</v>
      </c>
      <c r="B2472" s="133" t="str">
        <f>Saud!E2472</f>
        <v>مكتمل</v>
      </c>
      <c r="C2472" s="133" t="str">
        <f>Saud!C2472</f>
        <v>2025-131154</v>
      </c>
    </row>
    <row r="2473">
      <c r="A2473" s="133" t="str">
        <f>Saud!F2473</f>
        <v>Applaws Treat Tuna Loin 30g</v>
      </c>
      <c r="B2473" s="133" t="str">
        <f>Saud!E2473</f>
        <v>مكتمل</v>
      </c>
      <c r="C2473" s="133" t="str">
        <f>Saud!C2473</f>
        <v>2025-141883</v>
      </c>
    </row>
    <row r="2474">
      <c r="A2474" s="133" t="str">
        <f>Saud!F2474</f>
        <v>Applaws Treat Mackerel Loin 30g</v>
      </c>
      <c r="B2474" s="133" t="str">
        <f>Saud!E2474</f>
        <v>مكتمل</v>
      </c>
      <c r="C2474" s="133" t="str">
        <f>Saud!C2474</f>
        <v>2025-142378</v>
      </c>
    </row>
    <row r="2475">
      <c r="A2475" s="133" t="str">
        <f>Saud!F2475</f>
        <v>Applaws Treat Salmon Loin 30g</v>
      </c>
      <c r="B2475" s="133" t="str">
        <f>Saud!E2475</f>
        <v>مكتمل</v>
      </c>
      <c r="C2475" s="133" t="str">
        <f>Saud!C2475</f>
        <v>2025-142399</v>
      </c>
    </row>
    <row r="2476">
      <c r="A2476" s="133" t="str">
        <f>Saud!F2476</f>
        <v>ACANA Highest Protein Pacifica Recipe</v>
      </c>
      <c r="B2476" s="133" t="str">
        <f>Saud!E2476</f>
        <v>مكتمل</v>
      </c>
      <c r="C2476" s="133" t="str">
        <f>Saud!C2476</f>
        <v>2024-306802</v>
      </c>
    </row>
    <row r="2477">
      <c r="A2477" s="133" t="str">
        <f>Saud!F2477</f>
        <v>ACANA Highest Protein Wild Prairie Recipe Dog Food</v>
      </c>
      <c r="B2477" s="133" t="str">
        <f>Saud!E2477</f>
        <v>مكتمل</v>
      </c>
      <c r="C2477" s="133" t="str">
        <f>Saud!C2477</f>
        <v>2024-306840</v>
      </c>
    </row>
    <row r="2478">
      <c r="A2478" s="133" t="str">
        <f>Saud!F2478</f>
        <v>ACANA Highest Protein Grasslands Recipe Dog Food</v>
      </c>
      <c r="B2478" s="133" t="str">
        <f>Saud!E2478</f>
        <v>مكتمل</v>
      </c>
      <c r="C2478" s="133" t="str">
        <f>Saud!C2478</f>
        <v>2024-306770</v>
      </c>
    </row>
    <row r="2479">
      <c r="A2479" s="133" t="str">
        <f>Saud!F2479</f>
        <v>Encore Cat Chicken breast with Duck 50g</v>
      </c>
      <c r="B2479" s="133" t="str">
        <f>Saud!E2479</f>
        <v>مكتمل</v>
      </c>
      <c r="C2479" s="133" t="str">
        <f>Saud!C2479</f>
        <v>2025-143225</v>
      </c>
    </row>
    <row r="2480">
      <c r="A2480" s="133" t="str">
        <f>Saud!F2480</f>
        <v>Encore Chicken breast with ocean fish 50g</v>
      </c>
      <c r="B2480" s="133" t="str">
        <f>Saud!E2480</f>
        <v>مكتمل</v>
      </c>
      <c r="C2480" s="133" t="str">
        <f>Saud!C2480</f>
        <v>2025-143235</v>
      </c>
    </row>
    <row r="2481">
      <c r="A2481" s="133" t="str">
        <f>Saud!F2481</f>
        <v>Natural Code Chicken with beef</v>
      </c>
      <c r="B2481" s="133" t="str">
        <f>Saud!E2481</f>
        <v>مكتمل</v>
      </c>
      <c r="C2481" s="133" t="str">
        <f>Saud!C2481</f>
        <v/>
      </c>
    </row>
    <row r="2482">
      <c r="A2482" s="133" t="str">
        <f>Saud!F2482</f>
        <v>Natural Code Chicken with Tuna
</v>
      </c>
      <c r="B2482" s="133" t="str">
        <f>Saud!E2482</f>
        <v>مكتمل</v>
      </c>
      <c r="C2482" s="133" t="str">
        <f>Saud!C2482</f>
        <v/>
      </c>
    </row>
    <row r="2483">
      <c r="A2483" s="133" t="str">
        <f>Saud!F2483</f>
        <v>Natural Code Chicken and Salmon
</v>
      </c>
      <c r="B2483" s="133" t="str">
        <f>Saud!E2483</f>
        <v>مكتمل</v>
      </c>
      <c r="C2483" s="133" t="str">
        <f>Saud!C2483</f>
        <v/>
      </c>
    </row>
    <row r="2484">
      <c r="A2484" s="133" t="str">
        <f>Saud!F2484</f>
        <v>Natural Code chicken fillets
</v>
      </c>
      <c r="B2484" s="133" t="str">
        <f>Saud!E2484</f>
        <v>مكتمل</v>
      </c>
      <c r="C2484" s="133" t="str">
        <f>Saud!C2484</f>
        <v/>
      </c>
    </row>
    <row r="2485">
      <c r="A2485" s="133" t="str">
        <f>Saud!F2485</f>
        <v>Natural Code Chicken with Shrimps
</v>
      </c>
      <c r="B2485" s="133" t="str">
        <f>Saud!E2485</f>
        <v>مكتمل</v>
      </c>
      <c r="C2485" s="133" t="str">
        <f>Saud!C2485</f>
        <v/>
      </c>
    </row>
    <row r="2486">
      <c r="A2486" s="133" t="str">
        <f>Saud!F2486</f>
        <v>Natural Code Chicken and vegetables
</v>
      </c>
      <c r="B2486" s="133" t="str">
        <f>Saud!E2486</f>
        <v>مكتمل</v>
      </c>
      <c r="C2486" s="133" t="str">
        <f>Saud!C2486</f>
        <v/>
      </c>
    </row>
    <row r="2487">
      <c r="A2487" s="133" t="str">
        <f>Saud!F2487</f>
        <v>NATURAL CODE TURKEY AND POTATOES</v>
      </c>
      <c r="B2487" s="133" t="str">
        <f>Saud!E2487</f>
        <v>مكتمل</v>
      </c>
      <c r="C2487" s="133" t="str">
        <f>Saud!C2487</f>
        <v/>
      </c>
    </row>
    <row r="2488">
      <c r="A2488" s="133" t="str">
        <f>Saud!F2488</f>
        <v>FEM-25-0346-FEP-2025-0740-C-22548-0314
</v>
      </c>
      <c r="B2488" s="133" t="str">
        <f>Saud!E2488</f>
        <v>مكتمل</v>
      </c>
      <c r="C2488" s="133" t="str">
        <f>Saud!C2488</f>
        <v/>
      </c>
    </row>
    <row r="2489">
      <c r="A2489" s="133" t="str">
        <f>Saud!F2489</f>
        <v>NATURAL CODE CHICKEN WITH TUNA
</v>
      </c>
      <c r="B2489" s="133" t="str">
        <f>Saud!E2489</f>
        <v>مكتمل</v>
      </c>
      <c r="C2489" s="133" t="str">
        <f>Saud!C2489</f>
        <v/>
      </c>
    </row>
    <row r="2490">
      <c r="A2490" s="133" t="str">
        <f>Saud!F2490</f>
        <v>NATURAL CODE CHICKEN WITH BEEF</v>
      </c>
      <c r="B2490" s="133" t="str">
        <f>Saud!E2490</f>
        <v>مكتمل</v>
      </c>
      <c r="C2490" s="133" t="str">
        <f>Saud!C2490</f>
        <v/>
      </c>
    </row>
    <row r="2491">
      <c r="A2491" s="133" t="str">
        <f>Saud!F2491</f>
        <v>NATURAL CODE TUNA SLICES
</v>
      </c>
      <c r="B2491" s="133" t="str">
        <f>Saud!E2491</f>
        <v>مكتمل</v>
      </c>
      <c r="C2491" s="133" t="str">
        <f>Saud!C2491</f>
        <v/>
      </c>
    </row>
    <row r="2492">
      <c r="A2492" s="133" t="str">
        <f>Saud!F2492</f>
        <v>FEM-25-0803-FEP-2025-0818-C-22548-0626
</v>
      </c>
      <c r="B2492" s="133" t="str">
        <f>Saud!E2492</f>
        <v>مكتمل</v>
      </c>
      <c r="C2492" s="133" t="str">
        <f>Saud!C2492</f>
        <v/>
      </c>
    </row>
    <row r="2493">
      <c r="A2493" s="133" t="str">
        <f>Saud!F2493</f>
        <v>NATURAL CODE CHICKEN WIT H LAMB AND POT AT OES</v>
      </c>
      <c r="B2493" s="133" t="str">
        <f>Saud!E2493</f>
        <v>مكتمل</v>
      </c>
      <c r="C2493" s="133" t="str">
        <f>Saud!C2493</f>
        <v/>
      </c>
    </row>
    <row r="2494">
      <c r="A2494" s="133" t="str">
        <f>Saud!F2494</f>
        <v>NATURAL CODE CHICKEN WITH BEEF AND VEGETABLES
</v>
      </c>
      <c r="B2494" s="133" t="str">
        <f>Saud!E2494</f>
        <v>مكتمل</v>
      </c>
      <c r="C2494" s="133" t="str">
        <f>Saud!C2494</f>
        <v/>
      </c>
    </row>
    <row r="2495">
      <c r="A2495" s="133" t="str">
        <f>Saud!F2495</f>
        <v>NATURAL CODE TUNA WITH PUMPKIN
</v>
      </c>
      <c r="B2495" s="133" t="str">
        <f>Saud!E2495</f>
        <v>مكتمل</v>
      </c>
      <c r="C2495" s="133" t="str">
        <f>Saud!C2495</f>
        <v/>
      </c>
    </row>
    <row r="2496">
      <c r="A2496" s="133" t="str">
        <f>Saud!F2496</f>
        <v>NATURAL CODE STERIL 02 TUNA AND AMARANTH</v>
      </c>
      <c r="B2496" s="133" t="str">
        <f>Saud!E2496</f>
        <v>مكتمل</v>
      </c>
      <c r="C2496" s="133" t="str">
        <f>Saud!C2496</f>
        <v/>
      </c>
    </row>
    <row r="2497">
      <c r="A2497" s="133" t="str">
        <f>Saud!F2497</f>
        <v>NATURAL CODE ST ERIL 03 T UNA AND SEAWEEDS</v>
      </c>
      <c r="B2497" s="133" t="str">
        <f>Saud!E2497</f>
        <v>مكتمل</v>
      </c>
      <c r="C2497" s="133" t="str">
        <f>Saud!C2497</f>
        <v/>
      </c>
    </row>
    <row r="2498">
      <c r="A2498" s="133" t="str">
        <f>Saud!F2498</f>
        <v>NATURAL CODE STERIL 04 TUNA AND ANCHOVIES</v>
      </c>
      <c r="B2498" s="133" t="str">
        <f>Saud!E2498</f>
        <v>مكتمل</v>
      </c>
      <c r="C2498" s="133" t="str">
        <f>Saud!C2498</f>
        <v/>
      </c>
    </row>
    <row r="2499">
      <c r="A2499" s="133" t="str">
        <f>Saud!F2499</f>
        <v>Dr clauder Best Selection Adult No 1 85g 200g </v>
      </c>
      <c r="B2499" s="133" t="str">
        <f>Saud!E2499</f>
        <v>مكتمل</v>
      </c>
      <c r="C2499" s="133" t="str">
        <f>Saud!C2499</f>
        <v>2025-152873</v>
      </c>
    </row>
    <row r="2500">
      <c r="A2500" s="133" t="str">
        <f>Saud!F2500</f>
        <v>Dr clauder Best Selection Kitten 85g</v>
      </c>
      <c r="B2500" s="133" t="str">
        <f>Saud!E2500</f>
        <v>مكتمل</v>
      </c>
      <c r="C2500" s="133" t="str">
        <f>Saud!C2500</f>
        <v>2025-152818</v>
      </c>
    </row>
    <row r="2501">
      <c r="A2501" s="133" t="str">
        <f>Saud!F2501</f>
        <v>Dr clauder Best Selection Adult No 2 85g 200g </v>
      </c>
      <c r="B2501" s="133" t="str">
        <f>Saud!E2501</f>
        <v>مكتمل</v>
      </c>
      <c r="C2501" s="133" t="str">
        <f>Saud!C2501</f>
        <v>2025-152890</v>
      </c>
    </row>
    <row r="2502">
      <c r="A2502" s="133" t="str">
        <f>Saud!F2502</f>
        <v>Dr clauder Best Selection Adult No 3 85g 200g</v>
      </c>
      <c r="B2502" s="133" t="str">
        <f>Saud!E2502</f>
        <v>مكتمل </v>
      </c>
      <c r="C2502" s="133" t="str">
        <f>Saud!C2502</f>
        <v>2025-152922</v>
      </c>
    </row>
    <row r="2503">
      <c r="A2503" s="133" t="str">
        <f>Saud!F2503</f>
        <v>Dr clauder Best Selection Adult No 4 85g 200g</v>
      </c>
      <c r="B2503" s="133" t="str">
        <f>Saud!E2503</f>
        <v>مكتمل </v>
      </c>
      <c r="C2503" s="133" t="str">
        <f>Saud!C2503</f>
        <v>2025-152946</v>
      </c>
    </row>
    <row r="2504">
      <c r="A2504" s="133" t="str">
        <f>Saud!F2504</f>
        <v>Dr clauder Best Selection Adult No 5 85g 200g</v>
      </c>
      <c r="B2504" s="133" t="str">
        <f>Saud!E2504</f>
        <v>مكتمل</v>
      </c>
      <c r="C2504" s="133" t="str">
        <f>Saud!C2504</f>
        <v>2025-152959</v>
      </c>
    </row>
    <row r="2505">
      <c r="A2505" s="133" t="str">
        <f>Saud!F2505</f>
        <v>Dr clauder Best Selection Adult No 10 85g 200g</v>
      </c>
      <c r="B2505" s="133" t="str">
        <f>Saud!E2505</f>
        <v>مكتمل</v>
      </c>
      <c r="C2505" s="133" t="str">
        <f>Saud!C2505</f>
        <v>2025-153115</v>
      </c>
    </row>
    <row r="2506">
      <c r="A2506" s="133" t="str">
        <f>Saud!F2506</f>
        <v>Dr clauder Best Selection Sterilised No 30 85g</v>
      </c>
      <c r="B2506" s="133" t="str">
        <f>Saud!E2506</f>
        <v>مكتمل</v>
      </c>
      <c r="C2506" s="133" t="str">
        <f>Saud!C2506</f>
        <v>2025-153126</v>
      </c>
    </row>
    <row r="2507">
      <c r="A2507" s="133" t="str">
        <f>Saud!F2507</f>
        <v>Dr clauder Best Selection Sterilised No 31 85g</v>
      </c>
      <c r="B2507" s="133" t="str">
        <f>Saud!E2507</f>
        <v>مكتمل</v>
      </c>
      <c r="C2507" s="133" t="str">
        <f>Saud!C2507</f>
        <v>2025-153151</v>
      </c>
    </row>
    <row r="2508">
      <c r="A2508" s="133" t="str">
        <f>Saud!F2508</f>
        <v>Dr clauder Best Selection Sterilised No 32 85g</v>
      </c>
      <c r="B2508" s="133" t="str">
        <f>Saud!E2508</f>
        <v>مكتمل</v>
      </c>
      <c r="C2508" s="133" t="str">
        <f>Saud!C2508</f>
        <v>2025-153168</v>
      </c>
    </row>
    <row r="2509">
      <c r="A2509" s="133" t="str">
        <f>Saud!F2509</f>
        <v>Dr clauder Best Selection Sterilised No 33 85g</v>
      </c>
      <c r="B2509" s="133" t="str">
        <f>Saud!E2509</f>
        <v>مكتمل</v>
      </c>
      <c r="C2509" s="133" t="str">
        <f>Saud!C2509</f>
        <v>2025-153195</v>
      </c>
    </row>
    <row r="2510">
      <c r="A2510" s="133" t="str">
        <f>Saud!F2510</f>
        <v>Dr clauder Best Selection Sterilised No 34 85g</v>
      </c>
      <c r="B2510" s="133" t="str">
        <f>Saud!E2510</f>
        <v>مكتمل</v>
      </c>
      <c r="C2510" s="133" t="str">
        <f>Saud!C2510</f>
        <v>2025-153210</v>
      </c>
    </row>
    <row r="2511">
      <c r="A2511" s="133" t="str">
        <f>Saud!F2511</f>
        <v>Dr clauder Selected Meat Poultry 100g</v>
      </c>
      <c r="B2511" s="133" t="str">
        <f>Saud!E2511</f>
        <v>مكتمل</v>
      </c>
      <c r="C2511" s="133" t="str">
        <f>Saud!C2511</f>
        <v>2025-157883</v>
      </c>
    </row>
    <row r="2512">
      <c r="A2512" s="133" t="str">
        <f>Saud!F2512</f>
        <v>Dr clauder Selected Meat Salmon &amp; Rice 100g</v>
      </c>
      <c r="B2512" s="133" t="str">
        <f>Saud!E2512</f>
        <v>مكتمل</v>
      </c>
      <c r="C2512" s="133" t="str">
        <f>Saud!C2512</f>
        <v>2025-157942</v>
      </c>
    </row>
    <row r="2513">
      <c r="A2513" s="133" t="str">
        <f>Saud!F2513</f>
        <v>Dr clauder BARF Salmonoil traditional 250ml</v>
      </c>
      <c r="B2513" s="133" t="str">
        <f>Saud!E2513</f>
        <v>مكتمل</v>
      </c>
      <c r="C2513" s="133" t="str">
        <f>Saud!C2513</f>
        <v>2025-157949</v>
      </c>
    </row>
    <row r="2514">
      <c r="A2514" s="133" t="str">
        <f>Saud!F2514</f>
        <v>Dr clauder Selected Meat Beef 200g</v>
      </c>
      <c r="B2514" s="133" t="str">
        <f>Saud!E2514</f>
        <v>مكتمل</v>
      </c>
      <c r="C2514" s="133" t="str">
        <f>Saud!C2514</f>
        <v>2025-158117</v>
      </c>
    </row>
    <row r="2515">
      <c r="A2515" s="133" t="str">
        <f>Saud!F2515</f>
        <v>Dr clauder Selected Meat Lamb &amp; Apple 200g</v>
      </c>
      <c r="B2515" s="133" t="str">
        <f>Saud!E2515</f>
        <v>مكتمل </v>
      </c>
      <c r="C2515" s="133" t="str">
        <f>Saud!C2515</f>
        <v>2025-158130</v>
      </c>
    </row>
    <row r="2516">
      <c r="A2516" s="133" t="str">
        <f>Saud!F2516</f>
        <v>Dr clauder Diet FSD Fur &amp; Skin 200g</v>
      </c>
      <c r="B2516" s="133" t="str">
        <f>Saud!E2516</f>
        <v>مكتمل</v>
      </c>
      <c r="C2516" s="133" t="str">
        <f>Saud!C2516</f>
        <v>2025-158143</v>
      </c>
    </row>
    <row r="2517">
      <c r="A2517" s="133" t="str">
        <f>Saud!F2517</f>
        <v>Dr clauder BARF Calcium / Phosphor 450g</v>
      </c>
      <c r="B2517" s="133" t="str">
        <f>Saud!E2517</f>
        <v>مكتمل</v>
      </c>
      <c r="C2517" s="133" t="str">
        <f>Saud!C2517</f>
        <v>2025-158160</v>
      </c>
    </row>
    <row r="2518">
      <c r="A2518" s="133" t="str">
        <f>Saud!F2518</f>
        <v>Dr clauder Trainee Snack Cheese 80g</v>
      </c>
      <c r="B2518" s="133" t="str">
        <f>Saud!E2518</f>
        <v>مكتمل</v>
      </c>
      <c r="C2518" s="133" t="str">
        <f>Saud!C2518</f>
        <v>2025-159083</v>
      </c>
    </row>
    <row r="2519">
      <c r="A2519" s="133" t="str">
        <f>Saud!F2519</f>
        <v>Dr clauder Basic Nature Vollcost Croc 20kg</v>
      </c>
      <c r="B2519" s="133" t="str">
        <f>Saud!E2519</f>
        <v>مكتمل</v>
      </c>
      <c r="C2519" s="133" t="str">
        <f>Saud!C2519</f>
        <v>2025-159103</v>
      </c>
    </row>
    <row r="2520">
      <c r="A2520" s="133" t="str">
        <f>Saud!F2520</f>
        <v>Dr clauder Basic Nature Energy 20kg</v>
      </c>
      <c r="B2520" s="133" t="str">
        <f>Saud!E2520</f>
        <v>مكتمل</v>
      </c>
      <c r="C2520" s="133" t="str">
        <f>Saud!C2520</f>
        <v>2025-159163</v>
      </c>
    </row>
    <row r="2521">
      <c r="A2521" s="133" t="str">
        <f>Saud!F2521</f>
        <v>Dr clauder Snack IT Multivitamin Creme 100g</v>
      </c>
      <c r="B2521" s="133" t="str">
        <f>Saud!E2521</f>
        <v>مكتمل</v>
      </c>
      <c r="C2521" s="133" t="str">
        <f>Saud!C2521</f>
        <v>2025-159185</v>
      </c>
    </row>
    <row r="2522">
      <c r="A2522" s="133" t="str">
        <f>Saud!F2522</f>
        <v>Dr clauder Snack IT Cheese Creme 100g</v>
      </c>
      <c r="B2522" s="133" t="str">
        <f>Saud!E2522</f>
        <v>مكتمل</v>
      </c>
      <c r="C2522" s="133" t="str">
        <f>Saud!C2522</f>
        <v>2025-159217</v>
      </c>
    </row>
    <row r="2523">
      <c r="A2523" s="133" t="str">
        <f>Saud!F2523</f>
        <v>Dr clauder Snack IT Salmon Creme 100g</v>
      </c>
      <c r="B2523" s="133" t="str">
        <f>Saud!E2523</f>
        <v>مكتمل</v>
      </c>
      <c r="C2523" s="133" t="str">
        <f>Saud!C2523</f>
        <v>2025-159273</v>
      </c>
    </row>
    <row r="2524">
      <c r="A2524" s="133" t="str">
        <f>Saud!F2524</f>
        <v>NATURAL CODE ST ERIL 05 T UNA AND SEA BASS</v>
      </c>
      <c r="B2524" s="133" t="str">
        <f>Saud!E2524</f>
        <v>مكتمل</v>
      </c>
      <c r="C2524" s="133" t="str">
        <f>Saud!C2524</f>
        <v>2025-16429
</v>
      </c>
    </row>
    <row r="2525">
      <c r="A2525" s="133" t="str">
        <f>Saud!F2525</f>
        <v>NATURAL CODE LAMB AND POTATOES</v>
      </c>
      <c r="B2525" s="133" t="str">
        <f>Saud!E2525</f>
        <v>مكتمل</v>
      </c>
      <c r="C2525" s="133" t="str">
        <f>Saud!C2525</f>
        <v>2025-16481
</v>
      </c>
    </row>
    <row r="2526">
      <c r="A2526" s="133" t="str">
        <f>Saud!F2526</f>
        <v>NATURAL CODE BEEF AND VEGETABLES
</v>
      </c>
      <c r="B2526" s="133" t="str">
        <f>Saud!E2526</f>
        <v>مكتمل</v>
      </c>
      <c r="C2526" s="133" t="str">
        <f>Saud!C2526</f>
        <v>2025-16485
</v>
      </c>
    </row>
    <row r="2527">
      <c r="A2527" s="133" t="str">
        <f>Saud!F2527</f>
        <v>NATURAL CODE CHICKEN AND ASPARAGUSES</v>
      </c>
      <c r="B2527" s="133" t="str">
        <f>Saud!E2527</f>
        <v>مكتمل</v>
      </c>
      <c r="C2527" s="133" t="str">
        <f>Saud!C2527</f>
        <v>2025-16494
</v>
      </c>
    </row>
    <row r="2528">
      <c r="A2528" s="133" t="str">
        <f>Saud!F2528</f>
        <v>NATURAL CODE CHICKEN AND VEGET ABLES</v>
      </c>
      <c r="B2528" s="133" t="str">
        <f>Saud!E2528</f>
        <v>مكتمل</v>
      </c>
      <c r="C2528" s="133" t="str">
        <f>Saud!C2528</f>
        <v>2025-20146
</v>
      </c>
    </row>
    <row r="2529">
      <c r="A2529" s="133" t="str">
        <f>Saud!F2529</f>
        <v>FEM-25-0459-FEP-2025-0440-C-22548-0373
</v>
      </c>
      <c r="B2529" s="133" t="str">
        <f>Saud!E2529</f>
        <v>مكتمل</v>
      </c>
      <c r="C2529" s="133" t="str">
        <f>Saud!C2529</f>
        <v>2025-20143
</v>
      </c>
    </row>
    <row r="2530">
      <c r="A2530" s="133" t="str">
        <f>Saud!F2530</f>
        <v>NATURAL CODE TUNA AND BEEF
</v>
      </c>
      <c r="B2530" s="133" t="str">
        <f>Saud!E2530</f>
        <v>مكتمل</v>
      </c>
      <c r="C2530" s="133" t="str">
        <f>Saud!C2530</f>
        <v>2025-20139
</v>
      </c>
    </row>
    <row r="2531">
      <c r="A2531" s="133" t="str">
        <f>Saud!F2531</f>
        <v>NATURAL CODE CHICKEN FILLETS
</v>
      </c>
      <c r="B2531" s="133" t="str">
        <f>Saud!E2531</f>
        <v>مكتمل</v>
      </c>
      <c r="C2531" s="133" t="str">
        <f>Saud!C2531</f>
        <v>2025-25778
</v>
      </c>
    </row>
    <row r="2532">
      <c r="A2532" s="133" t="str">
        <f>Saud!F2532</f>
        <v>NATURAL CODE CHICKEN WITH SHRIMPS
</v>
      </c>
      <c r="B2532" s="133" t="str">
        <f>Saud!E2532</f>
        <v>مكتمل</v>
      </c>
      <c r="C2532" s="133" t="str">
        <f>Saud!C2532</f>
        <v>2025-25781
</v>
      </c>
    </row>
    <row r="2533">
      <c r="A2533" s="133" t="str">
        <f>Saud!F2533</f>
        <v>NATURAL CODE CHICKEN AND SALMON
</v>
      </c>
      <c r="B2533" s="133" t="str">
        <f>Saud!E2533</f>
        <v>مكتمل</v>
      </c>
      <c r="C2533" s="133" t="str">
        <f>Saud!C2533</f>
        <v>2025-25783
</v>
      </c>
    </row>
    <row r="2534">
      <c r="A2534" s="133" t="str">
        <f>Saud!F2534</f>
        <v>NATURAL CODE CHICKEN
</v>
      </c>
      <c r="B2534" s="133" t="str">
        <f>Saud!E2534</f>
        <v>مكتمل</v>
      </c>
      <c r="C2534" s="133" t="str">
        <f>Saud!C2534</f>
        <v>2025-25784
</v>
      </c>
    </row>
    <row r="2535">
      <c r="A2535" s="133" t="str">
        <f>Saud!F2535</f>
        <v>NATURAL CODE TUNA WITH PUMPKIN
</v>
      </c>
      <c r="B2535" s="133" t="str">
        <f>Saud!E2535</f>
        <v>مكتمل</v>
      </c>
      <c r="C2535" s="133" t="str">
        <f>Saud!C2535</f>
        <v>2025-25785
</v>
      </c>
    </row>
    <row r="2536">
      <c r="A2536" s="133" t="str">
        <f>Saud!F2536</f>
        <v>NATURAL CODE TUNA AND KIWI IN JELLY
</v>
      </c>
      <c r="B2536" s="133" t="str">
        <f>Saud!E2536</f>
        <v>مكتمل</v>
      </c>
      <c r="C2536" s="133" t="str">
        <f>Saud!C2536</f>
        <v>2025-25273
</v>
      </c>
    </row>
    <row r="2537">
      <c r="A2537" s="133" t="str">
        <f>Saud!F2537</f>
        <v>NATURAL CODE CHICKEN AND SARDINES IN JELLY
</v>
      </c>
      <c r="B2537" s="133" t="str">
        <f>Saud!E2537</f>
        <v>مكتمل</v>
      </c>
      <c r="C2537" s="133" t="str">
        <f>Saud!C2537</f>
        <v>2025-25269
</v>
      </c>
    </row>
    <row r="2538">
      <c r="A2538" s="133" t="str">
        <f>Saud!F2538</f>
        <v>NATURAL CODE TUNA AND ALOE
</v>
      </c>
      <c r="B2538" s="133" t="str">
        <f>Saud!E2538</f>
        <v>مكتمل</v>
      </c>
      <c r="C2538" s="133" t="str">
        <f>Saud!C2538</f>
        <v>2025-27001
</v>
      </c>
    </row>
    <row r="2539">
      <c r="A2539" s="133" t="str">
        <f>Saud!F2539</f>
        <v>NATURAL CODE TUNA AND SALMON
</v>
      </c>
      <c r="B2539" s="133" t="str">
        <f>Saud!E2539</f>
        <v>مكتمل</v>
      </c>
      <c r="C2539" s="133" t="str">
        <f>Saud!C2539</f>
        <v>2025-27002
</v>
      </c>
    </row>
    <row r="2540">
      <c r="A2540" s="133" t="str">
        <f>Saud!F2540</f>
        <v>NATURAL CODE TUNA AND WHITEBAIT
</v>
      </c>
      <c r="B2540" s="133" t="str">
        <f>Saud!E2540</f>
        <v>مكتمل</v>
      </c>
      <c r="C2540" s="133" t="str">
        <f>Saud!C2540</f>
        <v>2025-27003
</v>
      </c>
    </row>
    <row r="2541">
      <c r="A2541" s="133" t="str">
        <f>Saud!F2541</f>
        <v>NATURAL CODE TUNA AND PAPAYA IN JELLY
</v>
      </c>
      <c r="B2541" s="133" t="str">
        <f>Saud!E2541</f>
        <v>مكتمل</v>
      </c>
      <c r="C2541" s="133" t="str">
        <f>Saud!C2541</f>
        <v>2025-25271
</v>
      </c>
    </row>
    <row r="2542">
      <c r="A2542" s="133" t="str">
        <f>Saud!F2542</f>
        <v>NATURAL CODE TUNA AND SURIMI IN JELLY
</v>
      </c>
      <c r="B2542" s="133" t="str">
        <f>Saud!E2542</f>
        <v>مكتمل</v>
      </c>
      <c r="C2542" s="133" t="str">
        <f>Saud!C2542</f>
        <v>2025-25264
</v>
      </c>
    </row>
    <row r="2543">
      <c r="A2543" s="133" t="str">
        <f>Saud!F2543</f>
        <v>NATURAL CODE KIT TEN BABY TUNA AND CHICKEN
</v>
      </c>
      <c r="B2543" s="133" t="str">
        <f>Saud!E2543</f>
        <v>مكتمل</v>
      </c>
      <c r="C2543" s="133" t="str">
        <f>Saud!C2543</f>
        <v>2025-31519
</v>
      </c>
    </row>
    <row r="2544">
      <c r="A2544" s="133" t="str">
        <f>Saud!F2544</f>
        <v>NATURAL CODE TUNA FOR KIT TEN
</v>
      </c>
      <c r="B2544" s="133" t="str">
        <f>Saud!E2544</f>
        <v>مكتمل</v>
      </c>
      <c r="C2544" s="133" t="str">
        <f>Saud!C2544</f>
        <v>2025-31521
</v>
      </c>
    </row>
    <row r="2545">
      <c r="A2545" s="133" t="str">
        <f>Saud!F2545</f>
        <v>NATURAL CODE CHICKEN FOR KIT TEN
</v>
      </c>
      <c r="B2545" s="133" t="str">
        <f>Saud!E2545</f>
        <v>مكتمل</v>
      </c>
      <c r="C2545" s="133" t="str">
        <f>Saud!C2545</f>
        <v>2025-31522
</v>
      </c>
    </row>
    <row r="2546">
      <c r="A2546" s="133" t="str">
        <f>Saud!F2546</f>
        <v>NATURAL CODE TUNA WITH SARDINES
</v>
      </c>
      <c r="B2546" s="133" t="str">
        <f>Saud!E2546</f>
        <v>مكتمل</v>
      </c>
      <c r="C2546" s="133" t="str">
        <f>Saud!C2546</f>
        <v>2025-31595
</v>
      </c>
    </row>
    <row r="2547">
      <c r="A2547" s="133" t="str">
        <f>Saud!F2547</f>
        <v>NATURAL CODE TUNA WITH BEEF LIVER IN JELLY
</v>
      </c>
      <c r="B2547" s="133" t="str">
        <f>Saud!E2547</f>
        <v>مكتمل</v>
      </c>
      <c r="C2547" s="133" t="str">
        <f>Saud!C2547</f>
        <v>2025-31530
</v>
      </c>
    </row>
    <row r="2548">
      <c r="A2548" s="133" t="str">
        <f>Saud!F2548</f>
        <v>NATURAL CODE TUNA WITH LAMB AND POTATOES IN JELLY
</v>
      </c>
      <c r="B2548" s="133" t="str">
        <f>Saud!E2548</f>
        <v>مكتمل</v>
      </c>
      <c r="C2548" s="133" t="str">
        <f>Saud!C2548</f>
        <v>2025-31527
</v>
      </c>
    </row>
    <row r="2549">
      <c r="A2549" s="133" t="str">
        <f>Saud!F2549</f>
        <v>NATURAL CODE TUNA FOR KIT TEN
</v>
      </c>
      <c r="B2549" s="133" t="str">
        <f>Saud!E2549</f>
        <v>مكتمل</v>
      </c>
      <c r="C2549" s="133" t="str">
        <f>Saud!C2549</f>
        <v>2025-31524
</v>
      </c>
    </row>
    <row r="2550">
      <c r="A2550" s="133" t="str">
        <f>Saud!F2550</f>
        <v>NATURAL CODE TUNA AND ALOE
</v>
      </c>
      <c r="B2550" s="133" t="str">
        <f>Saud!E2550</f>
        <v>مكتمل</v>
      </c>
      <c r="C2550" s="133" t="str">
        <f>Saud!C2550</f>
        <v>2025-25913
</v>
      </c>
    </row>
    <row r="2551">
      <c r="A2551" s="133" t="str">
        <f>Saud!F2551</f>
        <v>NATURAL CODE TUNA AND WHITEBAIT
</v>
      </c>
      <c r="B2551" s="133" t="str">
        <f>Saud!E2551</f>
        <v>مكتمل</v>
      </c>
      <c r="C2551" s="133" t="str">
        <f>Saud!C2551</f>
        <v>2025-25977
</v>
      </c>
    </row>
    <row r="2552">
      <c r="A2552" s="133" t="str">
        <f>Saud!F2552</f>
        <v>NATURAL CODE CHICKEN AND TURKEY IN JELLY
</v>
      </c>
      <c r="B2552" s="133" t="str">
        <f>Saud!E2552</f>
        <v>مكتمل</v>
      </c>
      <c r="C2552" s="133" t="str">
        <f>Saud!C2552</f>
        <v>2025-25262
</v>
      </c>
    </row>
    <row r="2553">
      <c r="A2553" s="133" t="str">
        <f>Saud!F2553</f>
        <v>NATURAL CODE POUCH TUNA
</v>
      </c>
      <c r="B2553" s="133" t="str">
        <f>Saud!E2553</f>
        <v>مكتمل</v>
      </c>
      <c r="C2553" s="133" t="str">
        <f>Saud!C2553</f>
        <v>2025-72066
</v>
      </c>
    </row>
    <row r="2554">
      <c r="A2554" s="133" t="str">
        <f>Saud!F2554</f>
        <v>NATURAL CODE POUCH SEA BREAM WITH VEGETABLES
</v>
      </c>
      <c r="B2554" s="133" t="str">
        <f>Saud!E2554</f>
        <v>مكتمل</v>
      </c>
      <c r="C2554" s="133" t="str">
        <f>Saud!C2554</f>
        <v>2025-72072
</v>
      </c>
    </row>
    <row r="2555">
      <c r="A2555" s="133" t="str">
        <f>Saud!F2555</f>
        <v>NATURAL CODE POUCH TUNA WITH SEA BREAM
</v>
      </c>
      <c r="B2555" s="133" t="str">
        <f>Saud!E2555</f>
        <v>مكتمل</v>
      </c>
      <c r="C2555" s="133" t="str">
        <f>Saud!C2555</f>
        <v>2025-72073
</v>
      </c>
    </row>
    <row r="2556">
      <c r="A2556" s="133" t="str">
        <f>Saud!F2556</f>
        <v>NATURAL CODE CHICKEN, AMARANTH AND CARROTS IN JE.
</v>
      </c>
      <c r="B2556" s="133" t="str">
        <f>Saud!E2556</f>
        <v>مكتمل</v>
      </c>
      <c r="C2556" s="133" t="str">
        <f>Saud!C2556</f>
        <v>2025-86648
</v>
      </c>
    </row>
    <row r="2557">
      <c r="A2557" s="133" t="str">
        <f>Saud!F2557</f>
        <v>NATURAL CODE POUCH TUNA WITH SALMON
</v>
      </c>
      <c r="B2557" s="133" t="str">
        <f>Saud!E2557</f>
        <v>مكتمل</v>
      </c>
      <c r="C2557" s="133" t="str">
        <f>Saud!C2557</f>
        <v>2025-86651
</v>
      </c>
    </row>
    <row r="2558">
      <c r="A2558" s="133" t="str">
        <f>Saud!F2558</f>
        <v>FEM-25-1964-FEP-2025-1949-C-22548-1361
</v>
      </c>
      <c r="B2558" s="133" t="str">
        <f>Saud!E2558</f>
        <v>مكتمل</v>
      </c>
      <c r="C2558" s="133" t="str">
        <f>Saud!C2558</f>
        <v>2025-86656
</v>
      </c>
    </row>
    <row r="2559">
      <c r="A2559" s="133" t="str">
        <f>Saud!F2559</f>
        <v>NATURAL CODE STERILCAT TUNA WITH FLAXSEED AND BROWN RICE
</v>
      </c>
      <c r="B2559" s="133" t="str">
        <f>Saud!E2559</f>
        <v>مكتمل</v>
      </c>
      <c r="C2559" s="133" t="str">
        <f>Saud!C2559</f>
        <v>2025-86653
</v>
      </c>
    </row>
    <row r="2560">
      <c r="A2560" s="133" t="str">
        <f>Saud!F2560</f>
        <v>NATURAL CODE STERILCAT TUNA WITH QUINOA AND BROWN RICE
</v>
      </c>
      <c r="B2560" s="133" t="str">
        <f>Saud!E2560</f>
        <v>مكتمل</v>
      </c>
      <c r="C2560" s="133" t="str">
        <f>Saud!C2560</f>
        <v>2025-86660
</v>
      </c>
    </row>
    <row r="2561">
      <c r="A2561" s="133" t="str">
        <f>Saud!F2561</f>
        <v>NAT URAL CODE ST ERILCAT T UNA WIT H PUMPKIN AND BROWN RICE</v>
      </c>
      <c r="B2561" s="133" t="str">
        <f>Saud!E2561</f>
        <v>مكتمل</v>
      </c>
      <c r="C2561" s="133" t="str">
        <f>Saud!C2561</f>
        <v>2025-86662
</v>
      </c>
    </row>
    <row r="2562">
      <c r="A2562" s="133" t="str">
        <f>Saud!F2562</f>
        <v>Felyn Go C&amp;B Cans Chicken with Spinach &amp; Rice in Jelly 75g</v>
      </c>
      <c r="B2562" s="133" t="str">
        <f>Saud!E2562</f>
        <v>مكتمل </v>
      </c>
      <c r="C2562" s="133" t="str">
        <f>Saud!C2562</f>
        <v>2025-169078</v>
      </c>
    </row>
    <row r="2563">
      <c r="A2563" s="133" t="str">
        <f>Saud!F2563</f>
        <v>Felyn Go C&amp;B Cans Tuna with Papaya in Gravy 75g</v>
      </c>
      <c r="B2563" s="133" t="str">
        <f>Saud!E2563</f>
        <v>مكتمل </v>
      </c>
      <c r="C2563" s="133" t="str">
        <f>Saud!C2563</f>
        <v>2025-169104</v>
      </c>
    </row>
    <row r="2564">
      <c r="A2564" s="133" t="str">
        <f>Saud!F2564</f>
        <v>Felyn Go C&amp;B Cans Chicken in Jelly for Kittens 75g</v>
      </c>
      <c r="B2564" s="133" t="str">
        <f>Saud!E2564</f>
        <v>مكتمل </v>
      </c>
      <c r="C2564" s="133" t="str">
        <f>Saud!C2564</f>
        <v>2025-169113</v>
      </c>
    </row>
    <row r="2565">
      <c r="A2565" s="133" t="str">
        <f>Saud!F2565</f>
        <v>CéDé hand rearing food Energy+ P19 200g 800g 3kg</v>
      </c>
      <c r="B2565" s="133" t="str">
        <f>Saud!E2565</f>
        <v>مكتمل </v>
      </c>
      <c r="C2565" s="133" t="str">
        <f>Saud!C2565</f>
        <v>2025-171831</v>
      </c>
    </row>
    <row r="2566">
      <c r="A2566" s="133" t="str">
        <f>Saud!F2566</f>
        <v>CéDé hand rearing food Protein+ P21-F9 200g 800g 3kg</v>
      </c>
      <c r="B2566" s="133" t="str">
        <f>Saud!E2566</f>
        <v>مكتمل </v>
      </c>
      <c r="C2566" s="133" t="str">
        <f>Saud!C2566</f>
        <v>2025-172960</v>
      </c>
    </row>
    <row r="2567">
      <c r="A2567" s="133" t="str">
        <f>Saud!F2567</f>
        <v>Prestige Parrots Fruit Mega 15kg</v>
      </c>
      <c r="B2567" s="133" t="str">
        <f>Saud!E2567</f>
        <v>مكتمل</v>
      </c>
      <c r="C2567" s="133" t="str">
        <f>Saud!C2567</f>
        <v/>
      </c>
    </row>
    <row r="2568">
      <c r="A2568" s="133" t="str">
        <f>Saud!F2568</f>
        <v>ZOLUX YUMMIES DOG SOFT TREATS LAMB 15g</v>
      </c>
      <c r="B2568" s="133" t="str">
        <f>Saud!E2568</f>
        <v>عاد لمقدم الطلب </v>
      </c>
      <c r="C2568" s="133" t="str">
        <f>Saud!C2568</f>
        <v>2025-179775</v>
      </c>
    </row>
    <row r="2569">
      <c r="A2569" s="133" t="str">
        <f>Saud!F2569</f>
        <v>ZOLUX YUMMIES CAT SOFT STICKS TURKEY &amp; LIVER 15g</v>
      </c>
      <c r="B2569" s="133" t="str">
        <f>Saud!E2569</f>
        <v>عاد لمقدم الطلب </v>
      </c>
      <c r="C2569" s="133" t="str">
        <f>Saud!C2569</f>
        <v>2025-179837</v>
      </c>
    </row>
    <row r="2570">
      <c r="A2570" s="133" t="str">
        <f>Saud!F2570</f>
        <v>ZOLUX YUMMIES DOG SOFT TREATS CHICKEN 12g</v>
      </c>
      <c r="B2570" s="133" t="str">
        <f>Saud!E2570</f>
        <v>مكتمل </v>
      </c>
      <c r="C2570" s="133" t="str">
        <f>Saud!C2570</f>
        <v>2025-179850</v>
      </c>
    </row>
    <row r="2571">
      <c r="A2571" s="133" t="str">
        <f>Saud!F2571</f>
        <v>ZOLUX YUMMIES CAT SOFT STICKS SALMON TROUT 15g</v>
      </c>
      <c r="B2571" s="133" t="str">
        <f>Saud!E2571</f>
        <v>مكتمل </v>
      </c>
      <c r="C2571" s="133" t="str">
        <f>Saud!C2571</f>
        <v>2025-179878</v>
      </c>
    </row>
    <row r="2572">
      <c r="A2572" s="133" t="str">
        <f>Saud!F2572</f>
        <v>ZOLUX YUMMIES CAT SOFT STICKS LAMB 12g</v>
      </c>
      <c r="B2572" s="133" t="str">
        <f>Saud!E2572</f>
        <v>مكتمل </v>
      </c>
      <c r="C2572" s="133" t="str">
        <f>Saud!C2572</f>
        <v>2025-179890</v>
      </c>
    </row>
    <row r="2573">
      <c r="A2573" s="133" t="str">
        <f>Saud!F2573</f>
        <v>ZOLUX YUMMIES DOG SOFT TREATS BEEF 12g</v>
      </c>
      <c r="B2573" s="133" t="str">
        <f>Saud!E2573</f>
        <v>مكتمل </v>
      </c>
      <c r="C2573" s="133" t="str">
        <f>Saud!C2573</f>
        <v>2025-179903</v>
      </c>
    </row>
    <row r="2574">
      <c r="A2574" s="133" t="str">
        <f>Saud!F2574</f>
        <v>Kit Cat Deboned Kitten Chicken Toppers 6x50g</v>
      </c>
      <c r="B2574" s="133" t="str">
        <f>Saud!E2574</f>
        <v>مكتمل </v>
      </c>
      <c r="C2574" s="133" t="str">
        <f>Saud!C2574</f>
        <v>2025-199033</v>
      </c>
    </row>
    <row r="2575">
      <c r="A2575" s="133" t="str">
        <f>Saud!F2575</f>
        <v>Kit Cat Deboned Kitten Tuna Toppers 6x50g</v>
      </c>
      <c r="B2575" s="133" t="str">
        <f>Saud!E2575</f>
        <v>مكتمل </v>
      </c>
      <c r="C2575" s="133" t="str">
        <f>Saud!C2575</f>
        <v>2025-199067</v>
      </c>
    </row>
    <row r="2576">
      <c r="A2576" s="133" t="str">
        <f>Saud!F2576</f>
        <v>Kit Cat Deboned Chicken &amp; Beef Toppers 6x50g</v>
      </c>
      <c r="B2576" s="133" t="str">
        <f>Saud!E2576</f>
        <v>مكتمل </v>
      </c>
      <c r="C2576" s="133" t="str">
        <f>Saud!C2576</f>
        <v>2025-199084</v>
      </c>
    </row>
    <row r="2577">
      <c r="A2577" s="133" t="str">
        <f>Saud!F2577</f>
        <v>Kit Cat Deboned Classic Chicken Toppers 6x50g</v>
      </c>
      <c r="B2577" s="133" t="str">
        <f>Saud!E2577</f>
        <v>مكتمل </v>
      </c>
      <c r="C2577" s="133" t="str">
        <f>Saud!C2577</f>
        <v>2025-199117</v>
      </c>
    </row>
    <row r="2578">
      <c r="A2578" s="133" t="str">
        <f>Saud!F2578</f>
        <v>Kit Cat Deboned Classic Tuna Toppers 6x50g</v>
      </c>
      <c r="B2578" s="133" t="str">
        <f>Saud!E2578</f>
        <v>مكتمل </v>
      </c>
      <c r="C2578" s="133" t="str">
        <f>Saud!C2578</f>
        <v>2025-199151</v>
      </c>
    </row>
    <row r="2579">
      <c r="A2579" s="133" t="str">
        <f>Saud!F2579</f>
        <v>Kit Cat Deboned Chicken &amp; Salmon Toppers 6x50g</v>
      </c>
      <c r="B2579" s="133" t="str">
        <f>Saud!E2579</f>
        <v>مكتمل </v>
      </c>
      <c r="C2579" s="133" t="str">
        <f>Saud!C2579</f>
        <v>2025-199189</v>
      </c>
    </row>
    <row r="2580">
      <c r="A2580" s="133" t="str">
        <f>Saud!F2580</f>
        <v>Kit Cat Deboned Tuna &amp; Chicken Toppers 6x50g</v>
      </c>
      <c r="B2580" s="133" t="str">
        <f>Saud!E2580</f>
        <v>مكتمل </v>
      </c>
      <c r="C2580" s="133" t="str">
        <f>Saud!C2580</f>
        <v>2025-199197</v>
      </c>
    </row>
    <row r="2581">
      <c r="A2581" s="133" t="str">
        <f>Saud!F2581</f>
        <v>Kit Cat Deboned Tuna &amp; Salmon Toppers 6x50g</v>
      </c>
      <c r="B2581" s="133" t="str">
        <f>Saud!E2581</f>
        <v>مكتمل </v>
      </c>
      <c r="C2581" s="133" t="str">
        <f>Saud!C2581</f>
        <v>2025-580226</v>
      </c>
    </row>
    <row r="2582">
      <c r="A2582" s="133" t="str">
        <f>Saud!F2582</f>
        <v>Kit Cat Deboned Tuna &amp; Shrimp Toppers 6x50g</v>
      </c>
      <c r="B2582" s="133" t="str">
        <f>Saud!E2582</f>
        <v>مكتمل </v>
      </c>
      <c r="C2582" s="133" t="str">
        <f>Saud!C2582</f>
        <v>2025-580270</v>
      </c>
    </row>
    <row r="2583">
      <c r="A2583" s="133" t="str">
        <f>Saud!F2583</f>
        <v>Kit Cat Deboned Tuna &amp; Whitebait Toppers 6x50g</v>
      </c>
      <c r="B2583" s="133" t="str">
        <f>Saud!E2583</f>
        <v>مكتمل </v>
      </c>
      <c r="C2583" s="133" t="str">
        <f>Saud!C2583</f>
        <v>2025-199279</v>
      </c>
    </row>
    <row r="2584">
      <c r="A2584" s="133" t="str">
        <f>Saud!F2584</f>
        <v>ACANA Adult Dog Food 6 17 kg</v>
      </c>
      <c r="B2584" s="133" t="str">
        <f>Saud!E2584</f>
        <v>مكتمل </v>
      </c>
      <c r="C2584" s="133" t="str">
        <f>Saud!C2584</f>
        <v>2025-206287</v>
      </c>
    </row>
    <row r="2585">
      <c r="A2585" s="133" t="str">
        <f>Saud!F2585</f>
        <v>ACANA Adult Small Breed Dog Food 340g 6kg</v>
      </c>
      <c r="B2585" s="133" t="str">
        <f>Saud!E2585</f>
        <v>مكتمل </v>
      </c>
      <c r="C2585" s="133" t="str">
        <f>Saud!C2585</f>
        <v>2025-206451</v>
      </c>
    </row>
    <row r="2586">
      <c r="A2586" s="133" t="str">
        <f>Saud!F2586</f>
        <v>ACANA Light Fit Dog Food 6kg 11kg</v>
      </c>
      <c r="B2586" s="133" t="str">
        <f>Saud!E2586</f>
        <v>مكتمل </v>
      </c>
      <c r="C2586" s="133" t="str">
        <f>Saud!C2586</f>
        <v>2025-206672</v>
      </c>
    </row>
    <row r="2587">
      <c r="A2587" s="133" t="str">
        <f>Saud!F2587</f>
        <v>ACANA Puppy Dog Food 2kg 6 kg</v>
      </c>
      <c r="B2587" s="133" t="str">
        <f>Saud!E2587</f>
        <v>مكتمل </v>
      </c>
      <c r="C2587" s="133" t="str">
        <f>Saud!C2587</f>
        <v>2025-206725</v>
      </c>
    </row>
    <row r="2588">
      <c r="A2588" s="133" t="str">
        <f>Saud!F2588</f>
        <v>ACANA Puppy Small Breed Food 2kg</v>
      </c>
      <c r="B2588" s="133" t="str">
        <f>Saud!E2588</f>
        <v>مكتمل </v>
      </c>
      <c r="C2588" s="133" t="str">
        <f>Saud!C2588</f>
        <v>2025-206755</v>
      </c>
    </row>
    <row r="2589">
      <c r="A2589" s="133" t="str">
        <f>Saud!F2589</f>
        <v>ACANA Senior Dog Food 6kg 11kg</v>
      </c>
      <c r="B2589" s="133" t="str">
        <f>Saud!E2589</f>
        <v>مكتمل </v>
      </c>
      <c r="C2589" s="133" t="str">
        <f>Saud!C2589</f>
        <v>2025-206811</v>
      </c>
    </row>
    <row r="2590">
      <c r="A2590" s="133" t="str">
        <f>Saud!F2590</f>
        <v>ACANA Kitten First Feast Cat Food 1.8kg</v>
      </c>
      <c r="B2590" s="133" t="str">
        <f>Saud!E2590</f>
        <v>مكتمل </v>
      </c>
      <c r="C2590" s="133" t="str">
        <f>Saud!C2590</f>
        <v>2024-306924</v>
      </c>
    </row>
    <row r="2591">
      <c r="A2591" s="133" t="str">
        <f>Saud!F2591</f>
        <v>ACANA Kitten First Feast Cat Food 340g</v>
      </c>
      <c r="B2591" s="133" t="str">
        <f>Saud!E2591</f>
        <v>مكتمل </v>
      </c>
      <c r="C2591" s="133" t="str">
        <f>Saud!C2591</f>
        <v>2025-206866</v>
      </c>
    </row>
    <row r="2592">
      <c r="A2592" s="133" t="str">
        <f>Saud!F2592</f>
        <v>ACANA Highest Protein Grasslands Cat Food 340g</v>
      </c>
      <c r="B2592" s="133" t="str">
        <f>Saud!E2592</f>
        <v>مكتمل </v>
      </c>
      <c r="C2592" s="133" t="str">
        <f>Saud!C2592</f>
        <v>2025-208803</v>
      </c>
    </row>
    <row r="2593">
      <c r="A2593" s="133" t="str">
        <f>Saud!F2593</f>
        <v>ACANA Highest Protein Indoor Cat Food 4.5 kg</v>
      </c>
      <c r="B2593" s="133" t="str">
        <f>Saud!E2593</f>
        <v>مكتمل </v>
      </c>
      <c r="C2593" s="133" t="str">
        <f>Saud!C2593</f>
        <v>2025-208947</v>
      </c>
    </row>
    <row r="2594">
      <c r="A2594" s="133" t="str">
        <f>Saud!F2594</f>
        <v>ACANA Highest Protein Pacifica Cat Food 340g</v>
      </c>
      <c r="B2594" s="133" t="str">
        <f>Saud!E2594</f>
        <v>مكتمل </v>
      </c>
      <c r="C2594" s="133" t="str">
        <f>Saud!C2594</f>
        <v>2025-209000</v>
      </c>
    </row>
    <row r="2595">
      <c r="A2595" s="133" t="str">
        <f>Saud!F2595</f>
        <v>ACANA Highest Protein Wild Prairie Cat Food 340g</v>
      </c>
      <c r="B2595" s="133" t="str">
        <f>Saud!E2595</f>
        <v>مكتمل </v>
      </c>
      <c r="C2595" s="133" t="str">
        <f>Saud!C2595</f>
        <v>2025-209121</v>
      </c>
    </row>
    <row r="2596">
      <c r="A2596" s="133" t="str">
        <f>Saud!F2596</f>
        <v>ACANA Bountiful Catch Cat Food 4.5kg</v>
      </c>
      <c r="B2596" s="133" t="str">
        <f>Saud!E2596</f>
        <v>مكتمل </v>
      </c>
      <c r="C2596" s="133" t="str">
        <f>Saud!C2596</f>
        <v>2025-209143</v>
      </c>
    </row>
    <row r="2597">
      <c r="A2597" s="133" t="str">
        <f>Saud!F2597</f>
        <v>ACANA Homestead Harvest Cat Food 4.5kg 340g</v>
      </c>
      <c r="B2597" s="133" t="str">
        <f>Saud!E2597</f>
        <v>مكتمل </v>
      </c>
      <c r="C2597" s="133" t="str">
        <f>Saud!C2597</f>
        <v>2025-209163</v>
      </c>
    </row>
    <row r="2598">
      <c r="A2598" s="133" t="str">
        <f>Saud!F2598</f>
        <v>INTL ACANA Indoor Entree Cat 4.5kg 340g</v>
      </c>
      <c r="B2598" s="133" t="str">
        <f>Saud!E2598</f>
        <v>مكتمل </v>
      </c>
      <c r="C2598" s="133" t="str">
        <f>Saud!C2598</f>
        <v>2025-209204</v>
      </c>
    </row>
    <row r="2599">
      <c r="A2599" s="133" t="str">
        <f>Saud!F2599</f>
        <v>ORIJEN Fit &amp; Trim Dog Food 11.4 kg</v>
      </c>
      <c r="B2599" s="133" t="str">
        <f>Saud!E2599</f>
        <v>مكتمل </v>
      </c>
      <c r="C2599" s="133" t="str">
        <f>Saud!C2599</f>
        <v>2025-212305</v>
      </c>
    </row>
    <row r="2600">
      <c r="A2600" s="133" t="str">
        <f>Saud!F2600</f>
        <v>ORIJEN Guardian 8 Cat Food 340g</v>
      </c>
      <c r="B2600" s="133" t="str">
        <f>Saud!E2600</f>
        <v>مكتمل </v>
      </c>
      <c r="C2600" s="133" t="str">
        <f>Saud!C2600</f>
        <v>2025-212309</v>
      </c>
    </row>
    <row r="2601">
      <c r="A2601" s="133" t="str">
        <f>Saud!F2601</f>
        <v>ORIJEN Kitten Cat Food 340g</v>
      </c>
      <c r="B2601" s="133" t="str">
        <f>Saud!E2601</f>
        <v>مكتمل </v>
      </c>
      <c r="C2601" s="133" t="str">
        <f>Saud!C2601</f>
        <v>2025-212316</v>
      </c>
    </row>
    <row r="2602">
      <c r="A2602" s="133" t="str">
        <f>Saud!F2602</f>
        <v>ORIJEN Original Cat Food 340g</v>
      </c>
      <c r="B2602" s="133" t="str">
        <f>Saud!E2602</f>
        <v>مكتمل </v>
      </c>
      <c r="C2602" s="133" t="str">
        <f>Saud!C2602</f>
        <v>2025-212320</v>
      </c>
    </row>
    <row r="2603">
      <c r="A2603" s="133" t="str">
        <f>Saud!F2603</f>
        <v>ORIJEN Original Dog Food 6kg</v>
      </c>
      <c r="B2603" s="133" t="str">
        <f>Saud!E2603</f>
        <v>مكتمل </v>
      </c>
      <c r="C2603" s="133" t="str">
        <f>Saud!C2603</f>
        <v>2025-212323</v>
      </c>
    </row>
    <row r="2604">
      <c r="A2604" s="133" t="str">
        <f>Saud!F2604</f>
        <v>ORIJEN Puppy Dog Food 11.4kg</v>
      </c>
      <c r="B2604" s="133" t="str">
        <f>Saud!E2604</f>
        <v>مكتمل </v>
      </c>
      <c r="C2604" s="133" t="str">
        <f>Saud!C2604</f>
        <v>2025-212324</v>
      </c>
    </row>
    <row r="2605">
      <c r="A2605" s="133" t="str">
        <f>Saud!F2605</f>
        <v>ORIJEN Senior Dog Food 6kg</v>
      </c>
      <c r="B2605" s="133" t="str">
        <f>Saud!E2605</f>
        <v>مكتمل </v>
      </c>
      <c r="C2605" s="133" t="str">
        <f>Saud!C2605</f>
        <v>2025-212329</v>
      </c>
    </row>
    <row r="2606">
      <c r="A2606" s="133" t="str">
        <f>Saud!F2606</f>
        <v>ORIJEN Six Fish Cat Food 340g</v>
      </c>
      <c r="B2606" s="133" t="str">
        <f>Saud!E2606</f>
        <v>مكتمل </v>
      </c>
      <c r="C2606" s="133" t="str">
        <f>Saud!C2606</f>
        <v>2025-215196</v>
      </c>
    </row>
    <row r="2607">
      <c r="A2607" s="133" t="str">
        <f>Saud!F2607</f>
        <v>ORIJEN Six Fish Dog Food 6kg 11.4kg</v>
      </c>
      <c r="B2607" s="133" t="str">
        <f>Saud!E2607</f>
        <v>مكتمل </v>
      </c>
      <c r="C2607" s="133" t="str">
        <f>Saud!C2607</f>
        <v>2025-215227</v>
      </c>
    </row>
    <row r="2608">
      <c r="A2608" s="133" t="str">
        <f>Saud!F2608</f>
        <v>ORIJEN Small Breed Puppy Dog Food 1.8kg</v>
      </c>
      <c r="B2608" s="133" t="str">
        <f>Saud!E2608</f>
        <v>مكتمل </v>
      </c>
      <c r="C2608" s="133" t="str">
        <f>Saud!C2608</f>
        <v>2025-215257</v>
      </c>
    </row>
    <row r="2609">
      <c r="A2609" s="133" t="str">
        <f>Saud!F2609</f>
        <v>Felyn Go C&amp;B Chunks in Gravy Beef Pouch 85g</v>
      </c>
      <c r="B2609" s="133" t="str">
        <f>Saud!E2609</f>
        <v>مكتمل </v>
      </c>
      <c r="C2609" s="133" t="str">
        <f>Saud!C2609</f>
        <v>2025-225960</v>
      </c>
    </row>
    <row r="2610">
      <c r="A2610" s="133" t="str">
        <f>Saud!F2610</f>
        <v>Felyn Go C&amp;B Chunks in Gravy Chicken Pouch 85g</v>
      </c>
      <c r="B2610" s="133" t="str">
        <f>Saud!E2610</f>
        <v>مكتمل </v>
      </c>
      <c r="C2610" s="133" t="str">
        <f>Saud!C2610</f>
        <v>2025-226322</v>
      </c>
    </row>
    <row r="2611">
      <c r="A2611" s="133" t="str">
        <f>Saud!F2611</f>
        <v>Felyn Go C&amp;B Chunks in Gravy Salmon Pouch 85g</v>
      </c>
      <c r="B2611" s="133" t="str">
        <f>Saud!E2611</f>
        <v>مكتمل </v>
      </c>
      <c r="C2611" s="133" t="str">
        <f>Saud!C2611</f>
        <v>2025-226624</v>
      </c>
    </row>
    <row r="2612">
      <c r="A2612" s="133" t="str">
        <f>Saud!F2612</f>
        <v>Felyn Go C&amp;B Chunks in Gravy Tuna Pouch 85g
</v>
      </c>
      <c r="B2612" s="133" t="str">
        <f>Saud!E2612</f>
        <v>مكتمل </v>
      </c>
      <c r="C2612" s="133" t="str">
        <f>Saud!C2612</f>
        <v>2025-226930</v>
      </c>
    </row>
    <row r="2613">
      <c r="A2613" s="133" t="str">
        <f>Saud!F2613</f>
        <v>Felyn Go Creamy Lickable Cat Treats Beef 15g</v>
      </c>
      <c r="B2613" s="133" t="str">
        <f>Saud!E2613</f>
        <v>مكتمل </v>
      </c>
      <c r="C2613" s="133" t="str">
        <f>Saud!C2613</f>
        <v>2025-227505</v>
      </c>
    </row>
    <row r="2614">
      <c r="A2614" s="133" t="str">
        <f>Saud!F2614</f>
        <v>Felyn Go Creamy Lickable Cat Treats Catnip 15g</v>
      </c>
      <c r="B2614" s="133" t="str">
        <f>Saud!E2614</f>
        <v>مكتمل </v>
      </c>
      <c r="C2614" s="133" t="str">
        <f>Saud!C2614</f>
        <v>2025-227530</v>
      </c>
    </row>
    <row r="2615">
      <c r="A2615" s="133" t="str">
        <f>Saud!F2615</f>
        <v>Felyn Go Creamy Lickable Cat Treats Chicken 15g</v>
      </c>
      <c r="B2615" s="133" t="str">
        <f>Saud!E2615</f>
        <v>مكتمل </v>
      </c>
      <c r="C2615" s="133" t="str">
        <f>Saud!C2615</f>
        <v>2025-227565</v>
      </c>
    </row>
    <row r="2616">
      <c r="A2616" s="133" t="str">
        <f>Saud!F2616</f>
        <v>Felyn Go Creamy Lickable Cat Treats Duck 15g</v>
      </c>
      <c r="B2616" s="133" t="str">
        <f>Saud!E2616</f>
        <v>مكتمل </v>
      </c>
      <c r="C2616" s="133" t="str">
        <f>Saud!C2616</f>
        <v>2025-227594</v>
      </c>
    </row>
    <row r="2617">
      <c r="A2617" s="133" t="str">
        <f>Saud!F2617</f>
        <v>Felyn Go Creamy Lickable Cat Treats Duck &amp; Liver 15g</v>
      </c>
      <c r="B2617" s="133" t="str">
        <f>Saud!E2617</f>
        <v>مكتمل </v>
      </c>
      <c r="C2617" s="133" t="str">
        <f>Saud!C2617</f>
        <v>2025-227608</v>
      </c>
    </row>
    <row r="2618">
      <c r="A2618" s="133" t="str">
        <f>Saud!F2618</f>
        <v>Felyn Go Creamy Lickable Cat Treats Rabbit 15g</v>
      </c>
      <c r="B2618" s="133" t="str">
        <f>Saud!E2618</f>
        <v>مكتمل </v>
      </c>
      <c r="C2618" s="133" t="str">
        <f>Saud!C2618</f>
        <v>2025-227622</v>
      </c>
    </row>
    <row r="2619">
      <c r="A2619" s="133" t="str">
        <f>Saud!F2619</f>
        <v>Felyn Go Creamy Lickable Cat Treats Salmon 15g</v>
      </c>
      <c r="B2619" s="133" t="str">
        <f>Saud!E2619</f>
        <v>مكتمل </v>
      </c>
      <c r="C2619" s="133" t="str">
        <f>Saud!C2619</f>
        <v>2025-227628</v>
      </c>
    </row>
    <row r="2620">
      <c r="A2620" s="133" t="str">
        <f>Saud!F2620</f>
        <v>Felyn Go Creamy Lickable Cat Treats Tuna 15g</v>
      </c>
      <c r="B2620" s="133" t="str">
        <f>Saud!E2620</f>
        <v>مكتمل </v>
      </c>
      <c r="C2620" s="133" t="str">
        <f>Saud!C2620</f>
        <v>2025-227646</v>
      </c>
    </row>
    <row r="2621">
      <c r="A2621" s="133" t="str">
        <f>Saud!F2621</f>
        <v>Felyn Go Milk for Cats 200ml</v>
      </c>
      <c r="B2621" s="133" t="str">
        <f>Saud!E2621</f>
        <v>مكتمل </v>
      </c>
      <c r="C2621" s="133" t="str">
        <f>Saud!C2621</f>
        <v>2025-232374</v>
      </c>
    </row>
    <row r="2622">
      <c r="A2622" s="133" t="str">
        <f>Saud!F2622</f>
        <v>Felyn Go Milk for Kittens 200ml</v>
      </c>
      <c r="B2622" s="133" t="str">
        <f>Saud!E2622</f>
        <v>مكتمل </v>
      </c>
      <c r="C2622" s="133" t="str">
        <f>Saud!C2622</f>
        <v>2025-232415</v>
      </c>
    </row>
    <row r="2623">
      <c r="A2623" s="133" t="str">
        <f>Saud!F2623</f>
        <v>Felyn Go Soft Bite Cat Treats Chicken &amp; Beef 10g</v>
      </c>
      <c r="B2623" s="133" t="str">
        <f>Saud!E2623</f>
        <v>مكتمل </v>
      </c>
      <c r="C2623" s="133" t="str">
        <f>Saud!C2623</f>
        <v>2025-235542</v>
      </c>
    </row>
    <row r="2624">
      <c r="A2624" s="133" t="str">
        <f>Saud!F2624</f>
        <v>Felyn Go Soft Bite Cat Treats Chicken &amp; Cheese 10g</v>
      </c>
      <c r="B2624" s="133" t="str">
        <f>Saud!E2624</f>
        <v>مكتمل </v>
      </c>
      <c r="C2624" s="133" t="str">
        <f>Saud!C2624</f>
        <v>2025-235420</v>
      </c>
    </row>
    <row r="2625">
      <c r="A2625" s="133" t="str">
        <f>Saud!F2625</f>
        <v>Felyn Go Soft Bite Cat Treats Chicken &amp; Salmon 10g</v>
      </c>
      <c r="B2625" s="133" t="str">
        <f>Saud!E2625</f>
        <v>مكتمل </v>
      </c>
      <c r="C2625" s="133" t="str">
        <f>Saud!C2625</f>
        <v>2025-235575</v>
      </c>
    </row>
    <row r="2626">
      <c r="A2626" s="133" t="str">
        <f>Saud!F2626</f>
        <v>Felyn Go Soft Bite Cat Treats Chicken &amp; Tuna 10g</v>
      </c>
      <c r="B2626" s="133" t="str">
        <f>Saud!E2626</f>
        <v>مكتمل </v>
      </c>
      <c r="C2626" s="133" t="str">
        <f>Saud!C2626</f>
        <v>2025-235611</v>
      </c>
    </row>
    <row r="2627">
      <c r="A2627" s="133" t="str">
        <f>Saud!F2627</f>
        <v>Felyn Go Soft Bite Cat Treats Chicken &amp; Yolk 10g</v>
      </c>
      <c r="B2627" s="133" t="str">
        <f>Saud!E2627</f>
        <v>مكتمل </v>
      </c>
      <c r="C2627" s="133" t="str">
        <f>Saud!C2627</f>
        <v>2025-235635</v>
      </c>
    </row>
    <row r="2628">
      <c r="A2628" s="133" t="str">
        <f>Saud!F2628</f>
        <v>Forza 10 PUPPY CONDRO kg10</v>
      </c>
      <c r="B2628" s="133" t="str">
        <f>Saud!E2628</f>
        <v>مكتمل </v>
      </c>
      <c r="C2628" s="133" t="str">
        <f>Saud!C2628</f>
        <v>2025-342897</v>
      </c>
    </row>
    <row r="2629">
      <c r="A2629" s="133" t="str">
        <f>Saud!F2629</f>
        <v>Forza 10 RENAL 4kg 1.5kg </v>
      </c>
      <c r="B2629" s="133" t="str">
        <f>Saud!E2629</f>
        <v>تحت الاجراء </v>
      </c>
      <c r="C2629" s="133" t="str">
        <f>Saud!C2629</f>
        <v>2025-350682</v>
      </c>
    </row>
    <row r="2630">
      <c r="A2630" s="133" t="str">
        <f>Saud!F2630</f>
        <v>Forza 10 ECHO Mini/Toy 1,5kg</v>
      </c>
      <c r="B2630" s="133" t="str">
        <f>Saud!E2630</f>
        <v>تحت الاجراء </v>
      </c>
      <c r="C2630" s="133" t="str">
        <f>Saud!C2630</f>
        <v>2025-350856</v>
      </c>
    </row>
    <row r="2631">
      <c r="A2631" s="133" t="str">
        <f>Saud!F2631</f>
        <v>Forza 10 ECHO kg4 10kg</v>
      </c>
      <c r="B2631" s="133" t="str">
        <f>Saud!E2631</f>
        <v>تحت الاجراء </v>
      </c>
      <c r="C2631" s="133" t="str">
        <f>Saud!C2631</f>
        <v>2025-350880</v>
      </c>
    </row>
    <row r="2632">
      <c r="A2632" s="133" t="str">
        <f>Saud!F2632</f>
        <v>DERMO Mini/Toy 1,5kg</v>
      </c>
      <c r="B2632" s="133" t="str">
        <f>Saud!E2632</f>
        <v>تحت الاجراء </v>
      </c>
      <c r="C2632" s="133" t="str">
        <f>Saud!C2632</f>
        <v>2025-34253</v>
      </c>
    </row>
    <row r="2633">
      <c r="A2633" s="133" t="str">
        <f>Saud!F2633</f>
        <v>Forza 10 DERMO kg10 4kg</v>
      </c>
      <c r="B2633" s="133" t="str">
        <f>Saud!E2633</f>
        <v>تحت الاجراء </v>
      </c>
      <c r="C2633" s="133" t="str">
        <f>Saud!C2633</f>
        <v>2025-350905</v>
      </c>
    </row>
    <row r="2634">
      <c r="A2634" s="133" t="str">
        <f>Saud!F2634</f>
        <v>Forza 10 ULTRA DERMO 1,5kg 10kg</v>
      </c>
      <c r="B2634" s="133" t="str">
        <f>Saud!E2634</f>
        <v>تحت الاجراء </v>
      </c>
      <c r="C2634" s="133" t="str">
        <f>Saud!C2634</f>
        <v>2025-350977</v>
      </c>
    </row>
    <row r="2635">
      <c r="A2635" s="133" t="str">
        <f>Saud!F2635</f>
        <v>Forza 10 INTESTINAL Mini/Toy 1 ,5kg</v>
      </c>
      <c r="B2635" s="133" t="str">
        <f>Saud!E2635</f>
        <v>تحت الاجراء </v>
      </c>
      <c r="C2635" s="133" t="str">
        <f>Saud!C2635</f>
        <v>2025-351017</v>
      </c>
    </row>
    <row r="2636">
      <c r="A2636" s="133" t="str">
        <f>Saud!F2636</f>
        <v>Forza 10 INTESTINAL kg1,5 4kg 10kg</v>
      </c>
      <c r="B2636" s="133" t="str">
        <f>Saud!E2636</f>
        <v>تحت الاجراء </v>
      </c>
      <c r="C2636" s="133" t="str">
        <f>Saud!C2636</f>
        <v>2025-351050</v>
      </c>
    </row>
    <row r="2637">
      <c r="A2637" s="133" t="str">
        <f>Saud!F2637</f>
        <v>Forza 10 DEPURA kg10</v>
      </c>
      <c r="B2637" s="133" t="str">
        <f>Saud!E2637</f>
        <v>تحت الاجراء </v>
      </c>
      <c r="C2637" s="133" t="str">
        <f>Saud!C2637</f>
        <v>2025-351212</v>
      </c>
    </row>
    <row r="2638">
      <c r="A2638" s="133" t="str">
        <f>Saud!F2638</f>
        <v>Forza 10 PERIACTION Mini/Toy 1 ,5kg</v>
      </c>
      <c r="B2638" s="133" t="str">
        <f>Saud!E2638</f>
        <v>تحت الاجراء </v>
      </c>
      <c r="C2638" s="133" t="str">
        <f>Saud!C2638</f>
        <v>2025-351271</v>
      </c>
    </row>
    <row r="2639">
      <c r="A2639" s="133" t="str">
        <f>Saud!F2639</f>
        <v>Forza 10 PERIACTION kg4 10kg</v>
      </c>
      <c r="B2639" s="133" t="str">
        <f>Saud!E2639</f>
        <v>تحت الاجراء </v>
      </c>
      <c r="C2639" s="133" t="str">
        <f>Saud!C2639</f>
        <v>2025-351241</v>
      </c>
    </row>
    <row r="2640">
      <c r="A2640" s="133" t="str">
        <f>Saud!F2640</f>
        <v>Forza 10 DEFENSE kg10</v>
      </c>
      <c r="B2640" s="133" t="str">
        <f>Saud!E2640</f>
        <v>تحت الاجراء </v>
      </c>
      <c r="C2640" s="133" t="str">
        <f>Saud!C2640</f>
        <v>2025-351310</v>
      </c>
    </row>
    <row r="2641">
      <c r="A2641" s="133" t="str">
        <f>Saud!F2641</f>
        <v>Forza 10 GASTROENTERIC kg4 10kg</v>
      </c>
      <c r="B2641" s="133" t="str">
        <f>Saud!E2641</f>
        <v>تحت الاجراء </v>
      </c>
      <c r="C2641" s="133" t="str">
        <f>Saud!C2641</f>
        <v>2025-351330</v>
      </c>
    </row>
    <row r="2642">
      <c r="A2642" s="133" t="str">
        <f>Saud!F2642</f>
        <v>CATIDEA Signature Beef</v>
      </c>
      <c r="B2642" s="133" t="str">
        <f>Saud!E2642</f>
        <v>مكتمل </v>
      </c>
      <c r="C2642" s="133" t="str">
        <f>Saud!C2642</f>
        <v>2025-362100</v>
      </c>
    </row>
    <row r="2643">
      <c r="A2643" s="133" t="str">
        <f>Saud!F2643</f>
        <v>CATIDEA Signature Chicken</v>
      </c>
      <c r="B2643" s="133" t="str">
        <f>Saud!E2643</f>
        <v>مكتمل </v>
      </c>
      <c r="C2643" s="133" t="str">
        <f>Saud!C2643</f>
        <v>2025-362151</v>
      </c>
    </row>
    <row r="2644">
      <c r="A2644" s="133" t="str">
        <f>Saud!F2644</f>
        <v>CATIDEA Signature Duck</v>
      </c>
      <c r="B2644" s="133" t="str">
        <f>Saud!E2644</f>
        <v>مكتمل </v>
      </c>
      <c r="C2644" s="133" t="str">
        <f>Saud!C2644</f>
        <v>2025-362172</v>
      </c>
    </row>
    <row r="2645">
      <c r="A2645" s="133" t="str">
        <f>Saud!F2645</f>
        <v>CATIDEA Signature Goat Milk Mother &amp; Baby Cat</v>
      </c>
      <c r="B2645" s="133" t="str">
        <f>Saud!E2645</f>
        <v>مكتمل </v>
      </c>
      <c r="C2645" s="133" t="str">
        <f>Saud!C2645</f>
        <v>2025-362219</v>
      </c>
    </row>
    <row r="2646">
      <c r="A2646" s="133" t="str">
        <f>Saud!F2646</f>
        <v>CATIDEA Signature Lamb</v>
      </c>
      <c r="B2646" s="133" t="str">
        <f>Saud!E2646</f>
        <v>مكتمل </v>
      </c>
      <c r="C2646" s="133" t="str">
        <f>Saud!C2646</f>
        <v>2025-362249</v>
      </c>
    </row>
    <row r="2647">
      <c r="A2647" s="133" t="str">
        <f>Saud!F2647</f>
        <v>CATIDEA Signature Salmon</v>
      </c>
      <c r="B2647" s="133" t="str">
        <f>Saud!E2647</f>
        <v>مكتمل </v>
      </c>
      <c r="C2647" s="133" t="str">
        <f>Saud!C2647</f>
        <v>2025-362311</v>
      </c>
    </row>
    <row r="2648">
      <c r="A2648" s="133" t="str">
        <f>Saud!F2648</f>
        <v>Kit Cat Urinary Care Supplement Powder 150g</v>
      </c>
      <c r="B2648" s="133" t="str">
        <f>Saud!E2648</f>
        <v>تحت الاجراء </v>
      </c>
      <c r="C2648" s="133" t="str">
        <f>Saud!C2648</f>
        <v>2025-377435</v>
      </c>
    </row>
    <row r="2649">
      <c r="A2649" s="133" t="str">
        <f>Saud!F2649</f>
        <v>Kit Cat Probiotic Supplement Powder 150g</v>
      </c>
      <c r="B2649" s="133" t="str">
        <f>Saud!E2649</f>
        <v>مكتمل </v>
      </c>
      <c r="C2649" s="133" t="str">
        <f>Saud!C2649</f>
        <v>2025-377456</v>
      </c>
    </row>
    <row r="2650">
      <c r="A2650" s="133" t="str">
        <f>Saud!F2650</f>
        <v>Kit Cat Taurine Supplement Powder 150g</v>
      </c>
      <c r="B2650" s="133" t="str">
        <f>Saud!E2650</f>
        <v>مكتمل </v>
      </c>
      <c r="C2650" s="133" t="str">
        <f>Saud!C2650</f>
        <v>2025-377472</v>
      </c>
    </row>
    <row r="2651">
      <c r="A2651" s="133" t="str">
        <f>Saud!F2651</f>
        <v>Kit Cat L-Lysine Supplement Powder 150g</v>
      </c>
      <c r="B2651" s="133" t="str">
        <f>Saud!E2651</f>
        <v>مكتمل </v>
      </c>
      <c r="C2651" s="133" t="str">
        <f>Saud!C2651</f>
        <v>2025-377494</v>
      </c>
    </row>
    <row r="2652">
      <c r="A2652" s="133" t="str">
        <f>Saud!F2652</f>
        <v>Kit Cat Weight Gain Supplement Powder 150g</v>
      </c>
      <c r="B2652" s="133" t="str">
        <f>Saud!E2652</f>
        <v>مكتمل </v>
      </c>
      <c r="C2652" s="133" t="str">
        <f>Saud!C2652</f>
        <v>2025-377516</v>
      </c>
    </row>
    <row r="2653">
      <c r="A2653" s="133" t="str">
        <f>Saud!F2653</f>
        <v>Kit Cat Skin &amp; Coat Supplement Powder 150g</v>
      </c>
      <c r="B2653" s="133" t="str">
        <f>Saud!E2653</f>
        <v>مكتمل </v>
      </c>
      <c r="C2653" s="133" t="str">
        <f>Saud!C2653</f>
        <v>2025-377527</v>
      </c>
    </row>
    <row r="2654">
      <c r="A2654" s="133" t="str">
        <f>Saud!F2654</f>
        <v>Kit Cat Hairball Supplement Powder 150g</v>
      </c>
      <c r="B2654" s="133" t="str">
        <f>Saud!E2654</f>
        <v>مكتمل </v>
      </c>
      <c r="C2654" s="133" t="str">
        <f>Saud!C2654</f>
        <v>2025-377550</v>
      </c>
    </row>
    <row r="2655">
      <c r="A2655" s="133" t="str">
        <f>Saud!F2655</f>
        <v>Kit Cat Dental Supplement Powder 150g</v>
      </c>
      <c r="B2655" s="133" t="str">
        <f>Saud!E2655</f>
        <v>مكتمل </v>
      </c>
      <c r="C2655" s="133" t="str">
        <f>Saud!C2655</f>
        <v>2025-377568</v>
      </c>
    </row>
    <row r="2656">
      <c r="A2656" s="133" t="str">
        <f>Saud!F2656</f>
        <v>Kit Cat Tear Stain Supplement Powder 150g</v>
      </c>
      <c r="B2656" s="133" t="str">
        <f>Saud!E2656</f>
        <v>تحت الاجراء </v>
      </c>
      <c r="C2656" s="133" t="str">
        <f>Saud!C2656</f>
        <v>2025-377584</v>
      </c>
    </row>
    <row r="2657">
      <c r="A2657" s="133" t="str">
        <f>Saud!F2657</f>
        <v>NUTRIMEAL+ DWARF RABBIT STICK Carrot X 2 115GR</v>
      </c>
      <c r="B2657" s="133" t="str">
        <f>Saud!E2657</f>
        <v>مكتمل </v>
      </c>
      <c r="C2657" s="133" t="str">
        <f>Saud!C2657</f>
        <v>2025-568863
</v>
      </c>
    </row>
    <row r="2658">
      <c r="A2658" s="133" t="str">
        <f>Saud!F2658</f>
        <v>NUTRIMEAL+ DWARF RABBIT STICK beetroot X 2 115GR</v>
      </c>
      <c r="B2658" s="133" t="str">
        <f>Saud!E2658</f>
        <v>مكتمل </v>
      </c>
      <c r="C2658" s="133" t="str">
        <f>Saud!C2658</f>
        <v>2025-569644
</v>
      </c>
    </row>
    <row r="2659">
      <c r="A2659" s="133" t="str">
        <f>Saud!F2659</f>
        <v>NUTRIMEAL+ DWARF RABBIT STICK vegetables X 2 115GR</v>
      </c>
      <c r="B2659" s="133" t="str">
        <f>Saud!E2659</f>
        <v>مكتمل </v>
      </c>
      <c r="C2659" s="133" t="str">
        <f>Saud!C2659</f>
        <v>2025-569705
</v>
      </c>
    </row>
    <row r="2660">
      <c r="A2660" s="133" t="str">
        <f>Saud!F2660</f>
        <v>NUTRIMEAL+ GUINEA PIG STICKS orange X 2 115GR</v>
      </c>
      <c r="B2660" s="133" t="str">
        <f>Saud!E2660</f>
        <v>مكتمل </v>
      </c>
      <c r="C2660" s="133" t="str">
        <f>Saud!C2660</f>
        <v>2025-569747
</v>
      </c>
    </row>
    <row r="2661">
      <c r="A2661" s="133" t="str">
        <f>Saud!F2661</f>
        <v>NUTRIMEAL+ GUINEA PIC STICKS X slow berry 2 110GR</v>
      </c>
      <c r="B2661" s="133" t="str">
        <f>Saud!E2661</f>
        <v>مكتمل </v>
      </c>
      <c r="C2661" s="133" t="str">
        <f>Saud!C2661</f>
        <v>2025-569820
</v>
      </c>
    </row>
    <row r="2662">
      <c r="A2662" s="133" t="str">
        <f>Saud!F2662</f>
        <v>NUTRIMEAL+ HAMSTER/GERBIL STICKS X 2 110GR</v>
      </c>
      <c r="B2662" s="133" t="str">
        <f>Saud!E2662</f>
        <v>مكتمل </v>
      </c>
      <c r="C2662" s="133" t="str">
        <f>Saud!C2662</f>
        <v>2025-569848</v>
      </c>
    </row>
    <row r="2663">
      <c r="A2663" s="133" t="str">
        <f>Saud!F2663</f>
        <v>NUTRIMEAL+ RAT/MOUSE STICKS X 2 125GR</v>
      </c>
      <c r="B2663" s="133" t="str">
        <f>Saud!E2663</f>
        <v>مكتمل </v>
      </c>
      <c r="C2663" s="133" t="str">
        <f>Saud!C2663</f>
        <v>2025-569880
</v>
      </c>
    </row>
    <row r="2664">
      <c r="A2664" s="133" t="str">
        <f>Saud!F2664</f>
        <v>NUTRIMEAL+ CHINCHILLA STICKS X 2 110GR</v>
      </c>
      <c r="B2664" s="133" t="str">
        <f>Saud!E2664</f>
        <v>مكتمل </v>
      </c>
      <c r="C2664" s="133" t="str">
        <f>Saud!C2664</f>
        <v>2025-572516
</v>
      </c>
    </row>
    <row r="2665">
      <c r="A2665" s="133" t="str">
        <f>Saud!F2665</f>
        <v>NUTRIMEAL+ CANARI STICKS X 2 110GR</v>
      </c>
      <c r="B2665" s="133" t="str">
        <f>Saud!E2665</f>
        <v>مكتمل </v>
      </c>
      <c r="C2665" s="133" t="str">
        <f>Saud!C2665</f>
        <v>2025-389623</v>
      </c>
    </row>
    <row r="2666">
      <c r="A2666" s="133" t="str">
        <f>Saud!F2666</f>
        <v>NUTRIMEAL+ EXOTIC BIRD STICKS X 2 110GR</v>
      </c>
      <c r="B2666" s="133" t="str">
        <f>Saud!E2666</f>
        <v>مكتمل </v>
      </c>
      <c r="C2666" s="133" t="str">
        <f>Saud!C2666</f>
        <v>2025-572576
</v>
      </c>
    </row>
    <row r="2667">
      <c r="A2667" s="133" t="str">
        <f>Saud!F2667</f>
        <v>NUTRIMEAL+ PARAKEET STICKS X 2 110GR</v>
      </c>
      <c r="B2667" s="133" t="str">
        <f>Saud!E2667</f>
        <v>مكتمل </v>
      </c>
      <c r="C2667" s="133" t="str">
        <f>Saud!C2667</f>
        <v>2025-389660</v>
      </c>
    </row>
    <row r="2668">
      <c r="A2668" s="133" t="str">
        <f>Saud!F2668</f>
        <v>NUTRIMEAL+ LARGE PARAKEET STICKS X 2 110GR</v>
      </c>
      <c r="B2668" s="133" t="str">
        <f>Saud!E2668</f>
        <v>مكتمل </v>
      </c>
      <c r="C2668" s="133" t="str">
        <f>Saud!C2668</f>
        <v>2025-572805
</v>
      </c>
    </row>
    <row r="2669">
      <c r="A2669" s="133" t="str">
        <f>Saud!F2669</f>
        <v>Felyn Go Raw Arctic Char with Broccoli for kittens 90g</v>
      </c>
      <c r="B2669" s="133" t="str">
        <f>Saud!E2669</f>
        <v>مكتمل </v>
      </c>
      <c r="C2669" s="133" t="str">
        <f>Saud!C2669</f>
        <v>2025-404012</v>
      </c>
    </row>
    <row r="2670">
      <c r="A2670" s="133" t="str">
        <f>Saud!F2670</f>
        <v>Felyn Go Raw Salmon &amp; Cod Roe with Spinach for kittens 90g</v>
      </c>
      <c r="B2670" s="133" t="str">
        <f>Saud!E2670</f>
        <v>مكتمل </v>
      </c>
      <c r="C2670" s="133" t="str">
        <f>Saud!C2670</f>
        <v>2025-404078</v>
      </c>
    </row>
    <row r="2671">
      <c r="A2671" s="133" t="str">
        <f>Saud!F2671</f>
        <v>Felyn Go Raw Salmon &amp; Cod Roe with Kelp for cats</v>
      </c>
      <c r="B2671" s="133" t="str">
        <f>Saud!E2671</f>
        <v>مكتمل </v>
      </c>
      <c r="C2671" s="133" t="str">
        <f>Saud!C2671</f>
        <v>2025-404115</v>
      </c>
    </row>
    <row r="2672">
      <c r="A2672" s="133" t="str">
        <f>Saud!F2672</f>
        <v>Felyn Go Raw Arctic Char &amp; Cod Roe with Cranberries for cats</v>
      </c>
      <c r="B2672" s="133" t="str">
        <f>Saud!E2672</f>
        <v>مكتمل </v>
      </c>
      <c r="C2672" s="133" t="str">
        <f>Saud!C2672</f>
        <v>2025-404137</v>
      </c>
    </row>
    <row r="2673">
      <c r="A2673" s="133" t="str">
        <f>Saud!F2673</f>
        <v>Felyn Go Raw Cod &amp; Salmon with Sweet Potatoes for cats</v>
      </c>
      <c r="B2673" s="133" t="str">
        <f>Saud!E2673</f>
        <v>مكتمل </v>
      </c>
      <c r="C2673" s="133" t="str">
        <f>Saud!C2673</f>
        <v>2025-404162</v>
      </c>
    </row>
    <row r="2674">
      <c r="A2674" s="133" t="str">
        <f>Saud!F2674</f>
        <v>Felyn Go Raw Cod Roe &amp; Capelin with Seaweed for cats</v>
      </c>
      <c r="B2674" s="133" t="str">
        <f>Saud!E2674</f>
        <v>مكتمل </v>
      </c>
      <c r="C2674" s="133" t="str">
        <f>Saud!C2674</f>
        <v>2025-404192</v>
      </c>
    </row>
    <row r="2675">
      <c r="A2675" s="133" t="str">
        <f>Saud!F2675</f>
        <v>Instinct Raw Boost Kibble (Cat) Chicken - 5.0 lb.</v>
      </c>
      <c r="B2675" s="133" t="str">
        <f>Saud!E2675</f>
        <v>مكتمل </v>
      </c>
      <c r="C2675" s="133" t="str">
        <f>Saud!C2675</f>
        <v>2025-450430</v>
      </c>
    </row>
    <row r="2676">
      <c r="A2676" s="133" t="str">
        <f>Saud!F2676</f>
        <v>Instinct Be Natural Kibble (Dog) Beef - 25 lb.</v>
      </c>
      <c r="B2676" s="133" t="str">
        <f>Saud!E2676</f>
        <v>مكتمل </v>
      </c>
      <c r="C2676" s="133" t="str">
        <f>Saud!C2676</f>
        <v>2025-451385</v>
      </c>
    </row>
    <row r="2677">
      <c r="A2677" s="133" t="str">
        <f>Saud!F2677</f>
        <v>Instinct Be Natural Kibble (Dog) Beef - 4.5 lb.</v>
      </c>
      <c r="B2677" s="133" t="str">
        <f>Saud!E2677</f>
        <v>مكتمل </v>
      </c>
      <c r="C2677" s="133" t="str">
        <f>Saud!C2677</f>
        <v>2025-451385</v>
      </c>
    </row>
    <row r="2678">
      <c r="A2678" s="133" t="str">
        <f>Saud!F2678</f>
        <v>Instinct Be Natural Kibble (Dog) Chicken - 25 lb.</v>
      </c>
      <c r="B2678" s="133" t="str">
        <f>Saud!E2678</f>
        <v>مكتمل </v>
      </c>
      <c r="C2678" s="133" t="str">
        <f>Saud!C2678</f>
        <v>2025-459527</v>
      </c>
    </row>
    <row r="2679">
      <c r="A2679" s="133" t="str">
        <f>Saud!F2679</f>
        <v>Instinct Be Natural Kibble (Dog) Chicken - 4.5 lb.</v>
      </c>
      <c r="B2679" s="133" t="str">
        <f>Saud!E2679</f>
        <v>مكتمل </v>
      </c>
      <c r="C2679" s="133" t="str">
        <f>Saud!C2679</f>
        <v>2025-459527</v>
      </c>
    </row>
    <row r="2680">
      <c r="A2680" s="133" t="str">
        <f>Saud!F2680</f>
        <v>Instinct Be Natural Kibble (Dog) Lamb - 24 lb.</v>
      </c>
      <c r="B2680" s="133" t="str">
        <f>Saud!E2680</f>
        <v>مكتمل </v>
      </c>
      <c r="C2680" s="133" t="str">
        <f>Saud!C2680</f>
        <v>2025-465606</v>
      </c>
    </row>
    <row r="2681">
      <c r="A2681" s="133" t="str">
        <f>Saud!F2681</f>
        <v>Instinct Be Natural Kibble (Dog) Lamb - 4.5 lb.</v>
      </c>
      <c r="B2681" s="133" t="str">
        <f>Saud!E2681</f>
        <v>مكتمل </v>
      </c>
      <c r="C2681" s="133" t="str">
        <f>Saud!C2681</f>
        <v>2025-465606</v>
      </c>
    </row>
    <row r="2682">
      <c r="A2682" s="133" t="str">
        <f>Saud!F2682</f>
        <v>Instinct Be Natural Kibble (Dog) Salmon - 24 lb.</v>
      </c>
      <c r="B2682" s="133" t="str">
        <f>Saud!E2682</f>
        <v>مكتمل </v>
      </c>
      <c r="C2682" s="133" t="str">
        <f>Saud!C2682</f>
        <v>2025-465914</v>
      </c>
    </row>
    <row r="2683">
      <c r="A2683" s="133" t="str">
        <f>Saud!F2683</f>
        <v>Instinct Be Natural Kibble (Dog) Salmon - 4.5 lb.</v>
      </c>
      <c r="B2683" s="133" t="str">
        <f>Saud!E2683</f>
        <v>مكتمل </v>
      </c>
      <c r="C2683" s="133" t="str">
        <f>Saud!C2683</f>
        <v>2025-465914</v>
      </c>
    </row>
    <row r="2684">
      <c r="A2684" s="133" t="str">
        <f>Saud!F2684</f>
        <v>Instinct LID Wet (Cat) Rabbit - 3 oz. Pouches</v>
      </c>
      <c r="B2684" s="133" t="str">
        <f>Saud!E2684</f>
        <v>تحت الاجراء </v>
      </c>
      <c r="C2684" s="133" t="str">
        <f>Saud!C2684</f>
        <v>2025-468975</v>
      </c>
    </row>
    <row r="2685">
      <c r="A2685" s="133" t="str">
        <f>Saud!F2685</f>
        <v>Instinct LID Wet (Cat) Turkey - CHINA - 5.5 oz. Cans</v>
      </c>
      <c r="B2685" s="133" t="str">
        <f>Saud!E2685</f>
        <v>مكتمل </v>
      </c>
      <c r="C2685" s="133" t="str">
        <f>Saud!C2685</f>
        <v>2025-469376</v>
      </c>
    </row>
    <row r="2686">
      <c r="A2686" s="133" t="str">
        <f>Saud!F2686</f>
        <v>Instinct LID Wet (Cat) Turkey - CHINA - 3 oz. Cans</v>
      </c>
      <c r="B2686" s="133" t="str">
        <f>Saud!E2686</f>
        <v>مكتمل </v>
      </c>
      <c r="C2686" s="133" t="str">
        <f>Saud!C2686</f>
        <v>2025-469376</v>
      </c>
    </row>
    <row r="2687">
      <c r="A2687" s="133" t="str">
        <f>Saud!F2687</f>
        <v>Instinct Meals Freeze Dried Meals (Dog) Beef - 3 oz.</v>
      </c>
      <c r="B2687" s="133" t="str">
        <f>Saud!E2687</f>
        <v>مكتمل </v>
      </c>
      <c r="C2687" s="133" t="str">
        <f>Saud!C2687</f>
        <v>2025-473188</v>
      </c>
    </row>
    <row r="2688">
      <c r="A2688" s="133" t="str">
        <f>Saud!F2688</f>
        <v>Instinct Meals Freeze Dried Meals (Dog) Lamb - 3 oz.</v>
      </c>
      <c r="B2688" s="133" t="str">
        <f>Saud!E2688</f>
        <v>مكتمل </v>
      </c>
      <c r="C2688" s="133" t="str">
        <f>Saud!C2688</f>
        <v>2025-473558</v>
      </c>
    </row>
    <row r="2689">
      <c r="A2689" s="133" t="str">
        <f>Saud!F2689</f>
        <v>Instinct Meals Freeze Dried Meals (Dog) Pollock MSC - 3 oz.</v>
      </c>
      <c r="B2689" s="133" t="str">
        <f>Saud!E2689</f>
        <v>مكتمل </v>
      </c>
      <c r="C2689" s="133" t="str">
        <f>Saud!C2689</f>
        <v>2025-473871</v>
      </c>
    </row>
    <row r="2690">
      <c r="A2690" s="133" t="str">
        <f>Saud!F2690</f>
        <v>Instinct Meals Freeze Dried Meals (Kitten) Chicken 9.5 oz.</v>
      </c>
      <c r="B2690" s="133" t="str">
        <f>Saud!E2690</f>
        <v>مكتمل </v>
      </c>
      <c r="C2690" s="133" t="str">
        <f>Saud!C2690</f>
        <v>2025-473939</v>
      </c>
    </row>
    <row r="2691">
      <c r="A2691" s="133" t="str">
        <f>Saud!F2691</f>
        <v>Instinct Meals Freeze Dried Meals (Puppy) Chicken - 14 oz.</v>
      </c>
      <c r="B2691" s="133" t="str">
        <f>Saud!E2691</f>
        <v>مكتمل </v>
      </c>
      <c r="C2691" s="133" t="str">
        <f>Saud!C2691</f>
        <v>2025-473999</v>
      </c>
    </row>
    <row r="2692">
      <c r="A2692" s="133" t="str">
        <f>Saud!F2692</f>
        <v>Instinct Raw Boost Freeze Dried Meals (Cat) Pollock MSC - 9.5oz.</v>
      </c>
      <c r="B2692" s="133" t="str">
        <f>Saud!E2692</f>
        <v>مكتمل </v>
      </c>
      <c r="C2692" s="133" t="str">
        <f>Saud!C2692</f>
        <v>2025-476574</v>
      </c>
    </row>
    <row r="2693">
      <c r="A2693" s="133" t="str">
        <f>Saud!F2693</f>
        <v>Instinct Raw Boost Freeze Dried Mixers (Adult Cat) Pollock MSC - 5 oz.</v>
      </c>
      <c r="B2693" s="133" t="str">
        <f>Saud!E2693</f>
        <v>مكتمل </v>
      </c>
      <c r="C2693" s="133" t="str">
        <f>Saud!C2693</f>
        <v>2025-477755</v>
      </c>
    </row>
    <row r="2694">
      <c r="A2694" s="133" t="str">
        <f>Saud!F2694</f>
        <v>Instinct Raw Boost Freeze Dried Mixers (Adult Dog) Pollock MSC</v>
      </c>
      <c r="B2694" s="133" t="str">
        <f>Saud!E2694</f>
        <v>مكتمل </v>
      </c>
      <c r="C2694" s="133" t="str">
        <f>Saud!C2694</f>
        <v>2025-477861</v>
      </c>
    </row>
    <row r="2695">
      <c r="A2695" s="133" t="str">
        <f>Saud!F2695</f>
        <v>Instinct Raw Boost Freeze Dried Original Mixers (Cat) Chicken - 6 oz.</v>
      </c>
      <c r="B2695" s="133" t="str">
        <f>Saud!E2695</f>
        <v>مكتمل </v>
      </c>
      <c r="C2695" s="133" t="str">
        <f>Saud!C2695</f>
        <v>2025-477950</v>
      </c>
    </row>
    <row r="2696">
      <c r="A2696" s="133" t="str">
        <f>Saud!F2696</f>
        <v>Instinct Raw Boost Freeze Dried Original Mixers (Cat) Rabbit - 6 oz.</v>
      </c>
      <c r="B2696" s="133" t="str">
        <f>Saud!E2696</f>
        <v>مرفوض </v>
      </c>
      <c r="C2696" s="133" t="str">
        <f>Saud!C2696</f>
        <v>2025-480190</v>
      </c>
    </row>
    <row r="2697">
      <c r="A2697" s="133" t="str">
        <f>Saud!F2697</f>
        <v>Instinct Raw Boost Freeze Dried Original Mixers (Dog) Beef - 6 oz.</v>
      </c>
      <c r="B2697" s="133" t="str">
        <f>Saud!E2697</f>
        <v>مكتمل </v>
      </c>
      <c r="C2697" s="133" t="str">
        <f>Saud!C2697</f>
        <v>2025-480342</v>
      </c>
    </row>
    <row r="2698">
      <c r="A2698" s="133" t="str">
        <f>Saud!F2698</f>
        <v>Instinct Raw Boost Freeze Dried Original Mixers (Dog) Beef PP 1 oz.</v>
      </c>
      <c r="B2698" s="133" t="str">
        <f>Saud!E2698</f>
        <v>مكتمل </v>
      </c>
      <c r="C2698" s="133" t="str">
        <f>Saud!C2698</f>
        <v>2025-480342</v>
      </c>
    </row>
    <row r="2699">
      <c r="A2699" s="133" t="str">
        <f>Saud!F2699</f>
        <v>Instinct Raw Boost Freeze Dried Shaker (Cat) Chicken - 5.5 oz.</v>
      </c>
      <c r="B2699" s="133" t="str">
        <f>Saud!E2699</f>
        <v>مكتمل </v>
      </c>
      <c r="C2699" s="133" t="str">
        <f>Saud!C2699</f>
        <v>2025-480563</v>
      </c>
    </row>
    <row r="2700">
      <c r="A2700" s="133" t="str">
        <f>Saud!F2700</f>
        <v>Instinct Raw Boost Freeze Dried Shaker (Dog) Beef - 5.5 oz.</v>
      </c>
      <c r="B2700" s="133" t="str">
        <f>Saud!E2700</f>
        <v>مكتمل </v>
      </c>
      <c r="C2700" s="133" t="str">
        <f>Saud!C2700</f>
        <v>2025-480623</v>
      </c>
    </row>
    <row r="2701">
      <c r="A2701" s="133" t="str">
        <f>Saud!F2701</f>
        <v>Instinct Raw Boost Freeze Dried Shaker (Dog) Chicken - 5.5 oz.</v>
      </c>
      <c r="B2701" s="133" t="str">
        <f>Saud!E2701</f>
        <v>مكتمل </v>
      </c>
      <c r="C2701" s="133" t="str">
        <f>Saud!C2701</f>
        <v>2025-480908</v>
      </c>
    </row>
    <row r="2702">
      <c r="A2702" s="133" t="str">
        <f>Saud!F2702</f>
        <v>Instinct Ultimate Protein Kibble (Cat) Chicken - 4 lb.</v>
      </c>
      <c r="B2702" s="133" t="str">
        <f>Saud!E2702</f>
        <v>مكتمل </v>
      </c>
      <c r="C2702" s="133" t="str">
        <f>Saud!C2702</f>
        <v>2025-481115</v>
      </c>
    </row>
    <row r="2703">
      <c r="A2703" s="133" t="str">
        <f>Saud!F2703</f>
        <v>Instinct Ultimate Protein Kibble (Kitten) CHINA - 1.8 lb.</v>
      </c>
      <c r="B2703" s="133" t="str">
        <f>Saud!E2703</f>
        <v>مكتمل </v>
      </c>
      <c r="C2703" s="133" t="str">
        <f>Saud!C2703</f>
        <v>2025-481235</v>
      </c>
    </row>
    <row r="2704">
      <c r="A2704" s="133" t="str">
        <f>Saud!F2704</f>
        <v>Instinct Ultimate Protein Kibble (Kitten) CHINA - 4 lb.</v>
      </c>
      <c r="B2704" s="133" t="str">
        <f>Saud!E2704</f>
        <v>مكتمل </v>
      </c>
      <c r="C2704" s="133" t="str">
        <f>Saud!C2704</f>
        <v>2025-481235</v>
      </c>
    </row>
    <row r="2705">
      <c r="A2705" s="133" t="str">
        <f>Saud!F2705</f>
        <v>Instinct Ultimate Protein Wet (Cat) Chicken - CHINA - 3 oz. Cans</v>
      </c>
      <c r="B2705" s="133" t="str">
        <f>Saud!E2705</f>
        <v>مكتمل </v>
      </c>
      <c r="C2705" s="133" t="str">
        <f>Saud!C2705</f>
        <v>2025-481314</v>
      </c>
    </row>
    <row r="2706">
      <c r="A2706" s="133" t="str">
        <f>Saud!F2706</f>
        <v>Instinct Raw Boost Kibble (Dog) Beef - 3.5 lb.</v>
      </c>
      <c r="B2706" s="133" t="str">
        <f>Saud!E2706</f>
        <v>مكتمل </v>
      </c>
      <c r="C2706" s="133" t="str">
        <f>Saud!C2706</f>
        <v>2025-485714</v>
      </c>
    </row>
    <row r="2707">
      <c r="A2707" s="133" t="str">
        <f>Saud!F2707</f>
        <v>Forza INTESTINAL Actiwet DOG - multipack 12 pouch</v>
      </c>
      <c r="B2707" s="133" t="str">
        <f>Saud!E2707</f>
        <v>مكتمل </v>
      </c>
      <c r="C2707" s="133" t="str">
        <f>Saud!C2707</f>
        <v>2025-489761</v>
      </c>
    </row>
    <row r="2708">
      <c r="A2708" s="133" t="str">
        <f>Saud!F2708</f>
        <v>Forza Active VetDiet Hypoallergenic Dog Fish - multipack 12 pouch x 100gr</v>
      </c>
      <c r="B2708" s="133" t="str">
        <f>Saud!E2708</f>
        <v>مكتمل </v>
      </c>
      <c r="C2708" s="133" t="str">
        <f>Saud!C2708</f>
        <v>2025-490256</v>
      </c>
    </row>
    <row r="2709">
      <c r="A2709" s="133" t="str">
        <f>Saud!F2709</f>
        <v>Forza Active VetDiet Hypoallergenic Dog Lamb - multipack 12 pouch x 100gr</v>
      </c>
      <c r="B2709" s="133" t="str">
        <f>Saud!E2709</f>
        <v>مكتمل </v>
      </c>
      <c r="C2709" s="133" t="str">
        <f>Saud!C2709</f>
        <v>2025-490304</v>
      </c>
    </row>
    <row r="2710">
      <c r="A2710" s="133" t="str">
        <f>Saud!F2710</f>
        <v>Forza Active VetDiet Intestinal Colon Dog Fish - Can - gr 390</v>
      </c>
      <c r="B2710" s="133" t="str">
        <f>Saud!E2710</f>
        <v>مكتمل </v>
      </c>
      <c r="C2710" s="133" t="str">
        <f>Saud!C2710</f>
        <v>2025-490421</v>
      </c>
    </row>
    <row r="2711">
      <c r="A2711" s="133" t="str">
        <f>Saud!F2711</f>
        <v>Forza Active VetDiet Renal Dog - Can - gr 390</v>
      </c>
      <c r="B2711" s="133" t="str">
        <f>Saud!E2711</f>
        <v>مكتمل </v>
      </c>
      <c r="C2711" s="133" t="str">
        <f>Saud!C2711</f>
        <v>2025-490538</v>
      </c>
    </row>
    <row r="2712">
      <c r="A2712" s="133" t="str">
        <f>Saud!F2712</f>
        <v>Forza Active VetDiet Intestinal Dog - Can - gr 390</v>
      </c>
      <c r="B2712" s="133" t="str">
        <f>Saud!E2712</f>
        <v>مكتمل </v>
      </c>
      <c r="C2712" s="133" t="str">
        <f>Saud!C2712</f>
        <v>2025-494325</v>
      </c>
    </row>
    <row r="2713">
      <c r="A2713" s="133" t="str">
        <f>Saud!F2713</f>
        <v>Forza Active VetDiet Dermo Dog - Can - gr 390</v>
      </c>
      <c r="B2713" s="133" t="str">
        <f>Saud!E2713</f>
        <v>مكتمل </v>
      </c>
      <c r="C2713" s="133" t="str">
        <f>Saud!C2713</f>
        <v>2025-494390</v>
      </c>
    </row>
    <row r="2714">
      <c r="A2714" s="133" t="str">
        <f>Saud!F2714</f>
        <v>Encore Cat Treat Tuna Freeze Dried</v>
      </c>
      <c r="B2714" s="133" t="str">
        <f>Saud!E2714</f>
        <v>عاد لمقدم الطلب </v>
      </c>
      <c r="C2714" s="133" t="str">
        <f>Saud!C2714</f>
        <v>2025-496592</v>
      </c>
    </row>
    <row r="2715">
      <c r="A2715" s="133" t="str">
        <f>Saud!F2715</f>
        <v>Encore Cat Treat Chicken Freeze Dried</v>
      </c>
      <c r="B2715" s="133" t="str">
        <f>Saud!E2715</f>
        <v>عاد لمقدم الطلب </v>
      </c>
      <c r="C2715" s="133" t="str">
        <f>Saud!C2715</f>
        <v>2025-496742</v>
      </c>
    </row>
    <row r="2716">
      <c r="A2716" s="133" t="str">
        <f>Saud!F2716</f>
        <v>Selected Meat Sensitive</v>
      </c>
      <c r="B2716" s="133" t="str">
        <f>Saud!E2716</f>
        <v>عاد لمقدم الطلب </v>
      </c>
      <c r="C2716" s="133" t="str">
        <f>Saud!C2716</f>
        <v>2025-500988</v>
      </c>
    </row>
    <row r="2717">
      <c r="A2717" s="133" t="str">
        <f>Saud!F2717</f>
        <v>Selected Meat Sensible Chicken</v>
      </c>
      <c r="B2717" s="133" t="str">
        <f>Saud!E2717</f>
        <v>عاد لمقدم الطلب </v>
      </c>
      <c r="C2717" s="133" t="str">
        <f>Saud!C2717</f>
        <v>2025-501096</v>
      </c>
    </row>
    <row r="2718">
      <c r="A2718" s="133" t="str">
        <f>Saud!F2718</f>
        <v>Selected Meat Sensible Beef</v>
      </c>
      <c r="B2718" s="133" t="str">
        <f>Saud!E2718</f>
        <v>عاد لمقدم الطلب </v>
      </c>
      <c r="C2718" s="133" t="str">
        <f>Saud!C2718</f>
        <v>2025-501354</v>
      </c>
    </row>
    <row r="2719">
      <c r="A2719" s="133" t="str">
        <f>Saud!F2719</f>
        <v>Selected Meat Intestinal</v>
      </c>
      <c r="B2719" s="133" t="str">
        <f>Saud!E2719</f>
        <v>عاد لمقدم الطلب </v>
      </c>
      <c r="C2719" s="133" t="str">
        <f>Saud!C2719</f>
        <v>2025-501391</v>
      </c>
    </row>
    <row r="2720">
      <c r="A2720" s="133" t="str">
        <f>Saud!F2720</f>
        <v>Kidney Diet</v>
      </c>
      <c r="B2720" s="133" t="str">
        <f>Saud!E2720</f>
        <v>مرفوض </v>
      </c>
      <c r="C2720" s="133" t="str">
        <f>Saud!C2720</f>
        <v>2025-501467</v>
      </c>
    </row>
    <row r="2721">
      <c r="A2721" s="133" t="str">
        <f>Saud!F2721</f>
        <v>Intestinal Diet 200g</v>
      </c>
      <c r="B2721" s="133" t="str">
        <f>Saud!E2721</f>
        <v>مرفوض </v>
      </c>
      <c r="C2721" s="133" t="str">
        <f>Saud!C2721</f>
        <v>2025-501641</v>
      </c>
    </row>
    <row r="2722">
      <c r="A2722" s="133" t="str">
        <f>Saud!F2722</f>
        <v>Hypoallergen Diet</v>
      </c>
      <c r="B2722" s="133" t="str">
        <f>Saud!E2722</f>
        <v>مرفوض </v>
      </c>
      <c r="C2722" s="133" t="str">
        <f>Saud!C2722</f>
        <v>2025-501672</v>
      </c>
    </row>
    <row r="2723">
      <c r="A2723" s="133" t="str">
        <f>Saud!F2723</f>
        <v>Anti Struvit Diet</v>
      </c>
      <c r="B2723" s="133" t="str">
        <f>Saud!E2723</f>
        <v>مرفوض </v>
      </c>
      <c r="C2723" s="133" t="str">
        <f>Saud!C2723</f>
        <v>2025-501686</v>
      </c>
    </row>
    <row r="2724">
      <c r="A2724" s="133" t="str">
        <f>Saud!F2724</f>
        <v>Selected Meat Lamb &amp; Apple</v>
      </c>
      <c r="B2724" s="133" t="str">
        <f>Saud!E2724</f>
        <v>مرفوض </v>
      </c>
      <c r="C2724" s="133" t="str">
        <f>Saud!C2724</f>
        <v>2025-510668</v>
      </c>
    </row>
    <row r="2725">
      <c r="A2725" s="133" t="str">
        <f>Saud!F2725</f>
        <v>Zolux CREAMY TREAT DOG - CHICKEN X3 - DUCK X2 - CHICKEN SALMON X2</v>
      </c>
      <c r="B2725" s="133" t="str">
        <f>Saud!E2725</f>
        <v>تحت الاجراء </v>
      </c>
      <c r="C2725" s="133" t="str">
        <f>Saud!C2725</f>
        <v>2025-511073</v>
      </c>
    </row>
    <row r="2726">
      <c r="A2726" s="133" t="str">
        <f>Saud!F2726</f>
        <v>Zolux CREAMY TREAT CAT - CHICKEN X3 - TUNASALMON X2 - TUNACRAB X2</v>
      </c>
      <c r="B2726" s="133" t="str">
        <f>Saud!E2726</f>
        <v>مكتمل </v>
      </c>
      <c r="C2726" s="133" t="str">
        <f>Saud!C2726</f>
        <v>2025-511154</v>
      </c>
    </row>
    <row r="2727">
      <c r="A2727" s="133" t="str">
        <f>Saud!F2727</f>
        <v>CREAMY TREAT CAT- CHICKENCRAB X3 - TUNA X2 - TUNASHRIMP X2</v>
      </c>
      <c r="B2727" s="133" t="str">
        <f>Saud!E2727</f>
        <v>مكتمل </v>
      </c>
      <c r="C2727" s="133" t="str">
        <f>Saud!C2727</f>
        <v>2025-511213</v>
      </c>
    </row>
    <row r="2728">
      <c r="A2728" s="133" t="str">
        <f>Saud!F2728</f>
        <v>Zolux CREAMY TREAT CAT - TUNA/CRAB X7</v>
      </c>
      <c r="B2728" s="133" t="str">
        <f>Saud!E2728</f>
        <v>مكتمل </v>
      </c>
      <c r="C2728" s="133" t="str">
        <f>Saud!C2728</f>
        <v>2025-511304</v>
      </c>
    </row>
    <row r="2729">
      <c r="A2729" s="133" t="str">
        <f>Saud!F2729</f>
        <v>CREAMY TREAT CAT- CHICKEN/CRAB X7</v>
      </c>
      <c r="B2729" s="133" t="str">
        <f>Saud!E2729</f>
        <v>مكتمل </v>
      </c>
      <c r="C2729" s="133" t="str">
        <f>Saud!C2729</f>
        <v>2025-511311</v>
      </c>
    </row>
    <row r="2730">
      <c r="A2730" s="133" t="str">
        <f>Saud!F2730</f>
        <v>Absolute Holistic Wild Tuna and Mountain Lobster</v>
      </c>
      <c r="B2730" s="133" t="str">
        <f>Saud!E2730</f>
        <v>مكتمل </v>
      </c>
      <c r="C2730" s="133" t="str">
        <f>Saud!C2730</f>
        <v>2025-514798</v>
      </c>
    </row>
    <row r="2731">
      <c r="A2731" s="133" t="str">
        <f>Saud!F2731</f>
        <v>Absolute Holistic - Wild Tuna and King Salmon</v>
      </c>
      <c r="B2731" s="133" t="str">
        <f>Saud!E2731</f>
        <v>مكتمل </v>
      </c>
      <c r="C2731" s="133" t="str">
        <f>Saud!C2731</f>
        <v>2025-515648</v>
      </c>
    </row>
    <row r="2732">
      <c r="A2732" s="133" t="str">
        <f>Saud!F2732</f>
        <v>Absolute Holistic Wild Tuna and Fish Roe</v>
      </c>
      <c r="B2732" s="133" t="str">
        <f>Saud!E2732</f>
        <v>مكتمل </v>
      </c>
      <c r="C2732" s="133" t="str">
        <f>Saud!C2732</f>
        <v>2025-515678</v>
      </c>
    </row>
    <row r="2733">
      <c r="A2733" s="133" t="str">
        <f>Saud!F2733</f>
        <v>Absolute Holistic Chicken and Mountain Lobster</v>
      </c>
      <c r="B2733" s="133" t="str">
        <f>Saud!E2733</f>
        <v>مكتمل </v>
      </c>
      <c r="C2733" s="133" t="str">
        <f>Saud!C2733</f>
        <v>2025-515705</v>
      </c>
    </row>
    <row r="2734">
      <c r="A2734" s="133" t="str">
        <f>Saud!F2734</f>
        <v>NATURAL CODE STERILCAT TUNA WITH BLUEBERRIES AND BROWN RICE
</v>
      </c>
      <c r="B2734" s="133" t="str">
        <f>Saud!E2734</f>
        <v>مكتمل </v>
      </c>
      <c r="C2734" s="133" t="str">
        <f>Saud!C2734</f>
        <v>2025-86656
</v>
      </c>
    </row>
    <row r="2735">
      <c r="A2735" s="133" t="str">
        <f>Saud!F2735</f>
        <v>Instinct Wet Flaked (Cat) Chicken - 3 oz. Cans</v>
      </c>
      <c r="B2735" s="133" t="str">
        <f>Saud!E2735</f>
        <v>مكتمل </v>
      </c>
      <c r="C2735" s="133" t="str">
        <f>Saud!C2735</f>
        <v>2025-495187</v>
      </c>
    </row>
    <row r="2736">
      <c r="A2736" s="133" t="str">
        <f>Saud!F2736</f>
        <v>Instinct Wet Flaked (Cat) Duck - 3 oz. Cans</v>
      </c>
      <c r="B2736" s="133" t="str">
        <f>Saud!E2736</f>
        <v>مكتمل </v>
      </c>
      <c r="C2736" s="133" t="str">
        <f>Saud!C2736</f>
        <v>2025-495186</v>
      </c>
    </row>
    <row r="2737">
      <c r="A2737" s="133" t="str">
        <f>Saud!F2737</f>
        <v>Instinct Wet Flaked (Cat) Lamb - 3 oz. Cans</v>
      </c>
      <c r="B2737" s="133" t="str">
        <f>Saud!E2737</f>
        <v>مكتمل </v>
      </c>
      <c r="C2737" s="133" t="str">
        <f>Saud!C2737</f>
        <v>2025-495184</v>
      </c>
    </row>
    <row r="2738">
      <c r="A2738" s="133" t="str">
        <f>Saud!F2738</f>
        <v>Instinct Wet Flaked (Cat) Salmon - 3 oz. Cans</v>
      </c>
      <c r="B2738" s="133" t="str">
        <f>Saud!E2738</f>
        <v>مكتمل </v>
      </c>
      <c r="C2738" s="133" t="str">
        <f>Saud!C2738</f>
        <v>2025-495183</v>
      </c>
    </row>
    <row r="2739">
      <c r="A2739" s="133" t="str">
        <f>Saud!F2739</f>
        <v>Instinct Wet Healthy Cravings (Cat) Chicken - 3 oz. Pouches</v>
      </c>
      <c r="B2739" s="133" t="str">
        <f>Saud!E2739</f>
        <v>مكتمل </v>
      </c>
      <c r="C2739" s="133" t="str">
        <f>Saud!C2739</f>
        <v>2025-495181</v>
      </c>
    </row>
    <row r="2740">
      <c r="A2740" s="133" t="str">
        <f>Saud!F2740</f>
        <v>Instinct Wet Healthy Cravings (Cat) Duck - 3 oz. Pouches</v>
      </c>
      <c r="B2740" s="133" t="str">
        <f>Saud!E2740</f>
        <v>مكتمل </v>
      </c>
      <c r="C2740" s="133" t="str">
        <f>Saud!C2740</f>
        <v>2025-495180</v>
      </c>
    </row>
    <row r="2741">
      <c r="A2741" s="133" t="str">
        <f>Saud!F2741</f>
        <v>Instinct Wet Healthy Cravings (Cat) Salmon - 3 oz. Pouches</v>
      </c>
      <c r="B2741" s="133" t="str">
        <f>Saud!E2741</f>
        <v>مكتمل </v>
      </c>
      <c r="C2741" s="133" t="str">
        <f>Saud!C2741</f>
        <v>2025-495178</v>
      </c>
    </row>
    <row r="2742">
      <c r="A2742" s="133" t="str">
        <f>Saud!F2742</f>
        <v>Instinct Wet Healthy Cravings (Cat) Tuna - 3 oz. Pouches</v>
      </c>
      <c r="B2742" s="133" t="str">
        <f>Saud!E2742</f>
        <v>مكتمل </v>
      </c>
      <c r="C2742" s="133" t="str">
        <f>Saud!C2742</f>
        <v>2025-495177</v>
      </c>
    </row>
    <row r="2743">
      <c r="A2743" s="133" t="str">
        <f>Saud!F2743</f>
        <v>Instinct Wet Healthy Cravings (Dog) Beef - 3 oz. Pouches</v>
      </c>
      <c r="B2743" s="133" t="str">
        <f>Saud!E2743</f>
        <v>مكتمل </v>
      </c>
      <c r="C2743" s="133" t="str">
        <f>Saud!C2743</f>
        <v>2025-495176</v>
      </c>
    </row>
    <row r="2744">
      <c r="A2744" s="133" t="str">
        <f>Saud!F2744</f>
        <v>Instinct Wet Healthy Cravings (Dog) Chicken - 3 oz. Pouches</v>
      </c>
      <c r="B2744" s="133" t="str">
        <f>Saud!E2744</f>
        <v>مكتمل </v>
      </c>
      <c r="C2744" s="133" t="str">
        <f>Saud!C2744</f>
        <v>2025-495175</v>
      </c>
    </row>
    <row r="2745">
      <c r="A2745" s="133" t="str">
        <f>Saud!F2745</f>
        <v>Instinct Wet Healthy Cravings (Dog) Lamb - 3 oz. Pouches</v>
      </c>
      <c r="B2745" s="133" t="str">
        <f>Saud!E2745</f>
        <v>مكتمل </v>
      </c>
      <c r="C2745" s="133" t="str">
        <f>Saud!C2745</f>
        <v>2025-495174</v>
      </c>
    </row>
    <row r="2746">
      <c r="A2746" s="133" t="str">
        <f>Saud!F2746</f>
        <v>Instinct Wet Flaked (Cat) Variety Pack - 3 oz. Cans</v>
      </c>
      <c r="B2746" s="133" t="str">
        <f>Saud!E2746</f>
        <v>مكتمل </v>
      </c>
      <c r="C2746" s="133" t="str">
        <f>Saud!C2746</f>
        <v>2025-495182</v>
      </c>
    </row>
    <row r="2747">
      <c r="A2747" s="133" t="str">
        <f>Saud!F2747</f>
        <v>Instinct Wet Original (Cat) Variety Pack - 3 oz. Pouches</v>
      </c>
      <c r="B2747" s="133" t="str">
        <f>Saud!E2747</f>
        <v>مكتمل </v>
      </c>
      <c r="C2747" s="133" t="str">
        <f>Saud!C2747</f>
        <v>2025-508405</v>
      </c>
    </row>
    <row r="2748">
      <c r="A2748" s="133" t="str">
        <f>Saud!F2748</f>
        <v>Instinct Wet Original (Dog) Chicken - 13.2 oz. Cans</v>
      </c>
      <c r="B2748" s="133" t="str">
        <f>Saud!E2748</f>
        <v>مكتمل </v>
      </c>
      <c r="C2748" s="133" t="str">
        <f>Saud!C2748</f>
        <v>2025-508404</v>
      </c>
    </row>
    <row r="2749">
      <c r="A2749" s="133" t="str">
        <f>Saud!F2749</f>
        <v>Instinct Wet Original (Dog) Variety Pack - 3 oz. Pouches</v>
      </c>
      <c r="B2749" s="133" t="str">
        <f>Saud!E2749</f>
        <v>مكتمل </v>
      </c>
      <c r="C2749" s="133" t="str">
        <f>Saud!C2749</f>
        <v>2025-508403
</v>
      </c>
    </row>
    <row r="2750">
      <c r="A2750" s="133" t="str">
        <f>Saud!F2750</f>
        <v>Instinct Wet Original (Puppy) Chicken - 13.2 oz. Cans</v>
      </c>
      <c r="B2750" s="133" t="str">
        <f>Saud!E2750</f>
        <v>مكتمل </v>
      </c>
      <c r="C2750" s="133" t="str">
        <f>Saud!C2750</f>
        <v>2025-508402
</v>
      </c>
    </row>
    <row r="2751">
      <c r="A2751" s="133" t="str">
        <f>Saud!F2751</f>
        <v>Absolute Holistic Chicken and King Salmon</v>
      </c>
      <c r="B2751" s="133" t="str">
        <f>Saud!E2751</f>
        <v>مكتمل </v>
      </c>
      <c r="C2751" s="133" t="str">
        <f>Saud!C2751</f>
        <v>2025-576189</v>
      </c>
    </row>
    <row r="2752">
      <c r="A2752" s="133" t="str">
        <f>Saud!F2752</f>
        <v>Absolute Holistic Chicken and Fish Roe</v>
      </c>
      <c r="B2752" s="133" t="str">
        <f>Saud!E2752</f>
        <v>مكتمل </v>
      </c>
      <c r="C2752" s="133" t="str">
        <f>Saud!C2752</f>
        <v>2025-576252</v>
      </c>
    </row>
    <row r="2753">
      <c r="A2753" s="133" t="str">
        <f>Saud!F2753</f>
        <v>Absolute Holistic Shredded Chicken and Quail Egg</v>
      </c>
      <c r="B2753" s="133" t="str">
        <f>Saud!E2753</f>
        <v>مكتمل </v>
      </c>
      <c r="C2753" s="133" t="str">
        <f>Saud!C2753</f>
        <v>2025-576341</v>
      </c>
    </row>
    <row r="2754">
      <c r="A2754" s="133" t="str">
        <f>Saud!F2754</f>
        <v>Absolute Holistic Shredded Chicken and Whitebait</v>
      </c>
      <c r="B2754" s="133" t="str">
        <f>Saud!E2754</f>
        <v>مكتمل </v>
      </c>
      <c r="C2754" s="133" t="str">
        <f>Saud!C2754</f>
        <v>2025-576365</v>
      </c>
    </row>
    <row r="2755">
      <c r="A2755" s="133" t="str">
        <f>Saud!F2755</f>
        <v>Instinct Wet Original (Cat) Chicken - CHINA -  5.5 oz. Cans</v>
      </c>
      <c r="B2755" s="133" t="str">
        <f>Saud!E2755</f>
        <v>مكتمل </v>
      </c>
      <c r="C2755" s="133" t="str">
        <f>Saud!C2755</f>
        <v>2025-509063</v>
      </c>
    </row>
    <row r="2756">
      <c r="A2756" s="133" t="str">
        <f>Saud!F2756</f>
        <v>Instinct Wet Original (Cat) Chicken - CHINA -  3 oz. Cans</v>
      </c>
      <c r="B2756" s="133" t="str">
        <f>Saud!E2756</f>
        <v>مكتمل </v>
      </c>
      <c r="C2756" s="133" t="str">
        <f>Saud!C2756</f>
        <v>2025-509063</v>
      </c>
    </row>
    <row r="2757">
      <c r="A2757" s="133" t="str">
        <f>Saud!F2757</f>
        <v>Instinct Wet Original (Cat) Duck - CHINA - 5.5 oz. Cans</v>
      </c>
      <c r="B2757" s="133" t="str">
        <f>Saud!E2757</f>
        <v>مكتمل </v>
      </c>
      <c r="C2757" s="133" t="str">
        <f>Saud!C2757</f>
        <v>2025-509065</v>
      </c>
    </row>
    <row r="2758">
      <c r="A2758" s="133" t="str">
        <f>Saud!F2758</f>
        <v>Instinct Wet Original (Cat) Duck - CHINA - 3 oz. Cans</v>
      </c>
      <c r="B2758" s="133" t="str">
        <f>Saud!E2758</f>
        <v>مكتمل </v>
      </c>
      <c r="C2758" s="133" t="str">
        <f>Saud!C2758</f>
        <v>2025-509065</v>
      </c>
    </row>
    <row r="2759">
      <c r="A2759" s="133" t="str">
        <f>Saud!F2759</f>
        <v>Instinct Wet Original (Kitten) Chicken - CHINA - 5.5 oz. Cans</v>
      </c>
      <c r="B2759" s="133" t="str">
        <f>Saud!E2759</f>
        <v>مكتمل </v>
      </c>
      <c r="C2759" s="133" t="str">
        <f>Saud!C2759</f>
        <v>2025-509067</v>
      </c>
    </row>
    <row r="2760">
      <c r="A2760" s="133" t="str">
        <f>Saud!F2760</f>
        <v>Instinct Wet Original (Kitten) Chicken - CHINA - 3 oz. Cans</v>
      </c>
      <c r="B2760" s="133" t="str">
        <f>Saud!E2760</f>
        <v>مكتمل </v>
      </c>
      <c r="C2760" s="133" t="str">
        <f>Saud!C2760</f>
        <v>2025-509067</v>
      </c>
    </row>
    <row r="2761">
      <c r="A2761" s="133" t="str">
        <f>Saud!F2761</f>
        <v>Absolute Holistic Shredded Chicken and Scallop</v>
      </c>
      <c r="B2761" s="133" t="str">
        <f>Saud!E2761</f>
        <v>جديد</v>
      </c>
      <c r="C2761" s="133" t="str">
        <f>Saud!C2761</f>
        <v>2025-581092</v>
      </c>
    </row>
    <row r="2762">
      <c r="A2762" s="133" t="str">
        <f>Saud!F2762</f>
        <v>Absolute Holistic Shredded Chicken Classic</v>
      </c>
      <c r="B2762" s="133" t="str">
        <f>Saud!E2762</f>
        <v>جديد</v>
      </c>
      <c r="C2762" s="133" t="str">
        <f>Saud!C2762</f>
        <v>2025-581161</v>
      </c>
    </row>
    <row r="2763">
      <c r="A2763" s="133" t="str">
        <f>Saud!F2763</f>
        <v>Absolute Holistic Shredded Chicken &amp; Lamb</v>
      </c>
      <c r="B2763" s="133" t="str">
        <f>Saud!E2763</f>
        <v>جديد</v>
      </c>
      <c r="C2763" s="133" t="str">
        <f>Saud!C2763</f>
        <v>2025-581189</v>
      </c>
    </row>
    <row r="2764">
      <c r="A2764" s="133" t="str">
        <f>Saud!F2764</f>
        <v>Absolute Holistic Shredded Chicken and Beef</v>
      </c>
      <c r="B2764" s="133" t="str">
        <f>Saud!E2764</f>
        <v>جديد</v>
      </c>
      <c r="C2764" s="133" t="str">
        <f>Saud!C2764</f>
        <v>2025-581228</v>
      </c>
    </row>
    <row r="2765">
      <c r="A2765" s="133" t="str">
        <f>Saud!F2765</f>
        <v>Absolute Holistic Shredded Chicken and Salmon</v>
      </c>
      <c r="B2765" s="133" t="str">
        <f>Saud!E2765</f>
        <v>جديد</v>
      </c>
      <c r="C2765" s="133" t="str">
        <f>Saud!C2765</f>
        <v>2025-581245</v>
      </c>
    </row>
    <row r="2766">
      <c r="A2766" s="133" t="str">
        <f>Saud!F2766</f>
        <v>Absolute Holistic Shredded Chicken and Skipjack</v>
      </c>
      <c r="B2766" s="133" t="str">
        <f>Saud!E2766</f>
        <v>جديد</v>
      </c>
      <c r="C2766" s="133" t="str">
        <f>Saud!C2766</f>
        <v>2025-581288</v>
      </c>
    </row>
    <row r="2767">
      <c r="A2767" s="133" t="str">
        <f>Saud!F2767</f>
        <v>Absolute Holistic White Meat Tuna Classic</v>
      </c>
      <c r="B2767" s="133" t="str">
        <f>Saud!E2767</f>
        <v>مكتمل </v>
      </c>
      <c r="C2767" s="133" t="str">
        <f>Saud!C2767</f>
        <v>2025-581328</v>
      </c>
    </row>
    <row r="2768">
      <c r="A2768" s="133" t="str">
        <f>Saud!F2768</f>
        <v>Absolute Holistic White Meat Tuna and Anchovy</v>
      </c>
      <c r="B2768" s="133" t="str">
        <f>Saud!E2768</f>
        <v>مكتمل </v>
      </c>
      <c r="C2768" s="133" t="str">
        <f>Saud!C2768</f>
        <v>2025-583539</v>
      </c>
    </row>
    <row r="2769">
      <c r="A2769" s="133" t="str">
        <f>Saud!F2769</f>
        <v>Absolute Holistic White Meat Tuna and Whitebait</v>
      </c>
      <c r="B2769" s="133" t="str">
        <f>Saud!E2769</f>
        <v>جديد</v>
      </c>
      <c r="C2769" s="133" t="str">
        <f>Saud!C2769</f>
        <v>2025-583603</v>
      </c>
    </row>
    <row r="2770">
      <c r="A2770" s="133" t="str">
        <f>Saud!F2770</f>
        <v>Absolute Holistic White Meat Tuna and Scallop</v>
      </c>
      <c r="B2770" s="133" t="str">
        <f>Saud!E2770</f>
        <v>جديد</v>
      </c>
      <c r="C2770" s="133" t="str">
        <f>Saud!C2770</f>
        <v>2025-583650</v>
      </c>
    </row>
    <row r="2771">
      <c r="A2771" s="133" t="str">
        <f>Saud!F2771</f>
        <v>Absolute Holistic White Meat Tuna and Crabstick</v>
      </c>
      <c r="B2771" s="133" t="str">
        <f>Saud!E2771</f>
        <v>جديد</v>
      </c>
      <c r="C2771" s="133" t="str">
        <f>Saud!C2771</f>
        <v>2025-583733</v>
      </c>
    </row>
    <row r="2772">
      <c r="A2772" s="133" t="str">
        <f>Saud!F2772</f>
        <v>Absolute Holistic Meaty Loaf 100g - Salmon
</v>
      </c>
      <c r="B2772" s="133" t="str">
        <f>Saud!E2772</f>
        <v>مكتمل </v>
      </c>
      <c r="C2772" s="133" t="str">
        <f>Saud!C2772</f>
        <v>2025-584256</v>
      </c>
    </row>
    <row r="2773">
      <c r="A2773" s="133" t="str">
        <f>Saud!F2773</f>
        <v>Absolute Holistic Meaty Loaf 100g - Lamb</v>
      </c>
      <c r="B2773" s="133" t="str">
        <f>Saud!E2773</f>
        <v>مكتمل </v>
      </c>
      <c r="C2773" s="133" t="str">
        <f>Saud!C2773</f>
        <v>2025-584309</v>
      </c>
    </row>
    <row r="2774">
      <c r="A2774" s="133" t="str">
        <f>Saud!F2774</f>
        <v>Absolute Holistic Meaty Loaf 100g - Duck</v>
      </c>
      <c r="B2774" s="133" t="str">
        <f>Saud!E2774</f>
        <v>جديد</v>
      </c>
      <c r="C2774" s="133" t="str">
        <f>Saud!C2774</f>
        <v>2025-589914</v>
      </c>
    </row>
    <row r="2775">
      <c r="A2775" s="133" t="str">
        <f>Saud!F2775</f>
        <v>Absolute Holistic Meaty Loaf 100g - Tuna</v>
      </c>
      <c r="B2775" s="133" t="str">
        <f>Saud!E2775</f>
        <v>جديد</v>
      </c>
      <c r="C2775" s="133" t="str">
        <f>Saud!C2775</f>
        <v>2025-589957</v>
      </c>
    </row>
    <row r="2776">
      <c r="A2776" s="133" t="str">
        <f>Saud!F2776</f>
        <v>Absolute Holistic Meaty Loaf 100g - Turkey
</v>
      </c>
      <c r="B2776" s="133" t="str">
        <f>Saud!E2776</f>
        <v>جديد</v>
      </c>
      <c r="C2776" s="133" t="str">
        <f>Saud!C2776</f>
        <v>2025-590039</v>
      </c>
    </row>
    <row r="2777">
      <c r="A2777" s="133" t="str">
        <f>Saud!F2777</f>
        <v>Absolute Holistic Meaty Loaf 100g - Chicken
</v>
      </c>
      <c r="B2777" s="133" t="str">
        <f>Saud!E2777</f>
        <v>جديد</v>
      </c>
      <c r="C2777" s="133" t="str">
        <f>Saud!C2777</f>
        <v>2025-590061</v>
      </c>
    </row>
    <row r="2778">
      <c r="A2778" s="133" t="str">
        <f>Saud!F2778</f>
        <v>Absolute Holistic Dental Chew Cranberry</v>
      </c>
      <c r="B2778" s="133" t="str">
        <f>Saud!E2778</f>
        <v>جديد</v>
      </c>
      <c r="C2778" s="133" t="str">
        <f>Saud!C2778</f>
        <v>2025-590366</v>
      </c>
    </row>
    <row r="2779">
      <c r="A2779" s="133" t="str">
        <f>Saud!F2779</f>
        <v>Absolute Holistic Dental Chew  Milk</v>
      </c>
      <c r="B2779" s="133" t="str">
        <f>Saud!E2779</f>
        <v>جديد</v>
      </c>
      <c r="C2779" s="133" t="str">
        <f>Saud!C2779</f>
        <v>2025-590473</v>
      </c>
    </row>
    <row r="2780">
      <c r="A2780" s="133" t="str">
        <f>Saud!F2780</f>
        <v>BIO PETACTIVE MULTISOL</v>
      </c>
      <c r="B2780" s="133" t="str">
        <f>Saud!E2780</f>
        <v>جديد</v>
      </c>
      <c r="C2780" s="133" t="str">
        <f>Saud!C2780</f>
        <v>2025-593339</v>
      </c>
    </row>
    <row r="2781">
      <c r="A2781" s="133" t="str">
        <f>Saud!F2781</f>
        <v>CatiMalt Plus  100 ml</v>
      </c>
      <c r="B2781" s="133" t="str">
        <f>Saud!E2781</f>
        <v>جديد</v>
      </c>
      <c r="C2781" s="133" t="str">
        <f>Saud!C2781</f>
        <v>2025-593791</v>
      </c>
    </row>
    <row r="2782">
      <c r="A2782" s="133" t="str">
        <f>Saud!F2782</f>
        <v>BIO PETACTIVE BETISOL</v>
      </c>
      <c r="B2782" s="133" t="str">
        <f>Saud!E2782</f>
        <v>جديد</v>
      </c>
      <c r="C2782" s="133" t="str">
        <f>Saud!C2782</f>
        <v>2025-593841</v>
      </c>
    </row>
    <row r="2783">
      <c r="A2783" s="133" t="str">
        <f>Saud!F2783</f>
        <v>DEEP MINERAL
</v>
      </c>
      <c r="B2783" s="133" t="str">
        <f>Saud!E2783</f>
        <v>جديد</v>
      </c>
      <c r="C2783" s="133" t="str">
        <f>Saud!C2783</f>
        <v>2025-593858</v>
      </c>
    </row>
    <row r="2784">
      <c r="A2784" s="133" t="str">
        <f>Saud!F2784</f>
        <v>Bio ISHAMIX</v>
      </c>
      <c r="B2784" s="133" t="str">
        <f>Saud!E2784</f>
        <v>جديد</v>
      </c>
      <c r="C2784" s="133" t="str">
        <f>Saud!C2784</f>
        <v>2025-597709</v>
      </c>
    </row>
    <row r="2785">
      <c r="A2785" s="133" t="str">
        <f>Saud!F2785</f>
        <v>E-Vitasel</v>
      </c>
      <c r="B2785" s="133" t="str">
        <f>Saud!E2785</f>
        <v>جديد</v>
      </c>
      <c r="C2785" s="133" t="str">
        <f>Saud!C2785</f>
        <v>2025-597775</v>
      </c>
    </row>
    <row r="2786">
      <c r="A2786" s="133" t="str">
        <f>Saud!F2786</f>
        <v>Avilin</v>
      </c>
      <c r="B2786" s="133" t="str">
        <f>Saud!E2786</f>
        <v>جديد</v>
      </c>
      <c r="C2786" s="133" t="str">
        <f>Saud!C2786</f>
        <v>2025-597868</v>
      </c>
    </row>
    <row r="2787">
      <c r="A2787" s="133" t="str">
        <f>Saud!F2787</f>
        <v>Spirulina</v>
      </c>
      <c r="B2787" s="133" t="str">
        <f>Saud!E2787</f>
        <v>جديد</v>
      </c>
      <c r="C2787" s="133" t="str">
        <f>Saud!C2787</f>
        <v>2025-597895</v>
      </c>
    </row>
    <row r="2788">
      <c r="A2788" s="133" t="str">
        <f>Saud!F2788</f>
        <v>Pigeon Vit</v>
      </c>
      <c r="B2788" s="133" t="str">
        <f>Saud!E2788</f>
        <v>جديد</v>
      </c>
      <c r="C2788" s="133" t="str">
        <f>Saud!C2788</f>
        <v>2025-597988</v>
      </c>
    </row>
    <row r="2789">
      <c r="A2789" s="133" t="str">
        <f>Saud!F2789</f>
        <v>AviBiotin</v>
      </c>
      <c r="B2789" s="133" t="str">
        <f>Saud!E2789</f>
        <v>جديد</v>
      </c>
      <c r="C2789" s="133" t="str">
        <f>Saud!C2789</f>
        <v>2025-598187	</v>
      </c>
    </row>
    <row r="2790">
      <c r="A2790" s="133" t="str">
        <f>Saud!F2790</f>
        <v>Absolute Holistic Dental Chew Fresh Mint</v>
      </c>
      <c r="B2790" s="133" t="str">
        <f>Saud!E2790</f>
        <v>جديد</v>
      </c>
      <c r="C2790" s="133" t="str">
        <f>Saud!C2790</f>
        <v>  2025-598303</v>
      </c>
    </row>
    <row r="2791">
      <c r="A2791" s="133" t="str">
        <f>Saud!F2791</f>
        <v>Absolute Holistic Dental Chew Peanut Butter</v>
      </c>
      <c r="B2791" s="133" t="str">
        <f>Saud!E2791</f>
        <v>جديد</v>
      </c>
      <c r="C2791" s="133" t="str">
        <f>Saud!C2791</f>
        <v>2025-598374</v>
      </c>
    </row>
    <row r="2792">
      <c r="A2792" s="133" t="str">
        <f>Saud!F2792</f>
        <v>Absolute Holistic Dental Chews Milk Tea Flavor</v>
      </c>
      <c r="B2792" s="133" t="str">
        <f>Saud!E2792</f>
        <v>جديد</v>
      </c>
      <c r="C2792" s="133" t="str">
        <f>Saud!C2792</f>
        <v>2025-598749</v>
      </c>
    </row>
    <row r="2793">
      <c r="A2793" s="133" t="str">
        <f>Saud!F2793</f>
        <v>Absolute Holistic Dental Chews Charcoal Flavor</v>
      </c>
      <c r="B2793" s="133" t="str">
        <f>Saud!E2793</f>
        <v>جديد</v>
      </c>
      <c r="C2793" s="133" t="str">
        <f>Saud!C2793</f>
        <v>2025-598780</v>
      </c>
    </row>
    <row r="2794">
      <c r="A2794" s="133" t="str">
        <f>Saud!F2794</f>
        <v>Absolute Holistic Dental Chew Cranberry 160g</v>
      </c>
      <c r="B2794" s="133" t="str">
        <f>Saud!E2794</f>
        <v>جديد</v>
      </c>
      <c r="C2794" s="133" t="str">
        <f>Saud!C2794</f>
        <v>2025-598875</v>
      </c>
    </row>
    <row r="2795">
      <c r="A2795" s="133" t="str">
        <f>Saud!F2795</f>
        <v>Absolute Holistic Dental Chews – Milk Flavor 160ل</v>
      </c>
      <c r="B2795" s="133" t="str">
        <f>Saud!E2795</f>
        <v>جديد</v>
      </c>
      <c r="C2795" s="133" t="str">
        <f>Saud!C2795</f>
        <v> 2025-598906</v>
      </c>
    </row>
    <row r="2796">
      <c r="A2796" s="133" t="str">
        <f>Saud!F2796</f>
        <v>Absolute Holistic Dental Chews Peanut Butter Flavor 160g</v>
      </c>
      <c r="B2796" s="133" t="str">
        <f>Saud!E2796</f>
        <v>جديد</v>
      </c>
      <c r="C2796" s="133" t="str">
        <f>Saud!C2796</f>
        <v>2025-601466</v>
      </c>
    </row>
    <row r="2797">
      <c r="A2797" s="133" t="str">
        <f>Saud!F2797</f>
        <v>Absolute Holistic Dental Chews Charcoal Flavor 160g</v>
      </c>
      <c r="B2797" s="133" t="str">
        <f>Saud!E2797</f>
        <v>جديد</v>
      </c>
      <c r="C2797" s="133" t="str">
        <f>Saud!C2797</f>
        <v>2025-601982</v>
      </c>
    </row>
    <row r="2798">
      <c r="A2798" s="133" t="str">
        <f>Saud!F2798</f>
        <v>Absolute Holistic Dental Chews Milk Tea Flavor 160g</v>
      </c>
      <c r="B2798" s="133" t="str">
        <f>Saud!E2798</f>
        <v>جديد</v>
      </c>
      <c r="C2798" s="133" t="str">
        <f>Saud!C2798</f>
        <v>2025-602018</v>
      </c>
    </row>
    <row r="2799">
      <c r="A2799" s="133" t="str">
        <f>Saud!F2799</f>
        <v>Absolute Holistic Dental Chews Boost – Blueberry Flavor</v>
      </c>
      <c r="B2799" s="133" t="str">
        <f>Saud!E2799</f>
        <v>جديد</v>
      </c>
      <c r="C2799" s="133" t="str">
        <f>Saud!C2799</f>
        <v>2025-602064</v>
      </c>
    </row>
    <row r="2800">
      <c r="A2800" s="133" t="str">
        <f>Saud!F2800</f>
        <v>Absolute Holistic Dental Chews Boost – Coconut Flavor</v>
      </c>
      <c r="B2800" s="133" t="str">
        <f>Saud!E2800</f>
        <v>جديد</v>
      </c>
      <c r="C2800" s="133" t="str">
        <f>Saud!C2800</f>
        <v>2025-602090</v>
      </c>
    </row>
    <row r="2801">
      <c r="A2801" s="133" t="str">
        <f>Saud!F2801</f>
        <v>Absolute Holistic Dental Chews Boost – Turmeric Flavor</v>
      </c>
      <c r="B2801" s="133" t="str">
        <f>Saud!E2801</f>
        <v>جديد</v>
      </c>
      <c r="C2801" s="133" t="str">
        <f>Saud!C2801</f>
        <v>2025-602142</v>
      </c>
    </row>
    <row r="2802">
      <c r="A2802" s="133" t="str">
        <f>Saud!F2802</f>
        <v>Absolute Holistic Dental Chews Boost – Kale Flavor</v>
      </c>
      <c r="B2802" s="133" t="str">
        <f>Saud!E2802</f>
        <v>جديد</v>
      </c>
      <c r="C2802" s="133" t="str">
        <f>Saud!C2802</f>
        <v>2025-602159</v>
      </c>
    </row>
    <row r="2803">
      <c r="A2803" s="133" t="str">
        <f>Saud!F2803</f>
        <v>Absolute Holistic Dental Chews Boost – Chia Seed Flavor</v>
      </c>
      <c r="B2803" s="133" t="str">
        <f>Saud!E2803</f>
        <v>جديد</v>
      </c>
      <c r="C2803" s="133" t="str">
        <f>Saud!C2803</f>
        <v>2025-602236</v>
      </c>
    </row>
    <row r="2804">
      <c r="A2804" s="133" t="str">
        <f>Saud!F2804</f>
        <v>Absolute Holistic Dental Chews Boost Pumpkin Flavor</v>
      </c>
      <c r="B2804" s="133" t="str">
        <f>Saud!E2804</f>
        <v>جديد</v>
      </c>
      <c r="C2804" s="133" t="str">
        <f>Saud!C2804</f>
        <v>2025-602250</v>
      </c>
    </row>
    <row r="2805">
      <c r="A2805" s="133" t="str">
        <f>Saud!F2805</f>
        <v>Absolute Holistic Dental Chews Mint Flavor 160g-25g</v>
      </c>
      <c r="B2805" s="133" t="str">
        <f>Saud!E2805</f>
        <v>جديد</v>
      </c>
      <c r="C2805" s="133" t="str">
        <f>Saud!C2805</f>
        <v>2025-604718</v>
      </c>
    </row>
    <row r="2806">
      <c r="A2806" s="133" t="str">
        <f>Saud!F2806</f>
        <v>Instinct Raw Boost Kibble (Dog) Chicken - 10 lb.</v>
      </c>
      <c r="B2806" s="133" t="str">
        <f>Saud!E2806</f>
        <v>مكتمل </v>
      </c>
      <c r="C2806" s="133" t="str">
        <f>Saud!C2806</f>
        <v>2025-533509
</v>
      </c>
    </row>
    <row r="2807">
      <c r="A2807" s="133" t="str">
        <f>Saud!F2807</f>
        <v>Instinct Raw Boost Kibble (Dog) Chicken - 3.5 lb.</v>
      </c>
      <c r="B2807" s="133" t="str">
        <f>Saud!E2807</f>
        <v>مكتمل </v>
      </c>
      <c r="C2807" s="133" t="str">
        <f>Saud!C2807</f>
        <v>2025-533509
</v>
      </c>
    </row>
    <row r="2808">
      <c r="A2808" s="133" t="str">
        <f>Saud!F2808</f>
        <v>Instinct LID Wet (Cat) Rabbit -  3 oz. Cans</v>
      </c>
      <c r="B2808" s="133" t="str">
        <f>Saud!E2808</f>
        <v>مكتمل </v>
      </c>
      <c r="C2808" s="133" t="str">
        <f>Saud!C2808</f>
        <v>2025-533573
</v>
      </c>
    </row>
    <row r="2809">
      <c r="A2809" s="133" t="str">
        <f>Saud!F2809</f>
        <v>Instinct Raw Boost Kibble (Cat) Rabbit - 4.5 lb.</v>
      </c>
      <c r="B2809" s="133" t="str">
        <f>Saud!E2809</f>
        <v>مكتمل </v>
      </c>
      <c r="C2809" s="133" t="str">
        <f>Saud!C2809</f>
        <v>2025-514647
</v>
      </c>
    </row>
    <row r="2810">
      <c r="A2810" s="133" t="str">
        <f>Saud!F2810</f>
        <v>Instinct Ultimate Protein Kibble Skin &amp; Coat (Cat) - 4 lb.</v>
      </c>
      <c r="B2810" s="133" t="str">
        <f>Saud!E2810</f>
        <v>مكتمل </v>
      </c>
      <c r="C2810" s="133" t="str">
        <f>Saud!C2810</f>
        <v>2025-533780
</v>
      </c>
    </row>
    <row r="2811">
      <c r="A2811" s="133" t="str">
        <f>Saud!F2811</f>
        <v>Instinct Raw Boost Kibble (Cat) Chicken - 4.5 lb.</v>
      </c>
      <c r="B2811" s="133" t="str">
        <f>Saud!E2811</f>
        <v>مكتمل </v>
      </c>
      <c r="C2811" s="133" t="str">
        <f>Saud!C2811</f>
        <v>2025-514642
</v>
      </c>
    </row>
    <row r="2812">
      <c r="A2812" s="133" t="str">
        <f>Saud!F2812</f>
        <v>Instinct Raw Boost Kibble (Dog) Salmon - 3.5 lb.</v>
      </c>
      <c r="B2812" s="133" t="str">
        <f>Saud!E2812</f>
        <v>مكتمل </v>
      </c>
      <c r="C2812" s="133" t="str">
        <f>Saud!C2812</f>
        <v>2025-514651
</v>
      </c>
    </row>
    <row r="2813">
      <c r="A2813" s="133" t="str">
        <f>Saud!F2813</f>
        <v>Instinct Raw Freeze Dried Multi Vitamin MixersAdult CatChicken-0.75 oz.</v>
      </c>
      <c r="B2813" s="133" t="str">
        <f>Saud!E2813</f>
        <v>مكتمل </v>
      </c>
      <c r="C2813" s="133" t="str">
        <f>Saud!C2813</f>
        <v>2025-533189
</v>
      </c>
    </row>
    <row r="2814">
      <c r="A2814" s="133" t="str">
        <f>Saud!F2814</f>
        <v>Instinct Raw Inspired Kibble (Cat) Chicken -  5 lb.</v>
      </c>
      <c r="B2814" s="133" t="str">
        <f>Saud!E2814</f>
        <v>مكتمل </v>
      </c>
      <c r="C2814" s="133" t="str">
        <f>Saud!C2814</f>
        <v>2025-533174
</v>
      </c>
    </row>
    <row r="2815">
      <c r="A2815" s="133" t="str">
        <f>Saud!F2815</f>
        <v>Instinct Raw Inspired Kibble (Cat) Rabbit - 4.5 lb.</v>
      </c>
      <c r="B2815" s="133" t="str">
        <f>Saud!E2815</f>
        <v>مكتمل </v>
      </c>
      <c r="C2815" s="133" t="str">
        <f>Saud!C2815</f>
        <v>2025-514649
</v>
      </c>
    </row>
    <row r="2816">
      <c r="A2816" s="133" t="str">
        <f>Saud!F2816</f>
        <v>Instinct Raw Inspired Kibble (Kitten) Chicken - 4.5 lb.</v>
      </c>
      <c r="B2816" s="133" t="str">
        <f>Saud!E2816</f>
        <v>مكتمل </v>
      </c>
      <c r="C2816" s="133" t="str">
        <f>Saud!C2816</f>
        <v>2025-514648
</v>
      </c>
    </row>
    <row r="2817">
      <c r="A2817" s="133" t="str">
        <f>Saud!F2817</f>
        <v>Instinct Raw Inspired Kibble Original (Cat) Chicken - 11 lb.</v>
      </c>
      <c r="B2817" s="133" t="str">
        <f>Saud!E2817</f>
        <v>مكتمل </v>
      </c>
      <c r="C2817" s="133" t="str">
        <f>Saud!C2817</f>
        <v>2025-533083
</v>
      </c>
    </row>
    <row r="2818">
      <c r="A2818" s="133" t="str">
        <f>Saud!F2818</f>
        <v>Instinct RBK Whole Grain Kibble (Puppy) Chicken - 3.5 lb.</v>
      </c>
      <c r="B2818" s="133" t="str">
        <f>Saud!E2818</f>
        <v>مكتمل </v>
      </c>
      <c r="C2818" s="133" t="str">
        <f>Saud!C2818</f>
        <v>2025-514644
</v>
      </c>
    </row>
    <row r="2819">
      <c r="A2819" s="133" t="str">
        <f>Saud!F2819</f>
        <v>Felyn Go Calming</v>
      </c>
      <c r="B2819" s="133" t="str">
        <f>Saud!E2819</f>
        <v>جديد</v>
      </c>
      <c r="C2819" s="133" t="str">
        <f>Saud!C2819</f>
        <v>2025-620259</v>
      </c>
    </row>
    <row r="2820">
      <c r="A2820" s="133" t="str">
        <f>Saud!F2820</f>
        <v>FELYN GO DIGESTION</v>
      </c>
      <c r="B2820" s="133" t="str">
        <f>Saud!E2820</f>
        <v>جديد</v>
      </c>
      <c r="C2820" s="133" t="str">
        <f>Saud!C2820</f>
        <v>2025-620326</v>
      </c>
    </row>
    <row r="2821">
      <c r="A2821" s="133" t="str">
        <f>Saud!F2821</f>
        <v>FELYN GO HAIRBALL CONTROL</v>
      </c>
      <c r="B2821" s="133" t="str">
        <f>Saud!E2821</f>
        <v>جديد</v>
      </c>
      <c r="C2821" s="133" t="str">
        <f>Saud!C2821</f>
        <v>2025-620371</v>
      </c>
    </row>
    <row r="2822">
      <c r="A2822" s="133" t="str">
        <f>Saud!F2822</f>
        <v>FELYN GO IMMUNITY</v>
      </c>
      <c r="B2822" s="133" t="str">
        <f>Saud!E2822</f>
        <v>جديد</v>
      </c>
      <c r="C2822" s="133" t="str">
        <f>Saud!C2822</f>
        <v>2025-620407</v>
      </c>
    </row>
    <row r="2823">
      <c r="A2823" s="133" t="str">
        <f>Saud!F2823</f>
        <v>FELYN GO LYSINE</v>
      </c>
      <c r="B2823" s="133" t="str">
        <f>Saud!E2823</f>
        <v>جديد</v>
      </c>
      <c r="C2823" s="133" t="str">
        <f>Saud!C2823</f>
        <v>2025-620443</v>
      </c>
    </row>
    <row r="2824">
      <c r="A2824" s="133" t="str">
        <f>Saud!F2824</f>
        <v>FELYN GO MOBILITY
</v>
      </c>
      <c r="B2824" s="133" t="str">
        <f>Saud!E2824</f>
        <v>جديد</v>
      </c>
      <c r="C2824" s="133" t="str">
        <f>Saud!C2824</f>
        <v>2025-620508</v>
      </c>
    </row>
    <row r="2825">
      <c r="A2825" s="133" t="str">
        <f>Saud!F2825</f>
        <v>FELYN GO MULTIVITAMIN
</v>
      </c>
      <c r="B2825" s="133" t="str">
        <f>Saud!E2825</f>
        <v>جديد</v>
      </c>
      <c r="C2825" s="133" t="str">
        <f>Saud!C2825</f>
        <v>2025-620541</v>
      </c>
    </row>
    <row r="2826">
      <c r="A2826" s="133" t="str">
        <f>Saud!F2826</f>
        <v>FELYN GO MULTIVITAMIN KITTEN</v>
      </c>
      <c r="B2826" s="133" t="str">
        <f>Saud!E2826</f>
        <v>جديد</v>
      </c>
      <c r="C2826" s="133" t="str">
        <f>Saud!C2826</f>
        <v>2025-620575</v>
      </c>
    </row>
    <row r="2827">
      <c r="A2827" s="133" t="str">
        <f>Saud!F2827</f>
        <v>FELYN GO SKIN &amp; COAT</v>
      </c>
      <c r="B2827" s="133" t="str">
        <f>Saud!E2827</f>
        <v>جديد</v>
      </c>
      <c r="C2827" s="133" t="str">
        <f>Saud!C2827</f>
        <v>2025-620608</v>
      </c>
    </row>
    <row r="2828">
      <c r="A2828" s="133" t="str">
        <f>Saud!F2828</f>
        <v>KANYN GO CALMING
</v>
      </c>
      <c r="B2828" s="133" t="str">
        <f>Saud!E2828</f>
        <v>جديد</v>
      </c>
      <c r="C2828" s="133" t="str">
        <f>Saud!C2828</f>
        <v>2025-621057</v>
      </c>
    </row>
    <row r="2829">
      <c r="A2829" s="133" t="str">
        <f>Saud!F2829</f>
        <v>KANYN GO DIGESTION</v>
      </c>
      <c r="B2829" s="133" t="str">
        <f>Saud!E2829</f>
        <v>جديد</v>
      </c>
      <c r="C2829" s="133" t="str">
        <f>Saud!C2829</f>
        <v>2025-621093</v>
      </c>
    </row>
    <row r="2830">
      <c r="A2830" s="133" t="str">
        <f>Saud!F2830</f>
        <v>KANYN GO MOBILITY</v>
      </c>
      <c r="B2830" s="133" t="str">
        <f>Saud!E2830</f>
        <v>جديد</v>
      </c>
      <c r="C2830" s="133" t="str">
        <f>Saud!C2830</f>
        <v>2025-621109</v>
      </c>
    </row>
    <row r="2831">
      <c r="A2831" s="133" t="str">
        <f>Saud!F2831</f>
        <v>KANYN GO MULTIVITAMIN</v>
      </c>
      <c r="B2831" s="133" t="str">
        <f>Saud!E2831</f>
        <v>جديد</v>
      </c>
      <c r="C2831" s="133" t="str">
        <f>Saud!C2831</f>
        <v>2025-621119</v>
      </c>
    </row>
    <row r="2832">
      <c r="A2832" s="133" t="str">
        <f>Saud!F2832</f>
        <v>KANYN GO MULTIVITAMIN PUPPY</v>
      </c>
      <c r="B2832" s="133" t="str">
        <f>Saud!E2832</f>
        <v>جديد</v>
      </c>
      <c r="C2832" s="133" t="str">
        <f>Saud!C2832</f>
        <v>2025-621148</v>
      </c>
    </row>
    <row r="2833">
      <c r="A2833" s="133" t="str">
        <f>Saud!F2833</f>
        <v>KANYN GO SKIN &amp; COAT</v>
      </c>
      <c r="B2833" s="133" t="str">
        <f>Saud!E2833</f>
        <v>جديد</v>
      </c>
      <c r="C2833" s="133" t="str">
        <f>Saud!C2833</f>
        <v>2025-621168</v>
      </c>
    </row>
    <row r="2834">
      <c r="A2834" s="133" t="str">
        <f>Saud!F2834</f>
        <v>Felyn Go Fresh Salmon - 6 / 2 / 400 </v>
      </c>
      <c r="B2834" s="133" t="str">
        <f>Saud!E2834</f>
        <v>جديد</v>
      </c>
      <c r="C2834" s="133" t="str">
        <f>Saud!C2834</f>
        <v>2025-625324</v>
      </c>
    </row>
    <row r="2835">
      <c r="A2835" s="133" t="str">
        <f>Saud!F2835</f>
        <v>Felyn Go Fresh Beef and Poultry  - 6 / 2 / 400 </v>
      </c>
      <c r="B2835" s="133" t="str">
        <f>Saud!E2835</f>
        <v>جديد</v>
      </c>
      <c r="C2835" s="133" t="str">
        <f>Saud!C2835</f>
        <v>2025-625406</v>
      </c>
    </row>
    <row r="2836">
      <c r="A2836" s="133" t="str">
        <f>Saud!F2836</f>
        <v>Felyn Go Fresh Chicken with Herbs - 6 / 2 / 400 </v>
      </c>
      <c r="B2836" s="133" t="str">
        <f>Saud!E2836</f>
        <v>جديد</v>
      </c>
      <c r="C2836" s="133" t="str">
        <f>Saud!C2836</f>
        <v>2025-625520</v>
      </c>
    </row>
    <row r="2837">
      <c r="A2837" s="133" t="str">
        <f>Saud!F2837</f>
        <v>Felyn Go Fresh Turkey with Herbs - 6 / 2 / 400 </v>
      </c>
      <c r="B2837" s="133" t="str">
        <f>Saud!E2837</f>
        <v>جديد</v>
      </c>
      <c r="C2837" s="133" t="str">
        <f>Saud!C2837</f>
        <v>2025-625888</v>
      </c>
    </row>
    <row r="2838">
      <c r="A2838" s="133" t="str">
        <f>Saud!F2838</f>
        <v/>
      </c>
      <c r="B2838" s="133" t="str">
        <f>Saud!E2838</f>
        <v/>
      </c>
      <c r="C2838" s="133" t="str">
        <f>Saud!C2838</f>
        <v/>
      </c>
    </row>
    <row r="2839">
      <c r="A2839" s="133" t="str">
        <f>Saud!F2839</f>
        <v/>
      </c>
      <c r="B2839" s="133" t="str">
        <f>Saud!E2839</f>
        <v/>
      </c>
      <c r="C2839" s="133" t="str">
        <f>Saud!C2839</f>
        <v/>
      </c>
    </row>
    <row r="2840">
      <c r="A2840" s="133" t="str">
        <f>Saud!F2840</f>
        <v/>
      </c>
      <c r="B2840" s="133" t="str">
        <f>Saud!E2840</f>
        <v/>
      </c>
      <c r="C2840" s="133" t="str">
        <f>Saud!C2840</f>
        <v/>
      </c>
    </row>
    <row r="2841">
      <c r="A2841" s="133" t="str">
        <f>Saud!F2841</f>
        <v/>
      </c>
      <c r="B2841" s="133" t="str">
        <f>Saud!E2841</f>
        <v/>
      </c>
      <c r="C2841" s="133" t="str">
        <f>Saud!C2841</f>
        <v/>
      </c>
    </row>
    <row r="2842">
      <c r="A2842" s="133" t="str">
        <f>Saud!F2842</f>
        <v/>
      </c>
      <c r="B2842" s="133" t="str">
        <f>Saud!E2842</f>
        <v/>
      </c>
      <c r="C2842" s="133" t="str">
        <f>Saud!C2842</f>
        <v/>
      </c>
    </row>
    <row r="2843">
      <c r="A2843" s="133" t="str">
        <f>Saud!F2843</f>
        <v/>
      </c>
      <c r="B2843" s="133" t="str">
        <f>Saud!E2843</f>
        <v/>
      </c>
      <c r="C2843" s="133" t="str">
        <f>Saud!C2843</f>
        <v/>
      </c>
    </row>
    <row r="2844">
      <c r="A2844" s="133" t="str">
        <f>Saud!F2844</f>
        <v/>
      </c>
      <c r="B2844" s="133" t="str">
        <f>Saud!E2844</f>
        <v/>
      </c>
      <c r="C2844" s="133" t="str">
        <f>Saud!C2844</f>
        <v/>
      </c>
    </row>
    <row r="2845">
      <c r="A2845" s="133" t="str">
        <f>Saud!F2845</f>
        <v/>
      </c>
      <c r="B2845" s="133" t="str">
        <f>Saud!E2845</f>
        <v/>
      </c>
      <c r="C2845" s="133" t="str">
        <f>Saud!C2845</f>
        <v/>
      </c>
    </row>
    <row r="2846">
      <c r="A2846" s="133" t="str">
        <f>Saud!F2846</f>
        <v/>
      </c>
      <c r="B2846" s="133" t="str">
        <f>Saud!E2846</f>
        <v/>
      </c>
      <c r="C2846" s="133" t="str">
        <f>Saud!C2846</f>
        <v/>
      </c>
    </row>
    <row r="2847">
      <c r="A2847" s="133" t="str">
        <f>Saud!F2847</f>
        <v/>
      </c>
      <c r="B2847" s="133" t="str">
        <f>Saud!E2847</f>
        <v/>
      </c>
      <c r="C2847" s="133" t="str">
        <f>Saud!C2847</f>
        <v/>
      </c>
    </row>
    <row r="2848">
      <c r="A2848" s="133" t="str">
        <f>Saud!F2848</f>
        <v/>
      </c>
      <c r="B2848" s="133" t="str">
        <f>Saud!E2848</f>
        <v/>
      </c>
      <c r="C2848" s="133" t="str">
        <f>Saud!C2848</f>
        <v/>
      </c>
    </row>
    <row r="2849">
      <c r="A2849" s="133" t="str">
        <f>Saud!F2849</f>
        <v/>
      </c>
      <c r="B2849" s="133" t="str">
        <f>Saud!E2849</f>
        <v/>
      </c>
      <c r="C2849" s="133" t="str">
        <f>Saud!C2849</f>
        <v/>
      </c>
    </row>
    <row r="2850">
      <c r="A2850" s="133" t="str">
        <f>Saud!F2850</f>
        <v/>
      </c>
      <c r="B2850" s="133" t="str">
        <f>Saud!E2850</f>
        <v/>
      </c>
      <c r="C2850" s="133" t="str">
        <f>Saud!C2850</f>
        <v/>
      </c>
    </row>
    <row r="2851">
      <c r="A2851" s="133" t="str">
        <f>Saud!F2851</f>
        <v/>
      </c>
      <c r="B2851" s="133" t="str">
        <f>Saud!E2851</f>
        <v/>
      </c>
      <c r="C2851" s="133" t="str">
        <f>Saud!C2851</f>
        <v/>
      </c>
    </row>
    <row r="2852">
      <c r="A2852" s="133" t="str">
        <f>Saud!F2852</f>
        <v/>
      </c>
      <c r="B2852" s="133" t="str">
        <f>Saud!E2852</f>
        <v/>
      </c>
      <c r="C2852" s="133" t="str">
        <f>Saud!C2852</f>
        <v/>
      </c>
    </row>
    <row r="2853">
      <c r="A2853" s="133" t="str">
        <f>Saud!F2853</f>
        <v/>
      </c>
      <c r="B2853" s="133" t="str">
        <f>Saud!E2853</f>
        <v/>
      </c>
      <c r="C2853" s="133" t="str">
        <f>Saud!C2853</f>
        <v/>
      </c>
    </row>
    <row r="2854">
      <c r="A2854" s="133" t="str">
        <f>Saud!F2854</f>
        <v/>
      </c>
      <c r="B2854" s="133" t="str">
        <f>Saud!E2854</f>
        <v/>
      </c>
      <c r="C2854" s="133" t="str">
        <f>Saud!C2854</f>
        <v/>
      </c>
    </row>
    <row r="2855">
      <c r="A2855" s="133" t="str">
        <f>Saud!F2855</f>
        <v/>
      </c>
      <c r="B2855" s="133" t="str">
        <f>Saud!E2855</f>
        <v/>
      </c>
      <c r="C2855" s="133" t="str">
        <f>Saud!C2855</f>
        <v/>
      </c>
    </row>
    <row r="2856">
      <c r="A2856" s="133" t="str">
        <f>Saud!F2856</f>
        <v/>
      </c>
      <c r="B2856" s="133" t="str">
        <f>Saud!E2856</f>
        <v/>
      </c>
      <c r="C2856" s="133" t="str">
        <f>Saud!C2856</f>
        <v/>
      </c>
    </row>
    <row r="2857">
      <c r="A2857" s="133" t="str">
        <f>Saud!F2857</f>
        <v/>
      </c>
      <c r="B2857" s="133" t="str">
        <f>Saud!E2857</f>
        <v/>
      </c>
      <c r="C2857" s="133" t="str">
        <f>Saud!C2857</f>
        <v/>
      </c>
    </row>
    <row r="2858">
      <c r="A2858" s="133" t="str">
        <f>Saud!F2858</f>
        <v/>
      </c>
      <c r="B2858" s="133" t="str">
        <f>Saud!E2858</f>
        <v/>
      </c>
      <c r="C2858" s="133" t="str">
        <f>Saud!C2858</f>
        <v/>
      </c>
    </row>
    <row r="2859">
      <c r="A2859" s="133" t="str">
        <f>Saud!F2859</f>
        <v/>
      </c>
      <c r="B2859" s="133" t="str">
        <f>Saud!E2859</f>
        <v/>
      </c>
      <c r="C2859" s="133" t="str">
        <f>Saud!C2859</f>
        <v/>
      </c>
    </row>
    <row r="2860">
      <c r="A2860" s="133" t="str">
        <f>Saud!F2860</f>
        <v/>
      </c>
      <c r="B2860" s="133" t="str">
        <f>Saud!E2860</f>
        <v/>
      </c>
      <c r="C2860" s="133" t="str">
        <f>Saud!C2860</f>
        <v/>
      </c>
    </row>
    <row r="2861">
      <c r="A2861" s="133" t="str">
        <f>Saud!F2861</f>
        <v/>
      </c>
      <c r="B2861" s="133" t="str">
        <f>Saud!E2861</f>
        <v/>
      </c>
      <c r="C2861" s="133" t="str">
        <f>Saud!C2861</f>
        <v/>
      </c>
    </row>
    <row r="2862">
      <c r="A2862" s="133" t="str">
        <f>Saud!F2862</f>
        <v/>
      </c>
      <c r="B2862" s="133" t="str">
        <f>Saud!E2862</f>
        <v/>
      </c>
      <c r="C2862" s="133" t="str">
        <f>Saud!C2862</f>
        <v/>
      </c>
    </row>
    <row r="2863">
      <c r="A2863" s="133" t="str">
        <f>Saud!F2863</f>
        <v/>
      </c>
      <c r="B2863" s="133" t="str">
        <f>Saud!E2863</f>
        <v/>
      </c>
      <c r="C2863" s="133" t="str">
        <f>Saud!C2863</f>
        <v/>
      </c>
    </row>
    <row r="2864">
      <c r="A2864" s="133" t="str">
        <f>Saud!F2864</f>
        <v/>
      </c>
      <c r="B2864" s="133" t="str">
        <f>Saud!E2864</f>
        <v/>
      </c>
      <c r="C2864" s="133" t="str">
        <f>Saud!C2864</f>
        <v/>
      </c>
    </row>
    <row r="2865">
      <c r="A2865" s="133" t="str">
        <f>Saud!F2865</f>
        <v/>
      </c>
      <c r="B2865" s="133" t="str">
        <f>Saud!E2865</f>
        <v/>
      </c>
      <c r="C2865" s="133" t="str">
        <f>Saud!C2865</f>
        <v/>
      </c>
    </row>
    <row r="2866">
      <c r="A2866" s="133" t="str">
        <f>Saud!F2866</f>
        <v/>
      </c>
      <c r="B2866" s="133" t="str">
        <f>Saud!E2866</f>
        <v/>
      </c>
      <c r="C2866" s="133" t="str">
        <f>Saud!C2866</f>
        <v/>
      </c>
    </row>
    <row r="2867">
      <c r="A2867" s="133" t="str">
        <f>Saud!F2867</f>
        <v/>
      </c>
      <c r="B2867" s="133" t="str">
        <f>Saud!E2867</f>
        <v/>
      </c>
      <c r="C2867" s="133" t="str">
        <f>Saud!C2867</f>
        <v/>
      </c>
    </row>
    <row r="2868">
      <c r="A2868" s="133" t="str">
        <f>Saud!F2868</f>
        <v/>
      </c>
      <c r="B2868" s="133" t="str">
        <f>Saud!E2868</f>
        <v/>
      </c>
      <c r="C2868" s="133" t="str">
        <f>Saud!C2868</f>
        <v/>
      </c>
    </row>
    <row r="2869">
      <c r="A2869" s="133" t="str">
        <f>Saud!F2869</f>
        <v/>
      </c>
      <c r="B2869" s="133" t="str">
        <f>Saud!E2869</f>
        <v/>
      </c>
      <c r="C2869" s="133" t="str">
        <f>Saud!C2869</f>
        <v/>
      </c>
    </row>
    <row r="2870">
      <c r="A2870" s="133" t="str">
        <f>Saud!F2870</f>
        <v/>
      </c>
      <c r="B2870" s="133" t="str">
        <f>Saud!E2870</f>
        <v/>
      </c>
      <c r="C2870" s="133" t="str">
        <f>Saud!C2870</f>
        <v/>
      </c>
    </row>
    <row r="2871">
      <c r="A2871" s="133" t="str">
        <f>Saud!F2871</f>
        <v/>
      </c>
      <c r="B2871" s="133" t="str">
        <f>Saud!E2871</f>
        <v/>
      </c>
      <c r="C2871" s="133" t="str">
        <f>Saud!C2871</f>
        <v/>
      </c>
    </row>
    <row r="2872">
      <c r="A2872" s="133" t="str">
        <f>Saud!F2872</f>
        <v/>
      </c>
      <c r="B2872" s="133" t="str">
        <f>Saud!E2872</f>
        <v/>
      </c>
      <c r="C2872" s="133" t="str">
        <f>Saud!C2872</f>
        <v/>
      </c>
    </row>
    <row r="2873">
      <c r="A2873" s="133" t="str">
        <f>Saud!F2873</f>
        <v/>
      </c>
      <c r="B2873" s="133" t="str">
        <f>Saud!E2873</f>
        <v/>
      </c>
      <c r="C2873" s="133" t="str">
        <f>Saud!C2873</f>
        <v/>
      </c>
    </row>
    <row r="2874">
      <c r="A2874" s="133" t="str">
        <f>Saud!F2874</f>
        <v/>
      </c>
      <c r="B2874" s="133" t="str">
        <f>Saud!E2874</f>
        <v/>
      </c>
      <c r="C2874" s="133" t="str">
        <f>Saud!C2874</f>
        <v/>
      </c>
    </row>
    <row r="2875">
      <c r="A2875" s="133" t="str">
        <f>Saud!F2875</f>
        <v/>
      </c>
      <c r="B2875" s="133" t="str">
        <f>Saud!E2875</f>
        <v/>
      </c>
      <c r="C2875" s="133" t="str">
        <f>Saud!C2875</f>
        <v/>
      </c>
    </row>
    <row r="2876">
      <c r="A2876" s="133" t="str">
        <f>Saud!F2876</f>
        <v/>
      </c>
      <c r="B2876" s="133" t="str">
        <f>Saud!E2876</f>
        <v/>
      </c>
      <c r="C2876" s="133" t="str">
        <f>Saud!C2876</f>
        <v/>
      </c>
    </row>
    <row r="2877">
      <c r="A2877" s="133" t="str">
        <f>Saud!F2877</f>
        <v/>
      </c>
      <c r="B2877" s="133" t="str">
        <f>Saud!E2877</f>
        <v/>
      </c>
      <c r="C2877" s="133" t="str">
        <f>Saud!C2877</f>
        <v/>
      </c>
    </row>
    <row r="2878">
      <c r="A2878" s="133" t="str">
        <f>Saud!F2878</f>
        <v/>
      </c>
      <c r="B2878" s="133" t="str">
        <f>Saud!E2878</f>
        <v/>
      </c>
      <c r="C2878" s="133" t="str">
        <f>Saud!C2878</f>
        <v/>
      </c>
    </row>
    <row r="2879">
      <c r="A2879" s="133" t="str">
        <f>Saud!F2879</f>
        <v/>
      </c>
      <c r="B2879" s="133" t="str">
        <f>Saud!E2879</f>
        <v/>
      </c>
      <c r="C2879" s="133" t="str">
        <f>Saud!C2879</f>
        <v/>
      </c>
    </row>
    <row r="2880">
      <c r="A2880" s="133" t="str">
        <f>Saud!F2880</f>
        <v/>
      </c>
      <c r="B2880" s="133" t="str">
        <f>Saud!E2880</f>
        <v/>
      </c>
      <c r="C2880" s="133" t="str">
        <f>Saud!C2880</f>
        <v/>
      </c>
    </row>
    <row r="2881">
      <c r="A2881" s="133" t="str">
        <f>Saud!F2881</f>
        <v/>
      </c>
      <c r="B2881" s="133" t="str">
        <f>Saud!E2881</f>
        <v/>
      </c>
      <c r="C2881" s="133" t="str">
        <f>Saud!C2881</f>
        <v/>
      </c>
    </row>
    <row r="2882">
      <c r="A2882" s="133" t="str">
        <f>Saud!F2882</f>
        <v/>
      </c>
      <c r="B2882" s="133" t="str">
        <f>Saud!E2882</f>
        <v/>
      </c>
      <c r="C2882" s="133" t="str">
        <f>Saud!C2882</f>
        <v/>
      </c>
    </row>
    <row r="2883">
      <c r="A2883" s="133" t="str">
        <f>Saud!F2883</f>
        <v/>
      </c>
      <c r="B2883" s="133" t="str">
        <f>Saud!E2883</f>
        <v/>
      </c>
      <c r="C2883" s="133" t="str">
        <f>Saud!C2883</f>
        <v/>
      </c>
    </row>
    <row r="2884">
      <c r="A2884" s="133" t="str">
        <f>Saud!F2884</f>
        <v/>
      </c>
      <c r="B2884" s="133" t="str">
        <f>Saud!E2884</f>
        <v/>
      </c>
      <c r="C2884" s="133" t="str">
        <f>Saud!C2884</f>
        <v/>
      </c>
    </row>
    <row r="2885">
      <c r="A2885" s="133" t="str">
        <f>Saud!F2885</f>
        <v/>
      </c>
      <c r="B2885" s="133" t="str">
        <f>Saud!E2885</f>
        <v/>
      </c>
      <c r="C2885" s="133" t="str">
        <f>Saud!C2885</f>
        <v/>
      </c>
    </row>
    <row r="2886">
      <c r="A2886" s="133" t="str">
        <f>Saud!F2886</f>
        <v/>
      </c>
      <c r="B2886" s="133" t="str">
        <f>Saud!E2886</f>
        <v/>
      </c>
      <c r="C2886" s="133" t="str">
        <f>Saud!C2886</f>
        <v/>
      </c>
    </row>
    <row r="2887">
      <c r="A2887" s="133" t="str">
        <f>Saud!F2887</f>
        <v/>
      </c>
      <c r="B2887" s="133" t="str">
        <f>Saud!E2887</f>
        <v/>
      </c>
      <c r="C2887" s="133" t="str">
        <f>Saud!C2887</f>
        <v/>
      </c>
    </row>
    <row r="2888">
      <c r="A2888" s="133" t="str">
        <f>Saud!F2888</f>
        <v/>
      </c>
      <c r="B2888" s="133" t="str">
        <f>Saud!E2888</f>
        <v/>
      </c>
      <c r="C2888" s="133" t="str">
        <f>Saud!C2888</f>
        <v/>
      </c>
    </row>
    <row r="2889">
      <c r="A2889" s="133" t="str">
        <f>Saud!F2889</f>
        <v/>
      </c>
      <c r="B2889" s="133" t="str">
        <f>Saud!E2889</f>
        <v/>
      </c>
      <c r="C2889" s="133" t="str">
        <f>Saud!C2889</f>
        <v/>
      </c>
    </row>
    <row r="2890">
      <c r="A2890" s="133" t="str">
        <f>Saud!F2890</f>
        <v/>
      </c>
      <c r="B2890" s="133" t="str">
        <f>Saud!E2890</f>
        <v/>
      </c>
      <c r="C2890" s="133" t="str">
        <f>Saud!C2890</f>
        <v/>
      </c>
    </row>
    <row r="2891">
      <c r="A2891" s="133" t="str">
        <f>Saud!F2891</f>
        <v/>
      </c>
      <c r="B2891" s="133" t="str">
        <f>Saud!E2891</f>
        <v/>
      </c>
      <c r="C2891" s="133" t="str">
        <f>Saud!C2891</f>
        <v/>
      </c>
    </row>
    <row r="2892">
      <c r="A2892" s="133" t="str">
        <f>Saud!F2892</f>
        <v/>
      </c>
      <c r="B2892" s="133" t="str">
        <f>Saud!E2892</f>
        <v/>
      </c>
      <c r="C2892" s="133" t="str">
        <f>Saud!C2892</f>
        <v/>
      </c>
    </row>
    <row r="2893">
      <c r="A2893" s="133" t="str">
        <f>Saud!F2893</f>
        <v/>
      </c>
      <c r="B2893" s="133" t="str">
        <f>Saud!E2893</f>
        <v/>
      </c>
      <c r="C2893" s="133" t="str">
        <f>Saud!C2893</f>
        <v/>
      </c>
    </row>
    <row r="2894">
      <c r="A2894" s="133" t="str">
        <f>Saud!F2894</f>
        <v/>
      </c>
      <c r="B2894" s="133" t="str">
        <f>Saud!E2894</f>
        <v/>
      </c>
      <c r="C2894" s="133" t="str">
        <f>Saud!C2894</f>
        <v/>
      </c>
    </row>
    <row r="2895">
      <c r="A2895" s="133" t="str">
        <f>Saud!F2895</f>
        <v/>
      </c>
      <c r="B2895" s="133" t="str">
        <f>Saud!E2895</f>
        <v/>
      </c>
      <c r="C2895" s="133" t="str">
        <f>Saud!C2895</f>
        <v/>
      </c>
    </row>
    <row r="2896">
      <c r="A2896" s="133" t="str">
        <f>Saud!F2896</f>
        <v/>
      </c>
      <c r="B2896" s="133" t="str">
        <f>Saud!E2896</f>
        <v/>
      </c>
      <c r="C2896" s="133" t="str">
        <f>Saud!C2896</f>
        <v/>
      </c>
    </row>
    <row r="2897">
      <c r="A2897" s="133" t="str">
        <f>Saud!F2897</f>
        <v/>
      </c>
      <c r="B2897" s="133" t="str">
        <f>Saud!E2897</f>
        <v/>
      </c>
      <c r="C2897" s="133" t="str">
        <f>Saud!C2897</f>
        <v/>
      </c>
    </row>
    <row r="2898">
      <c r="A2898" s="133" t="str">
        <f>Saud!F2898</f>
        <v/>
      </c>
      <c r="B2898" s="133" t="str">
        <f>Saud!E2898</f>
        <v/>
      </c>
      <c r="C2898" s="133" t="str">
        <f>Saud!C2898</f>
        <v/>
      </c>
    </row>
    <row r="2899">
      <c r="A2899" s="133" t="str">
        <f>Saud!F2899</f>
        <v/>
      </c>
      <c r="B2899" s="133" t="str">
        <f>Saud!E2899</f>
        <v/>
      </c>
      <c r="C2899" s="133" t="str">
        <f>Saud!C2899</f>
        <v/>
      </c>
    </row>
    <row r="2900">
      <c r="A2900" s="133" t="str">
        <f>Saud!F2900</f>
        <v/>
      </c>
      <c r="B2900" s="133" t="str">
        <f>Saud!E2900</f>
        <v/>
      </c>
      <c r="C2900" s="133" t="str">
        <f>Saud!C2900</f>
        <v/>
      </c>
    </row>
    <row r="2901">
      <c r="A2901" s="133" t="str">
        <f>Saud!F2901</f>
        <v/>
      </c>
      <c r="B2901" s="133" t="str">
        <f>Saud!E2901</f>
        <v/>
      </c>
      <c r="C2901" s="133" t="str">
        <f>Saud!C2901</f>
        <v/>
      </c>
    </row>
    <row r="2902">
      <c r="A2902" s="133" t="str">
        <f>Saud!F2902</f>
        <v/>
      </c>
      <c r="B2902" s="133" t="str">
        <f>Saud!E2902</f>
        <v/>
      </c>
      <c r="C2902" s="133" t="str">
        <f>Saud!C2902</f>
        <v/>
      </c>
    </row>
    <row r="2903">
      <c r="A2903" s="133" t="str">
        <f>Saud!F2903</f>
        <v/>
      </c>
      <c r="B2903" s="133" t="str">
        <f>Saud!E2903</f>
        <v/>
      </c>
      <c r="C2903" s="133" t="str">
        <f>Saud!C2903</f>
        <v/>
      </c>
    </row>
    <row r="2904">
      <c r="A2904" s="133" t="str">
        <f>Saud!F2904</f>
        <v/>
      </c>
      <c r="B2904" s="133" t="str">
        <f>Saud!E2904</f>
        <v/>
      </c>
      <c r="C2904" s="133" t="str">
        <f>Saud!C2904</f>
        <v/>
      </c>
    </row>
    <row r="2905">
      <c r="A2905" s="133" t="str">
        <f>Saud!F2905</f>
        <v/>
      </c>
      <c r="B2905" s="133" t="str">
        <f>Saud!E2905</f>
        <v/>
      </c>
      <c r="C2905" s="133" t="str">
        <f>Saud!C2905</f>
        <v/>
      </c>
    </row>
    <row r="2906">
      <c r="A2906" s="133" t="str">
        <f>Saud!F2906</f>
        <v/>
      </c>
      <c r="B2906" s="133" t="str">
        <f>Saud!E2906</f>
        <v/>
      </c>
      <c r="C2906" s="133" t="str">
        <f>Saud!C2906</f>
        <v/>
      </c>
    </row>
    <row r="2907">
      <c r="A2907" s="133" t="str">
        <f>Saud!F2907</f>
        <v/>
      </c>
      <c r="B2907" s="133" t="str">
        <f>Saud!E2907</f>
        <v/>
      </c>
      <c r="C2907" s="133" t="str">
        <f>Saud!C2907</f>
        <v/>
      </c>
    </row>
    <row r="2908">
      <c r="A2908" s="133" t="str">
        <f>Saud!F2908</f>
        <v/>
      </c>
      <c r="B2908" s="133" t="str">
        <f>Saud!E2908</f>
        <v/>
      </c>
      <c r="C2908" s="133" t="str">
        <f>Saud!C2908</f>
        <v/>
      </c>
    </row>
    <row r="2909">
      <c r="A2909" s="133" t="str">
        <f>Saud!F2909</f>
        <v/>
      </c>
      <c r="B2909" s="133" t="str">
        <f>Saud!E2909</f>
        <v/>
      </c>
      <c r="C2909" s="133" t="str">
        <f>Saud!C2909</f>
        <v/>
      </c>
    </row>
    <row r="2910">
      <c r="A2910" s="133" t="str">
        <f>Saud!F2910</f>
        <v/>
      </c>
      <c r="B2910" s="133" t="str">
        <f>Saud!E2910</f>
        <v/>
      </c>
      <c r="C2910" s="133" t="str">
        <f>Saud!C2910</f>
        <v/>
      </c>
    </row>
    <row r="2911">
      <c r="A2911" s="133" t="str">
        <f>Saud!F2911</f>
        <v/>
      </c>
      <c r="B2911" s="133" t="str">
        <f>Saud!E2911</f>
        <v/>
      </c>
      <c r="C2911" s="133" t="str">
        <f>Saud!C2911</f>
        <v/>
      </c>
    </row>
    <row r="2912">
      <c r="A2912" s="133" t="str">
        <f>Saud!F2912</f>
        <v/>
      </c>
      <c r="B2912" s="133" t="str">
        <f>Saud!E2912</f>
        <v/>
      </c>
      <c r="C2912" s="133" t="str">
        <f>Saud!C2912</f>
        <v/>
      </c>
    </row>
    <row r="2913">
      <c r="A2913" s="133" t="str">
        <f>Saud!F2913</f>
        <v/>
      </c>
      <c r="B2913" s="133" t="str">
        <f>Saud!E2913</f>
        <v/>
      </c>
      <c r="C2913" s="133" t="str">
        <f>Saud!C2913</f>
        <v/>
      </c>
    </row>
    <row r="2914">
      <c r="A2914" s="133" t="str">
        <f>Saud!F2914</f>
        <v/>
      </c>
      <c r="B2914" s="133" t="str">
        <f>Saud!E2914</f>
        <v/>
      </c>
      <c r="C2914" s="133" t="str">
        <f>Saud!C2914</f>
        <v/>
      </c>
    </row>
    <row r="2915">
      <c r="A2915" s="133" t="str">
        <f>Saud!F2915</f>
        <v/>
      </c>
      <c r="B2915" s="133" t="str">
        <f>Saud!E2915</f>
        <v/>
      </c>
      <c r="C2915" s="133" t="str">
        <f>Saud!C2915</f>
        <v/>
      </c>
    </row>
    <row r="2916">
      <c r="A2916" s="133" t="str">
        <f>Saud!F2916</f>
        <v/>
      </c>
      <c r="B2916" s="133" t="str">
        <f>Saud!E2916</f>
        <v/>
      </c>
      <c r="C2916" s="133" t="str">
        <f>Saud!C2916</f>
        <v/>
      </c>
    </row>
    <row r="2917">
      <c r="A2917" s="133" t="str">
        <f>Saud!F2917</f>
        <v/>
      </c>
      <c r="B2917" s="133" t="str">
        <f>Saud!E2917</f>
        <v/>
      </c>
      <c r="C2917" s="133" t="str">
        <f>Saud!C2917</f>
        <v/>
      </c>
    </row>
    <row r="2918">
      <c r="A2918" s="133" t="str">
        <f>Saud!F2918</f>
        <v/>
      </c>
      <c r="B2918" s="133" t="str">
        <f>Saud!E2918</f>
        <v/>
      </c>
      <c r="C2918" s="133" t="str">
        <f>Saud!C2918</f>
        <v/>
      </c>
    </row>
    <row r="2919">
      <c r="A2919" s="133" t="str">
        <f>Saud!F2919</f>
        <v/>
      </c>
      <c r="B2919" s="133" t="str">
        <f>Saud!E2919</f>
        <v/>
      </c>
      <c r="C2919" s="133" t="str">
        <f>Saud!C2919</f>
        <v/>
      </c>
    </row>
    <row r="2920">
      <c r="A2920" s="133" t="str">
        <f>Saud!F2920</f>
        <v/>
      </c>
      <c r="B2920" s="133" t="str">
        <f>Saud!E2920</f>
        <v/>
      </c>
      <c r="C2920" s="133" t="str">
        <f>Saud!C2920</f>
        <v/>
      </c>
    </row>
    <row r="2921">
      <c r="A2921" s="133" t="str">
        <f>Saud!F2921</f>
        <v/>
      </c>
      <c r="B2921" s="133" t="str">
        <f>Saud!E2921</f>
        <v/>
      </c>
      <c r="C2921" s="133" t="str">
        <f>Saud!C2921</f>
        <v/>
      </c>
    </row>
    <row r="2922">
      <c r="A2922" s="133" t="str">
        <f>Saud!F2922</f>
        <v/>
      </c>
      <c r="B2922" s="133" t="str">
        <f>Saud!E2922</f>
        <v/>
      </c>
      <c r="C2922" s="133" t="str">
        <f>Saud!C2922</f>
        <v/>
      </c>
    </row>
    <row r="2923">
      <c r="A2923" s="133" t="str">
        <f>Saud!F2923</f>
        <v/>
      </c>
      <c r="B2923" s="133" t="str">
        <f>Saud!E2923</f>
        <v/>
      </c>
      <c r="C2923" s="133" t="str">
        <f>Saud!C2923</f>
        <v/>
      </c>
    </row>
    <row r="2924">
      <c r="A2924" s="133" t="str">
        <f>Saud!F2924</f>
        <v/>
      </c>
      <c r="B2924" s="133" t="str">
        <f>Saud!E2924</f>
        <v/>
      </c>
      <c r="C2924" s="133" t="str">
        <f>Saud!C2924</f>
        <v/>
      </c>
    </row>
    <row r="2925">
      <c r="A2925" s="133" t="str">
        <f>Saud!F2925</f>
        <v/>
      </c>
      <c r="B2925" s="133" t="str">
        <f>Saud!E2925</f>
        <v/>
      </c>
      <c r="C2925" s="133" t="str">
        <f>Saud!C2925</f>
        <v/>
      </c>
    </row>
    <row r="2926">
      <c r="A2926" s="133" t="str">
        <f>Saud!F2926</f>
        <v/>
      </c>
      <c r="B2926" s="133" t="str">
        <f>Saud!E2926</f>
        <v/>
      </c>
      <c r="C2926" s="133" t="str">
        <f>Saud!C2926</f>
        <v/>
      </c>
    </row>
    <row r="2927">
      <c r="A2927" s="133" t="str">
        <f>Saud!F2927</f>
        <v/>
      </c>
      <c r="B2927" s="133" t="str">
        <f>Saud!E2927</f>
        <v/>
      </c>
      <c r="C2927" s="133" t="str">
        <f>Saud!C2927</f>
        <v/>
      </c>
    </row>
    <row r="2928">
      <c r="A2928" s="133" t="str">
        <f>Saud!F2928</f>
        <v/>
      </c>
      <c r="B2928" s="133" t="str">
        <f>Saud!E2928</f>
        <v/>
      </c>
      <c r="C2928" s="133" t="str">
        <f>Saud!C2928</f>
        <v/>
      </c>
    </row>
    <row r="2929">
      <c r="A2929" s="133" t="str">
        <f>Saud!F2929</f>
        <v/>
      </c>
      <c r="B2929" s="133" t="str">
        <f>Saud!E2929</f>
        <v/>
      </c>
      <c r="C2929" s="133" t="str">
        <f>Saud!C2929</f>
        <v/>
      </c>
    </row>
    <row r="2930">
      <c r="A2930" s="133" t="str">
        <f>Saud!F2930</f>
        <v/>
      </c>
      <c r="B2930" s="133" t="str">
        <f>Saud!E2930</f>
        <v/>
      </c>
      <c r="C2930" s="133" t="str">
        <f>Saud!C2930</f>
        <v/>
      </c>
    </row>
    <row r="2931">
      <c r="A2931" s="133" t="str">
        <f>Saud!F2931</f>
        <v/>
      </c>
      <c r="B2931" s="133" t="str">
        <f>Saud!E2931</f>
        <v/>
      </c>
      <c r="C2931" s="133" t="str">
        <f>Saud!C2931</f>
        <v/>
      </c>
    </row>
    <row r="2932">
      <c r="A2932" s="133" t="str">
        <f>Saud!F2932</f>
        <v/>
      </c>
      <c r="B2932" s="133" t="str">
        <f>Saud!E2932</f>
        <v/>
      </c>
      <c r="C2932" s="133" t="str">
        <f>Saud!C2932</f>
        <v/>
      </c>
    </row>
    <row r="2933">
      <c r="A2933" s="133" t="str">
        <f>Saud!F2933</f>
        <v/>
      </c>
      <c r="B2933" s="133" t="str">
        <f>Saud!E2933</f>
        <v/>
      </c>
      <c r="C2933" s="133" t="str">
        <f>Saud!C2933</f>
        <v/>
      </c>
    </row>
    <row r="2934">
      <c r="A2934" s="133" t="str">
        <f>Saud!F2934</f>
        <v/>
      </c>
      <c r="B2934" s="133" t="str">
        <f>Saud!E2934</f>
        <v/>
      </c>
      <c r="C2934" s="133" t="str">
        <f>Saud!C2934</f>
        <v/>
      </c>
    </row>
    <row r="2935">
      <c r="A2935" s="133" t="str">
        <f>Saud!F2935</f>
        <v/>
      </c>
      <c r="B2935" s="133" t="str">
        <f>Saud!E2935</f>
        <v/>
      </c>
      <c r="C2935" s="133" t="str">
        <f>Saud!C2935</f>
        <v/>
      </c>
    </row>
    <row r="2936">
      <c r="A2936" s="133" t="str">
        <f>Saud!F2936</f>
        <v/>
      </c>
      <c r="B2936" s="133" t="str">
        <f>Saud!E2936</f>
        <v/>
      </c>
      <c r="C2936" s="133" t="str">
        <f>Saud!C2936</f>
        <v/>
      </c>
    </row>
    <row r="2937">
      <c r="A2937" s="133" t="str">
        <f>Saud!F2937</f>
        <v/>
      </c>
      <c r="B2937" s="133" t="str">
        <f>Saud!E2937</f>
        <v/>
      </c>
      <c r="C2937" s="133" t="str">
        <f>Saud!C2937</f>
        <v/>
      </c>
    </row>
    <row r="2938">
      <c r="A2938" s="133" t="str">
        <f>Saud!F2938</f>
        <v/>
      </c>
      <c r="B2938" s="133" t="str">
        <f>Saud!E2938</f>
        <v/>
      </c>
      <c r="C2938" s="133" t="str">
        <f>Saud!C2938</f>
        <v/>
      </c>
    </row>
    <row r="2939">
      <c r="A2939" s="133" t="str">
        <f>Saud!F2939</f>
        <v/>
      </c>
      <c r="B2939" s="133" t="str">
        <f>Saud!E2939</f>
        <v/>
      </c>
      <c r="C2939" s="133" t="str">
        <f>Saud!C2939</f>
        <v/>
      </c>
    </row>
    <row r="2940">
      <c r="A2940" s="133" t="str">
        <f>Saud!F2940</f>
        <v/>
      </c>
      <c r="B2940" s="133" t="str">
        <f>Saud!E2940</f>
        <v/>
      </c>
      <c r="C2940" s="133" t="str">
        <f>Saud!C2940</f>
        <v/>
      </c>
    </row>
    <row r="2941">
      <c r="A2941" s="133" t="str">
        <f>Saud!F2941</f>
        <v/>
      </c>
      <c r="B2941" s="133" t="str">
        <f>Saud!E2941</f>
        <v/>
      </c>
      <c r="C2941" s="133" t="str">
        <f>Saud!C2941</f>
        <v/>
      </c>
    </row>
    <row r="2942">
      <c r="A2942" s="133" t="str">
        <f>Saud!F2942</f>
        <v/>
      </c>
      <c r="B2942" s="133" t="str">
        <f>Saud!E2942</f>
        <v/>
      </c>
      <c r="C2942" s="133" t="str">
        <f>Saud!C2942</f>
        <v/>
      </c>
    </row>
    <row r="2943">
      <c r="A2943" s="133" t="str">
        <f>Saud!F2943</f>
        <v/>
      </c>
      <c r="B2943" s="133" t="str">
        <f>Saud!E2943</f>
        <v/>
      </c>
      <c r="C2943" s="133" t="str">
        <f>Saud!C2943</f>
        <v/>
      </c>
    </row>
    <row r="2944">
      <c r="A2944" s="133" t="str">
        <f>Saud!F2944</f>
        <v/>
      </c>
      <c r="B2944" s="133" t="str">
        <f>Saud!E2944</f>
        <v/>
      </c>
      <c r="C2944" s="133" t="str">
        <f>Saud!C2944</f>
        <v/>
      </c>
    </row>
    <row r="2945">
      <c r="A2945" s="133" t="str">
        <f>Saud!F2945</f>
        <v/>
      </c>
      <c r="B2945" s="133" t="str">
        <f>Saud!E2945</f>
        <v/>
      </c>
      <c r="C2945" s="133" t="str">
        <f>Saud!C2945</f>
        <v/>
      </c>
    </row>
    <row r="2946">
      <c r="A2946" s="133" t="str">
        <f>Saud!F2946</f>
        <v/>
      </c>
      <c r="B2946" s="133" t="str">
        <f>Saud!E2946</f>
        <v/>
      </c>
      <c r="C2946" s="133" t="str">
        <f>Saud!C2946</f>
        <v/>
      </c>
    </row>
    <row r="2947">
      <c r="A2947" s="133" t="str">
        <f>Saud!F2947</f>
        <v/>
      </c>
      <c r="B2947" s="133" t="str">
        <f>Saud!E2947</f>
        <v/>
      </c>
      <c r="C2947" s="133" t="str">
        <f>Saud!C2947</f>
        <v/>
      </c>
    </row>
    <row r="2948">
      <c r="A2948" s="133" t="str">
        <f>Saud!F2948</f>
        <v/>
      </c>
      <c r="B2948" s="133" t="str">
        <f>Saud!E2948</f>
        <v/>
      </c>
      <c r="C2948" s="133" t="str">
        <f>Saud!C2948</f>
        <v/>
      </c>
    </row>
    <row r="2949">
      <c r="A2949" s="133" t="str">
        <f>Saud!F2949</f>
        <v/>
      </c>
      <c r="B2949" s="133" t="str">
        <f>Saud!E2949</f>
        <v/>
      </c>
      <c r="C2949" s="133" t="str">
        <f>Saud!C2949</f>
        <v/>
      </c>
    </row>
    <row r="2950">
      <c r="A2950" s="133" t="str">
        <f>Saud!F2950</f>
        <v/>
      </c>
      <c r="B2950" s="133" t="str">
        <f>Saud!E2950</f>
        <v/>
      </c>
      <c r="C2950" s="133" t="str">
        <f>Saud!C2950</f>
        <v/>
      </c>
    </row>
    <row r="2951">
      <c r="A2951" s="133" t="str">
        <f>Saud!F2951</f>
        <v/>
      </c>
      <c r="B2951" s="133" t="str">
        <f>Saud!E2951</f>
        <v/>
      </c>
      <c r="C2951" s="133" t="str">
        <f>Saud!C2951</f>
        <v/>
      </c>
    </row>
    <row r="2952">
      <c r="A2952" s="133" t="str">
        <f>Saud!F2952</f>
        <v/>
      </c>
      <c r="B2952" s="133" t="str">
        <f>Saud!E2952</f>
        <v/>
      </c>
      <c r="C2952" s="133" t="str">
        <f>Saud!C2952</f>
        <v/>
      </c>
    </row>
    <row r="2953">
      <c r="A2953" s="133" t="str">
        <f>Saud!F2953</f>
        <v/>
      </c>
      <c r="B2953" s="133" t="str">
        <f>Saud!E2953</f>
        <v/>
      </c>
      <c r="C2953" s="133" t="str">
        <f>Saud!C2953</f>
        <v/>
      </c>
    </row>
    <row r="2954">
      <c r="A2954" s="133" t="str">
        <f>Saud!F2954</f>
        <v/>
      </c>
      <c r="B2954" s="133" t="str">
        <f>Saud!E2954</f>
        <v/>
      </c>
      <c r="C2954" s="133" t="str">
        <f>Saud!C2954</f>
        <v/>
      </c>
    </row>
    <row r="2955">
      <c r="A2955" s="133" t="str">
        <f>Saud!F2955</f>
        <v/>
      </c>
      <c r="B2955" s="133" t="str">
        <f>Saud!E2955</f>
        <v/>
      </c>
      <c r="C2955" s="133" t="str">
        <f>Saud!C2955</f>
        <v/>
      </c>
    </row>
    <row r="2956">
      <c r="A2956" s="133" t="str">
        <f>Saud!F2956</f>
        <v/>
      </c>
      <c r="B2956" s="133" t="str">
        <f>Saud!E2956</f>
        <v/>
      </c>
      <c r="C2956" s="133" t="str">
        <f>Saud!C2956</f>
        <v/>
      </c>
    </row>
    <row r="2957">
      <c r="A2957" s="133" t="str">
        <f>Saud!F2957</f>
        <v/>
      </c>
      <c r="B2957" s="133" t="str">
        <f>Saud!E2957</f>
        <v/>
      </c>
      <c r="C2957" s="133" t="str">
        <f>Saud!C2957</f>
        <v/>
      </c>
    </row>
    <row r="2958">
      <c r="A2958" s="133" t="str">
        <f>Saud!F2958</f>
        <v/>
      </c>
      <c r="B2958" s="133" t="str">
        <f>Saud!E2958</f>
        <v/>
      </c>
      <c r="C2958" s="133" t="str">
        <f>Saud!C2958</f>
        <v/>
      </c>
    </row>
    <row r="2959">
      <c r="A2959" s="133" t="str">
        <f>Saud!F2959</f>
        <v/>
      </c>
      <c r="B2959" s="133" t="str">
        <f>Saud!E2959</f>
        <v/>
      </c>
      <c r="C2959" s="133" t="str">
        <f>Saud!C2959</f>
        <v/>
      </c>
    </row>
    <row r="2960">
      <c r="A2960" s="133" t="str">
        <f>Saud!F2960</f>
        <v/>
      </c>
      <c r="B2960" s="133" t="str">
        <f>Saud!E2960</f>
        <v/>
      </c>
      <c r="C2960" s="133" t="str">
        <f>Saud!C2960</f>
        <v/>
      </c>
    </row>
    <row r="2961">
      <c r="A2961" s="133" t="str">
        <f>Saud!F2961</f>
        <v/>
      </c>
      <c r="B2961" s="133" t="str">
        <f>Saud!E2961</f>
        <v/>
      </c>
      <c r="C2961" s="133" t="str">
        <f>Saud!C2961</f>
        <v/>
      </c>
    </row>
    <row r="2962">
      <c r="A2962" s="133" t="str">
        <f>Saud!F2962</f>
        <v/>
      </c>
      <c r="B2962" s="133" t="str">
        <f>Saud!E2962</f>
        <v/>
      </c>
      <c r="C2962" s="133" t="str">
        <f>Saud!C2962</f>
        <v/>
      </c>
    </row>
    <row r="2963">
      <c r="A2963" s="133" t="str">
        <f>Saud!F2963</f>
        <v/>
      </c>
      <c r="B2963" s="133" t="str">
        <f>Saud!E2963</f>
        <v/>
      </c>
      <c r="C2963" s="133" t="str">
        <f>Saud!C2963</f>
        <v/>
      </c>
    </row>
    <row r="2964">
      <c r="A2964" s="133" t="str">
        <f>Saud!F2964</f>
        <v/>
      </c>
      <c r="B2964" s="133" t="str">
        <f>Saud!E2964</f>
        <v/>
      </c>
      <c r="C2964" s="133" t="str">
        <f>Saud!C2964</f>
        <v/>
      </c>
    </row>
    <row r="2965">
      <c r="A2965" s="133" t="str">
        <f>Saud!F2965</f>
        <v/>
      </c>
      <c r="B2965" s="133" t="str">
        <f>Saud!E2965</f>
        <v/>
      </c>
      <c r="C2965" s="133" t="str">
        <f>Saud!C2965</f>
        <v/>
      </c>
    </row>
    <row r="2966">
      <c r="A2966" s="133" t="str">
        <f>Saud!F2966</f>
        <v/>
      </c>
      <c r="B2966" s="133" t="str">
        <f>Saud!E2966</f>
        <v/>
      </c>
      <c r="C2966" s="133" t="str">
        <f>Saud!C2966</f>
        <v/>
      </c>
    </row>
    <row r="2967">
      <c r="A2967" s="133" t="str">
        <f>Saud!F2967</f>
        <v/>
      </c>
      <c r="B2967" s="133" t="str">
        <f>Saud!E2967</f>
        <v/>
      </c>
      <c r="C2967" s="133" t="str">
        <f>Saud!C2967</f>
        <v/>
      </c>
    </row>
    <row r="2968">
      <c r="A2968" s="133" t="str">
        <f>Saud!F2968</f>
        <v/>
      </c>
      <c r="B2968" s="133" t="str">
        <f>Saud!E2968</f>
        <v/>
      </c>
      <c r="C2968" s="133" t="str">
        <f>Saud!C2968</f>
        <v/>
      </c>
    </row>
    <row r="2969">
      <c r="A2969" s="133" t="str">
        <f>Saud!F2969</f>
        <v/>
      </c>
      <c r="B2969" s="133" t="str">
        <f>Saud!E2969</f>
        <v/>
      </c>
      <c r="C2969" s="133" t="str">
        <f>Saud!C2969</f>
        <v/>
      </c>
    </row>
    <row r="2970">
      <c r="A2970" s="133" t="str">
        <f>Saud!F2970</f>
        <v/>
      </c>
      <c r="B2970" s="133" t="str">
        <f>Saud!E2970</f>
        <v/>
      </c>
      <c r="C2970" s="133" t="str">
        <f>Saud!C2970</f>
        <v/>
      </c>
    </row>
    <row r="2971">
      <c r="A2971" s="133" t="str">
        <f>Saud!F2971</f>
        <v/>
      </c>
      <c r="B2971" s="133" t="str">
        <f>Saud!E2971</f>
        <v/>
      </c>
      <c r="C2971" s="133" t="str">
        <f>Saud!C2971</f>
        <v/>
      </c>
    </row>
    <row r="2972">
      <c r="A2972" s="133" t="str">
        <f>Saud!F2972</f>
        <v/>
      </c>
      <c r="B2972" s="133" t="str">
        <f>Saud!E2972</f>
        <v/>
      </c>
      <c r="C2972" s="133" t="str">
        <f>Saud!C2972</f>
        <v/>
      </c>
    </row>
    <row r="2973">
      <c r="A2973" s="133" t="str">
        <f>Saud!F2973</f>
        <v/>
      </c>
      <c r="B2973" s="133" t="str">
        <f>Saud!E2973</f>
        <v/>
      </c>
      <c r="C2973" s="133" t="str">
        <f>Saud!C2973</f>
        <v/>
      </c>
    </row>
    <row r="2974">
      <c r="A2974" s="133" t="str">
        <f>Saud!F2974</f>
        <v/>
      </c>
      <c r="B2974" s="133" t="str">
        <f>Saud!E2974</f>
        <v/>
      </c>
      <c r="C2974" s="133" t="str">
        <f>Saud!C2974</f>
        <v/>
      </c>
    </row>
    <row r="2975">
      <c r="A2975" s="133" t="str">
        <f>Saud!F2975</f>
        <v/>
      </c>
      <c r="B2975" s="133" t="str">
        <f>Saud!E2975</f>
        <v/>
      </c>
      <c r="C2975" s="133" t="str">
        <f>Saud!C2975</f>
        <v/>
      </c>
    </row>
    <row r="2976">
      <c r="A2976" s="133" t="str">
        <f>Saud!F2976</f>
        <v/>
      </c>
      <c r="B2976" s="133" t="str">
        <f>Saud!E2976</f>
        <v/>
      </c>
      <c r="C2976" s="133" t="str">
        <f>Saud!C2976</f>
        <v/>
      </c>
    </row>
    <row r="2977">
      <c r="A2977" s="133" t="str">
        <f>Saud!F2977</f>
        <v/>
      </c>
      <c r="B2977" s="133" t="str">
        <f>Saud!E2977</f>
        <v/>
      </c>
      <c r="C2977" s="133" t="str">
        <f>Saud!C2977</f>
        <v/>
      </c>
    </row>
    <row r="2978">
      <c r="A2978" s="133" t="str">
        <f>Saud!F2978</f>
        <v/>
      </c>
      <c r="B2978" s="133" t="str">
        <f>Saud!E2978</f>
        <v/>
      </c>
      <c r="C2978" s="133" t="str">
        <f>Saud!C2978</f>
        <v/>
      </c>
    </row>
    <row r="2979">
      <c r="A2979" s="133" t="str">
        <f>Saud!F2979</f>
        <v/>
      </c>
      <c r="B2979" s="133" t="str">
        <f>Saud!E2979</f>
        <v/>
      </c>
      <c r="C2979" s="133" t="str">
        <f>Saud!C2979</f>
        <v/>
      </c>
    </row>
    <row r="2980">
      <c r="A2980" s="133" t="str">
        <f>Saud!F2980</f>
        <v/>
      </c>
      <c r="B2980" s="133" t="str">
        <f>Saud!E2980</f>
        <v/>
      </c>
      <c r="C2980" s="133" t="str">
        <f>Saud!C2980</f>
        <v/>
      </c>
    </row>
    <row r="2981">
      <c r="A2981" s="133" t="str">
        <f>Saud!F2981</f>
        <v/>
      </c>
      <c r="B2981" s="133" t="str">
        <f>Saud!E2981</f>
        <v/>
      </c>
      <c r="C2981" s="133" t="str">
        <f>Saud!C2981</f>
        <v/>
      </c>
    </row>
    <row r="2982">
      <c r="A2982" s="133" t="str">
        <f>Saud!F2982</f>
        <v/>
      </c>
      <c r="B2982" s="133" t="str">
        <f>Saud!E2982</f>
        <v/>
      </c>
      <c r="C2982" s="133" t="str">
        <f>Saud!C2982</f>
        <v/>
      </c>
    </row>
    <row r="2983">
      <c r="A2983" s="133" t="str">
        <f>Saud!F2983</f>
        <v/>
      </c>
      <c r="B2983" s="133" t="str">
        <f>Saud!E2983</f>
        <v/>
      </c>
      <c r="C2983" s="133" t="str">
        <f>Saud!C2983</f>
        <v/>
      </c>
    </row>
    <row r="2984">
      <c r="A2984" s="133" t="str">
        <f>Saud!F2984</f>
        <v/>
      </c>
      <c r="B2984" s="133" t="str">
        <f>Saud!E2984</f>
        <v/>
      </c>
      <c r="C2984" s="133" t="str">
        <f>Saud!C2984</f>
        <v/>
      </c>
    </row>
    <row r="2985">
      <c r="A2985" s="133" t="str">
        <f>Saud!F2985</f>
        <v/>
      </c>
      <c r="B2985" s="133" t="str">
        <f>Saud!E2985</f>
        <v/>
      </c>
      <c r="C2985" s="133" t="str">
        <f>Saud!C2985</f>
        <v/>
      </c>
    </row>
    <row r="2986">
      <c r="A2986" s="133" t="str">
        <f>Saud!F2986</f>
        <v/>
      </c>
      <c r="B2986" s="133" t="str">
        <f>Saud!E2986</f>
        <v/>
      </c>
      <c r="C2986" s="133" t="str">
        <f>Saud!C2986</f>
        <v/>
      </c>
    </row>
    <row r="2987">
      <c r="A2987" s="133" t="str">
        <f>Saud!F2987</f>
        <v/>
      </c>
      <c r="B2987" s="133" t="str">
        <f>Saud!E2987</f>
        <v/>
      </c>
      <c r="C2987" s="133" t="str">
        <f>Saud!C2987</f>
        <v/>
      </c>
    </row>
    <row r="2988">
      <c r="A2988" s="133" t="str">
        <f>Saud!F2988</f>
        <v/>
      </c>
      <c r="B2988" s="133" t="str">
        <f>Saud!E2988</f>
        <v/>
      </c>
      <c r="C2988" s="133" t="str">
        <f>Saud!C2988</f>
        <v/>
      </c>
    </row>
    <row r="2989">
      <c r="A2989" s="133" t="str">
        <f>Saud!F2989</f>
        <v/>
      </c>
      <c r="B2989" s="133" t="str">
        <f>Saud!E2989</f>
        <v/>
      </c>
      <c r="C2989" s="133" t="str">
        <f>Saud!C2989</f>
        <v/>
      </c>
    </row>
    <row r="2990">
      <c r="A2990" s="133" t="str">
        <f>Saud!F2990</f>
        <v/>
      </c>
      <c r="B2990" s="133" t="str">
        <f>Saud!E2990</f>
        <v/>
      </c>
      <c r="C2990" s="133" t="str">
        <f>Saud!C2990</f>
        <v/>
      </c>
    </row>
    <row r="2991">
      <c r="A2991" s="133" t="str">
        <f>Saud!F2991</f>
        <v/>
      </c>
      <c r="B2991" s="133" t="str">
        <f>Saud!E2991</f>
        <v/>
      </c>
      <c r="C2991" s="133" t="str">
        <f>Saud!C2991</f>
        <v/>
      </c>
    </row>
    <row r="2992">
      <c r="A2992" s="133" t="str">
        <f>Saud!F2992</f>
        <v/>
      </c>
      <c r="B2992" s="133" t="str">
        <f>Saud!E2992</f>
        <v/>
      </c>
      <c r="C2992" s="133" t="str">
        <f>Saud!C2992</f>
        <v/>
      </c>
    </row>
    <row r="2993">
      <c r="A2993" s="133" t="str">
        <f>Saud!F2993</f>
        <v/>
      </c>
      <c r="B2993" s="133" t="str">
        <f>Saud!E2993</f>
        <v/>
      </c>
      <c r="C2993" s="133" t="str">
        <f>Saud!C2993</f>
        <v/>
      </c>
    </row>
    <row r="2994">
      <c r="A2994" s="133" t="str">
        <f>Saud!F2994</f>
        <v/>
      </c>
      <c r="B2994" s="133" t="str">
        <f>Saud!E2994</f>
        <v/>
      </c>
      <c r="C2994" s="133" t="str">
        <f>Saud!C2994</f>
        <v/>
      </c>
    </row>
    <row r="2995">
      <c r="A2995" s="133" t="str">
        <f>Saud!F2995</f>
        <v/>
      </c>
      <c r="B2995" s="133" t="str">
        <f>Saud!E2995</f>
        <v/>
      </c>
      <c r="C2995" s="133" t="str">
        <f>Saud!C2995</f>
        <v/>
      </c>
    </row>
    <row r="2996">
      <c r="A2996" s="133" t="str">
        <f>Saud!F2996</f>
        <v/>
      </c>
      <c r="B2996" s="133" t="str">
        <f>Saud!E2996</f>
        <v/>
      </c>
      <c r="C2996" s="133" t="str">
        <f>Saud!C2996</f>
        <v/>
      </c>
    </row>
    <row r="2997">
      <c r="A2997" s="133" t="str">
        <f>Saud!F2997</f>
        <v/>
      </c>
      <c r="B2997" s="133" t="str">
        <f>Saud!E2997</f>
        <v/>
      </c>
      <c r="C2997" s="133" t="str">
        <f>Saud!C2997</f>
        <v/>
      </c>
    </row>
    <row r="2998">
      <c r="A2998" s="133" t="str">
        <f>Saud!F2998</f>
        <v/>
      </c>
      <c r="B2998" s="133" t="str">
        <f>Saud!E2998</f>
        <v/>
      </c>
      <c r="C2998" s="133" t="str">
        <f>Saud!C2998</f>
        <v/>
      </c>
    </row>
    <row r="2999">
      <c r="A2999" s="133" t="str">
        <f>Saud!F2999</f>
        <v/>
      </c>
      <c r="B2999" s="133" t="str">
        <f>Saud!E2999</f>
        <v/>
      </c>
      <c r="C2999" s="133" t="str">
        <f>Saud!C2999</f>
        <v/>
      </c>
    </row>
    <row r="3000">
      <c r="A3000" s="133" t="str">
        <f>Saud!F3000</f>
        <v/>
      </c>
      <c r="B3000" s="133" t="str">
        <f>Saud!E3000</f>
        <v/>
      </c>
      <c r="C3000" s="133" t="str">
        <f>Saud!C3000</f>
        <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33" t="s">
        <v>2600</v>
      </c>
      <c r="B1" s="234" t="s">
        <v>3490</v>
      </c>
      <c r="C1" s="235" t="s">
        <v>3491</v>
      </c>
      <c r="D1" s="236"/>
      <c r="E1" s="235" t="s">
        <v>1294</v>
      </c>
      <c r="F1" s="233" t="s">
        <v>2585</v>
      </c>
      <c r="G1" s="235" t="s">
        <v>3492</v>
      </c>
      <c r="H1" s="233" t="s">
        <v>3493</v>
      </c>
      <c r="I1" s="237"/>
      <c r="J1" s="237"/>
      <c r="K1" s="234" t="s">
        <v>3490</v>
      </c>
      <c r="L1" s="237"/>
      <c r="M1" s="237"/>
      <c r="N1" s="237"/>
      <c r="O1" s="237"/>
      <c r="P1" s="237"/>
      <c r="Q1" s="237"/>
      <c r="R1" s="237"/>
      <c r="S1" s="237"/>
      <c r="T1" s="237"/>
      <c r="U1" s="237"/>
      <c r="V1" s="237"/>
      <c r="W1" s="237"/>
      <c r="X1" s="237"/>
      <c r="Y1" s="237"/>
      <c r="Z1" s="237"/>
      <c r="AA1" s="237"/>
      <c r="AB1" s="237"/>
    </row>
    <row r="2">
      <c r="A2" s="238">
        <v>1.0</v>
      </c>
      <c r="B2" s="239" t="s">
        <v>3494</v>
      </c>
      <c r="C2" s="240" t="s">
        <v>3495</v>
      </c>
      <c r="D2" s="236"/>
      <c r="E2" s="240" t="s">
        <v>3496</v>
      </c>
      <c r="F2" s="240" t="s">
        <v>3497</v>
      </c>
      <c r="G2" s="238" t="s">
        <v>3498</v>
      </c>
      <c r="H2" s="236"/>
      <c r="I2" s="236"/>
      <c r="J2" s="238" t="s">
        <v>3499</v>
      </c>
      <c r="K2" s="239" t="s">
        <v>3494</v>
      </c>
      <c r="L2" s="237"/>
      <c r="M2" s="237"/>
      <c r="N2" s="237"/>
      <c r="O2" s="237"/>
      <c r="P2" s="237"/>
      <c r="Q2" s="237"/>
      <c r="R2" s="237"/>
      <c r="S2" s="237"/>
      <c r="T2" s="237"/>
      <c r="U2" s="237"/>
      <c r="V2" s="237"/>
      <c r="W2" s="237"/>
      <c r="X2" s="237"/>
      <c r="Y2" s="237"/>
      <c r="Z2" s="237"/>
      <c r="AA2" s="237"/>
      <c r="AB2" s="237"/>
    </row>
    <row r="3">
      <c r="A3" s="238">
        <v>2.0</v>
      </c>
      <c r="B3" s="239" t="s">
        <v>3500</v>
      </c>
      <c r="C3" s="240" t="s">
        <v>3501</v>
      </c>
      <c r="D3" s="236"/>
      <c r="E3" s="240" t="s">
        <v>3496</v>
      </c>
      <c r="F3" s="240" t="s">
        <v>3502</v>
      </c>
      <c r="G3" s="238" t="s">
        <v>3503</v>
      </c>
      <c r="H3" s="236"/>
      <c r="I3" s="236"/>
      <c r="J3" s="238" t="s">
        <v>3504</v>
      </c>
      <c r="K3" s="239" t="s">
        <v>3500</v>
      </c>
      <c r="L3" s="237"/>
      <c r="M3" s="237"/>
      <c r="N3" s="237"/>
      <c r="O3" s="237"/>
      <c r="P3" s="237"/>
      <c r="Q3" s="237"/>
      <c r="R3" s="237"/>
      <c r="S3" s="237"/>
      <c r="T3" s="237"/>
      <c r="U3" s="237"/>
      <c r="V3" s="237"/>
      <c r="W3" s="237"/>
      <c r="X3" s="237"/>
      <c r="Y3" s="237"/>
      <c r="Z3" s="237"/>
      <c r="AA3" s="237"/>
      <c r="AB3" s="237"/>
    </row>
    <row r="4">
      <c r="A4" s="238">
        <v>3.0</v>
      </c>
      <c r="B4" s="239" t="s">
        <v>3505</v>
      </c>
      <c r="C4" s="240" t="s">
        <v>3506</v>
      </c>
      <c r="D4" s="236"/>
      <c r="E4" s="240" t="s">
        <v>3496</v>
      </c>
      <c r="F4" s="240" t="s">
        <v>3507</v>
      </c>
      <c r="G4" s="238" t="s">
        <v>3508</v>
      </c>
      <c r="H4" s="236"/>
      <c r="I4" s="236"/>
      <c r="J4" s="238" t="s">
        <v>3499</v>
      </c>
      <c r="K4" s="239" t="s">
        <v>3505</v>
      </c>
      <c r="L4" s="237"/>
      <c r="M4" s="237"/>
      <c r="N4" s="237"/>
      <c r="O4" s="237"/>
      <c r="P4" s="237"/>
      <c r="Q4" s="237"/>
      <c r="R4" s="237"/>
      <c r="S4" s="237"/>
      <c r="T4" s="237"/>
      <c r="U4" s="237"/>
      <c r="V4" s="237"/>
      <c r="W4" s="237"/>
      <c r="X4" s="237"/>
      <c r="Y4" s="237"/>
      <c r="Z4" s="237"/>
      <c r="AA4" s="237"/>
      <c r="AB4" s="237"/>
    </row>
    <row r="5">
      <c r="A5" s="238">
        <v>4.0</v>
      </c>
      <c r="B5" s="239" t="s">
        <v>3509</v>
      </c>
      <c r="C5" s="240" t="s">
        <v>3510</v>
      </c>
      <c r="D5" s="236"/>
      <c r="E5" s="240" t="s">
        <v>3511</v>
      </c>
      <c r="F5" s="240" t="s">
        <v>3512</v>
      </c>
      <c r="G5" s="238" t="s">
        <v>3513</v>
      </c>
      <c r="H5" s="240" t="s">
        <v>3514</v>
      </c>
      <c r="I5" s="236"/>
      <c r="J5" s="238" t="s">
        <v>3515</v>
      </c>
      <c r="K5" s="239" t="s">
        <v>3509</v>
      </c>
      <c r="L5" s="237"/>
      <c r="M5" s="237"/>
      <c r="N5" s="237"/>
      <c r="O5" s="237"/>
      <c r="P5" s="237"/>
      <c r="Q5" s="237"/>
      <c r="R5" s="237"/>
      <c r="S5" s="237"/>
      <c r="T5" s="237"/>
      <c r="U5" s="237"/>
      <c r="V5" s="237"/>
      <c r="W5" s="237"/>
      <c r="X5" s="237"/>
      <c r="Y5" s="237"/>
      <c r="Z5" s="237"/>
      <c r="AA5" s="237"/>
      <c r="AB5" s="237"/>
    </row>
    <row r="6">
      <c r="A6" s="238">
        <v>5.0</v>
      </c>
      <c r="B6" s="239" t="s">
        <v>3516</v>
      </c>
      <c r="C6" s="240" t="s">
        <v>3517</v>
      </c>
      <c r="D6" s="236"/>
      <c r="E6" s="240" t="s">
        <v>3511</v>
      </c>
      <c r="F6" s="240" t="s">
        <v>3518</v>
      </c>
      <c r="G6" s="238" t="s">
        <v>3519</v>
      </c>
      <c r="H6" s="240" t="s">
        <v>3520</v>
      </c>
      <c r="I6" s="236"/>
      <c r="J6" s="238" t="s">
        <v>3515</v>
      </c>
      <c r="K6" s="239" t="s">
        <v>3516</v>
      </c>
      <c r="L6" s="237"/>
      <c r="M6" s="237"/>
      <c r="N6" s="237"/>
      <c r="O6" s="237"/>
      <c r="P6" s="237"/>
      <c r="Q6" s="237"/>
      <c r="R6" s="237"/>
      <c r="S6" s="237"/>
      <c r="T6" s="237"/>
      <c r="U6" s="237"/>
      <c r="V6" s="237"/>
      <c r="W6" s="237"/>
      <c r="X6" s="237"/>
      <c r="Y6" s="237"/>
      <c r="Z6" s="237"/>
      <c r="AA6" s="237"/>
      <c r="AB6" s="237"/>
    </row>
    <row r="7">
      <c r="A7" s="238">
        <v>6.0</v>
      </c>
      <c r="B7" s="239" t="s">
        <v>3521</v>
      </c>
      <c r="C7" s="240" t="s">
        <v>3522</v>
      </c>
      <c r="D7" s="236"/>
      <c r="E7" s="240" t="s">
        <v>3511</v>
      </c>
      <c r="F7" s="240" t="s">
        <v>2489</v>
      </c>
      <c r="G7" s="238" t="s">
        <v>3523</v>
      </c>
      <c r="H7" s="240" t="s">
        <v>3524</v>
      </c>
      <c r="I7" s="236"/>
      <c r="J7" s="238" t="s">
        <v>3515</v>
      </c>
      <c r="K7" s="239" t="s">
        <v>3521</v>
      </c>
      <c r="L7" s="237"/>
      <c r="M7" s="237"/>
      <c r="N7" s="237"/>
      <c r="O7" s="237"/>
      <c r="P7" s="237"/>
      <c r="Q7" s="237"/>
      <c r="R7" s="237"/>
      <c r="S7" s="237"/>
      <c r="T7" s="237"/>
      <c r="U7" s="237"/>
      <c r="V7" s="237"/>
      <c r="W7" s="237"/>
      <c r="X7" s="237"/>
      <c r="Y7" s="237"/>
      <c r="Z7" s="237"/>
      <c r="AA7" s="237"/>
      <c r="AB7" s="237"/>
    </row>
    <row r="8">
      <c r="A8" s="238">
        <v>7.0</v>
      </c>
      <c r="B8" s="239" t="s">
        <v>3525</v>
      </c>
      <c r="C8" s="240" t="s">
        <v>3526</v>
      </c>
      <c r="D8" s="236"/>
      <c r="E8" s="240" t="s">
        <v>3511</v>
      </c>
      <c r="F8" s="240" t="s">
        <v>3527</v>
      </c>
      <c r="G8" s="238" t="s">
        <v>3528</v>
      </c>
      <c r="H8" s="240" t="s">
        <v>3529</v>
      </c>
      <c r="I8" s="236"/>
      <c r="J8" s="238" t="s">
        <v>3515</v>
      </c>
      <c r="K8" s="239" t="s">
        <v>3525</v>
      </c>
      <c r="L8" s="237"/>
      <c r="M8" s="237"/>
      <c r="N8" s="237"/>
      <c r="O8" s="237"/>
      <c r="P8" s="237"/>
      <c r="Q8" s="237"/>
      <c r="R8" s="237"/>
      <c r="S8" s="237"/>
      <c r="T8" s="237"/>
      <c r="U8" s="237"/>
      <c r="V8" s="237"/>
      <c r="W8" s="237"/>
      <c r="X8" s="237"/>
      <c r="Y8" s="237"/>
      <c r="Z8" s="237"/>
      <c r="AA8" s="237"/>
      <c r="AB8" s="237"/>
    </row>
    <row r="9">
      <c r="A9" s="238">
        <v>8.0</v>
      </c>
      <c r="B9" s="239" t="s">
        <v>3530</v>
      </c>
      <c r="C9" s="240" t="s">
        <v>3531</v>
      </c>
      <c r="D9" s="236"/>
      <c r="E9" s="240" t="s">
        <v>3511</v>
      </c>
      <c r="F9" s="240" t="s">
        <v>3532</v>
      </c>
      <c r="G9" s="238" t="s">
        <v>3533</v>
      </c>
      <c r="H9" s="240" t="s">
        <v>3534</v>
      </c>
      <c r="I9" s="236"/>
      <c r="J9" s="238" t="s">
        <v>3515</v>
      </c>
      <c r="K9" s="239" t="s">
        <v>3530</v>
      </c>
      <c r="L9" s="237"/>
      <c r="M9" s="237"/>
      <c r="N9" s="237"/>
      <c r="O9" s="237"/>
      <c r="P9" s="237"/>
      <c r="Q9" s="237"/>
      <c r="R9" s="237"/>
      <c r="S9" s="237"/>
      <c r="T9" s="237"/>
      <c r="U9" s="237"/>
      <c r="V9" s="237"/>
      <c r="W9" s="237"/>
      <c r="X9" s="237"/>
      <c r="Y9" s="237"/>
      <c r="Z9" s="237"/>
      <c r="AA9" s="237"/>
      <c r="AB9" s="237"/>
    </row>
    <row r="10">
      <c r="A10" s="238">
        <v>9.0</v>
      </c>
      <c r="B10" s="239" t="s">
        <v>3535</v>
      </c>
      <c r="C10" s="240" t="s">
        <v>3536</v>
      </c>
      <c r="D10" s="236"/>
      <c r="E10" s="240" t="s">
        <v>3511</v>
      </c>
      <c r="F10" s="240" t="s">
        <v>3537</v>
      </c>
      <c r="G10" s="238" t="s">
        <v>3538</v>
      </c>
      <c r="H10" s="240" t="s">
        <v>3539</v>
      </c>
      <c r="I10" s="236"/>
      <c r="J10" s="238" t="s">
        <v>3515</v>
      </c>
      <c r="K10" s="239" t="s">
        <v>3535</v>
      </c>
      <c r="L10" s="237"/>
      <c r="M10" s="237"/>
      <c r="N10" s="237"/>
      <c r="O10" s="237"/>
      <c r="P10" s="237"/>
      <c r="Q10" s="237"/>
      <c r="R10" s="237"/>
      <c r="S10" s="237"/>
      <c r="T10" s="237"/>
      <c r="U10" s="237"/>
      <c r="V10" s="237"/>
      <c r="W10" s="237"/>
      <c r="X10" s="237"/>
      <c r="Y10" s="237"/>
      <c r="Z10" s="237"/>
      <c r="AA10" s="237"/>
      <c r="AB10" s="237"/>
    </row>
    <row r="11">
      <c r="A11" s="238">
        <v>10.0</v>
      </c>
      <c r="B11" s="239" t="s">
        <v>3540</v>
      </c>
      <c r="C11" s="240" t="s">
        <v>3541</v>
      </c>
      <c r="D11" s="236"/>
      <c r="E11" s="240" t="s">
        <v>3511</v>
      </c>
      <c r="F11" s="241" t="s">
        <v>3542</v>
      </c>
      <c r="G11" s="238" t="s">
        <v>3543</v>
      </c>
      <c r="H11" s="240" t="s">
        <v>3544</v>
      </c>
      <c r="I11" s="236"/>
      <c r="J11" s="238" t="s">
        <v>3545</v>
      </c>
      <c r="K11" s="239" t="s">
        <v>3540</v>
      </c>
      <c r="L11" s="237"/>
      <c r="M11" s="237"/>
      <c r="N11" s="237"/>
      <c r="O11" s="237"/>
      <c r="P11" s="237"/>
      <c r="Q11" s="237"/>
      <c r="R11" s="237"/>
      <c r="S11" s="237"/>
      <c r="T11" s="237"/>
      <c r="U11" s="237"/>
      <c r="V11" s="237"/>
      <c r="W11" s="237"/>
      <c r="X11" s="237"/>
      <c r="Y11" s="237"/>
      <c r="Z11" s="237"/>
      <c r="AA11" s="237"/>
      <c r="AB11" s="237"/>
    </row>
    <row r="12">
      <c r="A12" s="238">
        <v>11.0</v>
      </c>
      <c r="B12" s="239" t="s">
        <v>3546</v>
      </c>
      <c r="C12" s="240" t="s">
        <v>3547</v>
      </c>
      <c r="D12" s="236"/>
      <c r="E12" s="240" t="s">
        <v>3511</v>
      </c>
      <c r="F12" s="241" t="s">
        <v>3548</v>
      </c>
      <c r="G12" s="238" t="s">
        <v>3549</v>
      </c>
      <c r="H12" s="240" t="s">
        <v>3550</v>
      </c>
      <c r="I12" s="236"/>
      <c r="J12" s="238" t="s">
        <v>3545</v>
      </c>
      <c r="K12" s="239" t="s">
        <v>3546</v>
      </c>
      <c r="L12" s="237"/>
      <c r="M12" s="237"/>
      <c r="N12" s="237"/>
      <c r="O12" s="237"/>
      <c r="P12" s="237"/>
      <c r="Q12" s="237"/>
      <c r="R12" s="237"/>
      <c r="S12" s="237"/>
      <c r="T12" s="237"/>
      <c r="U12" s="237"/>
      <c r="V12" s="237"/>
      <c r="W12" s="237"/>
      <c r="X12" s="237"/>
      <c r="Y12" s="237"/>
      <c r="Z12" s="237"/>
      <c r="AA12" s="237"/>
      <c r="AB12" s="237"/>
    </row>
    <row r="13">
      <c r="A13" s="238">
        <v>12.0</v>
      </c>
      <c r="B13" s="239" t="s">
        <v>3551</v>
      </c>
      <c r="C13" s="240" t="s">
        <v>3552</v>
      </c>
      <c r="D13" s="236"/>
      <c r="E13" s="240" t="s">
        <v>3511</v>
      </c>
      <c r="F13" s="241" t="s">
        <v>3553</v>
      </c>
      <c r="G13" s="238" t="s">
        <v>3554</v>
      </c>
      <c r="H13" s="240" t="s">
        <v>3555</v>
      </c>
      <c r="I13" s="236"/>
      <c r="J13" s="238" t="s">
        <v>3545</v>
      </c>
      <c r="K13" s="239" t="s">
        <v>3551</v>
      </c>
      <c r="L13" s="237"/>
      <c r="M13" s="237"/>
      <c r="N13" s="237"/>
      <c r="O13" s="237"/>
      <c r="P13" s="237"/>
      <c r="Q13" s="237"/>
      <c r="R13" s="237"/>
      <c r="S13" s="237"/>
      <c r="T13" s="237"/>
      <c r="U13" s="237"/>
      <c r="V13" s="237"/>
      <c r="W13" s="237"/>
      <c r="X13" s="237"/>
      <c r="Y13" s="237"/>
      <c r="Z13" s="237"/>
      <c r="AA13" s="237"/>
      <c r="AB13" s="237"/>
    </row>
    <row r="14">
      <c r="A14" s="238">
        <v>13.0</v>
      </c>
      <c r="B14" s="239" t="s">
        <v>3556</v>
      </c>
      <c r="C14" s="240" t="s">
        <v>3557</v>
      </c>
      <c r="D14" s="236"/>
      <c r="E14" s="240" t="s">
        <v>3511</v>
      </c>
      <c r="F14" s="240" t="s">
        <v>3558</v>
      </c>
      <c r="G14" s="238" t="s">
        <v>3559</v>
      </c>
      <c r="H14" s="240" t="s">
        <v>3560</v>
      </c>
      <c r="I14" s="236"/>
      <c r="J14" s="238" t="s">
        <v>3545</v>
      </c>
      <c r="K14" s="239" t="s">
        <v>3556</v>
      </c>
      <c r="L14" s="237"/>
      <c r="M14" s="237"/>
      <c r="N14" s="237"/>
      <c r="O14" s="237"/>
      <c r="P14" s="237"/>
      <c r="Q14" s="237"/>
      <c r="R14" s="237"/>
      <c r="S14" s="237"/>
      <c r="T14" s="237"/>
      <c r="U14" s="237"/>
      <c r="V14" s="237"/>
      <c r="W14" s="237"/>
      <c r="X14" s="237"/>
      <c r="Y14" s="237"/>
      <c r="Z14" s="237"/>
      <c r="AA14" s="237"/>
      <c r="AB14" s="237"/>
    </row>
    <row r="15">
      <c r="A15" s="238">
        <v>14.0</v>
      </c>
      <c r="B15" s="239" t="s">
        <v>3561</v>
      </c>
      <c r="C15" s="240" t="s">
        <v>3562</v>
      </c>
      <c r="D15" s="236"/>
      <c r="E15" s="240" t="s">
        <v>3511</v>
      </c>
      <c r="F15" s="240" t="s">
        <v>3563</v>
      </c>
      <c r="G15" s="238" t="s">
        <v>3564</v>
      </c>
      <c r="H15" s="240" t="s">
        <v>3565</v>
      </c>
      <c r="I15" s="236"/>
      <c r="J15" s="238" t="s">
        <v>3545</v>
      </c>
      <c r="K15" s="239" t="s">
        <v>3561</v>
      </c>
      <c r="L15" s="237"/>
      <c r="M15" s="237"/>
      <c r="N15" s="237"/>
      <c r="O15" s="237"/>
      <c r="P15" s="237"/>
      <c r="Q15" s="237"/>
      <c r="R15" s="237"/>
      <c r="S15" s="237"/>
      <c r="T15" s="237"/>
      <c r="U15" s="237"/>
      <c r="V15" s="237"/>
      <c r="W15" s="237"/>
      <c r="X15" s="237"/>
      <c r="Y15" s="237"/>
      <c r="Z15" s="237"/>
      <c r="AA15" s="237"/>
      <c r="AB15" s="237"/>
    </row>
    <row r="16">
      <c r="A16" s="238">
        <v>15.0</v>
      </c>
      <c r="B16" s="239" t="s">
        <v>3566</v>
      </c>
      <c r="C16" s="240" t="s">
        <v>3567</v>
      </c>
      <c r="D16" s="236"/>
      <c r="E16" s="240" t="s">
        <v>3511</v>
      </c>
      <c r="F16" s="240" t="s">
        <v>2265</v>
      </c>
      <c r="G16" s="238" t="s">
        <v>3568</v>
      </c>
      <c r="H16" s="240" t="s">
        <v>3569</v>
      </c>
      <c r="I16" s="236"/>
      <c r="J16" s="238" t="s">
        <v>3545</v>
      </c>
      <c r="K16" s="239" t="s">
        <v>3566</v>
      </c>
      <c r="L16" s="237"/>
      <c r="M16" s="237"/>
      <c r="N16" s="237"/>
      <c r="O16" s="237"/>
      <c r="P16" s="237"/>
      <c r="Q16" s="237"/>
      <c r="R16" s="237"/>
      <c r="S16" s="237"/>
      <c r="T16" s="237"/>
      <c r="U16" s="237"/>
      <c r="V16" s="237"/>
      <c r="W16" s="237"/>
      <c r="X16" s="237"/>
      <c r="Y16" s="237"/>
      <c r="Z16" s="237"/>
      <c r="AA16" s="237"/>
      <c r="AB16" s="237"/>
    </row>
    <row r="17">
      <c r="A17" s="238">
        <v>16.0</v>
      </c>
      <c r="B17" s="239" t="s">
        <v>3570</v>
      </c>
      <c r="C17" s="240" t="s">
        <v>3571</v>
      </c>
      <c r="D17" s="236"/>
      <c r="E17" s="240" t="s">
        <v>3511</v>
      </c>
      <c r="F17" s="240" t="s">
        <v>3572</v>
      </c>
      <c r="G17" s="238" t="s">
        <v>3573</v>
      </c>
      <c r="H17" s="240" t="s">
        <v>3574</v>
      </c>
      <c r="I17" s="236"/>
      <c r="J17" s="238" t="s">
        <v>3515</v>
      </c>
      <c r="K17" s="239" t="s">
        <v>3570</v>
      </c>
      <c r="L17" s="237"/>
      <c r="M17" s="237"/>
      <c r="N17" s="237"/>
      <c r="O17" s="237"/>
      <c r="P17" s="237"/>
      <c r="Q17" s="237"/>
      <c r="R17" s="237"/>
      <c r="S17" s="237"/>
      <c r="T17" s="237"/>
      <c r="U17" s="237"/>
      <c r="V17" s="237"/>
      <c r="W17" s="237"/>
      <c r="X17" s="237"/>
      <c r="Y17" s="237"/>
      <c r="Z17" s="237"/>
      <c r="AA17" s="237"/>
      <c r="AB17" s="237"/>
    </row>
    <row r="18">
      <c r="A18" s="238">
        <v>17.0</v>
      </c>
      <c r="B18" s="239" t="s">
        <v>3575</v>
      </c>
      <c r="C18" s="240" t="s">
        <v>3576</v>
      </c>
      <c r="D18" s="236"/>
      <c r="E18" s="240" t="s">
        <v>3511</v>
      </c>
      <c r="F18" s="237"/>
      <c r="G18" s="238" t="s">
        <v>3577</v>
      </c>
      <c r="H18" s="240" t="s">
        <v>3578</v>
      </c>
      <c r="I18" s="236"/>
      <c r="J18" s="238" t="s">
        <v>3515</v>
      </c>
      <c r="K18" s="239" t="s">
        <v>3575</v>
      </c>
      <c r="L18" s="237"/>
      <c r="M18" s="237"/>
      <c r="N18" s="237"/>
      <c r="O18" s="237"/>
      <c r="P18" s="237"/>
      <c r="Q18" s="237"/>
      <c r="R18" s="237"/>
      <c r="S18" s="237"/>
      <c r="T18" s="237"/>
      <c r="U18" s="237"/>
      <c r="V18" s="237"/>
      <c r="W18" s="237"/>
      <c r="X18" s="237"/>
      <c r="Y18" s="237"/>
      <c r="Z18" s="237"/>
      <c r="AA18" s="237"/>
      <c r="AB18" s="237"/>
    </row>
    <row r="19">
      <c r="A19" s="238">
        <v>18.0</v>
      </c>
      <c r="B19" s="239" t="s">
        <v>3579</v>
      </c>
      <c r="C19" s="240" t="s">
        <v>3580</v>
      </c>
      <c r="D19" s="236"/>
      <c r="E19" s="240" t="s">
        <v>3511</v>
      </c>
      <c r="F19" s="240" t="s">
        <v>3581</v>
      </c>
      <c r="G19" s="238" t="s">
        <v>3582</v>
      </c>
      <c r="H19" s="241" t="s">
        <v>3583</v>
      </c>
      <c r="I19" s="236"/>
      <c r="J19" s="238" t="s">
        <v>3515</v>
      </c>
      <c r="K19" s="239" t="s">
        <v>3579</v>
      </c>
      <c r="L19" s="237"/>
      <c r="M19" s="237"/>
      <c r="N19" s="237"/>
      <c r="O19" s="237"/>
      <c r="P19" s="237"/>
      <c r="Q19" s="237"/>
      <c r="R19" s="237"/>
      <c r="S19" s="237"/>
      <c r="T19" s="237"/>
      <c r="U19" s="237"/>
      <c r="V19" s="237"/>
      <c r="W19" s="237"/>
      <c r="X19" s="237"/>
      <c r="Y19" s="237"/>
      <c r="Z19" s="237"/>
      <c r="AA19" s="237"/>
      <c r="AB19" s="237"/>
    </row>
    <row r="20">
      <c r="A20" s="238">
        <v>19.0</v>
      </c>
      <c r="B20" s="239" t="s">
        <v>3584</v>
      </c>
      <c r="C20" s="240" t="s">
        <v>3585</v>
      </c>
      <c r="D20" s="236"/>
      <c r="E20" s="240" t="s">
        <v>3511</v>
      </c>
      <c r="F20" s="240" t="s">
        <v>3586</v>
      </c>
      <c r="G20" s="238" t="s">
        <v>3587</v>
      </c>
      <c r="H20" s="240" t="s">
        <v>3588</v>
      </c>
      <c r="I20" s="236"/>
      <c r="J20" s="238" t="s">
        <v>3515</v>
      </c>
      <c r="K20" s="239" t="s">
        <v>3584</v>
      </c>
      <c r="L20" s="237"/>
      <c r="M20" s="237"/>
      <c r="N20" s="237"/>
      <c r="O20" s="237"/>
      <c r="P20" s="237"/>
      <c r="Q20" s="237"/>
      <c r="R20" s="237"/>
      <c r="S20" s="237"/>
      <c r="T20" s="237"/>
      <c r="U20" s="237"/>
      <c r="V20" s="237"/>
      <c r="W20" s="237"/>
      <c r="X20" s="237"/>
      <c r="Y20" s="237"/>
      <c r="Z20" s="237"/>
      <c r="AA20" s="237"/>
      <c r="AB20" s="237"/>
    </row>
    <row r="21">
      <c r="A21" s="238">
        <v>20.0</v>
      </c>
      <c r="B21" s="239" t="s">
        <v>3589</v>
      </c>
      <c r="C21" s="240" t="s">
        <v>3590</v>
      </c>
      <c r="D21" s="236"/>
      <c r="E21" s="240" t="s">
        <v>3511</v>
      </c>
      <c r="F21" s="240" t="s">
        <v>3591</v>
      </c>
      <c r="G21" s="238" t="s">
        <v>3592</v>
      </c>
      <c r="H21" s="240" t="s">
        <v>3593</v>
      </c>
      <c r="I21" s="236"/>
      <c r="J21" s="238" t="s">
        <v>3515</v>
      </c>
      <c r="K21" s="239" t="s">
        <v>3589</v>
      </c>
      <c r="L21" s="237"/>
      <c r="M21" s="237"/>
      <c r="N21" s="237"/>
      <c r="O21" s="237"/>
      <c r="P21" s="237"/>
      <c r="Q21" s="237"/>
      <c r="R21" s="237"/>
      <c r="S21" s="237"/>
      <c r="T21" s="237"/>
      <c r="U21" s="237"/>
      <c r="V21" s="237"/>
      <c r="W21" s="237"/>
      <c r="X21" s="237"/>
      <c r="Y21" s="237"/>
      <c r="Z21" s="237"/>
      <c r="AA21" s="237"/>
      <c r="AB21" s="237"/>
    </row>
    <row r="22">
      <c r="A22" s="238">
        <v>21.0</v>
      </c>
      <c r="B22" s="239" t="s">
        <v>3594</v>
      </c>
      <c r="C22" s="240" t="s">
        <v>3595</v>
      </c>
      <c r="D22" s="236"/>
      <c r="E22" s="240" t="s">
        <v>3511</v>
      </c>
      <c r="F22" s="240" t="s">
        <v>3596</v>
      </c>
      <c r="G22" s="238" t="s">
        <v>3597</v>
      </c>
      <c r="H22" s="240" t="s">
        <v>3598</v>
      </c>
      <c r="I22" s="236"/>
      <c r="J22" s="238" t="s">
        <v>3515</v>
      </c>
      <c r="K22" s="239" t="s">
        <v>3594</v>
      </c>
      <c r="L22" s="237"/>
      <c r="M22" s="237"/>
      <c r="N22" s="237"/>
      <c r="O22" s="237"/>
      <c r="P22" s="237"/>
      <c r="Q22" s="237"/>
      <c r="R22" s="237"/>
      <c r="S22" s="237"/>
      <c r="T22" s="237"/>
      <c r="U22" s="237"/>
      <c r="V22" s="237"/>
      <c r="W22" s="237"/>
      <c r="X22" s="237"/>
      <c r="Y22" s="237"/>
      <c r="Z22" s="237"/>
      <c r="AA22" s="237"/>
      <c r="AB22" s="237"/>
    </row>
    <row r="23">
      <c r="A23" s="238">
        <v>22.0</v>
      </c>
      <c r="B23" s="242"/>
      <c r="C23" s="240" t="s">
        <v>3599</v>
      </c>
      <c r="D23" s="236"/>
      <c r="E23" s="240" t="s">
        <v>3496</v>
      </c>
      <c r="F23" s="240" t="s">
        <v>3600</v>
      </c>
      <c r="G23" s="238" t="s">
        <v>3601</v>
      </c>
      <c r="H23" s="236"/>
      <c r="I23" s="236"/>
      <c r="J23" s="238" t="s">
        <v>3545</v>
      </c>
      <c r="K23" s="242"/>
      <c r="L23" s="237"/>
      <c r="M23" s="237"/>
      <c r="N23" s="237"/>
      <c r="O23" s="237"/>
      <c r="P23" s="237"/>
      <c r="Q23" s="237"/>
      <c r="R23" s="237"/>
      <c r="S23" s="237"/>
      <c r="T23" s="237"/>
      <c r="U23" s="237"/>
      <c r="V23" s="237"/>
      <c r="W23" s="237"/>
      <c r="X23" s="237"/>
      <c r="Y23" s="237"/>
      <c r="Z23" s="237"/>
      <c r="AA23" s="237"/>
      <c r="AB23" s="237"/>
    </row>
    <row r="24">
      <c r="A24" s="238">
        <v>23.0</v>
      </c>
      <c r="B24" s="242"/>
      <c r="C24" s="240" t="s">
        <v>3602</v>
      </c>
      <c r="D24" s="236"/>
      <c r="E24" s="240" t="s">
        <v>3496</v>
      </c>
      <c r="F24" s="240" t="s">
        <v>3603</v>
      </c>
      <c r="G24" s="238" t="s">
        <v>3604</v>
      </c>
      <c r="H24" s="236"/>
      <c r="I24" s="236"/>
      <c r="J24" s="238" t="s">
        <v>3545</v>
      </c>
      <c r="K24" s="242"/>
      <c r="L24" s="237"/>
      <c r="M24" s="237"/>
      <c r="N24" s="237"/>
      <c r="O24" s="237"/>
      <c r="P24" s="237"/>
      <c r="Q24" s="237"/>
      <c r="R24" s="237"/>
      <c r="S24" s="237"/>
      <c r="T24" s="237"/>
      <c r="U24" s="237"/>
      <c r="V24" s="237"/>
      <c r="W24" s="237"/>
      <c r="X24" s="237"/>
      <c r="Y24" s="237"/>
      <c r="Z24" s="237"/>
      <c r="AA24" s="237"/>
      <c r="AB24" s="237"/>
    </row>
    <row r="25">
      <c r="A25" s="238">
        <v>24.0</v>
      </c>
      <c r="B25" s="239" t="s">
        <v>3605</v>
      </c>
      <c r="C25" s="240" t="s">
        <v>3606</v>
      </c>
      <c r="D25" s="236"/>
      <c r="E25" s="240" t="s">
        <v>3496</v>
      </c>
      <c r="F25" s="240" t="s">
        <v>3607</v>
      </c>
      <c r="G25" s="238" t="s">
        <v>3608</v>
      </c>
      <c r="H25" s="236"/>
      <c r="I25" s="236"/>
      <c r="J25" s="238" t="s">
        <v>3545</v>
      </c>
      <c r="K25" s="239" t="s">
        <v>3605</v>
      </c>
      <c r="L25" s="237"/>
      <c r="M25" s="237"/>
      <c r="N25" s="237"/>
      <c r="O25" s="237"/>
      <c r="P25" s="237"/>
      <c r="Q25" s="237"/>
      <c r="R25" s="237"/>
      <c r="S25" s="237"/>
      <c r="T25" s="237"/>
      <c r="U25" s="237"/>
      <c r="V25" s="237"/>
      <c r="W25" s="237"/>
      <c r="X25" s="237"/>
      <c r="Y25" s="237"/>
      <c r="Z25" s="237"/>
      <c r="AA25" s="237"/>
      <c r="AB25" s="237"/>
    </row>
    <row r="26">
      <c r="A26" s="238">
        <v>25.0</v>
      </c>
      <c r="B26" s="239" t="s">
        <v>3609</v>
      </c>
      <c r="C26" s="240" t="s">
        <v>3610</v>
      </c>
      <c r="D26" s="236"/>
      <c r="E26" s="240" t="s">
        <v>3511</v>
      </c>
      <c r="F26" s="240" t="s">
        <v>3611</v>
      </c>
      <c r="G26" s="238" t="s">
        <v>3612</v>
      </c>
      <c r="H26" s="240" t="s">
        <v>3613</v>
      </c>
      <c r="I26" s="236"/>
      <c r="J26" s="238" t="s">
        <v>3545</v>
      </c>
      <c r="K26" s="239" t="s">
        <v>3609</v>
      </c>
      <c r="L26" s="237"/>
      <c r="M26" s="237"/>
      <c r="N26" s="237"/>
      <c r="O26" s="237"/>
      <c r="P26" s="237"/>
      <c r="Q26" s="237"/>
      <c r="R26" s="237"/>
      <c r="S26" s="237"/>
      <c r="T26" s="237"/>
      <c r="U26" s="237"/>
      <c r="V26" s="237"/>
      <c r="W26" s="237"/>
      <c r="X26" s="237"/>
      <c r="Y26" s="237"/>
      <c r="Z26" s="237"/>
      <c r="AA26" s="237"/>
      <c r="AB26" s="237"/>
    </row>
    <row r="27">
      <c r="A27" s="238">
        <v>26.0</v>
      </c>
      <c r="B27" s="239" t="s">
        <v>3614</v>
      </c>
      <c r="C27" s="240" t="s">
        <v>3615</v>
      </c>
      <c r="D27" s="236"/>
      <c r="E27" s="240" t="s">
        <v>3496</v>
      </c>
      <c r="F27" s="240" t="s">
        <v>2306</v>
      </c>
      <c r="G27" s="238" t="s">
        <v>3616</v>
      </c>
      <c r="H27" s="236"/>
      <c r="I27" s="236"/>
      <c r="J27" s="238" t="s">
        <v>3545</v>
      </c>
      <c r="K27" s="239" t="s">
        <v>3614</v>
      </c>
      <c r="L27" s="237"/>
      <c r="M27" s="237"/>
      <c r="N27" s="237"/>
      <c r="O27" s="237"/>
      <c r="P27" s="237"/>
      <c r="Q27" s="237"/>
      <c r="R27" s="237"/>
      <c r="S27" s="237"/>
      <c r="T27" s="237"/>
      <c r="U27" s="237"/>
      <c r="V27" s="237"/>
      <c r="W27" s="237"/>
      <c r="X27" s="237"/>
      <c r="Y27" s="237"/>
      <c r="Z27" s="237"/>
      <c r="AA27" s="237"/>
      <c r="AB27" s="237"/>
    </row>
    <row r="28">
      <c r="A28" s="238">
        <v>27.0</v>
      </c>
      <c r="B28" s="242"/>
      <c r="C28" s="240" t="s">
        <v>3617</v>
      </c>
      <c r="D28" s="236"/>
      <c r="E28" s="240" t="s">
        <v>3496</v>
      </c>
      <c r="F28" s="240" t="s">
        <v>3618</v>
      </c>
      <c r="G28" s="238" t="s">
        <v>3619</v>
      </c>
      <c r="H28" s="236"/>
      <c r="I28" s="236"/>
      <c r="J28" s="238" t="s">
        <v>3499</v>
      </c>
      <c r="K28" s="242"/>
      <c r="L28" s="237"/>
      <c r="M28" s="237"/>
      <c r="N28" s="237"/>
      <c r="O28" s="237"/>
      <c r="P28" s="237"/>
      <c r="Q28" s="237"/>
      <c r="R28" s="237"/>
      <c r="S28" s="237"/>
      <c r="T28" s="237"/>
      <c r="U28" s="237"/>
      <c r="V28" s="237"/>
      <c r="W28" s="237"/>
      <c r="X28" s="237"/>
      <c r="Y28" s="237"/>
      <c r="Z28" s="237"/>
      <c r="AA28" s="237"/>
      <c r="AB28" s="237"/>
    </row>
    <row r="29">
      <c r="A29" s="238">
        <v>28.0</v>
      </c>
      <c r="B29" s="242"/>
      <c r="C29" s="240" t="s">
        <v>3620</v>
      </c>
      <c r="D29" s="236"/>
      <c r="E29" s="240" t="s">
        <v>3496</v>
      </c>
      <c r="F29" s="240" t="s">
        <v>3621</v>
      </c>
      <c r="G29" s="238" t="s">
        <v>3622</v>
      </c>
      <c r="H29" s="236"/>
      <c r="I29" s="236"/>
      <c r="J29" s="238" t="s">
        <v>3499</v>
      </c>
      <c r="K29" s="242"/>
      <c r="L29" s="237"/>
      <c r="M29" s="237"/>
      <c r="N29" s="237"/>
      <c r="O29" s="237"/>
      <c r="P29" s="237"/>
      <c r="Q29" s="237"/>
      <c r="R29" s="237"/>
      <c r="S29" s="237"/>
      <c r="T29" s="237"/>
      <c r="U29" s="237"/>
      <c r="V29" s="237"/>
      <c r="W29" s="237"/>
      <c r="X29" s="237"/>
      <c r="Y29" s="237"/>
      <c r="Z29" s="237"/>
      <c r="AA29" s="237"/>
      <c r="AB29" s="237"/>
    </row>
    <row r="30">
      <c r="A30" s="238">
        <v>29.0</v>
      </c>
      <c r="B30" s="239" t="s">
        <v>3623</v>
      </c>
      <c r="C30" s="240" t="s">
        <v>3624</v>
      </c>
      <c r="D30" s="236"/>
      <c r="E30" s="240" t="s">
        <v>3496</v>
      </c>
      <c r="F30" s="240" t="s">
        <v>3625</v>
      </c>
      <c r="G30" s="238" t="s">
        <v>3626</v>
      </c>
      <c r="H30" s="236"/>
      <c r="I30" s="236"/>
      <c r="J30" s="238" t="s">
        <v>3499</v>
      </c>
      <c r="K30" s="239" t="s">
        <v>3623</v>
      </c>
      <c r="L30" s="237"/>
      <c r="M30" s="237"/>
      <c r="N30" s="237"/>
      <c r="O30" s="237"/>
      <c r="P30" s="237"/>
      <c r="Q30" s="237"/>
      <c r="R30" s="237"/>
      <c r="S30" s="237"/>
      <c r="T30" s="237"/>
      <c r="U30" s="237"/>
      <c r="V30" s="237"/>
      <c r="W30" s="237"/>
      <c r="X30" s="237"/>
      <c r="Y30" s="237"/>
      <c r="Z30" s="237"/>
      <c r="AA30" s="237"/>
      <c r="AB30" s="237"/>
    </row>
    <row r="31">
      <c r="A31" s="238">
        <v>30.0</v>
      </c>
      <c r="B31" s="242"/>
      <c r="C31" s="240" t="s">
        <v>3627</v>
      </c>
      <c r="D31" s="236"/>
      <c r="E31" s="240" t="s">
        <v>3496</v>
      </c>
      <c r="F31" s="240" t="s">
        <v>3628</v>
      </c>
      <c r="G31" s="238" t="s">
        <v>3629</v>
      </c>
      <c r="H31" s="236"/>
      <c r="I31" s="236"/>
      <c r="J31" s="238" t="s">
        <v>3499</v>
      </c>
      <c r="K31" s="242"/>
      <c r="L31" s="237"/>
      <c r="M31" s="237"/>
      <c r="N31" s="237"/>
      <c r="O31" s="237"/>
      <c r="P31" s="237"/>
      <c r="Q31" s="237"/>
      <c r="R31" s="237"/>
      <c r="S31" s="237"/>
      <c r="T31" s="237"/>
      <c r="U31" s="237"/>
      <c r="V31" s="237"/>
      <c r="W31" s="237"/>
      <c r="X31" s="237"/>
      <c r="Y31" s="237"/>
      <c r="Z31" s="237"/>
      <c r="AA31" s="237"/>
      <c r="AB31" s="237"/>
    </row>
    <row r="32">
      <c r="A32" s="238">
        <v>31.0</v>
      </c>
      <c r="B32" s="242"/>
      <c r="C32" s="240" t="s">
        <v>3630</v>
      </c>
      <c r="D32" s="236"/>
      <c r="E32" s="240" t="s">
        <v>3496</v>
      </c>
      <c r="F32" s="240" t="s">
        <v>3631</v>
      </c>
      <c r="G32" s="238" t="s">
        <v>3632</v>
      </c>
      <c r="H32" s="236"/>
      <c r="I32" s="236"/>
      <c r="J32" s="238" t="s">
        <v>3499</v>
      </c>
      <c r="K32" s="242"/>
      <c r="L32" s="237"/>
      <c r="M32" s="237"/>
      <c r="N32" s="237"/>
      <c r="O32" s="237"/>
      <c r="P32" s="237"/>
      <c r="Q32" s="237"/>
      <c r="R32" s="237"/>
      <c r="S32" s="237"/>
      <c r="T32" s="237"/>
      <c r="U32" s="237"/>
      <c r="V32" s="237"/>
      <c r="W32" s="237"/>
      <c r="X32" s="237"/>
      <c r="Y32" s="237"/>
      <c r="Z32" s="237"/>
      <c r="AA32" s="237"/>
      <c r="AB32" s="237"/>
    </row>
    <row r="33">
      <c r="A33" s="238">
        <v>32.0</v>
      </c>
      <c r="B33" s="239" t="s">
        <v>3633</v>
      </c>
      <c r="C33" s="240" t="s">
        <v>3634</v>
      </c>
      <c r="D33" s="236"/>
      <c r="E33" s="240" t="s">
        <v>3511</v>
      </c>
      <c r="F33" s="240" t="s">
        <v>2361</v>
      </c>
      <c r="G33" s="238" t="s">
        <v>3635</v>
      </c>
      <c r="H33" s="240" t="s">
        <v>3636</v>
      </c>
      <c r="I33" s="236"/>
      <c r="J33" s="238" t="s">
        <v>3637</v>
      </c>
      <c r="K33" s="239" t="s">
        <v>3633</v>
      </c>
      <c r="L33" s="237"/>
      <c r="M33" s="237"/>
      <c r="N33" s="237"/>
      <c r="O33" s="237"/>
      <c r="P33" s="237"/>
      <c r="Q33" s="237"/>
      <c r="R33" s="237"/>
      <c r="S33" s="237"/>
      <c r="T33" s="237"/>
      <c r="U33" s="237"/>
      <c r="V33" s="237"/>
      <c r="W33" s="237"/>
      <c r="X33" s="237"/>
      <c r="Y33" s="237"/>
      <c r="Z33" s="237"/>
      <c r="AA33" s="237"/>
      <c r="AB33" s="237"/>
    </row>
    <row r="34">
      <c r="A34" s="238">
        <v>33.0</v>
      </c>
      <c r="B34" s="239" t="s">
        <v>3638</v>
      </c>
      <c r="C34" s="240" t="s">
        <v>3639</v>
      </c>
      <c r="D34" s="236"/>
      <c r="E34" s="240" t="s">
        <v>3511</v>
      </c>
      <c r="F34" s="240" t="s">
        <v>3640</v>
      </c>
      <c r="G34" s="238" t="s">
        <v>3641</v>
      </c>
      <c r="H34" s="240" t="s">
        <v>3642</v>
      </c>
      <c r="I34" s="236"/>
      <c r="J34" s="243" t="s">
        <v>3637</v>
      </c>
      <c r="K34" s="239" t="s">
        <v>3638</v>
      </c>
      <c r="L34" s="237"/>
      <c r="M34" s="237"/>
      <c r="N34" s="237"/>
      <c r="O34" s="237"/>
      <c r="P34" s="237"/>
      <c r="Q34" s="237"/>
      <c r="R34" s="237"/>
      <c r="S34" s="237"/>
      <c r="T34" s="237"/>
      <c r="U34" s="237"/>
      <c r="V34" s="237"/>
      <c r="W34" s="237"/>
      <c r="X34" s="237"/>
      <c r="Y34" s="237"/>
      <c r="Z34" s="237"/>
      <c r="AA34" s="237"/>
      <c r="AB34" s="237"/>
    </row>
    <row r="35">
      <c r="A35" s="238">
        <v>34.0</v>
      </c>
      <c r="B35" s="239" t="s">
        <v>3643</v>
      </c>
      <c r="C35" s="240" t="s">
        <v>3644</v>
      </c>
      <c r="D35" s="236"/>
      <c r="E35" s="240" t="s">
        <v>3511</v>
      </c>
      <c r="F35" s="240" t="s">
        <v>3645</v>
      </c>
      <c r="G35" s="238" t="s">
        <v>3646</v>
      </c>
      <c r="H35" s="240" t="s">
        <v>3647</v>
      </c>
      <c r="I35" s="236"/>
      <c r="J35" s="238" t="s">
        <v>3637</v>
      </c>
      <c r="K35" s="239" t="s">
        <v>3643</v>
      </c>
      <c r="L35" s="237"/>
      <c r="M35" s="237"/>
      <c r="N35" s="237"/>
      <c r="O35" s="237"/>
      <c r="P35" s="237"/>
      <c r="Q35" s="237"/>
      <c r="R35" s="237"/>
      <c r="S35" s="237"/>
      <c r="T35" s="237"/>
      <c r="U35" s="237"/>
      <c r="V35" s="237"/>
      <c r="W35" s="237"/>
      <c r="X35" s="237"/>
      <c r="Y35" s="237"/>
      <c r="Z35" s="237"/>
      <c r="AA35" s="237"/>
      <c r="AB35" s="237"/>
    </row>
    <row r="36">
      <c r="A36" s="238">
        <v>35.0</v>
      </c>
      <c r="B36" s="239" t="s">
        <v>3648</v>
      </c>
      <c r="C36" s="240" t="s">
        <v>3649</v>
      </c>
      <c r="D36" s="236"/>
      <c r="E36" s="240" t="s">
        <v>3511</v>
      </c>
      <c r="F36" s="240" t="s">
        <v>3650</v>
      </c>
      <c r="G36" s="238" t="s">
        <v>3651</v>
      </c>
      <c r="H36" s="240" t="s">
        <v>3652</v>
      </c>
      <c r="I36" s="236"/>
      <c r="J36" s="238" t="s">
        <v>3637</v>
      </c>
      <c r="K36" s="239" t="s">
        <v>3648</v>
      </c>
      <c r="L36" s="237"/>
      <c r="M36" s="237"/>
      <c r="N36" s="237"/>
      <c r="O36" s="237"/>
      <c r="P36" s="237"/>
      <c r="Q36" s="237"/>
      <c r="R36" s="237"/>
      <c r="S36" s="237"/>
      <c r="T36" s="237"/>
      <c r="U36" s="237"/>
      <c r="V36" s="237"/>
      <c r="W36" s="237"/>
      <c r="X36" s="237"/>
      <c r="Y36" s="237"/>
      <c r="Z36" s="237"/>
      <c r="AA36" s="237"/>
      <c r="AB36" s="237"/>
    </row>
    <row r="37">
      <c r="A37" s="238">
        <v>36.0</v>
      </c>
      <c r="B37" s="239" t="s">
        <v>3653</v>
      </c>
      <c r="C37" s="240" t="s">
        <v>3654</v>
      </c>
      <c r="D37" s="236"/>
      <c r="E37" s="240" t="s">
        <v>3511</v>
      </c>
      <c r="F37" s="240" t="s">
        <v>3655</v>
      </c>
      <c r="G37" s="238" t="s">
        <v>3656</v>
      </c>
      <c r="H37" s="240" t="s">
        <v>3657</v>
      </c>
      <c r="I37" s="236"/>
      <c r="J37" s="238" t="s">
        <v>3658</v>
      </c>
      <c r="K37" s="239" t="s">
        <v>3653</v>
      </c>
      <c r="L37" s="237"/>
      <c r="M37" s="237"/>
      <c r="N37" s="237"/>
      <c r="O37" s="237"/>
      <c r="P37" s="237"/>
      <c r="Q37" s="237"/>
      <c r="R37" s="237"/>
      <c r="S37" s="237"/>
      <c r="T37" s="237"/>
      <c r="U37" s="237"/>
      <c r="V37" s="237"/>
      <c r="W37" s="237"/>
      <c r="X37" s="237"/>
      <c r="Y37" s="237"/>
      <c r="Z37" s="237"/>
      <c r="AA37" s="237"/>
      <c r="AB37" s="237"/>
    </row>
    <row r="38">
      <c r="A38" s="238">
        <v>37.0</v>
      </c>
      <c r="B38" s="239" t="s">
        <v>3659</v>
      </c>
      <c r="C38" s="240" t="s">
        <v>3660</v>
      </c>
      <c r="D38" s="236"/>
      <c r="E38" s="240" t="s">
        <v>3511</v>
      </c>
      <c r="F38" s="240" t="s">
        <v>3661</v>
      </c>
      <c r="G38" s="238" t="s">
        <v>3662</v>
      </c>
      <c r="H38" s="240" t="s">
        <v>3663</v>
      </c>
      <c r="I38" s="236"/>
      <c r="J38" s="238" t="s">
        <v>3637</v>
      </c>
      <c r="K38" s="239" t="s">
        <v>3659</v>
      </c>
      <c r="L38" s="237"/>
      <c r="M38" s="237"/>
      <c r="N38" s="237"/>
      <c r="O38" s="237"/>
      <c r="P38" s="237"/>
      <c r="Q38" s="237"/>
      <c r="R38" s="237"/>
      <c r="S38" s="237"/>
      <c r="T38" s="237"/>
      <c r="U38" s="237"/>
      <c r="V38" s="237"/>
      <c r="W38" s="237"/>
      <c r="X38" s="237"/>
      <c r="Y38" s="237"/>
      <c r="Z38" s="237"/>
      <c r="AA38" s="237"/>
      <c r="AB38" s="237"/>
    </row>
    <row r="39">
      <c r="A39" s="238">
        <v>38.0</v>
      </c>
      <c r="B39" s="239" t="s">
        <v>3664</v>
      </c>
      <c r="C39" s="240" t="s">
        <v>3665</v>
      </c>
      <c r="D39" s="236"/>
      <c r="E39" s="240" t="s">
        <v>3511</v>
      </c>
      <c r="F39" s="240" t="s">
        <v>3666</v>
      </c>
      <c r="G39" s="238" t="s">
        <v>3667</v>
      </c>
      <c r="H39" s="240" t="s">
        <v>3668</v>
      </c>
      <c r="I39" s="236"/>
      <c r="J39" s="238" t="s">
        <v>3637</v>
      </c>
      <c r="K39" s="239" t="s">
        <v>3664</v>
      </c>
      <c r="L39" s="237"/>
      <c r="M39" s="237"/>
      <c r="N39" s="237"/>
      <c r="O39" s="237"/>
      <c r="P39" s="237"/>
      <c r="Q39" s="237"/>
      <c r="R39" s="237"/>
      <c r="S39" s="237"/>
      <c r="T39" s="237"/>
      <c r="U39" s="237"/>
      <c r="V39" s="237"/>
      <c r="W39" s="237"/>
      <c r="X39" s="237"/>
      <c r="Y39" s="237"/>
      <c r="Z39" s="237"/>
      <c r="AA39" s="237"/>
      <c r="AB39" s="237"/>
    </row>
    <row r="40">
      <c r="A40" s="238">
        <v>39.0</v>
      </c>
      <c r="B40" s="239" t="s">
        <v>3669</v>
      </c>
      <c r="C40" s="240" t="s">
        <v>3670</v>
      </c>
      <c r="D40" s="236"/>
      <c r="E40" s="240" t="s">
        <v>3511</v>
      </c>
      <c r="F40" s="240" t="s">
        <v>3671</v>
      </c>
      <c r="G40" s="238" t="s">
        <v>3672</v>
      </c>
      <c r="H40" s="241" t="s">
        <v>3673</v>
      </c>
      <c r="I40" s="236"/>
      <c r="J40" s="238" t="s">
        <v>3637</v>
      </c>
      <c r="K40" s="239" t="s">
        <v>3669</v>
      </c>
      <c r="L40" s="237"/>
      <c r="M40" s="237"/>
      <c r="N40" s="237"/>
      <c r="O40" s="237"/>
      <c r="P40" s="237"/>
      <c r="Q40" s="237"/>
      <c r="R40" s="237"/>
      <c r="S40" s="237"/>
      <c r="T40" s="237"/>
      <c r="U40" s="237"/>
      <c r="V40" s="237"/>
      <c r="W40" s="237"/>
      <c r="X40" s="237"/>
      <c r="Y40" s="237"/>
      <c r="Z40" s="237"/>
      <c r="AA40" s="237"/>
      <c r="AB40" s="237"/>
    </row>
    <row r="41">
      <c r="A41" s="238">
        <v>40.0</v>
      </c>
      <c r="B41" s="239" t="s">
        <v>3674</v>
      </c>
      <c r="C41" s="240" t="s">
        <v>3675</v>
      </c>
      <c r="D41" s="236"/>
      <c r="E41" s="240" t="s">
        <v>3511</v>
      </c>
      <c r="F41" s="240" t="s">
        <v>3676</v>
      </c>
      <c r="G41" s="238" t="s">
        <v>3677</v>
      </c>
      <c r="H41" s="240" t="s">
        <v>3678</v>
      </c>
      <c r="I41" s="236"/>
      <c r="J41" s="238" t="s">
        <v>3658</v>
      </c>
      <c r="K41" s="239" t="s">
        <v>3674</v>
      </c>
      <c r="L41" s="237"/>
      <c r="M41" s="237"/>
      <c r="N41" s="237"/>
      <c r="O41" s="237"/>
      <c r="P41" s="237"/>
      <c r="Q41" s="237"/>
      <c r="R41" s="237"/>
      <c r="S41" s="237"/>
      <c r="T41" s="237"/>
      <c r="U41" s="237"/>
      <c r="V41" s="237"/>
      <c r="W41" s="237"/>
      <c r="X41" s="237"/>
      <c r="Y41" s="237"/>
      <c r="Z41" s="237"/>
      <c r="AA41" s="237"/>
      <c r="AB41" s="237"/>
    </row>
    <row r="42">
      <c r="A42" s="238">
        <v>41.0</v>
      </c>
      <c r="B42" s="239" t="s">
        <v>3679</v>
      </c>
      <c r="C42" s="240" t="s">
        <v>3680</v>
      </c>
      <c r="D42" s="236"/>
      <c r="E42" s="240" t="s">
        <v>3511</v>
      </c>
      <c r="F42" s="240" t="s">
        <v>3681</v>
      </c>
      <c r="G42" s="238" t="s">
        <v>3682</v>
      </c>
      <c r="H42" s="240" t="s">
        <v>3683</v>
      </c>
      <c r="I42" s="236"/>
      <c r="J42" s="238" t="s">
        <v>3658</v>
      </c>
      <c r="K42" s="239" t="s">
        <v>3679</v>
      </c>
      <c r="L42" s="237"/>
      <c r="M42" s="237"/>
      <c r="N42" s="237"/>
      <c r="O42" s="237"/>
      <c r="P42" s="237"/>
      <c r="Q42" s="237"/>
      <c r="R42" s="237"/>
      <c r="S42" s="237"/>
      <c r="T42" s="237"/>
      <c r="U42" s="237"/>
      <c r="V42" s="237"/>
      <c r="W42" s="237"/>
      <c r="X42" s="237"/>
      <c r="Y42" s="237"/>
      <c r="Z42" s="237"/>
      <c r="AA42" s="237"/>
      <c r="AB42" s="237"/>
    </row>
    <row r="43">
      <c r="A43" s="238">
        <v>42.0</v>
      </c>
      <c r="B43" s="239" t="s">
        <v>3684</v>
      </c>
      <c r="C43" s="240" t="s">
        <v>3685</v>
      </c>
      <c r="D43" s="236"/>
      <c r="E43" s="240" t="s">
        <v>3511</v>
      </c>
      <c r="F43" s="240" t="s">
        <v>3686</v>
      </c>
      <c r="G43" s="238" t="s">
        <v>3687</v>
      </c>
      <c r="H43" s="240" t="s">
        <v>3688</v>
      </c>
      <c r="I43" s="236"/>
      <c r="J43" s="238" t="s">
        <v>3658</v>
      </c>
      <c r="K43" s="239" t="s">
        <v>3684</v>
      </c>
      <c r="L43" s="237"/>
      <c r="M43" s="237"/>
      <c r="N43" s="237"/>
      <c r="O43" s="237"/>
      <c r="P43" s="237"/>
      <c r="Q43" s="237"/>
      <c r="R43" s="237"/>
      <c r="S43" s="237"/>
      <c r="T43" s="237"/>
      <c r="U43" s="237"/>
      <c r="V43" s="237"/>
      <c r="W43" s="237"/>
      <c r="X43" s="237"/>
      <c r="Y43" s="237"/>
      <c r="Z43" s="237"/>
      <c r="AA43" s="237"/>
      <c r="AB43" s="237"/>
    </row>
    <row r="44">
      <c r="A44" s="238">
        <v>43.0</v>
      </c>
      <c r="B44" s="239" t="s">
        <v>3689</v>
      </c>
      <c r="C44" s="240" t="s">
        <v>3690</v>
      </c>
      <c r="D44" s="236"/>
      <c r="E44" s="240" t="s">
        <v>3511</v>
      </c>
      <c r="F44" s="240" t="s">
        <v>3691</v>
      </c>
      <c r="G44" s="238" t="s">
        <v>3692</v>
      </c>
      <c r="H44" s="240" t="s">
        <v>3693</v>
      </c>
      <c r="I44" s="236"/>
      <c r="J44" s="238" t="s">
        <v>3658</v>
      </c>
      <c r="K44" s="239" t="s">
        <v>3689</v>
      </c>
      <c r="L44" s="237"/>
      <c r="M44" s="237"/>
      <c r="N44" s="237"/>
      <c r="O44" s="237"/>
      <c r="P44" s="237"/>
      <c r="Q44" s="237"/>
      <c r="R44" s="237"/>
      <c r="S44" s="237"/>
      <c r="T44" s="237"/>
      <c r="U44" s="237"/>
      <c r="V44" s="237"/>
      <c r="W44" s="237"/>
      <c r="X44" s="237"/>
      <c r="Y44" s="237"/>
      <c r="Z44" s="237"/>
      <c r="AA44" s="237"/>
      <c r="AB44" s="237"/>
    </row>
    <row r="45">
      <c r="A45" s="238">
        <v>44.0</v>
      </c>
      <c r="B45" s="239" t="s">
        <v>3694</v>
      </c>
      <c r="C45" s="240" t="s">
        <v>3695</v>
      </c>
      <c r="D45" s="236"/>
      <c r="E45" s="240" t="s">
        <v>3511</v>
      </c>
      <c r="F45" s="240" t="s">
        <v>3696</v>
      </c>
      <c r="G45" s="238" t="s">
        <v>3697</v>
      </c>
      <c r="H45" s="240" t="s">
        <v>3698</v>
      </c>
      <c r="I45" s="236"/>
      <c r="J45" s="238" t="s">
        <v>3658</v>
      </c>
      <c r="K45" s="239" t="s">
        <v>3694</v>
      </c>
      <c r="L45" s="237"/>
      <c r="M45" s="237"/>
      <c r="N45" s="237"/>
      <c r="O45" s="237"/>
      <c r="P45" s="237"/>
      <c r="Q45" s="237"/>
      <c r="R45" s="237"/>
      <c r="S45" s="237"/>
      <c r="T45" s="237"/>
      <c r="U45" s="237"/>
      <c r="V45" s="237"/>
      <c r="W45" s="237"/>
      <c r="X45" s="237"/>
      <c r="Y45" s="237"/>
      <c r="Z45" s="237"/>
      <c r="AA45" s="237"/>
      <c r="AB45" s="237"/>
    </row>
    <row r="46">
      <c r="A46" s="238">
        <v>45.0</v>
      </c>
      <c r="B46" s="239" t="s">
        <v>3699</v>
      </c>
      <c r="C46" s="240" t="s">
        <v>3700</v>
      </c>
      <c r="D46" s="236"/>
      <c r="E46" s="240" t="s">
        <v>3511</v>
      </c>
      <c r="F46" s="240" t="s">
        <v>3701</v>
      </c>
      <c r="G46" s="238" t="s">
        <v>3702</v>
      </c>
      <c r="H46" s="240" t="s">
        <v>3703</v>
      </c>
      <c r="I46" s="236"/>
      <c r="J46" s="238" t="s">
        <v>3658</v>
      </c>
      <c r="K46" s="239" t="s">
        <v>3699</v>
      </c>
      <c r="L46" s="237"/>
      <c r="M46" s="237"/>
      <c r="N46" s="237"/>
      <c r="O46" s="237"/>
      <c r="P46" s="237"/>
      <c r="Q46" s="237"/>
      <c r="R46" s="237"/>
      <c r="S46" s="237"/>
      <c r="T46" s="237"/>
      <c r="U46" s="237"/>
      <c r="V46" s="237"/>
      <c r="W46" s="237"/>
      <c r="X46" s="237"/>
      <c r="Y46" s="237"/>
      <c r="Z46" s="237"/>
      <c r="AA46" s="237"/>
      <c r="AB46" s="237"/>
    </row>
    <row r="47">
      <c r="A47" s="238">
        <v>46.0</v>
      </c>
      <c r="B47" s="239" t="s">
        <v>3704</v>
      </c>
      <c r="C47" s="240" t="s">
        <v>3705</v>
      </c>
      <c r="D47" s="236"/>
      <c r="E47" s="240" t="s">
        <v>3496</v>
      </c>
      <c r="F47" s="240" t="s">
        <v>3706</v>
      </c>
      <c r="G47" s="238" t="s">
        <v>3707</v>
      </c>
      <c r="H47" s="236"/>
      <c r="I47" s="236"/>
      <c r="J47" s="238" t="s">
        <v>3637</v>
      </c>
      <c r="K47" s="239" t="s">
        <v>3704</v>
      </c>
      <c r="L47" s="237"/>
      <c r="M47" s="237"/>
      <c r="N47" s="237"/>
      <c r="O47" s="237"/>
      <c r="P47" s="237"/>
      <c r="Q47" s="237"/>
      <c r="R47" s="237"/>
      <c r="S47" s="237"/>
      <c r="T47" s="237"/>
      <c r="U47" s="237"/>
      <c r="V47" s="237"/>
      <c r="W47" s="237"/>
      <c r="X47" s="237"/>
      <c r="Y47" s="237"/>
      <c r="Z47" s="237"/>
      <c r="AA47" s="237"/>
      <c r="AB47" s="237"/>
    </row>
    <row r="48">
      <c r="A48" s="238">
        <v>47.0</v>
      </c>
      <c r="B48" s="239" t="s">
        <v>3708</v>
      </c>
      <c r="C48" s="240" t="s">
        <v>3709</v>
      </c>
      <c r="D48" s="236"/>
      <c r="E48" s="240" t="s">
        <v>3511</v>
      </c>
      <c r="F48" s="240" t="s">
        <v>3710</v>
      </c>
      <c r="G48" s="238" t="s">
        <v>3711</v>
      </c>
      <c r="H48" s="240" t="s">
        <v>3712</v>
      </c>
      <c r="I48" s="236"/>
      <c r="J48" s="238" t="s">
        <v>3658</v>
      </c>
      <c r="K48" s="239" t="s">
        <v>3708</v>
      </c>
      <c r="L48" s="237"/>
      <c r="M48" s="237"/>
      <c r="N48" s="237"/>
      <c r="O48" s="237"/>
      <c r="P48" s="237"/>
      <c r="Q48" s="237"/>
      <c r="R48" s="237"/>
      <c r="S48" s="237"/>
      <c r="T48" s="237"/>
      <c r="U48" s="237"/>
      <c r="V48" s="237"/>
      <c r="W48" s="237"/>
      <c r="X48" s="237"/>
      <c r="Y48" s="237"/>
      <c r="Z48" s="237"/>
      <c r="AA48" s="237"/>
      <c r="AB48" s="237"/>
    </row>
    <row r="49">
      <c r="A49" s="238">
        <v>48.0</v>
      </c>
      <c r="B49" s="239" t="s">
        <v>3713</v>
      </c>
      <c r="C49" s="240" t="s">
        <v>3714</v>
      </c>
      <c r="D49" s="236"/>
      <c r="E49" s="240" t="s">
        <v>3511</v>
      </c>
      <c r="F49" s="240" t="s">
        <v>3715</v>
      </c>
      <c r="G49" s="238" t="s">
        <v>3716</v>
      </c>
      <c r="H49" s="240" t="s">
        <v>3717</v>
      </c>
      <c r="I49" s="236"/>
      <c r="J49" s="238" t="s">
        <v>3658</v>
      </c>
      <c r="K49" s="239" t="s">
        <v>3713</v>
      </c>
      <c r="L49" s="237"/>
      <c r="M49" s="237"/>
      <c r="N49" s="237"/>
      <c r="O49" s="237"/>
      <c r="P49" s="237"/>
      <c r="Q49" s="237"/>
      <c r="R49" s="237"/>
      <c r="S49" s="237"/>
      <c r="T49" s="237"/>
      <c r="U49" s="237"/>
      <c r="V49" s="237"/>
      <c r="W49" s="237"/>
      <c r="X49" s="237"/>
      <c r="Y49" s="237"/>
      <c r="Z49" s="237"/>
      <c r="AA49" s="237"/>
      <c r="AB49" s="237"/>
    </row>
    <row r="50">
      <c r="A50" s="238">
        <v>49.0</v>
      </c>
      <c r="B50" s="239" t="s">
        <v>3718</v>
      </c>
      <c r="C50" s="240" t="s">
        <v>3719</v>
      </c>
      <c r="D50" s="236"/>
      <c r="E50" s="240" t="s">
        <v>3511</v>
      </c>
      <c r="F50" s="240" t="s">
        <v>3720</v>
      </c>
      <c r="G50" s="238" t="s">
        <v>3721</v>
      </c>
      <c r="H50" s="240" t="s">
        <v>3722</v>
      </c>
      <c r="I50" s="236"/>
      <c r="J50" s="238" t="s">
        <v>3658</v>
      </c>
      <c r="K50" s="239" t="s">
        <v>3718</v>
      </c>
      <c r="L50" s="237"/>
      <c r="M50" s="237"/>
      <c r="N50" s="237"/>
      <c r="O50" s="237"/>
      <c r="P50" s="237"/>
      <c r="Q50" s="237"/>
      <c r="R50" s="237"/>
      <c r="S50" s="237"/>
      <c r="T50" s="237"/>
      <c r="U50" s="237"/>
      <c r="V50" s="237"/>
      <c r="W50" s="237"/>
      <c r="X50" s="237"/>
      <c r="Y50" s="237"/>
      <c r="Z50" s="237"/>
      <c r="AA50" s="237"/>
      <c r="AB50" s="237"/>
    </row>
    <row r="51">
      <c r="A51" s="238">
        <v>50.0</v>
      </c>
      <c r="B51" s="239" t="s">
        <v>3723</v>
      </c>
      <c r="C51" s="240" t="s">
        <v>3724</v>
      </c>
      <c r="D51" s="236"/>
      <c r="E51" s="240" t="s">
        <v>3511</v>
      </c>
      <c r="F51" s="240" t="s">
        <v>3725</v>
      </c>
      <c r="G51" s="238" t="s">
        <v>3726</v>
      </c>
      <c r="H51" s="240" t="s">
        <v>3727</v>
      </c>
      <c r="I51" s="236"/>
      <c r="J51" s="238" t="s">
        <v>3658</v>
      </c>
      <c r="K51" s="239" t="s">
        <v>3723</v>
      </c>
      <c r="L51" s="237"/>
      <c r="M51" s="237"/>
      <c r="N51" s="237"/>
      <c r="O51" s="237"/>
      <c r="P51" s="237"/>
      <c r="Q51" s="237"/>
      <c r="R51" s="237"/>
      <c r="S51" s="237"/>
      <c r="T51" s="237"/>
      <c r="U51" s="237"/>
      <c r="V51" s="237"/>
      <c r="W51" s="237"/>
      <c r="X51" s="237"/>
      <c r="Y51" s="237"/>
      <c r="Z51" s="237"/>
      <c r="AA51" s="237"/>
      <c r="AB51" s="237"/>
    </row>
    <row r="52">
      <c r="A52" s="238">
        <v>51.0</v>
      </c>
      <c r="B52" s="239" t="s">
        <v>3728</v>
      </c>
      <c r="C52" s="240" t="s">
        <v>3729</v>
      </c>
      <c r="D52" s="236"/>
      <c r="E52" s="240" t="s">
        <v>3511</v>
      </c>
      <c r="F52" s="240" t="s">
        <v>3730</v>
      </c>
      <c r="G52" s="238" t="s">
        <v>3731</v>
      </c>
      <c r="H52" s="240" t="s">
        <v>3732</v>
      </c>
      <c r="I52" s="236"/>
      <c r="J52" s="238" t="s">
        <v>3658</v>
      </c>
      <c r="K52" s="239" t="s">
        <v>3728</v>
      </c>
      <c r="L52" s="237"/>
      <c r="M52" s="237"/>
      <c r="N52" s="237"/>
      <c r="O52" s="237"/>
      <c r="P52" s="237"/>
      <c r="Q52" s="237"/>
      <c r="R52" s="237"/>
      <c r="S52" s="237"/>
      <c r="T52" s="237"/>
      <c r="U52" s="237"/>
      <c r="V52" s="237"/>
      <c r="W52" s="237"/>
      <c r="X52" s="237"/>
      <c r="Y52" s="237"/>
      <c r="Z52" s="237"/>
      <c r="AA52" s="237"/>
      <c r="AB52" s="237"/>
    </row>
    <row r="53">
      <c r="A53" s="238">
        <v>52.0</v>
      </c>
      <c r="B53" s="239" t="s">
        <v>3733</v>
      </c>
      <c r="C53" s="240" t="s">
        <v>3734</v>
      </c>
      <c r="D53" s="236"/>
      <c r="E53" s="240" t="s">
        <v>3496</v>
      </c>
      <c r="F53" s="240" t="s">
        <v>2352</v>
      </c>
      <c r="G53" s="238" t="s">
        <v>3735</v>
      </c>
      <c r="H53" s="236"/>
      <c r="I53" s="236"/>
      <c r="J53" s="238" t="s">
        <v>3637</v>
      </c>
      <c r="K53" s="239" t="s">
        <v>3733</v>
      </c>
      <c r="L53" s="237"/>
      <c r="M53" s="237"/>
      <c r="N53" s="237"/>
      <c r="O53" s="237"/>
      <c r="P53" s="237"/>
      <c r="Q53" s="237"/>
      <c r="R53" s="237"/>
      <c r="S53" s="237"/>
      <c r="T53" s="237"/>
      <c r="U53" s="237"/>
      <c r="V53" s="237"/>
      <c r="W53" s="237"/>
      <c r="X53" s="237"/>
      <c r="Y53" s="237"/>
      <c r="Z53" s="237"/>
      <c r="AA53" s="237"/>
      <c r="AB53" s="237"/>
    </row>
    <row r="54">
      <c r="A54" s="238">
        <v>53.0</v>
      </c>
      <c r="B54" s="239" t="s">
        <v>3736</v>
      </c>
      <c r="C54" s="240" t="s">
        <v>3737</v>
      </c>
      <c r="D54" s="236"/>
      <c r="E54" s="240" t="s">
        <v>3496</v>
      </c>
      <c r="F54" s="240" t="s">
        <v>2354</v>
      </c>
      <c r="G54" s="238" t="s">
        <v>3738</v>
      </c>
      <c r="H54" s="236"/>
      <c r="I54" s="236"/>
      <c r="J54" s="238" t="s">
        <v>3637</v>
      </c>
      <c r="K54" s="239" t="s">
        <v>3736</v>
      </c>
      <c r="L54" s="237"/>
      <c r="M54" s="237"/>
      <c r="N54" s="237"/>
      <c r="O54" s="237"/>
      <c r="P54" s="237"/>
      <c r="Q54" s="237"/>
      <c r="R54" s="237"/>
      <c r="S54" s="237"/>
      <c r="T54" s="237"/>
      <c r="U54" s="237"/>
      <c r="V54" s="237"/>
      <c r="W54" s="237"/>
      <c r="X54" s="237"/>
      <c r="Y54" s="237"/>
      <c r="Z54" s="237"/>
      <c r="AA54" s="237"/>
      <c r="AB54" s="237"/>
    </row>
    <row r="55">
      <c r="A55" s="238">
        <v>54.0</v>
      </c>
      <c r="B55" s="239" t="s">
        <v>3739</v>
      </c>
      <c r="C55" s="240" t="s">
        <v>3740</v>
      </c>
      <c r="D55" s="236"/>
      <c r="E55" s="240" t="s">
        <v>3511</v>
      </c>
      <c r="F55" s="240" t="s">
        <v>2355</v>
      </c>
      <c r="G55" s="238" t="s">
        <v>3741</v>
      </c>
      <c r="H55" s="241" t="s">
        <v>3742</v>
      </c>
      <c r="I55" s="236"/>
      <c r="J55" s="238" t="s">
        <v>3637</v>
      </c>
      <c r="K55" s="239" t="s">
        <v>3739</v>
      </c>
      <c r="L55" s="237"/>
      <c r="M55" s="237"/>
      <c r="N55" s="237"/>
      <c r="O55" s="237"/>
      <c r="P55" s="237"/>
      <c r="Q55" s="237"/>
      <c r="R55" s="237"/>
      <c r="S55" s="237"/>
      <c r="T55" s="237"/>
      <c r="U55" s="237"/>
      <c r="V55" s="237"/>
      <c r="W55" s="237"/>
      <c r="X55" s="237"/>
      <c r="Y55" s="237"/>
      <c r="Z55" s="237"/>
      <c r="AA55" s="237"/>
      <c r="AB55" s="237"/>
    </row>
    <row r="56">
      <c r="A56" s="238">
        <v>55.0</v>
      </c>
      <c r="B56" s="239" t="s">
        <v>3743</v>
      </c>
      <c r="C56" s="240" t="s">
        <v>3744</v>
      </c>
      <c r="D56" s="236"/>
      <c r="E56" s="240" t="s">
        <v>3511</v>
      </c>
      <c r="F56" s="240" t="s">
        <v>2351</v>
      </c>
      <c r="G56" s="238" t="s">
        <v>3745</v>
      </c>
      <c r="H56" s="241" t="s">
        <v>3746</v>
      </c>
      <c r="I56" s="236"/>
      <c r="J56" s="238" t="s">
        <v>3637</v>
      </c>
      <c r="K56" s="239" t="s">
        <v>3743</v>
      </c>
      <c r="L56" s="237"/>
      <c r="M56" s="237"/>
      <c r="N56" s="237"/>
      <c r="O56" s="237"/>
      <c r="P56" s="237"/>
      <c r="Q56" s="237"/>
      <c r="R56" s="237"/>
      <c r="S56" s="237"/>
      <c r="T56" s="237"/>
      <c r="U56" s="237"/>
      <c r="V56" s="237"/>
      <c r="W56" s="237"/>
      <c r="X56" s="237"/>
      <c r="Y56" s="237"/>
      <c r="Z56" s="237"/>
      <c r="AA56" s="237"/>
      <c r="AB56" s="237"/>
    </row>
    <row r="57">
      <c r="A57" s="238">
        <v>56.0</v>
      </c>
      <c r="B57" s="239" t="s">
        <v>3747</v>
      </c>
      <c r="C57" s="240" t="s">
        <v>3748</v>
      </c>
      <c r="D57" s="236"/>
      <c r="E57" s="240" t="s">
        <v>3511</v>
      </c>
      <c r="F57" s="240" t="s">
        <v>2365</v>
      </c>
      <c r="G57" s="238" t="s">
        <v>3749</v>
      </c>
      <c r="H57" s="240" t="s">
        <v>3750</v>
      </c>
      <c r="I57" s="236"/>
      <c r="J57" s="238" t="s">
        <v>3637</v>
      </c>
      <c r="K57" s="239" t="s">
        <v>3747</v>
      </c>
      <c r="L57" s="237"/>
      <c r="M57" s="237"/>
      <c r="N57" s="237"/>
      <c r="O57" s="237"/>
      <c r="P57" s="237"/>
      <c r="Q57" s="237"/>
      <c r="R57" s="237"/>
      <c r="S57" s="237"/>
      <c r="T57" s="237"/>
      <c r="U57" s="237"/>
      <c r="V57" s="237"/>
      <c r="W57" s="237"/>
      <c r="X57" s="237"/>
      <c r="Y57" s="237"/>
      <c r="Z57" s="237"/>
      <c r="AA57" s="237"/>
      <c r="AB57" s="237"/>
    </row>
    <row r="58">
      <c r="A58" s="238">
        <v>57.0</v>
      </c>
      <c r="B58" s="239" t="s">
        <v>3751</v>
      </c>
      <c r="C58" s="240" t="s">
        <v>3752</v>
      </c>
      <c r="D58" s="236"/>
      <c r="E58" s="240" t="s">
        <v>3511</v>
      </c>
      <c r="F58" s="240" t="s">
        <v>2366</v>
      </c>
      <c r="G58" s="238" t="s">
        <v>3753</v>
      </c>
      <c r="H58" s="240" t="s">
        <v>3754</v>
      </c>
      <c r="I58" s="236"/>
      <c r="J58" s="238" t="s">
        <v>3637</v>
      </c>
      <c r="K58" s="239" t="s">
        <v>3751</v>
      </c>
      <c r="L58" s="237"/>
      <c r="M58" s="237"/>
      <c r="N58" s="237"/>
      <c r="O58" s="237"/>
      <c r="P58" s="237"/>
      <c r="Q58" s="237"/>
      <c r="R58" s="237"/>
      <c r="S58" s="237"/>
      <c r="T58" s="237"/>
      <c r="U58" s="237"/>
      <c r="V58" s="237"/>
      <c r="W58" s="237"/>
      <c r="X58" s="237"/>
      <c r="Y58" s="237"/>
      <c r="Z58" s="237"/>
      <c r="AA58" s="237"/>
      <c r="AB58" s="237"/>
    </row>
    <row r="59">
      <c r="A59" s="238">
        <v>58.0</v>
      </c>
      <c r="B59" s="239" t="s">
        <v>3755</v>
      </c>
      <c r="C59" s="240" t="s">
        <v>3756</v>
      </c>
      <c r="D59" s="236"/>
      <c r="E59" s="240" t="s">
        <v>3511</v>
      </c>
      <c r="F59" s="240" t="s">
        <v>2367</v>
      </c>
      <c r="G59" s="238" t="s">
        <v>3757</v>
      </c>
      <c r="H59" s="240" t="s">
        <v>3758</v>
      </c>
      <c r="I59" s="236"/>
      <c r="J59" s="238" t="s">
        <v>3637</v>
      </c>
      <c r="K59" s="239" t="s">
        <v>3755</v>
      </c>
      <c r="L59" s="237"/>
      <c r="M59" s="237"/>
      <c r="N59" s="237"/>
      <c r="O59" s="237"/>
      <c r="P59" s="237"/>
      <c r="Q59" s="237"/>
      <c r="R59" s="237"/>
      <c r="S59" s="237"/>
      <c r="T59" s="237"/>
      <c r="U59" s="237"/>
      <c r="V59" s="237"/>
      <c r="W59" s="237"/>
      <c r="X59" s="237"/>
      <c r="Y59" s="237"/>
      <c r="Z59" s="237"/>
      <c r="AA59" s="237"/>
      <c r="AB59" s="237"/>
    </row>
    <row r="60">
      <c r="A60" s="238">
        <v>59.0</v>
      </c>
      <c r="B60" s="239" t="s">
        <v>3759</v>
      </c>
      <c r="C60" s="240" t="s">
        <v>3760</v>
      </c>
      <c r="D60" s="236"/>
      <c r="E60" s="240" t="s">
        <v>3511</v>
      </c>
      <c r="F60" s="240" t="s">
        <v>3761</v>
      </c>
      <c r="G60" s="238" t="s">
        <v>3762</v>
      </c>
      <c r="H60" s="241" t="s">
        <v>3763</v>
      </c>
      <c r="I60" s="236"/>
      <c r="J60" s="238" t="s">
        <v>3545</v>
      </c>
      <c r="K60" s="239" t="s">
        <v>3759</v>
      </c>
      <c r="L60" s="237"/>
      <c r="M60" s="237"/>
      <c r="N60" s="237"/>
      <c r="O60" s="237"/>
      <c r="P60" s="237"/>
      <c r="Q60" s="237"/>
      <c r="R60" s="237"/>
      <c r="S60" s="237"/>
      <c r="T60" s="237"/>
      <c r="U60" s="237"/>
      <c r="V60" s="237"/>
      <c r="W60" s="237"/>
      <c r="X60" s="237"/>
      <c r="Y60" s="237"/>
      <c r="Z60" s="237"/>
      <c r="AA60" s="237"/>
      <c r="AB60" s="237"/>
    </row>
    <row r="61">
      <c r="A61" s="238">
        <v>60.0</v>
      </c>
      <c r="B61" s="239" t="s">
        <v>3764</v>
      </c>
      <c r="C61" s="240" t="s">
        <v>3765</v>
      </c>
      <c r="D61" s="236"/>
      <c r="E61" s="240" t="s">
        <v>3511</v>
      </c>
      <c r="F61" s="240" t="s">
        <v>3766</v>
      </c>
      <c r="G61" s="238" t="s">
        <v>3767</v>
      </c>
      <c r="H61" s="240" t="s">
        <v>3768</v>
      </c>
      <c r="I61" s="236"/>
      <c r="J61" s="238" t="s">
        <v>3545</v>
      </c>
      <c r="K61" s="239" t="s">
        <v>3764</v>
      </c>
      <c r="L61" s="237"/>
      <c r="M61" s="237"/>
      <c r="N61" s="237"/>
      <c r="O61" s="237"/>
      <c r="P61" s="237"/>
      <c r="Q61" s="237"/>
      <c r="R61" s="237"/>
      <c r="S61" s="237"/>
      <c r="T61" s="237"/>
      <c r="U61" s="237"/>
      <c r="V61" s="237"/>
      <c r="W61" s="237"/>
      <c r="X61" s="237"/>
      <c r="Y61" s="237"/>
      <c r="Z61" s="237"/>
      <c r="AA61" s="237"/>
      <c r="AB61" s="237"/>
    </row>
    <row r="62">
      <c r="A62" s="238">
        <v>61.0</v>
      </c>
      <c r="B62" s="239" t="s">
        <v>3769</v>
      </c>
      <c r="C62" s="240" t="s">
        <v>3770</v>
      </c>
      <c r="D62" s="236"/>
      <c r="E62" s="240" t="s">
        <v>3511</v>
      </c>
      <c r="F62" s="240" t="s">
        <v>3771</v>
      </c>
      <c r="G62" s="238" t="s">
        <v>3772</v>
      </c>
      <c r="H62" s="240" t="s">
        <v>3773</v>
      </c>
      <c r="I62" s="236"/>
      <c r="J62" s="238" t="s">
        <v>3545</v>
      </c>
      <c r="K62" s="239" t="s">
        <v>3769</v>
      </c>
      <c r="L62" s="237"/>
      <c r="M62" s="237"/>
      <c r="N62" s="237"/>
      <c r="O62" s="237"/>
      <c r="P62" s="237"/>
      <c r="Q62" s="237"/>
      <c r="R62" s="237"/>
      <c r="S62" s="237"/>
      <c r="T62" s="237"/>
      <c r="U62" s="237"/>
      <c r="V62" s="237"/>
      <c r="W62" s="237"/>
      <c r="X62" s="237"/>
      <c r="Y62" s="237"/>
      <c r="Z62" s="237"/>
      <c r="AA62" s="237"/>
      <c r="AB62" s="237"/>
    </row>
    <row r="63">
      <c r="A63" s="238">
        <v>62.0</v>
      </c>
      <c r="B63" s="239" t="s">
        <v>3774</v>
      </c>
      <c r="C63" s="240" t="s">
        <v>3775</v>
      </c>
      <c r="D63" s="236"/>
      <c r="E63" s="240" t="s">
        <v>3511</v>
      </c>
      <c r="F63" s="240" t="s">
        <v>3776</v>
      </c>
      <c r="G63" s="238" t="s">
        <v>3777</v>
      </c>
      <c r="H63" s="240" t="s">
        <v>3778</v>
      </c>
      <c r="I63" s="236"/>
      <c r="J63" s="238" t="s">
        <v>3545</v>
      </c>
      <c r="K63" s="239" t="s">
        <v>3774</v>
      </c>
      <c r="L63" s="237"/>
      <c r="M63" s="237"/>
      <c r="N63" s="237"/>
      <c r="O63" s="237"/>
      <c r="P63" s="237"/>
      <c r="Q63" s="237"/>
      <c r="R63" s="237"/>
      <c r="S63" s="237"/>
      <c r="T63" s="237"/>
      <c r="U63" s="237"/>
      <c r="V63" s="237"/>
      <c r="W63" s="237"/>
      <c r="X63" s="237"/>
      <c r="Y63" s="237"/>
      <c r="Z63" s="237"/>
      <c r="AA63" s="237"/>
      <c r="AB63" s="237"/>
    </row>
    <row r="64">
      <c r="A64" s="238">
        <v>63.0</v>
      </c>
      <c r="B64" s="242"/>
      <c r="C64" s="240" t="s">
        <v>3779</v>
      </c>
      <c r="D64" s="236"/>
      <c r="E64" s="240" t="s">
        <v>3511</v>
      </c>
      <c r="F64" s="240" t="s">
        <v>2356</v>
      </c>
      <c r="G64" s="238" t="s">
        <v>3780</v>
      </c>
      <c r="H64" s="240" t="s">
        <v>3781</v>
      </c>
      <c r="I64" s="236"/>
      <c r="J64" s="238" t="s">
        <v>3637</v>
      </c>
      <c r="K64" s="242"/>
      <c r="L64" s="237"/>
      <c r="M64" s="237"/>
      <c r="N64" s="237"/>
      <c r="O64" s="237"/>
      <c r="P64" s="237"/>
      <c r="Q64" s="237"/>
      <c r="R64" s="237"/>
      <c r="S64" s="237"/>
      <c r="T64" s="237"/>
      <c r="U64" s="237"/>
      <c r="V64" s="237"/>
      <c r="W64" s="237"/>
      <c r="X64" s="237"/>
      <c r="Y64" s="237"/>
      <c r="Z64" s="237"/>
      <c r="AA64" s="237"/>
      <c r="AB64" s="237"/>
    </row>
    <row r="65">
      <c r="A65" s="238">
        <v>64.0</v>
      </c>
      <c r="B65" s="242"/>
      <c r="C65" s="240" t="s">
        <v>3782</v>
      </c>
      <c r="D65" s="236"/>
      <c r="E65" s="240" t="s">
        <v>3496</v>
      </c>
      <c r="F65" s="240" t="s">
        <v>3783</v>
      </c>
      <c r="G65" s="238" t="s">
        <v>3784</v>
      </c>
      <c r="H65" s="236"/>
      <c r="I65" s="236"/>
      <c r="J65" s="238" t="s">
        <v>3637</v>
      </c>
      <c r="K65" s="242"/>
      <c r="L65" s="237"/>
      <c r="M65" s="237"/>
      <c r="N65" s="237"/>
      <c r="O65" s="237"/>
      <c r="P65" s="237"/>
      <c r="Q65" s="237"/>
      <c r="R65" s="237"/>
      <c r="S65" s="237"/>
      <c r="T65" s="237"/>
      <c r="U65" s="237"/>
      <c r="V65" s="237"/>
      <c r="W65" s="237"/>
      <c r="X65" s="237"/>
      <c r="Y65" s="237"/>
      <c r="Z65" s="237"/>
      <c r="AA65" s="237"/>
      <c r="AB65" s="237"/>
    </row>
    <row r="66">
      <c r="A66" s="238">
        <v>65.0</v>
      </c>
      <c r="B66" s="242"/>
      <c r="C66" s="240" t="s">
        <v>3785</v>
      </c>
      <c r="D66" s="236"/>
      <c r="E66" s="240" t="s">
        <v>3511</v>
      </c>
      <c r="F66" s="240" t="s">
        <v>2357</v>
      </c>
      <c r="G66" s="238" t="s">
        <v>3786</v>
      </c>
      <c r="H66" s="240" t="s">
        <v>3787</v>
      </c>
      <c r="I66" s="236"/>
      <c r="J66" s="238" t="s">
        <v>3637</v>
      </c>
      <c r="K66" s="242"/>
      <c r="L66" s="237"/>
      <c r="M66" s="237"/>
      <c r="N66" s="237"/>
      <c r="O66" s="237"/>
      <c r="P66" s="237"/>
      <c r="Q66" s="237"/>
      <c r="R66" s="237"/>
      <c r="S66" s="237"/>
      <c r="T66" s="237"/>
      <c r="U66" s="237"/>
      <c r="V66" s="237"/>
      <c r="W66" s="237"/>
      <c r="X66" s="237"/>
      <c r="Y66" s="237"/>
      <c r="Z66" s="237"/>
      <c r="AA66" s="237"/>
      <c r="AB66" s="237"/>
    </row>
    <row r="67">
      <c r="A67" s="238">
        <v>66.0</v>
      </c>
      <c r="B67" s="242"/>
      <c r="C67" s="240" t="s">
        <v>3788</v>
      </c>
      <c r="D67" s="236"/>
      <c r="E67" s="240" t="s">
        <v>3511</v>
      </c>
      <c r="F67" s="240" t="s">
        <v>2358</v>
      </c>
      <c r="G67" s="238" t="s">
        <v>3789</v>
      </c>
      <c r="H67" s="240" t="s">
        <v>3790</v>
      </c>
      <c r="I67" s="236"/>
      <c r="J67" s="238" t="s">
        <v>3637</v>
      </c>
      <c r="K67" s="242"/>
      <c r="L67" s="237"/>
      <c r="M67" s="237"/>
      <c r="N67" s="237"/>
      <c r="O67" s="237"/>
      <c r="P67" s="237"/>
      <c r="Q67" s="237"/>
      <c r="R67" s="237"/>
      <c r="S67" s="237"/>
      <c r="T67" s="237"/>
      <c r="U67" s="237"/>
      <c r="V67" s="237"/>
      <c r="W67" s="237"/>
      <c r="X67" s="237"/>
      <c r="Y67" s="237"/>
      <c r="Z67" s="237"/>
      <c r="AA67" s="237"/>
      <c r="AB67" s="237"/>
    </row>
    <row r="68">
      <c r="A68" s="238">
        <v>67.0</v>
      </c>
      <c r="B68" s="239" t="s">
        <v>3791</v>
      </c>
      <c r="C68" s="240" t="s">
        <v>3792</v>
      </c>
      <c r="D68" s="236"/>
      <c r="E68" s="240" t="s">
        <v>3511</v>
      </c>
      <c r="F68" s="240" t="s">
        <v>2296</v>
      </c>
      <c r="G68" s="238" t="s">
        <v>3793</v>
      </c>
      <c r="H68" s="240" t="s">
        <v>3794</v>
      </c>
      <c r="I68" s="236"/>
      <c r="J68" s="238" t="s">
        <v>3545</v>
      </c>
      <c r="K68" s="239" t="s">
        <v>3791</v>
      </c>
      <c r="L68" s="237"/>
      <c r="M68" s="237"/>
      <c r="N68" s="237"/>
      <c r="O68" s="237"/>
      <c r="P68" s="237"/>
      <c r="Q68" s="237"/>
      <c r="R68" s="237"/>
      <c r="S68" s="237"/>
      <c r="T68" s="237"/>
      <c r="U68" s="237"/>
      <c r="V68" s="237"/>
      <c r="W68" s="237"/>
      <c r="X68" s="237"/>
      <c r="Y68" s="237"/>
      <c r="Z68" s="237"/>
      <c r="AA68" s="237"/>
      <c r="AB68" s="237"/>
    </row>
    <row r="69">
      <c r="A69" s="238">
        <v>68.0</v>
      </c>
      <c r="B69" s="239" t="s">
        <v>3795</v>
      </c>
      <c r="C69" s="240" t="s">
        <v>3796</v>
      </c>
      <c r="D69" s="236"/>
      <c r="E69" s="240" t="s">
        <v>3511</v>
      </c>
      <c r="F69" s="240" t="s">
        <v>3797</v>
      </c>
      <c r="G69" s="238" t="s">
        <v>3798</v>
      </c>
      <c r="H69" s="240" t="s">
        <v>3799</v>
      </c>
      <c r="I69" s="236"/>
      <c r="J69" s="238" t="s">
        <v>3545</v>
      </c>
      <c r="K69" s="239" t="s">
        <v>3795</v>
      </c>
      <c r="L69" s="237"/>
      <c r="M69" s="237"/>
      <c r="N69" s="237"/>
      <c r="O69" s="237"/>
      <c r="P69" s="237"/>
      <c r="Q69" s="237"/>
      <c r="R69" s="237"/>
      <c r="S69" s="237"/>
      <c r="T69" s="237"/>
      <c r="U69" s="237"/>
      <c r="V69" s="237"/>
      <c r="W69" s="237"/>
      <c r="X69" s="237"/>
      <c r="Y69" s="237"/>
      <c r="Z69" s="237"/>
      <c r="AA69" s="237"/>
      <c r="AB69" s="237"/>
    </row>
    <row r="70">
      <c r="A70" s="238">
        <v>69.0</v>
      </c>
      <c r="B70" s="239" t="s">
        <v>3800</v>
      </c>
      <c r="C70" s="240" t="s">
        <v>3801</v>
      </c>
      <c r="D70" s="236"/>
      <c r="E70" s="240" t="s">
        <v>3511</v>
      </c>
      <c r="F70" s="240" t="s">
        <v>3802</v>
      </c>
      <c r="G70" s="238" t="s">
        <v>3803</v>
      </c>
      <c r="H70" s="240" t="s">
        <v>3804</v>
      </c>
      <c r="I70" s="236"/>
      <c r="J70" s="238" t="s">
        <v>3545</v>
      </c>
      <c r="K70" s="239" t="s">
        <v>3800</v>
      </c>
      <c r="L70" s="237"/>
      <c r="M70" s="237"/>
      <c r="N70" s="237"/>
      <c r="O70" s="237"/>
      <c r="P70" s="237"/>
      <c r="Q70" s="237"/>
      <c r="R70" s="237"/>
      <c r="S70" s="237"/>
      <c r="T70" s="237"/>
      <c r="U70" s="237"/>
      <c r="V70" s="237"/>
      <c r="W70" s="237"/>
      <c r="X70" s="237"/>
      <c r="Y70" s="237"/>
      <c r="Z70" s="237"/>
      <c r="AA70" s="237"/>
      <c r="AB70" s="237"/>
    </row>
    <row r="71">
      <c r="A71" s="238">
        <v>70.0</v>
      </c>
      <c r="B71" s="239" t="s">
        <v>3805</v>
      </c>
      <c r="C71" s="240" t="s">
        <v>3806</v>
      </c>
      <c r="D71" s="236"/>
      <c r="E71" s="240" t="s">
        <v>3511</v>
      </c>
      <c r="F71" s="240" t="s">
        <v>3807</v>
      </c>
      <c r="G71" s="238" t="s">
        <v>3808</v>
      </c>
      <c r="H71" s="240" t="s">
        <v>3809</v>
      </c>
      <c r="I71" s="236"/>
      <c r="J71" s="238" t="s">
        <v>3545</v>
      </c>
      <c r="K71" s="239" t="s">
        <v>3805</v>
      </c>
      <c r="L71" s="237"/>
      <c r="M71" s="237"/>
      <c r="N71" s="237"/>
      <c r="O71" s="237"/>
      <c r="P71" s="237"/>
      <c r="Q71" s="237"/>
      <c r="R71" s="237"/>
      <c r="S71" s="237"/>
      <c r="T71" s="237"/>
      <c r="U71" s="237"/>
      <c r="V71" s="237"/>
      <c r="W71" s="237"/>
      <c r="X71" s="237"/>
      <c r="Y71" s="237"/>
      <c r="Z71" s="237"/>
      <c r="AA71" s="237"/>
      <c r="AB71" s="237"/>
    </row>
    <row r="72">
      <c r="A72" s="238">
        <v>71.0</v>
      </c>
      <c r="B72" s="239" t="s">
        <v>3810</v>
      </c>
      <c r="C72" s="240" t="s">
        <v>3811</v>
      </c>
      <c r="D72" s="236"/>
      <c r="E72" s="240" t="s">
        <v>3511</v>
      </c>
      <c r="F72" s="240" t="s">
        <v>3812</v>
      </c>
      <c r="G72" s="238" t="s">
        <v>3813</v>
      </c>
      <c r="H72" s="240" t="s">
        <v>3814</v>
      </c>
      <c r="I72" s="236"/>
      <c r="J72" s="238" t="s">
        <v>3545</v>
      </c>
      <c r="K72" s="239" t="s">
        <v>3810</v>
      </c>
      <c r="L72" s="237"/>
      <c r="M72" s="237"/>
      <c r="N72" s="237"/>
      <c r="O72" s="237"/>
      <c r="P72" s="237"/>
      <c r="Q72" s="237"/>
      <c r="R72" s="237"/>
      <c r="S72" s="237"/>
      <c r="T72" s="237"/>
      <c r="U72" s="237"/>
      <c r="V72" s="237"/>
      <c r="W72" s="237"/>
      <c r="X72" s="237"/>
      <c r="Y72" s="237"/>
      <c r="Z72" s="237"/>
      <c r="AA72" s="237"/>
      <c r="AB72" s="237"/>
    </row>
    <row r="73">
      <c r="A73" s="238">
        <v>72.0</v>
      </c>
      <c r="B73" s="239" t="s">
        <v>3815</v>
      </c>
      <c r="C73" s="240" t="s">
        <v>3816</v>
      </c>
      <c r="D73" s="236"/>
      <c r="E73" s="240" t="s">
        <v>3511</v>
      </c>
      <c r="F73" s="240" t="s">
        <v>3817</v>
      </c>
      <c r="G73" s="238" t="s">
        <v>3818</v>
      </c>
      <c r="H73" s="240" t="s">
        <v>3819</v>
      </c>
      <c r="I73" s="236"/>
      <c r="J73" s="238" t="s">
        <v>3545</v>
      </c>
      <c r="K73" s="239" t="s">
        <v>3815</v>
      </c>
      <c r="L73" s="237"/>
      <c r="M73" s="237"/>
      <c r="N73" s="237"/>
      <c r="O73" s="237"/>
      <c r="P73" s="237"/>
      <c r="Q73" s="237"/>
      <c r="R73" s="237"/>
      <c r="S73" s="237"/>
      <c r="T73" s="237"/>
      <c r="U73" s="237"/>
      <c r="V73" s="237"/>
      <c r="W73" s="237"/>
      <c r="X73" s="237"/>
      <c r="Y73" s="237"/>
      <c r="Z73" s="237"/>
      <c r="AA73" s="237"/>
      <c r="AB73" s="237"/>
    </row>
    <row r="74">
      <c r="A74" s="238">
        <v>73.0</v>
      </c>
      <c r="B74" s="239" t="s">
        <v>3820</v>
      </c>
      <c r="C74" s="240" t="s">
        <v>3821</v>
      </c>
      <c r="D74" s="236"/>
      <c r="E74" s="240" t="s">
        <v>3511</v>
      </c>
      <c r="F74" s="240" t="s">
        <v>3822</v>
      </c>
      <c r="G74" s="238" t="s">
        <v>3823</v>
      </c>
      <c r="H74" s="240" t="s">
        <v>3824</v>
      </c>
      <c r="I74" s="236"/>
      <c r="J74" s="238" t="s">
        <v>3545</v>
      </c>
      <c r="K74" s="239" t="s">
        <v>3820</v>
      </c>
      <c r="L74" s="237"/>
      <c r="M74" s="237"/>
      <c r="N74" s="237"/>
      <c r="O74" s="237"/>
      <c r="P74" s="237"/>
      <c r="Q74" s="237"/>
      <c r="R74" s="237"/>
      <c r="S74" s="237"/>
      <c r="T74" s="237"/>
      <c r="U74" s="237"/>
      <c r="V74" s="237"/>
      <c r="W74" s="237"/>
      <c r="X74" s="237"/>
      <c r="Y74" s="237"/>
      <c r="Z74" s="237"/>
      <c r="AA74" s="237"/>
      <c r="AB74" s="237"/>
    </row>
    <row r="75">
      <c r="A75" s="238">
        <v>74.0</v>
      </c>
      <c r="B75" s="239" t="s">
        <v>3825</v>
      </c>
      <c r="C75" s="240" t="s">
        <v>3826</v>
      </c>
      <c r="D75" s="236"/>
      <c r="E75" s="240" t="s">
        <v>3511</v>
      </c>
      <c r="F75" s="240" t="s">
        <v>2297</v>
      </c>
      <c r="G75" s="238" t="s">
        <v>3827</v>
      </c>
      <c r="H75" s="240" t="s">
        <v>3828</v>
      </c>
      <c r="I75" s="236"/>
      <c r="J75" s="238" t="s">
        <v>3545</v>
      </c>
      <c r="K75" s="239" t="s">
        <v>3825</v>
      </c>
      <c r="L75" s="237"/>
      <c r="M75" s="237"/>
      <c r="N75" s="237"/>
      <c r="O75" s="237"/>
      <c r="P75" s="237"/>
      <c r="Q75" s="237"/>
      <c r="R75" s="237"/>
      <c r="S75" s="237"/>
      <c r="T75" s="237"/>
      <c r="U75" s="237"/>
      <c r="V75" s="237"/>
      <c r="W75" s="237"/>
      <c r="X75" s="237"/>
      <c r="Y75" s="237"/>
      <c r="Z75" s="237"/>
      <c r="AA75" s="237"/>
      <c r="AB75" s="237"/>
    </row>
    <row r="76">
      <c r="A76" s="238">
        <v>75.0</v>
      </c>
      <c r="B76" s="239" t="s">
        <v>3829</v>
      </c>
      <c r="C76" s="240" t="s">
        <v>3830</v>
      </c>
      <c r="D76" s="236"/>
      <c r="E76" s="240" t="s">
        <v>3511</v>
      </c>
      <c r="F76" s="240" t="s">
        <v>3831</v>
      </c>
      <c r="G76" s="238" t="s">
        <v>3832</v>
      </c>
      <c r="H76" s="240" t="s">
        <v>3833</v>
      </c>
      <c r="I76" s="236"/>
      <c r="J76" s="238" t="s">
        <v>3545</v>
      </c>
      <c r="K76" s="239" t="s">
        <v>3829</v>
      </c>
      <c r="L76" s="237"/>
      <c r="M76" s="237"/>
      <c r="N76" s="237"/>
      <c r="O76" s="237"/>
      <c r="P76" s="237"/>
      <c r="Q76" s="237"/>
      <c r="R76" s="237"/>
      <c r="S76" s="237"/>
      <c r="T76" s="237"/>
      <c r="U76" s="237"/>
      <c r="V76" s="237"/>
      <c r="W76" s="237"/>
      <c r="X76" s="237"/>
      <c r="Y76" s="237"/>
      <c r="Z76" s="237"/>
      <c r="AA76" s="237"/>
      <c r="AB76" s="237"/>
    </row>
    <row r="77">
      <c r="A77" s="238">
        <v>76.0</v>
      </c>
      <c r="B77" s="239" t="s">
        <v>3834</v>
      </c>
      <c r="C77" s="240" t="s">
        <v>3835</v>
      </c>
      <c r="D77" s="236"/>
      <c r="E77" s="240" t="s">
        <v>3511</v>
      </c>
      <c r="F77" s="240" t="s">
        <v>3836</v>
      </c>
      <c r="G77" s="238" t="s">
        <v>3837</v>
      </c>
      <c r="H77" s="240" t="s">
        <v>3838</v>
      </c>
      <c r="I77" s="236"/>
      <c r="J77" s="238" t="s">
        <v>3839</v>
      </c>
      <c r="K77" s="239" t="s">
        <v>3834</v>
      </c>
      <c r="L77" s="237"/>
      <c r="M77" s="237"/>
      <c r="N77" s="237"/>
      <c r="O77" s="237"/>
      <c r="P77" s="237"/>
      <c r="Q77" s="237"/>
      <c r="R77" s="237"/>
      <c r="S77" s="237"/>
      <c r="T77" s="237"/>
      <c r="U77" s="237"/>
      <c r="V77" s="237"/>
      <c r="W77" s="237"/>
      <c r="X77" s="237"/>
      <c r="Y77" s="237"/>
      <c r="Z77" s="237"/>
      <c r="AA77" s="237"/>
      <c r="AB77" s="237"/>
    </row>
    <row r="78">
      <c r="A78" s="238">
        <v>77.0</v>
      </c>
      <c r="B78" s="239" t="s">
        <v>3840</v>
      </c>
      <c r="C78" s="240" t="s">
        <v>3841</v>
      </c>
      <c r="D78" s="236"/>
      <c r="E78" s="240" t="s">
        <v>3511</v>
      </c>
      <c r="F78" s="240" t="s">
        <v>3842</v>
      </c>
      <c r="G78" s="238" t="s">
        <v>3843</v>
      </c>
      <c r="H78" s="240" t="s">
        <v>3844</v>
      </c>
      <c r="I78" s="236"/>
      <c r="J78" s="238" t="s">
        <v>3839</v>
      </c>
      <c r="K78" s="239" t="s">
        <v>3840</v>
      </c>
      <c r="L78" s="237"/>
      <c r="M78" s="237"/>
      <c r="N78" s="237"/>
      <c r="O78" s="237"/>
      <c r="P78" s="237"/>
      <c r="Q78" s="237"/>
      <c r="R78" s="237"/>
      <c r="S78" s="237"/>
      <c r="T78" s="237"/>
      <c r="U78" s="237"/>
      <c r="V78" s="237"/>
      <c r="W78" s="237"/>
      <c r="X78" s="237"/>
      <c r="Y78" s="237"/>
      <c r="Z78" s="237"/>
      <c r="AA78" s="237"/>
      <c r="AB78" s="237"/>
    </row>
    <row r="79">
      <c r="A79" s="238">
        <v>78.0</v>
      </c>
      <c r="B79" s="239" t="s">
        <v>3845</v>
      </c>
      <c r="C79" s="240" t="s">
        <v>3846</v>
      </c>
      <c r="D79" s="236"/>
      <c r="E79" s="240" t="s">
        <v>3511</v>
      </c>
      <c r="F79" s="240" t="s">
        <v>3847</v>
      </c>
      <c r="G79" s="238" t="s">
        <v>3848</v>
      </c>
      <c r="H79" s="240" t="s">
        <v>3849</v>
      </c>
      <c r="I79" s="236"/>
      <c r="J79" s="238" t="s">
        <v>3839</v>
      </c>
      <c r="K79" s="239" t="s">
        <v>3845</v>
      </c>
      <c r="L79" s="237"/>
      <c r="M79" s="237"/>
      <c r="N79" s="237"/>
      <c r="O79" s="237"/>
      <c r="P79" s="237"/>
      <c r="Q79" s="237"/>
      <c r="R79" s="237"/>
      <c r="S79" s="237"/>
      <c r="T79" s="237"/>
      <c r="U79" s="237"/>
      <c r="V79" s="237"/>
      <c r="W79" s="237"/>
      <c r="X79" s="237"/>
      <c r="Y79" s="237"/>
      <c r="Z79" s="237"/>
      <c r="AA79" s="237"/>
      <c r="AB79" s="237"/>
    </row>
    <row r="80">
      <c r="A80" s="238">
        <v>79.0</v>
      </c>
      <c r="B80" s="239" t="s">
        <v>3850</v>
      </c>
      <c r="C80" s="240" t="s">
        <v>3851</v>
      </c>
      <c r="D80" s="236"/>
      <c r="E80" s="240" t="s">
        <v>3511</v>
      </c>
      <c r="F80" s="240" t="s">
        <v>3852</v>
      </c>
      <c r="G80" s="238" t="s">
        <v>3853</v>
      </c>
      <c r="H80" s="240" t="s">
        <v>3854</v>
      </c>
      <c r="I80" s="236"/>
      <c r="J80" s="238" t="s">
        <v>3839</v>
      </c>
      <c r="K80" s="239" t="s">
        <v>3850</v>
      </c>
      <c r="L80" s="237"/>
      <c r="M80" s="237"/>
      <c r="N80" s="237"/>
      <c r="O80" s="237"/>
      <c r="P80" s="237"/>
      <c r="Q80" s="237"/>
      <c r="R80" s="237"/>
      <c r="S80" s="237"/>
      <c r="T80" s="237"/>
      <c r="U80" s="237"/>
      <c r="V80" s="237"/>
      <c r="W80" s="237"/>
      <c r="X80" s="237"/>
      <c r="Y80" s="237"/>
      <c r="Z80" s="237"/>
      <c r="AA80" s="237"/>
      <c r="AB80" s="237"/>
    </row>
    <row r="81">
      <c r="A81" s="238">
        <v>80.0</v>
      </c>
      <c r="B81" s="239" t="s">
        <v>3855</v>
      </c>
      <c r="C81" s="240" t="s">
        <v>3856</v>
      </c>
      <c r="D81" s="236"/>
      <c r="E81" s="240" t="s">
        <v>3511</v>
      </c>
      <c r="F81" s="240" t="s">
        <v>3857</v>
      </c>
      <c r="G81" s="238" t="s">
        <v>3858</v>
      </c>
      <c r="H81" s="240" t="s">
        <v>3859</v>
      </c>
      <c r="I81" s="236"/>
      <c r="J81" s="238" t="s">
        <v>3839</v>
      </c>
      <c r="K81" s="239" t="s">
        <v>3855</v>
      </c>
      <c r="L81" s="237"/>
      <c r="M81" s="237"/>
      <c r="N81" s="237"/>
      <c r="O81" s="237"/>
      <c r="P81" s="237"/>
      <c r="Q81" s="237"/>
      <c r="R81" s="237"/>
      <c r="S81" s="237"/>
      <c r="T81" s="237"/>
      <c r="U81" s="237"/>
      <c r="V81" s="237"/>
      <c r="W81" s="237"/>
      <c r="X81" s="237"/>
      <c r="Y81" s="237"/>
      <c r="Z81" s="237"/>
      <c r="AA81" s="237"/>
      <c r="AB81" s="237"/>
    </row>
    <row r="82">
      <c r="A82" s="238">
        <v>81.0</v>
      </c>
      <c r="B82" s="239" t="s">
        <v>3860</v>
      </c>
      <c r="C82" s="240" t="s">
        <v>3861</v>
      </c>
      <c r="D82" s="236"/>
      <c r="E82" s="240" t="s">
        <v>3511</v>
      </c>
      <c r="F82" s="240" t="s">
        <v>3862</v>
      </c>
      <c r="G82" s="238" t="s">
        <v>3863</v>
      </c>
      <c r="H82" s="240" t="s">
        <v>3864</v>
      </c>
      <c r="I82" s="236"/>
      <c r="J82" s="238" t="s">
        <v>3839</v>
      </c>
      <c r="K82" s="239" t="s">
        <v>3860</v>
      </c>
      <c r="L82" s="237"/>
      <c r="M82" s="237"/>
      <c r="N82" s="237"/>
      <c r="O82" s="237"/>
      <c r="P82" s="237"/>
      <c r="Q82" s="237"/>
      <c r="R82" s="237"/>
      <c r="S82" s="237"/>
      <c r="T82" s="237"/>
      <c r="U82" s="237"/>
      <c r="V82" s="237"/>
      <c r="W82" s="237"/>
      <c r="X82" s="237"/>
      <c r="Y82" s="237"/>
      <c r="Z82" s="237"/>
      <c r="AA82" s="237"/>
      <c r="AB82" s="237"/>
    </row>
    <row r="83">
      <c r="A83" s="238">
        <v>82.0</v>
      </c>
      <c r="B83" s="239" t="s">
        <v>3865</v>
      </c>
      <c r="C83" s="240" t="s">
        <v>3866</v>
      </c>
      <c r="D83" s="236"/>
      <c r="E83" s="240" t="s">
        <v>3511</v>
      </c>
      <c r="F83" s="240" t="s">
        <v>3867</v>
      </c>
      <c r="G83" s="238" t="s">
        <v>3868</v>
      </c>
      <c r="H83" s="240" t="s">
        <v>3869</v>
      </c>
      <c r="I83" s="236"/>
      <c r="J83" s="238" t="s">
        <v>3839</v>
      </c>
      <c r="K83" s="239" t="s">
        <v>3865</v>
      </c>
      <c r="L83" s="237"/>
      <c r="M83" s="237"/>
      <c r="N83" s="237"/>
      <c r="O83" s="237"/>
      <c r="P83" s="237"/>
      <c r="Q83" s="237"/>
      <c r="R83" s="237"/>
      <c r="S83" s="237"/>
      <c r="T83" s="237"/>
      <c r="U83" s="237"/>
      <c r="V83" s="237"/>
      <c r="W83" s="237"/>
      <c r="X83" s="237"/>
      <c r="Y83" s="237"/>
      <c r="Z83" s="237"/>
      <c r="AA83" s="237"/>
      <c r="AB83" s="237"/>
    </row>
    <row r="84">
      <c r="A84" s="238">
        <v>83.0</v>
      </c>
      <c r="B84" s="239" t="s">
        <v>3870</v>
      </c>
      <c r="C84" s="240" t="s">
        <v>3871</v>
      </c>
      <c r="D84" s="236"/>
      <c r="E84" s="240" t="s">
        <v>3511</v>
      </c>
      <c r="F84" s="240" t="s">
        <v>3872</v>
      </c>
      <c r="G84" s="238" t="s">
        <v>3873</v>
      </c>
      <c r="H84" s="240" t="s">
        <v>3874</v>
      </c>
      <c r="I84" s="236"/>
      <c r="J84" s="238" t="s">
        <v>3839</v>
      </c>
      <c r="K84" s="239" t="s">
        <v>3870</v>
      </c>
      <c r="L84" s="237"/>
      <c r="M84" s="237"/>
      <c r="N84" s="237"/>
      <c r="O84" s="237"/>
      <c r="P84" s="237"/>
      <c r="Q84" s="237"/>
      <c r="R84" s="237"/>
      <c r="S84" s="237"/>
      <c r="T84" s="237"/>
      <c r="U84" s="237"/>
      <c r="V84" s="237"/>
      <c r="W84" s="237"/>
      <c r="X84" s="237"/>
      <c r="Y84" s="237"/>
      <c r="Z84" s="237"/>
      <c r="AA84" s="237"/>
      <c r="AB84" s="237"/>
    </row>
    <row r="85">
      <c r="A85" s="238">
        <v>84.0</v>
      </c>
      <c r="B85" s="239" t="s">
        <v>3875</v>
      </c>
      <c r="C85" s="240" t="s">
        <v>3876</v>
      </c>
      <c r="D85" s="236"/>
      <c r="E85" s="240" t="s">
        <v>3511</v>
      </c>
      <c r="F85" s="240" t="s">
        <v>3877</v>
      </c>
      <c r="G85" s="238" t="s">
        <v>3878</v>
      </c>
      <c r="H85" s="240" t="s">
        <v>3879</v>
      </c>
      <c r="I85" s="236"/>
      <c r="J85" s="238" t="s">
        <v>3839</v>
      </c>
      <c r="K85" s="239" t="s">
        <v>3875</v>
      </c>
      <c r="L85" s="237"/>
      <c r="M85" s="237"/>
      <c r="N85" s="237"/>
      <c r="O85" s="237"/>
      <c r="P85" s="237"/>
      <c r="Q85" s="237"/>
      <c r="R85" s="237"/>
      <c r="S85" s="237"/>
      <c r="T85" s="237"/>
      <c r="U85" s="237"/>
      <c r="V85" s="237"/>
      <c r="W85" s="237"/>
      <c r="X85" s="237"/>
      <c r="Y85" s="237"/>
      <c r="Z85" s="237"/>
      <c r="AA85" s="237"/>
      <c r="AB85" s="237"/>
    </row>
    <row r="86">
      <c r="A86" s="238">
        <v>85.0</v>
      </c>
      <c r="B86" s="239" t="s">
        <v>3880</v>
      </c>
      <c r="C86" s="240" t="s">
        <v>3881</v>
      </c>
      <c r="D86" s="236"/>
      <c r="E86" s="240" t="s">
        <v>3511</v>
      </c>
      <c r="F86" s="240" t="s">
        <v>3882</v>
      </c>
      <c r="G86" s="238" t="s">
        <v>3883</v>
      </c>
      <c r="H86" s="240" t="s">
        <v>3884</v>
      </c>
      <c r="I86" s="236"/>
      <c r="J86" s="238" t="s">
        <v>3839</v>
      </c>
      <c r="K86" s="239" t="s">
        <v>3880</v>
      </c>
      <c r="L86" s="237"/>
      <c r="M86" s="237"/>
      <c r="N86" s="237"/>
      <c r="O86" s="237"/>
      <c r="P86" s="237"/>
      <c r="Q86" s="237"/>
      <c r="R86" s="237"/>
      <c r="S86" s="237"/>
      <c r="T86" s="237"/>
      <c r="U86" s="237"/>
      <c r="V86" s="237"/>
      <c r="W86" s="237"/>
      <c r="X86" s="237"/>
      <c r="Y86" s="237"/>
      <c r="Z86" s="237"/>
      <c r="AA86" s="237"/>
      <c r="AB86" s="237"/>
    </row>
    <row r="87">
      <c r="A87" s="238">
        <v>86.0</v>
      </c>
      <c r="B87" s="239" t="s">
        <v>3885</v>
      </c>
      <c r="C87" s="240" t="s">
        <v>3886</v>
      </c>
      <c r="D87" s="236"/>
      <c r="E87" s="240" t="s">
        <v>3511</v>
      </c>
      <c r="F87" s="240" t="s">
        <v>3887</v>
      </c>
      <c r="G87" s="238" t="s">
        <v>3888</v>
      </c>
      <c r="H87" s="240" t="s">
        <v>3889</v>
      </c>
      <c r="I87" s="236"/>
      <c r="J87" s="238" t="s">
        <v>3839</v>
      </c>
      <c r="K87" s="239" t="s">
        <v>3885</v>
      </c>
      <c r="L87" s="237"/>
      <c r="M87" s="237"/>
      <c r="N87" s="237"/>
      <c r="O87" s="237"/>
      <c r="P87" s="237"/>
      <c r="Q87" s="237"/>
      <c r="R87" s="237"/>
      <c r="S87" s="237"/>
      <c r="T87" s="237"/>
      <c r="U87" s="237"/>
      <c r="V87" s="237"/>
      <c r="W87" s="237"/>
      <c r="X87" s="237"/>
      <c r="Y87" s="237"/>
      <c r="Z87" s="237"/>
      <c r="AA87" s="237"/>
      <c r="AB87" s="237"/>
    </row>
    <row r="88">
      <c r="A88" s="238">
        <v>87.0</v>
      </c>
      <c r="B88" s="239" t="s">
        <v>3890</v>
      </c>
      <c r="C88" s="240" t="s">
        <v>3891</v>
      </c>
      <c r="D88" s="236"/>
      <c r="E88" s="240" t="s">
        <v>3511</v>
      </c>
      <c r="F88" s="240" t="s">
        <v>3892</v>
      </c>
      <c r="G88" s="238" t="s">
        <v>3893</v>
      </c>
      <c r="H88" s="240" t="s">
        <v>3894</v>
      </c>
      <c r="I88" s="236"/>
      <c r="J88" s="238" t="s">
        <v>3839</v>
      </c>
      <c r="K88" s="239" t="s">
        <v>3890</v>
      </c>
      <c r="L88" s="237"/>
      <c r="M88" s="237"/>
      <c r="N88" s="237"/>
      <c r="O88" s="237"/>
      <c r="P88" s="237"/>
      <c r="Q88" s="237"/>
      <c r="R88" s="237"/>
      <c r="S88" s="237"/>
      <c r="T88" s="237"/>
      <c r="U88" s="237"/>
      <c r="V88" s="237"/>
      <c r="W88" s="237"/>
      <c r="X88" s="237"/>
      <c r="Y88" s="237"/>
      <c r="Z88" s="237"/>
      <c r="AA88" s="237"/>
      <c r="AB88" s="237"/>
    </row>
    <row r="89">
      <c r="A89" s="238">
        <v>88.0</v>
      </c>
      <c r="B89" s="239" t="s">
        <v>3890</v>
      </c>
      <c r="C89" s="241" t="s">
        <v>3895</v>
      </c>
      <c r="D89" s="236"/>
      <c r="E89" s="240" t="s">
        <v>3511</v>
      </c>
      <c r="F89" s="240" t="s">
        <v>3892</v>
      </c>
      <c r="G89" s="238" t="s">
        <v>3896</v>
      </c>
      <c r="H89" s="240" t="s">
        <v>3897</v>
      </c>
      <c r="I89" s="236"/>
      <c r="J89" s="238" t="s">
        <v>3839</v>
      </c>
      <c r="K89" s="239" t="s">
        <v>3890</v>
      </c>
      <c r="L89" s="237"/>
      <c r="M89" s="237"/>
      <c r="N89" s="237"/>
      <c r="O89" s="237"/>
      <c r="P89" s="237"/>
      <c r="Q89" s="237"/>
      <c r="R89" s="237"/>
      <c r="S89" s="237"/>
      <c r="T89" s="237"/>
      <c r="U89" s="237"/>
      <c r="V89" s="237"/>
      <c r="W89" s="237"/>
      <c r="X89" s="237"/>
      <c r="Y89" s="237"/>
      <c r="Z89" s="237"/>
      <c r="AA89" s="237"/>
      <c r="AB89" s="237"/>
    </row>
    <row r="90">
      <c r="A90" s="238">
        <v>89.0</v>
      </c>
      <c r="B90" s="239" t="s">
        <v>3898</v>
      </c>
      <c r="C90" s="240" t="s">
        <v>3899</v>
      </c>
      <c r="D90" s="236"/>
      <c r="E90" s="240" t="s">
        <v>3511</v>
      </c>
      <c r="F90" s="240" t="s">
        <v>3900</v>
      </c>
      <c r="G90" s="238" t="s">
        <v>3901</v>
      </c>
      <c r="H90" s="240" t="s">
        <v>3902</v>
      </c>
      <c r="I90" s="236"/>
      <c r="J90" s="238" t="s">
        <v>3839</v>
      </c>
      <c r="K90" s="239" t="s">
        <v>3898</v>
      </c>
      <c r="L90" s="237"/>
      <c r="M90" s="237"/>
      <c r="N90" s="237"/>
      <c r="O90" s="237"/>
      <c r="P90" s="237"/>
      <c r="Q90" s="237"/>
      <c r="R90" s="237"/>
      <c r="S90" s="237"/>
      <c r="T90" s="237"/>
      <c r="U90" s="237"/>
      <c r="V90" s="237"/>
      <c r="W90" s="237"/>
      <c r="X90" s="237"/>
      <c r="Y90" s="237"/>
      <c r="Z90" s="237"/>
      <c r="AA90" s="237"/>
      <c r="AB90" s="237"/>
    </row>
    <row r="91">
      <c r="A91" s="238">
        <v>90.0</v>
      </c>
      <c r="B91" s="239" t="s">
        <v>3903</v>
      </c>
      <c r="C91" s="240" t="s">
        <v>3904</v>
      </c>
      <c r="D91" s="236"/>
      <c r="E91" s="240" t="s">
        <v>3511</v>
      </c>
      <c r="F91" s="240" t="s">
        <v>3905</v>
      </c>
      <c r="G91" s="238" t="s">
        <v>3906</v>
      </c>
      <c r="H91" s="240" t="s">
        <v>3907</v>
      </c>
      <c r="I91" s="236"/>
      <c r="J91" s="238" t="s">
        <v>3839</v>
      </c>
      <c r="K91" s="239" t="s">
        <v>3903</v>
      </c>
      <c r="L91" s="237"/>
      <c r="M91" s="237"/>
      <c r="N91" s="237"/>
      <c r="O91" s="237"/>
      <c r="P91" s="237"/>
      <c r="Q91" s="237"/>
      <c r="R91" s="237"/>
      <c r="S91" s="237"/>
      <c r="T91" s="237"/>
      <c r="U91" s="237"/>
      <c r="V91" s="237"/>
      <c r="W91" s="237"/>
      <c r="X91" s="237"/>
      <c r="Y91" s="237"/>
      <c r="Z91" s="237"/>
      <c r="AA91" s="237"/>
      <c r="AB91" s="237"/>
    </row>
    <row r="92">
      <c r="A92" s="238">
        <v>91.0</v>
      </c>
      <c r="B92" s="239" t="s">
        <v>3908</v>
      </c>
      <c r="C92" s="240" t="s">
        <v>3909</v>
      </c>
      <c r="D92" s="236"/>
      <c r="E92" s="240" t="s">
        <v>3511</v>
      </c>
      <c r="F92" s="240" t="s">
        <v>3910</v>
      </c>
      <c r="G92" s="238" t="s">
        <v>3911</v>
      </c>
      <c r="H92" s="240" t="s">
        <v>3912</v>
      </c>
      <c r="I92" s="236"/>
      <c r="J92" s="238" t="s">
        <v>3839</v>
      </c>
      <c r="K92" s="239" t="s">
        <v>3908</v>
      </c>
      <c r="L92" s="237"/>
      <c r="M92" s="237"/>
      <c r="N92" s="237"/>
      <c r="O92" s="237"/>
      <c r="P92" s="237"/>
      <c r="Q92" s="237"/>
      <c r="R92" s="237"/>
      <c r="S92" s="237"/>
      <c r="T92" s="237"/>
      <c r="U92" s="237"/>
      <c r="V92" s="237"/>
      <c r="W92" s="237"/>
      <c r="X92" s="237"/>
      <c r="Y92" s="237"/>
      <c r="Z92" s="237"/>
      <c r="AA92" s="237"/>
      <c r="AB92" s="237"/>
    </row>
    <row r="93">
      <c r="A93" s="238">
        <v>92.0</v>
      </c>
      <c r="B93" s="239" t="s">
        <v>3913</v>
      </c>
      <c r="C93" s="240" t="s">
        <v>3914</v>
      </c>
      <c r="D93" s="236"/>
      <c r="E93" s="240" t="s">
        <v>3511</v>
      </c>
      <c r="F93" s="240" t="s">
        <v>3915</v>
      </c>
      <c r="G93" s="238" t="s">
        <v>3916</v>
      </c>
      <c r="H93" s="240" t="s">
        <v>3917</v>
      </c>
      <c r="I93" s="236"/>
      <c r="J93" s="238" t="s">
        <v>3839</v>
      </c>
      <c r="K93" s="239" t="s">
        <v>3913</v>
      </c>
      <c r="L93" s="237"/>
      <c r="M93" s="237"/>
      <c r="N93" s="237"/>
      <c r="O93" s="237"/>
      <c r="P93" s="237"/>
      <c r="Q93" s="237"/>
      <c r="R93" s="237"/>
      <c r="S93" s="237"/>
      <c r="T93" s="237"/>
      <c r="U93" s="237"/>
      <c r="V93" s="237"/>
      <c r="W93" s="237"/>
      <c r="X93" s="237"/>
      <c r="Y93" s="237"/>
      <c r="Z93" s="237"/>
      <c r="AA93" s="237"/>
      <c r="AB93" s="237"/>
    </row>
    <row r="94">
      <c r="A94" s="238">
        <v>93.0</v>
      </c>
      <c r="B94" s="239" t="s">
        <v>3918</v>
      </c>
      <c r="C94" s="240" t="s">
        <v>3919</v>
      </c>
      <c r="D94" s="236"/>
      <c r="E94" s="240" t="s">
        <v>3511</v>
      </c>
      <c r="F94" s="240" t="s">
        <v>3920</v>
      </c>
      <c r="G94" s="238" t="s">
        <v>3921</v>
      </c>
      <c r="H94" s="240" t="s">
        <v>3922</v>
      </c>
      <c r="I94" s="236"/>
      <c r="J94" s="238" t="s">
        <v>3839</v>
      </c>
      <c r="K94" s="239" t="s">
        <v>3918</v>
      </c>
      <c r="L94" s="237"/>
      <c r="M94" s="237"/>
      <c r="N94" s="237"/>
      <c r="O94" s="237"/>
      <c r="P94" s="237"/>
      <c r="Q94" s="237"/>
      <c r="R94" s="237"/>
      <c r="S94" s="237"/>
      <c r="T94" s="237"/>
      <c r="U94" s="237"/>
      <c r="V94" s="237"/>
      <c r="W94" s="237"/>
      <c r="X94" s="237"/>
      <c r="Y94" s="237"/>
      <c r="Z94" s="237"/>
      <c r="AA94" s="237"/>
      <c r="AB94" s="237"/>
    </row>
    <row r="95">
      <c r="A95" s="238">
        <v>94.0</v>
      </c>
      <c r="B95" s="239" t="s">
        <v>3923</v>
      </c>
      <c r="C95" s="240" t="s">
        <v>3924</v>
      </c>
      <c r="D95" s="243">
        <v>0.0</v>
      </c>
      <c r="E95" s="240" t="s">
        <v>3511</v>
      </c>
      <c r="F95" s="240" t="s">
        <v>3925</v>
      </c>
      <c r="G95" s="238" t="s">
        <v>3926</v>
      </c>
      <c r="H95" s="240" t="s">
        <v>3927</v>
      </c>
      <c r="I95" s="236"/>
      <c r="J95" s="236"/>
      <c r="K95" s="239" t="s">
        <v>3923</v>
      </c>
      <c r="L95" s="237"/>
      <c r="M95" s="237"/>
      <c r="N95" s="237"/>
      <c r="O95" s="237"/>
      <c r="P95" s="237"/>
      <c r="Q95" s="237"/>
      <c r="R95" s="237"/>
      <c r="S95" s="237"/>
      <c r="T95" s="237"/>
      <c r="U95" s="237"/>
      <c r="V95" s="237"/>
      <c r="W95" s="237"/>
      <c r="X95" s="237"/>
      <c r="Y95" s="237"/>
      <c r="Z95" s="237"/>
      <c r="AA95" s="237"/>
      <c r="AB95" s="237"/>
    </row>
    <row r="96">
      <c r="A96" s="238">
        <v>95.0</v>
      </c>
      <c r="B96" s="239" t="s">
        <v>3928</v>
      </c>
      <c r="C96" s="240" t="s">
        <v>3929</v>
      </c>
      <c r="D96" s="236"/>
      <c r="E96" s="240" t="s">
        <v>3511</v>
      </c>
      <c r="F96" s="240" t="s">
        <v>3930</v>
      </c>
      <c r="G96" s="238" t="s">
        <v>3931</v>
      </c>
      <c r="H96" s="241" t="s">
        <v>3932</v>
      </c>
      <c r="I96" s="236"/>
      <c r="J96" s="238" t="s">
        <v>3637</v>
      </c>
      <c r="K96" s="239" t="s">
        <v>3928</v>
      </c>
      <c r="L96" s="237"/>
      <c r="M96" s="237"/>
      <c r="N96" s="237"/>
      <c r="O96" s="237"/>
      <c r="P96" s="237"/>
      <c r="Q96" s="237"/>
      <c r="R96" s="237"/>
      <c r="S96" s="237"/>
      <c r="T96" s="237"/>
      <c r="U96" s="237"/>
      <c r="V96" s="237"/>
      <c r="W96" s="237"/>
      <c r="X96" s="237"/>
      <c r="Y96" s="237"/>
      <c r="Z96" s="237"/>
      <c r="AA96" s="237"/>
      <c r="AB96" s="237"/>
    </row>
    <row r="97">
      <c r="A97" s="238">
        <v>96.0</v>
      </c>
      <c r="B97" s="239" t="s">
        <v>3933</v>
      </c>
      <c r="C97" s="240" t="s">
        <v>3934</v>
      </c>
      <c r="D97" s="236"/>
      <c r="E97" s="240" t="s">
        <v>3511</v>
      </c>
      <c r="F97" s="240" t="s">
        <v>2363</v>
      </c>
      <c r="G97" s="238" t="s">
        <v>3935</v>
      </c>
      <c r="H97" s="240" t="s">
        <v>3936</v>
      </c>
      <c r="I97" s="236"/>
      <c r="J97" s="238" t="s">
        <v>3637</v>
      </c>
      <c r="K97" s="239" t="s">
        <v>3933</v>
      </c>
      <c r="L97" s="237"/>
      <c r="M97" s="237"/>
      <c r="N97" s="237"/>
      <c r="O97" s="237"/>
      <c r="P97" s="237"/>
      <c r="Q97" s="237"/>
      <c r="R97" s="237"/>
      <c r="S97" s="237"/>
      <c r="T97" s="237"/>
      <c r="U97" s="237"/>
      <c r="V97" s="237"/>
      <c r="W97" s="237"/>
      <c r="X97" s="237"/>
      <c r="Y97" s="237"/>
      <c r="Z97" s="237"/>
      <c r="AA97" s="237"/>
      <c r="AB97" s="237"/>
    </row>
    <row r="98">
      <c r="A98" s="238">
        <v>97.0</v>
      </c>
      <c r="B98" s="239" t="s">
        <v>3937</v>
      </c>
      <c r="C98" s="240" t="s">
        <v>3938</v>
      </c>
      <c r="D98" s="236"/>
      <c r="E98" s="240" t="s">
        <v>3511</v>
      </c>
      <c r="F98" s="240" t="s">
        <v>3939</v>
      </c>
      <c r="G98" s="238" t="s">
        <v>3940</v>
      </c>
      <c r="H98" s="240" t="s">
        <v>3941</v>
      </c>
      <c r="I98" s="236"/>
      <c r="J98" s="238" t="s">
        <v>3637</v>
      </c>
      <c r="K98" s="239" t="s">
        <v>3937</v>
      </c>
      <c r="L98" s="237"/>
      <c r="M98" s="237"/>
      <c r="N98" s="237"/>
      <c r="O98" s="237"/>
      <c r="P98" s="237"/>
      <c r="Q98" s="237"/>
      <c r="R98" s="237"/>
      <c r="S98" s="237"/>
      <c r="T98" s="237"/>
      <c r="U98" s="237"/>
      <c r="V98" s="237"/>
      <c r="W98" s="237"/>
      <c r="X98" s="237"/>
      <c r="Y98" s="237"/>
      <c r="Z98" s="237"/>
      <c r="AA98" s="237"/>
      <c r="AB98" s="237"/>
    </row>
    <row r="99">
      <c r="A99" s="238">
        <v>98.0</v>
      </c>
      <c r="B99" s="239" t="s">
        <v>3942</v>
      </c>
      <c r="C99" s="240" t="s">
        <v>3943</v>
      </c>
      <c r="D99" s="236"/>
      <c r="E99" s="240" t="s">
        <v>3511</v>
      </c>
      <c r="F99" s="240" t="s">
        <v>3944</v>
      </c>
      <c r="G99" s="238" t="s">
        <v>3945</v>
      </c>
      <c r="H99" s="240" t="s">
        <v>3946</v>
      </c>
      <c r="I99" s="236"/>
      <c r="J99" s="238" t="s">
        <v>3637</v>
      </c>
      <c r="K99" s="239" t="s">
        <v>3942</v>
      </c>
      <c r="L99" s="237"/>
      <c r="M99" s="237"/>
      <c r="N99" s="237"/>
      <c r="O99" s="237"/>
      <c r="P99" s="237"/>
      <c r="Q99" s="237"/>
      <c r="R99" s="237"/>
      <c r="S99" s="237"/>
      <c r="T99" s="237"/>
      <c r="U99" s="237"/>
      <c r="V99" s="237"/>
      <c r="W99" s="237"/>
      <c r="X99" s="237"/>
      <c r="Y99" s="237"/>
      <c r="Z99" s="237"/>
      <c r="AA99" s="237"/>
      <c r="AB99" s="237"/>
    </row>
    <row r="100">
      <c r="A100" s="238">
        <v>99.0</v>
      </c>
      <c r="B100" s="239" t="s">
        <v>3947</v>
      </c>
      <c r="C100" s="240" t="s">
        <v>3948</v>
      </c>
      <c r="D100" s="236"/>
      <c r="E100" s="240" t="s">
        <v>3511</v>
      </c>
      <c r="F100" s="240" t="s">
        <v>3949</v>
      </c>
      <c r="G100" s="238" t="s">
        <v>3950</v>
      </c>
      <c r="H100" s="240" t="s">
        <v>3951</v>
      </c>
      <c r="I100" s="236"/>
      <c r="J100" s="238" t="s">
        <v>3637</v>
      </c>
      <c r="K100" s="239" t="s">
        <v>3947</v>
      </c>
      <c r="L100" s="237"/>
      <c r="M100" s="237"/>
      <c r="N100" s="237"/>
      <c r="O100" s="237"/>
      <c r="P100" s="237"/>
      <c r="Q100" s="237"/>
      <c r="R100" s="237"/>
      <c r="S100" s="237"/>
      <c r="T100" s="237"/>
      <c r="U100" s="237"/>
      <c r="V100" s="237"/>
      <c r="W100" s="237"/>
      <c r="X100" s="237"/>
      <c r="Y100" s="237"/>
      <c r="Z100" s="237"/>
      <c r="AA100" s="237"/>
      <c r="AB100" s="237"/>
    </row>
    <row r="101">
      <c r="A101" s="238">
        <v>100.0</v>
      </c>
      <c r="B101" s="239" t="s">
        <v>3952</v>
      </c>
      <c r="C101" s="240" t="s">
        <v>3953</v>
      </c>
      <c r="D101" s="236"/>
      <c r="E101" s="240" t="s">
        <v>3511</v>
      </c>
      <c r="F101" s="241" t="s">
        <v>3954</v>
      </c>
      <c r="G101" s="238" t="s">
        <v>3955</v>
      </c>
      <c r="H101" s="241" t="s">
        <v>3956</v>
      </c>
      <c r="I101" s="236"/>
      <c r="J101" s="238" t="s">
        <v>3637</v>
      </c>
      <c r="K101" s="239" t="s">
        <v>3952</v>
      </c>
      <c r="L101" s="237"/>
      <c r="M101" s="237"/>
      <c r="N101" s="237"/>
      <c r="O101" s="237"/>
      <c r="P101" s="237"/>
      <c r="Q101" s="237"/>
      <c r="R101" s="237"/>
      <c r="S101" s="237"/>
      <c r="T101" s="237"/>
      <c r="U101" s="237"/>
      <c r="V101" s="237"/>
      <c r="W101" s="237"/>
      <c r="X101" s="237"/>
      <c r="Y101" s="237"/>
      <c r="Z101" s="237"/>
      <c r="AA101" s="237"/>
      <c r="AB101" s="237"/>
    </row>
    <row r="102">
      <c r="A102" s="238">
        <v>101.0</v>
      </c>
      <c r="B102" s="239" t="s">
        <v>3957</v>
      </c>
      <c r="C102" s="240" t="s">
        <v>3958</v>
      </c>
      <c r="D102" s="236"/>
      <c r="E102" s="240" t="s">
        <v>3511</v>
      </c>
      <c r="F102" s="240" t="s">
        <v>3959</v>
      </c>
      <c r="G102" s="238" t="s">
        <v>3960</v>
      </c>
      <c r="H102" s="240" t="s">
        <v>3961</v>
      </c>
      <c r="I102" s="236"/>
      <c r="J102" s="238" t="s">
        <v>3962</v>
      </c>
      <c r="K102" s="239" t="s">
        <v>3957</v>
      </c>
      <c r="L102" s="237"/>
      <c r="M102" s="237"/>
      <c r="N102" s="237"/>
      <c r="O102" s="237"/>
      <c r="P102" s="237"/>
      <c r="Q102" s="237"/>
      <c r="R102" s="237"/>
      <c r="S102" s="237"/>
      <c r="T102" s="237"/>
      <c r="U102" s="237"/>
      <c r="V102" s="237"/>
      <c r="W102" s="237"/>
      <c r="X102" s="237"/>
      <c r="Y102" s="237"/>
      <c r="Z102" s="237"/>
      <c r="AA102" s="237"/>
      <c r="AB102" s="237"/>
    </row>
    <row r="103">
      <c r="A103" s="238">
        <v>102.0</v>
      </c>
      <c r="B103" s="239" t="s">
        <v>3963</v>
      </c>
      <c r="C103" s="240" t="s">
        <v>3964</v>
      </c>
      <c r="D103" s="236"/>
      <c r="E103" s="240" t="s">
        <v>3511</v>
      </c>
      <c r="F103" s="240" t="s">
        <v>3965</v>
      </c>
      <c r="G103" s="238" t="s">
        <v>3966</v>
      </c>
      <c r="H103" s="240" t="s">
        <v>3967</v>
      </c>
      <c r="I103" s="236"/>
      <c r="J103" s="238" t="s">
        <v>3962</v>
      </c>
      <c r="K103" s="239" t="s">
        <v>3963</v>
      </c>
      <c r="L103" s="237"/>
      <c r="M103" s="237"/>
      <c r="N103" s="237"/>
      <c r="O103" s="237"/>
      <c r="P103" s="237"/>
      <c r="Q103" s="237"/>
      <c r="R103" s="237"/>
      <c r="S103" s="237"/>
      <c r="T103" s="237"/>
      <c r="U103" s="237"/>
      <c r="V103" s="237"/>
      <c r="W103" s="237"/>
      <c r="X103" s="237"/>
      <c r="Y103" s="237"/>
      <c r="Z103" s="237"/>
      <c r="AA103" s="237"/>
      <c r="AB103" s="237"/>
    </row>
    <row r="104">
      <c r="A104" s="238">
        <v>103.0</v>
      </c>
      <c r="B104" s="239" t="s">
        <v>3968</v>
      </c>
      <c r="C104" s="240" t="s">
        <v>3969</v>
      </c>
      <c r="D104" s="236"/>
      <c r="E104" s="240" t="s">
        <v>3511</v>
      </c>
      <c r="F104" s="240" t="s">
        <v>3970</v>
      </c>
      <c r="G104" s="238" t="s">
        <v>3971</v>
      </c>
      <c r="H104" s="240" t="s">
        <v>3972</v>
      </c>
      <c r="I104" s="236"/>
      <c r="J104" s="238" t="s">
        <v>3962</v>
      </c>
      <c r="K104" s="239" t="s">
        <v>3968</v>
      </c>
      <c r="L104" s="237"/>
      <c r="M104" s="237"/>
      <c r="N104" s="237"/>
      <c r="O104" s="237"/>
      <c r="P104" s="237"/>
      <c r="Q104" s="237"/>
      <c r="R104" s="237"/>
      <c r="S104" s="237"/>
      <c r="T104" s="237"/>
      <c r="U104" s="237"/>
      <c r="V104" s="237"/>
      <c r="W104" s="237"/>
      <c r="X104" s="237"/>
      <c r="Y104" s="237"/>
      <c r="Z104" s="237"/>
      <c r="AA104" s="237"/>
      <c r="AB104" s="237"/>
    </row>
    <row r="105">
      <c r="A105" s="238">
        <v>104.0</v>
      </c>
      <c r="B105" s="239" t="s">
        <v>3973</v>
      </c>
      <c r="C105" s="240" t="s">
        <v>3974</v>
      </c>
      <c r="D105" s="236"/>
      <c r="E105" s="240" t="s">
        <v>3511</v>
      </c>
      <c r="F105" s="240" t="s">
        <v>3975</v>
      </c>
      <c r="G105" s="238" t="s">
        <v>3976</v>
      </c>
      <c r="H105" s="240" t="s">
        <v>3977</v>
      </c>
      <c r="I105" s="236"/>
      <c r="J105" s="238" t="s">
        <v>3545</v>
      </c>
      <c r="K105" s="239" t="s">
        <v>3973</v>
      </c>
      <c r="L105" s="237"/>
      <c r="M105" s="237"/>
      <c r="N105" s="237"/>
      <c r="O105" s="237"/>
      <c r="P105" s="237"/>
      <c r="Q105" s="237"/>
      <c r="R105" s="237"/>
      <c r="S105" s="237"/>
      <c r="T105" s="237"/>
      <c r="U105" s="237"/>
      <c r="V105" s="237"/>
      <c r="W105" s="237"/>
      <c r="X105" s="237"/>
      <c r="Y105" s="237"/>
      <c r="Z105" s="237"/>
      <c r="AA105" s="237"/>
      <c r="AB105" s="237"/>
    </row>
    <row r="106">
      <c r="A106" s="238">
        <v>105.0</v>
      </c>
      <c r="B106" s="239" t="s">
        <v>3978</v>
      </c>
      <c r="C106" s="240" t="s">
        <v>3979</v>
      </c>
      <c r="D106" s="236"/>
      <c r="E106" s="240" t="s">
        <v>3511</v>
      </c>
      <c r="F106" s="240" t="s">
        <v>3980</v>
      </c>
      <c r="G106" s="238" t="s">
        <v>3981</v>
      </c>
      <c r="H106" s="240" t="s">
        <v>3982</v>
      </c>
      <c r="I106" s="236"/>
      <c r="J106" s="238" t="s">
        <v>3545</v>
      </c>
      <c r="K106" s="239" t="s">
        <v>3978</v>
      </c>
      <c r="L106" s="237"/>
      <c r="M106" s="237"/>
      <c r="N106" s="237"/>
      <c r="O106" s="237"/>
      <c r="P106" s="237"/>
      <c r="Q106" s="237"/>
      <c r="R106" s="237"/>
      <c r="S106" s="237"/>
      <c r="T106" s="237"/>
      <c r="U106" s="237"/>
      <c r="V106" s="237"/>
      <c r="W106" s="237"/>
      <c r="X106" s="237"/>
      <c r="Y106" s="237"/>
      <c r="Z106" s="237"/>
      <c r="AA106" s="237"/>
      <c r="AB106" s="237"/>
    </row>
    <row r="107">
      <c r="A107" s="238">
        <v>106.0</v>
      </c>
      <c r="B107" s="242"/>
      <c r="C107" s="240" t="s">
        <v>3983</v>
      </c>
      <c r="D107" s="236"/>
      <c r="E107" s="240" t="s">
        <v>3511</v>
      </c>
      <c r="F107" s="240" t="s">
        <v>2480</v>
      </c>
      <c r="G107" s="238" t="s">
        <v>3984</v>
      </c>
      <c r="H107" s="241" t="s">
        <v>3985</v>
      </c>
      <c r="I107" s="236"/>
      <c r="J107" s="238" t="s">
        <v>3986</v>
      </c>
      <c r="K107" s="242"/>
      <c r="L107" s="237"/>
      <c r="M107" s="237"/>
      <c r="N107" s="237"/>
      <c r="O107" s="237"/>
      <c r="P107" s="237"/>
      <c r="Q107" s="237"/>
      <c r="R107" s="237"/>
      <c r="S107" s="237"/>
      <c r="T107" s="237"/>
      <c r="U107" s="237"/>
      <c r="V107" s="237"/>
      <c r="W107" s="237"/>
      <c r="X107" s="237"/>
      <c r="Y107" s="237"/>
      <c r="Z107" s="237"/>
      <c r="AA107" s="237"/>
      <c r="AB107" s="237"/>
    </row>
    <row r="108">
      <c r="A108" s="238">
        <v>107.0</v>
      </c>
      <c r="B108" s="239" t="s">
        <v>3987</v>
      </c>
      <c r="C108" s="240" t="s">
        <v>3988</v>
      </c>
      <c r="D108" s="236"/>
      <c r="E108" s="240" t="s">
        <v>3511</v>
      </c>
      <c r="F108" s="240" t="s">
        <v>3989</v>
      </c>
      <c r="G108" s="238" t="s">
        <v>3990</v>
      </c>
      <c r="H108" s="240" t="s">
        <v>3991</v>
      </c>
      <c r="I108" s="236"/>
      <c r="J108" s="238" t="s">
        <v>3545</v>
      </c>
      <c r="K108" s="239" t="s">
        <v>3987</v>
      </c>
      <c r="L108" s="237"/>
      <c r="M108" s="237"/>
      <c r="N108" s="237"/>
      <c r="O108" s="237"/>
      <c r="P108" s="237"/>
      <c r="Q108" s="237"/>
      <c r="R108" s="237"/>
      <c r="S108" s="237"/>
      <c r="T108" s="237"/>
      <c r="U108" s="237"/>
      <c r="V108" s="237"/>
      <c r="W108" s="237"/>
      <c r="X108" s="237"/>
      <c r="Y108" s="237"/>
      <c r="Z108" s="237"/>
      <c r="AA108" s="237"/>
      <c r="AB108" s="237"/>
    </row>
    <row r="109">
      <c r="A109" s="238">
        <v>108.0</v>
      </c>
      <c r="B109" s="242"/>
      <c r="C109" s="240" t="s">
        <v>3992</v>
      </c>
      <c r="D109" s="236"/>
      <c r="E109" s="240" t="s">
        <v>3511</v>
      </c>
      <c r="F109" s="240" t="s">
        <v>3993</v>
      </c>
      <c r="G109" s="238" t="s">
        <v>3994</v>
      </c>
      <c r="H109" s="240" t="s">
        <v>3995</v>
      </c>
      <c r="I109" s="236"/>
      <c r="J109" s="238" t="s">
        <v>3996</v>
      </c>
      <c r="K109" s="242"/>
      <c r="L109" s="237"/>
      <c r="M109" s="237"/>
      <c r="N109" s="237"/>
      <c r="O109" s="237"/>
      <c r="P109" s="237"/>
      <c r="Q109" s="237"/>
      <c r="R109" s="237"/>
      <c r="S109" s="237"/>
      <c r="T109" s="237"/>
      <c r="U109" s="237"/>
      <c r="V109" s="237"/>
      <c r="W109" s="237"/>
      <c r="X109" s="237"/>
      <c r="Y109" s="237"/>
      <c r="Z109" s="237"/>
      <c r="AA109" s="237"/>
      <c r="AB109" s="237"/>
    </row>
    <row r="110">
      <c r="A110" s="238">
        <v>109.0</v>
      </c>
      <c r="B110" s="239" t="s">
        <v>3997</v>
      </c>
      <c r="C110" s="240" t="s">
        <v>3998</v>
      </c>
      <c r="D110" s="236"/>
      <c r="E110" s="240" t="s">
        <v>3511</v>
      </c>
      <c r="F110" s="240" t="s">
        <v>3999</v>
      </c>
      <c r="G110" s="238" t="s">
        <v>4000</v>
      </c>
      <c r="H110" s="240" t="s">
        <v>4001</v>
      </c>
      <c r="I110" s="236"/>
      <c r="J110" s="238" t="s">
        <v>3986</v>
      </c>
      <c r="K110" s="239" t="s">
        <v>3997</v>
      </c>
      <c r="L110" s="237"/>
      <c r="M110" s="237"/>
      <c r="N110" s="237"/>
      <c r="O110" s="237"/>
      <c r="P110" s="237"/>
      <c r="Q110" s="237"/>
      <c r="R110" s="237"/>
      <c r="S110" s="237"/>
      <c r="T110" s="237"/>
      <c r="U110" s="237"/>
      <c r="V110" s="237"/>
      <c r="W110" s="237"/>
      <c r="X110" s="237"/>
      <c r="Y110" s="237"/>
      <c r="Z110" s="237"/>
      <c r="AA110" s="237"/>
      <c r="AB110" s="237"/>
    </row>
    <row r="111">
      <c r="A111" s="238">
        <v>110.0</v>
      </c>
      <c r="B111" s="239" t="s">
        <v>4002</v>
      </c>
      <c r="C111" s="240" t="s">
        <v>4003</v>
      </c>
      <c r="D111" s="236"/>
      <c r="E111" s="240" t="s">
        <v>3511</v>
      </c>
      <c r="F111" s="240" t="s">
        <v>4004</v>
      </c>
      <c r="G111" s="238" t="s">
        <v>4005</v>
      </c>
      <c r="H111" s="240" t="s">
        <v>4006</v>
      </c>
      <c r="I111" s="236"/>
      <c r="J111" s="238" t="s">
        <v>3986</v>
      </c>
      <c r="K111" s="239" t="s">
        <v>4002</v>
      </c>
      <c r="L111" s="237"/>
      <c r="M111" s="237"/>
      <c r="N111" s="237"/>
      <c r="O111" s="237"/>
      <c r="P111" s="237"/>
      <c r="Q111" s="237"/>
      <c r="R111" s="237"/>
      <c r="S111" s="237"/>
      <c r="T111" s="237"/>
      <c r="U111" s="237"/>
      <c r="V111" s="237"/>
      <c r="W111" s="237"/>
      <c r="X111" s="237"/>
      <c r="Y111" s="237"/>
      <c r="Z111" s="237"/>
      <c r="AA111" s="237"/>
      <c r="AB111" s="237"/>
    </row>
    <row r="112">
      <c r="A112" s="238">
        <v>111.0</v>
      </c>
      <c r="B112" s="239" t="s">
        <v>4007</v>
      </c>
      <c r="C112" s="240" t="s">
        <v>4008</v>
      </c>
      <c r="D112" s="236"/>
      <c r="E112" s="240" t="s">
        <v>3511</v>
      </c>
      <c r="F112" s="240" t="s">
        <v>4009</v>
      </c>
      <c r="G112" s="243" t="s">
        <v>4010</v>
      </c>
      <c r="H112" s="240" t="s">
        <v>4011</v>
      </c>
      <c r="I112" s="236"/>
      <c r="J112" s="238" t="s">
        <v>3986</v>
      </c>
      <c r="K112" s="239" t="s">
        <v>4007</v>
      </c>
      <c r="L112" s="237"/>
      <c r="M112" s="237"/>
      <c r="N112" s="237"/>
      <c r="O112" s="237"/>
      <c r="P112" s="237"/>
      <c r="Q112" s="237"/>
      <c r="R112" s="237"/>
      <c r="S112" s="237"/>
      <c r="T112" s="237"/>
      <c r="U112" s="237"/>
      <c r="V112" s="237"/>
      <c r="W112" s="237"/>
      <c r="X112" s="237"/>
      <c r="Y112" s="237"/>
      <c r="Z112" s="237"/>
      <c r="AA112" s="237"/>
      <c r="AB112" s="237"/>
    </row>
    <row r="113">
      <c r="A113" s="238">
        <v>112.0</v>
      </c>
      <c r="B113" s="239" t="s">
        <v>4012</v>
      </c>
      <c r="C113" s="240" t="s">
        <v>4013</v>
      </c>
      <c r="D113" s="236"/>
      <c r="E113" s="240" t="s">
        <v>3511</v>
      </c>
      <c r="F113" s="240" t="s">
        <v>4014</v>
      </c>
      <c r="G113" s="238" t="s">
        <v>4015</v>
      </c>
      <c r="H113" s="240" t="s">
        <v>4016</v>
      </c>
      <c r="I113" s="236"/>
      <c r="J113" s="238" t="s">
        <v>3986</v>
      </c>
      <c r="K113" s="239" t="s">
        <v>4012</v>
      </c>
      <c r="L113" s="237"/>
      <c r="M113" s="237"/>
      <c r="N113" s="237"/>
      <c r="O113" s="237"/>
      <c r="P113" s="237"/>
      <c r="Q113" s="237"/>
      <c r="R113" s="237"/>
      <c r="S113" s="237"/>
      <c r="T113" s="237"/>
      <c r="U113" s="237"/>
      <c r="V113" s="237"/>
      <c r="W113" s="237"/>
      <c r="X113" s="237"/>
      <c r="Y113" s="237"/>
      <c r="Z113" s="237"/>
      <c r="AA113" s="237"/>
      <c r="AB113" s="237"/>
    </row>
    <row r="114">
      <c r="A114" s="238">
        <v>113.0</v>
      </c>
      <c r="B114" s="239" t="s">
        <v>4017</v>
      </c>
      <c r="C114" s="240" t="s">
        <v>4018</v>
      </c>
      <c r="D114" s="236"/>
      <c r="E114" s="240" t="s">
        <v>3511</v>
      </c>
      <c r="F114" s="240" t="s">
        <v>4019</v>
      </c>
      <c r="G114" s="238" t="s">
        <v>4020</v>
      </c>
      <c r="H114" s="240" t="s">
        <v>4021</v>
      </c>
      <c r="I114" s="236"/>
      <c r="J114" s="238" t="s">
        <v>3986</v>
      </c>
      <c r="K114" s="239" t="s">
        <v>4017</v>
      </c>
      <c r="L114" s="237"/>
      <c r="M114" s="237"/>
      <c r="N114" s="237"/>
      <c r="O114" s="237"/>
      <c r="P114" s="237"/>
      <c r="Q114" s="237"/>
      <c r="R114" s="237"/>
      <c r="S114" s="237"/>
      <c r="T114" s="237"/>
      <c r="U114" s="237"/>
      <c r="V114" s="237"/>
      <c r="W114" s="237"/>
      <c r="X114" s="237"/>
      <c r="Y114" s="237"/>
      <c r="Z114" s="237"/>
      <c r="AA114" s="237"/>
      <c r="AB114" s="237"/>
    </row>
    <row r="115">
      <c r="A115" s="238">
        <v>114.0</v>
      </c>
      <c r="B115" s="242"/>
      <c r="C115" s="240" t="s">
        <v>4022</v>
      </c>
      <c r="D115" s="236"/>
      <c r="E115" s="240" t="s">
        <v>3511</v>
      </c>
      <c r="F115" s="240" t="s">
        <v>2560</v>
      </c>
      <c r="G115" s="238" t="s">
        <v>4023</v>
      </c>
      <c r="H115" s="240" t="s">
        <v>4024</v>
      </c>
      <c r="I115" s="236"/>
      <c r="J115" s="238" t="s">
        <v>3986</v>
      </c>
      <c r="K115" s="242"/>
      <c r="L115" s="237"/>
      <c r="M115" s="237"/>
      <c r="N115" s="237"/>
      <c r="O115" s="237"/>
      <c r="P115" s="237"/>
      <c r="Q115" s="237"/>
      <c r="R115" s="237"/>
      <c r="S115" s="237"/>
      <c r="T115" s="237"/>
      <c r="U115" s="237"/>
      <c r="V115" s="237"/>
      <c r="W115" s="237"/>
      <c r="X115" s="237"/>
      <c r="Y115" s="237"/>
      <c r="Z115" s="237"/>
      <c r="AA115" s="237"/>
      <c r="AB115" s="237"/>
    </row>
    <row r="116">
      <c r="A116" s="238">
        <v>115.0</v>
      </c>
      <c r="B116" s="242"/>
      <c r="C116" s="240" t="s">
        <v>4025</v>
      </c>
      <c r="D116" s="236"/>
      <c r="E116" s="240" t="s">
        <v>3511</v>
      </c>
      <c r="F116" s="240" t="s">
        <v>2563</v>
      </c>
      <c r="G116" s="238" t="s">
        <v>4026</v>
      </c>
      <c r="H116" s="240" t="s">
        <v>4027</v>
      </c>
      <c r="I116" s="236"/>
      <c r="J116" s="238" t="s">
        <v>3986</v>
      </c>
      <c r="K116" s="242"/>
      <c r="L116" s="237"/>
      <c r="M116" s="237"/>
      <c r="N116" s="237"/>
      <c r="O116" s="237"/>
      <c r="P116" s="237"/>
      <c r="Q116" s="237"/>
      <c r="R116" s="237"/>
      <c r="S116" s="237"/>
      <c r="T116" s="237"/>
      <c r="U116" s="237"/>
      <c r="V116" s="237"/>
      <c r="W116" s="237"/>
      <c r="X116" s="237"/>
      <c r="Y116" s="237"/>
      <c r="Z116" s="237"/>
      <c r="AA116" s="237"/>
      <c r="AB116" s="237"/>
    </row>
    <row r="117">
      <c r="A117" s="238">
        <v>116.0</v>
      </c>
      <c r="B117" s="242"/>
      <c r="C117" s="240" t="s">
        <v>4028</v>
      </c>
      <c r="D117" s="236"/>
      <c r="E117" s="240" t="s">
        <v>3511</v>
      </c>
      <c r="F117" s="240" t="s">
        <v>4029</v>
      </c>
      <c r="G117" s="238" t="s">
        <v>4030</v>
      </c>
      <c r="H117" s="240" t="s">
        <v>4031</v>
      </c>
      <c r="I117" s="236"/>
      <c r="J117" s="238" t="s">
        <v>3986</v>
      </c>
      <c r="K117" s="242"/>
      <c r="L117" s="237"/>
      <c r="M117" s="237"/>
      <c r="N117" s="237"/>
      <c r="O117" s="237"/>
      <c r="P117" s="237"/>
      <c r="Q117" s="237"/>
      <c r="R117" s="237"/>
      <c r="S117" s="237"/>
      <c r="T117" s="237"/>
      <c r="U117" s="237"/>
      <c r="V117" s="237"/>
      <c r="W117" s="237"/>
      <c r="X117" s="237"/>
      <c r="Y117" s="237"/>
      <c r="Z117" s="237"/>
      <c r="AA117" s="237"/>
      <c r="AB117" s="237"/>
    </row>
    <row r="118">
      <c r="A118" s="238">
        <v>117.0</v>
      </c>
      <c r="B118" s="239" t="s">
        <v>3614</v>
      </c>
      <c r="C118" s="240" t="s">
        <v>4032</v>
      </c>
      <c r="D118" s="236"/>
      <c r="E118" s="240" t="s">
        <v>3511</v>
      </c>
      <c r="F118" s="240" t="s">
        <v>2306</v>
      </c>
      <c r="G118" s="238" t="s">
        <v>3616</v>
      </c>
      <c r="H118" s="240" t="s">
        <v>4033</v>
      </c>
      <c r="I118" s="236"/>
      <c r="J118" s="238" t="s">
        <v>3545</v>
      </c>
      <c r="K118" s="239" t="s">
        <v>3614</v>
      </c>
      <c r="L118" s="237"/>
      <c r="M118" s="237"/>
      <c r="N118" s="237"/>
      <c r="O118" s="237"/>
      <c r="P118" s="237"/>
      <c r="Q118" s="237"/>
      <c r="R118" s="237"/>
      <c r="S118" s="237"/>
      <c r="T118" s="237"/>
      <c r="U118" s="237"/>
      <c r="V118" s="237"/>
      <c r="W118" s="237"/>
      <c r="X118" s="237"/>
      <c r="Y118" s="237"/>
      <c r="Z118" s="237"/>
      <c r="AA118" s="237"/>
      <c r="AB118" s="237"/>
    </row>
    <row r="119">
      <c r="A119" s="238">
        <v>118.0</v>
      </c>
      <c r="B119" s="239" t="s">
        <v>3605</v>
      </c>
      <c r="C119" s="240" t="s">
        <v>4034</v>
      </c>
      <c r="D119" s="236"/>
      <c r="E119" s="240" t="s">
        <v>3511</v>
      </c>
      <c r="F119" s="240" t="s">
        <v>3607</v>
      </c>
      <c r="G119" s="238" t="s">
        <v>3608</v>
      </c>
      <c r="H119" s="240" t="s">
        <v>4035</v>
      </c>
      <c r="I119" s="236"/>
      <c r="J119" s="238" t="s">
        <v>3545</v>
      </c>
      <c r="K119" s="239" t="s">
        <v>3605</v>
      </c>
      <c r="L119" s="237"/>
      <c r="M119" s="237"/>
      <c r="N119" s="237"/>
      <c r="O119" s="237"/>
      <c r="P119" s="237"/>
      <c r="Q119" s="237"/>
      <c r="R119" s="237"/>
      <c r="S119" s="237"/>
      <c r="T119" s="237"/>
      <c r="U119" s="237"/>
      <c r="V119" s="237"/>
      <c r="W119" s="237"/>
      <c r="X119" s="237"/>
      <c r="Y119" s="237"/>
      <c r="Z119" s="237"/>
      <c r="AA119" s="237"/>
      <c r="AB119" s="237"/>
    </row>
    <row r="120">
      <c r="A120" s="238">
        <v>119.0</v>
      </c>
      <c r="B120" s="242"/>
      <c r="C120" s="240" t="s">
        <v>4036</v>
      </c>
      <c r="D120" s="236"/>
      <c r="E120" s="240" t="s">
        <v>3511</v>
      </c>
      <c r="F120" s="240" t="s">
        <v>3600</v>
      </c>
      <c r="G120" s="238" t="s">
        <v>3601</v>
      </c>
      <c r="H120" s="240" t="s">
        <v>4037</v>
      </c>
      <c r="I120" s="236"/>
      <c r="J120" s="238" t="s">
        <v>3545</v>
      </c>
      <c r="K120" s="242"/>
      <c r="L120" s="237"/>
      <c r="M120" s="237"/>
      <c r="N120" s="237"/>
      <c r="O120" s="237"/>
      <c r="P120" s="237"/>
      <c r="Q120" s="237"/>
      <c r="R120" s="237"/>
      <c r="S120" s="237"/>
      <c r="T120" s="237"/>
      <c r="U120" s="237"/>
      <c r="V120" s="237"/>
      <c r="W120" s="237"/>
      <c r="X120" s="237"/>
      <c r="Y120" s="237"/>
      <c r="Z120" s="237"/>
      <c r="AA120" s="237"/>
      <c r="AB120" s="237"/>
    </row>
    <row r="121">
      <c r="A121" s="238">
        <v>120.0</v>
      </c>
      <c r="B121" s="242"/>
      <c r="C121" s="240" t="s">
        <v>4038</v>
      </c>
      <c r="D121" s="236"/>
      <c r="E121" s="240" t="s">
        <v>3511</v>
      </c>
      <c r="F121" s="240" t="s">
        <v>3603</v>
      </c>
      <c r="G121" s="238" t="s">
        <v>3604</v>
      </c>
      <c r="H121" s="240" t="s">
        <v>4039</v>
      </c>
      <c r="I121" s="236"/>
      <c r="J121" s="238" t="s">
        <v>3545</v>
      </c>
      <c r="K121" s="242"/>
      <c r="L121" s="237"/>
      <c r="M121" s="237"/>
      <c r="N121" s="237"/>
      <c r="O121" s="237"/>
      <c r="P121" s="237"/>
      <c r="Q121" s="237"/>
      <c r="R121" s="237"/>
      <c r="S121" s="237"/>
      <c r="T121" s="237"/>
      <c r="U121" s="237"/>
      <c r="V121" s="237"/>
      <c r="W121" s="237"/>
      <c r="X121" s="237"/>
      <c r="Y121" s="237"/>
      <c r="Z121" s="237"/>
      <c r="AA121" s="237"/>
      <c r="AB121" s="237"/>
    </row>
    <row r="122">
      <c r="A122" s="238">
        <v>121.0</v>
      </c>
      <c r="B122" s="242"/>
      <c r="C122" s="240" t="s">
        <v>4040</v>
      </c>
      <c r="D122" s="236"/>
      <c r="E122" s="240" t="s">
        <v>3511</v>
      </c>
      <c r="F122" s="240" t="s">
        <v>4041</v>
      </c>
      <c r="G122" s="238" t="s">
        <v>4042</v>
      </c>
      <c r="H122" s="240" t="s">
        <v>4043</v>
      </c>
      <c r="I122" s="236"/>
      <c r="J122" s="238" t="s">
        <v>4044</v>
      </c>
      <c r="K122" s="242"/>
      <c r="L122" s="237"/>
      <c r="M122" s="237"/>
      <c r="N122" s="237"/>
      <c r="O122" s="237"/>
      <c r="P122" s="237"/>
      <c r="Q122" s="237"/>
      <c r="R122" s="237"/>
      <c r="S122" s="237"/>
      <c r="T122" s="237"/>
      <c r="U122" s="237"/>
      <c r="V122" s="237"/>
      <c r="W122" s="237"/>
      <c r="X122" s="237"/>
      <c r="Y122" s="237"/>
      <c r="Z122" s="237"/>
      <c r="AA122" s="237"/>
      <c r="AB122" s="237"/>
    </row>
    <row r="123">
      <c r="A123" s="238">
        <v>122.0</v>
      </c>
      <c r="B123" s="242"/>
      <c r="C123" s="240" t="s">
        <v>4045</v>
      </c>
      <c r="D123" s="236"/>
      <c r="E123" s="240" t="s">
        <v>3496</v>
      </c>
      <c r="F123" s="240" t="s">
        <v>4046</v>
      </c>
      <c r="G123" s="238" t="s">
        <v>4047</v>
      </c>
      <c r="H123" s="236"/>
      <c r="I123" s="236"/>
      <c r="J123" s="238" t="s">
        <v>3986</v>
      </c>
      <c r="K123" s="242"/>
      <c r="L123" s="237"/>
      <c r="M123" s="237"/>
      <c r="N123" s="237"/>
      <c r="O123" s="237"/>
      <c r="P123" s="237"/>
      <c r="Q123" s="237"/>
      <c r="R123" s="237"/>
      <c r="S123" s="237"/>
      <c r="T123" s="237"/>
      <c r="U123" s="237"/>
      <c r="V123" s="237"/>
      <c r="W123" s="237"/>
      <c r="X123" s="237"/>
      <c r="Y123" s="237"/>
      <c r="Z123" s="237"/>
      <c r="AA123" s="237"/>
      <c r="AB123" s="237"/>
    </row>
    <row r="124">
      <c r="A124" s="238">
        <v>123.0</v>
      </c>
      <c r="B124" s="242"/>
      <c r="C124" s="240" t="s">
        <v>4048</v>
      </c>
      <c r="D124" s="236"/>
      <c r="E124" s="240" t="s">
        <v>3496</v>
      </c>
      <c r="F124" s="240" t="s">
        <v>4049</v>
      </c>
      <c r="G124" s="238" t="s">
        <v>4050</v>
      </c>
      <c r="H124" s="236"/>
      <c r="I124" s="236"/>
      <c r="J124" s="238" t="s">
        <v>3986</v>
      </c>
      <c r="K124" s="242"/>
      <c r="L124" s="237"/>
      <c r="M124" s="237"/>
      <c r="N124" s="237"/>
      <c r="O124" s="237"/>
      <c r="P124" s="237"/>
      <c r="Q124" s="237"/>
      <c r="R124" s="237"/>
      <c r="S124" s="237"/>
      <c r="T124" s="237"/>
      <c r="U124" s="237"/>
      <c r="V124" s="237"/>
      <c r="W124" s="237"/>
      <c r="X124" s="237"/>
      <c r="Y124" s="237"/>
      <c r="Z124" s="237"/>
      <c r="AA124" s="237"/>
      <c r="AB124" s="237"/>
    </row>
    <row r="125">
      <c r="A125" s="238">
        <v>124.0</v>
      </c>
      <c r="B125" s="242"/>
      <c r="C125" s="240" t="s">
        <v>4051</v>
      </c>
      <c r="D125" s="236"/>
      <c r="E125" s="240" t="s">
        <v>3511</v>
      </c>
      <c r="F125" s="240" t="s">
        <v>2566</v>
      </c>
      <c r="G125" s="238" t="s">
        <v>4052</v>
      </c>
      <c r="H125" s="240" t="s">
        <v>4053</v>
      </c>
      <c r="I125" s="236"/>
      <c r="J125" s="238" t="s">
        <v>3986</v>
      </c>
      <c r="K125" s="242"/>
      <c r="L125" s="237"/>
      <c r="M125" s="237"/>
      <c r="N125" s="237"/>
      <c r="O125" s="237"/>
      <c r="P125" s="237"/>
      <c r="Q125" s="237"/>
      <c r="R125" s="237"/>
      <c r="S125" s="237"/>
      <c r="T125" s="237"/>
      <c r="U125" s="237"/>
      <c r="V125" s="237"/>
      <c r="W125" s="237"/>
      <c r="X125" s="237"/>
      <c r="Y125" s="237"/>
      <c r="Z125" s="237"/>
      <c r="AA125" s="237"/>
      <c r="AB125" s="237"/>
    </row>
    <row r="126">
      <c r="A126" s="238">
        <v>125.0</v>
      </c>
      <c r="B126" s="239" t="s">
        <v>4054</v>
      </c>
      <c r="C126" s="240" t="s">
        <v>4055</v>
      </c>
      <c r="D126" s="236"/>
      <c r="E126" s="240" t="s">
        <v>3511</v>
      </c>
      <c r="F126" s="241" t="s">
        <v>4056</v>
      </c>
      <c r="G126" s="238" t="s">
        <v>4057</v>
      </c>
      <c r="H126" s="240" t="s">
        <v>4058</v>
      </c>
      <c r="I126" s="236"/>
      <c r="J126" s="238" t="s">
        <v>3986</v>
      </c>
      <c r="K126" s="239" t="s">
        <v>4054</v>
      </c>
      <c r="L126" s="237"/>
      <c r="M126" s="237"/>
      <c r="N126" s="237"/>
      <c r="O126" s="237"/>
      <c r="P126" s="237"/>
      <c r="Q126" s="237"/>
      <c r="R126" s="237"/>
      <c r="S126" s="237"/>
      <c r="T126" s="237"/>
      <c r="U126" s="237"/>
      <c r="V126" s="237"/>
      <c r="W126" s="237"/>
      <c r="X126" s="237"/>
      <c r="Y126" s="237"/>
      <c r="Z126" s="237"/>
      <c r="AA126" s="237"/>
      <c r="AB126" s="237"/>
    </row>
    <row r="127">
      <c r="A127" s="238">
        <v>126.0</v>
      </c>
      <c r="B127" s="242"/>
      <c r="C127" s="240" t="s">
        <v>4059</v>
      </c>
      <c r="D127" s="236"/>
      <c r="E127" s="240" t="s">
        <v>3496</v>
      </c>
      <c r="F127" s="240" t="s">
        <v>4060</v>
      </c>
      <c r="G127" s="238" t="s">
        <v>4061</v>
      </c>
      <c r="H127" s="236"/>
      <c r="I127" s="236"/>
      <c r="J127" s="243" t="s">
        <v>3986</v>
      </c>
      <c r="K127" s="242"/>
      <c r="L127" s="237"/>
      <c r="M127" s="237"/>
      <c r="N127" s="237"/>
      <c r="O127" s="237"/>
      <c r="P127" s="237"/>
      <c r="Q127" s="237"/>
      <c r="R127" s="237"/>
      <c r="S127" s="237"/>
      <c r="T127" s="237"/>
      <c r="U127" s="237"/>
      <c r="V127" s="237"/>
      <c r="W127" s="237"/>
      <c r="X127" s="237"/>
      <c r="Y127" s="237"/>
      <c r="Z127" s="237"/>
      <c r="AA127" s="237"/>
      <c r="AB127" s="237"/>
    </row>
    <row r="128">
      <c r="A128" s="238">
        <v>127.0</v>
      </c>
      <c r="B128" s="239" t="s">
        <v>4062</v>
      </c>
      <c r="C128" s="240" t="s">
        <v>4063</v>
      </c>
      <c r="D128" s="236"/>
      <c r="E128" s="240" t="s">
        <v>3511</v>
      </c>
      <c r="F128" s="240" t="s">
        <v>4064</v>
      </c>
      <c r="G128" s="238" t="s">
        <v>4065</v>
      </c>
      <c r="H128" s="240" t="s">
        <v>4066</v>
      </c>
      <c r="I128" s="236"/>
      <c r="J128" s="238" t="s">
        <v>3986</v>
      </c>
      <c r="K128" s="239" t="s">
        <v>4062</v>
      </c>
      <c r="L128" s="237"/>
      <c r="M128" s="237"/>
      <c r="N128" s="237"/>
      <c r="O128" s="237"/>
      <c r="P128" s="237"/>
      <c r="Q128" s="237"/>
      <c r="R128" s="237"/>
      <c r="S128" s="237"/>
      <c r="T128" s="237"/>
      <c r="U128" s="237"/>
      <c r="V128" s="237"/>
      <c r="W128" s="237"/>
      <c r="X128" s="237"/>
      <c r="Y128" s="237"/>
      <c r="Z128" s="237"/>
      <c r="AA128" s="237"/>
      <c r="AB128" s="237"/>
    </row>
    <row r="129">
      <c r="A129" s="238">
        <v>128.0</v>
      </c>
      <c r="B129" s="239" t="s">
        <v>4067</v>
      </c>
      <c r="C129" s="240" t="s">
        <v>4068</v>
      </c>
      <c r="D129" s="236"/>
      <c r="E129" s="240" t="s">
        <v>3511</v>
      </c>
      <c r="F129" s="240" t="s">
        <v>4069</v>
      </c>
      <c r="G129" s="238" t="s">
        <v>4070</v>
      </c>
      <c r="H129" s="241" t="s">
        <v>4071</v>
      </c>
      <c r="I129" s="236"/>
      <c r="J129" s="243" t="s">
        <v>4072</v>
      </c>
      <c r="K129" s="239" t="s">
        <v>4067</v>
      </c>
      <c r="L129" s="237"/>
      <c r="M129" s="237"/>
      <c r="N129" s="237"/>
      <c r="O129" s="237"/>
      <c r="P129" s="237"/>
      <c r="Q129" s="237"/>
      <c r="R129" s="237"/>
      <c r="S129" s="237"/>
      <c r="T129" s="237"/>
      <c r="U129" s="237"/>
      <c r="V129" s="237"/>
      <c r="W129" s="237"/>
      <c r="X129" s="237"/>
      <c r="Y129" s="237"/>
      <c r="Z129" s="237"/>
      <c r="AA129" s="237"/>
      <c r="AB129" s="237"/>
    </row>
    <row r="130">
      <c r="A130" s="238">
        <v>129.0</v>
      </c>
      <c r="B130" s="242"/>
      <c r="C130" s="240" t="s">
        <v>4073</v>
      </c>
      <c r="D130" s="236"/>
      <c r="E130" s="240" t="s">
        <v>3511</v>
      </c>
      <c r="F130" s="240" t="s">
        <v>2467</v>
      </c>
      <c r="G130" s="238" t="s">
        <v>4074</v>
      </c>
      <c r="H130" s="240" t="s">
        <v>4075</v>
      </c>
      <c r="I130" s="236"/>
      <c r="J130" s="238" t="s">
        <v>3986</v>
      </c>
      <c r="K130" s="242"/>
      <c r="L130" s="237"/>
      <c r="M130" s="237"/>
      <c r="N130" s="237"/>
      <c r="O130" s="237"/>
      <c r="P130" s="237"/>
      <c r="Q130" s="237"/>
      <c r="R130" s="237"/>
      <c r="S130" s="237"/>
      <c r="T130" s="237"/>
      <c r="U130" s="237"/>
      <c r="V130" s="237"/>
      <c r="W130" s="237"/>
      <c r="X130" s="237"/>
      <c r="Y130" s="237"/>
      <c r="Z130" s="237"/>
      <c r="AA130" s="237"/>
      <c r="AB130" s="237"/>
    </row>
    <row r="131">
      <c r="A131" s="238">
        <v>130.0</v>
      </c>
      <c r="B131" s="239" t="s">
        <v>4076</v>
      </c>
      <c r="C131" s="240" t="s">
        <v>4077</v>
      </c>
      <c r="D131" s="236"/>
      <c r="E131" s="240" t="s">
        <v>3511</v>
      </c>
      <c r="F131" s="240" t="s">
        <v>2468</v>
      </c>
      <c r="G131" s="238" t="s">
        <v>4078</v>
      </c>
      <c r="H131" s="240" t="s">
        <v>4079</v>
      </c>
      <c r="I131" s="236"/>
      <c r="J131" s="238" t="s">
        <v>3986</v>
      </c>
      <c r="K131" s="239" t="s">
        <v>4076</v>
      </c>
      <c r="L131" s="237"/>
      <c r="M131" s="237"/>
      <c r="N131" s="237"/>
      <c r="O131" s="237"/>
      <c r="P131" s="237"/>
      <c r="Q131" s="237"/>
      <c r="R131" s="237"/>
      <c r="S131" s="237"/>
      <c r="T131" s="237"/>
      <c r="U131" s="237"/>
      <c r="V131" s="237"/>
      <c r="W131" s="237"/>
      <c r="X131" s="237"/>
      <c r="Y131" s="237"/>
      <c r="Z131" s="237"/>
      <c r="AA131" s="237"/>
      <c r="AB131" s="237"/>
    </row>
    <row r="132">
      <c r="A132" s="238">
        <v>131.0</v>
      </c>
      <c r="B132" s="239" t="s">
        <v>4080</v>
      </c>
      <c r="C132" s="240" t="s">
        <v>4081</v>
      </c>
      <c r="D132" s="236"/>
      <c r="E132" s="240" t="s">
        <v>3511</v>
      </c>
      <c r="F132" s="240" t="s">
        <v>4082</v>
      </c>
      <c r="G132" s="238" t="s">
        <v>4083</v>
      </c>
      <c r="H132" s="241" t="s">
        <v>4084</v>
      </c>
      <c r="I132" s="236"/>
      <c r="J132" s="238" t="s">
        <v>3986</v>
      </c>
      <c r="K132" s="239" t="s">
        <v>4080</v>
      </c>
      <c r="L132" s="237"/>
      <c r="M132" s="237"/>
      <c r="N132" s="237"/>
      <c r="O132" s="237"/>
      <c r="P132" s="237"/>
      <c r="Q132" s="237"/>
      <c r="R132" s="237"/>
      <c r="S132" s="237"/>
      <c r="T132" s="237"/>
      <c r="U132" s="237"/>
      <c r="V132" s="237"/>
      <c r="W132" s="237"/>
      <c r="X132" s="237"/>
      <c r="Y132" s="237"/>
      <c r="Z132" s="237"/>
      <c r="AA132" s="237"/>
      <c r="AB132" s="237"/>
    </row>
    <row r="133">
      <c r="A133" s="238">
        <v>132.0</v>
      </c>
      <c r="B133" s="239" t="s">
        <v>4085</v>
      </c>
      <c r="C133" s="240" t="s">
        <v>4086</v>
      </c>
      <c r="D133" s="236"/>
      <c r="E133" s="240" t="s">
        <v>3511</v>
      </c>
      <c r="F133" s="240" t="s">
        <v>4087</v>
      </c>
      <c r="G133" s="238" t="s">
        <v>4088</v>
      </c>
      <c r="H133" s="240" t="s">
        <v>4089</v>
      </c>
      <c r="I133" s="236"/>
      <c r="J133" s="238" t="s">
        <v>3986</v>
      </c>
      <c r="K133" s="239" t="s">
        <v>4085</v>
      </c>
      <c r="L133" s="237"/>
      <c r="M133" s="237"/>
      <c r="N133" s="237"/>
      <c r="O133" s="237"/>
      <c r="P133" s="237"/>
      <c r="Q133" s="237"/>
      <c r="R133" s="237"/>
      <c r="S133" s="237"/>
      <c r="T133" s="237"/>
      <c r="U133" s="237"/>
      <c r="V133" s="237"/>
      <c r="W133" s="237"/>
      <c r="X133" s="237"/>
      <c r="Y133" s="237"/>
      <c r="Z133" s="237"/>
      <c r="AA133" s="237"/>
      <c r="AB133" s="237"/>
    </row>
    <row r="134">
      <c r="A134" s="238">
        <v>133.0</v>
      </c>
      <c r="B134" s="239" t="s">
        <v>4090</v>
      </c>
      <c r="C134" s="240" t="s">
        <v>4091</v>
      </c>
      <c r="D134" s="236"/>
      <c r="E134" s="240" t="s">
        <v>3511</v>
      </c>
      <c r="F134" s="240" t="s">
        <v>4092</v>
      </c>
      <c r="G134" s="238" t="s">
        <v>4093</v>
      </c>
      <c r="H134" s="240" t="s">
        <v>4094</v>
      </c>
      <c r="I134" s="236"/>
      <c r="J134" s="238" t="s">
        <v>3962</v>
      </c>
      <c r="K134" s="239" t="s">
        <v>4090</v>
      </c>
      <c r="L134" s="237"/>
      <c r="M134" s="237"/>
      <c r="N134" s="237"/>
      <c r="O134" s="237"/>
      <c r="P134" s="237"/>
      <c r="Q134" s="237"/>
      <c r="R134" s="237"/>
      <c r="S134" s="237"/>
      <c r="T134" s="237"/>
      <c r="U134" s="237"/>
      <c r="V134" s="237"/>
      <c r="W134" s="237"/>
      <c r="X134" s="237"/>
      <c r="Y134" s="237"/>
      <c r="Z134" s="237"/>
      <c r="AA134" s="237"/>
      <c r="AB134" s="237"/>
    </row>
    <row r="135">
      <c r="A135" s="238">
        <v>134.0</v>
      </c>
      <c r="B135" s="239" t="s">
        <v>4095</v>
      </c>
      <c r="C135" s="240" t="s">
        <v>4096</v>
      </c>
      <c r="D135" s="236"/>
      <c r="E135" s="240" t="s">
        <v>3511</v>
      </c>
      <c r="F135" s="240" t="s">
        <v>4097</v>
      </c>
      <c r="G135" s="238" t="s">
        <v>4098</v>
      </c>
      <c r="H135" s="240" t="s">
        <v>4099</v>
      </c>
      <c r="I135" s="236"/>
      <c r="J135" s="238" t="s">
        <v>4100</v>
      </c>
      <c r="K135" s="239" t="s">
        <v>4095</v>
      </c>
      <c r="L135" s="237"/>
      <c r="M135" s="237"/>
      <c r="N135" s="237"/>
      <c r="O135" s="237"/>
      <c r="P135" s="237"/>
      <c r="Q135" s="237"/>
      <c r="R135" s="237"/>
      <c r="S135" s="237"/>
      <c r="T135" s="237"/>
      <c r="U135" s="237"/>
      <c r="V135" s="237"/>
      <c r="W135" s="237"/>
      <c r="X135" s="237"/>
      <c r="Y135" s="237"/>
      <c r="Z135" s="237"/>
      <c r="AA135" s="237"/>
      <c r="AB135" s="237"/>
    </row>
    <row r="136">
      <c r="A136" s="238">
        <v>135.0</v>
      </c>
      <c r="B136" s="239" t="s">
        <v>4101</v>
      </c>
      <c r="C136" s="240" t="s">
        <v>4102</v>
      </c>
      <c r="D136" s="236"/>
      <c r="E136" s="240" t="s">
        <v>3511</v>
      </c>
      <c r="F136" s="240" t="s">
        <v>4103</v>
      </c>
      <c r="G136" s="238" t="s">
        <v>4104</v>
      </c>
      <c r="H136" s="240" t="s">
        <v>4105</v>
      </c>
      <c r="I136" s="236"/>
      <c r="J136" s="238" t="s">
        <v>4100</v>
      </c>
      <c r="K136" s="239" t="s">
        <v>4101</v>
      </c>
      <c r="L136" s="237"/>
      <c r="M136" s="237"/>
      <c r="N136" s="237"/>
      <c r="O136" s="237"/>
      <c r="P136" s="237"/>
      <c r="Q136" s="237"/>
      <c r="R136" s="237"/>
      <c r="S136" s="237"/>
      <c r="T136" s="237"/>
      <c r="U136" s="237"/>
      <c r="V136" s="237"/>
      <c r="W136" s="237"/>
      <c r="X136" s="237"/>
      <c r="Y136" s="237"/>
      <c r="Z136" s="237"/>
      <c r="AA136" s="237"/>
      <c r="AB136" s="237"/>
    </row>
    <row r="137">
      <c r="A137" s="238">
        <v>136.0</v>
      </c>
      <c r="B137" s="239" t="s">
        <v>4106</v>
      </c>
      <c r="C137" s="240" t="s">
        <v>4107</v>
      </c>
      <c r="D137" s="236"/>
      <c r="E137" s="240" t="s">
        <v>3511</v>
      </c>
      <c r="F137" s="240" t="s">
        <v>4108</v>
      </c>
      <c r="G137" s="238" t="s">
        <v>4109</v>
      </c>
      <c r="H137" s="240" t="s">
        <v>4110</v>
      </c>
      <c r="I137" s="236"/>
      <c r="J137" s="238" t="s">
        <v>4100</v>
      </c>
      <c r="K137" s="239" t="s">
        <v>4106</v>
      </c>
      <c r="L137" s="237"/>
      <c r="M137" s="237"/>
      <c r="N137" s="237"/>
      <c r="O137" s="237"/>
      <c r="P137" s="237"/>
      <c r="Q137" s="237"/>
      <c r="R137" s="237"/>
      <c r="S137" s="237"/>
      <c r="T137" s="237"/>
      <c r="U137" s="237"/>
      <c r="V137" s="237"/>
      <c r="W137" s="237"/>
      <c r="X137" s="237"/>
      <c r="Y137" s="237"/>
      <c r="Z137" s="237"/>
      <c r="AA137" s="237"/>
      <c r="AB137" s="237"/>
    </row>
    <row r="138">
      <c r="A138" s="238">
        <v>137.0</v>
      </c>
      <c r="B138" s="239" t="s">
        <v>4111</v>
      </c>
      <c r="C138" s="240" t="s">
        <v>4112</v>
      </c>
      <c r="D138" s="236"/>
      <c r="E138" s="240" t="s">
        <v>3511</v>
      </c>
      <c r="F138" s="240" t="s">
        <v>4113</v>
      </c>
      <c r="G138" s="238" t="s">
        <v>4114</v>
      </c>
      <c r="H138" s="240" t="s">
        <v>4115</v>
      </c>
      <c r="I138" s="236"/>
      <c r="J138" s="238" t="s">
        <v>4100</v>
      </c>
      <c r="K138" s="239" t="s">
        <v>4111</v>
      </c>
      <c r="L138" s="237"/>
      <c r="M138" s="237"/>
      <c r="N138" s="237"/>
      <c r="O138" s="237"/>
      <c r="P138" s="237"/>
      <c r="Q138" s="237"/>
      <c r="R138" s="237"/>
      <c r="S138" s="237"/>
      <c r="T138" s="237"/>
      <c r="U138" s="237"/>
      <c r="V138" s="237"/>
      <c r="W138" s="237"/>
      <c r="X138" s="237"/>
      <c r="Y138" s="237"/>
      <c r="Z138" s="237"/>
      <c r="AA138" s="237"/>
      <c r="AB138" s="237"/>
    </row>
    <row r="139">
      <c r="A139" s="238">
        <v>138.0</v>
      </c>
      <c r="B139" s="239" t="s">
        <v>4116</v>
      </c>
      <c r="C139" s="240" t="s">
        <v>4117</v>
      </c>
      <c r="D139" s="236"/>
      <c r="E139" s="240" t="s">
        <v>3511</v>
      </c>
      <c r="F139" s="240" t="s">
        <v>4118</v>
      </c>
      <c r="G139" s="238" t="s">
        <v>4119</v>
      </c>
      <c r="H139" s="240" t="s">
        <v>4120</v>
      </c>
      <c r="I139" s="236"/>
      <c r="J139" s="238" t="s">
        <v>4100</v>
      </c>
      <c r="K139" s="239" t="s">
        <v>4116</v>
      </c>
      <c r="L139" s="237"/>
      <c r="M139" s="237"/>
      <c r="N139" s="237"/>
      <c r="O139" s="237"/>
      <c r="P139" s="237"/>
      <c r="Q139" s="237"/>
      <c r="R139" s="237"/>
      <c r="S139" s="237"/>
      <c r="T139" s="237"/>
      <c r="U139" s="237"/>
      <c r="V139" s="237"/>
      <c r="W139" s="237"/>
      <c r="X139" s="237"/>
      <c r="Y139" s="237"/>
      <c r="Z139" s="237"/>
      <c r="AA139" s="237"/>
      <c r="AB139" s="237"/>
    </row>
    <row r="140">
      <c r="A140" s="238">
        <v>139.0</v>
      </c>
      <c r="B140" s="239" t="s">
        <v>4121</v>
      </c>
      <c r="C140" s="240" t="s">
        <v>4122</v>
      </c>
      <c r="D140" s="236"/>
      <c r="E140" s="240" t="s">
        <v>3511</v>
      </c>
      <c r="F140" s="240" t="s">
        <v>4123</v>
      </c>
      <c r="G140" s="238" t="s">
        <v>4124</v>
      </c>
      <c r="H140" s="240" t="s">
        <v>4125</v>
      </c>
      <c r="I140" s="236"/>
      <c r="J140" s="238" t="s">
        <v>4100</v>
      </c>
      <c r="K140" s="239" t="s">
        <v>4121</v>
      </c>
      <c r="L140" s="237"/>
      <c r="M140" s="237"/>
      <c r="N140" s="237"/>
      <c r="O140" s="237"/>
      <c r="P140" s="237"/>
      <c r="Q140" s="237"/>
      <c r="R140" s="237"/>
      <c r="S140" s="237"/>
      <c r="T140" s="237"/>
      <c r="U140" s="237"/>
      <c r="V140" s="237"/>
      <c r="W140" s="237"/>
      <c r="X140" s="237"/>
      <c r="Y140" s="237"/>
      <c r="Z140" s="237"/>
      <c r="AA140" s="237"/>
      <c r="AB140" s="237"/>
    </row>
    <row r="141">
      <c r="A141" s="238">
        <v>140.0</v>
      </c>
      <c r="B141" s="239" t="s">
        <v>4126</v>
      </c>
      <c r="C141" s="240" t="s">
        <v>4127</v>
      </c>
      <c r="D141" s="236"/>
      <c r="E141" s="240" t="s">
        <v>3511</v>
      </c>
      <c r="F141" s="240" t="s">
        <v>4128</v>
      </c>
      <c r="G141" s="238" t="s">
        <v>4129</v>
      </c>
      <c r="H141" s="240" t="s">
        <v>4130</v>
      </c>
      <c r="I141" s="236"/>
      <c r="J141" s="238" t="s">
        <v>4100</v>
      </c>
      <c r="K141" s="239" t="s">
        <v>4126</v>
      </c>
      <c r="L141" s="237"/>
      <c r="M141" s="237"/>
      <c r="N141" s="237"/>
      <c r="O141" s="237"/>
      <c r="P141" s="237"/>
      <c r="Q141" s="237"/>
      <c r="R141" s="237"/>
      <c r="S141" s="237"/>
      <c r="T141" s="237"/>
      <c r="U141" s="237"/>
      <c r="V141" s="237"/>
      <c r="W141" s="237"/>
      <c r="X141" s="237"/>
      <c r="Y141" s="237"/>
      <c r="Z141" s="237"/>
      <c r="AA141" s="237"/>
      <c r="AB141" s="237"/>
    </row>
    <row r="142">
      <c r="A142" s="238">
        <v>141.0</v>
      </c>
      <c r="B142" s="239" t="s">
        <v>4131</v>
      </c>
      <c r="C142" s="240" t="s">
        <v>4132</v>
      </c>
      <c r="D142" s="236"/>
      <c r="E142" s="240" t="s">
        <v>3511</v>
      </c>
      <c r="F142" s="240" t="s">
        <v>4133</v>
      </c>
      <c r="G142" s="238" t="s">
        <v>4134</v>
      </c>
      <c r="H142" s="240" t="s">
        <v>4135</v>
      </c>
      <c r="I142" s="236"/>
      <c r="J142" s="238" t="s">
        <v>4100</v>
      </c>
      <c r="K142" s="239" t="s">
        <v>4131</v>
      </c>
      <c r="L142" s="237"/>
      <c r="M142" s="237"/>
      <c r="N142" s="237"/>
      <c r="O142" s="237"/>
      <c r="P142" s="237"/>
      <c r="Q142" s="237"/>
      <c r="R142" s="237"/>
      <c r="S142" s="237"/>
      <c r="T142" s="237"/>
      <c r="U142" s="237"/>
      <c r="V142" s="237"/>
      <c r="W142" s="237"/>
      <c r="X142" s="237"/>
      <c r="Y142" s="237"/>
      <c r="Z142" s="237"/>
      <c r="AA142" s="237"/>
      <c r="AB142" s="237"/>
    </row>
    <row r="143">
      <c r="A143" s="238">
        <v>142.0</v>
      </c>
      <c r="B143" s="239" t="s">
        <v>4136</v>
      </c>
      <c r="C143" s="240" t="s">
        <v>4137</v>
      </c>
      <c r="D143" s="236"/>
      <c r="E143" s="240" t="s">
        <v>3511</v>
      </c>
      <c r="F143" s="240" t="s">
        <v>4138</v>
      </c>
      <c r="G143" s="238" t="s">
        <v>4139</v>
      </c>
      <c r="H143" s="240" t="s">
        <v>4140</v>
      </c>
      <c r="I143" s="236"/>
      <c r="J143" s="238" t="s">
        <v>4100</v>
      </c>
      <c r="K143" s="239" t="s">
        <v>4136</v>
      </c>
      <c r="L143" s="237"/>
      <c r="M143" s="237"/>
      <c r="N143" s="237"/>
      <c r="O143" s="237"/>
      <c r="P143" s="237"/>
      <c r="Q143" s="237"/>
      <c r="R143" s="237"/>
      <c r="S143" s="237"/>
      <c r="T143" s="237"/>
      <c r="U143" s="237"/>
      <c r="V143" s="237"/>
      <c r="W143" s="237"/>
      <c r="X143" s="237"/>
      <c r="Y143" s="237"/>
      <c r="Z143" s="237"/>
      <c r="AA143" s="237"/>
      <c r="AB143" s="237"/>
    </row>
    <row r="144">
      <c r="A144" s="238">
        <v>143.0</v>
      </c>
      <c r="B144" s="239" t="s">
        <v>4141</v>
      </c>
      <c r="C144" s="240" t="s">
        <v>4142</v>
      </c>
      <c r="D144" s="236"/>
      <c r="E144" s="240" t="s">
        <v>3511</v>
      </c>
      <c r="F144" s="240" t="s">
        <v>4143</v>
      </c>
      <c r="G144" s="238" t="s">
        <v>4144</v>
      </c>
      <c r="H144" s="240" t="s">
        <v>4145</v>
      </c>
      <c r="I144" s="236"/>
      <c r="J144" s="238" t="s">
        <v>4100</v>
      </c>
      <c r="K144" s="239" t="s">
        <v>4141</v>
      </c>
      <c r="L144" s="237"/>
      <c r="M144" s="237"/>
      <c r="N144" s="237"/>
      <c r="O144" s="237"/>
      <c r="P144" s="237"/>
      <c r="Q144" s="237"/>
      <c r="R144" s="237"/>
      <c r="S144" s="237"/>
      <c r="T144" s="237"/>
      <c r="U144" s="237"/>
      <c r="V144" s="237"/>
      <c r="W144" s="237"/>
      <c r="X144" s="237"/>
      <c r="Y144" s="237"/>
      <c r="Z144" s="237"/>
      <c r="AA144" s="237"/>
      <c r="AB144" s="237"/>
    </row>
    <row r="145">
      <c r="A145" s="238">
        <v>144.0</v>
      </c>
      <c r="B145" s="239" t="s">
        <v>4146</v>
      </c>
      <c r="C145" s="240" t="s">
        <v>4147</v>
      </c>
      <c r="D145" s="236"/>
      <c r="E145" s="240" t="s">
        <v>3511</v>
      </c>
      <c r="F145" s="241" t="s">
        <v>4148</v>
      </c>
      <c r="G145" s="238" t="s">
        <v>4149</v>
      </c>
      <c r="H145" s="240" t="s">
        <v>4150</v>
      </c>
      <c r="I145" s="236"/>
      <c r="J145" s="238" t="s">
        <v>4100</v>
      </c>
      <c r="K145" s="239" t="s">
        <v>4146</v>
      </c>
      <c r="L145" s="237"/>
      <c r="M145" s="237"/>
      <c r="N145" s="237"/>
      <c r="O145" s="237"/>
      <c r="P145" s="237"/>
      <c r="Q145" s="237"/>
      <c r="R145" s="237"/>
      <c r="S145" s="237"/>
      <c r="T145" s="237"/>
      <c r="U145" s="237"/>
      <c r="V145" s="237"/>
      <c r="W145" s="237"/>
      <c r="X145" s="237"/>
      <c r="Y145" s="237"/>
      <c r="Z145" s="237"/>
      <c r="AA145" s="237"/>
      <c r="AB145" s="237"/>
    </row>
    <row r="146">
      <c r="A146" s="238">
        <v>145.0</v>
      </c>
      <c r="B146" s="239" t="s">
        <v>4151</v>
      </c>
      <c r="C146" s="240" t="s">
        <v>4152</v>
      </c>
      <c r="D146" s="236"/>
      <c r="E146" s="240" t="s">
        <v>3511</v>
      </c>
      <c r="F146" s="240" t="s">
        <v>4153</v>
      </c>
      <c r="G146" s="238" t="s">
        <v>4154</v>
      </c>
      <c r="H146" s="240" t="s">
        <v>4155</v>
      </c>
      <c r="I146" s="236"/>
      <c r="J146" s="238" t="s">
        <v>4100</v>
      </c>
      <c r="K146" s="239" t="s">
        <v>4151</v>
      </c>
      <c r="L146" s="237"/>
      <c r="M146" s="237"/>
      <c r="N146" s="237"/>
      <c r="O146" s="237"/>
      <c r="P146" s="237"/>
      <c r="Q146" s="237"/>
      <c r="R146" s="237"/>
      <c r="S146" s="237"/>
      <c r="T146" s="237"/>
      <c r="U146" s="237"/>
      <c r="V146" s="237"/>
      <c r="W146" s="237"/>
      <c r="X146" s="237"/>
      <c r="Y146" s="237"/>
      <c r="Z146" s="237"/>
      <c r="AA146" s="237"/>
      <c r="AB146" s="237"/>
    </row>
    <row r="147">
      <c r="A147" s="238">
        <v>146.0</v>
      </c>
      <c r="B147" s="239" t="s">
        <v>4156</v>
      </c>
      <c r="C147" s="240" t="s">
        <v>4157</v>
      </c>
      <c r="D147" s="236"/>
      <c r="E147" s="240" t="s">
        <v>3511</v>
      </c>
      <c r="F147" s="240" t="s">
        <v>4158</v>
      </c>
      <c r="G147" s="238" t="s">
        <v>4159</v>
      </c>
      <c r="H147" s="240" t="s">
        <v>4160</v>
      </c>
      <c r="I147" s="236"/>
      <c r="J147" s="238" t="s">
        <v>4100</v>
      </c>
      <c r="K147" s="239" t="s">
        <v>4156</v>
      </c>
      <c r="L147" s="237"/>
      <c r="M147" s="237"/>
      <c r="N147" s="237"/>
      <c r="O147" s="237"/>
      <c r="P147" s="237"/>
      <c r="Q147" s="237"/>
      <c r="R147" s="237"/>
      <c r="S147" s="237"/>
      <c r="T147" s="237"/>
      <c r="U147" s="237"/>
      <c r="V147" s="237"/>
      <c r="W147" s="237"/>
      <c r="X147" s="237"/>
      <c r="Y147" s="237"/>
      <c r="Z147" s="237"/>
      <c r="AA147" s="237"/>
      <c r="AB147" s="237"/>
    </row>
    <row r="148">
      <c r="A148" s="238">
        <v>147.0</v>
      </c>
      <c r="B148" s="239" t="s">
        <v>4161</v>
      </c>
      <c r="C148" s="240" t="s">
        <v>4162</v>
      </c>
      <c r="D148" s="236"/>
      <c r="E148" s="240" t="s">
        <v>3511</v>
      </c>
      <c r="F148" s="240" t="s">
        <v>4163</v>
      </c>
      <c r="G148" s="238" t="s">
        <v>4164</v>
      </c>
      <c r="H148" s="240" t="s">
        <v>4165</v>
      </c>
      <c r="I148" s="236"/>
      <c r="J148" s="238" t="s">
        <v>4100</v>
      </c>
      <c r="K148" s="239" t="s">
        <v>4161</v>
      </c>
      <c r="L148" s="237"/>
      <c r="M148" s="237"/>
      <c r="N148" s="237"/>
      <c r="O148" s="237"/>
      <c r="P148" s="237"/>
      <c r="Q148" s="237"/>
      <c r="R148" s="237"/>
      <c r="S148" s="237"/>
      <c r="T148" s="237"/>
      <c r="U148" s="237"/>
      <c r="V148" s="237"/>
      <c r="W148" s="237"/>
      <c r="X148" s="237"/>
      <c r="Y148" s="237"/>
      <c r="Z148" s="237"/>
      <c r="AA148" s="237"/>
      <c r="AB148" s="237"/>
    </row>
    <row r="149">
      <c r="A149" s="238">
        <v>148.0</v>
      </c>
      <c r="B149" s="239" t="s">
        <v>4166</v>
      </c>
      <c r="C149" s="240" t="s">
        <v>4167</v>
      </c>
      <c r="D149" s="236"/>
      <c r="E149" s="240" t="s">
        <v>3511</v>
      </c>
      <c r="F149" s="240" t="s">
        <v>4168</v>
      </c>
      <c r="G149" s="238" t="s">
        <v>4169</v>
      </c>
      <c r="H149" s="240" t="s">
        <v>4170</v>
      </c>
      <c r="I149" s="236"/>
      <c r="J149" s="238" t="s">
        <v>4171</v>
      </c>
      <c r="K149" s="239" t="s">
        <v>4166</v>
      </c>
      <c r="L149" s="237"/>
      <c r="M149" s="237"/>
      <c r="N149" s="237"/>
      <c r="O149" s="237"/>
      <c r="P149" s="237"/>
      <c r="Q149" s="237"/>
      <c r="R149" s="237"/>
      <c r="S149" s="237"/>
      <c r="T149" s="237"/>
      <c r="U149" s="237"/>
      <c r="V149" s="237"/>
      <c r="W149" s="237"/>
      <c r="X149" s="237"/>
      <c r="Y149" s="237"/>
      <c r="Z149" s="237"/>
      <c r="AA149" s="237"/>
      <c r="AB149" s="237"/>
    </row>
    <row r="150">
      <c r="A150" s="238">
        <v>149.0</v>
      </c>
      <c r="B150" s="239" t="s">
        <v>4172</v>
      </c>
      <c r="C150" s="240" t="s">
        <v>4173</v>
      </c>
      <c r="D150" s="236"/>
      <c r="E150" s="240" t="s">
        <v>3511</v>
      </c>
      <c r="F150" s="240" t="s">
        <v>4174</v>
      </c>
      <c r="G150" s="238" t="s">
        <v>4175</v>
      </c>
      <c r="H150" s="240" t="s">
        <v>4176</v>
      </c>
      <c r="I150" s="236"/>
      <c r="J150" s="238" t="s">
        <v>4100</v>
      </c>
      <c r="K150" s="239" t="s">
        <v>4172</v>
      </c>
      <c r="L150" s="237"/>
      <c r="M150" s="237"/>
      <c r="N150" s="237"/>
      <c r="O150" s="237"/>
      <c r="P150" s="237"/>
      <c r="Q150" s="237"/>
      <c r="R150" s="237"/>
      <c r="S150" s="237"/>
      <c r="T150" s="237"/>
      <c r="U150" s="237"/>
      <c r="V150" s="237"/>
      <c r="W150" s="237"/>
      <c r="X150" s="237"/>
      <c r="Y150" s="237"/>
      <c r="Z150" s="237"/>
      <c r="AA150" s="237"/>
      <c r="AB150" s="237"/>
    </row>
    <row r="151">
      <c r="A151" s="238">
        <v>150.0</v>
      </c>
      <c r="B151" s="239" t="s">
        <v>4177</v>
      </c>
      <c r="C151" s="240" t="s">
        <v>4178</v>
      </c>
      <c r="D151" s="236"/>
      <c r="E151" s="240" t="s">
        <v>3511</v>
      </c>
      <c r="F151" s="240" t="s">
        <v>4179</v>
      </c>
      <c r="G151" s="238" t="s">
        <v>4180</v>
      </c>
      <c r="H151" s="240" t="s">
        <v>4181</v>
      </c>
      <c r="I151" s="236"/>
      <c r="J151" s="238" t="s">
        <v>4100</v>
      </c>
      <c r="K151" s="239" t="s">
        <v>4177</v>
      </c>
      <c r="L151" s="237"/>
      <c r="M151" s="237"/>
      <c r="N151" s="237"/>
      <c r="O151" s="237"/>
      <c r="P151" s="237"/>
      <c r="Q151" s="237"/>
      <c r="R151" s="237"/>
      <c r="S151" s="237"/>
      <c r="T151" s="237"/>
      <c r="U151" s="237"/>
      <c r="V151" s="237"/>
      <c r="W151" s="237"/>
      <c r="X151" s="237"/>
      <c r="Y151" s="237"/>
      <c r="Z151" s="237"/>
      <c r="AA151" s="237"/>
      <c r="AB151" s="237"/>
    </row>
    <row r="152">
      <c r="A152" s="238">
        <v>151.0</v>
      </c>
      <c r="B152" s="239" t="s">
        <v>4182</v>
      </c>
      <c r="C152" s="240" t="s">
        <v>4183</v>
      </c>
      <c r="D152" s="236"/>
      <c r="E152" s="240" t="s">
        <v>3511</v>
      </c>
      <c r="F152" s="240" t="s">
        <v>4184</v>
      </c>
      <c r="G152" s="238" t="s">
        <v>4185</v>
      </c>
      <c r="H152" s="240" t="s">
        <v>4186</v>
      </c>
      <c r="I152" s="236"/>
      <c r="J152" s="238" t="s">
        <v>4100</v>
      </c>
      <c r="K152" s="239" t="s">
        <v>4182</v>
      </c>
      <c r="L152" s="237"/>
      <c r="M152" s="237"/>
      <c r="N152" s="237"/>
      <c r="O152" s="237"/>
      <c r="P152" s="237"/>
      <c r="Q152" s="237"/>
      <c r="R152" s="237"/>
      <c r="S152" s="237"/>
      <c r="T152" s="237"/>
      <c r="U152" s="237"/>
      <c r="V152" s="237"/>
      <c r="W152" s="237"/>
      <c r="X152" s="237"/>
      <c r="Y152" s="237"/>
      <c r="Z152" s="237"/>
      <c r="AA152" s="237"/>
      <c r="AB152" s="237"/>
    </row>
    <row r="153">
      <c r="A153" s="238">
        <v>152.0</v>
      </c>
      <c r="B153" s="239" t="s">
        <v>4187</v>
      </c>
      <c r="C153" s="240" t="s">
        <v>4188</v>
      </c>
      <c r="D153" s="236"/>
      <c r="E153" s="240" t="s">
        <v>3511</v>
      </c>
      <c r="F153" s="240" t="s">
        <v>4189</v>
      </c>
      <c r="G153" s="238" t="s">
        <v>4190</v>
      </c>
      <c r="H153" s="240" t="s">
        <v>4191</v>
      </c>
      <c r="I153" s="236"/>
      <c r="J153" s="238" t="s">
        <v>4100</v>
      </c>
      <c r="K153" s="239" t="s">
        <v>4187</v>
      </c>
      <c r="L153" s="237"/>
      <c r="M153" s="237"/>
      <c r="N153" s="237"/>
      <c r="O153" s="237"/>
      <c r="P153" s="237"/>
      <c r="Q153" s="237"/>
      <c r="R153" s="237"/>
      <c r="S153" s="237"/>
      <c r="T153" s="237"/>
      <c r="U153" s="237"/>
      <c r="V153" s="237"/>
      <c r="W153" s="237"/>
      <c r="X153" s="237"/>
      <c r="Y153" s="237"/>
      <c r="Z153" s="237"/>
      <c r="AA153" s="237"/>
      <c r="AB153" s="237"/>
    </row>
    <row r="154">
      <c r="A154" s="238">
        <v>153.0</v>
      </c>
      <c r="B154" s="239" t="s">
        <v>4192</v>
      </c>
      <c r="C154" s="240" t="s">
        <v>4193</v>
      </c>
      <c r="D154" s="236"/>
      <c r="E154" s="240" t="s">
        <v>3511</v>
      </c>
      <c r="F154" s="240" t="s">
        <v>4194</v>
      </c>
      <c r="G154" s="238" t="s">
        <v>4195</v>
      </c>
      <c r="H154" s="240" t="s">
        <v>4196</v>
      </c>
      <c r="I154" s="236"/>
      <c r="J154" s="238" t="s">
        <v>4100</v>
      </c>
      <c r="K154" s="239" t="s">
        <v>4192</v>
      </c>
      <c r="L154" s="237"/>
      <c r="M154" s="237"/>
      <c r="N154" s="237"/>
      <c r="O154" s="237"/>
      <c r="P154" s="237"/>
      <c r="Q154" s="237"/>
      <c r="R154" s="237"/>
      <c r="S154" s="237"/>
      <c r="T154" s="237"/>
      <c r="U154" s="237"/>
      <c r="V154" s="237"/>
      <c r="W154" s="237"/>
      <c r="X154" s="237"/>
      <c r="Y154" s="237"/>
      <c r="Z154" s="237"/>
      <c r="AA154" s="237"/>
      <c r="AB154" s="237"/>
    </row>
    <row r="155">
      <c r="A155" s="238">
        <v>154.0</v>
      </c>
      <c r="B155" s="239" t="s">
        <v>4197</v>
      </c>
      <c r="C155" s="240" t="s">
        <v>4198</v>
      </c>
      <c r="D155" s="236"/>
      <c r="E155" s="240" t="s">
        <v>3511</v>
      </c>
      <c r="F155" s="240" t="s">
        <v>4199</v>
      </c>
      <c r="G155" s="238" t="s">
        <v>4200</v>
      </c>
      <c r="H155" s="240" t="s">
        <v>4201</v>
      </c>
      <c r="I155" s="236"/>
      <c r="J155" s="238" t="s">
        <v>4100</v>
      </c>
      <c r="K155" s="239" t="s">
        <v>4197</v>
      </c>
      <c r="L155" s="237"/>
      <c r="M155" s="237"/>
      <c r="N155" s="237"/>
      <c r="O155" s="237"/>
      <c r="P155" s="237"/>
      <c r="Q155" s="237"/>
      <c r="R155" s="237"/>
      <c r="S155" s="237"/>
      <c r="T155" s="237"/>
      <c r="U155" s="237"/>
      <c r="V155" s="237"/>
      <c r="W155" s="237"/>
      <c r="X155" s="237"/>
      <c r="Y155" s="237"/>
      <c r="Z155" s="237"/>
      <c r="AA155" s="237"/>
      <c r="AB155" s="237"/>
    </row>
    <row r="156">
      <c r="A156" s="238">
        <v>155.0</v>
      </c>
      <c r="B156" s="239" t="s">
        <v>4202</v>
      </c>
      <c r="C156" s="240" t="s">
        <v>4203</v>
      </c>
      <c r="D156" s="236"/>
      <c r="E156" s="240" t="s">
        <v>3511</v>
      </c>
      <c r="F156" s="240" t="s">
        <v>4204</v>
      </c>
      <c r="G156" s="238" t="s">
        <v>4205</v>
      </c>
      <c r="H156" s="240" t="s">
        <v>4206</v>
      </c>
      <c r="I156" s="236"/>
      <c r="J156" s="238" t="s">
        <v>4100</v>
      </c>
      <c r="K156" s="239" t="s">
        <v>4202</v>
      </c>
      <c r="L156" s="237"/>
      <c r="M156" s="237"/>
      <c r="N156" s="237"/>
      <c r="O156" s="237"/>
      <c r="P156" s="237"/>
      <c r="Q156" s="237"/>
      <c r="R156" s="237"/>
      <c r="S156" s="237"/>
      <c r="T156" s="237"/>
      <c r="U156" s="237"/>
      <c r="V156" s="237"/>
      <c r="W156" s="237"/>
      <c r="X156" s="237"/>
      <c r="Y156" s="237"/>
      <c r="Z156" s="237"/>
      <c r="AA156" s="237"/>
      <c r="AB156" s="237"/>
    </row>
    <row r="157">
      <c r="A157" s="238">
        <v>156.0</v>
      </c>
      <c r="B157" s="239" t="s">
        <v>4207</v>
      </c>
      <c r="C157" s="240" t="s">
        <v>4208</v>
      </c>
      <c r="D157" s="236"/>
      <c r="E157" s="240" t="s">
        <v>3511</v>
      </c>
      <c r="F157" s="240" t="s">
        <v>4209</v>
      </c>
      <c r="G157" s="238" t="s">
        <v>4210</v>
      </c>
      <c r="H157" s="240" t="s">
        <v>4211</v>
      </c>
      <c r="I157" s="236"/>
      <c r="J157" s="238" t="s">
        <v>4100</v>
      </c>
      <c r="K157" s="239" t="s">
        <v>4207</v>
      </c>
      <c r="L157" s="237"/>
      <c r="M157" s="237"/>
      <c r="N157" s="237"/>
      <c r="O157" s="237"/>
      <c r="P157" s="237"/>
      <c r="Q157" s="237"/>
      <c r="R157" s="237"/>
      <c r="S157" s="237"/>
      <c r="T157" s="237"/>
      <c r="U157" s="237"/>
      <c r="V157" s="237"/>
      <c r="W157" s="237"/>
      <c r="X157" s="237"/>
      <c r="Y157" s="237"/>
      <c r="Z157" s="237"/>
      <c r="AA157" s="237"/>
      <c r="AB157" s="237"/>
    </row>
    <row r="158">
      <c r="A158" s="238">
        <v>157.0</v>
      </c>
      <c r="B158" s="239" t="s">
        <v>4212</v>
      </c>
      <c r="C158" s="240" t="s">
        <v>4213</v>
      </c>
      <c r="D158" s="236"/>
      <c r="E158" s="240" t="s">
        <v>3511</v>
      </c>
      <c r="F158" s="240" t="s">
        <v>4214</v>
      </c>
      <c r="G158" s="238" t="s">
        <v>4215</v>
      </c>
      <c r="H158" s="240" t="s">
        <v>4216</v>
      </c>
      <c r="I158" s="236"/>
      <c r="J158" s="238" t="s">
        <v>4100</v>
      </c>
      <c r="K158" s="239" t="s">
        <v>4212</v>
      </c>
      <c r="L158" s="237"/>
      <c r="M158" s="237"/>
      <c r="N158" s="237"/>
      <c r="O158" s="237"/>
      <c r="P158" s="237"/>
      <c r="Q158" s="237"/>
      <c r="R158" s="237"/>
      <c r="S158" s="237"/>
      <c r="T158" s="237"/>
      <c r="U158" s="237"/>
      <c r="V158" s="237"/>
      <c r="W158" s="237"/>
      <c r="X158" s="237"/>
      <c r="Y158" s="237"/>
      <c r="Z158" s="237"/>
      <c r="AA158" s="237"/>
      <c r="AB158" s="237"/>
    </row>
    <row r="159">
      <c r="A159" s="238">
        <v>158.0</v>
      </c>
      <c r="B159" s="239" t="s">
        <v>4217</v>
      </c>
      <c r="C159" s="240" t="s">
        <v>4218</v>
      </c>
      <c r="D159" s="236"/>
      <c r="E159" s="240" t="s">
        <v>3511</v>
      </c>
      <c r="F159" s="240" t="s">
        <v>4219</v>
      </c>
      <c r="G159" s="238" t="s">
        <v>4220</v>
      </c>
      <c r="H159" s="240" t="s">
        <v>4221</v>
      </c>
      <c r="I159" s="236"/>
      <c r="J159" s="238" t="s">
        <v>4222</v>
      </c>
      <c r="K159" s="239" t="s">
        <v>4217</v>
      </c>
      <c r="L159" s="237"/>
      <c r="M159" s="237"/>
      <c r="N159" s="237"/>
      <c r="O159" s="237"/>
      <c r="P159" s="237"/>
      <c r="Q159" s="237"/>
      <c r="R159" s="237"/>
      <c r="S159" s="237"/>
      <c r="T159" s="237"/>
      <c r="U159" s="237"/>
      <c r="V159" s="237"/>
      <c r="W159" s="237"/>
      <c r="X159" s="237"/>
      <c r="Y159" s="237"/>
      <c r="Z159" s="237"/>
      <c r="AA159" s="237"/>
      <c r="AB159" s="237"/>
    </row>
    <row r="160">
      <c r="A160" s="238">
        <v>159.0</v>
      </c>
      <c r="B160" s="239" t="s">
        <v>4223</v>
      </c>
      <c r="C160" s="240" t="s">
        <v>4224</v>
      </c>
      <c r="D160" s="236"/>
      <c r="E160" s="240" t="s">
        <v>3511</v>
      </c>
      <c r="F160" s="240" t="s">
        <v>4225</v>
      </c>
      <c r="G160" s="238" t="s">
        <v>4226</v>
      </c>
      <c r="H160" s="240" t="s">
        <v>4227</v>
      </c>
      <c r="I160" s="236"/>
      <c r="J160" s="238" t="s">
        <v>4100</v>
      </c>
      <c r="K160" s="239" t="s">
        <v>4223</v>
      </c>
      <c r="L160" s="237"/>
      <c r="M160" s="237"/>
      <c r="N160" s="237"/>
      <c r="O160" s="237"/>
      <c r="P160" s="237"/>
      <c r="Q160" s="237"/>
      <c r="R160" s="237"/>
      <c r="S160" s="237"/>
      <c r="T160" s="237"/>
      <c r="U160" s="237"/>
      <c r="V160" s="237"/>
      <c r="W160" s="237"/>
      <c r="X160" s="237"/>
      <c r="Y160" s="237"/>
      <c r="Z160" s="237"/>
      <c r="AA160" s="237"/>
      <c r="AB160" s="237"/>
    </row>
    <row r="161">
      <c r="A161" s="238">
        <v>160.0</v>
      </c>
      <c r="B161" s="239" t="s">
        <v>4228</v>
      </c>
      <c r="C161" s="240" t="s">
        <v>4229</v>
      </c>
      <c r="D161" s="236"/>
      <c r="E161" s="240" t="s">
        <v>3511</v>
      </c>
      <c r="F161" s="240" t="s">
        <v>4230</v>
      </c>
      <c r="G161" s="238" t="s">
        <v>4180</v>
      </c>
      <c r="H161" s="240" t="s">
        <v>4231</v>
      </c>
      <c r="I161" s="236"/>
      <c r="J161" s="238" t="s">
        <v>4100</v>
      </c>
      <c r="K161" s="239" t="s">
        <v>4228</v>
      </c>
      <c r="L161" s="237"/>
      <c r="M161" s="237"/>
      <c r="N161" s="237"/>
      <c r="O161" s="237"/>
      <c r="P161" s="237"/>
      <c r="Q161" s="237"/>
      <c r="R161" s="237"/>
      <c r="S161" s="237"/>
      <c r="T161" s="237"/>
      <c r="U161" s="237"/>
      <c r="V161" s="237"/>
      <c r="W161" s="237"/>
      <c r="X161" s="237"/>
      <c r="Y161" s="237"/>
      <c r="Z161" s="237"/>
      <c r="AA161" s="237"/>
      <c r="AB161" s="237"/>
    </row>
    <row r="162">
      <c r="A162" s="238">
        <v>161.0</v>
      </c>
      <c r="B162" s="239" t="s">
        <v>4232</v>
      </c>
      <c r="C162" s="240" t="s">
        <v>4233</v>
      </c>
      <c r="D162" s="236"/>
      <c r="E162" s="240" t="s">
        <v>3511</v>
      </c>
      <c r="F162" s="240" t="s">
        <v>4234</v>
      </c>
      <c r="G162" s="238" t="s">
        <v>4235</v>
      </c>
      <c r="H162" s="240" t="s">
        <v>4236</v>
      </c>
      <c r="I162" s="236"/>
      <c r="J162" s="238" t="s">
        <v>4100</v>
      </c>
      <c r="K162" s="239" t="s">
        <v>4232</v>
      </c>
      <c r="L162" s="237"/>
      <c r="M162" s="237"/>
      <c r="N162" s="237"/>
      <c r="O162" s="237"/>
      <c r="P162" s="237"/>
      <c r="Q162" s="237"/>
      <c r="R162" s="237"/>
      <c r="S162" s="237"/>
      <c r="T162" s="237"/>
      <c r="U162" s="237"/>
      <c r="V162" s="237"/>
      <c r="W162" s="237"/>
      <c r="X162" s="237"/>
      <c r="Y162" s="237"/>
      <c r="Z162" s="237"/>
      <c r="AA162" s="237"/>
      <c r="AB162" s="237"/>
    </row>
    <row r="163">
      <c r="A163" s="238">
        <v>162.0</v>
      </c>
      <c r="B163" s="239" t="s">
        <v>4237</v>
      </c>
      <c r="C163" s="240" t="s">
        <v>4238</v>
      </c>
      <c r="D163" s="236"/>
      <c r="E163" s="240" t="s">
        <v>3511</v>
      </c>
      <c r="F163" s="240" t="s">
        <v>4239</v>
      </c>
      <c r="G163" s="238" t="s">
        <v>4240</v>
      </c>
      <c r="H163" s="240" t="s">
        <v>4241</v>
      </c>
      <c r="I163" s="236"/>
      <c r="J163" s="238" t="s">
        <v>4100</v>
      </c>
      <c r="K163" s="239" t="s">
        <v>4237</v>
      </c>
      <c r="L163" s="237"/>
      <c r="M163" s="237"/>
      <c r="N163" s="237"/>
      <c r="O163" s="237"/>
      <c r="P163" s="237"/>
      <c r="Q163" s="237"/>
      <c r="R163" s="237"/>
      <c r="S163" s="237"/>
      <c r="T163" s="237"/>
      <c r="U163" s="237"/>
      <c r="V163" s="237"/>
      <c r="W163" s="237"/>
      <c r="X163" s="237"/>
      <c r="Y163" s="237"/>
      <c r="Z163" s="237"/>
      <c r="AA163" s="237"/>
      <c r="AB163" s="237"/>
    </row>
    <row r="164">
      <c r="A164" s="238">
        <v>163.0</v>
      </c>
      <c r="B164" s="239" t="s">
        <v>4242</v>
      </c>
      <c r="C164" s="240" t="s">
        <v>4243</v>
      </c>
      <c r="D164" s="236"/>
      <c r="E164" s="240" t="s">
        <v>3511</v>
      </c>
      <c r="F164" s="240" t="s">
        <v>4244</v>
      </c>
      <c r="G164" s="238" t="s">
        <v>4245</v>
      </c>
      <c r="H164" s="240" t="s">
        <v>4246</v>
      </c>
      <c r="I164" s="236"/>
      <c r="J164" s="238" t="s">
        <v>4100</v>
      </c>
      <c r="K164" s="239" t="s">
        <v>4242</v>
      </c>
      <c r="L164" s="237"/>
      <c r="M164" s="237"/>
      <c r="N164" s="237"/>
      <c r="O164" s="237"/>
      <c r="P164" s="237"/>
      <c r="Q164" s="237"/>
      <c r="R164" s="237"/>
      <c r="S164" s="237"/>
      <c r="T164" s="237"/>
      <c r="U164" s="237"/>
      <c r="V164" s="237"/>
      <c r="W164" s="237"/>
      <c r="X164" s="237"/>
      <c r="Y164" s="237"/>
      <c r="Z164" s="237"/>
      <c r="AA164" s="237"/>
      <c r="AB164" s="237"/>
    </row>
    <row r="165">
      <c r="A165" s="238">
        <v>164.0</v>
      </c>
      <c r="B165" s="239" t="s">
        <v>4247</v>
      </c>
      <c r="C165" s="240" t="s">
        <v>4248</v>
      </c>
      <c r="D165" s="236"/>
      <c r="E165" s="240" t="s">
        <v>3511</v>
      </c>
      <c r="F165" s="240" t="s">
        <v>4249</v>
      </c>
      <c r="G165" s="238" t="s">
        <v>4250</v>
      </c>
      <c r="H165" s="240" t="s">
        <v>4251</v>
      </c>
      <c r="I165" s="236"/>
      <c r="J165" s="238" t="s">
        <v>4100</v>
      </c>
      <c r="K165" s="239" t="s">
        <v>4247</v>
      </c>
      <c r="L165" s="237"/>
      <c r="M165" s="237"/>
      <c r="N165" s="237"/>
      <c r="O165" s="237"/>
      <c r="P165" s="237"/>
      <c r="Q165" s="237"/>
      <c r="R165" s="237"/>
      <c r="S165" s="237"/>
      <c r="T165" s="237"/>
      <c r="U165" s="237"/>
      <c r="V165" s="237"/>
      <c r="W165" s="237"/>
      <c r="X165" s="237"/>
      <c r="Y165" s="237"/>
      <c r="Z165" s="237"/>
      <c r="AA165" s="237"/>
      <c r="AB165" s="237"/>
    </row>
    <row r="166">
      <c r="A166" s="238">
        <v>165.0</v>
      </c>
      <c r="B166" s="239" t="s">
        <v>4252</v>
      </c>
      <c r="C166" s="240" t="s">
        <v>4253</v>
      </c>
      <c r="D166" s="236"/>
      <c r="E166" s="240" t="s">
        <v>3511</v>
      </c>
      <c r="F166" s="240" t="s">
        <v>4254</v>
      </c>
      <c r="G166" s="238" t="s">
        <v>4255</v>
      </c>
      <c r="H166" s="240" t="s">
        <v>4256</v>
      </c>
      <c r="I166" s="236"/>
      <c r="J166" s="238" t="s">
        <v>4100</v>
      </c>
      <c r="K166" s="239" t="s">
        <v>4252</v>
      </c>
      <c r="L166" s="237"/>
      <c r="M166" s="237"/>
      <c r="N166" s="237"/>
      <c r="O166" s="237"/>
      <c r="P166" s="237"/>
      <c r="Q166" s="237"/>
      <c r="R166" s="237"/>
      <c r="S166" s="237"/>
      <c r="T166" s="237"/>
      <c r="U166" s="237"/>
      <c r="V166" s="237"/>
      <c r="W166" s="237"/>
      <c r="X166" s="237"/>
      <c r="Y166" s="237"/>
      <c r="Z166" s="237"/>
      <c r="AA166" s="237"/>
      <c r="AB166" s="237"/>
    </row>
    <row r="167">
      <c r="A167" s="238">
        <v>166.0</v>
      </c>
      <c r="B167" s="239" t="s">
        <v>4257</v>
      </c>
      <c r="C167" s="240" t="s">
        <v>4258</v>
      </c>
      <c r="D167" s="236"/>
      <c r="E167" s="240" t="s">
        <v>3511</v>
      </c>
      <c r="F167" s="240" t="s">
        <v>4259</v>
      </c>
      <c r="G167" s="238" t="s">
        <v>4260</v>
      </c>
      <c r="H167" s="240" t="s">
        <v>4261</v>
      </c>
      <c r="I167" s="236"/>
      <c r="J167" s="238" t="s">
        <v>4100</v>
      </c>
      <c r="K167" s="239" t="s">
        <v>4257</v>
      </c>
      <c r="L167" s="237"/>
      <c r="M167" s="237"/>
      <c r="N167" s="237"/>
      <c r="O167" s="237"/>
      <c r="P167" s="237"/>
      <c r="Q167" s="237"/>
      <c r="R167" s="237"/>
      <c r="S167" s="237"/>
      <c r="T167" s="237"/>
      <c r="U167" s="237"/>
      <c r="V167" s="237"/>
      <c r="W167" s="237"/>
      <c r="X167" s="237"/>
      <c r="Y167" s="237"/>
      <c r="Z167" s="237"/>
      <c r="AA167" s="237"/>
      <c r="AB167" s="237"/>
    </row>
    <row r="168">
      <c r="A168" s="238">
        <v>167.0</v>
      </c>
      <c r="B168" s="239" t="s">
        <v>4262</v>
      </c>
      <c r="C168" s="240" t="s">
        <v>4263</v>
      </c>
      <c r="D168" s="236"/>
      <c r="E168" s="240" t="s">
        <v>3511</v>
      </c>
      <c r="F168" s="240" t="s">
        <v>4264</v>
      </c>
      <c r="G168" s="238" t="s">
        <v>4265</v>
      </c>
      <c r="H168" s="240" t="s">
        <v>4266</v>
      </c>
      <c r="I168" s="236"/>
      <c r="J168" s="238" t="s">
        <v>4100</v>
      </c>
      <c r="K168" s="239" t="s">
        <v>4262</v>
      </c>
      <c r="L168" s="237"/>
      <c r="M168" s="237"/>
      <c r="N168" s="237"/>
      <c r="O168" s="237"/>
      <c r="P168" s="237"/>
      <c r="Q168" s="237"/>
      <c r="R168" s="237"/>
      <c r="S168" s="237"/>
      <c r="T168" s="237"/>
      <c r="U168" s="237"/>
      <c r="V168" s="237"/>
      <c r="W168" s="237"/>
      <c r="X168" s="237"/>
      <c r="Y168" s="237"/>
      <c r="Z168" s="237"/>
      <c r="AA168" s="237"/>
      <c r="AB168" s="237"/>
    </row>
    <row r="169">
      <c r="A169" s="238">
        <v>168.0</v>
      </c>
      <c r="B169" s="239" t="s">
        <v>4267</v>
      </c>
      <c r="C169" s="240" t="s">
        <v>4268</v>
      </c>
      <c r="D169" s="236"/>
      <c r="E169" s="240" t="s">
        <v>3511</v>
      </c>
      <c r="F169" s="240" t="s">
        <v>4269</v>
      </c>
      <c r="G169" s="238" t="s">
        <v>4270</v>
      </c>
      <c r="H169" s="240" t="s">
        <v>4271</v>
      </c>
      <c r="I169" s="236"/>
      <c r="J169" s="238" t="s">
        <v>4222</v>
      </c>
      <c r="K169" s="239" t="s">
        <v>4267</v>
      </c>
      <c r="L169" s="237"/>
      <c r="M169" s="237"/>
      <c r="N169" s="237"/>
      <c r="O169" s="237"/>
      <c r="P169" s="237"/>
      <c r="Q169" s="237"/>
      <c r="R169" s="237"/>
      <c r="S169" s="237"/>
      <c r="T169" s="237"/>
      <c r="U169" s="237"/>
      <c r="V169" s="237"/>
      <c r="W169" s="237"/>
      <c r="X169" s="237"/>
      <c r="Y169" s="237"/>
      <c r="Z169" s="237"/>
      <c r="AA169" s="237"/>
      <c r="AB169" s="237"/>
    </row>
    <row r="170">
      <c r="A170" s="238">
        <v>169.0</v>
      </c>
      <c r="B170" s="239" t="s">
        <v>4272</v>
      </c>
      <c r="C170" s="240" t="s">
        <v>4273</v>
      </c>
      <c r="D170" s="236"/>
      <c r="E170" s="240" t="s">
        <v>3511</v>
      </c>
      <c r="F170" s="240" t="s">
        <v>4274</v>
      </c>
      <c r="G170" s="238" t="s">
        <v>4275</v>
      </c>
      <c r="H170" s="240" t="s">
        <v>4276</v>
      </c>
      <c r="I170" s="236"/>
      <c r="J170" s="238" t="s">
        <v>4100</v>
      </c>
      <c r="K170" s="239" t="s">
        <v>4272</v>
      </c>
      <c r="L170" s="237"/>
      <c r="M170" s="237"/>
      <c r="N170" s="237"/>
      <c r="O170" s="237"/>
      <c r="P170" s="237"/>
      <c r="Q170" s="237"/>
      <c r="R170" s="237"/>
      <c r="S170" s="237"/>
      <c r="T170" s="237"/>
      <c r="U170" s="237"/>
      <c r="V170" s="237"/>
      <c r="W170" s="237"/>
      <c r="X170" s="237"/>
      <c r="Y170" s="237"/>
      <c r="Z170" s="237"/>
      <c r="AA170" s="237"/>
      <c r="AB170" s="237"/>
    </row>
    <row r="171">
      <c r="A171" s="238">
        <v>170.0</v>
      </c>
      <c r="B171" s="239" t="s">
        <v>4277</v>
      </c>
      <c r="C171" s="240" t="s">
        <v>4278</v>
      </c>
      <c r="D171" s="236"/>
      <c r="E171" s="240" t="s">
        <v>3511</v>
      </c>
      <c r="F171" s="240" t="s">
        <v>4279</v>
      </c>
      <c r="G171" s="238" t="s">
        <v>4280</v>
      </c>
      <c r="H171" s="240" t="s">
        <v>4281</v>
      </c>
      <c r="I171" s="236"/>
      <c r="J171" s="238" t="s">
        <v>4100</v>
      </c>
      <c r="K171" s="239" t="s">
        <v>4277</v>
      </c>
      <c r="L171" s="237"/>
      <c r="M171" s="237"/>
      <c r="N171" s="237"/>
      <c r="O171" s="237"/>
      <c r="P171" s="237"/>
      <c r="Q171" s="237"/>
      <c r="R171" s="237"/>
      <c r="S171" s="237"/>
      <c r="T171" s="237"/>
      <c r="U171" s="237"/>
      <c r="V171" s="237"/>
      <c r="W171" s="237"/>
      <c r="X171" s="237"/>
      <c r="Y171" s="237"/>
      <c r="Z171" s="237"/>
      <c r="AA171" s="237"/>
      <c r="AB171" s="237"/>
    </row>
    <row r="172">
      <c r="A172" s="238">
        <v>171.0</v>
      </c>
      <c r="B172" s="239" t="s">
        <v>4282</v>
      </c>
      <c r="C172" s="240" t="s">
        <v>4283</v>
      </c>
      <c r="D172" s="236"/>
      <c r="E172" s="240" t="s">
        <v>3511</v>
      </c>
      <c r="F172" s="240" t="s">
        <v>4284</v>
      </c>
      <c r="G172" s="238" t="s">
        <v>4285</v>
      </c>
      <c r="H172" s="240" t="s">
        <v>4286</v>
      </c>
      <c r="I172" s="236"/>
      <c r="J172" s="238" t="s">
        <v>4100</v>
      </c>
      <c r="K172" s="239" t="s">
        <v>4282</v>
      </c>
      <c r="L172" s="237"/>
      <c r="M172" s="237"/>
      <c r="N172" s="237"/>
      <c r="O172" s="237"/>
      <c r="P172" s="237"/>
      <c r="Q172" s="237"/>
      <c r="R172" s="237"/>
      <c r="S172" s="237"/>
      <c r="T172" s="237"/>
      <c r="U172" s="237"/>
      <c r="V172" s="237"/>
      <c r="W172" s="237"/>
      <c r="X172" s="237"/>
      <c r="Y172" s="237"/>
      <c r="Z172" s="237"/>
      <c r="AA172" s="237"/>
      <c r="AB172" s="237"/>
    </row>
    <row r="173">
      <c r="A173" s="238">
        <v>172.0</v>
      </c>
      <c r="B173" s="239" t="s">
        <v>4287</v>
      </c>
      <c r="C173" s="240" t="s">
        <v>4288</v>
      </c>
      <c r="D173" s="236"/>
      <c r="E173" s="240" t="s">
        <v>3511</v>
      </c>
      <c r="F173" s="240" t="s">
        <v>4289</v>
      </c>
      <c r="G173" s="238" t="s">
        <v>4290</v>
      </c>
      <c r="H173" s="240" t="s">
        <v>4291</v>
      </c>
      <c r="I173" s="236"/>
      <c r="J173" s="238" t="s">
        <v>4100</v>
      </c>
      <c r="K173" s="239" t="s">
        <v>4287</v>
      </c>
      <c r="L173" s="237"/>
      <c r="M173" s="237"/>
      <c r="N173" s="237"/>
      <c r="O173" s="237"/>
      <c r="P173" s="237"/>
      <c r="Q173" s="237"/>
      <c r="R173" s="237"/>
      <c r="S173" s="237"/>
      <c r="T173" s="237"/>
      <c r="U173" s="237"/>
      <c r="V173" s="237"/>
      <c r="W173" s="237"/>
      <c r="X173" s="237"/>
      <c r="Y173" s="237"/>
      <c r="Z173" s="237"/>
      <c r="AA173" s="237"/>
      <c r="AB173" s="237"/>
    </row>
    <row r="174">
      <c r="A174" s="238">
        <v>173.0</v>
      </c>
      <c r="B174" s="239" t="s">
        <v>4292</v>
      </c>
      <c r="C174" s="240" t="s">
        <v>4293</v>
      </c>
      <c r="D174" s="236"/>
      <c r="E174" s="240" t="s">
        <v>3511</v>
      </c>
      <c r="F174" s="240" t="s">
        <v>4294</v>
      </c>
      <c r="G174" s="238" t="s">
        <v>4295</v>
      </c>
      <c r="H174" s="240" t="s">
        <v>4296</v>
      </c>
      <c r="I174" s="236"/>
      <c r="J174" s="238" t="s">
        <v>4100</v>
      </c>
      <c r="K174" s="239" t="s">
        <v>4292</v>
      </c>
      <c r="L174" s="237"/>
      <c r="M174" s="237"/>
      <c r="N174" s="237"/>
      <c r="O174" s="237"/>
      <c r="P174" s="237"/>
      <c r="Q174" s="237"/>
      <c r="R174" s="237"/>
      <c r="S174" s="237"/>
      <c r="T174" s="237"/>
      <c r="U174" s="237"/>
      <c r="V174" s="237"/>
      <c r="W174" s="237"/>
      <c r="X174" s="237"/>
      <c r="Y174" s="237"/>
      <c r="Z174" s="237"/>
      <c r="AA174" s="237"/>
      <c r="AB174" s="237"/>
    </row>
    <row r="175">
      <c r="A175" s="238">
        <v>174.0</v>
      </c>
      <c r="B175" s="239" t="s">
        <v>4297</v>
      </c>
      <c r="C175" s="240" t="s">
        <v>4298</v>
      </c>
      <c r="D175" s="236"/>
      <c r="E175" s="240" t="s">
        <v>3511</v>
      </c>
      <c r="F175" s="240" t="s">
        <v>4299</v>
      </c>
      <c r="G175" s="238" t="s">
        <v>4300</v>
      </c>
      <c r="H175" s="240" t="s">
        <v>4301</v>
      </c>
      <c r="I175" s="236"/>
      <c r="J175" s="238" t="s">
        <v>4100</v>
      </c>
      <c r="K175" s="239" t="s">
        <v>4297</v>
      </c>
      <c r="L175" s="237"/>
      <c r="M175" s="237"/>
      <c r="N175" s="237"/>
      <c r="O175" s="237"/>
      <c r="P175" s="237"/>
      <c r="Q175" s="237"/>
      <c r="R175" s="237"/>
      <c r="S175" s="237"/>
      <c r="T175" s="237"/>
      <c r="U175" s="237"/>
      <c r="V175" s="237"/>
      <c r="W175" s="237"/>
      <c r="X175" s="237"/>
      <c r="Y175" s="237"/>
      <c r="Z175" s="237"/>
      <c r="AA175" s="237"/>
      <c r="AB175" s="237"/>
    </row>
    <row r="176">
      <c r="A176" s="238">
        <v>175.0</v>
      </c>
      <c r="B176" s="239" t="s">
        <v>4302</v>
      </c>
      <c r="C176" s="240" t="s">
        <v>4303</v>
      </c>
      <c r="D176" s="236"/>
      <c r="E176" s="240" t="s">
        <v>3511</v>
      </c>
      <c r="F176" s="240" t="s">
        <v>4304</v>
      </c>
      <c r="G176" s="238" t="s">
        <v>4305</v>
      </c>
      <c r="H176" s="240" t="s">
        <v>4306</v>
      </c>
      <c r="I176" s="236"/>
      <c r="J176" s="238" t="s">
        <v>4100</v>
      </c>
      <c r="K176" s="239" t="s">
        <v>4302</v>
      </c>
      <c r="L176" s="237"/>
      <c r="M176" s="237"/>
      <c r="N176" s="237"/>
      <c r="O176" s="237"/>
      <c r="P176" s="237"/>
      <c r="Q176" s="237"/>
      <c r="R176" s="237"/>
      <c r="S176" s="237"/>
      <c r="T176" s="237"/>
      <c r="U176" s="237"/>
      <c r="V176" s="237"/>
      <c r="W176" s="237"/>
      <c r="X176" s="237"/>
      <c r="Y176" s="237"/>
      <c r="Z176" s="237"/>
      <c r="AA176" s="237"/>
      <c r="AB176" s="237"/>
    </row>
    <row r="177">
      <c r="A177" s="238">
        <v>176.0</v>
      </c>
      <c r="B177" s="239" t="s">
        <v>3704</v>
      </c>
      <c r="C177" s="240" t="s">
        <v>4307</v>
      </c>
      <c r="D177" s="236"/>
      <c r="E177" s="240" t="s">
        <v>3511</v>
      </c>
      <c r="F177" s="240" t="s">
        <v>2350</v>
      </c>
      <c r="G177" s="238" t="s">
        <v>3707</v>
      </c>
      <c r="H177" s="241" t="s">
        <v>4308</v>
      </c>
      <c r="I177" s="236"/>
      <c r="J177" s="238" t="s">
        <v>3637</v>
      </c>
      <c r="K177" s="239" t="s">
        <v>3704</v>
      </c>
      <c r="L177" s="237"/>
      <c r="M177" s="237"/>
      <c r="N177" s="237"/>
      <c r="O177" s="237"/>
      <c r="P177" s="237"/>
      <c r="Q177" s="237"/>
      <c r="R177" s="237"/>
      <c r="S177" s="237"/>
      <c r="T177" s="237"/>
      <c r="U177" s="237"/>
      <c r="V177" s="237"/>
      <c r="W177" s="237"/>
      <c r="X177" s="237"/>
      <c r="Y177" s="237"/>
      <c r="Z177" s="237"/>
      <c r="AA177" s="237"/>
      <c r="AB177" s="237"/>
    </row>
    <row r="178">
      <c r="A178" s="238">
        <v>177.0</v>
      </c>
      <c r="B178" s="239" t="s">
        <v>4309</v>
      </c>
      <c r="C178" s="240" t="s">
        <v>4310</v>
      </c>
      <c r="D178" s="236"/>
      <c r="E178" s="240" t="s">
        <v>3511</v>
      </c>
      <c r="F178" s="240" t="s">
        <v>4311</v>
      </c>
      <c r="G178" s="238" t="s">
        <v>4312</v>
      </c>
      <c r="H178" s="240" t="s">
        <v>4313</v>
      </c>
      <c r="I178" s="236"/>
      <c r="J178" s="238" t="s">
        <v>3962</v>
      </c>
      <c r="K178" s="239" t="s">
        <v>4309</v>
      </c>
      <c r="L178" s="237"/>
      <c r="M178" s="237"/>
      <c r="N178" s="237"/>
      <c r="O178" s="237"/>
      <c r="P178" s="237"/>
      <c r="Q178" s="237"/>
      <c r="R178" s="237"/>
      <c r="S178" s="237"/>
      <c r="T178" s="237"/>
      <c r="U178" s="237"/>
      <c r="V178" s="237"/>
      <c r="W178" s="237"/>
      <c r="X178" s="237"/>
      <c r="Y178" s="237"/>
      <c r="Z178" s="237"/>
      <c r="AA178" s="237"/>
      <c r="AB178" s="237"/>
    </row>
    <row r="179">
      <c r="A179" s="238">
        <v>178.0</v>
      </c>
      <c r="B179" s="239" t="s">
        <v>4314</v>
      </c>
      <c r="C179" s="240" t="s">
        <v>4315</v>
      </c>
      <c r="D179" s="236"/>
      <c r="E179" s="240" t="s">
        <v>3511</v>
      </c>
      <c r="F179" s="240" t="s">
        <v>4316</v>
      </c>
      <c r="G179" s="238" t="s">
        <v>4317</v>
      </c>
      <c r="H179" s="240" t="s">
        <v>4318</v>
      </c>
      <c r="I179" s="236"/>
      <c r="J179" s="238" t="s">
        <v>3962</v>
      </c>
      <c r="K179" s="239" t="s">
        <v>4314</v>
      </c>
      <c r="L179" s="237"/>
      <c r="M179" s="237"/>
      <c r="N179" s="237"/>
      <c r="O179" s="237"/>
      <c r="P179" s="237"/>
      <c r="Q179" s="237"/>
      <c r="R179" s="237"/>
      <c r="S179" s="237"/>
      <c r="T179" s="237"/>
      <c r="U179" s="237"/>
      <c r="V179" s="237"/>
      <c r="W179" s="237"/>
      <c r="X179" s="237"/>
      <c r="Y179" s="237"/>
      <c r="Z179" s="237"/>
      <c r="AA179" s="237"/>
      <c r="AB179" s="237"/>
    </row>
    <row r="180">
      <c r="A180" s="238">
        <v>179.0</v>
      </c>
      <c r="B180" s="239" t="s">
        <v>4319</v>
      </c>
      <c r="C180" s="240" t="s">
        <v>4320</v>
      </c>
      <c r="D180" s="236"/>
      <c r="E180" s="240" t="s">
        <v>3511</v>
      </c>
      <c r="F180" s="240" t="s">
        <v>4321</v>
      </c>
      <c r="G180" s="238" t="s">
        <v>4322</v>
      </c>
      <c r="H180" s="240" t="s">
        <v>4323</v>
      </c>
      <c r="I180" s="236"/>
      <c r="J180" s="238" t="s">
        <v>3962</v>
      </c>
      <c r="K180" s="239" t="s">
        <v>4319</v>
      </c>
      <c r="L180" s="237"/>
      <c r="M180" s="237"/>
      <c r="N180" s="237"/>
      <c r="O180" s="237"/>
      <c r="P180" s="237"/>
      <c r="Q180" s="237"/>
      <c r="R180" s="237"/>
      <c r="S180" s="237"/>
      <c r="T180" s="237"/>
      <c r="U180" s="237"/>
      <c r="V180" s="237"/>
      <c r="W180" s="237"/>
      <c r="X180" s="237"/>
      <c r="Y180" s="237"/>
      <c r="Z180" s="237"/>
      <c r="AA180" s="237"/>
      <c r="AB180" s="237"/>
    </row>
    <row r="181">
      <c r="A181" s="238">
        <v>180.0</v>
      </c>
      <c r="B181" s="239" t="s">
        <v>4324</v>
      </c>
      <c r="C181" s="240" t="s">
        <v>4325</v>
      </c>
      <c r="D181" s="236"/>
      <c r="E181" s="240" t="s">
        <v>3511</v>
      </c>
      <c r="F181" s="240" t="s">
        <v>4326</v>
      </c>
      <c r="G181" s="238" t="s">
        <v>4327</v>
      </c>
      <c r="H181" s="240" t="s">
        <v>4328</v>
      </c>
      <c r="I181" s="236"/>
      <c r="J181" s="238" t="s">
        <v>3962</v>
      </c>
      <c r="K181" s="239" t="s">
        <v>4324</v>
      </c>
      <c r="L181" s="237"/>
      <c r="M181" s="237"/>
      <c r="N181" s="237"/>
      <c r="O181" s="237"/>
      <c r="P181" s="237"/>
      <c r="Q181" s="237"/>
      <c r="R181" s="237"/>
      <c r="S181" s="237"/>
      <c r="T181" s="237"/>
      <c r="U181" s="237"/>
      <c r="V181" s="237"/>
      <c r="W181" s="237"/>
      <c r="X181" s="237"/>
      <c r="Y181" s="237"/>
      <c r="Z181" s="237"/>
      <c r="AA181" s="237"/>
      <c r="AB181" s="237"/>
    </row>
    <row r="182">
      <c r="A182" s="238">
        <v>181.0</v>
      </c>
      <c r="B182" s="239" t="s">
        <v>4329</v>
      </c>
      <c r="C182" s="240" t="s">
        <v>4330</v>
      </c>
      <c r="D182" s="236"/>
      <c r="E182" s="240" t="s">
        <v>3511</v>
      </c>
      <c r="F182" s="240" t="s">
        <v>4331</v>
      </c>
      <c r="G182" s="238" t="s">
        <v>4332</v>
      </c>
      <c r="H182" s="240" t="s">
        <v>4333</v>
      </c>
      <c r="I182" s="236"/>
      <c r="J182" s="238" t="s">
        <v>3962</v>
      </c>
      <c r="K182" s="239" t="s">
        <v>4329</v>
      </c>
      <c r="L182" s="237"/>
      <c r="M182" s="237"/>
      <c r="N182" s="237"/>
      <c r="O182" s="237"/>
      <c r="P182" s="237"/>
      <c r="Q182" s="237"/>
      <c r="R182" s="237"/>
      <c r="S182" s="237"/>
      <c r="T182" s="237"/>
      <c r="U182" s="237"/>
      <c r="V182" s="237"/>
      <c r="W182" s="237"/>
      <c r="X182" s="237"/>
      <c r="Y182" s="237"/>
      <c r="Z182" s="237"/>
      <c r="AA182" s="237"/>
      <c r="AB182" s="237"/>
    </row>
    <row r="183">
      <c r="A183" s="238">
        <v>182.0</v>
      </c>
      <c r="B183" s="239" t="s">
        <v>4334</v>
      </c>
      <c r="C183" s="240" t="s">
        <v>4335</v>
      </c>
      <c r="D183" s="236"/>
      <c r="E183" s="240" t="s">
        <v>3511</v>
      </c>
      <c r="F183" s="240" t="s">
        <v>4336</v>
      </c>
      <c r="G183" s="238" t="s">
        <v>4337</v>
      </c>
      <c r="H183" s="240" t="s">
        <v>4338</v>
      </c>
      <c r="I183" s="236"/>
      <c r="J183" s="238" t="s">
        <v>3962</v>
      </c>
      <c r="K183" s="239" t="s">
        <v>4334</v>
      </c>
      <c r="L183" s="237"/>
      <c r="M183" s="237"/>
      <c r="N183" s="237"/>
      <c r="O183" s="237"/>
      <c r="P183" s="237"/>
      <c r="Q183" s="237"/>
      <c r="R183" s="237"/>
      <c r="S183" s="237"/>
      <c r="T183" s="237"/>
      <c r="U183" s="237"/>
      <c r="V183" s="237"/>
      <c r="W183" s="237"/>
      <c r="X183" s="237"/>
      <c r="Y183" s="237"/>
      <c r="Z183" s="237"/>
      <c r="AA183" s="237"/>
      <c r="AB183" s="237"/>
    </row>
    <row r="184">
      <c r="A184" s="238">
        <v>183.0</v>
      </c>
      <c r="B184" s="239" t="s">
        <v>4339</v>
      </c>
      <c r="C184" s="240" t="s">
        <v>4340</v>
      </c>
      <c r="D184" s="236"/>
      <c r="E184" s="240" t="s">
        <v>3511</v>
      </c>
      <c r="F184" s="240" t="s">
        <v>4341</v>
      </c>
      <c r="G184" s="238" t="s">
        <v>4342</v>
      </c>
      <c r="H184" s="240" t="s">
        <v>4343</v>
      </c>
      <c r="I184" s="236"/>
      <c r="J184" s="238" t="s">
        <v>3962</v>
      </c>
      <c r="K184" s="239" t="s">
        <v>4339</v>
      </c>
      <c r="L184" s="237"/>
      <c r="M184" s="237"/>
      <c r="N184" s="237"/>
      <c r="O184" s="237"/>
      <c r="P184" s="237"/>
      <c r="Q184" s="237"/>
      <c r="R184" s="237"/>
      <c r="S184" s="237"/>
      <c r="T184" s="237"/>
      <c r="U184" s="237"/>
      <c r="V184" s="237"/>
      <c r="W184" s="237"/>
      <c r="X184" s="237"/>
      <c r="Y184" s="237"/>
      <c r="Z184" s="237"/>
      <c r="AA184" s="237"/>
      <c r="AB184" s="237"/>
    </row>
    <row r="185">
      <c r="A185" s="238">
        <v>184.0</v>
      </c>
      <c r="B185" s="239" t="s">
        <v>4344</v>
      </c>
      <c r="C185" s="240" t="s">
        <v>4345</v>
      </c>
      <c r="D185" s="236"/>
      <c r="E185" s="240" t="s">
        <v>3511</v>
      </c>
      <c r="F185" s="240" t="s">
        <v>4346</v>
      </c>
      <c r="G185" s="238" t="s">
        <v>4347</v>
      </c>
      <c r="H185" s="240" t="s">
        <v>4348</v>
      </c>
      <c r="I185" s="236"/>
      <c r="J185" s="238" t="s">
        <v>3962</v>
      </c>
      <c r="K185" s="239" t="s">
        <v>4344</v>
      </c>
      <c r="L185" s="237"/>
      <c r="M185" s="237"/>
      <c r="N185" s="237"/>
      <c r="O185" s="237"/>
      <c r="P185" s="237"/>
      <c r="Q185" s="237"/>
      <c r="R185" s="237"/>
      <c r="S185" s="237"/>
      <c r="T185" s="237"/>
      <c r="U185" s="237"/>
      <c r="V185" s="237"/>
      <c r="W185" s="237"/>
      <c r="X185" s="237"/>
      <c r="Y185" s="237"/>
      <c r="Z185" s="237"/>
      <c r="AA185" s="237"/>
      <c r="AB185" s="237"/>
    </row>
    <row r="186">
      <c r="A186" s="238">
        <v>185.0</v>
      </c>
      <c r="B186" s="239" t="s">
        <v>4349</v>
      </c>
      <c r="C186" s="240" t="s">
        <v>4350</v>
      </c>
      <c r="D186" s="236"/>
      <c r="E186" s="240" t="s">
        <v>3511</v>
      </c>
      <c r="F186" s="240" t="s">
        <v>4351</v>
      </c>
      <c r="G186" s="238" t="s">
        <v>4352</v>
      </c>
      <c r="H186" s="240" t="s">
        <v>4353</v>
      </c>
      <c r="I186" s="236"/>
      <c r="J186" s="238" t="s">
        <v>3962</v>
      </c>
      <c r="K186" s="239" t="s">
        <v>4349</v>
      </c>
      <c r="L186" s="237"/>
      <c r="M186" s="237"/>
      <c r="N186" s="237"/>
      <c r="O186" s="237"/>
      <c r="P186" s="237"/>
      <c r="Q186" s="237"/>
      <c r="R186" s="237"/>
      <c r="S186" s="237"/>
      <c r="T186" s="237"/>
      <c r="U186" s="237"/>
      <c r="V186" s="237"/>
      <c r="W186" s="237"/>
      <c r="X186" s="237"/>
      <c r="Y186" s="237"/>
      <c r="Z186" s="237"/>
      <c r="AA186" s="237"/>
      <c r="AB186" s="237"/>
    </row>
    <row r="187">
      <c r="A187" s="238">
        <v>186.0</v>
      </c>
      <c r="B187" s="239" t="s">
        <v>4354</v>
      </c>
      <c r="C187" s="240" t="s">
        <v>4355</v>
      </c>
      <c r="D187" s="236"/>
      <c r="E187" s="240" t="s">
        <v>3511</v>
      </c>
      <c r="F187" s="240" t="s">
        <v>4356</v>
      </c>
      <c r="G187" s="238" t="s">
        <v>4357</v>
      </c>
      <c r="H187" s="240" t="s">
        <v>4358</v>
      </c>
      <c r="I187" s="236"/>
      <c r="J187" s="238" t="s">
        <v>3962</v>
      </c>
      <c r="K187" s="239" t="s">
        <v>4354</v>
      </c>
      <c r="L187" s="237"/>
      <c r="M187" s="237"/>
      <c r="N187" s="237"/>
      <c r="O187" s="237"/>
      <c r="P187" s="237"/>
      <c r="Q187" s="237"/>
      <c r="R187" s="237"/>
      <c r="S187" s="237"/>
      <c r="T187" s="237"/>
      <c r="U187" s="237"/>
      <c r="V187" s="237"/>
      <c r="W187" s="237"/>
      <c r="X187" s="237"/>
      <c r="Y187" s="237"/>
      <c r="Z187" s="237"/>
      <c r="AA187" s="237"/>
      <c r="AB187" s="237"/>
    </row>
    <row r="188">
      <c r="A188" s="238">
        <v>187.0</v>
      </c>
      <c r="B188" s="239" t="s">
        <v>4359</v>
      </c>
      <c r="C188" s="240" t="s">
        <v>4360</v>
      </c>
      <c r="D188" s="236"/>
      <c r="E188" s="240" t="s">
        <v>3511</v>
      </c>
      <c r="F188" s="240" t="s">
        <v>4361</v>
      </c>
      <c r="G188" s="238" t="s">
        <v>4362</v>
      </c>
      <c r="H188" s="240" t="s">
        <v>4363</v>
      </c>
      <c r="I188" s="236"/>
      <c r="J188" s="238" t="s">
        <v>3962</v>
      </c>
      <c r="K188" s="239" t="s">
        <v>4359</v>
      </c>
      <c r="L188" s="237"/>
      <c r="M188" s="237"/>
      <c r="N188" s="237"/>
      <c r="O188" s="237"/>
      <c r="P188" s="237"/>
      <c r="Q188" s="237"/>
      <c r="R188" s="237"/>
      <c r="S188" s="237"/>
      <c r="T188" s="237"/>
      <c r="U188" s="237"/>
      <c r="V188" s="237"/>
      <c r="W188" s="237"/>
      <c r="X188" s="237"/>
      <c r="Y188" s="237"/>
      <c r="Z188" s="237"/>
      <c r="AA188" s="237"/>
      <c r="AB188" s="237"/>
    </row>
    <row r="189">
      <c r="A189" s="238">
        <v>188.0</v>
      </c>
      <c r="B189" s="239" t="s">
        <v>4364</v>
      </c>
      <c r="C189" s="240" t="s">
        <v>4365</v>
      </c>
      <c r="D189" s="236"/>
      <c r="E189" s="240" t="s">
        <v>3511</v>
      </c>
      <c r="F189" s="240" t="s">
        <v>4366</v>
      </c>
      <c r="G189" s="238" t="s">
        <v>4367</v>
      </c>
      <c r="H189" s="240" t="s">
        <v>4368</v>
      </c>
      <c r="I189" s="236"/>
      <c r="J189" s="238" t="s">
        <v>4171</v>
      </c>
      <c r="K189" s="239" t="s">
        <v>4364</v>
      </c>
      <c r="L189" s="237"/>
      <c r="M189" s="237"/>
      <c r="N189" s="237"/>
      <c r="O189" s="237"/>
      <c r="P189" s="237"/>
      <c r="Q189" s="237"/>
      <c r="R189" s="237"/>
      <c r="S189" s="237"/>
      <c r="T189" s="237"/>
      <c r="U189" s="237"/>
      <c r="V189" s="237"/>
      <c r="W189" s="237"/>
      <c r="X189" s="237"/>
      <c r="Y189" s="237"/>
      <c r="Z189" s="237"/>
      <c r="AA189" s="237"/>
      <c r="AB189" s="237"/>
    </row>
    <row r="190">
      <c r="A190" s="238">
        <v>189.0</v>
      </c>
      <c r="B190" s="239" t="s">
        <v>4369</v>
      </c>
      <c r="C190" s="240" t="s">
        <v>4370</v>
      </c>
      <c r="D190" s="236"/>
      <c r="E190" s="240" t="s">
        <v>3511</v>
      </c>
      <c r="F190" s="240" t="s">
        <v>4371</v>
      </c>
      <c r="G190" s="238" t="s">
        <v>4372</v>
      </c>
      <c r="H190" s="240" t="s">
        <v>4373</v>
      </c>
      <c r="I190" s="236"/>
      <c r="J190" s="238" t="s">
        <v>3962</v>
      </c>
      <c r="K190" s="239" t="s">
        <v>4369</v>
      </c>
      <c r="L190" s="237"/>
      <c r="M190" s="237"/>
      <c r="N190" s="237"/>
      <c r="O190" s="237"/>
      <c r="P190" s="237"/>
      <c r="Q190" s="237"/>
      <c r="R190" s="237"/>
      <c r="S190" s="237"/>
      <c r="T190" s="237"/>
      <c r="U190" s="237"/>
      <c r="V190" s="237"/>
      <c r="W190" s="237"/>
      <c r="X190" s="237"/>
      <c r="Y190" s="237"/>
      <c r="Z190" s="237"/>
      <c r="AA190" s="237"/>
      <c r="AB190" s="237"/>
    </row>
    <row r="191">
      <c r="A191" s="238">
        <v>190.0</v>
      </c>
      <c r="B191" s="239" t="s">
        <v>3736</v>
      </c>
      <c r="C191" s="240" t="s">
        <v>4374</v>
      </c>
      <c r="D191" s="236"/>
      <c r="E191" s="240" t="s">
        <v>3511</v>
      </c>
      <c r="F191" s="240" t="s">
        <v>2354</v>
      </c>
      <c r="G191" s="238" t="s">
        <v>4375</v>
      </c>
      <c r="H191" s="240" t="s">
        <v>4376</v>
      </c>
      <c r="I191" s="236"/>
      <c r="J191" s="238" t="s">
        <v>3637</v>
      </c>
      <c r="K191" s="239" t="s">
        <v>3736</v>
      </c>
      <c r="L191" s="237"/>
      <c r="M191" s="237"/>
      <c r="N191" s="237"/>
      <c r="O191" s="237"/>
      <c r="P191" s="237"/>
      <c r="Q191" s="237"/>
      <c r="R191" s="237"/>
      <c r="S191" s="237"/>
      <c r="T191" s="237"/>
      <c r="U191" s="237"/>
      <c r="V191" s="237"/>
      <c r="W191" s="237"/>
      <c r="X191" s="237"/>
      <c r="Y191" s="237"/>
      <c r="Z191" s="237"/>
      <c r="AA191" s="237"/>
      <c r="AB191" s="237"/>
    </row>
    <row r="192">
      <c r="A192" s="238">
        <v>191.0</v>
      </c>
      <c r="B192" s="239" t="s">
        <v>3733</v>
      </c>
      <c r="C192" s="240" t="s">
        <v>4377</v>
      </c>
      <c r="D192" s="236"/>
      <c r="E192" s="240" t="s">
        <v>3511</v>
      </c>
      <c r="F192" s="240" t="s">
        <v>2352</v>
      </c>
      <c r="G192" s="238" t="s">
        <v>3735</v>
      </c>
      <c r="H192" s="240" t="s">
        <v>4378</v>
      </c>
      <c r="I192" s="236"/>
      <c r="J192" s="238" t="s">
        <v>3637</v>
      </c>
      <c r="K192" s="239" t="s">
        <v>3733</v>
      </c>
      <c r="L192" s="237"/>
      <c r="M192" s="237"/>
      <c r="N192" s="237"/>
      <c r="O192" s="237"/>
      <c r="P192" s="237"/>
      <c r="Q192" s="237"/>
      <c r="R192" s="237"/>
      <c r="S192" s="237"/>
      <c r="T192" s="237"/>
      <c r="U192" s="237"/>
      <c r="V192" s="237"/>
      <c r="W192" s="237"/>
      <c r="X192" s="237"/>
      <c r="Y192" s="237"/>
      <c r="Z192" s="237"/>
      <c r="AA192" s="237"/>
      <c r="AB192" s="237"/>
    </row>
    <row r="193">
      <c r="A193" s="238">
        <v>192.0</v>
      </c>
      <c r="B193" s="239" t="s">
        <v>4379</v>
      </c>
      <c r="C193" s="240" t="s">
        <v>4380</v>
      </c>
      <c r="D193" s="236"/>
      <c r="E193" s="240" t="s">
        <v>3511</v>
      </c>
      <c r="F193" s="240" t="s">
        <v>4381</v>
      </c>
      <c r="G193" s="238" t="s">
        <v>4382</v>
      </c>
      <c r="H193" s="241" t="s">
        <v>4383</v>
      </c>
      <c r="I193" s="236"/>
      <c r="J193" s="238" t="s">
        <v>3962</v>
      </c>
      <c r="K193" s="239" t="s">
        <v>4379</v>
      </c>
      <c r="L193" s="237"/>
      <c r="M193" s="237"/>
      <c r="N193" s="237"/>
      <c r="O193" s="237"/>
      <c r="P193" s="237"/>
      <c r="Q193" s="237"/>
      <c r="R193" s="237"/>
      <c r="S193" s="237"/>
      <c r="T193" s="237"/>
      <c r="U193" s="237"/>
      <c r="V193" s="237"/>
      <c r="W193" s="237"/>
      <c r="X193" s="237"/>
      <c r="Y193" s="237"/>
      <c r="Z193" s="237"/>
      <c r="AA193" s="237"/>
      <c r="AB193" s="237"/>
    </row>
    <row r="194">
      <c r="A194" s="238">
        <v>193.0</v>
      </c>
      <c r="B194" s="239" t="s">
        <v>4384</v>
      </c>
      <c r="C194" s="240" t="s">
        <v>4385</v>
      </c>
      <c r="D194" s="236"/>
      <c r="E194" s="240" t="s">
        <v>3511</v>
      </c>
      <c r="F194" s="240" t="s">
        <v>4386</v>
      </c>
      <c r="G194" s="238" t="s">
        <v>4387</v>
      </c>
      <c r="H194" s="240" t="s">
        <v>4388</v>
      </c>
      <c r="I194" s="236"/>
      <c r="J194" s="238" t="s">
        <v>3962</v>
      </c>
      <c r="K194" s="239" t="s">
        <v>4384</v>
      </c>
      <c r="L194" s="237"/>
      <c r="M194" s="237"/>
      <c r="N194" s="237"/>
      <c r="O194" s="237"/>
      <c r="P194" s="237"/>
      <c r="Q194" s="237"/>
      <c r="R194" s="237"/>
      <c r="S194" s="237"/>
      <c r="T194" s="237"/>
      <c r="U194" s="237"/>
      <c r="V194" s="237"/>
      <c r="W194" s="237"/>
      <c r="X194" s="237"/>
      <c r="Y194" s="237"/>
      <c r="Z194" s="237"/>
      <c r="AA194" s="237"/>
      <c r="AB194" s="237"/>
    </row>
    <row r="195">
      <c r="A195" s="238">
        <v>194.0</v>
      </c>
      <c r="B195" s="242"/>
      <c r="C195" s="240" t="s">
        <v>4389</v>
      </c>
      <c r="D195" s="236"/>
      <c r="E195" s="240" t="s">
        <v>3496</v>
      </c>
      <c r="F195" s="240" t="s">
        <v>4390</v>
      </c>
      <c r="G195" s="238" t="s">
        <v>4391</v>
      </c>
      <c r="H195" s="236"/>
      <c r="I195" s="236"/>
      <c r="J195" s="238" t="s">
        <v>3962</v>
      </c>
      <c r="K195" s="242"/>
      <c r="L195" s="237"/>
      <c r="M195" s="237"/>
      <c r="N195" s="237"/>
      <c r="O195" s="237"/>
      <c r="P195" s="237"/>
      <c r="Q195" s="237"/>
      <c r="R195" s="237"/>
      <c r="S195" s="237"/>
      <c r="T195" s="237"/>
      <c r="U195" s="237"/>
      <c r="V195" s="237"/>
      <c r="W195" s="237"/>
      <c r="X195" s="237"/>
      <c r="Y195" s="237"/>
      <c r="Z195" s="237"/>
      <c r="AA195" s="237"/>
      <c r="AB195" s="237"/>
    </row>
    <row r="196">
      <c r="A196" s="238">
        <v>195.0</v>
      </c>
      <c r="B196" s="242"/>
      <c r="C196" s="240" t="s">
        <v>4392</v>
      </c>
      <c r="D196" s="236"/>
      <c r="E196" s="240" t="s">
        <v>3496</v>
      </c>
      <c r="F196" s="240" t="s">
        <v>4393</v>
      </c>
      <c r="G196" s="238" t="s">
        <v>4394</v>
      </c>
      <c r="H196" s="236"/>
      <c r="I196" s="236"/>
      <c r="J196" s="238" t="s">
        <v>3962</v>
      </c>
      <c r="K196" s="242"/>
      <c r="L196" s="237"/>
      <c r="M196" s="237"/>
      <c r="N196" s="237"/>
      <c r="O196" s="237"/>
      <c r="P196" s="237"/>
      <c r="Q196" s="237"/>
      <c r="R196" s="237"/>
      <c r="S196" s="237"/>
      <c r="T196" s="237"/>
      <c r="U196" s="237"/>
      <c r="V196" s="237"/>
      <c r="W196" s="237"/>
      <c r="X196" s="237"/>
      <c r="Y196" s="237"/>
      <c r="Z196" s="237"/>
      <c r="AA196" s="237"/>
      <c r="AB196" s="237"/>
    </row>
    <row r="197">
      <c r="A197" s="238">
        <v>196.0</v>
      </c>
      <c r="B197" s="242"/>
      <c r="C197" s="241" t="s">
        <v>4395</v>
      </c>
      <c r="D197" s="236"/>
      <c r="E197" s="240" t="s">
        <v>3496</v>
      </c>
      <c r="F197" s="241" t="s">
        <v>4396</v>
      </c>
      <c r="G197" s="238" t="s">
        <v>4397</v>
      </c>
      <c r="H197" s="236"/>
      <c r="I197" s="236"/>
      <c r="J197" s="238" t="s">
        <v>3962</v>
      </c>
      <c r="K197" s="242"/>
      <c r="L197" s="237"/>
      <c r="M197" s="237"/>
      <c r="N197" s="237"/>
      <c r="O197" s="237"/>
      <c r="P197" s="237"/>
      <c r="Q197" s="237"/>
      <c r="R197" s="237"/>
      <c r="S197" s="237"/>
      <c r="T197" s="237"/>
      <c r="U197" s="237"/>
      <c r="V197" s="237"/>
      <c r="W197" s="237"/>
      <c r="X197" s="237"/>
      <c r="Y197" s="237"/>
      <c r="Z197" s="237"/>
      <c r="AA197" s="237"/>
      <c r="AB197" s="237"/>
    </row>
    <row r="198">
      <c r="A198" s="238">
        <v>197.0</v>
      </c>
      <c r="B198" s="242"/>
      <c r="C198" s="240" t="s">
        <v>4398</v>
      </c>
      <c r="D198" s="236"/>
      <c r="E198" s="240" t="s">
        <v>3496</v>
      </c>
      <c r="F198" s="240" t="s">
        <v>4399</v>
      </c>
      <c r="G198" s="238" t="s">
        <v>4400</v>
      </c>
      <c r="H198" s="236"/>
      <c r="I198" s="236"/>
      <c r="J198" s="238" t="s">
        <v>3962</v>
      </c>
      <c r="K198" s="242"/>
      <c r="L198" s="237"/>
      <c r="M198" s="237"/>
      <c r="N198" s="237"/>
      <c r="O198" s="237"/>
      <c r="P198" s="237"/>
      <c r="Q198" s="237"/>
      <c r="R198" s="237"/>
      <c r="S198" s="237"/>
      <c r="T198" s="237"/>
      <c r="U198" s="237"/>
      <c r="V198" s="237"/>
      <c r="W198" s="237"/>
      <c r="X198" s="237"/>
      <c r="Y198" s="237"/>
      <c r="Z198" s="237"/>
      <c r="AA198" s="237"/>
      <c r="AB198" s="237"/>
    </row>
    <row r="199">
      <c r="A199" s="238">
        <v>198.0</v>
      </c>
      <c r="B199" s="242"/>
      <c r="C199" s="240" t="s">
        <v>4401</v>
      </c>
      <c r="D199" s="236"/>
      <c r="E199" s="240" t="s">
        <v>3496</v>
      </c>
      <c r="F199" s="240" t="s">
        <v>4402</v>
      </c>
      <c r="G199" s="238" t="s">
        <v>4403</v>
      </c>
      <c r="H199" s="236"/>
      <c r="I199" s="236"/>
      <c r="J199" s="238" t="s">
        <v>4171</v>
      </c>
      <c r="K199" s="242"/>
      <c r="L199" s="237"/>
      <c r="M199" s="237"/>
      <c r="N199" s="237"/>
      <c r="O199" s="237"/>
      <c r="P199" s="237"/>
      <c r="Q199" s="237"/>
      <c r="R199" s="237"/>
      <c r="S199" s="237"/>
      <c r="T199" s="237"/>
      <c r="U199" s="237"/>
      <c r="V199" s="237"/>
      <c r="W199" s="237"/>
      <c r="X199" s="237"/>
      <c r="Y199" s="237"/>
      <c r="Z199" s="237"/>
      <c r="AA199" s="237"/>
      <c r="AB199" s="237"/>
    </row>
    <row r="200">
      <c r="A200" s="238">
        <v>199.0</v>
      </c>
      <c r="B200" s="242"/>
      <c r="C200" s="240" t="s">
        <v>4404</v>
      </c>
      <c r="D200" s="236"/>
      <c r="E200" s="240" t="s">
        <v>3496</v>
      </c>
      <c r="F200" s="240" t="s">
        <v>4405</v>
      </c>
      <c r="G200" s="238" t="s">
        <v>4406</v>
      </c>
      <c r="H200" s="236"/>
      <c r="I200" s="236"/>
      <c r="J200" s="238" t="s">
        <v>3962</v>
      </c>
      <c r="K200" s="242"/>
      <c r="L200" s="237"/>
      <c r="M200" s="237"/>
      <c r="N200" s="237"/>
      <c r="O200" s="237"/>
      <c r="P200" s="237"/>
      <c r="Q200" s="237"/>
      <c r="R200" s="237"/>
      <c r="S200" s="237"/>
      <c r="T200" s="237"/>
      <c r="U200" s="237"/>
      <c r="V200" s="237"/>
      <c r="W200" s="237"/>
      <c r="X200" s="237"/>
      <c r="Y200" s="237"/>
      <c r="Z200" s="237"/>
      <c r="AA200" s="237"/>
      <c r="AB200" s="237"/>
    </row>
    <row r="201">
      <c r="A201" s="238">
        <v>200.0</v>
      </c>
      <c r="B201" s="239" t="s">
        <v>4407</v>
      </c>
      <c r="C201" s="240" t="s">
        <v>4408</v>
      </c>
      <c r="D201" s="236"/>
      <c r="E201" s="240" t="s">
        <v>3511</v>
      </c>
      <c r="F201" s="240" t="s">
        <v>2298</v>
      </c>
      <c r="G201" s="238" t="s">
        <v>4409</v>
      </c>
      <c r="H201" s="240" t="s">
        <v>4410</v>
      </c>
      <c r="I201" s="236"/>
      <c r="J201" s="238" t="s">
        <v>3962</v>
      </c>
      <c r="K201" s="239" t="s">
        <v>4407</v>
      </c>
      <c r="L201" s="237"/>
      <c r="M201" s="237"/>
      <c r="N201" s="237"/>
      <c r="O201" s="237"/>
      <c r="P201" s="237"/>
      <c r="Q201" s="237"/>
      <c r="R201" s="237"/>
      <c r="S201" s="237"/>
      <c r="T201" s="237"/>
      <c r="U201" s="237"/>
      <c r="V201" s="237"/>
      <c r="W201" s="237"/>
      <c r="X201" s="237"/>
      <c r="Y201" s="237"/>
      <c r="Z201" s="237"/>
      <c r="AA201" s="237"/>
      <c r="AB201" s="237"/>
    </row>
    <row r="202">
      <c r="A202" s="238">
        <v>201.0</v>
      </c>
      <c r="B202" s="239" t="s">
        <v>4411</v>
      </c>
      <c r="C202" s="240" t="s">
        <v>4412</v>
      </c>
      <c r="D202" s="236"/>
      <c r="E202" s="240" t="s">
        <v>3511</v>
      </c>
      <c r="F202" s="240" t="s">
        <v>4413</v>
      </c>
      <c r="G202" s="238" t="s">
        <v>4414</v>
      </c>
      <c r="H202" s="240" t="s">
        <v>4415</v>
      </c>
      <c r="I202" s="236"/>
      <c r="J202" s="238" t="s">
        <v>3962</v>
      </c>
      <c r="K202" s="239" t="s">
        <v>4411</v>
      </c>
      <c r="L202" s="237"/>
      <c r="M202" s="237"/>
      <c r="N202" s="237"/>
      <c r="O202" s="237"/>
      <c r="P202" s="237"/>
      <c r="Q202" s="237"/>
      <c r="R202" s="237"/>
      <c r="S202" s="237"/>
      <c r="T202" s="237"/>
      <c r="U202" s="237"/>
      <c r="V202" s="237"/>
      <c r="W202" s="237"/>
      <c r="X202" s="237"/>
      <c r="Y202" s="237"/>
      <c r="Z202" s="237"/>
      <c r="AA202" s="237"/>
      <c r="AB202" s="237"/>
    </row>
    <row r="203">
      <c r="A203" s="238">
        <v>202.0</v>
      </c>
      <c r="B203" s="239" t="s">
        <v>4416</v>
      </c>
      <c r="C203" s="240" t="s">
        <v>4417</v>
      </c>
      <c r="D203" s="236"/>
      <c r="E203" s="240" t="s">
        <v>3511</v>
      </c>
      <c r="F203" s="240" t="s">
        <v>4418</v>
      </c>
      <c r="G203" s="238" t="s">
        <v>4419</v>
      </c>
      <c r="H203" s="240" t="s">
        <v>4420</v>
      </c>
      <c r="I203" s="236"/>
      <c r="J203" s="238" t="s">
        <v>4421</v>
      </c>
      <c r="K203" s="239" t="s">
        <v>4416</v>
      </c>
      <c r="L203" s="237"/>
      <c r="M203" s="237"/>
      <c r="N203" s="237"/>
      <c r="O203" s="237"/>
      <c r="P203" s="237"/>
      <c r="Q203" s="237"/>
      <c r="R203" s="237"/>
      <c r="S203" s="237"/>
      <c r="T203" s="237"/>
      <c r="U203" s="237"/>
      <c r="V203" s="237"/>
      <c r="W203" s="237"/>
      <c r="X203" s="237"/>
      <c r="Y203" s="237"/>
      <c r="Z203" s="237"/>
      <c r="AA203" s="237"/>
      <c r="AB203" s="237"/>
    </row>
    <row r="204">
      <c r="A204" s="238">
        <v>203.0</v>
      </c>
      <c r="B204" s="239" t="s">
        <v>4422</v>
      </c>
      <c r="C204" s="240" t="s">
        <v>4423</v>
      </c>
      <c r="D204" s="236"/>
      <c r="E204" s="240" t="s">
        <v>3511</v>
      </c>
      <c r="F204" s="240" t="s">
        <v>4424</v>
      </c>
      <c r="G204" s="238" t="s">
        <v>4425</v>
      </c>
      <c r="H204" s="240" t="s">
        <v>4426</v>
      </c>
      <c r="I204" s="236"/>
      <c r="J204" s="238" t="s">
        <v>4421</v>
      </c>
      <c r="K204" s="239" t="s">
        <v>4422</v>
      </c>
      <c r="L204" s="237"/>
      <c r="M204" s="237"/>
      <c r="N204" s="237"/>
      <c r="O204" s="237"/>
      <c r="P204" s="237"/>
      <c r="Q204" s="237"/>
      <c r="R204" s="237"/>
      <c r="S204" s="237"/>
      <c r="T204" s="237"/>
      <c r="U204" s="237"/>
      <c r="V204" s="237"/>
      <c r="W204" s="237"/>
      <c r="X204" s="237"/>
      <c r="Y204" s="237"/>
      <c r="Z204" s="237"/>
      <c r="AA204" s="237"/>
      <c r="AB204" s="237"/>
    </row>
    <row r="205">
      <c r="A205" s="238">
        <v>204.0</v>
      </c>
      <c r="B205" s="239" t="s">
        <v>4427</v>
      </c>
      <c r="C205" s="240" t="s">
        <v>4428</v>
      </c>
      <c r="D205" s="236"/>
      <c r="E205" s="240" t="s">
        <v>3511</v>
      </c>
      <c r="F205" s="240" t="s">
        <v>4429</v>
      </c>
      <c r="G205" s="238" t="s">
        <v>4430</v>
      </c>
      <c r="H205" s="240" t="s">
        <v>4431</v>
      </c>
      <c r="I205" s="236"/>
      <c r="J205" s="238" t="s">
        <v>4421</v>
      </c>
      <c r="K205" s="239" t="s">
        <v>4427</v>
      </c>
      <c r="L205" s="237"/>
      <c r="M205" s="237"/>
      <c r="N205" s="237"/>
      <c r="O205" s="237"/>
      <c r="P205" s="237"/>
      <c r="Q205" s="237"/>
      <c r="R205" s="237"/>
      <c r="S205" s="237"/>
      <c r="T205" s="237"/>
      <c r="U205" s="237"/>
      <c r="V205" s="237"/>
      <c r="W205" s="237"/>
      <c r="X205" s="237"/>
      <c r="Y205" s="237"/>
      <c r="Z205" s="237"/>
      <c r="AA205" s="237"/>
      <c r="AB205" s="237"/>
    </row>
    <row r="206">
      <c r="A206" s="238">
        <v>205.0</v>
      </c>
      <c r="B206" s="239" t="s">
        <v>4432</v>
      </c>
      <c r="C206" s="240" t="s">
        <v>4433</v>
      </c>
      <c r="D206" s="236"/>
      <c r="E206" s="240" t="s">
        <v>3511</v>
      </c>
      <c r="F206" s="240" t="s">
        <v>4434</v>
      </c>
      <c r="G206" s="238" t="s">
        <v>4435</v>
      </c>
      <c r="H206" s="240" t="s">
        <v>4436</v>
      </c>
      <c r="I206" s="236"/>
      <c r="J206" s="238" t="s">
        <v>4421</v>
      </c>
      <c r="K206" s="239" t="s">
        <v>4432</v>
      </c>
      <c r="L206" s="237"/>
      <c r="M206" s="237"/>
      <c r="N206" s="237"/>
      <c r="O206" s="237"/>
      <c r="P206" s="237"/>
      <c r="Q206" s="237"/>
      <c r="R206" s="237"/>
      <c r="S206" s="237"/>
      <c r="T206" s="237"/>
      <c r="U206" s="237"/>
      <c r="V206" s="237"/>
      <c r="W206" s="237"/>
      <c r="X206" s="237"/>
      <c r="Y206" s="237"/>
      <c r="Z206" s="237"/>
      <c r="AA206" s="237"/>
      <c r="AB206" s="237"/>
    </row>
    <row r="207">
      <c r="A207" s="238">
        <v>206.0</v>
      </c>
      <c r="B207" s="239" t="s">
        <v>4437</v>
      </c>
      <c r="C207" s="240" t="s">
        <v>4438</v>
      </c>
      <c r="D207" s="236"/>
      <c r="E207" s="240" t="s">
        <v>3511</v>
      </c>
      <c r="F207" s="240" t="s">
        <v>4439</v>
      </c>
      <c r="G207" s="238" t="s">
        <v>4440</v>
      </c>
      <c r="H207" s="240" t="s">
        <v>4441</v>
      </c>
      <c r="I207" s="236"/>
      <c r="J207" s="238" t="s">
        <v>4421</v>
      </c>
      <c r="K207" s="239" t="s">
        <v>4437</v>
      </c>
      <c r="L207" s="237"/>
      <c r="M207" s="237"/>
      <c r="N207" s="237"/>
      <c r="O207" s="237"/>
      <c r="P207" s="237"/>
      <c r="Q207" s="237"/>
      <c r="R207" s="237"/>
      <c r="S207" s="237"/>
      <c r="T207" s="237"/>
      <c r="U207" s="237"/>
      <c r="V207" s="237"/>
      <c r="W207" s="237"/>
      <c r="X207" s="237"/>
      <c r="Y207" s="237"/>
      <c r="Z207" s="237"/>
      <c r="AA207" s="237"/>
      <c r="AB207" s="237"/>
    </row>
    <row r="208">
      <c r="A208" s="238">
        <v>207.0</v>
      </c>
      <c r="B208" s="239" t="s">
        <v>4442</v>
      </c>
      <c r="C208" s="240" t="s">
        <v>4443</v>
      </c>
      <c r="D208" s="236"/>
      <c r="E208" s="240" t="s">
        <v>3511</v>
      </c>
      <c r="F208" s="240" t="s">
        <v>4444</v>
      </c>
      <c r="G208" s="238" t="s">
        <v>4445</v>
      </c>
      <c r="H208" s="240" t="s">
        <v>4446</v>
      </c>
      <c r="I208" s="236"/>
      <c r="J208" s="238" t="s">
        <v>4421</v>
      </c>
      <c r="K208" s="239" t="s">
        <v>4442</v>
      </c>
      <c r="L208" s="237"/>
      <c r="M208" s="237"/>
      <c r="N208" s="237"/>
      <c r="O208" s="237"/>
      <c r="P208" s="237"/>
      <c r="Q208" s="237"/>
      <c r="R208" s="237"/>
      <c r="S208" s="237"/>
      <c r="T208" s="237"/>
      <c r="U208" s="237"/>
      <c r="V208" s="237"/>
      <c r="W208" s="237"/>
      <c r="X208" s="237"/>
      <c r="Y208" s="237"/>
      <c r="Z208" s="237"/>
      <c r="AA208" s="237"/>
      <c r="AB208" s="237"/>
    </row>
    <row r="209">
      <c r="A209" s="238">
        <v>208.0</v>
      </c>
      <c r="B209" s="239" t="s">
        <v>4447</v>
      </c>
      <c r="C209" s="240" t="s">
        <v>4448</v>
      </c>
      <c r="D209" s="236"/>
      <c r="E209" s="240" t="s">
        <v>3511</v>
      </c>
      <c r="F209" s="240" t="s">
        <v>4449</v>
      </c>
      <c r="G209" s="238" t="s">
        <v>4450</v>
      </c>
      <c r="H209" s="240" t="s">
        <v>4451</v>
      </c>
      <c r="I209" s="236"/>
      <c r="J209" s="238" t="s">
        <v>4452</v>
      </c>
      <c r="K209" s="239" t="s">
        <v>4447</v>
      </c>
      <c r="L209" s="237"/>
      <c r="M209" s="237"/>
      <c r="N209" s="237"/>
      <c r="O209" s="237"/>
      <c r="P209" s="237"/>
      <c r="Q209" s="237"/>
      <c r="R209" s="237"/>
      <c r="S209" s="237"/>
      <c r="T209" s="237"/>
      <c r="U209" s="237"/>
      <c r="V209" s="237"/>
      <c r="W209" s="237"/>
      <c r="X209" s="237"/>
      <c r="Y209" s="237"/>
      <c r="Z209" s="237"/>
      <c r="AA209" s="237"/>
      <c r="AB209" s="237"/>
    </row>
    <row r="210">
      <c r="A210" s="238">
        <v>209.0</v>
      </c>
      <c r="B210" s="239" t="s">
        <v>4453</v>
      </c>
      <c r="C210" s="240" t="s">
        <v>4454</v>
      </c>
      <c r="D210" s="236"/>
      <c r="E210" s="240" t="s">
        <v>3511</v>
      </c>
      <c r="F210" s="240" t="s">
        <v>4455</v>
      </c>
      <c r="G210" s="238" t="s">
        <v>4456</v>
      </c>
      <c r="H210" s="240" t="s">
        <v>4457</v>
      </c>
      <c r="I210" s="236"/>
      <c r="J210" s="238" t="s">
        <v>4421</v>
      </c>
      <c r="K210" s="239" t="s">
        <v>4453</v>
      </c>
      <c r="L210" s="237"/>
      <c r="M210" s="237"/>
      <c r="N210" s="237"/>
      <c r="O210" s="237"/>
      <c r="P210" s="237"/>
      <c r="Q210" s="237"/>
      <c r="R210" s="237"/>
      <c r="S210" s="237"/>
      <c r="T210" s="237"/>
      <c r="U210" s="237"/>
      <c r="V210" s="237"/>
      <c r="W210" s="237"/>
      <c r="X210" s="237"/>
      <c r="Y210" s="237"/>
      <c r="Z210" s="237"/>
      <c r="AA210" s="237"/>
      <c r="AB210" s="237"/>
    </row>
    <row r="211">
      <c r="A211" s="238">
        <v>210.0</v>
      </c>
      <c r="B211" s="239" t="s">
        <v>4458</v>
      </c>
      <c r="C211" s="240" t="s">
        <v>4459</v>
      </c>
      <c r="D211" s="236"/>
      <c r="E211" s="240" t="s">
        <v>3511</v>
      </c>
      <c r="F211" s="241" t="s">
        <v>4460</v>
      </c>
      <c r="G211" s="238" t="s">
        <v>4461</v>
      </c>
      <c r="H211" s="240" t="s">
        <v>4462</v>
      </c>
      <c r="I211" s="236"/>
      <c r="J211" s="238" t="s">
        <v>4421</v>
      </c>
      <c r="K211" s="239" t="s">
        <v>4458</v>
      </c>
      <c r="L211" s="237"/>
      <c r="M211" s="237"/>
      <c r="N211" s="237"/>
      <c r="O211" s="237"/>
      <c r="P211" s="237"/>
      <c r="Q211" s="237"/>
      <c r="R211" s="237"/>
      <c r="S211" s="237"/>
      <c r="T211" s="237"/>
      <c r="U211" s="237"/>
      <c r="V211" s="237"/>
      <c r="W211" s="237"/>
      <c r="X211" s="237"/>
      <c r="Y211" s="237"/>
      <c r="Z211" s="237"/>
      <c r="AA211" s="237"/>
      <c r="AB211" s="237"/>
    </row>
    <row r="212">
      <c r="A212" s="238">
        <v>211.0</v>
      </c>
      <c r="B212" s="239" t="s">
        <v>4463</v>
      </c>
      <c r="C212" s="240" t="s">
        <v>4464</v>
      </c>
      <c r="D212" s="236"/>
      <c r="E212" s="240" t="s">
        <v>3511</v>
      </c>
      <c r="F212" s="240" t="s">
        <v>4465</v>
      </c>
      <c r="G212" s="238" t="s">
        <v>4466</v>
      </c>
      <c r="H212" s="240" t="s">
        <v>4467</v>
      </c>
      <c r="I212" s="236"/>
      <c r="J212" s="238" t="s">
        <v>4421</v>
      </c>
      <c r="K212" s="239" t="s">
        <v>4463</v>
      </c>
      <c r="L212" s="237"/>
      <c r="M212" s="237"/>
      <c r="N212" s="237"/>
      <c r="O212" s="237"/>
      <c r="P212" s="237"/>
      <c r="Q212" s="237"/>
      <c r="R212" s="237"/>
      <c r="S212" s="237"/>
      <c r="T212" s="237"/>
      <c r="U212" s="237"/>
      <c r="V212" s="237"/>
      <c r="W212" s="237"/>
      <c r="X212" s="237"/>
      <c r="Y212" s="237"/>
      <c r="Z212" s="237"/>
      <c r="AA212" s="237"/>
      <c r="AB212" s="237"/>
    </row>
    <row r="213">
      <c r="A213" s="238">
        <v>212.0</v>
      </c>
      <c r="B213" s="239" t="s">
        <v>4468</v>
      </c>
      <c r="C213" s="240" t="s">
        <v>4469</v>
      </c>
      <c r="D213" s="236"/>
      <c r="E213" s="240" t="s">
        <v>3511</v>
      </c>
      <c r="F213" s="240" t="s">
        <v>4470</v>
      </c>
      <c r="G213" s="238" t="s">
        <v>4471</v>
      </c>
      <c r="H213" s="240" t="s">
        <v>4472</v>
      </c>
      <c r="I213" s="236"/>
      <c r="J213" s="238" t="s">
        <v>4421</v>
      </c>
      <c r="K213" s="239" t="s">
        <v>4468</v>
      </c>
      <c r="L213" s="237"/>
      <c r="M213" s="237"/>
      <c r="N213" s="237"/>
      <c r="O213" s="237"/>
      <c r="P213" s="237"/>
      <c r="Q213" s="237"/>
      <c r="R213" s="237"/>
      <c r="S213" s="237"/>
      <c r="T213" s="237"/>
      <c r="U213" s="237"/>
      <c r="V213" s="237"/>
      <c r="W213" s="237"/>
      <c r="X213" s="237"/>
      <c r="Y213" s="237"/>
      <c r="Z213" s="237"/>
      <c r="AA213" s="237"/>
      <c r="AB213" s="237"/>
    </row>
    <row r="214">
      <c r="A214" s="238">
        <v>213.0</v>
      </c>
      <c r="B214" s="239" t="s">
        <v>4473</v>
      </c>
      <c r="C214" s="240" t="s">
        <v>4474</v>
      </c>
      <c r="D214" s="236"/>
      <c r="E214" s="240" t="s">
        <v>3511</v>
      </c>
      <c r="F214" s="240" t="s">
        <v>4475</v>
      </c>
      <c r="G214" s="238" t="s">
        <v>4476</v>
      </c>
      <c r="H214" s="240" t="s">
        <v>4477</v>
      </c>
      <c r="I214" s="236"/>
      <c r="J214" s="238" t="s">
        <v>4421</v>
      </c>
      <c r="K214" s="239" t="s">
        <v>4473</v>
      </c>
      <c r="L214" s="237"/>
      <c r="M214" s="237"/>
      <c r="N214" s="237"/>
      <c r="O214" s="237"/>
      <c r="P214" s="237"/>
      <c r="Q214" s="237"/>
      <c r="R214" s="237"/>
      <c r="S214" s="237"/>
      <c r="T214" s="237"/>
      <c r="U214" s="237"/>
      <c r="V214" s="237"/>
      <c r="W214" s="237"/>
      <c r="X214" s="237"/>
      <c r="Y214" s="237"/>
      <c r="Z214" s="237"/>
      <c r="AA214" s="237"/>
      <c r="AB214" s="237"/>
    </row>
    <row r="215">
      <c r="A215" s="238">
        <v>214.0</v>
      </c>
      <c r="B215" s="239" t="s">
        <v>4478</v>
      </c>
      <c r="C215" s="240" t="s">
        <v>4479</v>
      </c>
      <c r="D215" s="236"/>
      <c r="E215" s="240" t="s">
        <v>3511</v>
      </c>
      <c r="F215" s="240" t="s">
        <v>4480</v>
      </c>
      <c r="G215" s="238" t="s">
        <v>4481</v>
      </c>
      <c r="H215" s="240" t="s">
        <v>4482</v>
      </c>
      <c r="I215" s="236"/>
      <c r="J215" s="238" t="s">
        <v>3962</v>
      </c>
      <c r="K215" s="239" t="s">
        <v>4478</v>
      </c>
      <c r="L215" s="237"/>
      <c r="M215" s="237"/>
      <c r="N215" s="237"/>
      <c r="O215" s="237"/>
      <c r="P215" s="237"/>
      <c r="Q215" s="237"/>
      <c r="R215" s="237"/>
      <c r="S215" s="237"/>
      <c r="T215" s="237"/>
      <c r="U215" s="237"/>
      <c r="V215" s="237"/>
      <c r="W215" s="237"/>
      <c r="X215" s="237"/>
      <c r="Y215" s="237"/>
      <c r="Z215" s="237"/>
      <c r="AA215" s="237"/>
      <c r="AB215" s="237"/>
    </row>
    <row r="216">
      <c r="A216" s="238">
        <v>215.0</v>
      </c>
      <c r="B216" s="239" t="s">
        <v>4483</v>
      </c>
      <c r="C216" s="240" t="s">
        <v>4484</v>
      </c>
      <c r="D216" s="236"/>
      <c r="E216" s="240" t="s">
        <v>3511</v>
      </c>
      <c r="F216" s="240" t="s">
        <v>4485</v>
      </c>
      <c r="G216" s="238" t="s">
        <v>4486</v>
      </c>
      <c r="H216" s="240" t="s">
        <v>4487</v>
      </c>
      <c r="I216" s="236"/>
      <c r="J216" s="238" t="s">
        <v>3962</v>
      </c>
      <c r="K216" s="239" t="s">
        <v>4483</v>
      </c>
      <c r="L216" s="237"/>
      <c r="M216" s="237"/>
      <c r="N216" s="237"/>
      <c r="O216" s="237"/>
      <c r="P216" s="237"/>
      <c r="Q216" s="237"/>
      <c r="R216" s="237"/>
      <c r="S216" s="237"/>
      <c r="T216" s="237"/>
      <c r="U216" s="237"/>
      <c r="V216" s="237"/>
      <c r="W216" s="237"/>
      <c r="X216" s="237"/>
      <c r="Y216" s="237"/>
      <c r="Z216" s="237"/>
      <c r="AA216" s="237"/>
      <c r="AB216" s="237"/>
    </row>
    <row r="217">
      <c r="A217" s="244">
        <v>216.0</v>
      </c>
      <c r="B217" s="245" t="s">
        <v>4488</v>
      </c>
      <c r="C217" s="246" t="s">
        <v>4489</v>
      </c>
      <c r="D217" s="247"/>
      <c r="E217" s="240" t="s">
        <v>3511</v>
      </c>
      <c r="F217" s="248" t="s">
        <v>2304</v>
      </c>
      <c r="G217" s="244" t="s">
        <v>4490</v>
      </c>
      <c r="H217" s="246" t="s">
        <v>4491</v>
      </c>
      <c r="I217" s="247"/>
      <c r="J217" s="244" t="s">
        <v>3962</v>
      </c>
      <c r="K217" s="245" t="s">
        <v>4488</v>
      </c>
      <c r="L217" s="249"/>
      <c r="M217" s="249"/>
      <c r="N217" s="249"/>
      <c r="O217" s="249"/>
      <c r="P217" s="249"/>
      <c r="Q217" s="249"/>
      <c r="R217" s="249"/>
      <c r="S217" s="249"/>
      <c r="T217" s="249"/>
      <c r="U217" s="249"/>
      <c r="V217" s="249"/>
      <c r="W217" s="249"/>
      <c r="X217" s="249"/>
      <c r="Y217" s="249"/>
      <c r="Z217" s="249"/>
      <c r="AA217" s="249"/>
      <c r="AB217" s="249"/>
    </row>
    <row r="218">
      <c r="A218" s="244">
        <v>217.0</v>
      </c>
      <c r="B218" s="245" t="s">
        <v>4492</v>
      </c>
      <c r="C218" s="246" t="s">
        <v>4493</v>
      </c>
      <c r="D218" s="247"/>
      <c r="E218" s="240" t="s">
        <v>3511</v>
      </c>
      <c r="F218" s="248" t="s">
        <v>2301</v>
      </c>
      <c r="G218" s="244" t="s">
        <v>4494</v>
      </c>
      <c r="H218" s="246" t="s">
        <v>4495</v>
      </c>
      <c r="I218" s="247"/>
      <c r="J218" s="244" t="s">
        <v>3962</v>
      </c>
      <c r="K218" s="245" t="s">
        <v>4492</v>
      </c>
      <c r="L218" s="249"/>
      <c r="M218" s="249"/>
      <c r="N218" s="249"/>
      <c r="O218" s="249"/>
      <c r="P218" s="249"/>
      <c r="Q218" s="249"/>
      <c r="R218" s="249"/>
      <c r="S218" s="249"/>
      <c r="T218" s="249"/>
      <c r="U218" s="249"/>
      <c r="V218" s="249"/>
      <c r="W218" s="249"/>
      <c r="X218" s="249"/>
      <c r="Y218" s="249"/>
      <c r="Z218" s="249"/>
      <c r="AA218" s="249"/>
      <c r="AB218" s="249"/>
    </row>
    <row r="219">
      <c r="A219" s="238">
        <v>218.0</v>
      </c>
      <c r="B219" s="242"/>
      <c r="C219" s="240" t="s">
        <v>4496</v>
      </c>
      <c r="D219" s="236"/>
      <c r="E219" s="240" t="s">
        <v>3496</v>
      </c>
      <c r="F219" s="240" t="s">
        <v>4497</v>
      </c>
      <c r="G219" s="238" t="s">
        <v>4498</v>
      </c>
      <c r="H219" s="236"/>
      <c r="I219" s="236"/>
      <c r="J219" s="238" t="s">
        <v>4171</v>
      </c>
      <c r="K219" s="242"/>
      <c r="L219" s="237"/>
      <c r="M219" s="237"/>
      <c r="N219" s="237"/>
      <c r="O219" s="237"/>
      <c r="P219" s="237"/>
      <c r="Q219" s="237"/>
      <c r="R219" s="237"/>
      <c r="S219" s="237"/>
      <c r="T219" s="237"/>
      <c r="U219" s="237"/>
      <c r="V219" s="237"/>
      <c r="W219" s="237"/>
      <c r="X219" s="237"/>
      <c r="Y219" s="237"/>
      <c r="Z219" s="237"/>
      <c r="AA219" s="237"/>
      <c r="AB219" s="237"/>
    </row>
    <row r="220">
      <c r="A220" s="244">
        <v>219.0</v>
      </c>
      <c r="B220" s="245" t="s">
        <v>4499</v>
      </c>
      <c r="C220" s="246" t="s">
        <v>4500</v>
      </c>
      <c r="D220" s="247"/>
      <c r="E220" s="240" t="s">
        <v>3511</v>
      </c>
      <c r="F220" s="246" t="s">
        <v>2302</v>
      </c>
      <c r="G220" s="244" t="s">
        <v>4501</v>
      </c>
      <c r="H220" s="246" t="s">
        <v>4502</v>
      </c>
      <c r="I220" s="247"/>
      <c r="J220" s="244" t="s">
        <v>3962</v>
      </c>
      <c r="K220" s="245" t="s">
        <v>4499</v>
      </c>
      <c r="L220" s="249"/>
      <c r="M220" s="249"/>
      <c r="N220" s="249"/>
      <c r="O220" s="249"/>
      <c r="P220" s="249"/>
      <c r="Q220" s="249"/>
      <c r="R220" s="249"/>
      <c r="S220" s="249"/>
      <c r="T220" s="249"/>
      <c r="U220" s="249"/>
      <c r="V220" s="249"/>
      <c r="W220" s="249"/>
      <c r="X220" s="249"/>
      <c r="Y220" s="249"/>
      <c r="Z220" s="249"/>
      <c r="AA220" s="249"/>
      <c r="AB220" s="249"/>
    </row>
    <row r="221">
      <c r="A221" s="238">
        <v>220.0</v>
      </c>
      <c r="B221" s="250" t="s">
        <v>4503</v>
      </c>
      <c r="C221" s="240" t="s">
        <v>4504</v>
      </c>
      <c r="D221" s="236"/>
      <c r="E221" s="240" t="s">
        <v>3511</v>
      </c>
      <c r="F221" s="240" t="s">
        <v>4505</v>
      </c>
      <c r="G221" s="238" t="s">
        <v>4506</v>
      </c>
      <c r="H221" s="240" t="s">
        <v>4507</v>
      </c>
      <c r="I221" s="236"/>
      <c r="J221" s="238" t="s">
        <v>3962</v>
      </c>
      <c r="K221" s="250" t="s">
        <v>4503</v>
      </c>
      <c r="L221" s="237"/>
      <c r="M221" s="237"/>
      <c r="N221" s="237"/>
      <c r="O221" s="237"/>
      <c r="P221" s="237"/>
      <c r="Q221" s="237"/>
      <c r="R221" s="237"/>
      <c r="S221" s="237"/>
      <c r="T221" s="237"/>
      <c r="U221" s="237"/>
      <c r="V221" s="237"/>
      <c r="W221" s="237"/>
      <c r="X221" s="237"/>
      <c r="Y221" s="237"/>
      <c r="Z221" s="237"/>
      <c r="AA221" s="237"/>
      <c r="AB221" s="237"/>
    </row>
    <row r="222">
      <c r="A222" s="238">
        <v>221.0</v>
      </c>
      <c r="B222" s="242"/>
      <c r="C222" s="240" t="s">
        <v>4508</v>
      </c>
      <c r="D222" s="236"/>
      <c r="E222" s="240" t="s">
        <v>3496</v>
      </c>
      <c r="F222" s="240" t="s">
        <v>4509</v>
      </c>
      <c r="G222" s="238" t="s">
        <v>4510</v>
      </c>
      <c r="H222" s="236"/>
      <c r="I222" s="236"/>
      <c r="J222" s="238" t="s">
        <v>3962</v>
      </c>
      <c r="K222" s="242"/>
      <c r="L222" s="237"/>
      <c r="M222" s="237"/>
      <c r="N222" s="237"/>
      <c r="O222" s="237"/>
      <c r="P222" s="237"/>
      <c r="Q222" s="237"/>
      <c r="R222" s="237"/>
      <c r="S222" s="237"/>
      <c r="T222" s="237"/>
      <c r="U222" s="237"/>
      <c r="V222" s="237"/>
      <c r="W222" s="237"/>
      <c r="X222" s="237"/>
      <c r="Y222" s="237"/>
      <c r="Z222" s="237"/>
      <c r="AA222" s="237"/>
      <c r="AB222" s="237"/>
    </row>
    <row r="223">
      <c r="A223" s="238">
        <v>222.0</v>
      </c>
      <c r="B223" s="242"/>
      <c r="C223" s="240" t="s">
        <v>4511</v>
      </c>
      <c r="D223" s="236"/>
      <c r="E223" s="240" t="s">
        <v>3496</v>
      </c>
      <c r="F223" s="241" t="s">
        <v>4495</v>
      </c>
      <c r="G223" s="238" t="s">
        <v>4512</v>
      </c>
      <c r="H223" s="236"/>
      <c r="I223" s="236"/>
      <c r="J223" s="238" t="s">
        <v>3962</v>
      </c>
      <c r="K223" s="242"/>
      <c r="L223" s="237"/>
      <c r="M223" s="237"/>
      <c r="N223" s="237"/>
      <c r="O223" s="237"/>
      <c r="P223" s="237"/>
      <c r="Q223" s="237"/>
      <c r="R223" s="237"/>
      <c r="S223" s="237"/>
      <c r="T223" s="237"/>
      <c r="U223" s="237"/>
      <c r="V223" s="237"/>
      <c r="W223" s="237"/>
      <c r="X223" s="237"/>
      <c r="Y223" s="237"/>
      <c r="Z223" s="237"/>
      <c r="AA223" s="237"/>
      <c r="AB223" s="237"/>
    </row>
    <row r="224">
      <c r="A224" s="238">
        <v>223.0</v>
      </c>
      <c r="B224" s="239" t="s">
        <v>4513</v>
      </c>
      <c r="C224" s="240" t="s">
        <v>4514</v>
      </c>
      <c r="D224" s="236"/>
      <c r="E224" s="240" t="s">
        <v>3511</v>
      </c>
      <c r="F224" s="240" t="s">
        <v>4515</v>
      </c>
      <c r="G224" s="238" t="s">
        <v>4516</v>
      </c>
      <c r="H224" s="240" t="s">
        <v>4517</v>
      </c>
      <c r="I224" s="236"/>
      <c r="J224" s="238" t="s">
        <v>3962</v>
      </c>
      <c r="K224" s="239" t="s">
        <v>4513</v>
      </c>
      <c r="L224" s="237"/>
      <c r="M224" s="237"/>
      <c r="N224" s="237"/>
      <c r="O224" s="237"/>
      <c r="P224" s="237"/>
      <c r="Q224" s="237"/>
      <c r="R224" s="237"/>
      <c r="S224" s="237"/>
      <c r="T224" s="237"/>
      <c r="U224" s="237"/>
      <c r="V224" s="237"/>
      <c r="W224" s="237"/>
      <c r="X224" s="237"/>
      <c r="Y224" s="237"/>
      <c r="Z224" s="237"/>
      <c r="AA224" s="237"/>
      <c r="AB224" s="237"/>
    </row>
    <row r="225">
      <c r="A225" s="238">
        <v>224.0</v>
      </c>
      <c r="B225" s="239" t="s">
        <v>4518</v>
      </c>
      <c r="C225" s="240" t="s">
        <v>4519</v>
      </c>
      <c r="D225" s="236"/>
      <c r="E225" s="240" t="s">
        <v>3511</v>
      </c>
      <c r="F225" s="240" t="s">
        <v>4520</v>
      </c>
      <c r="G225" s="238" t="s">
        <v>4521</v>
      </c>
      <c r="H225" s="240" t="s">
        <v>4522</v>
      </c>
      <c r="I225" s="236"/>
      <c r="J225" s="238" t="s">
        <v>3962</v>
      </c>
      <c r="K225" s="239" t="s">
        <v>4518</v>
      </c>
      <c r="L225" s="237"/>
      <c r="M225" s="237"/>
      <c r="N225" s="237"/>
      <c r="O225" s="237"/>
      <c r="P225" s="237"/>
      <c r="Q225" s="237"/>
      <c r="R225" s="237"/>
      <c r="S225" s="237"/>
      <c r="T225" s="237"/>
      <c r="U225" s="237"/>
      <c r="V225" s="237"/>
      <c r="W225" s="237"/>
      <c r="X225" s="237"/>
      <c r="Y225" s="237"/>
      <c r="Z225" s="237"/>
      <c r="AA225" s="237"/>
      <c r="AB225" s="237"/>
    </row>
    <row r="226">
      <c r="A226" s="238">
        <v>225.0</v>
      </c>
      <c r="B226" s="242"/>
      <c r="C226" s="240" t="s">
        <v>4523</v>
      </c>
      <c r="D226" s="236"/>
      <c r="E226" s="240" t="s">
        <v>3496</v>
      </c>
      <c r="F226" s="240" t="s">
        <v>4524</v>
      </c>
      <c r="G226" s="238" t="s">
        <v>4525</v>
      </c>
      <c r="H226" s="236"/>
      <c r="I226" s="236"/>
      <c r="J226" s="238" t="s">
        <v>3962</v>
      </c>
      <c r="K226" s="242"/>
      <c r="L226" s="237"/>
      <c r="M226" s="237"/>
      <c r="N226" s="237"/>
      <c r="O226" s="237"/>
      <c r="P226" s="237"/>
      <c r="Q226" s="237"/>
      <c r="R226" s="237"/>
      <c r="S226" s="237"/>
      <c r="T226" s="237"/>
      <c r="U226" s="237"/>
      <c r="V226" s="237"/>
      <c r="W226" s="237"/>
      <c r="X226" s="237"/>
      <c r="Y226" s="237"/>
      <c r="Z226" s="237"/>
      <c r="AA226" s="237"/>
      <c r="AB226" s="237"/>
    </row>
    <row r="227">
      <c r="A227" s="238">
        <v>226.0</v>
      </c>
      <c r="B227" s="239" t="s">
        <v>4526</v>
      </c>
      <c r="C227" s="240" t="s">
        <v>4527</v>
      </c>
      <c r="D227" s="236"/>
      <c r="E227" s="240" t="s">
        <v>3511</v>
      </c>
      <c r="F227" s="240" t="s">
        <v>4528</v>
      </c>
      <c r="G227" s="238" t="s">
        <v>4529</v>
      </c>
      <c r="H227" s="241" t="s">
        <v>4530</v>
      </c>
      <c r="I227" s="236"/>
      <c r="J227" s="238" t="s">
        <v>3962</v>
      </c>
      <c r="K227" s="239" t="s">
        <v>4526</v>
      </c>
      <c r="L227" s="237"/>
      <c r="M227" s="237"/>
      <c r="N227" s="237"/>
      <c r="O227" s="237"/>
      <c r="P227" s="237"/>
      <c r="Q227" s="237"/>
      <c r="R227" s="237"/>
      <c r="S227" s="237"/>
      <c r="T227" s="237"/>
      <c r="U227" s="237"/>
      <c r="V227" s="237"/>
      <c r="W227" s="237"/>
      <c r="X227" s="237"/>
      <c r="Y227" s="237"/>
      <c r="Z227" s="237"/>
      <c r="AA227" s="237"/>
      <c r="AB227" s="237"/>
    </row>
    <row r="228">
      <c r="A228" s="238">
        <v>227.0</v>
      </c>
      <c r="B228" s="239" t="s">
        <v>4531</v>
      </c>
      <c r="C228" s="241" t="s">
        <v>4532</v>
      </c>
      <c r="D228" s="236"/>
      <c r="E228" s="240" t="s">
        <v>3511</v>
      </c>
      <c r="F228" s="240" t="s">
        <v>4533</v>
      </c>
      <c r="G228" s="238" t="s">
        <v>4534</v>
      </c>
      <c r="H228" s="240" t="s">
        <v>4535</v>
      </c>
      <c r="I228" s="236"/>
      <c r="J228" s="238" t="s">
        <v>4536</v>
      </c>
      <c r="K228" s="239" t="s">
        <v>4531</v>
      </c>
      <c r="L228" s="237"/>
      <c r="M228" s="237"/>
      <c r="N228" s="237"/>
      <c r="O228" s="237"/>
      <c r="P228" s="237"/>
      <c r="Q228" s="237"/>
      <c r="R228" s="237"/>
      <c r="S228" s="237"/>
      <c r="T228" s="237"/>
      <c r="U228" s="237"/>
      <c r="V228" s="237"/>
      <c r="W228" s="237"/>
      <c r="X228" s="237"/>
      <c r="Y228" s="237"/>
      <c r="Z228" s="237"/>
      <c r="AA228" s="237"/>
      <c r="AB228" s="237"/>
    </row>
    <row r="229">
      <c r="A229" s="238">
        <v>228.0</v>
      </c>
      <c r="B229" s="239" t="s">
        <v>4537</v>
      </c>
      <c r="C229" s="240" t="s">
        <v>4538</v>
      </c>
      <c r="D229" s="236"/>
      <c r="E229" s="240" t="s">
        <v>3511</v>
      </c>
      <c r="F229" s="240" t="s">
        <v>4539</v>
      </c>
      <c r="G229" s="238" t="s">
        <v>4540</v>
      </c>
      <c r="H229" s="240" t="s">
        <v>4541</v>
      </c>
      <c r="I229" s="236"/>
      <c r="J229" s="238" t="s">
        <v>4542</v>
      </c>
      <c r="K229" s="239" t="s">
        <v>4537</v>
      </c>
      <c r="L229" s="237"/>
      <c r="M229" s="237"/>
      <c r="N229" s="237"/>
      <c r="O229" s="237"/>
      <c r="P229" s="237"/>
      <c r="Q229" s="237"/>
      <c r="R229" s="237"/>
      <c r="S229" s="237"/>
      <c r="T229" s="237"/>
      <c r="U229" s="237"/>
      <c r="V229" s="237"/>
      <c r="W229" s="237"/>
      <c r="X229" s="237"/>
      <c r="Y229" s="237"/>
      <c r="Z229" s="237"/>
      <c r="AA229" s="237"/>
      <c r="AB229" s="237"/>
    </row>
    <row r="230">
      <c r="A230" s="238">
        <v>229.0</v>
      </c>
      <c r="B230" s="239" t="s">
        <v>4543</v>
      </c>
      <c r="C230" s="240" t="s">
        <v>4544</v>
      </c>
      <c r="D230" s="236"/>
      <c r="E230" s="240" t="s">
        <v>3511</v>
      </c>
      <c r="F230" s="240" t="s">
        <v>4545</v>
      </c>
      <c r="G230" s="238" t="s">
        <v>4546</v>
      </c>
      <c r="H230" s="240" t="s">
        <v>4547</v>
      </c>
      <c r="I230" s="236"/>
      <c r="J230" s="238" t="s">
        <v>4536</v>
      </c>
      <c r="K230" s="239" t="s">
        <v>4543</v>
      </c>
      <c r="L230" s="237"/>
      <c r="M230" s="237"/>
      <c r="N230" s="237"/>
      <c r="O230" s="237"/>
      <c r="P230" s="237"/>
      <c r="Q230" s="237"/>
      <c r="R230" s="237"/>
      <c r="S230" s="237"/>
      <c r="T230" s="237"/>
      <c r="U230" s="237"/>
      <c r="V230" s="237"/>
      <c r="W230" s="237"/>
      <c r="X230" s="237"/>
      <c r="Y230" s="237"/>
      <c r="Z230" s="237"/>
      <c r="AA230" s="237"/>
      <c r="AB230" s="237"/>
    </row>
    <row r="231">
      <c r="A231" s="238">
        <v>230.0</v>
      </c>
      <c r="B231" s="239" t="s">
        <v>4548</v>
      </c>
      <c r="C231" s="240" t="s">
        <v>4549</v>
      </c>
      <c r="D231" s="236"/>
      <c r="E231" s="240" t="s">
        <v>3511</v>
      </c>
      <c r="F231" s="240" t="s">
        <v>4550</v>
      </c>
      <c r="G231" s="238" t="s">
        <v>4551</v>
      </c>
      <c r="H231" s="240" t="s">
        <v>4552</v>
      </c>
      <c r="I231" s="236"/>
      <c r="J231" s="238" t="s">
        <v>4536</v>
      </c>
      <c r="K231" s="239" t="s">
        <v>4548</v>
      </c>
      <c r="L231" s="237"/>
      <c r="M231" s="237"/>
      <c r="N231" s="237"/>
      <c r="O231" s="237"/>
      <c r="P231" s="237"/>
      <c r="Q231" s="237"/>
      <c r="R231" s="237"/>
      <c r="S231" s="237"/>
      <c r="T231" s="237"/>
      <c r="U231" s="237"/>
      <c r="V231" s="237"/>
      <c r="W231" s="237"/>
      <c r="X231" s="237"/>
      <c r="Y231" s="237"/>
      <c r="Z231" s="237"/>
      <c r="AA231" s="237"/>
      <c r="AB231" s="237"/>
    </row>
    <row r="232">
      <c r="A232" s="238">
        <v>231.0</v>
      </c>
      <c r="B232" s="239" t="s">
        <v>4553</v>
      </c>
      <c r="C232" s="240" t="s">
        <v>4554</v>
      </c>
      <c r="D232" s="236"/>
      <c r="E232" s="240" t="s">
        <v>3511</v>
      </c>
      <c r="F232" s="240" t="s">
        <v>4555</v>
      </c>
      <c r="G232" s="238" t="s">
        <v>4556</v>
      </c>
      <c r="H232" s="240" t="s">
        <v>4557</v>
      </c>
      <c r="I232" s="236"/>
      <c r="J232" s="238" t="s">
        <v>4536</v>
      </c>
      <c r="K232" s="239" t="s">
        <v>4553</v>
      </c>
      <c r="L232" s="237"/>
      <c r="M232" s="237"/>
      <c r="N232" s="237"/>
      <c r="O232" s="237"/>
      <c r="P232" s="237"/>
      <c r="Q232" s="237"/>
      <c r="R232" s="237"/>
      <c r="S232" s="237"/>
      <c r="T232" s="237"/>
      <c r="U232" s="237"/>
      <c r="V232" s="237"/>
      <c r="W232" s="237"/>
      <c r="X232" s="237"/>
      <c r="Y232" s="237"/>
      <c r="Z232" s="237"/>
      <c r="AA232" s="237"/>
      <c r="AB232" s="237"/>
    </row>
    <row r="233">
      <c r="A233" s="238">
        <v>232.0</v>
      </c>
      <c r="B233" s="239" t="s">
        <v>4558</v>
      </c>
      <c r="C233" s="240" t="s">
        <v>4559</v>
      </c>
      <c r="D233" s="236"/>
      <c r="E233" s="240" t="s">
        <v>3511</v>
      </c>
      <c r="F233" s="240" t="s">
        <v>4560</v>
      </c>
      <c r="G233" s="238" t="s">
        <v>4561</v>
      </c>
      <c r="H233" s="240" t="s">
        <v>4562</v>
      </c>
      <c r="I233" s="236"/>
      <c r="J233" s="238" t="s">
        <v>4536</v>
      </c>
      <c r="K233" s="239" t="s">
        <v>4558</v>
      </c>
      <c r="L233" s="237"/>
      <c r="M233" s="237"/>
      <c r="N233" s="237"/>
      <c r="O233" s="237"/>
      <c r="P233" s="237"/>
      <c r="Q233" s="237"/>
      <c r="R233" s="237"/>
      <c r="S233" s="237"/>
      <c r="T233" s="237"/>
      <c r="U233" s="237"/>
      <c r="V233" s="237"/>
      <c r="W233" s="237"/>
      <c r="X233" s="237"/>
      <c r="Y233" s="237"/>
      <c r="Z233" s="237"/>
      <c r="AA233" s="237"/>
      <c r="AB233" s="237"/>
    </row>
    <row r="234">
      <c r="A234" s="238">
        <v>233.0</v>
      </c>
      <c r="B234" s="239" t="s">
        <v>4563</v>
      </c>
      <c r="C234" s="240" t="s">
        <v>4564</v>
      </c>
      <c r="D234" s="236"/>
      <c r="E234" s="240" t="s">
        <v>3511</v>
      </c>
      <c r="F234" s="240" t="s">
        <v>4565</v>
      </c>
      <c r="G234" s="238" t="s">
        <v>4566</v>
      </c>
      <c r="H234" s="240" t="s">
        <v>4567</v>
      </c>
      <c r="I234" s="236"/>
      <c r="J234" s="238" t="s">
        <v>4536</v>
      </c>
      <c r="K234" s="239" t="s">
        <v>4563</v>
      </c>
      <c r="L234" s="237"/>
      <c r="M234" s="237"/>
      <c r="N234" s="237"/>
      <c r="O234" s="237"/>
      <c r="P234" s="237"/>
      <c r="Q234" s="237"/>
      <c r="R234" s="237"/>
      <c r="S234" s="237"/>
      <c r="T234" s="237"/>
      <c r="U234" s="237"/>
      <c r="V234" s="237"/>
      <c r="W234" s="237"/>
      <c r="X234" s="237"/>
      <c r="Y234" s="237"/>
      <c r="Z234" s="237"/>
      <c r="AA234" s="237"/>
      <c r="AB234" s="237"/>
    </row>
    <row r="235">
      <c r="A235" s="238">
        <v>234.0</v>
      </c>
      <c r="B235" s="239" t="s">
        <v>4568</v>
      </c>
      <c r="C235" s="240" t="s">
        <v>4569</v>
      </c>
      <c r="D235" s="236"/>
      <c r="E235" s="240" t="s">
        <v>3511</v>
      </c>
      <c r="F235" s="240" t="s">
        <v>4570</v>
      </c>
      <c r="G235" s="238" t="s">
        <v>4571</v>
      </c>
      <c r="H235" s="240" t="s">
        <v>4572</v>
      </c>
      <c r="I235" s="236"/>
      <c r="J235" s="238" t="s">
        <v>4536</v>
      </c>
      <c r="K235" s="239" t="s">
        <v>4568</v>
      </c>
      <c r="L235" s="237"/>
      <c r="M235" s="237"/>
      <c r="N235" s="237"/>
      <c r="O235" s="237"/>
      <c r="P235" s="237"/>
      <c r="Q235" s="237"/>
      <c r="R235" s="237"/>
      <c r="S235" s="237"/>
      <c r="T235" s="237"/>
      <c r="U235" s="237"/>
      <c r="V235" s="237"/>
      <c r="W235" s="237"/>
      <c r="X235" s="237"/>
      <c r="Y235" s="237"/>
      <c r="Z235" s="237"/>
      <c r="AA235" s="237"/>
      <c r="AB235" s="237"/>
    </row>
    <row r="236">
      <c r="A236" s="238">
        <v>235.0</v>
      </c>
      <c r="B236" s="239" t="s">
        <v>4573</v>
      </c>
      <c r="C236" s="240" t="s">
        <v>4574</v>
      </c>
      <c r="D236" s="236"/>
      <c r="E236" s="240" t="s">
        <v>3511</v>
      </c>
      <c r="F236" s="240" t="s">
        <v>4575</v>
      </c>
      <c r="G236" s="238" t="s">
        <v>4576</v>
      </c>
      <c r="H236" s="240" t="s">
        <v>4577</v>
      </c>
      <c r="I236" s="236"/>
      <c r="J236" s="238" t="s">
        <v>4536</v>
      </c>
      <c r="K236" s="239" t="s">
        <v>4573</v>
      </c>
      <c r="L236" s="237"/>
      <c r="M236" s="237"/>
      <c r="N236" s="237"/>
      <c r="O236" s="237"/>
      <c r="P236" s="237"/>
      <c r="Q236" s="237"/>
      <c r="R236" s="237"/>
      <c r="S236" s="237"/>
      <c r="T236" s="237"/>
      <c r="U236" s="237"/>
      <c r="V236" s="237"/>
      <c r="W236" s="237"/>
      <c r="X236" s="237"/>
      <c r="Y236" s="237"/>
      <c r="Z236" s="237"/>
      <c r="AA236" s="237"/>
      <c r="AB236" s="237"/>
    </row>
    <row r="237">
      <c r="A237" s="238">
        <v>236.0</v>
      </c>
      <c r="B237" s="239" t="s">
        <v>4578</v>
      </c>
      <c r="C237" s="240" t="s">
        <v>4579</v>
      </c>
      <c r="D237" s="236"/>
      <c r="E237" s="240" t="s">
        <v>3511</v>
      </c>
      <c r="F237" s="240" t="s">
        <v>4580</v>
      </c>
      <c r="G237" s="238" t="s">
        <v>4581</v>
      </c>
      <c r="H237" s="240" t="s">
        <v>4582</v>
      </c>
      <c r="I237" s="236"/>
      <c r="J237" s="238" t="s">
        <v>4583</v>
      </c>
      <c r="K237" s="239" t="s">
        <v>4578</v>
      </c>
      <c r="L237" s="237"/>
      <c r="M237" s="237"/>
      <c r="N237" s="237"/>
      <c r="O237" s="237"/>
      <c r="P237" s="237"/>
      <c r="Q237" s="237"/>
      <c r="R237" s="237"/>
      <c r="S237" s="237"/>
      <c r="T237" s="237"/>
      <c r="U237" s="237"/>
      <c r="V237" s="237"/>
      <c r="W237" s="237"/>
      <c r="X237" s="237"/>
      <c r="Y237" s="237"/>
      <c r="Z237" s="237"/>
      <c r="AA237" s="237"/>
      <c r="AB237" s="237"/>
    </row>
    <row r="238">
      <c r="A238" s="238">
        <v>237.0</v>
      </c>
      <c r="B238" s="239" t="s">
        <v>4584</v>
      </c>
      <c r="C238" s="240" t="s">
        <v>4585</v>
      </c>
      <c r="D238" s="236"/>
      <c r="E238" s="240" t="s">
        <v>3496</v>
      </c>
      <c r="F238" s="240" t="s">
        <v>4586</v>
      </c>
      <c r="G238" s="238" t="s">
        <v>4587</v>
      </c>
      <c r="H238" s="236"/>
      <c r="I238" s="236"/>
      <c r="J238" s="238" t="s">
        <v>4536</v>
      </c>
      <c r="K238" s="239" t="s">
        <v>4584</v>
      </c>
      <c r="L238" s="237"/>
      <c r="M238" s="237"/>
      <c r="N238" s="237"/>
      <c r="O238" s="237"/>
      <c r="P238" s="237"/>
      <c r="Q238" s="237"/>
      <c r="R238" s="237"/>
      <c r="S238" s="237"/>
      <c r="T238" s="237"/>
      <c r="U238" s="237"/>
      <c r="V238" s="237"/>
      <c r="W238" s="237"/>
      <c r="X238" s="237"/>
      <c r="Y238" s="237"/>
      <c r="Z238" s="237"/>
      <c r="AA238" s="237"/>
      <c r="AB238" s="237"/>
    </row>
    <row r="239">
      <c r="A239" s="238">
        <v>238.0</v>
      </c>
      <c r="B239" s="239" t="s">
        <v>4588</v>
      </c>
      <c r="C239" s="240" t="s">
        <v>4589</v>
      </c>
      <c r="D239" s="236"/>
      <c r="E239" s="240" t="s">
        <v>3496</v>
      </c>
      <c r="F239" s="240" t="s">
        <v>4590</v>
      </c>
      <c r="G239" s="238" t="s">
        <v>4540</v>
      </c>
      <c r="H239" s="236"/>
      <c r="I239" s="236"/>
      <c r="J239" s="238" t="s">
        <v>4536</v>
      </c>
      <c r="K239" s="239" t="s">
        <v>4588</v>
      </c>
      <c r="L239" s="237"/>
      <c r="M239" s="237"/>
      <c r="N239" s="237"/>
      <c r="O239" s="237"/>
      <c r="P239" s="237"/>
      <c r="Q239" s="237"/>
      <c r="R239" s="237"/>
      <c r="S239" s="237"/>
      <c r="T239" s="237"/>
      <c r="U239" s="237"/>
      <c r="V239" s="237"/>
      <c r="W239" s="237"/>
      <c r="X239" s="237"/>
      <c r="Y239" s="237"/>
      <c r="Z239" s="237"/>
      <c r="AA239" s="237"/>
      <c r="AB239" s="237"/>
    </row>
    <row r="240">
      <c r="A240" s="238">
        <v>239.0</v>
      </c>
      <c r="B240" s="239" t="s">
        <v>4591</v>
      </c>
      <c r="C240" s="240" t="s">
        <v>4592</v>
      </c>
      <c r="D240" s="236"/>
      <c r="E240" s="240" t="s">
        <v>3511</v>
      </c>
      <c r="F240" s="240" t="s">
        <v>4593</v>
      </c>
      <c r="G240" s="238" t="s">
        <v>4594</v>
      </c>
      <c r="H240" s="240" t="s">
        <v>4595</v>
      </c>
      <c r="I240" s="236"/>
      <c r="J240" s="238" t="s">
        <v>4536</v>
      </c>
      <c r="K240" s="239" t="s">
        <v>4591</v>
      </c>
      <c r="L240" s="237"/>
      <c r="M240" s="237"/>
      <c r="N240" s="237"/>
      <c r="O240" s="237"/>
      <c r="P240" s="237"/>
      <c r="Q240" s="237"/>
      <c r="R240" s="237"/>
      <c r="S240" s="237"/>
      <c r="T240" s="237"/>
      <c r="U240" s="237"/>
      <c r="V240" s="237"/>
      <c r="W240" s="237"/>
      <c r="X240" s="237"/>
      <c r="Y240" s="237"/>
      <c r="Z240" s="237"/>
      <c r="AA240" s="237"/>
      <c r="AB240" s="237"/>
    </row>
    <row r="241">
      <c r="A241" s="238">
        <v>240.0</v>
      </c>
      <c r="B241" s="239" t="s">
        <v>4596</v>
      </c>
      <c r="C241" s="240" t="s">
        <v>4597</v>
      </c>
      <c r="D241" s="236"/>
      <c r="E241" s="240" t="s">
        <v>3511</v>
      </c>
      <c r="F241" s="240" t="s">
        <v>4598</v>
      </c>
      <c r="G241" s="238" t="s">
        <v>4599</v>
      </c>
      <c r="H241" s="240" t="s">
        <v>4600</v>
      </c>
      <c r="I241" s="236"/>
      <c r="J241" s="238" t="s">
        <v>4536</v>
      </c>
      <c r="K241" s="239" t="s">
        <v>4596</v>
      </c>
      <c r="L241" s="237"/>
      <c r="M241" s="237"/>
      <c r="N241" s="237"/>
      <c r="O241" s="237"/>
      <c r="P241" s="237"/>
      <c r="Q241" s="237"/>
      <c r="R241" s="237"/>
      <c r="S241" s="237"/>
      <c r="T241" s="237"/>
      <c r="U241" s="237"/>
      <c r="V241" s="237"/>
      <c r="W241" s="237"/>
      <c r="X241" s="237"/>
      <c r="Y241" s="237"/>
      <c r="Z241" s="237"/>
      <c r="AA241" s="237"/>
      <c r="AB241" s="237"/>
    </row>
    <row r="242">
      <c r="A242" s="238">
        <v>241.0</v>
      </c>
      <c r="B242" s="239" t="s">
        <v>4601</v>
      </c>
      <c r="C242" s="240" t="s">
        <v>4602</v>
      </c>
      <c r="D242" s="236"/>
      <c r="E242" s="240" t="s">
        <v>3511</v>
      </c>
      <c r="F242" s="240" t="s">
        <v>4603</v>
      </c>
      <c r="G242" s="238" t="s">
        <v>4604</v>
      </c>
      <c r="H242" s="240" t="s">
        <v>4605</v>
      </c>
      <c r="I242" s="236"/>
      <c r="J242" s="238" t="s">
        <v>4536</v>
      </c>
      <c r="K242" s="239" t="s">
        <v>4601</v>
      </c>
      <c r="L242" s="237"/>
      <c r="M242" s="237"/>
      <c r="N242" s="237"/>
      <c r="O242" s="237"/>
      <c r="P242" s="237"/>
      <c r="Q242" s="237"/>
      <c r="R242" s="237"/>
      <c r="S242" s="237"/>
      <c r="T242" s="237"/>
      <c r="U242" s="237"/>
      <c r="V242" s="237"/>
      <c r="W242" s="237"/>
      <c r="X242" s="237"/>
      <c r="Y242" s="237"/>
      <c r="Z242" s="237"/>
      <c r="AA242" s="237"/>
      <c r="AB242" s="237"/>
    </row>
    <row r="243">
      <c r="A243" s="238">
        <v>242.0</v>
      </c>
      <c r="B243" s="239" t="s">
        <v>4606</v>
      </c>
      <c r="C243" s="240" t="s">
        <v>4607</v>
      </c>
      <c r="D243" s="236"/>
      <c r="E243" s="240" t="s">
        <v>3511</v>
      </c>
      <c r="F243" s="240" t="s">
        <v>4608</v>
      </c>
      <c r="G243" s="238" t="s">
        <v>4609</v>
      </c>
      <c r="H243" s="240" t="s">
        <v>4610</v>
      </c>
      <c r="I243" s="236"/>
      <c r="J243" s="238" t="s">
        <v>4536</v>
      </c>
      <c r="K243" s="239" t="s">
        <v>4606</v>
      </c>
      <c r="L243" s="237"/>
      <c r="M243" s="237"/>
      <c r="N243" s="237"/>
      <c r="O243" s="237"/>
      <c r="P243" s="237"/>
      <c r="Q243" s="237"/>
      <c r="R243" s="237"/>
      <c r="S243" s="237"/>
      <c r="T243" s="237"/>
      <c r="U243" s="237"/>
      <c r="V243" s="237"/>
      <c r="W243" s="237"/>
      <c r="X243" s="237"/>
      <c r="Y243" s="237"/>
      <c r="Z243" s="237"/>
      <c r="AA243" s="237"/>
      <c r="AB243" s="237"/>
    </row>
    <row r="244">
      <c r="A244" s="238">
        <v>243.0</v>
      </c>
      <c r="B244" s="239" t="s">
        <v>4611</v>
      </c>
      <c r="C244" s="240" t="s">
        <v>4612</v>
      </c>
      <c r="D244" s="236"/>
      <c r="E244" s="240" t="s">
        <v>3511</v>
      </c>
      <c r="F244" s="240" t="s">
        <v>4613</v>
      </c>
      <c r="G244" s="238" t="s">
        <v>4614</v>
      </c>
      <c r="H244" s="240" t="s">
        <v>4615</v>
      </c>
      <c r="I244" s="236"/>
      <c r="J244" s="238" t="s">
        <v>4536</v>
      </c>
      <c r="K244" s="239" t="s">
        <v>4611</v>
      </c>
      <c r="L244" s="237"/>
      <c r="M244" s="237"/>
      <c r="N244" s="237"/>
      <c r="O244" s="237"/>
      <c r="P244" s="237"/>
      <c r="Q244" s="237"/>
      <c r="R244" s="237"/>
      <c r="S244" s="237"/>
      <c r="T244" s="237"/>
      <c r="U244" s="237"/>
      <c r="V244" s="237"/>
      <c r="W244" s="237"/>
      <c r="X244" s="237"/>
      <c r="Y244" s="237"/>
      <c r="Z244" s="237"/>
      <c r="AA244" s="237"/>
      <c r="AB244" s="237"/>
    </row>
    <row r="245">
      <c r="A245" s="238">
        <v>244.0</v>
      </c>
      <c r="B245" s="239" t="s">
        <v>4616</v>
      </c>
      <c r="C245" s="240" t="s">
        <v>4617</v>
      </c>
      <c r="D245" s="236"/>
      <c r="E245" s="240" t="s">
        <v>3511</v>
      </c>
      <c r="F245" s="240" t="s">
        <v>4618</v>
      </c>
      <c r="G245" s="238" t="s">
        <v>4619</v>
      </c>
      <c r="H245" s="240" t="s">
        <v>4620</v>
      </c>
      <c r="I245" s="236"/>
      <c r="J245" s="238" t="s">
        <v>4536</v>
      </c>
      <c r="K245" s="239" t="s">
        <v>4616</v>
      </c>
      <c r="L245" s="237"/>
      <c r="M245" s="237"/>
      <c r="N245" s="237"/>
      <c r="O245" s="237"/>
      <c r="P245" s="237"/>
      <c r="Q245" s="237"/>
      <c r="R245" s="237"/>
      <c r="S245" s="237"/>
      <c r="T245" s="237"/>
      <c r="U245" s="237"/>
      <c r="V245" s="237"/>
      <c r="W245" s="237"/>
      <c r="X245" s="237"/>
      <c r="Y245" s="237"/>
      <c r="Z245" s="237"/>
      <c r="AA245" s="237"/>
      <c r="AB245" s="237"/>
    </row>
    <row r="246">
      <c r="A246" s="238">
        <v>245.0</v>
      </c>
      <c r="B246" s="239" t="s">
        <v>4621</v>
      </c>
      <c r="C246" s="240" t="s">
        <v>4622</v>
      </c>
      <c r="D246" s="236"/>
      <c r="E246" s="240" t="s">
        <v>3511</v>
      </c>
      <c r="F246" s="240" t="s">
        <v>4623</v>
      </c>
      <c r="G246" s="238" t="s">
        <v>4624</v>
      </c>
      <c r="H246" s="240" t="s">
        <v>4625</v>
      </c>
      <c r="I246" s="236"/>
      <c r="J246" s="238" t="s">
        <v>4536</v>
      </c>
      <c r="K246" s="239" t="s">
        <v>4621</v>
      </c>
      <c r="L246" s="237"/>
      <c r="M246" s="237"/>
      <c r="N246" s="237"/>
      <c r="O246" s="237"/>
      <c r="P246" s="237"/>
      <c r="Q246" s="237"/>
      <c r="R246" s="237"/>
      <c r="S246" s="237"/>
      <c r="T246" s="237"/>
      <c r="U246" s="237"/>
      <c r="V246" s="237"/>
      <c r="W246" s="237"/>
      <c r="X246" s="237"/>
      <c r="Y246" s="237"/>
      <c r="Z246" s="237"/>
      <c r="AA246" s="237"/>
      <c r="AB246" s="237"/>
    </row>
    <row r="247">
      <c r="A247" s="238">
        <v>246.0</v>
      </c>
      <c r="B247" s="239" t="s">
        <v>4626</v>
      </c>
      <c r="C247" s="240" t="s">
        <v>4627</v>
      </c>
      <c r="D247" s="236"/>
      <c r="E247" s="240" t="s">
        <v>3511</v>
      </c>
      <c r="F247" s="240" t="s">
        <v>4628</v>
      </c>
      <c r="G247" s="238" t="s">
        <v>4629</v>
      </c>
      <c r="H247" s="240" t="s">
        <v>4630</v>
      </c>
      <c r="I247" s="236"/>
      <c r="J247" s="238" t="s">
        <v>4583</v>
      </c>
      <c r="K247" s="239" t="s">
        <v>4626</v>
      </c>
      <c r="L247" s="237"/>
      <c r="M247" s="237"/>
      <c r="N247" s="237"/>
      <c r="O247" s="237"/>
      <c r="P247" s="237"/>
      <c r="Q247" s="237"/>
      <c r="R247" s="237"/>
      <c r="S247" s="237"/>
      <c r="T247" s="237"/>
      <c r="U247" s="237"/>
      <c r="V247" s="237"/>
      <c r="W247" s="237"/>
      <c r="X247" s="237"/>
      <c r="Y247" s="237"/>
      <c r="Z247" s="237"/>
      <c r="AA247" s="237"/>
      <c r="AB247" s="237"/>
    </row>
    <row r="248">
      <c r="A248" s="238">
        <v>247.0</v>
      </c>
      <c r="B248" s="242"/>
      <c r="C248" s="240" t="s">
        <v>4631</v>
      </c>
      <c r="D248" s="236"/>
      <c r="E248" s="240" t="s">
        <v>3511</v>
      </c>
      <c r="F248" s="240" t="s">
        <v>4632</v>
      </c>
      <c r="G248" s="238" t="s">
        <v>4633</v>
      </c>
      <c r="H248" s="240" t="s">
        <v>4634</v>
      </c>
      <c r="I248" s="236"/>
      <c r="J248" s="238" t="s">
        <v>4536</v>
      </c>
      <c r="K248" s="242"/>
      <c r="L248" s="237"/>
      <c r="M248" s="237"/>
      <c r="N248" s="237"/>
      <c r="O248" s="237"/>
      <c r="P248" s="237"/>
      <c r="Q248" s="237"/>
      <c r="R248" s="237"/>
      <c r="S248" s="237"/>
      <c r="T248" s="237"/>
      <c r="U248" s="237"/>
      <c r="V248" s="237"/>
      <c r="W248" s="237"/>
      <c r="X248" s="237"/>
      <c r="Y248" s="237"/>
      <c r="Z248" s="237"/>
      <c r="AA248" s="237"/>
      <c r="AB248" s="237"/>
    </row>
    <row r="249">
      <c r="A249" s="238">
        <v>248.0</v>
      </c>
      <c r="B249" s="239" t="s">
        <v>4635</v>
      </c>
      <c r="C249" s="240" t="s">
        <v>4636</v>
      </c>
      <c r="D249" s="236"/>
      <c r="E249" s="240" t="s">
        <v>3511</v>
      </c>
      <c r="F249" s="240" t="s">
        <v>4637</v>
      </c>
      <c r="G249" s="238" t="s">
        <v>4638</v>
      </c>
      <c r="H249" s="240" t="s">
        <v>4639</v>
      </c>
      <c r="I249" s="236"/>
      <c r="J249" s="238" t="s">
        <v>4536</v>
      </c>
      <c r="K249" s="239" t="s">
        <v>4635</v>
      </c>
      <c r="L249" s="237"/>
      <c r="M249" s="237"/>
      <c r="N249" s="237"/>
      <c r="O249" s="237"/>
      <c r="P249" s="237"/>
      <c r="Q249" s="237"/>
      <c r="R249" s="237"/>
      <c r="S249" s="237"/>
      <c r="T249" s="237"/>
      <c r="U249" s="237"/>
      <c r="V249" s="237"/>
      <c r="W249" s="237"/>
      <c r="X249" s="237"/>
      <c r="Y249" s="237"/>
      <c r="Z249" s="237"/>
      <c r="AA249" s="237"/>
      <c r="AB249" s="237"/>
    </row>
    <row r="250">
      <c r="A250" s="238">
        <v>249.0</v>
      </c>
      <c r="B250" s="239" t="s">
        <v>4640</v>
      </c>
      <c r="C250" s="240" t="s">
        <v>4641</v>
      </c>
      <c r="D250" s="236"/>
      <c r="E250" s="240" t="s">
        <v>3511</v>
      </c>
      <c r="F250" s="240" t="s">
        <v>4642</v>
      </c>
      <c r="G250" s="238" t="s">
        <v>4643</v>
      </c>
      <c r="H250" s="240" t="s">
        <v>4644</v>
      </c>
      <c r="I250" s="236"/>
      <c r="J250" s="238" t="s">
        <v>4536</v>
      </c>
      <c r="K250" s="239" t="s">
        <v>4640</v>
      </c>
      <c r="L250" s="237"/>
      <c r="M250" s="237"/>
      <c r="N250" s="237"/>
      <c r="O250" s="237"/>
      <c r="P250" s="237"/>
      <c r="Q250" s="237"/>
      <c r="R250" s="237"/>
      <c r="S250" s="237"/>
      <c r="T250" s="237"/>
      <c r="U250" s="237"/>
      <c r="V250" s="237"/>
      <c r="W250" s="237"/>
      <c r="X250" s="237"/>
      <c r="Y250" s="237"/>
      <c r="Z250" s="237"/>
      <c r="AA250" s="237"/>
      <c r="AB250" s="237"/>
    </row>
    <row r="251">
      <c r="A251" s="238">
        <v>250.0</v>
      </c>
      <c r="B251" s="239" t="s">
        <v>4645</v>
      </c>
      <c r="C251" s="240" t="s">
        <v>4646</v>
      </c>
      <c r="D251" s="236"/>
      <c r="E251" s="240" t="s">
        <v>3511</v>
      </c>
      <c r="F251" s="240" t="s">
        <v>4647</v>
      </c>
      <c r="G251" s="238" t="s">
        <v>4648</v>
      </c>
      <c r="H251" s="240" t="s">
        <v>4649</v>
      </c>
      <c r="I251" s="236"/>
      <c r="J251" s="238" t="s">
        <v>4536</v>
      </c>
      <c r="K251" s="239" t="s">
        <v>4645</v>
      </c>
      <c r="L251" s="237"/>
      <c r="M251" s="237"/>
      <c r="N251" s="237"/>
      <c r="O251" s="237"/>
      <c r="P251" s="237"/>
      <c r="Q251" s="237"/>
      <c r="R251" s="237"/>
      <c r="S251" s="237"/>
      <c r="T251" s="237"/>
      <c r="U251" s="237"/>
      <c r="V251" s="237"/>
      <c r="W251" s="237"/>
      <c r="X251" s="237"/>
      <c r="Y251" s="237"/>
      <c r="Z251" s="237"/>
      <c r="AA251" s="237"/>
      <c r="AB251" s="237"/>
    </row>
    <row r="252">
      <c r="A252" s="238">
        <v>251.0</v>
      </c>
      <c r="B252" s="239" t="s">
        <v>4650</v>
      </c>
      <c r="C252" s="240" t="s">
        <v>4651</v>
      </c>
      <c r="D252" s="236"/>
      <c r="E252" s="240" t="s">
        <v>3511</v>
      </c>
      <c r="F252" s="240" t="s">
        <v>4652</v>
      </c>
      <c r="G252" s="238" t="s">
        <v>4653</v>
      </c>
      <c r="H252" s="240" t="s">
        <v>4654</v>
      </c>
      <c r="I252" s="236"/>
      <c r="J252" s="238" t="s">
        <v>4536</v>
      </c>
      <c r="K252" s="239" t="s">
        <v>4650</v>
      </c>
      <c r="L252" s="237"/>
      <c r="M252" s="237"/>
      <c r="N252" s="237"/>
      <c r="O252" s="237"/>
      <c r="P252" s="237"/>
      <c r="Q252" s="237"/>
      <c r="R252" s="237"/>
      <c r="S252" s="237"/>
      <c r="T252" s="237"/>
      <c r="U252" s="237"/>
      <c r="V252" s="237"/>
      <c r="W252" s="237"/>
      <c r="X252" s="237"/>
      <c r="Y252" s="237"/>
      <c r="Z252" s="237"/>
      <c r="AA252" s="237"/>
      <c r="AB252" s="237"/>
    </row>
    <row r="253">
      <c r="A253" s="238">
        <v>252.0</v>
      </c>
      <c r="B253" s="239" t="s">
        <v>4611</v>
      </c>
      <c r="C253" s="240" t="s">
        <v>4655</v>
      </c>
      <c r="D253" s="236"/>
      <c r="E253" s="240" t="s">
        <v>3511</v>
      </c>
      <c r="F253" s="240" t="s">
        <v>4613</v>
      </c>
      <c r="G253" s="238" t="s">
        <v>4656</v>
      </c>
      <c r="H253" s="240" t="s">
        <v>4657</v>
      </c>
      <c r="I253" s="236"/>
      <c r="J253" s="238" t="s">
        <v>4536</v>
      </c>
      <c r="K253" s="239" t="s">
        <v>4611</v>
      </c>
      <c r="L253" s="237"/>
      <c r="M253" s="237"/>
      <c r="N253" s="237"/>
      <c r="O253" s="237"/>
      <c r="P253" s="237"/>
      <c r="Q253" s="237"/>
      <c r="R253" s="237"/>
      <c r="S253" s="237"/>
      <c r="T253" s="237"/>
      <c r="U253" s="237"/>
      <c r="V253" s="237"/>
      <c r="W253" s="237"/>
      <c r="X253" s="237"/>
      <c r="Y253" s="237"/>
      <c r="Z253" s="237"/>
      <c r="AA253" s="237"/>
      <c r="AB253" s="237"/>
    </row>
    <row r="254">
      <c r="A254" s="238">
        <v>253.0</v>
      </c>
      <c r="B254" s="239" t="s">
        <v>4658</v>
      </c>
      <c r="C254" s="240" t="s">
        <v>4659</v>
      </c>
      <c r="D254" s="236"/>
      <c r="E254" s="240" t="s">
        <v>3511</v>
      </c>
      <c r="F254" s="240" t="s">
        <v>4660</v>
      </c>
      <c r="G254" s="238" t="s">
        <v>4661</v>
      </c>
      <c r="H254" s="240" t="s">
        <v>4662</v>
      </c>
      <c r="I254" s="236"/>
      <c r="J254" s="238" t="s">
        <v>4536</v>
      </c>
      <c r="K254" s="239" t="s">
        <v>4658</v>
      </c>
      <c r="L254" s="237"/>
      <c r="M254" s="237"/>
      <c r="N254" s="237"/>
      <c r="O254" s="237"/>
      <c r="P254" s="237"/>
      <c r="Q254" s="237"/>
      <c r="R254" s="237"/>
      <c r="S254" s="237"/>
      <c r="T254" s="237"/>
      <c r="U254" s="237"/>
      <c r="V254" s="237"/>
      <c r="W254" s="237"/>
      <c r="X254" s="237"/>
      <c r="Y254" s="237"/>
      <c r="Z254" s="237"/>
      <c r="AA254" s="237"/>
      <c r="AB254" s="237"/>
    </row>
    <row r="255">
      <c r="A255" s="238">
        <v>254.0</v>
      </c>
      <c r="B255" s="239" t="s">
        <v>4663</v>
      </c>
      <c r="C255" s="240" t="s">
        <v>4664</v>
      </c>
      <c r="D255" s="236"/>
      <c r="E255" s="240" t="s">
        <v>3511</v>
      </c>
      <c r="F255" s="240" t="s">
        <v>4665</v>
      </c>
      <c r="G255" s="238" t="s">
        <v>4666</v>
      </c>
      <c r="H255" s="240" t="s">
        <v>4667</v>
      </c>
      <c r="I255" s="236"/>
      <c r="J255" s="238" t="s">
        <v>4536</v>
      </c>
      <c r="K255" s="239" t="s">
        <v>4663</v>
      </c>
      <c r="L255" s="237"/>
      <c r="M255" s="237"/>
      <c r="N255" s="237"/>
      <c r="O255" s="237"/>
      <c r="P255" s="237"/>
      <c r="Q255" s="237"/>
      <c r="R255" s="237"/>
      <c r="S255" s="237"/>
      <c r="T255" s="237"/>
      <c r="U255" s="237"/>
      <c r="V255" s="237"/>
      <c r="W255" s="237"/>
      <c r="X255" s="237"/>
      <c r="Y255" s="237"/>
      <c r="Z255" s="237"/>
      <c r="AA255" s="237"/>
      <c r="AB255" s="237"/>
    </row>
    <row r="256">
      <c r="A256" s="238">
        <v>255.0</v>
      </c>
      <c r="B256" s="239" t="s">
        <v>4668</v>
      </c>
      <c r="C256" s="240" t="s">
        <v>4669</v>
      </c>
      <c r="D256" s="236"/>
      <c r="E256" s="240" t="s">
        <v>3511</v>
      </c>
      <c r="F256" s="240" t="s">
        <v>4670</v>
      </c>
      <c r="G256" s="238" t="s">
        <v>4671</v>
      </c>
      <c r="H256" s="240" t="s">
        <v>4672</v>
      </c>
      <c r="I256" s="236"/>
      <c r="J256" s="238" t="s">
        <v>4536</v>
      </c>
      <c r="K256" s="239" t="s">
        <v>4668</v>
      </c>
      <c r="L256" s="237"/>
      <c r="M256" s="237"/>
      <c r="N256" s="237"/>
      <c r="O256" s="237"/>
      <c r="P256" s="237"/>
      <c r="Q256" s="237"/>
      <c r="R256" s="237"/>
      <c r="S256" s="237"/>
      <c r="T256" s="237"/>
      <c r="U256" s="237"/>
      <c r="V256" s="237"/>
      <c r="W256" s="237"/>
      <c r="X256" s="237"/>
      <c r="Y256" s="237"/>
      <c r="Z256" s="237"/>
      <c r="AA256" s="237"/>
      <c r="AB256" s="237"/>
    </row>
    <row r="257">
      <c r="A257" s="238">
        <v>256.0</v>
      </c>
      <c r="B257" s="239" t="s">
        <v>4673</v>
      </c>
      <c r="C257" s="240" t="s">
        <v>4674</v>
      </c>
      <c r="D257" s="236"/>
      <c r="E257" s="240" t="s">
        <v>3511</v>
      </c>
      <c r="F257" s="240" t="s">
        <v>4675</v>
      </c>
      <c r="G257" s="238" t="s">
        <v>4676</v>
      </c>
      <c r="H257" s="240" t="s">
        <v>4677</v>
      </c>
      <c r="I257" s="236"/>
      <c r="J257" s="238" t="s">
        <v>4583</v>
      </c>
      <c r="K257" s="239" t="s">
        <v>4673</v>
      </c>
      <c r="L257" s="237"/>
      <c r="M257" s="237"/>
      <c r="N257" s="237"/>
      <c r="O257" s="237"/>
      <c r="P257" s="237"/>
      <c r="Q257" s="237"/>
      <c r="R257" s="237"/>
      <c r="S257" s="237"/>
      <c r="T257" s="237"/>
      <c r="U257" s="237"/>
      <c r="V257" s="237"/>
      <c r="W257" s="237"/>
      <c r="X257" s="237"/>
      <c r="Y257" s="237"/>
      <c r="Z257" s="237"/>
      <c r="AA257" s="237"/>
      <c r="AB257" s="237"/>
    </row>
    <row r="258">
      <c r="A258" s="238">
        <v>257.0</v>
      </c>
      <c r="B258" s="239" t="s">
        <v>4678</v>
      </c>
      <c r="C258" s="240" t="s">
        <v>4679</v>
      </c>
      <c r="D258" s="236"/>
      <c r="E258" s="240" t="s">
        <v>3511</v>
      </c>
      <c r="F258" s="240" t="s">
        <v>4680</v>
      </c>
      <c r="G258" s="238" t="s">
        <v>4681</v>
      </c>
      <c r="H258" s="240" t="s">
        <v>4682</v>
      </c>
      <c r="I258" s="236"/>
      <c r="J258" s="238" t="s">
        <v>4536</v>
      </c>
      <c r="K258" s="239" t="s">
        <v>4678</v>
      </c>
      <c r="L258" s="237"/>
      <c r="M258" s="237"/>
      <c r="N258" s="237"/>
      <c r="O258" s="237"/>
      <c r="P258" s="237"/>
      <c r="Q258" s="237"/>
      <c r="R258" s="237"/>
      <c r="S258" s="237"/>
      <c r="T258" s="237"/>
      <c r="U258" s="237"/>
      <c r="V258" s="237"/>
      <c r="W258" s="237"/>
      <c r="X258" s="237"/>
      <c r="Y258" s="237"/>
      <c r="Z258" s="237"/>
      <c r="AA258" s="237"/>
      <c r="AB258" s="237"/>
    </row>
    <row r="259">
      <c r="A259" s="238">
        <v>258.0</v>
      </c>
      <c r="B259" s="239" t="s">
        <v>4683</v>
      </c>
      <c r="C259" s="240" t="s">
        <v>4684</v>
      </c>
      <c r="D259" s="236"/>
      <c r="E259" s="240" t="s">
        <v>3511</v>
      </c>
      <c r="F259" s="240" t="s">
        <v>4685</v>
      </c>
      <c r="G259" s="238" t="s">
        <v>4686</v>
      </c>
      <c r="H259" s="240" t="s">
        <v>4687</v>
      </c>
      <c r="I259" s="236"/>
      <c r="J259" s="238" t="s">
        <v>4536</v>
      </c>
      <c r="K259" s="239" t="s">
        <v>4683</v>
      </c>
      <c r="L259" s="237"/>
      <c r="M259" s="237"/>
      <c r="N259" s="237"/>
      <c r="O259" s="237"/>
      <c r="P259" s="237"/>
      <c r="Q259" s="237"/>
      <c r="R259" s="237"/>
      <c r="S259" s="237"/>
      <c r="T259" s="237"/>
      <c r="U259" s="237"/>
      <c r="V259" s="237"/>
      <c r="W259" s="237"/>
      <c r="X259" s="237"/>
      <c r="Y259" s="237"/>
      <c r="Z259" s="237"/>
      <c r="AA259" s="237"/>
      <c r="AB259" s="237"/>
    </row>
    <row r="260">
      <c r="A260" s="238">
        <v>259.0</v>
      </c>
      <c r="B260" s="239" t="s">
        <v>4688</v>
      </c>
      <c r="C260" s="240" t="s">
        <v>4689</v>
      </c>
      <c r="D260" s="236"/>
      <c r="E260" s="240" t="s">
        <v>3511</v>
      </c>
      <c r="F260" s="240" t="s">
        <v>4690</v>
      </c>
      <c r="G260" s="238" t="s">
        <v>4691</v>
      </c>
      <c r="H260" s="240" t="s">
        <v>4692</v>
      </c>
      <c r="I260" s="236"/>
      <c r="J260" s="238" t="s">
        <v>4536</v>
      </c>
      <c r="K260" s="239" t="s">
        <v>4688</v>
      </c>
      <c r="L260" s="237"/>
      <c r="M260" s="237"/>
      <c r="N260" s="237"/>
      <c r="O260" s="237"/>
      <c r="P260" s="237"/>
      <c r="Q260" s="237"/>
      <c r="R260" s="237"/>
      <c r="S260" s="237"/>
      <c r="T260" s="237"/>
      <c r="U260" s="237"/>
      <c r="V260" s="237"/>
      <c r="W260" s="237"/>
      <c r="X260" s="237"/>
      <c r="Y260" s="237"/>
      <c r="Z260" s="237"/>
      <c r="AA260" s="237"/>
      <c r="AB260" s="237"/>
    </row>
    <row r="261">
      <c r="A261" s="238">
        <v>260.0</v>
      </c>
      <c r="B261" s="239" t="s">
        <v>4693</v>
      </c>
      <c r="C261" s="240" t="s">
        <v>4694</v>
      </c>
      <c r="D261" s="236"/>
      <c r="E261" s="240" t="s">
        <v>3511</v>
      </c>
      <c r="F261" s="240" t="s">
        <v>4695</v>
      </c>
      <c r="G261" s="238" t="s">
        <v>4696</v>
      </c>
      <c r="H261" s="240" t="s">
        <v>4697</v>
      </c>
      <c r="I261" s="236"/>
      <c r="J261" s="238" t="s">
        <v>4536</v>
      </c>
      <c r="K261" s="239" t="s">
        <v>4693</v>
      </c>
      <c r="L261" s="237"/>
      <c r="M261" s="237"/>
      <c r="N261" s="237"/>
      <c r="O261" s="237"/>
      <c r="P261" s="237"/>
      <c r="Q261" s="237"/>
      <c r="R261" s="237"/>
      <c r="S261" s="237"/>
      <c r="T261" s="237"/>
      <c r="U261" s="237"/>
      <c r="V261" s="237"/>
      <c r="W261" s="237"/>
      <c r="X261" s="237"/>
      <c r="Y261" s="237"/>
      <c r="Z261" s="237"/>
      <c r="AA261" s="237"/>
      <c r="AB261" s="237"/>
    </row>
    <row r="262">
      <c r="A262" s="238">
        <v>261.0</v>
      </c>
      <c r="B262" s="239" t="s">
        <v>4698</v>
      </c>
      <c r="C262" s="240" t="s">
        <v>4699</v>
      </c>
      <c r="D262" s="236"/>
      <c r="E262" s="240" t="s">
        <v>3511</v>
      </c>
      <c r="F262" s="240" t="s">
        <v>4700</v>
      </c>
      <c r="G262" s="238" t="s">
        <v>4701</v>
      </c>
      <c r="H262" s="240" t="s">
        <v>4702</v>
      </c>
      <c r="I262" s="236"/>
      <c r="J262" s="238" t="s">
        <v>4536</v>
      </c>
      <c r="K262" s="239" t="s">
        <v>4698</v>
      </c>
      <c r="L262" s="237"/>
      <c r="M262" s="237"/>
      <c r="N262" s="237"/>
      <c r="O262" s="237"/>
      <c r="P262" s="237"/>
      <c r="Q262" s="237"/>
      <c r="R262" s="237"/>
      <c r="S262" s="237"/>
      <c r="T262" s="237"/>
      <c r="U262" s="237"/>
      <c r="V262" s="237"/>
      <c r="W262" s="237"/>
      <c r="X262" s="237"/>
      <c r="Y262" s="237"/>
      <c r="Z262" s="237"/>
      <c r="AA262" s="237"/>
      <c r="AB262" s="237"/>
    </row>
    <row r="263">
      <c r="A263" s="238">
        <v>262.0</v>
      </c>
      <c r="B263" s="242"/>
      <c r="C263" s="240" t="s">
        <v>4703</v>
      </c>
      <c r="D263" s="236"/>
      <c r="E263" s="240" t="s">
        <v>3496</v>
      </c>
      <c r="F263" s="240" t="s">
        <v>4704</v>
      </c>
      <c r="G263" s="238" t="s">
        <v>4705</v>
      </c>
      <c r="H263" s="236"/>
      <c r="I263" s="236"/>
      <c r="J263" s="238" t="s">
        <v>4536</v>
      </c>
      <c r="K263" s="242"/>
      <c r="L263" s="237"/>
      <c r="M263" s="237"/>
      <c r="N263" s="237"/>
      <c r="O263" s="237"/>
      <c r="P263" s="237"/>
      <c r="Q263" s="237"/>
      <c r="R263" s="237"/>
      <c r="S263" s="237"/>
      <c r="T263" s="237"/>
      <c r="U263" s="237"/>
      <c r="V263" s="237"/>
      <c r="W263" s="237"/>
      <c r="X263" s="237"/>
      <c r="Y263" s="237"/>
      <c r="Z263" s="237"/>
      <c r="AA263" s="237"/>
      <c r="AB263" s="237"/>
    </row>
    <row r="264">
      <c r="A264" s="238">
        <v>263.0</v>
      </c>
      <c r="B264" s="239" t="s">
        <v>4706</v>
      </c>
      <c r="C264" s="240" t="s">
        <v>4707</v>
      </c>
      <c r="D264" s="236"/>
      <c r="E264" s="240" t="s">
        <v>3496</v>
      </c>
      <c r="F264" s="240" t="s">
        <v>4708</v>
      </c>
      <c r="G264" s="238" t="s">
        <v>4709</v>
      </c>
      <c r="H264" s="236"/>
      <c r="I264" s="236"/>
      <c r="J264" s="238" t="s">
        <v>4536</v>
      </c>
      <c r="K264" s="239" t="s">
        <v>4706</v>
      </c>
      <c r="L264" s="237"/>
      <c r="M264" s="237"/>
      <c r="N264" s="237"/>
      <c r="O264" s="237"/>
      <c r="P264" s="237"/>
      <c r="Q264" s="237"/>
      <c r="R264" s="237"/>
      <c r="S264" s="237"/>
      <c r="T264" s="237"/>
      <c r="U264" s="237"/>
      <c r="V264" s="237"/>
      <c r="W264" s="237"/>
      <c r="X264" s="237"/>
      <c r="Y264" s="237"/>
      <c r="Z264" s="237"/>
      <c r="AA264" s="237"/>
      <c r="AB264" s="237"/>
    </row>
    <row r="265">
      <c r="A265" s="238">
        <v>264.0</v>
      </c>
      <c r="B265" s="239" t="s">
        <v>4710</v>
      </c>
      <c r="C265" s="240" t="s">
        <v>4711</v>
      </c>
      <c r="D265" s="236"/>
      <c r="E265" s="240" t="s">
        <v>3511</v>
      </c>
      <c r="F265" s="240" t="s">
        <v>4712</v>
      </c>
      <c r="G265" s="238" t="s">
        <v>4713</v>
      </c>
      <c r="H265" s="240" t="s">
        <v>4714</v>
      </c>
      <c r="I265" s="236"/>
      <c r="J265" s="238" t="s">
        <v>4536</v>
      </c>
      <c r="K265" s="239" t="s">
        <v>4710</v>
      </c>
      <c r="L265" s="237"/>
      <c r="M265" s="237"/>
      <c r="N265" s="237"/>
      <c r="O265" s="237"/>
      <c r="P265" s="237"/>
      <c r="Q265" s="237"/>
      <c r="R265" s="237"/>
      <c r="S265" s="237"/>
      <c r="T265" s="237"/>
      <c r="U265" s="237"/>
      <c r="V265" s="237"/>
      <c r="W265" s="237"/>
      <c r="X265" s="237"/>
      <c r="Y265" s="237"/>
      <c r="Z265" s="237"/>
      <c r="AA265" s="237"/>
      <c r="AB265" s="237"/>
    </row>
    <row r="266">
      <c r="A266" s="238">
        <v>265.0</v>
      </c>
      <c r="B266" s="239" t="s">
        <v>4715</v>
      </c>
      <c r="C266" s="240" t="s">
        <v>4716</v>
      </c>
      <c r="D266" s="236"/>
      <c r="E266" s="240" t="s">
        <v>3511</v>
      </c>
      <c r="F266" s="240" t="s">
        <v>4717</v>
      </c>
      <c r="G266" s="238" t="s">
        <v>4718</v>
      </c>
      <c r="H266" s="240" t="s">
        <v>4719</v>
      </c>
      <c r="I266" s="236"/>
      <c r="J266" s="238" t="s">
        <v>4536</v>
      </c>
      <c r="K266" s="239" t="s">
        <v>4715</v>
      </c>
      <c r="L266" s="237"/>
      <c r="M266" s="237"/>
      <c r="N266" s="237"/>
      <c r="O266" s="237"/>
      <c r="P266" s="237"/>
      <c r="Q266" s="237"/>
      <c r="R266" s="237"/>
      <c r="S266" s="237"/>
      <c r="T266" s="237"/>
      <c r="U266" s="237"/>
      <c r="V266" s="237"/>
      <c r="W266" s="237"/>
      <c r="X266" s="237"/>
      <c r="Y266" s="237"/>
      <c r="Z266" s="237"/>
      <c r="AA266" s="237"/>
      <c r="AB266" s="237"/>
    </row>
    <row r="267">
      <c r="A267" s="238">
        <v>266.0</v>
      </c>
      <c r="B267" s="239" t="s">
        <v>4720</v>
      </c>
      <c r="C267" s="240" t="s">
        <v>4721</v>
      </c>
      <c r="D267" s="236"/>
      <c r="E267" s="240" t="s">
        <v>3511</v>
      </c>
      <c r="F267" s="240" t="s">
        <v>4722</v>
      </c>
      <c r="G267" s="238" t="s">
        <v>4723</v>
      </c>
      <c r="H267" s="240" t="s">
        <v>4724</v>
      </c>
      <c r="I267" s="236"/>
      <c r="J267" s="238" t="s">
        <v>4583</v>
      </c>
      <c r="K267" s="239" t="s">
        <v>4720</v>
      </c>
      <c r="L267" s="237"/>
      <c r="M267" s="237"/>
      <c r="N267" s="237"/>
      <c r="O267" s="237"/>
      <c r="P267" s="237"/>
      <c r="Q267" s="237"/>
      <c r="R267" s="237"/>
      <c r="S267" s="237"/>
      <c r="T267" s="237"/>
      <c r="U267" s="237"/>
      <c r="V267" s="237"/>
      <c r="W267" s="237"/>
      <c r="X267" s="237"/>
      <c r="Y267" s="237"/>
      <c r="Z267" s="237"/>
      <c r="AA267" s="237"/>
      <c r="AB267" s="237"/>
    </row>
    <row r="268">
      <c r="A268" s="238">
        <v>267.0</v>
      </c>
      <c r="B268" s="239" t="s">
        <v>4725</v>
      </c>
      <c r="C268" s="240" t="s">
        <v>4726</v>
      </c>
      <c r="D268" s="236"/>
      <c r="E268" s="240" t="s">
        <v>3511</v>
      </c>
      <c r="F268" s="240" t="s">
        <v>4727</v>
      </c>
      <c r="G268" s="238" t="s">
        <v>4728</v>
      </c>
      <c r="H268" s="240" t="s">
        <v>4729</v>
      </c>
      <c r="I268" s="236"/>
      <c r="J268" s="238" t="s">
        <v>4536</v>
      </c>
      <c r="K268" s="239" t="s">
        <v>4725</v>
      </c>
      <c r="L268" s="237"/>
      <c r="M268" s="237"/>
      <c r="N268" s="237"/>
      <c r="O268" s="237"/>
      <c r="P268" s="237"/>
      <c r="Q268" s="237"/>
      <c r="R268" s="237"/>
      <c r="S268" s="237"/>
      <c r="T268" s="237"/>
      <c r="U268" s="237"/>
      <c r="V268" s="237"/>
      <c r="W268" s="237"/>
      <c r="X268" s="237"/>
      <c r="Y268" s="237"/>
      <c r="Z268" s="237"/>
      <c r="AA268" s="237"/>
      <c r="AB268" s="237"/>
    </row>
    <row r="269">
      <c r="A269" s="238">
        <v>268.0</v>
      </c>
      <c r="B269" s="239" t="s">
        <v>3494</v>
      </c>
      <c r="C269" s="240" t="s">
        <v>4730</v>
      </c>
      <c r="D269" s="236"/>
      <c r="E269" s="240" t="s">
        <v>3496</v>
      </c>
      <c r="F269" s="240" t="s">
        <v>3497</v>
      </c>
      <c r="G269" s="238" t="s">
        <v>4731</v>
      </c>
      <c r="H269" s="236"/>
      <c r="I269" s="236"/>
      <c r="J269" s="238" t="s">
        <v>3499</v>
      </c>
      <c r="K269" s="239" t="s">
        <v>3494</v>
      </c>
      <c r="L269" s="237"/>
      <c r="M269" s="237"/>
      <c r="N269" s="237"/>
      <c r="O269" s="237"/>
      <c r="P269" s="237"/>
      <c r="Q269" s="237"/>
      <c r="R269" s="237"/>
      <c r="S269" s="237"/>
      <c r="T269" s="237"/>
      <c r="U269" s="237"/>
      <c r="V269" s="237"/>
      <c r="W269" s="237"/>
      <c r="X269" s="237"/>
      <c r="Y269" s="237"/>
      <c r="Z269" s="237"/>
      <c r="AA269" s="237"/>
      <c r="AB269" s="237"/>
    </row>
    <row r="270">
      <c r="A270" s="238">
        <v>269.0</v>
      </c>
      <c r="B270" s="239" t="s">
        <v>4584</v>
      </c>
      <c r="C270" s="240" t="s">
        <v>4732</v>
      </c>
      <c r="D270" s="236"/>
      <c r="E270" s="240" t="s">
        <v>3511</v>
      </c>
      <c r="F270" s="240" t="s">
        <v>4586</v>
      </c>
      <c r="G270" s="238" t="s">
        <v>4587</v>
      </c>
      <c r="H270" s="240" t="s">
        <v>4733</v>
      </c>
      <c r="I270" s="236"/>
      <c r="J270" s="238" t="s">
        <v>4536</v>
      </c>
      <c r="K270" s="239" t="s">
        <v>4584</v>
      </c>
      <c r="L270" s="237"/>
      <c r="M270" s="237"/>
      <c r="N270" s="237"/>
      <c r="O270" s="237"/>
      <c r="P270" s="237"/>
      <c r="Q270" s="237"/>
      <c r="R270" s="237"/>
      <c r="S270" s="237"/>
      <c r="T270" s="237"/>
      <c r="U270" s="237"/>
      <c r="V270" s="237"/>
      <c r="W270" s="237"/>
      <c r="X270" s="237"/>
      <c r="Y270" s="237"/>
      <c r="Z270" s="237"/>
      <c r="AA270" s="237"/>
      <c r="AB270" s="237"/>
    </row>
    <row r="271">
      <c r="A271" s="238">
        <v>270.0</v>
      </c>
      <c r="B271" s="239" t="s">
        <v>3500</v>
      </c>
      <c r="C271" s="240" t="s">
        <v>4734</v>
      </c>
      <c r="D271" s="236"/>
      <c r="E271" s="240" t="s">
        <v>3511</v>
      </c>
      <c r="F271" s="240" t="s">
        <v>3502</v>
      </c>
      <c r="G271" s="238" t="s">
        <v>3503</v>
      </c>
      <c r="H271" s="240" t="s">
        <v>4735</v>
      </c>
      <c r="I271" s="236"/>
      <c r="J271" s="238" t="s">
        <v>3499</v>
      </c>
      <c r="K271" s="239" t="s">
        <v>3500</v>
      </c>
      <c r="L271" s="237"/>
      <c r="M271" s="237"/>
      <c r="N271" s="237"/>
      <c r="O271" s="237"/>
      <c r="P271" s="237"/>
      <c r="Q271" s="237"/>
      <c r="R271" s="237"/>
      <c r="S271" s="237"/>
      <c r="T271" s="237"/>
      <c r="U271" s="237"/>
      <c r="V271" s="237"/>
      <c r="W271" s="237"/>
      <c r="X271" s="237"/>
      <c r="Y271" s="237"/>
      <c r="Z271" s="237"/>
      <c r="AA271" s="237"/>
      <c r="AB271" s="237"/>
    </row>
    <row r="272">
      <c r="A272" s="238">
        <v>271.0</v>
      </c>
      <c r="B272" s="239" t="s">
        <v>3505</v>
      </c>
      <c r="C272" s="240" t="s">
        <v>4736</v>
      </c>
      <c r="D272" s="236"/>
      <c r="E272" s="240" t="s">
        <v>3511</v>
      </c>
      <c r="F272" s="240" t="s">
        <v>3507</v>
      </c>
      <c r="G272" s="238" t="s">
        <v>3508</v>
      </c>
      <c r="H272" s="240" t="s">
        <v>4737</v>
      </c>
      <c r="I272" s="236"/>
      <c r="J272" s="238" t="s">
        <v>3499</v>
      </c>
      <c r="K272" s="239" t="s">
        <v>3505</v>
      </c>
      <c r="L272" s="237"/>
      <c r="M272" s="237"/>
      <c r="N272" s="237"/>
      <c r="O272" s="237"/>
      <c r="P272" s="237"/>
      <c r="Q272" s="237"/>
      <c r="R272" s="237"/>
      <c r="S272" s="237"/>
      <c r="T272" s="237"/>
      <c r="U272" s="237"/>
      <c r="V272" s="237"/>
      <c r="W272" s="237"/>
      <c r="X272" s="237"/>
      <c r="Y272" s="237"/>
      <c r="Z272" s="237"/>
      <c r="AA272" s="237"/>
      <c r="AB272" s="237"/>
    </row>
    <row r="273">
      <c r="A273" s="238">
        <v>272.0</v>
      </c>
      <c r="B273" s="239" t="s">
        <v>3494</v>
      </c>
      <c r="C273" s="240" t="s">
        <v>4738</v>
      </c>
      <c r="D273" s="236"/>
      <c r="E273" s="240" t="s">
        <v>3511</v>
      </c>
      <c r="F273" s="240" t="s">
        <v>3497</v>
      </c>
      <c r="G273" s="238" t="s">
        <v>3498</v>
      </c>
      <c r="H273" s="240" t="s">
        <v>4739</v>
      </c>
      <c r="I273" s="236"/>
      <c r="J273" s="238" t="s">
        <v>3499</v>
      </c>
      <c r="K273" s="239" t="s">
        <v>3494</v>
      </c>
      <c r="L273" s="237"/>
      <c r="M273" s="237"/>
      <c r="N273" s="237"/>
      <c r="O273" s="237"/>
      <c r="P273" s="237"/>
      <c r="Q273" s="237"/>
      <c r="R273" s="237"/>
      <c r="S273" s="237"/>
      <c r="T273" s="237"/>
      <c r="U273" s="237"/>
      <c r="V273" s="237"/>
      <c r="W273" s="237"/>
      <c r="X273" s="237"/>
      <c r="Y273" s="237"/>
      <c r="Z273" s="237"/>
      <c r="AA273" s="237"/>
      <c r="AB273" s="237"/>
    </row>
    <row r="274">
      <c r="A274" s="238">
        <v>273.0</v>
      </c>
      <c r="B274" s="239" t="s">
        <v>4740</v>
      </c>
      <c r="C274" s="240" t="s">
        <v>4741</v>
      </c>
      <c r="D274" s="236"/>
      <c r="E274" s="240" t="s">
        <v>3511</v>
      </c>
      <c r="F274" s="240" t="s">
        <v>4742</v>
      </c>
      <c r="G274" s="238" t="s">
        <v>4743</v>
      </c>
      <c r="H274" s="241" t="s">
        <v>4744</v>
      </c>
      <c r="I274" s="236"/>
      <c r="J274" s="243" t="s">
        <v>4745</v>
      </c>
      <c r="K274" s="239" t="s">
        <v>4740</v>
      </c>
      <c r="L274" s="237"/>
      <c r="M274" s="237"/>
      <c r="N274" s="237"/>
      <c r="O274" s="237"/>
      <c r="P274" s="237"/>
      <c r="Q274" s="237"/>
      <c r="R274" s="237"/>
      <c r="S274" s="237"/>
      <c r="T274" s="237"/>
      <c r="U274" s="237"/>
      <c r="V274" s="237"/>
      <c r="W274" s="237"/>
      <c r="X274" s="237"/>
      <c r="Y274" s="237"/>
      <c r="Z274" s="237"/>
      <c r="AA274" s="237"/>
      <c r="AB274" s="237"/>
    </row>
    <row r="275">
      <c r="A275" s="238">
        <v>274.0</v>
      </c>
      <c r="B275" s="239" t="s">
        <v>4746</v>
      </c>
      <c r="C275" s="240" t="s">
        <v>4747</v>
      </c>
      <c r="D275" s="236"/>
      <c r="E275" s="240" t="s">
        <v>3511</v>
      </c>
      <c r="F275" s="240" t="s">
        <v>4748</v>
      </c>
      <c r="G275" s="238" t="s">
        <v>4749</v>
      </c>
      <c r="H275" s="241" t="s">
        <v>4750</v>
      </c>
      <c r="I275" s="236"/>
      <c r="J275" s="243" t="s">
        <v>4745</v>
      </c>
      <c r="K275" s="239" t="s">
        <v>4746</v>
      </c>
      <c r="L275" s="237"/>
      <c r="M275" s="237"/>
      <c r="N275" s="237"/>
      <c r="O275" s="237"/>
      <c r="P275" s="237"/>
      <c r="Q275" s="237"/>
      <c r="R275" s="237"/>
      <c r="S275" s="237"/>
      <c r="T275" s="237"/>
      <c r="U275" s="237"/>
      <c r="V275" s="237"/>
      <c r="W275" s="237"/>
      <c r="X275" s="237"/>
      <c r="Y275" s="237"/>
      <c r="Z275" s="237"/>
      <c r="AA275" s="237"/>
      <c r="AB275" s="237"/>
    </row>
    <row r="276">
      <c r="A276" s="238">
        <v>275.0</v>
      </c>
      <c r="B276" s="239" t="s">
        <v>4751</v>
      </c>
      <c r="C276" s="240" t="s">
        <v>4752</v>
      </c>
      <c r="D276" s="236"/>
      <c r="E276" s="240" t="s">
        <v>3511</v>
      </c>
      <c r="F276" s="240" t="s">
        <v>4753</v>
      </c>
      <c r="G276" s="238" t="s">
        <v>4754</v>
      </c>
      <c r="H276" s="240" t="s">
        <v>4755</v>
      </c>
      <c r="I276" s="236"/>
      <c r="J276" s="238" t="s">
        <v>4745</v>
      </c>
      <c r="K276" s="239" t="s">
        <v>4751</v>
      </c>
      <c r="L276" s="237"/>
      <c r="M276" s="237"/>
      <c r="N276" s="237"/>
      <c r="O276" s="237"/>
      <c r="P276" s="237"/>
      <c r="Q276" s="237"/>
      <c r="R276" s="237"/>
      <c r="S276" s="237"/>
      <c r="T276" s="237"/>
      <c r="U276" s="237"/>
      <c r="V276" s="237"/>
      <c r="W276" s="237"/>
      <c r="X276" s="237"/>
      <c r="Y276" s="237"/>
      <c r="Z276" s="237"/>
      <c r="AA276" s="237"/>
      <c r="AB276" s="237"/>
    </row>
    <row r="277">
      <c r="A277" s="238">
        <v>276.0</v>
      </c>
      <c r="B277" s="239" t="s">
        <v>4756</v>
      </c>
      <c r="C277" s="240" t="s">
        <v>4757</v>
      </c>
      <c r="D277" s="236"/>
      <c r="E277" s="240" t="s">
        <v>3511</v>
      </c>
      <c r="F277" s="240" t="s">
        <v>4758</v>
      </c>
      <c r="G277" s="238" t="s">
        <v>4759</v>
      </c>
      <c r="H277" s="240" t="s">
        <v>4760</v>
      </c>
      <c r="I277" s="236"/>
      <c r="J277" s="238" t="s">
        <v>4222</v>
      </c>
      <c r="K277" s="239" t="s">
        <v>4756</v>
      </c>
      <c r="L277" s="237"/>
      <c r="M277" s="237"/>
      <c r="N277" s="237"/>
      <c r="O277" s="237"/>
      <c r="P277" s="237"/>
      <c r="Q277" s="237"/>
      <c r="R277" s="237"/>
      <c r="S277" s="237"/>
      <c r="T277" s="237"/>
      <c r="U277" s="237"/>
      <c r="V277" s="237"/>
      <c r="W277" s="237"/>
      <c r="X277" s="237"/>
      <c r="Y277" s="237"/>
      <c r="Z277" s="237"/>
      <c r="AA277" s="237"/>
      <c r="AB277" s="237"/>
    </row>
    <row r="278">
      <c r="A278" s="238">
        <v>277.0</v>
      </c>
      <c r="B278" s="239" t="s">
        <v>4761</v>
      </c>
      <c r="C278" s="240" t="s">
        <v>4762</v>
      </c>
      <c r="D278" s="236"/>
      <c r="E278" s="240" t="s">
        <v>3511</v>
      </c>
      <c r="F278" s="240" t="s">
        <v>4763</v>
      </c>
      <c r="G278" s="238" t="s">
        <v>4764</v>
      </c>
      <c r="H278" s="240" t="s">
        <v>4765</v>
      </c>
      <c r="I278" s="236"/>
      <c r="J278" s="238" t="s">
        <v>4745</v>
      </c>
      <c r="K278" s="239" t="s">
        <v>4761</v>
      </c>
      <c r="L278" s="237"/>
      <c r="M278" s="237"/>
      <c r="N278" s="237"/>
      <c r="O278" s="237"/>
      <c r="P278" s="237"/>
      <c r="Q278" s="237"/>
      <c r="R278" s="237"/>
      <c r="S278" s="237"/>
      <c r="T278" s="237"/>
      <c r="U278" s="237"/>
      <c r="V278" s="237"/>
      <c r="W278" s="237"/>
      <c r="X278" s="237"/>
      <c r="Y278" s="237"/>
      <c r="Z278" s="237"/>
      <c r="AA278" s="237"/>
      <c r="AB278" s="237"/>
    </row>
    <row r="279">
      <c r="A279" s="238">
        <v>278.0</v>
      </c>
      <c r="B279" s="239" t="s">
        <v>4766</v>
      </c>
      <c r="C279" s="240" t="s">
        <v>4767</v>
      </c>
      <c r="D279" s="236"/>
      <c r="E279" s="240" t="s">
        <v>3511</v>
      </c>
      <c r="F279" s="240" t="s">
        <v>4768</v>
      </c>
      <c r="G279" s="238" t="s">
        <v>4769</v>
      </c>
      <c r="H279" s="240" t="s">
        <v>4770</v>
      </c>
      <c r="I279" s="236"/>
      <c r="J279" s="238" t="s">
        <v>4745</v>
      </c>
      <c r="K279" s="239" t="s">
        <v>4766</v>
      </c>
      <c r="L279" s="237"/>
      <c r="M279" s="237"/>
      <c r="N279" s="237"/>
      <c r="O279" s="237"/>
      <c r="P279" s="237"/>
      <c r="Q279" s="237"/>
      <c r="R279" s="237"/>
      <c r="S279" s="237"/>
      <c r="T279" s="237"/>
      <c r="U279" s="237"/>
      <c r="V279" s="237"/>
      <c r="W279" s="237"/>
      <c r="X279" s="237"/>
      <c r="Y279" s="237"/>
      <c r="Z279" s="237"/>
      <c r="AA279" s="237"/>
      <c r="AB279" s="237"/>
    </row>
    <row r="280">
      <c r="A280" s="238">
        <v>279.0</v>
      </c>
      <c r="B280" s="239" t="s">
        <v>4771</v>
      </c>
      <c r="C280" s="240" t="s">
        <v>4772</v>
      </c>
      <c r="D280" s="236"/>
      <c r="E280" s="240" t="s">
        <v>3511</v>
      </c>
      <c r="F280" s="240" t="s">
        <v>4773</v>
      </c>
      <c r="G280" s="238" t="s">
        <v>4774</v>
      </c>
      <c r="H280" s="240" t="s">
        <v>4775</v>
      </c>
      <c r="I280" s="236"/>
      <c r="J280" s="238" t="s">
        <v>4745</v>
      </c>
      <c r="K280" s="239" t="s">
        <v>4771</v>
      </c>
      <c r="L280" s="237"/>
      <c r="M280" s="237"/>
      <c r="N280" s="237"/>
      <c r="O280" s="237"/>
      <c r="P280" s="237"/>
      <c r="Q280" s="237"/>
      <c r="R280" s="237"/>
      <c r="S280" s="237"/>
      <c r="T280" s="237"/>
      <c r="U280" s="237"/>
      <c r="V280" s="237"/>
      <c r="W280" s="237"/>
      <c r="X280" s="237"/>
      <c r="Y280" s="237"/>
      <c r="Z280" s="237"/>
      <c r="AA280" s="237"/>
      <c r="AB280" s="237"/>
    </row>
    <row r="281">
      <c r="A281" s="238">
        <v>280.0</v>
      </c>
      <c r="B281" s="239" t="s">
        <v>4776</v>
      </c>
      <c r="C281" s="240" t="s">
        <v>4777</v>
      </c>
      <c r="D281" s="236"/>
      <c r="E281" s="240" t="s">
        <v>3511</v>
      </c>
      <c r="F281" s="240" t="s">
        <v>4778</v>
      </c>
      <c r="G281" s="238" t="s">
        <v>4779</v>
      </c>
      <c r="H281" s="240" t="s">
        <v>4780</v>
      </c>
      <c r="I281" s="236"/>
      <c r="J281" s="238" t="s">
        <v>4745</v>
      </c>
      <c r="K281" s="239" t="s">
        <v>4776</v>
      </c>
      <c r="L281" s="237"/>
      <c r="M281" s="237"/>
      <c r="N281" s="237"/>
      <c r="O281" s="237"/>
      <c r="P281" s="237"/>
      <c r="Q281" s="237"/>
      <c r="R281" s="237"/>
      <c r="S281" s="237"/>
      <c r="T281" s="237"/>
      <c r="U281" s="237"/>
      <c r="V281" s="237"/>
      <c r="W281" s="237"/>
      <c r="X281" s="237"/>
      <c r="Y281" s="237"/>
      <c r="Z281" s="237"/>
      <c r="AA281" s="237"/>
      <c r="AB281" s="237"/>
    </row>
    <row r="282">
      <c r="A282" s="238">
        <v>281.0</v>
      </c>
      <c r="B282" s="239" t="s">
        <v>4781</v>
      </c>
      <c r="C282" s="240" t="s">
        <v>4782</v>
      </c>
      <c r="D282" s="236"/>
      <c r="E282" s="240" t="s">
        <v>3511</v>
      </c>
      <c r="F282" s="240" t="s">
        <v>4783</v>
      </c>
      <c r="G282" s="238" t="s">
        <v>4784</v>
      </c>
      <c r="H282" s="240" t="s">
        <v>4785</v>
      </c>
      <c r="I282" s="236"/>
      <c r="J282" s="238" t="s">
        <v>4745</v>
      </c>
      <c r="K282" s="239" t="s">
        <v>4781</v>
      </c>
      <c r="L282" s="237"/>
      <c r="M282" s="237"/>
      <c r="N282" s="237"/>
      <c r="O282" s="237"/>
      <c r="P282" s="237"/>
      <c r="Q282" s="237"/>
      <c r="R282" s="237"/>
      <c r="S282" s="237"/>
      <c r="T282" s="237"/>
      <c r="U282" s="237"/>
      <c r="V282" s="237"/>
      <c r="W282" s="237"/>
      <c r="X282" s="237"/>
      <c r="Y282" s="237"/>
      <c r="Z282" s="237"/>
      <c r="AA282" s="237"/>
      <c r="AB282" s="237"/>
    </row>
    <row r="283">
      <c r="A283" s="238">
        <v>282.0</v>
      </c>
      <c r="B283" s="239" t="s">
        <v>4786</v>
      </c>
      <c r="C283" s="240" t="s">
        <v>4787</v>
      </c>
      <c r="D283" s="236"/>
      <c r="E283" s="240" t="s">
        <v>3511</v>
      </c>
      <c r="F283" s="240" t="s">
        <v>4788</v>
      </c>
      <c r="G283" s="238" t="s">
        <v>4789</v>
      </c>
      <c r="H283" s="240" t="s">
        <v>4790</v>
      </c>
      <c r="I283" s="236"/>
      <c r="J283" s="238" t="s">
        <v>4745</v>
      </c>
      <c r="K283" s="239" t="s">
        <v>4786</v>
      </c>
      <c r="L283" s="237"/>
      <c r="M283" s="237"/>
      <c r="N283" s="237"/>
      <c r="O283" s="237"/>
      <c r="P283" s="237"/>
      <c r="Q283" s="237"/>
      <c r="R283" s="237"/>
      <c r="S283" s="237"/>
      <c r="T283" s="237"/>
      <c r="U283" s="237"/>
      <c r="V283" s="237"/>
      <c r="W283" s="237"/>
      <c r="X283" s="237"/>
      <c r="Y283" s="237"/>
      <c r="Z283" s="237"/>
      <c r="AA283" s="237"/>
      <c r="AB283" s="237"/>
    </row>
    <row r="284">
      <c r="A284" s="238">
        <v>283.0</v>
      </c>
      <c r="B284" s="239" t="s">
        <v>4791</v>
      </c>
      <c r="C284" s="240" t="s">
        <v>4792</v>
      </c>
      <c r="D284" s="236"/>
      <c r="E284" s="240" t="s">
        <v>3511</v>
      </c>
      <c r="F284" s="240" t="s">
        <v>4793</v>
      </c>
      <c r="G284" s="238" t="s">
        <v>4794</v>
      </c>
      <c r="H284" s="240" t="s">
        <v>4795</v>
      </c>
      <c r="I284" s="236"/>
      <c r="J284" s="238" t="s">
        <v>4745</v>
      </c>
      <c r="K284" s="239" t="s">
        <v>4791</v>
      </c>
      <c r="L284" s="237"/>
      <c r="M284" s="237"/>
      <c r="N284" s="237"/>
      <c r="O284" s="237"/>
      <c r="P284" s="237"/>
      <c r="Q284" s="237"/>
      <c r="R284" s="237"/>
      <c r="S284" s="237"/>
      <c r="T284" s="237"/>
      <c r="U284" s="237"/>
      <c r="V284" s="237"/>
      <c r="W284" s="237"/>
      <c r="X284" s="237"/>
      <c r="Y284" s="237"/>
      <c r="Z284" s="237"/>
      <c r="AA284" s="237"/>
      <c r="AB284" s="237"/>
    </row>
    <row r="285">
      <c r="A285" s="238">
        <v>284.0</v>
      </c>
      <c r="B285" s="239" t="s">
        <v>4588</v>
      </c>
      <c r="C285" s="240" t="s">
        <v>4796</v>
      </c>
      <c r="D285" s="236"/>
      <c r="E285" s="240" t="s">
        <v>3511</v>
      </c>
      <c r="F285" s="240" t="s">
        <v>4590</v>
      </c>
      <c r="G285" s="238" t="s">
        <v>4797</v>
      </c>
      <c r="H285" s="240" t="s">
        <v>4798</v>
      </c>
      <c r="I285" s="236"/>
      <c r="J285" s="238" t="s">
        <v>4536</v>
      </c>
      <c r="K285" s="239" t="s">
        <v>4588</v>
      </c>
      <c r="L285" s="237"/>
      <c r="M285" s="237"/>
      <c r="N285" s="237"/>
      <c r="O285" s="237"/>
      <c r="P285" s="237"/>
      <c r="Q285" s="237"/>
      <c r="R285" s="237"/>
      <c r="S285" s="237"/>
      <c r="T285" s="237"/>
      <c r="U285" s="237"/>
      <c r="V285" s="237"/>
      <c r="W285" s="237"/>
      <c r="X285" s="237"/>
      <c r="Y285" s="237"/>
      <c r="Z285" s="237"/>
      <c r="AA285" s="237"/>
      <c r="AB285" s="237"/>
    </row>
    <row r="286">
      <c r="A286" s="238">
        <v>285.0</v>
      </c>
      <c r="B286" s="239" t="s">
        <v>4799</v>
      </c>
      <c r="C286" s="240" t="s">
        <v>4800</v>
      </c>
      <c r="D286" s="236"/>
      <c r="E286" s="240" t="s">
        <v>3511</v>
      </c>
      <c r="F286" s="240" t="s">
        <v>4801</v>
      </c>
      <c r="G286" s="238" t="s">
        <v>4802</v>
      </c>
      <c r="H286" s="241" t="s">
        <v>4803</v>
      </c>
      <c r="I286" s="236"/>
      <c r="J286" s="238" t="s">
        <v>4745</v>
      </c>
      <c r="K286" s="239" t="s">
        <v>4799</v>
      </c>
      <c r="L286" s="237"/>
      <c r="M286" s="237"/>
      <c r="N286" s="237"/>
      <c r="O286" s="237"/>
      <c r="P286" s="237"/>
      <c r="Q286" s="237"/>
      <c r="R286" s="237"/>
      <c r="S286" s="237"/>
      <c r="T286" s="237"/>
      <c r="U286" s="237"/>
      <c r="V286" s="237"/>
      <c r="W286" s="237"/>
      <c r="X286" s="237"/>
      <c r="Y286" s="237"/>
      <c r="Z286" s="237"/>
      <c r="AA286" s="237"/>
      <c r="AB286" s="237"/>
    </row>
    <row r="287">
      <c r="A287" s="238">
        <v>286.0</v>
      </c>
      <c r="B287" s="239" t="s">
        <v>4804</v>
      </c>
      <c r="C287" s="240" t="s">
        <v>4805</v>
      </c>
      <c r="D287" s="236"/>
      <c r="E287" s="240" t="s">
        <v>3511</v>
      </c>
      <c r="F287" s="240" t="s">
        <v>4806</v>
      </c>
      <c r="G287" s="238" t="s">
        <v>4807</v>
      </c>
      <c r="H287" s="241" t="s">
        <v>4808</v>
      </c>
      <c r="I287" s="236"/>
      <c r="J287" s="238" t="s">
        <v>4222</v>
      </c>
      <c r="K287" s="239" t="s">
        <v>4804</v>
      </c>
      <c r="L287" s="237"/>
      <c r="M287" s="237"/>
      <c r="N287" s="237"/>
      <c r="O287" s="237"/>
      <c r="P287" s="237"/>
      <c r="Q287" s="237"/>
      <c r="R287" s="237"/>
      <c r="S287" s="237"/>
      <c r="T287" s="237"/>
      <c r="U287" s="237"/>
      <c r="V287" s="237"/>
      <c r="W287" s="237"/>
      <c r="X287" s="237"/>
      <c r="Y287" s="237"/>
      <c r="Z287" s="237"/>
      <c r="AA287" s="237"/>
      <c r="AB287" s="237"/>
    </row>
    <row r="288">
      <c r="A288" s="238">
        <v>287.0</v>
      </c>
      <c r="B288" s="239" t="s">
        <v>4809</v>
      </c>
      <c r="C288" s="240" t="s">
        <v>4810</v>
      </c>
      <c r="D288" s="236"/>
      <c r="E288" s="240" t="s">
        <v>3511</v>
      </c>
      <c r="F288" s="240" t="s">
        <v>4811</v>
      </c>
      <c r="G288" s="238" t="s">
        <v>4812</v>
      </c>
      <c r="H288" s="241" t="s">
        <v>4813</v>
      </c>
      <c r="I288" s="236"/>
      <c r="J288" s="238" t="s">
        <v>4745</v>
      </c>
      <c r="K288" s="239" t="s">
        <v>4809</v>
      </c>
      <c r="L288" s="237"/>
      <c r="M288" s="237"/>
      <c r="N288" s="237"/>
      <c r="O288" s="237"/>
      <c r="P288" s="237"/>
      <c r="Q288" s="237"/>
      <c r="R288" s="237"/>
      <c r="S288" s="237"/>
      <c r="T288" s="237"/>
      <c r="U288" s="237"/>
      <c r="V288" s="237"/>
      <c r="W288" s="237"/>
      <c r="X288" s="237"/>
      <c r="Y288" s="237"/>
      <c r="Z288" s="237"/>
      <c r="AA288" s="237"/>
      <c r="AB288" s="237"/>
    </row>
    <row r="289">
      <c r="A289" s="238">
        <v>288.0</v>
      </c>
      <c r="B289" s="239" t="s">
        <v>4814</v>
      </c>
      <c r="C289" s="240" t="s">
        <v>4815</v>
      </c>
      <c r="D289" s="236"/>
      <c r="E289" s="240" t="s">
        <v>3511</v>
      </c>
      <c r="F289" s="240" t="s">
        <v>4816</v>
      </c>
      <c r="G289" s="238" t="s">
        <v>4817</v>
      </c>
      <c r="H289" s="241" t="s">
        <v>4818</v>
      </c>
      <c r="I289" s="236"/>
      <c r="J289" s="238" t="s">
        <v>4745</v>
      </c>
      <c r="K289" s="239" t="s">
        <v>4814</v>
      </c>
      <c r="L289" s="237"/>
      <c r="M289" s="237"/>
      <c r="N289" s="237"/>
      <c r="O289" s="237"/>
      <c r="P289" s="237"/>
      <c r="Q289" s="237"/>
      <c r="R289" s="237"/>
      <c r="S289" s="237"/>
      <c r="T289" s="237"/>
      <c r="U289" s="237"/>
      <c r="V289" s="237"/>
      <c r="W289" s="237"/>
      <c r="X289" s="237"/>
      <c r="Y289" s="237"/>
      <c r="Z289" s="237"/>
      <c r="AA289" s="237"/>
      <c r="AB289" s="237"/>
    </row>
    <row r="290">
      <c r="A290" s="238">
        <v>289.0</v>
      </c>
      <c r="B290" s="239" t="s">
        <v>4819</v>
      </c>
      <c r="C290" s="240" t="s">
        <v>4820</v>
      </c>
      <c r="D290" s="236"/>
      <c r="E290" s="240" t="s">
        <v>3511</v>
      </c>
      <c r="F290" s="240" t="s">
        <v>4821</v>
      </c>
      <c r="G290" s="238" t="s">
        <v>4822</v>
      </c>
      <c r="H290" s="241" t="s">
        <v>4823</v>
      </c>
      <c r="I290" s="236"/>
      <c r="J290" s="238" t="s">
        <v>4745</v>
      </c>
      <c r="K290" s="239" t="s">
        <v>4819</v>
      </c>
      <c r="L290" s="237"/>
      <c r="M290" s="237"/>
      <c r="N290" s="237"/>
      <c r="O290" s="237"/>
      <c r="P290" s="237"/>
      <c r="Q290" s="237"/>
      <c r="R290" s="237"/>
      <c r="S290" s="237"/>
      <c r="T290" s="237"/>
      <c r="U290" s="237"/>
      <c r="V290" s="237"/>
      <c r="W290" s="237"/>
      <c r="X290" s="237"/>
      <c r="Y290" s="237"/>
      <c r="Z290" s="237"/>
      <c r="AA290" s="237"/>
      <c r="AB290" s="237"/>
    </row>
    <row r="291">
      <c r="A291" s="238">
        <v>290.0</v>
      </c>
      <c r="B291" s="242"/>
      <c r="C291" s="240" t="s">
        <v>4824</v>
      </c>
      <c r="D291" s="236"/>
      <c r="E291" s="240" t="s">
        <v>3496</v>
      </c>
      <c r="F291" s="240" t="s">
        <v>4825</v>
      </c>
      <c r="G291" s="238" t="s">
        <v>4826</v>
      </c>
      <c r="H291" s="236"/>
      <c r="I291" s="236"/>
      <c r="J291" s="238" t="s">
        <v>4745</v>
      </c>
      <c r="K291" s="242"/>
      <c r="L291" s="237"/>
      <c r="M291" s="237"/>
      <c r="N291" s="237"/>
      <c r="O291" s="237"/>
      <c r="P291" s="237"/>
      <c r="Q291" s="237"/>
      <c r="R291" s="237"/>
      <c r="S291" s="237"/>
      <c r="T291" s="237"/>
      <c r="U291" s="237"/>
      <c r="V291" s="237"/>
      <c r="W291" s="237"/>
      <c r="X291" s="237"/>
      <c r="Y291" s="237"/>
      <c r="Z291" s="237"/>
      <c r="AA291" s="237"/>
      <c r="AB291" s="237"/>
    </row>
    <row r="292">
      <c r="A292" s="238">
        <v>291.0</v>
      </c>
      <c r="B292" s="242"/>
      <c r="C292" s="240" t="s">
        <v>4827</v>
      </c>
      <c r="D292" s="236"/>
      <c r="E292" s="240" t="s">
        <v>3496</v>
      </c>
      <c r="F292" s="240" t="s">
        <v>4828</v>
      </c>
      <c r="G292" s="238" t="s">
        <v>4829</v>
      </c>
      <c r="H292" s="236"/>
      <c r="I292" s="236"/>
      <c r="J292" s="238" t="s">
        <v>4745</v>
      </c>
      <c r="K292" s="242"/>
      <c r="L292" s="237"/>
      <c r="M292" s="237"/>
      <c r="N292" s="237"/>
      <c r="O292" s="237"/>
      <c r="P292" s="237"/>
      <c r="Q292" s="237"/>
      <c r="R292" s="237"/>
      <c r="S292" s="237"/>
      <c r="T292" s="237"/>
      <c r="U292" s="237"/>
      <c r="V292" s="237"/>
      <c r="W292" s="237"/>
      <c r="X292" s="237"/>
      <c r="Y292" s="237"/>
      <c r="Z292" s="237"/>
      <c r="AA292" s="237"/>
      <c r="AB292" s="237"/>
    </row>
    <row r="293">
      <c r="A293" s="238">
        <v>292.0</v>
      </c>
      <c r="B293" s="242"/>
      <c r="C293" s="240" t="s">
        <v>4830</v>
      </c>
      <c r="D293" s="236"/>
      <c r="E293" s="240" t="s">
        <v>3496</v>
      </c>
      <c r="F293" s="240" t="s">
        <v>4831</v>
      </c>
      <c r="G293" s="238" t="s">
        <v>4832</v>
      </c>
      <c r="H293" s="236"/>
      <c r="I293" s="236"/>
      <c r="J293" s="238" t="s">
        <v>4745</v>
      </c>
      <c r="K293" s="242"/>
      <c r="L293" s="237"/>
      <c r="M293" s="237"/>
      <c r="N293" s="237"/>
      <c r="O293" s="237"/>
      <c r="P293" s="237"/>
      <c r="Q293" s="237"/>
      <c r="R293" s="237"/>
      <c r="S293" s="237"/>
      <c r="T293" s="237"/>
      <c r="U293" s="237"/>
      <c r="V293" s="237"/>
      <c r="W293" s="237"/>
      <c r="X293" s="237"/>
      <c r="Y293" s="237"/>
      <c r="Z293" s="237"/>
      <c r="AA293" s="237"/>
      <c r="AB293" s="237"/>
    </row>
    <row r="294">
      <c r="A294" s="238">
        <v>293.0</v>
      </c>
      <c r="B294" s="242"/>
      <c r="C294" s="240" t="s">
        <v>4833</v>
      </c>
      <c r="D294" s="236"/>
      <c r="E294" s="240" t="s">
        <v>3496</v>
      </c>
      <c r="F294" s="240" t="s">
        <v>4834</v>
      </c>
      <c r="G294" s="238" t="s">
        <v>4835</v>
      </c>
      <c r="H294" s="236"/>
      <c r="I294" s="236"/>
      <c r="J294" s="238" t="s">
        <v>4745</v>
      </c>
      <c r="K294" s="242"/>
      <c r="L294" s="237"/>
      <c r="M294" s="237"/>
      <c r="N294" s="237"/>
      <c r="O294" s="237"/>
      <c r="P294" s="237"/>
      <c r="Q294" s="237"/>
      <c r="R294" s="237"/>
      <c r="S294" s="237"/>
      <c r="T294" s="237"/>
      <c r="U294" s="237"/>
      <c r="V294" s="237"/>
      <c r="W294" s="237"/>
      <c r="X294" s="237"/>
      <c r="Y294" s="237"/>
      <c r="Z294" s="237"/>
      <c r="AA294" s="237"/>
      <c r="AB294" s="237"/>
    </row>
    <row r="295">
      <c r="A295" s="238">
        <v>294.0</v>
      </c>
      <c r="B295" s="242"/>
      <c r="C295" s="240" t="s">
        <v>4836</v>
      </c>
      <c r="D295" s="236"/>
      <c r="E295" s="240" t="s">
        <v>3496</v>
      </c>
      <c r="F295" s="240" t="s">
        <v>4837</v>
      </c>
      <c r="G295" s="238" t="s">
        <v>4838</v>
      </c>
      <c r="H295" s="236"/>
      <c r="I295" s="236"/>
      <c r="J295" s="238" t="s">
        <v>4745</v>
      </c>
      <c r="K295" s="242"/>
      <c r="L295" s="237"/>
      <c r="M295" s="237"/>
      <c r="N295" s="237"/>
      <c r="O295" s="237"/>
      <c r="P295" s="237"/>
      <c r="Q295" s="237"/>
      <c r="R295" s="237"/>
      <c r="S295" s="237"/>
      <c r="T295" s="237"/>
      <c r="U295" s="237"/>
      <c r="V295" s="237"/>
      <c r="W295" s="237"/>
      <c r="X295" s="237"/>
      <c r="Y295" s="237"/>
      <c r="Z295" s="237"/>
      <c r="AA295" s="237"/>
      <c r="AB295" s="237"/>
    </row>
    <row r="296">
      <c r="A296" s="238">
        <v>295.0</v>
      </c>
      <c r="B296" s="239" t="s">
        <v>4839</v>
      </c>
      <c r="C296" s="240" t="s">
        <v>4840</v>
      </c>
      <c r="D296" s="236"/>
      <c r="E296" s="240" t="s">
        <v>3511</v>
      </c>
      <c r="F296" s="240" t="s">
        <v>4841</v>
      </c>
      <c r="G296" s="238" t="s">
        <v>4842</v>
      </c>
      <c r="H296" s="240" t="s">
        <v>4843</v>
      </c>
      <c r="I296" s="236"/>
      <c r="J296" s="238" t="s">
        <v>4745</v>
      </c>
      <c r="K296" s="239" t="s">
        <v>4839</v>
      </c>
      <c r="L296" s="237"/>
      <c r="M296" s="237"/>
      <c r="N296" s="237"/>
      <c r="O296" s="237"/>
      <c r="P296" s="237"/>
      <c r="Q296" s="237"/>
      <c r="R296" s="237"/>
      <c r="S296" s="237"/>
      <c r="T296" s="237"/>
      <c r="U296" s="237"/>
      <c r="V296" s="237"/>
      <c r="W296" s="237"/>
      <c r="X296" s="237"/>
      <c r="Y296" s="237"/>
      <c r="Z296" s="237"/>
      <c r="AA296" s="237"/>
      <c r="AB296" s="237"/>
    </row>
    <row r="297">
      <c r="A297" s="238">
        <v>296.0</v>
      </c>
      <c r="B297" s="242"/>
      <c r="C297" s="240" t="s">
        <v>4844</v>
      </c>
      <c r="D297" s="236"/>
      <c r="E297" s="240" t="s">
        <v>3496</v>
      </c>
      <c r="F297" s="240" t="s">
        <v>4845</v>
      </c>
      <c r="G297" s="238" t="s">
        <v>4846</v>
      </c>
      <c r="H297" s="236"/>
      <c r="I297" s="236"/>
      <c r="J297" s="238" t="s">
        <v>4222</v>
      </c>
      <c r="K297" s="242"/>
      <c r="L297" s="237"/>
      <c r="M297" s="237"/>
      <c r="N297" s="237"/>
      <c r="O297" s="237"/>
      <c r="P297" s="237"/>
      <c r="Q297" s="237"/>
      <c r="R297" s="237"/>
      <c r="S297" s="237"/>
      <c r="T297" s="237"/>
      <c r="U297" s="237"/>
      <c r="V297" s="237"/>
      <c r="W297" s="237"/>
      <c r="X297" s="237"/>
      <c r="Y297" s="237"/>
      <c r="Z297" s="237"/>
      <c r="AA297" s="237"/>
      <c r="AB297" s="237"/>
    </row>
    <row r="298">
      <c r="A298" s="238">
        <v>297.0</v>
      </c>
      <c r="B298" s="239" t="s">
        <v>4847</v>
      </c>
      <c r="C298" s="240" t="s">
        <v>4848</v>
      </c>
      <c r="D298" s="236"/>
      <c r="E298" s="240" t="s">
        <v>3511</v>
      </c>
      <c r="F298" s="240" t="s">
        <v>4849</v>
      </c>
      <c r="G298" s="238" t="s">
        <v>4850</v>
      </c>
      <c r="H298" s="241" t="s">
        <v>4851</v>
      </c>
      <c r="I298" s="236"/>
      <c r="J298" s="238" t="s">
        <v>4745</v>
      </c>
      <c r="K298" s="239" t="s">
        <v>4847</v>
      </c>
      <c r="L298" s="237"/>
      <c r="M298" s="237"/>
      <c r="N298" s="237"/>
      <c r="O298" s="237"/>
      <c r="P298" s="237"/>
      <c r="Q298" s="237"/>
      <c r="R298" s="237"/>
      <c r="S298" s="237"/>
      <c r="T298" s="237"/>
      <c r="U298" s="237"/>
      <c r="V298" s="237"/>
      <c r="W298" s="237"/>
      <c r="X298" s="237"/>
      <c r="Y298" s="237"/>
      <c r="Z298" s="237"/>
      <c r="AA298" s="237"/>
      <c r="AB298" s="237"/>
    </row>
    <row r="299">
      <c r="A299" s="238">
        <v>298.0</v>
      </c>
      <c r="B299" s="239" t="s">
        <v>4852</v>
      </c>
      <c r="C299" s="240" t="s">
        <v>4853</v>
      </c>
      <c r="D299" s="236"/>
      <c r="E299" s="240" t="s">
        <v>3511</v>
      </c>
      <c r="F299" s="240" t="s">
        <v>4854</v>
      </c>
      <c r="G299" s="238" t="s">
        <v>4817</v>
      </c>
      <c r="H299" s="241" t="s">
        <v>4855</v>
      </c>
      <c r="I299" s="236"/>
      <c r="J299" s="238" t="s">
        <v>4745</v>
      </c>
      <c r="K299" s="239" t="s">
        <v>4852</v>
      </c>
      <c r="L299" s="237"/>
      <c r="M299" s="237"/>
      <c r="N299" s="237"/>
      <c r="O299" s="237"/>
      <c r="P299" s="237"/>
      <c r="Q299" s="237"/>
      <c r="R299" s="237"/>
      <c r="S299" s="237"/>
      <c r="T299" s="237"/>
      <c r="U299" s="237"/>
      <c r="V299" s="237"/>
      <c r="W299" s="237"/>
      <c r="X299" s="237"/>
      <c r="Y299" s="237"/>
      <c r="Z299" s="237"/>
      <c r="AA299" s="237"/>
      <c r="AB299" s="237"/>
    </row>
    <row r="300">
      <c r="A300" s="238">
        <v>299.0</v>
      </c>
      <c r="B300" s="239" t="s">
        <v>4856</v>
      </c>
      <c r="C300" s="240" t="s">
        <v>4857</v>
      </c>
      <c r="D300" s="236"/>
      <c r="E300" s="240" t="s">
        <v>3511</v>
      </c>
      <c r="F300" s="240" t="s">
        <v>4858</v>
      </c>
      <c r="G300" s="238" t="s">
        <v>4859</v>
      </c>
      <c r="H300" s="241" t="s">
        <v>4860</v>
      </c>
      <c r="I300" s="236"/>
      <c r="J300" s="238" t="s">
        <v>4745</v>
      </c>
      <c r="K300" s="239" t="s">
        <v>4856</v>
      </c>
      <c r="L300" s="237"/>
      <c r="M300" s="237"/>
      <c r="N300" s="237"/>
      <c r="O300" s="237"/>
      <c r="P300" s="237"/>
      <c r="Q300" s="237"/>
      <c r="R300" s="237"/>
      <c r="S300" s="237"/>
      <c r="T300" s="237"/>
      <c r="U300" s="237"/>
      <c r="V300" s="237"/>
      <c r="W300" s="237"/>
      <c r="X300" s="237"/>
      <c r="Y300" s="237"/>
      <c r="Z300" s="237"/>
      <c r="AA300" s="237"/>
      <c r="AB300" s="237"/>
    </row>
    <row r="301">
      <c r="A301" s="238">
        <v>300.0</v>
      </c>
      <c r="B301" s="239" t="s">
        <v>4861</v>
      </c>
      <c r="C301" s="240" t="s">
        <v>4862</v>
      </c>
      <c r="D301" s="236"/>
      <c r="E301" s="240" t="s">
        <v>3511</v>
      </c>
      <c r="F301" s="240" t="s">
        <v>4863</v>
      </c>
      <c r="G301" s="238" t="s">
        <v>4864</v>
      </c>
      <c r="H301" s="240" t="s">
        <v>4865</v>
      </c>
      <c r="I301" s="236"/>
      <c r="J301" s="238" t="s">
        <v>4866</v>
      </c>
      <c r="K301" s="239" t="s">
        <v>4861</v>
      </c>
      <c r="L301" s="237"/>
      <c r="M301" s="237"/>
      <c r="N301" s="237"/>
      <c r="O301" s="237"/>
      <c r="P301" s="237"/>
      <c r="Q301" s="237"/>
      <c r="R301" s="237"/>
      <c r="S301" s="237"/>
      <c r="T301" s="237"/>
      <c r="U301" s="237"/>
      <c r="V301" s="237"/>
      <c r="W301" s="237"/>
      <c r="X301" s="237"/>
      <c r="Y301" s="237"/>
      <c r="Z301" s="237"/>
      <c r="AA301" s="237"/>
      <c r="AB301" s="237"/>
    </row>
    <row r="302">
      <c r="A302" s="238">
        <v>301.0</v>
      </c>
      <c r="B302" s="239" t="s">
        <v>4867</v>
      </c>
      <c r="C302" s="240" t="s">
        <v>4868</v>
      </c>
      <c r="D302" s="236"/>
      <c r="E302" s="240" t="s">
        <v>3511</v>
      </c>
      <c r="F302" s="240" t="s">
        <v>4869</v>
      </c>
      <c r="G302" s="238" t="s">
        <v>4870</v>
      </c>
      <c r="H302" s="240" t="s">
        <v>4871</v>
      </c>
      <c r="I302" s="236"/>
      <c r="J302" s="238" t="s">
        <v>4866</v>
      </c>
      <c r="K302" s="239" t="s">
        <v>4867</v>
      </c>
      <c r="L302" s="237"/>
      <c r="M302" s="237"/>
      <c r="N302" s="237"/>
      <c r="O302" s="237"/>
      <c r="P302" s="237"/>
      <c r="Q302" s="237"/>
      <c r="R302" s="237"/>
      <c r="S302" s="237"/>
      <c r="T302" s="237"/>
      <c r="U302" s="237"/>
      <c r="V302" s="237"/>
      <c r="W302" s="237"/>
      <c r="X302" s="237"/>
      <c r="Y302" s="237"/>
      <c r="Z302" s="237"/>
      <c r="AA302" s="237"/>
      <c r="AB302" s="237"/>
    </row>
    <row r="303">
      <c r="A303" s="238">
        <v>302.0</v>
      </c>
      <c r="B303" s="239" t="s">
        <v>4872</v>
      </c>
      <c r="C303" s="240" t="s">
        <v>4873</v>
      </c>
      <c r="D303" s="236"/>
      <c r="E303" s="240" t="s">
        <v>3511</v>
      </c>
      <c r="F303" s="240" t="s">
        <v>4874</v>
      </c>
      <c r="G303" s="238" t="s">
        <v>4875</v>
      </c>
      <c r="H303" s="240" t="s">
        <v>4876</v>
      </c>
      <c r="I303" s="236"/>
      <c r="J303" s="238" t="s">
        <v>4866</v>
      </c>
      <c r="K303" s="239" t="s">
        <v>4872</v>
      </c>
      <c r="L303" s="237"/>
      <c r="M303" s="237"/>
      <c r="N303" s="237"/>
      <c r="O303" s="237"/>
      <c r="P303" s="237"/>
      <c r="Q303" s="237"/>
      <c r="R303" s="237"/>
      <c r="S303" s="237"/>
      <c r="T303" s="237"/>
      <c r="U303" s="237"/>
      <c r="V303" s="237"/>
      <c r="W303" s="237"/>
      <c r="X303" s="237"/>
      <c r="Y303" s="237"/>
      <c r="Z303" s="237"/>
      <c r="AA303" s="237"/>
      <c r="AB303" s="237"/>
    </row>
    <row r="304">
      <c r="A304" s="238">
        <v>303.0</v>
      </c>
      <c r="B304" s="239" t="s">
        <v>4877</v>
      </c>
      <c r="C304" s="240" t="s">
        <v>4878</v>
      </c>
      <c r="D304" s="236"/>
      <c r="E304" s="240" t="s">
        <v>3511</v>
      </c>
      <c r="F304" s="240" t="s">
        <v>4879</v>
      </c>
      <c r="G304" s="238" t="s">
        <v>4880</v>
      </c>
      <c r="H304" s="240" t="s">
        <v>4881</v>
      </c>
      <c r="I304" s="236"/>
      <c r="J304" s="238" t="s">
        <v>4866</v>
      </c>
      <c r="K304" s="239" t="s">
        <v>4877</v>
      </c>
      <c r="L304" s="237"/>
      <c r="M304" s="237"/>
      <c r="N304" s="237"/>
      <c r="O304" s="237"/>
      <c r="P304" s="237"/>
      <c r="Q304" s="237"/>
      <c r="R304" s="237"/>
      <c r="S304" s="237"/>
      <c r="T304" s="237"/>
      <c r="U304" s="237"/>
      <c r="V304" s="237"/>
      <c r="W304" s="237"/>
      <c r="X304" s="237"/>
      <c r="Y304" s="237"/>
      <c r="Z304" s="237"/>
      <c r="AA304" s="237"/>
      <c r="AB304" s="237"/>
    </row>
    <row r="305">
      <c r="A305" s="238">
        <v>304.0</v>
      </c>
      <c r="B305" s="239" t="s">
        <v>4882</v>
      </c>
      <c r="C305" s="240" t="s">
        <v>4883</v>
      </c>
      <c r="D305" s="236"/>
      <c r="E305" s="240" t="s">
        <v>3511</v>
      </c>
      <c r="F305" s="240" t="s">
        <v>4884</v>
      </c>
      <c r="G305" s="238" t="s">
        <v>4885</v>
      </c>
      <c r="H305" s="240" t="s">
        <v>4886</v>
      </c>
      <c r="I305" s="236"/>
      <c r="J305" s="238" t="s">
        <v>4866</v>
      </c>
      <c r="K305" s="239" t="s">
        <v>4882</v>
      </c>
      <c r="L305" s="237"/>
      <c r="M305" s="237"/>
      <c r="N305" s="237"/>
      <c r="O305" s="237"/>
      <c r="P305" s="237"/>
      <c r="Q305" s="237"/>
      <c r="R305" s="237"/>
      <c r="S305" s="237"/>
      <c r="T305" s="237"/>
      <c r="U305" s="237"/>
      <c r="V305" s="237"/>
      <c r="W305" s="237"/>
      <c r="X305" s="237"/>
      <c r="Y305" s="237"/>
      <c r="Z305" s="237"/>
      <c r="AA305" s="237"/>
      <c r="AB305" s="237"/>
    </row>
    <row r="306">
      <c r="A306" s="238">
        <v>305.0</v>
      </c>
      <c r="B306" s="239" t="s">
        <v>4887</v>
      </c>
      <c r="C306" s="240" t="s">
        <v>4888</v>
      </c>
      <c r="D306" s="236"/>
      <c r="E306" s="240" t="s">
        <v>3511</v>
      </c>
      <c r="F306" s="240" t="s">
        <v>4889</v>
      </c>
      <c r="G306" s="238" t="s">
        <v>4890</v>
      </c>
      <c r="H306" s="240" t="s">
        <v>4891</v>
      </c>
      <c r="I306" s="236"/>
      <c r="J306" s="238" t="s">
        <v>4866</v>
      </c>
      <c r="K306" s="239" t="s">
        <v>4887</v>
      </c>
      <c r="L306" s="237"/>
      <c r="M306" s="237"/>
      <c r="N306" s="237"/>
      <c r="O306" s="237"/>
      <c r="P306" s="237"/>
      <c r="Q306" s="237"/>
      <c r="R306" s="237"/>
      <c r="S306" s="237"/>
      <c r="T306" s="237"/>
      <c r="U306" s="237"/>
      <c r="V306" s="237"/>
      <c r="W306" s="237"/>
      <c r="X306" s="237"/>
      <c r="Y306" s="237"/>
      <c r="Z306" s="237"/>
      <c r="AA306" s="237"/>
      <c r="AB306" s="237"/>
    </row>
    <row r="307">
      <c r="A307" s="238">
        <v>306.0</v>
      </c>
      <c r="B307" s="239" t="s">
        <v>4892</v>
      </c>
      <c r="C307" s="240" t="s">
        <v>4893</v>
      </c>
      <c r="D307" s="236"/>
      <c r="E307" s="240" t="s">
        <v>3511</v>
      </c>
      <c r="F307" s="241" t="s">
        <v>4894</v>
      </c>
      <c r="G307" s="238" t="s">
        <v>4895</v>
      </c>
      <c r="H307" s="240" t="s">
        <v>4896</v>
      </c>
      <c r="I307" s="236"/>
      <c r="J307" s="238" t="s">
        <v>4897</v>
      </c>
      <c r="K307" s="239" t="s">
        <v>4892</v>
      </c>
      <c r="L307" s="237"/>
      <c r="M307" s="237"/>
      <c r="N307" s="237"/>
      <c r="O307" s="237"/>
      <c r="P307" s="237"/>
      <c r="Q307" s="237"/>
      <c r="R307" s="237"/>
      <c r="S307" s="237"/>
      <c r="T307" s="237"/>
      <c r="U307" s="237"/>
      <c r="V307" s="237"/>
      <c r="W307" s="237"/>
      <c r="X307" s="237"/>
      <c r="Y307" s="237"/>
      <c r="Z307" s="237"/>
      <c r="AA307" s="237"/>
      <c r="AB307" s="237"/>
    </row>
    <row r="308">
      <c r="A308" s="238">
        <v>307.0</v>
      </c>
      <c r="B308" s="239" t="s">
        <v>4898</v>
      </c>
      <c r="C308" s="240" t="s">
        <v>4899</v>
      </c>
      <c r="D308" s="236"/>
      <c r="E308" s="240" t="s">
        <v>3511</v>
      </c>
      <c r="F308" s="240" t="s">
        <v>4900</v>
      </c>
      <c r="G308" s="238" t="s">
        <v>4901</v>
      </c>
      <c r="H308" s="240" t="s">
        <v>4902</v>
      </c>
      <c r="I308" s="236"/>
      <c r="J308" s="238" t="s">
        <v>4866</v>
      </c>
      <c r="K308" s="239" t="s">
        <v>4898</v>
      </c>
      <c r="L308" s="237"/>
      <c r="M308" s="237"/>
      <c r="N308" s="237"/>
      <c r="O308" s="237"/>
      <c r="P308" s="237"/>
      <c r="Q308" s="237"/>
      <c r="R308" s="237"/>
      <c r="S308" s="237"/>
      <c r="T308" s="237"/>
      <c r="U308" s="237"/>
      <c r="V308" s="237"/>
      <c r="W308" s="237"/>
      <c r="X308" s="237"/>
      <c r="Y308" s="237"/>
      <c r="Z308" s="237"/>
      <c r="AA308" s="237"/>
      <c r="AB308" s="237"/>
    </row>
    <row r="309">
      <c r="A309" s="238">
        <v>308.0</v>
      </c>
      <c r="B309" s="239" t="s">
        <v>4903</v>
      </c>
      <c r="C309" s="240" t="s">
        <v>4904</v>
      </c>
      <c r="D309" s="236"/>
      <c r="E309" s="240" t="s">
        <v>3511</v>
      </c>
      <c r="F309" s="240" t="s">
        <v>4905</v>
      </c>
      <c r="G309" s="238" t="s">
        <v>4906</v>
      </c>
      <c r="H309" s="240" t="s">
        <v>4907</v>
      </c>
      <c r="I309" s="236"/>
      <c r="J309" s="238" t="s">
        <v>4866</v>
      </c>
      <c r="K309" s="239" t="s">
        <v>4903</v>
      </c>
      <c r="L309" s="237"/>
      <c r="M309" s="237"/>
      <c r="N309" s="237"/>
      <c r="O309" s="237"/>
      <c r="P309" s="237"/>
      <c r="Q309" s="237"/>
      <c r="R309" s="237"/>
      <c r="S309" s="237"/>
      <c r="T309" s="237"/>
      <c r="U309" s="237"/>
      <c r="V309" s="237"/>
      <c r="W309" s="237"/>
      <c r="X309" s="237"/>
      <c r="Y309" s="237"/>
      <c r="Z309" s="237"/>
      <c r="AA309" s="237"/>
      <c r="AB309" s="237"/>
    </row>
    <row r="310">
      <c r="A310" s="238">
        <v>309.0</v>
      </c>
      <c r="B310" s="239" t="s">
        <v>4908</v>
      </c>
      <c r="C310" s="241" t="s">
        <v>4909</v>
      </c>
      <c r="D310" s="236"/>
      <c r="E310" s="240" t="s">
        <v>3511</v>
      </c>
      <c r="F310" s="240" t="s">
        <v>4910</v>
      </c>
      <c r="G310" s="238" t="s">
        <v>4911</v>
      </c>
      <c r="H310" s="241" t="s">
        <v>4912</v>
      </c>
      <c r="I310" s="236"/>
      <c r="J310" s="238" t="s">
        <v>4866</v>
      </c>
      <c r="K310" s="239" t="s">
        <v>4908</v>
      </c>
      <c r="L310" s="237"/>
      <c r="M310" s="237"/>
      <c r="N310" s="237"/>
      <c r="O310" s="237"/>
      <c r="P310" s="237"/>
      <c r="Q310" s="237"/>
      <c r="R310" s="237"/>
      <c r="S310" s="237"/>
      <c r="T310" s="237"/>
      <c r="U310" s="237"/>
      <c r="V310" s="237"/>
      <c r="W310" s="237"/>
      <c r="X310" s="237"/>
      <c r="Y310" s="237"/>
      <c r="Z310" s="237"/>
      <c r="AA310" s="237"/>
      <c r="AB310" s="237"/>
    </row>
    <row r="311">
      <c r="A311" s="238">
        <v>310.0</v>
      </c>
      <c r="B311" s="239" t="s">
        <v>4913</v>
      </c>
      <c r="C311" s="240" t="s">
        <v>4914</v>
      </c>
      <c r="D311" s="236"/>
      <c r="E311" s="240" t="s">
        <v>3511</v>
      </c>
      <c r="F311" s="240" t="s">
        <v>4915</v>
      </c>
      <c r="G311" s="238" t="s">
        <v>4916</v>
      </c>
      <c r="H311" s="240" t="s">
        <v>4917</v>
      </c>
      <c r="I311" s="236"/>
      <c r="J311" s="238" t="s">
        <v>4866</v>
      </c>
      <c r="K311" s="239" t="s">
        <v>4913</v>
      </c>
      <c r="L311" s="237"/>
      <c r="M311" s="237"/>
      <c r="N311" s="237"/>
      <c r="O311" s="237"/>
      <c r="P311" s="237"/>
      <c r="Q311" s="237"/>
      <c r="R311" s="237"/>
      <c r="S311" s="237"/>
      <c r="T311" s="237"/>
      <c r="U311" s="237"/>
      <c r="V311" s="237"/>
      <c r="W311" s="237"/>
      <c r="X311" s="237"/>
      <c r="Y311" s="237"/>
      <c r="Z311" s="237"/>
      <c r="AA311" s="237"/>
      <c r="AB311" s="237"/>
    </row>
    <row r="312">
      <c r="A312" s="238">
        <v>311.0</v>
      </c>
      <c r="B312" s="242"/>
      <c r="C312" s="240" t="s">
        <v>4918</v>
      </c>
      <c r="D312" s="236"/>
      <c r="E312" s="240" t="s">
        <v>3496</v>
      </c>
      <c r="F312" s="240" t="s">
        <v>3621</v>
      </c>
      <c r="G312" s="238" t="s">
        <v>3622</v>
      </c>
      <c r="H312" s="236"/>
      <c r="I312" s="236"/>
      <c r="J312" s="238" t="s">
        <v>3499</v>
      </c>
      <c r="K312" s="242"/>
      <c r="L312" s="237"/>
      <c r="M312" s="237"/>
      <c r="N312" s="237"/>
      <c r="O312" s="237"/>
      <c r="P312" s="237"/>
      <c r="Q312" s="237"/>
      <c r="R312" s="237"/>
      <c r="S312" s="237"/>
      <c r="T312" s="237"/>
      <c r="U312" s="237"/>
      <c r="V312" s="237"/>
      <c r="W312" s="237"/>
      <c r="X312" s="237"/>
      <c r="Y312" s="237"/>
      <c r="Z312" s="237"/>
      <c r="AA312" s="237"/>
      <c r="AB312" s="237"/>
    </row>
    <row r="313">
      <c r="A313" s="238">
        <v>312.0</v>
      </c>
      <c r="B313" s="242"/>
      <c r="C313" s="240" t="s">
        <v>4919</v>
      </c>
      <c r="D313" s="236"/>
      <c r="E313" s="240" t="s">
        <v>3496</v>
      </c>
      <c r="F313" s="240" t="s">
        <v>3618</v>
      </c>
      <c r="G313" s="238" t="s">
        <v>3619</v>
      </c>
      <c r="H313" s="236"/>
      <c r="I313" s="236"/>
      <c r="J313" s="238" t="s">
        <v>3499</v>
      </c>
      <c r="K313" s="242"/>
      <c r="L313" s="237"/>
      <c r="M313" s="237"/>
      <c r="N313" s="237"/>
      <c r="O313" s="237"/>
      <c r="P313" s="237"/>
      <c r="Q313" s="237"/>
      <c r="R313" s="237"/>
      <c r="S313" s="237"/>
      <c r="T313" s="237"/>
      <c r="U313" s="237"/>
      <c r="V313" s="237"/>
      <c r="W313" s="237"/>
      <c r="X313" s="237"/>
      <c r="Y313" s="237"/>
      <c r="Z313" s="237"/>
      <c r="AA313" s="237"/>
      <c r="AB313" s="237"/>
    </row>
    <row r="314">
      <c r="A314" s="238">
        <v>313.0</v>
      </c>
      <c r="B314" s="242"/>
      <c r="C314" s="240" t="s">
        <v>4920</v>
      </c>
      <c r="D314" s="236"/>
      <c r="E314" s="240" t="s">
        <v>3496</v>
      </c>
      <c r="F314" s="240" t="s">
        <v>3631</v>
      </c>
      <c r="G314" s="238" t="s">
        <v>3632</v>
      </c>
      <c r="H314" s="236"/>
      <c r="I314" s="236"/>
      <c r="J314" s="238" t="s">
        <v>3499</v>
      </c>
      <c r="K314" s="242"/>
      <c r="L314" s="237"/>
      <c r="M314" s="237"/>
      <c r="N314" s="237"/>
      <c r="O314" s="237"/>
      <c r="P314" s="237"/>
      <c r="Q314" s="237"/>
      <c r="R314" s="237"/>
      <c r="S314" s="237"/>
      <c r="T314" s="237"/>
      <c r="U314" s="237"/>
      <c r="V314" s="237"/>
      <c r="W314" s="237"/>
      <c r="X314" s="237"/>
      <c r="Y314" s="237"/>
      <c r="Z314" s="237"/>
      <c r="AA314" s="237"/>
      <c r="AB314" s="237"/>
    </row>
    <row r="315">
      <c r="A315" s="238">
        <v>314.0</v>
      </c>
      <c r="B315" s="242"/>
      <c r="C315" s="240" t="s">
        <v>4921</v>
      </c>
      <c r="D315" s="236"/>
      <c r="E315" s="240" t="s">
        <v>3496</v>
      </c>
      <c r="F315" s="240" t="s">
        <v>3628</v>
      </c>
      <c r="G315" s="238" t="s">
        <v>3629</v>
      </c>
      <c r="H315" s="236"/>
      <c r="I315" s="236"/>
      <c r="J315" s="238" t="s">
        <v>3499</v>
      </c>
      <c r="K315" s="242"/>
      <c r="L315" s="237"/>
      <c r="M315" s="237"/>
      <c r="N315" s="237"/>
      <c r="O315" s="237"/>
      <c r="P315" s="237"/>
      <c r="Q315" s="237"/>
      <c r="R315" s="237"/>
      <c r="S315" s="237"/>
      <c r="T315" s="237"/>
      <c r="U315" s="237"/>
      <c r="V315" s="237"/>
      <c r="W315" s="237"/>
      <c r="X315" s="237"/>
      <c r="Y315" s="237"/>
      <c r="Z315" s="237"/>
      <c r="AA315" s="237"/>
      <c r="AB315" s="237"/>
    </row>
    <row r="316">
      <c r="A316" s="238">
        <v>315.0</v>
      </c>
      <c r="B316" s="239" t="s">
        <v>3623</v>
      </c>
      <c r="C316" s="240" t="s">
        <v>4922</v>
      </c>
      <c r="D316" s="236"/>
      <c r="E316" s="240" t="s">
        <v>3496</v>
      </c>
      <c r="F316" s="240" t="s">
        <v>3625</v>
      </c>
      <c r="G316" s="238" t="s">
        <v>3626</v>
      </c>
      <c r="H316" s="236"/>
      <c r="I316" s="236"/>
      <c r="J316" s="238" t="s">
        <v>3499</v>
      </c>
      <c r="K316" s="239" t="s">
        <v>3623</v>
      </c>
      <c r="L316" s="237"/>
      <c r="M316" s="237"/>
      <c r="N316" s="237"/>
      <c r="O316" s="237"/>
      <c r="P316" s="237"/>
      <c r="Q316" s="237"/>
      <c r="R316" s="237"/>
      <c r="S316" s="237"/>
      <c r="T316" s="237"/>
      <c r="U316" s="237"/>
      <c r="V316" s="237"/>
      <c r="W316" s="237"/>
      <c r="X316" s="237"/>
      <c r="Y316" s="237"/>
      <c r="Z316" s="237"/>
      <c r="AA316" s="237"/>
      <c r="AB316" s="237"/>
    </row>
    <row r="317">
      <c r="A317" s="238">
        <v>316.0</v>
      </c>
      <c r="B317" s="239" t="s">
        <v>4923</v>
      </c>
      <c r="C317" s="240" t="s">
        <v>4924</v>
      </c>
      <c r="D317" s="236"/>
      <c r="E317" s="240" t="s">
        <v>3496</v>
      </c>
      <c r="F317" s="240" t="s">
        <v>4925</v>
      </c>
      <c r="G317" s="238" t="s">
        <v>4926</v>
      </c>
      <c r="H317" s="236"/>
      <c r="I317" s="236"/>
      <c r="J317" s="238" t="s">
        <v>4583</v>
      </c>
      <c r="K317" s="239" t="s">
        <v>4923</v>
      </c>
      <c r="L317" s="237"/>
      <c r="M317" s="237"/>
      <c r="N317" s="237"/>
      <c r="O317" s="237"/>
      <c r="P317" s="237"/>
      <c r="Q317" s="237"/>
      <c r="R317" s="237"/>
      <c r="S317" s="237"/>
      <c r="T317" s="237"/>
      <c r="U317" s="237"/>
      <c r="V317" s="237"/>
      <c r="W317" s="237"/>
      <c r="X317" s="237"/>
      <c r="Y317" s="237"/>
      <c r="Z317" s="237"/>
      <c r="AA317" s="237"/>
      <c r="AB317" s="237"/>
    </row>
    <row r="318">
      <c r="A318" s="238">
        <v>317.0</v>
      </c>
      <c r="B318" s="239" t="s">
        <v>4927</v>
      </c>
      <c r="C318" s="240" t="s">
        <v>4928</v>
      </c>
      <c r="D318" s="236"/>
      <c r="E318" s="240" t="s">
        <v>3511</v>
      </c>
      <c r="F318" s="240" t="s">
        <v>4929</v>
      </c>
      <c r="G318" s="238" t="s">
        <v>4930</v>
      </c>
      <c r="H318" s="240" t="s">
        <v>4931</v>
      </c>
      <c r="I318" s="236"/>
      <c r="J318" s="238" t="s">
        <v>4536</v>
      </c>
      <c r="K318" s="239" t="s">
        <v>4927</v>
      </c>
      <c r="L318" s="237"/>
      <c r="M318" s="237"/>
      <c r="N318" s="237"/>
      <c r="O318" s="237"/>
      <c r="P318" s="237"/>
      <c r="Q318" s="237"/>
      <c r="R318" s="237"/>
      <c r="S318" s="237"/>
      <c r="T318" s="237"/>
      <c r="U318" s="237"/>
      <c r="V318" s="237"/>
      <c r="W318" s="237"/>
      <c r="X318" s="237"/>
      <c r="Y318" s="237"/>
      <c r="Z318" s="237"/>
      <c r="AA318" s="237"/>
      <c r="AB318" s="237"/>
    </row>
    <row r="319">
      <c r="A319" s="238">
        <v>318.0</v>
      </c>
      <c r="B319" s="239" t="s">
        <v>4932</v>
      </c>
      <c r="C319" s="240" t="s">
        <v>4933</v>
      </c>
      <c r="D319" s="236"/>
      <c r="E319" s="240" t="s">
        <v>3511</v>
      </c>
      <c r="F319" s="240" t="s">
        <v>4934</v>
      </c>
      <c r="G319" s="238" t="s">
        <v>4935</v>
      </c>
      <c r="H319" s="240" t="s">
        <v>4936</v>
      </c>
      <c r="I319" s="236"/>
      <c r="J319" s="238" t="s">
        <v>4536</v>
      </c>
      <c r="K319" s="239" t="s">
        <v>4932</v>
      </c>
      <c r="L319" s="237"/>
      <c r="M319" s="237"/>
      <c r="N319" s="237"/>
      <c r="O319" s="237"/>
      <c r="P319" s="237"/>
      <c r="Q319" s="237"/>
      <c r="R319" s="237"/>
      <c r="S319" s="237"/>
      <c r="T319" s="237"/>
      <c r="U319" s="237"/>
      <c r="V319" s="237"/>
      <c r="W319" s="237"/>
      <c r="X319" s="237"/>
      <c r="Y319" s="237"/>
      <c r="Z319" s="237"/>
      <c r="AA319" s="237"/>
      <c r="AB319" s="237"/>
    </row>
    <row r="320">
      <c r="A320" s="238">
        <v>319.0</v>
      </c>
      <c r="B320" s="239" t="s">
        <v>4937</v>
      </c>
      <c r="C320" s="240" t="s">
        <v>4938</v>
      </c>
      <c r="D320" s="236"/>
      <c r="E320" s="240" t="s">
        <v>3511</v>
      </c>
      <c r="F320" s="240" t="s">
        <v>4939</v>
      </c>
      <c r="G320" s="238" t="s">
        <v>4940</v>
      </c>
      <c r="H320" s="240" t="s">
        <v>4941</v>
      </c>
      <c r="I320" s="236"/>
      <c r="J320" s="238" t="s">
        <v>4536</v>
      </c>
      <c r="K320" s="239" t="s">
        <v>4937</v>
      </c>
      <c r="L320" s="237"/>
      <c r="M320" s="237"/>
      <c r="N320" s="237"/>
      <c r="O320" s="237"/>
      <c r="P320" s="237"/>
      <c r="Q320" s="237"/>
      <c r="R320" s="237"/>
      <c r="S320" s="237"/>
      <c r="T320" s="237"/>
      <c r="U320" s="237"/>
      <c r="V320" s="237"/>
      <c r="W320" s="237"/>
      <c r="X320" s="237"/>
      <c r="Y320" s="237"/>
      <c r="Z320" s="237"/>
      <c r="AA320" s="237"/>
      <c r="AB320" s="237"/>
    </row>
    <row r="321">
      <c r="A321" s="238">
        <v>320.0</v>
      </c>
      <c r="B321" s="239" t="s">
        <v>4942</v>
      </c>
      <c r="C321" s="240" t="s">
        <v>4943</v>
      </c>
      <c r="D321" s="236"/>
      <c r="E321" s="240" t="s">
        <v>3511</v>
      </c>
      <c r="F321" s="240" t="s">
        <v>4944</v>
      </c>
      <c r="G321" s="238" t="s">
        <v>4945</v>
      </c>
      <c r="H321" s="240" t="s">
        <v>4946</v>
      </c>
      <c r="I321" s="236"/>
      <c r="J321" s="238" t="s">
        <v>4536</v>
      </c>
      <c r="K321" s="239" t="s">
        <v>4942</v>
      </c>
      <c r="L321" s="237"/>
      <c r="M321" s="237"/>
      <c r="N321" s="237"/>
      <c r="O321" s="237"/>
      <c r="P321" s="237"/>
      <c r="Q321" s="237"/>
      <c r="R321" s="237"/>
      <c r="S321" s="237"/>
      <c r="T321" s="237"/>
      <c r="U321" s="237"/>
      <c r="V321" s="237"/>
      <c r="W321" s="237"/>
      <c r="X321" s="237"/>
      <c r="Y321" s="237"/>
      <c r="Z321" s="237"/>
      <c r="AA321" s="237"/>
      <c r="AB321" s="237"/>
    </row>
    <row r="322">
      <c r="A322" s="238">
        <v>321.0</v>
      </c>
      <c r="B322" s="239" t="s">
        <v>4947</v>
      </c>
      <c r="C322" s="240" t="s">
        <v>4948</v>
      </c>
      <c r="D322" s="236"/>
      <c r="E322" s="240" t="s">
        <v>3511</v>
      </c>
      <c r="F322" s="240" t="s">
        <v>4949</v>
      </c>
      <c r="G322" s="238" t="s">
        <v>4950</v>
      </c>
      <c r="H322" s="240" t="s">
        <v>4951</v>
      </c>
      <c r="I322" s="236"/>
      <c r="J322" s="238" t="s">
        <v>4536</v>
      </c>
      <c r="K322" s="239" t="s">
        <v>4947</v>
      </c>
      <c r="L322" s="237"/>
      <c r="M322" s="237"/>
      <c r="N322" s="237"/>
      <c r="O322" s="237"/>
      <c r="P322" s="237"/>
      <c r="Q322" s="237"/>
      <c r="R322" s="237"/>
      <c r="S322" s="237"/>
      <c r="T322" s="237"/>
      <c r="U322" s="237"/>
      <c r="V322" s="237"/>
      <c r="W322" s="237"/>
      <c r="X322" s="237"/>
      <c r="Y322" s="237"/>
      <c r="Z322" s="237"/>
      <c r="AA322" s="237"/>
      <c r="AB322" s="237"/>
    </row>
    <row r="323">
      <c r="A323" s="238">
        <v>322.0</v>
      </c>
      <c r="B323" s="239" t="s">
        <v>4952</v>
      </c>
      <c r="C323" s="240" t="s">
        <v>4953</v>
      </c>
      <c r="D323" s="236"/>
      <c r="E323" s="240" t="s">
        <v>3496</v>
      </c>
      <c r="F323" s="240" t="s">
        <v>4954</v>
      </c>
      <c r="G323" s="238" t="s">
        <v>4955</v>
      </c>
      <c r="H323" s="236"/>
      <c r="I323" s="236"/>
      <c r="J323" s="238" t="s">
        <v>4536</v>
      </c>
      <c r="K323" s="239" t="s">
        <v>4952</v>
      </c>
      <c r="L323" s="237"/>
      <c r="M323" s="237"/>
      <c r="N323" s="237"/>
      <c r="O323" s="237"/>
      <c r="P323" s="237"/>
      <c r="Q323" s="237"/>
      <c r="R323" s="237"/>
      <c r="S323" s="237"/>
      <c r="T323" s="237"/>
      <c r="U323" s="237"/>
      <c r="V323" s="237"/>
      <c r="W323" s="237"/>
      <c r="X323" s="237"/>
      <c r="Y323" s="237"/>
      <c r="Z323" s="237"/>
      <c r="AA323" s="237"/>
      <c r="AB323" s="237"/>
    </row>
    <row r="324">
      <c r="A324" s="238">
        <v>323.0</v>
      </c>
      <c r="B324" s="242"/>
      <c r="C324" s="240" t="s">
        <v>4956</v>
      </c>
      <c r="D324" s="236"/>
      <c r="E324" s="240" t="s">
        <v>3496</v>
      </c>
      <c r="F324" s="240" t="s">
        <v>4957</v>
      </c>
      <c r="G324" s="238" t="s">
        <v>4958</v>
      </c>
      <c r="H324" s="236"/>
      <c r="I324" s="236"/>
      <c r="J324" s="238" t="s">
        <v>3986</v>
      </c>
      <c r="K324" s="242"/>
      <c r="L324" s="237"/>
      <c r="M324" s="237"/>
      <c r="N324" s="237"/>
      <c r="O324" s="237"/>
      <c r="P324" s="237"/>
      <c r="Q324" s="237"/>
      <c r="R324" s="237"/>
      <c r="S324" s="237"/>
      <c r="T324" s="237"/>
      <c r="U324" s="237"/>
      <c r="V324" s="237"/>
      <c r="W324" s="237"/>
      <c r="X324" s="237"/>
      <c r="Y324" s="237"/>
      <c r="Z324" s="237"/>
      <c r="AA324" s="237"/>
      <c r="AB324" s="237"/>
    </row>
    <row r="325">
      <c r="A325" s="238">
        <v>324.0</v>
      </c>
      <c r="B325" s="239" t="s">
        <v>4952</v>
      </c>
      <c r="C325" s="240" t="s">
        <v>4959</v>
      </c>
      <c r="D325" s="236"/>
      <c r="E325" s="240" t="s">
        <v>3496</v>
      </c>
      <c r="F325" s="240" t="s">
        <v>4954</v>
      </c>
      <c r="G325" s="238" t="s">
        <v>4955</v>
      </c>
      <c r="H325" s="236"/>
      <c r="I325" s="236"/>
      <c r="J325" s="238" t="s">
        <v>4536</v>
      </c>
      <c r="K325" s="239" t="s">
        <v>4952</v>
      </c>
      <c r="L325" s="237"/>
      <c r="M325" s="237"/>
      <c r="N325" s="237"/>
      <c r="O325" s="237"/>
      <c r="P325" s="237"/>
      <c r="Q325" s="237"/>
      <c r="R325" s="237"/>
      <c r="S325" s="237"/>
      <c r="T325" s="237"/>
      <c r="U325" s="237"/>
      <c r="V325" s="237"/>
      <c r="W325" s="237"/>
      <c r="X325" s="237"/>
      <c r="Y325" s="237"/>
      <c r="Z325" s="237"/>
      <c r="AA325" s="237"/>
      <c r="AB325" s="237"/>
    </row>
    <row r="326">
      <c r="A326" s="238">
        <v>325.0</v>
      </c>
      <c r="B326" s="242"/>
      <c r="C326" s="240" t="s">
        <v>4960</v>
      </c>
      <c r="D326" s="236"/>
      <c r="E326" s="240" t="s">
        <v>3496</v>
      </c>
      <c r="F326" s="238">
        <v>0.0</v>
      </c>
      <c r="G326" s="238" t="s">
        <v>4961</v>
      </c>
      <c r="H326" s="236"/>
      <c r="I326" s="236"/>
      <c r="J326" s="238" t="s">
        <v>4536</v>
      </c>
      <c r="K326" s="242"/>
      <c r="L326" s="237"/>
      <c r="M326" s="237"/>
      <c r="N326" s="237"/>
      <c r="O326" s="237"/>
      <c r="P326" s="237"/>
      <c r="Q326" s="237"/>
      <c r="R326" s="237"/>
      <c r="S326" s="237"/>
      <c r="T326" s="237"/>
      <c r="U326" s="237"/>
      <c r="V326" s="237"/>
      <c r="W326" s="237"/>
      <c r="X326" s="237"/>
      <c r="Y326" s="237"/>
      <c r="Z326" s="237"/>
      <c r="AA326" s="237"/>
      <c r="AB326" s="237"/>
    </row>
    <row r="327">
      <c r="A327" s="238">
        <v>326.0</v>
      </c>
      <c r="B327" s="239" t="s">
        <v>4962</v>
      </c>
      <c r="C327" s="240" t="s">
        <v>4963</v>
      </c>
      <c r="D327" s="236"/>
      <c r="E327" s="240" t="s">
        <v>3496</v>
      </c>
      <c r="F327" s="240" t="s">
        <v>4964</v>
      </c>
      <c r="G327" s="238" t="s">
        <v>4965</v>
      </c>
      <c r="H327" s="236"/>
      <c r="I327" s="236"/>
      <c r="J327" s="238" t="s">
        <v>4583</v>
      </c>
      <c r="K327" s="239" t="s">
        <v>4962</v>
      </c>
      <c r="L327" s="237"/>
      <c r="M327" s="237"/>
      <c r="N327" s="237"/>
      <c r="O327" s="237"/>
      <c r="P327" s="237"/>
      <c r="Q327" s="237"/>
      <c r="R327" s="237"/>
      <c r="S327" s="237"/>
      <c r="T327" s="237"/>
      <c r="U327" s="237"/>
      <c r="V327" s="237"/>
      <c r="W327" s="237"/>
      <c r="X327" s="237"/>
      <c r="Y327" s="237"/>
      <c r="Z327" s="237"/>
      <c r="AA327" s="237"/>
      <c r="AB327" s="237"/>
    </row>
    <row r="328">
      <c r="A328" s="238">
        <v>327.0</v>
      </c>
      <c r="B328" s="242"/>
      <c r="C328" s="240" t="s">
        <v>4966</v>
      </c>
      <c r="D328" s="236"/>
      <c r="E328" s="240" t="s">
        <v>3496</v>
      </c>
      <c r="F328" s="240" t="s">
        <v>4967</v>
      </c>
      <c r="G328" s="238" t="s">
        <v>4968</v>
      </c>
      <c r="H328" s="236"/>
      <c r="I328" s="236"/>
      <c r="J328" s="238" t="s">
        <v>4536</v>
      </c>
      <c r="K328" s="242"/>
      <c r="L328" s="237"/>
      <c r="M328" s="237"/>
      <c r="N328" s="237"/>
      <c r="O328" s="237"/>
      <c r="P328" s="237"/>
      <c r="Q328" s="237"/>
      <c r="R328" s="237"/>
      <c r="S328" s="237"/>
      <c r="T328" s="237"/>
      <c r="U328" s="237"/>
      <c r="V328" s="237"/>
      <c r="W328" s="237"/>
      <c r="X328" s="237"/>
      <c r="Y328" s="237"/>
      <c r="Z328" s="237"/>
      <c r="AA328" s="237"/>
      <c r="AB328" s="237"/>
    </row>
    <row r="329">
      <c r="A329" s="238">
        <v>328.0</v>
      </c>
      <c r="B329" s="239" t="s">
        <v>4969</v>
      </c>
      <c r="C329" s="240" t="s">
        <v>4970</v>
      </c>
      <c r="D329" s="236"/>
      <c r="E329" s="240" t="s">
        <v>3496</v>
      </c>
      <c r="F329" s="240" t="s">
        <v>4971</v>
      </c>
      <c r="G329" s="238" t="s">
        <v>4972</v>
      </c>
      <c r="H329" s="236"/>
      <c r="I329" s="236"/>
      <c r="J329" s="238" t="s">
        <v>4536</v>
      </c>
      <c r="K329" s="239" t="s">
        <v>4969</v>
      </c>
      <c r="L329" s="237"/>
      <c r="M329" s="237"/>
      <c r="N329" s="237"/>
      <c r="O329" s="237"/>
      <c r="P329" s="237"/>
      <c r="Q329" s="237"/>
      <c r="R329" s="237"/>
      <c r="S329" s="237"/>
      <c r="T329" s="237"/>
      <c r="U329" s="237"/>
      <c r="V329" s="237"/>
      <c r="W329" s="237"/>
      <c r="X329" s="237"/>
      <c r="Y329" s="237"/>
      <c r="Z329" s="237"/>
      <c r="AA329" s="237"/>
      <c r="AB329" s="237"/>
    </row>
    <row r="330">
      <c r="A330" s="238">
        <v>329.0</v>
      </c>
      <c r="B330" s="242"/>
      <c r="C330" s="240" t="s">
        <v>4973</v>
      </c>
      <c r="D330" s="236"/>
      <c r="E330" s="240" t="s">
        <v>3496</v>
      </c>
      <c r="F330" s="240" t="s">
        <v>4974</v>
      </c>
      <c r="G330" s="238" t="s">
        <v>4975</v>
      </c>
      <c r="H330" s="236"/>
      <c r="I330" s="236"/>
      <c r="J330" s="238" t="s">
        <v>4536</v>
      </c>
      <c r="K330" s="242"/>
      <c r="L330" s="237"/>
      <c r="M330" s="237"/>
      <c r="N330" s="237"/>
      <c r="O330" s="237"/>
      <c r="P330" s="237"/>
      <c r="Q330" s="237"/>
      <c r="R330" s="237"/>
      <c r="S330" s="237"/>
      <c r="T330" s="237"/>
      <c r="U330" s="237"/>
      <c r="V330" s="237"/>
      <c r="W330" s="237"/>
      <c r="X330" s="237"/>
      <c r="Y330" s="237"/>
      <c r="Z330" s="237"/>
      <c r="AA330" s="237"/>
      <c r="AB330" s="237"/>
    </row>
    <row r="331">
      <c r="A331" s="238">
        <v>330.0</v>
      </c>
      <c r="B331" s="242"/>
      <c r="C331" s="240" t="s">
        <v>4976</v>
      </c>
      <c r="D331" s="236"/>
      <c r="E331" s="240" t="s">
        <v>3496</v>
      </c>
      <c r="F331" s="240" t="s">
        <v>4977</v>
      </c>
      <c r="G331" s="238" t="s">
        <v>4961</v>
      </c>
      <c r="H331" s="236"/>
      <c r="I331" s="236"/>
      <c r="J331" s="238" t="s">
        <v>4536</v>
      </c>
      <c r="K331" s="242"/>
      <c r="L331" s="237"/>
      <c r="M331" s="237"/>
      <c r="N331" s="237"/>
      <c r="O331" s="237"/>
      <c r="P331" s="237"/>
      <c r="Q331" s="237"/>
      <c r="R331" s="237"/>
      <c r="S331" s="237"/>
      <c r="T331" s="237"/>
      <c r="U331" s="237"/>
      <c r="V331" s="237"/>
      <c r="W331" s="237"/>
      <c r="X331" s="237"/>
      <c r="Y331" s="237"/>
      <c r="Z331" s="237"/>
      <c r="AA331" s="237"/>
      <c r="AB331" s="237"/>
    </row>
    <row r="332">
      <c r="A332" s="238">
        <v>331.0</v>
      </c>
      <c r="B332" s="239" t="s">
        <v>4978</v>
      </c>
      <c r="C332" s="240" t="s">
        <v>4979</v>
      </c>
      <c r="D332" s="236"/>
      <c r="E332" s="240" t="s">
        <v>3511</v>
      </c>
      <c r="F332" s="240" t="s">
        <v>4980</v>
      </c>
      <c r="G332" s="238" t="s">
        <v>4981</v>
      </c>
      <c r="H332" s="240" t="s">
        <v>4982</v>
      </c>
      <c r="I332" s="236"/>
      <c r="J332" s="238" t="s">
        <v>4536</v>
      </c>
      <c r="K332" s="239" t="s">
        <v>4978</v>
      </c>
      <c r="L332" s="237"/>
      <c r="M332" s="237"/>
      <c r="N332" s="237"/>
      <c r="O332" s="237"/>
      <c r="P332" s="237"/>
      <c r="Q332" s="237"/>
      <c r="R332" s="237"/>
      <c r="S332" s="237"/>
      <c r="T332" s="237"/>
      <c r="U332" s="237"/>
      <c r="V332" s="237"/>
      <c r="W332" s="237"/>
      <c r="X332" s="237"/>
      <c r="Y332" s="237"/>
      <c r="Z332" s="237"/>
      <c r="AA332" s="237"/>
      <c r="AB332" s="237"/>
    </row>
    <row r="333">
      <c r="A333" s="238">
        <v>332.0</v>
      </c>
      <c r="B333" s="239" t="s">
        <v>4983</v>
      </c>
      <c r="C333" s="240" t="s">
        <v>4984</v>
      </c>
      <c r="D333" s="236"/>
      <c r="E333" s="240" t="s">
        <v>3511</v>
      </c>
      <c r="F333" s="240" t="s">
        <v>4985</v>
      </c>
      <c r="G333" s="238" t="s">
        <v>4986</v>
      </c>
      <c r="H333" s="240" t="s">
        <v>4987</v>
      </c>
      <c r="I333" s="236"/>
      <c r="J333" s="238" t="s">
        <v>4536</v>
      </c>
      <c r="K333" s="239" t="s">
        <v>4983</v>
      </c>
      <c r="L333" s="237"/>
      <c r="M333" s="237"/>
      <c r="N333" s="237"/>
      <c r="O333" s="237"/>
      <c r="P333" s="237"/>
      <c r="Q333" s="237"/>
      <c r="R333" s="237"/>
      <c r="S333" s="237"/>
      <c r="T333" s="237"/>
      <c r="U333" s="237"/>
      <c r="V333" s="237"/>
      <c r="W333" s="237"/>
      <c r="X333" s="237"/>
      <c r="Y333" s="237"/>
      <c r="Z333" s="237"/>
      <c r="AA333" s="237"/>
      <c r="AB333" s="237"/>
    </row>
    <row r="334">
      <c r="A334" s="238">
        <v>333.0</v>
      </c>
      <c r="B334" s="239" t="s">
        <v>4988</v>
      </c>
      <c r="C334" s="240" t="s">
        <v>4989</v>
      </c>
      <c r="D334" s="236"/>
      <c r="E334" s="240" t="s">
        <v>3511</v>
      </c>
      <c r="F334" s="240" t="s">
        <v>4990</v>
      </c>
      <c r="G334" s="238" t="s">
        <v>4991</v>
      </c>
      <c r="H334" s="240" t="s">
        <v>4992</v>
      </c>
      <c r="I334" s="236"/>
      <c r="J334" s="238" t="s">
        <v>4536</v>
      </c>
      <c r="K334" s="239" t="s">
        <v>4988</v>
      </c>
      <c r="L334" s="237"/>
      <c r="M334" s="237"/>
      <c r="N334" s="237"/>
      <c r="O334" s="237"/>
      <c r="P334" s="237"/>
      <c r="Q334" s="237"/>
      <c r="R334" s="237"/>
      <c r="S334" s="237"/>
      <c r="T334" s="237"/>
      <c r="U334" s="237"/>
      <c r="V334" s="237"/>
      <c r="W334" s="237"/>
      <c r="X334" s="237"/>
      <c r="Y334" s="237"/>
      <c r="Z334" s="237"/>
      <c r="AA334" s="237"/>
      <c r="AB334" s="237"/>
    </row>
    <row r="335">
      <c r="A335" s="238">
        <v>334.0</v>
      </c>
      <c r="B335" s="239" t="s">
        <v>4993</v>
      </c>
      <c r="C335" s="240" t="s">
        <v>4994</v>
      </c>
      <c r="D335" s="236"/>
      <c r="E335" s="240" t="s">
        <v>3511</v>
      </c>
      <c r="F335" s="240" t="s">
        <v>4995</v>
      </c>
      <c r="G335" s="238" t="s">
        <v>4996</v>
      </c>
      <c r="H335" s="240" t="s">
        <v>4997</v>
      </c>
      <c r="I335" s="236"/>
      <c r="J335" s="238" t="s">
        <v>4536</v>
      </c>
      <c r="K335" s="239" t="s">
        <v>4993</v>
      </c>
      <c r="L335" s="237"/>
      <c r="M335" s="237"/>
      <c r="N335" s="237"/>
      <c r="O335" s="237"/>
      <c r="P335" s="237"/>
      <c r="Q335" s="237"/>
      <c r="R335" s="237"/>
      <c r="S335" s="237"/>
      <c r="T335" s="237"/>
      <c r="U335" s="237"/>
      <c r="V335" s="237"/>
      <c r="W335" s="237"/>
      <c r="X335" s="237"/>
      <c r="Y335" s="237"/>
      <c r="Z335" s="237"/>
      <c r="AA335" s="237"/>
      <c r="AB335" s="237"/>
    </row>
    <row r="336">
      <c r="A336" s="238">
        <v>335.0</v>
      </c>
      <c r="B336" s="242"/>
      <c r="C336" s="240" t="s">
        <v>4998</v>
      </c>
      <c r="D336" s="236"/>
      <c r="E336" s="240" t="s">
        <v>3511</v>
      </c>
      <c r="F336" s="238">
        <v>0.0</v>
      </c>
      <c r="G336" s="238" t="s">
        <v>4999</v>
      </c>
      <c r="H336" s="240" t="s">
        <v>5000</v>
      </c>
      <c r="I336" s="236"/>
      <c r="J336" s="238" t="s">
        <v>4536</v>
      </c>
      <c r="K336" s="242"/>
      <c r="L336" s="237"/>
      <c r="M336" s="237"/>
      <c r="N336" s="237"/>
      <c r="O336" s="237"/>
      <c r="P336" s="237"/>
      <c r="Q336" s="237"/>
      <c r="R336" s="237"/>
      <c r="S336" s="237"/>
      <c r="T336" s="237"/>
      <c r="U336" s="237"/>
      <c r="V336" s="237"/>
      <c r="W336" s="237"/>
      <c r="X336" s="237"/>
      <c r="Y336" s="237"/>
      <c r="Z336" s="237"/>
      <c r="AA336" s="237"/>
      <c r="AB336" s="237"/>
    </row>
    <row r="337">
      <c r="A337" s="238">
        <v>336.0</v>
      </c>
      <c r="B337" s="239" t="s">
        <v>5001</v>
      </c>
      <c r="C337" s="240" t="s">
        <v>5002</v>
      </c>
      <c r="D337" s="236"/>
      <c r="E337" s="240" t="s">
        <v>3511</v>
      </c>
      <c r="F337" s="240" t="s">
        <v>5003</v>
      </c>
      <c r="G337" s="238" t="s">
        <v>5004</v>
      </c>
      <c r="H337" s="240" t="s">
        <v>5005</v>
      </c>
      <c r="I337" s="236"/>
      <c r="J337" s="238" t="s">
        <v>4583</v>
      </c>
      <c r="K337" s="239" t="s">
        <v>5001</v>
      </c>
      <c r="L337" s="237"/>
      <c r="M337" s="237"/>
      <c r="N337" s="237"/>
      <c r="O337" s="237"/>
      <c r="P337" s="237"/>
      <c r="Q337" s="237"/>
      <c r="R337" s="237"/>
      <c r="S337" s="237"/>
      <c r="T337" s="237"/>
      <c r="U337" s="237"/>
      <c r="V337" s="237"/>
      <c r="W337" s="237"/>
      <c r="X337" s="237"/>
      <c r="Y337" s="237"/>
      <c r="Z337" s="237"/>
      <c r="AA337" s="237"/>
      <c r="AB337" s="237"/>
    </row>
    <row r="338">
      <c r="A338" s="238">
        <v>337.0</v>
      </c>
      <c r="B338" s="239" t="s">
        <v>5006</v>
      </c>
      <c r="C338" s="240" t="s">
        <v>5007</v>
      </c>
      <c r="D338" s="236"/>
      <c r="E338" s="240" t="s">
        <v>3511</v>
      </c>
      <c r="F338" s="240" t="s">
        <v>5008</v>
      </c>
      <c r="G338" s="238" t="s">
        <v>5009</v>
      </c>
      <c r="H338" s="240" t="s">
        <v>5010</v>
      </c>
      <c r="I338" s="236"/>
      <c r="J338" s="238" t="s">
        <v>3499</v>
      </c>
      <c r="K338" s="239" t="s">
        <v>5006</v>
      </c>
      <c r="L338" s="237"/>
      <c r="M338" s="237"/>
      <c r="N338" s="237"/>
      <c r="O338" s="237"/>
      <c r="P338" s="237"/>
      <c r="Q338" s="237"/>
      <c r="R338" s="237"/>
      <c r="S338" s="237"/>
      <c r="T338" s="237"/>
      <c r="U338" s="237"/>
      <c r="V338" s="237"/>
      <c r="W338" s="237"/>
      <c r="X338" s="237"/>
      <c r="Y338" s="237"/>
      <c r="Z338" s="237"/>
      <c r="AA338" s="237"/>
      <c r="AB338" s="237"/>
    </row>
    <row r="339">
      <c r="A339" s="238">
        <v>338.0</v>
      </c>
      <c r="B339" s="239" t="s">
        <v>5011</v>
      </c>
      <c r="C339" s="240" t="s">
        <v>5012</v>
      </c>
      <c r="D339" s="236"/>
      <c r="E339" s="240" t="s">
        <v>3511</v>
      </c>
      <c r="F339" s="240" t="s">
        <v>5013</v>
      </c>
      <c r="G339" s="238" t="s">
        <v>4731</v>
      </c>
      <c r="H339" s="240" t="s">
        <v>5014</v>
      </c>
      <c r="I339" s="236"/>
      <c r="J339" s="238" t="s">
        <v>3499</v>
      </c>
      <c r="K339" s="239" t="s">
        <v>5011</v>
      </c>
      <c r="L339" s="237"/>
      <c r="M339" s="237"/>
      <c r="N339" s="237"/>
      <c r="O339" s="237"/>
      <c r="P339" s="237"/>
      <c r="Q339" s="237"/>
      <c r="R339" s="237"/>
      <c r="S339" s="237"/>
      <c r="T339" s="237"/>
      <c r="U339" s="237"/>
      <c r="V339" s="237"/>
      <c r="W339" s="237"/>
      <c r="X339" s="237"/>
      <c r="Y339" s="237"/>
      <c r="Z339" s="237"/>
      <c r="AA339" s="237"/>
      <c r="AB339" s="237"/>
    </row>
    <row r="340">
      <c r="A340" s="238">
        <v>339.0</v>
      </c>
      <c r="B340" s="239" t="s">
        <v>5015</v>
      </c>
      <c r="C340" s="240" t="s">
        <v>5016</v>
      </c>
      <c r="D340" s="236"/>
      <c r="E340" s="240" t="s">
        <v>3511</v>
      </c>
      <c r="F340" s="240" t="s">
        <v>5017</v>
      </c>
      <c r="G340" s="238" t="s">
        <v>5018</v>
      </c>
      <c r="H340" s="240" t="s">
        <v>5019</v>
      </c>
      <c r="I340" s="236"/>
      <c r="J340" s="238" t="s">
        <v>3499</v>
      </c>
      <c r="K340" s="239" t="s">
        <v>5015</v>
      </c>
      <c r="L340" s="237"/>
      <c r="M340" s="237"/>
      <c r="N340" s="237"/>
      <c r="O340" s="237"/>
      <c r="P340" s="237"/>
      <c r="Q340" s="237"/>
      <c r="R340" s="237"/>
      <c r="S340" s="237"/>
      <c r="T340" s="237"/>
      <c r="U340" s="237"/>
      <c r="V340" s="237"/>
      <c r="W340" s="237"/>
      <c r="X340" s="237"/>
      <c r="Y340" s="237"/>
      <c r="Z340" s="237"/>
      <c r="AA340" s="237"/>
      <c r="AB340" s="237"/>
    </row>
    <row r="341">
      <c r="A341" s="238">
        <v>340.0</v>
      </c>
      <c r="B341" s="239" t="s">
        <v>5020</v>
      </c>
      <c r="C341" s="240" t="s">
        <v>5021</v>
      </c>
      <c r="D341" s="236"/>
      <c r="E341" s="240" t="s">
        <v>3511</v>
      </c>
      <c r="F341" s="240" t="s">
        <v>5022</v>
      </c>
      <c r="G341" s="238" t="s">
        <v>5023</v>
      </c>
      <c r="H341" s="240" t="s">
        <v>5024</v>
      </c>
      <c r="I341" s="236"/>
      <c r="J341" s="238" t="s">
        <v>3499</v>
      </c>
      <c r="K341" s="239" t="s">
        <v>5020</v>
      </c>
      <c r="L341" s="237"/>
      <c r="M341" s="237"/>
      <c r="N341" s="237"/>
      <c r="O341" s="237"/>
      <c r="P341" s="237"/>
      <c r="Q341" s="237"/>
      <c r="R341" s="237"/>
      <c r="S341" s="237"/>
      <c r="T341" s="237"/>
      <c r="U341" s="237"/>
      <c r="V341" s="237"/>
      <c r="W341" s="237"/>
      <c r="X341" s="237"/>
      <c r="Y341" s="237"/>
      <c r="Z341" s="237"/>
      <c r="AA341" s="237"/>
      <c r="AB341" s="237"/>
    </row>
    <row r="342">
      <c r="A342" s="238">
        <v>341.0</v>
      </c>
      <c r="B342" s="239" t="s">
        <v>3623</v>
      </c>
      <c r="C342" s="240" t="s">
        <v>5025</v>
      </c>
      <c r="D342" s="236"/>
      <c r="E342" s="240" t="s">
        <v>3511</v>
      </c>
      <c r="F342" s="240" t="s">
        <v>3625</v>
      </c>
      <c r="G342" s="238" t="s">
        <v>3626</v>
      </c>
      <c r="H342" s="240" t="s">
        <v>5026</v>
      </c>
      <c r="I342" s="236"/>
      <c r="J342" s="238" t="s">
        <v>3499</v>
      </c>
      <c r="K342" s="239" t="s">
        <v>3623</v>
      </c>
      <c r="L342" s="237"/>
      <c r="M342" s="237"/>
      <c r="N342" s="237"/>
      <c r="O342" s="237"/>
      <c r="P342" s="237"/>
      <c r="Q342" s="237"/>
      <c r="R342" s="237"/>
      <c r="S342" s="237"/>
      <c r="T342" s="237"/>
      <c r="U342" s="237"/>
      <c r="V342" s="237"/>
      <c r="W342" s="237"/>
      <c r="X342" s="237"/>
      <c r="Y342" s="237"/>
      <c r="Z342" s="237"/>
      <c r="AA342" s="237"/>
      <c r="AB342" s="237"/>
    </row>
    <row r="343">
      <c r="A343" s="238">
        <v>342.0</v>
      </c>
      <c r="B343" s="239" t="s">
        <v>5027</v>
      </c>
      <c r="C343" s="240" t="s">
        <v>5028</v>
      </c>
      <c r="D343" s="236"/>
      <c r="E343" s="240" t="s">
        <v>3511</v>
      </c>
      <c r="F343" s="240" t="s">
        <v>5029</v>
      </c>
      <c r="G343" s="238" t="s">
        <v>5030</v>
      </c>
      <c r="H343" s="240" t="s">
        <v>5031</v>
      </c>
      <c r="I343" s="236"/>
      <c r="J343" s="238" t="s">
        <v>5032</v>
      </c>
      <c r="K343" s="239" t="s">
        <v>5027</v>
      </c>
      <c r="L343" s="237"/>
      <c r="M343" s="237"/>
      <c r="N343" s="237"/>
      <c r="O343" s="237"/>
      <c r="P343" s="237"/>
      <c r="Q343" s="237"/>
      <c r="R343" s="237"/>
      <c r="S343" s="237"/>
      <c r="T343" s="237"/>
      <c r="U343" s="237"/>
      <c r="V343" s="237"/>
      <c r="W343" s="237"/>
      <c r="X343" s="237"/>
      <c r="Y343" s="237"/>
      <c r="Z343" s="237"/>
      <c r="AA343" s="237"/>
      <c r="AB343" s="237"/>
    </row>
    <row r="344">
      <c r="A344" s="238">
        <v>343.0</v>
      </c>
      <c r="B344" s="239" t="s">
        <v>5033</v>
      </c>
      <c r="C344" s="240" t="s">
        <v>5034</v>
      </c>
      <c r="D344" s="236"/>
      <c r="E344" s="240" t="s">
        <v>3511</v>
      </c>
      <c r="F344" s="240" t="s">
        <v>2250</v>
      </c>
      <c r="G344" s="238" t="s">
        <v>5035</v>
      </c>
      <c r="H344" s="240" t="s">
        <v>5036</v>
      </c>
      <c r="I344" s="236"/>
      <c r="J344" s="238" t="s">
        <v>5032</v>
      </c>
      <c r="K344" s="239" t="s">
        <v>5033</v>
      </c>
      <c r="L344" s="237"/>
      <c r="M344" s="237"/>
      <c r="N344" s="237"/>
      <c r="O344" s="237"/>
      <c r="P344" s="237"/>
      <c r="Q344" s="237"/>
      <c r="R344" s="237"/>
      <c r="S344" s="237"/>
      <c r="T344" s="237"/>
      <c r="U344" s="237"/>
      <c r="V344" s="237"/>
      <c r="W344" s="237"/>
      <c r="X344" s="237"/>
      <c r="Y344" s="237"/>
      <c r="Z344" s="237"/>
      <c r="AA344" s="237"/>
      <c r="AB344" s="237"/>
    </row>
    <row r="345">
      <c r="A345" s="238">
        <v>344.0</v>
      </c>
      <c r="B345" s="239" t="s">
        <v>5037</v>
      </c>
      <c r="C345" s="240" t="s">
        <v>5038</v>
      </c>
      <c r="D345" s="236"/>
      <c r="E345" s="240" t="s">
        <v>3511</v>
      </c>
      <c r="F345" s="240" t="s">
        <v>2251</v>
      </c>
      <c r="G345" s="238" t="s">
        <v>5039</v>
      </c>
      <c r="H345" s="241" t="s">
        <v>5040</v>
      </c>
      <c r="I345" s="236"/>
      <c r="J345" s="238" t="s">
        <v>5032</v>
      </c>
      <c r="K345" s="239" t="s">
        <v>5037</v>
      </c>
      <c r="L345" s="237"/>
      <c r="M345" s="237"/>
      <c r="N345" s="237"/>
      <c r="O345" s="237"/>
      <c r="P345" s="237"/>
      <c r="Q345" s="237"/>
      <c r="R345" s="237"/>
      <c r="S345" s="237"/>
      <c r="T345" s="237"/>
      <c r="U345" s="237"/>
      <c r="V345" s="237"/>
      <c r="W345" s="237"/>
      <c r="X345" s="237"/>
      <c r="Y345" s="237"/>
      <c r="Z345" s="237"/>
      <c r="AA345" s="237"/>
      <c r="AB345" s="237"/>
    </row>
    <row r="346">
      <c r="A346" s="238">
        <v>345.0</v>
      </c>
      <c r="B346" s="242"/>
      <c r="C346" s="240" t="s">
        <v>5041</v>
      </c>
      <c r="D346" s="236"/>
      <c r="E346" s="240" t="s">
        <v>3511</v>
      </c>
      <c r="F346" s="238" t="s">
        <v>5032</v>
      </c>
      <c r="G346" s="238" t="s">
        <v>5042</v>
      </c>
      <c r="H346" s="240" t="s">
        <v>5043</v>
      </c>
      <c r="I346" s="236"/>
      <c r="J346" s="238" t="s">
        <v>5032</v>
      </c>
      <c r="K346" s="242"/>
      <c r="L346" s="237"/>
      <c r="M346" s="237"/>
      <c r="N346" s="237"/>
      <c r="O346" s="237"/>
      <c r="P346" s="237"/>
      <c r="Q346" s="237"/>
      <c r="R346" s="237"/>
      <c r="S346" s="237"/>
      <c r="T346" s="237"/>
      <c r="U346" s="237"/>
      <c r="V346" s="237"/>
      <c r="W346" s="237"/>
      <c r="X346" s="237"/>
      <c r="Y346" s="237"/>
      <c r="Z346" s="237"/>
      <c r="AA346" s="237"/>
      <c r="AB346" s="237"/>
    </row>
    <row r="347">
      <c r="A347" s="238">
        <v>346.0</v>
      </c>
      <c r="B347" s="239" t="s">
        <v>5044</v>
      </c>
      <c r="C347" s="240" t="s">
        <v>5045</v>
      </c>
      <c r="D347" s="236"/>
      <c r="E347" s="240" t="s">
        <v>3511</v>
      </c>
      <c r="F347" s="240" t="s">
        <v>2231</v>
      </c>
      <c r="G347" s="238" t="s">
        <v>5046</v>
      </c>
      <c r="H347" s="240" t="s">
        <v>5047</v>
      </c>
      <c r="I347" s="236"/>
      <c r="J347" s="238" t="s">
        <v>4222</v>
      </c>
      <c r="K347" s="239" t="s">
        <v>5044</v>
      </c>
      <c r="L347" s="237"/>
      <c r="M347" s="237"/>
      <c r="N347" s="237"/>
      <c r="O347" s="237"/>
      <c r="P347" s="237"/>
      <c r="Q347" s="237"/>
      <c r="R347" s="237"/>
      <c r="S347" s="237"/>
      <c r="T347" s="237"/>
      <c r="U347" s="237"/>
      <c r="V347" s="237"/>
      <c r="W347" s="237"/>
      <c r="X347" s="237"/>
      <c r="Y347" s="237"/>
      <c r="Z347" s="237"/>
      <c r="AA347" s="237"/>
      <c r="AB347" s="237"/>
    </row>
    <row r="348">
      <c r="A348" s="238">
        <v>347.0</v>
      </c>
      <c r="B348" s="239" t="s">
        <v>5048</v>
      </c>
      <c r="C348" s="240" t="s">
        <v>5049</v>
      </c>
      <c r="D348" s="236"/>
      <c r="E348" s="240" t="s">
        <v>3511</v>
      </c>
      <c r="F348" s="240" t="s">
        <v>5050</v>
      </c>
      <c r="G348" s="238" t="s">
        <v>5051</v>
      </c>
      <c r="H348" s="240" t="s">
        <v>5052</v>
      </c>
      <c r="I348" s="236"/>
      <c r="J348" s="238" t="s">
        <v>5032</v>
      </c>
      <c r="K348" s="239" t="s">
        <v>5048</v>
      </c>
      <c r="L348" s="237"/>
      <c r="M348" s="237"/>
      <c r="N348" s="237"/>
      <c r="O348" s="237"/>
      <c r="P348" s="237"/>
      <c r="Q348" s="237"/>
      <c r="R348" s="237"/>
      <c r="S348" s="237"/>
      <c r="T348" s="237"/>
      <c r="U348" s="237"/>
      <c r="V348" s="237"/>
      <c r="W348" s="237"/>
      <c r="X348" s="237"/>
      <c r="Y348" s="237"/>
      <c r="Z348" s="237"/>
      <c r="AA348" s="237"/>
      <c r="AB348" s="237"/>
    </row>
    <row r="349">
      <c r="A349" s="238">
        <v>348.0</v>
      </c>
      <c r="B349" s="239" t="s">
        <v>5053</v>
      </c>
      <c r="C349" s="240" t="s">
        <v>5054</v>
      </c>
      <c r="D349" s="236"/>
      <c r="E349" s="240" t="s">
        <v>3511</v>
      </c>
      <c r="F349" s="240" t="s">
        <v>5055</v>
      </c>
      <c r="G349" s="238" t="s">
        <v>5056</v>
      </c>
      <c r="H349" s="241" t="s">
        <v>5057</v>
      </c>
      <c r="I349" s="236"/>
      <c r="J349" s="238" t="s">
        <v>5032</v>
      </c>
      <c r="K349" s="239" t="s">
        <v>5053</v>
      </c>
      <c r="L349" s="237"/>
      <c r="M349" s="237"/>
      <c r="N349" s="237"/>
      <c r="O349" s="237"/>
      <c r="P349" s="237"/>
      <c r="Q349" s="237"/>
      <c r="R349" s="237"/>
      <c r="S349" s="237"/>
      <c r="T349" s="237"/>
      <c r="U349" s="237"/>
      <c r="V349" s="237"/>
      <c r="W349" s="237"/>
      <c r="X349" s="237"/>
      <c r="Y349" s="237"/>
      <c r="Z349" s="237"/>
      <c r="AA349" s="237"/>
      <c r="AB349" s="237"/>
    </row>
    <row r="350">
      <c r="A350" s="238">
        <v>349.0</v>
      </c>
      <c r="B350" s="239" t="s">
        <v>5058</v>
      </c>
      <c r="C350" s="240" t="s">
        <v>5059</v>
      </c>
      <c r="D350" s="236"/>
      <c r="E350" s="240" t="s">
        <v>3511</v>
      </c>
      <c r="F350" s="240" t="s">
        <v>2224</v>
      </c>
      <c r="G350" s="238" t="s">
        <v>5060</v>
      </c>
      <c r="H350" s="241" t="s">
        <v>5061</v>
      </c>
      <c r="I350" s="236"/>
      <c r="J350" s="238" t="s">
        <v>5032</v>
      </c>
      <c r="K350" s="239" t="s">
        <v>5058</v>
      </c>
      <c r="L350" s="237"/>
      <c r="M350" s="237"/>
      <c r="N350" s="237"/>
      <c r="O350" s="237"/>
      <c r="P350" s="237"/>
      <c r="Q350" s="237"/>
      <c r="R350" s="237"/>
      <c r="S350" s="237"/>
      <c r="T350" s="237"/>
      <c r="U350" s="237"/>
      <c r="V350" s="237"/>
      <c r="W350" s="237"/>
      <c r="X350" s="237"/>
      <c r="Y350" s="237"/>
      <c r="Z350" s="237"/>
      <c r="AA350" s="237"/>
      <c r="AB350" s="237"/>
    </row>
    <row r="351">
      <c r="A351" s="238">
        <v>350.0</v>
      </c>
      <c r="B351" s="239" t="s">
        <v>5062</v>
      </c>
      <c r="C351" s="240" t="s">
        <v>5063</v>
      </c>
      <c r="D351" s="236"/>
      <c r="E351" s="240" t="s">
        <v>3511</v>
      </c>
      <c r="F351" s="240" t="s">
        <v>5064</v>
      </c>
      <c r="G351" s="238" t="s">
        <v>5065</v>
      </c>
      <c r="H351" s="241" t="s">
        <v>5066</v>
      </c>
      <c r="I351" s="236"/>
      <c r="J351" s="238" t="s">
        <v>5032</v>
      </c>
      <c r="K351" s="239" t="s">
        <v>5062</v>
      </c>
      <c r="L351" s="237"/>
      <c r="M351" s="237"/>
      <c r="N351" s="237"/>
      <c r="O351" s="237"/>
      <c r="P351" s="237"/>
      <c r="Q351" s="237"/>
      <c r="R351" s="237"/>
      <c r="S351" s="237"/>
      <c r="T351" s="237"/>
      <c r="U351" s="237"/>
      <c r="V351" s="237"/>
      <c r="W351" s="237"/>
      <c r="X351" s="237"/>
      <c r="Y351" s="237"/>
      <c r="Z351" s="237"/>
      <c r="AA351" s="237"/>
      <c r="AB351" s="237"/>
    </row>
    <row r="352">
      <c r="A352" s="238">
        <v>351.0</v>
      </c>
      <c r="B352" s="239" t="s">
        <v>5067</v>
      </c>
      <c r="C352" s="240" t="s">
        <v>5068</v>
      </c>
      <c r="D352" s="236"/>
      <c r="E352" s="240" t="s">
        <v>3511</v>
      </c>
      <c r="F352" s="240" t="s">
        <v>2227</v>
      </c>
      <c r="G352" s="238" t="s">
        <v>5069</v>
      </c>
      <c r="H352" s="240" t="s">
        <v>5070</v>
      </c>
      <c r="I352" s="236"/>
      <c r="J352" s="238" t="s">
        <v>5032</v>
      </c>
      <c r="K352" s="239" t="s">
        <v>5067</v>
      </c>
      <c r="L352" s="237"/>
      <c r="M352" s="237"/>
      <c r="N352" s="237"/>
      <c r="O352" s="237"/>
      <c r="P352" s="237"/>
      <c r="Q352" s="237"/>
      <c r="R352" s="237"/>
      <c r="S352" s="237"/>
      <c r="T352" s="237"/>
      <c r="U352" s="237"/>
      <c r="V352" s="237"/>
      <c r="W352" s="237"/>
      <c r="X352" s="237"/>
      <c r="Y352" s="237"/>
      <c r="Z352" s="237"/>
      <c r="AA352" s="237"/>
      <c r="AB352" s="237"/>
    </row>
    <row r="353">
      <c r="A353" s="238">
        <v>352.0</v>
      </c>
      <c r="B353" s="239" t="s">
        <v>5071</v>
      </c>
      <c r="C353" s="240" t="s">
        <v>5072</v>
      </c>
      <c r="D353" s="236"/>
      <c r="E353" s="240" t="s">
        <v>3511</v>
      </c>
      <c r="F353" s="240" t="s">
        <v>2228</v>
      </c>
      <c r="G353" s="238" t="s">
        <v>5073</v>
      </c>
      <c r="H353" s="240" t="s">
        <v>5074</v>
      </c>
      <c r="I353" s="236"/>
      <c r="J353" s="238" t="s">
        <v>5032</v>
      </c>
      <c r="K353" s="239" t="s">
        <v>5071</v>
      </c>
      <c r="L353" s="237"/>
      <c r="M353" s="237"/>
      <c r="N353" s="237"/>
      <c r="O353" s="237"/>
      <c r="P353" s="237"/>
      <c r="Q353" s="237"/>
      <c r="R353" s="237"/>
      <c r="S353" s="237"/>
      <c r="T353" s="237"/>
      <c r="U353" s="237"/>
      <c r="V353" s="237"/>
      <c r="W353" s="237"/>
      <c r="X353" s="237"/>
      <c r="Y353" s="237"/>
      <c r="Z353" s="237"/>
      <c r="AA353" s="237"/>
      <c r="AB353" s="237"/>
    </row>
    <row r="354">
      <c r="A354" s="238">
        <v>353.0</v>
      </c>
      <c r="B354" s="239" t="s">
        <v>5075</v>
      </c>
      <c r="C354" s="240" t="s">
        <v>5076</v>
      </c>
      <c r="D354" s="236"/>
      <c r="E354" s="240" t="s">
        <v>3511</v>
      </c>
      <c r="F354" s="240" t="s">
        <v>2226</v>
      </c>
      <c r="G354" s="238" t="s">
        <v>5077</v>
      </c>
      <c r="H354" s="241" t="s">
        <v>5078</v>
      </c>
      <c r="I354" s="236"/>
      <c r="J354" s="238" t="s">
        <v>5032</v>
      </c>
      <c r="K354" s="239" t="s">
        <v>5075</v>
      </c>
      <c r="L354" s="237"/>
      <c r="M354" s="237"/>
      <c r="N354" s="237"/>
      <c r="O354" s="237"/>
      <c r="P354" s="237"/>
      <c r="Q354" s="237"/>
      <c r="R354" s="237"/>
      <c r="S354" s="237"/>
      <c r="T354" s="237"/>
      <c r="U354" s="237"/>
      <c r="V354" s="237"/>
      <c r="W354" s="237"/>
      <c r="X354" s="237"/>
      <c r="Y354" s="237"/>
      <c r="Z354" s="237"/>
      <c r="AA354" s="237"/>
      <c r="AB354" s="237"/>
    </row>
    <row r="355">
      <c r="A355" s="238">
        <v>354.0</v>
      </c>
      <c r="B355" s="239" t="s">
        <v>5079</v>
      </c>
      <c r="C355" s="240" t="s">
        <v>5080</v>
      </c>
      <c r="D355" s="236"/>
      <c r="E355" s="240" t="s">
        <v>3511</v>
      </c>
      <c r="F355" s="240" t="s">
        <v>2225</v>
      </c>
      <c r="G355" s="238" t="s">
        <v>5081</v>
      </c>
      <c r="H355" s="240" t="s">
        <v>5082</v>
      </c>
      <c r="I355" s="236"/>
      <c r="J355" s="238" t="s">
        <v>5032</v>
      </c>
      <c r="K355" s="239" t="s">
        <v>5079</v>
      </c>
      <c r="L355" s="237"/>
      <c r="M355" s="237"/>
      <c r="N355" s="237"/>
      <c r="O355" s="237"/>
      <c r="P355" s="237"/>
      <c r="Q355" s="237"/>
      <c r="R355" s="237"/>
      <c r="S355" s="237"/>
      <c r="T355" s="237"/>
      <c r="U355" s="237"/>
      <c r="V355" s="237"/>
      <c r="W355" s="237"/>
      <c r="X355" s="237"/>
      <c r="Y355" s="237"/>
      <c r="Z355" s="237"/>
      <c r="AA355" s="237"/>
      <c r="AB355" s="237"/>
    </row>
    <row r="356">
      <c r="A356" s="238">
        <v>355.0</v>
      </c>
      <c r="B356" s="242"/>
      <c r="C356" s="240" t="s">
        <v>5083</v>
      </c>
      <c r="D356" s="236"/>
      <c r="E356" s="240" t="s">
        <v>3511</v>
      </c>
      <c r="F356" s="238" t="s">
        <v>5032</v>
      </c>
      <c r="G356" s="238" t="s">
        <v>5084</v>
      </c>
      <c r="H356" s="240" t="s">
        <v>5085</v>
      </c>
      <c r="I356" s="236"/>
      <c r="J356" s="238" t="s">
        <v>5032</v>
      </c>
      <c r="K356" s="242"/>
      <c r="L356" s="237"/>
      <c r="M356" s="237"/>
      <c r="N356" s="237"/>
      <c r="O356" s="237"/>
      <c r="P356" s="237"/>
      <c r="Q356" s="237"/>
      <c r="R356" s="237"/>
      <c r="S356" s="237"/>
      <c r="T356" s="237"/>
      <c r="U356" s="237"/>
      <c r="V356" s="237"/>
      <c r="W356" s="237"/>
      <c r="X356" s="237"/>
      <c r="Y356" s="237"/>
      <c r="Z356" s="237"/>
      <c r="AA356" s="237"/>
      <c r="AB356" s="237"/>
    </row>
    <row r="357">
      <c r="A357" s="238">
        <v>356.0</v>
      </c>
      <c r="B357" s="242"/>
      <c r="C357" s="240" t="s">
        <v>5086</v>
      </c>
      <c r="D357" s="236"/>
      <c r="E357" s="240" t="s">
        <v>3511</v>
      </c>
      <c r="F357" s="240" t="s">
        <v>5087</v>
      </c>
      <c r="G357" s="238" t="s">
        <v>5088</v>
      </c>
      <c r="H357" s="240" t="s">
        <v>5089</v>
      </c>
      <c r="I357" s="236"/>
      <c r="J357" s="238" t="s">
        <v>4222</v>
      </c>
      <c r="K357" s="242"/>
      <c r="L357" s="237"/>
      <c r="M357" s="237"/>
      <c r="N357" s="237"/>
      <c r="O357" s="237"/>
      <c r="P357" s="237"/>
      <c r="Q357" s="237"/>
      <c r="R357" s="237"/>
      <c r="S357" s="237"/>
      <c r="T357" s="237"/>
      <c r="U357" s="237"/>
      <c r="V357" s="237"/>
      <c r="W357" s="237"/>
      <c r="X357" s="237"/>
      <c r="Y357" s="237"/>
      <c r="Z357" s="237"/>
      <c r="AA357" s="237"/>
      <c r="AB357" s="237"/>
    </row>
    <row r="358">
      <c r="A358" s="238">
        <v>357.0</v>
      </c>
      <c r="B358" s="239" t="s">
        <v>5090</v>
      </c>
      <c r="C358" s="240" t="s">
        <v>5091</v>
      </c>
      <c r="D358" s="236"/>
      <c r="E358" s="240" t="s">
        <v>3511</v>
      </c>
      <c r="F358" s="240" t="s">
        <v>5092</v>
      </c>
      <c r="G358" s="238" t="s">
        <v>5093</v>
      </c>
      <c r="H358" s="241" t="s">
        <v>5094</v>
      </c>
      <c r="I358" s="236"/>
      <c r="J358" s="238" t="s">
        <v>5032</v>
      </c>
      <c r="K358" s="239" t="s">
        <v>5090</v>
      </c>
      <c r="L358" s="237"/>
      <c r="M358" s="237"/>
      <c r="N358" s="237"/>
      <c r="O358" s="237"/>
      <c r="P358" s="237"/>
      <c r="Q358" s="237"/>
      <c r="R358" s="237"/>
      <c r="S358" s="237"/>
      <c r="T358" s="237"/>
      <c r="U358" s="237"/>
      <c r="V358" s="237"/>
      <c r="W358" s="237"/>
      <c r="X358" s="237"/>
      <c r="Y358" s="237"/>
      <c r="Z358" s="237"/>
      <c r="AA358" s="237"/>
      <c r="AB358" s="237"/>
    </row>
    <row r="359">
      <c r="A359" s="238">
        <v>358.0</v>
      </c>
      <c r="B359" s="239" t="s">
        <v>5095</v>
      </c>
      <c r="C359" s="240" t="s">
        <v>5096</v>
      </c>
      <c r="D359" s="236"/>
      <c r="E359" s="240" t="s">
        <v>3511</v>
      </c>
      <c r="F359" s="240" t="s">
        <v>5097</v>
      </c>
      <c r="G359" s="238" t="s">
        <v>5098</v>
      </c>
      <c r="H359" s="240" t="s">
        <v>5099</v>
      </c>
      <c r="I359" s="236"/>
      <c r="J359" s="238" t="s">
        <v>5032</v>
      </c>
      <c r="K359" s="239" t="s">
        <v>5095</v>
      </c>
      <c r="L359" s="237"/>
      <c r="M359" s="237"/>
      <c r="N359" s="237"/>
      <c r="O359" s="237"/>
      <c r="P359" s="237"/>
      <c r="Q359" s="237"/>
      <c r="R359" s="237"/>
      <c r="S359" s="237"/>
      <c r="T359" s="237"/>
      <c r="U359" s="237"/>
      <c r="V359" s="237"/>
      <c r="W359" s="237"/>
      <c r="X359" s="237"/>
      <c r="Y359" s="237"/>
      <c r="Z359" s="237"/>
      <c r="AA359" s="237"/>
      <c r="AB359" s="237"/>
    </row>
    <row r="360">
      <c r="A360" s="238">
        <v>359.0</v>
      </c>
      <c r="B360" s="239" t="s">
        <v>5100</v>
      </c>
      <c r="C360" s="240" t="s">
        <v>5101</v>
      </c>
      <c r="D360" s="236"/>
      <c r="E360" s="240" t="s">
        <v>3511</v>
      </c>
      <c r="F360" s="240" t="s">
        <v>5102</v>
      </c>
      <c r="G360" s="238" t="s">
        <v>5103</v>
      </c>
      <c r="H360" s="240" t="s">
        <v>5104</v>
      </c>
      <c r="I360" s="236"/>
      <c r="J360" s="238" t="s">
        <v>5032</v>
      </c>
      <c r="K360" s="239" t="s">
        <v>5100</v>
      </c>
      <c r="L360" s="237"/>
      <c r="M360" s="237"/>
      <c r="N360" s="237"/>
      <c r="O360" s="237"/>
      <c r="P360" s="237"/>
      <c r="Q360" s="237"/>
      <c r="R360" s="237"/>
      <c r="S360" s="237"/>
      <c r="T360" s="237"/>
      <c r="U360" s="237"/>
      <c r="V360" s="237"/>
      <c r="W360" s="237"/>
      <c r="X360" s="237"/>
      <c r="Y360" s="237"/>
      <c r="Z360" s="237"/>
      <c r="AA360" s="237"/>
      <c r="AB360" s="237"/>
    </row>
    <row r="361">
      <c r="A361" s="238">
        <v>360.0</v>
      </c>
      <c r="B361" s="239" t="s">
        <v>5105</v>
      </c>
      <c r="C361" s="240" t="s">
        <v>5106</v>
      </c>
      <c r="D361" s="236"/>
      <c r="E361" s="240" t="s">
        <v>3511</v>
      </c>
      <c r="F361" s="240" t="s">
        <v>5107</v>
      </c>
      <c r="G361" s="238" t="s">
        <v>5108</v>
      </c>
      <c r="H361" s="240" t="s">
        <v>5109</v>
      </c>
      <c r="I361" s="236"/>
      <c r="J361" s="238" t="s">
        <v>5032</v>
      </c>
      <c r="K361" s="239" t="s">
        <v>5105</v>
      </c>
      <c r="L361" s="237"/>
      <c r="M361" s="237"/>
      <c r="N361" s="237"/>
      <c r="O361" s="237"/>
      <c r="P361" s="237"/>
      <c r="Q361" s="237"/>
      <c r="R361" s="237"/>
      <c r="S361" s="237"/>
      <c r="T361" s="237"/>
      <c r="U361" s="237"/>
      <c r="V361" s="237"/>
      <c r="W361" s="237"/>
      <c r="X361" s="237"/>
      <c r="Y361" s="237"/>
      <c r="Z361" s="237"/>
      <c r="AA361" s="237"/>
      <c r="AB361" s="237"/>
    </row>
    <row r="362">
      <c r="A362" s="238">
        <v>361.0</v>
      </c>
      <c r="B362" s="239" t="s">
        <v>5110</v>
      </c>
      <c r="C362" s="240" t="s">
        <v>5111</v>
      </c>
      <c r="D362" s="236"/>
      <c r="E362" s="240" t="s">
        <v>3511</v>
      </c>
      <c r="F362" s="240" t="s">
        <v>5112</v>
      </c>
      <c r="G362" s="238" t="s">
        <v>5113</v>
      </c>
      <c r="H362" s="240" t="s">
        <v>5114</v>
      </c>
      <c r="I362" s="236"/>
      <c r="J362" s="238" t="s">
        <v>5032</v>
      </c>
      <c r="K362" s="239" t="s">
        <v>5110</v>
      </c>
      <c r="L362" s="237"/>
      <c r="M362" s="237"/>
      <c r="N362" s="237"/>
      <c r="O362" s="237"/>
      <c r="P362" s="237"/>
      <c r="Q362" s="237"/>
      <c r="R362" s="237"/>
      <c r="S362" s="237"/>
      <c r="T362" s="237"/>
      <c r="U362" s="237"/>
      <c r="V362" s="237"/>
      <c r="W362" s="237"/>
      <c r="X362" s="237"/>
      <c r="Y362" s="237"/>
      <c r="Z362" s="237"/>
      <c r="AA362" s="237"/>
      <c r="AB362" s="237"/>
    </row>
    <row r="363">
      <c r="A363" s="238">
        <v>362.0</v>
      </c>
      <c r="B363" s="239" t="s">
        <v>5115</v>
      </c>
      <c r="C363" s="240" t="s">
        <v>5116</v>
      </c>
      <c r="D363" s="236"/>
      <c r="E363" s="240" t="s">
        <v>3511</v>
      </c>
      <c r="F363" s="240" t="s">
        <v>5117</v>
      </c>
      <c r="G363" s="238" t="s">
        <v>5118</v>
      </c>
      <c r="H363" s="240" t="s">
        <v>5119</v>
      </c>
      <c r="I363" s="236"/>
      <c r="J363" s="238" t="s">
        <v>5032</v>
      </c>
      <c r="K363" s="239" t="s">
        <v>5115</v>
      </c>
      <c r="L363" s="237"/>
      <c r="M363" s="237"/>
      <c r="N363" s="237"/>
      <c r="O363" s="237"/>
      <c r="P363" s="237"/>
      <c r="Q363" s="237"/>
      <c r="R363" s="237"/>
      <c r="S363" s="237"/>
      <c r="T363" s="237"/>
      <c r="U363" s="237"/>
      <c r="V363" s="237"/>
      <c r="W363" s="237"/>
      <c r="X363" s="237"/>
      <c r="Y363" s="237"/>
      <c r="Z363" s="237"/>
      <c r="AA363" s="237"/>
      <c r="AB363" s="237"/>
    </row>
    <row r="364">
      <c r="A364" s="238">
        <v>363.0</v>
      </c>
      <c r="B364" s="239" t="s">
        <v>4923</v>
      </c>
      <c r="C364" s="240" t="s">
        <v>5120</v>
      </c>
      <c r="D364" s="236"/>
      <c r="E364" s="240" t="s">
        <v>3511</v>
      </c>
      <c r="F364" s="240" t="s">
        <v>4925</v>
      </c>
      <c r="G364" s="238" t="s">
        <v>4926</v>
      </c>
      <c r="H364" s="240" t="s">
        <v>5121</v>
      </c>
      <c r="I364" s="236"/>
      <c r="J364" s="238" t="s">
        <v>4536</v>
      </c>
      <c r="K364" s="239" t="s">
        <v>4923</v>
      </c>
      <c r="L364" s="237"/>
      <c r="M364" s="237"/>
      <c r="N364" s="237"/>
      <c r="O364" s="237"/>
      <c r="P364" s="237"/>
      <c r="Q364" s="237"/>
      <c r="R364" s="237"/>
      <c r="S364" s="237"/>
      <c r="T364" s="237"/>
      <c r="U364" s="237"/>
      <c r="V364" s="237"/>
      <c r="W364" s="237"/>
      <c r="X364" s="237"/>
      <c r="Y364" s="237"/>
      <c r="Z364" s="237"/>
      <c r="AA364" s="237"/>
      <c r="AB364" s="237"/>
    </row>
    <row r="365">
      <c r="A365" s="238">
        <v>364.0</v>
      </c>
      <c r="B365" s="242"/>
      <c r="C365" s="240" t="s">
        <v>5122</v>
      </c>
      <c r="D365" s="236"/>
      <c r="E365" s="240" t="s">
        <v>3496</v>
      </c>
      <c r="F365" s="240" t="s">
        <v>4704</v>
      </c>
      <c r="G365" s="238" t="s">
        <v>4705</v>
      </c>
      <c r="H365" s="236"/>
      <c r="I365" s="236"/>
      <c r="J365" s="238" t="s">
        <v>4536</v>
      </c>
      <c r="K365" s="242"/>
      <c r="L365" s="237"/>
      <c r="M365" s="237"/>
      <c r="N365" s="237"/>
      <c r="O365" s="237"/>
      <c r="P365" s="237"/>
      <c r="Q365" s="237"/>
      <c r="R365" s="237"/>
      <c r="S365" s="237"/>
      <c r="T365" s="237"/>
      <c r="U365" s="237"/>
      <c r="V365" s="237"/>
      <c r="W365" s="237"/>
      <c r="X365" s="237"/>
      <c r="Y365" s="237"/>
      <c r="Z365" s="237"/>
      <c r="AA365" s="237"/>
      <c r="AB365" s="237"/>
    </row>
    <row r="366">
      <c r="A366" s="238">
        <v>365.0</v>
      </c>
      <c r="B366" s="242"/>
      <c r="C366" s="240" t="s">
        <v>5123</v>
      </c>
      <c r="D366" s="236"/>
      <c r="E366" s="240" t="s">
        <v>3496</v>
      </c>
      <c r="F366" s="238">
        <v>0.0</v>
      </c>
      <c r="G366" s="238" t="s">
        <v>4709</v>
      </c>
      <c r="H366" s="236"/>
      <c r="I366" s="236"/>
      <c r="J366" s="238" t="s">
        <v>4536</v>
      </c>
      <c r="K366" s="242"/>
      <c r="L366" s="237"/>
      <c r="M366" s="237"/>
      <c r="N366" s="237"/>
      <c r="O366" s="237"/>
      <c r="P366" s="237"/>
      <c r="Q366" s="237"/>
      <c r="R366" s="237"/>
      <c r="S366" s="237"/>
      <c r="T366" s="237"/>
      <c r="U366" s="237"/>
      <c r="V366" s="237"/>
      <c r="W366" s="237"/>
      <c r="X366" s="237"/>
      <c r="Y366" s="237"/>
      <c r="Z366" s="237"/>
      <c r="AA366" s="237"/>
      <c r="AB366" s="237"/>
    </row>
    <row r="367">
      <c r="A367" s="238">
        <v>366.0</v>
      </c>
      <c r="B367" s="239" t="s">
        <v>5124</v>
      </c>
      <c r="C367" s="240" t="s">
        <v>5125</v>
      </c>
      <c r="D367" s="236"/>
      <c r="E367" s="240" t="s">
        <v>3511</v>
      </c>
      <c r="F367" s="240" t="s">
        <v>5126</v>
      </c>
      <c r="G367" s="238" t="s">
        <v>5127</v>
      </c>
      <c r="H367" s="241" t="s">
        <v>5128</v>
      </c>
      <c r="I367" s="236"/>
      <c r="J367" s="238" t="s">
        <v>4222</v>
      </c>
      <c r="K367" s="239" t="s">
        <v>5124</v>
      </c>
      <c r="L367" s="237"/>
      <c r="M367" s="237"/>
      <c r="N367" s="237"/>
      <c r="O367" s="237"/>
      <c r="P367" s="237"/>
      <c r="Q367" s="237"/>
      <c r="R367" s="237"/>
      <c r="S367" s="237"/>
      <c r="T367" s="237"/>
      <c r="U367" s="237"/>
      <c r="V367" s="237"/>
      <c r="W367" s="237"/>
      <c r="X367" s="237"/>
      <c r="Y367" s="237"/>
      <c r="Z367" s="237"/>
      <c r="AA367" s="237"/>
      <c r="AB367" s="237"/>
    </row>
    <row r="368">
      <c r="A368" s="238">
        <v>367.0</v>
      </c>
      <c r="B368" s="239" t="s">
        <v>5129</v>
      </c>
      <c r="C368" s="240" t="s">
        <v>5130</v>
      </c>
      <c r="D368" s="236"/>
      <c r="E368" s="240" t="s">
        <v>3511</v>
      </c>
      <c r="F368" s="240" t="s">
        <v>5131</v>
      </c>
      <c r="G368" s="238" t="s">
        <v>5132</v>
      </c>
      <c r="H368" s="240" t="s">
        <v>5133</v>
      </c>
      <c r="I368" s="236"/>
      <c r="J368" s="238" t="s">
        <v>5032</v>
      </c>
      <c r="K368" s="239" t="s">
        <v>5129</v>
      </c>
      <c r="L368" s="237"/>
      <c r="M368" s="237"/>
      <c r="N368" s="237"/>
      <c r="O368" s="237"/>
      <c r="P368" s="237"/>
      <c r="Q368" s="237"/>
      <c r="R368" s="237"/>
      <c r="S368" s="237"/>
      <c r="T368" s="237"/>
      <c r="U368" s="237"/>
      <c r="V368" s="237"/>
      <c r="W368" s="237"/>
      <c r="X368" s="237"/>
      <c r="Y368" s="237"/>
      <c r="Z368" s="237"/>
      <c r="AA368" s="237"/>
      <c r="AB368" s="237"/>
    </row>
    <row r="369">
      <c r="A369" s="238">
        <v>368.0</v>
      </c>
      <c r="B369" s="239" t="s">
        <v>5134</v>
      </c>
      <c r="C369" s="240" t="s">
        <v>5135</v>
      </c>
      <c r="D369" s="236"/>
      <c r="E369" s="240" t="s">
        <v>3511</v>
      </c>
      <c r="F369" s="240" t="s">
        <v>5136</v>
      </c>
      <c r="G369" s="238" t="s">
        <v>5137</v>
      </c>
      <c r="H369" s="240" t="s">
        <v>5138</v>
      </c>
      <c r="I369" s="236"/>
      <c r="J369" s="238" t="s">
        <v>5032</v>
      </c>
      <c r="K369" s="239" t="s">
        <v>5134</v>
      </c>
      <c r="L369" s="237"/>
      <c r="M369" s="237"/>
      <c r="N369" s="237"/>
      <c r="O369" s="237"/>
      <c r="P369" s="237"/>
      <c r="Q369" s="237"/>
      <c r="R369" s="237"/>
      <c r="S369" s="237"/>
      <c r="T369" s="237"/>
      <c r="U369" s="237"/>
      <c r="V369" s="237"/>
      <c r="W369" s="237"/>
      <c r="X369" s="237"/>
      <c r="Y369" s="237"/>
      <c r="Z369" s="237"/>
      <c r="AA369" s="237"/>
      <c r="AB369" s="237"/>
    </row>
    <row r="370">
      <c r="A370" s="238">
        <v>369.0</v>
      </c>
      <c r="B370" s="239" t="s">
        <v>5139</v>
      </c>
      <c r="C370" s="240" t="s">
        <v>5140</v>
      </c>
      <c r="D370" s="236"/>
      <c r="E370" s="240" t="s">
        <v>3511</v>
      </c>
      <c r="F370" s="240" t="s">
        <v>5141</v>
      </c>
      <c r="G370" s="238" t="s">
        <v>5142</v>
      </c>
      <c r="H370" s="240" t="s">
        <v>5143</v>
      </c>
      <c r="I370" s="236"/>
      <c r="J370" s="238" t="s">
        <v>5032</v>
      </c>
      <c r="K370" s="239" t="s">
        <v>5139</v>
      </c>
      <c r="L370" s="237"/>
      <c r="M370" s="237"/>
      <c r="N370" s="237"/>
      <c r="O370" s="237"/>
      <c r="P370" s="237"/>
      <c r="Q370" s="237"/>
      <c r="R370" s="237"/>
      <c r="S370" s="237"/>
      <c r="T370" s="237"/>
      <c r="U370" s="237"/>
      <c r="V370" s="237"/>
      <c r="W370" s="237"/>
      <c r="X370" s="237"/>
      <c r="Y370" s="237"/>
      <c r="Z370" s="237"/>
      <c r="AA370" s="237"/>
      <c r="AB370" s="237"/>
    </row>
    <row r="371">
      <c r="A371" s="238">
        <v>370.0</v>
      </c>
      <c r="B371" s="239" t="s">
        <v>5144</v>
      </c>
      <c r="C371" s="240" t="s">
        <v>5145</v>
      </c>
      <c r="D371" s="236"/>
      <c r="E371" s="240" t="s">
        <v>3511</v>
      </c>
      <c r="F371" s="240" t="s">
        <v>5146</v>
      </c>
      <c r="G371" s="238" t="s">
        <v>5147</v>
      </c>
      <c r="H371" s="240" t="s">
        <v>5148</v>
      </c>
      <c r="I371" s="236"/>
      <c r="J371" s="238" t="s">
        <v>5032</v>
      </c>
      <c r="K371" s="239" t="s">
        <v>5144</v>
      </c>
      <c r="L371" s="237"/>
      <c r="M371" s="237"/>
      <c r="N371" s="237"/>
      <c r="O371" s="237"/>
      <c r="P371" s="237"/>
      <c r="Q371" s="237"/>
      <c r="R371" s="237"/>
      <c r="S371" s="237"/>
      <c r="T371" s="237"/>
      <c r="U371" s="237"/>
      <c r="V371" s="237"/>
      <c r="W371" s="237"/>
      <c r="X371" s="237"/>
      <c r="Y371" s="237"/>
      <c r="Z371" s="237"/>
      <c r="AA371" s="237"/>
      <c r="AB371" s="237"/>
    </row>
    <row r="372">
      <c r="A372" s="238">
        <v>371.0</v>
      </c>
      <c r="B372" s="239" t="s">
        <v>5149</v>
      </c>
      <c r="C372" s="240" t="s">
        <v>5150</v>
      </c>
      <c r="D372" s="236"/>
      <c r="E372" s="240" t="s">
        <v>3511</v>
      </c>
      <c r="F372" s="240" t="s">
        <v>5151</v>
      </c>
      <c r="G372" s="238" t="s">
        <v>5152</v>
      </c>
      <c r="H372" s="241" t="s">
        <v>5153</v>
      </c>
      <c r="I372" s="236"/>
      <c r="J372" s="238" t="s">
        <v>5032</v>
      </c>
      <c r="K372" s="239" t="s">
        <v>5149</v>
      </c>
      <c r="L372" s="237"/>
      <c r="M372" s="237"/>
      <c r="N372" s="237"/>
      <c r="O372" s="237"/>
      <c r="P372" s="237"/>
      <c r="Q372" s="237"/>
      <c r="R372" s="237"/>
      <c r="S372" s="237"/>
      <c r="T372" s="237"/>
      <c r="U372" s="237"/>
      <c r="V372" s="237"/>
      <c r="W372" s="237"/>
      <c r="X372" s="237"/>
      <c r="Y372" s="237"/>
      <c r="Z372" s="237"/>
      <c r="AA372" s="237"/>
      <c r="AB372" s="237"/>
    </row>
    <row r="373">
      <c r="A373" s="238">
        <v>372.0</v>
      </c>
      <c r="B373" s="239" t="s">
        <v>5154</v>
      </c>
      <c r="C373" s="240" t="s">
        <v>5155</v>
      </c>
      <c r="D373" s="236"/>
      <c r="E373" s="240" t="s">
        <v>3511</v>
      </c>
      <c r="F373" s="240" t="s">
        <v>5156</v>
      </c>
      <c r="G373" s="238" t="s">
        <v>5157</v>
      </c>
      <c r="H373" s="240" t="s">
        <v>5158</v>
      </c>
      <c r="I373" s="236"/>
      <c r="J373" s="238" t="s">
        <v>5032</v>
      </c>
      <c r="K373" s="239" t="s">
        <v>5154</v>
      </c>
      <c r="L373" s="237"/>
      <c r="M373" s="237"/>
      <c r="N373" s="237"/>
      <c r="O373" s="237"/>
      <c r="P373" s="237"/>
      <c r="Q373" s="237"/>
      <c r="R373" s="237"/>
      <c r="S373" s="237"/>
      <c r="T373" s="237"/>
      <c r="U373" s="237"/>
      <c r="V373" s="237"/>
      <c r="W373" s="237"/>
      <c r="X373" s="237"/>
      <c r="Y373" s="237"/>
      <c r="Z373" s="237"/>
      <c r="AA373" s="237"/>
      <c r="AB373" s="237"/>
    </row>
    <row r="374">
      <c r="A374" s="238">
        <v>373.0</v>
      </c>
      <c r="B374" s="239" t="s">
        <v>5159</v>
      </c>
      <c r="C374" s="240" t="s">
        <v>5160</v>
      </c>
      <c r="D374" s="236"/>
      <c r="E374" s="240" t="s">
        <v>3511</v>
      </c>
      <c r="F374" s="240" t="s">
        <v>5161</v>
      </c>
      <c r="G374" s="238" t="s">
        <v>5162</v>
      </c>
      <c r="H374" s="241" t="s">
        <v>5163</v>
      </c>
      <c r="I374" s="236"/>
      <c r="J374" s="238" t="s">
        <v>5032</v>
      </c>
      <c r="K374" s="239" t="s">
        <v>5159</v>
      </c>
      <c r="L374" s="237"/>
      <c r="M374" s="237"/>
      <c r="N374" s="237"/>
      <c r="O374" s="237"/>
      <c r="P374" s="237"/>
      <c r="Q374" s="237"/>
      <c r="R374" s="237"/>
      <c r="S374" s="237"/>
      <c r="T374" s="237"/>
      <c r="U374" s="237"/>
      <c r="V374" s="237"/>
      <c r="W374" s="237"/>
      <c r="X374" s="237"/>
      <c r="Y374" s="237"/>
      <c r="Z374" s="237"/>
      <c r="AA374" s="237"/>
      <c r="AB374" s="237"/>
    </row>
    <row r="375">
      <c r="A375" s="238">
        <v>374.0</v>
      </c>
      <c r="B375" s="239" t="s">
        <v>5164</v>
      </c>
      <c r="C375" s="240" t="s">
        <v>5165</v>
      </c>
      <c r="D375" s="236"/>
      <c r="E375" s="240" t="s">
        <v>3511</v>
      </c>
      <c r="F375" s="240" t="s">
        <v>5166</v>
      </c>
      <c r="G375" s="238" t="s">
        <v>5167</v>
      </c>
      <c r="H375" s="241" t="s">
        <v>5168</v>
      </c>
      <c r="I375" s="236"/>
      <c r="J375" s="238" t="s">
        <v>5032</v>
      </c>
      <c r="K375" s="239" t="s">
        <v>5164</v>
      </c>
      <c r="L375" s="237"/>
      <c r="M375" s="237"/>
      <c r="N375" s="237"/>
      <c r="O375" s="237"/>
      <c r="P375" s="237"/>
      <c r="Q375" s="237"/>
      <c r="R375" s="237"/>
      <c r="S375" s="237"/>
      <c r="T375" s="237"/>
      <c r="U375" s="237"/>
      <c r="V375" s="237"/>
      <c r="W375" s="237"/>
      <c r="X375" s="237"/>
      <c r="Y375" s="237"/>
      <c r="Z375" s="237"/>
      <c r="AA375" s="237"/>
      <c r="AB375" s="237"/>
    </row>
    <row r="376">
      <c r="A376" s="238">
        <v>375.0</v>
      </c>
      <c r="B376" s="242"/>
      <c r="C376" s="240" t="s">
        <v>5169</v>
      </c>
      <c r="D376" s="236"/>
      <c r="E376" s="240" t="s">
        <v>3511</v>
      </c>
      <c r="F376" s="238" t="s">
        <v>5032</v>
      </c>
      <c r="G376" s="238" t="s">
        <v>5170</v>
      </c>
      <c r="H376" s="240" t="s">
        <v>5171</v>
      </c>
      <c r="I376" s="236"/>
      <c r="J376" s="238" t="s">
        <v>5032</v>
      </c>
      <c r="K376" s="242"/>
      <c r="L376" s="237"/>
      <c r="M376" s="237"/>
      <c r="N376" s="237"/>
      <c r="O376" s="237"/>
      <c r="P376" s="237"/>
      <c r="Q376" s="237"/>
      <c r="R376" s="237"/>
      <c r="S376" s="237"/>
      <c r="T376" s="237"/>
      <c r="U376" s="237"/>
      <c r="V376" s="237"/>
      <c r="W376" s="237"/>
      <c r="X376" s="237"/>
      <c r="Y376" s="237"/>
      <c r="Z376" s="237"/>
      <c r="AA376" s="237"/>
      <c r="AB376" s="237"/>
    </row>
    <row r="377">
      <c r="A377" s="238">
        <v>376.0</v>
      </c>
      <c r="B377" s="239" t="s">
        <v>5172</v>
      </c>
      <c r="C377" s="240" t="s">
        <v>5173</v>
      </c>
      <c r="D377" s="236"/>
      <c r="E377" s="240" t="s">
        <v>3511</v>
      </c>
      <c r="F377" s="240" t="s">
        <v>5174</v>
      </c>
      <c r="G377" s="238" t="s">
        <v>5175</v>
      </c>
      <c r="H377" s="241" t="s">
        <v>5176</v>
      </c>
      <c r="I377" s="236"/>
      <c r="J377" s="238" t="s">
        <v>4222</v>
      </c>
      <c r="K377" s="239" t="s">
        <v>5172</v>
      </c>
      <c r="L377" s="237"/>
      <c r="M377" s="237"/>
      <c r="N377" s="237"/>
      <c r="O377" s="237"/>
      <c r="P377" s="237"/>
      <c r="Q377" s="237"/>
      <c r="R377" s="237"/>
      <c r="S377" s="237"/>
      <c r="T377" s="237"/>
      <c r="U377" s="237"/>
      <c r="V377" s="237"/>
      <c r="W377" s="237"/>
      <c r="X377" s="237"/>
      <c r="Y377" s="237"/>
      <c r="Z377" s="237"/>
      <c r="AA377" s="237"/>
      <c r="AB377" s="237"/>
    </row>
    <row r="378">
      <c r="A378" s="238">
        <v>377.0</v>
      </c>
      <c r="B378" s="239" t="s">
        <v>5177</v>
      </c>
      <c r="C378" s="240" t="s">
        <v>5178</v>
      </c>
      <c r="D378" s="236"/>
      <c r="E378" s="240" t="s">
        <v>3511</v>
      </c>
      <c r="F378" s="240" t="s">
        <v>2472</v>
      </c>
      <c r="G378" s="238" t="s">
        <v>5179</v>
      </c>
      <c r="H378" s="241" t="s">
        <v>5180</v>
      </c>
      <c r="I378" s="236"/>
      <c r="J378" s="238" t="s">
        <v>5032</v>
      </c>
      <c r="K378" s="239" t="s">
        <v>5177</v>
      </c>
      <c r="L378" s="237"/>
      <c r="M378" s="237"/>
      <c r="N378" s="237"/>
      <c r="O378" s="237"/>
      <c r="P378" s="237"/>
      <c r="Q378" s="237"/>
      <c r="R378" s="237"/>
      <c r="S378" s="237"/>
      <c r="T378" s="237"/>
      <c r="U378" s="237"/>
      <c r="V378" s="237"/>
      <c r="W378" s="237"/>
      <c r="X378" s="237"/>
      <c r="Y378" s="237"/>
      <c r="Z378" s="237"/>
      <c r="AA378" s="237"/>
      <c r="AB378" s="237"/>
    </row>
    <row r="379">
      <c r="A379" s="238">
        <v>378.0</v>
      </c>
      <c r="B379" s="239" t="s">
        <v>5181</v>
      </c>
      <c r="C379" s="240" t="s">
        <v>5182</v>
      </c>
      <c r="D379" s="236"/>
      <c r="E379" s="240" t="s">
        <v>3511</v>
      </c>
      <c r="F379" s="240" t="s">
        <v>2204</v>
      </c>
      <c r="G379" s="238" t="s">
        <v>5183</v>
      </c>
      <c r="H379" s="240" t="s">
        <v>5184</v>
      </c>
      <c r="I379" s="236"/>
      <c r="J379" s="238" t="s">
        <v>5032</v>
      </c>
      <c r="K379" s="239" t="s">
        <v>5181</v>
      </c>
      <c r="L379" s="237"/>
      <c r="M379" s="237"/>
      <c r="N379" s="237"/>
      <c r="O379" s="237"/>
      <c r="P379" s="237"/>
      <c r="Q379" s="237"/>
      <c r="R379" s="237"/>
      <c r="S379" s="237"/>
      <c r="T379" s="237"/>
      <c r="U379" s="237"/>
      <c r="V379" s="237"/>
      <c r="W379" s="237"/>
      <c r="X379" s="237"/>
      <c r="Y379" s="237"/>
      <c r="Z379" s="237"/>
      <c r="AA379" s="237"/>
      <c r="AB379" s="237"/>
    </row>
    <row r="380">
      <c r="A380" s="238">
        <v>379.0</v>
      </c>
      <c r="B380" s="239" t="s">
        <v>5185</v>
      </c>
      <c r="C380" s="240" t="s">
        <v>5186</v>
      </c>
      <c r="D380" s="236"/>
      <c r="E380" s="240" t="s">
        <v>3511</v>
      </c>
      <c r="F380" s="240" t="s">
        <v>5187</v>
      </c>
      <c r="G380" s="238" t="s">
        <v>5188</v>
      </c>
      <c r="H380" s="241" t="s">
        <v>5189</v>
      </c>
      <c r="I380" s="236"/>
      <c r="J380" s="238" t="s">
        <v>5032</v>
      </c>
      <c r="K380" s="239" t="s">
        <v>5185</v>
      </c>
      <c r="L380" s="237"/>
      <c r="M380" s="237"/>
      <c r="N380" s="237"/>
      <c r="O380" s="237"/>
      <c r="P380" s="237"/>
      <c r="Q380" s="237"/>
      <c r="R380" s="237"/>
      <c r="S380" s="237"/>
      <c r="T380" s="237"/>
      <c r="U380" s="237"/>
      <c r="V380" s="237"/>
      <c r="W380" s="237"/>
      <c r="X380" s="237"/>
      <c r="Y380" s="237"/>
      <c r="Z380" s="237"/>
      <c r="AA380" s="237"/>
      <c r="AB380" s="237"/>
    </row>
    <row r="381">
      <c r="A381" s="238">
        <v>380.0</v>
      </c>
      <c r="B381" s="239" t="s">
        <v>5190</v>
      </c>
      <c r="C381" s="240" t="s">
        <v>5191</v>
      </c>
      <c r="D381" s="236"/>
      <c r="E381" s="240" t="s">
        <v>3511</v>
      </c>
      <c r="F381" s="240" t="s">
        <v>2474</v>
      </c>
      <c r="G381" s="238" t="s">
        <v>5192</v>
      </c>
      <c r="H381" s="241" t="s">
        <v>5193</v>
      </c>
      <c r="I381" s="236"/>
      <c r="J381" s="238" t="s">
        <v>5032</v>
      </c>
      <c r="K381" s="239" t="s">
        <v>5190</v>
      </c>
      <c r="L381" s="237"/>
      <c r="M381" s="237"/>
      <c r="N381" s="237"/>
      <c r="O381" s="237"/>
      <c r="P381" s="237"/>
      <c r="Q381" s="237"/>
      <c r="R381" s="237"/>
      <c r="S381" s="237"/>
      <c r="T381" s="237"/>
      <c r="U381" s="237"/>
      <c r="V381" s="237"/>
      <c r="W381" s="237"/>
      <c r="X381" s="237"/>
      <c r="Y381" s="237"/>
      <c r="Z381" s="237"/>
      <c r="AA381" s="237"/>
      <c r="AB381" s="237"/>
    </row>
    <row r="382">
      <c r="A382" s="238">
        <v>381.0</v>
      </c>
      <c r="B382" s="239" t="s">
        <v>5194</v>
      </c>
      <c r="C382" s="240" t="s">
        <v>5195</v>
      </c>
      <c r="D382" s="236"/>
      <c r="E382" s="240" t="s">
        <v>3511</v>
      </c>
      <c r="F382" s="240" t="s">
        <v>5196</v>
      </c>
      <c r="G382" s="238" t="s">
        <v>5197</v>
      </c>
      <c r="H382" s="240" t="s">
        <v>5198</v>
      </c>
      <c r="I382" s="236"/>
      <c r="J382" s="238" t="s">
        <v>5032</v>
      </c>
      <c r="K382" s="239" t="s">
        <v>5194</v>
      </c>
      <c r="L382" s="237"/>
      <c r="M382" s="237"/>
      <c r="N382" s="237"/>
      <c r="O382" s="237"/>
      <c r="P382" s="237"/>
      <c r="Q382" s="237"/>
      <c r="R382" s="237"/>
      <c r="S382" s="237"/>
      <c r="T382" s="237"/>
      <c r="U382" s="237"/>
      <c r="V382" s="237"/>
      <c r="W382" s="237"/>
      <c r="X382" s="237"/>
      <c r="Y382" s="237"/>
      <c r="Z382" s="237"/>
      <c r="AA382" s="237"/>
      <c r="AB382" s="237"/>
    </row>
    <row r="383">
      <c r="A383" s="238">
        <v>382.0</v>
      </c>
      <c r="B383" s="239" t="s">
        <v>5199</v>
      </c>
      <c r="C383" s="240" t="s">
        <v>5200</v>
      </c>
      <c r="D383" s="236"/>
      <c r="E383" s="240" t="s">
        <v>3511</v>
      </c>
      <c r="F383" s="240" t="s">
        <v>5201</v>
      </c>
      <c r="G383" s="238" t="s">
        <v>5202</v>
      </c>
      <c r="H383" s="240" t="s">
        <v>5203</v>
      </c>
      <c r="I383" s="236"/>
      <c r="J383" s="238" t="s">
        <v>5032</v>
      </c>
      <c r="K383" s="239" t="s">
        <v>5199</v>
      </c>
      <c r="L383" s="237"/>
      <c r="M383" s="237"/>
      <c r="N383" s="237"/>
      <c r="O383" s="237"/>
      <c r="P383" s="237"/>
      <c r="Q383" s="237"/>
      <c r="R383" s="237"/>
      <c r="S383" s="237"/>
      <c r="T383" s="237"/>
      <c r="U383" s="237"/>
      <c r="V383" s="237"/>
      <c r="W383" s="237"/>
      <c r="X383" s="237"/>
      <c r="Y383" s="237"/>
      <c r="Z383" s="237"/>
      <c r="AA383" s="237"/>
      <c r="AB383" s="237"/>
    </row>
    <row r="384">
      <c r="A384" s="238">
        <v>383.0</v>
      </c>
      <c r="B384" s="239" t="s">
        <v>5204</v>
      </c>
      <c r="C384" s="240" t="s">
        <v>5205</v>
      </c>
      <c r="D384" s="236"/>
      <c r="E384" s="240" t="s">
        <v>3511</v>
      </c>
      <c r="F384" s="240" t="s">
        <v>5206</v>
      </c>
      <c r="G384" s="238" t="s">
        <v>5207</v>
      </c>
      <c r="H384" s="240" t="s">
        <v>5208</v>
      </c>
      <c r="I384" s="236"/>
      <c r="J384" s="238" t="s">
        <v>5032</v>
      </c>
      <c r="K384" s="239" t="s">
        <v>5204</v>
      </c>
      <c r="L384" s="237"/>
      <c r="M384" s="237"/>
      <c r="N384" s="237"/>
      <c r="O384" s="237"/>
      <c r="P384" s="237"/>
      <c r="Q384" s="237"/>
      <c r="R384" s="237"/>
      <c r="S384" s="237"/>
      <c r="T384" s="237"/>
      <c r="U384" s="237"/>
      <c r="V384" s="237"/>
      <c r="W384" s="237"/>
      <c r="X384" s="237"/>
      <c r="Y384" s="237"/>
      <c r="Z384" s="237"/>
      <c r="AA384" s="237"/>
      <c r="AB384" s="237"/>
    </row>
    <row r="385">
      <c r="A385" s="238">
        <v>384.0</v>
      </c>
      <c r="B385" s="239" t="s">
        <v>5209</v>
      </c>
      <c r="C385" s="240" t="s">
        <v>5210</v>
      </c>
      <c r="D385" s="236"/>
      <c r="E385" s="240" t="s">
        <v>3511</v>
      </c>
      <c r="F385" s="240" t="s">
        <v>5211</v>
      </c>
      <c r="G385" s="238" t="s">
        <v>5212</v>
      </c>
      <c r="H385" s="241" t="s">
        <v>5213</v>
      </c>
      <c r="I385" s="236"/>
      <c r="J385" s="238" t="s">
        <v>5032</v>
      </c>
      <c r="K385" s="239" t="s">
        <v>5209</v>
      </c>
      <c r="L385" s="237"/>
      <c r="M385" s="237"/>
      <c r="N385" s="237"/>
      <c r="O385" s="237"/>
      <c r="P385" s="237"/>
      <c r="Q385" s="237"/>
      <c r="R385" s="237"/>
      <c r="S385" s="237"/>
      <c r="T385" s="237"/>
      <c r="U385" s="237"/>
      <c r="V385" s="237"/>
      <c r="W385" s="237"/>
      <c r="X385" s="237"/>
      <c r="Y385" s="237"/>
      <c r="Z385" s="237"/>
      <c r="AA385" s="237"/>
      <c r="AB385" s="237"/>
    </row>
    <row r="386">
      <c r="A386" s="238">
        <v>385.0</v>
      </c>
      <c r="B386" s="242"/>
      <c r="C386" s="240" t="s">
        <v>5214</v>
      </c>
      <c r="D386" s="236"/>
      <c r="E386" s="240" t="s">
        <v>3511</v>
      </c>
      <c r="F386" s="238" t="s">
        <v>5032</v>
      </c>
      <c r="G386" s="238" t="s">
        <v>5215</v>
      </c>
      <c r="H386" s="240" t="s">
        <v>5216</v>
      </c>
      <c r="I386" s="236"/>
      <c r="J386" s="238" t="s">
        <v>5032</v>
      </c>
      <c r="K386" s="242"/>
      <c r="L386" s="237"/>
      <c r="M386" s="237"/>
      <c r="N386" s="237"/>
      <c r="O386" s="237"/>
      <c r="P386" s="237"/>
      <c r="Q386" s="237"/>
      <c r="R386" s="237"/>
      <c r="S386" s="237"/>
      <c r="T386" s="237"/>
      <c r="U386" s="237"/>
      <c r="V386" s="237"/>
      <c r="W386" s="237"/>
      <c r="X386" s="237"/>
      <c r="Y386" s="237"/>
      <c r="Z386" s="237"/>
      <c r="AA386" s="237"/>
      <c r="AB386" s="237"/>
    </row>
    <row r="387">
      <c r="A387" s="238">
        <v>386.0</v>
      </c>
      <c r="B387" s="239" t="s">
        <v>5217</v>
      </c>
      <c r="C387" s="240" t="s">
        <v>5218</v>
      </c>
      <c r="D387" s="236"/>
      <c r="E387" s="240" t="s">
        <v>3511</v>
      </c>
      <c r="F387" s="240" t="s">
        <v>5219</v>
      </c>
      <c r="G387" s="238" t="s">
        <v>5220</v>
      </c>
      <c r="H387" s="240" t="s">
        <v>5221</v>
      </c>
      <c r="I387" s="236"/>
      <c r="J387" s="238" t="s">
        <v>4222</v>
      </c>
      <c r="K387" s="239" t="s">
        <v>5217</v>
      </c>
      <c r="L387" s="237"/>
      <c r="M387" s="237"/>
      <c r="N387" s="237"/>
      <c r="O387" s="237"/>
      <c r="P387" s="237"/>
      <c r="Q387" s="237"/>
      <c r="R387" s="237"/>
      <c r="S387" s="237"/>
      <c r="T387" s="237"/>
      <c r="U387" s="237"/>
      <c r="V387" s="237"/>
      <c r="W387" s="237"/>
      <c r="X387" s="237"/>
      <c r="Y387" s="237"/>
      <c r="Z387" s="237"/>
      <c r="AA387" s="237"/>
      <c r="AB387" s="237"/>
    </row>
    <row r="388">
      <c r="A388" s="238">
        <v>387.0</v>
      </c>
      <c r="B388" s="239" t="s">
        <v>5222</v>
      </c>
      <c r="C388" s="240" t="s">
        <v>5223</v>
      </c>
      <c r="D388" s="236"/>
      <c r="E388" s="240" t="s">
        <v>3511</v>
      </c>
      <c r="F388" s="240" t="s">
        <v>5224</v>
      </c>
      <c r="G388" s="238" t="s">
        <v>5225</v>
      </c>
      <c r="H388" s="240" t="s">
        <v>5226</v>
      </c>
      <c r="I388" s="236"/>
      <c r="J388" s="238" t="s">
        <v>5032</v>
      </c>
      <c r="K388" s="239" t="s">
        <v>5222</v>
      </c>
      <c r="L388" s="237"/>
      <c r="M388" s="237"/>
      <c r="N388" s="237"/>
      <c r="O388" s="237"/>
      <c r="P388" s="237"/>
      <c r="Q388" s="237"/>
      <c r="R388" s="237"/>
      <c r="S388" s="237"/>
      <c r="T388" s="237"/>
      <c r="U388" s="237"/>
      <c r="V388" s="237"/>
      <c r="W388" s="237"/>
      <c r="X388" s="237"/>
      <c r="Y388" s="237"/>
      <c r="Z388" s="237"/>
      <c r="AA388" s="237"/>
      <c r="AB388" s="237"/>
    </row>
    <row r="389">
      <c r="A389" s="238">
        <v>388.0</v>
      </c>
      <c r="B389" s="239" t="s">
        <v>5227</v>
      </c>
      <c r="C389" s="240" t="s">
        <v>5228</v>
      </c>
      <c r="D389" s="236"/>
      <c r="E389" s="240" t="s">
        <v>3511</v>
      </c>
      <c r="F389" s="240" t="s">
        <v>5229</v>
      </c>
      <c r="G389" s="238" t="s">
        <v>5230</v>
      </c>
      <c r="H389" s="240" t="s">
        <v>5231</v>
      </c>
      <c r="I389" s="236"/>
      <c r="J389" s="238" t="s">
        <v>5032</v>
      </c>
      <c r="K389" s="239" t="s">
        <v>5227</v>
      </c>
      <c r="L389" s="237"/>
      <c r="M389" s="237"/>
      <c r="N389" s="237"/>
      <c r="O389" s="237"/>
      <c r="P389" s="237"/>
      <c r="Q389" s="237"/>
      <c r="R389" s="237"/>
      <c r="S389" s="237"/>
      <c r="T389" s="237"/>
      <c r="U389" s="237"/>
      <c r="V389" s="237"/>
      <c r="W389" s="237"/>
      <c r="X389" s="237"/>
      <c r="Y389" s="237"/>
      <c r="Z389" s="237"/>
      <c r="AA389" s="237"/>
      <c r="AB389" s="237"/>
    </row>
    <row r="390">
      <c r="A390" s="238">
        <v>389.0</v>
      </c>
      <c r="B390" s="239" t="s">
        <v>5232</v>
      </c>
      <c r="C390" s="240" t="s">
        <v>5233</v>
      </c>
      <c r="D390" s="236"/>
      <c r="E390" s="240" t="s">
        <v>3511</v>
      </c>
      <c r="F390" s="240" t="s">
        <v>5234</v>
      </c>
      <c r="G390" s="238" t="s">
        <v>5235</v>
      </c>
      <c r="H390" s="240" t="s">
        <v>5236</v>
      </c>
      <c r="I390" s="236"/>
      <c r="J390" s="238" t="s">
        <v>5032</v>
      </c>
      <c r="K390" s="239" t="s">
        <v>5232</v>
      </c>
      <c r="L390" s="237"/>
      <c r="M390" s="237"/>
      <c r="N390" s="237"/>
      <c r="O390" s="237"/>
      <c r="P390" s="237"/>
      <c r="Q390" s="237"/>
      <c r="R390" s="237"/>
      <c r="S390" s="237"/>
      <c r="T390" s="237"/>
      <c r="U390" s="237"/>
      <c r="V390" s="237"/>
      <c r="W390" s="237"/>
      <c r="X390" s="237"/>
      <c r="Y390" s="237"/>
      <c r="Z390" s="237"/>
      <c r="AA390" s="237"/>
      <c r="AB390" s="237"/>
    </row>
    <row r="391">
      <c r="A391" s="238">
        <v>390.0</v>
      </c>
      <c r="B391" s="239" t="s">
        <v>5237</v>
      </c>
      <c r="C391" s="240" t="s">
        <v>5238</v>
      </c>
      <c r="D391" s="236"/>
      <c r="E391" s="240" t="s">
        <v>3496</v>
      </c>
      <c r="F391" s="240" t="s">
        <v>5239</v>
      </c>
      <c r="G391" s="238" t="s">
        <v>5240</v>
      </c>
      <c r="H391" s="236"/>
      <c r="I391" s="236"/>
      <c r="J391" s="238" t="s">
        <v>5032</v>
      </c>
      <c r="K391" s="239" t="s">
        <v>5237</v>
      </c>
      <c r="L391" s="237"/>
      <c r="M391" s="237"/>
      <c r="N391" s="237"/>
      <c r="O391" s="237"/>
      <c r="P391" s="237"/>
      <c r="Q391" s="237"/>
      <c r="R391" s="237"/>
      <c r="S391" s="237"/>
      <c r="T391" s="237"/>
      <c r="U391" s="237"/>
      <c r="V391" s="237"/>
      <c r="W391" s="237"/>
      <c r="X391" s="237"/>
      <c r="Y391" s="237"/>
      <c r="Z391" s="237"/>
      <c r="AA391" s="237"/>
      <c r="AB391" s="237"/>
    </row>
    <row r="392">
      <c r="A392" s="238">
        <v>391.0</v>
      </c>
      <c r="B392" s="239" t="s">
        <v>5241</v>
      </c>
      <c r="C392" s="240" t="s">
        <v>5242</v>
      </c>
      <c r="D392" s="236"/>
      <c r="E392" s="240" t="s">
        <v>3511</v>
      </c>
      <c r="F392" s="241" t="s">
        <v>2202</v>
      </c>
      <c r="G392" s="243" t="s">
        <v>5243</v>
      </c>
      <c r="H392" s="240" t="s">
        <v>5244</v>
      </c>
      <c r="I392" s="236"/>
      <c r="J392" s="238" t="s">
        <v>5032</v>
      </c>
      <c r="K392" s="239" t="s">
        <v>5241</v>
      </c>
      <c r="L392" s="237"/>
      <c r="M392" s="237"/>
      <c r="N392" s="237"/>
      <c r="O392" s="237"/>
      <c r="P392" s="237"/>
      <c r="Q392" s="237"/>
      <c r="R392" s="237"/>
      <c r="S392" s="237"/>
      <c r="T392" s="237"/>
      <c r="U392" s="237"/>
      <c r="V392" s="237"/>
      <c r="W392" s="237"/>
      <c r="X392" s="237"/>
      <c r="Y392" s="237"/>
      <c r="Z392" s="237"/>
      <c r="AA392" s="237"/>
      <c r="AB392" s="237"/>
    </row>
    <row r="393">
      <c r="A393" s="238">
        <v>392.0</v>
      </c>
      <c r="B393" s="239" t="s">
        <v>5245</v>
      </c>
      <c r="C393" s="240" t="s">
        <v>5246</v>
      </c>
      <c r="D393" s="236"/>
      <c r="E393" s="240" t="s">
        <v>3511</v>
      </c>
      <c r="F393" s="241" t="s">
        <v>5247</v>
      </c>
      <c r="G393" s="243" t="s">
        <v>5248</v>
      </c>
      <c r="H393" s="237" t="s">
        <v>5249</v>
      </c>
      <c r="I393" s="236"/>
      <c r="J393" s="238" t="s">
        <v>5032</v>
      </c>
      <c r="K393" s="239" t="s">
        <v>5245</v>
      </c>
      <c r="L393" s="237"/>
      <c r="M393" s="237"/>
      <c r="N393" s="237"/>
      <c r="O393" s="237"/>
      <c r="P393" s="237"/>
      <c r="Q393" s="237"/>
      <c r="R393" s="237"/>
      <c r="S393" s="237"/>
      <c r="T393" s="237"/>
      <c r="U393" s="237"/>
      <c r="V393" s="237"/>
      <c r="W393" s="237"/>
      <c r="X393" s="237"/>
      <c r="Y393" s="237"/>
      <c r="Z393" s="237"/>
      <c r="AA393" s="237"/>
      <c r="AB393" s="237"/>
    </row>
    <row r="394">
      <c r="A394" s="238">
        <v>393.0</v>
      </c>
      <c r="B394" s="239" t="s">
        <v>5250</v>
      </c>
      <c r="C394" s="240" t="s">
        <v>5251</v>
      </c>
      <c r="D394" s="236"/>
      <c r="E394" s="240" t="s">
        <v>3511</v>
      </c>
      <c r="F394" s="240" t="s">
        <v>2201</v>
      </c>
      <c r="G394" s="238" t="s">
        <v>5252</v>
      </c>
      <c r="H394" s="240" t="s">
        <v>5253</v>
      </c>
      <c r="I394" s="236"/>
      <c r="J394" s="238" t="s">
        <v>5032</v>
      </c>
      <c r="K394" s="239" t="s">
        <v>5250</v>
      </c>
      <c r="L394" s="237"/>
      <c r="M394" s="237"/>
      <c r="N394" s="237"/>
      <c r="O394" s="237"/>
      <c r="P394" s="237"/>
      <c r="Q394" s="237"/>
      <c r="R394" s="237"/>
      <c r="S394" s="237"/>
      <c r="T394" s="237"/>
      <c r="U394" s="237"/>
      <c r="V394" s="237"/>
      <c r="W394" s="237"/>
      <c r="X394" s="237"/>
      <c r="Y394" s="237"/>
      <c r="Z394" s="237"/>
      <c r="AA394" s="237"/>
      <c r="AB394" s="237"/>
    </row>
    <row r="395">
      <c r="A395" s="238">
        <v>394.0</v>
      </c>
      <c r="B395" s="239" t="s">
        <v>5254</v>
      </c>
      <c r="C395" s="240" t="s">
        <v>5255</v>
      </c>
      <c r="D395" s="236"/>
      <c r="E395" s="240" t="s">
        <v>3511</v>
      </c>
      <c r="F395" s="240" t="s">
        <v>2200</v>
      </c>
      <c r="G395" s="238" t="s">
        <v>5256</v>
      </c>
      <c r="H395" s="240" t="s">
        <v>5257</v>
      </c>
      <c r="I395" s="236"/>
      <c r="J395" s="238" t="s">
        <v>5032</v>
      </c>
      <c r="K395" s="239" t="s">
        <v>5254</v>
      </c>
      <c r="L395" s="237"/>
      <c r="M395" s="237"/>
      <c r="N395" s="237"/>
      <c r="O395" s="237"/>
      <c r="P395" s="237"/>
      <c r="Q395" s="237"/>
      <c r="R395" s="237"/>
      <c r="S395" s="237"/>
      <c r="T395" s="237"/>
      <c r="U395" s="237"/>
      <c r="V395" s="237"/>
      <c r="W395" s="237"/>
      <c r="X395" s="237"/>
      <c r="Y395" s="237"/>
      <c r="Z395" s="237"/>
      <c r="AA395" s="237"/>
      <c r="AB395" s="237"/>
    </row>
    <row r="396">
      <c r="A396" s="238">
        <v>395.0</v>
      </c>
      <c r="B396" s="242"/>
      <c r="C396" s="240" t="s">
        <v>5258</v>
      </c>
      <c r="D396" s="236"/>
      <c r="E396" s="240" t="s">
        <v>3511</v>
      </c>
      <c r="F396" s="238" t="s">
        <v>5032</v>
      </c>
      <c r="G396" s="238" t="s">
        <v>5240</v>
      </c>
      <c r="H396" s="240" t="s">
        <v>5259</v>
      </c>
      <c r="I396" s="236"/>
      <c r="J396" s="238" t="s">
        <v>5032</v>
      </c>
      <c r="K396" s="242"/>
      <c r="L396" s="237"/>
      <c r="M396" s="237"/>
      <c r="N396" s="237"/>
      <c r="O396" s="237"/>
      <c r="P396" s="237"/>
      <c r="Q396" s="237"/>
      <c r="R396" s="237"/>
      <c r="S396" s="237"/>
      <c r="T396" s="237"/>
      <c r="U396" s="237"/>
      <c r="V396" s="237"/>
      <c r="W396" s="237"/>
      <c r="X396" s="237"/>
      <c r="Y396" s="237"/>
      <c r="Z396" s="237"/>
      <c r="AA396" s="237"/>
      <c r="AB396" s="237"/>
    </row>
    <row r="397">
      <c r="A397" s="238">
        <v>396.0</v>
      </c>
      <c r="B397" s="242"/>
      <c r="C397" s="240" t="s">
        <v>5260</v>
      </c>
      <c r="D397" s="236"/>
      <c r="E397" s="240" t="s">
        <v>3496</v>
      </c>
      <c r="F397" s="240" t="s">
        <v>4704</v>
      </c>
      <c r="G397" s="238" t="s">
        <v>4705</v>
      </c>
      <c r="H397" s="236"/>
      <c r="I397" s="236"/>
      <c r="J397" s="238" t="s">
        <v>4583</v>
      </c>
      <c r="K397" s="242"/>
      <c r="L397" s="237"/>
      <c r="M397" s="237"/>
      <c r="N397" s="237"/>
      <c r="O397" s="237"/>
      <c r="P397" s="237"/>
      <c r="Q397" s="237"/>
      <c r="R397" s="237"/>
      <c r="S397" s="237"/>
      <c r="T397" s="237"/>
      <c r="U397" s="237"/>
      <c r="V397" s="237"/>
      <c r="W397" s="237"/>
      <c r="X397" s="237"/>
      <c r="Y397" s="237"/>
      <c r="Z397" s="237"/>
      <c r="AA397" s="237"/>
      <c r="AB397" s="237"/>
    </row>
    <row r="398">
      <c r="A398" s="238">
        <v>397.0</v>
      </c>
      <c r="B398" s="239" t="s">
        <v>4706</v>
      </c>
      <c r="C398" s="240" t="s">
        <v>5261</v>
      </c>
      <c r="D398" s="236"/>
      <c r="E398" s="240" t="s">
        <v>3496</v>
      </c>
      <c r="F398" s="240" t="s">
        <v>4708</v>
      </c>
      <c r="G398" s="238" t="s">
        <v>4709</v>
      </c>
      <c r="H398" s="236"/>
      <c r="I398" s="236"/>
      <c r="J398" s="238" t="s">
        <v>4536</v>
      </c>
      <c r="K398" s="239" t="s">
        <v>4706</v>
      </c>
      <c r="L398" s="237"/>
      <c r="M398" s="237"/>
      <c r="N398" s="237"/>
      <c r="O398" s="237"/>
      <c r="P398" s="237"/>
      <c r="Q398" s="237"/>
      <c r="R398" s="237"/>
      <c r="S398" s="237"/>
      <c r="T398" s="237"/>
      <c r="U398" s="237"/>
      <c r="V398" s="237"/>
      <c r="W398" s="237"/>
      <c r="X398" s="237"/>
      <c r="Y398" s="237"/>
      <c r="Z398" s="237"/>
      <c r="AA398" s="237"/>
      <c r="AB398" s="237"/>
    </row>
    <row r="399">
      <c r="A399" s="238">
        <v>398.0</v>
      </c>
      <c r="B399" s="239" t="s">
        <v>5262</v>
      </c>
      <c r="C399" s="240" t="s">
        <v>5263</v>
      </c>
      <c r="D399" s="236"/>
      <c r="E399" s="240" t="s">
        <v>3511</v>
      </c>
      <c r="F399" s="240" t="s">
        <v>5264</v>
      </c>
      <c r="G399" s="238" t="s">
        <v>5265</v>
      </c>
      <c r="H399" s="240" t="s">
        <v>5266</v>
      </c>
      <c r="I399" s="236"/>
      <c r="J399" s="238" t="s">
        <v>4542</v>
      </c>
      <c r="K399" s="239" t="s">
        <v>5262</v>
      </c>
      <c r="L399" s="237"/>
      <c r="M399" s="237"/>
      <c r="N399" s="237"/>
      <c r="O399" s="237"/>
      <c r="P399" s="237"/>
      <c r="Q399" s="237"/>
      <c r="R399" s="237"/>
      <c r="S399" s="237"/>
      <c r="T399" s="237"/>
      <c r="U399" s="237"/>
      <c r="V399" s="237"/>
      <c r="W399" s="237"/>
      <c r="X399" s="237"/>
      <c r="Y399" s="237"/>
      <c r="Z399" s="237"/>
      <c r="AA399" s="237"/>
      <c r="AB399" s="237"/>
    </row>
    <row r="400">
      <c r="A400" s="238">
        <v>399.0</v>
      </c>
      <c r="B400" s="239" t="s">
        <v>5267</v>
      </c>
      <c r="C400" s="240" t="s">
        <v>5268</v>
      </c>
      <c r="D400" s="236"/>
      <c r="E400" s="240" t="s">
        <v>3511</v>
      </c>
      <c r="F400" s="240" t="s">
        <v>5269</v>
      </c>
      <c r="G400" s="238" t="s">
        <v>5270</v>
      </c>
      <c r="H400" s="240" t="s">
        <v>5271</v>
      </c>
      <c r="I400" s="236"/>
      <c r="J400" s="238" t="s">
        <v>4542</v>
      </c>
      <c r="K400" s="239" t="s">
        <v>5267</v>
      </c>
      <c r="L400" s="237"/>
      <c r="M400" s="237"/>
      <c r="N400" s="237"/>
      <c r="O400" s="237"/>
      <c r="P400" s="237"/>
      <c r="Q400" s="237"/>
      <c r="R400" s="237"/>
      <c r="S400" s="237"/>
      <c r="T400" s="237"/>
      <c r="U400" s="237"/>
      <c r="V400" s="237"/>
      <c r="W400" s="237"/>
      <c r="X400" s="237"/>
      <c r="Y400" s="237"/>
      <c r="Z400" s="237"/>
      <c r="AA400" s="237"/>
      <c r="AB400" s="237"/>
    </row>
    <row r="401">
      <c r="A401" s="238">
        <v>400.0</v>
      </c>
      <c r="B401" s="239" t="s">
        <v>5272</v>
      </c>
      <c r="C401" s="240" t="s">
        <v>5273</v>
      </c>
      <c r="D401" s="236"/>
      <c r="E401" s="240" t="s">
        <v>3511</v>
      </c>
      <c r="F401" s="240" t="s">
        <v>5274</v>
      </c>
      <c r="G401" s="238" t="s">
        <v>5275</v>
      </c>
      <c r="H401" s="240" t="s">
        <v>5276</v>
      </c>
      <c r="I401" s="236"/>
      <c r="J401" s="238" t="s">
        <v>4542</v>
      </c>
      <c r="K401" s="239" t="s">
        <v>5272</v>
      </c>
      <c r="L401" s="237"/>
      <c r="M401" s="237"/>
      <c r="N401" s="237"/>
      <c r="O401" s="237"/>
      <c r="P401" s="237"/>
      <c r="Q401" s="237"/>
      <c r="R401" s="237"/>
      <c r="S401" s="237"/>
      <c r="T401" s="237"/>
      <c r="U401" s="237"/>
      <c r="V401" s="237"/>
      <c r="W401" s="237"/>
      <c r="X401" s="237"/>
      <c r="Y401" s="237"/>
      <c r="Z401" s="237"/>
      <c r="AA401" s="237"/>
      <c r="AB401" s="237"/>
    </row>
    <row r="402">
      <c r="A402" s="238">
        <v>401.0</v>
      </c>
      <c r="B402" s="239" t="s">
        <v>5267</v>
      </c>
      <c r="C402" s="240" t="s">
        <v>5277</v>
      </c>
      <c r="D402" s="236"/>
      <c r="E402" s="240" t="s">
        <v>3511</v>
      </c>
      <c r="F402" s="240" t="s">
        <v>5269</v>
      </c>
      <c r="G402" s="238" t="s">
        <v>5270</v>
      </c>
      <c r="H402" s="240" t="s">
        <v>5278</v>
      </c>
      <c r="I402" s="236"/>
      <c r="J402" s="238" t="s">
        <v>4542</v>
      </c>
      <c r="K402" s="239" t="s">
        <v>5267</v>
      </c>
      <c r="L402" s="237"/>
      <c r="M402" s="237"/>
      <c r="N402" s="237"/>
      <c r="O402" s="237"/>
      <c r="P402" s="237"/>
      <c r="Q402" s="237"/>
      <c r="R402" s="237"/>
      <c r="S402" s="237"/>
      <c r="T402" s="237"/>
      <c r="U402" s="237"/>
      <c r="V402" s="237"/>
      <c r="W402" s="237"/>
      <c r="X402" s="237"/>
      <c r="Y402" s="237"/>
      <c r="Z402" s="237"/>
      <c r="AA402" s="237"/>
      <c r="AB402" s="237"/>
    </row>
    <row r="403">
      <c r="A403" s="238">
        <v>402.0</v>
      </c>
      <c r="B403" s="239" t="s">
        <v>5272</v>
      </c>
      <c r="C403" s="240" t="s">
        <v>5279</v>
      </c>
      <c r="D403" s="236"/>
      <c r="E403" s="240" t="s">
        <v>3511</v>
      </c>
      <c r="F403" s="240" t="s">
        <v>5274</v>
      </c>
      <c r="G403" s="238" t="s">
        <v>5280</v>
      </c>
      <c r="H403" s="240" t="s">
        <v>5281</v>
      </c>
      <c r="I403" s="236"/>
      <c r="J403" s="238" t="s">
        <v>4542</v>
      </c>
      <c r="K403" s="239" t="s">
        <v>5272</v>
      </c>
      <c r="L403" s="237"/>
      <c r="M403" s="237"/>
      <c r="N403" s="237"/>
      <c r="O403" s="237"/>
      <c r="P403" s="237"/>
      <c r="Q403" s="237"/>
      <c r="R403" s="237"/>
      <c r="S403" s="237"/>
      <c r="T403" s="237"/>
      <c r="U403" s="237"/>
      <c r="V403" s="237"/>
      <c r="W403" s="237"/>
      <c r="X403" s="237"/>
      <c r="Y403" s="237"/>
      <c r="Z403" s="237"/>
      <c r="AA403" s="237"/>
      <c r="AB403" s="237"/>
    </row>
    <row r="404">
      <c r="A404" s="238">
        <v>403.0</v>
      </c>
      <c r="B404" s="239" t="s">
        <v>5267</v>
      </c>
      <c r="C404" s="240" t="s">
        <v>5282</v>
      </c>
      <c r="D404" s="236"/>
      <c r="E404" s="240" t="s">
        <v>3511</v>
      </c>
      <c r="F404" s="240" t="s">
        <v>5269</v>
      </c>
      <c r="G404" s="238" t="s">
        <v>5270</v>
      </c>
      <c r="H404" s="240" t="s">
        <v>5283</v>
      </c>
      <c r="I404" s="236"/>
      <c r="J404" s="238" t="s">
        <v>4542</v>
      </c>
      <c r="K404" s="239" t="s">
        <v>5267</v>
      </c>
      <c r="L404" s="237"/>
      <c r="M404" s="237"/>
      <c r="N404" s="237"/>
      <c r="O404" s="237"/>
      <c r="P404" s="237"/>
      <c r="Q404" s="237"/>
      <c r="R404" s="237"/>
      <c r="S404" s="237"/>
      <c r="T404" s="237"/>
      <c r="U404" s="237"/>
      <c r="V404" s="237"/>
      <c r="W404" s="237"/>
      <c r="X404" s="237"/>
      <c r="Y404" s="237"/>
      <c r="Z404" s="237"/>
      <c r="AA404" s="237"/>
      <c r="AB404" s="237"/>
    </row>
    <row r="405">
      <c r="A405" s="238">
        <v>404.0</v>
      </c>
      <c r="B405" s="239" t="s">
        <v>5284</v>
      </c>
      <c r="C405" s="240" t="s">
        <v>5285</v>
      </c>
      <c r="D405" s="236"/>
      <c r="E405" s="240" t="s">
        <v>3511</v>
      </c>
      <c r="F405" s="240" t="s">
        <v>5286</v>
      </c>
      <c r="G405" s="238" t="s">
        <v>5287</v>
      </c>
      <c r="H405" s="240" t="s">
        <v>5288</v>
      </c>
      <c r="I405" s="236"/>
      <c r="J405" s="238" t="s">
        <v>4542</v>
      </c>
      <c r="K405" s="239" t="s">
        <v>5284</v>
      </c>
      <c r="L405" s="237"/>
      <c r="M405" s="237"/>
      <c r="N405" s="237"/>
      <c r="O405" s="237"/>
      <c r="P405" s="237"/>
      <c r="Q405" s="237"/>
      <c r="R405" s="237"/>
      <c r="S405" s="237"/>
      <c r="T405" s="237"/>
      <c r="U405" s="237"/>
      <c r="V405" s="237"/>
      <c r="W405" s="237"/>
      <c r="X405" s="237"/>
      <c r="Y405" s="237"/>
      <c r="Z405" s="237"/>
      <c r="AA405" s="237"/>
      <c r="AB405" s="237"/>
    </row>
    <row r="406">
      <c r="A406" s="238">
        <v>405.0</v>
      </c>
      <c r="B406" s="242"/>
      <c r="C406" s="240" t="s">
        <v>5289</v>
      </c>
      <c r="D406" s="236"/>
      <c r="E406" s="240" t="s">
        <v>3511</v>
      </c>
      <c r="F406" s="238">
        <v>0.0</v>
      </c>
      <c r="G406" s="238" t="s">
        <v>5280</v>
      </c>
      <c r="H406" s="240" t="s">
        <v>5290</v>
      </c>
      <c r="I406" s="236"/>
      <c r="J406" s="238" t="s">
        <v>4542</v>
      </c>
      <c r="K406" s="242"/>
      <c r="L406" s="237"/>
      <c r="M406" s="237"/>
      <c r="N406" s="237"/>
      <c r="O406" s="237"/>
      <c r="P406" s="237"/>
      <c r="Q406" s="237"/>
      <c r="R406" s="237"/>
      <c r="S406" s="237"/>
      <c r="T406" s="237"/>
      <c r="U406" s="237"/>
      <c r="V406" s="237"/>
      <c r="W406" s="237"/>
      <c r="X406" s="237"/>
      <c r="Y406" s="237"/>
      <c r="Z406" s="237"/>
      <c r="AA406" s="237"/>
      <c r="AB406" s="237"/>
    </row>
    <row r="407">
      <c r="A407" s="238">
        <v>406.0</v>
      </c>
      <c r="B407" s="239" t="s">
        <v>5291</v>
      </c>
      <c r="C407" s="240" t="s">
        <v>5292</v>
      </c>
      <c r="D407" s="236"/>
      <c r="E407" s="240" t="s">
        <v>3511</v>
      </c>
      <c r="F407" s="240" t="s">
        <v>5293</v>
      </c>
      <c r="G407" s="238" t="s">
        <v>5294</v>
      </c>
      <c r="H407" s="240" t="s">
        <v>5295</v>
      </c>
      <c r="I407" s="236"/>
      <c r="J407" s="238" t="s">
        <v>5296</v>
      </c>
      <c r="K407" s="239" t="s">
        <v>5291</v>
      </c>
      <c r="L407" s="237"/>
      <c r="M407" s="237"/>
      <c r="N407" s="237"/>
      <c r="O407" s="237"/>
      <c r="P407" s="237"/>
      <c r="Q407" s="237"/>
      <c r="R407" s="237"/>
      <c r="S407" s="237"/>
      <c r="T407" s="237"/>
      <c r="U407" s="237"/>
      <c r="V407" s="237"/>
      <c r="W407" s="237"/>
      <c r="X407" s="237"/>
      <c r="Y407" s="237"/>
      <c r="Z407" s="237"/>
      <c r="AA407" s="237"/>
      <c r="AB407" s="237"/>
    </row>
    <row r="408">
      <c r="A408" s="238">
        <v>407.0</v>
      </c>
      <c r="B408" s="239" t="s">
        <v>5297</v>
      </c>
      <c r="C408" s="240" t="s">
        <v>5298</v>
      </c>
      <c r="D408" s="236"/>
      <c r="E408" s="240" t="s">
        <v>3496</v>
      </c>
      <c r="F408" s="240" t="s">
        <v>5299</v>
      </c>
      <c r="G408" s="238" t="s">
        <v>5300</v>
      </c>
      <c r="H408" s="236"/>
      <c r="I408" s="236"/>
      <c r="J408" s="238" t="s">
        <v>4542</v>
      </c>
      <c r="K408" s="239" t="s">
        <v>5297</v>
      </c>
      <c r="L408" s="237"/>
      <c r="M408" s="237"/>
      <c r="N408" s="237"/>
      <c r="O408" s="237"/>
      <c r="P408" s="237"/>
      <c r="Q408" s="237"/>
      <c r="R408" s="237"/>
      <c r="S408" s="237"/>
      <c r="T408" s="237"/>
      <c r="U408" s="237"/>
      <c r="V408" s="237"/>
      <c r="W408" s="237"/>
      <c r="X408" s="237"/>
      <c r="Y408" s="237"/>
      <c r="Z408" s="237"/>
      <c r="AA408" s="237"/>
      <c r="AB408" s="237"/>
    </row>
    <row r="409">
      <c r="A409" s="238">
        <v>408.0</v>
      </c>
      <c r="B409" s="239" t="s">
        <v>5301</v>
      </c>
      <c r="C409" s="240" t="s">
        <v>5302</v>
      </c>
      <c r="D409" s="236"/>
      <c r="E409" s="240" t="s">
        <v>3511</v>
      </c>
      <c r="F409" s="240" t="s">
        <v>5303</v>
      </c>
      <c r="G409" s="238" t="s">
        <v>5265</v>
      </c>
      <c r="H409" s="240" t="s">
        <v>5304</v>
      </c>
      <c r="I409" s="236"/>
      <c r="J409" s="238" t="s">
        <v>4542</v>
      </c>
      <c r="K409" s="239" t="s">
        <v>5301</v>
      </c>
      <c r="L409" s="237"/>
      <c r="M409" s="237"/>
      <c r="N409" s="237"/>
      <c r="O409" s="237"/>
      <c r="P409" s="237"/>
      <c r="Q409" s="237"/>
      <c r="R409" s="237"/>
      <c r="S409" s="237"/>
      <c r="T409" s="237"/>
      <c r="U409" s="237"/>
      <c r="V409" s="237"/>
      <c r="W409" s="237"/>
      <c r="X409" s="237"/>
      <c r="Y409" s="237"/>
      <c r="Z409" s="237"/>
      <c r="AA409" s="237"/>
      <c r="AB409" s="237"/>
    </row>
    <row r="410">
      <c r="A410" s="238">
        <v>409.0</v>
      </c>
      <c r="B410" s="239" t="s">
        <v>5305</v>
      </c>
      <c r="C410" s="240" t="s">
        <v>5306</v>
      </c>
      <c r="D410" s="236"/>
      <c r="E410" s="240" t="s">
        <v>3511</v>
      </c>
      <c r="F410" s="240" t="s">
        <v>5307</v>
      </c>
      <c r="G410" s="238" t="s">
        <v>5308</v>
      </c>
      <c r="H410" s="240" t="s">
        <v>5309</v>
      </c>
      <c r="I410" s="236"/>
      <c r="J410" s="238" t="s">
        <v>4542</v>
      </c>
      <c r="K410" s="239" t="s">
        <v>5305</v>
      </c>
      <c r="L410" s="237"/>
      <c r="M410" s="237"/>
      <c r="N410" s="237"/>
      <c r="O410" s="237"/>
      <c r="P410" s="237"/>
      <c r="Q410" s="237"/>
      <c r="R410" s="237"/>
      <c r="S410" s="237"/>
      <c r="T410" s="237"/>
      <c r="U410" s="237"/>
      <c r="V410" s="237"/>
      <c r="W410" s="237"/>
      <c r="X410" s="237"/>
      <c r="Y410" s="237"/>
      <c r="Z410" s="237"/>
      <c r="AA410" s="237"/>
      <c r="AB410" s="237"/>
    </row>
    <row r="411">
      <c r="A411" s="238">
        <v>410.0</v>
      </c>
      <c r="B411" s="242"/>
      <c r="C411" s="240" t="s">
        <v>5310</v>
      </c>
      <c r="D411" s="236"/>
      <c r="E411" s="240" t="s">
        <v>3511</v>
      </c>
      <c r="F411" s="240" t="s">
        <v>5311</v>
      </c>
      <c r="G411" s="238" t="s">
        <v>5312</v>
      </c>
      <c r="H411" s="240" t="s">
        <v>5313</v>
      </c>
      <c r="I411" s="236"/>
      <c r="J411" s="238" t="s">
        <v>4421</v>
      </c>
      <c r="K411" s="242"/>
      <c r="L411" s="237"/>
      <c r="M411" s="237"/>
      <c r="N411" s="237"/>
      <c r="O411" s="237"/>
      <c r="P411" s="237"/>
      <c r="Q411" s="237"/>
      <c r="R411" s="237"/>
      <c r="S411" s="237"/>
      <c r="T411" s="237"/>
      <c r="U411" s="237"/>
      <c r="V411" s="237"/>
      <c r="W411" s="237"/>
      <c r="X411" s="237"/>
      <c r="Y411" s="237"/>
      <c r="Z411" s="237"/>
      <c r="AA411" s="237"/>
      <c r="AB411" s="237"/>
    </row>
    <row r="412">
      <c r="A412" s="238">
        <v>411.0</v>
      </c>
      <c r="B412" s="239" t="s">
        <v>5314</v>
      </c>
      <c r="C412" s="240" t="s">
        <v>5315</v>
      </c>
      <c r="D412" s="236"/>
      <c r="E412" s="240" t="s">
        <v>3511</v>
      </c>
      <c r="F412" s="240" t="s">
        <v>5316</v>
      </c>
      <c r="G412" s="238" t="s">
        <v>5317</v>
      </c>
      <c r="H412" s="240" t="s">
        <v>5318</v>
      </c>
      <c r="I412" s="236"/>
      <c r="J412" s="238" t="s">
        <v>4421</v>
      </c>
      <c r="K412" s="239" t="s">
        <v>5314</v>
      </c>
      <c r="L412" s="237"/>
      <c r="M412" s="237"/>
      <c r="N412" s="237"/>
      <c r="O412" s="237"/>
      <c r="P412" s="237"/>
      <c r="Q412" s="237"/>
      <c r="R412" s="237"/>
      <c r="S412" s="237"/>
      <c r="T412" s="237"/>
      <c r="U412" s="237"/>
      <c r="V412" s="237"/>
      <c r="W412" s="237"/>
      <c r="X412" s="237"/>
      <c r="Y412" s="237"/>
      <c r="Z412" s="237"/>
      <c r="AA412" s="237"/>
      <c r="AB412" s="237"/>
    </row>
    <row r="413">
      <c r="A413" s="238">
        <v>412.0</v>
      </c>
      <c r="B413" s="242"/>
      <c r="C413" s="240" t="s">
        <v>5319</v>
      </c>
      <c r="D413" s="236"/>
      <c r="E413" s="240" t="s">
        <v>3511</v>
      </c>
      <c r="F413" s="240" t="s">
        <v>5320</v>
      </c>
      <c r="G413" s="238" t="s">
        <v>5321</v>
      </c>
      <c r="H413" s="240" t="s">
        <v>5322</v>
      </c>
      <c r="I413" s="236"/>
      <c r="J413" s="238" t="s">
        <v>4421</v>
      </c>
      <c r="K413" s="242"/>
      <c r="L413" s="237"/>
      <c r="M413" s="237"/>
      <c r="N413" s="237"/>
      <c r="O413" s="237"/>
      <c r="P413" s="237"/>
      <c r="Q413" s="237"/>
      <c r="R413" s="237"/>
      <c r="S413" s="237"/>
      <c r="T413" s="237"/>
      <c r="U413" s="237"/>
      <c r="V413" s="237"/>
      <c r="W413" s="237"/>
      <c r="X413" s="237"/>
      <c r="Y413" s="237"/>
      <c r="Z413" s="237"/>
      <c r="AA413" s="237"/>
      <c r="AB413" s="237"/>
    </row>
    <row r="414">
      <c r="A414" s="238">
        <v>413.0</v>
      </c>
      <c r="B414" s="242"/>
      <c r="C414" s="240" t="s">
        <v>5323</v>
      </c>
      <c r="D414" s="236"/>
      <c r="E414" s="240" t="s">
        <v>3511</v>
      </c>
      <c r="F414" s="240" t="s">
        <v>5324</v>
      </c>
      <c r="G414" s="238" t="s">
        <v>5325</v>
      </c>
      <c r="H414" s="240" t="s">
        <v>5326</v>
      </c>
      <c r="I414" s="236"/>
      <c r="J414" s="238" t="s">
        <v>4421</v>
      </c>
      <c r="K414" s="242"/>
      <c r="L414" s="237"/>
      <c r="M414" s="237"/>
      <c r="N414" s="237"/>
      <c r="O414" s="237"/>
      <c r="P414" s="237"/>
      <c r="Q414" s="237"/>
      <c r="R414" s="237"/>
      <c r="S414" s="237"/>
      <c r="T414" s="237"/>
      <c r="U414" s="237"/>
      <c r="V414" s="237"/>
      <c r="W414" s="237"/>
      <c r="X414" s="237"/>
      <c r="Y414" s="237"/>
      <c r="Z414" s="237"/>
      <c r="AA414" s="237"/>
      <c r="AB414" s="237"/>
    </row>
    <row r="415">
      <c r="A415" s="238">
        <v>414.0</v>
      </c>
      <c r="B415" s="242"/>
      <c r="C415" s="240" t="s">
        <v>5327</v>
      </c>
      <c r="D415" s="236"/>
      <c r="E415" s="240" t="s">
        <v>3511</v>
      </c>
      <c r="F415" s="240" t="s">
        <v>5328</v>
      </c>
      <c r="G415" s="238" t="s">
        <v>5329</v>
      </c>
      <c r="H415" s="240" t="s">
        <v>5330</v>
      </c>
      <c r="I415" s="236"/>
      <c r="J415" s="238" t="s">
        <v>4421</v>
      </c>
      <c r="K415" s="242"/>
      <c r="L415" s="237"/>
      <c r="M415" s="237"/>
      <c r="N415" s="237"/>
      <c r="O415" s="237"/>
      <c r="P415" s="237"/>
      <c r="Q415" s="237"/>
      <c r="R415" s="237"/>
      <c r="S415" s="237"/>
      <c r="T415" s="237"/>
      <c r="U415" s="237"/>
      <c r="V415" s="237"/>
      <c r="W415" s="237"/>
      <c r="X415" s="237"/>
      <c r="Y415" s="237"/>
      <c r="Z415" s="237"/>
      <c r="AA415" s="237"/>
      <c r="AB415" s="237"/>
    </row>
    <row r="416">
      <c r="A416" s="238">
        <v>415.0</v>
      </c>
      <c r="B416" s="242"/>
      <c r="C416" s="240" t="s">
        <v>5331</v>
      </c>
      <c r="D416" s="236"/>
      <c r="E416" s="240" t="s">
        <v>3511</v>
      </c>
      <c r="F416" s="238">
        <v>0.0</v>
      </c>
      <c r="G416" s="238" t="s">
        <v>5332</v>
      </c>
      <c r="H416" s="240" t="s">
        <v>5333</v>
      </c>
      <c r="I416" s="236"/>
      <c r="J416" s="238" t="s">
        <v>4421</v>
      </c>
      <c r="K416" s="242"/>
      <c r="L416" s="237"/>
      <c r="M416" s="237"/>
      <c r="N416" s="237"/>
      <c r="O416" s="237"/>
      <c r="P416" s="237"/>
      <c r="Q416" s="237"/>
      <c r="R416" s="237"/>
      <c r="S416" s="237"/>
      <c r="T416" s="237"/>
      <c r="U416" s="237"/>
      <c r="V416" s="237"/>
      <c r="W416" s="237"/>
      <c r="X416" s="237"/>
      <c r="Y416" s="237"/>
      <c r="Z416" s="237"/>
      <c r="AA416" s="237"/>
      <c r="AB416" s="237"/>
    </row>
    <row r="417">
      <c r="A417" s="238">
        <v>416.0</v>
      </c>
      <c r="B417" s="242"/>
      <c r="C417" s="240" t="s">
        <v>5334</v>
      </c>
      <c r="D417" s="236"/>
      <c r="E417" s="240" t="s">
        <v>3511</v>
      </c>
      <c r="F417" s="240" t="s">
        <v>5335</v>
      </c>
      <c r="G417" s="238" t="s">
        <v>5336</v>
      </c>
      <c r="H417" s="240" t="s">
        <v>5337</v>
      </c>
      <c r="I417" s="236"/>
      <c r="J417" s="238" t="s">
        <v>4452</v>
      </c>
      <c r="K417" s="242"/>
      <c r="L417" s="237"/>
      <c r="M417" s="237"/>
      <c r="N417" s="237"/>
      <c r="O417" s="237"/>
      <c r="P417" s="237"/>
      <c r="Q417" s="237"/>
      <c r="R417" s="237"/>
      <c r="S417" s="237"/>
      <c r="T417" s="237"/>
      <c r="U417" s="237"/>
      <c r="V417" s="237"/>
      <c r="W417" s="237"/>
      <c r="X417" s="237"/>
      <c r="Y417" s="237"/>
      <c r="Z417" s="237"/>
      <c r="AA417" s="237"/>
      <c r="AB417" s="237"/>
    </row>
    <row r="418">
      <c r="A418" s="238">
        <v>417.0</v>
      </c>
      <c r="B418" s="242"/>
      <c r="C418" s="240" t="s">
        <v>5338</v>
      </c>
      <c r="D418" s="236"/>
      <c r="E418" s="240" t="s">
        <v>3511</v>
      </c>
      <c r="F418" s="240" t="s">
        <v>5339</v>
      </c>
      <c r="G418" s="238" t="s">
        <v>5340</v>
      </c>
      <c r="H418" s="240" t="s">
        <v>5341</v>
      </c>
      <c r="I418" s="236"/>
      <c r="J418" s="238" t="s">
        <v>4421</v>
      </c>
      <c r="K418" s="242"/>
      <c r="L418" s="237"/>
      <c r="M418" s="237"/>
      <c r="N418" s="237"/>
      <c r="O418" s="237"/>
      <c r="P418" s="237"/>
      <c r="Q418" s="237"/>
      <c r="R418" s="237"/>
      <c r="S418" s="237"/>
      <c r="T418" s="237"/>
      <c r="U418" s="237"/>
      <c r="V418" s="237"/>
      <c r="W418" s="237"/>
      <c r="X418" s="237"/>
      <c r="Y418" s="237"/>
      <c r="Z418" s="237"/>
      <c r="AA418" s="237"/>
      <c r="AB418" s="237"/>
    </row>
    <row r="419">
      <c r="A419" s="238">
        <v>418.0</v>
      </c>
      <c r="B419" s="242"/>
      <c r="C419" s="240" t="s">
        <v>5342</v>
      </c>
      <c r="D419" s="236"/>
      <c r="E419" s="240" t="s">
        <v>3511</v>
      </c>
      <c r="F419" s="240" t="s">
        <v>5343</v>
      </c>
      <c r="G419" s="238" t="s">
        <v>5344</v>
      </c>
      <c r="H419" s="240" t="s">
        <v>5345</v>
      </c>
      <c r="I419" s="236"/>
      <c r="J419" s="238" t="s">
        <v>4421</v>
      </c>
      <c r="K419" s="242"/>
      <c r="L419" s="237"/>
      <c r="M419" s="237"/>
      <c r="N419" s="237"/>
      <c r="O419" s="237"/>
      <c r="P419" s="237"/>
      <c r="Q419" s="237"/>
      <c r="R419" s="237"/>
      <c r="S419" s="237"/>
      <c r="T419" s="237"/>
      <c r="U419" s="237"/>
      <c r="V419" s="237"/>
      <c r="W419" s="237"/>
      <c r="X419" s="237"/>
      <c r="Y419" s="237"/>
      <c r="Z419" s="237"/>
      <c r="AA419" s="237"/>
      <c r="AB419" s="237"/>
    </row>
    <row r="420">
      <c r="A420" s="238">
        <v>419.0</v>
      </c>
      <c r="B420" s="242"/>
      <c r="C420" s="240" t="s">
        <v>5346</v>
      </c>
      <c r="D420" s="236"/>
      <c r="E420" s="240" t="s">
        <v>3511</v>
      </c>
      <c r="F420" s="240" t="s">
        <v>5347</v>
      </c>
      <c r="G420" s="238" t="s">
        <v>5348</v>
      </c>
      <c r="H420" s="240" t="s">
        <v>5349</v>
      </c>
      <c r="I420" s="236"/>
      <c r="J420" s="238" t="s">
        <v>4421</v>
      </c>
      <c r="K420" s="242"/>
      <c r="L420" s="237"/>
      <c r="M420" s="237"/>
      <c r="N420" s="237"/>
      <c r="O420" s="237"/>
      <c r="P420" s="237"/>
      <c r="Q420" s="237"/>
      <c r="R420" s="237"/>
      <c r="S420" s="237"/>
      <c r="T420" s="237"/>
      <c r="U420" s="237"/>
      <c r="V420" s="237"/>
      <c r="W420" s="237"/>
      <c r="X420" s="237"/>
      <c r="Y420" s="237"/>
      <c r="Z420" s="237"/>
      <c r="AA420" s="237"/>
      <c r="AB420" s="237"/>
    </row>
    <row r="421">
      <c r="A421" s="238">
        <v>420.0</v>
      </c>
      <c r="B421" s="242"/>
      <c r="C421" s="240" t="s">
        <v>5350</v>
      </c>
      <c r="D421" s="236"/>
      <c r="E421" s="240" t="s">
        <v>3511</v>
      </c>
      <c r="F421" s="240" t="s">
        <v>5351</v>
      </c>
      <c r="G421" s="238" t="s">
        <v>5352</v>
      </c>
      <c r="H421" s="240" t="s">
        <v>5353</v>
      </c>
      <c r="I421" s="236"/>
      <c r="J421" s="238" t="s">
        <v>4421</v>
      </c>
      <c r="K421" s="242"/>
      <c r="L421" s="237"/>
      <c r="M421" s="237"/>
      <c r="N421" s="237"/>
      <c r="O421" s="237"/>
      <c r="P421" s="237"/>
      <c r="Q421" s="237"/>
      <c r="R421" s="237"/>
      <c r="S421" s="237"/>
      <c r="T421" s="237"/>
      <c r="U421" s="237"/>
      <c r="V421" s="237"/>
      <c r="W421" s="237"/>
      <c r="X421" s="237"/>
      <c r="Y421" s="237"/>
      <c r="Z421" s="237"/>
      <c r="AA421" s="237"/>
      <c r="AB421" s="237"/>
    </row>
    <row r="422">
      <c r="A422" s="238">
        <v>421.0</v>
      </c>
      <c r="B422" s="242"/>
      <c r="C422" s="240" t="s">
        <v>5354</v>
      </c>
      <c r="D422" s="236"/>
      <c r="E422" s="240" t="s">
        <v>3511</v>
      </c>
      <c r="F422" s="240" t="s">
        <v>5355</v>
      </c>
      <c r="G422" s="238" t="s">
        <v>5356</v>
      </c>
      <c r="H422" s="240" t="s">
        <v>5357</v>
      </c>
      <c r="I422" s="236"/>
      <c r="J422" s="238" t="s">
        <v>4421</v>
      </c>
      <c r="K422" s="242"/>
      <c r="L422" s="237"/>
      <c r="M422" s="237"/>
      <c r="N422" s="237"/>
      <c r="O422" s="237"/>
      <c r="P422" s="237"/>
      <c r="Q422" s="237"/>
      <c r="R422" s="237"/>
      <c r="S422" s="237"/>
      <c r="T422" s="237"/>
      <c r="U422" s="237"/>
      <c r="V422" s="237"/>
      <c r="W422" s="237"/>
      <c r="X422" s="237"/>
      <c r="Y422" s="237"/>
      <c r="Z422" s="237"/>
      <c r="AA422" s="237"/>
      <c r="AB422" s="237"/>
    </row>
    <row r="423">
      <c r="A423" s="238">
        <v>422.0</v>
      </c>
      <c r="B423" s="242"/>
      <c r="C423" s="240" t="s">
        <v>5358</v>
      </c>
      <c r="D423" s="236"/>
      <c r="E423" s="240" t="s">
        <v>3496</v>
      </c>
      <c r="F423" s="240" t="s">
        <v>5359</v>
      </c>
      <c r="G423" s="238" t="s">
        <v>5360</v>
      </c>
      <c r="H423" s="236"/>
      <c r="I423" s="236"/>
      <c r="J423" s="238" t="s">
        <v>4421</v>
      </c>
      <c r="K423" s="242"/>
      <c r="L423" s="237"/>
      <c r="M423" s="237"/>
      <c r="N423" s="237"/>
      <c r="O423" s="237"/>
      <c r="P423" s="237"/>
      <c r="Q423" s="237"/>
      <c r="R423" s="237"/>
      <c r="S423" s="237"/>
      <c r="T423" s="237"/>
      <c r="U423" s="237"/>
      <c r="V423" s="237"/>
      <c r="W423" s="237"/>
      <c r="X423" s="237"/>
      <c r="Y423" s="237"/>
      <c r="Z423" s="237"/>
      <c r="AA423" s="237"/>
      <c r="AB423" s="237"/>
    </row>
    <row r="424">
      <c r="A424" s="238">
        <v>423.0</v>
      </c>
      <c r="B424" s="239" t="s">
        <v>5361</v>
      </c>
      <c r="C424" s="241" t="s">
        <v>5362</v>
      </c>
      <c r="D424" s="236"/>
      <c r="E424" s="240" t="s">
        <v>3511</v>
      </c>
      <c r="F424" s="241" t="s">
        <v>5363</v>
      </c>
      <c r="G424" s="238" t="s">
        <v>5364</v>
      </c>
      <c r="H424" s="240" t="s">
        <v>5365</v>
      </c>
      <c r="I424" s="236"/>
      <c r="J424" s="238" t="s">
        <v>5366</v>
      </c>
      <c r="K424" s="239" t="s">
        <v>5361</v>
      </c>
      <c r="L424" s="237"/>
      <c r="M424" s="237"/>
      <c r="N424" s="237"/>
      <c r="O424" s="237"/>
      <c r="P424" s="237"/>
      <c r="Q424" s="237"/>
      <c r="R424" s="237"/>
      <c r="S424" s="237"/>
      <c r="T424" s="237"/>
      <c r="U424" s="237"/>
      <c r="V424" s="237"/>
      <c r="W424" s="237"/>
      <c r="X424" s="237"/>
      <c r="Y424" s="237"/>
      <c r="Z424" s="237"/>
      <c r="AA424" s="237"/>
      <c r="AB424" s="237"/>
    </row>
    <row r="425">
      <c r="A425" s="238">
        <v>424.0</v>
      </c>
      <c r="B425" s="239" t="s">
        <v>5367</v>
      </c>
      <c r="C425" s="240" t="s">
        <v>5368</v>
      </c>
      <c r="D425" s="236"/>
      <c r="E425" s="241" t="s">
        <v>3496</v>
      </c>
      <c r="F425" s="240" t="s">
        <v>5369</v>
      </c>
      <c r="G425" s="238" t="s">
        <v>5370</v>
      </c>
      <c r="H425" s="236"/>
      <c r="I425" s="236"/>
      <c r="J425" s="238" t="s">
        <v>5366</v>
      </c>
      <c r="K425" s="239" t="s">
        <v>5367</v>
      </c>
      <c r="L425" s="237"/>
      <c r="M425" s="237"/>
      <c r="N425" s="237"/>
      <c r="O425" s="237"/>
      <c r="P425" s="237"/>
      <c r="Q425" s="237"/>
      <c r="R425" s="237"/>
      <c r="S425" s="237"/>
      <c r="T425" s="237"/>
      <c r="U425" s="237"/>
      <c r="V425" s="237"/>
      <c r="W425" s="237"/>
      <c r="X425" s="237"/>
      <c r="Y425" s="237"/>
      <c r="Z425" s="237"/>
      <c r="AA425" s="237"/>
      <c r="AB425" s="237"/>
    </row>
    <row r="426">
      <c r="A426" s="238">
        <v>425.0</v>
      </c>
      <c r="B426" s="242"/>
      <c r="C426" s="240" t="s">
        <v>5371</v>
      </c>
      <c r="D426" s="236"/>
      <c r="E426" s="240" t="s">
        <v>3511</v>
      </c>
      <c r="F426" s="238">
        <v>0.0</v>
      </c>
      <c r="G426" s="238" t="s">
        <v>5372</v>
      </c>
      <c r="H426" s="240" t="s">
        <v>5373</v>
      </c>
      <c r="I426" s="236"/>
      <c r="J426" s="238" t="s">
        <v>5366</v>
      </c>
      <c r="K426" s="242"/>
      <c r="L426" s="237"/>
      <c r="M426" s="237"/>
      <c r="N426" s="237"/>
      <c r="O426" s="237"/>
      <c r="P426" s="237"/>
      <c r="Q426" s="237"/>
      <c r="R426" s="237"/>
      <c r="S426" s="237"/>
      <c r="T426" s="237"/>
      <c r="U426" s="237"/>
      <c r="V426" s="237"/>
      <c r="W426" s="237"/>
      <c r="X426" s="237"/>
      <c r="Y426" s="237"/>
      <c r="Z426" s="237"/>
      <c r="AA426" s="237"/>
      <c r="AB426" s="237"/>
    </row>
    <row r="427">
      <c r="A427" s="238">
        <v>426.0</v>
      </c>
      <c r="B427" s="239" t="s">
        <v>5374</v>
      </c>
      <c r="C427" s="240" t="s">
        <v>5375</v>
      </c>
      <c r="D427" s="236"/>
      <c r="E427" s="240" t="s">
        <v>3511</v>
      </c>
      <c r="F427" s="240" t="s">
        <v>5376</v>
      </c>
      <c r="G427" s="238" t="s">
        <v>5377</v>
      </c>
      <c r="H427" s="240" t="s">
        <v>5378</v>
      </c>
      <c r="I427" s="236"/>
      <c r="J427" s="238" t="s">
        <v>5379</v>
      </c>
      <c r="K427" s="239" t="s">
        <v>5374</v>
      </c>
      <c r="L427" s="237"/>
      <c r="M427" s="237"/>
      <c r="N427" s="237"/>
      <c r="O427" s="237"/>
      <c r="P427" s="237"/>
      <c r="Q427" s="237"/>
      <c r="R427" s="237"/>
      <c r="S427" s="237"/>
      <c r="T427" s="237"/>
      <c r="U427" s="237"/>
      <c r="V427" s="237"/>
      <c r="W427" s="237"/>
      <c r="X427" s="237"/>
      <c r="Y427" s="237"/>
      <c r="Z427" s="237"/>
      <c r="AA427" s="237"/>
      <c r="AB427" s="237"/>
    </row>
    <row r="428">
      <c r="A428" s="238">
        <v>427.0</v>
      </c>
      <c r="B428" s="239" t="s">
        <v>5380</v>
      </c>
      <c r="C428" s="240" t="s">
        <v>5381</v>
      </c>
      <c r="D428" s="236"/>
      <c r="E428" s="240" t="s">
        <v>3511</v>
      </c>
      <c r="F428" s="240" t="s">
        <v>5382</v>
      </c>
      <c r="G428" s="238" t="s">
        <v>5383</v>
      </c>
      <c r="H428" s="240" t="s">
        <v>5384</v>
      </c>
      <c r="I428" s="236"/>
      <c r="J428" s="238" t="s">
        <v>5366</v>
      </c>
      <c r="K428" s="239" t="s">
        <v>5380</v>
      </c>
      <c r="L428" s="237"/>
      <c r="M428" s="237"/>
      <c r="N428" s="237"/>
      <c r="O428" s="237"/>
      <c r="P428" s="237"/>
      <c r="Q428" s="237"/>
      <c r="R428" s="237"/>
      <c r="S428" s="237"/>
      <c r="T428" s="237"/>
      <c r="U428" s="237"/>
      <c r="V428" s="237"/>
      <c r="W428" s="237"/>
      <c r="X428" s="237"/>
      <c r="Y428" s="237"/>
      <c r="Z428" s="237"/>
      <c r="AA428" s="237"/>
      <c r="AB428" s="237"/>
    </row>
    <row r="429">
      <c r="A429" s="238">
        <v>428.0</v>
      </c>
      <c r="B429" s="242"/>
      <c r="C429" s="240" t="s">
        <v>5385</v>
      </c>
      <c r="D429" s="236"/>
      <c r="E429" s="240" t="s">
        <v>3496</v>
      </c>
      <c r="F429" s="240" t="s">
        <v>5386</v>
      </c>
      <c r="G429" s="238" t="s">
        <v>5387</v>
      </c>
      <c r="H429" s="236"/>
      <c r="I429" s="236"/>
      <c r="J429" s="238" t="s">
        <v>5366</v>
      </c>
      <c r="K429" s="242"/>
      <c r="L429" s="237"/>
      <c r="M429" s="237"/>
      <c r="N429" s="237"/>
      <c r="O429" s="237"/>
      <c r="P429" s="237"/>
      <c r="Q429" s="237"/>
      <c r="R429" s="237"/>
      <c r="S429" s="237"/>
      <c r="T429" s="237"/>
      <c r="U429" s="237"/>
      <c r="V429" s="237"/>
      <c r="W429" s="237"/>
      <c r="X429" s="237"/>
      <c r="Y429" s="237"/>
      <c r="Z429" s="237"/>
      <c r="AA429" s="237"/>
      <c r="AB429" s="237"/>
    </row>
    <row r="430">
      <c r="A430" s="238">
        <v>429.0</v>
      </c>
      <c r="B430" s="242"/>
      <c r="C430" s="240" t="s">
        <v>5388</v>
      </c>
      <c r="D430" s="236"/>
      <c r="E430" s="240" t="s">
        <v>3511</v>
      </c>
      <c r="F430" s="240" t="s">
        <v>5389</v>
      </c>
      <c r="G430" s="238" t="s">
        <v>5390</v>
      </c>
      <c r="H430" s="240" t="s">
        <v>5391</v>
      </c>
      <c r="I430" s="236"/>
      <c r="J430" s="238" t="s">
        <v>3962</v>
      </c>
      <c r="K430" s="242"/>
      <c r="L430" s="237"/>
      <c r="M430" s="237"/>
      <c r="N430" s="237"/>
      <c r="O430" s="237"/>
      <c r="P430" s="237"/>
      <c r="Q430" s="237"/>
      <c r="R430" s="237"/>
      <c r="S430" s="237"/>
      <c r="T430" s="237"/>
      <c r="U430" s="237"/>
      <c r="V430" s="237"/>
      <c r="W430" s="237"/>
      <c r="X430" s="237"/>
      <c r="Y430" s="237"/>
      <c r="Z430" s="237"/>
      <c r="AA430" s="237"/>
      <c r="AB430" s="237"/>
    </row>
    <row r="431">
      <c r="A431" s="238">
        <v>430.0</v>
      </c>
      <c r="B431" s="239" t="s">
        <v>5392</v>
      </c>
      <c r="C431" s="240" t="s">
        <v>5393</v>
      </c>
      <c r="D431" s="236"/>
      <c r="E431" s="240" t="s">
        <v>3511</v>
      </c>
      <c r="F431" s="240" t="s">
        <v>5394</v>
      </c>
      <c r="G431" s="238" t="s">
        <v>5395</v>
      </c>
      <c r="H431" s="240" t="s">
        <v>5396</v>
      </c>
      <c r="I431" s="236"/>
      <c r="J431" s="238" t="s">
        <v>3962</v>
      </c>
      <c r="K431" s="239" t="s">
        <v>5392</v>
      </c>
      <c r="L431" s="237"/>
      <c r="M431" s="237"/>
      <c r="N431" s="237"/>
      <c r="O431" s="237"/>
      <c r="P431" s="237"/>
      <c r="Q431" s="237"/>
      <c r="R431" s="237"/>
      <c r="S431" s="237"/>
      <c r="T431" s="237"/>
      <c r="U431" s="237"/>
      <c r="V431" s="237"/>
      <c r="W431" s="237"/>
      <c r="X431" s="237"/>
      <c r="Y431" s="237"/>
      <c r="Z431" s="237"/>
      <c r="AA431" s="237"/>
      <c r="AB431" s="237"/>
    </row>
    <row r="432">
      <c r="A432" s="238">
        <v>431.0</v>
      </c>
      <c r="B432" s="239" t="s">
        <v>5397</v>
      </c>
      <c r="C432" s="240" t="s">
        <v>5398</v>
      </c>
      <c r="D432" s="236"/>
      <c r="E432" s="240" t="s">
        <v>3511</v>
      </c>
      <c r="F432" s="240" t="s">
        <v>5399</v>
      </c>
      <c r="G432" s="238" t="s">
        <v>5400</v>
      </c>
      <c r="H432" s="240" t="s">
        <v>5401</v>
      </c>
      <c r="I432" s="236"/>
      <c r="J432" s="238" t="s">
        <v>3962</v>
      </c>
      <c r="K432" s="239" t="s">
        <v>5397</v>
      </c>
      <c r="L432" s="237"/>
      <c r="M432" s="237"/>
      <c r="N432" s="237"/>
      <c r="O432" s="237"/>
      <c r="P432" s="237"/>
      <c r="Q432" s="237"/>
      <c r="R432" s="237"/>
      <c r="S432" s="237"/>
      <c r="T432" s="237"/>
      <c r="U432" s="237"/>
      <c r="V432" s="237"/>
      <c r="W432" s="237"/>
      <c r="X432" s="237"/>
      <c r="Y432" s="237"/>
      <c r="Z432" s="237"/>
      <c r="AA432" s="237"/>
      <c r="AB432" s="237"/>
    </row>
    <row r="433">
      <c r="A433" s="238">
        <v>432.0</v>
      </c>
      <c r="B433" s="239" t="s">
        <v>5402</v>
      </c>
      <c r="C433" s="240" t="s">
        <v>5403</v>
      </c>
      <c r="D433" s="236"/>
      <c r="E433" s="240" t="s">
        <v>3511</v>
      </c>
      <c r="F433" s="240" t="s">
        <v>5404</v>
      </c>
      <c r="G433" s="238" t="s">
        <v>5405</v>
      </c>
      <c r="H433" s="240" t="s">
        <v>5406</v>
      </c>
      <c r="I433" s="236"/>
      <c r="J433" s="238" t="s">
        <v>3962</v>
      </c>
      <c r="K433" s="239" t="s">
        <v>5402</v>
      </c>
      <c r="L433" s="237"/>
      <c r="M433" s="237"/>
      <c r="N433" s="237"/>
      <c r="O433" s="237"/>
      <c r="P433" s="237"/>
      <c r="Q433" s="237"/>
      <c r="R433" s="237"/>
      <c r="S433" s="237"/>
      <c r="T433" s="237"/>
      <c r="U433" s="237"/>
      <c r="V433" s="237"/>
      <c r="W433" s="237"/>
      <c r="X433" s="237"/>
      <c r="Y433" s="237"/>
      <c r="Z433" s="237"/>
      <c r="AA433" s="237"/>
      <c r="AB433" s="237"/>
    </row>
    <row r="434">
      <c r="A434" s="238">
        <v>433.0</v>
      </c>
      <c r="B434" s="239" t="s">
        <v>5407</v>
      </c>
      <c r="C434" s="240" t="s">
        <v>5408</v>
      </c>
      <c r="D434" s="236"/>
      <c r="E434" s="240" t="s">
        <v>3511</v>
      </c>
      <c r="F434" s="240" t="s">
        <v>2299</v>
      </c>
      <c r="G434" s="238" t="s">
        <v>5409</v>
      </c>
      <c r="H434" s="240" t="s">
        <v>5410</v>
      </c>
      <c r="I434" s="236"/>
      <c r="J434" s="238" t="s">
        <v>3962</v>
      </c>
      <c r="K434" s="239" t="s">
        <v>5407</v>
      </c>
      <c r="L434" s="237"/>
      <c r="M434" s="237"/>
      <c r="N434" s="237"/>
      <c r="O434" s="237"/>
      <c r="P434" s="237"/>
      <c r="Q434" s="237"/>
      <c r="R434" s="237"/>
      <c r="S434" s="237"/>
      <c r="T434" s="237"/>
      <c r="U434" s="237"/>
      <c r="V434" s="237"/>
      <c r="W434" s="237"/>
      <c r="X434" s="237"/>
      <c r="Y434" s="237"/>
      <c r="Z434" s="237"/>
      <c r="AA434" s="237"/>
      <c r="AB434" s="237"/>
    </row>
    <row r="435">
      <c r="A435" s="238">
        <v>434.0</v>
      </c>
      <c r="B435" s="239" t="s">
        <v>5411</v>
      </c>
      <c r="C435" s="241" t="s">
        <v>5412</v>
      </c>
      <c r="D435" s="236"/>
      <c r="E435" s="240" t="s">
        <v>3511</v>
      </c>
      <c r="F435" s="241" t="s">
        <v>2300</v>
      </c>
      <c r="G435" s="238" t="s">
        <v>5413</v>
      </c>
      <c r="H435" s="240" t="s">
        <v>5414</v>
      </c>
      <c r="I435" s="236"/>
      <c r="J435" s="238" t="s">
        <v>3962</v>
      </c>
      <c r="K435" s="239" t="s">
        <v>5411</v>
      </c>
      <c r="L435" s="237"/>
      <c r="M435" s="237"/>
      <c r="N435" s="237"/>
      <c r="O435" s="237"/>
      <c r="P435" s="237"/>
      <c r="Q435" s="237"/>
      <c r="R435" s="237"/>
      <c r="S435" s="237"/>
      <c r="T435" s="237"/>
      <c r="U435" s="237"/>
      <c r="V435" s="237"/>
      <c r="W435" s="237"/>
      <c r="X435" s="237"/>
      <c r="Y435" s="237"/>
      <c r="Z435" s="237"/>
      <c r="AA435" s="237"/>
      <c r="AB435" s="237"/>
    </row>
    <row r="436">
      <c r="A436" s="238">
        <v>435.0</v>
      </c>
      <c r="B436" s="242"/>
      <c r="C436" s="240" t="s">
        <v>5415</v>
      </c>
      <c r="D436" s="236"/>
      <c r="E436" s="240" t="s">
        <v>3511</v>
      </c>
      <c r="F436" s="238">
        <v>0.0</v>
      </c>
      <c r="G436" s="238" t="s">
        <v>5416</v>
      </c>
      <c r="H436" s="240" t="s">
        <v>5417</v>
      </c>
      <c r="I436" s="236"/>
      <c r="J436" s="238" t="s">
        <v>3962</v>
      </c>
      <c r="K436" s="242"/>
      <c r="L436" s="237"/>
      <c r="M436" s="237"/>
      <c r="N436" s="237"/>
      <c r="O436" s="237"/>
      <c r="P436" s="237"/>
      <c r="Q436" s="237"/>
      <c r="R436" s="237"/>
      <c r="S436" s="237"/>
      <c r="T436" s="237"/>
      <c r="U436" s="237"/>
      <c r="V436" s="237"/>
      <c r="W436" s="237"/>
      <c r="X436" s="237"/>
      <c r="Y436" s="237"/>
      <c r="Z436" s="237"/>
      <c r="AA436" s="237"/>
      <c r="AB436" s="237"/>
    </row>
    <row r="437">
      <c r="A437" s="238">
        <v>436.0</v>
      </c>
      <c r="B437" s="239" t="s">
        <v>5418</v>
      </c>
      <c r="C437" s="240" t="s">
        <v>5419</v>
      </c>
      <c r="D437" s="236"/>
      <c r="E437" s="240" t="s">
        <v>3511</v>
      </c>
      <c r="F437" s="240" t="s">
        <v>5420</v>
      </c>
      <c r="G437" s="238" t="s">
        <v>5421</v>
      </c>
      <c r="H437" s="240" t="s">
        <v>5422</v>
      </c>
      <c r="I437" s="236"/>
      <c r="J437" s="238" t="s">
        <v>4171</v>
      </c>
      <c r="K437" s="239" t="s">
        <v>5418</v>
      </c>
      <c r="L437" s="237"/>
      <c r="M437" s="237"/>
      <c r="N437" s="237"/>
      <c r="O437" s="237"/>
      <c r="P437" s="237"/>
      <c r="Q437" s="237"/>
      <c r="R437" s="237"/>
      <c r="S437" s="237"/>
      <c r="T437" s="237"/>
      <c r="U437" s="237"/>
      <c r="V437" s="237"/>
      <c r="W437" s="237"/>
      <c r="X437" s="237"/>
      <c r="Y437" s="237"/>
      <c r="Z437" s="237"/>
      <c r="AA437" s="237"/>
      <c r="AB437" s="237"/>
    </row>
    <row r="438">
      <c r="A438" s="238">
        <v>437.0</v>
      </c>
      <c r="B438" s="239" t="s">
        <v>5423</v>
      </c>
      <c r="C438" s="240" t="s">
        <v>5424</v>
      </c>
      <c r="D438" s="236"/>
      <c r="E438" s="240" t="s">
        <v>3496</v>
      </c>
      <c r="F438" s="240" t="s">
        <v>5425</v>
      </c>
      <c r="G438" s="238" t="s">
        <v>5426</v>
      </c>
      <c r="H438" s="236"/>
      <c r="I438" s="236"/>
      <c r="J438" s="238" t="s">
        <v>4542</v>
      </c>
      <c r="K438" s="239" t="s">
        <v>5423</v>
      </c>
      <c r="L438" s="237"/>
      <c r="M438" s="237"/>
      <c r="N438" s="237"/>
      <c r="O438" s="237"/>
      <c r="P438" s="237"/>
      <c r="Q438" s="237"/>
      <c r="R438" s="237"/>
      <c r="S438" s="237"/>
      <c r="T438" s="237"/>
      <c r="U438" s="237"/>
      <c r="V438" s="237"/>
      <c r="W438" s="237"/>
      <c r="X438" s="237"/>
      <c r="Y438" s="237"/>
      <c r="Z438" s="237"/>
      <c r="AA438" s="237"/>
      <c r="AB438" s="237"/>
    </row>
    <row r="439">
      <c r="A439" s="238">
        <v>438.0</v>
      </c>
      <c r="B439" s="239" t="s">
        <v>5427</v>
      </c>
      <c r="C439" s="240" t="s">
        <v>5428</v>
      </c>
      <c r="D439" s="236"/>
      <c r="E439" s="240" t="s">
        <v>3496</v>
      </c>
      <c r="F439" s="240" t="s">
        <v>5429</v>
      </c>
      <c r="G439" s="238" t="s">
        <v>5265</v>
      </c>
      <c r="H439" s="236"/>
      <c r="I439" s="236"/>
      <c r="J439" s="238" t="s">
        <v>4542</v>
      </c>
      <c r="K439" s="239" t="s">
        <v>5427</v>
      </c>
      <c r="L439" s="237"/>
      <c r="M439" s="237"/>
      <c r="N439" s="237"/>
      <c r="O439" s="237"/>
      <c r="P439" s="237"/>
      <c r="Q439" s="237"/>
      <c r="R439" s="237"/>
      <c r="S439" s="237"/>
      <c r="T439" s="237"/>
      <c r="U439" s="237"/>
      <c r="V439" s="237"/>
      <c r="W439" s="237"/>
      <c r="X439" s="237"/>
      <c r="Y439" s="237"/>
      <c r="Z439" s="237"/>
      <c r="AA439" s="237"/>
      <c r="AB439" s="237"/>
    </row>
    <row r="440">
      <c r="A440" s="238">
        <v>439.0</v>
      </c>
      <c r="B440" s="239" t="s">
        <v>5430</v>
      </c>
      <c r="C440" s="240" t="s">
        <v>5431</v>
      </c>
      <c r="D440" s="236"/>
      <c r="E440" s="240" t="s">
        <v>3496</v>
      </c>
      <c r="F440" s="240" t="s">
        <v>5432</v>
      </c>
      <c r="G440" s="238" t="s">
        <v>5433</v>
      </c>
      <c r="H440" s="236"/>
      <c r="I440" s="236"/>
      <c r="J440" s="238" t="s">
        <v>4542</v>
      </c>
      <c r="K440" s="239" t="s">
        <v>5430</v>
      </c>
      <c r="L440" s="237"/>
      <c r="M440" s="237"/>
      <c r="N440" s="237"/>
      <c r="O440" s="237"/>
      <c r="P440" s="237"/>
      <c r="Q440" s="237"/>
      <c r="R440" s="237"/>
      <c r="S440" s="237"/>
      <c r="T440" s="237"/>
      <c r="U440" s="237"/>
      <c r="V440" s="237"/>
      <c r="W440" s="237"/>
      <c r="X440" s="237"/>
      <c r="Y440" s="237"/>
      <c r="Z440" s="237"/>
      <c r="AA440" s="237"/>
      <c r="AB440" s="237"/>
    </row>
    <row r="441">
      <c r="A441" s="238">
        <v>440.0</v>
      </c>
      <c r="B441" s="239" t="s">
        <v>5434</v>
      </c>
      <c r="C441" s="240" t="s">
        <v>5435</v>
      </c>
      <c r="D441" s="236"/>
      <c r="E441" s="240" t="s">
        <v>3496</v>
      </c>
      <c r="F441" s="240" t="s">
        <v>5436</v>
      </c>
      <c r="G441" s="238" t="s">
        <v>5437</v>
      </c>
      <c r="H441" s="236"/>
      <c r="I441" s="236"/>
      <c r="J441" s="238" t="s">
        <v>4542</v>
      </c>
      <c r="K441" s="239" t="s">
        <v>5434</v>
      </c>
      <c r="L441" s="237"/>
      <c r="M441" s="237"/>
      <c r="N441" s="237"/>
      <c r="O441" s="237"/>
      <c r="P441" s="237"/>
      <c r="Q441" s="237"/>
      <c r="R441" s="237"/>
      <c r="S441" s="237"/>
      <c r="T441" s="237"/>
      <c r="U441" s="237"/>
      <c r="V441" s="237"/>
      <c r="W441" s="237"/>
      <c r="X441" s="237"/>
      <c r="Y441" s="237"/>
      <c r="Z441" s="237"/>
      <c r="AA441" s="237"/>
      <c r="AB441" s="237"/>
    </row>
    <row r="442">
      <c r="A442" s="238">
        <v>441.0</v>
      </c>
      <c r="B442" s="239" t="s">
        <v>5438</v>
      </c>
      <c r="C442" s="240" t="s">
        <v>5439</v>
      </c>
      <c r="D442" s="236"/>
      <c r="E442" s="240" t="s">
        <v>3496</v>
      </c>
      <c r="F442" s="240" t="s">
        <v>5440</v>
      </c>
      <c r="G442" s="238" t="s">
        <v>5441</v>
      </c>
      <c r="H442" s="236"/>
      <c r="I442" s="236"/>
      <c r="J442" s="238" t="s">
        <v>4542</v>
      </c>
      <c r="K442" s="239" t="s">
        <v>5438</v>
      </c>
      <c r="L442" s="237"/>
      <c r="M442" s="237"/>
      <c r="N442" s="237"/>
      <c r="O442" s="237"/>
      <c r="P442" s="237"/>
      <c r="Q442" s="237"/>
      <c r="R442" s="237"/>
      <c r="S442" s="237"/>
      <c r="T442" s="237"/>
      <c r="U442" s="237"/>
      <c r="V442" s="237"/>
      <c r="W442" s="237"/>
      <c r="X442" s="237"/>
      <c r="Y442" s="237"/>
      <c r="Z442" s="237"/>
      <c r="AA442" s="237"/>
      <c r="AB442" s="237"/>
    </row>
    <row r="443">
      <c r="A443" s="238">
        <v>442.0</v>
      </c>
      <c r="B443" s="239" t="s">
        <v>5262</v>
      </c>
      <c r="C443" s="240" t="s">
        <v>5442</v>
      </c>
      <c r="D443" s="236"/>
      <c r="E443" s="240" t="s">
        <v>3496</v>
      </c>
      <c r="F443" s="240" t="s">
        <v>5443</v>
      </c>
      <c r="G443" s="238" t="s">
        <v>5444</v>
      </c>
      <c r="H443" s="236"/>
      <c r="I443" s="236"/>
      <c r="J443" s="238" t="s">
        <v>4542</v>
      </c>
      <c r="K443" s="239" t="s">
        <v>5262</v>
      </c>
      <c r="L443" s="237"/>
      <c r="M443" s="237"/>
      <c r="N443" s="237"/>
      <c r="O443" s="237"/>
      <c r="P443" s="237"/>
      <c r="Q443" s="237"/>
      <c r="R443" s="237"/>
      <c r="S443" s="237"/>
      <c r="T443" s="237"/>
      <c r="U443" s="237"/>
      <c r="V443" s="237"/>
      <c r="W443" s="237"/>
      <c r="X443" s="237"/>
      <c r="Y443" s="237"/>
      <c r="Z443" s="237"/>
      <c r="AA443" s="237"/>
      <c r="AB443" s="237"/>
    </row>
    <row r="444">
      <c r="A444" s="238">
        <v>443.0</v>
      </c>
      <c r="B444" s="239" t="s">
        <v>5445</v>
      </c>
      <c r="C444" s="240" t="s">
        <v>5446</v>
      </c>
      <c r="D444" s="236"/>
      <c r="E444" s="240" t="s">
        <v>3511</v>
      </c>
      <c r="F444" s="240" t="s">
        <v>5447</v>
      </c>
      <c r="G444" s="238" t="s">
        <v>5448</v>
      </c>
      <c r="H444" s="240" t="s">
        <v>5449</v>
      </c>
      <c r="I444" s="236"/>
      <c r="J444" s="238" t="s">
        <v>4542</v>
      </c>
      <c r="K444" s="239" t="s">
        <v>5445</v>
      </c>
      <c r="L444" s="237"/>
      <c r="M444" s="237"/>
      <c r="N444" s="237"/>
      <c r="O444" s="237"/>
      <c r="P444" s="237"/>
      <c r="Q444" s="237"/>
      <c r="R444" s="237"/>
      <c r="S444" s="237"/>
      <c r="T444" s="237"/>
      <c r="U444" s="237"/>
      <c r="V444" s="237"/>
      <c r="W444" s="237"/>
      <c r="X444" s="237"/>
      <c r="Y444" s="237"/>
      <c r="Z444" s="237"/>
      <c r="AA444" s="237"/>
      <c r="AB444" s="237"/>
    </row>
    <row r="445">
      <c r="A445" s="238">
        <v>444.0</v>
      </c>
      <c r="B445" s="239" t="s">
        <v>5450</v>
      </c>
      <c r="C445" s="240" t="s">
        <v>5451</v>
      </c>
      <c r="D445" s="236"/>
      <c r="E445" s="240" t="s">
        <v>3511</v>
      </c>
      <c r="F445" s="240" t="s">
        <v>5452</v>
      </c>
      <c r="G445" s="238" t="s">
        <v>5453</v>
      </c>
      <c r="H445" s="240" t="s">
        <v>5454</v>
      </c>
      <c r="I445" s="236"/>
      <c r="J445" s="238" t="s">
        <v>4542</v>
      </c>
      <c r="K445" s="239" t="s">
        <v>5450</v>
      </c>
      <c r="L445" s="237"/>
      <c r="M445" s="237"/>
      <c r="N445" s="237"/>
      <c r="O445" s="237"/>
      <c r="P445" s="237"/>
      <c r="Q445" s="237"/>
      <c r="R445" s="237"/>
      <c r="S445" s="237"/>
      <c r="T445" s="237"/>
      <c r="U445" s="237"/>
      <c r="V445" s="237"/>
      <c r="W445" s="237"/>
      <c r="X445" s="237"/>
      <c r="Y445" s="237"/>
      <c r="Z445" s="237"/>
      <c r="AA445" s="237"/>
      <c r="AB445" s="237"/>
    </row>
    <row r="446">
      <c r="A446" s="238">
        <v>445.0</v>
      </c>
      <c r="B446" s="242"/>
      <c r="C446" s="240" t="s">
        <v>5455</v>
      </c>
      <c r="D446" s="236"/>
      <c r="E446" s="240" t="s">
        <v>3511</v>
      </c>
      <c r="F446" s="238">
        <v>0.0</v>
      </c>
      <c r="G446" s="238" t="s">
        <v>5456</v>
      </c>
      <c r="H446" s="240" t="s">
        <v>5457</v>
      </c>
      <c r="I446" s="236"/>
      <c r="J446" s="238" t="s">
        <v>4542</v>
      </c>
      <c r="K446" s="242"/>
      <c r="L446" s="237"/>
      <c r="M446" s="237"/>
      <c r="N446" s="237"/>
      <c r="O446" s="237"/>
      <c r="P446" s="237"/>
      <c r="Q446" s="237"/>
      <c r="R446" s="237"/>
      <c r="S446" s="237"/>
      <c r="T446" s="237"/>
      <c r="U446" s="237"/>
      <c r="V446" s="237"/>
      <c r="W446" s="237"/>
      <c r="X446" s="237"/>
      <c r="Y446" s="237"/>
      <c r="Z446" s="237"/>
      <c r="AA446" s="237"/>
      <c r="AB446" s="237"/>
    </row>
    <row r="447">
      <c r="A447" s="238">
        <v>446.0</v>
      </c>
      <c r="B447" s="239" t="s">
        <v>5438</v>
      </c>
      <c r="C447" s="240" t="s">
        <v>5458</v>
      </c>
      <c r="D447" s="236"/>
      <c r="E447" s="240" t="s">
        <v>3511</v>
      </c>
      <c r="F447" s="240" t="s">
        <v>5440</v>
      </c>
      <c r="G447" s="238" t="s">
        <v>5441</v>
      </c>
      <c r="H447" s="240" t="s">
        <v>5459</v>
      </c>
      <c r="I447" s="236"/>
      <c r="J447" s="238" t="s">
        <v>5296</v>
      </c>
      <c r="K447" s="239" t="s">
        <v>5438</v>
      </c>
      <c r="L447" s="237"/>
      <c r="M447" s="237"/>
      <c r="N447" s="237"/>
      <c r="O447" s="237"/>
      <c r="P447" s="237"/>
      <c r="Q447" s="237"/>
      <c r="R447" s="237"/>
      <c r="S447" s="237"/>
      <c r="T447" s="237"/>
      <c r="U447" s="237"/>
      <c r="V447" s="237"/>
      <c r="W447" s="237"/>
      <c r="X447" s="237"/>
      <c r="Y447" s="237"/>
      <c r="Z447" s="237"/>
      <c r="AA447" s="237"/>
      <c r="AB447" s="237"/>
    </row>
    <row r="448">
      <c r="A448" s="238">
        <v>447.0</v>
      </c>
      <c r="B448" s="239" t="s">
        <v>5297</v>
      </c>
      <c r="C448" s="240" t="s">
        <v>5460</v>
      </c>
      <c r="D448" s="236"/>
      <c r="E448" s="240" t="s">
        <v>3511</v>
      </c>
      <c r="F448" s="240" t="s">
        <v>5299</v>
      </c>
      <c r="G448" s="238" t="s">
        <v>5300</v>
      </c>
      <c r="H448" s="240" t="s">
        <v>5461</v>
      </c>
      <c r="I448" s="236"/>
      <c r="J448" s="238" t="s">
        <v>4542</v>
      </c>
      <c r="K448" s="239" t="s">
        <v>5297</v>
      </c>
      <c r="L448" s="237"/>
      <c r="M448" s="237"/>
      <c r="N448" s="237"/>
      <c r="O448" s="237"/>
      <c r="P448" s="237"/>
      <c r="Q448" s="237"/>
      <c r="R448" s="237"/>
      <c r="S448" s="237"/>
      <c r="T448" s="237"/>
      <c r="U448" s="237"/>
      <c r="V448" s="237"/>
      <c r="W448" s="237"/>
      <c r="X448" s="237"/>
      <c r="Y448" s="237"/>
      <c r="Z448" s="237"/>
      <c r="AA448" s="237"/>
      <c r="AB448" s="237"/>
    </row>
    <row r="449">
      <c r="A449" s="238">
        <v>448.0</v>
      </c>
      <c r="B449" s="242"/>
      <c r="C449" s="240" t="s">
        <v>5462</v>
      </c>
      <c r="D449" s="236"/>
      <c r="E449" s="240" t="s">
        <v>3496</v>
      </c>
      <c r="F449" s="240" t="s">
        <v>5463</v>
      </c>
      <c r="G449" s="238" t="s">
        <v>4935</v>
      </c>
      <c r="H449" s="236"/>
      <c r="I449" s="236"/>
      <c r="J449" s="238" t="s">
        <v>3962</v>
      </c>
      <c r="K449" s="242"/>
      <c r="L449" s="237"/>
      <c r="M449" s="237"/>
      <c r="N449" s="237"/>
      <c r="O449" s="237"/>
      <c r="P449" s="237"/>
      <c r="Q449" s="237"/>
      <c r="R449" s="237"/>
      <c r="S449" s="237"/>
      <c r="T449" s="237"/>
      <c r="U449" s="237"/>
      <c r="V449" s="237"/>
      <c r="W449" s="237"/>
      <c r="X449" s="237"/>
      <c r="Y449" s="237"/>
      <c r="Z449" s="237"/>
      <c r="AA449" s="237"/>
      <c r="AB449" s="237"/>
    </row>
    <row r="450">
      <c r="A450" s="238">
        <v>449.0</v>
      </c>
      <c r="B450" s="239" t="s">
        <v>5464</v>
      </c>
      <c r="C450" s="240" t="s">
        <v>5465</v>
      </c>
      <c r="D450" s="236"/>
      <c r="E450" s="240" t="s">
        <v>3511</v>
      </c>
      <c r="F450" s="240" t="s">
        <v>5466</v>
      </c>
      <c r="G450" s="238" t="s">
        <v>5467</v>
      </c>
      <c r="H450" s="240" t="s">
        <v>5468</v>
      </c>
      <c r="I450" s="236"/>
      <c r="J450" s="238" t="s">
        <v>3962</v>
      </c>
      <c r="K450" s="239" t="s">
        <v>5464</v>
      </c>
      <c r="L450" s="237"/>
      <c r="M450" s="237"/>
      <c r="N450" s="237"/>
      <c r="O450" s="237"/>
      <c r="P450" s="237"/>
      <c r="Q450" s="237"/>
      <c r="R450" s="237"/>
      <c r="S450" s="237"/>
      <c r="T450" s="237"/>
      <c r="U450" s="237"/>
      <c r="V450" s="237"/>
      <c r="W450" s="237"/>
      <c r="X450" s="237"/>
      <c r="Y450" s="237"/>
      <c r="Z450" s="237"/>
      <c r="AA450" s="237"/>
      <c r="AB450" s="237"/>
    </row>
    <row r="451">
      <c r="A451" s="238">
        <v>450.0</v>
      </c>
      <c r="B451" s="242"/>
      <c r="C451" s="240" t="s">
        <v>5469</v>
      </c>
      <c r="D451" s="236"/>
      <c r="E451" s="240" t="s">
        <v>3496</v>
      </c>
      <c r="F451" s="240" t="s">
        <v>5470</v>
      </c>
      <c r="G451" s="238" t="s">
        <v>5471</v>
      </c>
      <c r="H451" s="236"/>
      <c r="I451" s="236"/>
      <c r="J451" s="238" t="s">
        <v>3962</v>
      </c>
      <c r="K451" s="242"/>
      <c r="L451" s="237"/>
      <c r="M451" s="237"/>
      <c r="N451" s="237"/>
      <c r="O451" s="237"/>
      <c r="P451" s="237"/>
      <c r="Q451" s="237"/>
      <c r="R451" s="237"/>
      <c r="S451" s="237"/>
      <c r="T451" s="237"/>
      <c r="U451" s="237"/>
      <c r="V451" s="237"/>
      <c r="W451" s="237"/>
      <c r="X451" s="237"/>
      <c r="Y451" s="237"/>
      <c r="Z451" s="237"/>
      <c r="AA451" s="237"/>
      <c r="AB451" s="237"/>
    </row>
    <row r="452">
      <c r="A452" s="238">
        <v>451.0</v>
      </c>
      <c r="B452" s="239" t="s">
        <v>5472</v>
      </c>
      <c r="C452" s="240" t="s">
        <v>5473</v>
      </c>
      <c r="D452" s="236"/>
      <c r="E452" s="240" t="s">
        <v>3511</v>
      </c>
      <c r="F452" s="240" t="s">
        <v>5474</v>
      </c>
      <c r="G452" s="238" t="s">
        <v>5475</v>
      </c>
      <c r="H452" s="240" t="s">
        <v>5476</v>
      </c>
      <c r="I452" s="236"/>
      <c r="J452" s="238" t="s">
        <v>3839</v>
      </c>
      <c r="K452" s="239" t="s">
        <v>5472</v>
      </c>
      <c r="L452" s="237"/>
      <c r="M452" s="237"/>
      <c r="N452" s="237"/>
      <c r="O452" s="237"/>
      <c r="P452" s="237"/>
      <c r="Q452" s="237"/>
      <c r="R452" s="237"/>
      <c r="S452" s="237"/>
      <c r="T452" s="237"/>
      <c r="U452" s="237"/>
      <c r="V452" s="237"/>
      <c r="W452" s="237"/>
      <c r="X452" s="237"/>
      <c r="Y452" s="237"/>
      <c r="Z452" s="237"/>
      <c r="AA452" s="237"/>
      <c r="AB452" s="237"/>
    </row>
    <row r="453">
      <c r="A453" s="238">
        <v>452.0</v>
      </c>
      <c r="B453" s="239" t="s">
        <v>5477</v>
      </c>
      <c r="C453" s="240" t="s">
        <v>5478</v>
      </c>
      <c r="D453" s="236"/>
      <c r="E453" s="240" t="s">
        <v>3511</v>
      </c>
      <c r="F453" s="240" t="s">
        <v>5479</v>
      </c>
      <c r="G453" s="238" t="s">
        <v>5480</v>
      </c>
      <c r="H453" s="240" t="s">
        <v>5481</v>
      </c>
      <c r="I453" s="236"/>
      <c r="J453" s="238" t="s">
        <v>3839</v>
      </c>
      <c r="K453" s="239" t="s">
        <v>5477</v>
      </c>
      <c r="L453" s="237"/>
      <c r="M453" s="237"/>
      <c r="N453" s="237"/>
      <c r="O453" s="237"/>
      <c r="P453" s="237"/>
      <c r="Q453" s="237"/>
      <c r="R453" s="237"/>
      <c r="S453" s="237"/>
      <c r="T453" s="237"/>
      <c r="U453" s="237"/>
      <c r="V453" s="237"/>
      <c r="W453" s="237"/>
      <c r="X453" s="237"/>
      <c r="Y453" s="237"/>
      <c r="Z453" s="237"/>
      <c r="AA453" s="237"/>
      <c r="AB453" s="237"/>
    </row>
    <row r="454">
      <c r="A454" s="238">
        <v>453.0</v>
      </c>
      <c r="B454" s="239" t="s">
        <v>5482</v>
      </c>
      <c r="C454" s="240" t="s">
        <v>5483</v>
      </c>
      <c r="D454" s="236"/>
      <c r="E454" s="240" t="s">
        <v>3511</v>
      </c>
      <c r="F454" s="240" t="s">
        <v>5484</v>
      </c>
      <c r="G454" s="238" t="s">
        <v>5485</v>
      </c>
      <c r="H454" s="240" t="s">
        <v>5486</v>
      </c>
      <c r="I454" s="236"/>
      <c r="J454" s="238" t="s">
        <v>3839</v>
      </c>
      <c r="K454" s="239" t="s">
        <v>5482</v>
      </c>
      <c r="L454" s="237"/>
      <c r="M454" s="237"/>
      <c r="N454" s="237"/>
      <c r="O454" s="237"/>
      <c r="P454" s="237"/>
      <c r="Q454" s="237"/>
      <c r="R454" s="237"/>
      <c r="S454" s="237"/>
      <c r="T454" s="237"/>
      <c r="U454" s="237"/>
      <c r="V454" s="237"/>
      <c r="W454" s="237"/>
      <c r="X454" s="237"/>
      <c r="Y454" s="237"/>
      <c r="Z454" s="237"/>
      <c r="AA454" s="237"/>
      <c r="AB454" s="237"/>
    </row>
    <row r="455">
      <c r="A455" s="238">
        <v>454.0</v>
      </c>
      <c r="B455" s="239" t="s">
        <v>5487</v>
      </c>
      <c r="C455" s="240" t="s">
        <v>5488</v>
      </c>
      <c r="D455" s="236"/>
      <c r="E455" s="240" t="s">
        <v>3511</v>
      </c>
      <c r="F455" s="240" t="s">
        <v>5489</v>
      </c>
      <c r="G455" s="238" t="s">
        <v>5490</v>
      </c>
      <c r="H455" s="240" t="s">
        <v>5491</v>
      </c>
      <c r="I455" s="236"/>
      <c r="J455" s="238" t="s">
        <v>3839</v>
      </c>
      <c r="K455" s="239" t="s">
        <v>5487</v>
      </c>
      <c r="L455" s="237"/>
      <c r="M455" s="237"/>
      <c r="N455" s="237"/>
      <c r="O455" s="237"/>
      <c r="P455" s="237"/>
      <c r="Q455" s="237"/>
      <c r="R455" s="237"/>
      <c r="S455" s="237"/>
      <c r="T455" s="237"/>
      <c r="U455" s="237"/>
      <c r="V455" s="237"/>
      <c r="W455" s="237"/>
      <c r="X455" s="237"/>
      <c r="Y455" s="237"/>
      <c r="Z455" s="237"/>
      <c r="AA455" s="237"/>
      <c r="AB455" s="237"/>
    </row>
    <row r="456">
      <c r="A456" s="238">
        <v>455.0</v>
      </c>
      <c r="B456" s="242"/>
      <c r="C456" s="240" t="s">
        <v>5492</v>
      </c>
      <c r="D456" s="236"/>
      <c r="E456" s="240" t="s">
        <v>3511</v>
      </c>
      <c r="F456" s="238">
        <v>0.0</v>
      </c>
      <c r="G456" s="238" t="s">
        <v>5493</v>
      </c>
      <c r="H456" s="240" t="s">
        <v>5494</v>
      </c>
      <c r="I456" s="236"/>
      <c r="J456" s="238" t="s">
        <v>3839</v>
      </c>
      <c r="K456" s="242"/>
      <c r="L456" s="237"/>
      <c r="M456" s="237"/>
      <c r="N456" s="237"/>
      <c r="O456" s="237"/>
      <c r="P456" s="237"/>
      <c r="Q456" s="237"/>
      <c r="R456" s="237"/>
      <c r="S456" s="237"/>
      <c r="T456" s="237"/>
      <c r="U456" s="237"/>
      <c r="V456" s="237"/>
      <c r="W456" s="237"/>
      <c r="X456" s="237"/>
      <c r="Y456" s="237"/>
      <c r="Z456" s="237"/>
      <c r="AA456" s="237"/>
      <c r="AB456" s="237"/>
    </row>
    <row r="457">
      <c r="A457" s="238">
        <v>456.0</v>
      </c>
      <c r="B457" s="239" t="s">
        <v>5495</v>
      </c>
      <c r="C457" s="240" t="s">
        <v>5496</v>
      </c>
      <c r="D457" s="236"/>
      <c r="E457" s="240" t="s">
        <v>3511</v>
      </c>
      <c r="F457" s="240" t="s">
        <v>5497</v>
      </c>
      <c r="G457" s="238" t="s">
        <v>5498</v>
      </c>
      <c r="H457" s="240" t="s">
        <v>5499</v>
      </c>
      <c r="I457" s="236"/>
      <c r="J457" s="238" t="s">
        <v>5500</v>
      </c>
      <c r="K457" s="239" t="s">
        <v>5495</v>
      </c>
      <c r="L457" s="237"/>
      <c r="M457" s="237"/>
      <c r="N457" s="237"/>
      <c r="O457" s="237"/>
      <c r="P457" s="237"/>
      <c r="Q457" s="237"/>
      <c r="R457" s="237"/>
      <c r="S457" s="237"/>
      <c r="T457" s="237"/>
      <c r="U457" s="237"/>
      <c r="V457" s="237"/>
      <c r="W457" s="237"/>
      <c r="X457" s="237"/>
      <c r="Y457" s="237"/>
      <c r="Z457" s="237"/>
      <c r="AA457" s="237"/>
      <c r="AB457" s="237"/>
    </row>
    <row r="458">
      <c r="A458" s="238">
        <v>457.0</v>
      </c>
      <c r="B458" s="239" t="s">
        <v>5501</v>
      </c>
      <c r="C458" s="240" t="s">
        <v>5502</v>
      </c>
      <c r="D458" s="236"/>
      <c r="E458" s="240" t="s">
        <v>3511</v>
      </c>
      <c r="F458" s="240" t="s">
        <v>5503</v>
      </c>
      <c r="G458" s="238" t="s">
        <v>5504</v>
      </c>
      <c r="H458" s="240" t="s">
        <v>5505</v>
      </c>
      <c r="I458" s="236"/>
      <c r="J458" s="238" t="s">
        <v>3839</v>
      </c>
      <c r="K458" s="239" t="s">
        <v>5501</v>
      </c>
      <c r="L458" s="237"/>
      <c r="M458" s="237"/>
      <c r="N458" s="237"/>
      <c r="O458" s="237"/>
      <c r="P458" s="237"/>
      <c r="Q458" s="237"/>
      <c r="R458" s="237"/>
      <c r="S458" s="237"/>
      <c r="T458" s="237"/>
      <c r="U458" s="237"/>
      <c r="V458" s="237"/>
      <c r="W458" s="237"/>
      <c r="X458" s="237"/>
      <c r="Y458" s="237"/>
      <c r="Z458" s="237"/>
      <c r="AA458" s="237"/>
      <c r="AB458" s="237"/>
    </row>
    <row r="459">
      <c r="A459" s="238">
        <v>458.0</v>
      </c>
      <c r="B459" s="239" t="s">
        <v>5506</v>
      </c>
      <c r="C459" s="240" t="s">
        <v>5507</v>
      </c>
      <c r="D459" s="236"/>
      <c r="E459" s="240" t="s">
        <v>3511</v>
      </c>
      <c r="F459" s="240" t="s">
        <v>5508</v>
      </c>
      <c r="G459" s="238" t="s">
        <v>5509</v>
      </c>
      <c r="H459" s="240" t="s">
        <v>5510</v>
      </c>
      <c r="I459" s="236"/>
      <c r="J459" s="238" t="s">
        <v>3839</v>
      </c>
      <c r="K459" s="239" t="s">
        <v>5506</v>
      </c>
      <c r="L459" s="237"/>
      <c r="M459" s="237"/>
      <c r="N459" s="237"/>
      <c r="O459" s="237"/>
      <c r="P459" s="237"/>
      <c r="Q459" s="237"/>
      <c r="R459" s="237"/>
      <c r="S459" s="237"/>
      <c r="T459" s="237"/>
      <c r="U459" s="237"/>
      <c r="V459" s="237"/>
      <c r="W459" s="237"/>
      <c r="X459" s="237"/>
      <c r="Y459" s="237"/>
      <c r="Z459" s="237"/>
      <c r="AA459" s="237"/>
      <c r="AB459" s="237"/>
    </row>
    <row r="460">
      <c r="A460" s="238">
        <v>459.0</v>
      </c>
      <c r="B460" s="239" t="s">
        <v>5511</v>
      </c>
      <c r="C460" s="240" t="s">
        <v>5512</v>
      </c>
      <c r="D460" s="236"/>
      <c r="E460" s="240" t="s">
        <v>3511</v>
      </c>
      <c r="F460" s="240" t="s">
        <v>5513</v>
      </c>
      <c r="G460" s="238" t="s">
        <v>5514</v>
      </c>
      <c r="H460" s="240" t="s">
        <v>5515</v>
      </c>
      <c r="I460" s="236"/>
      <c r="J460" s="238" t="s">
        <v>3839</v>
      </c>
      <c r="K460" s="239" t="s">
        <v>5511</v>
      </c>
      <c r="L460" s="237"/>
      <c r="M460" s="237"/>
      <c r="N460" s="237"/>
      <c r="O460" s="237"/>
      <c r="P460" s="237"/>
      <c r="Q460" s="237"/>
      <c r="R460" s="237"/>
      <c r="S460" s="237"/>
      <c r="T460" s="237"/>
      <c r="U460" s="237"/>
      <c r="V460" s="237"/>
      <c r="W460" s="237"/>
      <c r="X460" s="237"/>
      <c r="Y460" s="237"/>
      <c r="Z460" s="237"/>
      <c r="AA460" s="237"/>
      <c r="AB460" s="237"/>
    </row>
    <row r="461">
      <c r="A461" s="238">
        <v>460.0</v>
      </c>
      <c r="B461" s="242"/>
      <c r="C461" s="240" t="s">
        <v>5516</v>
      </c>
      <c r="D461" s="236"/>
      <c r="E461" s="240" t="s">
        <v>3511</v>
      </c>
      <c r="F461" s="238">
        <v>0.0</v>
      </c>
      <c r="G461" s="238" t="s">
        <v>5517</v>
      </c>
      <c r="H461" s="240" t="s">
        <v>5518</v>
      </c>
      <c r="I461" s="236"/>
      <c r="J461" s="238" t="s">
        <v>4044</v>
      </c>
      <c r="K461" s="242"/>
      <c r="L461" s="237"/>
      <c r="M461" s="237"/>
      <c r="N461" s="237"/>
      <c r="O461" s="237"/>
      <c r="P461" s="237"/>
      <c r="Q461" s="237"/>
      <c r="R461" s="237"/>
      <c r="S461" s="237"/>
      <c r="T461" s="237"/>
      <c r="U461" s="237"/>
      <c r="V461" s="237"/>
      <c r="W461" s="237"/>
      <c r="X461" s="237"/>
      <c r="Y461" s="237"/>
      <c r="Z461" s="237"/>
      <c r="AA461" s="237"/>
      <c r="AB461" s="237"/>
    </row>
    <row r="462">
      <c r="A462" s="238">
        <v>461.0</v>
      </c>
      <c r="B462" s="239" t="s">
        <v>5519</v>
      </c>
      <c r="C462" s="240" t="s">
        <v>5520</v>
      </c>
      <c r="D462" s="236"/>
      <c r="E462" s="240" t="s">
        <v>3496</v>
      </c>
      <c r="F462" s="240" t="s">
        <v>5521</v>
      </c>
      <c r="G462" s="238" t="s">
        <v>5522</v>
      </c>
      <c r="H462" s="236"/>
      <c r="I462" s="236"/>
      <c r="J462" s="238" t="s">
        <v>4536</v>
      </c>
      <c r="K462" s="239" t="s">
        <v>5519</v>
      </c>
      <c r="L462" s="237"/>
      <c r="M462" s="237"/>
      <c r="N462" s="237"/>
      <c r="O462" s="237"/>
      <c r="P462" s="237"/>
      <c r="Q462" s="237"/>
      <c r="R462" s="237"/>
      <c r="S462" s="237"/>
      <c r="T462" s="237"/>
      <c r="U462" s="237"/>
      <c r="V462" s="237"/>
      <c r="W462" s="237"/>
      <c r="X462" s="237"/>
      <c r="Y462" s="237"/>
      <c r="Z462" s="237"/>
      <c r="AA462" s="237"/>
      <c r="AB462" s="237"/>
    </row>
    <row r="463">
      <c r="A463" s="238">
        <v>462.0</v>
      </c>
      <c r="B463" s="239" t="s">
        <v>5523</v>
      </c>
      <c r="C463" s="240" t="s">
        <v>5524</v>
      </c>
      <c r="D463" s="236"/>
      <c r="E463" s="240" t="s">
        <v>3511</v>
      </c>
      <c r="F463" s="240" t="s">
        <v>5525</v>
      </c>
      <c r="G463" s="238" t="s">
        <v>5526</v>
      </c>
      <c r="H463" s="240" t="s">
        <v>5527</v>
      </c>
      <c r="I463" s="236"/>
      <c r="J463" s="238" t="s">
        <v>4536</v>
      </c>
      <c r="K463" s="239" t="s">
        <v>5523</v>
      </c>
      <c r="L463" s="237"/>
      <c r="M463" s="237"/>
      <c r="N463" s="237"/>
      <c r="O463" s="237"/>
      <c r="P463" s="237"/>
      <c r="Q463" s="237"/>
      <c r="R463" s="237"/>
      <c r="S463" s="237"/>
      <c r="T463" s="237"/>
      <c r="U463" s="237"/>
      <c r="V463" s="237"/>
      <c r="W463" s="237"/>
      <c r="X463" s="237"/>
      <c r="Y463" s="237"/>
      <c r="Z463" s="237"/>
      <c r="AA463" s="237"/>
      <c r="AB463" s="237"/>
    </row>
    <row r="464">
      <c r="A464" s="238">
        <v>463.0</v>
      </c>
      <c r="B464" s="239" t="s">
        <v>4650</v>
      </c>
      <c r="C464" s="240" t="s">
        <v>5528</v>
      </c>
      <c r="D464" s="236"/>
      <c r="E464" s="240" t="s">
        <v>3511</v>
      </c>
      <c r="F464" s="240" t="s">
        <v>5529</v>
      </c>
      <c r="G464" s="238" t="s">
        <v>5530</v>
      </c>
      <c r="H464" s="240" t="s">
        <v>5531</v>
      </c>
      <c r="I464" s="236"/>
      <c r="J464" s="238" t="s">
        <v>4536</v>
      </c>
      <c r="K464" s="239" t="s">
        <v>4650</v>
      </c>
      <c r="L464" s="237"/>
      <c r="M464" s="237"/>
      <c r="N464" s="237"/>
      <c r="O464" s="237"/>
      <c r="P464" s="237"/>
      <c r="Q464" s="237"/>
      <c r="R464" s="237"/>
      <c r="S464" s="237"/>
      <c r="T464" s="237"/>
      <c r="U464" s="237"/>
      <c r="V464" s="237"/>
      <c r="W464" s="237"/>
      <c r="X464" s="237"/>
      <c r="Y464" s="237"/>
      <c r="Z464" s="237"/>
      <c r="AA464" s="237"/>
      <c r="AB464" s="237"/>
    </row>
    <row r="465">
      <c r="A465" s="238">
        <v>464.0</v>
      </c>
      <c r="B465" s="239" t="s">
        <v>4668</v>
      </c>
      <c r="C465" s="240" t="s">
        <v>5532</v>
      </c>
      <c r="D465" s="236"/>
      <c r="E465" s="240" t="s">
        <v>3511</v>
      </c>
      <c r="F465" s="240" t="s">
        <v>5533</v>
      </c>
      <c r="G465" s="238" t="s">
        <v>5534</v>
      </c>
      <c r="H465" s="240" t="s">
        <v>5535</v>
      </c>
      <c r="I465" s="236"/>
      <c r="J465" s="238" t="s">
        <v>4536</v>
      </c>
      <c r="K465" s="239" t="s">
        <v>4668</v>
      </c>
      <c r="L465" s="237"/>
      <c r="M465" s="237"/>
      <c r="N465" s="237"/>
      <c r="O465" s="237"/>
      <c r="P465" s="237"/>
      <c r="Q465" s="237"/>
      <c r="R465" s="237"/>
      <c r="S465" s="237"/>
      <c r="T465" s="237"/>
      <c r="U465" s="237"/>
      <c r="V465" s="237"/>
      <c r="W465" s="237"/>
      <c r="X465" s="237"/>
      <c r="Y465" s="237"/>
      <c r="Z465" s="237"/>
      <c r="AA465" s="237"/>
      <c r="AB465" s="237"/>
    </row>
    <row r="466">
      <c r="A466" s="238">
        <v>465.0</v>
      </c>
      <c r="B466" s="239" t="s">
        <v>5536</v>
      </c>
      <c r="C466" s="240" t="s">
        <v>5537</v>
      </c>
      <c r="D466" s="236"/>
      <c r="E466" s="240" t="s">
        <v>3511</v>
      </c>
      <c r="F466" s="240" t="s">
        <v>5538</v>
      </c>
      <c r="G466" s="238" t="s">
        <v>5539</v>
      </c>
      <c r="H466" s="240" t="s">
        <v>5540</v>
      </c>
      <c r="I466" s="236"/>
      <c r="J466" s="238" t="s">
        <v>4536</v>
      </c>
      <c r="K466" s="239" t="s">
        <v>5536</v>
      </c>
      <c r="L466" s="237"/>
      <c r="M466" s="237"/>
      <c r="N466" s="237"/>
      <c r="O466" s="237"/>
      <c r="P466" s="237"/>
      <c r="Q466" s="237"/>
      <c r="R466" s="237"/>
      <c r="S466" s="237"/>
      <c r="T466" s="237"/>
      <c r="U466" s="237"/>
      <c r="V466" s="237"/>
      <c r="W466" s="237"/>
      <c r="X466" s="237"/>
      <c r="Y466" s="237"/>
      <c r="Z466" s="237"/>
      <c r="AA466" s="237"/>
      <c r="AB466" s="237"/>
    </row>
    <row r="467">
      <c r="A467" s="238">
        <v>466.0</v>
      </c>
      <c r="B467" s="239" t="s">
        <v>5397</v>
      </c>
      <c r="C467" s="240" t="s">
        <v>5541</v>
      </c>
      <c r="D467" s="236"/>
      <c r="E467" s="240" t="s">
        <v>3511</v>
      </c>
      <c r="F467" s="240" t="s">
        <v>5399</v>
      </c>
      <c r="G467" s="238" t="s">
        <v>5542</v>
      </c>
      <c r="H467" s="240" t="s">
        <v>5543</v>
      </c>
      <c r="I467" s="236"/>
      <c r="J467" s="238" t="s">
        <v>4536</v>
      </c>
      <c r="K467" s="239" t="s">
        <v>5397</v>
      </c>
      <c r="L467" s="237"/>
      <c r="M467" s="237"/>
      <c r="N467" s="237"/>
      <c r="O467" s="237"/>
      <c r="P467" s="237"/>
      <c r="Q467" s="237"/>
      <c r="R467" s="237"/>
      <c r="S467" s="237"/>
      <c r="T467" s="237"/>
      <c r="U467" s="237"/>
      <c r="V467" s="237"/>
      <c r="W467" s="237"/>
      <c r="X467" s="237"/>
      <c r="Y467" s="237"/>
      <c r="Z467" s="237"/>
      <c r="AA467" s="237"/>
      <c r="AB467" s="237"/>
    </row>
    <row r="468">
      <c r="A468" s="238">
        <v>467.0</v>
      </c>
      <c r="B468" s="242"/>
      <c r="C468" s="240" t="s">
        <v>5544</v>
      </c>
      <c r="D468" s="236"/>
      <c r="E468" s="240" t="s">
        <v>3496</v>
      </c>
      <c r="F468" s="238">
        <v>0.0</v>
      </c>
      <c r="G468" s="238" t="s">
        <v>5545</v>
      </c>
      <c r="H468" s="236"/>
      <c r="I468" s="236"/>
      <c r="J468" s="238" t="s">
        <v>4536</v>
      </c>
      <c r="K468" s="242"/>
      <c r="L468" s="237"/>
      <c r="M468" s="237"/>
      <c r="N468" s="237"/>
      <c r="O468" s="237"/>
      <c r="P468" s="237"/>
      <c r="Q468" s="237"/>
      <c r="R468" s="237"/>
      <c r="S468" s="237"/>
      <c r="T468" s="237"/>
      <c r="U468" s="237"/>
      <c r="V468" s="237"/>
      <c r="W468" s="237"/>
      <c r="X468" s="237"/>
      <c r="Y468" s="237"/>
      <c r="Z468" s="237"/>
      <c r="AA468" s="237"/>
      <c r="AB468" s="237"/>
    </row>
    <row r="469">
      <c r="A469" s="238">
        <v>468.0</v>
      </c>
      <c r="B469" s="239" t="s">
        <v>5546</v>
      </c>
      <c r="C469" s="240" t="s">
        <v>5547</v>
      </c>
      <c r="D469" s="236"/>
      <c r="E469" s="240" t="s">
        <v>3496</v>
      </c>
      <c r="F469" s="240" t="s">
        <v>5548</v>
      </c>
      <c r="G469" s="238" t="s">
        <v>5549</v>
      </c>
      <c r="H469" s="236"/>
      <c r="I469" s="236"/>
      <c r="J469" s="238" t="s">
        <v>4583</v>
      </c>
      <c r="K469" s="239" t="s">
        <v>5546</v>
      </c>
      <c r="L469" s="237"/>
      <c r="M469" s="237"/>
      <c r="N469" s="237"/>
      <c r="O469" s="237"/>
      <c r="P469" s="237"/>
      <c r="Q469" s="237"/>
      <c r="R469" s="237"/>
      <c r="S469" s="237"/>
      <c r="T469" s="237"/>
      <c r="U469" s="237"/>
      <c r="V469" s="237"/>
      <c r="W469" s="237"/>
      <c r="X469" s="237"/>
      <c r="Y469" s="237"/>
      <c r="Z469" s="237"/>
      <c r="AA469" s="237"/>
      <c r="AB469" s="237"/>
    </row>
    <row r="470">
      <c r="A470" s="238">
        <v>469.0</v>
      </c>
      <c r="B470" s="239" t="s">
        <v>5550</v>
      </c>
      <c r="C470" s="240" t="s">
        <v>5551</v>
      </c>
      <c r="D470" s="236"/>
      <c r="E470" s="240" t="s">
        <v>3496</v>
      </c>
      <c r="F470" s="240" t="s">
        <v>5552</v>
      </c>
      <c r="G470" s="238" t="s">
        <v>5553</v>
      </c>
      <c r="H470" s="236"/>
      <c r="I470" s="236"/>
      <c r="J470" s="238" t="s">
        <v>4536</v>
      </c>
      <c r="K470" s="239" t="s">
        <v>5550</v>
      </c>
      <c r="L470" s="237"/>
      <c r="M470" s="237"/>
      <c r="N470" s="237"/>
      <c r="O470" s="237"/>
      <c r="P470" s="237"/>
      <c r="Q470" s="237"/>
      <c r="R470" s="237"/>
      <c r="S470" s="237"/>
      <c r="T470" s="237"/>
      <c r="U470" s="237"/>
      <c r="V470" s="237"/>
      <c r="W470" s="237"/>
      <c r="X470" s="237"/>
      <c r="Y470" s="237"/>
      <c r="Z470" s="237"/>
      <c r="AA470" s="237"/>
      <c r="AB470" s="237"/>
    </row>
    <row r="471">
      <c r="A471" s="238">
        <v>470.0</v>
      </c>
      <c r="B471" s="239" t="s">
        <v>4706</v>
      </c>
      <c r="C471" s="240" t="s">
        <v>5554</v>
      </c>
      <c r="D471" s="236"/>
      <c r="E471" s="240" t="s">
        <v>3496</v>
      </c>
      <c r="F471" s="240" t="s">
        <v>5555</v>
      </c>
      <c r="G471" s="238" t="s">
        <v>5556</v>
      </c>
      <c r="H471" s="236"/>
      <c r="I471" s="236"/>
      <c r="J471" s="238" t="s">
        <v>4536</v>
      </c>
      <c r="K471" s="239" t="s">
        <v>4706</v>
      </c>
      <c r="L471" s="237"/>
      <c r="M471" s="237"/>
      <c r="N471" s="237"/>
      <c r="O471" s="237"/>
      <c r="P471" s="237"/>
      <c r="Q471" s="237"/>
      <c r="R471" s="237"/>
      <c r="S471" s="237"/>
      <c r="T471" s="237"/>
      <c r="U471" s="237"/>
      <c r="V471" s="237"/>
      <c r="W471" s="237"/>
      <c r="X471" s="237"/>
      <c r="Y471" s="237"/>
      <c r="Z471" s="237"/>
      <c r="AA471" s="237"/>
      <c r="AB471" s="237"/>
    </row>
    <row r="472">
      <c r="A472" s="238">
        <v>471.0</v>
      </c>
      <c r="B472" s="239" t="s">
        <v>5557</v>
      </c>
      <c r="C472" s="240" t="s">
        <v>5558</v>
      </c>
      <c r="D472" s="236"/>
      <c r="E472" s="240" t="s">
        <v>3496</v>
      </c>
      <c r="F472" s="240" t="s">
        <v>5559</v>
      </c>
      <c r="G472" s="238" t="s">
        <v>5560</v>
      </c>
      <c r="H472" s="236"/>
      <c r="I472" s="236"/>
      <c r="J472" s="238" t="s">
        <v>4536</v>
      </c>
      <c r="K472" s="239" t="s">
        <v>5557</v>
      </c>
      <c r="L472" s="237"/>
      <c r="M472" s="237"/>
      <c r="N472" s="237"/>
      <c r="O472" s="237"/>
      <c r="P472" s="237"/>
      <c r="Q472" s="237"/>
      <c r="R472" s="237"/>
      <c r="S472" s="237"/>
      <c r="T472" s="237"/>
      <c r="U472" s="237"/>
      <c r="V472" s="237"/>
      <c r="W472" s="237"/>
      <c r="X472" s="237"/>
      <c r="Y472" s="237"/>
      <c r="Z472" s="237"/>
      <c r="AA472" s="237"/>
      <c r="AB472" s="237"/>
    </row>
    <row r="473">
      <c r="A473" s="238">
        <v>472.0</v>
      </c>
      <c r="B473" s="239" t="s">
        <v>5561</v>
      </c>
      <c r="C473" s="240" t="s">
        <v>5562</v>
      </c>
      <c r="D473" s="236"/>
      <c r="E473" s="240" t="s">
        <v>3496</v>
      </c>
      <c r="F473" s="240" t="s">
        <v>5563</v>
      </c>
      <c r="G473" s="238" t="s">
        <v>5564</v>
      </c>
      <c r="H473" s="236"/>
      <c r="I473" s="236"/>
      <c r="J473" s="238" t="s">
        <v>3499</v>
      </c>
      <c r="K473" s="239" t="s">
        <v>5561</v>
      </c>
      <c r="L473" s="237"/>
      <c r="M473" s="237"/>
      <c r="N473" s="237"/>
      <c r="O473" s="237"/>
      <c r="P473" s="237"/>
      <c r="Q473" s="237"/>
      <c r="R473" s="237"/>
      <c r="S473" s="237"/>
      <c r="T473" s="237"/>
      <c r="U473" s="237"/>
      <c r="V473" s="237"/>
      <c r="W473" s="237"/>
      <c r="X473" s="237"/>
      <c r="Y473" s="237"/>
      <c r="Z473" s="237"/>
      <c r="AA473" s="237"/>
      <c r="AB473" s="237"/>
    </row>
    <row r="474">
      <c r="A474" s="238">
        <v>473.0</v>
      </c>
      <c r="B474" s="242"/>
      <c r="C474" s="240" t="s">
        <v>5565</v>
      </c>
      <c r="D474" s="236"/>
      <c r="E474" s="240" t="s">
        <v>3496</v>
      </c>
      <c r="F474" s="240" t="s">
        <v>5566</v>
      </c>
      <c r="G474" s="238" t="s">
        <v>5567</v>
      </c>
      <c r="H474" s="236"/>
      <c r="I474" s="236"/>
      <c r="J474" s="238" t="s">
        <v>3499</v>
      </c>
      <c r="K474" s="242"/>
      <c r="L474" s="237"/>
      <c r="M474" s="237"/>
      <c r="N474" s="237"/>
      <c r="O474" s="237"/>
      <c r="P474" s="237"/>
      <c r="Q474" s="237"/>
      <c r="R474" s="237"/>
      <c r="S474" s="237"/>
      <c r="T474" s="237"/>
      <c r="U474" s="237"/>
      <c r="V474" s="237"/>
      <c r="W474" s="237"/>
      <c r="X474" s="237"/>
      <c r="Y474" s="237"/>
      <c r="Z474" s="237"/>
      <c r="AA474" s="237"/>
      <c r="AB474" s="237"/>
    </row>
    <row r="475">
      <c r="A475" s="238">
        <v>474.0</v>
      </c>
      <c r="B475" s="239" t="s">
        <v>5568</v>
      </c>
      <c r="C475" s="240" t="s">
        <v>5566</v>
      </c>
      <c r="D475" s="236"/>
      <c r="E475" s="240" t="s">
        <v>3496</v>
      </c>
      <c r="F475" s="240" t="s">
        <v>5569</v>
      </c>
      <c r="G475" s="238" t="s">
        <v>5570</v>
      </c>
      <c r="H475" s="236"/>
      <c r="I475" s="236"/>
      <c r="J475" s="238" t="s">
        <v>3499</v>
      </c>
      <c r="K475" s="239" t="s">
        <v>5568</v>
      </c>
      <c r="L475" s="237"/>
      <c r="M475" s="237"/>
      <c r="N475" s="237"/>
      <c r="O475" s="237"/>
      <c r="P475" s="237"/>
      <c r="Q475" s="237"/>
      <c r="R475" s="237"/>
      <c r="S475" s="237"/>
      <c r="T475" s="237"/>
      <c r="U475" s="237"/>
      <c r="V475" s="237"/>
      <c r="W475" s="237"/>
      <c r="X475" s="237"/>
      <c r="Y475" s="237"/>
      <c r="Z475" s="237"/>
      <c r="AA475" s="237"/>
      <c r="AB475" s="237"/>
    </row>
    <row r="476">
      <c r="A476" s="238">
        <v>475.0</v>
      </c>
      <c r="B476" s="239" t="s">
        <v>5571</v>
      </c>
      <c r="C476" s="240" t="s">
        <v>5572</v>
      </c>
      <c r="D476" s="236"/>
      <c r="E476" s="240" t="s">
        <v>3511</v>
      </c>
      <c r="F476" s="240" t="s">
        <v>5573</v>
      </c>
      <c r="G476" s="238" t="s">
        <v>5574</v>
      </c>
      <c r="H476" s="240" t="s">
        <v>5575</v>
      </c>
      <c r="I476" s="236"/>
      <c r="J476" s="238" t="s">
        <v>3499</v>
      </c>
      <c r="K476" s="239" t="s">
        <v>5571</v>
      </c>
      <c r="L476" s="237"/>
      <c r="M476" s="237"/>
      <c r="N476" s="237"/>
      <c r="O476" s="237"/>
      <c r="P476" s="237"/>
      <c r="Q476" s="237"/>
      <c r="R476" s="237"/>
      <c r="S476" s="237"/>
      <c r="T476" s="237"/>
      <c r="U476" s="237"/>
      <c r="V476" s="237"/>
      <c r="W476" s="237"/>
      <c r="X476" s="237"/>
      <c r="Y476" s="237"/>
      <c r="Z476" s="237"/>
      <c r="AA476" s="237"/>
      <c r="AB476" s="237"/>
    </row>
    <row r="477">
      <c r="A477" s="238">
        <v>476.0</v>
      </c>
      <c r="B477" s="242"/>
      <c r="C477" s="240" t="s">
        <v>5576</v>
      </c>
      <c r="D477" s="236"/>
      <c r="E477" s="240" t="s">
        <v>3496</v>
      </c>
      <c r="F477" s="240" t="s">
        <v>5386</v>
      </c>
      <c r="G477" s="238" t="s">
        <v>5577</v>
      </c>
      <c r="H477" s="236"/>
      <c r="I477" s="236"/>
      <c r="J477" s="238" t="s">
        <v>5366</v>
      </c>
      <c r="K477" s="242"/>
      <c r="L477" s="237"/>
      <c r="M477" s="237"/>
      <c r="N477" s="237"/>
      <c r="O477" s="237"/>
      <c r="P477" s="237"/>
      <c r="Q477" s="237"/>
      <c r="R477" s="237"/>
      <c r="S477" s="237"/>
      <c r="T477" s="237"/>
      <c r="U477" s="237"/>
      <c r="V477" s="237"/>
      <c r="W477" s="237"/>
      <c r="X477" s="237"/>
      <c r="Y477" s="237"/>
      <c r="Z477" s="237"/>
      <c r="AA477" s="237"/>
      <c r="AB477" s="237"/>
    </row>
    <row r="478">
      <c r="A478" s="238">
        <v>477.0</v>
      </c>
      <c r="B478" s="242"/>
      <c r="C478" s="240" t="s">
        <v>5578</v>
      </c>
      <c r="D478" s="236"/>
      <c r="E478" s="240" t="s">
        <v>3511</v>
      </c>
      <c r="F478" s="238">
        <v>0.0</v>
      </c>
      <c r="G478" s="238" t="s">
        <v>5579</v>
      </c>
      <c r="H478" s="240" t="s">
        <v>5580</v>
      </c>
      <c r="I478" s="236"/>
      <c r="J478" s="238" t="s">
        <v>3515</v>
      </c>
      <c r="K478" s="242"/>
      <c r="L478" s="237"/>
      <c r="M478" s="237"/>
      <c r="N478" s="237"/>
      <c r="O478" s="237"/>
      <c r="P478" s="237"/>
      <c r="Q478" s="237"/>
      <c r="R478" s="237"/>
      <c r="S478" s="237"/>
      <c r="T478" s="237"/>
      <c r="U478" s="237"/>
      <c r="V478" s="237"/>
      <c r="W478" s="237"/>
      <c r="X478" s="237"/>
      <c r="Y478" s="237"/>
      <c r="Z478" s="237"/>
      <c r="AA478" s="237"/>
      <c r="AB478" s="237"/>
    </row>
    <row r="479">
      <c r="A479" s="238">
        <v>478.0</v>
      </c>
      <c r="B479" s="239" t="s">
        <v>5581</v>
      </c>
      <c r="C479" s="240" t="s">
        <v>5582</v>
      </c>
      <c r="D479" s="236"/>
      <c r="E479" s="240" t="s">
        <v>3511</v>
      </c>
      <c r="F479" s="240" t="s">
        <v>5583</v>
      </c>
      <c r="G479" s="238" t="s">
        <v>5584</v>
      </c>
      <c r="H479" s="240" t="s">
        <v>5585</v>
      </c>
      <c r="I479" s="236"/>
      <c r="J479" s="238" t="s">
        <v>5586</v>
      </c>
      <c r="K479" s="239" t="s">
        <v>5581</v>
      </c>
      <c r="L479" s="237"/>
      <c r="M479" s="237"/>
      <c r="N479" s="237"/>
      <c r="O479" s="237"/>
      <c r="P479" s="237"/>
      <c r="Q479" s="237"/>
      <c r="R479" s="237"/>
      <c r="S479" s="237"/>
      <c r="T479" s="237"/>
      <c r="U479" s="237"/>
      <c r="V479" s="237"/>
      <c r="W479" s="237"/>
      <c r="X479" s="237"/>
      <c r="Y479" s="237"/>
      <c r="Z479" s="237"/>
      <c r="AA479" s="237"/>
      <c r="AB479" s="237"/>
    </row>
    <row r="480">
      <c r="A480" s="238">
        <v>479.0</v>
      </c>
      <c r="B480" s="239" t="s">
        <v>5587</v>
      </c>
      <c r="C480" s="240" t="s">
        <v>5588</v>
      </c>
      <c r="D480" s="236"/>
      <c r="E480" s="240" t="s">
        <v>3511</v>
      </c>
      <c r="F480" s="240" t="s">
        <v>5589</v>
      </c>
      <c r="G480" s="238" t="s">
        <v>5590</v>
      </c>
      <c r="H480" s="240" t="s">
        <v>5591</v>
      </c>
      <c r="I480" s="236"/>
      <c r="J480" s="238" t="s">
        <v>3515</v>
      </c>
      <c r="K480" s="239" t="s">
        <v>5587</v>
      </c>
      <c r="L480" s="237"/>
      <c r="M480" s="237"/>
      <c r="N480" s="237"/>
      <c r="O480" s="237"/>
      <c r="P480" s="237"/>
      <c r="Q480" s="237"/>
      <c r="R480" s="237"/>
      <c r="S480" s="237"/>
      <c r="T480" s="237"/>
      <c r="U480" s="237"/>
      <c r="V480" s="237"/>
      <c r="W480" s="237"/>
      <c r="X480" s="237"/>
      <c r="Y480" s="237"/>
      <c r="Z480" s="237"/>
      <c r="AA480" s="237"/>
      <c r="AB480" s="237"/>
    </row>
    <row r="481">
      <c r="A481" s="238">
        <v>480.0</v>
      </c>
      <c r="B481" s="239" t="s">
        <v>5592</v>
      </c>
      <c r="C481" s="240" t="s">
        <v>5593</v>
      </c>
      <c r="D481" s="236"/>
      <c r="E481" s="240" t="s">
        <v>3511</v>
      </c>
      <c r="F481" s="240" t="s">
        <v>5594</v>
      </c>
      <c r="G481" s="238" t="s">
        <v>5595</v>
      </c>
      <c r="H481" s="240" t="s">
        <v>5596</v>
      </c>
      <c r="I481" s="236"/>
      <c r="J481" s="238" t="s">
        <v>3515</v>
      </c>
      <c r="K481" s="239" t="s">
        <v>5592</v>
      </c>
      <c r="L481" s="237"/>
      <c r="M481" s="237"/>
      <c r="N481" s="237"/>
      <c r="O481" s="237"/>
      <c r="P481" s="237"/>
      <c r="Q481" s="237"/>
      <c r="R481" s="237"/>
      <c r="S481" s="237"/>
      <c r="T481" s="237"/>
      <c r="U481" s="237"/>
      <c r="V481" s="237"/>
      <c r="W481" s="237"/>
      <c r="X481" s="237"/>
      <c r="Y481" s="237"/>
      <c r="Z481" s="237"/>
      <c r="AA481" s="237"/>
      <c r="AB481" s="237"/>
    </row>
    <row r="482">
      <c r="A482" s="238">
        <v>481.0</v>
      </c>
      <c r="B482" s="239" t="s">
        <v>5597</v>
      </c>
      <c r="C482" s="240" t="s">
        <v>5598</v>
      </c>
      <c r="D482" s="236"/>
      <c r="E482" s="240" t="s">
        <v>3511</v>
      </c>
      <c r="F482" s="240" t="s">
        <v>5599</v>
      </c>
      <c r="G482" s="238" t="s">
        <v>5600</v>
      </c>
      <c r="H482" s="240" t="s">
        <v>5601</v>
      </c>
      <c r="I482" s="236"/>
      <c r="J482" s="238" t="s">
        <v>3515</v>
      </c>
      <c r="K482" s="239" t="s">
        <v>5597</v>
      </c>
      <c r="L482" s="237"/>
      <c r="M482" s="237"/>
      <c r="N482" s="237"/>
      <c r="O482" s="237"/>
      <c r="P482" s="237"/>
      <c r="Q482" s="237"/>
      <c r="R482" s="237"/>
      <c r="S482" s="237"/>
      <c r="T482" s="237"/>
      <c r="U482" s="237"/>
      <c r="V482" s="237"/>
      <c r="W482" s="237"/>
      <c r="X482" s="237"/>
      <c r="Y482" s="237"/>
      <c r="Z482" s="237"/>
      <c r="AA482" s="237"/>
      <c r="AB482" s="237"/>
    </row>
    <row r="483">
      <c r="A483" s="238">
        <v>482.0</v>
      </c>
      <c r="B483" s="239" t="s">
        <v>5602</v>
      </c>
      <c r="C483" s="240" t="s">
        <v>5603</v>
      </c>
      <c r="D483" s="236"/>
      <c r="E483" s="240" t="s">
        <v>3511</v>
      </c>
      <c r="F483" s="240" t="s">
        <v>2483</v>
      </c>
      <c r="G483" s="238" t="s">
        <v>5604</v>
      </c>
      <c r="H483" s="240" t="s">
        <v>5605</v>
      </c>
      <c r="I483" s="236"/>
      <c r="J483" s="238" t="s">
        <v>3515</v>
      </c>
      <c r="K483" s="239" t="s">
        <v>5602</v>
      </c>
      <c r="L483" s="237"/>
      <c r="M483" s="237"/>
      <c r="N483" s="237"/>
      <c r="O483" s="237"/>
      <c r="P483" s="237"/>
      <c r="Q483" s="237"/>
      <c r="R483" s="237"/>
      <c r="S483" s="237"/>
      <c r="T483" s="237"/>
      <c r="U483" s="237"/>
      <c r="V483" s="237"/>
      <c r="W483" s="237"/>
      <c r="X483" s="237"/>
      <c r="Y483" s="237"/>
      <c r="Z483" s="237"/>
      <c r="AA483" s="237"/>
      <c r="AB483" s="237"/>
    </row>
    <row r="484">
      <c r="A484" s="238">
        <v>483.0</v>
      </c>
      <c r="B484" s="242"/>
      <c r="C484" s="240" t="s">
        <v>5606</v>
      </c>
      <c r="D484" s="236"/>
      <c r="E484" s="240" t="s">
        <v>3511</v>
      </c>
      <c r="F484" s="240" t="s">
        <v>5607</v>
      </c>
      <c r="G484" s="238" t="s">
        <v>5608</v>
      </c>
      <c r="H484" s="240" t="s">
        <v>5609</v>
      </c>
      <c r="I484" s="236"/>
      <c r="J484" s="238" t="s">
        <v>3515</v>
      </c>
      <c r="K484" s="242"/>
      <c r="L484" s="237"/>
      <c r="M484" s="237"/>
      <c r="N484" s="237"/>
      <c r="O484" s="237"/>
      <c r="P484" s="237"/>
      <c r="Q484" s="237"/>
      <c r="R484" s="237"/>
      <c r="S484" s="237"/>
      <c r="T484" s="237"/>
      <c r="U484" s="237"/>
      <c r="V484" s="237"/>
      <c r="W484" s="237"/>
      <c r="X484" s="237"/>
      <c r="Y484" s="237"/>
      <c r="Z484" s="237"/>
      <c r="AA484" s="237"/>
      <c r="AB484" s="237"/>
    </row>
    <row r="485">
      <c r="A485" s="238">
        <v>484.0</v>
      </c>
      <c r="B485" s="239" t="s">
        <v>5610</v>
      </c>
      <c r="C485" s="240" t="s">
        <v>5607</v>
      </c>
      <c r="D485" s="236"/>
      <c r="E485" s="240" t="s">
        <v>3511</v>
      </c>
      <c r="F485" s="240" t="s">
        <v>5611</v>
      </c>
      <c r="G485" s="238" t="s">
        <v>5612</v>
      </c>
      <c r="H485" s="240" t="s">
        <v>5613</v>
      </c>
      <c r="I485" s="236"/>
      <c r="J485" s="238" t="s">
        <v>3515</v>
      </c>
      <c r="K485" s="239" t="s">
        <v>5610</v>
      </c>
      <c r="L485" s="237"/>
      <c r="M485" s="237"/>
      <c r="N485" s="237"/>
      <c r="O485" s="237"/>
      <c r="P485" s="237"/>
      <c r="Q485" s="237"/>
      <c r="R485" s="237"/>
      <c r="S485" s="237"/>
      <c r="T485" s="237"/>
      <c r="U485" s="237"/>
      <c r="V485" s="237"/>
      <c r="W485" s="237"/>
      <c r="X485" s="237"/>
      <c r="Y485" s="237"/>
      <c r="Z485" s="237"/>
      <c r="AA485" s="237"/>
      <c r="AB485" s="237"/>
    </row>
    <row r="486">
      <c r="A486" s="238">
        <v>485.0</v>
      </c>
      <c r="B486" s="239" t="s">
        <v>5614</v>
      </c>
      <c r="C486" s="240" t="s">
        <v>5615</v>
      </c>
      <c r="D486" s="236"/>
      <c r="E486" s="240" t="s">
        <v>3511</v>
      </c>
      <c r="F486" s="240" t="s">
        <v>5616</v>
      </c>
      <c r="G486" s="238" t="s">
        <v>5617</v>
      </c>
      <c r="H486" s="240" t="s">
        <v>5618</v>
      </c>
      <c r="I486" s="236"/>
      <c r="J486" s="238" t="s">
        <v>3515</v>
      </c>
      <c r="K486" s="239" t="s">
        <v>5614</v>
      </c>
      <c r="L486" s="237"/>
      <c r="M486" s="237"/>
      <c r="N486" s="237"/>
      <c r="O486" s="237"/>
      <c r="P486" s="237"/>
      <c r="Q486" s="237"/>
      <c r="R486" s="237"/>
      <c r="S486" s="237"/>
      <c r="T486" s="237"/>
      <c r="U486" s="237"/>
      <c r="V486" s="237"/>
      <c r="W486" s="237"/>
      <c r="X486" s="237"/>
      <c r="Y486" s="237"/>
      <c r="Z486" s="237"/>
      <c r="AA486" s="237"/>
      <c r="AB486" s="237"/>
    </row>
    <row r="487">
      <c r="A487" s="238">
        <v>486.0</v>
      </c>
      <c r="B487" s="239" t="s">
        <v>5619</v>
      </c>
      <c r="C487" s="240" t="s">
        <v>5620</v>
      </c>
      <c r="D487" s="236"/>
      <c r="E487" s="240" t="s">
        <v>3511</v>
      </c>
      <c r="F487" s="240" t="s">
        <v>5621</v>
      </c>
      <c r="G487" s="238" t="s">
        <v>5622</v>
      </c>
      <c r="H487" s="240" t="s">
        <v>5623</v>
      </c>
      <c r="I487" s="236"/>
      <c r="J487" s="238" t="s">
        <v>3515</v>
      </c>
      <c r="K487" s="239" t="s">
        <v>5619</v>
      </c>
      <c r="L487" s="237"/>
      <c r="M487" s="237"/>
      <c r="N487" s="237"/>
      <c r="O487" s="237"/>
      <c r="P487" s="237"/>
      <c r="Q487" s="237"/>
      <c r="R487" s="237"/>
      <c r="S487" s="237"/>
      <c r="T487" s="237"/>
      <c r="U487" s="237"/>
      <c r="V487" s="237"/>
      <c r="W487" s="237"/>
      <c r="X487" s="237"/>
      <c r="Y487" s="237"/>
      <c r="Z487" s="237"/>
      <c r="AA487" s="237"/>
      <c r="AB487" s="237"/>
    </row>
    <row r="488">
      <c r="A488" s="238">
        <v>487.0</v>
      </c>
      <c r="B488" s="242"/>
      <c r="C488" s="240" t="s">
        <v>5624</v>
      </c>
      <c r="D488" s="236"/>
      <c r="E488" s="240" t="s">
        <v>3511</v>
      </c>
      <c r="F488" s="238">
        <v>0.0</v>
      </c>
      <c r="G488" s="238" t="s">
        <v>5625</v>
      </c>
      <c r="H488" s="240" t="s">
        <v>5626</v>
      </c>
      <c r="I488" s="236"/>
      <c r="J488" s="238" t="s">
        <v>5627</v>
      </c>
      <c r="K488" s="242"/>
      <c r="L488" s="237"/>
      <c r="M488" s="237"/>
      <c r="N488" s="237"/>
      <c r="O488" s="237"/>
      <c r="P488" s="237"/>
      <c r="Q488" s="237"/>
      <c r="R488" s="237"/>
      <c r="S488" s="237"/>
      <c r="T488" s="237"/>
      <c r="U488" s="237"/>
      <c r="V488" s="237"/>
      <c r="W488" s="237"/>
      <c r="X488" s="237"/>
      <c r="Y488" s="237"/>
      <c r="Z488" s="237"/>
      <c r="AA488" s="237"/>
      <c r="AB488" s="237"/>
    </row>
    <row r="489">
      <c r="A489" s="238">
        <v>488.0</v>
      </c>
      <c r="B489" s="239" t="s">
        <v>5628</v>
      </c>
      <c r="C489" s="240" t="s">
        <v>5629</v>
      </c>
      <c r="D489" s="236"/>
      <c r="E489" s="240" t="s">
        <v>3511</v>
      </c>
      <c r="F489" s="240" t="s">
        <v>5630</v>
      </c>
      <c r="G489" s="238" t="s">
        <v>5631</v>
      </c>
      <c r="H489" s="240" t="s">
        <v>5632</v>
      </c>
      <c r="I489" s="236"/>
      <c r="J489" s="238" t="s">
        <v>5586</v>
      </c>
      <c r="K489" s="239" t="s">
        <v>5628</v>
      </c>
      <c r="L489" s="237"/>
      <c r="M489" s="237"/>
      <c r="N489" s="237"/>
      <c r="O489" s="237"/>
      <c r="P489" s="237"/>
      <c r="Q489" s="237"/>
      <c r="R489" s="237"/>
      <c r="S489" s="237"/>
      <c r="T489" s="237"/>
      <c r="U489" s="237"/>
      <c r="V489" s="237"/>
      <c r="W489" s="237"/>
      <c r="X489" s="237"/>
      <c r="Y489" s="237"/>
      <c r="Z489" s="237"/>
      <c r="AA489" s="237"/>
      <c r="AB489" s="237"/>
    </row>
    <row r="490">
      <c r="A490" s="238">
        <v>489.0</v>
      </c>
      <c r="B490" s="239" t="s">
        <v>5633</v>
      </c>
      <c r="C490" s="240" t="s">
        <v>5634</v>
      </c>
      <c r="D490" s="236"/>
      <c r="E490" s="240" t="s">
        <v>3511</v>
      </c>
      <c r="F490" s="240" t="s">
        <v>5635</v>
      </c>
      <c r="G490" s="238" t="s">
        <v>5636</v>
      </c>
      <c r="H490" s="240" t="s">
        <v>5637</v>
      </c>
      <c r="I490" s="236"/>
      <c r="J490" s="238" t="s">
        <v>3515</v>
      </c>
      <c r="K490" s="239" t="s">
        <v>5633</v>
      </c>
      <c r="L490" s="237"/>
      <c r="M490" s="237"/>
      <c r="N490" s="237"/>
      <c r="O490" s="237"/>
      <c r="P490" s="237"/>
      <c r="Q490" s="237"/>
      <c r="R490" s="237"/>
      <c r="S490" s="237"/>
      <c r="T490" s="237"/>
      <c r="U490" s="237"/>
      <c r="V490" s="237"/>
      <c r="W490" s="237"/>
      <c r="X490" s="237"/>
      <c r="Y490" s="237"/>
      <c r="Z490" s="237"/>
      <c r="AA490" s="237"/>
      <c r="AB490" s="237"/>
    </row>
    <row r="491">
      <c r="A491" s="238">
        <v>490.0</v>
      </c>
      <c r="B491" s="239" t="s">
        <v>5638</v>
      </c>
      <c r="C491" s="240" t="s">
        <v>5639</v>
      </c>
      <c r="D491" s="236"/>
      <c r="E491" s="240" t="s">
        <v>3511</v>
      </c>
      <c r="F491" s="240" t="s">
        <v>5640</v>
      </c>
      <c r="G491" s="238" t="s">
        <v>5641</v>
      </c>
      <c r="H491" s="240" t="s">
        <v>5642</v>
      </c>
      <c r="I491" s="236"/>
      <c r="J491" s="238" t="s">
        <v>3515</v>
      </c>
      <c r="K491" s="239" t="s">
        <v>5638</v>
      </c>
      <c r="L491" s="237"/>
      <c r="M491" s="237"/>
      <c r="N491" s="237"/>
      <c r="O491" s="237"/>
      <c r="P491" s="237"/>
      <c r="Q491" s="237"/>
      <c r="R491" s="237"/>
      <c r="S491" s="237"/>
      <c r="T491" s="237"/>
      <c r="U491" s="237"/>
      <c r="V491" s="237"/>
      <c r="W491" s="237"/>
      <c r="X491" s="237"/>
      <c r="Y491" s="237"/>
      <c r="Z491" s="237"/>
      <c r="AA491" s="237"/>
      <c r="AB491" s="237"/>
    </row>
    <row r="492">
      <c r="A492" s="238">
        <v>491.0</v>
      </c>
      <c r="B492" s="239" t="s">
        <v>5643</v>
      </c>
      <c r="C492" s="240" t="s">
        <v>5644</v>
      </c>
      <c r="D492" s="236"/>
      <c r="E492" s="240" t="s">
        <v>3511</v>
      </c>
      <c r="F492" s="240" t="s">
        <v>5645</v>
      </c>
      <c r="G492" s="238" t="s">
        <v>5646</v>
      </c>
      <c r="H492" s="240" t="s">
        <v>5647</v>
      </c>
      <c r="I492" s="236"/>
      <c r="J492" s="238" t="s">
        <v>3515</v>
      </c>
      <c r="K492" s="239" t="s">
        <v>5643</v>
      </c>
      <c r="L492" s="237"/>
      <c r="M492" s="237"/>
      <c r="N492" s="237"/>
      <c r="O492" s="237"/>
      <c r="P492" s="237"/>
      <c r="Q492" s="237"/>
      <c r="R492" s="237"/>
      <c r="S492" s="237"/>
      <c r="T492" s="237"/>
      <c r="U492" s="237"/>
      <c r="V492" s="237"/>
      <c r="W492" s="237"/>
      <c r="X492" s="237"/>
      <c r="Y492" s="237"/>
      <c r="Z492" s="237"/>
      <c r="AA492" s="237"/>
      <c r="AB492" s="237"/>
    </row>
    <row r="493">
      <c r="A493" s="238">
        <v>492.0</v>
      </c>
      <c r="B493" s="239" t="s">
        <v>5648</v>
      </c>
      <c r="C493" s="240" t="s">
        <v>5649</v>
      </c>
      <c r="D493" s="236"/>
      <c r="E493" s="240" t="s">
        <v>3511</v>
      </c>
      <c r="F493" s="240" t="s">
        <v>5650</v>
      </c>
      <c r="G493" s="238" t="s">
        <v>5651</v>
      </c>
      <c r="H493" s="240" t="s">
        <v>5652</v>
      </c>
      <c r="I493" s="236"/>
      <c r="J493" s="238" t="s">
        <v>3515</v>
      </c>
      <c r="K493" s="239" t="s">
        <v>5648</v>
      </c>
      <c r="L493" s="237"/>
      <c r="M493" s="237"/>
      <c r="N493" s="237"/>
      <c r="O493" s="237"/>
      <c r="P493" s="237"/>
      <c r="Q493" s="237"/>
      <c r="R493" s="237"/>
      <c r="S493" s="237"/>
      <c r="T493" s="237"/>
      <c r="U493" s="237"/>
      <c r="V493" s="237"/>
      <c r="W493" s="237"/>
      <c r="X493" s="237"/>
      <c r="Y493" s="237"/>
      <c r="Z493" s="237"/>
      <c r="AA493" s="237"/>
      <c r="AB493" s="237"/>
    </row>
    <row r="494">
      <c r="A494" s="238">
        <v>493.0</v>
      </c>
      <c r="B494" s="242"/>
      <c r="C494" s="240" t="s">
        <v>5653</v>
      </c>
      <c r="D494" s="236"/>
      <c r="E494" s="240" t="s">
        <v>3511</v>
      </c>
      <c r="F494" s="240" t="s">
        <v>5654</v>
      </c>
      <c r="G494" s="238" t="s">
        <v>5655</v>
      </c>
      <c r="H494" s="240" t="s">
        <v>5656</v>
      </c>
      <c r="I494" s="236"/>
      <c r="J494" s="238" t="s">
        <v>3515</v>
      </c>
      <c r="K494" s="242"/>
      <c r="L494" s="237"/>
      <c r="M494" s="237"/>
      <c r="N494" s="237"/>
      <c r="O494" s="237"/>
      <c r="P494" s="237"/>
      <c r="Q494" s="237"/>
      <c r="R494" s="237"/>
      <c r="S494" s="237"/>
      <c r="T494" s="237"/>
      <c r="U494" s="237"/>
      <c r="V494" s="237"/>
      <c r="W494" s="237"/>
      <c r="X494" s="237"/>
      <c r="Y494" s="237"/>
      <c r="Z494" s="237"/>
      <c r="AA494" s="237"/>
      <c r="AB494" s="237"/>
    </row>
    <row r="495">
      <c r="A495" s="238">
        <v>494.0</v>
      </c>
      <c r="B495" s="239" t="s">
        <v>5657</v>
      </c>
      <c r="C495" s="240" t="s">
        <v>5654</v>
      </c>
      <c r="D495" s="236"/>
      <c r="E495" s="240" t="s">
        <v>3511</v>
      </c>
      <c r="F495" s="240" t="s">
        <v>2498</v>
      </c>
      <c r="G495" s="238" t="s">
        <v>5658</v>
      </c>
      <c r="H495" s="240" t="s">
        <v>5659</v>
      </c>
      <c r="I495" s="236"/>
      <c r="J495" s="238" t="s">
        <v>3515</v>
      </c>
      <c r="K495" s="239" t="s">
        <v>5657</v>
      </c>
      <c r="L495" s="237"/>
      <c r="M495" s="237"/>
      <c r="N495" s="237"/>
      <c r="O495" s="237"/>
      <c r="P495" s="237"/>
      <c r="Q495" s="237"/>
      <c r="R495" s="237"/>
      <c r="S495" s="237"/>
      <c r="T495" s="237"/>
      <c r="U495" s="237"/>
      <c r="V495" s="237"/>
      <c r="W495" s="237"/>
      <c r="X495" s="237"/>
      <c r="Y495" s="237"/>
      <c r="Z495" s="237"/>
      <c r="AA495" s="237"/>
      <c r="AB495" s="237"/>
    </row>
    <row r="496">
      <c r="A496" s="238">
        <v>495.0</v>
      </c>
      <c r="B496" s="239" t="s">
        <v>5568</v>
      </c>
      <c r="C496" s="240" t="s">
        <v>5660</v>
      </c>
      <c r="D496" s="236"/>
      <c r="E496" s="240" t="s">
        <v>3511</v>
      </c>
      <c r="F496" s="240" t="s">
        <v>5569</v>
      </c>
      <c r="G496" s="238" t="s">
        <v>5570</v>
      </c>
      <c r="H496" s="240" t="s">
        <v>5661</v>
      </c>
      <c r="I496" s="236"/>
      <c r="J496" s="238" t="s">
        <v>3499</v>
      </c>
      <c r="K496" s="239" t="s">
        <v>5568</v>
      </c>
      <c r="L496" s="237"/>
      <c r="M496" s="237"/>
      <c r="N496" s="237"/>
      <c r="O496" s="237"/>
      <c r="P496" s="237"/>
      <c r="Q496" s="237"/>
      <c r="R496" s="237"/>
      <c r="S496" s="237"/>
      <c r="T496" s="237"/>
      <c r="U496" s="237"/>
      <c r="V496" s="237"/>
      <c r="W496" s="237"/>
      <c r="X496" s="237"/>
      <c r="Y496" s="237"/>
      <c r="Z496" s="237"/>
      <c r="AA496" s="237"/>
      <c r="AB496" s="237"/>
    </row>
    <row r="497">
      <c r="A497" s="238">
        <v>496.0</v>
      </c>
      <c r="B497" s="239" t="s">
        <v>5662</v>
      </c>
      <c r="C497" s="240" t="s">
        <v>5663</v>
      </c>
      <c r="D497" s="236"/>
      <c r="E497" s="240" t="s">
        <v>3511</v>
      </c>
      <c r="F497" s="240" t="s">
        <v>5664</v>
      </c>
      <c r="G497" s="238" t="s">
        <v>5665</v>
      </c>
      <c r="H497" s="240" t="s">
        <v>5666</v>
      </c>
      <c r="I497" s="236"/>
      <c r="J497" s="238" t="s">
        <v>3962</v>
      </c>
      <c r="K497" s="239" t="s">
        <v>5662</v>
      </c>
      <c r="L497" s="237"/>
      <c r="M497" s="237"/>
      <c r="N497" s="237"/>
      <c r="O497" s="237"/>
      <c r="P497" s="237"/>
      <c r="Q497" s="237"/>
      <c r="R497" s="237"/>
      <c r="S497" s="237"/>
      <c r="T497" s="237"/>
      <c r="U497" s="237"/>
      <c r="V497" s="237"/>
      <c r="W497" s="237"/>
      <c r="X497" s="237"/>
      <c r="Y497" s="237"/>
      <c r="Z497" s="237"/>
      <c r="AA497" s="237"/>
      <c r="AB497" s="237"/>
    </row>
    <row r="498">
      <c r="A498" s="238">
        <v>497.0</v>
      </c>
      <c r="B498" s="242"/>
      <c r="C498" s="240" t="s">
        <v>5667</v>
      </c>
      <c r="D498" s="236"/>
      <c r="E498" s="240" t="s">
        <v>3511</v>
      </c>
      <c r="F498" s="238">
        <v>0.0</v>
      </c>
      <c r="G498" s="238" t="s">
        <v>5668</v>
      </c>
      <c r="H498" s="240" t="s">
        <v>5669</v>
      </c>
      <c r="I498" s="236"/>
      <c r="J498" s="238" t="s">
        <v>3962</v>
      </c>
      <c r="K498" s="242"/>
      <c r="L498" s="237"/>
      <c r="M498" s="237"/>
      <c r="N498" s="237"/>
      <c r="O498" s="237"/>
      <c r="P498" s="237"/>
      <c r="Q498" s="237"/>
      <c r="R498" s="237"/>
      <c r="S498" s="237"/>
      <c r="T498" s="237"/>
      <c r="U498" s="237"/>
      <c r="V498" s="237"/>
      <c r="W498" s="237"/>
      <c r="X498" s="237"/>
      <c r="Y498" s="237"/>
      <c r="Z498" s="237"/>
      <c r="AA498" s="237"/>
      <c r="AB498" s="237"/>
    </row>
    <row r="499">
      <c r="A499" s="238">
        <v>498.0</v>
      </c>
      <c r="B499" s="239" t="s">
        <v>5670</v>
      </c>
      <c r="C499" s="240" t="s">
        <v>5671</v>
      </c>
      <c r="D499" s="236"/>
      <c r="E499" s="240" t="s">
        <v>3511</v>
      </c>
      <c r="F499" s="240" t="s">
        <v>5672</v>
      </c>
      <c r="G499" s="238" t="s">
        <v>5673</v>
      </c>
      <c r="H499" s="240" t="s">
        <v>5674</v>
      </c>
      <c r="I499" s="236"/>
      <c r="J499" s="238" t="s">
        <v>4171</v>
      </c>
      <c r="K499" s="239" t="s">
        <v>5670</v>
      </c>
      <c r="L499" s="237"/>
      <c r="M499" s="237"/>
      <c r="N499" s="237"/>
      <c r="O499" s="237"/>
      <c r="P499" s="237"/>
      <c r="Q499" s="237"/>
      <c r="R499" s="237"/>
      <c r="S499" s="237"/>
      <c r="T499" s="237"/>
      <c r="U499" s="237"/>
      <c r="V499" s="237"/>
      <c r="W499" s="237"/>
      <c r="X499" s="237"/>
      <c r="Y499" s="237"/>
      <c r="Z499" s="237"/>
      <c r="AA499" s="237"/>
      <c r="AB499" s="237"/>
    </row>
    <row r="500">
      <c r="A500" s="238">
        <v>499.0</v>
      </c>
      <c r="B500" s="239" t="s">
        <v>4962</v>
      </c>
      <c r="C500" s="240" t="s">
        <v>5675</v>
      </c>
      <c r="D500" s="236"/>
      <c r="E500" s="240" t="s">
        <v>3511</v>
      </c>
      <c r="F500" s="240" t="s">
        <v>4964</v>
      </c>
      <c r="G500" s="238" t="s">
        <v>4965</v>
      </c>
      <c r="H500" s="240" t="s">
        <v>5676</v>
      </c>
      <c r="I500" s="236"/>
      <c r="J500" s="238" t="s">
        <v>4536</v>
      </c>
      <c r="K500" s="239" t="s">
        <v>4962</v>
      </c>
      <c r="L500" s="237"/>
      <c r="M500" s="237"/>
      <c r="N500" s="237"/>
      <c r="O500" s="237"/>
      <c r="P500" s="237"/>
      <c r="Q500" s="237"/>
      <c r="R500" s="237"/>
      <c r="S500" s="237"/>
      <c r="T500" s="237"/>
      <c r="U500" s="237"/>
      <c r="V500" s="237"/>
      <c r="W500" s="237"/>
      <c r="X500" s="237"/>
      <c r="Y500" s="237"/>
      <c r="Z500" s="237"/>
      <c r="AA500" s="237"/>
      <c r="AB500" s="237"/>
    </row>
    <row r="501">
      <c r="A501" s="238">
        <v>500.0</v>
      </c>
      <c r="B501" s="239" t="s">
        <v>4969</v>
      </c>
      <c r="C501" s="240" t="s">
        <v>5677</v>
      </c>
      <c r="D501" s="236"/>
      <c r="E501" s="240" t="s">
        <v>3511</v>
      </c>
      <c r="F501" s="240" t="s">
        <v>4971</v>
      </c>
      <c r="G501" s="238" t="s">
        <v>4972</v>
      </c>
      <c r="H501" s="240" t="s">
        <v>5678</v>
      </c>
      <c r="I501" s="236"/>
      <c r="J501" s="238" t="s">
        <v>4536</v>
      </c>
      <c r="K501" s="239" t="s">
        <v>4969</v>
      </c>
      <c r="L501" s="237"/>
      <c r="M501" s="237"/>
      <c r="N501" s="237"/>
      <c r="O501" s="237"/>
      <c r="P501" s="237"/>
      <c r="Q501" s="237"/>
      <c r="R501" s="237"/>
      <c r="S501" s="237"/>
      <c r="T501" s="237"/>
      <c r="U501" s="237"/>
      <c r="V501" s="237"/>
      <c r="W501" s="237"/>
      <c r="X501" s="237"/>
      <c r="Y501" s="237"/>
      <c r="Z501" s="237"/>
      <c r="AA501" s="237"/>
      <c r="AB501" s="237"/>
    </row>
    <row r="502">
      <c r="A502" s="238">
        <v>501.0</v>
      </c>
      <c r="B502" s="242"/>
      <c r="C502" s="240" t="s">
        <v>5679</v>
      </c>
      <c r="D502" s="236"/>
      <c r="E502" s="240" t="s">
        <v>3496</v>
      </c>
      <c r="F502" s="240" t="s">
        <v>4967</v>
      </c>
      <c r="G502" s="238" t="s">
        <v>4968</v>
      </c>
      <c r="H502" s="236"/>
      <c r="I502" s="236"/>
      <c r="J502" s="238" t="s">
        <v>4536</v>
      </c>
      <c r="K502" s="242"/>
      <c r="L502" s="237"/>
      <c r="M502" s="237"/>
      <c r="N502" s="237"/>
      <c r="O502" s="237"/>
      <c r="P502" s="237"/>
      <c r="Q502" s="237"/>
      <c r="R502" s="237"/>
      <c r="S502" s="237"/>
      <c r="T502" s="237"/>
      <c r="U502" s="237"/>
      <c r="V502" s="237"/>
      <c r="W502" s="237"/>
      <c r="X502" s="237"/>
      <c r="Y502" s="237"/>
      <c r="Z502" s="237"/>
      <c r="AA502" s="237"/>
      <c r="AB502" s="237"/>
    </row>
    <row r="503">
      <c r="A503" s="238">
        <v>502.0</v>
      </c>
      <c r="B503" s="242"/>
      <c r="C503" s="240" t="s">
        <v>5680</v>
      </c>
      <c r="D503" s="236"/>
      <c r="E503" s="240" t="s">
        <v>3496</v>
      </c>
      <c r="F503" s="240" t="s">
        <v>4977</v>
      </c>
      <c r="G503" s="238" t="s">
        <v>4961</v>
      </c>
      <c r="H503" s="236"/>
      <c r="I503" s="236"/>
      <c r="J503" s="238" t="s">
        <v>4536</v>
      </c>
      <c r="K503" s="242"/>
      <c r="L503" s="237"/>
      <c r="M503" s="237"/>
      <c r="N503" s="237"/>
      <c r="O503" s="237"/>
      <c r="P503" s="237"/>
      <c r="Q503" s="237"/>
      <c r="R503" s="237"/>
      <c r="S503" s="237"/>
      <c r="T503" s="237"/>
      <c r="U503" s="237"/>
      <c r="V503" s="237"/>
      <c r="W503" s="237"/>
      <c r="X503" s="237"/>
      <c r="Y503" s="237"/>
      <c r="Z503" s="237"/>
      <c r="AA503" s="237"/>
      <c r="AB503" s="237"/>
    </row>
    <row r="504">
      <c r="A504" s="238">
        <v>503.0</v>
      </c>
      <c r="B504" s="242"/>
      <c r="C504" s="240" t="s">
        <v>5681</v>
      </c>
      <c r="D504" s="236"/>
      <c r="E504" s="240" t="s">
        <v>3496</v>
      </c>
      <c r="F504" s="240" t="s">
        <v>4977</v>
      </c>
      <c r="G504" s="238" t="s">
        <v>4961</v>
      </c>
      <c r="H504" s="236"/>
      <c r="I504" s="236"/>
      <c r="J504" s="238" t="s">
        <v>4536</v>
      </c>
      <c r="K504" s="242"/>
      <c r="L504" s="237"/>
      <c r="M504" s="237"/>
      <c r="N504" s="237"/>
      <c r="O504" s="237"/>
      <c r="P504" s="237"/>
      <c r="Q504" s="237"/>
      <c r="R504" s="237"/>
      <c r="S504" s="237"/>
      <c r="T504" s="237"/>
      <c r="U504" s="237"/>
      <c r="V504" s="237"/>
      <c r="W504" s="237"/>
      <c r="X504" s="237"/>
      <c r="Y504" s="237"/>
      <c r="Z504" s="237"/>
      <c r="AA504" s="237"/>
      <c r="AB504" s="237"/>
    </row>
    <row r="505">
      <c r="A505" s="238">
        <v>504.0</v>
      </c>
      <c r="B505" s="242"/>
      <c r="C505" s="240" t="s">
        <v>5682</v>
      </c>
      <c r="D505" s="236"/>
      <c r="E505" s="240" t="s">
        <v>3496</v>
      </c>
      <c r="F505" s="240" t="s">
        <v>4974</v>
      </c>
      <c r="G505" s="238" t="s">
        <v>4975</v>
      </c>
      <c r="H505" s="236"/>
      <c r="I505" s="236"/>
      <c r="J505" s="238" t="s">
        <v>4536</v>
      </c>
      <c r="K505" s="242"/>
      <c r="L505" s="237"/>
      <c r="M505" s="237"/>
      <c r="N505" s="237"/>
      <c r="O505" s="237"/>
      <c r="P505" s="237"/>
      <c r="Q505" s="237"/>
      <c r="R505" s="237"/>
      <c r="S505" s="237"/>
      <c r="T505" s="237"/>
      <c r="U505" s="237"/>
      <c r="V505" s="237"/>
      <c r="W505" s="237"/>
      <c r="X505" s="237"/>
      <c r="Y505" s="237"/>
      <c r="Z505" s="237"/>
      <c r="AA505" s="237"/>
      <c r="AB505" s="237"/>
    </row>
    <row r="506">
      <c r="A506" s="238">
        <v>505.0</v>
      </c>
      <c r="B506" s="239" t="s">
        <v>5683</v>
      </c>
      <c r="C506" s="240" t="s">
        <v>5684</v>
      </c>
      <c r="D506" s="236"/>
      <c r="E506" s="240" t="s">
        <v>3496</v>
      </c>
      <c r="F506" s="240" t="s">
        <v>5685</v>
      </c>
      <c r="G506" s="238" t="s">
        <v>5686</v>
      </c>
      <c r="H506" s="236"/>
      <c r="I506" s="236"/>
      <c r="J506" s="238" t="s">
        <v>3986</v>
      </c>
      <c r="K506" s="239" t="s">
        <v>5683</v>
      </c>
      <c r="L506" s="237"/>
      <c r="M506" s="237"/>
      <c r="N506" s="237"/>
      <c r="O506" s="237"/>
      <c r="P506" s="237"/>
      <c r="Q506" s="237"/>
      <c r="R506" s="237"/>
      <c r="S506" s="237"/>
      <c r="T506" s="237"/>
      <c r="U506" s="237"/>
      <c r="V506" s="237"/>
      <c r="W506" s="237"/>
      <c r="X506" s="237"/>
      <c r="Y506" s="237"/>
      <c r="Z506" s="237"/>
      <c r="AA506" s="237"/>
      <c r="AB506" s="237"/>
    </row>
    <row r="507">
      <c r="A507" s="238">
        <v>506.0</v>
      </c>
      <c r="B507" s="239" t="s">
        <v>5687</v>
      </c>
      <c r="C507" s="240" t="s">
        <v>5688</v>
      </c>
      <c r="D507" s="236"/>
      <c r="E507" s="240" t="s">
        <v>3511</v>
      </c>
      <c r="F507" s="240" t="s">
        <v>5689</v>
      </c>
      <c r="G507" s="238" t="s">
        <v>5690</v>
      </c>
      <c r="H507" s="240" t="s">
        <v>5691</v>
      </c>
      <c r="I507" s="236"/>
      <c r="J507" s="238" t="s">
        <v>3962</v>
      </c>
      <c r="K507" s="239" t="s">
        <v>5687</v>
      </c>
      <c r="L507" s="237"/>
      <c r="M507" s="237"/>
      <c r="N507" s="237"/>
      <c r="O507" s="237"/>
      <c r="P507" s="237"/>
      <c r="Q507" s="237"/>
      <c r="R507" s="237"/>
      <c r="S507" s="237"/>
      <c r="T507" s="237"/>
      <c r="U507" s="237"/>
      <c r="V507" s="237"/>
      <c r="W507" s="237"/>
      <c r="X507" s="237"/>
      <c r="Y507" s="237"/>
      <c r="Z507" s="237"/>
      <c r="AA507" s="237"/>
      <c r="AB507" s="237"/>
    </row>
    <row r="508">
      <c r="A508" s="238">
        <v>507.0</v>
      </c>
      <c r="B508" s="242"/>
      <c r="C508" s="240" t="s">
        <v>5692</v>
      </c>
      <c r="D508" s="236"/>
      <c r="E508" s="240" t="s">
        <v>3511</v>
      </c>
      <c r="F508" s="238">
        <v>0.0</v>
      </c>
      <c r="G508" s="238" t="s">
        <v>5693</v>
      </c>
      <c r="H508" s="240" t="s">
        <v>5694</v>
      </c>
      <c r="I508" s="236"/>
      <c r="J508" s="238" t="s">
        <v>3637</v>
      </c>
      <c r="K508" s="242"/>
      <c r="L508" s="237"/>
      <c r="M508" s="237"/>
      <c r="N508" s="237"/>
      <c r="O508" s="237"/>
      <c r="P508" s="237"/>
      <c r="Q508" s="237"/>
      <c r="R508" s="237"/>
      <c r="S508" s="237"/>
      <c r="T508" s="237"/>
      <c r="U508" s="237"/>
      <c r="V508" s="237"/>
      <c r="W508" s="237"/>
      <c r="X508" s="237"/>
      <c r="Y508" s="237"/>
      <c r="Z508" s="237"/>
      <c r="AA508" s="237"/>
      <c r="AB508" s="237"/>
    </row>
    <row r="509">
      <c r="A509" s="238">
        <v>508.0</v>
      </c>
      <c r="B509" s="239" t="s">
        <v>5695</v>
      </c>
      <c r="C509" s="240" t="s">
        <v>5696</v>
      </c>
      <c r="D509" s="236"/>
      <c r="E509" s="240" t="s">
        <v>3511</v>
      </c>
      <c r="F509" s="240" t="s">
        <v>5697</v>
      </c>
      <c r="G509" s="238" t="s">
        <v>5698</v>
      </c>
      <c r="H509" s="240" t="s">
        <v>5699</v>
      </c>
      <c r="I509" s="236"/>
      <c r="J509" s="238" t="s">
        <v>5700</v>
      </c>
      <c r="K509" s="239" t="s">
        <v>5695</v>
      </c>
      <c r="L509" s="237"/>
      <c r="M509" s="237"/>
      <c r="N509" s="237"/>
      <c r="O509" s="237"/>
      <c r="P509" s="237"/>
      <c r="Q509" s="237"/>
      <c r="R509" s="237"/>
      <c r="S509" s="237"/>
      <c r="T509" s="237"/>
      <c r="U509" s="237"/>
      <c r="V509" s="237"/>
      <c r="W509" s="237"/>
      <c r="X509" s="237"/>
      <c r="Y509" s="237"/>
      <c r="Z509" s="237"/>
      <c r="AA509" s="237"/>
      <c r="AB509" s="237"/>
    </row>
    <row r="510">
      <c r="A510" s="238">
        <v>509.0</v>
      </c>
      <c r="B510" s="239" t="s">
        <v>5701</v>
      </c>
      <c r="C510" s="240" t="s">
        <v>5702</v>
      </c>
      <c r="D510" s="236"/>
      <c r="E510" s="240" t="s">
        <v>3511</v>
      </c>
      <c r="F510" s="240" t="s">
        <v>5703</v>
      </c>
      <c r="G510" s="238" t="s">
        <v>5704</v>
      </c>
      <c r="H510" s="240" t="s">
        <v>5705</v>
      </c>
      <c r="I510" s="236"/>
      <c r="J510" s="238" t="s">
        <v>3637</v>
      </c>
      <c r="K510" s="239" t="s">
        <v>5701</v>
      </c>
      <c r="L510" s="237"/>
      <c r="M510" s="237"/>
      <c r="N510" s="237"/>
      <c r="O510" s="237"/>
      <c r="P510" s="237"/>
      <c r="Q510" s="237"/>
      <c r="R510" s="237"/>
      <c r="S510" s="237"/>
      <c r="T510" s="237"/>
      <c r="U510" s="237"/>
      <c r="V510" s="237"/>
      <c r="W510" s="237"/>
      <c r="X510" s="237"/>
      <c r="Y510" s="237"/>
      <c r="Z510" s="237"/>
      <c r="AA510" s="237"/>
      <c r="AB510" s="237"/>
    </row>
    <row r="511">
      <c r="A511" s="238">
        <v>510.0</v>
      </c>
      <c r="B511" s="239" t="s">
        <v>5706</v>
      </c>
      <c r="C511" s="240" t="s">
        <v>5707</v>
      </c>
      <c r="D511" s="236"/>
      <c r="E511" s="240" t="s">
        <v>3496</v>
      </c>
      <c r="F511" s="240" t="s">
        <v>2469</v>
      </c>
      <c r="G511" s="238" t="s">
        <v>5708</v>
      </c>
      <c r="H511" s="236"/>
      <c r="I511" s="236"/>
      <c r="J511" s="238" t="s">
        <v>3986</v>
      </c>
      <c r="K511" s="239" t="s">
        <v>5706</v>
      </c>
      <c r="L511" s="237"/>
      <c r="M511" s="237"/>
      <c r="N511" s="237"/>
      <c r="O511" s="237"/>
      <c r="P511" s="237"/>
      <c r="Q511" s="237"/>
      <c r="R511" s="237"/>
      <c r="S511" s="237"/>
      <c r="T511" s="237"/>
      <c r="U511" s="237"/>
      <c r="V511" s="237"/>
      <c r="W511" s="237"/>
      <c r="X511" s="237"/>
      <c r="Y511" s="237"/>
      <c r="Z511" s="237"/>
      <c r="AA511" s="237"/>
      <c r="AB511" s="237"/>
    </row>
    <row r="512">
      <c r="A512" s="238">
        <v>511.0</v>
      </c>
      <c r="B512" s="239" t="s">
        <v>5709</v>
      </c>
      <c r="C512" s="240" t="s">
        <v>5710</v>
      </c>
      <c r="D512" s="236"/>
      <c r="E512" s="240" t="s">
        <v>3511</v>
      </c>
      <c r="F512" s="240" t="s">
        <v>2359</v>
      </c>
      <c r="G512" s="238" t="s">
        <v>5711</v>
      </c>
      <c r="H512" s="240" t="s">
        <v>5712</v>
      </c>
      <c r="I512" s="236"/>
      <c r="J512" s="238" t="s">
        <v>3637</v>
      </c>
      <c r="K512" s="239" t="s">
        <v>5709</v>
      </c>
      <c r="L512" s="237"/>
      <c r="M512" s="237"/>
      <c r="N512" s="237"/>
      <c r="O512" s="237"/>
      <c r="P512" s="237"/>
      <c r="Q512" s="237"/>
      <c r="R512" s="237"/>
      <c r="S512" s="237"/>
      <c r="T512" s="237"/>
      <c r="U512" s="237"/>
      <c r="V512" s="237"/>
      <c r="W512" s="237"/>
      <c r="X512" s="237"/>
      <c r="Y512" s="237"/>
      <c r="Z512" s="237"/>
      <c r="AA512" s="237"/>
      <c r="AB512" s="237"/>
    </row>
    <row r="513">
      <c r="A513" s="238">
        <v>512.0</v>
      </c>
      <c r="B513" s="239" t="s">
        <v>5713</v>
      </c>
      <c r="C513" s="240" t="s">
        <v>5714</v>
      </c>
      <c r="D513" s="236"/>
      <c r="E513" s="240" t="s">
        <v>3511</v>
      </c>
      <c r="F513" s="240" t="s">
        <v>2360</v>
      </c>
      <c r="G513" s="238" t="s">
        <v>5715</v>
      </c>
      <c r="H513" s="240" t="s">
        <v>5716</v>
      </c>
      <c r="I513" s="236"/>
      <c r="J513" s="238" t="s">
        <v>3637</v>
      </c>
      <c r="K513" s="239" t="s">
        <v>5713</v>
      </c>
      <c r="L513" s="237"/>
      <c r="M513" s="237"/>
      <c r="N513" s="237"/>
      <c r="O513" s="237"/>
      <c r="P513" s="237"/>
      <c r="Q513" s="237"/>
      <c r="R513" s="237"/>
      <c r="S513" s="237"/>
      <c r="T513" s="237"/>
      <c r="U513" s="237"/>
      <c r="V513" s="237"/>
      <c r="W513" s="237"/>
      <c r="X513" s="237"/>
      <c r="Y513" s="237"/>
      <c r="Z513" s="237"/>
      <c r="AA513" s="237"/>
      <c r="AB513" s="237"/>
    </row>
    <row r="514">
      <c r="A514" s="238">
        <v>513.0</v>
      </c>
      <c r="B514" s="239" t="s">
        <v>3633</v>
      </c>
      <c r="C514" s="240" t="s">
        <v>5717</v>
      </c>
      <c r="D514" s="236"/>
      <c r="E514" s="240" t="s">
        <v>3511</v>
      </c>
      <c r="F514" s="240" t="s">
        <v>2361</v>
      </c>
      <c r="G514" s="238" t="s">
        <v>3635</v>
      </c>
      <c r="H514" s="240" t="s">
        <v>5718</v>
      </c>
      <c r="I514" s="236"/>
      <c r="J514" s="238" t="s">
        <v>3637</v>
      </c>
      <c r="K514" s="239" t="s">
        <v>3633</v>
      </c>
      <c r="L514" s="237"/>
      <c r="M514" s="237"/>
      <c r="N514" s="237"/>
      <c r="O514" s="237"/>
      <c r="P514" s="237"/>
      <c r="Q514" s="237"/>
      <c r="R514" s="237"/>
      <c r="S514" s="237"/>
      <c r="T514" s="237"/>
      <c r="U514" s="237"/>
      <c r="V514" s="237"/>
      <c r="W514" s="237"/>
      <c r="X514" s="237"/>
      <c r="Y514" s="237"/>
      <c r="Z514" s="237"/>
      <c r="AA514" s="237"/>
      <c r="AB514" s="237"/>
    </row>
    <row r="515">
      <c r="A515" s="238">
        <v>514.0</v>
      </c>
      <c r="B515" s="239" t="s">
        <v>5719</v>
      </c>
      <c r="C515" s="240" t="s">
        <v>5720</v>
      </c>
      <c r="D515" s="236"/>
      <c r="E515" s="240" t="s">
        <v>3511</v>
      </c>
      <c r="F515" s="240" t="s">
        <v>2362</v>
      </c>
      <c r="G515" s="238" t="s">
        <v>5721</v>
      </c>
      <c r="H515" s="240" t="s">
        <v>5722</v>
      </c>
      <c r="I515" s="236"/>
      <c r="J515" s="238" t="s">
        <v>3637</v>
      </c>
      <c r="K515" s="239" t="s">
        <v>5719</v>
      </c>
      <c r="L515" s="237"/>
      <c r="M515" s="237"/>
      <c r="N515" s="237"/>
      <c r="O515" s="237"/>
      <c r="P515" s="237"/>
      <c r="Q515" s="237"/>
      <c r="R515" s="237"/>
      <c r="S515" s="237"/>
      <c r="T515" s="237"/>
      <c r="U515" s="237"/>
      <c r="V515" s="237"/>
      <c r="W515" s="237"/>
      <c r="X515" s="237"/>
      <c r="Y515" s="237"/>
      <c r="Z515" s="237"/>
      <c r="AA515" s="237"/>
      <c r="AB515" s="237"/>
    </row>
    <row r="516">
      <c r="A516" s="238">
        <v>515.0</v>
      </c>
      <c r="B516" s="239" t="s">
        <v>3704</v>
      </c>
      <c r="C516" s="240" t="s">
        <v>5723</v>
      </c>
      <c r="D516" s="236"/>
      <c r="E516" s="240" t="s">
        <v>3511</v>
      </c>
      <c r="F516" s="241" t="s">
        <v>3706</v>
      </c>
      <c r="G516" s="238" t="s">
        <v>5724</v>
      </c>
      <c r="H516" s="240" t="s">
        <v>5725</v>
      </c>
      <c r="I516" s="236"/>
      <c r="J516" s="238" t="s">
        <v>3637</v>
      </c>
      <c r="K516" s="239" t="s">
        <v>3704</v>
      </c>
      <c r="L516" s="237"/>
      <c r="M516" s="237"/>
      <c r="N516" s="237"/>
      <c r="O516" s="237"/>
      <c r="P516" s="237"/>
      <c r="Q516" s="237"/>
      <c r="R516" s="237"/>
      <c r="S516" s="237"/>
      <c r="T516" s="237"/>
      <c r="U516" s="237"/>
      <c r="V516" s="237"/>
      <c r="W516" s="237"/>
      <c r="X516" s="237"/>
      <c r="Y516" s="237"/>
      <c r="Z516" s="237"/>
      <c r="AA516" s="237"/>
      <c r="AB516" s="237"/>
    </row>
    <row r="517">
      <c r="A517" s="238">
        <v>516.0</v>
      </c>
      <c r="B517" s="242"/>
      <c r="C517" s="240" t="s">
        <v>5726</v>
      </c>
      <c r="D517" s="236"/>
      <c r="E517" s="240" t="s">
        <v>3511</v>
      </c>
      <c r="F517" s="243">
        <v>0.0</v>
      </c>
      <c r="G517" s="238" t="s">
        <v>3735</v>
      </c>
      <c r="H517" s="240" t="s">
        <v>5727</v>
      </c>
      <c r="I517" s="236"/>
      <c r="J517" s="238" t="s">
        <v>3637</v>
      </c>
      <c r="K517" s="242"/>
      <c r="L517" s="237"/>
      <c r="M517" s="237"/>
      <c r="N517" s="237"/>
      <c r="O517" s="237"/>
      <c r="P517" s="237"/>
      <c r="Q517" s="237"/>
      <c r="R517" s="237"/>
      <c r="S517" s="237"/>
      <c r="T517" s="237"/>
      <c r="U517" s="237"/>
      <c r="V517" s="237"/>
      <c r="W517" s="237"/>
      <c r="X517" s="237"/>
      <c r="Y517" s="237"/>
      <c r="Z517" s="237"/>
      <c r="AA517" s="237"/>
      <c r="AB517" s="237"/>
    </row>
    <row r="518">
      <c r="A518" s="238">
        <v>517.0</v>
      </c>
      <c r="B518" s="239" t="s">
        <v>3739</v>
      </c>
      <c r="C518" s="240" t="s">
        <v>5728</v>
      </c>
      <c r="D518" s="236"/>
      <c r="E518" s="240" t="s">
        <v>3511</v>
      </c>
      <c r="F518" s="240" t="s">
        <v>2355</v>
      </c>
      <c r="G518" s="238" t="s">
        <v>5729</v>
      </c>
      <c r="H518" s="240" t="s">
        <v>5730</v>
      </c>
      <c r="I518" s="236"/>
      <c r="J518" s="238" t="s">
        <v>5700</v>
      </c>
      <c r="K518" s="239" t="s">
        <v>3739</v>
      </c>
      <c r="L518" s="237"/>
      <c r="M518" s="237"/>
      <c r="N518" s="237"/>
      <c r="O518" s="237"/>
      <c r="P518" s="237"/>
      <c r="Q518" s="237"/>
      <c r="R518" s="237"/>
      <c r="S518" s="237"/>
      <c r="T518" s="237"/>
      <c r="U518" s="237"/>
      <c r="V518" s="237"/>
      <c r="W518" s="237"/>
      <c r="X518" s="237"/>
      <c r="Y518" s="237"/>
      <c r="Z518" s="237"/>
      <c r="AA518" s="237"/>
      <c r="AB518" s="237"/>
    </row>
    <row r="519">
      <c r="A519" s="238">
        <v>518.0</v>
      </c>
      <c r="B519" s="242"/>
      <c r="C519" s="240" t="s">
        <v>5731</v>
      </c>
      <c r="D519" s="236"/>
      <c r="E519" s="240" t="s">
        <v>3496</v>
      </c>
      <c r="F519" s="240" t="s">
        <v>5470</v>
      </c>
      <c r="G519" s="238" t="s">
        <v>5471</v>
      </c>
      <c r="H519" s="236"/>
      <c r="I519" s="236"/>
      <c r="J519" s="238" t="s">
        <v>3962</v>
      </c>
      <c r="K519" s="242"/>
      <c r="L519" s="237"/>
      <c r="M519" s="237"/>
      <c r="N519" s="237"/>
      <c r="O519" s="237"/>
      <c r="P519" s="237"/>
      <c r="Q519" s="237"/>
      <c r="R519" s="237"/>
      <c r="S519" s="237"/>
      <c r="T519" s="237"/>
      <c r="U519" s="237"/>
      <c r="V519" s="237"/>
      <c r="W519" s="237"/>
      <c r="X519" s="237"/>
      <c r="Y519" s="237"/>
      <c r="Z519" s="237"/>
      <c r="AA519" s="237"/>
      <c r="AB519" s="237"/>
    </row>
    <row r="520">
      <c r="A520" s="238">
        <v>519.0</v>
      </c>
      <c r="B520" s="239" t="s">
        <v>5732</v>
      </c>
      <c r="C520" s="240" t="s">
        <v>5733</v>
      </c>
      <c r="D520" s="236"/>
      <c r="E520" s="240" t="s">
        <v>3511</v>
      </c>
      <c r="F520" s="240" t="s">
        <v>5734</v>
      </c>
      <c r="G520" s="238" t="s">
        <v>5735</v>
      </c>
      <c r="H520" s="240" t="s">
        <v>5736</v>
      </c>
      <c r="I520" s="236"/>
      <c r="J520" s="238" t="s">
        <v>4542</v>
      </c>
      <c r="K520" s="239" t="s">
        <v>5732</v>
      </c>
      <c r="L520" s="237"/>
      <c r="M520" s="237"/>
      <c r="N520" s="237"/>
      <c r="O520" s="237"/>
      <c r="P520" s="237"/>
      <c r="Q520" s="237"/>
      <c r="R520" s="237"/>
      <c r="S520" s="237"/>
      <c r="T520" s="237"/>
      <c r="U520" s="237"/>
      <c r="V520" s="237"/>
      <c r="W520" s="237"/>
      <c r="X520" s="237"/>
      <c r="Y520" s="237"/>
      <c r="Z520" s="237"/>
      <c r="AA520" s="237"/>
      <c r="AB520" s="237"/>
    </row>
    <row r="521">
      <c r="A521" s="238">
        <v>520.0</v>
      </c>
      <c r="B521" s="239" t="s">
        <v>5737</v>
      </c>
      <c r="C521" s="240" t="s">
        <v>5738</v>
      </c>
      <c r="D521" s="236"/>
      <c r="E521" s="240" t="s">
        <v>3511</v>
      </c>
      <c r="F521" s="240" t="s">
        <v>5739</v>
      </c>
      <c r="G521" s="238" t="s">
        <v>5740</v>
      </c>
      <c r="H521" s="240" t="s">
        <v>5741</v>
      </c>
      <c r="I521" s="236"/>
      <c r="J521" s="238" t="s">
        <v>4542</v>
      </c>
      <c r="K521" s="239" t="s">
        <v>5737</v>
      </c>
      <c r="L521" s="237"/>
      <c r="M521" s="237"/>
      <c r="N521" s="237"/>
      <c r="O521" s="237"/>
      <c r="P521" s="237"/>
      <c r="Q521" s="237"/>
      <c r="R521" s="237"/>
      <c r="S521" s="237"/>
      <c r="T521" s="237"/>
      <c r="U521" s="237"/>
      <c r="V521" s="237"/>
      <c r="W521" s="237"/>
      <c r="X521" s="237"/>
      <c r="Y521" s="237"/>
      <c r="Z521" s="237"/>
      <c r="AA521" s="237"/>
      <c r="AB521" s="237"/>
    </row>
    <row r="522">
      <c r="A522" s="238">
        <v>521.0</v>
      </c>
      <c r="B522" s="239" t="s">
        <v>5742</v>
      </c>
      <c r="C522" s="240" t="s">
        <v>5743</v>
      </c>
      <c r="D522" s="236"/>
      <c r="E522" s="240" t="s">
        <v>3511</v>
      </c>
      <c r="F522" s="240" t="s">
        <v>5744</v>
      </c>
      <c r="G522" s="238" t="s">
        <v>5745</v>
      </c>
      <c r="H522" s="240" t="s">
        <v>5746</v>
      </c>
      <c r="I522" s="236"/>
      <c r="J522" s="238" t="s">
        <v>4542</v>
      </c>
      <c r="K522" s="239" t="s">
        <v>5742</v>
      </c>
      <c r="L522" s="237"/>
      <c r="M522" s="237"/>
      <c r="N522" s="237"/>
      <c r="O522" s="237"/>
      <c r="P522" s="237"/>
      <c r="Q522" s="237"/>
      <c r="R522" s="237"/>
      <c r="S522" s="237"/>
      <c r="T522" s="237"/>
      <c r="U522" s="237"/>
      <c r="V522" s="237"/>
      <c r="W522" s="237"/>
      <c r="X522" s="237"/>
      <c r="Y522" s="237"/>
      <c r="Z522" s="237"/>
      <c r="AA522" s="237"/>
      <c r="AB522" s="237"/>
    </row>
    <row r="523">
      <c r="A523" s="238">
        <v>522.0</v>
      </c>
      <c r="B523" s="239" t="s">
        <v>5747</v>
      </c>
      <c r="C523" s="240" t="s">
        <v>5748</v>
      </c>
      <c r="D523" s="236"/>
      <c r="E523" s="240" t="s">
        <v>3511</v>
      </c>
      <c r="F523" s="240" t="s">
        <v>5749</v>
      </c>
      <c r="G523" s="238" t="s">
        <v>5750</v>
      </c>
      <c r="H523" s="240" t="s">
        <v>5751</v>
      </c>
      <c r="I523" s="236"/>
      <c r="J523" s="238" t="s">
        <v>4542</v>
      </c>
      <c r="K523" s="239" t="s">
        <v>5747</v>
      </c>
      <c r="L523" s="237"/>
      <c r="M523" s="237"/>
      <c r="N523" s="237"/>
      <c r="O523" s="237"/>
      <c r="P523" s="237"/>
      <c r="Q523" s="237"/>
      <c r="R523" s="237"/>
      <c r="S523" s="237"/>
      <c r="T523" s="237"/>
      <c r="U523" s="237"/>
      <c r="V523" s="237"/>
      <c r="W523" s="237"/>
      <c r="X523" s="237"/>
      <c r="Y523" s="237"/>
      <c r="Z523" s="237"/>
      <c r="AA523" s="237"/>
      <c r="AB523" s="237"/>
    </row>
    <row r="524">
      <c r="A524" s="238">
        <v>523.0</v>
      </c>
      <c r="B524" s="239" t="s">
        <v>5752</v>
      </c>
      <c r="C524" s="240" t="s">
        <v>5753</v>
      </c>
      <c r="D524" s="236"/>
      <c r="E524" s="240" t="s">
        <v>3511</v>
      </c>
      <c r="F524" s="240" t="s">
        <v>5754</v>
      </c>
      <c r="G524" s="238" t="s">
        <v>5755</v>
      </c>
      <c r="H524" s="240" t="s">
        <v>5756</v>
      </c>
      <c r="I524" s="236"/>
      <c r="J524" s="238" t="s">
        <v>4542</v>
      </c>
      <c r="K524" s="239" t="s">
        <v>5752</v>
      </c>
      <c r="L524" s="237"/>
      <c r="M524" s="237"/>
      <c r="N524" s="237"/>
      <c r="O524" s="237"/>
      <c r="P524" s="237"/>
      <c r="Q524" s="237"/>
      <c r="R524" s="237"/>
      <c r="S524" s="237"/>
      <c r="T524" s="237"/>
      <c r="U524" s="237"/>
      <c r="V524" s="237"/>
      <c r="W524" s="237"/>
      <c r="X524" s="237"/>
      <c r="Y524" s="237"/>
      <c r="Z524" s="237"/>
      <c r="AA524" s="237"/>
      <c r="AB524" s="237"/>
    </row>
    <row r="525">
      <c r="A525" s="238">
        <v>524.0</v>
      </c>
      <c r="B525" s="239" t="s">
        <v>5757</v>
      </c>
      <c r="C525" s="240" t="s">
        <v>5758</v>
      </c>
      <c r="D525" s="236"/>
      <c r="E525" s="240" t="s">
        <v>3511</v>
      </c>
      <c r="F525" s="240" t="s">
        <v>5759</v>
      </c>
      <c r="G525" s="238" t="s">
        <v>5760</v>
      </c>
      <c r="H525" s="240" t="s">
        <v>5761</v>
      </c>
      <c r="I525" s="236"/>
      <c r="J525" s="238" t="s">
        <v>4542</v>
      </c>
      <c r="K525" s="239" t="s">
        <v>5757</v>
      </c>
      <c r="L525" s="237"/>
      <c r="M525" s="237"/>
      <c r="N525" s="237"/>
      <c r="O525" s="237"/>
      <c r="P525" s="237"/>
      <c r="Q525" s="237"/>
      <c r="R525" s="237"/>
      <c r="S525" s="237"/>
      <c r="T525" s="237"/>
      <c r="U525" s="237"/>
      <c r="V525" s="237"/>
      <c r="W525" s="237"/>
      <c r="X525" s="237"/>
      <c r="Y525" s="237"/>
      <c r="Z525" s="237"/>
      <c r="AA525" s="237"/>
      <c r="AB525" s="237"/>
    </row>
    <row r="526">
      <c r="A526" s="238">
        <v>525.0</v>
      </c>
      <c r="B526" s="239" t="s">
        <v>5762</v>
      </c>
      <c r="C526" s="240" t="s">
        <v>5763</v>
      </c>
      <c r="D526" s="236"/>
      <c r="E526" s="240" t="s">
        <v>3511</v>
      </c>
      <c r="F526" s="240" t="s">
        <v>5764</v>
      </c>
      <c r="G526" s="238" t="s">
        <v>5765</v>
      </c>
      <c r="H526" s="240" t="s">
        <v>5766</v>
      </c>
      <c r="I526" s="236"/>
      <c r="J526" s="238" t="s">
        <v>4542</v>
      </c>
      <c r="K526" s="239" t="s">
        <v>5762</v>
      </c>
      <c r="L526" s="237"/>
      <c r="M526" s="237"/>
      <c r="N526" s="237"/>
      <c r="O526" s="237"/>
      <c r="P526" s="237"/>
      <c r="Q526" s="237"/>
      <c r="R526" s="237"/>
      <c r="S526" s="237"/>
      <c r="T526" s="237"/>
      <c r="U526" s="237"/>
      <c r="V526" s="237"/>
      <c r="W526" s="237"/>
      <c r="X526" s="237"/>
      <c r="Y526" s="237"/>
      <c r="Z526" s="237"/>
      <c r="AA526" s="237"/>
      <c r="AB526" s="237"/>
    </row>
    <row r="527">
      <c r="A527" s="238">
        <v>526.0</v>
      </c>
      <c r="B527" s="242"/>
      <c r="C527" s="240" t="s">
        <v>5767</v>
      </c>
      <c r="D527" s="236"/>
      <c r="E527" s="240" t="s">
        <v>3511</v>
      </c>
      <c r="F527" s="238">
        <v>0.0</v>
      </c>
      <c r="G527" s="238" t="s">
        <v>5768</v>
      </c>
      <c r="H527" s="240" t="s">
        <v>5769</v>
      </c>
      <c r="I527" s="236"/>
      <c r="J527" s="238" t="s">
        <v>4542</v>
      </c>
      <c r="K527" s="242"/>
      <c r="L527" s="237"/>
      <c r="M527" s="237"/>
      <c r="N527" s="237"/>
      <c r="O527" s="237"/>
      <c r="P527" s="237"/>
      <c r="Q527" s="237"/>
      <c r="R527" s="237"/>
      <c r="S527" s="237"/>
      <c r="T527" s="237"/>
      <c r="U527" s="237"/>
      <c r="V527" s="237"/>
      <c r="W527" s="237"/>
      <c r="X527" s="237"/>
      <c r="Y527" s="237"/>
      <c r="Z527" s="237"/>
      <c r="AA527" s="237"/>
      <c r="AB527" s="237"/>
    </row>
    <row r="528">
      <c r="A528" s="238">
        <v>527.0</v>
      </c>
      <c r="B528" s="239" t="s">
        <v>5770</v>
      </c>
      <c r="C528" s="240" t="s">
        <v>5771</v>
      </c>
      <c r="D528" s="236"/>
      <c r="E528" s="240" t="s">
        <v>3511</v>
      </c>
      <c r="F528" s="240" t="s">
        <v>5772</v>
      </c>
      <c r="G528" s="238" t="s">
        <v>5773</v>
      </c>
      <c r="H528" s="240" t="s">
        <v>5774</v>
      </c>
      <c r="I528" s="236"/>
      <c r="J528" s="238" t="s">
        <v>5296</v>
      </c>
      <c r="K528" s="239" t="s">
        <v>5770</v>
      </c>
      <c r="L528" s="237"/>
      <c r="M528" s="237"/>
      <c r="N528" s="237"/>
      <c r="O528" s="237"/>
      <c r="P528" s="237"/>
      <c r="Q528" s="237"/>
      <c r="R528" s="237"/>
      <c r="S528" s="237"/>
      <c r="T528" s="237"/>
      <c r="U528" s="237"/>
      <c r="V528" s="237"/>
      <c r="W528" s="237"/>
      <c r="X528" s="237"/>
      <c r="Y528" s="237"/>
      <c r="Z528" s="237"/>
      <c r="AA528" s="237"/>
      <c r="AB528" s="237"/>
    </row>
    <row r="529">
      <c r="A529" s="238">
        <v>528.0</v>
      </c>
      <c r="B529" s="239" t="s">
        <v>5775</v>
      </c>
      <c r="C529" s="240" t="s">
        <v>5776</v>
      </c>
      <c r="D529" s="236"/>
      <c r="E529" s="240" t="s">
        <v>3511</v>
      </c>
      <c r="F529" s="240" t="s">
        <v>5777</v>
      </c>
      <c r="G529" s="238" t="s">
        <v>5778</v>
      </c>
      <c r="H529" s="240" t="s">
        <v>5779</v>
      </c>
      <c r="I529" s="236"/>
      <c r="J529" s="238" t="s">
        <v>4542</v>
      </c>
      <c r="K529" s="239" t="s">
        <v>5775</v>
      </c>
      <c r="L529" s="237"/>
      <c r="M529" s="237"/>
      <c r="N529" s="237"/>
      <c r="O529" s="237"/>
      <c r="P529" s="237"/>
      <c r="Q529" s="237"/>
      <c r="R529" s="237"/>
      <c r="S529" s="237"/>
      <c r="T529" s="237"/>
      <c r="U529" s="237"/>
      <c r="V529" s="237"/>
      <c r="W529" s="237"/>
      <c r="X529" s="237"/>
      <c r="Y529" s="237"/>
      <c r="Z529" s="237"/>
      <c r="AA529" s="237"/>
      <c r="AB529" s="237"/>
    </row>
    <row r="530">
      <c r="A530" s="238">
        <v>529.0</v>
      </c>
      <c r="B530" s="239" t="s">
        <v>5780</v>
      </c>
      <c r="C530" s="240" t="s">
        <v>5781</v>
      </c>
      <c r="D530" s="236"/>
      <c r="E530" s="240" t="s">
        <v>3511</v>
      </c>
      <c r="F530" s="240" t="s">
        <v>5782</v>
      </c>
      <c r="G530" s="238" t="s">
        <v>4540</v>
      </c>
      <c r="H530" s="240" t="s">
        <v>5783</v>
      </c>
      <c r="I530" s="236"/>
      <c r="J530" s="238" t="s">
        <v>4542</v>
      </c>
      <c r="K530" s="239" t="s">
        <v>5780</v>
      </c>
      <c r="L530" s="237"/>
      <c r="M530" s="237"/>
      <c r="N530" s="237"/>
      <c r="O530" s="237"/>
      <c r="P530" s="237"/>
      <c r="Q530" s="237"/>
      <c r="R530" s="237"/>
      <c r="S530" s="237"/>
      <c r="T530" s="237"/>
      <c r="U530" s="237"/>
      <c r="V530" s="237"/>
      <c r="W530" s="237"/>
      <c r="X530" s="237"/>
      <c r="Y530" s="237"/>
      <c r="Z530" s="237"/>
      <c r="AA530" s="237"/>
      <c r="AB530" s="237"/>
    </row>
    <row r="531">
      <c r="A531" s="238">
        <v>530.0</v>
      </c>
      <c r="B531" s="239" t="s">
        <v>5546</v>
      </c>
      <c r="C531" s="240" t="s">
        <v>5784</v>
      </c>
      <c r="D531" s="236"/>
      <c r="E531" s="240" t="s">
        <v>3496</v>
      </c>
      <c r="F531" s="240" t="s">
        <v>5548</v>
      </c>
      <c r="G531" s="238" t="s">
        <v>5549</v>
      </c>
      <c r="H531" s="236"/>
      <c r="I531" s="236"/>
      <c r="J531" s="238" t="s">
        <v>4536</v>
      </c>
      <c r="K531" s="239" t="s">
        <v>5546</v>
      </c>
      <c r="L531" s="237"/>
      <c r="M531" s="237"/>
      <c r="N531" s="237"/>
      <c r="O531" s="237"/>
      <c r="P531" s="237"/>
      <c r="Q531" s="237"/>
      <c r="R531" s="237"/>
      <c r="S531" s="237"/>
      <c r="T531" s="237"/>
      <c r="U531" s="237"/>
      <c r="V531" s="237"/>
      <c r="W531" s="237"/>
      <c r="X531" s="237"/>
      <c r="Y531" s="237"/>
      <c r="Z531" s="237"/>
      <c r="AA531" s="237"/>
      <c r="AB531" s="237"/>
    </row>
    <row r="532">
      <c r="A532" s="238">
        <v>531.0</v>
      </c>
      <c r="B532" s="239" t="s">
        <v>5550</v>
      </c>
      <c r="C532" s="240" t="s">
        <v>5785</v>
      </c>
      <c r="D532" s="236"/>
      <c r="E532" s="240" t="s">
        <v>3496</v>
      </c>
      <c r="F532" s="240" t="s">
        <v>5552</v>
      </c>
      <c r="G532" s="238" t="s">
        <v>5553</v>
      </c>
      <c r="H532" s="236"/>
      <c r="I532" s="236"/>
      <c r="J532" s="238" t="s">
        <v>4536</v>
      </c>
      <c r="K532" s="239" t="s">
        <v>5550</v>
      </c>
      <c r="L532" s="237"/>
      <c r="M532" s="237"/>
      <c r="N532" s="237"/>
      <c r="O532" s="237"/>
      <c r="P532" s="237"/>
      <c r="Q532" s="237"/>
      <c r="R532" s="237"/>
      <c r="S532" s="237"/>
      <c r="T532" s="237"/>
      <c r="U532" s="237"/>
      <c r="V532" s="237"/>
      <c r="W532" s="237"/>
      <c r="X532" s="237"/>
      <c r="Y532" s="237"/>
      <c r="Z532" s="237"/>
      <c r="AA532" s="237"/>
      <c r="AB532" s="237"/>
    </row>
    <row r="533">
      <c r="A533" s="238">
        <v>532.0</v>
      </c>
      <c r="B533" s="239" t="s">
        <v>4706</v>
      </c>
      <c r="C533" s="240" t="s">
        <v>5786</v>
      </c>
      <c r="D533" s="236"/>
      <c r="E533" s="240" t="s">
        <v>3496</v>
      </c>
      <c r="F533" s="240" t="s">
        <v>5555</v>
      </c>
      <c r="G533" s="238" t="s">
        <v>5787</v>
      </c>
      <c r="H533" s="236"/>
      <c r="I533" s="236"/>
      <c r="J533" s="238" t="s">
        <v>4536</v>
      </c>
      <c r="K533" s="239" t="s">
        <v>4706</v>
      </c>
      <c r="L533" s="237"/>
      <c r="M533" s="237"/>
      <c r="N533" s="237"/>
      <c r="O533" s="237"/>
      <c r="P533" s="237"/>
      <c r="Q533" s="237"/>
      <c r="R533" s="237"/>
      <c r="S533" s="237"/>
      <c r="T533" s="237"/>
      <c r="U533" s="237"/>
      <c r="V533" s="237"/>
      <c r="W533" s="237"/>
      <c r="X533" s="237"/>
      <c r="Y533" s="237"/>
      <c r="Z533" s="237"/>
      <c r="AA533" s="237"/>
      <c r="AB533" s="237"/>
    </row>
    <row r="534">
      <c r="A534" s="238">
        <v>533.0</v>
      </c>
      <c r="B534" s="239" t="s">
        <v>5557</v>
      </c>
      <c r="C534" s="240" t="s">
        <v>5788</v>
      </c>
      <c r="D534" s="236"/>
      <c r="E534" s="240" t="s">
        <v>3496</v>
      </c>
      <c r="F534" s="240" t="s">
        <v>5559</v>
      </c>
      <c r="G534" s="238" t="s">
        <v>5560</v>
      </c>
      <c r="H534" s="236"/>
      <c r="I534" s="236"/>
      <c r="J534" s="238" t="s">
        <v>4536</v>
      </c>
      <c r="K534" s="239" t="s">
        <v>5557</v>
      </c>
      <c r="L534" s="237"/>
      <c r="M534" s="237"/>
      <c r="N534" s="237"/>
      <c r="O534" s="237"/>
      <c r="P534" s="237"/>
      <c r="Q534" s="237"/>
      <c r="R534" s="237"/>
      <c r="S534" s="237"/>
      <c r="T534" s="237"/>
      <c r="U534" s="237"/>
      <c r="V534" s="237"/>
      <c r="W534" s="237"/>
      <c r="X534" s="237"/>
      <c r="Y534" s="237"/>
      <c r="Z534" s="237"/>
      <c r="AA534" s="237"/>
      <c r="AB534" s="237"/>
    </row>
    <row r="535">
      <c r="A535" s="238">
        <v>534.0</v>
      </c>
      <c r="B535" s="242"/>
      <c r="C535" s="240" t="s">
        <v>5789</v>
      </c>
      <c r="D535" s="236"/>
      <c r="E535" s="240" t="s">
        <v>3496</v>
      </c>
      <c r="F535" s="240" t="s">
        <v>5790</v>
      </c>
      <c r="G535" s="238" t="s">
        <v>5791</v>
      </c>
      <c r="H535" s="236"/>
      <c r="I535" s="236"/>
      <c r="J535" s="238" t="s">
        <v>3962</v>
      </c>
      <c r="K535" s="242"/>
      <c r="L535" s="237"/>
      <c r="M535" s="237"/>
      <c r="N535" s="237"/>
      <c r="O535" s="237"/>
      <c r="P535" s="237"/>
      <c r="Q535" s="237"/>
      <c r="R535" s="237"/>
      <c r="S535" s="237"/>
      <c r="T535" s="237"/>
      <c r="U535" s="237"/>
      <c r="V535" s="237"/>
      <c r="W535" s="237"/>
      <c r="X535" s="237"/>
      <c r="Y535" s="237"/>
      <c r="Z535" s="237"/>
      <c r="AA535" s="237"/>
      <c r="AB535" s="237"/>
    </row>
    <row r="536">
      <c r="A536" s="238">
        <v>535.0</v>
      </c>
      <c r="B536" s="242"/>
      <c r="C536" s="240" t="s">
        <v>5792</v>
      </c>
      <c r="D536" s="236"/>
      <c r="E536" s="240" t="s">
        <v>3496</v>
      </c>
      <c r="F536" s="240" t="s">
        <v>5793</v>
      </c>
      <c r="G536" s="238" t="s">
        <v>5794</v>
      </c>
      <c r="H536" s="236"/>
      <c r="I536" s="236"/>
      <c r="J536" s="238" t="s">
        <v>3962</v>
      </c>
      <c r="K536" s="242"/>
      <c r="L536" s="237"/>
      <c r="M536" s="237"/>
      <c r="N536" s="237"/>
      <c r="O536" s="237"/>
      <c r="P536" s="237"/>
      <c r="Q536" s="237"/>
      <c r="R536" s="237"/>
      <c r="S536" s="237"/>
      <c r="T536" s="237"/>
      <c r="U536" s="237"/>
      <c r="V536" s="237"/>
      <c r="W536" s="237"/>
      <c r="X536" s="237"/>
      <c r="Y536" s="237"/>
      <c r="Z536" s="237"/>
      <c r="AA536" s="237"/>
      <c r="AB536" s="237"/>
    </row>
    <row r="537">
      <c r="A537" s="238">
        <v>536.0</v>
      </c>
      <c r="B537" s="242"/>
      <c r="C537" s="240" t="s">
        <v>5795</v>
      </c>
      <c r="D537" s="236"/>
      <c r="E537" s="240" t="s">
        <v>3496</v>
      </c>
      <c r="F537" s="238">
        <v>0.0</v>
      </c>
      <c r="G537" s="238" t="s">
        <v>5796</v>
      </c>
      <c r="H537" s="236"/>
      <c r="I537" s="236"/>
      <c r="J537" s="238" t="s">
        <v>3962</v>
      </c>
      <c r="K537" s="242"/>
      <c r="L537" s="237"/>
      <c r="M537" s="237"/>
      <c r="N537" s="237"/>
      <c r="O537" s="237"/>
      <c r="P537" s="237"/>
      <c r="Q537" s="237"/>
      <c r="R537" s="237"/>
      <c r="S537" s="237"/>
      <c r="T537" s="237"/>
      <c r="U537" s="237"/>
      <c r="V537" s="237"/>
      <c r="W537" s="237"/>
      <c r="X537" s="237"/>
      <c r="Y537" s="237"/>
      <c r="Z537" s="237"/>
      <c r="AA537" s="237"/>
      <c r="AB537" s="237"/>
    </row>
    <row r="538">
      <c r="A538" s="238">
        <v>537.0</v>
      </c>
      <c r="B538" s="242"/>
      <c r="C538" s="240" t="s">
        <v>5797</v>
      </c>
      <c r="D538" s="236"/>
      <c r="E538" s="240" t="s">
        <v>3496</v>
      </c>
      <c r="F538" s="240" t="s">
        <v>5798</v>
      </c>
      <c r="G538" s="238" t="s">
        <v>5799</v>
      </c>
      <c r="H538" s="236"/>
      <c r="I538" s="236"/>
      <c r="J538" s="238" t="s">
        <v>5800</v>
      </c>
      <c r="K538" s="242"/>
      <c r="L538" s="237"/>
      <c r="M538" s="237"/>
      <c r="N538" s="237"/>
      <c r="O538" s="237"/>
      <c r="P538" s="237"/>
      <c r="Q538" s="237"/>
      <c r="R538" s="237"/>
      <c r="S538" s="237"/>
      <c r="T538" s="237"/>
      <c r="U538" s="237"/>
      <c r="V538" s="237"/>
      <c r="W538" s="237"/>
      <c r="X538" s="237"/>
      <c r="Y538" s="237"/>
      <c r="Z538" s="237"/>
      <c r="AA538" s="237"/>
      <c r="AB538" s="237"/>
    </row>
    <row r="539">
      <c r="A539" s="238">
        <v>538.0</v>
      </c>
      <c r="B539" s="242"/>
      <c r="C539" s="240" t="s">
        <v>5801</v>
      </c>
      <c r="D539" s="236"/>
      <c r="E539" s="240" t="s">
        <v>3496</v>
      </c>
      <c r="F539" s="240" t="s">
        <v>5802</v>
      </c>
      <c r="G539" s="238" t="s">
        <v>5803</v>
      </c>
      <c r="H539" s="236"/>
      <c r="I539" s="236"/>
      <c r="J539" s="238" t="s">
        <v>5804</v>
      </c>
      <c r="K539" s="242"/>
      <c r="L539" s="237"/>
      <c r="M539" s="237"/>
      <c r="N539" s="237"/>
      <c r="O539" s="237"/>
      <c r="P539" s="237"/>
      <c r="Q539" s="237"/>
      <c r="R539" s="237"/>
      <c r="S539" s="237"/>
      <c r="T539" s="237"/>
      <c r="U539" s="237"/>
      <c r="V539" s="237"/>
      <c r="W539" s="237"/>
      <c r="X539" s="237"/>
      <c r="Y539" s="237"/>
      <c r="Z539" s="237"/>
      <c r="AA539" s="237"/>
      <c r="AB539" s="237"/>
    </row>
    <row r="540">
      <c r="A540" s="238">
        <v>539.0</v>
      </c>
      <c r="B540" s="242"/>
      <c r="C540" s="240" t="s">
        <v>5805</v>
      </c>
      <c r="D540" s="236"/>
      <c r="E540" s="240" t="s">
        <v>3496</v>
      </c>
      <c r="F540" s="240" t="s">
        <v>5806</v>
      </c>
      <c r="G540" s="238" t="s">
        <v>5807</v>
      </c>
      <c r="H540" s="236"/>
      <c r="I540" s="236"/>
      <c r="J540" s="238" t="s">
        <v>5804</v>
      </c>
      <c r="K540" s="242"/>
      <c r="L540" s="237"/>
      <c r="M540" s="237"/>
      <c r="N540" s="237"/>
      <c r="O540" s="237"/>
      <c r="P540" s="237"/>
      <c r="Q540" s="237"/>
      <c r="R540" s="237"/>
      <c r="S540" s="237"/>
      <c r="T540" s="237"/>
      <c r="U540" s="237"/>
      <c r="V540" s="237"/>
      <c r="W540" s="237"/>
      <c r="X540" s="237"/>
      <c r="Y540" s="237"/>
      <c r="Z540" s="237"/>
      <c r="AA540" s="237"/>
      <c r="AB540" s="237"/>
    </row>
    <row r="541">
      <c r="A541" s="238">
        <v>540.0</v>
      </c>
      <c r="B541" s="242"/>
      <c r="C541" s="240" t="s">
        <v>5808</v>
      </c>
      <c r="D541" s="236"/>
      <c r="E541" s="240" t="s">
        <v>5809</v>
      </c>
      <c r="F541" s="240" t="s">
        <v>5810</v>
      </c>
      <c r="G541" s="238" t="s">
        <v>5811</v>
      </c>
      <c r="H541" s="236"/>
      <c r="I541" s="236"/>
      <c r="J541" s="238" t="s">
        <v>5804</v>
      </c>
      <c r="K541" s="242"/>
      <c r="L541" s="237"/>
      <c r="M541" s="237"/>
      <c r="N541" s="237"/>
      <c r="O541" s="237"/>
      <c r="P541" s="237"/>
      <c r="Q541" s="237"/>
      <c r="R541" s="237"/>
      <c r="S541" s="237"/>
      <c r="T541" s="237"/>
      <c r="U541" s="237"/>
      <c r="V541" s="237"/>
      <c r="W541" s="237"/>
      <c r="X541" s="237"/>
      <c r="Y541" s="237"/>
      <c r="Z541" s="237"/>
      <c r="AA541" s="237"/>
      <c r="AB541" s="237"/>
    </row>
    <row r="542">
      <c r="A542" s="238">
        <v>541.0</v>
      </c>
      <c r="B542" s="242"/>
      <c r="C542" s="240" t="s">
        <v>5812</v>
      </c>
      <c r="D542" s="236"/>
      <c r="E542" s="240" t="s">
        <v>3496</v>
      </c>
      <c r="F542" s="240" t="s">
        <v>5813</v>
      </c>
      <c r="G542" s="238" t="s">
        <v>5814</v>
      </c>
      <c r="H542" s="236"/>
      <c r="I542" s="236"/>
      <c r="J542" s="238" t="s">
        <v>5804</v>
      </c>
      <c r="K542" s="242"/>
      <c r="L542" s="237"/>
      <c r="M542" s="237"/>
      <c r="N542" s="237"/>
      <c r="O542" s="237"/>
      <c r="P542" s="237"/>
      <c r="Q542" s="237"/>
      <c r="R542" s="237"/>
      <c r="S542" s="237"/>
      <c r="T542" s="237"/>
      <c r="U542" s="237"/>
      <c r="V542" s="237"/>
      <c r="W542" s="237"/>
      <c r="X542" s="237"/>
      <c r="Y542" s="237"/>
      <c r="Z542" s="237"/>
      <c r="AA542" s="237"/>
      <c r="AB542" s="237"/>
    </row>
    <row r="543">
      <c r="A543" s="238">
        <v>542.0</v>
      </c>
      <c r="B543" s="242"/>
      <c r="C543" s="240" t="s">
        <v>5815</v>
      </c>
      <c r="D543" s="236"/>
      <c r="E543" s="240" t="s">
        <v>3496</v>
      </c>
      <c r="F543" s="240" t="s">
        <v>5816</v>
      </c>
      <c r="G543" s="238" t="s">
        <v>5817</v>
      </c>
      <c r="H543" s="236"/>
      <c r="I543" s="236"/>
      <c r="J543" s="238" t="s">
        <v>5804</v>
      </c>
      <c r="K543" s="242"/>
      <c r="L543" s="237"/>
      <c r="M543" s="237"/>
      <c r="N543" s="237"/>
      <c r="O543" s="237"/>
      <c r="P543" s="237"/>
      <c r="Q543" s="237"/>
      <c r="R543" s="237"/>
      <c r="S543" s="237"/>
      <c r="T543" s="237"/>
      <c r="U543" s="237"/>
      <c r="V543" s="237"/>
      <c r="W543" s="237"/>
      <c r="X543" s="237"/>
      <c r="Y543" s="237"/>
      <c r="Z543" s="237"/>
      <c r="AA543" s="237"/>
      <c r="AB543" s="237"/>
    </row>
    <row r="544">
      <c r="A544" s="238">
        <v>543.0</v>
      </c>
      <c r="B544" s="242"/>
      <c r="C544" s="240" t="s">
        <v>5818</v>
      </c>
      <c r="D544" s="236"/>
      <c r="E544" s="240" t="s">
        <v>3496</v>
      </c>
      <c r="F544" s="240" t="s">
        <v>5819</v>
      </c>
      <c r="G544" s="238" t="s">
        <v>5820</v>
      </c>
      <c r="H544" s="236"/>
      <c r="I544" s="236"/>
      <c r="J544" s="238" t="s">
        <v>5804</v>
      </c>
      <c r="K544" s="242"/>
      <c r="L544" s="237"/>
      <c r="M544" s="237"/>
      <c r="N544" s="237"/>
      <c r="O544" s="237"/>
      <c r="P544" s="237"/>
      <c r="Q544" s="237"/>
      <c r="R544" s="237"/>
      <c r="S544" s="237"/>
      <c r="T544" s="237"/>
      <c r="U544" s="237"/>
      <c r="V544" s="237"/>
      <c r="W544" s="237"/>
      <c r="X544" s="237"/>
      <c r="Y544" s="237"/>
      <c r="Z544" s="237"/>
      <c r="AA544" s="237"/>
      <c r="AB544" s="237"/>
    </row>
    <row r="545">
      <c r="A545" s="238">
        <v>544.0</v>
      </c>
      <c r="B545" s="242"/>
      <c r="C545" s="240" t="s">
        <v>5821</v>
      </c>
      <c r="D545" s="236"/>
      <c r="E545" s="240" t="s">
        <v>3496</v>
      </c>
      <c r="F545" s="240" t="s">
        <v>5822</v>
      </c>
      <c r="G545" s="238" t="s">
        <v>5823</v>
      </c>
      <c r="H545" s="236"/>
      <c r="I545" s="236"/>
      <c r="J545" s="238" t="s">
        <v>5804</v>
      </c>
      <c r="K545" s="242"/>
      <c r="L545" s="237"/>
      <c r="M545" s="237"/>
      <c r="N545" s="237"/>
      <c r="O545" s="237"/>
      <c r="P545" s="237"/>
      <c r="Q545" s="237"/>
      <c r="R545" s="237"/>
      <c r="S545" s="237"/>
      <c r="T545" s="237"/>
      <c r="U545" s="237"/>
      <c r="V545" s="237"/>
      <c r="W545" s="237"/>
      <c r="X545" s="237"/>
      <c r="Y545" s="237"/>
      <c r="Z545" s="237"/>
      <c r="AA545" s="237"/>
      <c r="AB545" s="237"/>
    </row>
    <row r="546">
      <c r="A546" s="238">
        <v>545.0</v>
      </c>
      <c r="B546" s="242"/>
      <c r="C546" s="240" t="s">
        <v>5824</v>
      </c>
      <c r="D546" s="236"/>
      <c r="E546" s="240" t="s">
        <v>3496</v>
      </c>
      <c r="F546" s="240" t="s">
        <v>5825</v>
      </c>
      <c r="G546" s="238" t="s">
        <v>5826</v>
      </c>
      <c r="H546" s="236"/>
      <c r="I546" s="236"/>
      <c r="J546" s="238" t="s">
        <v>5804</v>
      </c>
      <c r="K546" s="242"/>
      <c r="L546" s="237"/>
      <c r="M546" s="237"/>
      <c r="N546" s="237"/>
      <c r="O546" s="237"/>
      <c r="P546" s="237"/>
      <c r="Q546" s="237"/>
      <c r="R546" s="237"/>
      <c r="S546" s="237"/>
      <c r="T546" s="237"/>
      <c r="U546" s="237"/>
      <c r="V546" s="237"/>
      <c r="W546" s="237"/>
      <c r="X546" s="237"/>
      <c r="Y546" s="237"/>
      <c r="Z546" s="237"/>
      <c r="AA546" s="237"/>
      <c r="AB546" s="237"/>
    </row>
    <row r="547">
      <c r="A547" s="238">
        <v>546.0</v>
      </c>
      <c r="B547" s="242"/>
      <c r="C547" s="240" t="s">
        <v>5827</v>
      </c>
      <c r="D547" s="236"/>
      <c r="E547" s="240" t="s">
        <v>3496</v>
      </c>
      <c r="F547" s="238">
        <v>0.0</v>
      </c>
      <c r="G547" s="238" t="s">
        <v>5828</v>
      </c>
      <c r="H547" s="236"/>
      <c r="I547" s="236"/>
      <c r="J547" s="238" t="s">
        <v>3637</v>
      </c>
      <c r="K547" s="242"/>
      <c r="L547" s="237"/>
      <c r="M547" s="237"/>
      <c r="N547" s="237"/>
      <c r="O547" s="237"/>
      <c r="P547" s="237"/>
      <c r="Q547" s="237"/>
      <c r="R547" s="237"/>
      <c r="S547" s="237"/>
      <c r="T547" s="237"/>
      <c r="U547" s="237"/>
      <c r="V547" s="237"/>
      <c r="W547" s="237"/>
      <c r="X547" s="237"/>
      <c r="Y547" s="237"/>
      <c r="Z547" s="237"/>
      <c r="AA547" s="237"/>
      <c r="AB547" s="237"/>
    </row>
    <row r="548">
      <c r="A548" s="238">
        <v>547.0</v>
      </c>
      <c r="B548" s="239" t="s">
        <v>5829</v>
      </c>
      <c r="C548" s="240" t="s">
        <v>5830</v>
      </c>
      <c r="D548" s="236"/>
      <c r="E548" s="240" t="s">
        <v>3496</v>
      </c>
      <c r="F548" s="241" t="s">
        <v>5831</v>
      </c>
      <c r="G548" s="238" t="s">
        <v>5832</v>
      </c>
      <c r="H548" s="236"/>
      <c r="I548" s="236"/>
      <c r="J548" s="238" t="s">
        <v>5700</v>
      </c>
      <c r="K548" s="239" t="s">
        <v>5829</v>
      </c>
      <c r="L548" s="237"/>
      <c r="M548" s="237"/>
      <c r="N548" s="237"/>
      <c r="O548" s="237"/>
      <c r="P548" s="237"/>
      <c r="Q548" s="237"/>
      <c r="R548" s="237"/>
      <c r="S548" s="237"/>
      <c r="T548" s="237"/>
      <c r="U548" s="237"/>
      <c r="V548" s="237"/>
      <c r="W548" s="237"/>
      <c r="X548" s="237"/>
      <c r="Y548" s="237"/>
      <c r="Z548" s="237"/>
      <c r="AA548" s="237"/>
      <c r="AB548" s="237"/>
    </row>
    <row r="549">
      <c r="A549" s="238">
        <v>548.0</v>
      </c>
      <c r="B549" s="239" t="s">
        <v>5833</v>
      </c>
      <c r="C549" s="240" t="s">
        <v>5834</v>
      </c>
      <c r="D549" s="236"/>
      <c r="E549" s="240" t="s">
        <v>3496</v>
      </c>
      <c r="F549" s="241" t="s">
        <v>5835</v>
      </c>
      <c r="G549" s="238" t="s">
        <v>5836</v>
      </c>
      <c r="H549" s="236"/>
      <c r="I549" s="236"/>
      <c r="J549" s="238" t="s">
        <v>3637</v>
      </c>
      <c r="K549" s="239" t="s">
        <v>5833</v>
      </c>
      <c r="L549" s="237"/>
      <c r="M549" s="237"/>
      <c r="N549" s="237"/>
      <c r="O549" s="237"/>
      <c r="P549" s="237"/>
      <c r="Q549" s="237"/>
      <c r="R549" s="237"/>
      <c r="S549" s="237"/>
      <c r="T549" s="237"/>
      <c r="U549" s="237"/>
      <c r="V549" s="237"/>
      <c r="W549" s="237"/>
      <c r="X549" s="237"/>
      <c r="Y549" s="237"/>
      <c r="Z549" s="237"/>
      <c r="AA549" s="237"/>
      <c r="AB549" s="237"/>
    </row>
    <row r="550">
      <c r="A550" s="238">
        <v>549.0</v>
      </c>
      <c r="B550" s="239" t="s">
        <v>5837</v>
      </c>
      <c r="C550" s="240" t="s">
        <v>5838</v>
      </c>
      <c r="D550" s="236"/>
      <c r="E550" s="240" t="s">
        <v>3511</v>
      </c>
      <c r="F550" s="241" t="s">
        <v>2466</v>
      </c>
      <c r="G550" s="238" t="s">
        <v>5839</v>
      </c>
      <c r="H550" s="240" t="s">
        <v>5840</v>
      </c>
      <c r="I550" s="236"/>
      <c r="J550" s="238" t="s">
        <v>3986</v>
      </c>
      <c r="K550" s="239" t="s">
        <v>5837</v>
      </c>
      <c r="L550" s="237"/>
      <c r="M550" s="237"/>
      <c r="N550" s="237"/>
      <c r="O550" s="237"/>
      <c r="P550" s="237"/>
      <c r="Q550" s="237"/>
      <c r="R550" s="237"/>
      <c r="S550" s="237"/>
      <c r="T550" s="237"/>
      <c r="U550" s="237"/>
      <c r="V550" s="237"/>
      <c r="W550" s="237"/>
      <c r="X550" s="237"/>
      <c r="Y550" s="237"/>
      <c r="Z550" s="237"/>
      <c r="AA550" s="237"/>
      <c r="AB550" s="237"/>
    </row>
    <row r="551">
      <c r="A551" s="238">
        <v>550.0</v>
      </c>
      <c r="B551" s="239" t="s">
        <v>5683</v>
      </c>
      <c r="C551" s="240" t="s">
        <v>5841</v>
      </c>
      <c r="D551" s="236"/>
      <c r="E551" s="240" t="s">
        <v>3511</v>
      </c>
      <c r="F551" s="240" t="s">
        <v>5685</v>
      </c>
      <c r="G551" s="238" t="s">
        <v>5686</v>
      </c>
      <c r="H551" s="240" t="s">
        <v>5842</v>
      </c>
      <c r="I551" s="236"/>
      <c r="J551" s="238" t="s">
        <v>3986</v>
      </c>
      <c r="K551" s="239" t="s">
        <v>5683</v>
      </c>
      <c r="L551" s="237"/>
      <c r="M551" s="237"/>
      <c r="N551" s="237"/>
      <c r="O551" s="237"/>
      <c r="P551" s="237"/>
      <c r="Q551" s="237"/>
      <c r="R551" s="237"/>
      <c r="S551" s="237"/>
      <c r="T551" s="237"/>
      <c r="U551" s="237"/>
      <c r="V551" s="237"/>
      <c r="W551" s="237"/>
      <c r="X551" s="237"/>
      <c r="Y551" s="237"/>
      <c r="Z551" s="237"/>
      <c r="AA551" s="237"/>
      <c r="AB551" s="237"/>
    </row>
    <row r="552">
      <c r="A552" s="238">
        <v>551.0</v>
      </c>
      <c r="B552" s="239" t="s">
        <v>5706</v>
      </c>
      <c r="C552" s="240" t="s">
        <v>5843</v>
      </c>
      <c r="D552" s="236"/>
      <c r="E552" s="240" t="s">
        <v>3511</v>
      </c>
      <c r="F552" s="240" t="s">
        <v>2469</v>
      </c>
      <c r="G552" s="238" t="s">
        <v>5708</v>
      </c>
      <c r="H552" s="240" t="s">
        <v>5844</v>
      </c>
      <c r="I552" s="236"/>
      <c r="J552" s="238" t="s">
        <v>3986</v>
      </c>
      <c r="K552" s="239" t="s">
        <v>5706</v>
      </c>
      <c r="L552" s="237"/>
      <c r="M552" s="237"/>
      <c r="N552" s="237"/>
      <c r="O552" s="237"/>
      <c r="P552" s="237"/>
      <c r="Q552" s="237"/>
      <c r="R552" s="237"/>
      <c r="S552" s="237"/>
      <c r="T552" s="237"/>
      <c r="U552" s="237"/>
      <c r="V552" s="237"/>
      <c r="W552" s="237"/>
      <c r="X552" s="237"/>
      <c r="Y552" s="237"/>
      <c r="Z552" s="237"/>
      <c r="AA552" s="237"/>
      <c r="AB552" s="237"/>
    </row>
    <row r="553">
      <c r="A553" s="238">
        <v>552.0</v>
      </c>
      <c r="B553" s="242"/>
      <c r="C553" s="240" t="s">
        <v>5845</v>
      </c>
      <c r="D553" s="236"/>
      <c r="E553" s="240" t="s">
        <v>3511</v>
      </c>
      <c r="F553" s="238">
        <v>0.0</v>
      </c>
      <c r="G553" s="238" t="s">
        <v>5846</v>
      </c>
      <c r="H553" s="240" t="s">
        <v>5847</v>
      </c>
      <c r="I553" s="236"/>
      <c r="J553" s="238" t="s">
        <v>5848</v>
      </c>
      <c r="K553" s="242"/>
      <c r="L553" s="237"/>
      <c r="M553" s="237"/>
      <c r="N553" s="237"/>
      <c r="O553" s="237"/>
      <c r="P553" s="237"/>
      <c r="Q553" s="237"/>
      <c r="R553" s="237"/>
      <c r="S553" s="237"/>
      <c r="T553" s="237"/>
      <c r="U553" s="237"/>
      <c r="V553" s="237"/>
      <c r="W553" s="237"/>
      <c r="X553" s="237"/>
      <c r="Y553" s="237"/>
      <c r="Z553" s="237"/>
      <c r="AA553" s="237"/>
      <c r="AB553" s="237"/>
    </row>
    <row r="554">
      <c r="A554" s="238">
        <v>553.0</v>
      </c>
      <c r="B554" s="239" t="s">
        <v>5546</v>
      </c>
      <c r="C554" s="240" t="s">
        <v>5849</v>
      </c>
      <c r="D554" s="236"/>
      <c r="E554" s="240" t="s">
        <v>3511</v>
      </c>
      <c r="F554" s="240" t="s">
        <v>5548</v>
      </c>
      <c r="G554" s="238" t="s">
        <v>5549</v>
      </c>
      <c r="H554" s="240" t="s">
        <v>5850</v>
      </c>
      <c r="I554" s="236"/>
      <c r="J554" s="238" t="s">
        <v>4536</v>
      </c>
      <c r="K554" s="239" t="s">
        <v>5546</v>
      </c>
      <c r="L554" s="237"/>
      <c r="M554" s="237"/>
      <c r="N554" s="237"/>
      <c r="O554" s="237"/>
      <c r="P554" s="237"/>
      <c r="Q554" s="237"/>
      <c r="R554" s="237"/>
      <c r="S554" s="237"/>
      <c r="T554" s="237"/>
      <c r="U554" s="237"/>
      <c r="V554" s="237"/>
      <c r="W554" s="237"/>
      <c r="X554" s="237"/>
      <c r="Y554" s="237"/>
      <c r="Z554" s="237"/>
      <c r="AA554" s="237"/>
      <c r="AB554" s="237"/>
    </row>
    <row r="555">
      <c r="A555" s="238">
        <v>554.0</v>
      </c>
      <c r="B555" s="239" t="s">
        <v>5550</v>
      </c>
      <c r="C555" s="240" t="s">
        <v>5851</v>
      </c>
      <c r="D555" s="236"/>
      <c r="E555" s="240" t="s">
        <v>3511</v>
      </c>
      <c r="F555" s="240" t="s">
        <v>5552</v>
      </c>
      <c r="G555" s="238" t="s">
        <v>5553</v>
      </c>
      <c r="H555" s="240" t="s">
        <v>5852</v>
      </c>
      <c r="I555" s="236"/>
      <c r="J555" s="238" t="s">
        <v>4536</v>
      </c>
      <c r="K555" s="239" t="s">
        <v>5550</v>
      </c>
      <c r="L555" s="237"/>
      <c r="M555" s="237"/>
      <c r="N555" s="237"/>
      <c r="O555" s="237"/>
      <c r="P555" s="237"/>
      <c r="Q555" s="237"/>
      <c r="R555" s="237"/>
      <c r="S555" s="237"/>
      <c r="T555" s="237"/>
      <c r="U555" s="237"/>
      <c r="V555" s="237"/>
      <c r="W555" s="237"/>
      <c r="X555" s="237"/>
      <c r="Y555" s="237"/>
      <c r="Z555" s="237"/>
      <c r="AA555" s="237"/>
      <c r="AB555" s="237"/>
    </row>
    <row r="556">
      <c r="A556" s="238">
        <v>555.0</v>
      </c>
      <c r="B556" s="239" t="s">
        <v>4706</v>
      </c>
      <c r="C556" s="240" t="s">
        <v>5853</v>
      </c>
      <c r="D556" s="236"/>
      <c r="E556" s="240" t="s">
        <v>3511</v>
      </c>
      <c r="F556" s="240" t="s">
        <v>5555</v>
      </c>
      <c r="G556" s="238" t="s">
        <v>5787</v>
      </c>
      <c r="H556" s="240" t="s">
        <v>5854</v>
      </c>
      <c r="I556" s="236"/>
      <c r="J556" s="238" t="s">
        <v>4536</v>
      </c>
      <c r="K556" s="239" t="s">
        <v>4706</v>
      </c>
      <c r="L556" s="237"/>
      <c r="M556" s="237"/>
      <c r="N556" s="237"/>
      <c r="O556" s="237"/>
      <c r="P556" s="237"/>
      <c r="Q556" s="237"/>
      <c r="R556" s="237"/>
      <c r="S556" s="237"/>
      <c r="T556" s="237"/>
      <c r="U556" s="237"/>
      <c r="V556" s="237"/>
      <c r="W556" s="237"/>
      <c r="X556" s="237"/>
      <c r="Y556" s="237"/>
      <c r="Z556" s="237"/>
      <c r="AA556" s="237"/>
      <c r="AB556" s="237"/>
    </row>
    <row r="557">
      <c r="A557" s="238">
        <v>556.0</v>
      </c>
      <c r="B557" s="239" t="s">
        <v>5557</v>
      </c>
      <c r="C557" s="240" t="s">
        <v>5855</v>
      </c>
      <c r="D557" s="236"/>
      <c r="E557" s="240" t="s">
        <v>3511</v>
      </c>
      <c r="F557" s="240" t="s">
        <v>5559</v>
      </c>
      <c r="G557" s="238" t="s">
        <v>5560</v>
      </c>
      <c r="H557" s="240" t="s">
        <v>5856</v>
      </c>
      <c r="I557" s="236"/>
      <c r="J557" s="238" t="s">
        <v>4536</v>
      </c>
      <c r="K557" s="239" t="s">
        <v>5557</v>
      </c>
      <c r="L557" s="237"/>
      <c r="M557" s="237"/>
      <c r="N557" s="237"/>
      <c r="O557" s="237"/>
      <c r="P557" s="237"/>
      <c r="Q557" s="237"/>
      <c r="R557" s="237"/>
      <c r="S557" s="237"/>
      <c r="T557" s="237"/>
      <c r="U557" s="237"/>
      <c r="V557" s="237"/>
      <c r="W557" s="237"/>
      <c r="X557" s="237"/>
      <c r="Y557" s="237"/>
      <c r="Z557" s="237"/>
      <c r="AA557" s="237"/>
      <c r="AB557" s="237"/>
    </row>
    <row r="558">
      <c r="A558" s="238">
        <v>557.0</v>
      </c>
      <c r="B558" s="242"/>
      <c r="C558" s="240" t="s">
        <v>5857</v>
      </c>
      <c r="D558" s="236"/>
      <c r="E558" s="240" t="s">
        <v>3511</v>
      </c>
      <c r="F558" s="238">
        <v>0.0</v>
      </c>
      <c r="G558" s="238" t="s">
        <v>5287</v>
      </c>
      <c r="H558" s="240" t="s">
        <v>5858</v>
      </c>
      <c r="I558" s="236"/>
      <c r="J558" s="238" t="s">
        <v>4542</v>
      </c>
      <c r="K558" s="242"/>
      <c r="L558" s="237"/>
      <c r="M558" s="237"/>
      <c r="N558" s="237"/>
      <c r="O558" s="237"/>
      <c r="P558" s="237"/>
      <c r="Q558" s="237"/>
      <c r="R558" s="237"/>
      <c r="S558" s="237"/>
      <c r="T558" s="237"/>
      <c r="U558" s="237"/>
      <c r="V558" s="237"/>
      <c r="W558" s="237"/>
      <c r="X558" s="237"/>
      <c r="Y558" s="237"/>
      <c r="Z558" s="237"/>
      <c r="AA558" s="237"/>
      <c r="AB558" s="237"/>
    </row>
    <row r="559">
      <c r="A559" s="238">
        <v>558.0</v>
      </c>
      <c r="B559" s="242"/>
      <c r="C559" s="240" t="s">
        <v>5859</v>
      </c>
      <c r="D559" s="236"/>
      <c r="E559" s="240" t="s">
        <v>3511</v>
      </c>
      <c r="F559" s="240" t="s">
        <v>5860</v>
      </c>
      <c r="G559" s="238" t="s">
        <v>5861</v>
      </c>
      <c r="H559" s="240" t="s">
        <v>5862</v>
      </c>
      <c r="I559" s="236"/>
      <c r="J559" s="238" t="s">
        <v>5296</v>
      </c>
      <c r="K559" s="242"/>
      <c r="L559" s="237"/>
      <c r="M559" s="237"/>
      <c r="N559" s="237"/>
      <c r="O559" s="237"/>
      <c r="P559" s="237"/>
      <c r="Q559" s="237"/>
      <c r="R559" s="237"/>
      <c r="S559" s="237"/>
      <c r="T559" s="237"/>
      <c r="U559" s="237"/>
      <c r="V559" s="237"/>
      <c r="W559" s="237"/>
      <c r="X559" s="237"/>
      <c r="Y559" s="237"/>
      <c r="Z559" s="237"/>
      <c r="AA559" s="237"/>
      <c r="AB559" s="237"/>
    </row>
    <row r="560">
      <c r="A560" s="238">
        <v>559.0</v>
      </c>
      <c r="B560" s="242"/>
      <c r="C560" s="240" t="s">
        <v>5863</v>
      </c>
      <c r="D560" s="236"/>
      <c r="E560" s="240" t="s">
        <v>3511</v>
      </c>
      <c r="F560" s="240" t="s">
        <v>5864</v>
      </c>
      <c r="G560" s="238" t="s">
        <v>5865</v>
      </c>
      <c r="H560" s="240" t="s">
        <v>5866</v>
      </c>
      <c r="I560" s="236"/>
      <c r="J560" s="238" t="s">
        <v>4542</v>
      </c>
      <c r="K560" s="242"/>
      <c r="L560" s="237"/>
      <c r="M560" s="237"/>
      <c r="N560" s="237"/>
      <c r="O560" s="237"/>
      <c r="P560" s="237"/>
      <c r="Q560" s="237"/>
      <c r="R560" s="237"/>
      <c r="S560" s="237"/>
      <c r="T560" s="237"/>
      <c r="U560" s="237"/>
      <c r="V560" s="237"/>
      <c r="W560" s="237"/>
      <c r="X560" s="237"/>
      <c r="Y560" s="237"/>
      <c r="Z560" s="237"/>
      <c r="AA560" s="237"/>
      <c r="AB560" s="237"/>
    </row>
    <row r="561">
      <c r="A561" s="238">
        <v>560.0</v>
      </c>
      <c r="B561" s="242"/>
      <c r="C561" s="240" t="s">
        <v>5867</v>
      </c>
      <c r="D561" s="236"/>
      <c r="E561" s="240" t="s">
        <v>3511</v>
      </c>
      <c r="F561" s="240" t="s">
        <v>5868</v>
      </c>
      <c r="G561" s="238" t="s">
        <v>5265</v>
      </c>
      <c r="H561" s="240" t="s">
        <v>5869</v>
      </c>
      <c r="I561" s="236"/>
      <c r="J561" s="238" t="s">
        <v>4542</v>
      </c>
      <c r="K561" s="242"/>
      <c r="L561" s="237"/>
      <c r="M561" s="237"/>
      <c r="N561" s="237"/>
      <c r="O561" s="237"/>
      <c r="P561" s="237"/>
      <c r="Q561" s="237"/>
      <c r="R561" s="237"/>
      <c r="S561" s="237"/>
      <c r="T561" s="237"/>
      <c r="U561" s="237"/>
      <c r="V561" s="237"/>
      <c r="W561" s="237"/>
      <c r="X561" s="237"/>
      <c r="Y561" s="237"/>
      <c r="Z561" s="237"/>
      <c r="AA561" s="237"/>
      <c r="AB561" s="237"/>
    </row>
    <row r="562">
      <c r="A562" s="238">
        <v>561.0</v>
      </c>
      <c r="B562" s="242"/>
      <c r="C562" s="240" t="s">
        <v>5870</v>
      </c>
      <c r="D562" s="236"/>
      <c r="E562" s="240" t="s">
        <v>3511</v>
      </c>
      <c r="F562" s="240" t="s">
        <v>5860</v>
      </c>
      <c r="G562" s="238" t="s">
        <v>5861</v>
      </c>
      <c r="H562" s="240" t="s">
        <v>5871</v>
      </c>
      <c r="I562" s="236"/>
      <c r="J562" s="238" t="s">
        <v>4542</v>
      </c>
      <c r="K562" s="242"/>
      <c r="L562" s="237"/>
      <c r="M562" s="237"/>
      <c r="N562" s="237"/>
      <c r="O562" s="237"/>
      <c r="P562" s="237"/>
      <c r="Q562" s="237"/>
      <c r="R562" s="237"/>
      <c r="S562" s="237"/>
      <c r="T562" s="237"/>
      <c r="U562" s="237"/>
      <c r="V562" s="237"/>
      <c r="W562" s="237"/>
      <c r="X562" s="237"/>
      <c r="Y562" s="237"/>
      <c r="Z562" s="237"/>
      <c r="AA562" s="237"/>
      <c r="AB562" s="237"/>
    </row>
    <row r="563">
      <c r="A563" s="238">
        <v>562.0</v>
      </c>
      <c r="B563" s="242"/>
      <c r="C563" s="240" t="s">
        <v>5872</v>
      </c>
      <c r="D563" s="236"/>
      <c r="E563" s="240" t="s">
        <v>3511</v>
      </c>
      <c r="F563" s="240" t="s">
        <v>5873</v>
      </c>
      <c r="G563" s="238" t="s">
        <v>5874</v>
      </c>
      <c r="H563" s="240" t="s">
        <v>5875</v>
      </c>
      <c r="I563" s="236"/>
      <c r="J563" s="238" t="s">
        <v>4542</v>
      </c>
      <c r="K563" s="242"/>
      <c r="L563" s="237"/>
      <c r="M563" s="237"/>
      <c r="N563" s="237"/>
      <c r="O563" s="237"/>
      <c r="P563" s="237"/>
      <c r="Q563" s="237"/>
      <c r="R563" s="237"/>
      <c r="S563" s="237"/>
      <c r="T563" s="237"/>
      <c r="U563" s="237"/>
      <c r="V563" s="237"/>
      <c r="W563" s="237"/>
      <c r="X563" s="237"/>
      <c r="Y563" s="237"/>
      <c r="Z563" s="237"/>
      <c r="AA563" s="237"/>
      <c r="AB563" s="237"/>
    </row>
    <row r="564">
      <c r="A564" s="238">
        <v>563.0</v>
      </c>
      <c r="B564" s="242"/>
      <c r="C564" s="240" t="s">
        <v>5876</v>
      </c>
      <c r="D564" s="236"/>
      <c r="E564" s="240" t="s">
        <v>3511</v>
      </c>
      <c r="F564" s="240" t="s">
        <v>5868</v>
      </c>
      <c r="G564" s="238" t="s">
        <v>5877</v>
      </c>
      <c r="H564" s="240" t="s">
        <v>5878</v>
      </c>
      <c r="I564" s="236"/>
      <c r="J564" s="238" t="s">
        <v>4542</v>
      </c>
      <c r="K564" s="242"/>
      <c r="L564" s="237"/>
      <c r="M564" s="237"/>
      <c r="N564" s="237"/>
      <c r="O564" s="237"/>
      <c r="P564" s="237"/>
      <c r="Q564" s="237"/>
      <c r="R564" s="237"/>
      <c r="S564" s="237"/>
      <c r="T564" s="237"/>
      <c r="U564" s="237"/>
      <c r="V564" s="237"/>
      <c r="W564" s="237"/>
      <c r="X564" s="237"/>
      <c r="Y564" s="237"/>
      <c r="Z564" s="237"/>
      <c r="AA564" s="237"/>
      <c r="AB564" s="237"/>
    </row>
    <row r="565">
      <c r="A565" s="238">
        <v>564.0</v>
      </c>
      <c r="B565" s="239" t="s">
        <v>5291</v>
      </c>
      <c r="C565" s="240" t="s">
        <v>5879</v>
      </c>
      <c r="D565" s="236"/>
      <c r="E565" s="240" t="s">
        <v>3511</v>
      </c>
      <c r="F565" s="240" t="s">
        <v>5293</v>
      </c>
      <c r="G565" s="238" t="s">
        <v>5880</v>
      </c>
      <c r="H565" s="240" t="s">
        <v>5881</v>
      </c>
      <c r="I565" s="236"/>
      <c r="J565" s="238" t="s">
        <v>4542</v>
      </c>
      <c r="K565" s="239" t="s">
        <v>5291</v>
      </c>
      <c r="L565" s="237"/>
      <c r="M565" s="237"/>
      <c r="N565" s="237"/>
      <c r="O565" s="237"/>
      <c r="P565" s="237"/>
      <c r="Q565" s="237"/>
      <c r="R565" s="237"/>
      <c r="S565" s="237"/>
      <c r="T565" s="237"/>
      <c r="U565" s="237"/>
      <c r="V565" s="237"/>
      <c r="W565" s="237"/>
      <c r="X565" s="237"/>
      <c r="Y565" s="237"/>
      <c r="Z565" s="237"/>
      <c r="AA565" s="237"/>
      <c r="AB565" s="237"/>
    </row>
    <row r="566">
      <c r="A566" s="238">
        <v>565.0</v>
      </c>
      <c r="B566" s="242"/>
      <c r="C566" s="240" t="s">
        <v>5882</v>
      </c>
      <c r="D566" s="236"/>
      <c r="E566" s="240" t="s">
        <v>3511</v>
      </c>
      <c r="F566" s="240" t="s">
        <v>5883</v>
      </c>
      <c r="G566" s="238" t="s">
        <v>5884</v>
      </c>
      <c r="H566" s="240" t="s">
        <v>5885</v>
      </c>
      <c r="I566" s="236"/>
      <c r="J566" s="238" t="s">
        <v>4542</v>
      </c>
      <c r="K566" s="242"/>
      <c r="L566" s="237"/>
      <c r="M566" s="237"/>
      <c r="N566" s="237"/>
      <c r="O566" s="237"/>
      <c r="P566" s="237"/>
      <c r="Q566" s="237"/>
      <c r="R566" s="237"/>
      <c r="S566" s="237"/>
      <c r="T566" s="237"/>
      <c r="U566" s="237"/>
      <c r="V566" s="237"/>
      <c r="W566" s="237"/>
      <c r="X566" s="237"/>
      <c r="Y566" s="237"/>
      <c r="Z566" s="237"/>
      <c r="AA566" s="237"/>
      <c r="AB566" s="237"/>
    </row>
    <row r="567">
      <c r="A567" s="238">
        <v>566.0</v>
      </c>
      <c r="B567" s="242"/>
      <c r="C567" s="240" t="s">
        <v>5886</v>
      </c>
      <c r="D567" s="236"/>
      <c r="E567" s="240" t="s">
        <v>3511</v>
      </c>
      <c r="F567" s="240" t="s">
        <v>5887</v>
      </c>
      <c r="G567" s="238" t="s">
        <v>5888</v>
      </c>
      <c r="H567" s="240" t="s">
        <v>5889</v>
      </c>
      <c r="I567" s="236"/>
      <c r="J567" s="238" t="s">
        <v>4542</v>
      </c>
      <c r="K567" s="242"/>
      <c r="L567" s="237"/>
      <c r="M567" s="237"/>
      <c r="N567" s="237"/>
      <c r="O567" s="237"/>
      <c r="P567" s="237"/>
      <c r="Q567" s="237"/>
      <c r="R567" s="237"/>
      <c r="S567" s="237"/>
      <c r="T567" s="237"/>
      <c r="U567" s="237"/>
      <c r="V567" s="237"/>
      <c r="W567" s="237"/>
      <c r="X567" s="237"/>
      <c r="Y567" s="237"/>
      <c r="Z567" s="237"/>
      <c r="AA567" s="237"/>
      <c r="AB567" s="237"/>
    </row>
    <row r="568">
      <c r="A568" s="238">
        <v>567.0</v>
      </c>
      <c r="B568" s="242"/>
      <c r="C568" s="240" t="s">
        <v>5890</v>
      </c>
      <c r="D568" s="236"/>
      <c r="E568" s="240" t="s">
        <v>3511</v>
      </c>
      <c r="F568" s="238">
        <v>0.0</v>
      </c>
      <c r="G568" s="238" t="s">
        <v>4010</v>
      </c>
      <c r="H568" s="240" t="s">
        <v>5891</v>
      </c>
      <c r="I568" s="236"/>
      <c r="J568" s="238" t="s">
        <v>3986</v>
      </c>
      <c r="K568" s="242"/>
      <c r="L568" s="237"/>
      <c r="M568" s="237"/>
      <c r="N568" s="237"/>
      <c r="O568" s="237"/>
      <c r="P568" s="237"/>
      <c r="Q568" s="237"/>
      <c r="R568" s="237"/>
      <c r="S568" s="237"/>
      <c r="T568" s="237"/>
      <c r="U568" s="237"/>
      <c r="V568" s="237"/>
      <c r="W568" s="237"/>
      <c r="X568" s="237"/>
      <c r="Y568" s="237"/>
      <c r="Z568" s="237"/>
      <c r="AA568" s="237"/>
      <c r="AB568" s="237"/>
    </row>
    <row r="569">
      <c r="A569" s="238">
        <v>568.0</v>
      </c>
      <c r="B569" s="239" t="s">
        <v>5423</v>
      </c>
      <c r="C569" s="240" t="s">
        <v>5892</v>
      </c>
      <c r="D569" s="236"/>
      <c r="E569" s="240" t="s">
        <v>3511</v>
      </c>
      <c r="F569" s="240" t="s">
        <v>5425</v>
      </c>
      <c r="G569" s="238" t="s">
        <v>5426</v>
      </c>
      <c r="H569" s="240" t="s">
        <v>5893</v>
      </c>
      <c r="I569" s="236"/>
      <c r="J569" s="238" t="s">
        <v>4542</v>
      </c>
      <c r="K569" s="239" t="s">
        <v>5423</v>
      </c>
      <c r="L569" s="237"/>
      <c r="M569" s="237"/>
      <c r="N569" s="237"/>
      <c r="O569" s="237"/>
      <c r="P569" s="237"/>
      <c r="Q569" s="237"/>
      <c r="R569" s="237"/>
      <c r="S569" s="237"/>
      <c r="T569" s="237"/>
      <c r="U569" s="237"/>
      <c r="V569" s="237"/>
      <c r="W569" s="237"/>
      <c r="X569" s="237"/>
      <c r="Y569" s="237"/>
      <c r="Z569" s="237"/>
      <c r="AA569" s="237"/>
      <c r="AB569" s="237"/>
    </row>
    <row r="570">
      <c r="A570" s="238">
        <v>569.0</v>
      </c>
      <c r="B570" s="239" t="s">
        <v>5427</v>
      </c>
      <c r="C570" s="240" t="s">
        <v>5894</v>
      </c>
      <c r="D570" s="236"/>
      <c r="E570" s="240" t="s">
        <v>3511</v>
      </c>
      <c r="F570" s="240" t="s">
        <v>5429</v>
      </c>
      <c r="G570" s="238" t="s">
        <v>4542</v>
      </c>
      <c r="H570" s="240" t="s">
        <v>5895</v>
      </c>
      <c r="I570" s="236"/>
      <c r="J570" s="236"/>
      <c r="K570" s="239" t="s">
        <v>5427</v>
      </c>
      <c r="L570" s="237"/>
      <c r="M570" s="237"/>
      <c r="N570" s="237"/>
      <c r="O570" s="237"/>
      <c r="P570" s="237"/>
      <c r="Q570" s="237"/>
      <c r="R570" s="237"/>
      <c r="S570" s="237"/>
      <c r="T570" s="237"/>
      <c r="U570" s="237"/>
      <c r="V570" s="237"/>
      <c r="W570" s="237"/>
      <c r="X570" s="237"/>
      <c r="Y570" s="237"/>
      <c r="Z570" s="237"/>
      <c r="AA570" s="237"/>
      <c r="AB570" s="237"/>
    </row>
    <row r="571">
      <c r="A571" s="238">
        <v>570.0</v>
      </c>
      <c r="B571" s="239" t="s">
        <v>5430</v>
      </c>
      <c r="C571" s="240" t="s">
        <v>5896</v>
      </c>
      <c r="D571" s="236"/>
      <c r="E571" s="240" t="s">
        <v>3511</v>
      </c>
      <c r="F571" s="240" t="s">
        <v>5432</v>
      </c>
      <c r="G571" s="238" t="s">
        <v>5433</v>
      </c>
      <c r="H571" s="240" t="s">
        <v>5897</v>
      </c>
      <c r="I571" s="236"/>
      <c r="J571" s="238" t="s">
        <v>5433</v>
      </c>
      <c r="K571" s="239" t="s">
        <v>5430</v>
      </c>
      <c r="L571" s="237"/>
      <c r="M571" s="237"/>
      <c r="N571" s="237"/>
      <c r="O571" s="237"/>
      <c r="P571" s="237"/>
      <c r="Q571" s="237"/>
      <c r="R571" s="237"/>
      <c r="S571" s="237"/>
      <c r="T571" s="237"/>
      <c r="U571" s="237"/>
      <c r="V571" s="237"/>
      <c r="W571" s="237"/>
      <c r="X571" s="237"/>
      <c r="Y571" s="237"/>
      <c r="Z571" s="237"/>
      <c r="AA571" s="237"/>
      <c r="AB571" s="237"/>
    </row>
    <row r="572">
      <c r="A572" s="238">
        <v>571.0</v>
      </c>
      <c r="B572" s="242"/>
      <c r="C572" s="240" t="s">
        <v>5898</v>
      </c>
      <c r="D572" s="236"/>
      <c r="E572" s="240" t="s">
        <v>3511</v>
      </c>
      <c r="F572" s="240" t="s">
        <v>5899</v>
      </c>
      <c r="G572" s="238" t="s">
        <v>5437</v>
      </c>
      <c r="H572" s="240" t="s">
        <v>5900</v>
      </c>
      <c r="I572" s="236"/>
      <c r="J572" s="238" t="s">
        <v>4542</v>
      </c>
      <c r="K572" s="242"/>
      <c r="L572" s="237"/>
      <c r="M572" s="237"/>
      <c r="N572" s="237"/>
      <c r="O572" s="237"/>
      <c r="P572" s="237"/>
      <c r="Q572" s="237"/>
      <c r="R572" s="237"/>
      <c r="S572" s="237"/>
      <c r="T572" s="237"/>
      <c r="U572" s="237"/>
      <c r="V572" s="237"/>
      <c r="W572" s="237"/>
      <c r="X572" s="237"/>
      <c r="Y572" s="237"/>
      <c r="Z572" s="237"/>
      <c r="AA572" s="237"/>
      <c r="AB572" s="237"/>
    </row>
    <row r="573">
      <c r="A573" s="238">
        <v>572.0</v>
      </c>
      <c r="B573" s="239" t="s">
        <v>5901</v>
      </c>
      <c r="C573" s="240" t="s">
        <v>5902</v>
      </c>
      <c r="D573" s="236"/>
      <c r="E573" s="240" t="s">
        <v>3511</v>
      </c>
      <c r="F573" s="240" t="s">
        <v>5903</v>
      </c>
      <c r="G573" s="238" t="s">
        <v>5441</v>
      </c>
      <c r="H573" s="240" t="s">
        <v>5904</v>
      </c>
      <c r="I573" s="236"/>
      <c r="J573" s="238" t="s">
        <v>4542</v>
      </c>
      <c r="K573" s="239" t="s">
        <v>5901</v>
      </c>
      <c r="L573" s="237"/>
      <c r="M573" s="237"/>
      <c r="N573" s="237"/>
      <c r="O573" s="237"/>
      <c r="P573" s="237"/>
      <c r="Q573" s="237"/>
      <c r="R573" s="237"/>
      <c r="S573" s="237"/>
      <c r="T573" s="237"/>
      <c r="U573" s="237"/>
      <c r="V573" s="237"/>
      <c r="W573" s="237"/>
      <c r="X573" s="237"/>
      <c r="Y573" s="237"/>
      <c r="Z573" s="237"/>
      <c r="AA573" s="237"/>
      <c r="AB573" s="237"/>
    </row>
    <row r="574">
      <c r="A574" s="238">
        <v>573.0</v>
      </c>
      <c r="B574" s="239" t="s">
        <v>5905</v>
      </c>
      <c r="C574" s="240" t="s">
        <v>5906</v>
      </c>
      <c r="D574" s="236"/>
      <c r="E574" s="240" t="s">
        <v>3511</v>
      </c>
      <c r="F574" s="240" t="s">
        <v>5907</v>
      </c>
      <c r="G574" s="238" t="s">
        <v>5444</v>
      </c>
      <c r="H574" s="240" t="s">
        <v>5908</v>
      </c>
      <c r="I574" s="236"/>
      <c r="J574" s="238" t="s">
        <v>4542</v>
      </c>
      <c r="K574" s="239" t="s">
        <v>5905</v>
      </c>
      <c r="L574" s="237"/>
      <c r="M574" s="237"/>
      <c r="N574" s="237"/>
      <c r="O574" s="237"/>
      <c r="P574" s="237"/>
      <c r="Q574" s="237"/>
      <c r="R574" s="237"/>
      <c r="S574" s="237"/>
      <c r="T574" s="237"/>
      <c r="U574" s="237"/>
      <c r="V574" s="237"/>
      <c r="W574" s="237"/>
      <c r="X574" s="237"/>
      <c r="Y574" s="237"/>
      <c r="Z574" s="237"/>
      <c r="AA574" s="237"/>
      <c r="AB574" s="237"/>
    </row>
    <row r="575">
      <c r="A575" s="238">
        <v>574.0</v>
      </c>
      <c r="B575" s="242"/>
      <c r="C575" s="240" t="s">
        <v>5909</v>
      </c>
      <c r="D575" s="236"/>
      <c r="E575" s="240" t="s">
        <v>3496</v>
      </c>
      <c r="F575" s="240" t="s">
        <v>5910</v>
      </c>
      <c r="G575" s="238" t="s">
        <v>5911</v>
      </c>
      <c r="H575" s="236"/>
      <c r="I575" s="236"/>
      <c r="J575" s="238" t="s">
        <v>5848</v>
      </c>
      <c r="K575" s="242"/>
      <c r="L575" s="237"/>
      <c r="M575" s="237"/>
      <c r="N575" s="237"/>
      <c r="O575" s="237"/>
      <c r="P575" s="237"/>
      <c r="Q575" s="237"/>
      <c r="R575" s="237"/>
      <c r="S575" s="237"/>
      <c r="T575" s="237"/>
      <c r="U575" s="237"/>
      <c r="V575" s="237"/>
      <c r="W575" s="237"/>
      <c r="X575" s="237"/>
      <c r="Y575" s="237"/>
      <c r="Z575" s="237"/>
      <c r="AA575" s="237"/>
      <c r="AB575" s="237"/>
    </row>
    <row r="576">
      <c r="A576" s="238">
        <v>575.0</v>
      </c>
      <c r="B576" s="242"/>
      <c r="C576" s="240" t="s">
        <v>5912</v>
      </c>
      <c r="D576" s="236"/>
      <c r="E576" s="240" t="s">
        <v>3496</v>
      </c>
      <c r="F576" s="240" t="s">
        <v>5913</v>
      </c>
      <c r="G576" s="238" t="s">
        <v>5914</v>
      </c>
      <c r="H576" s="236"/>
      <c r="I576" s="236"/>
      <c r="J576" s="238" t="s">
        <v>5848</v>
      </c>
      <c r="K576" s="242"/>
      <c r="L576" s="237"/>
      <c r="M576" s="237"/>
      <c r="N576" s="237"/>
      <c r="O576" s="237"/>
      <c r="P576" s="237"/>
      <c r="Q576" s="237"/>
      <c r="R576" s="237"/>
      <c r="S576" s="237"/>
      <c r="T576" s="237"/>
      <c r="U576" s="237"/>
      <c r="V576" s="237"/>
      <c r="W576" s="237"/>
      <c r="X576" s="237"/>
      <c r="Y576" s="237"/>
      <c r="Z576" s="237"/>
      <c r="AA576" s="237"/>
      <c r="AB576" s="237"/>
    </row>
    <row r="577">
      <c r="A577" s="238">
        <v>576.0</v>
      </c>
      <c r="B577" s="239" t="s">
        <v>5915</v>
      </c>
      <c r="C577" s="240" t="s">
        <v>5916</v>
      </c>
      <c r="D577" s="236"/>
      <c r="E577" s="240" t="s">
        <v>3511</v>
      </c>
      <c r="F577" s="240" t="s">
        <v>5917</v>
      </c>
      <c r="G577" s="238" t="s">
        <v>5918</v>
      </c>
      <c r="H577" s="240" t="s">
        <v>5919</v>
      </c>
      <c r="I577" s="236"/>
      <c r="J577" s="238" t="s">
        <v>4100</v>
      </c>
      <c r="K577" s="239" t="s">
        <v>5915</v>
      </c>
      <c r="L577" s="237"/>
      <c r="M577" s="237"/>
      <c r="N577" s="237"/>
      <c r="O577" s="237"/>
      <c r="P577" s="237"/>
      <c r="Q577" s="237"/>
      <c r="R577" s="237"/>
      <c r="S577" s="237"/>
      <c r="T577" s="237"/>
      <c r="U577" s="237"/>
      <c r="V577" s="237"/>
      <c r="W577" s="237"/>
      <c r="X577" s="237"/>
      <c r="Y577" s="237"/>
      <c r="Z577" s="237"/>
      <c r="AA577" s="237"/>
      <c r="AB577" s="237"/>
    </row>
    <row r="578">
      <c r="A578" s="238">
        <v>577.0</v>
      </c>
      <c r="B578" s="239" t="s">
        <v>5920</v>
      </c>
      <c r="C578" s="240" t="s">
        <v>5921</v>
      </c>
      <c r="D578" s="236"/>
      <c r="E578" s="240" t="s">
        <v>3511</v>
      </c>
      <c r="F578" s="240" t="s">
        <v>5922</v>
      </c>
      <c r="G578" s="238" t="s">
        <v>5923</v>
      </c>
      <c r="H578" s="240" t="s">
        <v>5924</v>
      </c>
      <c r="I578" s="236"/>
      <c r="J578" s="238" t="s">
        <v>4100</v>
      </c>
      <c r="K578" s="239" t="s">
        <v>5920</v>
      </c>
      <c r="L578" s="237"/>
      <c r="M578" s="237"/>
      <c r="N578" s="237"/>
      <c r="O578" s="237"/>
      <c r="P578" s="237"/>
      <c r="Q578" s="237"/>
      <c r="R578" s="237"/>
      <c r="S578" s="237"/>
      <c r="T578" s="237"/>
      <c r="U578" s="237"/>
      <c r="V578" s="237"/>
      <c r="W578" s="237"/>
      <c r="X578" s="237"/>
      <c r="Y578" s="237"/>
      <c r="Z578" s="237"/>
      <c r="AA578" s="237"/>
      <c r="AB578" s="237"/>
    </row>
    <row r="579">
      <c r="A579" s="238">
        <v>578.0</v>
      </c>
      <c r="B579" s="239" t="s">
        <v>5925</v>
      </c>
      <c r="C579" s="240" t="s">
        <v>5926</v>
      </c>
      <c r="D579" s="236"/>
      <c r="E579" s="240" t="s">
        <v>3511</v>
      </c>
      <c r="F579" s="240" t="s">
        <v>5927</v>
      </c>
      <c r="G579" s="238" t="s">
        <v>5928</v>
      </c>
      <c r="H579" s="240" t="s">
        <v>5929</v>
      </c>
      <c r="I579" s="236"/>
      <c r="J579" s="238" t="s">
        <v>4100</v>
      </c>
      <c r="K579" s="239" t="s">
        <v>5925</v>
      </c>
      <c r="L579" s="237"/>
      <c r="M579" s="237"/>
      <c r="N579" s="237"/>
      <c r="O579" s="237"/>
      <c r="P579" s="237"/>
      <c r="Q579" s="237"/>
      <c r="R579" s="237"/>
      <c r="S579" s="237"/>
      <c r="T579" s="237"/>
      <c r="U579" s="237"/>
      <c r="V579" s="237"/>
      <c r="W579" s="237"/>
      <c r="X579" s="237"/>
      <c r="Y579" s="237"/>
      <c r="Z579" s="237"/>
      <c r="AA579" s="237"/>
      <c r="AB579" s="237"/>
    </row>
    <row r="580">
      <c r="A580" s="238">
        <v>579.0</v>
      </c>
      <c r="B580" s="239" t="s">
        <v>5930</v>
      </c>
      <c r="C580" s="240" t="s">
        <v>5931</v>
      </c>
      <c r="D580" s="236"/>
      <c r="E580" s="240" t="s">
        <v>3511</v>
      </c>
      <c r="F580" s="240" t="s">
        <v>5932</v>
      </c>
      <c r="G580" s="238" t="s">
        <v>5933</v>
      </c>
      <c r="H580" s="240" t="s">
        <v>5934</v>
      </c>
      <c r="I580" s="236"/>
      <c r="J580" s="238" t="s">
        <v>4100</v>
      </c>
      <c r="K580" s="239" t="s">
        <v>5930</v>
      </c>
      <c r="L580" s="237"/>
      <c r="M580" s="237"/>
      <c r="N580" s="237"/>
      <c r="O580" s="237"/>
      <c r="P580" s="237"/>
      <c r="Q580" s="237"/>
      <c r="R580" s="237"/>
      <c r="S580" s="237"/>
      <c r="T580" s="237"/>
      <c r="U580" s="237"/>
      <c r="V580" s="237"/>
      <c r="W580" s="237"/>
      <c r="X580" s="237"/>
      <c r="Y580" s="237"/>
      <c r="Z580" s="237"/>
      <c r="AA580" s="237"/>
      <c r="AB580" s="237"/>
    </row>
    <row r="581">
      <c r="A581" s="238">
        <v>580.0</v>
      </c>
      <c r="B581" s="239" t="s">
        <v>5935</v>
      </c>
      <c r="C581" s="240" t="s">
        <v>5936</v>
      </c>
      <c r="D581" s="236"/>
      <c r="E581" s="240" t="s">
        <v>3511</v>
      </c>
      <c r="F581" s="240" t="s">
        <v>5937</v>
      </c>
      <c r="G581" s="238" t="s">
        <v>5938</v>
      </c>
      <c r="H581" s="240" t="s">
        <v>5939</v>
      </c>
      <c r="I581" s="236"/>
      <c r="J581" s="238" t="s">
        <v>4100</v>
      </c>
      <c r="K581" s="239" t="s">
        <v>5935</v>
      </c>
      <c r="L581" s="237"/>
      <c r="M581" s="237"/>
      <c r="N581" s="237"/>
      <c r="O581" s="237"/>
      <c r="P581" s="237"/>
      <c r="Q581" s="237"/>
      <c r="R581" s="237"/>
      <c r="S581" s="237"/>
      <c r="T581" s="237"/>
      <c r="U581" s="237"/>
      <c r="V581" s="237"/>
      <c r="W581" s="237"/>
      <c r="X581" s="237"/>
      <c r="Y581" s="237"/>
      <c r="Z581" s="237"/>
      <c r="AA581" s="237"/>
      <c r="AB581" s="237"/>
    </row>
    <row r="582">
      <c r="A582" s="238">
        <v>581.0</v>
      </c>
      <c r="B582" s="239" t="s">
        <v>5940</v>
      </c>
      <c r="C582" s="240" t="s">
        <v>5941</v>
      </c>
      <c r="D582" s="236"/>
      <c r="E582" s="240" t="s">
        <v>3511</v>
      </c>
      <c r="F582" s="240" t="s">
        <v>5942</v>
      </c>
      <c r="G582" s="238" t="s">
        <v>5943</v>
      </c>
      <c r="H582" s="240" t="s">
        <v>5944</v>
      </c>
      <c r="I582" s="236"/>
      <c r="J582" s="238" t="s">
        <v>4100</v>
      </c>
      <c r="K582" s="239" t="s">
        <v>5940</v>
      </c>
      <c r="L582" s="237"/>
      <c r="M582" s="237"/>
      <c r="N582" s="237"/>
      <c r="O582" s="237"/>
      <c r="P582" s="237"/>
      <c r="Q582" s="237"/>
      <c r="R582" s="237"/>
      <c r="S582" s="237"/>
      <c r="T582" s="237"/>
      <c r="U582" s="237"/>
      <c r="V582" s="237"/>
      <c r="W582" s="237"/>
      <c r="X582" s="237"/>
      <c r="Y582" s="237"/>
      <c r="Z582" s="237"/>
      <c r="AA582" s="237"/>
      <c r="AB582" s="237"/>
    </row>
    <row r="583">
      <c r="A583" s="238">
        <v>582.0</v>
      </c>
      <c r="B583" s="239" t="s">
        <v>5945</v>
      </c>
      <c r="C583" s="240" t="s">
        <v>5946</v>
      </c>
      <c r="D583" s="236"/>
      <c r="E583" s="240" t="s">
        <v>3511</v>
      </c>
      <c r="F583" s="240" t="s">
        <v>5947</v>
      </c>
      <c r="G583" s="238" t="s">
        <v>5948</v>
      </c>
      <c r="H583" s="240" t="s">
        <v>5949</v>
      </c>
      <c r="I583" s="236"/>
      <c r="J583" s="238" t="s">
        <v>4100</v>
      </c>
      <c r="K583" s="239" t="s">
        <v>5945</v>
      </c>
      <c r="L583" s="237"/>
      <c r="M583" s="237"/>
      <c r="N583" s="237"/>
      <c r="O583" s="237"/>
      <c r="P583" s="237"/>
      <c r="Q583" s="237"/>
      <c r="R583" s="237"/>
      <c r="S583" s="237"/>
      <c r="T583" s="237"/>
      <c r="U583" s="237"/>
      <c r="V583" s="237"/>
      <c r="W583" s="237"/>
      <c r="X583" s="237"/>
      <c r="Y583" s="237"/>
      <c r="Z583" s="237"/>
      <c r="AA583" s="237"/>
      <c r="AB583" s="237"/>
    </row>
    <row r="584">
      <c r="A584" s="238">
        <v>583.0</v>
      </c>
      <c r="B584" s="239" t="s">
        <v>5950</v>
      </c>
      <c r="C584" s="240" t="s">
        <v>5951</v>
      </c>
      <c r="D584" s="236"/>
      <c r="E584" s="240" t="s">
        <v>3511</v>
      </c>
      <c r="F584" s="240" t="s">
        <v>5952</v>
      </c>
      <c r="G584" s="238" t="s">
        <v>5953</v>
      </c>
      <c r="H584" s="240" t="s">
        <v>5954</v>
      </c>
      <c r="I584" s="236"/>
      <c r="J584" s="238" t="s">
        <v>4100</v>
      </c>
      <c r="K584" s="239" t="s">
        <v>5950</v>
      </c>
      <c r="L584" s="237"/>
      <c r="M584" s="237"/>
      <c r="N584" s="237"/>
      <c r="O584" s="237"/>
      <c r="P584" s="237"/>
      <c r="Q584" s="237"/>
      <c r="R584" s="237"/>
      <c r="S584" s="237"/>
      <c r="T584" s="237"/>
      <c r="U584" s="237"/>
      <c r="V584" s="237"/>
      <c r="W584" s="237"/>
      <c r="X584" s="237"/>
      <c r="Y584" s="237"/>
      <c r="Z584" s="237"/>
      <c r="AA584" s="237"/>
      <c r="AB584" s="237"/>
    </row>
    <row r="585">
      <c r="A585" s="238">
        <v>584.0</v>
      </c>
      <c r="B585" s="242"/>
      <c r="C585" s="240" t="s">
        <v>5955</v>
      </c>
      <c r="D585" s="236"/>
      <c r="E585" s="240" t="s">
        <v>3511</v>
      </c>
      <c r="F585" s="240" t="s">
        <v>5956</v>
      </c>
      <c r="G585" s="238" t="s">
        <v>5957</v>
      </c>
      <c r="H585" s="240" t="s">
        <v>5958</v>
      </c>
      <c r="I585" s="236"/>
      <c r="J585" s="238" t="s">
        <v>4100</v>
      </c>
      <c r="K585" s="242"/>
      <c r="L585" s="237"/>
      <c r="M585" s="237"/>
      <c r="N585" s="237"/>
      <c r="O585" s="237"/>
      <c r="P585" s="237"/>
      <c r="Q585" s="237"/>
      <c r="R585" s="237"/>
      <c r="S585" s="237"/>
      <c r="T585" s="237"/>
      <c r="U585" s="237"/>
      <c r="V585" s="237"/>
      <c r="W585" s="237"/>
      <c r="X585" s="237"/>
      <c r="Y585" s="237"/>
      <c r="Z585" s="237"/>
      <c r="AA585" s="237"/>
      <c r="AB585" s="237"/>
    </row>
    <row r="586">
      <c r="A586" s="238">
        <v>585.0</v>
      </c>
      <c r="B586" s="239" t="s">
        <v>5959</v>
      </c>
      <c r="C586" s="240" t="s">
        <v>5960</v>
      </c>
      <c r="D586" s="236"/>
      <c r="E586" s="240" t="s">
        <v>3511</v>
      </c>
      <c r="F586" s="240" t="s">
        <v>5961</v>
      </c>
      <c r="G586" s="238" t="s">
        <v>5962</v>
      </c>
      <c r="H586" s="240" t="s">
        <v>5963</v>
      </c>
      <c r="I586" s="236"/>
      <c r="J586" s="238" t="s">
        <v>4100</v>
      </c>
      <c r="K586" s="239" t="s">
        <v>5959</v>
      </c>
      <c r="L586" s="237"/>
      <c r="M586" s="237"/>
      <c r="N586" s="237"/>
      <c r="O586" s="237"/>
      <c r="P586" s="237"/>
      <c r="Q586" s="237"/>
      <c r="R586" s="237"/>
      <c r="S586" s="237"/>
      <c r="T586" s="237"/>
      <c r="U586" s="237"/>
      <c r="V586" s="237"/>
      <c r="W586" s="237"/>
      <c r="X586" s="237"/>
      <c r="Y586" s="237"/>
      <c r="Z586" s="237"/>
      <c r="AA586" s="237"/>
      <c r="AB586" s="237"/>
    </row>
    <row r="587">
      <c r="A587" s="238">
        <v>586.0</v>
      </c>
      <c r="B587" s="239" t="s">
        <v>5964</v>
      </c>
      <c r="C587" s="240" t="s">
        <v>5965</v>
      </c>
      <c r="D587" s="236"/>
      <c r="E587" s="240" t="s">
        <v>3511</v>
      </c>
      <c r="F587" s="240" t="s">
        <v>5966</v>
      </c>
      <c r="G587" s="238" t="s">
        <v>5967</v>
      </c>
      <c r="H587" s="240" t="s">
        <v>5968</v>
      </c>
      <c r="I587" s="236"/>
      <c r="J587" s="238" t="s">
        <v>4100</v>
      </c>
      <c r="K587" s="239" t="s">
        <v>5964</v>
      </c>
      <c r="L587" s="237"/>
      <c r="M587" s="237"/>
      <c r="N587" s="237"/>
      <c r="O587" s="237"/>
      <c r="P587" s="237"/>
      <c r="Q587" s="237"/>
      <c r="R587" s="237"/>
      <c r="S587" s="237"/>
      <c r="T587" s="237"/>
      <c r="U587" s="237"/>
      <c r="V587" s="237"/>
      <c r="W587" s="237"/>
      <c r="X587" s="237"/>
      <c r="Y587" s="237"/>
      <c r="Z587" s="237"/>
      <c r="AA587" s="237"/>
      <c r="AB587" s="237"/>
    </row>
    <row r="588">
      <c r="A588" s="238">
        <v>587.0</v>
      </c>
      <c r="B588" s="239" t="s">
        <v>5969</v>
      </c>
      <c r="C588" s="240" t="s">
        <v>5970</v>
      </c>
      <c r="D588" s="236"/>
      <c r="E588" s="240" t="s">
        <v>3511</v>
      </c>
      <c r="F588" s="240" t="s">
        <v>5971</v>
      </c>
      <c r="G588" s="238" t="s">
        <v>5972</v>
      </c>
      <c r="H588" s="240" t="s">
        <v>5973</v>
      </c>
      <c r="I588" s="236"/>
      <c r="J588" s="238" t="s">
        <v>4100</v>
      </c>
      <c r="K588" s="239" t="s">
        <v>5969</v>
      </c>
      <c r="L588" s="237"/>
      <c r="M588" s="237"/>
      <c r="N588" s="237"/>
      <c r="O588" s="237"/>
      <c r="P588" s="237"/>
      <c r="Q588" s="237"/>
      <c r="R588" s="237"/>
      <c r="S588" s="237"/>
      <c r="T588" s="237"/>
      <c r="U588" s="237"/>
      <c r="V588" s="237"/>
      <c r="W588" s="237"/>
      <c r="X588" s="237"/>
      <c r="Y588" s="237"/>
      <c r="Z588" s="237"/>
      <c r="AA588" s="237"/>
      <c r="AB588" s="237"/>
    </row>
    <row r="589">
      <c r="A589" s="238">
        <v>588.0</v>
      </c>
      <c r="B589" s="239" t="s">
        <v>5974</v>
      </c>
      <c r="C589" s="240" t="s">
        <v>5975</v>
      </c>
      <c r="D589" s="236"/>
      <c r="E589" s="240" t="s">
        <v>3511</v>
      </c>
      <c r="F589" s="240" t="s">
        <v>5976</v>
      </c>
      <c r="G589" s="238" t="s">
        <v>5977</v>
      </c>
      <c r="H589" s="240" t="s">
        <v>5978</v>
      </c>
      <c r="I589" s="236"/>
      <c r="J589" s="238" t="s">
        <v>4100</v>
      </c>
      <c r="K589" s="239" t="s">
        <v>5974</v>
      </c>
      <c r="L589" s="237"/>
      <c r="M589" s="237"/>
      <c r="N589" s="237"/>
      <c r="O589" s="237"/>
      <c r="P589" s="237"/>
      <c r="Q589" s="237"/>
      <c r="R589" s="237"/>
      <c r="S589" s="237"/>
      <c r="T589" s="237"/>
      <c r="U589" s="237"/>
      <c r="V589" s="237"/>
      <c r="W589" s="237"/>
      <c r="X589" s="237"/>
      <c r="Y589" s="237"/>
      <c r="Z589" s="237"/>
      <c r="AA589" s="237"/>
      <c r="AB589" s="237"/>
    </row>
    <row r="590">
      <c r="A590" s="238">
        <v>589.0</v>
      </c>
      <c r="B590" s="239" t="s">
        <v>5979</v>
      </c>
      <c r="C590" s="240" t="s">
        <v>5980</v>
      </c>
      <c r="D590" s="236"/>
      <c r="E590" s="240" t="s">
        <v>3511</v>
      </c>
      <c r="F590" s="241" t="s">
        <v>5981</v>
      </c>
      <c r="G590" s="238" t="s">
        <v>5982</v>
      </c>
      <c r="H590" s="241" t="s">
        <v>5983</v>
      </c>
      <c r="I590" s="236"/>
      <c r="J590" s="238" t="s">
        <v>5984</v>
      </c>
      <c r="K590" s="239" t="s">
        <v>5979</v>
      </c>
      <c r="L590" s="237"/>
      <c r="M590" s="237"/>
      <c r="N590" s="237"/>
      <c r="O590" s="237"/>
      <c r="P590" s="237"/>
      <c r="Q590" s="237"/>
      <c r="R590" s="237"/>
      <c r="S590" s="237"/>
      <c r="T590" s="237"/>
      <c r="U590" s="237"/>
      <c r="V590" s="237"/>
      <c r="W590" s="237"/>
      <c r="X590" s="237"/>
      <c r="Y590" s="237"/>
      <c r="Z590" s="237"/>
      <c r="AA590" s="237"/>
      <c r="AB590" s="237"/>
    </row>
    <row r="591">
      <c r="A591" s="238">
        <v>590.0</v>
      </c>
      <c r="B591" s="239" t="s">
        <v>5985</v>
      </c>
      <c r="C591" s="240" t="s">
        <v>5986</v>
      </c>
      <c r="D591" s="236"/>
      <c r="E591" s="240" t="s">
        <v>3511</v>
      </c>
      <c r="F591" s="240" t="s">
        <v>5987</v>
      </c>
      <c r="G591" s="238" t="s">
        <v>5988</v>
      </c>
      <c r="H591" s="241" t="s">
        <v>5989</v>
      </c>
      <c r="I591" s="236"/>
      <c r="J591" s="238" t="s">
        <v>5984</v>
      </c>
      <c r="K591" s="239" t="s">
        <v>5985</v>
      </c>
      <c r="L591" s="237"/>
      <c r="M591" s="237"/>
      <c r="N591" s="237"/>
      <c r="O591" s="237"/>
      <c r="P591" s="237"/>
      <c r="Q591" s="237"/>
      <c r="R591" s="237"/>
      <c r="S591" s="237"/>
      <c r="T591" s="237"/>
      <c r="U591" s="237"/>
      <c r="V591" s="237"/>
      <c r="W591" s="237"/>
      <c r="X591" s="237"/>
      <c r="Y591" s="237"/>
      <c r="Z591" s="237"/>
      <c r="AA591" s="237"/>
      <c r="AB591" s="237"/>
    </row>
    <row r="592">
      <c r="A592" s="238">
        <v>591.0</v>
      </c>
      <c r="B592" s="239" t="s">
        <v>5990</v>
      </c>
      <c r="C592" s="240" t="s">
        <v>5991</v>
      </c>
      <c r="D592" s="236"/>
      <c r="E592" s="240" t="s">
        <v>3496</v>
      </c>
      <c r="F592" s="240" t="s">
        <v>5992</v>
      </c>
      <c r="G592" s="238" t="s">
        <v>5993</v>
      </c>
      <c r="H592" s="236"/>
      <c r="I592" s="236"/>
      <c r="J592" s="238" t="s">
        <v>5994</v>
      </c>
      <c r="K592" s="239" t="s">
        <v>5990</v>
      </c>
      <c r="L592" s="237"/>
      <c r="M592" s="237"/>
      <c r="N592" s="237"/>
      <c r="O592" s="237"/>
      <c r="P592" s="237"/>
      <c r="Q592" s="237"/>
      <c r="R592" s="237"/>
      <c r="S592" s="237"/>
      <c r="T592" s="237"/>
      <c r="U592" s="237"/>
      <c r="V592" s="237"/>
      <c r="W592" s="237"/>
      <c r="X592" s="237"/>
      <c r="Y592" s="237"/>
      <c r="Z592" s="237"/>
      <c r="AA592" s="237"/>
      <c r="AB592" s="237"/>
    </row>
    <row r="593">
      <c r="A593" s="238">
        <v>592.0</v>
      </c>
      <c r="B593" s="242"/>
      <c r="C593" s="240" t="s">
        <v>5995</v>
      </c>
      <c r="D593" s="236"/>
      <c r="E593" s="240" t="s">
        <v>3496</v>
      </c>
      <c r="F593" s="240" t="s">
        <v>5910</v>
      </c>
      <c r="G593" s="238" t="s">
        <v>5911</v>
      </c>
      <c r="H593" s="236"/>
      <c r="I593" s="236"/>
      <c r="J593" s="238" t="s">
        <v>5848</v>
      </c>
      <c r="K593" s="242"/>
      <c r="L593" s="237"/>
      <c r="M593" s="237"/>
      <c r="N593" s="237"/>
      <c r="O593" s="237"/>
      <c r="P593" s="237"/>
      <c r="Q593" s="237"/>
      <c r="R593" s="237"/>
      <c r="S593" s="237"/>
      <c r="T593" s="237"/>
      <c r="U593" s="237"/>
      <c r="V593" s="237"/>
      <c r="W593" s="237"/>
      <c r="X593" s="237"/>
      <c r="Y593" s="237"/>
      <c r="Z593" s="237"/>
      <c r="AA593" s="237"/>
      <c r="AB593" s="237"/>
    </row>
    <row r="594">
      <c r="A594" s="238">
        <v>593.0</v>
      </c>
      <c r="B594" s="242"/>
      <c r="C594" s="240" t="s">
        <v>5996</v>
      </c>
      <c r="D594" s="236"/>
      <c r="E594" s="240" t="s">
        <v>3511</v>
      </c>
      <c r="F594" s="240" t="s">
        <v>5997</v>
      </c>
      <c r="G594" s="238" t="s">
        <v>5998</v>
      </c>
      <c r="H594" s="240" t="s">
        <v>5999</v>
      </c>
      <c r="I594" s="236"/>
      <c r="J594" s="238" t="s">
        <v>3499</v>
      </c>
      <c r="K594" s="242"/>
      <c r="L594" s="237"/>
      <c r="M594" s="237"/>
      <c r="N594" s="237"/>
      <c r="O594" s="237"/>
      <c r="P594" s="237"/>
      <c r="Q594" s="237"/>
      <c r="R594" s="237"/>
      <c r="S594" s="237"/>
      <c r="T594" s="237"/>
      <c r="U594" s="237"/>
      <c r="V594" s="237"/>
      <c r="W594" s="237"/>
      <c r="X594" s="237"/>
      <c r="Y594" s="237"/>
      <c r="Z594" s="237"/>
      <c r="AA594" s="237"/>
      <c r="AB594" s="237"/>
    </row>
    <row r="595">
      <c r="A595" s="238">
        <v>594.0</v>
      </c>
      <c r="B595" s="242"/>
      <c r="C595" s="240" t="s">
        <v>6000</v>
      </c>
      <c r="D595" s="236"/>
      <c r="E595" s="240" t="s">
        <v>3511</v>
      </c>
      <c r="F595" s="240" t="s">
        <v>6001</v>
      </c>
      <c r="G595" s="238" t="s">
        <v>6002</v>
      </c>
      <c r="H595" s="240" t="s">
        <v>6003</v>
      </c>
      <c r="I595" s="236"/>
      <c r="J595" s="238" t="s">
        <v>3499</v>
      </c>
      <c r="K595" s="242"/>
      <c r="L595" s="237"/>
      <c r="M595" s="237"/>
      <c r="N595" s="237"/>
      <c r="O595" s="237"/>
      <c r="P595" s="237"/>
      <c r="Q595" s="237"/>
      <c r="R595" s="237"/>
      <c r="S595" s="237"/>
      <c r="T595" s="237"/>
      <c r="U595" s="237"/>
      <c r="V595" s="237"/>
      <c r="W595" s="237"/>
      <c r="X595" s="237"/>
      <c r="Y595" s="237"/>
      <c r="Z595" s="237"/>
      <c r="AA595" s="237"/>
      <c r="AB595" s="237"/>
    </row>
    <row r="596">
      <c r="A596" s="238">
        <v>595.0</v>
      </c>
      <c r="B596" s="239" t="s">
        <v>5402</v>
      </c>
      <c r="C596" s="240" t="s">
        <v>6004</v>
      </c>
      <c r="D596" s="236"/>
      <c r="E596" s="240" t="s">
        <v>3511</v>
      </c>
      <c r="F596" s="240" t="s">
        <v>5404</v>
      </c>
      <c r="G596" s="238" t="s">
        <v>6005</v>
      </c>
      <c r="H596" s="240" t="s">
        <v>6006</v>
      </c>
      <c r="I596" s="236"/>
      <c r="J596" s="238" t="s">
        <v>3962</v>
      </c>
      <c r="K596" s="239" t="s">
        <v>5402</v>
      </c>
      <c r="L596" s="237"/>
      <c r="M596" s="237"/>
      <c r="N596" s="237"/>
      <c r="O596" s="237"/>
      <c r="P596" s="237"/>
      <c r="Q596" s="237"/>
      <c r="R596" s="237"/>
      <c r="S596" s="237"/>
      <c r="T596" s="237"/>
      <c r="U596" s="237"/>
      <c r="V596" s="237"/>
      <c r="W596" s="237"/>
      <c r="X596" s="237"/>
      <c r="Y596" s="237"/>
      <c r="Z596" s="237"/>
      <c r="AA596" s="237"/>
      <c r="AB596" s="237"/>
    </row>
    <row r="597">
      <c r="A597" s="238">
        <v>596.0</v>
      </c>
      <c r="B597" s="239" t="s">
        <v>6007</v>
      </c>
      <c r="C597" s="240" t="s">
        <v>6008</v>
      </c>
      <c r="D597" s="236"/>
      <c r="E597" s="240" t="s">
        <v>3511</v>
      </c>
      <c r="F597" s="240" t="s">
        <v>6009</v>
      </c>
      <c r="G597" s="238" t="s">
        <v>6010</v>
      </c>
      <c r="H597" s="240" t="s">
        <v>6011</v>
      </c>
      <c r="I597" s="236"/>
      <c r="J597" s="238" t="s">
        <v>5994</v>
      </c>
      <c r="K597" s="239" t="s">
        <v>6007</v>
      </c>
      <c r="L597" s="237"/>
      <c r="M597" s="237"/>
      <c r="N597" s="237"/>
      <c r="O597" s="237"/>
      <c r="P597" s="237"/>
      <c r="Q597" s="237"/>
      <c r="R597" s="237"/>
      <c r="S597" s="237"/>
      <c r="T597" s="237"/>
      <c r="U597" s="237"/>
      <c r="V597" s="237"/>
      <c r="W597" s="237"/>
      <c r="X597" s="237"/>
      <c r="Y597" s="237"/>
      <c r="Z597" s="237"/>
      <c r="AA597" s="237"/>
      <c r="AB597" s="237"/>
    </row>
    <row r="598">
      <c r="A598" s="238">
        <v>597.0</v>
      </c>
      <c r="B598" s="242"/>
      <c r="C598" s="240" t="s">
        <v>6012</v>
      </c>
      <c r="D598" s="236"/>
      <c r="E598" s="240" t="s">
        <v>3511</v>
      </c>
      <c r="F598" s="240" t="s">
        <v>2275</v>
      </c>
      <c r="G598" s="238" t="s">
        <v>6013</v>
      </c>
      <c r="H598" s="240" t="s">
        <v>6014</v>
      </c>
      <c r="I598" s="236"/>
      <c r="J598" s="238" t="s">
        <v>5848</v>
      </c>
      <c r="K598" s="242"/>
      <c r="L598" s="237"/>
      <c r="M598" s="237"/>
      <c r="N598" s="237"/>
      <c r="O598" s="237"/>
      <c r="P598" s="237"/>
      <c r="Q598" s="237"/>
      <c r="R598" s="237"/>
      <c r="S598" s="237"/>
      <c r="T598" s="237"/>
      <c r="U598" s="237"/>
      <c r="V598" s="237"/>
      <c r="W598" s="237"/>
      <c r="X598" s="237"/>
      <c r="Y598" s="237"/>
      <c r="Z598" s="237"/>
      <c r="AA598" s="237"/>
      <c r="AB598" s="237"/>
    </row>
    <row r="599">
      <c r="A599" s="238">
        <v>598.0</v>
      </c>
      <c r="B599" s="242"/>
      <c r="C599" s="240" t="s">
        <v>6015</v>
      </c>
      <c r="D599" s="236"/>
      <c r="E599" s="240" t="s">
        <v>3511</v>
      </c>
      <c r="F599" s="240" t="s">
        <v>2269</v>
      </c>
      <c r="G599" s="238" t="s">
        <v>6016</v>
      </c>
      <c r="H599" s="240" t="s">
        <v>6017</v>
      </c>
      <c r="I599" s="236"/>
      <c r="J599" s="238" t="s">
        <v>5848</v>
      </c>
      <c r="K599" s="242"/>
      <c r="L599" s="237"/>
      <c r="M599" s="237"/>
      <c r="N599" s="237"/>
      <c r="O599" s="237"/>
      <c r="P599" s="237"/>
      <c r="Q599" s="237"/>
      <c r="R599" s="237"/>
      <c r="S599" s="237"/>
      <c r="T599" s="237"/>
      <c r="U599" s="237"/>
      <c r="V599" s="237"/>
      <c r="W599" s="237"/>
      <c r="X599" s="237"/>
      <c r="Y599" s="237"/>
      <c r="Z599" s="237"/>
      <c r="AA599" s="237"/>
      <c r="AB599" s="237"/>
    </row>
    <row r="600">
      <c r="A600" s="238">
        <v>599.0</v>
      </c>
      <c r="B600" s="242"/>
      <c r="C600" s="240" t="s">
        <v>6018</v>
      </c>
      <c r="D600" s="236"/>
      <c r="E600" s="240" t="s">
        <v>3511</v>
      </c>
      <c r="F600" s="240" t="s">
        <v>6019</v>
      </c>
      <c r="G600" s="238" t="s">
        <v>6020</v>
      </c>
      <c r="H600" s="240" t="s">
        <v>6021</v>
      </c>
      <c r="I600" s="236"/>
      <c r="J600" s="238" t="s">
        <v>5848</v>
      </c>
      <c r="K600" s="242"/>
      <c r="L600" s="237"/>
      <c r="M600" s="237"/>
      <c r="N600" s="237"/>
      <c r="O600" s="237"/>
      <c r="P600" s="237"/>
      <c r="Q600" s="237"/>
      <c r="R600" s="237"/>
      <c r="S600" s="237"/>
      <c r="T600" s="237"/>
      <c r="U600" s="237"/>
      <c r="V600" s="237"/>
      <c r="W600" s="237"/>
      <c r="X600" s="237"/>
      <c r="Y600" s="237"/>
      <c r="Z600" s="237"/>
      <c r="AA600" s="237"/>
      <c r="AB600" s="237"/>
    </row>
    <row r="601">
      <c r="A601" s="238">
        <v>600.0</v>
      </c>
      <c r="B601" s="242"/>
      <c r="C601" s="240" t="s">
        <v>6022</v>
      </c>
      <c r="D601" s="236"/>
      <c r="E601" s="240" t="s">
        <v>3511</v>
      </c>
      <c r="F601" s="240" t="s">
        <v>2208</v>
      </c>
      <c r="G601" s="238" t="s">
        <v>6023</v>
      </c>
      <c r="H601" s="240" t="s">
        <v>6024</v>
      </c>
      <c r="I601" s="236"/>
      <c r="J601" s="238" t="s">
        <v>5848</v>
      </c>
      <c r="K601" s="242"/>
      <c r="L601" s="237"/>
      <c r="M601" s="237"/>
      <c r="N601" s="237"/>
      <c r="O601" s="237"/>
      <c r="P601" s="237"/>
      <c r="Q601" s="237"/>
      <c r="R601" s="237"/>
      <c r="S601" s="237"/>
      <c r="T601" s="237"/>
      <c r="U601" s="237"/>
      <c r="V601" s="237"/>
      <c r="W601" s="237"/>
      <c r="X601" s="237"/>
      <c r="Y601" s="237"/>
      <c r="Z601" s="237"/>
      <c r="AA601" s="237"/>
      <c r="AB601" s="237"/>
    </row>
    <row r="602">
      <c r="A602" s="238">
        <v>601.0</v>
      </c>
      <c r="B602" s="242"/>
      <c r="C602" s="240" t="s">
        <v>6025</v>
      </c>
      <c r="D602" s="236"/>
      <c r="E602" s="240" t="s">
        <v>3511</v>
      </c>
      <c r="F602" s="240" t="s">
        <v>2209</v>
      </c>
      <c r="G602" s="238" t="s">
        <v>6026</v>
      </c>
      <c r="H602" s="240" t="s">
        <v>6027</v>
      </c>
      <c r="I602" s="236"/>
      <c r="J602" s="238" t="s">
        <v>5848</v>
      </c>
      <c r="K602" s="242"/>
      <c r="L602" s="237"/>
      <c r="M602" s="237"/>
      <c r="N602" s="237"/>
      <c r="O602" s="237"/>
      <c r="P602" s="237"/>
      <c r="Q602" s="237"/>
      <c r="R602" s="237"/>
      <c r="S602" s="237"/>
      <c r="T602" s="237"/>
      <c r="U602" s="237"/>
      <c r="V602" s="237"/>
      <c r="W602" s="237"/>
      <c r="X602" s="237"/>
      <c r="Y602" s="237"/>
      <c r="Z602" s="237"/>
      <c r="AA602" s="237"/>
      <c r="AB602" s="237"/>
    </row>
    <row r="603">
      <c r="A603" s="238">
        <v>602.0</v>
      </c>
      <c r="B603" s="242"/>
      <c r="C603" s="240" t="s">
        <v>6028</v>
      </c>
      <c r="D603" s="236"/>
      <c r="E603" s="240" t="s">
        <v>3496</v>
      </c>
      <c r="F603" s="240" t="s">
        <v>6029</v>
      </c>
      <c r="G603" s="238" t="s">
        <v>6030</v>
      </c>
      <c r="H603" s="236"/>
      <c r="I603" s="236"/>
      <c r="J603" s="238" t="s">
        <v>5848</v>
      </c>
      <c r="K603" s="242"/>
      <c r="L603" s="237"/>
      <c r="M603" s="237"/>
      <c r="N603" s="237"/>
      <c r="O603" s="237"/>
      <c r="P603" s="237"/>
      <c r="Q603" s="237"/>
      <c r="R603" s="237"/>
      <c r="S603" s="237"/>
      <c r="T603" s="237"/>
      <c r="U603" s="237"/>
      <c r="V603" s="237"/>
      <c r="W603" s="237"/>
      <c r="X603" s="237"/>
      <c r="Y603" s="237"/>
      <c r="Z603" s="237"/>
      <c r="AA603" s="237"/>
      <c r="AB603" s="237"/>
    </row>
    <row r="604">
      <c r="A604" s="238">
        <v>603.0</v>
      </c>
      <c r="B604" s="242"/>
      <c r="C604" s="240" t="s">
        <v>6031</v>
      </c>
      <c r="D604" s="236"/>
      <c r="E604" s="240" t="s">
        <v>3511</v>
      </c>
      <c r="F604" s="240" t="s">
        <v>5359</v>
      </c>
      <c r="G604" s="238" t="s">
        <v>5360</v>
      </c>
      <c r="H604" s="240" t="s">
        <v>6032</v>
      </c>
      <c r="I604" s="236"/>
      <c r="J604" s="238" t="s">
        <v>4421</v>
      </c>
      <c r="K604" s="242"/>
      <c r="L604" s="237"/>
      <c r="M604" s="237"/>
      <c r="N604" s="237"/>
      <c r="O604" s="237"/>
      <c r="P604" s="237"/>
      <c r="Q604" s="237"/>
      <c r="R604" s="237"/>
      <c r="S604" s="237"/>
      <c r="T604" s="237"/>
      <c r="U604" s="237"/>
      <c r="V604" s="237"/>
      <c r="W604" s="237"/>
      <c r="X604" s="237"/>
      <c r="Y604" s="237"/>
      <c r="Z604" s="237"/>
      <c r="AA604" s="237"/>
      <c r="AB604" s="237"/>
    </row>
    <row r="605">
      <c r="A605" s="238">
        <v>604.0</v>
      </c>
      <c r="B605" s="239" t="s">
        <v>5561</v>
      </c>
      <c r="C605" s="240" t="s">
        <v>6033</v>
      </c>
      <c r="D605" s="236"/>
      <c r="E605" s="240" t="s">
        <v>3511</v>
      </c>
      <c r="F605" s="240" t="s">
        <v>5563</v>
      </c>
      <c r="G605" s="238" t="s">
        <v>5564</v>
      </c>
      <c r="H605" s="240" t="s">
        <v>6034</v>
      </c>
      <c r="I605" s="236"/>
      <c r="J605" s="238" t="s">
        <v>3499</v>
      </c>
      <c r="K605" s="239" t="s">
        <v>5561</v>
      </c>
      <c r="L605" s="237"/>
      <c r="M605" s="237"/>
      <c r="N605" s="237"/>
      <c r="O605" s="237"/>
      <c r="P605" s="237"/>
      <c r="Q605" s="237"/>
      <c r="R605" s="237"/>
      <c r="S605" s="237"/>
      <c r="T605" s="237"/>
      <c r="U605" s="237"/>
      <c r="V605" s="237"/>
      <c r="W605" s="237"/>
      <c r="X605" s="237"/>
      <c r="Y605" s="237"/>
      <c r="Z605" s="237"/>
      <c r="AA605" s="237"/>
      <c r="AB605" s="237"/>
    </row>
    <row r="606">
      <c r="A606" s="238">
        <v>605.0</v>
      </c>
      <c r="B606" s="242"/>
      <c r="C606" s="240" t="s">
        <v>6035</v>
      </c>
      <c r="D606" s="236"/>
      <c r="E606" s="240" t="s">
        <v>3511</v>
      </c>
      <c r="F606" s="240" t="s">
        <v>5903</v>
      </c>
      <c r="G606" s="238" t="s">
        <v>5567</v>
      </c>
      <c r="H606" s="236"/>
      <c r="I606" s="236"/>
      <c r="J606" s="238" t="s">
        <v>3499</v>
      </c>
      <c r="K606" s="242"/>
      <c r="L606" s="237"/>
      <c r="M606" s="237"/>
      <c r="N606" s="237"/>
      <c r="O606" s="237"/>
      <c r="P606" s="237"/>
      <c r="Q606" s="237"/>
      <c r="R606" s="237"/>
      <c r="S606" s="237"/>
      <c r="T606" s="237"/>
      <c r="U606" s="237"/>
      <c r="V606" s="237"/>
      <c r="W606" s="237"/>
      <c r="X606" s="237"/>
      <c r="Y606" s="237"/>
      <c r="Z606" s="237"/>
      <c r="AA606" s="237"/>
      <c r="AB606" s="237"/>
    </row>
    <row r="607">
      <c r="A607" s="238">
        <v>606.0</v>
      </c>
      <c r="B607" s="239" t="s">
        <v>5901</v>
      </c>
      <c r="C607" s="240" t="s">
        <v>6036</v>
      </c>
      <c r="D607" s="236"/>
      <c r="E607" s="240" t="s">
        <v>3511</v>
      </c>
      <c r="F607" s="240" t="s">
        <v>5903</v>
      </c>
      <c r="G607" s="238" t="s">
        <v>5567</v>
      </c>
      <c r="H607" s="240" t="s">
        <v>6037</v>
      </c>
      <c r="I607" s="236"/>
      <c r="J607" s="238" t="s">
        <v>3499</v>
      </c>
      <c r="K607" s="239" t="s">
        <v>5901</v>
      </c>
      <c r="L607" s="237"/>
      <c r="M607" s="237"/>
      <c r="N607" s="237"/>
      <c r="O607" s="237"/>
      <c r="P607" s="237"/>
      <c r="Q607" s="237"/>
      <c r="R607" s="237"/>
      <c r="S607" s="237"/>
      <c r="T607" s="237"/>
      <c r="U607" s="237"/>
      <c r="V607" s="237"/>
      <c r="W607" s="237"/>
      <c r="X607" s="237"/>
      <c r="Y607" s="237"/>
      <c r="Z607" s="237"/>
      <c r="AA607" s="237"/>
      <c r="AB607" s="237"/>
    </row>
    <row r="608">
      <c r="A608" s="238">
        <v>607.0</v>
      </c>
      <c r="B608" s="239" t="s">
        <v>6038</v>
      </c>
      <c r="C608" s="240" t="s">
        <v>6039</v>
      </c>
      <c r="D608" s="236"/>
      <c r="E608" s="240" t="s">
        <v>3511</v>
      </c>
      <c r="F608" s="240" t="s">
        <v>6040</v>
      </c>
      <c r="G608" s="238" t="s">
        <v>6041</v>
      </c>
      <c r="H608" s="240" t="s">
        <v>6042</v>
      </c>
      <c r="I608" s="236"/>
      <c r="J608" s="238" t="s">
        <v>3962</v>
      </c>
      <c r="K608" s="239" t="s">
        <v>6038</v>
      </c>
      <c r="L608" s="237"/>
      <c r="M608" s="237"/>
      <c r="N608" s="237"/>
      <c r="O608" s="237"/>
      <c r="P608" s="237"/>
      <c r="Q608" s="237"/>
      <c r="R608" s="237"/>
      <c r="S608" s="237"/>
      <c r="T608" s="237"/>
      <c r="U608" s="237"/>
      <c r="V608" s="237"/>
      <c r="W608" s="237"/>
      <c r="X608" s="237"/>
      <c r="Y608" s="237"/>
      <c r="Z608" s="237"/>
      <c r="AA608" s="237"/>
      <c r="AB608" s="237"/>
    </row>
    <row r="609">
      <c r="A609" s="238">
        <v>608.0</v>
      </c>
      <c r="B609" s="239" t="s">
        <v>6043</v>
      </c>
      <c r="C609" s="240" t="s">
        <v>6044</v>
      </c>
      <c r="D609" s="236"/>
      <c r="E609" s="240" t="s">
        <v>3511</v>
      </c>
      <c r="F609" s="240" t="s">
        <v>6045</v>
      </c>
      <c r="G609" s="238" t="s">
        <v>6046</v>
      </c>
      <c r="H609" s="240" t="s">
        <v>6047</v>
      </c>
      <c r="I609" s="236"/>
      <c r="J609" s="238" t="s">
        <v>3962</v>
      </c>
      <c r="K609" s="239" t="s">
        <v>6043</v>
      </c>
      <c r="L609" s="237"/>
      <c r="M609" s="237"/>
      <c r="N609" s="237"/>
      <c r="O609" s="237"/>
      <c r="P609" s="237"/>
      <c r="Q609" s="237"/>
      <c r="R609" s="237"/>
      <c r="S609" s="237"/>
      <c r="T609" s="237"/>
      <c r="U609" s="237"/>
      <c r="V609" s="237"/>
      <c r="W609" s="237"/>
      <c r="X609" s="237"/>
      <c r="Y609" s="237"/>
      <c r="Z609" s="237"/>
      <c r="AA609" s="237"/>
      <c r="AB609" s="237"/>
    </row>
    <row r="610">
      <c r="A610" s="238">
        <v>609.0</v>
      </c>
      <c r="B610" s="239" t="s">
        <v>6048</v>
      </c>
      <c r="C610" s="240" t="s">
        <v>6049</v>
      </c>
      <c r="D610" s="236"/>
      <c r="E610" s="240" t="s">
        <v>3511</v>
      </c>
      <c r="F610" s="240" t="s">
        <v>6050</v>
      </c>
      <c r="G610" s="238" t="s">
        <v>6051</v>
      </c>
      <c r="H610" s="240" t="s">
        <v>6052</v>
      </c>
      <c r="I610" s="236"/>
      <c r="J610" s="238" t="s">
        <v>3545</v>
      </c>
      <c r="K610" s="239" t="s">
        <v>6048</v>
      </c>
      <c r="L610" s="237"/>
      <c r="M610" s="237"/>
      <c r="N610" s="237"/>
      <c r="O610" s="237"/>
      <c r="P610" s="237"/>
      <c r="Q610" s="237"/>
      <c r="R610" s="237"/>
      <c r="S610" s="237"/>
      <c r="T610" s="237"/>
      <c r="U610" s="237"/>
      <c r="V610" s="237"/>
      <c r="W610" s="237"/>
      <c r="X610" s="237"/>
      <c r="Y610" s="237"/>
      <c r="Z610" s="237"/>
      <c r="AA610" s="237"/>
      <c r="AB610" s="237"/>
    </row>
    <row r="611">
      <c r="A611" s="238">
        <v>610.0</v>
      </c>
      <c r="B611" s="239" t="s">
        <v>6053</v>
      </c>
      <c r="C611" s="240" t="s">
        <v>6054</v>
      </c>
      <c r="D611" s="236"/>
      <c r="E611" s="240" t="s">
        <v>3511</v>
      </c>
      <c r="F611" s="240" t="s">
        <v>6055</v>
      </c>
      <c r="G611" s="238" t="s">
        <v>6056</v>
      </c>
      <c r="H611" s="240" t="s">
        <v>6057</v>
      </c>
      <c r="I611" s="236"/>
      <c r="J611" s="238" t="s">
        <v>5032</v>
      </c>
      <c r="K611" s="239" t="s">
        <v>6053</v>
      </c>
      <c r="L611" s="237"/>
      <c r="M611" s="237"/>
      <c r="N611" s="237"/>
      <c r="O611" s="237"/>
      <c r="P611" s="237"/>
      <c r="Q611" s="237"/>
      <c r="R611" s="237"/>
      <c r="S611" s="237"/>
      <c r="T611" s="237"/>
      <c r="U611" s="237"/>
      <c r="V611" s="237"/>
      <c r="W611" s="237"/>
      <c r="X611" s="237"/>
      <c r="Y611" s="237"/>
      <c r="Z611" s="237"/>
      <c r="AA611" s="237"/>
      <c r="AB611" s="237"/>
    </row>
    <row r="612">
      <c r="A612" s="238">
        <v>611.0</v>
      </c>
      <c r="B612" s="239" t="s">
        <v>6058</v>
      </c>
      <c r="C612" s="240" t="s">
        <v>6059</v>
      </c>
      <c r="D612" s="236"/>
      <c r="E612" s="240" t="s">
        <v>3511</v>
      </c>
      <c r="F612" s="240" t="s">
        <v>6060</v>
      </c>
      <c r="G612" s="238" t="s">
        <v>6061</v>
      </c>
      <c r="H612" s="240" t="s">
        <v>6062</v>
      </c>
      <c r="I612" s="236"/>
      <c r="J612" s="238" t="s">
        <v>5032</v>
      </c>
      <c r="K612" s="239" t="s">
        <v>6058</v>
      </c>
      <c r="L612" s="237"/>
      <c r="M612" s="237"/>
      <c r="N612" s="237"/>
      <c r="O612" s="237"/>
      <c r="P612" s="237"/>
      <c r="Q612" s="237"/>
      <c r="R612" s="237"/>
      <c r="S612" s="237"/>
      <c r="T612" s="237"/>
      <c r="U612" s="237"/>
      <c r="V612" s="237"/>
      <c r="W612" s="237"/>
      <c r="X612" s="237"/>
      <c r="Y612" s="237"/>
      <c r="Z612" s="237"/>
      <c r="AA612" s="237"/>
      <c r="AB612" s="237"/>
    </row>
    <row r="613">
      <c r="A613" s="238">
        <v>612.0</v>
      </c>
      <c r="B613" s="239" t="s">
        <v>6063</v>
      </c>
      <c r="C613" s="240" t="s">
        <v>6064</v>
      </c>
      <c r="D613" s="236"/>
      <c r="E613" s="240" t="s">
        <v>3511</v>
      </c>
      <c r="F613" s="240" t="s">
        <v>6065</v>
      </c>
      <c r="G613" s="238" t="s">
        <v>6066</v>
      </c>
      <c r="H613" s="240" t="s">
        <v>6067</v>
      </c>
      <c r="I613" s="236"/>
      <c r="J613" s="238" t="s">
        <v>5032</v>
      </c>
      <c r="K613" s="239" t="s">
        <v>6063</v>
      </c>
      <c r="L613" s="237"/>
      <c r="M613" s="237"/>
      <c r="N613" s="237"/>
      <c r="O613" s="237"/>
      <c r="P613" s="237"/>
      <c r="Q613" s="237"/>
      <c r="R613" s="237"/>
      <c r="S613" s="237"/>
      <c r="T613" s="237"/>
      <c r="U613" s="237"/>
      <c r="V613" s="237"/>
      <c r="W613" s="237"/>
      <c r="X613" s="237"/>
      <c r="Y613" s="237"/>
      <c r="Z613" s="237"/>
      <c r="AA613" s="237"/>
      <c r="AB613" s="237"/>
    </row>
    <row r="614">
      <c r="A614" s="238">
        <v>613.0</v>
      </c>
      <c r="B614" s="239" t="s">
        <v>6068</v>
      </c>
      <c r="C614" s="240" t="s">
        <v>6069</v>
      </c>
      <c r="D614" s="236"/>
      <c r="E614" s="240" t="s">
        <v>3511</v>
      </c>
      <c r="F614" s="240" t="s">
        <v>6070</v>
      </c>
      <c r="G614" s="238" t="s">
        <v>6071</v>
      </c>
      <c r="H614" s="240" t="s">
        <v>6072</v>
      </c>
      <c r="I614" s="236"/>
      <c r="J614" s="238" t="s">
        <v>5032</v>
      </c>
      <c r="K614" s="239" t="s">
        <v>6068</v>
      </c>
      <c r="L614" s="237"/>
      <c r="M614" s="237"/>
      <c r="N614" s="237"/>
      <c r="O614" s="237"/>
      <c r="P614" s="237"/>
      <c r="Q614" s="237"/>
      <c r="R614" s="237"/>
      <c r="S614" s="237"/>
      <c r="T614" s="237"/>
      <c r="U614" s="237"/>
      <c r="V614" s="237"/>
      <c r="W614" s="237"/>
      <c r="X614" s="237"/>
      <c r="Y614" s="237"/>
      <c r="Z614" s="237"/>
      <c r="AA614" s="237"/>
      <c r="AB614" s="237"/>
    </row>
    <row r="615">
      <c r="A615" s="238">
        <v>614.0</v>
      </c>
      <c r="B615" s="239" t="s">
        <v>6073</v>
      </c>
      <c r="C615" s="240" t="s">
        <v>6074</v>
      </c>
      <c r="D615" s="236"/>
      <c r="E615" s="240" t="s">
        <v>3511</v>
      </c>
      <c r="F615" s="240" t="s">
        <v>2473</v>
      </c>
      <c r="G615" s="238" t="s">
        <v>6075</v>
      </c>
      <c r="H615" s="241" t="s">
        <v>6076</v>
      </c>
      <c r="I615" s="236"/>
      <c r="J615" s="238" t="s">
        <v>5032</v>
      </c>
      <c r="K615" s="239" t="s">
        <v>6073</v>
      </c>
      <c r="L615" s="237"/>
      <c r="M615" s="237"/>
      <c r="N615" s="237"/>
      <c r="O615" s="237"/>
      <c r="P615" s="237"/>
      <c r="Q615" s="237"/>
      <c r="R615" s="237"/>
      <c r="S615" s="237"/>
      <c r="T615" s="237"/>
      <c r="U615" s="237"/>
      <c r="V615" s="237"/>
      <c r="W615" s="237"/>
      <c r="X615" s="237"/>
      <c r="Y615" s="237"/>
      <c r="Z615" s="237"/>
      <c r="AA615" s="237"/>
      <c r="AB615" s="237"/>
    </row>
    <row r="616">
      <c r="A616" s="238">
        <v>615.0</v>
      </c>
      <c r="B616" s="239" t="s">
        <v>6077</v>
      </c>
      <c r="C616" s="240" t="s">
        <v>6078</v>
      </c>
      <c r="D616" s="236"/>
      <c r="E616" s="240" t="s">
        <v>3511</v>
      </c>
      <c r="F616" s="240" t="s">
        <v>6079</v>
      </c>
      <c r="G616" s="238" t="s">
        <v>6080</v>
      </c>
      <c r="H616" s="240" t="s">
        <v>6081</v>
      </c>
      <c r="I616" s="236"/>
      <c r="J616" s="238" t="s">
        <v>5032</v>
      </c>
      <c r="K616" s="239" t="s">
        <v>6077</v>
      </c>
      <c r="L616" s="237"/>
      <c r="M616" s="237"/>
      <c r="N616" s="237"/>
      <c r="O616" s="237"/>
      <c r="P616" s="237"/>
      <c r="Q616" s="237"/>
      <c r="R616" s="237"/>
      <c r="S616" s="237"/>
      <c r="T616" s="237"/>
      <c r="U616" s="237"/>
      <c r="V616" s="237"/>
      <c r="W616" s="237"/>
      <c r="X616" s="237"/>
      <c r="Y616" s="237"/>
      <c r="Z616" s="237"/>
      <c r="AA616" s="237"/>
      <c r="AB616" s="237"/>
    </row>
    <row r="617">
      <c r="A617" s="238">
        <v>616.0</v>
      </c>
      <c r="B617" s="239" t="s">
        <v>6082</v>
      </c>
      <c r="C617" s="240" t="s">
        <v>6083</v>
      </c>
      <c r="D617" s="236"/>
      <c r="E617" s="240" t="s">
        <v>3511</v>
      </c>
      <c r="F617" s="240" t="s">
        <v>6084</v>
      </c>
      <c r="G617" s="238" t="s">
        <v>6085</v>
      </c>
      <c r="H617" s="240" t="s">
        <v>6086</v>
      </c>
      <c r="I617" s="236"/>
      <c r="J617" s="238" t="s">
        <v>5032</v>
      </c>
      <c r="K617" s="239" t="s">
        <v>6082</v>
      </c>
      <c r="L617" s="237"/>
      <c r="M617" s="237"/>
      <c r="N617" s="237"/>
      <c r="O617" s="237"/>
      <c r="P617" s="237"/>
      <c r="Q617" s="237"/>
      <c r="R617" s="237"/>
      <c r="S617" s="237"/>
      <c r="T617" s="237"/>
      <c r="U617" s="237"/>
      <c r="V617" s="237"/>
      <c r="W617" s="237"/>
      <c r="X617" s="237"/>
      <c r="Y617" s="237"/>
      <c r="Z617" s="237"/>
      <c r="AA617" s="237"/>
      <c r="AB617" s="237"/>
    </row>
    <row r="618">
      <c r="A618" s="238">
        <v>617.0</v>
      </c>
      <c r="B618" s="239" t="s">
        <v>6087</v>
      </c>
      <c r="C618" s="240" t="s">
        <v>6088</v>
      </c>
      <c r="D618" s="236"/>
      <c r="E618" s="240" t="s">
        <v>3511</v>
      </c>
      <c r="F618" s="240" t="s">
        <v>6089</v>
      </c>
      <c r="G618" s="238" t="s">
        <v>6090</v>
      </c>
      <c r="H618" s="240" t="s">
        <v>6091</v>
      </c>
      <c r="I618" s="236"/>
      <c r="J618" s="238" t="s">
        <v>5032</v>
      </c>
      <c r="K618" s="239" t="s">
        <v>6087</v>
      </c>
      <c r="L618" s="237"/>
      <c r="M618" s="237"/>
      <c r="N618" s="237"/>
      <c r="O618" s="237"/>
      <c r="P618" s="237"/>
      <c r="Q618" s="237"/>
      <c r="R618" s="237"/>
      <c r="S618" s="237"/>
      <c r="T618" s="237"/>
      <c r="U618" s="237"/>
      <c r="V618" s="237"/>
      <c r="W618" s="237"/>
      <c r="X618" s="237"/>
      <c r="Y618" s="237"/>
      <c r="Z618" s="237"/>
      <c r="AA618" s="237"/>
      <c r="AB618" s="237"/>
    </row>
    <row r="619">
      <c r="A619" s="238">
        <v>618.0</v>
      </c>
      <c r="B619" s="239" t="s">
        <v>6092</v>
      </c>
      <c r="C619" s="240" t="s">
        <v>6093</v>
      </c>
      <c r="D619" s="236"/>
      <c r="E619" s="240" t="s">
        <v>3511</v>
      </c>
      <c r="F619" s="240" t="s">
        <v>6094</v>
      </c>
      <c r="G619" s="238" t="s">
        <v>6095</v>
      </c>
      <c r="H619" s="240" t="s">
        <v>6096</v>
      </c>
      <c r="I619" s="236"/>
      <c r="J619" s="238" t="s">
        <v>5032</v>
      </c>
      <c r="K619" s="239" t="s">
        <v>6092</v>
      </c>
      <c r="L619" s="237"/>
      <c r="M619" s="237"/>
      <c r="N619" s="237"/>
      <c r="O619" s="237"/>
      <c r="P619" s="237"/>
      <c r="Q619" s="237"/>
      <c r="R619" s="237"/>
      <c r="S619" s="237"/>
      <c r="T619" s="237"/>
      <c r="U619" s="237"/>
      <c r="V619" s="237"/>
      <c r="W619" s="237"/>
      <c r="X619" s="237"/>
      <c r="Y619" s="237"/>
      <c r="Z619" s="237"/>
      <c r="AA619" s="237"/>
      <c r="AB619" s="237"/>
    </row>
    <row r="620">
      <c r="A620" s="238">
        <v>619.0</v>
      </c>
      <c r="B620" s="239" t="s">
        <v>6097</v>
      </c>
      <c r="C620" s="240" t="s">
        <v>6098</v>
      </c>
      <c r="D620" s="236"/>
      <c r="E620" s="240" t="s">
        <v>3511</v>
      </c>
      <c r="F620" s="240" t="s">
        <v>6099</v>
      </c>
      <c r="G620" s="238" t="s">
        <v>6100</v>
      </c>
      <c r="H620" s="240" t="s">
        <v>6101</v>
      </c>
      <c r="I620" s="236"/>
      <c r="J620" s="238" t="s">
        <v>5032</v>
      </c>
      <c r="K620" s="239" t="s">
        <v>6097</v>
      </c>
      <c r="L620" s="237"/>
      <c r="M620" s="237"/>
      <c r="N620" s="237"/>
      <c r="O620" s="237"/>
      <c r="P620" s="237"/>
      <c r="Q620" s="237"/>
      <c r="R620" s="237"/>
      <c r="S620" s="237"/>
      <c r="T620" s="237"/>
      <c r="U620" s="237"/>
      <c r="V620" s="237"/>
      <c r="W620" s="237"/>
      <c r="X620" s="237"/>
      <c r="Y620" s="237"/>
      <c r="Z620" s="237"/>
      <c r="AA620" s="237"/>
      <c r="AB620" s="237"/>
    </row>
    <row r="621">
      <c r="A621" s="238">
        <v>620.0</v>
      </c>
      <c r="B621" s="239" t="s">
        <v>6102</v>
      </c>
      <c r="C621" s="240" t="s">
        <v>6103</v>
      </c>
      <c r="D621" s="236"/>
      <c r="E621" s="240" t="s">
        <v>3511</v>
      </c>
      <c r="F621" s="240" t="s">
        <v>6104</v>
      </c>
      <c r="G621" s="238" t="s">
        <v>6105</v>
      </c>
      <c r="H621" s="240" t="s">
        <v>6106</v>
      </c>
      <c r="I621" s="236"/>
      <c r="J621" s="238" t="s">
        <v>5032</v>
      </c>
      <c r="K621" s="239" t="s">
        <v>6102</v>
      </c>
      <c r="L621" s="237"/>
      <c r="M621" s="237"/>
      <c r="N621" s="237"/>
      <c r="O621" s="237"/>
      <c r="P621" s="237"/>
      <c r="Q621" s="237"/>
      <c r="R621" s="237"/>
      <c r="S621" s="237"/>
      <c r="T621" s="237"/>
      <c r="U621" s="237"/>
      <c r="V621" s="237"/>
      <c r="W621" s="237"/>
      <c r="X621" s="237"/>
      <c r="Y621" s="237"/>
      <c r="Z621" s="237"/>
      <c r="AA621" s="237"/>
      <c r="AB621" s="237"/>
    </row>
    <row r="622">
      <c r="A622" s="238">
        <v>621.0</v>
      </c>
      <c r="B622" s="239" t="s">
        <v>6107</v>
      </c>
      <c r="C622" s="240" t="s">
        <v>6108</v>
      </c>
      <c r="D622" s="236"/>
      <c r="E622" s="240" t="s">
        <v>3511</v>
      </c>
      <c r="F622" s="240" t="s">
        <v>6109</v>
      </c>
      <c r="G622" s="238" t="s">
        <v>6110</v>
      </c>
      <c r="H622" s="240" t="s">
        <v>6111</v>
      </c>
      <c r="I622" s="236"/>
      <c r="J622" s="238" t="s">
        <v>5032</v>
      </c>
      <c r="K622" s="239" t="s">
        <v>6107</v>
      </c>
      <c r="L622" s="237"/>
      <c r="M622" s="237"/>
      <c r="N622" s="237"/>
      <c r="O622" s="237"/>
      <c r="P622" s="237"/>
      <c r="Q622" s="237"/>
      <c r="R622" s="237"/>
      <c r="S622" s="237"/>
      <c r="T622" s="237"/>
      <c r="U622" s="237"/>
      <c r="V622" s="237"/>
      <c r="W622" s="237"/>
      <c r="X622" s="237"/>
      <c r="Y622" s="237"/>
      <c r="Z622" s="237"/>
      <c r="AA622" s="237"/>
      <c r="AB622" s="237"/>
    </row>
    <row r="623">
      <c r="A623" s="238">
        <v>622.0</v>
      </c>
      <c r="B623" s="242"/>
      <c r="C623" s="240" t="s">
        <v>6112</v>
      </c>
      <c r="D623" s="236"/>
      <c r="E623" s="240" t="s">
        <v>3496</v>
      </c>
      <c r="F623" s="240" t="s">
        <v>6113</v>
      </c>
      <c r="G623" s="238" t="s">
        <v>6114</v>
      </c>
      <c r="H623" s="236"/>
      <c r="I623" s="236"/>
      <c r="J623" s="238" t="s">
        <v>4542</v>
      </c>
      <c r="K623" s="242"/>
      <c r="L623" s="237"/>
      <c r="M623" s="237"/>
      <c r="N623" s="237"/>
      <c r="O623" s="237"/>
      <c r="P623" s="237"/>
      <c r="Q623" s="237"/>
      <c r="R623" s="237"/>
      <c r="S623" s="237"/>
      <c r="T623" s="237"/>
      <c r="U623" s="237"/>
      <c r="V623" s="237"/>
      <c r="W623" s="237"/>
      <c r="X623" s="237"/>
      <c r="Y623" s="237"/>
      <c r="Z623" s="237"/>
      <c r="AA623" s="237"/>
      <c r="AB623" s="237"/>
    </row>
    <row r="624">
      <c r="A624" s="238">
        <v>623.0</v>
      </c>
      <c r="B624" s="242"/>
      <c r="C624" s="240" t="s">
        <v>6115</v>
      </c>
      <c r="D624" s="236"/>
      <c r="E624" s="240" t="s">
        <v>3511</v>
      </c>
      <c r="F624" s="240" t="s">
        <v>6113</v>
      </c>
      <c r="G624" s="238" t="s">
        <v>6114</v>
      </c>
      <c r="H624" s="240" t="s">
        <v>6116</v>
      </c>
      <c r="I624" s="236"/>
      <c r="J624" s="238" t="s">
        <v>4542</v>
      </c>
      <c r="K624" s="242"/>
      <c r="L624" s="237"/>
      <c r="M624" s="237"/>
      <c r="N624" s="237"/>
      <c r="O624" s="237"/>
      <c r="P624" s="237"/>
      <c r="Q624" s="237"/>
      <c r="R624" s="237"/>
      <c r="S624" s="237"/>
      <c r="T624" s="237"/>
      <c r="U624" s="237"/>
      <c r="V624" s="237"/>
      <c r="W624" s="237"/>
      <c r="X624" s="237"/>
      <c r="Y624" s="237"/>
      <c r="Z624" s="237"/>
      <c r="AA624" s="237"/>
      <c r="AB624" s="237"/>
    </row>
    <row r="625">
      <c r="A625" s="238">
        <v>624.0</v>
      </c>
      <c r="B625" s="242"/>
      <c r="C625" s="240" t="s">
        <v>6117</v>
      </c>
      <c r="D625" s="236"/>
      <c r="E625" s="240" t="s">
        <v>3496</v>
      </c>
      <c r="F625" s="240" t="s">
        <v>6118</v>
      </c>
      <c r="G625" s="238" t="s">
        <v>6119</v>
      </c>
      <c r="H625" s="236"/>
      <c r="I625" s="236"/>
      <c r="J625" s="238" t="s">
        <v>4542</v>
      </c>
      <c r="K625" s="242"/>
      <c r="L625" s="237"/>
      <c r="M625" s="237"/>
      <c r="N625" s="237"/>
      <c r="O625" s="237"/>
      <c r="P625" s="237"/>
      <c r="Q625" s="237"/>
      <c r="R625" s="237"/>
      <c r="S625" s="237"/>
      <c r="T625" s="237"/>
      <c r="U625" s="237"/>
      <c r="V625" s="237"/>
      <c r="W625" s="237"/>
      <c r="X625" s="237"/>
      <c r="Y625" s="237"/>
      <c r="Z625" s="237"/>
      <c r="AA625" s="237"/>
      <c r="AB625" s="237"/>
    </row>
    <row r="626">
      <c r="A626" s="238">
        <v>625.0</v>
      </c>
      <c r="B626" s="242"/>
      <c r="C626" s="240" t="s">
        <v>6120</v>
      </c>
      <c r="D626" s="236"/>
      <c r="E626" s="240" t="s">
        <v>3511</v>
      </c>
      <c r="F626" s="240" t="s">
        <v>6118</v>
      </c>
      <c r="G626" s="238" t="s">
        <v>6119</v>
      </c>
      <c r="H626" s="240" t="s">
        <v>6121</v>
      </c>
      <c r="I626" s="236"/>
      <c r="J626" s="238" t="s">
        <v>4542</v>
      </c>
      <c r="K626" s="242"/>
      <c r="L626" s="237"/>
      <c r="M626" s="237"/>
      <c r="N626" s="237"/>
      <c r="O626" s="237"/>
      <c r="P626" s="237"/>
      <c r="Q626" s="237"/>
      <c r="R626" s="237"/>
      <c r="S626" s="237"/>
      <c r="T626" s="237"/>
      <c r="U626" s="237"/>
      <c r="V626" s="237"/>
      <c r="W626" s="237"/>
      <c r="X626" s="237"/>
      <c r="Y626" s="237"/>
      <c r="Z626" s="237"/>
      <c r="AA626" s="237"/>
      <c r="AB626" s="237"/>
    </row>
    <row r="627">
      <c r="A627" s="238">
        <v>626.0</v>
      </c>
      <c r="B627" s="239" t="s">
        <v>6122</v>
      </c>
      <c r="C627" s="240" t="s">
        <v>6123</v>
      </c>
      <c r="D627" s="236"/>
      <c r="E627" s="240" t="s">
        <v>3511</v>
      </c>
      <c r="F627" s="240" t="s">
        <v>6124</v>
      </c>
      <c r="G627" s="238" t="s">
        <v>6125</v>
      </c>
      <c r="H627" s="240" t="s">
        <v>6126</v>
      </c>
      <c r="I627" s="236"/>
      <c r="J627" s="238" t="s">
        <v>5032</v>
      </c>
      <c r="K627" s="239" t="s">
        <v>6122</v>
      </c>
      <c r="L627" s="237"/>
      <c r="M627" s="237"/>
      <c r="N627" s="237"/>
      <c r="O627" s="237"/>
      <c r="P627" s="237"/>
      <c r="Q627" s="237"/>
      <c r="R627" s="237"/>
      <c r="S627" s="237"/>
      <c r="T627" s="237"/>
      <c r="U627" s="237"/>
      <c r="V627" s="237"/>
      <c r="W627" s="237"/>
      <c r="X627" s="237"/>
      <c r="Y627" s="237"/>
      <c r="Z627" s="237"/>
      <c r="AA627" s="237"/>
      <c r="AB627" s="237"/>
    </row>
    <row r="628">
      <c r="A628" s="238">
        <v>627.0</v>
      </c>
      <c r="B628" s="239" t="s">
        <v>6127</v>
      </c>
      <c r="C628" s="240" t="s">
        <v>6128</v>
      </c>
      <c r="D628" s="236"/>
      <c r="E628" s="240" t="s">
        <v>3511</v>
      </c>
      <c r="F628" s="240" t="s">
        <v>6129</v>
      </c>
      <c r="G628" s="238" t="s">
        <v>6130</v>
      </c>
      <c r="H628" s="240" t="s">
        <v>6131</v>
      </c>
      <c r="I628" s="236"/>
      <c r="J628" s="238" t="s">
        <v>5032</v>
      </c>
      <c r="K628" s="239" t="s">
        <v>6127</v>
      </c>
      <c r="L628" s="237"/>
      <c r="M628" s="237"/>
      <c r="N628" s="237"/>
      <c r="O628" s="237"/>
      <c r="P628" s="237"/>
      <c r="Q628" s="237"/>
      <c r="R628" s="237"/>
      <c r="S628" s="237"/>
      <c r="T628" s="237"/>
      <c r="U628" s="237"/>
      <c r="V628" s="237"/>
      <c r="W628" s="237"/>
      <c r="X628" s="237"/>
      <c r="Y628" s="237"/>
      <c r="Z628" s="237"/>
      <c r="AA628" s="237"/>
      <c r="AB628" s="237"/>
    </row>
    <row r="629">
      <c r="A629" s="238">
        <v>628.0</v>
      </c>
      <c r="B629" s="239" t="s">
        <v>6132</v>
      </c>
      <c r="C629" s="240" t="s">
        <v>6133</v>
      </c>
      <c r="D629" s="236"/>
      <c r="E629" s="240" t="s">
        <v>3511</v>
      </c>
      <c r="F629" s="240" t="s">
        <v>6134</v>
      </c>
      <c r="G629" s="238" t="s">
        <v>6135</v>
      </c>
      <c r="H629" s="241" t="s">
        <v>6136</v>
      </c>
      <c r="I629" s="236"/>
      <c r="J629" s="238" t="s">
        <v>5032</v>
      </c>
      <c r="K629" s="239" t="s">
        <v>6132</v>
      </c>
      <c r="L629" s="237"/>
      <c r="M629" s="237"/>
      <c r="N629" s="237"/>
      <c r="O629" s="237"/>
      <c r="P629" s="237"/>
      <c r="Q629" s="237"/>
      <c r="R629" s="237"/>
      <c r="S629" s="237"/>
      <c r="T629" s="237"/>
      <c r="U629" s="237"/>
      <c r="V629" s="237"/>
      <c r="W629" s="237"/>
      <c r="X629" s="237"/>
      <c r="Y629" s="237"/>
      <c r="Z629" s="237"/>
      <c r="AA629" s="237"/>
      <c r="AB629" s="237"/>
    </row>
    <row r="630">
      <c r="A630" s="238">
        <v>629.0</v>
      </c>
      <c r="B630" s="239" t="s">
        <v>6137</v>
      </c>
      <c r="C630" s="240" t="s">
        <v>6138</v>
      </c>
      <c r="D630" s="236"/>
      <c r="E630" s="240" t="s">
        <v>3511</v>
      </c>
      <c r="F630" s="240" t="s">
        <v>6139</v>
      </c>
      <c r="G630" s="238" t="s">
        <v>6140</v>
      </c>
      <c r="H630" s="240" t="s">
        <v>6141</v>
      </c>
      <c r="I630" s="236"/>
      <c r="J630" s="238" t="s">
        <v>5032</v>
      </c>
      <c r="K630" s="239" t="s">
        <v>6137</v>
      </c>
      <c r="L630" s="237"/>
      <c r="M630" s="237"/>
      <c r="N630" s="237"/>
      <c r="O630" s="237"/>
      <c r="P630" s="237"/>
      <c r="Q630" s="237"/>
      <c r="R630" s="237"/>
      <c r="S630" s="237"/>
      <c r="T630" s="237"/>
      <c r="U630" s="237"/>
      <c r="V630" s="237"/>
      <c r="W630" s="237"/>
      <c r="X630" s="237"/>
      <c r="Y630" s="237"/>
      <c r="Z630" s="237"/>
      <c r="AA630" s="237"/>
      <c r="AB630" s="237"/>
    </row>
    <row r="631">
      <c r="A631" s="238">
        <v>630.0</v>
      </c>
      <c r="B631" s="239" t="s">
        <v>6142</v>
      </c>
      <c r="C631" s="240" t="s">
        <v>6143</v>
      </c>
      <c r="D631" s="236"/>
      <c r="E631" s="240" t="s">
        <v>3511</v>
      </c>
      <c r="F631" s="240" t="s">
        <v>6144</v>
      </c>
      <c r="G631" s="238" t="s">
        <v>6145</v>
      </c>
      <c r="H631" s="240" t="s">
        <v>6146</v>
      </c>
      <c r="I631" s="236"/>
      <c r="J631" s="238" t="s">
        <v>5032</v>
      </c>
      <c r="K631" s="239" t="s">
        <v>6142</v>
      </c>
      <c r="L631" s="237"/>
      <c r="M631" s="237"/>
      <c r="N631" s="237"/>
      <c r="O631" s="237"/>
      <c r="P631" s="237"/>
      <c r="Q631" s="237"/>
      <c r="R631" s="237"/>
      <c r="S631" s="237"/>
      <c r="T631" s="237"/>
      <c r="U631" s="237"/>
      <c r="V631" s="237"/>
      <c r="W631" s="237"/>
      <c r="X631" s="237"/>
      <c r="Y631" s="237"/>
      <c r="Z631" s="237"/>
      <c r="AA631" s="237"/>
      <c r="AB631" s="237"/>
    </row>
    <row r="632">
      <c r="A632" s="238">
        <v>631.0</v>
      </c>
      <c r="B632" s="239" t="s">
        <v>6147</v>
      </c>
      <c r="C632" s="240" t="s">
        <v>6148</v>
      </c>
      <c r="D632" s="236"/>
      <c r="E632" s="240" t="s">
        <v>3511</v>
      </c>
      <c r="F632" s="240" t="s">
        <v>6149</v>
      </c>
      <c r="G632" s="238" t="s">
        <v>6150</v>
      </c>
      <c r="H632" s="240" t="s">
        <v>6151</v>
      </c>
      <c r="I632" s="236"/>
      <c r="J632" s="238" t="s">
        <v>5032</v>
      </c>
      <c r="K632" s="239" t="s">
        <v>6147</v>
      </c>
      <c r="L632" s="237"/>
      <c r="M632" s="237"/>
      <c r="N632" s="237"/>
      <c r="O632" s="237"/>
      <c r="P632" s="237"/>
      <c r="Q632" s="237"/>
      <c r="R632" s="237"/>
      <c r="S632" s="237"/>
      <c r="T632" s="237"/>
      <c r="U632" s="237"/>
      <c r="V632" s="237"/>
      <c r="W632" s="237"/>
      <c r="X632" s="237"/>
      <c r="Y632" s="237"/>
      <c r="Z632" s="237"/>
      <c r="AA632" s="237"/>
      <c r="AB632" s="237"/>
    </row>
    <row r="633">
      <c r="A633" s="238">
        <v>632.0</v>
      </c>
      <c r="B633" s="242"/>
      <c r="C633" s="240" t="s">
        <v>6152</v>
      </c>
      <c r="D633" s="236"/>
      <c r="E633" s="240" t="s">
        <v>3511</v>
      </c>
      <c r="F633" s="240" t="s">
        <v>6153</v>
      </c>
      <c r="G633" s="238" t="s">
        <v>6154</v>
      </c>
      <c r="H633" s="240" t="s">
        <v>6155</v>
      </c>
      <c r="I633" s="236"/>
      <c r="J633" s="238" t="s">
        <v>5032</v>
      </c>
      <c r="K633" s="242"/>
      <c r="L633" s="237"/>
      <c r="M633" s="237"/>
      <c r="N633" s="237"/>
      <c r="O633" s="237"/>
      <c r="P633" s="237"/>
      <c r="Q633" s="237"/>
      <c r="R633" s="237"/>
      <c r="S633" s="237"/>
      <c r="T633" s="237"/>
      <c r="U633" s="237"/>
      <c r="V633" s="237"/>
      <c r="W633" s="237"/>
      <c r="X633" s="237"/>
      <c r="Y633" s="237"/>
      <c r="Z633" s="237"/>
      <c r="AA633" s="237"/>
      <c r="AB633" s="237"/>
    </row>
    <row r="634">
      <c r="A634" s="238">
        <v>633.0</v>
      </c>
      <c r="B634" s="239" t="s">
        <v>6156</v>
      </c>
      <c r="C634" s="240" t="s">
        <v>6157</v>
      </c>
      <c r="D634" s="236"/>
      <c r="E634" s="240" t="s">
        <v>3511</v>
      </c>
      <c r="F634" s="240" t="s">
        <v>6158</v>
      </c>
      <c r="G634" s="238" t="s">
        <v>6159</v>
      </c>
      <c r="H634" s="240" t="s">
        <v>6160</v>
      </c>
      <c r="I634" s="236"/>
      <c r="J634" s="238" t="s">
        <v>5032</v>
      </c>
      <c r="K634" s="239" t="s">
        <v>6156</v>
      </c>
      <c r="L634" s="237"/>
      <c r="M634" s="237"/>
      <c r="N634" s="237"/>
      <c r="O634" s="237"/>
      <c r="P634" s="237"/>
      <c r="Q634" s="237"/>
      <c r="R634" s="237"/>
      <c r="S634" s="237"/>
      <c r="T634" s="237"/>
      <c r="U634" s="237"/>
      <c r="V634" s="237"/>
      <c r="W634" s="237"/>
      <c r="X634" s="237"/>
      <c r="Y634" s="237"/>
      <c r="Z634" s="237"/>
      <c r="AA634" s="237"/>
      <c r="AB634" s="237"/>
    </row>
    <row r="635">
      <c r="A635" s="238">
        <v>634.0</v>
      </c>
      <c r="B635" s="239" t="s">
        <v>6161</v>
      </c>
      <c r="C635" s="240" t="s">
        <v>6162</v>
      </c>
      <c r="D635" s="236"/>
      <c r="E635" s="240" t="s">
        <v>3511</v>
      </c>
      <c r="F635" s="240" t="s">
        <v>6163</v>
      </c>
      <c r="G635" s="238" t="s">
        <v>6164</v>
      </c>
      <c r="H635" s="240" t="s">
        <v>6165</v>
      </c>
      <c r="I635" s="236"/>
      <c r="J635" s="238" t="s">
        <v>5032</v>
      </c>
      <c r="K635" s="239" t="s">
        <v>6161</v>
      </c>
      <c r="L635" s="237"/>
      <c r="M635" s="237"/>
      <c r="N635" s="237"/>
      <c r="O635" s="237"/>
      <c r="P635" s="237"/>
      <c r="Q635" s="237"/>
      <c r="R635" s="237"/>
      <c r="S635" s="237"/>
      <c r="T635" s="237"/>
      <c r="U635" s="237"/>
      <c r="V635" s="237"/>
      <c r="W635" s="237"/>
      <c r="X635" s="237"/>
      <c r="Y635" s="237"/>
      <c r="Z635" s="237"/>
      <c r="AA635" s="237"/>
      <c r="AB635" s="237"/>
    </row>
    <row r="636">
      <c r="A636" s="238">
        <v>635.0</v>
      </c>
      <c r="B636" s="242"/>
      <c r="C636" s="240" t="s">
        <v>6166</v>
      </c>
      <c r="D636" s="236"/>
      <c r="E636" s="240" t="s">
        <v>3511</v>
      </c>
      <c r="F636" s="240" t="s">
        <v>6113</v>
      </c>
      <c r="G636" s="238" t="s">
        <v>6114</v>
      </c>
      <c r="H636" s="240" t="s">
        <v>6167</v>
      </c>
      <c r="I636" s="236"/>
      <c r="J636" s="238" t="s">
        <v>4542</v>
      </c>
      <c r="K636" s="242"/>
      <c r="L636" s="237"/>
      <c r="M636" s="237"/>
      <c r="N636" s="237"/>
      <c r="O636" s="237"/>
      <c r="P636" s="237"/>
      <c r="Q636" s="237"/>
      <c r="R636" s="237"/>
      <c r="S636" s="237"/>
      <c r="T636" s="237"/>
      <c r="U636" s="237"/>
      <c r="V636" s="237"/>
      <c r="W636" s="237"/>
      <c r="X636" s="237"/>
      <c r="Y636" s="237"/>
      <c r="Z636" s="237"/>
      <c r="AA636" s="237"/>
      <c r="AB636" s="237"/>
    </row>
    <row r="637">
      <c r="A637" s="238">
        <v>636.0</v>
      </c>
      <c r="B637" s="242"/>
      <c r="C637" s="240" t="s">
        <v>6168</v>
      </c>
      <c r="D637" s="236"/>
      <c r="E637" s="240" t="s">
        <v>3511</v>
      </c>
      <c r="F637" s="240" t="s">
        <v>6118</v>
      </c>
      <c r="G637" s="238" t="s">
        <v>6119</v>
      </c>
      <c r="H637" s="240" t="s">
        <v>6169</v>
      </c>
      <c r="I637" s="236"/>
      <c r="J637" s="238" t="s">
        <v>4542</v>
      </c>
      <c r="K637" s="242"/>
      <c r="L637" s="237"/>
      <c r="M637" s="237"/>
      <c r="N637" s="237"/>
      <c r="O637" s="237"/>
      <c r="P637" s="237"/>
      <c r="Q637" s="237"/>
      <c r="R637" s="237"/>
      <c r="S637" s="237"/>
      <c r="T637" s="237"/>
      <c r="U637" s="237"/>
      <c r="V637" s="237"/>
      <c r="W637" s="237"/>
      <c r="X637" s="237"/>
      <c r="Y637" s="237"/>
      <c r="Z637" s="237"/>
      <c r="AA637" s="237"/>
      <c r="AB637" s="237"/>
    </row>
    <row r="638">
      <c r="A638" s="238">
        <v>637.0</v>
      </c>
      <c r="B638" s="239" t="s">
        <v>6170</v>
      </c>
      <c r="C638" s="240" t="s">
        <v>6171</v>
      </c>
      <c r="D638" s="236"/>
      <c r="E638" s="240" t="s">
        <v>3511</v>
      </c>
      <c r="F638" s="240" t="s">
        <v>6172</v>
      </c>
      <c r="G638" s="238" t="s">
        <v>6173</v>
      </c>
      <c r="H638" s="240" t="s">
        <v>6174</v>
      </c>
      <c r="I638" s="236"/>
      <c r="J638" s="238" t="s">
        <v>3545</v>
      </c>
      <c r="K638" s="239" t="s">
        <v>6170</v>
      </c>
      <c r="L638" s="237"/>
      <c r="M638" s="237"/>
      <c r="N638" s="237"/>
      <c r="O638" s="237"/>
      <c r="P638" s="237"/>
      <c r="Q638" s="237"/>
      <c r="R638" s="237"/>
      <c r="S638" s="237"/>
      <c r="T638" s="237"/>
      <c r="U638" s="237"/>
      <c r="V638" s="237"/>
      <c r="W638" s="237"/>
      <c r="X638" s="237"/>
      <c r="Y638" s="237"/>
      <c r="Z638" s="237"/>
      <c r="AA638" s="237"/>
      <c r="AB638" s="237"/>
    </row>
    <row r="639">
      <c r="A639" s="238">
        <v>638.0</v>
      </c>
      <c r="B639" s="239" t="s">
        <v>6175</v>
      </c>
      <c r="C639" s="240" t="s">
        <v>6176</v>
      </c>
      <c r="D639" s="236"/>
      <c r="E639" s="240" t="s">
        <v>3511</v>
      </c>
      <c r="F639" s="240" t="s">
        <v>6177</v>
      </c>
      <c r="G639" s="238" t="s">
        <v>6178</v>
      </c>
      <c r="H639" s="240" t="s">
        <v>6179</v>
      </c>
      <c r="I639" s="236"/>
      <c r="J639" s="238" t="s">
        <v>3545</v>
      </c>
      <c r="K639" s="239" t="s">
        <v>6175</v>
      </c>
      <c r="L639" s="237"/>
      <c r="M639" s="237"/>
      <c r="N639" s="237"/>
      <c r="O639" s="237"/>
      <c r="P639" s="237"/>
      <c r="Q639" s="237"/>
      <c r="R639" s="237"/>
      <c r="S639" s="237"/>
      <c r="T639" s="237"/>
      <c r="U639" s="237"/>
      <c r="V639" s="237"/>
      <c r="W639" s="237"/>
      <c r="X639" s="237"/>
      <c r="Y639" s="237"/>
      <c r="Z639" s="237"/>
      <c r="AA639" s="237"/>
      <c r="AB639" s="237"/>
    </row>
    <row r="640">
      <c r="A640" s="238">
        <v>639.0</v>
      </c>
      <c r="B640" s="239" t="s">
        <v>6180</v>
      </c>
      <c r="C640" s="240" t="s">
        <v>6181</v>
      </c>
      <c r="D640" s="236"/>
      <c r="E640" s="240" t="s">
        <v>3511</v>
      </c>
      <c r="F640" s="240" t="s">
        <v>6182</v>
      </c>
      <c r="G640" s="238" t="s">
        <v>6183</v>
      </c>
      <c r="H640" s="241" t="s">
        <v>6184</v>
      </c>
      <c r="I640" s="236"/>
      <c r="J640" s="238" t="s">
        <v>3545</v>
      </c>
      <c r="K640" s="239" t="s">
        <v>6180</v>
      </c>
      <c r="L640" s="237"/>
      <c r="M640" s="237"/>
      <c r="N640" s="237"/>
      <c r="O640" s="237"/>
      <c r="P640" s="237"/>
      <c r="Q640" s="237"/>
      <c r="R640" s="237"/>
      <c r="S640" s="237"/>
      <c r="T640" s="237"/>
      <c r="U640" s="237"/>
      <c r="V640" s="237"/>
      <c r="W640" s="237"/>
      <c r="X640" s="237"/>
      <c r="Y640" s="237"/>
      <c r="Z640" s="237"/>
      <c r="AA640" s="237"/>
      <c r="AB640" s="237"/>
    </row>
    <row r="641">
      <c r="A641" s="238">
        <v>640.0</v>
      </c>
      <c r="B641" s="239" t="s">
        <v>6185</v>
      </c>
      <c r="C641" s="240" t="s">
        <v>6186</v>
      </c>
      <c r="D641" s="236"/>
      <c r="E641" s="240" t="s">
        <v>3511</v>
      </c>
      <c r="F641" s="240" t="s">
        <v>6187</v>
      </c>
      <c r="G641" s="238" t="s">
        <v>6188</v>
      </c>
      <c r="H641" s="241" t="s">
        <v>6189</v>
      </c>
      <c r="I641" s="236"/>
      <c r="J641" s="238" t="s">
        <v>3545</v>
      </c>
      <c r="K641" s="239" t="s">
        <v>6185</v>
      </c>
      <c r="L641" s="237"/>
      <c r="M641" s="237"/>
      <c r="N641" s="237"/>
      <c r="O641" s="237"/>
      <c r="P641" s="237"/>
      <c r="Q641" s="237"/>
      <c r="R641" s="237"/>
      <c r="S641" s="237"/>
      <c r="T641" s="237"/>
      <c r="U641" s="237"/>
      <c r="V641" s="237"/>
      <c r="W641" s="237"/>
      <c r="X641" s="237"/>
      <c r="Y641" s="237"/>
      <c r="Z641" s="237"/>
      <c r="AA641" s="237"/>
      <c r="AB641" s="237"/>
    </row>
    <row r="642">
      <c r="A642" s="238">
        <v>641.0</v>
      </c>
      <c r="B642" s="239" t="s">
        <v>6190</v>
      </c>
      <c r="C642" s="240" t="s">
        <v>6191</v>
      </c>
      <c r="D642" s="236"/>
      <c r="E642" s="240" t="s">
        <v>3511</v>
      </c>
      <c r="F642" s="240" t="s">
        <v>6192</v>
      </c>
      <c r="G642" s="238" t="s">
        <v>6193</v>
      </c>
      <c r="H642" s="240" t="s">
        <v>6194</v>
      </c>
      <c r="I642" s="236"/>
      <c r="J642" s="238" t="s">
        <v>5032</v>
      </c>
      <c r="K642" s="239" t="s">
        <v>6190</v>
      </c>
      <c r="L642" s="237"/>
      <c r="M642" s="237"/>
      <c r="N642" s="237"/>
      <c r="O642" s="237"/>
      <c r="P642" s="237"/>
      <c r="Q642" s="237"/>
      <c r="R642" s="237"/>
      <c r="S642" s="237"/>
      <c r="T642" s="237"/>
      <c r="U642" s="237"/>
      <c r="V642" s="237"/>
      <c r="W642" s="237"/>
      <c r="X642" s="237"/>
      <c r="Y642" s="237"/>
      <c r="Z642" s="237"/>
      <c r="AA642" s="237"/>
      <c r="AB642" s="237"/>
    </row>
    <row r="643">
      <c r="A643" s="238">
        <v>642.0</v>
      </c>
      <c r="B643" s="239" t="s">
        <v>6195</v>
      </c>
      <c r="C643" s="240" t="s">
        <v>6196</v>
      </c>
      <c r="D643" s="236"/>
      <c r="E643" s="240" t="s">
        <v>3511</v>
      </c>
      <c r="F643" s="241" t="s">
        <v>1417</v>
      </c>
      <c r="G643" s="238" t="s">
        <v>6197</v>
      </c>
      <c r="H643" s="241" t="s">
        <v>6198</v>
      </c>
      <c r="I643" s="236"/>
      <c r="J643" s="238" t="s">
        <v>5032</v>
      </c>
      <c r="K643" s="239" t="s">
        <v>6195</v>
      </c>
      <c r="L643" s="237"/>
      <c r="M643" s="237"/>
      <c r="N643" s="237"/>
      <c r="O643" s="237"/>
      <c r="P643" s="237"/>
      <c r="Q643" s="237"/>
      <c r="R643" s="237"/>
      <c r="S643" s="237"/>
      <c r="T643" s="237"/>
      <c r="U643" s="237"/>
      <c r="V643" s="237"/>
      <c r="W643" s="237"/>
      <c r="X643" s="237"/>
      <c r="Y643" s="237"/>
      <c r="Z643" s="237"/>
      <c r="AA643" s="237"/>
      <c r="AB643" s="237"/>
    </row>
    <row r="644">
      <c r="A644" s="238">
        <v>643.0</v>
      </c>
      <c r="B644" s="239" t="s">
        <v>6199</v>
      </c>
      <c r="C644" s="240" t="s">
        <v>6200</v>
      </c>
      <c r="D644" s="236"/>
      <c r="E644" s="240" t="s">
        <v>3511</v>
      </c>
      <c r="F644" s="241" t="s">
        <v>1418</v>
      </c>
      <c r="G644" s="243" t="s">
        <v>6201</v>
      </c>
      <c r="H644" s="241" t="s">
        <v>6202</v>
      </c>
      <c r="I644" s="236"/>
      <c r="J644" s="238" t="s">
        <v>5032</v>
      </c>
      <c r="K644" s="239" t="s">
        <v>6199</v>
      </c>
      <c r="L644" s="237"/>
      <c r="M644" s="237"/>
      <c r="N644" s="237"/>
      <c r="O644" s="237"/>
      <c r="P644" s="237"/>
      <c r="Q644" s="237"/>
      <c r="R644" s="237"/>
      <c r="S644" s="237"/>
      <c r="T644" s="237"/>
      <c r="U644" s="237"/>
      <c r="V644" s="237"/>
      <c r="W644" s="237"/>
      <c r="X644" s="237"/>
      <c r="Y644" s="237"/>
      <c r="Z644" s="237"/>
      <c r="AA644" s="237"/>
      <c r="AB644" s="237"/>
    </row>
    <row r="645">
      <c r="A645" s="238">
        <v>644.0</v>
      </c>
      <c r="B645" s="239" t="s">
        <v>6203</v>
      </c>
      <c r="C645" s="240" t="s">
        <v>6204</v>
      </c>
      <c r="D645" s="236"/>
      <c r="E645" s="240" t="s">
        <v>3511</v>
      </c>
      <c r="F645" s="240" t="s">
        <v>6205</v>
      </c>
      <c r="G645" s="238" t="s">
        <v>6206</v>
      </c>
      <c r="H645" s="240" t="s">
        <v>6207</v>
      </c>
      <c r="I645" s="236"/>
      <c r="J645" s="238" t="s">
        <v>5032</v>
      </c>
      <c r="K645" s="239" t="s">
        <v>6203</v>
      </c>
      <c r="L645" s="237"/>
      <c r="M645" s="237"/>
      <c r="N645" s="237"/>
      <c r="O645" s="237"/>
      <c r="P645" s="237"/>
      <c r="Q645" s="237"/>
      <c r="R645" s="237"/>
      <c r="S645" s="237"/>
      <c r="T645" s="237"/>
      <c r="U645" s="237"/>
      <c r="V645" s="237"/>
      <c r="W645" s="237"/>
      <c r="X645" s="237"/>
      <c r="Y645" s="237"/>
      <c r="Z645" s="237"/>
      <c r="AA645" s="237"/>
      <c r="AB645" s="237"/>
    </row>
    <row r="646">
      <c r="A646" s="238">
        <v>645.0</v>
      </c>
      <c r="B646" s="239" t="s">
        <v>6208</v>
      </c>
      <c r="C646" s="240" t="s">
        <v>6209</v>
      </c>
      <c r="D646" s="236"/>
      <c r="E646" s="240" t="s">
        <v>3511</v>
      </c>
      <c r="F646" s="240" t="s">
        <v>6210</v>
      </c>
      <c r="G646" s="238" t="s">
        <v>6211</v>
      </c>
      <c r="H646" s="240" t="s">
        <v>6212</v>
      </c>
      <c r="I646" s="236"/>
      <c r="J646" s="238" t="s">
        <v>3545</v>
      </c>
      <c r="K646" s="239" t="s">
        <v>6208</v>
      </c>
      <c r="L646" s="237"/>
      <c r="M646" s="237"/>
      <c r="N646" s="237"/>
      <c r="O646" s="237"/>
      <c r="P646" s="237"/>
      <c r="Q646" s="237"/>
      <c r="R646" s="237"/>
      <c r="S646" s="237"/>
      <c r="T646" s="237"/>
      <c r="U646" s="237"/>
      <c r="V646" s="237"/>
      <c r="W646" s="237"/>
      <c r="X646" s="237"/>
      <c r="Y646" s="237"/>
      <c r="Z646" s="237"/>
      <c r="AA646" s="237"/>
      <c r="AB646" s="237"/>
    </row>
    <row r="647">
      <c r="A647" s="238">
        <v>646.0</v>
      </c>
      <c r="B647" s="239" t="s">
        <v>6213</v>
      </c>
      <c r="C647" s="240" t="s">
        <v>6214</v>
      </c>
      <c r="D647" s="236"/>
      <c r="E647" s="240" t="s">
        <v>3511</v>
      </c>
      <c r="F647" s="240" t="s">
        <v>6215</v>
      </c>
      <c r="G647" s="238" t="s">
        <v>6216</v>
      </c>
      <c r="H647" s="240" t="s">
        <v>6217</v>
      </c>
      <c r="I647" s="236"/>
      <c r="J647" s="238" t="s">
        <v>3545</v>
      </c>
      <c r="K647" s="239" t="s">
        <v>6213</v>
      </c>
      <c r="L647" s="237"/>
      <c r="M647" s="237"/>
      <c r="N647" s="237"/>
      <c r="O647" s="237"/>
      <c r="P647" s="237"/>
      <c r="Q647" s="237"/>
      <c r="R647" s="237"/>
      <c r="S647" s="237"/>
      <c r="T647" s="237"/>
      <c r="U647" s="237"/>
      <c r="V647" s="237"/>
      <c r="W647" s="237"/>
      <c r="X647" s="237"/>
      <c r="Y647" s="237"/>
      <c r="Z647" s="237"/>
      <c r="AA647" s="237"/>
      <c r="AB647" s="237"/>
    </row>
    <row r="648">
      <c r="A648" s="238">
        <v>647.0</v>
      </c>
      <c r="B648" s="239" t="s">
        <v>6218</v>
      </c>
      <c r="C648" s="240" t="s">
        <v>6219</v>
      </c>
      <c r="D648" s="236"/>
      <c r="E648" s="240" t="s">
        <v>3511</v>
      </c>
      <c r="F648" s="240" t="s">
        <v>6220</v>
      </c>
      <c r="G648" s="238" t="s">
        <v>6221</v>
      </c>
      <c r="H648" s="241" t="s">
        <v>6222</v>
      </c>
      <c r="I648" s="236"/>
      <c r="J648" s="238" t="s">
        <v>3545</v>
      </c>
      <c r="K648" s="239" t="s">
        <v>6218</v>
      </c>
      <c r="L648" s="237"/>
      <c r="M648" s="237"/>
      <c r="N648" s="237"/>
      <c r="O648" s="237"/>
      <c r="P648" s="237"/>
      <c r="Q648" s="237"/>
      <c r="R648" s="237"/>
      <c r="S648" s="237"/>
      <c r="T648" s="237"/>
      <c r="U648" s="237"/>
      <c r="V648" s="237"/>
      <c r="W648" s="237"/>
      <c r="X648" s="237"/>
      <c r="Y648" s="237"/>
      <c r="Z648" s="237"/>
      <c r="AA648" s="237"/>
      <c r="AB648" s="237"/>
    </row>
    <row r="649">
      <c r="A649" s="238">
        <v>648.0</v>
      </c>
      <c r="B649" s="239" t="s">
        <v>6223</v>
      </c>
      <c r="C649" s="240" t="s">
        <v>6224</v>
      </c>
      <c r="D649" s="236"/>
      <c r="E649" s="240" t="s">
        <v>3511</v>
      </c>
      <c r="F649" s="240" t="s">
        <v>6225</v>
      </c>
      <c r="G649" s="238" t="s">
        <v>6226</v>
      </c>
      <c r="H649" s="241" t="s">
        <v>6227</v>
      </c>
      <c r="I649" s="236"/>
      <c r="J649" s="238" t="s">
        <v>3545</v>
      </c>
      <c r="K649" s="239" t="s">
        <v>6223</v>
      </c>
      <c r="L649" s="237"/>
      <c r="M649" s="237"/>
      <c r="N649" s="237"/>
      <c r="O649" s="237"/>
      <c r="P649" s="237"/>
      <c r="Q649" s="237"/>
      <c r="R649" s="237"/>
      <c r="S649" s="237"/>
      <c r="T649" s="237"/>
      <c r="U649" s="237"/>
      <c r="V649" s="237"/>
      <c r="W649" s="237"/>
      <c r="X649" s="237"/>
      <c r="Y649" s="237"/>
      <c r="Z649" s="237"/>
      <c r="AA649" s="237"/>
      <c r="AB649" s="237"/>
    </row>
    <row r="650">
      <c r="A650" s="238">
        <v>649.0</v>
      </c>
      <c r="B650" s="239" t="s">
        <v>6228</v>
      </c>
      <c r="C650" s="240" t="s">
        <v>6229</v>
      </c>
      <c r="D650" s="236"/>
      <c r="E650" s="240" t="s">
        <v>3511</v>
      </c>
      <c r="F650" s="240" t="s">
        <v>6230</v>
      </c>
      <c r="G650" s="238" t="s">
        <v>6231</v>
      </c>
      <c r="H650" s="241" t="s">
        <v>6232</v>
      </c>
      <c r="I650" s="236"/>
      <c r="J650" s="238" t="s">
        <v>3545</v>
      </c>
      <c r="K650" s="239" t="s">
        <v>6228</v>
      </c>
      <c r="L650" s="237"/>
      <c r="M650" s="237"/>
      <c r="N650" s="237"/>
      <c r="O650" s="237"/>
      <c r="P650" s="237"/>
      <c r="Q650" s="237"/>
      <c r="R650" s="237"/>
      <c r="S650" s="237"/>
      <c r="T650" s="237"/>
      <c r="U650" s="237"/>
      <c r="V650" s="237"/>
      <c r="W650" s="237"/>
      <c r="X650" s="237"/>
      <c r="Y650" s="237"/>
      <c r="Z650" s="237"/>
      <c r="AA650" s="237"/>
      <c r="AB650" s="237"/>
    </row>
    <row r="651">
      <c r="A651" s="238">
        <v>650.0</v>
      </c>
      <c r="B651" s="239" t="s">
        <v>6233</v>
      </c>
      <c r="C651" s="240" t="s">
        <v>6234</v>
      </c>
      <c r="D651" s="236"/>
      <c r="E651" s="240" t="s">
        <v>3511</v>
      </c>
      <c r="F651" s="240" t="s">
        <v>6235</v>
      </c>
      <c r="G651" s="238" t="s">
        <v>6236</v>
      </c>
      <c r="H651" s="240" t="s">
        <v>6237</v>
      </c>
      <c r="I651" s="236"/>
      <c r="J651" s="238" t="s">
        <v>3545</v>
      </c>
      <c r="K651" s="239" t="s">
        <v>6233</v>
      </c>
      <c r="L651" s="237"/>
      <c r="M651" s="237"/>
      <c r="N651" s="237"/>
      <c r="O651" s="237"/>
      <c r="P651" s="237"/>
      <c r="Q651" s="237"/>
      <c r="R651" s="237"/>
      <c r="S651" s="237"/>
      <c r="T651" s="237"/>
      <c r="U651" s="237"/>
      <c r="V651" s="237"/>
      <c r="W651" s="237"/>
      <c r="X651" s="237"/>
      <c r="Y651" s="237"/>
      <c r="Z651" s="237"/>
      <c r="AA651" s="237"/>
      <c r="AB651" s="237"/>
    </row>
    <row r="652">
      <c r="A652" s="238">
        <v>651.0</v>
      </c>
      <c r="B652" s="239" t="s">
        <v>6238</v>
      </c>
      <c r="C652" s="240" t="s">
        <v>6239</v>
      </c>
      <c r="D652" s="236"/>
      <c r="E652" s="240" t="s">
        <v>3511</v>
      </c>
      <c r="F652" s="240" t="s">
        <v>6240</v>
      </c>
      <c r="G652" s="238" t="s">
        <v>6241</v>
      </c>
      <c r="H652" s="241" t="s">
        <v>6242</v>
      </c>
      <c r="I652" s="236"/>
      <c r="J652" s="238" t="s">
        <v>3545</v>
      </c>
      <c r="K652" s="239" t="s">
        <v>6238</v>
      </c>
      <c r="L652" s="237"/>
      <c r="M652" s="237"/>
      <c r="N652" s="237"/>
      <c r="O652" s="237"/>
      <c r="P652" s="237"/>
      <c r="Q652" s="237"/>
      <c r="R652" s="237"/>
      <c r="S652" s="237"/>
      <c r="T652" s="237"/>
      <c r="U652" s="237"/>
      <c r="V652" s="237"/>
      <c r="W652" s="237"/>
      <c r="X652" s="237"/>
      <c r="Y652" s="237"/>
      <c r="Z652" s="237"/>
      <c r="AA652" s="237"/>
      <c r="AB652" s="237"/>
    </row>
    <row r="653">
      <c r="A653" s="238">
        <v>652.0</v>
      </c>
      <c r="B653" s="239" t="s">
        <v>6243</v>
      </c>
      <c r="C653" s="240" t="s">
        <v>6244</v>
      </c>
      <c r="D653" s="236"/>
      <c r="E653" s="240" t="s">
        <v>3511</v>
      </c>
      <c r="F653" s="240" t="s">
        <v>6245</v>
      </c>
      <c r="G653" s="238" t="s">
        <v>6246</v>
      </c>
      <c r="H653" s="240" t="s">
        <v>6247</v>
      </c>
      <c r="I653" s="236"/>
      <c r="J653" s="238" t="s">
        <v>3545</v>
      </c>
      <c r="K653" s="239" t="s">
        <v>6243</v>
      </c>
      <c r="L653" s="237"/>
      <c r="M653" s="237"/>
      <c r="N653" s="237"/>
      <c r="O653" s="237"/>
      <c r="P653" s="237"/>
      <c r="Q653" s="237"/>
      <c r="R653" s="237"/>
      <c r="S653" s="237"/>
      <c r="T653" s="237"/>
      <c r="U653" s="237"/>
      <c r="V653" s="237"/>
      <c r="W653" s="237"/>
      <c r="X653" s="237"/>
      <c r="Y653" s="237"/>
      <c r="Z653" s="237"/>
      <c r="AA653" s="237"/>
      <c r="AB653" s="237"/>
    </row>
    <row r="654">
      <c r="A654" s="238">
        <v>653.0</v>
      </c>
      <c r="B654" s="242"/>
      <c r="C654" s="240" t="s">
        <v>6248</v>
      </c>
      <c r="D654" s="236"/>
      <c r="E654" s="240" t="s">
        <v>3511</v>
      </c>
      <c r="F654" s="240" t="s">
        <v>6249</v>
      </c>
      <c r="G654" s="238" t="s">
        <v>6250</v>
      </c>
      <c r="H654" s="241" t="s">
        <v>6251</v>
      </c>
      <c r="I654" s="236"/>
      <c r="J654" s="238" t="s">
        <v>3545</v>
      </c>
      <c r="K654" s="242"/>
      <c r="L654" s="237"/>
      <c r="M654" s="237"/>
      <c r="N654" s="237"/>
      <c r="O654" s="237"/>
      <c r="P654" s="237"/>
      <c r="Q654" s="237"/>
      <c r="R654" s="237"/>
      <c r="S654" s="237"/>
      <c r="T654" s="237"/>
      <c r="U654" s="237"/>
      <c r="V654" s="237"/>
      <c r="W654" s="237"/>
      <c r="X654" s="237"/>
      <c r="Y654" s="237"/>
      <c r="Z654" s="237"/>
      <c r="AA654" s="237"/>
      <c r="AB654" s="237"/>
    </row>
    <row r="655">
      <c r="A655" s="238">
        <v>654.0</v>
      </c>
      <c r="B655" s="242"/>
      <c r="C655" s="240" t="s">
        <v>6252</v>
      </c>
      <c r="D655" s="236"/>
      <c r="E655" s="240" t="s">
        <v>3511</v>
      </c>
      <c r="F655" s="240" t="s">
        <v>6253</v>
      </c>
      <c r="G655" s="238" t="s">
        <v>6254</v>
      </c>
      <c r="H655" s="241" t="s">
        <v>6255</v>
      </c>
      <c r="I655" s="236"/>
      <c r="J655" s="238" t="s">
        <v>3545</v>
      </c>
      <c r="K655" s="242"/>
      <c r="L655" s="237"/>
      <c r="M655" s="237"/>
      <c r="N655" s="237"/>
      <c r="O655" s="237"/>
      <c r="P655" s="237"/>
      <c r="Q655" s="237"/>
      <c r="R655" s="237"/>
      <c r="S655" s="237"/>
      <c r="T655" s="237"/>
      <c r="U655" s="237"/>
      <c r="V655" s="237"/>
      <c r="W655" s="237"/>
      <c r="X655" s="237"/>
      <c r="Y655" s="237"/>
      <c r="Z655" s="237"/>
      <c r="AA655" s="237"/>
      <c r="AB655" s="237"/>
    </row>
    <row r="656">
      <c r="A656" s="238">
        <v>655.0</v>
      </c>
      <c r="B656" s="242"/>
      <c r="C656" s="240" t="s">
        <v>6256</v>
      </c>
      <c r="D656" s="236"/>
      <c r="E656" s="240" t="s">
        <v>3511</v>
      </c>
      <c r="F656" s="240" t="s">
        <v>6257</v>
      </c>
      <c r="G656" s="238" t="s">
        <v>6258</v>
      </c>
      <c r="H656" s="241" t="s">
        <v>6259</v>
      </c>
      <c r="I656" s="236"/>
      <c r="J656" s="238" t="s">
        <v>3545</v>
      </c>
      <c r="K656" s="242"/>
      <c r="L656" s="237"/>
      <c r="M656" s="237"/>
      <c r="N656" s="237"/>
      <c r="O656" s="237"/>
      <c r="P656" s="237"/>
      <c r="Q656" s="237"/>
      <c r="R656" s="237"/>
      <c r="S656" s="237"/>
      <c r="T656" s="237"/>
      <c r="U656" s="237"/>
      <c r="V656" s="237"/>
      <c r="W656" s="237"/>
      <c r="X656" s="237"/>
      <c r="Y656" s="237"/>
      <c r="Z656" s="237"/>
      <c r="AA656" s="237"/>
      <c r="AB656" s="237"/>
    </row>
    <row r="657">
      <c r="A657" s="238">
        <v>656.0</v>
      </c>
      <c r="B657" s="242"/>
      <c r="C657" s="240" t="s">
        <v>6260</v>
      </c>
      <c r="D657" s="236"/>
      <c r="E657" s="240" t="s">
        <v>3511</v>
      </c>
      <c r="F657" s="240" t="s">
        <v>6261</v>
      </c>
      <c r="G657" s="238" t="s">
        <v>6262</v>
      </c>
      <c r="H657" s="241" t="s">
        <v>6263</v>
      </c>
      <c r="I657" s="236"/>
      <c r="J657" s="238" t="s">
        <v>6262</v>
      </c>
      <c r="K657" s="242"/>
      <c r="L657" s="237"/>
      <c r="M657" s="237"/>
      <c r="N657" s="237"/>
      <c r="O657" s="237"/>
      <c r="P657" s="237"/>
      <c r="Q657" s="237"/>
      <c r="R657" s="237"/>
      <c r="S657" s="237"/>
      <c r="T657" s="237"/>
      <c r="U657" s="237"/>
      <c r="V657" s="237"/>
      <c r="W657" s="237"/>
      <c r="X657" s="237"/>
      <c r="Y657" s="237"/>
      <c r="Z657" s="237"/>
      <c r="AA657" s="237"/>
      <c r="AB657" s="237"/>
    </row>
    <row r="658">
      <c r="A658" s="238">
        <v>657.0</v>
      </c>
      <c r="B658" s="242"/>
      <c r="C658" s="240" t="s">
        <v>6264</v>
      </c>
      <c r="D658" s="236"/>
      <c r="E658" s="240" t="s">
        <v>3511</v>
      </c>
      <c r="F658" s="240" t="s">
        <v>6265</v>
      </c>
      <c r="G658" s="238" t="s">
        <v>6266</v>
      </c>
      <c r="H658" s="241" t="s">
        <v>6267</v>
      </c>
      <c r="I658" s="236"/>
      <c r="J658" s="238" t="s">
        <v>3545</v>
      </c>
      <c r="K658" s="242"/>
      <c r="L658" s="237"/>
      <c r="M658" s="237"/>
      <c r="N658" s="237"/>
      <c r="O658" s="237"/>
      <c r="P658" s="237"/>
      <c r="Q658" s="237"/>
      <c r="R658" s="237"/>
      <c r="S658" s="237"/>
      <c r="T658" s="237"/>
      <c r="U658" s="237"/>
      <c r="V658" s="237"/>
      <c r="W658" s="237"/>
      <c r="X658" s="237"/>
      <c r="Y658" s="237"/>
      <c r="Z658" s="237"/>
      <c r="AA658" s="237"/>
      <c r="AB658" s="237"/>
    </row>
    <row r="659">
      <c r="A659" s="238">
        <v>658.0</v>
      </c>
      <c r="B659" s="242"/>
      <c r="C659" s="240" t="s">
        <v>6268</v>
      </c>
      <c r="D659" s="236"/>
      <c r="E659" s="240" t="s">
        <v>3511</v>
      </c>
      <c r="F659" s="240" t="s">
        <v>6269</v>
      </c>
      <c r="G659" s="238" t="s">
        <v>6270</v>
      </c>
      <c r="H659" s="241" t="s">
        <v>6271</v>
      </c>
      <c r="I659" s="236"/>
      <c r="J659" s="238" t="s">
        <v>6272</v>
      </c>
      <c r="K659" s="242"/>
      <c r="L659" s="237"/>
      <c r="M659" s="237"/>
      <c r="N659" s="237"/>
      <c r="O659" s="237"/>
      <c r="P659" s="237"/>
      <c r="Q659" s="237"/>
      <c r="R659" s="237"/>
      <c r="S659" s="237"/>
      <c r="T659" s="237"/>
      <c r="U659" s="237"/>
      <c r="V659" s="237"/>
      <c r="W659" s="237"/>
      <c r="X659" s="237"/>
      <c r="Y659" s="237"/>
      <c r="Z659" s="237"/>
      <c r="AA659" s="237"/>
      <c r="AB659" s="237"/>
    </row>
    <row r="660">
      <c r="A660" s="238">
        <v>659.0</v>
      </c>
      <c r="B660" s="242"/>
      <c r="C660" s="240" t="s">
        <v>6273</v>
      </c>
      <c r="D660" s="236"/>
      <c r="E660" s="240" t="s">
        <v>3511</v>
      </c>
      <c r="F660" s="240" t="s">
        <v>6274</v>
      </c>
      <c r="G660" s="238" t="s">
        <v>6275</v>
      </c>
      <c r="H660" s="241" t="s">
        <v>6276</v>
      </c>
      <c r="I660" s="236"/>
      <c r="J660" s="238" t="s">
        <v>3545</v>
      </c>
      <c r="K660" s="242"/>
      <c r="L660" s="237"/>
      <c r="M660" s="237"/>
      <c r="N660" s="237"/>
      <c r="O660" s="237"/>
      <c r="P660" s="237"/>
      <c r="Q660" s="237"/>
      <c r="R660" s="237"/>
      <c r="S660" s="237"/>
      <c r="T660" s="237"/>
      <c r="U660" s="237"/>
      <c r="V660" s="237"/>
      <c r="W660" s="237"/>
      <c r="X660" s="237"/>
      <c r="Y660" s="237"/>
      <c r="Z660" s="237"/>
      <c r="AA660" s="237"/>
      <c r="AB660" s="237"/>
    </row>
    <row r="661">
      <c r="A661" s="238">
        <v>660.0</v>
      </c>
      <c r="B661" s="242"/>
      <c r="C661" s="240" t="s">
        <v>6277</v>
      </c>
      <c r="D661" s="236"/>
      <c r="E661" s="240" t="s">
        <v>3511</v>
      </c>
      <c r="F661" s="240" t="s">
        <v>6278</v>
      </c>
      <c r="G661" s="238" t="s">
        <v>6279</v>
      </c>
      <c r="H661" s="241" t="s">
        <v>6280</v>
      </c>
      <c r="I661" s="236"/>
      <c r="J661" s="238" t="s">
        <v>3545</v>
      </c>
      <c r="K661" s="242"/>
      <c r="L661" s="237"/>
      <c r="M661" s="237"/>
      <c r="N661" s="237"/>
      <c r="O661" s="237"/>
      <c r="P661" s="237"/>
      <c r="Q661" s="237"/>
      <c r="R661" s="237"/>
      <c r="S661" s="237"/>
      <c r="T661" s="237"/>
      <c r="U661" s="237"/>
      <c r="V661" s="237"/>
      <c r="W661" s="237"/>
      <c r="X661" s="237"/>
      <c r="Y661" s="237"/>
      <c r="Z661" s="237"/>
      <c r="AA661" s="237"/>
      <c r="AB661" s="237"/>
    </row>
    <row r="662">
      <c r="A662" s="238">
        <v>661.0</v>
      </c>
      <c r="B662" s="239" t="s">
        <v>6281</v>
      </c>
      <c r="C662" s="240" t="s">
        <v>6282</v>
      </c>
      <c r="D662" s="236"/>
      <c r="E662" s="240" t="s">
        <v>3511</v>
      </c>
      <c r="F662" s="240" t="s">
        <v>6283</v>
      </c>
      <c r="G662" s="238" t="s">
        <v>6284</v>
      </c>
      <c r="H662" s="240" t="s">
        <v>6285</v>
      </c>
      <c r="I662" s="236"/>
      <c r="J662" s="238" t="s">
        <v>3545</v>
      </c>
      <c r="K662" s="239" t="s">
        <v>6281</v>
      </c>
      <c r="L662" s="237"/>
      <c r="M662" s="237"/>
      <c r="N662" s="237"/>
      <c r="O662" s="237"/>
      <c r="P662" s="237"/>
      <c r="Q662" s="237"/>
      <c r="R662" s="237"/>
      <c r="S662" s="237"/>
      <c r="T662" s="237"/>
      <c r="U662" s="237"/>
      <c r="V662" s="237"/>
      <c r="W662" s="237"/>
      <c r="X662" s="237"/>
      <c r="Y662" s="237"/>
      <c r="Z662" s="237"/>
      <c r="AA662" s="237"/>
      <c r="AB662" s="237"/>
    </row>
    <row r="663">
      <c r="A663" s="238">
        <v>662.0</v>
      </c>
      <c r="B663" s="239" t="s">
        <v>6190</v>
      </c>
      <c r="C663" s="240" t="s">
        <v>6286</v>
      </c>
      <c r="D663" s="236"/>
      <c r="E663" s="240" t="s">
        <v>3511</v>
      </c>
      <c r="F663" s="240" t="s">
        <v>6287</v>
      </c>
      <c r="G663" s="238" t="s">
        <v>6288</v>
      </c>
      <c r="H663" s="240" t="s">
        <v>6289</v>
      </c>
      <c r="I663" s="236"/>
      <c r="J663" s="238" t="s">
        <v>5032</v>
      </c>
      <c r="K663" s="239" t="s">
        <v>6190</v>
      </c>
      <c r="L663" s="237"/>
      <c r="M663" s="237"/>
      <c r="N663" s="237"/>
      <c r="O663" s="237"/>
      <c r="P663" s="237"/>
      <c r="Q663" s="237"/>
      <c r="R663" s="237"/>
      <c r="S663" s="237"/>
      <c r="T663" s="237"/>
      <c r="U663" s="237"/>
      <c r="V663" s="237"/>
      <c r="W663" s="237"/>
      <c r="X663" s="237"/>
      <c r="Y663" s="237"/>
      <c r="Z663" s="237"/>
      <c r="AA663" s="237"/>
      <c r="AB663" s="237"/>
    </row>
    <row r="664">
      <c r="A664" s="238">
        <v>663.0</v>
      </c>
      <c r="B664" s="239" t="s">
        <v>6290</v>
      </c>
      <c r="C664" s="240" t="s">
        <v>6291</v>
      </c>
      <c r="D664" s="236"/>
      <c r="E664" s="240" t="s">
        <v>3511</v>
      </c>
      <c r="F664" s="240" t="s">
        <v>6292</v>
      </c>
      <c r="G664" s="238" t="s">
        <v>6293</v>
      </c>
      <c r="H664" s="240" t="s">
        <v>6294</v>
      </c>
      <c r="I664" s="236"/>
      <c r="J664" s="238" t="s">
        <v>5032</v>
      </c>
      <c r="K664" s="239" t="s">
        <v>6290</v>
      </c>
      <c r="L664" s="237"/>
      <c r="M664" s="237"/>
      <c r="N664" s="237"/>
      <c r="O664" s="237"/>
      <c r="P664" s="237"/>
      <c r="Q664" s="237"/>
      <c r="R664" s="237"/>
      <c r="S664" s="237"/>
      <c r="T664" s="237"/>
      <c r="U664" s="237"/>
      <c r="V664" s="237"/>
      <c r="W664" s="237"/>
      <c r="X664" s="237"/>
      <c r="Y664" s="237"/>
      <c r="Z664" s="237"/>
      <c r="AA664" s="237"/>
      <c r="AB664" s="237"/>
    </row>
    <row r="665">
      <c r="A665" s="238">
        <v>664.0</v>
      </c>
      <c r="B665" s="239" t="s">
        <v>6295</v>
      </c>
      <c r="C665" s="240" t="s">
        <v>6296</v>
      </c>
      <c r="D665" s="236"/>
      <c r="E665" s="240" t="s">
        <v>3511</v>
      </c>
      <c r="F665" s="240" t="s">
        <v>6297</v>
      </c>
      <c r="G665" s="238" t="s">
        <v>6298</v>
      </c>
      <c r="H665" s="240" t="s">
        <v>6299</v>
      </c>
      <c r="I665" s="236"/>
      <c r="J665" s="238" t="s">
        <v>5032</v>
      </c>
      <c r="K665" s="239" t="s">
        <v>6295</v>
      </c>
      <c r="L665" s="237"/>
      <c r="M665" s="237"/>
      <c r="N665" s="237"/>
      <c r="O665" s="237"/>
      <c r="P665" s="237"/>
      <c r="Q665" s="237"/>
      <c r="R665" s="237"/>
      <c r="S665" s="237"/>
      <c r="T665" s="237"/>
      <c r="U665" s="237"/>
      <c r="V665" s="237"/>
      <c r="W665" s="237"/>
      <c r="X665" s="237"/>
      <c r="Y665" s="237"/>
      <c r="Z665" s="237"/>
      <c r="AA665" s="237"/>
      <c r="AB665" s="237"/>
    </row>
    <row r="666">
      <c r="A666" s="238">
        <v>665.0</v>
      </c>
      <c r="B666" s="239" t="s">
        <v>6300</v>
      </c>
      <c r="C666" s="240" t="s">
        <v>6301</v>
      </c>
      <c r="D666" s="236"/>
      <c r="E666" s="240" t="s">
        <v>3511</v>
      </c>
      <c r="F666" s="240" t="s">
        <v>6302</v>
      </c>
      <c r="G666" s="238" t="s">
        <v>6303</v>
      </c>
      <c r="H666" s="241" t="s">
        <v>6304</v>
      </c>
      <c r="I666" s="236"/>
      <c r="J666" s="238" t="s">
        <v>3545</v>
      </c>
      <c r="K666" s="239" t="s">
        <v>6300</v>
      </c>
      <c r="L666" s="237"/>
      <c r="M666" s="237"/>
      <c r="N666" s="237"/>
      <c r="O666" s="237"/>
      <c r="P666" s="237"/>
      <c r="Q666" s="237"/>
      <c r="R666" s="237"/>
      <c r="S666" s="237"/>
      <c r="T666" s="237"/>
      <c r="U666" s="237"/>
      <c r="V666" s="237"/>
      <c r="W666" s="237"/>
      <c r="X666" s="237"/>
      <c r="Y666" s="237"/>
      <c r="Z666" s="237"/>
      <c r="AA666" s="237"/>
      <c r="AB666" s="237"/>
    </row>
    <row r="667">
      <c r="A667" s="238">
        <v>666.0</v>
      </c>
      <c r="B667" s="239" t="s">
        <v>6305</v>
      </c>
      <c r="C667" s="240" t="s">
        <v>6306</v>
      </c>
      <c r="D667" s="236"/>
      <c r="E667" s="240" t="s">
        <v>3511</v>
      </c>
      <c r="F667" s="240" t="s">
        <v>6307</v>
      </c>
      <c r="G667" s="238" t="s">
        <v>6308</v>
      </c>
      <c r="H667" s="240" t="s">
        <v>6309</v>
      </c>
      <c r="I667" s="236"/>
      <c r="J667" s="238" t="s">
        <v>6308</v>
      </c>
      <c r="K667" s="239" t="s">
        <v>6305</v>
      </c>
      <c r="L667" s="237"/>
      <c r="M667" s="237"/>
      <c r="N667" s="237"/>
      <c r="O667" s="237"/>
      <c r="P667" s="237"/>
      <c r="Q667" s="237"/>
      <c r="R667" s="237"/>
      <c r="S667" s="237"/>
      <c r="T667" s="237"/>
      <c r="U667" s="237"/>
      <c r="V667" s="237"/>
      <c r="W667" s="237"/>
      <c r="X667" s="237"/>
      <c r="Y667" s="237"/>
      <c r="Z667" s="237"/>
      <c r="AA667" s="237"/>
      <c r="AB667" s="237"/>
    </row>
    <row r="668">
      <c r="A668" s="238">
        <v>667.0</v>
      </c>
      <c r="B668" s="239" t="s">
        <v>6310</v>
      </c>
      <c r="C668" s="240" t="s">
        <v>6311</v>
      </c>
      <c r="D668" s="236"/>
      <c r="E668" s="240" t="s">
        <v>3511</v>
      </c>
      <c r="F668" s="240" t="s">
        <v>6312</v>
      </c>
      <c r="G668" s="238" t="s">
        <v>6313</v>
      </c>
      <c r="H668" s="241" t="s">
        <v>6314</v>
      </c>
      <c r="I668" s="236"/>
      <c r="J668" s="238" t="s">
        <v>3545</v>
      </c>
      <c r="K668" s="239" t="s">
        <v>6310</v>
      </c>
      <c r="L668" s="237"/>
      <c r="M668" s="237"/>
      <c r="N668" s="237"/>
      <c r="O668" s="237"/>
      <c r="P668" s="237"/>
      <c r="Q668" s="237"/>
      <c r="R668" s="237"/>
      <c r="S668" s="237"/>
      <c r="T668" s="237"/>
      <c r="U668" s="237"/>
      <c r="V668" s="237"/>
      <c r="W668" s="237"/>
      <c r="X668" s="237"/>
      <c r="Y668" s="237"/>
      <c r="Z668" s="237"/>
      <c r="AA668" s="237"/>
      <c r="AB668" s="237"/>
    </row>
    <row r="669">
      <c r="A669" s="238">
        <v>668.0</v>
      </c>
      <c r="B669" s="239" t="s">
        <v>6315</v>
      </c>
      <c r="C669" s="240" t="s">
        <v>6316</v>
      </c>
      <c r="D669" s="236"/>
      <c r="E669" s="240" t="s">
        <v>3511</v>
      </c>
      <c r="F669" s="240" t="s">
        <v>6317</v>
      </c>
      <c r="G669" s="238" t="s">
        <v>6318</v>
      </c>
      <c r="H669" s="241" t="s">
        <v>6319</v>
      </c>
      <c r="I669" s="236"/>
      <c r="J669" s="238" t="s">
        <v>6272</v>
      </c>
      <c r="K669" s="239" t="s">
        <v>6315</v>
      </c>
      <c r="L669" s="237"/>
      <c r="M669" s="237"/>
      <c r="N669" s="237"/>
      <c r="O669" s="237"/>
      <c r="P669" s="237"/>
      <c r="Q669" s="237"/>
      <c r="R669" s="237"/>
      <c r="S669" s="237"/>
      <c r="T669" s="237"/>
      <c r="U669" s="237"/>
      <c r="V669" s="237"/>
      <c r="W669" s="237"/>
      <c r="X669" s="237"/>
      <c r="Y669" s="237"/>
      <c r="Z669" s="237"/>
      <c r="AA669" s="237"/>
      <c r="AB669" s="237"/>
    </row>
    <row r="670">
      <c r="A670" s="238">
        <v>669.0</v>
      </c>
      <c r="B670" s="239" t="s">
        <v>5519</v>
      </c>
      <c r="C670" s="240" t="s">
        <v>6320</v>
      </c>
      <c r="D670" s="236"/>
      <c r="E670" s="240" t="s">
        <v>3511</v>
      </c>
      <c r="F670" s="240" t="s">
        <v>5521</v>
      </c>
      <c r="G670" s="238" t="s">
        <v>5522</v>
      </c>
      <c r="H670" s="240" t="s">
        <v>6321</v>
      </c>
      <c r="I670" s="236"/>
      <c r="J670" s="238" t="s">
        <v>4536</v>
      </c>
      <c r="K670" s="239" t="s">
        <v>5519</v>
      </c>
      <c r="L670" s="237"/>
      <c r="M670" s="237"/>
      <c r="N670" s="237"/>
      <c r="O670" s="237"/>
      <c r="P670" s="237"/>
      <c r="Q670" s="237"/>
      <c r="R670" s="237"/>
      <c r="S670" s="237"/>
      <c r="T670" s="237"/>
      <c r="U670" s="237"/>
      <c r="V670" s="237"/>
      <c r="W670" s="237"/>
      <c r="X670" s="237"/>
      <c r="Y670" s="237"/>
      <c r="Z670" s="237"/>
      <c r="AA670" s="237"/>
      <c r="AB670" s="237"/>
    </row>
    <row r="671">
      <c r="A671" s="238">
        <v>670.0</v>
      </c>
      <c r="B671" s="242"/>
      <c r="C671" s="240" t="s">
        <v>6322</v>
      </c>
      <c r="D671" s="236"/>
      <c r="E671" s="240" t="s">
        <v>3511</v>
      </c>
      <c r="F671" s="240" t="s">
        <v>6323</v>
      </c>
      <c r="G671" s="238" t="s">
        <v>6324</v>
      </c>
      <c r="H671" s="240" t="s">
        <v>6325</v>
      </c>
      <c r="I671" s="236"/>
      <c r="J671" s="238" t="s">
        <v>4536</v>
      </c>
      <c r="K671" s="242"/>
      <c r="L671" s="237"/>
      <c r="M671" s="237"/>
      <c r="N671" s="237"/>
      <c r="O671" s="237"/>
      <c r="P671" s="237"/>
      <c r="Q671" s="237"/>
      <c r="R671" s="237"/>
      <c r="S671" s="237"/>
      <c r="T671" s="237"/>
      <c r="U671" s="237"/>
      <c r="V671" s="237"/>
      <c r="W671" s="237"/>
      <c r="X671" s="237"/>
      <c r="Y671" s="237"/>
      <c r="Z671" s="237"/>
      <c r="AA671" s="237"/>
      <c r="AB671" s="237"/>
    </row>
    <row r="672">
      <c r="A672" s="238">
        <v>671.0</v>
      </c>
      <c r="B672" s="239" t="s">
        <v>6326</v>
      </c>
      <c r="C672" s="240" t="s">
        <v>6327</v>
      </c>
      <c r="D672" s="236"/>
      <c r="E672" s="240" t="s">
        <v>3511</v>
      </c>
      <c r="F672" s="240" t="s">
        <v>6328</v>
      </c>
      <c r="G672" s="238" t="s">
        <v>6329</v>
      </c>
      <c r="H672" s="240" t="s">
        <v>6330</v>
      </c>
      <c r="I672" s="236"/>
      <c r="J672" s="238" t="s">
        <v>3545</v>
      </c>
      <c r="K672" s="239" t="s">
        <v>6326</v>
      </c>
      <c r="L672" s="237"/>
      <c r="M672" s="237"/>
      <c r="N672" s="237"/>
      <c r="O672" s="237"/>
      <c r="P672" s="237"/>
      <c r="Q672" s="237"/>
      <c r="R672" s="237"/>
      <c r="S672" s="237"/>
      <c r="T672" s="237"/>
      <c r="U672" s="237"/>
      <c r="V672" s="237"/>
      <c r="W672" s="237"/>
      <c r="X672" s="237"/>
      <c r="Y672" s="237"/>
      <c r="Z672" s="237"/>
      <c r="AA672" s="237"/>
      <c r="AB672" s="237"/>
    </row>
    <row r="673">
      <c r="A673" s="238">
        <v>672.0</v>
      </c>
      <c r="B673" s="239" t="s">
        <v>6331</v>
      </c>
      <c r="C673" s="240" t="s">
        <v>6332</v>
      </c>
      <c r="D673" s="236"/>
      <c r="E673" s="240" t="s">
        <v>3511</v>
      </c>
      <c r="F673" s="240" t="s">
        <v>6333</v>
      </c>
      <c r="G673" s="238" t="s">
        <v>6334</v>
      </c>
      <c r="H673" s="241" t="s">
        <v>6335</v>
      </c>
      <c r="I673" s="236"/>
      <c r="J673" s="238" t="s">
        <v>3545</v>
      </c>
      <c r="K673" s="239" t="s">
        <v>6331</v>
      </c>
      <c r="L673" s="237"/>
      <c r="M673" s="237"/>
      <c r="N673" s="237"/>
      <c r="O673" s="237"/>
      <c r="P673" s="237"/>
      <c r="Q673" s="237"/>
      <c r="R673" s="237"/>
      <c r="S673" s="237"/>
      <c r="T673" s="237"/>
      <c r="U673" s="237"/>
      <c r="V673" s="237"/>
      <c r="W673" s="237"/>
      <c r="X673" s="237"/>
      <c r="Y673" s="237"/>
      <c r="Z673" s="237"/>
      <c r="AA673" s="237"/>
      <c r="AB673" s="237"/>
    </row>
    <row r="674">
      <c r="A674" s="238">
        <v>673.0</v>
      </c>
      <c r="B674" s="239" t="s">
        <v>6336</v>
      </c>
      <c r="C674" s="240" t="s">
        <v>6337</v>
      </c>
      <c r="D674" s="236"/>
      <c r="E674" s="240" t="s">
        <v>3511</v>
      </c>
      <c r="F674" s="240" t="s">
        <v>6338</v>
      </c>
      <c r="G674" s="238" t="s">
        <v>6339</v>
      </c>
      <c r="H674" s="241" t="s">
        <v>6340</v>
      </c>
      <c r="I674" s="236"/>
      <c r="J674" s="238" t="s">
        <v>3545</v>
      </c>
      <c r="K674" s="239" t="s">
        <v>6336</v>
      </c>
      <c r="L674" s="237"/>
      <c r="M674" s="237"/>
      <c r="N674" s="237"/>
      <c r="O674" s="237"/>
      <c r="P674" s="237"/>
      <c r="Q674" s="237"/>
      <c r="R674" s="237"/>
      <c r="S674" s="237"/>
      <c r="T674" s="237"/>
      <c r="U674" s="237"/>
      <c r="V674" s="237"/>
      <c r="W674" s="237"/>
      <c r="X674" s="237"/>
      <c r="Y674" s="237"/>
      <c r="Z674" s="237"/>
      <c r="AA674" s="237"/>
      <c r="AB674" s="237"/>
    </row>
    <row r="675">
      <c r="A675" s="238">
        <v>674.0</v>
      </c>
      <c r="B675" s="239" t="s">
        <v>6341</v>
      </c>
      <c r="C675" s="240" t="s">
        <v>6342</v>
      </c>
      <c r="D675" s="236"/>
      <c r="E675" s="240" t="s">
        <v>3511</v>
      </c>
      <c r="F675" s="240" t="s">
        <v>6343</v>
      </c>
      <c r="G675" s="238" t="s">
        <v>6344</v>
      </c>
      <c r="H675" s="241" t="s">
        <v>6345</v>
      </c>
      <c r="I675" s="236"/>
      <c r="J675" s="238" t="s">
        <v>6344</v>
      </c>
      <c r="K675" s="239" t="s">
        <v>6341</v>
      </c>
      <c r="L675" s="237"/>
      <c r="M675" s="237"/>
      <c r="N675" s="237"/>
      <c r="O675" s="237"/>
      <c r="P675" s="237"/>
      <c r="Q675" s="237"/>
      <c r="R675" s="237"/>
      <c r="S675" s="237"/>
      <c r="T675" s="237"/>
      <c r="U675" s="237"/>
      <c r="V675" s="237"/>
      <c r="W675" s="237"/>
      <c r="X675" s="237"/>
      <c r="Y675" s="237"/>
      <c r="Z675" s="237"/>
      <c r="AA675" s="237"/>
      <c r="AB675" s="237"/>
    </row>
    <row r="676">
      <c r="A676" s="238">
        <v>675.0</v>
      </c>
      <c r="B676" s="239" t="s">
        <v>6346</v>
      </c>
      <c r="C676" s="240" t="s">
        <v>6347</v>
      </c>
      <c r="D676" s="236"/>
      <c r="E676" s="240" t="s">
        <v>3511</v>
      </c>
      <c r="F676" s="240" t="s">
        <v>6348</v>
      </c>
      <c r="G676" s="238" t="s">
        <v>6349</v>
      </c>
      <c r="H676" s="240" t="s">
        <v>6350</v>
      </c>
      <c r="I676" s="236"/>
      <c r="J676" s="238" t="s">
        <v>3545</v>
      </c>
      <c r="K676" s="239" t="s">
        <v>6346</v>
      </c>
      <c r="L676" s="237"/>
      <c r="M676" s="237"/>
      <c r="N676" s="237"/>
      <c r="O676" s="237"/>
      <c r="P676" s="237"/>
      <c r="Q676" s="237"/>
      <c r="R676" s="237"/>
      <c r="S676" s="237"/>
      <c r="T676" s="237"/>
      <c r="U676" s="237"/>
      <c r="V676" s="237"/>
      <c r="W676" s="237"/>
      <c r="X676" s="237"/>
      <c r="Y676" s="237"/>
      <c r="Z676" s="237"/>
      <c r="AA676" s="237"/>
      <c r="AB676" s="237"/>
    </row>
    <row r="677">
      <c r="A677" s="238">
        <v>676.0</v>
      </c>
      <c r="B677" s="239" t="s">
        <v>6351</v>
      </c>
      <c r="C677" s="240" t="s">
        <v>6352</v>
      </c>
      <c r="D677" s="236"/>
      <c r="E677" s="240" t="s">
        <v>3511</v>
      </c>
      <c r="F677" s="240" t="s">
        <v>6353</v>
      </c>
      <c r="G677" s="238" t="s">
        <v>6354</v>
      </c>
      <c r="H677" s="240" t="s">
        <v>6355</v>
      </c>
      <c r="I677" s="236"/>
      <c r="J677" s="238" t="s">
        <v>6272</v>
      </c>
      <c r="K677" s="239" t="s">
        <v>6351</v>
      </c>
      <c r="L677" s="237"/>
      <c r="M677" s="237"/>
      <c r="N677" s="237"/>
      <c r="O677" s="237"/>
      <c r="P677" s="237"/>
      <c r="Q677" s="237"/>
      <c r="R677" s="237"/>
      <c r="S677" s="237"/>
      <c r="T677" s="237"/>
      <c r="U677" s="237"/>
      <c r="V677" s="237"/>
      <c r="W677" s="237"/>
      <c r="X677" s="237"/>
      <c r="Y677" s="237"/>
      <c r="Z677" s="237"/>
      <c r="AA677" s="237"/>
      <c r="AB677" s="237"/>
    </row>
    <row r="678">
      <c r="A678" s="238">
        <v>677.0</v>
      </c>
      <c r="B678" s="239" t="s">
        <v>6356</v>
      </c>
      <c r="C678" s="240" t="s">
        <v>6357</v>
      </c>
      <c r="D678" s="236"/>
      <c r="E678" s="240" t="s">
        <v>3511</v>
      </c>
      <c r="F678" s="240" t="s">
        <v>6358</v>
      </c>
      <c r="G678" s="238" t="s">
        <v>6359</v>
      </c>
      <c r="H678" s="240" t="s">
        <v>6360</v>
      </c>
      <c r="I678" s="236"/>
      <c r="J678" s="238" t="s">
        <v>3545</v>
      </c>
      <c r="K678" s="239" t="s">
        <v>6356</v>
      </c>
      <c r="L678" s="237"/>
      <c r="M678" s="237"/>
      <c r="N678" s="237"/>
      <c r="O678" s="237"/>
      <c r="P678" s="237"/>
      <c r="Q678" s="237"/>
      <c r="R678" s="237"/>
      <c r="S678" s="237"/>
      <c r="T678" s="237"/>
      <c r="U678" s="237"/>
      <c r="V678" s="237"/>
      <c r="W678" s="237"/>
      <c r="X678" s="237"/>
      <c r="Y678" s="237"/>
      <c r="Z678" s="237"/>
      <c r="AA678" s="237"/>
      <c r="AB678" s="237"/>
    </row>
    <row r="679">
      <c r="A679" s="238">
        <v>678.0</v>
      </c>
      <c r="B679" s="239" t="s">
        <v>6361</v>
      </c>
      <c r="C679" s="240" t="s">
        <v>6362</v>
      </c>
      <c r="D679" s="236"/>
      <c r="E679" s="240" t="s">
        <v>3511</v>
      </c>
      <c r="F679" s="240" t="s">
        <v>6363</v>
      </c>
      <c r="G679" s="238" t="s">
        <v>6364</v>
      </c>
      <c r="H679" s="240" t="s">
        <v>6365</v>
      </c>
      <c r="I679" s="236"/>
      <c r="J679" s="238" t="s">
        <v>3545</v>
      </c>
      <c r="K679" s="239" t="s">
        <v>6361</v>
      </c>
      <c r="L679" s="237"/>
      <c r="M679" s="237"/>
      <c r="N679" s="237"/>
      <c r="O679" s="237"/>
      <c r="P679" s="237"/>
      <c r="Q679" s="237"/>
      <c r="R679" s="237"/>
      <c r="S679" s="237"/>
      <c r="T679" s="237"/>
      <c r="U679" s="237"/>
      <c r="V679" s="237"/>
      <c r="W679" s="237"/>
      <c r="X679" s="237"/>
      <c r="Y679" s="237"/>
      <c r="Z679" s="237"/>
      <c r="AA679" s="237"/>
      <c r="AB679" s="237"/>
    </row>
    <row r="680">
      <c r="A680" s="238">
        <v>679.0</v>
      </c>
      <c r="B680" s="239" t="s">
        <v>6366</v>
      </c>
      <c r="C680" s="240" t="s">
        <v>6367</v>
      </c>
      <c r="D680" s="236"/>
      <c r="E680" s="240" t="s">
        <v>3511</v>
      </c>
      <c r="F680" s="240" t="s">
        <v>6368</v>
      </c>
      <c r="G680" s="238" t="s">
        <v>6369</v>
      </c>
      <c r="H680" s="240" t="s">
        <v>6370</v>
      </c>
      <c r="I680" s="236"/>
      <c r="J680" s="238" t="s">
        <v>3545</v>
      </c>
      <c r="K680" s="239" t="s">
        <v>6366</v>
      </c>
      <c r="L680" s="237"/>
      <c r="M680" s="237"/>
      <c r="N680" s="237"/>
      <c r="O680" s="237"/>
      <c r="P680" s="237"/>
      <c r="Q680" s="237"/>
      <c r="R680" s="237"/>
      <c r="S680" s="237"/>
      <c r="T680" s="237"/>
      <c r="U680" s="237"/>
      <c r="V680" s="237"/>
      <c r="W680" s="237"/>
      <c r="X680" s="237"/>
      <c r="Y680" s="237"/>
      <c r="Z680" s="237"/>
      <c r="AA680" s="237"/>
      <c r="AB680" s="237"/>
    </row>
    <row r="681">
      <c r="A681" s="238">
        <v>680.0</v>
      </c>
      <c r="B681" s="239" t="s">
        <v>6371</v>
      </c>
      <c r="C681" s="240" t="s">
        <v>6372</v>
      </c>
      <c r="D681" s="236"/>
      <c r="E681" s="240" t="s">
        <v>3511</v>
      </c>
      <c r="F681" s="240" t="s">
        <v>6373</v>
      </c>
      <c r="G681" s="238" t="s">
        <v>6374</v>
      </c>
      <c r="H681" s="240" t="s">
        <v>6375</v>
      </c>
      <c r="I681" s="236"/>
      <c r="J681" s="238" t="s">
        <v>3545</v>
      </c>
      <c r="K681" s="239" t="s">
        <v>6371</v>
      </c>
      <c r="L681" s="237"/>
      <c r="M681" s="237"/>
      <c r="N681" s="237"/>
      <c r="O681" s="237"/>
      <c r="P681" s="237"/>
      <c r="Q681" s="237"/>
      <c r="R681" s="237"/>
      <c r="S681" s="237"/>
      <c r="T681" s="237"/>
      <c r="U681" s="237"/>
      <c r="V681" s="237"/>
      <c r="W681" s="237"/>
      <c r="X681" s="237"/>
      <c r="Y681" s="237"/>
      <c r="Z681" s="237"/>
      <c r="AA681" s="237"/>
      <c r="AB681" s="237"/>
    </row>
    <row r="682">
      <c r="A682" s="238">
        <v>681.0</v>
      </c>
      <c r="B682" s="239" t="s">
        <v>6376</v>
      </c>
      <c r="C682" s="240" t="s">
        <v>6377</v>
      </c>
      <c r="D682" s="236"/>
      <c r="E682" s="240" t="s">
        <v>3511</v>
      </c>
      <c r="F682" s="240" t="s">
        <v>6378</v>
      </c>
      <c r="G682" s="238" t="s">
        <v>6379</v>
      </c>
      <c r="H682" s="240" t="s">
        <v>6380</v>
      </c>
      <c r="I682" s="236"/>
      <c r="J682" s="238" t="s">
        <v>3545</v>
      </c>
      <c r="K682" s="239" t="s">
        <v>6376</v>
      </c>
      <c r="L682" s="237"/>
      <c r="M682" s="237"/>
      <c r="N682" s="237"/>
      <c r="O682" s="237"/>
      <c r="P682" s="237"/>
      <c r="Q682" s="237"/>
      <c r="R682" s="237"/>
      <c r="S682" s="237"/>
      <c r="T682" s="237"/>
      <c r="U682" s="237"/>
      <c r="V682" s="237"/>
      <c r="W682" s="237"/>
      <c r="X682" s="237"/>
      <c r="Y682" s="237"/>
      <c r="Z682" s="237"/>
      <c r="AA682" s="237"/>
      <c r="AB682" s="237"/>
    </row>
    <row r="683">
      <c r="A683" s="238">
        <v>682.0</v>
      </c>
      <c r="B683" s="239" t="s">
        <v>6381</v>
      </c>
      <c r="C683" s="240" t="s">
        <v>6382</v>
      </c>
      <c r="D683" s="236"/>
      <c r="E683" s="240" t="s">
        <v>3511</v>
      </c>
      <c r="F683" s="240" t="s">
        <v>6383</v>
      </c>
      <c r="G683" s="238" t="s">
        <v>6384</v>
      </c>
      <c r="H683" s="240" t="s">
        <v>6385</v>
      </c>
      <c r="I683" s="236"/>
      <c r="J683" s="238" t="s">
        <v>3545</v>
      </c>
      <c r="K683" s="239" t="s">
        <v>6381</v>
      </c>
      <c r="L683" s="237"/>
      <c r="M683" s="237"/>
      <c r="N683" s="237"/>
      <c r="O683" s="237"/>
      <c r="P683" s="237"/>
      <c r="Q683" s="237"/>
      <c r="R683" s="237"/>
      <c r="S683" s="237"/>
      <c r="T683" s="237"/>
      <c r="U683" s="237"/>
      <c r="V683" s="237"/>
      <c r="W683" s="237"/>
      <c r="X683" s="237"/>
      <c r="Y683" s="237"/>
      <c r="Z683" s="237"/>
      <c r="AA683" s="237"/>
      <c r="AB683" s="237"/>
    </row>
    <row r="684">
      <c r="A684" s="238">
        <v>683.0</v>
      </c>
      <c r="B684" s="239" t="s">
        <v>6386</v>
      </c>
      <c r="C684" s="240" t="s">
        <v>6387</v>
      </c>
      <c r="D684" s="236"/>
      <c r="E684" s="240" t="s">
        <v>3511</v>
      </c>
      <c r="F684" s="240" t="s">
        <v>6388</v>
      </c>
      <c r="G684" s="238" t="s">
        <v>6389</v>
      </c>
      <c r="H684" s="240" t="s">
        <v>6390</v>
      </c>
      <c r="I684" s="236"/>
      <c r="J684" s="238" t="s">
        <v>3545</v>
      </c>
      <c r="K684" s="239" t="s">
        <v>6386</v>
      </c>
      <c r="L684" s="237"/>
      <c r="M684" s="237"/>
      <c r="N684" s="237"/>
      <c r="O684" s="237"/>
      <c r="P684" s="237"/>
      <c r="Q684" s="237"/>
      <c r="R684" s="237"/>
      <c r="S684" s="237"/>
      <c r="T684" s="237"/>
      <c r="U684" s="237"/>
      <c r="V684" s="237"/>
      <c r="W684" s="237"/>
      <c r="X684" s="237"/>
      <c r="Y684" s="237"/>
      <c r="Z684" s="237"/>
      <c r="AA684" s="237"/>
      <c r="AB684" s="237"/>
    </row>
    <row r="685">
      <c r="A685" s="238">
        <v>684.0</v>
      </c>
      <c r="B685" s="239" t="s">
        <v>6391</v>
      </c>
      <c r="C685" s="240" t="s">
        <v>6392</v>
      </c>
      <c r="D685" s="236"/>
      <c r="E685" s="240" t="s">
        <v>3496</v>
      </c>
      <c r="F685" s="240" t="s">
        <v>6393</v>
      </c>
      <c r="G685" s="238" t="s">
        <v>6394</v>
      </c>
      <c r="H685" s="236"/>
      <c r="I685" s="236"/>
      <c r="J685" s="238" t="s">
        <v>6394</v>
      </c>
      <c r="K685" s="239" t="s">
        <v>6391</v>
      </c>
      <c r="L685" s="237"/>
      <c r="M685" s="237"/>
      <c r="N685" s="237"/>
      <c r="O685" s="237"/>
      <c r="P685" s="237"/>
      <c r="Q685" s="237"/>
      <c r="R685" s="237"/>
      <c r="S685" s="237"/>
      <c r="T685" s="237"/>
      <c r="U685" s="237"/>
      <c r="V685" s="237"/>
      <c r="W685" s="237"/>
      <c r="X685" s="237"/>
      <c r="Y685" s="237"/>
      <c r="Z685" s="237"/>
      <c r="AA685" s="237"/>
      <c r="AB685" s="237"/>
    </row>
    <row r="686">
      <c r="A686" s="238">
        <v>685.0</v>
      </c>
      <c r="B686" s="239" t="s">
        <v>6395</v>
      </c>
      <c r="C686" s="240" t="s">
        <v>6396</v>
      </c>
      <c r="D686" s="236"/>
      <c r="E686" s="240" t="s">
        <v>3496</v>
      </c>
      <c r="F686" s="240" t="s">
        <v>6397</v>
      </c>
      <c r="G686" s="238" t="s">
        <v>6398</v>
      </c>
      <c r="H686" s="236"/>
      <c r="I686" s="236"/>
      <c r="J686" s="238" t="s">
        <v>3545</v>
      </c>
      <c r="K686" s="239" t="s">
        <v>6395</v>
      </c>
      <c r="L686" s="237"/>
      <c r="M686" s="237"/>
      <c r="N686" s="237"/>
      <c r="O686" s="237"/>
      <c r="P686" s="237"/>
      <c r="Q686" s="237"/>
      <c r="R686" s="237"/>
      <c r="S686" s="237"/>
      <c r="T686" s="237"/>
      <c r="U686" s="237"/>
      <c r="V686" s="237"/>
      <c r="W686" s="237"/>
      <c r="X686" s="237"/>
      <c r="Y686" s="237"/>
      <c r="Z686" s="237"/>
      <c r="AA686" s="237"/>
      <c r="AB686" s="237"/>
    </row>
    <row r="687">
      <c r="A687" s="238">
        <v>686.0</v>
      </c>
      <c r="B687" s="239" t="s">
        <v>6399</v>
      </c>
      <c r="C687" s="240" t="s">
        <v>6400</v>
      </c>
      <c r="D687" s="236"/>
      <c r="E687" s="240" t="s">
        <v>3496</v>
      </c>
      <c r="F687" s="240" t="s">
        <v>6401</v>
      </c>
      <c r="G687" s="238" t="s">
        <v>6402</v>
      </c>
      <c r="H687" s="236"/>
      <c r="I687" s="236"/>
      <c r="J687" s="238" t="s">
        <v>6272</v>
      </c>
      <c r="K687" s="239" t="s">
        <v>6399</v>
      </c>
      <c r="L687" s="237"/>
      <c r="M687" s="237"/>
      <c r="N687" s="237"/>
      <c r="O687" s="237"/>
      <c r="P687" s="237"/>
      <c r="Q687" s="237"/>
      <c r="R687" s="237"/>
      <c r="S687" s="237"/>
      <c r="T687" s="237"/>
      <c r="U687" s="237"/>
      <c r="V687" s="237"/>
      <c r="W687" s="237"/>
      <c r="X687" s="237"/>
      <c r="Y687" s="237"/>
      <c r="Z687" s="237"/>
      <c r="AA687" s="237"/>
      <c r="AB687" s="237"/>
    </row>
    <row r="688">
      <c r="A688" s="238">
        <v>687.0</v>
      </c>
      <c r="B688" s="239" t="s">
        <v>6403</v>
      </c>
      <c r="C688" s="240" t="s">
        <v>6404</v>
      </c>
      <c r="D688" s="236"/>
      <c r="E688" s="240" t="s">
        <v>3511</v>
      </c>
      <c r="F688" s="240" t="s">
        <v>6405</v>
      </c>
      <c r="G688" s="238" t="s">
        <v>6406</v>
      </c>
      <c r="H688" s="240" t="s">
        <v>6407</v>
      </c>
      <c r="I688" s="236"/>
      <c r="J688" s="238" t="s">
        <v>3545</v>
      </c>
      <c r="K688" s="239" t="s">
        <v>6403</v>
      </c>
      <c r="L688" s="237"/>
      <c r="M688" s="237"/>
      <c r="N688" s="237"/>
      <c r="O688" s="237"/>
      <c r="P688" s="237"/>
      <c r="Q688" s="237"/>
      <c r="R688" s="237"/>
      <c r="S688" s="237"/>
      <c r="T688" s="237"/>
      <c r="U688" s="237"/>
      <c r="V688" s="237"/>
      <c r="W688" s="237"/>
      <c r="X688" s="237"/>
      <c r="Y688" s="237"/>
      <c r="Z688" s="237"/>
      <c r="AA688" s="237"/>
      <c r="AB688" s="237"/>
    </row>
    <row r="689">
      <c r="A689" s="238">
        <v>688.0</v>
      </c>
      <c r="B689" s="239" t="s">
        <v>6408</v>
      </c>
      <c r="C689" s="240" t="s">
        <v>6409</v>
      </c>
      <c r="D689" s="236"/>
      <c r="E689" s="240" t="s">
        <v>3511</v>
      </c>
      <c r="F689" s="240" t="s">
        <v>6410</v>
      </c>
      <c r="G689" s="238" t="s">
        <v>6411</v>
      </c>
      <c r="H689" s="240" t="s">
        <v>6412</v>
      </c>
      <c r="I689" s="236"/>
      <c r="J689" s="238" t="s">
        <v>3545</v>
      </c>
      <c r="K689" s="239" t="s">
        <v>6408</v>
      </c>
      <c r="L689" s="237"/>
      <c r="M689" s="237"/>
      <c r="N689" s="237"/>
      <c r="O689" s="237"/>
      <c r="P689" s="237"/>
      <c r="Q689" s="237"/>
      <c r="R689" s="237"/>
      <c r="S689" s="237"/>
      <c r="T689" s="237"/>
      <c r="U689" s="237"/>
      <c r="V689" s="237"/>
      <c r="W689" s="237"/>
      <c r="X689" s="237"/>
      <c r="Y689" s="237"/>
      <c r="Z689" s="237"/>
      <c r="AA689" s="237"/>
      <c r="AB689" s="237"/>
    </row>
    <row r="690">
      <c r="A690" s="238">
        <v>689.0</v>
      </c>
      <c r="B690" s="239" t="s">
        <v>6413</v>
      </c>
      <c r="C690" s="240" t="s">
        <v>6414</v>
      </c>
      <c r="D690" s="236"/>
      <c r="E690" s="240" t="s">
        <v>3511</v>
      </c>
      <c r="F690" s="240" t="s">
        <v>6415</v>
      </c>
      <c r="G690" s="238" t="s">
        <v>6416</v>
      </c>
      <c r="H690" s="240" t="s">
        <v>6417</v>
      </c>
      <c r="I690" s="236"/>
      <c r="J690" s="238" t="s">
        <v>3545</v>
      </c>
      <c r="K690" s="239" t="s">
        <v>6413</v>
      </c>
      <c r="L690" s="237"/>
      <c r="M690" s="237"/>
      <c r="N690" s="237"/>
      <c r="O690" s="237"/>
      <c r="P690" s="237"/>
      <c r="Q690" s="237"/>
      <c r="R690" s="237"/>
      <c r="S690" s="237"/>
      <c r="T690" s="237"/>
      <c r="U690" s="237"/>
      <c r="V690" s="237"/>
      <c r="W690" s="237"/>
      <c r="X690" s="237"/>
      <c r="Y690" s="237"/>
      <c r="Z690" s="237"/>
      <c r="AA690" s="237"/>
      <c r="AB690" s="237"/>
    </row>
    <row r="691">
      <c r="A691" s="238">
        <v>690.0</v>
      </c>
      <c r="B691" s="239" t="s">
        <v>6418</v>
      </c>
      <c r="C691" s="240" t="s">
        <v>6419</v>
      </c>
      <c r="D691" s="236"/>
      <c r="E691" s="240" t="s">
        <v>3511</v>
      </c>
      <c r="F691" s="240" t="s">
        <v>6420</v>
      </c>
      <c r="G691" s="238" t="s">
        <v>6421</v>
      </c>
      <c r="H691" s="240" t="s">
        <v>6422</v>
      </c>
      <c r="I691" s="236"/>
      <c r="J691" s="238" t="s">
        <v>3545</v>
      </c>
      <c r="K691" s="239" t="s">
        <v>6418</v>
      </c>
      <c r="L691" s="237"/>
      <c r="M691" s="237"/>
      <c r="N691" s="237"/>
      <c r="O691" s="237"/>
      <c r="P691" s="237"/>
      <c r="Q691" s="237"/>
      <c r="R691" s="237"/>
      <c r="S691" s="237"/>
      <c r="T691" s="237"/>
      <c r="U691" s="237"/>
      <c r="V691" s="237"/>
      <c r="W691" s="237"/>
      <c r="X691" s="237"/>
      <c r="Y691" s="237"/>
      <c r="Z691" s="237"/>
      <c r="AA691" s="237"/>
      <c r="AB691" s="237"/>
    </row>
    <row r="692">
      <c r="A692" s="238">
        <v>691.0</v>
      </c>
      <c r="B692" s="239" t="s">
        <v>6423</v>
      </c>
      <c r="C692" s="240" t="s">
        <v>6424</v>
      </c>
      <c r="D692" s="236"/>
      <c r="E692" s="240" t="s">
        <v>3511</v>
      </c>
      <c r="F692" s="240" t="s">
        <v>6425</v>
      </c>
      <c r="G692" s="238" t="s">
        <v>6426</v>
      </c>
      <c r="H692" s="240" t="s">
        <v>6427</v>
      </c>
      <c r="I692" s="236"/>
      <c r="J692" s="238" t="s">
        <v>3545</v>
      </c>
      <c r="K692" s="239" t="s">
        <v>6423</v>
      </c>
      <c r="L692" s="237"/>
      <c r="M692" s="237"/>
      <c r="N692" s="237"/>
      <c r="O692" s="237"/>
      <c r="P692" s="237"/>
      <c r="Q692" s="237"/>
      <c r="R692" s="237"/>
      <c r="S692" s="237"/>
      <c r="T692" s="237"/>
      <c r="U692" s="237"/>
      <c r="V692" s="237"/>
      <c r="W692" s="237"/>
      <c r="X692" s="237"/>
      <c r="Y692" s="237"/>
      <c r="Z692" s="237"/>
      <c r="AA692" s="237"/>
      <c r="AB692" s="237"/>
    </row>
    <row r="693">
      <c r="A693" s="238">
        <v>692.0</v>
      </c>
      <c r="B693" s="239" t="s">
        <v>6428</v>
      </c>
      <c r="C693" s="240" t="s">
        <v>6429</v>
      </c>
      <c r="D693" s="236"/>
      <c r="E693" s="240" t="s">
        <v>3511</v>
      </c>
      <c r="F693" s="240" t="s">
        <v>6430</v>
      </c>
      <c r="G693" s="238" t="s">
        <v>6431</v>
      </c>
      <c r="H693" s="240" t="s">
        <v>6432</v>
      </c>
      <c r="I693" s="236"/>
      <c r="J693" s="238" t="s">
        <v>3545</v>
      </c>
      <c r="K693" s="239" t="s">
        <v>6428</v>
      </c>
      <c r="L693" s="237"/>
      <c r="M693" s="237"/>
      <c r="N693" s="237"/>
      <c r="O693" s="237"/>
      <c r="P693" s="237"/>
      <c r="Q693" s="237"/>
      <c r="R693" s="237"/>
      <c r="S693" s="237"/>
      <c r="T693" s="237"/>
      <c r="U693" s="237"/>
      <c r="V693" s="237"/>
      <c r="W693" s="237"/>
      <c r="X693" s="237"/>
      <c r="Y693" s="237"/>
      <c r="Z693" s="237"/>
      <c r="AA693" s="237"/>
      <c r="AB693" s="237"/>
    </row>
    <row r="694">
      <c r="A694" s="238">
        <v>693.0</v>
      </c>
      <c r="B694" s="239" t="s">
        <v>6433</v>
      </c>
      <c r="C694" s="240" t="s">
        <v>6434</v>
      </c>
      <c r="D694" s="236"/>
      <c r="E694" s="240" t="s">
        <v>3511</v>
      </c>
      <c r="F694" s="240" t="s">
        <v>6435</v>
      </c>
      <c r="G694" s="238" t="s">
        <v>6436</v>
      </c>
      <c r="H694" s="241" t="s">
        <v>6437</v>
      </c>
      <c r="I694" s="236"/>
      <c r="J694" s="238" t="s">
        <v>3545</v>
      </c>
      <c r="K694" s="239" t="s">
        <v>6433</v>
      </c>
      <c r="L694" s="237"/>
      <c r="M694" s="237"/>
      <c r="N694" s="237"/>
      <c r="O694" s="237"/>
      <c r="P694" s="237"/>
      <c r="Q694" s="237"/>
      <c r="R694" s="237"/>
      <c r="S694" s="237"/>
      <c r="T694" s="237"/>
      <c r="U694" s="237"/>
      <c r="V694" s="237"/>
      <c r="W694" s="237"/>
      <c r="X694" s="237"/>
      <c r="Y694" s="237"/>
      <c r="Z694" s="237"/>
      <c r="AA694" s="237"/>
      <c r="AB694" s="237"/>
    </row>
    <row r="695">
      <c r="A695" s="238">
        <v>694.0</v>
      </c>
      <c r="B695" s="239" t="s">
        <v>6438</v>
      </c>
      <c r="C695" s="240" t="s">
        <v>6439</v>
      </c>
      <c r="D695" s="236"/>
      <c r="E695" s="240" t="s">
        <v>3511</v>
      </c>
      <c r="F695" s="240" t="s">
        <v>6440</v>
      </c>
      <c r="G695" s="238" t="s">
        <v>6441</v>
      </c>
      <c r="H695" s="240" t="s">
        <v>6442</v>
      </c>
      <c r="I695" s="236"/>
      <c r="J695" s="238" t="s">
        <v>6441</v>
      </c>
      <c r="K695" s="239" t="s">
        <v>6438</v>
      </c>
      <c r="L695" s="237"/>
      <c r="M695" s="237"/>
      <c r="N695" s="237"/>
      <c r="O695" s="237"/>
      <c r="P695" s="237"/>
      <c r="Q695" s="237"/>
      <c r="R695" s="237"/>
      <c r="S695" s="237"/>
      <c r="T695" s="237"/>
      <c r="U695" s="237"/>
      <c r="V695" s="237"/>
      <c r="W695" s="237"/>
      <c r="X695" s="237"/>
      <c r="Y695" s="237"/>
      <c r="Z695" s="237"/>
      <c r="AA695" s="237"/>
      <c r="AB695" s="237"/>
    </row>
    <row r="696">
      <c r="A696" s="238">
        <v>695.0</v>
      </c>
      <c r="B696" s="242"/>
      <c r="C696" s="240" t="s">
        <v>6443</v>
      </c>
      <c r="D696" s="236"/>
      <c r="E696" s="240" t="s">
        <v>3511</v>
      </c>
      <c r="F696" s="240" t="s">
        <v>6444</v>
      </c>
      <c r="G696" s="238" t="s">
        <v>6445</v>
      </c>
      <c r="H696" s="240" t="s">
        <v>6446</v>
      </c>
      <c r="I696" s="236"/>
      <c r="J696" s="238" t="s">
        <v>3545</v>
      </c>
      <c r="K696" s="242"/>
      <c r="L696" s="237"/>
      <c r="M696" s="237"/>
      <c r="N696" s="237"/>
      <c r="O696" s="237"/>
      <c r="P696" s="237"/>
      <c r="Q696" s="237"/>
      <c r="R696" s="237"/>
      <c r="S696" s="237"/>
      <c r="T696" s="237"/>
      <c r="U696" s="237"/>
      <c r="V696" s="237"/>
      <c r="W696" s="237"/>
      <c r="X696" s="237"/>
      <c r="Y696" s="237"/>
      <c r="Z696" s="237"/>
      <c r="AA696" s="237"/>
      <c r="AB696" s="237"/>
    </row>
    <row r="697">
      <c r="A697" s="238">
        <v>696.0</v>
      </c>
      <c r="B697" s="242"/>
      <c r="C697" s="240" t="s">
        <v>6447</v>
      </c>
      <c r="D697" s="236"/>
      <c r="E697" s="240" t="s">
        <v>3511</v>
      </c>
      <c r="F697" s="240" t="s">
        <v>6448</v>
      </c>
      <c r="G697" s="238" t="s">
        <v>6449</v>
      </c>
      <c r="H697" s="240" t="s">
        <v>6450</v>
      </c>
      <c r="I697" s="236"/>
      <c r="J697" s="238" t="s">
        <v>6272</v>
      </c>
      <c r="K697" s="242"/>
      <c r="L697" s="237"/>
      <c r="M697" s="237"/>
      <c r="N697" s="237"/>
      <c r="O697" s="237"/>
      <c r="P697" s="237"/>
      <c r="Q697" s="237"/>
      <c r="R697" s="237"/>
      <c r="S697" s="237"/>
      <c r="T697" s="237"/>
      <c r="U697" s="237"/>
      <c r="V697" s="237"/>
      <c r="W697" s="237"/>
      <c r="X697" s="237"/>
      <c r="Y697" s="237"/>
      <c r="Z697" s="237"/>
      <c r="AA697" s="237"/>
      <c r="AB697" s="237"/>
    </row>
    <row r="698">
      <c r="A698" s="238">
        <v>697.0</v>
      </c>
      <c r="B698" s="239" t="s">
        <v>6451</v>
      </c>
      <c r="C698" s="240" t="s">
        <v>6452</v>
      </c>
      <c r="D698" s="236"/>
      <c r="E698" s="240" t="s">
        <v>3511</v>
      </c>
      <c r="F698" s="240" t="s">
        <v>6453</v>
      </c>
      <c r="G698" s="238" t="s">
        <v>6454</v>
      </c>
      <c r="H698" s="240" t="s">
        <v>6455</v>
      </c>
      <c r="I698" s="236"/>
      <c r="J698" s="238" t="s">
        <v>3545</v>
      </c>
      <c r="K698" s="239" t="s">
        <v>6451</v>
      </c>
      <c r="L698" s="237"/>
      <c r="M698" s="237"/>
      <c r="N698" s="237"/>
      <c r="O698" s="237"/>
      <c r="P698" s="237"/>
      <c r="Q698" s="237"/>
      <c r="R698" s="237"/>
      <c r="S698" s="237"/>
      <c r="T698" s="237"/>
      <c r="U698" s="237"/>
      <c r="V698" s="237"/>
      <c r="W698" s="237"/>
      <c r="X698" s="237"/>
      <c r="Y698" s="237"/>
      <c r="Z698" s="237"/>
      <c r="AA698" s="237"/>
      <c r="AB698" s="237"/>
    </row>
    <row r="699">
      <c r="A699" s="238">
        <v>698.0</v>
      </c>
      <c r="B699" s="239" t="s">
        <v>6456</v>
      </c>
      <c r="C699" s="240" t="s">
        <v>6457</v>
      </c>
      <c r="D699" s="236"/>
      <c r="E699" s="240" t="s">
        <v>3511</v>
      </c>
      <c r="F699" s="240" t="s">
        <v>6458</v>
      </c>
      <c r="G699" s="238" t="s">
        <v>6459</v>
      </c>
      <c r="H699" s="240" t="s">
        <v>6460</v>
      </c>
      <c r="I699" s="236"/>
      <c r="J699" s="238" t="s">
        <v>3545</v>
      </c>
      <c r="K699" s="239" t="s">
        <v>6456</v>
      </c>
      <c r="L699" s="237"/>
      <c r="M699" s="237"/>
      <c r="N699" s="237"/>
      <c r="O699" s="237"/>
      <c r="P699" s="237"/>
      <c r="Q699" s="237"/>
      <c r="R699" s="237"/>
      <c r="S699" s="237"/>
      <c r="T699" s="237"/>
      <c r="U699" s="237"/>
      <c r="V699" s="237"/>
      <c r="W699" s="237"/>
      <c r="X699" s="237"/>
      <c r="Y699" s="237"/>
      <c r="Z699" s="237"/>
      <c r="AA699" s="237"/>
      <c r="AB699" s="237"/>
    </row>
    <row r="700">
      <c r="A700" s="238">
        <v>699.0</v>
      </c>
      <c r="B700" s="239" t="s">
        <v>6461</v>
      </c>
      <c r="C700" s="240" t="s">
        <v>6462</v>
      </c>
      <c r="D700" s="236"/>
      <c r="E700" s="240" t="s">
        <v>3511</v>
      </c>
      <c r="F700" s="240" t="s">
        <v>6463</v>
      </c>
      <c r="G700" s="238" t="s">
        <v>6464</v>
      </c>
      <c r="H700" s="240" t="s">
        <v>6465</v>
      </c>
      <c r="I700" s="236"/>
      <c r="J700" s="238" t="s">
        <v>3545</v>
      </c>
      <c r="K700" s="239" t="s">
        <v>6461</v>
      </c>
      <c r="L700" s="237"/>
      <c r="M700" s="237"/>
      <c r="N700" s="237"/>
      <c r="O700" s="237"/>
      <c r="P700" s="237"/>
      <c r="Q700" s="237"/>
      <c r="R700" s="237"/>
      <c r="S700" s="237"/>
      <c r="T700" s="237"/>
      <c r="U700" s="237"/>
      <c r="V700" s="237"/>
      <c r="W700" s="237"/>
      <c r="X700" s="237"/>
      <c r="Y700" s="237"/>
      <c r="Z700" s="237"/>
      <c r="AA700" s="237"/>
      <c r="AB700" s="237"/>
    </row>
    <row r="701">
      <c r="A701" s="238">
        <v>700.0</v>
      </c>
      <c r="B701" s="239" t="s">
        <v>6466</v>
      </c>
      <c r="C701" s="240" t="s">
        <v>6467</v>
      </c>
      <c r="D701" s="236"/>
      <c r="E701" s="240" t="s">
        <v>3511</v>
      </c>
      <c r="F701" s="240" t="s">
        <v>6468</v>
      </c>
      <c r="G701" s="238" t="s">
        <v>6469</v>
      </c>
      <c r="H701" s="240" t="s">
        <v>6470</v>
      </c>
      <c r="I701" s="236"/>
      <c r="J701" s="238" t="s">
        <v>3545</v>
      </c>
      <c r="K701" s="239" t="s">
        <v>6466</v>
      </c>
      <c r="L701" s="237"/>
      <c r="M701" s="237"/>
      <c r="N701" s="237"/>
      <c r="O701" s="237"/>
      <c r="P701" s="237"/>
      <c r="Q701" s="237"/>
      <c r="R701" s="237"/>
      <c r="S701" s="237"/>
      <c r="T701" s="237"/>
      <c r="U701" s="237"/>
      <c r="V701" s="237"/>
      <c r="W701" s="237"/>
      <c r="X701" s="237"/>
      <c r="Y701" s="237"/>
      <c r="Z701" s="237"/>
      <c r="AA701" s="237"/>
      <c r="AB701" s="237"/>
    </row>
    <row r="702">
      <c r="A702" s="238">
        <v>701.0</v>
      </c>
      <c r="B702" s="239" t="s">
        <v>6391</v>
      </c>
      <c r="C702" s="240" t="s">
        <v>6471</v>
      </c>
      <c r="D702" s="236"/>
      <c r="E702" s="240" t="s">
        <v>3511</v>
      </c>
      <c r="F702" s="240" t="s">
        <v>6393</v>
      </c>
      <c r="G702" s="238" t="s">
        <v>6394</v>
      </c>
      <c r="H702" s="240" t="s">
        <v>6472</v>
      </c>
      <c r="I702" s="236"/>
      <c r="J702" s="238" t="s">
        <v>3545</v>
      </c>
      <c r="K702" s="239" t="s">
        <v>6391</v>
      </c>
      <c r="L702" s="237"/>
      <c r="M702" s="237"/>
      <c r="N702" s="237"/>
      <c r="O702" s="237"/>
      <c r="P702" s="237"/>
      <c r="Q702" s="237"/>
      <c r="R702" s="237"/>
      <c r="S702" s="237"/>
      <c r="T702" s="237"/>
      <c r="U702" s="237"/>
      <c r="V702" s="237"/>
      <c r="W702" s="237"/>
      <c r="X702" s="237"/>
      <c r="Y702" s="237"/>
      <c r="Z702" s="237"/>
      <c r="AA702" s="237"/>
      <c r="AB702" s="237"/>
    </row>
    <row r="703">
      <c r="A703" s="238">
        <v>702.0</v>
      </c>
      <c r="B703" s="239" t="s">
        <v>6395</v>
      </c>
      <c r="C703" s="240" t="s">
        <v>6473</v>
      </c>
      <c r="D703" s="236"/>
      <c r="E703" s="240" t="s">
        <v>3511</v>
      </c>
      <c r="F703" s="240" t="s">
        <v>6397</v>
      </c>
      <c r="G703" s="238" t="s">
        <v>6398</v>
      </c>
      <c r="H703" s="240" t="s">
        <v>6474</v>
      </c>
      <c r="I703" s="236"/>
      <c r="J703" s="238" t="s">
        <v>3545</v>
      </c>
      <c r="K703" s="239" t="s">
        <v>6395</v>
      </c>
      <c r="L703" s="237"/>
      <c r="M703" s="237"/>
      <c r="N703" s="237"/>
      <c r="O703" s="237"/>
      <c r="P703" s="237"/>
      <c r="Q703" s="237"/>
      <c r="R703" s="237"/>
      <c r="S703" s="237"/>
      <c r="T703" s="237"/>
      <c r="U703" s="237"/>
      <c r="V703" s="237"/>
      <c r="W703" s="237"/>
      <c r="X703" s="237"/>
      <c r="Y703" s="237"/>
      <c r="Z703" s="237"/>
      <c r="AA703" s="237"/>
      <c r="AB703" s="237"/>
    </row>
    <row r="704">
      <c r="A704" s="238">
        <v>703.0</v>
      </c>
      <c r="B704" s="239" t="s">
        <v>6399</v>
      </c>
      <c r="C704" s="240" t="s">
        <v>6475</v>
      </c>
      <c r="D704" s="236"/>
      <c r="E704" s="240" t="s">
        <v>3511</v>
      </c>
      <c r="F704" s="240" t="s">
        <v>6401</v>
      </c>
      <c r="G704" s="238" t="s">
        <v>6402</v>
      </c>
      <c r="H704" s="240" t="s">
        <v>6476</v>
      </c>
      <c r="I704" s="236"/>
      <c r="J704" s="238" t="s">
        <v>3545</v>
      </c>
      <c r="K704" s="239" t="s">
        <v>6399</v>
      </c>
      <c r="L704" s="237"/>
      <c r="M704" s="237"/>
      <c r="N704" s="237"/>
      <c r="O704" s="237"/>
      <c r="P704" s="237"/>
      <c r="Q704" s="237"/>
      <c r="R704" s="237"/>
      <c r="S704" s="237"/>
      <c r="T704" s="237"/>
      <c r="U704" s="237"/>
      <c r="V704" s="237"/>
      <c r="W704" s="237"/>
      <c r="X704" s="237"/>
      <c r="Y704" s="237"/>
      <c r="Z704" s="237"/>
      <c r="AA704" s="237"/>
      <c r="AB704" s="237"/>
    </row>
    <row r="705">
      <c r="A705" s="238">
        <v>704.0</v>
      </c>
      <c r="B705" s="239" t="s">
        <v>6477</v>
      </c>
      <c r="C705" s="240" t="s">
        <v>6478</v>
      </c>
      <c r="D705" s="236"/>
      <c r="E705" s="240" t="s">
        <v>3511</v>
      </c>
      <c r="F705" s="240" t="s">
        <v>6479</v>
      </c>
      <c r="G705" s="238" t="s">
        <v>6480</v>
      </c>
      <c r="H705" s="240" t="s">
        <v>6481</v>
      </c>
      <c r="I705" s="236"/>
      <c r="J705" s="238" t="s">
        <v>6480</v>
      </c>
      <c r="K705" s="239" t="s">
        <v>6477</v>
      </c>
      <c r="L705" s="237"/>
      <c r="M705" s="237"/>
      <c r="N705" s="237"/>
      <c r="O705" s="237"/>
      <c r="P705" s="237"/>
      <c r="Q705" s="237"/>
      <c r="R705" s="237"/>
      <c r="S705" s="237"/>
      <c r="T705" s="237"/>
      <c r="U705" s="237"/>
      <c r="V705" s="237"/>
      <c r="W705" s="237"/>
      <c r="X705" s="237"/>
      <c r="Y705" s="237"/>
      <c r="Z705" s="237"/>
      <c r="AA705" s="237"/>
      <c r="AB705" s="237"/>
    </row>
    <row r="706">
      <c r="A706" s="238">
        <v>705.0</v>
      </c>
      <c r="B706" s="239" t="s">
        <v>6482</v>
      </c>
      <c r="C706" s="240" t="s">
        <v>6483</v>
      </c>
      <c r="D706" s="236"/>
      <c r="E706" s="240" t="s">
        <v>3511</v>
      </c>
      <c r="F706" s="240" t="s">
        <v>6484</v>
      </c>
      <c r="G706" s="238" t="s">
        <v>6485</v>
      </c>
      <c r="H706" s="240" t="s">
        <v>6486</v>
      </c>
      <c r="I706" s="236"/>
      <c r="J706" s="238" t="s">
        <v>3839</v>
      </c>
      <c r="K706" s="239" t="s">
        <v>6482</v>
      </c>
      <c r="L706" s="237"/>
      <c r="M706" s="237"/>
      <c r="N706" s="237"/>
      <c r="O706" s="237"/>
      <c r="P706" s="237"/>
      <c r="Q706" s="237"/>
      <c r="R706" s="237"/>
      <c r="S706" s="237"/>
      <c r="T706" s="237"/>
      <c r="U706" s="237"/>
      <c r="V706" s="237"/>
      <c r="W706" s="237"/>
      <c r="X706" s="237"/>
      <c r="Y706" s="237"/>
      <c r="Z706" s="237"/>
      <c r="AA706" s="237"/>
      <c r="AB706" s="237"/>
    </row>
    <row r="707">
      <c r="A707" s="238">
        <v>706.0</v>
      </c>
      <c r="B707" s="239" t="s">
        <v>6487</v>
      </c>
      <c r="C707" s="240" t="s">
        <v>6488</v>
      </c>
      <c r="D707" s="236"/>
      <c r="E707" s="240" t="s">
        <v>3511</v>
      </c>
      <c r="F707" s="240" t="s">
        <v>6489</v>
      </c>
      <c r="G707" s="238" t="s">
        <v>6490</v>
      </c>
      <c r="H707" s="240" t="s">
        <v>6491</v>
      </c>
      <c r="I707" s="236"/>
      <c r="J707" s="238" t="s">
        <v>6272</v>
      </c>
      <c r="K707" s="239" t="s">
        <v>6487</v>
      </c>
      <c r="L707" s="237"/>
      <c r="M707" s="237"/>
      <c r="N707" s="237"/>
      <c r="O707" s="237"/>
      <c r="P707" s="237"/>
      <c r="Q707" s="237"/>
      <c r="R707" s="237"/>
      <c r="S707" s="237"/>
      <c r="T707" s="237"/>
      <c r="U707" s="237"/>
      <c r="V707" s="237"/>
      <c r="W707" s="237"/>
      <c r="X707" s="237"/>
      <c r="Y707" s="237"/>
      <c r="Z707" s="237"/>
      <c r="AA707" s="237"/>
      <c r="AB707" s="237"/>
    </row>
    <row r="708">
      <c r="A708" s="238">
        <v>707.0</v>
      </c>
      <c r="B708" s="239" t="s">
        <v>6492</v>
      </c>
      <c r="C708" s="240" t="s">
        <v>6493</v>
      </c>
      <c r="D708" s="236"/>
      <c r="E708" s="240" t="s">
        <v>3511</v>
      </c>
      <c r="F708" s="240" t="s">
        <v>6494</v>
      </c>
      <c r="G708" s="238" t="s">
        <v>6495</v>
      </c>
      <c r="H708" s="240" t="s">
        <v>6496</v>
      </c>
      <c r="I708" s="236"/>
      <c r="J708" s="238" t="s">
        <v>3839</v>
      </c>
      <c r="K708" s="239" t="s">
        <v>6492</v>
      </c>
      <c r="L708" s="237"/>
      <c r="M708" s="237"/>
      <c r="N708" s="237"/>
      <c r="O708" s="237"/>
      <c r="P708" s="237"/>
      <c r="Q708" s="237"/>
      <c r="R708" s="237"/>
      <c r="S708" s="237"/>
      <c r="T708" s="237"/>
      <c r="U708" s="237"/>
      <c r="V708" s="237"/>
      <c r="W708" s="237"/>
      <c r="X708" s="237"/>
      <c r="Y708" s="237"/>
      <c r="Z708" s="237"/>
      <c r="AA708" s="237"/>
      <c r="AB708" s="237"/>
    </row>
    <row r="709">
      <c r="A709" s="238">
        <v>708.0</v>
      </c>
      <c r="B709" s="239" t="s">
        <v>6497</v>
      </c>
      <c r="C709" s="240" t="s">
        <v>6498</v>
      </c>
      <c r="D709" s="236"/>
      <c r="E709" s="240" t="s">
        <v>3511</v>
      </c>
      <c r="F709" s="240" t="s">
        <v>6499</v>
      </c>
      <c r="G709" s="238" t="s">
        <v>6500</v>
      </c>
      <c r="H709" s="240" t="s">
        <v>6501</v>
      </c>
      <c r="I709" s="236"/>
      <c r="J709" s="238" t="s">
        <v>3839</v>
      </c>
      <c r="K709" s="239" t="s">
        <v>6497</v>
      </c>
      <c r="L709" s="237"/>
      <c r="M709" s="237"/>
      <c r="N709" s="237"/>
      <c r="O709" s="237"/>
      <c r="P709" s="237"/>
      <c r="Q709" s="237"/>
      <c r="R709" s="237"/>
      <c r="S709" s="237"/>
      <c r="T709" s="237"/>
      <c r="U709" s="237"/>
      <c r="V709" s="237"/>
      <c r="W709" s="237"/>
      <c r="X709" s="237"/>
      <c r="Y709" s="237"/>
      <c r="Z709" s="237"/>
      <c r="AA709" s="237"/>
      <c r="AB709" s="237"/>
    </row>
    <row r="710">
      <c r="A710" s="238">
        <v>709.0</v>
      </c>
      <c r="B710" s="239" t="s">
        <v>6502</v>
      </c>
      <c r="C710" s="240" t="s">
        <v>6503</v>
      </c>
      <c r="D710" s="236"/>
      <c r="E710" s="240" t="s">
        <v>3511</v>
      </c>
      <c r="F710" s="240" t="s">
        <v>6504</v>
      </c>
      <c r="G710" s="238" t="s">
        <v>6505</v>
      </c>
      <c r="H710" s="240" t="s">
        <v>6506</v>
      </c>
      <c r="I710" s="236"/>
      <c r="J710" s="238" t="s">
        <v>3839</v>
      </c>
      <c r="K710" s="239" t="s">
        <v>6502</v>
      </c>
      <c r="L710" s="237"/>
      <c r="M710" s="237"/>
      <c r="N710" s="237"/>
      <c r="O710" s="237"/>
      <c r="P710" s="237"/>
      <c r="Q710" s="237"/>
      <c r="R710" s="237"/>
      <c r="S710" s="237"/>
      <c r="T710" s="237"/>
      <c r="U710" s="237"/>
      <c r="V710" s="237"/>
      <c r="W710" s="237"/>
      <c r="X710" s="237"/>
      <c r="Y710" s="237"/>
      <c r="Z710" s="237"/>
      <c r="AA710" s="237"/>
      <c r="AB710" s="237"/>
    </row>
    <row r="711">
      <c r="A711" s="238">
        <v>710.0</v>
      </c>
      <c r="B711" s="239" t="s">
        <v>6507</v>
      </c>
      <c r="C711" s="240" t="s">
        <v>6508</v>
      </c>
      <c r="D711" s="236"/>
      <c r="E711" s="240" t="s">
        <v>3511</v>
      </c>
      <c r="F711" s="240" t="s">
        <v>6509</v>
      </c>
      <c r="G711" s="238" t="s">
        <v>6510</v>
      </c>
      <c r="H711" s="240" t="s">
        <v>6511</v>
      </c>
      <c r="I711" s="236"/>
      <c r="J711" s="238" t="s">
        <v>3839</v>
      </c>
      <c r="K711" s="239" t="s">
        <v>6507</v>
      </c>
      <c r="L711" s="237"/>
      <c r="M711" s="237"/>
      <c r="N711" s="237"/>
      <c r="O711" s="237"/>
      <c r="P711" s="237"/>
      <c r="Q711" s="237"/>
      <c r="R711" s="237"/>
      <c r="S711" s="237"/>
      <c r="T711" s="237"/>
      <c r="U711" s="237"/>
      <c r="V711" s="237"/>
      <c r="W711" s="237"/>
      <c r="X711" s="237"/>
      <c r="Y711" s="237"/>
      <c r="Z711" s="237"/>
      <c r="AA711" s="237"/>
      <c r="AB711" s="237"/>
    </row>
    <row r="712">
      <c r="A712" s="238">
        <v>711.0</v>
      </c>
      <c r="B712" s="239" t="s">
        <v>6512</v>
      </c>
      <c r="C712" s="240" t="s">
        <v>6513</v>
      </c>
      <c r="D712" s="236"/>
      <c r="E712" s="240" t="s">
        <v>3511</v>
      </c>
      <c r="F712" s="240" t="s">
        <v>6514</v>
      </c>
      <c r="G712" s="238" t="s">
        <v>6515</v>
      </c>
      <c r="H712" s="240" t="s">
        <v>6516</v>
      </c>
      <c r="I712" s="236"/>
      <c r="J712" s="238" t="s">
        <v>3839</v>
      </c>
      <c r="K712" s="239" t="s">
        <v>6512</v>
      </c>
      <c r="L712" s="237"/>
      <c r="M712" s="237"/>
      <c r="N712" s="237"/>
      <c r="O712" s="237"/>
      <c r="P712" s="237"/>
      <c r="Q712" s="237"/>
      <c r="R712" s="237"/>
      <c r="S712" s="237"/>
      <c r="T712" s="237"/>
      <c r="U712" s="237"/>
      <c r="V712" s="237"/>
      <c r="W712" s="237"/>
      <c r="X712" s="237"/>
      <c r="Y712" s="237"/>
      <c r="Z712" s="237"/>
      <c r="AA712" s="237"/>
      <c r="AB712" s="237"/>
    </row>
    <row r="713">
      <c r="A713" s="238">
        <v>712.0</v>
      </c>
      <c r="B713" s="239" t="s">
        <v>6517</v>
      </c>
      <c r="C713" s="240" t="s">
        <v>6518</v>
      </c>
      <c r="D713" s="236"/>
      <c r="E713" s="240" t="s">
        <v>3511</v>
      </c>
      <c r="F713" s="240" t="s">
        <v>6519</v>
      </c>
      <c r="G713" s="238" t="s">
        <v>6520</v>
      </c>
      <c r="H713" s="240" t="s">
        <v>6521</v>
      </c>
      <c r="I713" s="236"/>
      <c r="J713" s="238" t="s">
        <v>3839</v>
      </c>
      <c r="K713" s="239" t="s">
        <v>6517</v>
      </c>
      <c r="L713" s="237"/>
      <c r="M713" s="237"/>
      <c r="N713" s="237"/>
      <c r="O713" s="237"/>
      <c r="P713" s="237"/>
      <c r="Q713" s="237"/>
      <c r="R713" s="237"/>
      <c r="S713" s="237"/>
      <c r="T713" s="237"/>
      <c r="U713" s="237"/>
      <c r="V713" s="237"/>
      <c r="W713" s="237"/>
      <c r="X713" s="237"/>
      <c r="Y713" s="237"/>
      <c r="Z713" s="237"/>
      <c r="AA713" s="237"/>
      <c r="AB713" s="237"/>
    </row>
    <row r="714">
      <c r="A714" s="238">
        <v>713.0</v>
      </c>
      <c r="B714" s="239" t="s">
        <v>6522</v>
      </c>
      <c r="C714" s="240" t="s">
        <v>6523</v>
      </c>
      <c r="D714" s="236"/>
      <c r="E714" s="240" t="s">
        <v>3511</v>
      </c>
      <c r="F714" s="240" t="s">
        <v>6524</v>
      </c>
      <c r="G714" s="238" t="s">
        <v>6525</v>
      </c>
      <c r="H714" s="240" t="s">
        <v>6526</v>
      </c>
      <c r="I714" s="236"/>
      <c r="J714" s="238" t="s">
        <v>3839</v>
      </c>
      <c r="K714" s="239" t="s">
        <v>6522</v>
      </c>
      <c r="L714" s="237"/>
      <c r="M714" s="237"/>
      <c r="N714" s="237"/>
      <c r="O714" s="237"/>
      <c r="P714" s="237"/>
      <c r="Q714" s="237"/>
      <c r="R714" s="237"/>
      <c r="S714" s="237"/>
      <c r="T714" s="237"/>
      <c r="U714" s="237"/>
      <c r="V714" s="237"/>
      <c r="W714" s="237"/>
      <c r="X714" s="237"/>
      <c r="Y714" s="237"/>
      <c r="Z714" s="237"/>
      <c r="AA714" s="237"/>
      <c r="AB714" s="237"/>
    </row>
    <row r="715">
      <c r="A715" s="238">
        <v>714.0</v>
      </c>
      <c r="B715" s="239" t="s">
        <v>6527</v>
      </c>
      <c r="C715" s="240" t="s">
        <v>6528</v>
      </c>
      <c r="D715" s="236"/>
      <c r="E715" s="240" t="s">
        <v>3511</v>
      </c>
      <c r="F715" s="240" t="s">
        <v>6529</v>
      </c>
      <c r="G715" s="238" t="s">
        <v>6530</v>
      </c>
      <c r="H715" s="240" t="s">
        <v>6531</v>
      </c>
      <c r="I715" s="236"/>
      <c r="J715" s="238" t="s">
        <v>6530</v>
      </c>
      <c r="K715" s="239" t="s">
        <v>6527</v>
      </c>
      <c r="L715" s="237"/>
      <c r="M715" s="237"/>
      <c r="N715" s="237"/>
      <c r="O715" s="237"/>
      <c r="P715" s="237"/>
      <c r="Q715" s="237"/>
      <c r="R715" s="237"/>
      <c r="S715" s="237"/>
      <c r="T715" s="237"/>
      <c r="U715" s="237"/>
      <c r="V715" s="237"/>
      <c r="W715" s="237"/>
      <c r="X715" s="237"/>
      <c r="Y715" s="237"/>
      <c r="Z715" s="237"/>
      <c r="AA715" s="237"/>
      <c r="AB715" s="237"/>
    </row>
    <row r="716">
      <c r="A716" s="238">
        <v>715.0</v>
      </c>
      <c r="B716" s="239" t="s">
        <v>6532</v>
      </c>
      <c r="C716" s="240" t="s">
        <v>6533</v>
      </c>
      <c r="D716" s="236"/>
      <c r="E716" s="240" t="s">
        <v>3511</v>
      </c>
      <c r="F716" s="240" t="s">
        <v>6534</v>
      </c>
      <c r="G716" s="238" t="s">
        <v>6535</v>
      </c>
      <c r="H716" s="240" t="s">
        <v>6536</v>
      </c>
      <c r="I716" s="236"/>
      <c r="J716" s="238" t="s">
        <v>3839</v>
      </c>
      <c r="K716" s="239" t="s">
        <v>6532</v>
      </c>
      <c r="L716" s="237"/>
      <c r="M716" s="237"/>
      <c r="N716" s="237"/>
      <c r="O716" s="237"/>
      <c r="P716" s="237"/>
      <c r="Q716" s="237"/>
      <c r="R716" s="237"/>
      <c r="S716" s="237"/>
      <c r="T716" s="237"/>
      <c r="U716" s="237"/>
      <c r="V716" s="237"/>
      <c r="W716" s="237"/>
      <c r="X716" s="237"/>
      <c r="Y716" s="237"/>
      <c r="Z716" s="237"/>
      <c r="AA716" s="237"/>
      <c r="AB716" s="237"/>
    </row>
    <row r="717">
      <c r="A717" s="238">
        <v>716.0</v>
      </c>
      <c r="B717" s="239" t="s">
        <v>6537</v>
      </c>
      <c r="C717" s="240" t="s">
        <v>6538</v>
      </c>
      <c r="D717" s="236"/>
      <c r="E717" s="240" t="s">
        <v>3511</v>
      </c>
      <c r="F717" s="240" t="s">
        <v>6539</v>
      </c>
      <c r="G717" s="238" t="s">
        <v>6540</v>
      </c>
      <c r="H717" s="240" t="s">
        <v>6541</v>
      </c>
      <c r="I717" s="236"/>
      <c r="J717" s="238" t="s">
        <v>6272</v>
      </c>
      <c r="K717" s="239" t="s">
        <v>6537</v>
      </c>
      <c r="L717" s="237"/>
      <c r="M717" s="237"/>
      <c r="N717" s="237"/>
      <c r="O717" s="237"/>
      <c r="P717" s="237"/>
      <c r="Q717" s="237"/>
      <c r="R717" s="237"/>
      <c r="S717" s="237"/>
      <c r="T717" s="237"/>
      <c r="U717" s="237"/>
      <c r="V717" s="237"/>
      <c r="W717" s="237"/>
      <c r="X717" s="237"/>
      <c r="Y717" s="237"/>
      <c r="Z717" s="237"/>
      <c r="AA717" s="237"/>
      <c r="AB717" s="237"/>
    </row>
    <row r="718">
      <c r="A718" s="238">
        <v>717.0</v>
      </c>
      <c r="B718" s="239" t="s">
        <v>6542</v>
      </c>
      <c r="C718" s="240" t="s">
        <v>6543</v>
      </c>
      <c r="D718" s="236"/>
      <c r="E718" s="240" t="s">
        <v>3511</v>
      </c>
      <c r="F718" s="240" t="s">
        <v>6544</v>
      </c>
      <c r="G718" s="238" t="s">
        <v>6545</v>
      </c>
      <c r="H718" s="241" t="s">
        <v>6546</v>
      </c>
      <c r="I718" s="236"/>
      <c r="J718" s="238" t="s">
        <v>3545</v>
      </c>
      <c r="K718" s="239" t="s">
        <v>6542</v>
      </c>
      <c r="L718" s="237"/>
      <c r="M718" s="237"/>
      <c r="N718" s="237"/>
      <c r="O718" s="237"/>
      <c r="P718" s="237"/>
      <c r="Q718" s="237"/>
      <c r="R718" s="237"/>
      <c r="S718" s="237"/>
      <c r="T718" s="237"/>
      <c r="U718" s="237"/>
      <c r="V718" s="237"/>
      <c r="W718" s="237"/>
      <c r="X718" s="237"/>
      <c r="Y718" s="237"/>
      <c r="Z718" s="237"/>
      <c r="AA718" s="237"/>
      <c r="AB718" s="237"/>
    </row>
    <row r="719">
      <c r="A719" s="238">
        <v>718.0</v>
      </c>
      <c r="B719" s="239" t="s">
        <v>6547</v>
      </c>
      <c r="C719" s="240" t="s">
        <v>6548</v>
      </c>
      <c r="D719" s="236"/>
      <c r="E719" s="240" t="s">
        <v>3511</v>
      </c>
      <c r="F719" s="240" t="s">
        <v>6549</v>
      </c>
      <c r="G719" s="238" t="s">
        <v>6550</v>
      </c>
      <c r="H719" s="240" t="s">
        <v>6551</v>
      </c>
      <c r="I719" s="236"/>
      <c r="J719" s="238" t="s">
        <v>3545</v>
      </c>
      <c r="K719" s="239" t="s">
        <v>6547</v>
      </c>
      <c r="L719" s="237"/>
      <c r="M719" s="237"/>
      <c r="N719" s="237"/>
      <c r="O719" s="237"/>
      <c r="P719" s="237"/>
      <c r="Q719" s="237"/>
      <c r="R719" s="237"/>
      <c r="S719" s="237"/>
      <c r="T719" s="237"/>
      <c r="U719" s="237"/>
      <c r="V719" s="237"/>
      <c r="W719" s="237"/>
      <c r="X719" s="237"/>
      <c r="Y719" s="237"/>
      <c r="Z719" s="237"/>
      <c r="AA719" s="237"/>
      <c r="AB719" s="237"/>
    </row>
    <row r="720">
      <c r="A720" s="238">
        <v>719.0</v>
      </c>
      <c r="B720" s="239" t="s">
        <v>6552</v>
      </c>
      <c r="C720" s="240" t="s">
        <v>6553</v>
      </c>
      <c r="D720" s="236"/>
      <c r="E720" s="240" t="s">
        <v>3511</v>
      </c>
      <c r="F720" s="240" t="s">
        <v>6554</v>
      </c>
      <c r="G720" s="238" t="s">
        <v>6555</v>
      </c>
      <c r="H720" s="240" t="s">
        <v>6556</v>
      </c>
      <c r="I720" s="236"/>
      <c r="J720" s="238" t="s">
        <v>4542</v>
      </c>
      <c r="K720" s="239" t="s">
        <v>6552</v>
      </c>
      <c r="L720" s="237"/>
      <c r="M720" s="237"/>
      <c r="N720" s="237"/>
      <c r="O720" s="237"/>
      <c r="P720" s="237"/>
      <c r="Q720" s="237"/>
      <c r="R720" s="237"/>
      <c r="S720" s="237"/>
      <c r="T720" s="237"/>
      <c r="U720" s="237"/>
      <c r="V720" s="237"/>
      <c r="W720" s="237"/>
      <c r="X720" s="237"/>
      <c r="Y720" s="237"/>
      <c r="Z720" s="237"/>
      <c r="AA720" s="237"/>
      <c r="AB720" s="237"/>
    </row>
    <row r="721">
      <c r="A721" s="238">
        <v>720.0</v>
      </c>
      <c r="B721" s="239" t="s">
        <v>6557</v>
      </c>
      <c r="C721" s="240" t="s">
        <v>6558</v>
      </c>
      <c r="D721" s="236"/>
      <c r="E721" s="240" t="s">
        <v>3511</v>
      </c>
      <c r="F721" s="240" t="s">
        <v>6559</v>
      </c>
      <c r="G721" s="238" t="s">
        <v>6560</v>
      </c>
      <c r="H721" s="240" t="s">
        <v>6561</v>
      </c>
      <c r="I721" s="236"/>
      <c r="J721" s="238" t="s">
        <v>4542</v>
      </c>
      <c r="K721" s="239" t="s">
        <v>6557</v>
      </c>
      <c r="L721" s="237"/>
      <c r="M721" s="237"/>
      <c r="N721" s="237"/>
      <c r="O721" s="237"/>
      <c r="P721" s="237"/>
      <c r="Q721" s="237"/>
      <c r="R721" s="237"/>
      <c r="S721" s="237"/>
      <c r="T721" s="237"/>
      <c r="U721" s="237"/>
      <c r="V721" s="237"/>
      <c r="W721" s="237"/>
      <c r="X721" s="237"/>
      <c r="Y721" s="237"/>
      <c r="Z721" s="237"/>
      <c r="AA721" s="237"/>
      <c r="AB721" s="237"/>
    </row>
    <row r="722">
      <c r="A722" s="238">
        <v>721.0</v>
      </c>
      <c r="B722" s="239" t="s">
        <v>5423</v>
      </c>
      <c r="C722" s="240" t="s">
        <v>6562</v>
      </c>
      <c r="D722" s="236"/>
      <c r="E722" s="240" t="s">
        <v>3511</v>
      </c>
      <c r="F722" s="240" t="s">
        <v>5425</v>
      </c>
      <c r="G722" s="238" t="s">
        <v>5426</v>
      </c>
      <c r="H722" s="240" t="s">
        <v>6563</v>
      </c>
      <c r="I722" s="236"/>
      <c r="J722" s="238" t="s">
        <v>4542</v>
      </c>
      <c r="K722" s="239" t="s">
        <v>5423</v>
      </c>
      <c r="L722" s="237"/>
      <c r="M722" s="237"/>
      <c r="N722" s="237"/>
      <c r="O722" s="237"/>
      <c r="P722" s="237"/>
      <c r="Q722" s="237"/>
      <c r="R722" s="237"/>
      <c r="S722" s="237"/>
      <c r="T722" s="237"/>
      <c r="U722" s="237"/>
      <c r="V722" s="237"/>
      <c r="W722" s="237"/>
      <c r="X722" s="237"/>
      <c r="Y722" s="237"/>
      <c r="Z722" s="237"/>
      <c r="AA722" s="237"/>
      <c r="AB722" s="237"/>
    </row>
    <row r="723">
      <c r="A723" s="238">
        <v>722.0</v>
      </c>
      <c r="B723" s="239" t="s">
        <v>5427</v>
      </c>
      <c r="C723" s="240" t="s">
        <v>6564</v>
      </c>
      <c r="D723" s="236"/>
      <c r="E723" s="240" t="s">
        <v>3511</v>
      </c>
      <c r="F723" s="240" t="s">
        <v>5429</v>
      </c>
      <c r="G723" s="238" t="s">
        <v>6565</v>
      </c>
      <c r="H723" s="240" t="s">
        <v>6566</v>
      </c>
      <c r="I723" s="236"/>
      <c r="J723" s="238" t="s">
        <v>4542</v>
      </c>
      <c r="K723" s="239" t="s">
        <v>5427</v>
      </c>
      <c r="L723" s="237"/>
      <c r="M723" s="237"/>
      <c r="N723" s="237"/>
      <c r="O723" s="237"/>
      <c r="P723" s="237"/>
      <c r="Q723" s="237"/>
      <c r="R723" s="237"/>
      <c r="S723" s="237"/>
      <c r="T723" s="237"/>
      <c r="U723" s="237"/>
      <c r="V723" s="237"/>
      <c r="W723" s="237"/>
      <c r="X723" s="237"/>
      <c r="Y723" s="237"/>
      <c r="Z723" s="237"/>
      <c r="AA723" s="237"/>
      <c r="AB723" s="237"/>
    </row>
    <row r="724">
      <c r="A724" s="238">
        <v>723.0</v>
      </c>
      <c r="B724" s="239" t="s">
        <v>6567</v>
      </c>
      <c r="C724" s="240" t="s">
        <v>6568</v>
      </c>
      <c r="D724" s="236"/>
      <c r="E724" s="240" t="s">
        <v>3511</v>
      </c>
      <c r="F724" s="240" t="s">
        <v>6569</v>
      </c>
      <c r="G724" s="238" t="s">
        <v>6570</v>
      </c>
      <c r="H724" s="240" t="s">
        <v>6571</v>
      </c>
      <c r="I724" s="236"/>
      <c r="J724" s="238" t="s">
        <v>3499</v>
      </c>
      <c r="K724" s="239" t="s">
        <v>6567</v>
      </c>
      <c r="L724" s="237"/>
      <c r="M724" s="237"/>
      <c r="N724" s="237"/>
      <c r="O724" s="237"/>
      <c r="P724" s="237"/>
      <c r="Q724" s="237"/>
      <c r="R724" s="237"/>
      <c r="S724" s="237"/>
      <c r="T724" s="237"/>
      <c r="U724" s="237"/>
      <c r="V724" s="237"/>
      <c r="W724" s="237"/>
      <c r="X724" s="237"/>
      <c r="Y724" s="237"/>
      <c r="Z724" s="237"/>
      <c r="AA724" s="237"/>
      <c r="AB724" s="237"/>
    </row>
    <row r="725">
      <c r="A725" s="238">
        <v>724.0</v>
      </c>
      <c r="B725" s="239" t="s">
        <v>6572</v>
      </c>
      <c r="C725" s="240" t="s">
        <v>6573</v>
      </c>
      <c r="D725" s="236"/>
      <c r="E725" s="240" t="s">
        <v>3511</v>
      </c>
      <c r="F725" s="240" t="s">
        <v>6574</v>
      </c>
      <c r="G725" s="238" t="s">
        <v>6575</v>
      </c>
      <c r="H725" s="240" t="s">
        <v>6576</v>
      </c>
      <c r="I725" s="236"/>
      <c r="J725" s="238" t="s">
        <v>6575</v>
      </c>
      <c r="K725" s="239" t="s">
        <v>6572</v>
      </c>
      <c r="L725" s="237"/>
      <c r="M725" s="237"/>
      <c r="N725" s="237"/>
      <c r="O725" s="237"/>
      <c r="P725" s="237"/>
      <c r="Q725" s="237"/>
      <c r="R725" s="237"/>
      <c r="S725" s="237"/>
      <c r="T725" s="237"/>
      <c r="U725" s="237"/>
      <c r="V725" s="237"/>
      <c r="W725" s="237"/>
      <c r="X725" s="237"/>
      <c r="Y725" s="237"/>
      <c r="Z725" s="237"/>
      <c r="AA725" s="237"/>
      <c r="AB725" s="237"/>
    </row>
    <row r="726">
      <c r="A726" s="238">
        <v>725.0</v>
      </c>
      <c r="B726" s="239" t="s">
        <v>6577</v>
      </c>
      <c r="C726" s="240" t="s">
        <v>6578</v>
      </c>
      <c r="D726" s="236"/>
      <c r="E726" s="240" t="s">
        <v>3511</v>
      </c>
      <c r="F726" s="240" t="s">
        <v>6579</v>
      </c>
      <c r="G726" s="238" t="s">
        <v>6580</v>
      </c>
      <c r="H726" s="240" t="s">
        <v>6581</v>
      </c>
      <c r="I726" s="236"/>
      <c r="J726" s="238" t="s">
        <v>5366</v>
      </c>
      <c r="K726" s="239" t="s">
        <v>6577</v>
      </c>
      <c r="L726" s="237"/>
      <c r="M726" s="237"/>
      <c r="N726" s="237"/>
      <c r="O726" s="237"/>
      <c r="P726" s="237"/>
      <c r="Q726" s="237"/>
      <c r="R726" s="237"/>
      <c r="S726" s="237"/>
      <c r="T726" s="237"/>
      <c r="U726" s="237"/>
      <c r="V726" s="237"/>
      <c r="W726" s="237"/>
      <c r="X726" s="237"/>
      <c r="Y726" s="237"/>
      <c r="Z726" s="237"/>
      <c r="AA726" s="237"/>
      <c r="AB726" s="237"/>
    </row>
    <row r="727">
      <c r="A727" s="238">
        <v>726.0</v>
      </c>
      <c r="B727" s="239" t="s">
        <v>6582</v>
      </c>
      <c r="C727" s="240" t="s">
        <v>6583</v>
      </c>
      <c r="D727" s="236"/>
      <c r="E727" s="240" t="s">
        <v>3511</v>
      </c>
      <c r="F727" s="240" t="s">
        <v>6584</v>
      </c>
      <c r="G727" s="238" t="s">
        <v>6585</v>
      </c>
      <c r="H727" s="240" t="s">
        <v>6586</v>
      </c>
      <c r="I727" s="236"/>
      <c r="J727" s="238" t="s">
        <v>6272</v>
      </c>
      <c r="K727" s="239" t="s">
        <v>6582</v>
      </c>
      <c r="L727" s="237"/>
      <c r="M727" s="237"/>
      <c r="N727" s="237"/>
      <c r="O727" s="237"/>
      <c r="P727" s="237"/>
      <c r="Q727" s="237"/>
      <c r="R727" s="237"/>
      <c r="S727" s="237"/>
      <c r="T727" s="237"/>
      <c r="U727" s="237"/>
      <c r="V727" s="237"/>
      <c r="W727" s="237"/>
      <c r="X727" s="237"/>
      <c r="Y727" s="237"/>
      <c r="Z727" s="237"/>
      <c r="AA727" s="237"/>
      <c r="AB727" s="237"/>
    </row>
    <row r="728">
      <c r="A728" s="238">
        <v>727.0</v>
      </c>
      <c r="B728" s="239" t="s">
        <v>5367</v>
      </c>
      <c r="C728" s="240" t="s">
        <v>6587</v>
      </c>
      <c r="D728" s="236"/>
      <c r="E728" s="240" t="s">
        <v>3511</v>
      </c>
      <c r="F728" s="240" t="s">
        <v>5369</v>
      </c>
      <c r="G728" s="238" t="s">
        <v>6588</v>
      </c>
      <c r="H728" s="240" t="s">
        <v>6589</v>
      </c>
      <c r="I728" s="236"/>
      <c r="J728" s="238" t="s">
        <v>5366</v>
      </c>
      <c r="K728" s="239" t="s">
        <v>5367</v>
      </c>
      <c r="L728" s="237"/>
      <c r="M728" s="237"/>
      <c r="N728" s="237"/>
      <c r="O728" s="237"/>
      <c r="P728" s="237"/>
      <c r="Q728" s="237"/>
      <c r="R728" s="237"/>
      <c r="S728" s="237"/>
      <c r="T728" s="237"/>
      <c r="U728" s="237"/>
      <c r="V728" s="237"/>
      <c r="W728" s="237"/>
      <c r="X728" s="237"/>
      <c r="Y728" s="237"/>
      <c r="Z728" s="237"/>
      <c r="AA728" s="237"/>
      <c r="AB728" s="237"/>
    </row>
    <row r="729">
      <c r="A729" s="238">
        <v>728.0</v>
      </c>
      <c r="B729" s="239" t="s">
        <v>6590</v>
      </c>
      <c r="C729" s="240" t="s">
        <v>6591</v>
      </c>
      <c r="D729" s="236"/>
      <c r="E729" s="240" t="s">
        <v>3511</v>
      </c>
      <c r="F729" s="240" t="s">
        <v>6592</v>
      </c>
      <c r="G729" s="238" t="s">
        <v>6593</v>
      </c>
      <c r="H729" s="240" t="s">
        <v>6594</v>
      </c>
      <c r="I729" s="236"/>
      <c r="J729" s="238" t="s">
        <v>5366</v>
      </c>
      <c r="K729" s="239" t="s">
        <v>6590</v>
      </c>
      <c r="L729" s="237"/>
      <c r="M729" s="237"/>
      <c r="N729" s="237"/>
      <c r="O729" s="237"/>
      <c r="P729" s="237"/>
      <c r="Q729" s="237"/>
      <c r="R729" s="237"/>
      <c r="S729" s="237"/>
      <c r="T729" s="237"/>
      <c r="U729" s="237"/>
      <c r="V729" s="237"/>
      <c r="W729" s="237"/>
      <c r="X729" s="237"/>
      <c r="Y729" s="237"/>
      <c r="Z729" s="237"/>
      <c r="AA729" s="237"/>
      <c r="AB729" s="237"/>
    </row>
    <row r="730">
      <c r="A730" s="238">
        <v>729.0</v>
      </c>
      <c r="B730" s="239" t="s">
        <v>6595</v>
      </c>
      <c r="C730" s="240" t="s">
        <v>6596</v>
      </c>
      <c r="D730" s="236"/>
      <c r="E730" s="240" t="s">
        <v>3511</v>
      </c>
      <c r="F730" s="240" t="s">
        <v>6597</v>
      </c>
      <c r="G730" s="238" t="s">
        <v>6598</v>
      </c>
      <c r="H730" s="240" t="s">
        <v>6599</v>
      </c>
      <c r="I730" s="236"/>
      <c r="J730" s="238" t="s">
        <v>5366</v>
      </c>
      <c r="K730" s="239" t="s">
        <v>6595</v>
      </c>
      <c r="L730" s="237"/>
      <c r="M730" s="237"/>
      <c r="N730" s="237"/>
      <c r="O730" s="237"/>
      <c r="P730" s="237"/>
      <c r="Q730" s="237"/>
      <c r="R730" s="237"/>
      <c r="S730" s="237"/>
      <c r="T730" s="237"/>
      <c r="U730" s="237"/>
      <c r="V730" s="237"/>
      <c r="W730" s="237"/>
      <c r="X730" s="237"/>
      <c r="Y730" s="237"/>
      <c r="Z730" s="237"/>
      <c r="AA730" s="237"/>
      <c r="AB730" s="237"/>
    </row>
    <row r="731">
      <c r="A731" s="238">
        <v>730.0</v>
      </c>
      <c r="B731" s="239" t="s">
        <v>6600</v>
      </c>
      <c r="C731" s="240" t="s">
        <v>6601</v>
      </c>
      <c r="D731" s="236"/>
      <c r="E731" s="240" t="s">
        <v>3511</v>
      </c>
      <c r="F731" s="240" t="s">
        <v>6602</v>
      </c>
      <c r="G731" s="238" t="s">
        <v>6603</v>
      </c>
      <c r="H731" s="240" t="s">
        <v>6604</v>
      </c>
      <c r="I731" s="236"/>
      <c r="J731" s="238" t="s">
        <v>5366</v>
      </c>
      <c r="K731" s="239" t="s">
        <v>6600</v>
      </c>
      <c r="L731" s="237"/>
      <c r="M731" s="237"/>
      <c r="N731" s="237"/>
      <c r="O731" s="237"/>
      <c r="P731" s="237"/>
      <c r="Q731" s="237"/>
      <c r="R731" s="237"/>
      <c r="S731" s="237"/>
      <c r="T731" s="237"/>
      <c r="U731" s="237"/>
      <c r="V731" s="237"/>
      <c r="W731" s="237"/>
      <c r="X731" s="237"/>
      <c r="Y731" s="237"/>
      <c r="Z731" s="237"/>
      <c r="AA731" s="237"/>
      <c r="AB731" s="237"/>
    </row>
    <row r="732">
      <c r="A732" s="238">
        <v>731.0</v>
      </c>
      <c r="B732" s="239" t="s">
        <v>6605</v>
      </c>
      <c r="C732" s="240" t="s">
        <v>6606</v>
      </c>
      <c r="D732" s="236"/>
      <c r="E732" s="240" t="s">
        <v>3511</v>
      </c>
      <c r="F732" s="240" t="s">
        <v>6607</v>
      </c>
      <c r="G732" s="238" t="s">
        <v>6608</v>
      </c>
      <c r="H732" s="241" t="s">
        <v>6609</v>
      </c>
      <c r="I732" s="236"/>
      <c r="J732" s="238" t="s">
        <v>5366</v>
      </c>
      <c r="K732" s="239" t="s">
        <v>6605</v>
      </c>
      <c r="L732" s="237"/>
      <c r="M732" s="237"/>
      <c r="N732" s="237"/>
      <c r="O732" s="237"/>
      <c r="P732" s="237"/>
      <c r="Q732" s="237"/>
      <c r="R732" s="237"/>
      <c r="S732" s="237"/>
      <c r="T732" s="237"/>
      <c r="U732" s="237"/>
      <c r="V732" s="237"/>
      <c r="W732" s="237"/>
      <c r="X732" s="237"/>
      <c r="Y732" s="237"/>
      <c r="Z732" s="237"/>
      <c r="AA732" s="237"/>
      <c r="AB732" s="237"/>
    </row>
    <row r="733">
      <c r="A733" s="238">
        <v>732.0</v>
      </c>
      <c r="B733" s="239" t="s">
        <v>6610</v>
      </c>
      <c r="C733" s="240" t="s">
        <v>6611</v>
      </c>
      <c r="D733" s="236"/>
      <c r="E733" s="240" t="s">
        <v>3511</v>
      </c>
      <c r="F733" s="240" t="s">
        <v>6612</v>
      </c>
      <c r="G733" s="238" t="s">
        <v>6613</v>
      </c>
      <c r="H733" s="240" t="s">
        <v>6614</v>
      </c>
      <c r="I733" s="236"/>
      <c r="J733" s="238" t="s">
        <v>5366</v>
      </c>
      <c r="K733" s="239" t="s">
        <v>6610</v>
      </c>
      <c r="L733" s="237"/>
      <c r="M733" s="237"/>
      <c r="N733" s="237"/>
      <c r="O733" s="237"/>
      <c r="P733" s="237"/>
      <c r="Q733" s="237"/>
      <c r="R733" s="237"/>
      <c r="S733" s="237"/>
      <c r="T733" s="237"/>
      <c r="U733" s="237"/>
      <c r="V733" s="237"/>
      <c r="W733" s="237"/>
      <c r="X733" s="237"/>
      <c r="Y733" s="237"/>
      <c r="Z733" s="237"/>
      <c r="AA733" s="237"/>
      <c r="AB733" s="237"/>
    </row>
    <row r="734">
      <c r="A734" s="238">
        <v>733.0</v>
      </c>
      <c r="B734" s="239" t="s">
        <v>6615</v>
      </c>
      <c r="C734" s="240" t="s">
        <v>6616</v>
      </c>
      <c r="D734" s="236"/>
      <c r="E734" s="240" t="s">
        <v>3511</v>
      </c>
      <c r="F734" s="240" t="s">
        <v>6617</v>
      </c>
      <c r="G734" s="238" t="s">
        <v>6618</v>
      </c>
      <c r="H734" s="240" t="s">
        <v>6619</v>
      </c>
      <c r="I734" s="236"/>
      <c r="J734" s="238" t="s">
        <v>5366</v>
      </c>
      <c r="K734" s="239" t="s">
        <v>6615</v>
      </c>
      <c r="L734" s="237"/>
      <c r="M734" s="237"/>
      <c r="N734" s="237"/>
      <c r="O734" s="237"/>
      <c r="P734" s="237"/>
      <c r="Q734" s="237"/>
      <c r="R734" s="237"/>
      <c r="S734" s="237"/>
      <c r="T734" s="237"/>
      <c r="U734" s="237"/>
      <c r="V734" s="237"/>
      <c r="W734" s="237"/>
      <c r="X734" s="237"/>
      <c r="Y734" s="237"/>
      <c r="Z734" s="237"/>
      <c r="AA734" s="237"/>
      <c r="AB734" s="237"/>
    </row>
    <row r="735">
      <c r="A735" s="238">
        <v>734.0</v>
      </c>
      <c r="B735" s="239" t="s">
        <v>6620</v>
      </c>
      <c r="C735" s="240" t="s">
        <v>6621</v>
      </c>
      <c r="D735" s="236"/>
      <c r="E735" s="240" t="s">
        <v>3511</v>
      </c>
      <c r="F735" s="240" t="s">
        <v>6622</v>
      </c>
      <c r="G735" s="238" t="s">
        <v>6623</v>
      </c>
      <c r="H735" s="240" t="s">
        <v>6624</v>
      </c>
      <c r="I735" s="236"/>
      <c r="J735" s="238" t="s">
        <v>6623</v>
      </c>
      <c r="K735" s="239" t="s">
        <v>6620</v>
      </c>
      <c r="L735" s="237"/>
      <c r="M735" s="237"/>
      <c r="N735" s="237"/>
      <c r="O735" s="237"/>
      <c r="P735" s="237"/>
      <c r="Q735" s="237"/>
      <c r="R735" s="237"/>
      <c r="S735" s="237"/>
      <c r="T735" s="237"/>
      <c r="U735" s="237"/>
      <c r="V735" s="237"/>
      <c r="W735" s="237"/>
      <c r="X735" s="237"/>
      <c r="Y735" s="237"/>
      <c r="Z735" s="237"/>
      <c r="AA735" s="237"/>
      <c r="AB735" s="237"/>
    </row>
    <row r="736">
      <c r="A736" s="238">
        <v>735.0</v>
      </c>
      <c r="B736" s="239" t="s">
        <v>6625</v>
      </c>
      <c r="C736" s="240" t="s">
        <v>6626</v>
      </c>
      <c r="D736" s="236"/>
      <c r="E736" s="240" t="s">
        <v>3511</v>
      </c>
      <c r="F736" s="240" t="s">
        <v>6627</v>
      </c>
      <c r="G736" s="238" t="s">
        <v>6628</v>
      </c>
      <c r="H736" s="241" t="s">
        <v>6629</v>
      </c>
      <c r="I736" s="236"/>
      <c r="J736" s="238" t="s">
        <v>4745</v>
      </c>
      <c r="K736" s="239" t="s">
        <v>6625</v>
      </c>
      <c r="L736" s="237"/>
      <c r="M736" s="237"/>
      <c r="N736" s="237"/>
      <c r="O736" s="237"/>
      <c r="P736" s="237"/>
      <c r="Q736" s="237"/>
      <c r="R736" s="237"/>
      <c r="S736" s="237"/>
      <c r="T736" s="237"/>
      <c r="U736" s="237"/>
      <c r="V736" s="237"/>
      <c r="W736" s="237"/>
      <c r="X736" s="237"/>
      <c r="Y736" s="237"/>
      <c r="Z736" s="237"/>
      <c r="AA736" s="237"/>
      <c r="AB736" s="237"/>
    </row>
    <row r="737">
      <c r="A737" s="238">
        <v>736.0</v>
      </c>
      <c r="B737" s="239" t="s">
        <v>6630</v>
      </c>
      <c r="C737" s="240" t="s">
        <v>6631</v>
      </c>
      <c r="D737" s="236"/>
      <c r="E737" s="240" t="s">
        <v>3511</v>
      </c>
      <c r="F737" s="240" t="s">
        <v>6632</v>
      </c>
      <c r="G737" s="238" t="s">
        <v>6633</v>
      </c>
      <c r="H737" s="241" t="s">
        <v>6634</v>
      </c>
      <c r="I737" s="236"/>
      <c r="J737" s="238" t="s">
        <v>6272</v>
      </c>
      <c r="K737" s="239" t="s">
        <v>6630</v>
      </c>
      <c r="L737" s="237"/>
      <c r="M737" s="237"/>
      <c r="N737" s="237"/>
      <c r="O737" s="237"/>
      <c r="P737" s="237"/>
      <c r="Q737" s="237"/>
      <c r="R737" s="237"/>
      <c r="S737" s="237"/>
      <c r="T737" s="237"/>
      <c r="U737" s="237"/>
      <c r="V737" s="237"/>
      <c r="W737" s="237"/>
      <c r="X737" s="237"/>
      <c r="Y737" s="237"/>
      <c r="Z737" s="237"/>
      <c r="AA737" s="237"/>
      <c r="AB737" s="237"/>
    </row>
    <row r="738">
      <c r="A738" s="238">
        <v>737.0</v>
      </c>
      <c r="B738" s="239" t="s">
        <v>6635</v>
      </c>
      <c r="C738" s="240" t="s">
        <v>6636</v>
      </c>
      <c r="D738" s="236"/>
      <c r="E738" s="240" t="s">
        <v>3511</v>
      </c>
      <c r="F738" s="240" t="s">
        <v>6637</v>
      </c>
      <c r="G738" s="238" t="s">
        <v>6638</v>
      </c>
      <c r="H738" s="240" t="s">
        <v>6639</v>
      </c>
      <c r="I738" s="236"/>
      <c r="J738" s="238" t="s">
        <v>4745</v>
      </c>
      <c r="K738" s="239" t="s">
        <v>6635</v>
      </c>
      <c r="L738" s="237"/>
      <c r="M738" s="237"/>
      <c r="N738" s="237"/>
      <c r="O738" s="237"/>
      <c r="P738" s="237"/>
      <c r="Q738" s="237"/>
      <c r="R738" s="237"/>
      <c r="S738" s="237"/>
      <c r="T738" s="237"/>
      <c r="U738" s="237"/>
      <c r="V738" s="237"/>
      <c r="W738" s="237"/>
      <c r="X738" s="237"/>
      <c r="Y738" s="237"/>
      <c r="Z738" s="237"/>
      <c r="AA738" s="237"/>
      <c r="AB738" s="237"/>
    </row>
    <row r="739">
      <c r="A739" s="238">
        <v>738.0</v>
      </c>
      <c r="B739" s="239" t="s">
        <v>6640</v>
      </c>
      <c r="C739" s="240" t="s">
        <v>6641</v>
      </c>
      <c r="D739" s="236"/>
      <c r="E739" s="240" t="s">
        <v>3511</v>
      </c>
      <c r="F739" s="240" t="s">
        <v>6642</v>
      </c>
      <c r="G739" s="238" t="s">
        <v>6643</v>
      </c>
      <c r="H739" s="240" t="s">
        <v>6644</v>
      </c>
      <c r="I739" s="236"/>
      <c r="J739" s="238" t="s">
        <v>4745</v>
      </c>
      <c r="K739" s="239" t="s">
        <v>6640</v>
      </c>
      <c r="L739" s="237"/>
      <c r="M739" s="237"/>
      <c r="N739" s="237"/>
      <c r="O739" s="237"/>
      <c r="P739" s="237"/>
      <c r="Q739" s="237"/>
      <c r="R739" s="237"/>
      <c r="S739" s="237"/>
      <c r="T739" s="237"/>
      <c r="U739" s="237"/>
      <c r="V739" s="237"/>
      <c r="W739" s="237"/>
      <c r="X739" s="237"/>
      <c r="Y739" s="237"/>
      <c r="Z739" s="237"/>
      <c r="AA739" s="237"/>
      <c r="AB739" s="237"/>
    </row>
    <row r="740">
      <c r="A740" s="238">
        <v>739.0</v>
      </c>
      <c r="B740" s="239" t="s">
        <v>6645</v>
      </c>
      <c r="C740" s="240" t="s">
        <v>6646</v>
      </c>
      <c r="D740" s="236"/>
      <c r="E740" s="240" t="s">
        <v>3511</v>
      </c>
      <c r="F740" s="240" t="s">
        <v>6647</v>
      </c>
      <c r="G740" s="238" t="s">
        <v>6648</v>
      </c>
      <c r="H740" s="241" t="s">
        <v>6649</v>
      </c>
      <c r="I740" s="236"/>
      <c r="J740" s="238" t="s">
        <v>4745</v>
      </c>
      <c r="K740" s="239" t="s">
        <v>6645</v>
      </c>
      <c r="L740" s="237"/>
      <c r="M740" s="237"/>
      <c r="N740" s="237"/>
      <c r="O740" s="237"/>
      <c r="P740" s="237"/>
      <c r="Q740" s="237"/>
      <c r="R740" s="237"/>
      <c r="S740" s="237"/>
      <c r="T740" s="237"/>
      <c r="U740" s="237"/>
      <c r="V740" s="237"/>
      <c r="W740" s="237"/>
      <c r="X740" s="237"/>
      <c r="Y740" s="237"/>
      <c r="Z740" s="237"/>
      <c r="AA740" s="237"/>
      <c r="AB740" s="237"/>
    </row>
    <row r="741">
      <c r="A741" s="238">
        <v>740.0</v>
      </c>
      <c r="B741" s="239" t="s">
        <v>6650</v>
      </c>
      <c r="C741" s="240" t="s">
        <v>6651</v>
      </c>
      <c r="D741" s="236"/>
      <c r="E741" s="240" t="s">
        <v>3511</v>
      </c>
      <c r="F741" s="240" t="s">
        <v>6652</v>
      </c>
      <c r="G741" s="238" t="s">
        <v>6653</v>
      </c>
      <c r="H741" s="240" t="s">
        <v>6654</v>
      </c>
      <c r="I741" s="236"/>
      <c r="J741" s="238" t="s">
        <v>4745</v>
      </c>
      <c r="K741" s="239" t="s">
        <v>6650</v>
      </c>
      <c r="L741" s="237"/>
      <c r="M741" s="237"/>
      <c r="N741" s="237"/>
      <c r="O741" s="237"/>
      <c r="P741" s="237"/>
      <c r="Q741" s="237"/>
      <c r="R741" s="237"/>
      <c r="S741" s="237"/>
      <c r="T741" s="237"/>
      <c r="U741" s="237"/>
      <c r="V741" s="237"/>
      <c r="W741" s="237"/>
      <c r="X741" s="237"/>
      <c r="Y741" s="237"/>
      <c r="Z741" s="237"/>
      <c r="AA741" s="237"/>
      <c r="AB741" s="237"/>
    </row>
    <row r="742">
      <c r="A742" s="238">
        <v>741.0</v>
      </c>
      <c r="B742" s="239" t="s">
        <v>6655</v>
      </c>
      <c r="C742" s="240" t="s">
        <v>6656</v>
      </c>
      <c r="D742" s="236"/>
      <c r="E742" s="240" t="s">
        <v>3511</v>
      </c>
      <c r="F742" s="240" t="s">
        <v>6657</v>
      </c>
      <c r="G742" s="238" t="s">
        <v>6658</v>
      </c>
      <c r="H742" s="240" t="s">
        <v>6659</v>
      </c>
      <c r="I742" s="236"/>
      <c r="J742" s="238" t="s">
        <v>4745</v>
      </c>
      <c r="K742" s="239" t="s">
        <v>6655</v>
      </c>
      <c r="L742" s="237"/>
      <c r="M742" s="237"/>
      <c r="N742" s="237"/>
      <c r="O742" s="237"/>
      <c r="P742" s="237"/>
      <c r="Q742" s="237"/>
      <c r="R742" s="237"/>
      <c r="S742" s="237"/>
      <c r="T742" s="237"/>
      <c r="U742" s="237"/>
      <c r="V742" s="237"/>
      <c r="W742" s="237"/>
      <c r="X742" s="237"/>
      <c r="Y742" s="237"/>
      <c r="Z742" s="237"/>
      <c r="AA742" s="237"/>
      <c r="AB742" s="237"/>
    </row>
    <row r="743">
      <c r="A743" s="238">
        <v>742.0</v>
      </c>
      <c r="B743" s="239" t="s">
        <v>6660</v>
      </c>
      <c r="C743" s="240" t="s">
        <v>6661</v>
      </c>
      <c r="D743" s="236"/>
      <c r="E743" s="240" t="s">
        <v>3511</v>
      </c>
      <c r="F743" s="240" t="s">
        <v>6662</v>
      </c>
      <c r="G743" s="238" t="s">
        <v>6663</v>
      </c>
      <c r="H743" s="241" t="s">
        <v>6664</v>
      </c>
      <c r="I743" s="236"/>
      <c r="J743" s="238" t="s">
        <v>4745</v>
      </c>
      <c r="K743" s="239" t="s">
        <v>6660</v>
      </c>
      <c r="L743" s="237"/>
      <c r="M743" s="237"/>
      <c r="N743" s="237"/>
      <c r="O743" s="237"/>
      <c r="P743" s="237"/>
      <c r="Q743" s="237"/>
      <c r="R743" s="237"/>
      <c r="S743" s="237"/>
      <c r="T743" s="237"/>
      <c r="U743" s="237"/>
      <c r="V743" s="237"/>
      <c r="W743" s="237"/>
      <c r="X743" s="237"/>
      <c r="Y743" s="237"/>
      <c r="Z743" s="237"/>
      <c r="AA743" s="237"/>
      <c r="AB743" s="237"/>
    </row>
    <row r="744">
      <c r="A744" s="238">
        <v>743.0</v>
      </c>
      <c r="B744" s="239" t="s">
        <v>6665</v>
      </c>
      <c r="C744" s="240" t="s">
        <v>6666</v>
      </c>
      <c r="D744" s="236"/>
      <c r="E744" s="240" t="s">
        <v>3511</v>
      </c>
      <c r="F744" s="240" t="s">
        <v>6667</v>
      </c>
      <c r="G744" s="238" t="s">
        <v>6668</v>
      </c>
      <c r="H744" s="241" t="s">
        <v>6669</v>
      </c>
      <c r="I744" s="236"/>
      <c r="J744" s="238" t="s">
        <v>4745</v>
      </c>
      <c r="K744" s="239" t="s">
        <v>6665</v>
      </c>
      <c r="L744" s="237"/>
      <c r="M744" s="237"/>
      <c r="N744" s="237"/>
      <c r="O744" s="237"/>
      <c r="P744" s="237"/>
      <c r="Q744" s="237"/>
      <c r="R744" s="237"/>
      <c r="S744" s="237"/>
      <c r="T744" s="237"/>
      <c r="U744" s="237"/>
      <c r="V744" s="237"/>
      <c r="W744" s="237"/>
      <c r="X744" s="237"/>
      <c r="Y744" s="237"/>
      <c r="Z744" s="237"/>
      <c r="AA744" s="237"/>
      <c r="AB744" s="237"/>
    </row>
    <row r="745">
      <c r="A745" s="238">
        <v>744.0</v>
      </c>
      <c r="B745" s="239" t="s">
        <v>6670</v>
      </c>
      <c r="C745" s="240" t="s">
        <v>6671</v>
      </c>
      <c r="D745" s="236"/>
      <c r="E745" s="240" t="s">
        <v>3511</v>
      </c>
      <c r="F745" s="240" t="s">
        <v>6672</v>
      </c>
      <c r="G745" s="238" t="s">
        <v>6673</v>
      </c>
      <c r="H745" s="240" t="s">
        <v>6674</v>
      </c>
      <c r="I745" s="236"/>
      <c r="J745" s="238" t="s">
        <v>6272</v>
      </c>
      <c r="K745" s="239" t="s">
        <v>6670</v>
      </c>
      <c r="L745" s="237"/>
      <c r="M745" s="237"/>
      <c r="N745" s="237"/>
      <c r="O745" s="237"/>
      <c r="P745" s="237"/>
      <c r="Q745" s="237"/>
      <c r="R745" s="237"/>
      <c r="S745" s="237"/>
      <c r="T745" s="237"/>
      <c r="U745" s="237"/>
      <c r="V745" s="237"/>
      <c r="W745" s="237"/>
      <c r="X745" s="237"/>
      <c r="Y745" s="237"/>
      <c r="Z745" s="237"/>
      <c r="AA745" s="237"/>
      <c r="AB745" s="237"/>
    </row>
    <row r="746">
      <c r="A746" s="238">
        <v>745.0</v>
      </c>
      <c r="B746" s="239" t="s">
        <v>6675</v>
      </c>
      <c r="C746" s="240" t="s">
        <v>6676</v>
      </c>
      <c r="D746" s="236"/>
      <c r="E746" s="240" t="s">
        <v>3511</v>
      </c>
      <c r="F746" s="240" t="s">
        <v>6677</v>
      </c>
      <c r="G746" s="238" t="s">
        <v>6678</v>
      </c>
      <c r="H746" s="241" t="s">
        <v>6679</v>
      </c>
      <c r="I746" s="236"/>
      <c r="J746" s="238" t="s">
        <v>4745</v>
      </c>
      <c r="K746" s="239" t="s">
        <v>6675</v>
      </c>
      <c r="L746" s="237"/>
      <c r="M746" s="237"/>
      <c r="N746" s="237"/>
      <c r="O746" s="237"/>
      <c r="P746" s="237"/>
      <c r="Q746" s="237"/>
      <c r="R746" s="237"/>
      <c r="S746" s="237"/>
      <c r="T746" s="237"/>
      <c r="U746" s="237"/>
      <c r="V746" s="237"/>
      <c r="W746" s="237"/>
      <c r="X746" s="237"/>
      <c r="Y746" s="237"/>
      <c r="Z746" s="237"/>
      <c r="AA746" s="237"/>
      <c r="AB746" s="237"/>
    </row>
    <row r="747">
      <c r="A747" s="238">
        <v>746.0</v>
      </c>
      <c r="B747" s="242"/>
      <c r="C747" s="240" t="s">
        <v>6680</v>
      </c>
      <c r="D747" s="236"/>
      <c r="E747" s="240" t="s">
        <v>3511</v>
      </c>
      <c r="F747" s="240" t="s">
        <v>6681</v>
      </c>
      <c r="G747" s="238" t="s">
        <v>6682</v>
      </c>
      <c r="H747" s="240" t="s">
        <v>6683</v>
      </c>
      <c r="I747" s="236"/>
      <c r="J747" s="238" t="s">
        <v>6272</v>
      </c>
      <c r="K747" s="242"/>
      <c r="L747" s="237"/>
      <c r="M747" s="237"/>
      <c r="N747" s="237"/>
      <c r="O747" s="237"/>
      <c r="P747" s="237"/>
      <c r="Q747" s="237"/>
      <c r="R747" s="237"/>
      <c r="S747" s="237"/>
      <c r="T747" s="237"/>
      <c r="U747" s="237"/>
      <c r="V747" s="237"/>
      <c r="W747" s="237"/>
      <c r="X747" s="237"/>
      <c r="Y747" s="237"/>
      <c r="Z747" s="237"/>
      <c r="AA747" s="237"/>
      <c r="AB747" s="237"/>
    </row>
    <row r="748">
      <c r="A748" s="238">
        <v>747.0</v>
      </c>
      <c r="B748" s="242"/>
      <c r="C748" s="240" t="s">
        <v>6684</v>
      </c>
      <c r="D748" s="236"/>
      <c r="E748" s="240" t="s">
        <v>3511</v>
      </c>
      <c r="F748" s="240" t="s">
        <v>6685</v>
      </c>
      <c r="G748" s="238" t="s">
        <v>6686</v>
      </c>
      <c r="H748" s="240" t="s">
        <v>6687</v>
      </c>
      <c r="I748" s="236"/>
      <c r="J748" s="238" t="s">
        <v>3996</v>
      </c>
      <c r="K748" s="242"/>
      <c r="L748" s="237"/>
      <c r="M748" s="237"/>
      <c r="N748" s="237"/>
      <c r="O748" s="237"/>
      <c r="P748" s="237"/>
      <c r="Q748" s="237"/>
      <c r="R748" s="237"/>
      <c r="S748" s="237"/>
      <c r="T748" s="237"/>
      <c r="U748" s="237"/>
      <c r="V748" s="237"/>
      <c r="W748" s="237"/>
      <c r="X748" s="237"/>
      <c r="Y748" s="237"/>
      <c r="Z748" s="237"/>
      <c r="AA748" s="237"/>
      <c r="AB748" s="237"/>
    </row>
    <row r="749">
      <c r="A749" s="238">
        <v>748.0</v>
      </c>
      <c r="B749" s="242"/>
      <c r="C749" s="240" t="s">
        <v>6688</v>
      </c>
      <c r="D749" s="236"/>
      <c r="E749" s="240" t="s">
        <v>3511</v>
      </c>
      <c r="F749" s="240" t="s">
        <v>6689</v>
      </c>
      <c r="G749" s="238" t="s">
        <v>6690</v>
      </c>
      <c r="H749" s="240" t="s">
        <v>6691</v>
      </c>
      <c r="I749" s="236"/>
      <c r="J749" s="238" t="s">
        <v>3996</v>
      </c>
      <c r="K749" s="242"/>
      <c r="L749" s="237"/>
      <c r="M749" s="237"/>
      <c r="N749" s="237"/>
      <c r="O749" s="237"/>
      <c r="P749" s="237"/>
      <c r="Q749" s="237"/>
      <c r="R749" s="237"/>
      <c r="S749" s="237"/>
      <c r="T749" s="237"/>
      <c r="U749" s="237"/>
      <c r="V749" s="237"/>
      <c r="W749" s="237"/>
      <c r="X749" s="237"/>
      <c r="Y749" s="237"/>
      <c r="Z749" s="237"/>
      <c r="AA749" s="237"/>
      <c r="AB749" s="237"/>
    </row>
    <row r="750">
      <c r="A750" s="238">
        <v>749.0</v>
      </c>
      <c r="B750" s="242"/>
      <c r="C750" s="240" t="s">
        <v>6692</v>
      </c>
      <c r="D750" s="236"/>
      <c r="E750" s="240" t="s">
        <v>3511</v>
      </c>
      <c r="F750" s="240" t="s">
        <v>6693</v>
      </c>
      <c r="G750" s="238" t="s">
        <v>6694</v>
      </c>
      <c r="H750" s="240" t="s">
        <v>6695</v>
      </c>
      <c r="I750" s="236"/>
      <c r="J750" s="238" t="s">
        <v>3996</v>
      </c>
      <c r="K750" s="242"/>
      <c r="L750" s="237"/>
      <c r="M750" s="237"/>
      <c r="N750" s="237"/>
      <c r="O750" s="237"/>
      <c r="P750" s="237"/>
      <c r="Q750" s="237"/>
      <c r="R750" s="237"/>
      <c r="S750" s="237"/>
      <c r="T750" s="237"/>
      <c r="U750" s="237"/>
      <c r="V750" s="237"/>
      <c r="W750" s="237"/>
      <c r="X750" s="237"/>
      <c r="Y750" s="237"/>
      <c r="Z750" s="237"/>
      <c r="AA750" s="237"/>
      <c r="AB750" s="237"/>
    </row>
    <row r="751">
      <c r="A751" s="238">
        <v>750.0</v>
      </c>
      <c r="B751" s="239" t="s">
        <v>6696</v>
      </c>
      <c r="C751" s="240" t="s">
        <v>6697</v>
      </c>
      <c r="D751" s="236"/>
      <c r="E751" s="240" t="s">
        <v>3511</v>
      </c>
      <c r="F751" s="240" t="s">
        <v>6698</v>
      </c>
      <c r="G751" s="238" t="s">
        <v>6699</v>
      </c>
      <c r="H751" s="240" t="s">
        <v>6700</v>
      </c>
      <c r="I751" s="236"/>
      <c r="J751" s="238" t="s">
        <v>3996</v>
      </c>
      <c r="K751" s="239" t="s">
        <v>6696</v>
      </c>
      <c r="L751" s="237"/>
      <c r="M751" s="237"/>
      <c r="N751" s="237"/>
      <c r="O751" s="237"/>
      <c r="P751" s="237"/>
      <c r="Q751" s="237"/>
      <c r="R751" s="237"/>
      <c r="S751" s="237"/>
      <c r="T751" s="237"/>
      <c r="U751" s="237"/>
      <c r="V751" s="237"/>
      <c r="W751" s="237"/>
      <c r="X751" s="237"/>
      <c r="Y751" s="237"/>
      <c r="Z751" s="237"/>
      <c r="AA751" s="237"/>
      <c r="AB751" s="237"/>
    </row>
    <row r="752">
      <c r="A752" s="238">
        <v>751.0</v>
      </c>
      <c r="B752" s="242"/>
      <c r="C752" s="240" t="s">
        <v>6701</v>
      </c>
      <c r="D752" s="236"/>
      <c r="E752" s="240" t="s">
        <v>3511</v>
      </c>
      <c r="F752" s="240" t="s">
        <v>6702</v>
      </c>
      <c r="G752" s="238" t="s">
        <v>6703</v>
      </c>
      <c r="H752" s="240" t="s">
        <v>6704</v>
      </c>
      <c r="I752" s="236"/>
      <c r="J752" s="238" t="s">
        <v>3996</v>
      </c>
      <c r="K752" s="242"/>
      <c r="L752" s="237"/>
      <c r="M752" s="237"/>
      <c r="N752" s="237"/>
      <c r="O752" s="237"/>
      <c r="P752" s="237"/>
      <c r="Q752" s="237"/>
      <c r="R752" s="237"/>
      <c r="S752" s="237"/>
      <c r="T752" s="237"/>
      <c r="U752" s="237"/>
      <c r="V752" s="237"/>
      <c r="W752" s="237"/>
      <c r="X752" s="237"/>
      <c r="Y752" s="237"/>
      <c r="Z752" s="237"/>
      <c r="AA752" s="237"/>
      <c r="AB752" s="237"/>
    </row>
    <row r="753">
      <c r="A753" s="238">
        <v>752.0</v>
      </c>
      <c r="B753" s="239" t="s">
        <v>6705</v>
      </c>
      <c r="C753" s="240" t="s">
        <v>6706</v>
      </c>
      <c r="D753" s="236"/>
      <c r="E753" s="240" t="s">
        <v>3511</v>
      </c>
      <c r="F753" s="240" t="s">
        <v>6707</v>
      </c>
      <c r="G753" s="238" t="s">
        <v>6708</v>
      </c>
      <c r="H753" s="240" t="s">
        <v>6709</v>
      </c>
      <c r="I753" s="236"/>
      <c r="J753" s="238" t="s">
        <v>3996</v>
      </c>
      <c r="K753" s="239" t="s">
        <v>6705</v>
      </c>
      <c r="L753" s="237"/>
      <c r="M753" s="237"/>
      <c r="N753" s="237"/>
      <c r="O753" s="237"/>
      <c r="P753" s="237"/>
      <c r="Q753" s="237"/>
      <c r="R753" s="237"/>
      <c r="S753" s="237"/>
      <c r="T753" s="237"/>
      <c r="U753" s="237"/>
      <c r="V753" s="237"/>
      <c r="W753" s="237"/>
      <c r="X753" s="237"/>
      <c r="Y753" s="237"/>
      <c r="Z753" s="237"/>
      <c r="AA753" s="237"/>
      <c r="AB753" s="237"/>
    </row>
    <row r="754">
      <c r="A754" s="238">
        <v>753.0</v>
      </c>
      <c r="B754" s="239" t="s">
        <v>6710</v>
      </c>
      <c r="C754" s="240" t="s">
        <v>6711</v>
      </c>
      <c r="D754" s="236"/>
      <c r="E754" s="240" t="s">
        <v>3511</v>
      </c>
      <c r="F754" s="240" t="s">
        <v>6712</v>
      </c>
      <c r="G754" s="238" t="s">
        <v>6713</v>
      </c>
      <c r="H754" s="240" t="s">
        <v>6714</v>
      </c>
      <c r="I754" s="236"/>
      <c r="J754" s="238" t="s">
        <v>6715</v>
      </c>
      <c r="K754" s="239" t="s">
        <v>6710</v>
      </c>
      <c r="L754" s="237"/>
      <c r="M754" s="237"/>
      <c r="N754" s="237"/>
      <c r="O754" s="237"/>
      <c r="P754" s="237"/>
      <c r="Q754" s="237"/>
      <c r="R754" s="237"/>
      <c r="S754" s="237"/>
      <c r="T754" s="237"/>
      <c r="U754" s="237"/>
      <c r="V754" s="237"/>
      <c r="W754" s="237"/>
      <c r="X754" s="237"/>
      <c r="Y754" s="237"/>
      <c r="Z754" s="237"/>
      <c r="AA754" s="237"/>
      <c r="AB754" s="237"/>
    </row>
    <row r="755">
      <c r="A755" s="238">
        <v>754.0</v>
      </c>
      <c r="B755" s="239" t="s">
        <v>6716</v>
      </c>
      <c r="C755" s="240" t="s">
        <v>6717</v>
      </c>
      <c r="D755" s="236"/>
      <c r="E755" s="240" t="s">
        <v>3511</v>
      </c>
      <c r="F755" s="240" t="s">
        <v>6718</v>
      </c>
      <c r="G755" s="238" t="s">
        <v>6719</v>
      </c>
      <c r="H755" s="240" t="s">
        <v>6720</v>
      </c>
      <c r="I755" s="236"/>
      <c r="J755" s="238" t="s">
        <v>6715</v>
      </c>
      <c r="K755" s="239" t="s">
        <v>6716</v>
      </c>
      <c r="L755" s="237"/>
      <c r="M755" s="237"/>
      <c r="N755" s="237"/>
      <c r="O755" s="237"/>
      <c r="P755" s="237"/>
      <c r="Q755" s="237"/>
      <c r="R755" s="237"/>
      <c r="S755" s="237"/>
      <c r="T755" s="237"/>
      <c r="U755" s="237"/>
      <c r="V755" s="237"/>
      <c r="W755" s="237"/>
      <c r="X755" s="237"/>
      <c r="Y755" s="237"/>
      <c r="Z755" s="237"/>
      <c r="AA755" s="237"/>
      <c r="AB755" s="237"/>
    </row>
    <row r="756">
      <c r="A756" s="238">
        <v>755.0</v>
      </c>
      <c r="B756" s="242"/>
      <c r="C756" s="240" t="s">
        <v>6721</v>
      </c>
      <c r="D756" s="236"/>
      <c r="E756" s="240" t="s">
        <v>3511</v>
      </c>
      <c r="F756" s="240" t="s">
        <v>6722</v>
      </c>
      <c r="G756" s="238" t="s">
        <v>6723</v>
      </c>
      <c r="H756" s="240" t="s">
        <v>6724</v>
      </c>
      <c r="I756" s="236"/>
      <c r="J756" s="238" t="s">
        <v>6715</v>
      </c>
      <c r="K756" s="242"/>
      <c r="L756" s="237"/>
      <c r="M756" s="237"/>
      <c r="N756" s="237"/>
      <c r="O756" s="237"/>
      <c r="P756" s="237"/>
      <c r="Q756" s="237"/>
      <c r="R756" s="237"/>
      <c r="S756" s="237"/>
      <c r="T756" s="237"/>
      <c r="U756" s="237"/>
      <c r="V756" s="237"/>
      <c r="W756" s="237"/>
      <c r="X756" s="237"/>
      <c r="Y756" s="237"/>
      <c r="Z756" s="237"/>
      <c r="AA756" s="237"/>
      <c r="AB756" s="237"/>
    </row>
    <row r="757">
      <c r="A757" s="238">
        <v>756.0</v>
      </c>
      <c r="B757" s="242"/>
      <c r="C757" s="240" t="s">
        <v>6725</v>
      </c>
      <c r="D757" s="236"/>
      <c r="E757" s="240" t="s">
        <v>3511</v>
      </c>
      <c r="F757" s="240" t="s">
        <v>6726</v>
      </c>
      <c r="G757" s="238" t="s">
        <v>6727</v>
      </c>
      <c r="H757" s="236"/>
      <c r="I757" s="236"/>
      <c r="J757" s="238" t="s">
        <v>6715</v>
      </c>
      <c r="K757" s="242"/>
      <c r="L757" s="237"/>
      <c r="M757" s="237"/>
      <c r="N757" s="237"/>
      <c r="O757" s="237"/>
      <c r="P757" s="237"/>
      <c r="Q757" s="237"/>
      <c r="R757" s="237"/>
      <c r="S757" s="237"/>
      <c r="T757" s="237"/>
      <c r="U757" s="237"/>
      <c r="V757" s="237"/>
      <c r="W757" s="237"/>
      <c r="X757" s="237"/>
      <c r="Y757" s="237"/>
      <c r="Z757" s="237"/>
      <c r="AA757" s="237"/>
      <c r="AB757" s="237"/>
    </row>
    <row r="758">
      <c r="A758" s="238">
        <v>757.0</v>
      </c>
      <c r="B758" s="242"/>
      <c r="C758" s="240" t="s">
        <v>6728</v>
      </c>
      <c r="D758" s="236"/>
      <c r="E758" s="240" t="s">
        <v>3511</v>
      </c>
      <c r="F758" s="240" t="s">
        <v>6729</v>
      </c>
      <c r="G758" s="238" t="s">
        <v>6730</v>
      </c>
      <c r="H758" s="240" t="s">
        <v>6731</v>
      </c>
      <c r="I758" s="236"/>
      <c r="J758" s="238" t="s">
        <v>6715</v>
      </c>
      <c r="K758" s="242"/>
      <c r="L758" s="237"/>
      <c r="M758" s="237"/>
      <c r="N758" s="237"/>
      <c r="O758" s="237"/>
      <c r="P758" s="237"/>
      <c r="Q758" s="237"/>
      <c r="R758" s="237"/>
      <c r="S758" s="237"/>
      <c r="T758" s="237"/>
      <c r="U758" s="237"/>
      <c r="V758" s="237"/>
      <c r="W758" s="237"/>
      <c r="X758" s="237"/>
      <c r="Y758" s="237"/>
      <c r="Z758" s="237"/>
      <c r="AA758" s="237"/>
      <c r="AB758" s="237"/>
    </row>
    <row r="759">
      <c r="A759" s="238">
        <v>758.0</v>
      </c>
      <c r="B759" s="239" t="s">
        <v>6732</v>
      </c>
      <c r="C759" s="240" t="s">
        <v>6733</v>
      </c>
      <c r="D759" s="236"/>
      <c r="E759" s="240" t="s">
        <v>3511</v>
      </c>
      <c r="F759" s="240" t="s">
        <v>6734</v>
      </c>
      <c r="G759" s="238" t="s">
        <v>6735</v>
      </c>
      <c r="H759" s="240" t="s">
        <v>6736</v>
      </c>
      <c r="I759" s="236"/>
      <c r="J759" s="238" t="s">
        <v>3986</v>
      </c>
      <c r="K759" s="239" t="s">
        <v>6732</v>
      </c>
      <c r="L759" s="237"/>
      <c r="M759" s="237"/>
      <c r="N759" s="237"/>
      <c r="O759" s="237"/>
      <c r="P759" s="237"/>
      <c r="Q759" s="237"/>
      <c r="R759" s="237"/>
      <c r="S759" s="237"/>
      <c r="T759" s="237"/>
      <c r="U759" s="237"/>
      <c r="V759" s="237"/>
      <c r="W759" s="237"/>
      <c r="X759" s="237"/>
      <c r="Y759" s="237"/>
      <c r="Z759" s="237"/>
      <c r="AA759" s="237"/>
      <c r="AB759" s="237"/>
    </row>
    <row r="760">
      <c r="A760" s="238">
        <v>759.0</v>
      </c>
      <c r="B760" s="239" t="s">
        <v>6737</v>
      </c>
      <c r="C760" s="240" t="s">
        <v>6738</v>
      </c>
      <c r="D760" s="236"/>
      <c r="E760" s="240" t="s">
        <v>3511</v>
      </c>
      <c r="F760" s="240" t="s">
        <v>6739</v>
      </c>
      <c r="G760" s="238" t="s">
        <v>6740</v>
      </c>
      <c r="H760" s="240" t="s">
        <v>6741</v>
      </c>
      <c r="I760" s="236"/>
      <c r="J760" s="238" t="s">
        <v>3986</v>
      </c>
      <c r="K760" s="239" t="s">
        <v>6737</v>
      </c>
      <c r="L760" s="237"/>
      <c r="M760" s="237"/>
      <c r="N760" s="237"/>
      <c r="O760" s="237"/>
      <c r="P760" s="237"/>
      <c r="Q760" s="237"/>
      <c r="R760" s="237"/>
      <c r="S760" s="237"/>
      <c r="T760" s="237"/>
      <c r="U760" s="237"/>
      <c r="V760" s="237"/>
      <c r="W760" s="237"/>
      <c r="X760" s="237"/>
      <c r="Y760" s="237"/>
      <c r="Z760" s="237"/>
      <c r="AA760" s="237"/>
      <c r="AB760" s="237"/>
    </row>
    <row r="761">
      <c r="A761" s="238">
        <v>760.0</v>
      </c>
      <c r="B761" s="239" t="s">
        <v>6742</v>
      </c>
      <c r="C761" s="240" t="s">
        <v>6743</v>
      </c>
      <c r="D761" s="236"/>
      <c r="E761" s="240" t="s">
        <v>3511</v>
      </c>
      <c r="F761" s="240" t="s">
        <v>6744</v>
      </c>
      <c r="G761" s="238" t="s">
        <v>6745</v>
      </c>
      <c r="H761" s="240" t="s">
        <v>6746</v>
      </c>
      <c r="I761" s="236"/>
      <c r="J761" s="238" t="s">
        <v>3499</v>
      </c>
      <c r="K761" s="239" t="s">
        <v>6742</v>
      </c>
      <c r="L761" s="237"/>
      <c r="M761" s="237"/>
      <c r="N761" s="237"/>
      <c r="O761" s="237"/>
      <c r="P761" s="237"/>
      <c r="Q761" s="237"/>
      <c r="R761" s="237"/>
      <c r="S761" s="237"/>
      <c r="T761" s="237"/>
      <c r="U761" s="237"/>
      <c r="V761" s="237"/>
      <c r="W761" s="237"/>
      <c r="X761" s="237"/>
      <c r="Y761" s="237"/>
      <c r="Z761" s="237"/>
      <c r="AA761" s="237"/>
      <c r="AB761" s="237"/>
    </row>
    <row r="762">
      <c r="A762" s="238">
        <v>761.0</v>
      </c>
      <c r="B762" s="239" t="s">
        <v>6747</v>
      </c>
      <c r="C762" s="240" t="s">
        <v>6748</v>
      </c>
      <c r="D762" s="236"/>
      <c r="E762" s="240" t="s">
        <v>3511</v>
      </c>
      <c r="F762" s="240" t="s">
        <v>6749</v>
      </c>
      <c r="G762" s="238" t="s">
        <v>6750</v>
      </c>
      <c r="H762" s="240" t="s">
        <v>6751</v>
      </c>
      <c r="I762" s="236"/>
      <c r="J762" s="238" t="s">
        <v>3499</v>
      </c>
      <c r="K762" s="239" t="s">
        <v>6747</v>
      </c>
      <c r="L762" s="237"/>
      <c r="M762" s="237"/>
      <c r="N762" s="237"/>
      <c r="O762" s="237"/>
      <c r="P762" s="237"/>
      <c r="Q762" s="237"/>
      <c r="R762" s="237"/>
      <c r="S762" s="237"/>
      <c r="T762" s="237"/>
      <c r="U762" s="237"/>
      <c r="V762" s="237"/>
      <c r="W762" s="237"/>
      <c r="X762" s="237"/>
      <c r="Y762" s="237"/>
      <c r="Z762" s="237"/>
      <c r="AA762" s="237"/>
      <c r="AB762" s="237"/>
    </row>
    <row r="763">
      <c r="A763" s="238">
        <v>762.0</v>
      </c>
      <c r="B763" s="242"/>
      <c r="C763" s="240" t="s">
        <v>6752</v>
      </c>
      <c r="D763" s="236"/>
      <c r="E763" s="240" t="s">
        <v>3511</v>
      </c>
      <c r="F763" s="240" t="s">
        <v>5899</v>
      </c>
      <c r="G763" s="238" t="s">
        <v>6753</v>
      </c>
      <c r="H763" s="240" t="s">
        <v>6754</v>
      </c>
      <c r="I763" s="236"/>
      <c r="J763" s="238" t="s">
        <v>4745</v>
      </c>
      <c r="K763" s="242"/>
      <c r="L763" s="237"/>
      <c r="M763" s="237"/>
      <c r="N763" s="237"/>
      <c r="O763" s="237"/>
      <c r="P763" s="237"/>
      <c r="Q763" s="237"/>
      <c r="R763" s="237"/>
      <c r="S763" s="237"/>
      <c r="T763" s="237"/>
      <c r="U763" s="237"/>
      <c r="V763" s="237"/>
      <c r="W763" s="237"/>
      <c r="X763" s="237"/>
      <c r="Y763" s="237"/>
      <c r="Z763" s="237"/>
      <c r="AA763" s="237"/>
      <c r="AB763" s="237"/>
    </row>
    <row r="764">
      <c r="A764" s="238">
        <v>763.0</v>
      </c>
      <c r="B764" s="239" t="s">
        <v>6755</v>
      </c>
      <c r="C764" s="240" t="s">
        <v>6756</v>
      </c>
      <c r="D764" s="236"/>
      <c r="E764" s="240" t="s">
        <v>3511</v>
      </c>
      <c r="F764" s="240" t="s">
        <v>6757</v>
      </c>
      <c r="G764" s="238" t="s">
        <v>6758</v>
      </c>
      <c r="H764" s="240" t="s">
        <v>6759</v>
      </c>
      <c r="I764" s="236"/>
      <c r="J764" s="238" t="s">
        <v>4745</v>
      </c>
      <c r="K764" s="239" t="s">
        <v>6755</v>
      </c>
      <c r="L764" s="237"/>
      <c r="M764" s="237"/>
      <c r="N764" s="237"/>
      <c r="O764" s="237"/>
      <c r="P764" s="237"/>
      <c r="Q764" s="237"/>
      <c r="R764" s="237"/>
      <c r="S764" s="237"/>
      <c r="T764" s="237"/>
      <c r="U764" s="237"/>
      <c r="V764" s="237"/>
      <c r="W764" s="237"/>
      <c r="X764" s="237"/>
      <c r="Y764" s="237"/>
      <c r="Z764" s="237"/>
      <c r="AA764" s="237"/>
      <c r="AB764" s="237"/>
    </row>
    <row r="765">
      <c r="A765" s="238">
        <v>764.0</v>
      </c>
      <c r="B765" s="239" t="s">
        <v>6760</v>
      </c>
      <c r="C765" s="240" t="s">
        <v>6761</v>
      </c>
      <c r="D765" s="236"/>
      <c r="E765" s="240" t="s">
        <v>3511</v>
      </c>
      <c r="F765" s="240" t="s">
        <v>6762</v>
      </c>
      <c r="G765" s="238" t="s">
        <v>6763</v>
      </c>
      <c r="H765" s="240" t="s">
        <v>6764</v>
      </c>
      <c r="I765" s="236"/>
      <c r="J765" s="238" t="s">
        <v>4745</v>
      </c>
      <c r="K765" s="239" t="s">
        <v>6760</v>
      </c>
      <c r="L765" s="237"/>
      <c r="M765" s="237"/>
      <c r="N765" s="237"/>
      <c r="O765" s="237"/>
      <c r="P765" s="237"/>
      <c r="Q765" s="237"/>
      <c r="R765" s="237"/>
      <c r="S765" s="237"/>
      <c r="T765" s="237"/>
      <c r="U765" s="237"/>
      <c r="V765" s="237"/>
      <c r="W765" s="237"/>
      <c r="X765" s="237"/>
      <c r="Y765" s="237"/>
      <c r="Z765" s="237"/>
      <c r="AA765" s="237"/>
      <c r="AB765" s="237"/>
    </row>
    <row r="766">
      <c r="A766" s="238">
        <v>765.0</v>
      </c>
      <c r="B766" s="239" t="s">
        <v>6765</v>
      </c>
      <c r="C766" s="240" t="s">
        <v>6766</v>
      </c>
      <c r="D766" s="236"/>
      <c r="E766" s="240" t="s">
        <v>3511</v>
      </c>
      <c r="F766" s="240" t="s">
        <v>6767</v>
      </c>
      <c r="G766" s="238" t="s">
        <v>6768</v>
      </c>
      <c r="H766" s="241" t="s">
        <v>6769</v>
      </c>
      <c r="I766" s="236"/>
      <c r="J766" s="238" t="s">
        <v>4745</v>
      </c>
      <c r="K766" s="239" t="s">
        <v>6765</v>
      </c>
      <c r="L766" s="237"/>
      <c r="M766" s="237"/>
      <c r="N766" s="237"/>
      <c r="O766" s="237"/>
      <c r="P766" s="237"/>
      <c r="Q766" s="237"/>
      <c r="R766" s="237"/>
      <c r="S766" s="237"/>
      <c r="T766" s="237"/>
      <c r="U766" s="237"/>
      <c r="V766" s="237"/>
      <c r="W766" s="237"/>
      <c r="X766" s="237"/>
      <c r="Y766" s="237"/>
      <c r="Z766" s="237"/>
      <c r="AA766" s="237"/>
      <c r="AB766" s="237"/>
    </row>
    <row r="767">
      <c r="A767" s="238">
        <v>766.0</v>
      </c>
      <c r="B767" s="239" t="s">
        <v>6770</v>
      </c>
      <c r="C767" s="240" t="s">
        <v>6771</v>
      </c>
      <c r="D767" s="236"/>
      <c r="E767" s="240" t="s">
        <v>3511</v>
      </c>
      <c r="F767" s="240" t="s">
        <v>6772</v>
      </c>
      <c r="G767" s="238" t="s">
        <v>4817</v>
      </c>
      <c r="H767" s="241" t="s">
        <v>6773</v>
      </c>
      <c r="I767" s="236"/>
      <c r="J767" s="238" t="s">
        <v>4745</v>
      </c>
      <c r="K767" s="239" t="s">
        <v>6770</v>
      </c>
      <c r="L767" s="237"/>
      <c r="M767" s="237"/>
      <c r="N767" s="237"/>
      <c r="O767" s="237"/>
      <c r="P767" s="237"/>
      <c r="Q767" s="237"/>
      <c r="R767" s="237"/>
      <c r="S767" s="237"/>
      <c r="T767" s="237"/>
      <c r="U767" s="237"/>
      <c r="V767" s="237"/>
      <c r="W767" s="237"/>
      <c r="X767" s="237"/>
      <c r="Y767" s="237"/>
      <c r="Z767" s="237"/>
      <c r="AA767" s="237"/>
      <c r="AB767" s="237"/>
    </row>
    <row r="768">
      <c r="A768" s="238">
        <v>767.0</v>
      </c>
      <c r="B768" s="239" t="s">
        <v>6774</v>
      </c>
      <c r="C768" s="240" t="s">
        <v>6775</v>
      </c>
      <c r="D768" s="236"/>
      <c r="E768" s="240" t="s">
        <v>3511</v>
      </c>
      <c r="F768" s="240" t="s">
        <v>6776</v>
      </c>
      <c r="G768" s="238" t="s">
        <v>6777</v>
      </c>
      <c r="H768" s="241" t="s">
        <v>6778</v>
      </c>
      <c r="I768" s="236"/>
      <c r="J768" s="238" t="s">
        <v>6272</v>
      </c>
      <c r="K768" s="239" t="s">
        <v>6774</v>
      </c>
      <c r="L768" s="237"/>
      <c r="M768" s="237"/>
      <c r="N768" s="237"/>
      <c r="O768" s="237"/>
      <c r="P768" s="237"/>
      <c r="Q768" s="237"/>
      <c r="R768" s="237"/>
      <c r="S768" s="237"/>
      <c r="T768" s="237"/>
      <c r="U768" s="237"/>
      <c r="V768" s="237"/>
      <c r="W768" s="237"/>
      <c r="X768" s="237"/>
      <c r="Y768" s="237"/>
      <c r="Z768" s="237"/>
      <c r="AA768" s="237"/>
      <c r="AB768" s="237"/>
    </row>
    <row r="769">
      <c r="A769" s="238">
        <v>768.0</v>
      </c>
      <c r="B769" s="239" t="s">
        <v>6779</v>
      </c>
      <c r="C769" s="240" t="s">
        <v>6780</v>
      </c>
      <c r="D769" s="236"/>
      <c r="E769" s="240" t="s">
        <v>3511</v>
      </c>
      <c r="F769" s="240" t="s">
        <v>6781</v>
      </c>
      <c r="G769" s="238" t="s">
        <v>6782</v>
      </c>
      <c r="H769" s="241" t="s">
        <v>6783</v>
      </c>
      <c r="I769" s="236"/>
      <c r="J769" s="238" t="s">
        <v>4745</v>
      </c>
      <c r="K769" s="239" t="s">
        <v>6779</v>
      </c>
      <c r="L769" s="237"/>
      <c r="M769" s="237"/>
      <c r="N769" s="237"/>
      <c r="O769" s="237"/>
      <c r="P769" s="237"/>
      <c r="Q769" s="237"/>
      <c r="R769" s="237"/>
      <c r="S769" s="237"/>
      <c r="T769" s="237"/>
      <c r="U769" s="237"/>
      <c r="V769" s="237"/>
      <c r="W769" s="237"/>
      <c r="X769" s="237"/>
      <c r="Y769" s="237"/>
      <c r="Z769" s="237"/>
      <c r="AA769" s="237"/>
      <c r="AB769" s="237"/>
    </row>
    <row r="770">
      <c r="A770" s="238">
        <v>769.0</v>
      </c>
      <c r="B770" s="239" t="s">
        <v>6784</v>
      </c>
      <c r="C770" s="240" t="s">
        <v>6785</v>
      </c>
      <c r="D770" s="236"/>
      <c r="E770" s="240" t="s">
        <v>3511</v>
      </c>
      <c r="F770" s="240" t="s">
        <v>6786</v>
      </c>
      <c r="G770" s="238" t="s">
        <v>6787</v>
      </c>
      <c r="H770" s="240" t="s">
        <v>6788</v>
      </c>
      <c r="I770" s="236"/>
      <c r="J770" s="243" t="s">
        <v>4745</v>
      </c>
      <c r="K770" s="239" t="s">
        <v>6784</v>
      </c>
      <c r="L770" s="237"/>
      <c r="M770" s="237"/>
      <c r="N770" s="237"/>
      <c r="O770" s="237"/>
      <c r="P770" s="237"/>
      <c r="Q770" s="237"/>
      <c r="R770" s="237"/>
      <c r="S770" s="237"/>
      <c r="T770" s="237"/>
      <c r="U770" s="237"/>
      <c r="V770" s="237"/>
      <c r="W770" s="237"/>
      <c r="X770" s="237"/>
      <c r="Y770" s="237"/>
      <c r="Z770" s="237"/>
      <c r="AA770" s="237"/>
      <c r="AB770" s="237"/>
    </row>
    <row r="771">
      <c r="A771" s="238">
        <v>770.0</v>
      </c>
      <c r="B771" s="239" t="s">
        <v>6789</v>
      </c>
      <c r="C771" s="241" t="s">
        <v>6790</v>
      </c>
      <c r="D771" s="236"/>
      <c r="E771" s="240" t="s">
        <v>3511</v>
      </c>
      <c r="F771" s="240" t="s">
        <v>6791</v>
      </c>
      <c r="G771" s="238" t="s">
        <v>6792</v>
      </c>
      <c r="H771" s="241" t="s">
        <v>6793</v>
      </c>
      <c r="I771" s="236"/>
      <c r="J771" s="238" t="s">
        <v>4745</v>
      </c>
      <c r="K771" s="239" t="s">
        <v>6789</v>
      </c>
      <c r="L771" s="237"/>
      <c r="M771" s="237"/>
      <c r="N771" s="237"/>
      <c r="O771" s="237"/>
      <c r="P771" s="237"/>
      <c r="Q771" s="237"/>
      <c r="R771" s="237"/>
      <c r="S771" s="237"/>
      <c r="T771" s="237"/>
      <c r="U771" s="237"/>
      <c r="V771" s="237"/>
      <c r="W771" s="237"/>
      <c r="X771" s="237"/>
      <c r="Y771" s="237"/>
      <c r="Z771" s="237"/>
      <c r="AA771" s="237"/>
      <c r="AB771" s="237"/>
    </row>
    <row r="772">
      <c r="A772" s="238">
        <v>771.0</v>
      </c>
      <c r="B772" s="239" t="s">
        <v>6794</v>
      </c>
      <c r="C772" s="240" t="s">
        <v>6795</v>
      </c>
      <c r="D772" s="236"/>
      <c r="E772" s="240" t="s">
        <v>3511</v>
      </c>
      <c r="F772" s="240" t="s">
        <v>6796</v>
      </c>
      <c r="G772" s="238" t="s">
        <v>6797</v>
      </c>
      <c r="H772" s="241" t="s">
        <v>6798</v>
      </c>
      <c r="I772" s="236"/>
      <c r="J772" s="238" t="s">
        <v>4745</v>
      </c>
      <c r="K772" s="239" t="s">
        <v>6794</v>
      </c>
      <c r="L772" s="237"/>
      <c r="M772" s="237"/>
      <c r="N772" s="237"/>
      <c r="O772" s="237"/>
      <c r="P772" s="237"/>
      <c r="Q772" s="237"/>
      <c r="R772" s="237"/>
      <c r="S772" s="237"/>
      <c r="T772" s="237"/>
      <c r="U772" s="237"/>
      <c r="V772" s="237"/>
      <c r="W772" s="237"/>
      <c r="X772" s="237"/>
      <c r="Y772" s="237"/>
      <c r="Z772" s="237"/>
      <c r="AA772" s="237"/>
      <c r="AB772" s="237"/>
    </row>
    <row r="773">
      <c r="A773" s="238">
        <v>772.0</v>
      </c>
      <c r="B773" s="242"/>
      <c r="C773" s="240" t="s">
        <v>6799</v>
      </c>
      <c r="D773" s="236"/>
      <c r="E773" s="240" t="s">
        <v>3511</v>
      </c>
      <c r="F773" s="240" t="s">
        <v>5899</v>
      </c>
      <c r="G773" s="238" t="s">
        <v>6800</v>
      </c>
      <c r="H773" s="240" t="s">
        <v>6801</v>
      </c>
      <c r="I773" s="236"/>
      <c r="J773" s="238" t="s">
        <v>4745</v>
      </c>
      <c r="K773" s="242"/>
      <c r="L773" s="237"/>
      <c r="M773" s="237"/>
      <c r="N773" s="237"/>
      <c r="O773" s="237"/>
      <c r="P773" s="237"/>
      <c r="Q773" s="237"/>
      <c r="R773" s="237"/>
      <c r="S773" s="237"/>
      <c r="T773" s="237"/>
      <c r="U773" s="237"/>
      <c r="V773" s="237"/>
      <c r="W773" s="237"/>
      <c r="X773" s="237"/>
      <c r="Y773" s="237"/>
      <c r="Z773" s="237"/>
      <c r="AA773" s="237"/>
      <c r="AB773" s="237"/>
    </row>
    <row r="774">
      <c r="A774" s="238">
        <v>773.0</v>
      </c>
      <c r="B774" s="239" t="s">
        <v>6802</v>
      </c>
      <c r="C774" s="240" t="s">
        <v>6803</v>
      </c>
      <c r="D774" s="236"/>
      <c r="E774" s="240" t="s">
        <v>3496</v>
      </c>
      <c r="F774" s="240" t="s">
        <v>6804</v>
      </c>
      <c r="G774" s="238" t="s">
        <v>6805</v>
      </c>
      <c r="H774" s="236"/>
      <c r="I774" s="236"/>
      <c r="J774" s="238" t="s">
        <v>4745</v>
      </c>
      <c r="K774" s="239" t="s">
        <v>6802</v>
      </c>
      <c r="L774" s="237"/>
      <c r="M774" s="237"/>
      <c r="N774" s="237"/>
      <c r="O774" s="237"/>
      <c r="P774" s="237"/>
      <c r="Q774" s="237"/>
      <c r="R774" s="237"/>
      <c r="S774" s="237"/>
      <c r="T774" s="237"/>
      <c r="U774" s="237"/>
      <c r="V774" s="237"/>
      <c r="W774" s="237"/>
      <c r="X774" s="237"/>
      <c r="Y774" s="237"/>
      <c r="Z774" s="237"/>
      <c r="AA774" s="237"/>
      <c r="AB774" s="237"/>
    </row>
    <row r="775">
      <c r="A775" s="238">
        <v>774.0</v>
      </c>
      <c r="B775" s="239" t="s">
        <v>6806</v>
      </c>
      <c r="C775" s="240" t="s">
        <v>6807</v>
      </c>
      <c r="D775" s="236"/>
      <c r="E775" s="240" t="s">
        <v>3511</v>
      </c>
      <c r="F775" s="240" t="s">
        <v>6808</v>
      </c>
      <c r="G775" s="238" t="s">
        <v>6809</v>
      </c>
      <c r="H775" s="241" t="s">
        <v>6810</v>
      </c>
      <c r="I775" s="236"/>
      <c r="J775" s="238" t="s">
        <v>4745</v>
      </c>
      <c r="K775" s="239" t="s">
        <v>6806</v>
      </c>
      <c r="L775" s="237"/>
      <c r="M775" s="237"/>
      <c r="N775" s="237"/>
      <c r="O775" s="237"/>
      <c r="P775" s="237"/>
      <c r="Q775" s="237"/>
      <c r="R775" s="237"/>
      <c r="S775" s="237"/>
      <c r="T775" s="237"/>
      <c r="U775" s="237"/>
      <c r="V775" s="237"/>
      <c r="W775" s="237"/>
      <c r="X775" s="237"/>
      <c r="Y775" s="237"/>
      <c r="Z775" s="237"/>
      <c r="AA775" s="237"/>
      <c r="AB775" s="237"/>
    </row>
    <row r="776">
      <c r="A776" s="238">
        <v>775.0</v>
      </c>
      <c r="B776" s="239" t="s">
        <v>6811</v>
      </c>
      <c r="C776" s="240" t="s">
        <v>6812</v>
      </c>
      <c r="D776" s="236"/>
      <c r="E776" s="240" t="s">
        <v>3511</v>
      </c>
      <c r="F776" s="240" t="s">
        <v>6813</v>
      </c>
      <c r="G776" s="238" t="s">
        <v>6814</v>
      </c>
      <c r="H776" s="241" t="s">
        <v>6815</v>
      </c>
      <c r="I776" s="236"/>
      <c r="J776" s="238" t="s">
        <v>4745</v>
      </c>
      <c r="K776" s="239" t="s">
        <v>6811</v>
      </c>
      <c r="L776" s="237"/>
      <c r="M776" s="237"/>
      <c r="N776" s="237"/>
      <c r="O776" s="237"/>
      <c r="P776" s="237"/>
      <c r="Q776" s="237"/>
      <c r="R776" s="237"/>
      <c r="S776" s="237"/>
      <c r="T776" s="237"/>
      <c r="U776" s="237"/>
      <c r="V776" s="237"/>
      <c r="W776" s="237"/>
      <c r="X776" s="237"/>
      <c r="Y776" s="237"/>
      <c r="Z776" s="237"/>
      <c r="AA776" s="237"/>
      <c r="AB776" s="237"/>
    </row>
    <row r="777">
      <c r="A777" s="238">
        <v>776.0</v>
      </c>
      <c r="B777" s="239" t="s">
        <v>6802</v>
      </c>
      <c r="C777" s="240" t="s">
        <v>6816</v>
      </c>
      <c r="D777" s="236"/>
      <c r="E777" s="240" t="s">
        <v>3511</v>
      </c>
      <c r="F777" s="240" t="s">
        <v>6804</v>
      </c>
      <c r="G777" s="238" t="s">
        <v>6805</v>
      </c>
      <c r="H777" s="241" t="s">
        <v>6817</v>
      </c>
      <c r="I777" s="236"/>
      <c r="J777" s="238" t="s">
        <v>4745</v>
      </c>
      <c r="K777" s="239" t="s">
        <v>6802</v>
      </c>
      <c r="L777" s="237"/>
      <c r="M777" s="237"/>
      <c r="N777" s="237"/>
      <c r="O777" s="237"/>
      <c r="P777" s="237"/>
      <c r="Q777" s="237"/>
      <c r="R777" s="237"/>
      <c r="S777" s="237"/>
      <c r="T777" s="237"/>
      <c r="U777" s="237"/>
      <c r="V777" s="237"/>
      <c r="W777" s="237"/>
      <c r="X777" s="237"/>
      <c r="Y777" s="237"/>
      <c r="Z777" s="237"/>
      <c r="AA777" s="237"/>
      <c r="AB777" s="237"/>
    </row>
    <row r="778">
      <c r="A778" s="238">
        <v>777.0</v>
      </c>
      <c r="B778" s="242"/>
      <c r="C778" s="240" t="s">
        <v>6818</v>
      </c>
      <c r="D778" s="236"/>
      <c r="E778" s="240" t="s">
        <v>3511</v>
      </c>
      <c r="F778" s="240" t="s">
        <v>6819</v>
      </c>
      <c r="G778" s="238" t="s">
        <v>6820</v>
      </c>
      <c r="H778" s="236"/>
      <c r="I778" s="236"/>
      <c r="J778" s="238" t="s">
        <v>6272</v>
      </c>
      <c r="K778" s="242"/>
      <c r="L778" s="237"/>
      <c r="M778" s="237"/>
      <c r="N778" s="237"/>
      <c r="O778" s="237"/>
      <c r="P778" s="237"/>
      <c r="Q778" s="237"/>
      <c r="R778" s="237"/>
      <c r="S778" s="237"/>
      <c r="T778" s="237"/>
      <c r="U778" s="237"/>
      <c r="V778" s="237"/>
      <c r="W778" s="237"/>
      <c r="X778" s="237"/>
      <c r="Y778" s="237"/>
      <c r="Z778" s="237"/>
      <c r="AA778" s="237"/>
      <c r="AB778" s="237"/>
    </row>
    <row r="779">
      <c r="A779" s="238">
        <v>778.0</v>
      </c>
      <c r="B779" s="239" t="s">
        <v>6821</v>
      </c>
      <c r="C779" s="240" t="s">
        <v>6822</v>
      </c>
      <c r="D779" s="236"/>
      <c r="E779" s="240" t="s">
        <v>3511</v>
      </c>
      <c r="F779" s="240" t="s">
        <v>6823</v>
      </c>
      <c r="G779" s="238" t="s">
        <v>6824</v>
      </c>
      <c r="H779" s="240" t="s">
        <v>6825</v>
      </c>
      <c r="I779" s="236"/>
      <c r="J779" s="238" t="s">
        <v>4745</v>
      </c>
      <c r="K779" s="239" t="s">
        <v>6821</v>
      </c>
      <c r="L779" s="237"/>
      <c r="M779" s="237"/>
      <c r="N779" s="237"/>
      <c r="O779" s="237"/>
      <c r="P779" s="237"/>
      <c r="Q779" s="237"/>
      <c r="R779" s="237"/>
      <c r="S779" s="237"/>
      <c r="T779" s="237"/>
      <c r="U779" s="237"/>
      <c r="V779" s="237"/>
      <c r="W779" s="237"/>
      <c r="X779" s="237"/>
      <c r="Y779" s="237"/>
      <c r="Z779" s="237"/>
      <c r="AA779" s="237"/>
      <c r="AB779" s="237"/>
    </row>
    <row r="780">
      <c r="A780" s="238">
        <v>779.0</v>
      </c>
      <c r="B780" s="239" t="s">
        <v>6826</v>
      </c>
      <c r="C780" s="240" t="s">
        <v>6827</v>
      </c>
      <c r="D780" s="236"/>
      <c r="E780" s="240" t="s">
        <v>3511</v>
      </c>
      <c r="F780" s="240" t="s">
        <v>6828</v>
      </c>
      <c r="G780" s="238" t="s">
        <v>6829</v>
      </c>
      <c r="H780" s="240" t="s">
        <v>6830</v>
      </c>
      <c r="I780" s="236"/>
      <c r="J780" s="238" t="s">
        <v>4745</v>
      </c>
      <c r="K780" s="239" t="s">
        <v>6826</v>
      </c>
      <c r="L780" s="237"/>
      <c r="M780" s="237"/>
      <c r="N780" s="237"/>
      <c r="O780" s="237"/>
      <c r="P780" s="237"/>
      <c r="Q780" s="237"/>
      <c r="R780" s="237"/>
      <c r="S780" s="237"/>
      <c r="T780" s="237"/>
      <c r="U780" s="237"/>
      <c r="V780" s="237"/>
      <c r="W780" s="237"/>
      <c r="X780" s="237"/>
      <c r="Y780" s="237"/>
      <c r="Z780" s="237"/>
      <c r="AA780" s="237"/>
      <c r="AB780" s="237"/>
    </row>
    <row r="781">
      <c r="A781" s="238">
        <v>780.0</v>
      </c>
      <c r="B781" s="239" t="s">
        <v>6831</v>
      </c>
      <c r="C781" s="240" t="s">
        <v>6832</v>
      </c>
      <c r="D781" s="236"/>
      <c r="E781" s="240" t="s">
        <v>3511</v>
      </c>
      <c r="F781" s="240" t="s">
        <v>6833</v>
      </c>
      <c r="G781" s="238" t="s">
        <v>6834</v>
      </c>
      <c r="H781" s="240" t="s">
        <v>6835</v>
      </c>
      <c r="I781" s="236"/>
      <c r="J781" s="238" t="s">
        <v>4745</v>
      </c>
      <c r="K781" s="239" t="s">
        <v>6831</v>
      </c>
      <c r="L781" s="237"/>
      <c r="M781" s="237"/>
      <c r="N781" s="237"/>
      <c r="O781" s="237"/>
      <c r="P781" s="237"/>
      <c r="Q781" s="237"/>
      <c r="R781" s="237"/>
      <c r="S781" s="237"/>
      <c r="T781" s="237"/>
      <c r="U781" s="237"/>
      <c r="V781" s="237"/>
      <c r="W781" s="237"/>
      <c r="X781" s="237"/>
      <c r="Y781" s="237"/>
      <c r="Z781" s="237"/>
      <c r="AA781" s="237"/>
      <c r="AB781" s="237"/>
    </row>
    <row r="782">
      <c r="A782" s="238">
        <v>781.0</v>
      </c>
      <c r="B782" s="239" t="s">
        <v>6836</v>
      </c>
      <c r="C782" s="240" t="s">
        <v>6837</v>
      </c>
      <c r="D782" s="236"/>
      <c r="E782" s="240" t="s">
        <v>3511</v>
      </c>
      <c r="F782" s="240" t="s">
        <v>6838</v>
      </c>
      <c r="G782" s="238" t="s">
        <v>6839</v>
      </c>
      <c r="H782" s="240" t="s">
        <v>6840</v>
      </c>
      <c r="I782" s="236"/>
      <c r="J782" s="238" t="s">
        <v>4745</v>
      </c>
      <c r="K782" s="239" t="s">
        <v>6836</v>
      </c>
      <c r="L782" s="237"/>
      <c r="M782" s="237"/>
      <c r="N782" s="237"/>
      <c r="O782" s="237"/>
      <c r="P782" s="237"/>
      <c r="Q782" s="237"/>
      <c r="R782" s="237"/>
      <c r="S782" s="237"/>
      <c r="T782" s="237"/>
      <c r="U782" s="237"/>
      <c r="V782" s="237"/>
      <c r="W782" s="237"/>
      <c r="X782" s="237"/>
      <c r="Y782" s="237"/>
      <c r="Z782" s="237"/>
      <c r="AA782" s="237"/>
      <c r="AB782" s="237"/>
    </row>
    <row r="783">
      <c r="A783" s="238">
        <v>782.0</v>
      </c>
      <c r="B783" s="242"/>
      <c r="C783" s="240" t="s">
        <v>6841</v>
      </c>
      <c r="D783" s="236"/>
      <c r="E783" s="240" t="s">
        <v>3511</v>
      </c>
      <c r="F783" s="240" t="s">
        <v>5899</v>
      </c>
      <c r="G783" s="238" t="s">
        <v>6842</v>
      </c>
      <c r="H783" s="240" t="s">
        <v>6843</v>
      </c>
      <c r="I783" s="236"/>
      <c r="J783" s="238" t="s">
        <v>4745</v>
      </c>
      <c r="K783" s="242"/>
      <c r="L783" s="237"/>
      <c r="M783" s="237"/>
      <c r="N783" s="237"/>
      <c r="O783" s="237"/>
      <c r="P783" s="237"/>
      <c r="Q783" s="237"/>
      <c r="R783" s="237"/>
      <c r="S783" s="237"/>
      <c r="T783" s="237"/>
      <c r="U783" s="237"/>
      <c r="V783" s="237"/>
      <c r="W783" s="237"/>
      <c r="X783" s="237"/>
      <c r="Y783" s="237"/>
      <c r="Z783" s="237"/>
      <c r="AA783" s="237"/>
      <c r="AB783" s="237"/>
    </row>
    <row r="784">
      <c r="A784" s="238">
        <v>783.0</v>
      </c>
      <c r="B784" s="239" t="s">
        <v>6844</v>
      </c>
      <c r="C784" s="240" t="s">
        <v>6845</v>
      </c>
      <c r="D784" s="236"/>
      <c r="E784" s="240" t="s">
        <v>3511</v>
      </c>
      <c r="F784" s="240" t="s">
        <v>6846</v>
      </c>
      <c r="G784" s="238" t="s">
        <v>6847</v>
      </c>
      <c r="H784" s="240" t="s">
        <v>6848</v>
      </c>
      <c r="I784" s="236"/>
      <c r="J784" s="238" t="s">
        <v>4745</v>
      </c>
      <c r="K784" s="239" t="s">
        <v>6844</v>
      </c>
      <c r="L784" s="237"/>
      <c r="M784" s="237"/>
      <c r="N784" s="237"/>
      <c r="O784" s="237"/>
      <c r="P784" s="237"/>
      <c r="Q784" s="237"/>
      <c r="R784" s="237"/>
      <c r="S784" s="237"/>
      <c r="T784" s="237"/>
      <c r="U784" s="237"/>
      <c r="V784" s="237"/>
      <c r="W784" s="237"/>
      <c r="X784" s="237"/>
      <c r="Y784" s="237"/>
      <c r="Z784" s="237"/>
      <c r="AA784" s="237"/>
      <c r="AB784" s="237"/>
    </row>
    <row r="785">
      <c r="A785" s="238">
        <v>784.0</v>
      </c>
      <c r="B785" s="239" t="s">
        <v>6849</v>
      </c>
      <c r="C785" s="240" t="s">
        <v>6850</v>
      </c>
      <c r="D785" s="236"/>
      <c r="E785" s="240" t="s">
        <v>3511</v>
      </c>
      <c r="F785" s="240" t="s">
        <v>6851</v>
      </c>
      <c r="G785" s="238" t="s">
        <v>6852</v>
      </c>
      <c r="H785" s="240" t="s">
        <v>6853</v>
      </c>
      <c r="I785" s="236"/>
      <c r="J785" s="238" t="s">
        <v>4745</v>
      </c>
      <c r="K785" s="239" t="s">
        <v>6849</v>
      </c>
      <c r="L785" s="237"/>
      <c r="M785" s="237"/>
      <c r="N785" s="237"/>
      <c r="O785" s="237"/>
      <c r="P785" s="237"/>
      <c r="Q785" s="237"/>
      <c r="R785" s="237"/>
      <c r="S785" s="237"/>
      <c r="T785" s="237"/>
      <c r="U785" s="237"/>
      <c r="V785" s="237"/>
      <c r="W785" s="237"/>
      <c r="X785" s="237"/>
      <c r="Y785" s="237"/>
      <c r="Z785" s="237"/>
      <c r="AA785" s="237"/>
      <c r="AB785" s="237"/>
    </row>
    <row r="786">
      <c r="A786" s="238">
        <v>785.0</v>
      </c>
      <c r="B786" s="239" t="s">
        <v>5990</v>
      </c>
      <c r="C786" s="240" t="s">
        <v>6854</v>
      </c>
      <c r="D786" s="236"/>
      <c r="E786" s="240" t="s">
        <v>3511</v>
      </c>
      <c r="F786" s="240" t="s">
        <v>5992</v>
      </c>
      <c r="G786" s="238" t="s">
        <v>5993</v>
      </c>
      <c r="H786" s="241" t="s">
        <v>6855</v>
      </c>
      <c r="I786" s="236"/>
      <c r="J786" s="238" t="s">
        <v>5994</v>
      </c>
      <c r="K786" s="239" t="s">
        <v>5990</v>
      </c>
      <c r="L786" s="237"/>
      <c r="M786" s="237"/>
      <c r="N786" s="237"/>
      <c r="O786" s="237"/>
      <c r="P786" s="237"/>
      <c r="Q786" s="237"/>
      <c r="R786" s="237"/>
      <c r="S786" s="237"/>
      <c r="T786" s="237"/>
      <c r="U786" s="237"/>
      <c r="V786" s="237"/>
      <c r="W786" s="237"/>
      <c r="X786" s="237"/>
      <c r="Y786" s="237"/>
      <c r="Z786" s="237"/>
      <c r="AA786" s="237"/>
      <c r="AB786" s="237"/>
    </row>
    <row r="787">
      <c r="A787" s="238">
        <v>786.0</v>
      </c>
      <c r="B787" s="239" t="s">
        <v>6856</v>
      </c>
      <c r="C787" s="240" t="s">
        <v>6857</v>
      </c>
      <c r="D787" s="236"/>
      <c r="E787" s="240" t="s">
        <v>3511</v>
      </c>
      <c r="F787" s="240" t="s">
        <v>6858</v>
      </c>
      <c r="G787" s="238" t="s">
        <v>5509</v>
      </c>
      <c r="H787" s="240" t="s">
        <v>6859</v>
      </c>
      <c r="I787" s="236"/>
      <c r="J787" s="238" t="s">
        <v>3839</v>
      </c>
      <c r="K787" s="239" t="s">
        <v>6856</v>
      </c>
      <c r="L787" s="237"/>
      <c r="M787" s="237"/>
      <c r="N787" s="237"/>
      <c r="O787" s="237"/>
      <c r="P787" s="237"/>
      <c r="Q787" s="237"/>
      <c r="R787" s="237"/>
      <c r="S787" s="237"/>
      <c r="T787" s="237"/>
      <c r="U787" s="237"/>
      <c r="V787" s="237"/>
      <c r="W787" s="237"/>
      <c r="X787" s="237"/>
      <c r="Y787" s="237"/>
      <c r="Z787" s="237"/>
      <c r="AA787" s="237"/>
      <c r="AB787" s="237"/>
    </row>
    <row r="788">
      <c r="A788" s="238">
        <v>787.0</v>
      </c>
      <c r="B788" s="239" t="s">
        <v>6860</v>
      </c>
      <c r="C788" s="240" t="s">
        <v>6861</v>
      </c>
      <c r="D788" s="236"/>
      <c r="E788" s="240" t="s">
        <v>3511</v>
      </c>
      <c r="F788" s="240" t="s">
        <v>6862</v>
      </c>
      <c r="G788" s="238" t="s">
        <v>6863</v>
      </c>
      <c r="H788" s="240" t="s">
        <v>6864</v>
      </c>
      <c r="I788" s="236"/>
      <c r="J788" s="238" t="s">
        <v>6272</v>
      </c>
      <c r="K788" s="239" t="s">
        <v>6860</v>
      </c>
      <c r="L788" s="237"/>
      <c r="M788" s="237"/>
      <c r="N788" s="237"/>
      <c r="O788" s="237"/>
      <c r="P788" s="237"/>
      <c r="Q788" s="237"/>
      <c r="R788" s="237"/>
      <c r="S788" s="237"/>
      <c r="T788" s="237"/>
      <c r="U788" s="237"/>
      <c r="V788" s="237"/>
      <c r="W788" s="237"/>
      <c r="X788" s="237"/>
      <c r="Y788" s="237"/>
      <c r="Z788" s="237"/>
      <c r="AA788" s="237"/>
      <c r="AB788" s="237"/>
    </row>
    <row r="789">
      <c r="A789" s="238">
        <v>788.0</v>
      </c>
      <c r="B789" s="239" t="s">
        <v>6865</v>
      </c>
      <c r="C789" s="240" t="s">
        <v>6866</v>
      </c>
      <c r="D789" s="236"/>
      <c r="E789" s="240" t="s">
        <v>3511</v>
      </c>
      <c r="F789" s="240" t="s">
        <v>6867</v>
      </c>
      <c r="G789" s="238" t="s">
        <v>6868</v>
      </c>
      <c r="H789" s="240" t="s">
        <v>6869</v>
      </c>
      <c r="I789" s="236"/>
      <c r="J789" s="238" t="s">
        <v>3839</v>
      </c>
      <c r="K789" s="239" t="s">
        <v>6865</v>
      </c>
      <c r="L789" s="237"/>
      <c r="M789" s="237"/>
      <c r="N789" s="237"/>
      <c r="O789" s="237"/>
      <c r="P789" s="237"/>
      <c r="Q789" s="237"/>
      <c r="R789" s="237"/>
      <c r="S789" s="237"/>
      <c r="T789" s="237"/>
      <c r="U789" s="237"/>
      <c r="V789" s="237"/>
      <c r="W789" s="237"/>
      <c r="X789" s="237"/>
      <c r="Y789" s="237"/>
      <c r="Z789" s="237"/>
      <c r="AA789" s="237"/>
      <c r="AB789" s="237"/>
    </row>
    <row r="790">
      <c r="A790" s="238">
        <v>789.0</v>
      </c>
      <c r="B790" s="242"/>
      <c r="C790" s="240" t="s">
        <v>6870</v>
      </c>
      <c r="D790" s="236"/>
      <c r="E790" s="240" t="s">
        <v>3496</v>
      </c>
      <c r="F790" s="240" t="s">
        <v>6871</v>
      </c>
      <c r="G790" s="238" t="s">
        <v>6872</v>
      </c>
      <c r="H790" s="236"/>
      <c r="I790" s="236"/>
      <c r="J790" s="238" t="s">
        <v>3545</v>
      </c>
      <c r="K790" s="242"/>
      <c r="L790" s="237"/>
      <c r="M790" s="237"/>
      <c r="N790" s="237"/>
      <c r="O790" s="237"/>
      <c r="P790" s="237"/>
      <c r="Q790" s="237"/>
      <c r="R790" s="237"/>
      <c r="S790" s="237"/>
      <c r="T790" s="237"/>
      <c r="U790" s="237"/>
      <c r="V790" s="237"/>
      <c r="W790" s="237"/>
      <c r="X790" s="237"/>
      <c r="Y790" s="237"/>
      <c r="Z790" s="237"/>
      <c r="AA790" s="237"/>
      <c r="AB790" s="237"/>
    </row>
    <row r="791">
      <c r="A791" s="238">
        <v>790.0</v>
      </c>
      <c r="B791" s="239" t="s">
        <v>6873</v>
      </c>
      <c r="C791" s="240" t="s">
        <v>6874</v>
      </c>
      <c r="D791" s="236"/>
      <c r="E791" s="240" t="s">
        <v>3511</v>
      </c>
      <c r="F791" s="240" t="s">
        <v>6875</v>
      </c>
      <c r="G791" s="238" t="s">
        <v>6876</v>
      </c>
      <c r="H791" s="240" t="s">
        <v>6877</v>
      </c>
      <c r="I791" s="236"/>
      <c r="J791" s="238" t="s">
        <v>3515</v>
      </c>
      <c r="K791" s="239" t="s">
        <v>6873</v>
      </c>
      <c r="L791" s="237"/>
      <c r="M791" s="237"/>
      <c r="N791" s="237"/>
      <c r="O791" s="237"/>
      <c r="P791" s="237"/>
      <c r="Q791" s="237"/>
      <c r="R791" s="237"/>
      <c r="S791" s="237"/>
      <c r="T791" s="237"/>
      <c r="U791" s="237"/>
      <c r="V791" s="237"/>
      <c r="W791" s="237"/>
      <c r="X791" s="237"/>
      <c r="Y791" s="237"/>
      <c r="Z791" s="237"/>
      <c r="AA791" s="237"/>
      <c r="AB791" s="237"/>
    </row>
    <row r="792">
      <c r="A792" s="238">
        <v>791.0</v>
      </c>
      <c r="B792" s="242"/>
      <c r="C792" s="240" t="s">
        <v>6878</v>
      </c>
      <c r="D792" s="236"/>
      <c r="E792" s="240" t="s">
        <v>3511</v>
      </c>
      <c r="F792" s="240" t="s">
        <v>5899</v>
      </c>
      <c r="G792" s="238" t="s">
        <v>6879</v>
      </c>
      <c r="H792" s="240" t="s">
        <v>6880</v>
      </c>
      <c r="I792" s="236"/>
      <c r="J792" s="238" t="s">
        <v>5032</v>
      </c>
      <c r="K792" s="242"/>
      <c r="L792" s="237"/>
      <c r="M792" s="237"/>
      <c r="N792" s="237"/>
      <c r="O792" s="237"/>
      <c r="P792" s="237"/>
      <c r="Q792" s="237"/>
      <c r="R792" s="237"/>
      <c r="S792" s="237"/>
      <c r="T792" s="237"/>
      <c r="U792" s="237"/>
      <c r="V792" s="237"/>
      <c r="W792" s="237"/>
      <c r="X792" s="237"/>
      <c r="Y792" s="237"/>
      <c r="Z792" s="237"/>
      <c r="AA792" s="237"/>
      <c r="AB792" s="237"/>
    </row>
    <row r="793">
      <c r="A793" s="238">
        <v>792.0</v>
      </c>
      <c r="B793" s="242"/>
      <c r="C793" s="240" t="s">
        <v>6881</v>
      </c>
      <c r="D793" s="236"/>
      <c r="E793" s="240" t="s">
        <v>3511</v>
      </c>
      <c r="F793" s="241" t="s">
        <v>1419</v>
      </c>
      <c r="G793" s="238" t="s">
        <v>6882</v>
      </c>
      <c r="H793" s="251" t="s">
        <v>6883</v>
      </c>
      <c r="I793" s="236"/>
      <c r="J793" s="238" t="s">
        <v>5032</v>
      </c>
      <c r="K793" s="242"/>
      <c r="L793" s="237"/>
      <c r="M793" s="237"/>
      <c r="N793" s="237"/>
      <c r="O793" s="237"/>
      <c r="P793" s="237"/>
      <c r="Q793" s="237"/>
      <c r="R793" s="237"/>
      <c r="S793" s="237"/>
      <c r="T793" s="237"/>
      <c r="U793" s="237"/>
      <c r="V793" s="237"/>
      <c r="W793" s="237"/>
      <c r="X793" s="237"/>
      <c r="Y793" s="237"/>
      <c r="Z793" s="237"/>
      <c r="AA793" s="237"/>
      <c r="AB793" s="237"/>
    </row>
    <row r="794">
      <c r="A794" s="238">
        <v>793.0</v>
      </c>
      <c r="B794" s="242"/>
      <c r="C794" s="240" t="s">
        <v>6884</v>
      </c>
      <c r="D794" s="236"/>
      <c r="E794" s="240" t="s">
        <v>3511</v>
      </c>
      <c r="F794" s="240" t="s">
        <v>6885</v>
      </c>
      <c r="G794" s="238" t="s">
        <v>6886</v>
      </c>
      <c r="H794" s="237"/>
      <c r="I794" s="236"/>
      <c r="J794" s="238" t="s">
        <v>6272</v>
      </c>
      <c r="K794" s="242"/>
      <c r="L794" s="237"/>
      <c r="M794" s="237"/>
      <c r="N794" s="237"/>
      <c r="O794" s="237"/>
      <c r="P794" s="237"/>
      <c r="Q794" s="237"/>
      <c r="R794" s="237"/>
      <c r="S794" s="237"/>
      <c r="T794" s="237"/>
      <c r="U794" s="237"/>
      <c r="V794" s="237"/>
      <c r="W794" s="237"/>
      <c r="X794" s="237"/>
      <c r="Y794" s="237"/>
      <c r="Z794" s="237"/>
      <c r="AA794" s="237"/>
      <c r="AB794" s="237"/>
    </row>
    <row r="795">
      <c r="A795" s="238">
        <v>794.0</v>
      </c>
      <c r="B795" s="242"/>
      <c r="C795" s="240" t="s">
        <v>6887</v>
      </c>
      <c r="D795" s="236"/>
      <c r="E795" s="240" t="s">
        <v>3511</v>
      </c>
      <c r="F795" s="240" t="s">
        <v>5899</v>
      </c>
      <c r="G795" s="238" t="s">
        <v>6888</v>
      </c>
      <c r="H795" s="240" t="s">
        <v>6889</v>
      </c>
      <c r="I795" s="236"/>
      <c r="J795" s="238" t="s">
        <v>6715</v>
      </c>
      <c r="K795" s="242"/>
      <c r="L795" s="237"/>
      <c r="M795" s="237"/>
      <c r="N795" s="237"/>
      <c r="O795" s="237"/>
      <c r="P795" s="237"/>
      <c r="Q795" s="237"/>
      <c r="R795" s="237"/>
      <c r="S795" s="237"/>
      <c r="T795" s="237"/>
      <c r="U795" s="237"/>
      <c r="V795" s="237"/>
      <c r="W795" s="237"/>
      <c r="X795" s="237"/>
      <c r="Y795" s="237"/>
      <c r="Z795" s="237"/>
      <c r="AA795" s="237"/>
      <c r="AB795" s="237"/>
    </row>
    <row r="796">
      <c r="A796" s="238">
        <v>795.0</v>
      </c>
      <c r="B796" s="239" t="s">
        <v>6890</v>
      </c>
      <c r="C796" s="240" t="s">
        <v>6891</v>
      </c>
      <c r="D796" s="236"/>
      <c r="E796" s="240" t="s">
        <v>3496</v>
      </c>
      <c r="F796" s="240" t="s">
        <v>6892</v>
      </c>
      <c r="G796" s="238" t="s">
        <v>6893</v>
      </c>
      <c r="H796" s="236"/>
      <c r="I796" s="236"/>
      <c r="J796" s="238" t="s">
        <v>3962</v>
      </c>
      <c r="K796" s="239" t="s">
        <v>6890</v>
      </c>
      <c r="L796" s="237"/>
      <c r="M796" s="237"/>
      <c r="N796" s="237"/>
      <c r="O796" s="237"/>
      <c r="P796" s="237"/>
      <c r="Q796" s="237"/>
      <c r="R796" s="237"/>
      <c r="S796" s="237"/>
      <c r="T796" s="237"/>
      <c r="U796" s="237"/>
      <c r="V796" s="237"/>
      <c r="W796" s="237"/>
      <c r="X796" s="237"/>
      <c r="Y796" s="237"/>
      <c r="Z796" s="237"/>
      <c r="AA796" s="237"/>
      <c r="AB796" s="237"/>
    </row>
    <row r="797">
      <c r="A797" s="238">
        <v>796.0</v>
      </c>
      <c r="B797" s="242"/>
      <c r="C797" s="240" t="s">
        <v>6894</v>
      </c>
      <c r="D797" s="236"/>
      <c r="E797" s="240" t="s">
        <v>3496</v>
      </c>
      <c r="F797" s="240" t="s">
        <v>6895</v>
      </c>
      <c r="G797" s="238" t="s">
        <v>6896</v>
      </c>
      <c r="H797" s="236"/>
      <c r="I797" s="236"/>
      <c r="J797" s="238" t="s">
        <v>3962</v>
      </c>
      <c r="K797" s="242"/>
      <c r="L797" s="237"/>
      <c r="M797" s="237"/>
      <c r="N797" s="237"/>
      <c r="O797" s="237"/>
      <c r="P797" s="237"/>
      <c r="Q797" s="237"/>
      <c r="R797" s="237"/>
      <c r="S797" s="237"/>
      <c r="T797" s="237"/>
      <c r="U797" s="237"/>
      <c r="V797" s="237"/>
      <c r="W797" s="237"/>
      <c r="X797" s="237"/>
      <c r="Y797" s="237"/>
      <c r="Z797" s="237"/>
      <c r="AA797" s="237"/>
      <c r="AB797" s="237"/>
    </row>
    <row r="798">
      <c r="A798" s="238">
        <v>797.0</v>
      </c>
      <c r="B798" s="242"/>
      <c r="C798" s="240" t="s">
        <v>6897</v>
      </c>
      <c r="D798" s="236"/>
      <c r="E798" s="240" t="s">
        <v>3496</v>
      </c>
      <c r="F798" s="240" t="s">
        <v>6898</v>
      </c>
      <c r="G798" s="238" t="s">
        <v>6899</v>
      </c>
      <c r="H798" s="236"/>
      <c r="I798" s="236"/>
      <c r="J798" s="238" t="s">
        <v>6272</v>
      </c>
      <c r="K798" s="242"/>
      <c r="L798" s="237"/>
      <c r="M798" s="237"/>
      <c r="N798" s="237"/>
      <c r="O798" s="237"/>
      <c r="P798" s="237"/>
      <c r="Q798" s="237"/>
      <c r="R798" s="237"/>
      <c r="S798" s="237"/>
      <c r="T798" s="237"/>
      <c r="U798" s="237"/>
      <c r="V798" s="237"/>
      <c r="W798" s="237"/>
      <c r="X798" s="237"/>
      <c r="Y798" s="237"/>
      <c r="Z798" s="237"/>
      <c r="AA798" s="237"/>
      <c r="AB798" s="237"/>
    </row>
    <row r="799">
      <c r="A799" s="238">
        <v>798.0</v>
      </c>
      <c r="B799" s="239" t="s">
        <v>6900</v>
      </c>
      <c r="C799" s="240" t="s">
        <v>6901</v>
      </c>
      <c r="D799" s="236"/>
      <c r="E799" s="240" t="s">
        <v>3511</v>
      </c>
      <c r="F799" s="240" t="s">
        <v>6902</v>
      </c>
      <c r="G799" s="238" t="s">
        <v>6903</v>
      </c>
      <c r="H799" s="236"/>
      <c r="I799" s="236"/>
      <c r="J799" s="238" t="s">
        <v>6904</v>
      </c>
      <c r="K799" s="239" t="s">
        <v>6900</v>
      </c>
      <c r="L799" s="237"/>
      <c r="M799" s="237"/>
      <c r="N799" s="237"/>
      <c r="O799" s="237"/>
      <c r="P799" s="237"/>
      <c r="Q799" s="237"/>
      <c r="R799" s="237"/>
      <c r="S799" s="237"/>
      <c r="T799" s="237"/>
      <c r="U799" s="237"/>
      <c r="V799" s="237"/>
      <c r="W799" s="237"/>
      <c r="X799" s="237"/>
      <c r="Y799" s="237"/>
      <c r="Z799" s="237"/>
      <c r="AA799" s="237"/>
      <c r="AB799" s="237"/>
    </row>
    <row r="800">
      <c r="A800" s="238">
        <v>799.0</v>
      </c>
      <c r="B800" s="239" t="s">
        <v>6905</v>
      </c>
      <c r="C800" s="240" t="s">
        <v>6906</v>
      </c>
      <c r="D800" s="236"/>
      <c r="E800" s="240" t="s">
        <v>3511</v>
      </c>
      <c r="F800" s="240" t="s">
        <v>6907</v>
      </c>
      <c r="G800" s="238" t="s">
        <v>6908</v>
      </c>
      <c r="H800" s="236"/>
      <c r="I800" s="236"/>
      <c r="J800" s="238" t="s">
        <v>6904</v>
      </c>
      <c r="K800" s="239" t="s">
        <v>6905</v>
      </c>
      <c r="L800" s="237"/>
      <c r="M800" s="237"/>
      <c r="N800" s="237"/>
      <c r="O800" s="237"/>
      <c r="P800" s="237"/>
      <c r="Q800" s="237"/>
      <c r="R800" s="237"/>
      <c r="S800" s="237"/>
      <c r="T800" s="237"/>
      <c r="U800" s="237"/>
      <c r="V800" s="237"/>
      <c r="W800" s="237"/>
      <c r="X800" s="237"/>
      <c r="Y800" s="237"/>
      <c r="Z800" s="237"/>
      <c r="AA800" s="237"/>
      <c r="AB800" s="237"/>
    </row>
    <row r="801">
      <c r="A801" s="238">
        <v>800.0</v>
      </c>
      <c r="B801" s="239" t="s">
        <v>6909</v>
      </c>
      <c r="C801" s="240" t="s">
        <v>6910</v>
      </c>
      <c r="D801" s="236"/>
      <c r="E801" s="240" t="s">
        <v>3511</v>
      </c>
      <c r="F801" s="240" t="s">
        <v>6911</v>
      </c>
      <c r="G801" s="238" t="s">
        <v>6912</v>
      </c>
      <c r="H801" s="236"/>
      <c r="I801" s="236"/>
      <c r="J801" s="238" t="s">
        <v>6904</v>
      </c>
      <c r="K801" s="239" t="s">
        <v>6909</v>
      </c>
      <c r="L801" s="237"/>
      <c r="M801" s="237"/>
      <c r="N801" s="237"/>
      <c r="O801" s="237"/>
      <c r="P801" s="237"/>
      <c r="Q801" s="237"/>
      <c r="R801" s="237"/>
      <c r="S801" s="237"/>
      <c r="T801" s="237"/>
      <c r="U801" s="237"/>
      <c r="V801" s="237"/>
      <c r="W801" s="237"/>
      <c r="X801" s="237"/>
      <c r="Y801" s="237"/>
      <c r="Z801" s="237"/>
      <c r="AA801" s="237"/>
      <c r="AB801" s="237"/>
    </row>
    <row r="802">
      <c r="A802" s="238">
        <v>801.0</v>
      </c>
      <c r="B802" s="239" t="s">
        <v>6913</v>
      </c>
      <c r="C802" s="240" t="s">
        <v>6914</v>
      </c>
      <c r="D802" s="236"/>
      <c r="E802" s="240" t="s">
        <v>3511</v>
      </c>
      <c r="F802" s="240" t="s">
        <v>6915</v>
      </c>
      <c r="G802" s="238" t="s">
        <v>6916</v>
      </c>
      <c r="H802" s="236"/>
      <c r="I802" s="236"/>
      <c r="J802" s="238" t="s">
        <v>6904</v>
      </c>
      <c r="K802" s="239" t="s">
        <v>6913</v>
      </c>
      <c r="L802" s="237"/>
      <c r="M802" s="237"/>
      <c r="N802" s="237"/>
      <c r="O802" s="237"/>
      <c r="P802" s="237"/>
      <c r="Q802" s="237"/>
      <c r="R802" s="237"/>
      <c r="S802" s="237"/>
      <c r="T802" s="237"/>
      <c r="U802" s="237"/>
      <c r="V802" s="237"/>
      <c r="W802" s="237"/>
      <c r="X802" s="237"/>
      <c r="Y802" s="237"/>
      <c r="Z802" s="237"/>
      <c r="AA802" s="237"/>
      <c r="AB802" s="237"/>
    </row>
    <row r="803">
      <c r="A803" s="238">
        <v>802.0</v>
      </c>
      <c r="B803" s="242"/>
      <c r="C803" s="240" t="s">
        <v>6917</v>
      </c>
      <c r="D803" s="236"/>
      <c r="E803" s="240" t="s">
        <v>3511</v>
      </c>
      <c r="F803" s="240" t="s">
        <v>5899</v>
      </c>
      <c r="G803" s="238" t="s">
        <v>6918</v>
      </c>
      <c r="H803" s="236"/>
      <c r="I803" s="236"/>
      <c r="J803" s="238" t="s">
        <v>6904</v>
      </c>
      <c r="K803" s="242"/>
      <c r="L803" s="237"/>
      <c r="M803" s="237"/>
      <c r="N803" s="237"/>
      <c r="O803" s="237"/>
      <c r="P803" s="237"/>
      <c r="Q803" s="237"/>
      <c r="R803" s="237"/>
      <c r="S803" s="237"/>
      <c r="T803" s="237"/>
      <c r="U803" s="237"/>
      <c r="V803" s="237"/>
      <c r="W803" s="237"/>
      <c r="X803" s="237"/>
      <c r="Y803" s="237"/>
      <c r="Z803" s="237"/>
      <c r="AA803" s="237"/>
      <c r="AB803" s="237"/>
    </row>
    <row r="804">
      <c r="A804" s="238">
        <v>803.0</v>
      </c>
      <c r="B804" s="239" t="s">
        <v>6919</v>
      </c>
      <c r="C804" s="240" t="s">
        <v>6920</v>
      </c>
      <c r="D804" s="236"/>
      <c r="E804" s="240" t="s">
        <v>3511</v>
      </c>
      <c r="F804" s="240" t="s">
        <v>6921</v>
      </c>
      <c r="G804" s="238" t="s">
        <v>6922</v>
      </c>
      <c r="H804" s="240" t="s">
        <v>6923</v>
      </c>
      <c r="I804" s="236"/>
      <c r="J804" s="238" t="s">
        <v>6924</v>
      </c>
      <c r="K804" s="239" t="s">
        <v>6919</v>
      </c>
      <c r="L804" s="237"/>
      <c r="M804" s="237"/>
      <c r="N804" s="237"/>
      <c r="O804" s="237"/>
      <c r="P804" s="237"/>
      <c r="Q804" s="237"/>
      <c r="R804" s="237"/>
      <c r="S804" s="237"/>
      <c r="T804" s="237"/>
      <c r="U804" s="237"/>
      <c r="V804" s="237"/>
      <c r="W804" s="237"/>
      <c r="X804" s="237"/>
      <c r="Y804" s="237"/>
      <c r="Z804" s="237"/>
      <c r="AA804" s="237"/>
      <c r="AB804" s="237"/>
    </row>
    <row r="805">
      <c r="A805" s="238">
        <v>804.0</v>
      </c>
      <c r="B805" s="239" t="s">
        <v>6925</v>
      </c>
      <c r="C805" s="240" t="s">
        <v>6926</v>
      </c>
      <c r="D805" s="236"/>
      <c r="E805" s="240" t="s">
        <v>3511</v>
      </c>
      <c r="F805" s="240" t="s">
        <v>6927</v>
      </c>
      <c r="G805" s="238" t="s">
        <v>6928</v>
      </c>
      <c r="H805" s="240" t="s">
        <v>6929</v>
      </c>
      <c r="I805" s="236"/>
      <c r="J805" s="238" t="s">
        <v>6924</v>
      </c>
      <c r="K805" s="239" t="s">
        <v>6925</v>
      </c>
      <c r="L805" s="237"/>
      <c r="M805" s="237"/>
      <c r="N805" s="237"/>
      <c r="O805" s="237"/>
      <c r="P805" s="237"/>
      <c r="Q805" s="237"/>
      <c r="R805" s="237"/>
      <c r="S805" s="237"/>
      <c r="T805" s="237"/>
      <c r="U805" s="237"/>
      <c r="V805" s="237"/>
      <c r="W805" s="237"/>
      <c r="X805" s="237"/>
      <c r="Y805" s="237"/>
      <c r="Z805" s="237"/>
      <c r="AA805" s="237"/>
      <c r="AB805" s="237"/>
    </row>
    <row r="806">
      <c r="A806" s="238">
        <v>805.0</v>
      </c>
      <c r="B806" s="239" t="s">
        <v>6930</v>
      </c>
      <c r="C806" s="240" t="s">
        <v>6931</v>
      </c>
      <c r="D806" s="236"/>
      <c r="E806" s="240" t="s">
        <v>3511</v>
      </c>
      <c r="F806" s="240" t="s">
        <v>6932</v>
      </c>
      <c r="G806" s="238" t="s">
        <v>6933</v>
      </c>
      <c r="H806" s="240" t="s">
        <v>6934</v>
      </c>
      <c r="I806" s="236"/>
      <c r="J806" s="238" t="s">
        <v>6924</v>
      </c>
      <c r="K806" s="239" t="s">
        <v>6930</v>
      </c>
      <c r="L806" s="237"/>
      <c r="M806" s="237"/>
      <c r="N806" s="237"/>
      <c r="O806" s="237"/>
      <c r="P806" s="237"/>
      <c r="Q806" s="237"/>
      <c r="R806" s="237"/>
      <c r="S806" s="237"/>
      <c r="T806" s="237"/>
      <c r="U806" s="237"/>
      <c r="V806" s="237"/>
      <c r="W806" s="237"/>
      <c r="X806" s="237"/>
      <c r="Y806" s="237"/>
      <c r="Z806" s="237"/>
      <c r="AA806" s="237"/>
      <c r="AB806" s="237"/>
    </row>
    <row r="807">
      <c r="A807" s="238">
        <v>806.0</v>
      </c>
      <c r="B807" s="239" t="s">
        <v>6935</v>
      </c>
      <c r="C807" s="240" t="s">
        <v>6936</v>
      </c>
      <c r="D807" s="236"/>
      <c r="E807" s="240" t="s">
        <v>3511</v>
      </c>
      <c r="F807" s="240" t="s">
        <v>6937</v>
      </c>
      <c r="G807" s="238" t="s">
        <v>5595</v>
      </c>
      <c r="H807" s="240" t="s">
        <v>6938</v>
      </c>
      <c r="I807" s="236"/>
      <c r="J807" s="238" t="s">
        <v>6924</v>
      </c>
      <c r="K807" s="239" t="s">
        <v>6935</v>
      </c>
      <c r="L807" s="237"/>
      <c r="M807" s="237"/>
      <c r="N807" s="237"/>
      <c r="O807" s="237"/>
      <c r="P807" s="237"/>
      <c r="Q807" s="237"/>
      <c r="R807" s="237"/>
      <c r="S807" s="237"/>
      <c r="T807" s="237"/>
      <c r="U807" s="237"/>
      <c r="V807" s="237"/>
      <c r="W807" s="237"/>
      <c r="X807" s="237"/>
      <c r="Y807" s="237"/>
      <c r="Z807" s="237"/>
      <c r="AA807" s="237"/>
      <c r="AB807" s="237"/>
    </row>
    <row r="808">
      <c r="A808" s="238">
        <v>807.0</v>
      </c>
      <c r="B808" s="239" t="s">
        <v>6939</v>
      </c>
      <c r="C808" s="240" t="s">
        <v>6940</v>
      </c>
      <c r="D808" s="236"/>
      <c r="E808" s="240" t="s">
        <v>3511</v>
      </c>
      <c r="F808" s="240" t="s">
        <v>6941</v>
      </c>
      <c r="G808" s="238" t="s">
        <v>6942</v>
      </c>
      <c r="H808" s="240" t="s">
        <v>6943</v>
      </c>
      <c r="I808" s="236"/>
      <c r="J808" s="238" t="s">
        <v>6272</v>
      </c>
      <c r="K808" s="239" t="s">
        <v>6939</v>
      </c>
      <c r="L808" s="237"/>
      <c r="M808" s="237"/>
      <c r="N808" s="237"/>
      <c r="O808" s="237"/>
      <c r="P808" s="237"/>
      <c r="Q808" s="237"/>
      <c r="R808" s="237"/>
      <c r="S808" s="237"/>
      <c r="T808" s="237"/>
      <c r="U808" s="237"/>
      <c r="V808" s="237"/>
      <c r="W808" s="237"/>
      <c r="X808" s="237"/>
      <c r="Y808" s="237"/>
      <c r="Z808" s="237"/>
      <c r="AA808" s="237"/>
      <c r="AB808" s="237"/>
    </row>
    <row r="809">
      <c r="A809" s="238">
        <v>808.0</v>
      </c>
      <c r="B809" s="239" t="s">
        <v>6944</v>
      </c>
      <c r="C809" s="240" t="s">
        <v>6945</v>
      </c>
      <c r="D809" s="236"/>
      <c r="E809" s="240" t="s">
        <v>3511</v>
      </c>
      <c r="F809" s="240" t="s">
        <v>6946</v>
      </c>
      <c r="G809" s="238" t="s">
        <v>6947</v>
      </c>
      <c r="H809" s="240" t="s">
        <v>6948</v>
      </c>
      <c r="I809" s="236"/>
      <c r="J809" s="238" t="s">
        <v>6924</v>
      </c>
      <c r="K809" s="239" t="s">
        <v>6944</v>
      </c>
      <c r="L809" s="237"/>
      <c r="M809" s="237"/>
      <c r="N809" s="237"/>
      <c r="O809" s="237"/>
      <c r="P809" s="237"/>
      <c r="Q809" s="237"/>
      <c r="R809" s="237"/>
      <c r="S809" s="237"/>
      <c r="T809" s="237"/>
      <c r="U809" s="237"/>
      <c r="V809" s="237"/>
      <c r="W809" s="237"/>
      <c r="X809" s="237"/>
      <c r="Y809" s="237"/>
      <c r="Z809" s="237"/>
      <c r="AA809" s="237"/>
      <c r="AB809" s="237"/>
    </row>
    <row r="810">
      <c r="A810" s="238">
        <v>809.0</v>
      </c>
      <c r="B810" s="239" t="s">
        <v>6949</v>
      </c>
      <c r="C810" s="240" t="s">
        <v>6950</v>
      </c>
      <c r="D810" s="236"/>
      <c r="E810" s="240" t="s">
        <v>3511</v>
      </c>
      <c r="F810" s="240" t="s">
        <v>6951</v>
      </c>
      <c r="G810" s="238" t="s">
        <v>6952</v>
      </c>
      <c r="H810" s="240" t="s">
        <v>6953</v>
      </c>
      <c r="I810" s="236"/>
      <c r="J810" s="238" t="s">
        <v>6924</v>
      </c>
      <c r="K810" s="239" t="s">
        <v>6949</v>
      </c>
      <c r="L810" s="237"/>
      <c r="M810" s="237"/>
      <c r="N810" s="237"/>
      <c r="O810" s="237"/>
      <c r="P810" s="237"/>
      <c r="Q810" s="237"/>
      <c r="R810" s="237"/>
      <c r="S810" s="237"/>
      <c r="T810" s="237"/>
      <c r="U810" s="237"/>
      <c r="V810" s="237"/>
      <c r="W810" s="237"/>
      <c r="X810" s="237"/>
      <c r="Y810" s="237"/>
      <c r="Z810" s="237"/>
      <c r="AA810" s="237"/>
      <c r="AB810" s="237"/>
    </row>
    <row r="811">
      <c r="A811" s="238">
        <v>810.0</v>
      </c>
      <c r="B811" s="239" t="s">
        <v>6954</v>
      </c>
      <c r="C811" s="240" t="s">
        <v>6955</v>
      </c>
      <c r="D811" s="236"/>
      <c r="E811" s="240" t="s">
        <v>3511</v>
      </c>
      <c r="F811" s="240" t="s">
        <v>6956</v>
      </c>
      <c r="G811" s="238" t="s">
        <v>6957</v>
      </c>
      <c r="H811" s="240" t="s">
        <v>6958</v>
      </c>
      <c r="I811" s="236"/>
      <c r="J811" s="238" t="s">
        <v>6924</v>
      </c>
      <c r="K811" s="239" t="s">
        <v>6954</v>
      </c>
      <c r="L811" s="237"/>
      <c r="M811" s="237"/>
      <c r="N811" s="237"/>
      <c r="O811" s="237"/>
      <c r="P811" s="237"/>
      <c r="Q811" s="237"/>
      <c r="R811" s="237"/>
      <c r="S811" s="237"/>
      <c r="T811" s="237"/>
      <c r="U811" s="237"/>
      <c r="V811" s="237"/>
      <c r="W811" s="237"/>
      <c r="X811" s="237"/>
      <c r="Y811" s="237"/>
      <c r="Z811" s="237"/>
      <c r="AA811" s="237"/>
      <c r="AB811" s="237"/>
    </row>
    <row r="812">
      <c r="A812" s="238">
        <v>811.0</v>
      </c>
      <c r="B812" s="242"/>
      <c r="C812" s="240" t="s">
        <v>6959</v>
      </c>
      <c r="D812" s="236"/>
      <c r="E812" s="240" t="s">
        <v>3496</v>
      </c>
      <c r="F812" s="240" t="s">
        <v>6960</v>
      </c>
      <c r="G812" s="238" t="s">
        <v>6961</v>
      </c>
      <c r="H812" s="236"/>
      <c r="I812" s="236"/>
      <c r="J812" s="238" t="s">
        <v>4745</v>
      </c>
      <c r="K812" s="242"/>
      <c r="L812" s="237"/>
      <c r="M812" s="237"/>
      <c r="N812" s="237"/>
      <c r="O812" s="237"/>
      <c r="P812" s="237"/>
      <c r="Q812" s="237"/>
      <c r="R812" s="237"/>
      <c r="S812" s="237"/>
      <c r="T812" s="237"/>
      <c r="U812" s="237"/>
      <c r="V812" s="237"/>
      <c r="W812" s="237"/>
      <c r="X812" s="237"/>
      <c r="Y812" s="237"/>
      <c r="Z812" s="237"/>
      <c r="AA812" s="237"/>
      <c r="AB812" s="237"/>
    </row>
    <row r="813">
      <c r="A813" s="238">
        <v>812.0</v>
      </c>
      <c r="B813" s="242"/>
      <c r="C813" s="240" t="s">
        <v>6962</v>
      </c>
      <c r="D813" s="236"/>
      <c r="E813" s="240" t="s">
        <v>3511</v>
      </c>
      <c r="F813" s="240" t="s">
        <v>5899</v>
      </c>
      <c r="G813" s="238" t="s">
        <v>6963</v>
      </c>
      <c r="H813" s="240" t="s">
        <v>6964</v>
      </c>
      <c r="I813" s="236"/>
      <c r="J813" s="238" t="s">
        <v>6965</v>
      </c>
      <c r="K813" s="242"/>
      <c r="L813" s="237"/>
      <c r="M813" s="237"/>
      <c r="N813" s="237"/>
      <c r="O813" s="237"/>
      <c r="P813" s="237"/>
      <c r="Q813" s="237"/>
      <c r="R813" s="237"/>
      <c r="S813" s="237"/>
      <c r="T813" s="237"/>
      <c r="U813" s="237"/>
      <c r="V813" s="237"/>
      <c r="W813" s="237"/>
      <c r="X813" s="237"/>
      <c r="Y813" s="237"/>
      <c r="Z813" s="237"/>
      <c r="AA813" s="237"/>
      <c r="AB813" s="237"/>
    </row>
    <row r="814">
      <c r="A814" s="238">
        <v>813.0</v>
      </c>
      <c r="B814" s="239" t="s">
        <v>6966</v>
      </c>
      <c r="C814" s="240" t="s">
        <v>6967</v>
      </c>
      <c r="D814" s="236"/>
      <c r="E814" s="240" t="s">
        <v>3511</v>
      </c>
      <c r="F814" s="240" t="s">
        <v>6968</v>
      </c>
      <c r="G814" s="238" t="s">
        <v>6969</v>
      </c>
      <c r="H814" s="240" t="s">
        <v>6970</v>
      </c>
      <c r="I814" s="236"/>
      <c r="J814" s="238" t="s">
        <v>6965</v>
      </c>
      <c r="K814" s="239" t="s">
        <v>6966</v>
      </c>
      <c r="L814" s="237"/>
      <c r="M814" s="237"/>
      <c r="N814" s="237"/>
      <c r="O814" s="237"/>
      <c r="P814" s="237"/>
      <c r="Q814" s="237"/>
      <c r="R814" s="237"/>
      <c r="S814" s="237"/>
      <c r="T814" s="237"/>
      <c r="U814" s="237"/>
      <c r="V814" s="237"/>
      <c r="W814" s="237"/>
      <c r="X814" s="237"/>
      <c r="Y814" s="237"/>
      <c r="Z814" s="237"/>
      <c r="AA814" s="237"/>
      <c r="AB814" s="237"/>
    </row>
    <row r="815">
      <c r="A815" s="238">
        <v>814.0</v>
      </c>
      <c r="B815" s="239" t="s">
        <v>6971</v>
      </c>
      <c r="C815" s="240" t="s">
        <v>6972</v>
      </c>
      <c r="D815" s="236"/>
      <c r="E815" s="240" t="s">
        <v>3511</v>
      </c>
      <c r="F815" s="240" t="s">
        <v>6973</v>
      </c>
      <c r="G815" s="238" t="s">
        <v>6974</v>
      </c>
      <c r="H815" s="240" t="s">
        <v>6975</v>
      </c>
      <c r="I815" s="236"/>
      <c r="J815" s="238" t="s">
        <v>6965</v>
      </c>
      <c r="K815" s="239" t="s">
        <v>6971</v>
      </c>
      <c r="L815" s="237"/>
      <c r="M815" s="237"/>
      <c r="N815" s="237"/>
      <c r="O815" s="237"/>
      <c r="P815" s="237"/>
      <c r="Q815" s="237"/>
      <c r="R815" s="237"/>
      <c r="S815" s="237"/>
      <c r="T815" s="237"/>
      <c r="U815" s="237"/>
      <c r="V815" s="237"/>
      <c r="W815" s="237"/>
      <c r="X815" s="237"/>
      <c r="Y815" s="237"/>
      <c r="Z815" s="237"/>
      <c r="AA815" s="237"/>
      <c r="AB815" s="237"/>
    </row>
    <row r="816">
      <c r="A816" s="238">
        <v>815.0</v>
      </c>
      <c r="B816" s="239" t="s">
        <v>6976</v>
      </c>
      <c r="C816" s="240" t="s">
        <v>6977</v>
      </c>
      <c r="D816" s="236"/>
      <c r="E816" s="240" t="s">
        <v>3511</v>
      </c>
      <c r="F816" s="240" t="s">
        <v>6978</v>
      </c>
      <c r="G816" s="238" t="s">
        <v>6979</v>
      </c>
      <c r="H816" s="240" t="s">
        <v>6980</v>
      </c>
      <c r="I816" s="236"/>
      <c r="J816" s="238" t="s">
        <v>6965</v>
      </c>
      <c r="K816" s="239" t="s">
        <v>6976</v>
      </c>
      <c r="L816" s="237"/>
      <c r="M816" s="237"/>
      <c r="N816" s="237"/>
      <c r="O816" s="237"/>
      <c r="P816" s="237"/>
      <c r="Q816" s="237"/>
      <c r="R816" s="237"/>
      <c r="S816" s="237"/>
      <c r="T816" s="237"/>
      <c r="U816" s="237"/>
      <c r="V816" s="237"/>
      <c r="W816" s="237"/>
      <c r="X816" s="237"/>
      <c r="Y816" s="237"/>
      <c r="Z816" s="237"/>
      <c r="AA816" s="237"/>
      <c r="AB816" s="237"/>
    </row>
    <row r="817">
      <c r="A817" s="238">
        <v>816.0</v>
      </c>
      <c r="B817" s="239" t="s">
        <v>6981</v>
      </c>
      <c r="C817" s="240" t="s">
        <v>6982</v>
      </c>
      <c r="D817" s="236"/>
      <c r="E817" s="240" t="s">
        <v>3511</v>
      </c>
      <c r="F817" s="240" t="s">
        <v>6983</v>
      </c>
      <c r="G817" s="238" t="s">
        <v>6984</v>
      </c>
      <c r="H817" s="240" t="s">
        <v>6985</v>
      </c>
      <c r="I817" s="236"/>
      <c r="J817" s="238" t="s">
        <v>6965</v>
      </c>
      <c r="K817" s="239" t="s">
        <v>6981</v>
      </c>
      <c r="L817" s="237"/>
      <c r="M817" s="237"/>
      <c r="N817" s="237"/>
      <c r="O817" s="237"/>
      <c r="P817" s="237"/>
      <c r="Q817" s="237"/>
      <c r="R817" s="237"/>
      <c r="S817" s="237"/>
      <c r="T817" s="237"/>
      <c r="U817" s="237"/>
      <c r="V817" s="237"/>
      <c r="W817" s="237"/>
      <c r="X817" s="237"/>
      <c r="Y817" s="237"/>
      <c r="Z817" s="237"/>
      <c r="AA817" s="237"/>
      <c r="AB817" s="237"/>
    </row>
    <row r="818">
      <c r="A818" s="238">
        <v>817.0</v>
      </c>
      <c r="B818" s="239" t="s">
        <v>6986</v>
      </c>
      <c r="C818" s="240" t="s">
        <v>6987</v>
      </c>
      <c r="D818" s="236"/>
      <c r="E818" s="240" t="s">
        <v>3511</v>
      </c>
      <c r="F818" s="240" t="s">
        <v>6988</v>
      </c>
      <c r="G818" s="238" t="s">
        <v>6989</v>
      </c>
      <c r="H818" s="240" t="s">
        <v>6990</v>
      </c>
      <c r="I818" s="236"/>
      <c r="J818" s="238" t="s">
        <v>6272</v>
      </c>
      <c r="K818" s="239" t="s">
        <v>6986</v>
      </c>
      <c r="L818" s="237"/>
      <c r="M818" s="237"/>
      <c r="N818" s="237"/>
      <c r="O818" s="237"/>
      <c r="P818" s="237"/>
      <c r="Q818" s="237"/>
      <c r="R818" s="237"/>
      <c r="S818" s="237"/>
      <c r="T818" s="237"/>
      <c r="U818" s="237"/>
      <c r="V818" s="237"/>
      <c r="W818" s="237"/>
      <c r="X818" s="237"/>
      <c r="Y818" s="237"/>
      <c r="Z818" s="237"/>
      <c r="AA818" s="237"/>
      <c r="AB818" s="237"/>
    </row>
    <row r="819">
      <c r="A819" s="238">
        <v>818.0</v>
      </c>
      <c r="B819" s="239" t="s">
        <v>6991</v>
      </c>
      <c r="C819" s="240" t="s">
        <v>6992</v>
      </c>
      <c r="D819" s="236"/>
      <c r="E819" s="240" t="s">
        <v>3511</v>
      </c>
      <c r="F819" s="240" t="s">
        <v>6993</v>
      </c>
      <c r="G819" s="238" t="s">
        <v>6994</v>
      </c>
      <c r="H819" s="240" t="s">
        <v>6995</v>
      </c>
      <c r="I819" s="236"/>
      <c r="J819" s="238" t="s">
        <v>6965</v>
      </c>
      <c r="K819" s="239" t="s">
        <v>6991</v>
      </c>
      <c r="L819" s="237"/>
      <c r="M819" s="237"/>
      <c r="N819" s="237"/>
      <c r="O819" s="237"/>
      <c r="P819" s="237"/>
      <c r="Q819" s="237"/>
      <c r="R819" s="237"/>
      <c r="S819" s="237"/>
      <c r="T819" s="237"/>
      <c r="U819" s="237"/>
      <c r="V819" s="237"/>
      <c r="W819" s="237"/>
      <c r="X819" s="237"/>
      <c r="Y819" s="237"/>
      <c r="Z819" s="237"/>
      <c r="AA819" s="237"/>
      <c r="AB819" s="237"/>
    </row>
    <row r="820">
      <c r="A820" s="238">
        <v>819.0</v>
      </c>
      <c r="B820" s="239" t="s">
        <v>6996</v>
      </c>
      <c r="C820" s="240" t="s">
        <v>6997</v>
      </c>
      <c r="D820" s="236"/>
      <c r="E820" s="240" t="s">
        <v>3511</v>
      </c>
      <c r="F820" s="240" t="s">
        <v>6998</v>
      </c>
      <c r="G820" s="238" t="s">
        <v>6999</v>
      </c>
      <c r="H820" s="240" t="s">
        <v>7000</v>
      </c>
      <c r="I820" s="236"/>
      <c r="J820" s="238" t="s">
        <v>6965</v>
      </c>
      <c r="K820" s="239" t="s">
        <v>6996</v>
      </c>
      <c r="L820" s="237"/>
      <c r="M820" s="237"/>
      <c r="N820" s="237"/>
      <c r="O820" s="237"/>
      <c r="P820" s="237"/>
      <c r="Q820" s="237"/>
      <c r="R820" s="237"/>
      <c r="S820" s="237"/>
      <c r="T820" s="237"/>
      <c r="U820" s="237"/>
      <c r="V820" s="237"/>
      <c r="W820" s="237"/>
      <c r="X820" s="237"/>
      <c r="Y820" s="237"/>
      <c r="Z820" s="237"/>
      <c r="AA820" s="237"/>
      <c r="AB820" s="237"/>
    </row>
    <row r="821">
      <c r="A821" s="238">
        <v>820.0</v>
      </c>
      <c r="B821" s="239" t="s">
        <v>7001</v>
      </c>
      <c r="C821" s="240" t="s">
        <v>7002</v>
      </c>
      <c r="D821" s="236"/>
      <c r="E821" s="240" t="s">
        <v>3511</v>
      </c>
      <c r="F821" s="240" t="s">
        <v>7003</v>
      </c>
      <c r="G821" s="238" t="s">
        <v>7004</v>
      </c>
      <c r="H821" s="240" t="s">
        <v>7005</v>
      </c>
      <c r="I821" s="236"/>
      <c r="J821" s="238" t="s">
        <v>6965</v>
      </c>
      <c r="K821" s="239" t="s">
        <v>7001</v>
      </c>
      <c r="L821" s="237"/>
      <c r="M821" s="237"/>
      <c r="N821" s="237"/>
      <c r="O821" s="237"/>
      <c r="P821" s="237"/>
      <c r="Q821" s="237"/>
      <c r="R821" s="237"/>
      <c r="S821" s="237"/>
      <c r="T821" s="237"/>
      <c r="U821" s="237"/>
      <c r="V821" s="237"/>
      <c r="W821" s="237"/>
      <c r="X821" s="237"/>
      <c r="Y821" s="237"/>
      <c r="Z821" s="237"/>
      <c r="AA821" s="237"/>
      <c r="AB821" s="237"/>
    </row>
    <row r="822">
      <c r="A822" s="238">
        <v>821.0</v>
      </c>
      <c r="B822" s="239" t="s">
        <v>7006</v>
      </c>
      <c r="C822" s="240" t="s">
        <v>7007</v>
      </c>
      <c r="D822" s="236"/>
      <c r="E822" s="240" t="s">
        <v>3511</v>
      </c>
      <c r="F822" s="240" t="s">
        <v>7008</v>
      </c>
      <c r="G822" s="238" t="s">
        <v>7009</v>
      </c>
      <c r="H822" s="240" t="s">
        <v>7010</v>
      </c>
      <c r="I822" s="236"/>
      <c r="J822" s="238" t="s">
        <v>6965</v>
      </c>
      <c r="K822" s="239" t="s">
        <v>7006</v>
      </c>
      <c r="L822" s="237"/>
      <c r="M822" s="237"/>
      <c r="N822" s="237"/>
      <c r="O822" s="237"/>
      <c r="P822" s="237"/>
      <c r="Q822" s="237"/>
      <c r="R822" s="237"/>
      <c r="S822" s="237"/>
      <c r="T822" s="237"/>
      <c r="U822" s="237"/>
      <c r="V822" s="237"/>
      <c r="W822" s="237"/>
      <c r="X822" s="237"/>
      <c r="Y822" s="237"/>
      <c r="Z822" s="237"/>
      <c r="AA822" s="237"/>
      <c r="AB822" s="237"/>
    </row>
    <row r="823">
      <c r="A823" s="238">
        <v>822.0</v>
      </c>
      <c r="B823" s="242"/>
      <c r="C823" s="240" t="s">
        <v>7011</v>
      </c>
      <c r="D823" s="236"/>
      <c r="E823" s="240" t="s">
        <v>3511</v>
      </c>
      <c r="F823" s="240" t="s">
        <v>5899</v>
      </c>
      <c r="G823" s="238" t="s">
        <v>7012</v>
      </c>
      <c r="H823" s="240" t="s">
        <v>7013</v>
      </c>
      <c r="I823" s="236"/>
      <c r="J823" s="238" t="s">
        <v>6965</v>
      </c>
      <c r="K823" s="242"/>
      <c r="L823" s="237"/>
      <c r="M823" s="237"/>
      <c r="N823" s="237"/>
      <c r="O823" s="237"/>
      <c r="P823" s="237"/>
      <c r="Q823" s="237"/>
      <c r="R823" s="237"/>
      <c r="S823" s="237"/>
      <c r="T823" s="237"/>
      <c r="U823" s="237"/>
      <c r="V823" s="237"/>
      <c r="W823" s="237"/>
      <c r="X823" s="237"/>
      <c r="Y823" s="237"/>
      <c r="Z823" s="237"/>
      <c r="AA823" s="237"/>
      <c r="AB823" s="237"/>
    </row>
    <row r="824">
      <c r="A824" s="238">
        <v>823.0</v>
      </c>
      <c r="B824" s="239" t="s">
        <v>7014</v>
      </c>
      <c r="C824" s="240" t="s">
        <v>7015</v>
      </c>
      <c r="D824" s="236"/>
      <c r="E824" s="240" t="s">
        <v>3511</v>
      </c>
      <c r="F824" s="240" t="s">
        <v>7016</v>
      </c>
      <c r="G824" s="238" t="s">
        <v>7017</v>
      </c>
      <c r="H824" s="236"/>
      <c r="I824" s="236"/>
      <c r="J824" s="238" t="s">
        <v>6965</v>
      </c>
      <c r="K824" s="239" t="s">
        <v>7014</v>
      </c>
      <c r="L824" s="237"/>
      <c r="M824" s="237"/>
      <c r="N824" s="237"/>
      <c r="O824" s="237"/>
      <c r="P824" s="237"/>
      <c r="Q824" s="237"/>
      <c r="R824" s="237"/>
      <c r="S824" s="237"/>
      <c r="T824" s="237"/>
      <c r="U824" s="237"/>
      <c r="V824" s="237"/>
      <c r="W824" s="237"/>
      <c r="X824" s="237"/>
      <c r="Y824" s="237"/>
      <c r="Z824" s="237"/>
      <c r="AA824" s="237"/>
      <c r="AB824" s="237"/>
    </row>
    <row r="825">
      <c r="A825" s="238">
        <v>824.0</v>
      </c>
      <c r="B825" s="239" t="s">
        <v>7018</v>
      </c>
      <c r="C825" s="240" t="s">
        <v>7019</v>
      </c>
      <c r="D825" s="236"/>
      <c r="E825" s="240" t="s">
        <v>3511</v>
      </c>
      <c r="F825" s="240" t="s">
        <v>7020</v>
      </c>
      <c r="G825" s="238" t="s">
        <v>7021</v>
      </c>
      <c r="H825" s="240" t="s">
        <v>7022</v>
      </c>
      <c r="I825" s="236"/>
      <c r="J825" s="238" t="s">
        <v>6965</v>
      </c>
      <c r="K825" s="239" t="s">
        <v>7018</v>
      </c>
      <c r="L825" s="237"/>
      <c r="M825" s="237"/>
      <c r="N825" s="237"/>
      <c r="O825" s="237"/>
      <c r="P825" s="237"/>
      <c r="Q825" s="237"/>
      <c r="R825" s="237"/>
      <c r="S825" s="237"/>
      <c r="T825" s="237"/>
      <c r="U825" s="237"/>
      <c r="V825" s="237"/>
      <c r="W825" s="237"/>
      <c r="X825" s="237"/>
      <c r="Y825" s="237"/>
      <c r="Z825" s="237"/>
      <c r="AA825" s="237"/>
      <c r="AB825" s="237"/>
    </row>
    <row r="826">
      <c r="A826" s="238">
        <v>825.0</v>
      </c>
      <c r="B826" s="239" t="s">
        <v>7023</v>
      </c>
      <c r="C826" s="240" t="s">
        <v>7024</v>
      </c>
      <c r="D826" s="236"/>
      <c r="E826" s="240" t="s">
        <v>3511</v>
      </c>
      <c r="F826" s="240" t="s">
        <v>7025</v>
      </c>
      <c r="G826" s="238" t="s">
        <v>7026</v>
      </c>
      <c r="H826" s="236"/>
      <c r="I826" s="236"/>
      <c r="J826" s="238" t="s">
        <v>6965</v>
      </c>
      <c r="K826" s="239" t="s">
        <v>7023</v>
      </c>
      <c r="L826" s="237"/>
      <c r="M826" s="237"/>
      <c r="N826" s="237"/>
      <c r="O826" s="237"/>
      <c r="P826" s="237"/>
      <c r="Q826" s="237"/>
      <c r="R826" s="237"/>
      <c r="S826" s="237"/>
      <c r="T826" s="237"/>
      <c r="U826" s="237"/>
      <c r="V826" s="237"/>
      <c r="W826" s="237"/>
      <c r="X826" s="237"/>
      <c r="Y826" s="237"/>
      <c r="Z826" s="237"/>
      <c r="AA826" s="237"/>
      <c r="AB826" s="237"/>
    </row>
    <row r="827">
      <c r="A827" s="238">
        <v>826.0</v>
      </c>
      <c r="B827" s="239" t="s">
        <v>7027</v>
      </c>
      <c r="C827" s="240" t="s">
        <v>7028</v>
      </c>
      <c r="D827" s="236"/>
      <c r="E827" s="240" t="s">
        <v>3511</v>
      </c>
      <c r="F827" s="240" t="s">
        <v>7029</v>
      </c>
      <c r="G827" s="238" t="s">
        <v>7030</v>
      </c>
      <c r="H827" s="240" t="s">
        <v>7031</v>
      </c>
      <c r="I827" s="236"/>
      <c r="J827" s="238" t="s">
        <v>6965</v>
      </c>
      <c r="K827" s="239" t="s">
        <v>7027</v>
      </c>
      <c r="L827" s="237"/>
      <c r="M827" s="237"/>
      <c r="N827" s="237"/>
      <c r="O827" s="237"/>
      <c r="P827" s="237"/>
      <c r="Q827" s="237"/>
      <c r="R827" s="237"/>
      <c r="S827" s="237"/>
      <c r="T827" s="237"/>
      <c r="U827" s="237"/>
      <c r="V827" s="237"/>
      <c r="W827" s="237"/>
      <c r="X827" s="237"/>
      <c r="Y827" s="237"/>
      <c r="Z827" s="237"/>
      <c r="AA827" s="237"/>
      <c r="AB827" s="237"/>
    </row>
    <row r="828">
      <c r="A828" s="238">
        <v>827.0</v>
      </c>
      <c r="B828" s="239" t="s">
        <v>7032</v>
      </c>
      <c r="C828" s="240" t="s">
        <v>7033</v>
      </c>
      <c r="D828" s="236"/>
      <c r="E828" s="240" t="s">
        <v>3511</v>
      </c>
      <c r="F828" s="240" t="s">
        <v>7034</v>
      </c>
      <c r="G828" s="238" t="s">
        <v>7035</v>
      </c>
      <c r="H828" s="240" t="s">
        <v>7036</v>
      </c>
      <c r="I828" s="236"/>
      <c r="J828" s="238" t="s">
        <v>6272</v>
      </c>
      <c r="K828" s="239" t="s">
        <v>7032</v>
      </c>
      <c r="L828" s="237"/>
      <c r="M828" s="237"/>
      <c r="N828" s="237"/>
      <c r="O828" s="237"/>
      <c r="P828" s="237"/>
      <c r="Q828" s="237"/>
      <c r="R828" s="237"/>
      <c r="S828" s="237"/>
      <c r="T828" s="237"/>
      <c r="U828" s="237"/>
      <c r="V828" s="237"/>
      <c r="W828" s="237"/>
      <c r="X828" s="237"/>
      <c r="Y828" s="237"/>
      <c r="Z828" s="237"/>
      <c r="AA828" s="237"/>
      <c r="AB828" s="237"/>
    </row>
    <row r="829">
      <c r="A829" s="238">
        <v>828.0</v>
      </c>
      <c r="B829" s="239" t="s">
        <v>7037</v>
      </c>
      <c r="C829" s="240" t="s">
        <v>7038</v>
      </c>
      <c r="D829" s="236"/>
      <c r="E829" s="240" t="s">
        <v>3511</v>
      </c>
      <c r="F829" s="240" t="s">
        <v>7039</v>
      </c>
      <c r="G829" s="238" t="s">
        <v>7040</v>
      </c>
      <c r="H829" s="240" t="s">
        <v>7041</v>
      </c>
      <c r="I829" s="236"/>
      <c r="J829" s="238" t="s">
        <v>6965</v>
      </c>
      <c r="K829" s="239" t="s">
        <v>7037</v>
      </c>
      <c r="L829" s="237"/>
      <c r="M829" s="237"/>
      <c r="N829" s="237"/>
      <c r="O829" s="237"/>
      <c r="P829" s="237"/>
      <c r="Q829" s="237"/>
      <c r="R829" s="237"/>
      <c r="S829" s="237"/>
      <c r="T829" s="237"/>
      <c r="U829" s="237"/>
      <c r="V829" s="237"/>
      <c r="W829" s="237"/>
      <c r="X829" s="237"/>
      <c r="Y829" s="237"/>
      <c r="Z829" s="237"/>
      <c r="AA829" s="237"/>
      <c r="AB829" s="237"/>
    </row>
    <row r="830">
      <c r="A830" s="238">
        <v>829.0</v>
      </c>
      <c r="B830" s="239" t="s">
        <v>7042</v>
      </c>
      <c r="C830" s="240" t="s">
        <v>7043</v>
      </c>
      <c r="D830" s="236"/>
      <c r="E830" s="240" t="s">
        <v>3511</v>
      </c>
      <c r="F830" s="240" t="s">
        <v>7044</v>
      </c>
      <c r="G830" s="238" t="s">
        <v>7045</v>
      </c>
      <c r="H830" s="240" t="s">
        <v>7046</v>
      </c>
      <c r="I830" s="236"/>
      <c r="J830" s="238" t="s">
        <v>6965</v>
      </c>
      <c r="K830" s="239" t="s">
        <v>7042</v>
      </c>
      <c r="L830" s="237"/>
      <c r="M830" s="237"/>
      <c r="N830" s="237"/>
      <c r="O830" s="237"/>
      <c r="P830" s="237"/>
      <c r="Q830" s="237"/>
      <c r="R830" s="237"/>
      <c r="S830" s="237"/>
      <c r="T830" s="237"/>
      <c r="U830" s="237"/>
      <c r="V830" s="237"/>
      <c r="W830" s="237"/>
      <c r="X830" s="237"/>
      <c r="Y830" s="237"/>
      <c r="Z830" s="237"/>
      <c r="AA830" s="237"/>
      <c r="AB830" s="237"/>
    </row>
    <row r="831">
      <c r="A831" s="238">
        <v>830.0</v>
      </c>
      <c r="B831" s="239" t="s">
        <v>7047</v>
      </c>
      <c r="C831" s="240" t="s">
        <v>7048</v>
      </c>
      <c r="D831" s="236"/>
      <c r="E831" s="240" t="s">
        <v>3511</v>
      </c>
      <c r="F831" s="240" t="s">
        <v>7049</v>
      </c>
      <c r="G831" s="238" t="s">
        <v>7050</v>
      </c>
      <c r="H831" s="240" t="s">
        <v>7051</v>
      </c>
      <c r="I831" s="236"/>
      <c r="J831" s="238" t="s">
        <v>6965</v>
      </c>
      <c r="K831" s="239" t="s">
        <v>7047</v>
      </c>
      <c r="L831" s="237"/>
      <c r="M831" s="237"/>
      <c r="N831" s="237"/>
      <c r="O831" s="237"/>
      <c r="P831" s="237"/>
      <c r="Q831" s="237"/>
      <c r="R831" s="237"/>
      <c r="S831" s="237"/>
      <c r="T831" s="237"/>
      <c r="U831" s="237"/>
      <c r="V831" s="237"/>
      <c r="W831" s="237"/>
      <c r="X831" s="237"/>
      <c r="Y831" s="237"/>
      <c r="Z831" s="237"/>
      <c r="AA831" s="237"/>
      <c r="AB831" s="237"/>
    </row>
    <row r="832">
      <c r="A832" s="238">
        <v>831.0</v>
      </c>
      <c r="B832" s="239" t="s">
        <v>7052</v>
      </c>
      <c r="C832" s="240" t="s">
        <v>7053</v>
      </c>
      <c r="D832" s="236"/>
      <c r="E832" s="240" t="s">
        <v>3511</v>
      </c>
      <c r="F832" s="240" t="s">
        <v>7054</v>
      </c>
      <c r="G832" s="238" t="s">
        <v>7055</v>
      </c>
      <c r="H832" s="240" t="s">
        <v>7056</v>
      </c>
      <c r="I832" s="236"/>
      <c r="J832" s="238" t="s">
        <v>6965</v>
      </c>
      <c r="K832" s="239" t="s">
        <v>7052</v>
      </c>
      <c r="L832" s="237"/>
      <c r="M832" s="237"/>
      <c r="N832" s="237"/>
      <c r="O832" s="237"/>
      <c r="P832" s="237"/>
      <c r="Q832" s="237"/>
      <c r="R832" s="237"/>
      <c r="S832" s="237"/>
      <c r="T832" s="237"/>
      <c r="U832" s="237"/>
      <c r="V832" s="237"/>
      <c r="W832" s="237"/>
      <c r="X832" s="237"/>
      <c r="Y832" s="237"/>
      <c r="Z832" s="237"/>
      <c r="AA832" s="237"/>
      <c r="AB832" s="237"/>
    </row>
    <row r="833">
      <c r="A833" s="238">
        <v>832.0</v>
      </c>
      <c r="B833" s="242"/>
      <c r="C833" s="240" t="s">
        <v>7057</v>
      </c>
      <c r="D833" s="236"/>
      <c r="E833" s="240" t="s">
        <v>3511</v>
      </c>
      <c r="F833" s="240" t="s">
        <v>5899</v>
      </c>
      <c r="G833" s="238" t="s">
        <v>7058</v>
      </c>
      <c r="H833" s="240" t="s">
        <v>7059</v>
      </c>
      <c r="I833" s="236"/>
      <c r="J833" s="238" t="s">
        <v>6965</v>
      </c>
      <c r="K833" s="242"/>
      <c r="L833" s="237"/>
      <c r="M833" s="237"/>
      <c r="N833" s="237"/>
      <c r="O833" s="237"/>
      <c r="P833" s="237"/>
      <c r="Q833" s="237"/>
      <c r="R833" s="237"/>
      <c r="S833" s="237"/>
      <c r="T833" s="237"/>
      <c r="U833" s="237"/>
      <c r="V833" s="237"/>
      <c r="W833" s="237"/>
      <c r="X833" s="237"/>
      <c r="Y833" s="237"/>
      <c r="Z833" s="237"/>
      <c r="AA833" s="237"/>
      <c r="AB833" s="237"/>
    </row>
    <row r="834">
      <c r="A834" s="238">
        <v>833.0</v>
      </c>
      <c r="B834" s="239" t="s">
        <v>7060</v>
      </c>
      <c r="C834" s="240" t="s">
        <v>7061</v>
      </c>
      <c r="D834" s="236"/>
      <c r="E834" s="241" t="s">
        <v>3496</v>
      </c>
      <c r="F834" s="240" t="s">
        <v>7062</v>
      </c>
      <c r="G834" s="238" t="s">
        <v>7063</v>
      </c>
      <c r="H834" s="236"/>
      <c r="I834" s="236"/>
      <c r="J834" s="238" t="s">
        <v>4536</v>
      </c>
      <c r="K834" s="239" t="s">
        <v>7060</v>
      </c>
      <c r="L834" s="237"/>
      <c r="M834" s="237"/>
      <c r="N834" s="237"/>
      <c r="O834" s="237"/>
      <c r="P834" s="237"/>
      <c r="Q834" s="237"/>
      <c r="R834" s="237"/>
      <c r="S834" s="237"/>
      <c r="T834" s="237"/>
      <c r="U834" s="237"/>
      <c r="V834" s="237"/>
      <c r="W834" s="237"/>
      <c r="X834" s="237"/>
      <c r="Y834" s="237"/>
      <c r="Z834" s="237"/>
      <c r="AA834" s="237"/>
      <c r="AB834" s="237"/>
    </row>
    <row r="835">
      <c r="A835" s="238">
        <v>834.0</v>
      </c>
      <c r="B835" s="239" t="s">
        <v>7064</v>
      </c>
      <c r="C835" s="240" t="s">
        <v>7065</v>
      </c>
      <c r="D835" s="236"/>
      <c r="E835" s="240" t="s">
        <v>3496</v>
      </c>
      <c r="F835" s="240" t="s">
        <v>7066</v>
      </c>
      <c r="G835" s="238" t="s">
        <v>7067</v>
      </c>
      <c r="H835" s="236"/>
      <c r="I835" s="236"/>
      <c r="J835" s="238" t="s">
        <v>4536</v>
      </c>
      <c r="K835" s="239" t="s">
        <v>7064</v>
      </c>
      <c r="L835" s="237"/>
      <c r="M835" s="237"/>
      <c r="N835" s="237"/>
      <c r="O835" s="237"/>
      <c r="P835" s="237"/>
      <c r="Q835" s="237"/>
      <c r="R835" s="237"/>
      <c r="S835" s="237"/>
      <c r="T835" s="237"/>
      <c r="U835" s="237"/>
      <c r="V835" s="237"/>
      <c r="W835" s="237"/>
      <c r="X835" s="237"/>
      <c r="Y835" s="237"/>
      <c r="Z835" s="237"/>
      <c r="AA835" s="237"/>
      <c r="AB835" s="237"/>
    </row>
    <row r="836">
      <c r="A836" s="238">
        <v>835.0</v>
      </c>
      <c r="B836" s="239" t="s">
        <v>7068</v>
      </c>
      <c r="C836" s="240" t="s">
        <v>7069</v>
      </c>
      <c r="D836" s="236"/>
      <c r="E836" s="240" t="s">
        <v>3496</v>
      </c>
      <c r="F836" s="240" t="s">
        <v>7070</v>
      </c>
      <c r="G836" s="238" t="s">
        <v>7071</v>
      </c>
      <c r="H836" s="236"/>
      <c r="I836" s="236"/>
      <c r="J836" s="238" t="s">
        <v>4536</v>
      </c>
      <c r="K836" s="239" t="s">
        <v>7068</v>
      </c>
      <c r="L836" s="237"/>
      <c r="M836" s="237"/>
      <c r="N836" s="237"/>
      <c r="O836" s="237"/>
      <c r="P836" s="237"/>
      <c r="Q836" s="237"/>
      <c r="R836" s="237"/>
      <c r="S836" s="237"/>
      <c r="T836" s="237"/>
      <c r="U836" s="237"/>
      <c r="V836" s="237"/>
      <c r="W836" s="237"/>
      <c r="X836" s="237"/>
      <c r="Y836" s="237"/>
      <c r="Z836" s="237"/>
      <c r="AA836" s="237"/>
      <c r="AB836" s="237"/>
    </row>
    <row r="837">
      <c r="A837" s="238">
        <v>836.0</v>
      </c>
      <c r="B837" s="239" t="s">
        <v>7072</v>
      </c>
      <c r="C837" s="240" t="s">
        <v>7073</v>
      </c>
      <c r="D837" s="236"/>
      <c r="E837" s="240" t="s">
        <v>3496</v>
      </c>
      <c r="F837" s="240" t="s">
        <v>7074</v>
      </c>
      <c r="G837" s="238" t="s">
        <v>7075</v>
      </c>
      <c r="H837" s="236"/>
      <c r="I837" s="236"/>
      <c r="J837" s="238" t="s">
        <v>4536</v>
      </c>
      <c r="K837" s="239" t="s">
        <v>7072</v>
      </c>
      <c r="L837" s="237"/>
      <c r="M837" s="237"/>
      <c r="N837" s="237"/>
      <c r="O837" s="237"/>
      <c r="P837" s="237"/>
      <c r="Q837" s="237"/>
      <c r="R837" s="237"/>
      <c r="S837" s="237"/>
      <c r="T837" s="237"/>
      <c r="U837" s="237"/>
      <c r="V837" s="237"/>
      <c r="W837" s="237"/>
      <c r="X837" s="237"/>
      <c r="Y837" s="237"/>
      <c r="Z837" s="237"/>
      <c r="AA837" s="237"/>
      <c r="AB837" s="237"/>
    </row>
    <row r="838">
      <c r="A838" s="238">
        <v>837.0</v>
      </c>
      <c r="B838" s="239" t="s">
        <v>7076</v>
      </c>
      <c r="C838" s="240" t="s">
        <v>7077</v>
      </c>
      <c r="D838" s="236"/>
      <c r="E838" s="240" t="s">
        <v>3496</v>
      </c>
      <c r="F838" s="240" t="s">
        <v>7078</v>
      </c>
      <c r="G838" s="238" t="s">
        <v>7079</v>
      </c>
      <c r="H838" s="236"/>
      <c r="I838" s="236"/>
      <c r="J838" s="238" t="s">
        <v>6272</v>
      </c>
      <c r="K838" s="239" t="s">
        <v>7076</v>
      </c>
      <c r="L838" s="237"/>
      <c r="M838" s="237"/>
      <c r="N838" s="237"/>
      <c r="O838" s="237"/>
      <c r="P838" s="237"/>
      <c r="Q838" s="237"/>
      <c r="R838" s="237"/>
      <c r="S838" s="237"/>
      <c r="T838" s="237"/>
      <c r="U838" s="237"/>
      <c r="V838" s="237"/>
      <c r="W838" s="237"/>
      <c r="X838" s="237"/>
      <c r="Y838" s="237"/>
      <c r="Z838" s="237"/>
      <c r="AA838" s="237"/>
      <c r="AB838" s="237"/>
    </row>
    <row r="839">
      <c r="A839" s="238">
        <v>838.0</v>
      </c>
      <c r="B839" s="239" t="s">
        <v>7060</v>
      </c>
      <c r="C839" s="240" t="s">
        <v>7080</v>
      </c>
      <c r="D839" s="236"/>
      <c r="E839" s="240" t="s">
        <v>3511</v>
      </c>
      <c r="F839" s="240" t="s">
        <v>7062</v>
      </c>
      <c r="G839" s="238" t="s">
        <v>7063</v>
      </c>
      <c r="H839" s="240" t="s">
        <v>7081</v>
      </c>
      <c r="I839" s="236"/>
      <c r="J839" s="238" t="s">
        <v>4536</v>
      </c>
      <c r="K839" s="239" t="s">
        <v>7060</v>
      </c>
      <c r="L839" s="237"/>
      <c r="M839" s="237"/>
      <c r="N839" s="237"/>
      <c r="O839" s="237"/>
      <c r="P839" s="237"/>
      <c r="Q839" s="237"/>
      <c r="R839" s="237"/>
      <c r="S839" s="237"/>
      <c r="T839" s="237"/>
      <c r="U839" s="237"/>
      <c r="V839" s="237"/>
      <c r="W839" s="237"/>
      <c r="X839" s="237"/>
      <c r="Y839" s="237"/>
      <c r="Z839" s="237"/>
      <c r="AA839" s="237"/>
      <c r="AB839" s="237"/>
    </row>
    <row r="840">
      <c r="A840" s="238">
        <v>839.0</v>
      </c>
      <c r="B840" s="239" t="s">
        <v>7064</v>
      </c>
      <c r="C840" s="240" t="s">
        <v>7082</v>
      </c>
      <c r="D840" s="236"/>
      <c r="E840" s="240" t="s">
        <v>3511</v>
      </c>
      <c r="F840" s="240" t="s">
        <v>7066</v>
      </c>
      <c r="G840" s="238" t="s">
        <v>7067</v>
      </c>
      <c r="H840" s="240" t="s">
        <v>7083</v>
      </c>
      <c r="I840" s="236"/>
      <c r="J840" s="238" t="s">
        <v>4536</v>
      </c>
      <c r="K840" s="239" t="s">
        <v>7064</v>
      </c>
      <c r="L840" s="237"/>
      <c r="M840" s="237"/>
      <c r="N840" s="237"/>
      <c r="O840" s="237"/>
      <c r="P840" s="237"/>
      <c r="Q840" s="237"/>
      <c r="R840" s="237"/>
      <c r="S840" s="237"/>
      <c r="T840" s="237"/>
      <c r="U840" s="237"/>
      <c r="V840" s="237"/>
      <c r="W840" s="237"/>
      <c r="X840" s="237"/>
      <c r="Y840" s="237"/>
      <c r="Z840" s="237"/>
      <c r="AA840" s="237"/>
      <c r="AB840" s="237"/>
    </row>
    <row r="841">
      <c r="A841" s="238">
        <v>840.0</v>
      </c>
      <c r="B841" s="239" t="s">
        <v>7068</v>
      </c>
      <c r="C841" s="240" t="s">
        <v>7084</v>
      </c>
      <c r="D841" s="236"/>
      <c r="E841" s="240" t="s">
        <v>3511</v>
      </c>
      <c r="F841" s="240" t="s">
        <v>7070</v>
      </c>
      <c r="G841" s="238" t="s">
        <v>7071</v>
      </c>
      <c r="H841" s="240" t="s">
        <v>7085</v>
      </c>
      <c r="I841" s="236"/>
      <c r="J841" s="238" t="s">
        <v>4536</v>
      </c>
      <c r="K841" s="239" t="s">
        <v>7068</v>
      </c>
      <c r="L841" s="237"/>
      <c r="M841" s="237"/>
      <c r="N841" s="237"/>
      <c r="O841" s="237"/>
      <c r="P841" s="237"/>
      <c r="Q841" s="237"/>
      <c r="R841" s="237"/>
      <c r="S841" s="237"/>
      <c r="T841" s="237"/>
      <c r="U841" s="237"/>
      <c r="V841" s="237"/>
      <c r="W841" s="237"/>
      <c r="X841" s="237"/>
      <c r="Y841" s="237"/>
      <c r="Z841" s="237"/>
      <c r="AA841" s="237"/>
      <c r="AB841" s="237"/>
    </row>
    <row r="842">
      <c r="A842" s="238">
        <v>841.0</v>
      </c>
      <c r="B842" s="239" t="s">
        <v>7072</v>
      </c>
      <c r="C842" s="240" t="s">
        <v>7086</v>
      </c>
      <c r="D842" s="236"/>
      <c r="E842" s="240" t="s">
        <v>3511</v>
      </c>
      <c r="F842" s="240" t="s">
        <v>7074</v>
      </c>
      <c r="G842" s="238" t="s">
        <v>7075</v>
      </c>
      <c r="H842" s="240" t="s">
        <v>7087</v>
      </c>
      <c r="I842" s="236"/>
      <c r="J842" s="238" t="s">
        <v>4536</v>
      </c>
      <c r="K842" s="239" t="s">
        <v>7072</v>
      </c>
      <c r="L842" s="237"/>
      <c r="M842" s="237"/>
      <c r="N842" s="237"/>
      <c r="O842" s="237"/>
      <c r="P842" s="237"/>
      <c r="Q842" s="237"/>
      <c r="R842" s="237"/>
      <c r="S842" s="237"/>
      <c r="T842" s="237"/>
      <c r="U842" s="237"/>
      <c r="V842" s="237"/>
      <c r="W842" s="237"/>
      <c r="X842" s="237"/>
      <c r="Y842" s="237"/>
      <c r="Z842" s="237"/>
      <c r="AA842" s="237"/>
      <c r="AB842" s="237"/>
    </row>
    <row r="843">
      <c r="A843" s="238">
        <v>842.0</v>
      </c>
      <c r="B843" s="242"/>
      <c r="C843" s="240" t="s">
        <v>7088</v>
      </c>
      <c r="D843" s="236"/>
      <c r="E843" s="240" t="s">
        <v>3511</v>
      </c>
      <c r="F843" s="236"/>
      <c r="G843" s="238" t="s">
        <v>7079</v>
      </c>
      <c r="H843" s="240" t="s">
        <v>7089</v>
      </c>
      <c r="I843" s="236"/>
      <c r="J843" s="238" t="s">
        <v>4536</v>
      </c>
      <c r="K843" s="242"/>
      <c r="L843" s="237"/>
      <c r="M843" s="237"/>
      <c r="N843" s="237"/>
      <c r="O843" s="237"/>
      <c r="P843" s="237"/>
      <c r="Q843" s="237"/>
      <c r="R843" s="237"/>
      <c r="S843" s="237"/>
      <c r="T843" s="237"/>
      <c r="U843" s="237"/>
      <c r="V843" s="237"/>
      <c r="W843" s="237"/>
      <c r="X843" s="237"/>
      <c r="Y843" s="237"/>
      <c r="Z843" s="237"/>
      <c r="AA843" s="237"/>
      <c r="AB843" s="237"/>
    </row>
    <row r="844">
      <c r="A844" s="238">
        <v>843.0</v>
      </c>
      <c r="B844" s="239" t="s">
        <v>7090</v>
      </c>
      <c r="C844" s="240" t="s">
        <v>7091</v>
      </c>
      <c r="D844" s="236"/>
      <c r="E844" s="240" t="s">
        <v>3511</v>
      </c>
      <c r="F844" s="240" t="s">
        <v>7092</v>
      </c>
      <c r="G844" s="238" t="s">
        <v>7093</v>
      </c>
      <c r="H844" s="240" t="s">
        <v>7094</v>
      </c>
      <c r="I844" s="236"/>
      <c r="J844" s="238" t="s">
        <v>3515</v>
      </c>
      <c r="K844" s="239" t="s">
        <v>7090</v>
      </c>
      <c r="L844" s="237"/>
      <c r="M844" s="237"/>
      <c r="N844" s="237"/>
      <c r="O844" s="237"/>
      <c r="P844" s="237"/>
      <c r="Q844" s="237"/>
      <c r="R844" s="237"/>
      <c r="S844" s="237"/>
      <c r="T844" s="237"/>
      <c r="U844" s="237"/>
      <c r="V844" s="237"/>
      <c r="W844" s="237"/>
      <c r="X844" s="237"/>
      <c r="Y844" s="237"/>
      <c r="Z844" s="237"/>
      <c r="AA844" s="237"/>
      <c r="AB844" s="237"/>
    </row>
    <row r="845">
      <c r="A845" s="238">
        <v>844.0</v>
      </c>
      <c r="B845" s="239" t="s">
        <v>7095</v>
      </c>
      <c r="C845" s="240" t="s">
        <v>7096</v>
      </c>
      <c r="D845" s="236"/>
      <c r="E845" s="240" t="s">
        <v>3511</v>
      </c>
      <c r="F845" s="240" t="s">
        <v>7097</v>
      </c>
      <c r="G845" s="238" t="s">
        <v>7098</v>
      </c>
      <c r="H845" s="240" t="s">
        <v>7099</v>
      </c>
      <c r="I845" s="236"/>
      <c r="J845" s="238" t="s">
        <v>3515</v>
      </c>
      <c r="K845" s="239" t="s">
        <v>7095</v>
      </c>
      <c r="L845" s="237"/>
      <c r="M845" s="237"/>
      <c r="N845" s="237"/>
      <c r="O845" s="237"/>
      <c r="P845" s="237"/>
      <c r="Q845" s="237"/>
      <c r="R845" s="237"/>
      <c r="S845" s="237"/>
      <c r="T845" s="237"/>
      <c r="U845" s="237"/>
      <c r="V845" s="237"/>
      <c r="W845" s="237"/>
      <c r="X845" s="237"/>
      <c r="Y845" s="237"/>
      <c r="Z845" s="237"/>
      <c r="AA845" s="237"/>
      <c r="AB845" s="237"/>
    </row>
    <row r="846">
      <c r="A846" s="238">
        <v>845.0</v>
      </c>
      <c r="B846" s="242"/>
      <c r="C846" s="240" t="s">
        <v>7100</v>
      </c>
      <c r="D846" s="236"/>
      <c r="E846" s="240" t="s">
        <v>3496</v>
      </c>
      <c r="F846" s="240" t="s">
        <v>7101</v>
      </c>
      <c r="G846" s="238" t="s">
        <v>7102</v>
      </c>
      <c r="H846" s="236"/>
      <c r="I846" s="236"/>
      <c r="J846" s="238" t="s">
        <v>7103</v>
      </c>
      <c r="K846" s="242"/>
      <c r="L846" s="237"/>
      <c r="M846" s="237"/>
      <c r="N846" s="237"/>
      <c r="O846" s="237"/>
      <c r="P846" s="237"/>
      <c r="Q846" s="237"/>
      <c r="R846" s="237"/>
      <c r="S846" s="237"/>
      <c r="T846" s="237"/>
      <c r="U846" s="237"/>
      <c r="V846" s="237"/>
      <c r="W846" s="237"/>
      <c r="X846" s="237"/>
      <c r="Y846" s="237"/>
      <c r="Z846" s="237"/>
      <c r="AA846" s="237"/>
      <c r="AB846" s="237"/>
    </row>
    <row r="847">
      <c r="A847" s="238">
        <v>846.0</v>
      </c>
      <c r="B847" s="239" t="s">
        <v>7104</v>
      </c>
      <c r="C847" s="240" t="s">
        <v>7105</v>
      </c>
      <c r="D847" s="236"/>
      <c r="E847" s="240" t="s">
        <v>3511</v>
      </c>
      <c r="F847" s="240" t="s">
        <v>7106</v>
      </c>
      <c r="G847" s="238" t="s">
        <v>5265</v>
      </c>
      <c r="H847" s="240" t="s">
        <v>7107</v>
      </c>
      <c r="I847" s="236"/>
      <c r="J847" s="238" t="s">
        <v>7103</v>
      </c>
      <c r="K847" s="239" t="s">
        <v>7104</v>
      </c>
      <c r="L847" s="237"/>
      <c r="M847" s="237"/>
      <c r="N847" s="237"/>
      <c r="O847" s="237"/>
      <c r="P847" s="237"/>
      <c r="Q847" s="237"/>
      <c r="R847" s="237"/>
      <c r="S847" s="237"/>
      <c r="T847" s="237"/>
      <c r="U847" s="237"/>
      <c r="V847" s="237"/>
      <c r="W847" s="237"/>
      <c r="X847" s="237"/>
      <c r="Y847" s="237"/>
      <c r="Z847" s="237"/>
      <c r="AA847" s="237"/>
      <c r="AB847" s="237"/>
    </row>
    <row r="848">
      <c r="A848" s="238">
        <v>847.0</v>
      </c>
      <c r="B848" s="242"/>
      <c r="C848" s="240" t="s">
        <v>7108</v>
      </c>
      <c r="D848" s="236"/>
      <c r="E848" s="240" t="s">
        <v>3511</v>
      </c>
      <c r="F848" s="240" t="s">
        <v>2814</v>
      </c>
      <c r="G848" s="238" t="s">
        <v>7109</v>
      </c>
      <c r="H848" s="240" t="s">
        <v>7110</v>
      </c>
      <c r="I848" s="236"/>
      <c r="J848" s="238" t="s">
        <v>6272</v>
      </c>
      <c r="K848" s="242"/>
      <c r="L848" s="237"/>
      <c r="M848" s="237"/>
      <c r="N848" s="237"/>
      <c r="O848" s="237"/>
      <c r="P848" s="237"/>
      <c r="Q848" s="237"/>
      <c r="R848" s="237"/>
      <c r="S848" s="237"/>
      <c r="T848" s="237"/>
      <c r="U848" s="237"/>
      <c r="V848" s="237"/>
      <c r="W848" s="237"/>
      <c r="X848" s="237"/>
      <c r="Y848" s="237"/>
      <c r="Z848" s="237"/>
      <c r="AA848" s="237"/>
      <c r="AB848" s="237"/>
    </row>
    <row r="849">
      <c r="A849" s="238">
        <v>848.0</v>
      </c>
      <c r="B849" s="239" t="s">
        <v>7111</v>
      </c>
      <c r="C849" s="240" t="s">
        <v>7112</v>
      </c>
      <c r="D849" s="236"/>
      <c r="E849" s="240" t="s">
        <v>3511</v>
      </c>
      <c r="F849" s="240" t="s">
        <v>7113</v>
      </c>
      <c r="G849" s="238" t="s">
        <v>7114</v>
      </c>
      <c r="H849" s="240" t="s">
        <v>7115</v>
      </c>
      <c r="I849" s="236"/>
      <c r="J849" s="238" t="s">
        <v>7103</v>
      </c>
      <c r="K849" s="239" t="s">
        <v>7111</v>
      </c>
      <c r="L849" s="237"/>
      <c r="M849" s="237"/>
      <c r="N849" s="237"/>
      <c r="O849" s="237"/>
      <c r="P849" s="237"/>
      <c r="Q849" s="237"/>
      <c r="R849" s="237"/>
      <c r="S849" s="237"/>
      <c r="T849" s="237"/>
      <c r="U849" s="237"/>
      <c r="V849" s="237"/>
      <c r="W849" s="237"/>
      <c r="X849" s="237"/>
      <c r="Y849" s="237"/>
      <c r="Z849" s="237"/>
      <c r="AA849" s="237"/>
      <c r="AB849" s="237"/>
    </row>
    <row r="850">
      <c r="A850" s="238">
        <v>849.0</v>
      </c>
      <c r="B850" s="239" t="s">
        <v>7116</v>
      </c>
      <c r="C850" s="240" t="s">
        <v>7117</v>
      </c>
      <c r="D850" s="236"/>
      <c r="E850" s="240" t="s">
        <v>3511</v>
      </c>
      <c r="F850" s="240" t="s">
        <v>7118</v>
      </c>
      <c r="G850" s="238" t="s">
        <v>7119</v>
      </c>
      <c r="H850" s="240" t="s">
        <v>7120</v>
      </c>
      <c r="I850" s="236"/>
      <c r="J850" s="238" t="s">
        <v>7103</v>
      </c>
      <c r="K850" s="239" t="s">
        <v>7116</v>
      </c>
      <c r="L850" s="237"/>
      <c r="M850" s="237"/>
      <c r="N850" s="237"/>
      <c r="O850" s="237"/>
      <c r="P850" s="237"/>
      <c r="Q850" s="237"/>
      <c r="R850" s="237"/>
      <c r="S850" s="237"/>
      <c r="T850" s="237"/>
      <c r="U850" s="237"/>
      <c r="V850" s="237"/>
      <c r="W850" s="237"/>
      <c r="X850" s="237"/>
      <c r="Y850" s="237"/>
      <c r="Z850" s="237"/>
      <c r="AA850" s="237"/>
      <c r="AB850" s="237"/>
    </row>
    <row r="851">
      <c r="A851" s="238">
        <v>850.0</v>
      </c>
      <c r="B851" s="239" t="s">
        <v>7121</v>
      </c>
      <c r="C851" s="240" t="s">
        <v>7122</v>
      </c>
      <c r="D851" s="236"/>
      <c r="E851" s="240" t="s">
        <v>3511</v>
      </c>
      <c r="F851" s="240" t="s">
        <v>7123</v>
      </c>
      <c r="G851" s="238" t="s">
        <v>7124</v>
      </c>
      <c r="H851" s="240" t="s">
        <v>7125</v>
      </c>
      <c r="I851" s="236"/>
      <c r="J851" s="238" t="s">
        <v>7103</v>
      </c>
      <c r="K851" s="239" t="s">
        <v>7121</v>
      </c>
      <c r="L851" s="237"/>
      <c r="M851" s="237"/>
      <c r="N851" s="237"/>
      <c r="O851" s="237"/>
      <c r="P851" s="237"/>
      <c r="Q851" s="237"/>
      <c r="R851" s="237"/>
      <c r="S851" s="237"/>
      <c r="T851" s="237"/>
      <c r="U851" s="237"/>
      <c r="V851" s="237"/>
      <c r="W851" s="237"/>
      <c r="X851" s="237"/>
      <c r="Y851" s="237"/>
      <c r="Z851" s="237"/>
      <c r="AA851" s="237"/>
      <c r="AB851" s="237"/>
    </row>
    <row r="852">
      <c r="A852" s="238">
        <v>851.0</v>
      </c>
      <c r="B852" s="239" t="s">
        <v>7126</v>
      </c>
      <c r="C852" s="240" t="s">
        <v>7127</v>
      </c>
      <c r="D852" s="236"/>
      <c r="E852" s="240" t="s">
        <v>3511</v>
      </c>
      <c r="F852" s="240" t="s">
        <v>7128</v>
      </c>
      <c r="G852" s="238" t="s">
        <v>7129</v>
      </c>
      <c r="H852" s="240" t="s">
        <v>7130</v>
      </c>
      <c r="I852" s="236"/>
      <c r="J852" s="238" t="s">
        <v>7103</v>
      </c>
      <c r="K852" s="239" t="s">
        <v>7126</v>
      </c>
      <c r="L852" s="237"/>
      <c r="M852" s="237"/>
      <c r="N852" s="237"/>
      <c r="O852" s="237"/>
      <c r="P852" s="237"/>
      <c r="Q852" s="237"/>
      <c r="R852" s="237"/>
      <c r="S852" s="237"/>
      <c r="T852" s="237"/>
      <c r="U852" s="237"/>
      <c r="V852" s="237"/>
      <c r="W852" s="237"/>
      <c r="X852" s="237"/>
      <c r="Y852" s="237"/>
      <c r="Z852" s="237"/>
      <c r="AA852" s="237"/>
      <c r="AB852" s="237"/>
    </row>
    <row r="853">
      <c r="A853" s="238">
        <v>852.0</v>
      </c>
      <c r="B853" s="242"/>
      <c r="C853" s="240" t="s">
        <v>7131</v>
      </c>
      <c r="D853" s="236"/>
      <c r="E853" s="240" t="s">
        <v>3511</v>
      </c>
      <c r="F853" s="240" t="s">
        <v>5899</v>
      </c>
      <c r="G853" s="238" t="s">
        <v>7132</v>
      </c>
      <c r="H853" s="240" t="s">
        <v>7133</v>
      </c>
      <c r="I853" s="236"/>
      <c r="J853" s="238" t="s">
        <v>7103</v>
      </c>
      <c r="K853" s="242"/>
      <c r="L853" s="237"/>
      <c r="M853" s="237"/>
      <c r="N853" s="237"/>
      <c r="O853" s="237"/>
      <c r="P853" s="237"/>
      <c r="Q853" s="237"/>
      <c r="R853" s="237"/>
      <c r="S853" s="237"/>
      <c r="T853" s="237"/>
      <c r="U853" s="237"/>
      <c r="V853" s="237"/>
      <c r="W853" s="237"/>
      <c r="X853" s="237"/>
      <c r="Y853" s="237"/>
      <c r="Z853" s="237"/>
      <c r="AA853" s="237"/>
      <c r="AB853" s="237"/>
    </row>
    <row r="854">
      <c r="A854" s="238">
        <v>853.0</v>
      </c>
      <c r="B854" s="242"/>
      <c r="C854" s="240" t="s">
        <v>7134</v>
      </c>
      <c r="D854" s="236"/>
      <c r="E854" s="240" t="s">
        <v>3511</v>
      </c>
      <c r="F854" s="240" t="s">
        <v>7135</v>
      </c>
      <c r="G854" s="238" t="s">
        <v>7136</v>
      </c>
      <c r="H854" s="240" t="s">
        <v>7137</v>
      </c>
      <c r="I854" s="236"/>
      <c r="J854" s="238" t="s">
        <v>7103</v>
      </c>
      <c r="K854" s="242"/>
      <c r="L854" s="237"/>
      <c r="M854" s="237"/>
      <c r="N854" s="237"/>
      <c r="O854" s="237"/>
      <c r="P854" s="237"/>
      <c r="Q854" s="237"/>
      <c r="R854" s="237"/>
      <c r="S854" s="237"/>
      <c r="T854" s="237"/>
      <c r="U854" s="237"/>
      <c r="V854" s="237"/>
      <c r="W854" s="237"/>
      <c r="X854" s="237"/>
      <c r="Y854" s="237"/>
      <c r="Z854" s="237"/>
      <c r="AA854" s="237"/>
      <c r="AB854" s="237"/>
    </row>
    <row r="855">
      <c r="A855" s="238">
        <v>854.0</v>
      </c>
      <c r="B855" s="239" t="s">
        <v>7138</v>
      </c>
      <c r="C855" s="240" t="s">
        <v>7139</v>
      </c>
      <c r="D855" s="236"/>
      <c r="E855" s="240" t="s">
        <v>3511</v>
      </c>
      <c r="F855" s="240" t="s">
        <v>7140</v>
      </c>
      <c r="G855" s="238" t="s">
        <v>7141</v>
      </c>
      <c r="H855" s="240" t="s">
        <v>7142</v>
      </c>
      <c r="I855" s="236"/>
      <c r="J855" s="238" t="s">
        <v>7103</v>
      </c>
      <c r="K855" s="239" t="s">
        <v>7138</v>
      </c>
      <c r="L855" s="237"/>
      <c r="M855" s="237"/>
      <c r="N855" s="237"/>
      <c r="O855" s="237"/>
      <c r="P855" s="237"/>
      <c r="Q855" s="237"/>
      <c r="R855" s="237"/>
      <c r="S855" s="237"/>
      <c r="T855" s="237"/>
      <c r="U855" s="237"/>
      <c r="V855" s="237"/>
      <c r="W855" s="237"/>
      <c r="X855" s="237"/>
      <c r="Y855" s="237"/>
      <c r="Z855" s="237"/>
      <c r="AA855" s="237"/>
      <c r="AB855" s="237"/>
    </row>
    <row r="856">
      <c r="A856" s="238">
        <v>855.0</v>
      </c>
      <c r="B856" s="239" t="s">
        <v>7143</v>
      </c>
      <c r="C856" s="240" t="s">
        <v>7144</v>
      </c>
      <c r="D856" s="236"/>
      <c r="E856" s="240" t="s">
        <v>3511</v>
      </c>
      <c r="F856" s="240" t="s">
        <v>7145</v>
      </c>
      <c r="G856" s="238" t="s">
        <v>7146</v>
      </c>
      <c r="H856" s="240" t="s">
        <v>7147</v>
      </c>
      <c r="I856" s="236"/>
      <c r="J856" s="238" t="s">
        <v>7103</v>
      </c>
      <c r="K856" s="239" t="s">
        <v>7143</v>
      </c>
      <c r="L856" s="237"/>
      <c r="M856" s="237"/>
      <c r="N856" s="237"/>
      <c r="O856" s="237"/>
      <c r="P856" s="237"/>
      <c r="Q856" s="237"/>
      <c r="R856" s="237"/>
      <c r="S856" s="237"/>
      <c r="T856" s="237"/>
      <c r="U856" s="237"/>
      <c r="V856" s="237"/>
      <c r="W856" s="237"/>
      <c r="X856" s="237"/>
      <c r="Y856" s="237"/>
      <c r="Z856" s="237"/>
      <c r="AA856" s="237"/>
      <c r="AB856" s="237"/>
    </row>
    <row r="857">
      <c r="A857" s="238">
        <v>856.0</v>
      </c>
      <c r="B857" s="239" t="s">
        <v>7148</v>
      </c>
      <c r="C857" s="240" t="s">
        <v>7149</v>
      </c>
      <c r="D857" s="236"/>
      <c r="E857" s="240" t="s">
        <v>3511</v>
      </c>
      <c r="F857" s="240" t="s">
        <v>7150</v>
      </c>
      <c r="G857" s="238" t="s">
        <v>7151</v>
      </c>
      <c r="H857" s="240" t="s">
        <v>7152</v>
      </c>
      <c r="I857" s="236"/>
      <c r="J857" s="238" t="s">
        <v>7103</v>
      </c>
      <c r="K857" s="239" t="s">
        <v>7148</v>
      </c>
      <c r="L857" s="237"/>
      <c r="M857" s="237"/>
      <c r="N857" s="237"/>
      <c r="O857" s="237"/>
      <c r="P857" s="237"/>
      <c r="Q857" s="237"/>
      <c r="R857" s="237"/>
      <c r="S857" s="237"/>
      <c r="T857" s="237"/>
      <c r="U857" s="237"/>
      <c r="V857" s="237"/>
      <c r="W857" s="237"/>
      <c r="X857" s="237"/>
      <c r="Y857" s="237"/>
      <c r="Z857" s="237"/>
      <c r="AA857" s="237"/>
      <c r="AB857" s="237"/>
    </row>
    <row r="858">
      <c r="A858" s="238">
        <v>857.0</v>
      </c>
      <c r="B858" s="242"/>
      <c r="C858" s="240" t="s">
        <v>7153</v>
      </c>
      <c r="D858" s="236"/>
      <c r="E858" s="240" t="s">
        <v>3511</v>
      </c>
      <c r="F858" s="240" t="s">
        <v>7154</v>
      </c>
      <c r="G858" s="238" t="s">
        <v>7155</v>
      </c>
      <c r="H858" s="240" t="s">
        <v>7156</v>
      </c>
      <c r="I858" s="236"/>
      <c r="J858" s="238" t="s">
        <v>6272</v>
      </c>
      <c r="K858" s="242"/>
      <c r="L858" s="237"/>
      <c r="M858" s="237"/>
      <c r="N858" s="237"/>
      <c r="O858" s="237"/>
      <c r="P858" s="237"/>
      <c r="Q858" s="237"/>
      <c r="R858" s="237"/>
      <c r="S858" s="237"/>
      <c r="T858" s="237"/>
      <c r="U858" s="237"/>
      <c r="V858" s="237"/>
      <c r="W858" s="237"/>
      <c r="X858" s="237"/>
      <c r="Y858" s="237"/>
      <c r="Z858" s="237"/>
      <c r="AA858" s="237"/>
      <c r="AB858" s="237"/>
    </row>
    <row r="859">
      <c r="A859" s="238">
        <v>858.0</v>
      </c>
      <c r="B859" s="239" t="s">
        <v>7157</v>
      </c>
      <c r="C859" s="240" t="s">
        <v>7158</v>
      </c>
      <c r="D859" s="236"/>
      <c r="E859" s="240" t="s">
        <v>3511</v>
      </c>
      <c r="F859" s="240" t="s">
        <v>7159</v>
      </c>
      <c r="G859" s="238" t="s">
        <v>7160</v>
      </c>
      <c r="H859" s="240" t="s">
        <v>7161</v>
      </c>
      <c r="I859" s="236"/>
      <c r="J859" s="238" t="s">
        <v>3545</v>
      </c>
      <c r="K859" s="239" t="s">
        <v>7157</v>
      </c>
      <c r="L859" s="237"/>
      <c r="M859" s="237"/>
      <c r="N859" s="237"/>
      <c r="O859" s="237"/>
      <c r="P859" s="237"/>
      <c r="Q859" s="237"/>
      <c r="R859" s="237"/>
      <c r="S859" s="237"/>
      <c r="T859" s="237"/>
      <c r="U859" s="237"/>
      <c r="V859" s="237"/>
      <c r="W859" s="237"/>
      <c r="X859" s="237"/>
      <c r="Y859" s="237"/>
      <c r="Z859" s="237"/>
      <c r="AA859" s="237"/>
      <c r="AB859" s="237"/>
    </row>
    <row r="860">
      <c r="A860" s="238">
        <v>859.0</v>
      </c>
      <c r="B860" s="239" t="s">
        <v>7162</v>
      </c>
      <c r="C860" s="240" t="s">
        <v>7163</v>
      </c>
      <c r="D860" s="236"/>
      <c r="E860" s="240" t="s">
        <v>3511</v>
      </c>
      <c r="F860" s="240" t="s">
        <v>7164</v>
      </c>
      <c r="G860" s="238" t="s">
        <v>7102</v>
      </c>
      <c r="H860" s="240" t="s">
        <v>7165</v>
      </c>
      <c r="I860" s="236"/>
      <c r="J860" s="238" t="s">
        <v>7103</v>
      </c>
      <c r="K860" s="239" t="s">
        <v>7162</v>
      </c>
      <c r="L860" s="237"/>
      <c r="M860" s="237"/>
      <c r="N860" s="237"/>
      <c r="O860" s="237"/>
      <c r="P860" s="237"/>
      <c r="Q860" s="237"/>
      <c r="R860" s="237"/>
      <c r="S860" s="237"/>
      <c r="T860" s="237"/>
      <c r="U860" s="237"/>
      <c r="V860" s="237"/>
      <c r="W860" s="237"/>
      <c r="X860" s="237"/>
      <c r="Y860" s="237"/>
      <c r="Z860" s="237"/>
      <c r="AA860" s="237"/>
      <c r="AB860" s="237"/>
    </row>
    <row r="861">
      <c r="A861" s="238">
        <v>860.0</v>
      </c>
      <c r="B861" s="239" t="s">
        <v>7166</v>
      </c>
      <c r="C861" s="240" t="s">
        <v>7167</v>
      </c>
      <c r="D861" s="236"/>
      <c r="E861" s="240" t="s">
        <v>3511</v>
      </c>
      <c r="F861" s="240" t="s">
        <v>7168</v>
      </c>
      <c r="G861" s="238" t="s">
        <v>7169</v>
      </c>
      <c r="H861" s="240" t="s">
        <v>7170</v>
      </c>
      <c r="I861" s="236"/>
      <c r="J861" s="238" t="s">
        <v>7103</v>
      </c>
      <c r="K861" s="239" t="s">
        <v>7166</v>
      </c>
      <c r="L861" s="237"/>
      <c r="M861" s="237"/>
      <c r="N861" s="237"/>
      <c r="O861" s="237"/>
      <c r="P861" s="237"/>
      <c r="Q861" s="237"/>
      <c r="R861" s="237"/>
      <c r="S861" s="237"/>
      <c r="T861" s="237"/>
      <c r="U861" s="237"/>
      <c r="V861" s="237"/>
      <c r="W861" s="237"/>
      <c r="X861" s="237"/>
      <c r="Y861" s="237"/>
      <c r="Z861" s="237"/>
      <c r="AA861" s="237"/>
      <c r="AB861" s="237"/>
    </row>
    <row r="862">
      <c r="A862" s="238">
        <v>861.0</v>
      </c>
      <c r="B862" s="239" t="s">
        <v>7171</v>
      </c>
      <c r="C862" s="240" t="s">
        <v>7172</v>
      </c>
      <c r="D862" s="236"/>
      <c r="E862" s="240" t="s">
        <v>3511</v>
      </c>
      <c r="F862" s="240" t="s">
        <v>7173</v>
      </c>
      <c r="G862" s="238" t="s">
        <v>7174</v>
      </c>
      <c r="H862" s="240" t="s">
        <v>7175</v>
      </c>
      <c r="I862" s="236"/>
      <c r="J862" s="238" t="s">
        <v>7103</v>
      </c>
      <c r="K862" s="239" t="s">
        <v>7171</v>
      </c>
      <c r="L862" s="237"/>
      <c r="M862" s="237"/>
      <c r="N862" s="237"/>
      <c r="O862" s="237"/>
      <c r="P862" s="237"/>
      <c r="Q862" s="237"/>
      <c r="R862" s="237"/>
      <c r="S862" s="237"/>
      <c r="T862" s="237"/>
      <c r="U862" s="237"/>
      <c r="V862" s="237"/>
      <c r="W862" s="237"/>
      <c r="X862" s="237"/>
      <c r="Y862" s="237"/>
      <c r="Z862" s="237"/>
      <c r="AA862" s="237"/>
      <c r="AB862" s="237"/>
    </row>
    <row r="863">
      <c r="A863" s="238">
        <v>862.0</v>
      </c>
      <c r="B863" s="242"/>
      <c r="C863" s="240" t="s">
        <v>7176</v>
      </c>
      <c r="D863" s="236"/>
      <c r="E863" s="240" t="s">
        <v>3511</v>
      </c>
      <c r="F863" s="240" t="s">
        <v>5899</v>
      </c>
      <c r="G863" s="238" t="s">
        <v>7177</v>
      </c>
      <c r="H863" s="240" t="s">
        <v>7178</v>
      </c>
      <c r="I863" s="236"/>
      <c r="J863" s="238" t="s">
        <v>7103</v>
      </c>
      <c r="K863" s="242"/>
      <c r="L863" s="237"/>
      <c r="M863" s="237"/>
      <c r="N863" s="237"/>
      <c r="O863" s="237"/>
      <c r="P863" s="237"/>
      <c r="Q863" s="237"/>
      <c r="R863" s="237"/>
      <c r="S863" s="237"/>
      <c r="T863" s="237"/>
      <c r="U863" s="237"/>
      <c r="V863" s="237"/>
      <c r="W863" s="237"/>
      <c r="X863" s="237"/>
      <c r="Y863" s="237"/>
      <c r="Z863" s="237"/>
      <c r="AA863" s="237"/>
      <c r="AB863" s="237"/>
    </row>
    <row r="864">
      <c r="A864" s="238">
        <v>863.0</v>
      </c>
      <c r="B864" s="239" t="s">
        <v>7179</v>
      </c>
      <c r="C864" s="240" t="s">
        <v>7180</v>
      </c>
      <c r="D864" s="236"/>
      <c r="E864" s="240" t="s">
        <v>3511</v>
      </c>
      <c r="F864" s="240" t="s">
        <v>7181</v>
      </c>
      <c r="G864" s="238" t="s">
        <v>7182</v>
      </c>
      <c r="H864" s="240" t="s">
        <v>7183</v>
      </c>
      <c r="I864" s="236"/>
      <c r="J864" s="238" t="s">
        <v>7103</v>
      </c>
      <c r="K864" s="239" t="s">
        <v>7179</v>
      </c>
      <c r="L864" s="237"/>
      <c r="M864" s="237"/>
      <c r="N864" s="237"/>
      <c r="O864" s="237"/>
      <c r="P864" s="237"/>
      <c r="Q864" s="237"/>
      <c r="R864" s="237"/>
      <c r="S864" s="237"/>
      <c r="T864" s="237"/>
      <c r="U864" s="237"/>
      <c r="V864" s="237"/>
      <c r="W864" s="237"/>
      <c r="X864" s="237"/>
      <c r="Y864" s="237"/>
      <c r="Z864" s="237"/>
      <c r="AA864" s="237"/>
      <c r="AB864" s="237"/>
    </row>
    <row r="865">
      <c r="A865" s="238">
        <v>864.0</v>
      </c>
      <c r="B865" s="239" t="s">
        <v>7184</v>
      </c>
      <c r="C865" s="240" t="s">
        <v>7185</v>
      </c>
      <c r="D865" s="236"/>
      <c r="E865" s="240" t="s">
        <v>3511</v>
      </c>
      <c r="F865" s="240" t="s">
        <v>7186</v>
      </c>
      <c r="G865" s="238" t="s">
        <v>7187</v>
      </c>
      <c r="H865" s="240" t="s">
        <v>7188</v>
      </c>
      <c r="I865" s="236"/>
      <c r="J865" s="238" t="s">
        <v>7103</v>
      </c>
      <c r="K865" s="239" t="s">
        <v>7184</v>
      </c>
      <c r="L865" s="237"/>
      <c r="M865" s="237"/>
      <c r="N865" s="237"/>
      <c r="O865" s="237"/>
      <c r="P865" s="237"/>
      <c r="Q865" s="237"/>
      <c r="R865" s="237"/>
      <c r="S865" s="237"/>
      <c r="T865" s="237"/>
      <c r="U865" s="237"/>
      <c r="V865" s="237"/>
      <c r="W865" s="237"/>
      <c r="X865" s="237"/>
      <c r="Y865" s="237"/>
      <c r="Z865" s="237"/>
      <c r="AA865" s="237"/>
      <c r="AB865" s="237"/>
    </row>
    <row r="866">
      <c r="A866" s="238">
        <v>865.0</v>
      </c>
      <c r="B866" s="242"/>
      <c r="C866" s="240" t="s">
        <v>7189</v>
      </c>
      <c r="D866" s="236"/>
      <c r="E866" s="240" t="s">
        <v>3511</v>
      </c>
      <c r="F866" s="240" t="s">
        <v>5907</v>
      </c>
      <c r="G866" s="238" t="s">
        <v>7190</v>
      </c>
      <c r="H866" s="240" t="s">
        <v>7191</v>
      </c>
      <c r="I866" s="236"/>
      <c r="J866" s="238" t="s">
        <v>7103</v>
      </c>
      <c r="K866" s="242"/>
      <c r="L866" s="237"/>
      <c r="M866" s="237"/>
      <c r="N866" s="237"/>
      <c r="O866" s="237"/>
      <c r="P866" s="237"/>
      <c r="Q866" s="237"/>
      <c r="R866" s="237"/>
      <c r="S866" s="237"/>
      <c r="T866" s="237"/>
      <c r="U866" s="237"/>
      <c r="V866" s="237"/>
      <c r="W866" s="237"/>
      <c r="X866" s="237"/>
      <c r="Y866" s="237"/>
      <c r="Z866" s="237"/>
      <c r="AA866" s="237"/>
      <c r="AB866" s="237"/>
    </row>
    <row r="867">
      <c r="A867" s="238">
        <v>866.0</v>
      </c>
      <c r="B867" s="239" t="s">
        <v>7192</v>
      </c>
      <c r="C867" s="240" t="s">
        <v>7193</v>
      </c>
      <c r="D867" s="236"/>
      <c r="E867" s="240" t="s">
        <v>3511</v>
      </c>
      <c r="F867" s="240" t="s">
        <v>7194</v>
      </c>
      <c r="G867" s="238" t="s">
        <v>7195</v>
      </c>
      <c r="H867" s="240" t="s">
        <v>7196</v>
      </c>
      <c r="I867" s="236"/>
      <c r="J867" s="238" t="s">
        <v>7103</v>
      </c>
      <c r="K867" s="239" t="s">
        <v>7192</v>
      </c>
      <c r="L867" s="237"/>
      <c r="M867" s="237"/>
      <c r="N867" s="237"/>
      <c r="O867" s="237"/>
      <c r="P867" s="237"/>
      <c r="Q867" s="237"/>
      <c r="R867" s="237"/>
      <c r="S867" s="237"/>
      <c r="T867" s="237"/>
      <c r="U867" s="237"/>
      <c r="V867" s="237"/>
      <c r="W867" s="237"/>
      <c r="X867" s="237"/>
      <c r="Y867" s="237"/>
      <c r="Z867" s="237"/>
      <c r="AA867" s="237"/>
      <c r="AB867" s="237"/>
    </row>
    <row r="868">
      <c r="A868" s="238">
        <v>867.0</v>
      </c>
      <c r="B868" s="239" t="s">
        <v>7197</v>
      </c>
      <c r="C868" s="240" t="s">
        <v>7198</v>
      </c>
      <c r="D868" s="236"/>
      <c r="E868" s="240" t="s">
        <v>3511</v>
      </c>
      <c r="F868" s="240" t="s">
        <v>7199</v>
      </c>
      <c r="G868" s="238" t="s">
        <v>7200</v>
      </c>
      <c r="H868" s="240" t="s">
        <v>7201</v>
      </c>
      <c r="I868" s="236"/>
      <c r="J868" s="238" t="s">
        <v>6272</v>
      </c>
      <c r="K868" s="239" t="s">
        <v>7197</v>
      </c>
      <c r="L868" s="237"/>
      <c r="M868" s="237"/>
      <c r="N868" s="237"/>
      <c r="O868" s="237"/>
      <c r="P868" s="237"/>
      <c r="Q868" s="237"/>
      <c r="R868" s="237"/>
      <c r="S868" s="237"/>
      <c r="T868" s="237"/>
      <c r="U868" s="237"/>
      <c r="V868" s="237"/>
      <c r="W868" s="237"/>
      <c r="X868" s="237"/>
      <c r="Y868" s="237"/>
      <c r="Z868" s="237"/>
      <c r="AA868" s="237"/>
      <c r="AB868" s="237"/>
    </row>
    <row r="869">
      <c r="A869" s="238">
        <v>868.0</v>
      </c>
      <c r="B869" s="239" t="s">
        <v>7202</v>
      </c>
      <c r="C869" s="240" t="s">
        <v>7203</v>
      </c>
      <c r="D869" s="236"/>
      <c r="E869" s="240" t="s">
        <v>3511</v>
      </c>
      <c r="F869" s="240" t="s">
        <v>7204</v>
      </c>
      <c r="G869" s="238" t="s">
        <v>7205</v>
      </c>
      <c r="H869" s="240" t="s">
        <v>7206</v>
      </c>
      <c r="I869" s="236"/>
      <c r="J869" s="238" t="s">
        <v>7103</v>
      </c>
      <c r="K869" s="239" t="s">
        <v>7202</v>
      </c>
      <c r="L869" s="237"/>
      <c r="M869" s="237"/>
      <c r="N869" s="237"/>
      <c r="O869" s="237"/>
      <c r="P869" s="237"/>
      <c r="Q869" s="237"/>
      <c r="R869" s="237"/>
      <c r="S869" s="237"/>
      <c r="T869" s="237"/>
      <c r="U869" s="237"/>
      <c r="V869" s="237"/>
      <c r="W869" s="237"/>
      <c r="X869" s="237"/>
      <c r="Y869" s="237"/>
      <c r="Z869" s="237"/>
      <c r="AA869" s="237"/>
      <c r="AB869" s="237"/>
    </row>
    <row r="870">
      <c r="A870" s="238">
        <v>869.0</v>
      </c>
      <c r="B870" s="239" t="s">
        <v>7207</v>
      </c>
      <c r="C870" s="240" t="s">
        <v>7208</v>
      </c>
      <c r="D870" s="236"/>
      <c r="E870" s="240" t="s">
        <v>3511</v>
      </c>
      <c r="F870" s="240" t="s">
        <v>7209</v>
      </c>
      <c r="G870" s="238" t="s">
        <v>7210</v>
      </c>
      <c r="H870" s="240" t="s">
        <v>7211</v>
      </c>
      <c r="I870" s="236"/>
      <c r="J870" s="238" t="s">
        <v>7103</v>
      </c>
      <c r="K870" s="239" t="s">
        <v>7207</v>
      </c>
      <c r="L870" s="237"/>
      <c r="M870" s="237"/>
      <c r="N870" s="237"/>
      <c r="O870" s="237"/>
      <c r="P870" s="237"/>
      <c r="Q870" s="237"/>
      <c r="R870" s="237"/>
      <c r="S870" s="237"/>
      <c r="T870" s="237"/>
      <c r="U870" s="237"/>
      <c r="V870" s="237"/>
      <c r="W870" s="237"/>
      <c r="X870" s="237"/>
      <c r="Y870" s="237"/>
      <c r="Z870" s="237"/>
      <c r="AA870" s="237"/>
      <c r="AB870" s="237"/>
    </row>
    <row r="871">
      <c r="A871" s="238">
        <v>870.0</v>
      </c>
      <c r="B871" s="239" t="s">
        <v>7212</v>
      </c>
      <c r="C871" s="240" t="s">
        <v>7213</v>
      </c>
      <c r="D871" s="236"/>
      <c r="E871" s="240" t="s">
        <v>3511</v>
      </c>
      <c r="F871" s="240" t="s">
        <v>7214</v>
      </c>
      <c r="G871" s="238" t="s">
        <v>7215</v>
      </c>
      <c r="H871" s="240" t="s">
        <v>7216</v>
      </c>
      <c r="I871" s="236"/>
      <c r="J871" s="238" t="s">
        <v>7103</v>
      </c>
      <c r="K871" s="239" t="s">
        <v>7212</v>
      </c>
      <c r="L871" s="237"/>
      <c r="M871" s="237"/>
      <c r="N871" s="237"/>
      <c r="O871" s="237"/>
      <c r="P871" s="237"/>
      <c r="Q871" s="237"/>
      <c r="R871" s="237"/>
      <c r="S871" s="237"/>
      <c r="T871" s="237"/>
      <c r="U871" s="237"/>
      <c r="V871" s="237"/>
      <c r="W871" s="237"/>
      <c r="X871" s="237"/>
      <c r="Y871" s="237"/>
      <c r="Z871" s="237"/>
      <c r="AA871" s="237"/>
      <c r="AB871" s="237"/>
    </row>
    <row r="872">
      <c r="A872" s="238">
        <v>871.0</v>
      </c>
      <c r="B872" s="239" t="s">
        <v>7217</v>
      </c>
      <c r="C872" s="240" t="s">
        <v>7218</v>
      </c>
      <c r="D872" s="236"/>
      <c r="E872" s="240" t="s">
        <v>3511</v>
      </c>
      <c r="F872" s="240" t="s">
        <v>7219</v>
      </c>
      <c r="G872" s="238" t="s">
        <v>7220</v>
      </c>
      <c r="H872" s="240" t="s">
        <v>7221</v>
      </c>
      <c r="I872" s="236"/>
      <c r="J872" s="238" t="s">
        <v>7103</v>
      </c>
      <c r="K872" s="239" t="s">
        <v>7217</v>
      </c>
      <c r="L872" s="237"/>
      <c r="M872" s="237"/>
      <c r="N872" s="237"/>
      <c r="O872" s="237"/>
      <c r="P872" s="237"/>
      <c r="Q872" s="237"/>
      <c r="R872" s="237"/>
      <c r="S872" s="237"/>
      <c r="T872" s="237"/>
      <c r="U872" s="237"/>
      <c r="V872" s="237"/>
      <c r="W872" s="237"/>
      <c r="X872" s="237"/>
      <c r="Y872" s="237"/>
      <c r="Z872" s="237"/>
      <c r="AA872" s="237"/>
      <c r="AB872" s="237"/>
    </row>
    <row r="873">
      <c r="A873" s="238">
        <v>872.0</v>
      </c>
      <c r="B873" s="242"/>
      <c r="C873" s="240" t="s">
        <v>7222</v>
      </c>
      <c r="D873" s="236"/>
      <c r="E873" s="240" t="s">
        <v>3511</v>
      </c>
      <c r="F873" s="240" t="s">
        <v>5899</v>
      </c>
      <c r="G873" s="238" t="s">
        <v>7223</v>
      </c>
      <c r="H873" s="240" t="s">
        <v>7224</v>
      </c>
      <c r="I873" s="236"/>
      <c r="J873" s="238" t="s">
        <v>3545</v>
      </c>
      <c r="K873" s="242"/>
      <c r="L873" s="237"/>
      <c r="M873" s="237"/>
      <c r="N873" s="237"/>
      <c r="O873" s="237"/>
      <c r="P873" s="237"/>
      <c r="Q873" s="237"/>
      <c r="R873" s="237"/>
      <c r="S873" s="237"/>
      <c r="T873" s="237"/>
      <c r="U873" s="237"/>
      <c r="V873" s="237"/>
      <c r="W873" s="237"/>
      <c r="X873" s="237"/>
      <c r="Y873" s="237"/>
      <c r="Z873" s="237"/>
      <c r="AA873" s="237"/>
      <c r="AB873" s="237"/>
    </row>
    <row r="874">
      <c r="A874" s="238">
        <v>873.0</v>
      </c>
      <c r="B874" s="239" t="s">
        <v>7225</v>
      </c>
      <c r="C874" s="240" t="s">
        <v>7226</v>
      </c>
      <c r="D874" s="236"/>
      <c r="E874" s="240" t="s">
        <v>3511</v>
      </c>
      <c r="F874" s="240" t="s">
        <v>7227</v>
      </c>
      <c r="G874" s="238" t="s">
        <v>7228</v>
      </c>
      <c r="H874" s="240" t="s">
        <v>7229</v>
      </c>
      <c r="I874" s="236"/>
      <c r="J874" s="238" t="s">
        <v>3545</v>
      </c>
      <c r="K874" s="239" t="s">
        <v>7225</v>
      </c>
      <c r="L874" s="237"/>
      <c r="M874" s="237"/>
      <c r="N874" s="237"/>
      <c r="O874" s="237"/>
      <c r="P874" s="237"/>
      <c r="Q874" s="237"/>
      <c r="R874" s="237"/>
      <c r="S874" s="237"/>
      <c r="T874" s="237"/>
      <c r="U874" s="237"/>
      <c r="V874" s="237"/>
      <c r="W874" s="237"/>
      <c r="X874" s="237"/>
      <c r="Y874" s="237"/>
      <c r="Z874" s="237"/>
      <c r="AA874" s="237"/>
      <c r="AB874" s="237"/>
    </row>
    <row r="875">
      <c r="A875" s="238">
        <v>874.0</v>
      </c>
      <c r="B875" s="239" t="s">
        <v>7230</v>
      </c>
      <c r="C875" s="240" t="s">
        <v>7231</v>
      </c>
      <c r="D875" s="236"/>
      <c r="E875" s="240" t="s">
        <v>3511</v>
      </c>
      <c r="F875" s="240" t="s">
        <v>7232</v>
      </c>
      <c r="G875" s="238" t="s">
        <v>7233</v>
      </c>
      <c r="H875" s="240" t="s">
        <v>7234</v>
      </c>
      <c r="I875" s="236"/>
      <c r="J875" s="238" t="s">
        <v>3545</v>
      </c>
      <c r="K875" s="239" t="s">
        <v>7230</v>
      </c>
      <c r="L875" s="237"/>
      <c r="M875" s="237"/>
      <c r="N875" s="237"/>
      <c r="O875" s="237"/>
      <c r="P875" s="237"/>
      <c r="Q875" s="237"/>
      <c r="R875" s="237"/>
      <c r="S875" s="237"/>
      <c r="T875" s="237"/>
      <c r="U875" s="237"/>
      <c r="V875" s="237"/>
      <c r="W875" s="237"/>
      <c r="X875" s="237"/>
      <c r="Y875" s="237"/>
      <c r="Z875" s="237"/>
      <c r="AA875" s="237"/>
      <c r="AB875" s="237"/>
    </row>
    <row r="876">
      <c r="A876" s="238">
        <v>875.0</v>
      </c>
      <c r="B876" s="239" t="s">
        <v>7235</v>
      </c>
      <c r="C876" s="240" t="s">
        <v>7236</v>
      </c>
      <c r="D876" s="236"/>
      <c r="E876" s="240" t="s">
        <v>3511</v>
      </c>
      <c r="F876" s="240" t="s">
        <v>7237</v>
      </c>
      <c r="G876" s="238" t="s">
        <v>7238</v>
      </c>
      <c r="H876" s="240" t="s">
        <v>7239</v>
      </c>
      <c r="I876" s="236"/>
      <c r="J876" s="238" t="s">
        <v>3545</v>
      </c>
      <c r="K876" s="239" t="s">
        <v>7235</v>
      </c>
      <c r="L876" s="237"/>
      <c r="M876" s="237"/>
      <c r="N876" s="237"/>
      <c r="O876" s="237"/>
      <c r="P876" s="237"/>
      <c r="Q876" s="237"/>
      <c r="R876" s="237"/>
      <c r="S876" s="237"/>
      <c r="T876" s="237"/>
      <c r="U876" s="237"/>
      <c r="V876" s="237"/>
      <c r="W876" s="237"/>
      <c r="X876" s="237"/>
      <c r="Y876" s="237"/>
      <c r="Z876" s="237"/>
      <c r="AA876" s="237"/>
      <c r="AB876" s="237"/>
    </row>
    <row r="877">
      <c r="A877" s="238">
        <v>876.0</v>
      </c>
      <c r="B877" s="239" t="s">
        <v>7240</v>
      </c>
      <c r="C877" s="240" t="s">
        <v>7241</v>
      </c>
      <c r="D877" s="236"/>
      <c r="E877" s="240" t="s">
        <v>3511</v>
      </c>
      <c r="F877" s="240" t="s">
        <v>7242</v>
      </c>
      <c r="G877" s="238" t="s">
        <v>7243</v>
      </c>
      <c r="H877" s="240" t="s">
        <v>7244</v>
      </c>
      <c r="I877" s="236"/>
      <c r="J877" s="238" t="s">
        <v>3545</v>
      </c>
      <c r="K877" s="239" t="s">
        <v>7240</v>
      </c>
      <c r="L877" s="237"/>
      <c r="M877" s="237"/>
      <c r="N877" s="237"/>
      <c r="O877" s="237"/>
      <c r="P877" s="237"/>
      <c r="Q877" s="237"/>
      <c r="R877" s="237"/>
      <c r="S877" s="237"/>
      <c r="T877" s="237"/>
      <c r="U877" s="237"/>
      <c r="V877" s="237"/>
      <c r="W877" s="237"/>
      <c r="X877" s="237"/>
      <c r="Y877" s="237"/>
      <c r="Z877" s="237"/>
      <c r="AA877" s="237"/>
      <c r="AB877" s="237"/>
    </row>
    <row r="878">
      <c r="A878" s="238">
        <v>877.0</v>
      </c>
      <c r="B878" s="242"/>
      <c r="C878" s="240" t="s">
        <v>7245</v>
      </c>
      <c r="D878" s="236"/>
      <c r="E878" s="240" t="s">
        <v>3511</v>
      </c>
      <c r="F878" s="240" t="s">
        <v>7246</v>
      </c>
      <c r="G878" s="238" t="s">
        <v>7247</v>
      </c>
      <c r="H878" s="240" t="s">
        <v>7248</v>
      </c>
      <c r="I878" s="236"/>
      <c r="J878" s="238" t="s">
        <v>6272</v>
      </c>
      <c r="K878" s="242"/>
      <c r="L878" s="237"/>
      <c r="M878" s="237"/>
      <c r="N878" s="237"/>
      <c r="O878" s="237"/>
      <c r="P878" s="237"/>
      <c r="Q878" s="237"/>
      <c r="R878" s="237"/>
      <c r="S878" s="237"/>
      <c r="T878" s="237"/>
      <c r="U878" s="237"/>
      <c r="V878" s="237"/>
      <c r="W878" s="237"/>
      <c r="X878" s="237"/>
      <c r="Y878" s="237"/>
      <c r="Z878" s="237"/>
      <c r="AA878" s="237"/>
      <c r="AB878" s="237"/>
    </row>
    <row r="879">
      <c r="A879" s="238">
        <v>878.0</v>
      </c>
      <c r="B879" s="239" t="s">
        <v>7249</v>
      </c>
      <c r="C879" s="240" t="s">
        <v>7250</v>
      </c>
      <c r="D879" s="236"/>
      <c r="E879" s="240" t="s">
        <v>3511</v>
      </c>
      <c r="F879" s="240" t="s">
        <v>7251</v>
      </c>
      <c r="G879" s="238" t="s">
        <v>7252</v>
      </c>
      <c r="H879" s="240" t="s">
        <v>7253</v>
      </c>
      <c r="I879" s="236"/>
      <c r="J879" s="238" t="s">
        <v>3545</v>
      </c>
      <c r="K879" s="239" t="s">
        <v>7249</v>
      </c>
      <c r="L879" s="237"/>
      <c r="M879" s="237"/>
      <c r="N879" s="237"/>
      <c r="O879" s="237"/>
      <c r="P879" s="237"/>
      <c r="Q879" s="237"/>
      <c r="R879" s="237"/>
      <c r="S879" s="237"/>
      <c r="T879" s="237"/>
      <c r="U879" s="237"/>
      <c r="V879" s="237"/>
      <c r="W879" s="237"/>
      <c r="X879" s="237"/>
      <c r="Y879" s="237"/>
      <c r="Z879" s="237"/>
      <c r="AA879" s="237"/>
      <c r="AB879" s="237"/>
    </row>
    <row r="880">
      <c r="A880" s="238">
        <v>879.0</v>
      </c>
      <c r="B880" s="239" t="s">
        <v>7254</v>
      </c>
      <c r="C880" s="240" t="s">
        <v>7255</v>
      </c>
      <c r="D880" s="236"/>
      <c r="E880" s="240" t="s">
        <v>3511</v>
      </c>
      <c r="F880" s="240" t="s">
        <v>7256</v>
      </c>
      <c r="G880" s="238" t="s">
        <v>7257</v>
      </c>
      <c r="H880" s="240" t="s">
        <v>7258</v>
      </c>
      <c r="I880" s="236"/>
      <c r="J880" s="238" t="s">
        <v>3545</v>
      </c>
      <c r="K880" s="239" t="s">
        <v>7254</v>
      </c>
      <c r="L880" s="237"/>
      <c r="M880" s="237"/>
      <c r="N880" s="237"/>
      <c r="O880" s="237"/>
      <c r="P880" s="237"/>
      <c r="Q880" s="237"/>
      <c r="R880" s="237"/>
      <c r="S880" s="237"/>
      <c r="T880" s="237"/>
      <c r="U880" s="237"/>
      <c r="V880" s="237"/>
      <c r="W880" s="237"/>
      <c r="X880" s="237"/>
      <c r="Y880" s="237"/>
      <c r="Z880" s="237"/>
      <c r="AA880" s="237"/>
      <c r="AB880" s="237"/>
    </row>
    <row r="881">
      <c r="A881" s="238">
        <v>880.0</v>
      </c>
      <c r="B881" s="239" t="s">
        <v>7259</v>
      </c>
      <c r="C881" s="240" t="s">
        <v>7260</v>
      </c>
      <c r="D881" s="236"/>
      <c r="E881" s="240" t="s">
        <v>3511</v>
      </c>
      <c r="F881" s="240" t="s">
        <v>7261</v>
      </c>
      <c r="G881" s="238" t="s">
        <v>7262</v>
      </c>
      <c r="H881" s="241" t="s">
        <v>7263</v>
      </c>
      <c r="I881" s="236"/>
      <c r="J881" s="238" t="s">
        <v>3545</v>
      </c>
      <c r="K881" s="239" t="s">
        <v>7259</v>
      </c>
      <c r="L881" s="237"/>
      <c r="M881" s="237"/>
      <c r="N881" s="237"/>
      <c r="O881" s="237"/>
      <c r="P881" s="237"/>
      <c r="Q881" s="237"/>
      <c r="R881" s="237"/>
      <c r="S881" s="237"/>
      <c r="T881" s="237"/>
      <c r="U881" s="237"/>
      <c r="V881" s="237"/>
      <c r="W881" s="237"/>
      <c r="X881" s="237"/>
      <c r="Y881" s="237"/>
      <c r="Z881" s="237"/>
      <c r="AA881" s="237"/>
      <c r="AB881" s="237"/>
    </row>
    <row r="882">
      <c r="A882" s="238">
        <v>881.0</v>
      </c>
      <c r="B882" s="239" t="s">
        <v>7264</v>
      </c>
      <c r="C882" s="240" t="s">
        <v>7265</v>
      </c>
      <c r="D882" s="236"/>
      <c r="E882" s="240" t="s">
        <v>3511</v>
      </c>
      <c r="F882" s="240" t="s">
        <v>7266</v>
      </c>
      <c r="G882" s="238" t="s">
        <v>7267</v>
      </c>
      <c r="H882" s="240" t="s">
        <v>7268</v>
      </c>
      <c r="I882" s="236"/>
      <c r="J882" s="238" t="s">
        <v>3545</v>
      </c>
      <c r="K882" s="239" t="s">
        <v>7264</v>
      </c>
      <c r="L882" s="237"/>
      <c r="M882" s="237"/>
      <c r="N882" s="237"/>
      <c r="O882" s="237"/>
      <c r="P882" s="237"/>
      <c r="Q882" s="237"/>
      <c r="R882" s="237"/>
      <c r="S882" s="237"/>
      <c r="T882" s="237"/>
      <c r="U882" s="237"/>
      <c r="V882" s="237"/>
      <c r="W882" s="237"/>
      <c r="X882" s="237"/>
      <c r="Y882" s="237"/>
      <c r="Z882" s="237"/>
      <c r="AA882" s="237"/>
      <c r="AB882" s="237"/>
    </row>
    <row r="883">
      <c r="A883" s="238">
        <v>882.0</v>
      </c>
      <c r="B883" s="242"/>
      <c r="C883" s="240" t="s">
        <v>7269</v>
      </c>
      <c r="D883" s="236"/>
      <c r="E883" s="240" t="s">
        <v>3511</v>
      </c>
      <c r="F883" s="240" t="s">
        <v>5899</v>
      </c>
      <c r="G883" s="238" t="s">
        <v>7270</v>
      </c>
      <c r="H883" s="240" t="s">
        <v>7271</v>
      </c>
      <c r="I883" s="236"/>
      <c r="J883" s="238" t="s">
        <v>3545</v>
      </c>
      <c r="K883" s="242"/>
      <c r="L883" s="237"/>
      <c r="M883" s="237"/>
      <c r="N883" s="237"/>
      <c r="O883" s="237"/>
      <c r="P883" s="237"/>
      <c r="Q883" s="237"/>
      <c r="R883" s="237"/>
      <c r="S883" s="237"/>
      <c r="T883" s="237"/>
      <c r="U883" s="237"/>
      <c r="V883" s="237"/>
      <c r="W883" s="237"/>
      <c r="X883" s="237"/>
      <c r="Y883" s="237"/>
      <c r="Z883" s="237"/>
      <c r="AA883" s="237"/>
      <c r="AB883" s="237"/>
    </row>
    <row r="884">
      <c r="A884" s="238">
        <v>883.0</v>
      </c>
      <c r="B884" s="239" t="s">
        <v>7272</v>
      </c>
      <c r="C884" s="240" t="s">
        <v>7273</v>
      </c>
      <c r="D884" s="236"/>
      <c r="E884" s="240" t="s">
        <v>3511</v>
      </c>
      <c r="F884" s="240" t="s">
        <v>7274</v>
      </c>
      <c r="G884" s="238" t="s">
        <v>7275</v>
      </c>
      <c r="H884" s="241" t="s">
        <v>7276</v>
      </c>
      <c r="I884" s="236"/>
      <c r="J884" s="238" t="s">
        <v>3545</v>
      </c>
      <c r="K884" s="239" t="s">
        <v>7272</v>
      </c>
      <c r="L884" s="237"/>
      <c r="M884" s="237"/>
      <c r="N884" s="237"/>
      <c r="O884" s="237"/>
      <c r="P884" s="237"/>
      <c r="Q884" s="237"/>
      <c r="R884" s="237"/>
      <c r="S884" s="237"/>
      <c r="T884" s="237"/>
      <c r="U884" s="237"/>
      <c r="V884" s="237"/>
      <c r="W884" s="237"/>
      <c r="X884" s="237"/>
      <c r="Y884" s="237"/>
      <c r="Z884" s="237"/>
      <c r="AA884" s="237"/>
      <c r="AB884" s="237"/>
    </row>
    <row r="885">
      <c r="A885" s="238">
        <v>884.0</v>
      </c>
      <c r="B885" s="239" t="s">
        <v>7277</v>
      </c>
      <c r="C885" s="240" t="s">
        <v>7278</v>
      </c>
      <c r="D885" s="236"/>
      <c r="E885" s="240" t="s">
        <v>3511</v>
      </c>
      <c r="F885" s="240" t="s">
        <v>7279</v>
      </c>
      <c r="G885" s="238" t="s">
        <v>7280</v>
      </c>
      <c r="H885" s="240" t="s">
        <v>7281</v>
      </c>
      <c r="I885" s="236"/>
      <c r="J885" s="238" t="s">
        <v>3545</v>
      </c>
      <c r="K885" s="239" t="s">
        <v>7277</v>
      </c>
      <c r="L885" s="237"/>
      <c r="M885" s="237"/>
      <c r="N885" s="237"/>
      <c r="O885" s="237"/>
      <c r="P885" s="237"/>
      <c r="Q885" s="237"/>
      <c r="R885" s="237"/>
      <c r="S885" s="237"/>
      <c r="T885" s="237"/>
      <c r="U885" s="237"/>
      <c r="V885" s="237"/>
      <c r="W885" s="237"/>
      <c r="X885" s="237"/>
      <c r="Y885" s="237"/>
      <c r="Z885" s="237"/>
      <c r="AA885" s="237"/>
      <c r="AB885" s="237"/>
    </row>
    <row r="886">
      <c r="A886" s="238">
        <v>885.0</v>
      </c>
      <c r="B886" s="239" t="s">
        <v>6300</v>
      </c>
      <c r="C886" s="240" t="s">
        <v>7282</v>
      </c>
      <c r="D886" s="236"/>
      <c r="E886" s="240" t="s">
        <v>3511</v>
      </c>
      <c r="F886" s="240" t="s">
        <v>6302</v>
      </c>
      <c r="G886" s="238" t="s">
        <v>6303</v>
      </c>
      <c r="H886" s="240" t="s">
        <v>7283</v>
      </c>
      <c r="I886" s="236"/>
      <c r="J886" s="238" t="s">
        <v>3545</v>
      </c>
      <c r="K886" s="239" t="s">
        <v>6300</v>
      </c>
      <c r="L886" s="237"/>
      <c r="M886" s="237"/>
      <c r="N886" s="237"/>
      <c r="O886" s="237"/>
      <c r="P886" s="237"/>
      <c r="Q886" s="237"/>
      <c r="R886" s="237"/>
      <c r="S886" s="237"/>
      <c r="T886" s="237"/>
      <c r="U886" s="237"/>
      <c r="V886" s="237"/>
      <c r="W886" s="237"/>
      <c r="X886" s="237"/>
      <c r="Y886" s="237"/>
      <c r="Z886" s="237"/>
      <c r="AA886" s="237"/>
      <c r="AB886" s="237"/>
    </row>
    <row r="887">
      <c r="A887" s="238">
        <v>886.0</v>
      </c>
      <c r="B887" s="239" t="s">
        <v>7284</v>
      </c>
      <c r="C887" s="240" t="s">
        <v>7285</v>
      </c>
      <c r="D887" s="236"/>
      <c r="E887" s="240" t="s">
        <v>3511</v>
      </c>
      <c r="F887" s="240" t="s">
        <v>7286</v>
      </c>
      <c r="G887" s="238" t="s">
        <v>7287</v>
      </c>
      <c r="H887" s="240" t="s">
        <v>7288</v>
      </c>
      <c r="I887" s="236"/>
      <c r="J887" s="238" t="s">
        <v>3545</v>
      </c>
      <c r="K887" s="239" t="s">
        <v>7284</v>
      </c>
      <c r="L887" s="237"/>
      <c r="M887" s="237"/>
      <c r="N887" s="237"/>
      <c r="O887" s="237"/>
      <c r="P887" s="237"/>
      <c r="Q887" s="237"/>
      <c r="R887" s="237"/>
      <c r="S887" s="237"/>
      <c r="T887" s="237"/>
      <c r="U887" s="237"/>
      <c r="V887" s="237"/>
      <c r="W887" s="237"/>
      <c r="X887" s="237"/>
      <c r="Y887" s="237"/>
      <c r="Z887" s="237"/>
      <c r="AA887" s="237"/>
      <c r="AB887" s="237"/>
    </row>
    <row r="888">
      <c r="A888" s="238">
        <v>887.0</v>
      </c>
      <c r="B888" s="239" t="s">
        <v>6305</v>
      </c>
      <c r="C888" s="240" t="s">
        <v>7289</v>
      </c>
      <c r="D888" s="236"/>
      <c r="E888" s="240" t="s">
        <v>3511</v>
      </c>
      <c r="F888" s="240" t="s">
        <v>6307</v>
      </c>
      <c r="G888" s="238" t="s">
        <v>6308</v>
      </c>
      <c r="H888" s="240" t="s">
        <v>7290</v>
      </c>
      <c r="I888" s="236"/>
      <c r="J888" s="238" t="s">
        <v>6272</v>
      </c>
      <c r="K888" s="239" t="s">
        <v>6305</v>
      </c>
      <c r="L888" s="237"/>
      <c r="M888" s="237"/>
      <c r="N888" s="237"/>
      <c r="O888" s="237"/>
      <c r="P888" s="237"/>
      <c r="Q888" s="237"/>
      <c r="R888" s="237"/>
      <c r="S888" s="237"/>
      <c r="T888" s="237"/>
      <c r="U888" s="237"/>
      <c r="V888" s="237"/>
      <c r="W888" s="237"/>
      <c r="X888" s="237"/>
      <c r="Y888" s="237"/>
      <c r="Z888" s="237"/>
      <c r="AA888" s="237"/>
      <c r="AB888" s="237"/>
    </row>
    <row r="889">
      <c r="A889" s="238">
        <v>888.0</v>
      </c>
      <c r="B889" s="239" t="s">
        <v>7291</v>
      </c>
      <c r="C889" s="240" t="s">
        <v>7292</v>
      </c>
      <c r="D889" s="236"/>
      <c r="E889" s="240" t="s">
        <v>3511</v>
      </c>
      <c r="F889" s="240" t="s">
        <v>7293</v>
      </c>
      <c r="G889" s="238" t="s">
        <v>7294</v>
      </c>
      <c r="H889" s="240" t="s">
        <v>7295</v>
      </c>
      <c r="I889" s="236"/>
      <c r="J889" s="238" t="s">
        <v>3545</v>
      </c>
      <c r="K889" s="239" t="s">
        <v>7291</v>
      </c>
      <c r="L889" s="237"/>
      <c r="M889" s="237"/>
      <c r="N889" s="237"/>
      <c r="O889" s="237"/>
      <c r="P889" s="237"/>
      <c r="Q889" s="237"/>
      <c r="R889" s="237"/>
      <c r="S889" s="237"/>
      <c r="T889" s="237"/>
      <c r="U889" s="237"/>
      <c r="V889" s="237"/>
      <c r="W889" s="237"/>
      <c r="X889" s="237"/>
      <c r="Y889" s="237"/>
      <c r="Z889" s="237"/>
      <c r="AA889" s="237"/>
      <c r="AB889" s="237"/>
    </row>
    <row r="890">
      <c r="A890" s="238">
        <v>889.0</v>
      </c>
      <c r="B890" s="239" t="s">
        <v>6315</v>
      </c>
      <c r="C890" s="240" t="s">
        <v>7296</v>
      </c>
      <c r="D890" s="236"/>
      <c r="E890" s="240" t="s">
        <v>3511</v>
      </c>
      <c r="F890" s="240" t="s">
        <v>6317</v>
      </c>
      <c r="G890" s="238" t="s">
        <v>6318</v>
      </c>
      <c r="H890" s="240" t="s">
        <v>7297</v>
      </c>
      <c r="I890" s="236"/>
      <c r="J890" s="238" t="s">
        <v>3545</v>
      </c>
      <c r="K890" s="239" t="s">
        <v>6315</v>
      </c>
      <c r="L890" s="237"/>
      <c r="M890" s="237"/>
      <c r="N890" s="237"/>
      <c r="O890" s="237"/>
      <c r="P890" s="237"/>
      <c r="Q890" s="237"/>
      <c r="R890" s="237"/>
      <c r="S890" s="237"/>
      <c r="T890" s="237"/>
      <c r="U890" s="237"/>
      <c r="V890" s="237"/>
      <c r="W890" s="237"/>
      <c r="X890" s="237"/>
      <c r="Y890" s="237"/>
      <c r="Z890" s="237"/>
      <c r="AA890" s="237"/>
      <c r="AB890" s="237"/>
    </row>
    <row r="891">
      <c r="A891" s="238">
        <v>890.0</v>
      </c>
      <c r="B891" s="239" t="s">
        <v>6341</v>
      </c>
      <c r="C891" s="240" t="s">
        <v>7298</v>
      </c>
      <c r="D891" s="236"/>
      <c r="E891" s="240" t="s">
        <v>3511</v>
      </c>
      <c r="F891" s="240" t="s">
        <v>6343</v>
      </c>
      <c r="G891" s="238" t="s">
        <v>6344</v>
      </c>
      <c r="H891" s="240" t="s">
        <v>7299</v>
      </c>
      <c r="I891" s="236"/>
      <c r="J891" s="238" t="s">
        <v>3545</v>
      </c>
      <c r="K891" s="239" t="s">
        <v>6341</v>
      </c>
      <c r="L891" s="237"/>
      <c r="M891" s="237"/>
      <c r="N891" s="237"/>
      <c r="O891" s="237"/>
      <c r="P891" s="237"/>
      <c r="Q891" s="237"/>
      <c r="R891" s="237"/>
      <c r="S891" s="237"/>
      <c r="T891" s="237"/>
      <c r="U891" s="237"/>
      <c r="V891" s="237"/>
      <c r="W891" s="237"/>
      <c r="X891" s="237"/>
      <c r="Y891" s="237"/>
      <c r="Z891" s="237"/>
      <c r="AA891" s="237"/>
      <c r="AB891" s="237"/>
    </row>
    <row r="892">
      <c r="A892" s="238">
        <v>891.0</v>
      </c>
      <c r="B892" s="239" t="s">
        <v>7300</v>
      </c>
      <c r="C892" s="240" t="s">
        <v>7301</v>
      </c>
      <c r="D892" s="236"/>
      <c r="E892" s="240" t="s">
        <v>3511</v>
      </c>
      <c r="F892" s="240" t="s">
        <v>7302</v>
      </c>
      <c r="G892" s="238" t="s">
        <v>7303</v>
      </c>
      <c r="H892" s="240" t="s">
        <v>7304</v>
      </c>
      <c r="I892" s="236"/>
      <c r="J892" s="238" t="s">
        <v>3545</v>
      </c>
      <c r="K892" s="239" t="s">
        <v>7300</v>
      </c>
      <c r="L892" s="237"/>
      <c r="M892" s="237"/>
      <c r="N892" s="237"/>
      <c r="O892" s="237"/>
      <c r="P892" s="237"/>
      <c r="Q892" s="237"/>
      <c r="R892" s="237"/>
      <c r="S892" s="237"/>
      <c r="T892" s="237"/>
      <c r="U892" s="237"/>
      <c r="V892" s="237"/>
      <c r="W892" s="237"/>
      <c r="X892" s="237"/>
      <c r="Y892" s="237"/>
      <c r="Z892" s="237"/>
      <c r="AA892" s="237"/>
      <c r="AB892" s="237"/>
    </row>
    <row r="893">
      <c r="A893" s="238">
        <v>892.0</v>
      </c>
      <c r="B893" s="242"/>
      <c r="C893" s="240" t="s">
        <v>7305</v>
      </c>
      <c r="D893" s="236"/>
      <c r="E893" s="240" t="s">
        <v>3511</v>
      </c>
      <c r="F893" s="240" t="s">
        <v>5899</v>
      </c>
      <c r="G893" s="238" t="s">
        <v>7306</v>
      </c>
      <c r="H893" s="240" t="s">
        <v>7307</v>
      </c>
      <c r="I893" s="236"/>
      <c r="J893" s="238" t="s">
        <v>3545</v>
      </c>
      <c r="K893" s="242"/>
      <c r="L893" s="237"/>
      <c r="M893" s="237"/>
      <c r="N893" s="237"/>
      <c r="O893" s="237"/>
      <c r="P893" s="237"/>
      <c r="Q893" s="237"/>
      <c r="R893" s="237"/>
      <c r="S893" s="237"/>
      <c r="T893" s="237"/>
      <c r="U893" s="237"/>
      <c r="V893" s="237"/>
      <c r="W893" s="237"/>
      <c r="X893" s="237"/>
      <c r="Y893" s="237"/>
      <c r="Z893" s="237"/>
      <c r="AA893" s="237"/>
      <c r="AB893" s="237"/>
    </row>
    <row r="894">
      <c r="A894" s="238">
        <v>893.0</v>
      </c>
      <c r="B894" s="239" t="s">
        <v>7308</v>
      </c>
      <c r="C894" s="240" t="s">
        <v>7309</v>
      </c>
      <c r="D894" s="236"/>
      <c r="E894" s="240" t="s">
        <v>3511</v>
      </c>
      <c r="F894" s="240" t="s">
        <v>7310</v>
      </c>
      <c r="G894" s="238" t="s">
        <v>7311</v>
      </c>
      <c r="H894" s="236"/>
      <c r="I894" s="236"/>
      <c r="J894" s="238" t="s">
        <v>3545</v>
      </c>
      <c r="K894" s="239" t="s">
        <v>7308</v>
      </c>
      <c r="L894" s="237"/>
      <c r="M894" s="237"/>
      <c r="N894" s="237"/>
      <c r="O894" s="237"/>
      <c r="P894" s="237"/>
      <c r="Q894" s="237"/>
      <c r="R894" s="237"/>
      <c r="S894" s="237"/>
      <c r="T894" s="237"/>
      <c r="U894" s="237"/>
      <c r="V894" s="237"/>
      <c r="W894" s="237"/>
      <c r="X894" s="237"/>
      <c r="Y894" s="237"/>
      <c r="Z894" s="237"/>
      <c r="AA894" s="237"/>
      <c r="AB894" s="237"/>
    </row>
    <row r="895">
      <c r="A895" s="238">
        <v>894.0</v>
      </c>
      <c r="B895" s="239" t="s">
        <v>7312</v>
      </c>
      <c r="C895" s="240" t="s">
        <v>7313</v>
      </c>
      <c r="D895" s="236"/>
      <c r="E895" s="240" t="s">
        <v>3511</v>
      </c>
      <c r="F895" s="240" t="s">
        <v>7314</v>
      </c>
      <c r="G895" s="238" t="s">
        <v>7315</v>
      </c>
      <c r="H895" s="240" t="s">
        <v>7316</v>
      </c>
      <c r="I895" s="236"/>
      <c r="J895" s="238" t="s">
        <v>3545</v>
      </c>
      <c r="K895" s="239" t="s">
        <v>7312</v>
      </c>
      <c r="L895" s="237"/>
      <c r="M895" s="237"/>
      <c r="N895" s="237"/>
      <c r="O895" s="237"/>
      <c r="P895" s="237"/>
      <c r="Q895" s="237"/>
      <c r="R895" s="237"/>
      <c r="S895" s="237"/>
      <c r="T895" s="237"/>
      <c r="U895" s="237"/>
      <c r="V895" s="237"/>
      <c r="W895" s="237"/>
      <c r="X895" s="237"/>
      <c r="Y895" s="237"/>
      <c r="Z895" s="237"/>
      <c r="AA895" s="237"/>
      <c r="AB895" s="237"/>
    </row>
    <row r="896">
      <c r="A896" s="238">
        <v>895.0</v>
      </c>
      <c r="B896" s="239" t="s">
        <v>7317</v>
      </c>
      <c r="C896" s="240" t="s">
        <v>7318</v>
      </c>
      <c r="D896" s="236"/>
      <c r="E896" s="240" t="s">
        <v>3511</v>
      </c>
      <c r="F896" s="240" t="s">
        <v>7319</v>
      </c>
      <c r="G896" s="238" t="s">
        <v>7320</v>
      </c>
      <c r="H896" s="240" t="s">
        <v>7321</v>
      </c>
      <c r="I896" s="236"/>
      <c r="J896" s="238" t="s">
        <v>3545</v>
      </c>
      <c r="K896" s="239" t="s">
        <v>7317</v>
      </c>
      <c r="L896" s="237"/>
      <c r="M896" s="237"/>
      <c r="N896" s="237"/>
      <c r="O896" s="237"/>
      <c r="P896" s="237"/>
      <c r="Q896" s="237"/>
      <c r="R896" s="237"/>
      <c r="S896" s="237"/>
      <c r="T896" s="237"/>
      <c r="U896" s="237"/>
      <c r="V896" s="237"/>
      <c r="W896" s="237"/>
      <c r="X896" s="237"/>
      <c r="Y896" s="237"/>
      <c r="Z896" s="237"/>
      <c r="AA896" s="237"/>
      <c r="AB896" s="237"/>
    </row>
    <row r="897">
      <c r="A897" s="238">
        <v>896.0</v>
      </c>
      <c r="B897" s="239" t="s">
        <v>7322</v>
      </c>
      <c r="C897" s="240" t="s">
        <v>7323</v>
      </c>
      <c r="D897" s="236"/>
      <c r="E897" s="240" t="s">
        <v>3511</v>
      </c>
      <c r="F897" s="240" t="s">
        <v>7324</v>
      </c>
      <c r="G897" s="238" t="s">
        <v>7287</v>
      </c>
      <c r="H897" s="240" t="s">
        <v>7325</v>
      </c>
      <c r="I897" s="236"/>
      <c r="J897" s="238" t="s">
        <v>3545</v>
      </c>
      <c r="K897" s="239" t="s">
        <v>7322</v>
      </c>
      <c r="L897" s="237"/>
      <c r="M897" s="237"/>
      <c r="N897" s="237"/>
      <c r="O897" s="237"/>
      <c r="P897" s="237"/>
      <c r="Q897" s="237"/>
      <c r="R897" s="237"/>
      <c r="S897" s="237"/>
      <c r="T897" s="237"/>
      <c r="U897" s="237"/>
      <c r="V897" s="237"/>
      <c r="W897" s="237"/>
      <c r="X897" s="237"/>
      <c r="Y897" s="237"/>
      <c r="Z897" s="237"/>
      <c r="AA897" s="237"/>
      <c r="AB897" s="237"/>
    </row>
    <row r="898">
      <c r="A898" s="238">
        <v>897.0</v>
      </c>
      <c r="B898" s="239" t="s">
        <v>7326</v>
      </c>
      <c r="C898" s="240" t="s">
        <v>7327</v>
      </c>
      <c r="D898" s="236"/>
      <c r="E898" s="240" t="s">
        <v>3511</v>
      </c>
      <c r="F898" s="240" t="s">
        <v>7328</v>
      </c>
      <c r="G898" s="238" t="s">
        <v>7329</v>
      </c>
      <c r="H898" s="240" t="s">
        <v>7330</v>
      </c>
      <c r="I898" s="236"/>
      <c r="J898" s="238" t="s">
        <v>3545</v>
      </c>
      <c r="K898" s="239" t="s">
        <v>7326</v>
      </c>
      <c r="L898" s="237"/>
      <c r="M898" s="237"/>
      <c r="N898" s="237"/>
      <c r="O898" s="237"/>
      <c r="P898" s="237"/>
      <c r="Q898" s="237"/>
      <c r="R898" s="237"/>
      <c r="S898" s="237"/>
      <c r="T898" s="237"/>
      <c r="U898" s="237"/>
      <c r="V898" s="237"/>
      <c r="W898" s="237"/>
      <c r="X898" s="237"/>
      <c r="Y898" s="237"/>
      <c r="Z898" s="237"/>
      <c r="AA898" s="237"/>
      <c r="AB898" s="237"/>
    </row>
    <row r="899">
      <c r="A899" s="238">
        <v>898.0</v>
      </c>
      <c r="B899" s="239" t="s">
        <v>7331</v>
      </c>
      <c r="C899" s="240" t="s">
        <v>7332</v>
      </c>
      <c r="D899" s="236"/>
      <c r="E899" s="240" t="s">
        <v>3511</v>
      </c>
      <c r="F899" s="240" t="s">
        <v>7333</v>
      </c>
      <c r="G899" s="238" t="s">
        <v>7334</v>
      </c>
      <c r="H899" s="240" t="s">
        <v>7335</v>
      </c>
      <c r="I899" s="236"/>
      <c r="J899" s="238" t="s">
        <v>3545</v>
      </c>
      <c r="K899" s="239" t="s">
        <v>7331</v>
      </c>
      <c r="L899" s="237"/>
      <c r="M899" s="237"/>
      <c r="N899" s="237"/>
      <c r="O899" s="237"/>
      <c r="P899" s="237"/>
      <c r="Q899" s="237"/>
      <c r="R899" s="237"/>
      <c r="S899" s="237"/>
      <c r="T899" s="237"/>
      <c r="U899" s="237"/>
      <c r="V899" s="237"/>
      <c r="W899" s="237"/>
      <c r="X899" s="237"/>
      <c r="Y899" s="237"/>
      <c r="Z899" s="237"/>
      <c r="AA899" s="237"/>
      <c r="AB899" s="237"/>
    </row>
    <row r="900">
      <c r="A900" s="238">
        <v>899.0</v>
      </c>
      <c r="B900" s="239" t="s">
        <v>7336</v>
      </c>
      <c r="C900" s="240" t="s">
        <v>7337</v>
      </c>
      <c r="D900" s="236"/>
      <c r="E900" s="240" t="s">
        <v>3511</v>
      </c>
      <c r="F900" s="240" t="s">
        <v>7338</v>
      </c>
      <c r="G900" s="238" t="s">
        <v>7339</v>
      </c>
      <c r="H900" s="240" t="s">
        <v>7340</v>
      </c>
      <c r="I900" s="236"/>
      <c r="J900" s="238" t="s">
        <v>3545</v>
      </c>
      <c r="K900" s="239" t="s">
        <v>7336</v>
      </c>
      <c r="L900" s="237"/>
      <c r="M900" s="237"/>
      <c r="N900" s="237"/>
      <c r="O900" s="237"/>
      <c r="P900" s="237"/>
      <c r="Q900" s="237"/>
      <c r="R900" s="237"/>
      <c r="S900" s="237"/>
      <c r="T900" s="237"/>
      <c r="U900" s="237"/>
      <c r="V900" s="237"/>
      <c r="W900" s="237"/>
      <c r="X900" s="237"/>
      <c r="Y900" s="237"/>
      <c r="Z900" s="237"/>
      <c r="AA900" s="237"/>
      <c r="AB900" s="237"/>
    </row>
    <row r="901">
      <c r="A901" s="238">
        <v>900.0</v>
      </c>
      <c r="B901" s="239" t="s">
        <v>7341</v>
      </c>
      <c r="C901" s="240" t="s">
        <v>7342</v>
      </c>
      <c r="D901" s="236"/>
      <c r="E901" s="240" t="s">
        <v>3511</v>
      </c>
      <c r="F901" s="240" t="s">
        <v>7343</v>
      </c>
      <c r="G901" s="238" t="s">
        <v>7344</v>
      </c>
      <c r="H901" s="241" t="s">
        <v>7345</v>
      </c>
      <c r="I901" s="236"/>
      <c r="J901" s="238" t="s">
        <v>3545</v>
      </c>
      <c r="K901" s="239" t="s">
        <v>7341</v>
      </c>
      <c r="L901" s="237"/>
      <c r="M901" s="237"/>
      <c r="N901" s="237"/>
      <c r="O901" s="237"/>
      <c r="P901" s="237"/>
      <c r="Q901" s="237"/>
      <c r="R901" s="237"/>
      <c r="S901" s="237"/>
      <c r="T901" s="237"/>
      <c r="U901" s="237"/>
      <c r="V901" s="237"/>
      <c r="W901" s="237"/>
      <c r="X901" s="237"/>
      <c r="Y901" s="237"/>
      <c r="Z901" s="237"/>
      <c r="AA901" s="237"/>
      <c r="AB901" s="237"/>
    </row>
    <row r="902">
      <c r="A902" s="238">
        <v>901.0</v>
      </c>
      <c r="B902" s="239" t="s">
        <v>7346</v>
      </c>
      <c r="C902" s="240" t="s">
        <v>7347</v>
      </c>
      <c r="D902" s="236"/>
      <c r="E902" s="240" t="s">
        <v>3511</v>
      </c>
      <c r="F902" s="240" t="s">
        <v>7348</v>
      </c>
      <c r="G902" s="238" t="s">
        <v>7349</v>
      </c>
      <c r="H902" s="240" t="s">
        <v>7350</v>
      </c>
      <c r="I902" s="236"/>
      <c r="J902" s="238" t="s">
        <v>3545</v>
      </c>
      <c r="K902" s="239" t="s">
        <v>7346</v>
      </c>
      <c r="L902" s="237"/>
      <c r="M902" s="237"/>
      <c r="N902" s="237"/>
      <c r="O902" s="237"/>
      <c r="P902" s="237"/>
      <c r="Q902" s="237"/>
      <c r="R902" s="237"/>
      <c r="S902" s="237"/>
      <c r="T902" s="237"/>
      <c r="U902" s="237"/>
      <c r="V902" s="237"/>
      <c r="W902" s="237"/>
      <c r="X902" s="237"/>
      <c r="Y902" s="237"/>
      <c r="Z902" s="237"/>
      <c r="AA902" s="237"/>
      <c r="AB902" s="237"/>
    </row>
    <row r="903">
      <c r="A903" s="238">
        <v>902.0</v>
      </c>
      <c r="B903" s="239" t="s">
        <v>7351</v>
      </c>
      <c r="C903" s="240" t="s">
        <v>7352</v>
      </c>
      <c r="D903" s="236"/>
      <c r="E903" s="240" t="s">
        <v>3511</v>
      </c>
      <c r="F903" s="240" t="s">
        <v>7353</v>
      </c>
      <c r="G903" s="238" t="s">
        <v>7354</v>
      </c>
      <c r="H903" s="240" t="s">
        <v>7355</v>
      </c>
      <c r="I903" s="236"/>
      <c r="J903" s="238" t="s">
        <v>3545</v>
      </c>
      <c r="K903" s="239" t="s">
        <v>7351</v>
      </c>
      <c r="L903" s="237"/>
      <c r="M903" s="237"/>
      <c r="N903" s="237"/>
      <c r="O903" s="237"/>
      <c r="P903" s="237"/>
      <c r="Q903" s="237"/>
      <c r="R903" s="237"/>
      <c r="S903" s="237"/>
      <c r="T903" s="237"/>
      <c r="U903" s="237"/>
      <c r="V903" s="237"/>
      <c r="W903" s="237"/>
      <c r="X903" s="237"/>
      <c r="Y903" s="237"/>
      <c r="Z903" s="237"/>
      <c r="AA903" s="237"/>
      <c r="AB903" s="237"/>
    </row>
    <row r="904">
      <c r="A904" s="238">
        <v>903.0</v>
      </c>
      <c r="B904" s="239" t="s">
        <v>7356</v>
      </c>
      <c r="C904" s="240" t="s">
        <v>7357</v>
      </c>
      <c r="D904" s="236"/>
      <c r="E904" s="240" t="s">
        <v>3511</v>
      </c>
      <c r="F904" s="240" t="s">
        <v>7358</v>
      </c>
      <c r="G904" s="238" t="s">
        <v>7359</v>
      </c>
      <c r="H904" s="240" t="s">
        <v>7360</v>
      </c>
      <c r="I904" s="236"/>
      <c r="J904" s="238" t="s">
        <v>3545</v>
      </c>
      <c r="K904" s="239" t="s">
        <v>7356</v>
      </c>
      <c r="L904" s="237"/>
      <c r="M904" s="237"/>
      <c r="N904" s="237"/>
      <c r="O904" s="237"/>
      <c r="P904" s="237"/>
      <c r="Q904" s="237"/>
      <c r="R904" s="237"/>
      <c r="S904" s="237"/>
      <c r="T904" s="237"/>
      <c r="U904" s="237"/>
      <c r="V904" s="237"/>
      <c r="W904" s="237"/>
      <c r="X904" s="237"/>
      <c r="Y904" s="237"/>
      <c r="Z904" s="237"/>
      <c r="AA904" s="237"/>
      <c r="AB904" s="237"/>
    </row>
    <row r="905">
      <c r="A905" s="238">
        <v>904.0</v>
      </c>
      <c r="B905" s="239" t="s">
        <v>7361</v>
      </c>
      <c r="C905" s="240" t="s">
        <v>7362</v>
      </c>
      <c r="D905" s="236"/>
      <c r="E905" s="240" t="s">
        <v>3511</v>
      </c>
      <c r="F905" s="240" t="s">
        <v>7363</v>
      </c>
      <c r="G905" s="238" t="s">
        <v>7364</v>
      </c>
      <c r="H905" s="240" t="s">
        <v>7365</v>
      </c>
      <c r="I905" s="236"/>
      <c r="J905" s="238" t="s">
        <v>3545</v>
      </c>
      <c r="K905" s="239" t="s">
        <v>7361</v>
      </c>
      <c r="L905" s="237"/>
      <c r="M905" s="237"/>
      <c r="N905" s="237"/>
      <c r="O905" s="237"/>
      <c r="P905" s="237"/>
      <c r="Q905" s="237"/>
      <c r="R905" s="237"/>
      <c r="S905" s="237"/>
      <c r="T905" s="237"/>
      <c r="U905" s="237"/>
      <c r="V905" s="237"/>
      <c r="W905" s="237"/>
      <c r="X905" s="237"/>
      <c r="Y905" s="237"/>
      <c r="Z905" s="237"/>
      <c r="AA905" s="237"/>
      <c r="AB905" s="237"/>
    </row>
    <row r="906">
      <c r="A906" s="238">
        <v>905.0</v>
      </c>
      <c r="B906" s="239" t="s">
        <v>7366</v>
      </c>
      <c r="C906" s="240" t="s">
        <v>7367</v>
      </c>
      <c r="D906" s="236"/>
      <c r="E906" s="240" t="s">
        <v>3511</v>
      </c>
      <c r="F906" s="240" t="s">
        <v>7368</v>
      </c>
      <c r="G906" s="238" t="s">
        <v>7369</v>
      </c>
      <c r="H906" s="240" t="s">
        <v>7370</v>
      </c>
      <c r="I906" s="236"/>
      <c r="J906" s="238" t="s">
        <v>3545</v>
      </c>
      <c r="K906" s="239" t="s">
        <v>7366</v>
      </c>
      <c r="L906" s="237"/>
      <c r="M906" s="237"/>
      <c r="N906" s="237"/>
      <c r="O906" s="237"/>
      <c r="P906" s="237"/>
      <c r="Q906" s="237"/>
      <c r="R906" s="237"/>
      <c r="S906" s="237"/>
      <c r="T906" s="237"/>
      <c r="U906" s="237"/>
      <c r="V906" s="237"/>
      <c r="W906" s="237"/>
      <c r="X906" s="237"/>
      <c r="Y906" s="237"/>
      <c r="Z906" s="237"/>
      <c r="AA906" s="237"/>
      <c r="AB906" s="237"/>
    </row>
    <row r="907">
      <c r="A907" s="238">
        <v>906.0</v>
      </c>
      <c r="B907" s="239" t="s">
        <v>7371</v>
      </c>
      <c r="C907" s="240" t="s">
        <v>7372</v>
      </c>
      <c r="D907" s="236"/>
      <c r="E907" s="240" t="s">
        <v>3511</v>
      </c>
      <c r="F907" s="240" t="s">
        <v>7373</v>
      </c>
      <c r="G907" s="238" t="s">
        <v>7374</v>
      </c>
      <c r="H907" s="240" t="s">
        <v>7375</v>
      </c>
      <c r="I907" s="236"/>
      <c r="J907" s="238" t="s">
        <v>3545</v>
      </c>
      <c r="K907" s="239" t="s">
        <v>7371</v>
      </c>
      <c r="L907" s="237"/>
      <c r="M907" s="237"/>
      <c r="N907" s="237"/>
      <c r="O907" s="237"/>
      <c r="P907" s="237"/>
      <c r="Q907" s="237"/>
      <c r="R907" s="237"/>
      <c r="S907" s="237"/>
      <c r="T907" s="237"/>
      <c r="U907" s="237"/>
      <c r="V907" s="237"/>
      <c r="W907" s="237"/>
      <c r="X907" s="237"/>
      <c r="Y907" s="237"/>
      <c r="Z907" s="237"/>
      <c r="AA907" s="237"/>
      <c r="AB907" s="237"/>
    </row>
    <row r="908">
      <c r="A908" s="238">
        <v>907.0</v>
      </c>
      <c r="B908" s="239" t="s">
        <v>7376</v>
      </c>
      <c r="C908" s="240" t="s">
        <v>7377</v>
      </c>
      <c r="D908" s="236"/>
      <c r="E908" s="240" t="s">
        <v>3511</v>
      </c>
      <c r="F908" s="240" t="s">
        <v>7378</v>
      </c>
      <c r="G908" s="238" t="s">
        <v>7379</v>
      </c>
      <c r="H908" s="240" t="s">
        <v>7380</v>
      </c>
      <c r="I908" s="236"/>
      <c r="J908" s="238" t="s">
        <v>6904</v>
      </c>
      <c r="K908" s="239" t="s">
        <v>7376</v>
      </c>
      <c r="L908" s="237"/>
      <c r="M908" s="237"/>
      <c r="N908" s="237"/>
      <c r="O908" s="237"/>
      <c r="P908" s="237"/>
      <c r="Q908" s="237"/>
      <c r="R908" s="237"/>
      <c r="S908" s="237"/>
      <c r="T908" s="237"/>
      <c r="U908" s="237"/>
      <c r="V908" s="237"/>
      <c r="W908" s="237"/>
      <c r="X908" s="237"/>
      <c r="Y908" s="237"/>
      <c r="Z908" s="237"/>
      <c r="AA908" s="237"/>
      <c r="AB908" s="237"/>
    </row>
    <row r="909">
      <c r="A909" s="238">
        <v>908.0</v>
      </c>
      <c r="B909" s="239" t="s">
        <v>7381</v>
      </c>
      <c r="C909" s="240" t="s">
        <v>7382</v>
      </c>
      <c r="D909" s="236"/>
      <c r="E909" s="240" t="s">
        <v>3511</v>
      </c>
      <c r="F909" s="240" t="s">
        <v>7383</v>
      </c>
      <c r="G909" s="238" t="s">
        <v>7384</v>
      </c>
      <c r="H909" s="240" t="s">
        <v>7385</v>
      </c>
      <c r="I909" s="236"/>
      <c r="J909" s="238" t="s">
        <v>6904</v>
      </c>
      <c r="K909" s="239" t="s">
        <v>7381</v>
      </c>
      <c r="L909" s="237"/>
      <c r="M909" s="237"/>
      <c r="N909" s="237"/>
      <c r="O909" s="237"/>
      <c r="P909" s="237"/>
      <c r="Q909" s="237"/>
      <c r="R909" s="237"/>
      <c r="S909" s="237"/>
      <c r="T909" s="237"/>
      <c r="U909" s="237"/>
      <c r="V909" s="237"/>
      <c r="W909" s="237"/>
      <c r="X909" s="237"/>
      <c r="Y909" s="237"/>
      <c r="Z909" s="237"/>
      <c r="AA909" s="237"/>
      <c r="AB909" s="237"/>
    </row>
    <row r="910">
      <c r="A910" s="238">
        <v>909.0</v>
      </c>
      <c r="B910" s="239" t="s">
        <v>7386</v>
      </c>
      <c r="C910" s="240" t="s">
        <v>7387</v>
      </c>
      <c r="D910" s="236"/>
      <c r="E910" s="240" t="s">
        <v>3511</v>
      </c>
      <c r="F910" s="240" t="s">
        <v>7388</v>
      </c>
      <c r="G910" s="238" t="s">
        <v>7389</v>
      </c>
      <c r="H910" s="240" t="s">
        <v>7390</v>
      </c>
      <c r="I910" s="236"/>
      <c r="J910" s="238" t="s">
        <v>6904</v>
      </c>
      <c r="K910" s="239" t="s">
        <v>7386</v>
      </c>
      <c r="L910" s="237"/>
      <c r="M910" s="237"/>
      <c r="N910" s="237"/>
      <c r="O910" s="237"/>
      <c r="P910" s="237"/>
      <c r="Q910" s="237"/>
      <c r="R910" s="237"/>
      <c r="S910" s="237"/>
      <c r="T910" s="237"/>
      <c r="U910" s="237"/>
      <c r="V910" s="237"/>
      <c r="W910" s="237"/>
      <c r="X910" s="237"/>
      <c r="Y910" s="237"/>
      <c r="Z910" s="237"/>
      <c r="AA910" s="237"/>
      <c r="AB910" s="237"/>
    </row>
    <row r="911">
      <c r="A911" s="238">
        <v>910.0</v>
      </c>
      <c r="B911" s="239" t="s">
        <v>7391</v>
      </c>
      <c r="C911" s="240" t="s">
        <v>7392</v>
      </c>
      <c r="D911" s="236"/>
      <c r="E911" s="240" t="s">
        <v>3511</v>
      </c>
      <c r="F911" s="240" t="s">
        <v>7393</v>
      </c>
      <c r="G911" s="238" t="s">
        <v>7394</v>
      </c>
      <c r="H911" s="240" t="s">
        <v>7395</v>
      </c>
      <c r="I911" s="236"/>
      <c r="J911" s="238" t="s">
        <v>6904</v>
      </c>
      <c r="K911" s="239" t="s">
        <v>7391</v>
      </c>
      <c r="L911" s="237"/>
      <c r="M911" s="237"/>
      <c r="N911" s="237"/>
      <c r="O911" s="237"/>
      <c r="P911" s="237"/>
      <c r="Q911" s="237"/>
      <c r="R911" s="237"/>
      <c r="S911" s="237"/>
      <c r="T911" s="237"/>
      <c r="U911" s="237"/>
      <c r="V911" s="237"/>
      <c r="W911" s="237"/>
      <c r="X911" s="237"/>
      <c r="Y911" s="237"/>
      <c r="Z911" s="237"/>
      <c r="AA911" s="237"/>
      <c r="AB911" s="237"/>
    </row>
    <row r="912">
      <c r="A912" s="238">
        <v>911.0</v>
      </c>
      <c r="B912" s="239" t="s">
        <v>7396</v>
      </c>
      <c r="C912" s="240" t="s">
        <v>7397</v>
      </c>
      <c r="D912" s="236"/>
      <c r="E912" s="240" t="s">
        <v>3511</v>
      </c>
      <c r="F912" s="240" t="s">
        <v>7398</v>
      </c>
      <c r="G912" s="238" t="s">
        <v>7399</v>
      </c>
      <c r="H912" s="240" t="s">
        <v>7400</v>
      </c>
      <c r="I912" s="236"/>
      <c r="J912" s="238" t="s">
        <v>6904</v>
      </c>
      <c r="K912" s="239" t="s">
        <v>7396</v>
      </c>
      <c r="L912" s="237"/>
      <c r="M912" s="237"/>
      <c r="N912" s="237"/>
      <c r="O912" s="237"/>
      <c r="P912" s="237"/>
      <c r="Q912" s="237"/>
      <c r="R912" s="237"/>
      <c r="S912" s="237"/>
      <c r="T912" s="237"/>
      <c r="U912" s="237"/>
      <c r="V912" s="237"/>
      <c r="W912" s="237"/>
      <c r="X912" s="237"/>
      <c r="Y912" s="237"/>
      <c r="Z912" s="237"/>
      <c r="AA912" s="237"/>
      <c r="AB912" s="237"/>
    </row>
    <row r="913">
      <c r="A913" s="238">
        <v>912.0</v>
      </c>
      <c r="B913" s="239" t="s">
        <v>7401</v>
      </c>
      <c r="C913" s="240" t="s">
        <v>7402</v>
      </c>
      <c r="D913" s="236"/>
      <c r="E913" s="240" t="s">
        <v>3511</v>
      </c>
      <c r="F913" s="240" t="s">
        <v>7403</v>
      </c>
      <c r="G913" s="238" t="s">
        <v>7404</v>
      </c>
      <c r="H913" s="240" t="s">
        <v>7405</v>
      </c>
      <c r="I913" s="236"/>
      <c r="J913" s="238" t="s">
        <v>3986</v>
      </c>
      <c r="K913" s="239" t="s">
        <v>7401</v>
      </c>
      <c r="L913" s="237"/>
      <c r="M913" s="237"/>
      <c r="N913" s="237"/>
      <c r="O913" s="237"/>
      <c r="P913" s="237"/>
      <c r="Q913" s="237"/>
      <c r="R913" s="237"/>
      <c r="S913" s="237"/>
      <c r="T913" s="237"/>
      <c r="U913" s="237"/>
      <c r="V913" s="237"/>
      <c r="W913" s="237"/>
      <c r="X913" s="237"/>
      <c r="Y913" s="237"/>
      <c r="Z913" s="237"/>
      <c r="AA913" s="237"/>
      <c r="AB913" s="237"/>
    </row>
    <row r="914">
      <c r="A914" s="238">
        <v>913.0</v>
      </c>
      <c r="B914" s="239" t="s">
        <v>7406</v>
      </c>
      <c r="C914" s="240" t="s">
        <v>7407</v>
      </c>
      <c r="D914" s="236"/>
      <c r="E914" s="240" t="s">
        <v>3511</v>
      </c>
      <c r="F914" s="240" t="s">
        <v>7408</v>
      </c>
      <c r="G914" s="238" t="s">
        <v>7409</v>
      </c>
      <c r="H914" s="240" t="s">
        <v>7410</v>
      </c>
      <c r="I914" s="236"/>
      <c r="J914" s="238" t="s">
        <v>7103</v>
      </c>
      <c r="K914" s="239" t="s">
        <v>7406</v>
      </c>
      <c r="L914" s="237"/>
      <c r="M914" s="237"/>
      <c r="N914" s="237"/>
      <c r="O914" s="237"/>
      <c r="P914" s="237"/>
      <c r="Q914" s="237"/>
      <c r="R914" s="237"/>
      <c r="S914" s="237"/>
      <c r="T914" s="237"/>
      <c r="U914" s="237"/>
      <c r="V914" s="237"/>
      <c r="W914" s="237"/>
      <c r="X914" s="237"/>
      <c r="Y914" s="237"/>
      <c r="Z914" s="237"/>
      <c r="AA914" s="237"/>
      <c r="AB914" s="237"/>
    </row>
    <row r="915">
      <c r="A915" s="238">
        <v>914.0</v>
      </c>
      <c r="B915" s="239" t="s">
        <v>7411</v>
      </c>
      <c r="C915" s="240" t="s">
        <v>7412</v>
      </c>
      <c r="D915" s="236"/>
      <c r="E915" s="240" t="s">
        <v>3511</v>
      </c>
      <c r="F915" s="240" t="s">
        <v>7413</v>
      </c>
      <c r="G915" s="238" t="s">
        <v>7414</v>
      </c>
      <c r="H915" s="240" t="s">
        <v>7415</v>
      </c>
      <c r="I915" s="236"/>
      <c r="J915" s="238" t="s">
        <v>7103</v>
      </c>
      <c r="K915" s="239" t="s">
        <v>7411</v>
      </c>
      <c r="L915" s="237"/>
      <c r="M915" s="237"/>
      <c r="N915" s="237"/>
      <c r="O915" s="237"/>
      <c r="P915" s="237"/>
      <c r="Q915" s="237"/>
      <c r="R915" s="237"/>
      <c r="S915" s="237"/>
      <c r="T915" s="237"/>
      <c r="U915" s="237"/>
      <c r="V915" s="237"/>
      <c r="W915" s="237"/>
      <c r="X915" s="237"/>
      <c r="Y915" s="237"/>
      <c r="Z915" s="237"/>
      <c r="AA915" s="237"/>
      <c r="AB915" s="237"/>
    </row>
    <row r="916">
      <c r="A916" s="238">
        <v>915.0</v>
      </c>
      <c r="B916" s="239" t="s">
        <v>7416</v>
      </c>
      <c r="C916" s="240" t="s">
        <v>7417</v>
      </c>
      <c r="D916" s="236"/>
      <c r="E916" s="240" t="s">
        <v>3511</v>
      </c>
      <c r="F916" s="240" t="s">
        <v>7418</v>
      </c>
      <c r="G916" s="238" t="s">
        <v>7419</v>
      </c>
      <c r="H916" s="240" t="s">
        <v>7420</v>
      </c>
      <c r="I916" s="236"/>
      <c r="J916" s="238" t="s">
        <v>7103</v>
      </c>
      <c r="K916" s="239" t="s">
        <v>7416</v>
      </c>
      <c r="L916" s="237"/>
      <c r="M916" s="237"/>
      <c r="N916" s="237"/>
      <c r="O916" s="237"/>
      <c r="P916" s="237"/>
      <c r="Q916" s="237"/>
      <c r="R916" s="237"/>
      <c r="S916" s="237"/>
      <c r="T916" s="237"/>
      <c r="U916" s="237"/>
      <c r="V916" s="237"/>
      <c r="W916" s="237"/>
      <c r="X916" s="237"/>
      <c r="Y916" s="237"/>
      <c r="Z916" s="237"/>
      <c r="AA916" s="237"/>
      <c r="AB916" s="237"/>
    </row>
    <row r="917">
      <c r="A917" s="238">
        <v>916.0</v>
      </c>
      <c r="B917" s="239" t="s">
        <v>7421</v>
      </c>
      <c r="C917" s="240" t="s">
        <v>7422</v>
      </c>
      <c r="D917" s="236"/>
      <c r="E917" s="240" t="s">
        <v>3511</v>
      </c>
      <c r="F917" s="240" t="s">
        <v>7423</v>
      </c>
      <c r="G917" s="238" t="s">
        <v>7424</v>
      </c>
      <c r="H917" s="240" t="s">
        <v>7425</v>
      </c>
      <c r="I917" s="236"/>
      <c r="J917" s="238" t="s">
        <v>7103</v>
      </c>
      <c r="K917" s="239" t="s">
        <v>7421</v>
      </c>
      <c r="L917" s="237"/>
      <c r="M917" s="237"/>
      <c r="N917" s="237"/>
      <c r="O917" s="237"/>
      <c r="P917" s="237"/>
      <c r="Q917" s="237"/>
      <c r="R917" s="237"/>
      <c r="S917" s="237"/>
      <c r="T917" s="237"/>
      <c r="U917" s="237"/>
      <c r="V917" s="237"/>
      <c r="W917" s="237"/>
      <c r="X917" s="237"/>
      <c r="Y917" s="237"/>
      <c r="Z917" s="237"/>
      <c r="AA917" s="237"/>
      <c r="AB917" s="237"/>
    </row>
    <row r="918">
      <c r="A918" s="238">
        <v>917.0</v>
      </c>
      <c r="B918" s="242"/>
      <c r="C918" s="240" t="s">
        <v>7426</v>
      </c>
      <c r="D918" s="236"/>
      <c r="E918" s="240" t="s">
        <v>3511</v>
      </c>
      <c r="F918" s="240" t="s">
        <v>7427</v>
      </c>
      <c r="G918" s="238" t="s">
        <v>7428</v>
      </c>
      <c r="H918" s="240" t="s">
        <v>7429</v>
      </c>
      <c r="I918" s="236"/>
      <c r="J918" s="238" t="s">
        <v>7103</v>
      </c>
      <c r="K918" s="242"/>
      <c r="L918" s="237"/>
      <c r="M918" s="237"/>
      <c r="N918" s="237"/>
      <c r="O918" s="237"/>
      <c r="P918" s="237"/>
      <c r="Q918" s="237"/>
      <c r="R918" s="237"/>
      <c r="S918" s="237"/>
      <c r="T918" s="237"/>
      <c r="U918" s="237"/>
      <c r="V918" s="237"/>
      <c r="W918" s="237"/>
      <c r="X918" s="237"/>
      <c r="Y918" s="237"/>
      <c r="Z918" s="237"/>
      <c r="AA918" s="237"/>
      <c r="AB918" s="237"/>
    </row>
    <row r="919">
      <c r="A919" s="238">
        <v>918.0</v>
      </c>
      <c r="B919" s="239" t="s">
        <v>7430</v>
      </c>
      <c r="C919" s="240" t="s">
        <v>7431</v>
      </c>
      <c r="D919" s="236"/>
      <c r="E919" s="240" t="s">
        <v>3511</v>
      </c>
      <c r="F919" s="240" t="s">
        <v>7432</v>
      </c>
      <c r="G919" s="238" t="s">
        <v>7433</v>
      </c>
      <c r="H919" s="240" t="s">
        <v>7434</v>
      </c>
      <c r="I919" s="236"/>
      <c r="J919" s="238" t="s">
        <v>7103</v>
      </c>
      <c r="K919" s="239" t="s">
        <v>7430</v>
      </c>
      <c r="L919" s="237"/>
      <c r="M919" s="237"/>
      <c r="N919" s="237"/>
      <c r="O919" s="237"/>
      <c r="P919" s="237"/>
      <c r="Q919" s="237"/>
      <c r="R919" s="237"/>
      <c r="S919" s="237"/>
      <c r="T919" s="237"/>
      <c r="U919" s="237"/>
      <c r="V919" s="237"/>
      <c r="W919" s="237"/>
      <c r="X919" s="237"/>
      <c r="Y919" s="237"/>
      <c r="Z919" s="237"/>
      <c r="AA919" s="237"/>
      <c r="AB919" s="237"/>
    </row>
    <row r="920">
      <c r="A920" s="238">
        <v>919.0</v>
      </c>
      <c r="B920" s="239" t="s">
        <v>7435</v>
      </c>
      <c r="C920" s="240" t="s">
        <v>7436</v>
      </c>
      <c r="D920" s="236"/>
      <c r="E920" s="240" t="s">
        <v>3511</v>
      </c>
      <c r="F920" s="240" t="s">
        <v>7437</v>
      </c>
      <c r="G920" s="238" t="s">
        <v>7438</v>
      </c>
      <c r="H920" s="240" t="s">
        <v>7439</v>
      </c>
      <c r="I920" s="236"/>
      <c r="J920" s="238" t="s">
        <v>7103</v>
      </c>
      <c r="K920" s="239" t="s">
        <v>7435</v>
      </c>
      <c r="L920" s="237"/>
      <c r="M920" s="237"/>
      <c r="N920" s="237"/>
      <c r="O920" s="237"/>
      <c r="P920" s="237"/>
      <c r="Q920" s="237"/>
      <c r="R920" s="237"/>
      <c r="S920" s="237"/>
      <c r="T920" s="237"/>
      <c r="U920" s="237"/>
      <c r="V920" s="237"/>
      <c r="W920" s="237"/>
      <c r="X920" s="237"/>
      <c r="Y920" s="237"/>
      <c r="Z920" s="237"/>
      <c r="AA920" s="237"/>
      <c r="AB920" s="237"/>
    </row>
    <row r="921">
      <c r="A921" s="238">
        <v>920.0</v>
      </c>
      <c r="B921" s="239" t="s">
        <v>7440</v>
      </c>
      <c r="C921" s="240" t="s">
        <v>7441</v>
      </c>
      <c r="D921" s="236"/>
      <c r="E921" s="240" t="s">
        <v>3511</v>
      </c>
      <c r="F921" s="240" t="s">
        <v>7442</v>
      </c>
      <c r="G921" s="238" t="s">
        <v>7443</v>
      </c>
      <c r="H921" s="240" t="s">
        <v>7444</v>
      </c>
      <c r="I921" s="236"/>
      <c r="J921" s="238" t="s">
        <v>7103</v>
      </c>
      <c r="K921" s="239" t="s">
        <v>7440</v>
      </c>
      <c r="L921" s="237"/>
      <c r="M921" s="237"/>
      <c r="N921" s="237"/>
      <c r="O921" s="237"/>
      <c r="P921" s="237"/>
      <c r="Q921" s="237"/>
      <c r="R921" s="237"/>
      <c r="S921" s="237"/>
      <c r="T921" s="237"/>
      <c r="U921" s="237"/>
      <c r="V921" s="237"/>
      <c r="W921" s="237"/>
      <c r="X921" s="237"/>
      <c r="Y921" s="237"/>
      <c r="Z921" s="237"/>
      <c r="AA921" s="237"/>
      <c r="AB921" s="237"/>
    </row>
    <row r="922">
      <c r="A922" s="238">
        <v>921.0</v>
      </c>
      <c r="B922" s="239" t="s">
        <v>7445</v>
      </c>
      <c r="C922" s="240" t="s">
        <v>7446</v>
      </c>
      <c r="D922" s="236"/>
      <c r="E922" s="240" t="s">
        <v>3511</v>
      </c>
      <c r="F922" s="240" t="s">
        <v>7447</v>
      </c>
      <c r="G922" s="238" t="s">
        <v>7448</v>
      </c>
      <c r="H922" s="240" t="s">
        <v>7449</v>
      </c>
      <c r="I922" s="236"/>
      <c r="J922" s="238" t="s">
        <v>7103</v>
      </c>
      <c r="K922" s="239" t="s">
        <v>7445</v>
      </c>
      <c r="L922" s="237"/>
      <c r="M922" s="237"/>
      <c r="N922" s="237"/>
      <c r="O922" s="237"/>
      <c r="P922" s="237"/>
      <c r="Q922" s="237"/>
      <c r="R922" s="237"/>
      <c r="S922" s="237"/>
      <c r="T922" s="237"/>
      <c r="U922" s="237"/>
      <c r="V922" s="237"/>
      <c r="W922" s="237"/>
      <c r="X922" s="237"/>
      <c r="Y922" s="237"/>
      <c r="Z922" s="237"/>
      <c r="AA922" s="237"/>
      <c r="AB922" s="237"/>
    </row>
    <row r="923">
      <c r="A923" s="238">
        <v>922.0</v>
      </c>
      <c r="B923" s="239" t="s">
        <v>7450</v>
      </c>
      <c r="C923" s="240" t="s">
        <v>7451</v>
      </c>
      <c r="D923" s="236"/>
      <c r="E923" s="240" t="s">
        <v>3511</v>
      </c>
      <c r="F923" s="240" t="s">
        <v>7452</v>
      </c>
      <c r="G923" s="238" t="s">
        <v>7453</v>
      </c>
      <c r="H923" s="240" t="s">
        <v>7454</v>
      </c>
      <c r="I923" s="236"/>
      <c r="J923" s="238" t="s">
        <v>7103</v>
      </c>
      <c r="K923" s="239" t="s">
        <v>7450</v>
      </c>
      <c r="L923" s="237"/>
      <c r="M923" s="237"/>
      <c r="N923" s="237"/>
      <c r="O923" s="237"/>
      <c r="P923" s="237"/>
      <c r="Q923" s="237"/>
      <c r="R923" s="237"/>
      <c r="S923" s="237"/>
      <c r="T923" s="237"/>
      <c r="U923" s="237"/>
      <c r="V923" s="237"/>
      <c r="W923" s="237"/>
      <c r="X923" s="237"/>
      <c r="Y923" s="237"/>
      <c r="Z923" s="237"/>
      <c r="AA923" s="237"/>
      <c r="AB923" s="237"/>
    </row>
    <row r="924">
      <c r="A924" s="238">
        <v>923.0</v>
      </c>
      <c r="B924" s="239" t="s">
        <v>7455</v>
      </c>
      <c r="C924" s="240" t="s">
        <v>7456</v>
      </c>
      <c r="D924" s="236"/>
      <c r="E924" s="240" t="s">
        <v>3511</v>
      </c>
      <c r="F924" s="240" t="s">
        <v>7457</v>
      </c>
      <c r="G924" s="238" t="s">
        <v>7458</v>
      </c>
      <c r="H924" s="240" t="s">
        <v>7459</v>
      </c>
      <c r="I924" s="236"/>
      <c r="J924" s="238" t="s">
        <v>7103</v>
      </c>
      <c r="K924" s="239" t="s">
        <v>7455</v>
      </c>
      <c r="L924" s="237"/>
      <c r="M924" s="237"/>
      <c r="N924" s="237"/>
      <c r="O924" s="237"/>
      <c r="P924" s="237"/>
      <c r="Q924" s="237"/>
      <c r="R924" s="237"/>
      <c r="S924" s="237"/>
      <c r="T924" s="237"/>
      <c r="U924" s="237"/>
      <c r="V924" s="237"/>
      <c r="W924" s="237"/>
      <c r="X924" s="237"/>
      <c r="Y924" s="237"/>
      <c r="Z924" s="237"/>
      <c r="AA924" s="237"/>
      <c r="AB924" s="237"/>
    </row>
    <row r="925">
      <c r="A925" s="238">
        <v>924.0</v>
      </c>
      <c r="B925" s="239" t="s">
        <v>7460</v>
      </c>
      <c r="C925" s="240" t="s">
        <v>7461</v>
      </c>
      <c r="D925" s="236"/>
      <c r="E925" s="240" t="s">
        <v>3511</v>
      </c>
      <c r="F925" s="240" t="s">
        <v>7462</v>
      </c>
      <c r="G925" s="238" t="s">
        <v>7463</v>
      </c>
      <c r="H925" s="236"/>
      <c r="I925" s="236"/>
      <c r="J925" s="238" t="s">
        <v>7103</v>
      </c>
      <c r="K925" s="239" t="s">
        <v>7460</v>
      </c>
      <c r="L925" s="237"/>
      <c r="M925" s="237"/>
      <c r="N925" s="237"/>
      <c r="O925" s="237"/>
      <c r="P925" s="237"/>
      <c r="Q925" s="237"/>
      <c r="R925" s="237"/>
      <c r="S925" s="237"/>
      <c r="T925" s="237"/>
      <c r="U925" s="237"/>
      <c r="V925" s="237"/>
      <c r="W925" s="237"/>
      <c r="X925" s="237"/>
      <c r="Y925" s="237"/>
      <c r="Z925" s="237"/>
      <c r="AA925" s="237"/>
      <c r="AB925" s="237"/>
    </row>
    <row r="926">
      <c r="A926" s="238">
        <v>925.0</v>
      </c>
      <c r="B926" s="239" t="s">
        <v>7464</v>
      </c>
      <c r="C926" s="240" t="s">
        <v>7465</v>
      </c>
      <c r="D926" s="236"/>
      <c r="E926" s="240" t="s">
        <v>3511</v>
      </c>
      <c r="F926" s="240" t="s">
        <v>7466</v>
      </c>
      <c r="G926" s="238" t="s">
        <v>7467</v>
      </c>
      <c r="H926" s="240" t="s">
        <v>7468</v>
      </c>
      <c r="I926" s="236"/>
      <c r="J926" s="238" t="s">
        <v>7103</v>
      </c>
      <c r="K926" s="239" t="s">
        <v>7464</v>
      </c>
      <c r="L926" s="237"/>
      <c r="M926" s="237"/>
      <c r="N926" s="237"/>
      <c r="O926" s="237"/>
      <c r="P926" s="237"/>
      <c r="Q926" s="237"/>
      <c r="R926" s="237"/>
      <c r="S926" s="237"/>
      <c r="T926" s="237"/>
      <c r="U926" s="237"/>
      <c r="V926" s="237"/>
      <c r="W926" s="237"/>
      <c r="X926" s="237"/>
      <c r="Y926" s="237"/>
      <c r="Z926" s="237"/>
      <c r="AA926" s="237"/>
      <c r="AB926" s="237"/>
    </row>
    <row r="927">
      <c r="A927" s="238">
        <v>926.0</v>
      </c>
      <c r="B927" s="242"/>
      <c r="C927" s="240" t="s">
        <v>7469</v>
      </c>
      <c r="D927" s="236"/>
      <c r="E927" s="240" t="s">
        <v>3511</v>
      </c>
      <c r="F927" s="240" t="s">
        <v>7470</v>
      </c>
      <c r="G927" s="238" t="s">
        <v>7471</v>
      </c>
      <c r="H927" s="236"/>
      <c r="I927" s="236"/>
      <c r="J927" s="238" t="s">
        <v>7103</v>
      </c>
      <c r="K927" s="242"/>
      <c r="L927" s="237"/>
      <c r="M927" s="237"/>
      <c r="N927" s="237"/>
      <c r="O927" s="237"/>
      <c r="P927" s="237"/>
      <c r="Q927" s="237"/>
      <c r="R927" s="237"/>
      <c r="S927" s="237"/>
      <c r="T927" s="237"/>
      <c r="U927" s="237"/>
      <c r="V927" s="237"/>
      <c r="W927" s="237"/>
      <c r="X927" s="237"/>
      <c r="Y927" s="237"/>
      <c r="Z927" s="237"/>
      <c r="AA927" s="237"/>
      <c r="AB927" s="237"/>
    </row>
    <row r="928">
      <c r="A928" s="238">
        <v>927.0</v>
      </c>
      <c r="B928" s="239" t="s">
        <v>7472</v>
      </c>
      <c r="C928" s="240" t="s">
        <v>7473</v>
      </c>
      <c r="D928" s="236"/>
      <c r="E928" s="240" t="s">
        <v>3511</v>
      </c>
      <c r="F928" s="240" t="s">
        <v>7474</v>
      </c>
      <c r="G928" s="238" t="s">
        <v>7475</v>
      </c>
      <c r="H928" s="240" t="s">
        <v>7476</v>
      </c>
      <c r="I928" s="236"/>
      <c r="J928" s="238" t="s">
        <v>7103</v>
      </c>
      <c r="K928" s="239" t="s">
        <v>7472</v>
      </c>
      <c r="L928" s="237"/>
      <c r="M928" s="237"/>
      <c r="N928" s="237"/>
      <c r="O928" s="237"/>
      <c r="P928" s="237"/>
      <c r="Q928" s="237"/>
      <c r="R928" s="237"/>
      <c r="S928" s="237"/>
      <c r="T928" s="237"/>
      <c r="U928" s="237"/>
      <c r="V928" s="237"/>
      <c r="W928" s="237"/>
      <c r="X928" s="237"/>
      <c r="Y928" s="237"/>
      <c r="Z928" s="237"/>
      <c r="AA928" s="237"/>
      <c r="AB928" s="237"/>
    </row>
    <row r="929">
      <c r="A929" s="238">
        <v>928.0</v>
      </c>
      <c r="B929" s="239" t="s">
        <v>7477</v>
      </c>
      <c r="C929" s="240" t="s">
        <v>7478</v>
      </c>
      <c r="D929" s="236"/>
      <c r="E929" s="240" t="s">
        <v>3511</v>
      </c>
      <c r="F929" s="240" t="s">
        <v>7479</v>
      </c>
      <c r="G929" s="238" t="s">
        <v>7480</v>
      </c>
      <c r="H929" s="236"/>
      <c r="I929" s="236"/>
      <c r="J929" s="238" t="s">
        <v>7103</v>
      </c>
      <c r="K929" s="239" t="s">
        <v>7477</v>
      </c>
      <c r="L929" s="237"/>
      <c r="M929" s="237"/>
      <c r="N929" s="237"/>
      <c r="O929" s="237"/>
      <c r="P929" s="237"/>
      <c r="Q929" s="237"/>
      <c r="R929" s="237"/>
      <c r="S929" s="237"/>
      <c r="T929" s="237"/>
      <c r="U929" s="237"/>
      <c r="V929" s="237"/>
      <c r="W929" s="237"/>
      <c r="X929" s="237"/>
      <c r="Y929" s="237"/>
      <c r="Z929" s="237"/>
      <c r="AA929" s="237"/>
      <c r="AB929" s="237"/>
    </row>
    <row r="930">
      <c r="A930" s="238">
        <v>929.0</v>
      </c>
      <c r="B930" s="239" t="s">
        <v>7481</v>
      </c>
      <c r="C930" s="240" t="s">
        <v>7482</v>
      </c>
      <c r="D930" s="236"/>
      <c r="E930" s="240" t="s">
        <v>3511</v>
      </c>
      <c r="F930" s="240" t="s">
        <v>7483</v>
      </c>
      <c r="G930" s="238" t="s">
        <v>7484</v>
      </c>
      <c r="H930" s="236"/>
      <c r="I930" s="236"/>
      <c r="J930" s="238" t="s">
        <v>7103</v>
      </c>
      <c r="K930" s="239" t="s">
        <v>7481</v>
      </c>
      <c r="L930" s="237"/>
      <c r="M930" s="237"/>
      <c r="N930" s="237"/>
      <c r="O930" s="237"/>
      <c r="P930" s="237"/>
      <c r="Q930" s="237"/>
      <c r="R930" s="237"/>
      <c r="S930" s="237"/>
      <c r="T930" s="237"/>
      <c r="U930" s="237"/>
      <c r="V930" s="237"/>
      <c r="W930" s="237"/>
      <c r="X930" s="237"/>
      <c r="Y930" s="237"/>
      <c r="Z930" s="237"/>
      <c r="AA930" s="237"/>
      <c r="AB930" s="237"/>
    </row>
    <row r="931">
      <c r="A931" s="238">
        <v>930.0</v>
      </c>
      <c r="B931" s="239" t="s">
        <v>7485</v>
      </c>
      <c r="C931" s="240" t="s">
        <v>7486</v>
      </c>
      <c r="D931" s="236"/>
      <c r="E931" s="240" t="s">
        <v>3511</v>
      </c>
      <c r="F931" s="240" t="s">
        <v>7487</v>
      </c>
      <c r="G931" s="238" t="s">
        <v>7488</v>
      </c>
      <c r="H931" s="236"/>
      <c r="I931" s="236"/>
      <c r="J931" s="238" t="s">
        <v>7103</v>
      </c>
      <c r="K931" s="239" t="s">
        <v>7485</v>
      </c>
      <c r="L931" s="237"/>
      <c r="M931" s="237"/>
      <c r="N931" s="237"/>
      <c r="O931" s="237"/>
      <c r="P931" s="237"/>
      <c r="Q931" s="237"/>
      <c r="R931" s="237"/>
      <c r="S931" s="237"/>
      <c r="T931" s="237"/>
      <c r="U931" s="237"/>
      <c r="V931" s="237"/>
      <c r="W931" s="237"/>
      <c r="X931" s="237"/>
      <c r="Y931" s="237"/>
      <c r="Z931" s="237"/>
      <c r="AA931" s="237"/>
      <c r="AB931" s="237"/>
    </row>
    <row r="932">
      <c r="A932" s="238">
        <v>931.0</v>
      </c>
      <c r="B932" s="239" t="s">
        <v>7489</v>
      </c>
      <c r="C932" s="240" t="s">
        <v>7490</v>
      </c>
      <c r="D932" s="236"/>
      <c r="E932" s="240" t="s">
        <v>3511</v>
      </c>
      <c r="F932" s="240" t="s">
        <v>7491</v>
      </c>
      <c r="G932" s="238" t="s">
        <v>7492</v>
      </c>
      <c r="H932" s="236"/>
      <c r="I932" s="236"/>
      <c r="J932" s="238" t="s">
        <v>7103</v>
      </c>
      <c r="K932" s="239" t="s">
        <v>7489</v>
      </c>
      <c r="L932" s="237"/>
      <c r="M932" s="237"/>
      <c r="N932" s="237"/>
      <c r="O932" s="237"/>
      <c r="P932" s="237"/>
      <c r="Q932" s="237"/>
      <c r="R932" s="237"/>
      <c r="S932" s="237"/>
      <c r="T932" s="237"/>
      <c r="U932" s="237"/>
      <c r="V932" s="237"/>
      <c r="W932" s="237"/>
      <c r="X932" s="237"/>
      <c r="Y932" s="237"/>
      <c r="Z932" s="237"/>
      <c r="AA932" s="237"/>
      <c r="AB932" s="237"/>
    </row>
    <row r="933">
      <c r="A933" s="238">
        <v>932.0</v>
      </c>
      <c r="B933" s="239" t="s">
        <v>7493</v>
      </c>
      <c r="C933" s="240" t="s">
        <v>7494</v>
      </c>
      <c r="D933" s="236"/>
      <c r="E933" s="240" t="s">
        <v>3511</v>
      </c>
      <c r="F933" s="240" t="s">
        <v>7495</v>
      </c>
      <c r="G933" s="238" t="s">
        <v>7496</v>
      </c>
      <c r="H933" s="236"/>
      <c r="I933" s="236"/>
      <c r="J933" s="238" t="s">
        <v>7103</v>
      </c>
      <c r="K933" s="239" t="s">
        <v>7493</v>
      </c>
      <c r="L933" s="237"/>
      <c r="M933" s="237"/>
      <c r="N933" s="237"/>
      <c r="O933" s="237"/>
      <c r="P933" s="237"/>
      <c r="Q933" s="237"/>
      <c r="R933" s="237"/>
      <c r="S933" s="237"/>
      <c r="T933" s="237"/>
      <c r="U933" s="237"/>
      <c r="V933" s="237"/>
      <c r="W933" s="237"/>
      <c r="X933" s="237"/>
      <c r="Y933" s="237"/>
      <c r="Z933" s="237"/>
      <c r="AA933" s="237"/>
      <c r="AB933" s="237"/>
    </row>
    <row r="934">
      <c r="A934" s="238">
        <v>933.0</v>
      </c>
      <c r="B934" s="239" t="s">
        <v>7497</v>
      </c>
      <c r="C934" s="240" t="s">
        <v>7498</v>
      </c>
      <c r="D934" s="236"/>
      <c r="E934" s="240" t="s">
        <v>3511</v>
      </c>
      <c r="F934" s="240" t="s">
        <v>7499</v>
      </c>
      <c r="G934" s="238" t="s">
        <v>7500</v>
      </c>
      <c r="H934" s="236"/>
      <c r="I934" s="236"/>
      <c r="J934" s="238" t="s">
        <v>7103</v>
      </c>
      <c r="K934" s="239" t="s">
        <v>7497</v>
      </c>
      <c r="L934" s="237"/>
      <c r="M934" s="237"/>
      <c r="N934" s="237"/>
      <c r="O934" s="237"/>
      <c r="P934" s="237"/>
      <c r="Q934" s="237"/>
      <c r="R934" s="237"/>
      <c r="S934" s="237"/>
      <c r="T934" s="237"/>
      <c r="U934" s="237"/>
      <c r="V934" s="237"/>
      <c r="W934" s="237"/>
      <c r="X934" s="237"/>
      <c r="Y934" s="237"/>
      <c r="Z934" s="237"/>
      <c r="AA934" s="237"/>
      <c r="AB934" s="237"/>
    </row>
    <row r="935">
      <c r="A935" s="238">
        <v>934.0</v>
      </c>
      <c r="B935" s="239" t="s">
        <v>7501</v>
      </c>
      <c r="C935" s="240" t="s">
        <v>7502</v>
      </c>
      <c r="D935" s="236"/>
      <c r="E935" s="240" t="s">
        <v>3511</v>
      </c>
      <c r="F935" s="240" t="s">
        <v>7503</v>
      </c>
      <c r="G935" s="238" t="s">
        <v>7504</v>
      </c>
      <c r="H935" s="236"/>
      <c r="I935" s="236"/>
      <c r="J935" s="238" t="s">
        <v>7103</v>
      </c>
      <c r="K935" s="239" t="s">
        <v>7501</v>
      </c>
      <c r="L935" s="237"/>
      <c r="M935" s="237"/>
      <c r="N935" s="237"/>
      <c r="O935" s="237"/>
      <c r="P935" s="237"/>
      <c r="Q935" s="237"/>
      <c r="R935" s="237"/>
      <c r="S935" s="237"/>
      <c r="T935" s="237"/>
      <c r="U935" s="237"/>
      <c r="V935" s="237"/>
      <c r="W935" s="237"/>
      <c r="X935" s="237"/>
      <c r="Y935" s="237"/>
      <c r="Z935" s="237"/>
      <c r="AA935" s="237"/>
      <c r="AB935" s="237"/>
    </row>
    <row r="936">
      <c r="A936" s="238">
        <v>935.0</v>
      </c>
      <c r="B936" s="239" t="s">
        <v>7505</v>
      </c>
      <c r="C936" s="240" t="s">
        <v>7506</v>
      </c>
      <c r="D936" s="236"/>
      <c r="E936" s="240" t="s">
        <v>3511</v>
      </c>
      <c r="F936" s="240" t="s">
        <v>7507</v>
      </c>
      <c r="G936" s="238" t="s">
        <v>7508</v>
      </c>
      <c r="H936" s="236"/>
      <c r="I936" s="236"/>
      <c r="J936" s="238" t="s">
        <v>7103</v>
      </c>
      <c r="K936" s="239" t="s">
        <v>7505</v>
      </c>
      <c r="L936" s="237"/>
      <c r="M936" s="237"/>
      <c r="N936" s="237"/>
      <c r="O936" s="237"/>
      <c r="P936" s="237"/>
      <c r="Q936" s="237"/>
      <c r="R936" s="237"/>
      <c r="S936" s="237"/>
      <c r="T936" s="237"/>
      <c r="U936" s="237"/>
      <c r="V936" s="237"/>
      <c r="W936" s="237"/>
      <c r="X936" s="237"/>
      <c r="Y936" s="237"/>
      <c r="Z936" s="237"/>
      <c r="AA936" s="237"/>
      <c r="AB936" s="237"/>
    </row>
    <row r="937">
      <c r="A937" s="238">
        <v>936.0</v>
      </c>
      <c r="B937" s="239" t="s">
        <v>7509</v>
      </c>
      <c r="C937" s="240" t="s">
        <v>7510</v>
      </c>
      <c r="D937" s="236"/>
      <c r="E937" s="240" t="s">
        <v>3511</v>
      </c>
      <c r="F937" s="240" t="s">
        <v>7511</v>
      </c>
      <c r="G937" s="238" t="s">
        <v>7512</v>
      </c>
      <c r="H937" s="236"/>
      <c r="I937" s="236"/>
      <c r="J937" s="238" t="s">
        <v>7103</v>
      </c>
      <c r="K937" s="239" t="s">
        <v>7509</v>
      </c>
      <c r="L937" s="237"/>
      <c r="M937" s="237"/>
      <c r="N937" s="237"/>
      <c r="O937" s="237"/>
      <c r="P937" s="237"/>
      <c r="Q937" s="237"/>
      <c r="R937" s="237"/>
      <c r="S937" s="237"/>
      <c r="T937" s="237"/>
      <c r="U937" s="237"/>
      <c r="V937" s="237"/>
      <c r="W937" s="237"/>
      <c r="X937" s="237"/>
      <c r="Y937" s="237"/>
      <c r="Z937" s="237"/>
      <c r="AA937" s="237"/>
      <c r="AB937" s="237"/>
    </row>
    <row r="938">
      <c r="A938" s="238">
        <v>937.0</v>
      </c>
      <c r="B938" s="239" t="s">
        <v>7513</v>
      </c>
      <c r="C938" s="240" t="s">
        <v>7514</v>
      </c>
      <c r="D938" s="236"/>
      <c r="E938" s="240" t="s">
        <v>3511</v>
      </c>
      <c r="F938" s="240" t="s">
        <v>7515</v>
      </c>
      <c r="G938" s="238" t="s">
        <v>7516</v>
      </c>
      <c r="H938" s="240" t="s">
        <v>7517</v>
      </c>
      <c r="I938" s="236"/>
      <c r="J938" s="238" t="s">
        <v>7103</v>
      </c>
      <c r="K938" s="239" t="s">
        <v>7513</v>
      </c>
      <c r="L938" s="237"/>
      <c r="M938" s="237"/>
      <c r="N938" s="237"/>
      <c r="O938" s="237"/>
      <c r="P938" s="237"/>
      <c r="Q938" s="237"/>
      <c r="R938" s="237"/>
      <c r="S938" s="237"/>
      <c r="T938" s="237"/>
      <c r="U938" s="237"/>
      <c r="V938" s="237"/>
      <c r="W938" s="237"/>
      <c r="X938" s="237"/>
      <c r="Y938" s="237"/>
      <c r="Z938" s="237"/>
      <c r="AA938" s="237"/>
      <c r="AB938" s="237"/>
    </row>
    <row r="939">
      <c r="A939" s="238">
        <v>938.0</v>
      </c>
      <c r="B939" s="239" t="s">
        <v>7518</v>
      </c>
      <c r="C939" s="240" t="s">
        <v>7519</v>
      </c>
      <c r="D939" s="236"/>
      <c r="E939" s="240" t="s">
        <v>3511</v>
      </c>
      <c r="F939" s="240" t="s">
        <v>7520</v>
      </c>
      <c r="G939" s="238" t="s">
        <v>7521</v>
      </c>
      <c r="H939" s="240" t="s">
        <v>7522</v>
      </c>
      <c r="I939" s="236"/>
      <c r="J939" s="238" t="s">
        <v>7103</v>
      </c>
      <c r="K939" s="239" t="s">
        <v>7518</v>
      </c>
      <c r="L939" s="237"/>
      <c r="M939" s="237"/>
      <c r="N939" s="237"/>
      <c r="O939" s="237"/>
      <c r="P939" s="237"/>
      <c r="Q939" s="237"/>
      <c r="R939" s="237"/>
      <c r="S939" s="237"/>
      <c r="T939" s="237"/>
      <c r="U939" s="237"/>
      <c r="V939" s="237"/>
      <c r="W939" s="237"/>
      <c r="X939" s="237"/>
      <c r="Y939" s="237"/>
      <c r="Z939" s="237"/>
      <c r="AA939" s="237"/>
      <c r="AB939" s="237"/>
    </row>
    <row r="940">
      <c r="A940" s="238">
        <v>939.0</v>
      </c>
      <c r="B940" s="239" t="s">
        <v>7523</v>
      </c>
      <c r="C940" s="240" t="s">
        <v>7524</v>
      </c>
      <c r="D940" s="236"/>
      <c r="E940" s="240" t="s">
        <v>3511</v>
      </c>
      <c r="F940" s="240" t="s">
        <v>7525</v>
      </c>
      <c r="G940" s="238" t="s">
        <v>7526</v>
      </c>
      <c r="H940" s="240" t="s">
        <v>7527</v>
      </c>
      <c r="I940" s="236"/>
      <c r="J940" s="238" t="s">
        <v>7103</v>
      </c>
      <c r="K940" s="239" t="s">
        <v>7523</v>
      </c>
      <c r="L940" s="237"/>
      <c r="M940" s="237"/>
      <c r="N940" s="237"/>
      <c r="O940" s="237"/>
      <c r="P940" s="237"/>
      <c r="Q940" s="237"/>
      <c r="R940" s="237"/>
      <c r="S940" s="237"/>
      <c r="T940" s="237"/>
      <c r="U940" s="237"/>
      <c r="V940" s="237"/>
      <c r="W940" s="237"/>
      <c r="X940" s="237"/>
      <c r="Y940" s="237"/>
      <c r="Z940" s="237"/>
      <c r="AA940" s="237"/>
      <c r="AB940" s="237"/>
    </row>
    <row r="941">
      <c r="A941" s="238">
        <v>940.0</v>
      </c>
      <c r="B941" s="239" t="s">
        <v>7528</v>
      </c>
      <c r="C941" s="240" t="s">
        <v>7529</v>
      </c>
      <c r="D941" s="236"/>
      <c r="E941" s="240" t="s">
        <v>3511</v>
      </c>
      <c r="F941" s="240" t="s">
        <v>7530</v>
      </c>
      <c r="G941" s="238" t="s">
        <v>7531</v>
      </c>
      <c r="H941" s="236"/>
      <c r="I941" s="236"/>
      <c r="J941" s="238" t="s">
        <v>7103</v>
      </c>
      <c r="K941" s="239" t="s">
        <v>7528</v>
      </c>
      <c r="L941" s="237"/>
      <c r="M941" s="237"/>
      <c r="N941" s="237"/>
      <c r="O941" s="237"/>
      <c r="P941" s="237"/>
      <c r="Q941" s="237"/>
      <c r="R941" s="237"/>
      <c r="S941" s="237"/>
      <c r="T941" s="237"/>
      <c r="U941" s="237"/>
      <c r="V941" s="237"/>
      <c r="W941" s="237"/>
      <c r="X941" s="237"/>
      <c r="Y941" s="237"/>
      <c r="Z941" s="237"/>
      <c r="AA941" s="237"/>
      <c r="AB941" s="237"/>
    </row>
    <row r="942">
      <c r="A942" s="238">
        <v>941.0</v>
      </c>
      <c r="B942" s="239" t="s">
        <v>7532</v>
      </c>
      <c r="C942" s="240" t="s">
        <v>7533</v>
      </c>
      <c r="D942" s="236"/>
      <c r="E942" s="240" t="s">
        <v>3511</v>
      </c>
      <c r="F942" s="240" t="s">
        <v>7534</v>
      </c>
      <c r="G942" s="238" t="s">
        <v>7535</v>
      </c>
      <c r="H942" s="236"/>
      <c r="I942" s="236"/>
      <c r="J942" s="238" t="s">
        <v>7103</v>
      </c>
      <c r="K942" s="239" t="s">
        <v>7532</v>
      </c>
      <c r="L942" s="237"/>
      <c r="M942" s="237"/>
      <c r="N942" s="237"/>
      <c r="O942" s="237"/>
      <c r="P942" s="237"/>
      <c r="Q942" s="237"/>
      <c r="R942" s="237"/>
      <c r="S942" s="237"/>
      <c r="T942" s="237"/>
      <c r="U942" s="237"/>
      <c r="V942" s="237"/>
      <c r="W942" s="237"/>
      <c r="X942" s="237"/>
      <c r="Y942" s="237"/>
      <c r="Z942" s="237"/>
      <c r="AA942" s="237"/>
      <c r="AB942" s="237"/>
    </row>
    <row r="943">
      <c r="A943" s="238">
        <v>942.0</v>
      </c>
      <c r="B943" s="239" t="s">
        <v>7536</v>
      </c>
      <c r="C943" s="240" t="s">
        <v>7537</v>
      </c>
      <c r="D943" s="236"/>
      <c r="E943" s="240" t="s">
        <v>3511</v>
      </c>
      <c r="F943" s="240" t="s">
        <v>7538</v>
      </c>
      <c r="G943" s="238" t="s">
        <v>7539</v>
      </c>
      <c r="H943" s="240" t="s">
        <v>7540</v>
      </c>
      <c r="I943" s="236"/>
      <c r="J943" s="238" t="s">
        <v>7103</v>
      </c>
      <c r="K943" s="239" t="s">
        <v>7536</v>
      </c>
      <c r="L943" s="237"/>
      <c r="M943" s="237"/>
      <c r="N943" s="237"/>
      <c r="O943" s="237"/>
      <c r="P943" s="237"/>
      <c r="Q943" s="237"/>
      <c r="R943" s="237"/>
      <c r="S943" s="237"/>
      <c r="T943" s="237"/>
      <c r="U943" s="237"/>
      <c r="V943" s="237"/>
      <c r="W943" s="237"/>
      <c r="X943" s="237"/>
      <c r="Y943" s="237"/>
      <c r="Z943" s="237"/>
      <c r="AA943" s="237"/>
      <c r="AB943" s="237"/>
    </row>
    <row r="944">
      <c r="A944" s="238">
        <v>943.0</v>
      </c>
      <c r="B944" s="239" t="s">
        <v>7541</v>
      </c>
      <c r="C944" s="240" t="s">
        <v>7542</v>
      </c>
      <c r="D944" s="236"/>
      <c r="E944" s="240" t="s">
        <v>3511</v>
      </c>
      <c r="F944" s="240" t="s">
        <v>7543</v>
      </c>
      <c r="G944" s="238" t="s">
        <v>7544</v>
      </c>
      <c r="H944" s="240" t="s">
        <v>7545</v>
      </c>
      <c r="I944" s="236"/>
      <c r="J944" s="238" t="s">
        <v>7103</v>
      </c>
      <c r="K944" s="239" t="s">
        <v>7541</v>
      </c>
      <c r="L944" s="237"/>
      <c r="M944" s="237"/>
      <c r="N944" s="237"/>
      <c r="O944" s="237"/>
      <c r="P944" s="237"/>
      <c r="Q944" s="237"/>
      <c r="R944" s="237"/>
      <c r="S944" s="237"/>
      <c r="T944" s="237"/>
      <c r="U944" s="237"/>
      <c r="V944" s="237"/>
      <c r="W944" s="237"/>
      <c r="X944" s="237"/>
      <c r="Y944" s="237"/>
      <c r="Z944" s="237"/>
      <c r="AA944" s="237"/>
      <c r="AB944" s="237"/>
    </row>
    <row r="945">
      <c r="A945" s="238">
        <v>944.0</v>
      </c>
      <c r="B945" s="239" t="s">
        <v>7546</v>
      </c>
      <c r="C945" s="240" t="s">
        <v>7547</v>
      </c>
      <c r="D945" s="236"/>
      <c r="E945" s="240" t="s">
        <v>3511</v>
      </c>
      <c r="F945" s="240" t="s">
        <v>7548</v>
      </c>
      <c r="G945" s="238" t="s">
        <v>7549</v>
      </c>
      <c r="H945" s="240" t="s">
        <v>7550</v>
      </c>
      <c r="I945" s="236"/>
      <c r="J945" s="238" t="s">
        <v>7103</v>
      </c>
      <c r="K945" s="239" t="s">
        <v>7546</v>
      </c>
      <c r="L945" s="237"/>
      <c r="M945" s="237"/>
      <c r="N945" s="237"/>
      <c r="O945" s="237"/>
      <c r="P945" s="237"/>
      <c r="Q945" s="237"/>
      <c r="R945" s="237"/>
      <c r="S945" s="237"/>
      <c r="T945" s="237"/>
      <c r="U945" s="237"/>
      <c r="V945" s="237"/>
      <c r="W945" s="237"/>
      <c r="X945" s="237"/>
      <c r="Y945" s="237"/>
      <c r="Z945" s="237"/>
      <c r="AA945" s="237"/>
      <c r="AB945" s="237"/>
    </row>
    <row r="946">
      <c r="A946" s="238">
        <v>945.0</v>
      </c>
      <c r="B946" s="239" t="s">
        <v>7551</v>
      </c>
      <c r="C946" s="240" t="s">
        <v>7552</v>
      </c>
      <c r="D946" s="236"/>
      <c r="E946" s="240" t="s">
        <v>3511</v>
      </c>
      <c r="F946" s="240" t="s">
        <v>7553</v>
      </c>
      <c r="G946" s="238" t="s">
        <v>7554</v>
      </c>
      <c r="H946" s="240" t="s">
        <v>7555</v>
      </c>
      <c r="I946" s="236"/>
      <c r="J946" s="238" t="s">
        <v>7103</v>
      </c>
      <c r="K946" s="239" t="s">
        <v>7551</v>
      </c>
      <c r="L946" s="237"/>
      <c r="M946" s="237"/>
      <c r="N946" s="237"/>
      <c r="O946" s="237"/>
      <c r="P946" s="237"/>
      <c r="Q946" s="237"/>
      <c r="R946" s="237"/>
      <c r="S946" s="237"/>
      <c r="T946" s="237"/>
      <c r="U946" s="237"/>
      <c r="V946" s="237"/>
      <c r="W946" s="237"/>
      <c r="X946" s="237"/>
      <c r="Y946" s="237"/>
      <c r="Z946" s="237"/>
      <c r="AA946" s="237"/>
      <c r="AB946" s="237"/>
    </row>
    <row r="947">
      <c r="A947" s="238">
        <v>946.0</v>
      </c>
      <c r="B947" s="239" t="s">
        <v>7556</v>
      </c>
      <c r="C947" s="240" t="s">
        <v>7557</v>
      </c>
      <c r="D947" s="236"/>
      <c r="E947" s="240" t="s">
        <v>3511</v>
      </c>
      <c r="F947" s="240" t="s">
        <v>7558</v>
      </c>
      <c r="G947" s="238" t="s">
        <v>7559</v>
      </c>
      <c r="H947" s="240" t="s">
        <v>7560</v>
      </c>
      <c r="I947" s="236"/>
      <c r="J947" s="238" t="s">
        <v>7103</v>
      </c>
      <c r="K947" s="239" t="s">
        <v>7556</v>
      </c>
      <c r="L947" s="237"/>
      <c r="M947" s="237"/>
      <c r="N947" s="237"/>
      <c r="O947" s="237"/>
      <c r="P947" s="237"/>
      <c r="Q947" s="237"/>
      <c r="R947" s="237"/>
      <c r="S947" s="237"/>
      <c r="T947" s="237"/>
      <c r="U947" s="237"/>
      <c r="V947" s="237"/>
      <c r="W947" s="237"/>
      <c r="X947" s="237"/>
      <c r="Y947" s="237"/>
      <c r="Z947" s="237"/>
      <c r="AA947" s="237"/>
      <c r="AB947" s="237"/>
    </row>
    <row r="948">
      <c r="A948" s="238">
        <v>947.0</v>
      </c>
      <c r="B948" s="239" t="s">
        <v>7561</v>
      </c>
      <c r="C948" s="240" t="s">
        <v>7562</v>
      </c>
      <c r="D948" s="236"/>
      <c r="E948" s="240" t="s">
        <v>3511</v>
      </c>
      <c r="F948" s="240" t="s">
        <v>7563</v>
      </c>
      <c r="G948" s="238" t="s">
        <v>7564</v>
      </c>
      <c r="H948" s="240" t="s">
        <v>7565</v>
      </c>
      <c r="I948" s="236"/>
      <c r="J948" s="238" t="s">
        <v>7103</v>
      </c>
      <c r="K948" s="239" t="s">
        <v>7561</v>
      </c>
      <c r="L948" s="237"/>
      <c r="M948" s="237"/>
      <c r="N948" s="237"/>
      <c r="O948" s="237"/>
      <c r="P948" s="237"/>
      <c r="Q948" s="237"/>
      <c r="R948" s="237"/>
      <c r="S948" s="237"/>
      <c r="T948" s="237"/>
      <c r="U948" s="237"/>
      <c r="V948" s="237"/>
      <c r="W948" s="237"/>
      <c r="X948" s="237"/>
      <c r="Y948" s="237"/>
      <c r="Z948" s="237"/>
      <c r="AA948" s="237"/>
      <c r="AB948" s="237"/>
    </row>
    <row r="949">
      <c r="A949" s="238">
        <v>948.0</v>
      </c>
      <c r="B949" s="239" t="s">
        <v>7566</v>
      </c>
      <c r="C949" s="240" t="s">
        <v>7567</v>
      </c>
      <c r="D949" s="236"/>
      <c r="E949" s="240" t="s">
        <v>3511</v>
      </c>
      <c r="F949" s="240" t="s">
        <v>7568</v>
      </c>
      <c r="G949" s="238" t="s">
        <v>7569</v>
      </c>
      <c r="H949" s="240" t="s">
        <v>7570</v>
      </c>
      <c r="I949" s="236"/>
      <c r="J949" s="238" t="s">
        <v>7103</v>
      </c>
      <c r="K949" s="239" t="s">
        <v>7566</v>
      </c>
      <c r="L949" s="237"/>
      <c r="M949" s="237"/>
      <c r="N949" s="237"/>
      <c r="O949" s="237"/>
      <c r="P949" s="237"/>
      <c r="Q949" s="237"/>
      <c r="R949" s="237"/>
      <c r="S949" s="237"/>
      <c r="T949" s="237"/>
      <c r="U949" s="237"/>
      <c r="V949" s="237"/>
      <c r="W949" s="237"/>
      <c r="X949" s="237"/>
      <c r="Y949" s="237"/>
      <c r="Z949" s="237"/>
      <c r="AA949" s="237"/>
      <c r="AB949" s="237"/>
    </row>
    <row r="950">
      <c r="A950" s="238">
        <v>949.0</v>
      </c>
      <c r="B950" s="239" t="s">
        <v>7571</v>
      </c>
      <c r="C950" s="240" t="s">
        <v>7572</v>
      </c>
      <c r="D950" s="236"/>
      <c r="E950" s="240" t="s">
        <v>3511</v>
      </c>
      <c r="F950" s="240" t="s">
        <v>7573</v>
      </c>
      <c r="G950" s="238" t="s">
        <v>7574</v>
      </c>
      <c r="H950" s="240" t="s">
        <v>7575</v>
      </c>
      <c r="I950" s="236"/>
      <c r="J950" s="238" t="s">
        <v>7103</v>
      </c>
      <c r="K950" s="239" t="s">
        <v>7571</v>
      </c>
      <c r="L950" s="237"/>
      <c r="M950" s="237"/>
      <c r="N950" s="237"/>
      <c r="O950" s="237"/>
      <c r="P950" s="237"/>
      <c r="Q950" s="237"/>
      <c r="R950" s="237"/>
      <c r="S950" s="237"/>
      <c r="T950" s="237"/>
      <c r="U950" s="237"/>
      <c r="V950" s="237"/>
      <c r="W950" s="237"/>
      <c r="X950" s="237"/>
      <c r="Y950" s="237"/>
      <c r="Z950" s="237"/>
      <c r="AA950" s="237"/>
      <c r="AB950" s="237"/>
    </row>
    <row r="951">
      <c r="A951" s="238">
        <v>950.0</v>
      </c>
      <c r="B951" s="239" t="s">
        <v>7576</v>
      </c>
      <c r="C951" s="240" t="s">
        <v>7577</v>
      </c>
      <c r="D951" s="236"/>
      <c r="E951" s="240" t="s">
        <v>3511</v>
      </c>
      <c r="F951" s="240" t="s">
        <v>7578</v>
      </c>
      <c r="G951" s="238" t="s">
        <v>7579</v>
      </c>
      <c r="H951" s="240" t="s">
        <v>7580</v>
      </c>
      <c r="I951" s="236"/>
      <c r="J951" s="238" t="s">
        <v>7103</v>
      </c>
      <c r="K951" s="239" t="s">
        <v>7576</v>
      </c>
      <c r="L951" s="237"/>
      <c r="M951" s="237"/>
      <c r="N951" s="237"/>
      <c r="O951" s="237"/>
      <c r="P951" s="237"/>
      <c r="Q951" s="237"/>
      <c r="R951" s="237"/>
      <c r="S951" s="237"/>
      <c r="T951" s="237"/>
      <c r="U951" s="237"/>
      <c r="V951" s="237"/>
      <c r="W951" s="237"/>
      <c r="X951" s="237"/>
      <c r="Y951" s="237"/>
      <c r="Z951" s="237"/>
      <c r="AA951" s="237"/>
      <c r="AB951" s="237"/>
    </row>
    <row r="952">
      <c r="A952" s="238">
        <v>951.0</v>
      </c>
      <c r="B952" s="239" t="s">
        <v>7581</v>
      </c>
      <c r="C952" s="240" t="s">
        <v>7582</v>
      </c>
      <c r="D952" s="236"/>
      <c r="E952" s="240" t="s">
        <v>3511</v>
      </c>
      <c r="F952" s="240" t="s">
        <v>7583</v>
      </c>
      <c r="G952" s="238" t="s">
        <v>7584</v>
      </c>
      <c r="H952" s="240" t="s">
        <v>7585</v>
      </c>
      <c r="I952" s="236"/>
      <c r="J952" s="238" t="s">
        <v>7103</v>
      </c>
      <c r="K952" s="239" t="s">
        <v>7581</v>
      </c>
      <c r="L952" s="237"/>
      <c r="M952" s="237"/>
      <c r="N952" s="237"/>
      <c r="O952" s="237"/>
      <c r="P952" s="237"/>
      <c r="Q952" s="237"/>
      <c r="R952" s="237"/>
      <c r="S952" s="237"/>
      <c r="T952" s="237"/>
      <c r="U952" s="237"/>
      <c r="V952" s="237"/>
      <c r="W952" s="237"/>
      <c r="X952" s="237"/>
      <c r="Y952" s="237"/>
      <c r="Z952" s="237"/>
      <c r="AA952" s="237"/>
      <c r="AB952" s="237"/>
    </row>
    <row r="953">
      <c r="A953" s="238">
        <v>952.0</v>
      </c>
      <c r="B953" s="242"/>
      <c r="C953" s="240" t="s">
        <v>7586</v>
      </c>
      <c r="D953" s="236"/>
      <c r="E953" s="240" t="s">
        <v>3496</v>
      </c>
      <c r="F953" s="240" t="s">
        <v>7587</v>
      </c>
      <c r="G953" s="238" t="s">
        <v>7588</v>
      </c>
      <c r="H953" s="236"/>
      <c r="I953" s="236"/>
      <c r="J953" s="238" t="s">
        <v>3986</v>
      </c>
      <c r="K953" s="242"/>
      <c r="L953" s="237"/>
      <c r="M953" s="237"/>
      <c r="N953" s="237"/>
      <c r="O953" s="237"/>
      <c r="P953" s="237"/>
      <c r="Q953" s="237"/>
      <c r="R953" s="237"/>
      <c r="S953" s="237"/>
      <c r="T953" s="237"/>
      <c r="U953" s="237"/>
      <c r="V953" s="237"/>
      <c r="W953" s="237"/>
      <c r="X953" s="237"/>
      <c r="Y953" s="237"/>
      <c r="Z953" s="237"/>
      <c r="AA953" s="237"/>
      <c r="AB953" s="237"/>
    </row>
    <row r="954">
      <c r="A954" s="238">
        <v>953.0</v>
      </c>
      <c r="B954" s="242"/>
      <c r="C954" s="240" t="s">
        <v>7589</v>
      </c>
      <c r="D954" s="236"/>
      <c r="E954" s="240" t="s">
        <v>3496</v>
      </c>
      <c r="F954" s="240" t="s">
        <v>7590</v>
      </c>
      <c r="G954" s="238" t="s">
        <v>7591</v>
      </c>
      <c r="H954" s="236"/>
      <c r="I954" s="236"/>
      <c r="J954" s="238" t="s">
        <v>3986</v>
      </c>
      <c r="K954" s="242"/>
      <c r="L954" s="237"/>
      <c r="M954" s="237"/>
      <c r="N954" s="237"/>
      <c r="O954" s="237"/>
      <c r="P954" s="237"/>
      <c r="Q954" s="237"/>
      <c r="R954" s="237"/>
      <c r="S954" s="237"/>
      <c r="T954" s="237"/>
      <c r="U954" s="237"/>
      <c r="V954" s="237"/>
      <c r="W954" s="237"/>
      <c r="X954" s="237"/>
      <c r="Y954" s="237"/>
      <c r="Z954" s="237"/>
      <c r="AA954" s="237"/>
      <c r="AB954" s="237"/>
    </row>
    <row r="955">
      <c r="A955" s="238">
        <v>954.0</v>
      </c>
      <c r="B955" s="242"/>
      <c r="C955" s="240" t="s">
        <v>7592</v>
      </c>
      <c r="D955" s="236"/>
      <c r="E955" s="240" t="s">
        <v>3511</v>
      </c>
      <c r="F955" s="240" t="s">
        <v>7593</v>
      </c>
      <c r="G955" s="238" t="s">
        <v>7594</v>
      </c>
      <c r="H955" s="236"/>
      <c r="I955" s="236"/>
      <c r="J955" s="238" t="s">
        <v>7103</v>
      </c>
      <c r="K955" s="242"/>
      <c r="L955" s="237"/>
      <c r="M955" s="237"/>
      <c r="N955" s="237"/>
      <c r="O955" s="237"/>
      <c r="P955" s="237"/>
      <c r="Q955" s="237"/>
      <c r="R955" s="237"/>
      <c r="S955" s="237"/>
      <c r="T955" s="237"/>
      <c r="U955" s="237"/>
      <c r="V955" s="237"/>
      <c r="W955" s="237"/>
      <c r="X955" s="237"/>
      <c r="Y955" s="237"/>
      <c r="Z955" s="237"/>
      <c r="AA955" s="237"/>
      <c r="AB955" s="237"/>
    </row>
    <row r="956">
      <c r="A956" s="238">
        <v>955.0</v>
      </c>
      <c r="B956" s="239" t="s">
        <v>7595</v>
      </c>
      <c r="C956" s="240" t="s">
        <v>7596</v>
      </c>
      <c r="D956" s="236"/>
      <c r="E956" s="240" t="s">
        <v>3511</v>
      </c>
      <c r="F956" s="240" t="s">
        <v>7597</v>
      </c>
      <c r="G956" s="238" t="s">
        <v>7598</v>
      </c>
      <c r="H956" s="240" t="s">
        <v>7599</v>
      </c>
      <c r="I956" s="236"/>
      <c r="J956" s="238" t="s">
        <v>7600</v>
      </c>
      <c r="K956" s="239" t="s">
        <v>7595</v>
      </c>
      <c r="L956" s="237"/>
      <c r="M956" s="237"/>
      <c r="N956" s="237"/>
      <c r="O956" s="237"/>
      <c r="P956" s="237"/>
      <c r="Q956" s="237"/>
      <c r="R956" s="237"/>
      <c r="S956" s="237"/>
      <c r="T956" s="237"/>
      <c r="U956" s="237"/>
      <c r="V956" s="237"/>
      <c r="W956" s="237"/>
      <c r="X956" s="237"/>
      <c r="Y956" s="237"/>
      <c r="Z956" s="237"/>
      <c r="AA956" s="237"/>
      <c r="AB956" s="237"/>
    </row>
    <row r="957">
      <c r="A957" s="238">
        <v>956.0</v>
      </c>
      <c r="B957" s="239" t="s">
        <v>7601</v>
      </c>
      <c r="C957" s="240" t="s">
        <v>7602</v>
      </c>
      <c r="D957" s="236"/>
      <c r="E957" s="240" t="s">
        <v>3511</v>
      </c>
      <c r="F957" s="240" t="s">
        <v>7603</v>
      </c>
      <c r="G957" s="238" t="s">
        <v>7604</v>
      </c>
      <c r="H957" s="236"/>
      <c r="I957" s="236"/>
      <c r="J957" s="238" t="s">
        <v>7600</v>
      </c>
      <c r="K957" s="239" t="s">
        <v>7601</v>
      </c>
      <c r="L957" s="237"/>
      <c r="M957" s="237"/>
      <c r="N957" s="237"/>
      <c r="O957" s="237"/>
      <c r="P957" s="237"/>
      <c r="Q957" s="237"/>
      <c r="R957" s="237"/>
      <c r="S957" s="237"/>
      <c r="T957" s="237"/>
      <c r="U957" s="237"/>
      <c r="V957" s="237"/>
      <c r="W957" s="237"/>
      <c r="X957" s="237"/>
      <c r="Y957" s="237"/>
      <c r="Z957" s="237"/>
      <c r="AA957" s="237"/>
      <c r="AB957" s="237"/>
    </row>
    <row r="958">
      <c r="A958" s="238">
        <v>957.0</v>
      </c>
      <c r="B958" s="239" t="s">
        <v>7605</v>
      </c>
      <c r="C958" s="240" t="s">
        <v>7606</v>
      </c>
      <c r="D958" s="236"/>
      <c r="E958" s="240" t="s">
        <v>3511</v>
      </c>
      <c r="F958" s="240" t="s">
        <v>7607</v>
      </c>
      <c r="G958" s="238" t="s">
        <v>7608</v>
      </c>
      <c r="H958" s="240" t="s">
        <v>7609</v>
      </c>
      <c r="I958" s="236"/>
      <c r="J958" s="238" t="s">
        <v>7600</v>
      </c>
      <c r="K958" s="239" t="s">
        <v>7605</v>
      </c>
      <c r="L958" s="237"/>
      <c r="M958" s="237"/>
      <c r="N958" s="237"/>
      <c r="O958" s="237"/>
      <c r="P958" s="237"/>
      <c r="Q958" s="237"/>
      <c r="R958" s="237"/>
      <c r="S958" s="237"/>
      <c r="T958" s="237"/>
      <c r="U958" s="237"/>
      <c r="V958" s="237"/>
      <c r="W958" s="237"/>
      <c r="X958" s="237"/>
      <c r="Y958" s="237"/>
      <c r="Z958" s="237"/>
      <c r="AA958" s="237"/>
      <c r="AB958" s="237"/>
    </row>
    <row r="959">
      <c r="A959" s="238">
        <v>958.0</v>
      </c>
      <c r="B959" s="239" t="s">
        <v>7610</v>
      </c>
      <c r="C959" s="240" t="s">
        <v>7611</v>
      </c>
      <c r="D959" s="236"/>
      <c r="E959" s="240" t="s">
        <v>3511</v>
      </c>
      <c r="F959" s="240" t="s">
        <v>7612</v>
      </c>
      <c r="G959" s="238" t="s">
        <v>7613</v>
      </c>
      <c r="H959" s="236"/>
      <c r="I959" s="236"/>
      <c r="J959" s="238" t="s">
        <v>7600</v>
      </c>
      <c r="K959" s="239" t="s">
        <v>7610</v>
      </c>
      <c r="L959" s="237"/>
      <c r="M959" s="237"/>
      <c r="N959" s="237"/>
      <c r="O959" s="237"/>
      <c r="P959" s="237"/>
      <c r="Q959" s="237"/>
      <c r="R959" s="237"/>
      <c r="S959" s="237"/>
      <c r="T959" s="237"/>
      <c r="U959" s="237"/>
      <c r="V959" s="237"/>
      <c r="W959" s="237"/>
      <c r="X959" s="237"/>
      <c r="Y959" s="237"/>
      <c r="Z959" s="237"/>
      <c r="AA959" s="237"/>
      <c r="AB959" s="237"/>
    </row>
    <row r="960">
      <c r="A960" s="238">
        <v>959.0</v>
      </c>
      <c r="B960" s="239" t="s">
        <v>7614</v>
      </c>
      <c r="C960" s="240" t="s">
        <v>7615</v>
      </c>
      <c r="D960" s="236"/>
      <c r="E960" s="240" t="s">
        <v>3511</v>
      </c>
      <c r="F960" s="240" t="s">
        <v>7616</v>
      </c>
      <c r="G960" s="238" t="s">
        <v>7617</v>
      </c>
      <c r="H960" s="240" t="s">
        <v>7618</v>
      </c>
      <c r="I960" s="236"/>
      <c r="J960" s="238" t="s">
        <v>7600</v>
      </c>
      <c r="K960" s="239" t="s">
        <v>7614</v>
      </c>
      <c r="L960" s="237"/>
      <c r="M960" s="237"/>
      <c r="N960" s="237"/>
      <c r="O960" s="237"/>
      <c r="P960" s="237"/>
      <c r="Q960" s="237"/>
      <c r="R960" s="237"/>
      <c r="S960" s="237"/>
      <c r="T960" s="237"/>
      <c r="U960" s="237"/>
      <c r="V960" s="237"/>
      <c r="W960" s="237"/>
      <c r="X960" s="237"/>
      <c r="Y960" s="237"/>
      <c r="Z960" s="237"/>
      <c r="AA960" s="237"/>
      <c r="AB960" s="237"/>
    </row>
    <row r="961">
      <c r="A961" s="238">
        <v>960.0</v>
      </c>
      <c r="B961" s="239" t="s">
        <v>7619</v>
      </c>
      <c r="C961" s="240" t="s">
        <v>7620</v>
      </c>
      <c r="D961" s="236"/>
      <c r="E961" s="240" t="s">
        <v>3511</v>
      </c>
      <c r="F961" s="240" t="s">
        <v>7621</v>
      </c>
      <c r="G961" s="238" t="s">
        <v>7622</v>
      </c>
      <c r="H961" s="240" t="s">
        <v>7623</v>
      </c>
      <c r="I961" s="236"/>
      <c r="J961" s="238" t="s">
        <v>7600</v>
      </c>
      <c r="K961" s="239" t="s">
        <v>7619</v>
      </c>
      <c r="L961" s="237"/>
      <c r="M961" s="237"/>
      <c r="N961" s="237"/>
      <c r="O961" s="237"/>
      <c r="P961" s="237"/>
      <c r="Q961" s="237"/>
      <c r="R961" s="237"/>
      <c r="S961" s="237"/>
      <c r="T961" s="237"/>
      <c r="U961" s="237"/>
      <c r="V961" s="237"/>
      <c r="W961" s="237"/>
      <c r="X961" s="237"/>
      <c r="Y961" s="237"/>
      <c r="Z961" s="237"/>
      <c r="AA961" s="237"/>
      <c r="AB961" s="237"/>
    </row>
    <row r="962">
      <c r="A962" s="238">
        <v>961.0</v>
      </c>
      <c r="B962" s="239" t="s">
        <v>7624</v>
      </c>
      <c r="C962" s="240" t="s">
        <v>7625</v>
      </c>
      <c r="D962" s="236"/>
      <c r="E962" s="240" t="s">
        <v>3511</v>
      </c>
      <c r="F962" s="240" t="s">
        <v>7626</v>
      </c>
      <c r="G962" s="238" t="s">
        <v>7627</v>
      </c>
      <c r="H962" s="240" t="s">
        <v>7628</v>
      </c>
      <c r="I962" s="236"/>
      <c r="J962" s="238" t="s">
        <v>7600</v>
      </c>
      <c r="K962" s="239" t="s">
        <v>7624</v>
      </c>
      <c r="L962" s="237"/>
      <c r="M962" s="237"/>
      <c r="N962" s="237"/>
      <c r="O962" s="237"/>
      <c r="P962" s="237"/>
      <c r="Q962" s="237"/>
      <c r="R962" s="237"/>
      <c r="S962" s="237"/>
      <c r="T962" s="237"/>
      <c r="U962" s="237"/>
      <c r="V962" s="237"/>
      <c r="W962" s="237"/>
      <c r="X962" s="237"/>
      <c r="Y962" s="237"/>
      <c r="Z962" s="237"/>
      <c r="AA962" s="237"/>
      <c r="AB962" s="237"/>
    </row>
    <row r="963">
      <c r="A963" s="238">
        <v>962.0</v>
      </c>
      <c r="B963" s="239" t="s">
        <v>7629</v>
      </c>
      <c r="C963" s="240" t="s">
        <v>7630</v>
      </c>
      <c r="D963" s="236"/>
      <c r="E963" s="240" t="s">
        <v>3511</v>
      </c>
      <c r="F963" s="240" t="s">
        <v>7631</v>
      </c>
      <c r="G963" s="238" t="s">
        <v>7632</v>
      </c>
      <c r="H963" s="240" t="s">
        <v>7633</v>
      </c>
      <c r="I963" s="236"/>
      <c r="J963" s="238" t="s">
        <v>7600</v>
      </c>
      <c r="K963" s="239" t="s">
        <v>7629</v>
      </c>
      <c r="L963" s="237"/>
      <c r="M963" s="237"/>
      <c r="N963" s="237"/>
      <c r="O963" s="237"/>
      <c r="P963" s="237"/>
      <c r="Q963" s="237"/>
      <c r="R963" s="237"/>
      <c r="S963" s="237"/>
      <c r="T963" s="237"/>
      <c r="U963" s="237"/>
      <c r="V963" s="237"/>
      <c r="W963" s="237"/>
      <c r="X963" s="237"/>
      <c r="Y963" s="237"/>
      <c r="Z963" s="237"/>
      <c r="AA963" s="237"/>
      <c r="AB963" s="237"/>
    </row>
    <row r="964">
      <c r="A964" s="238">
        <v>963.0</v>
      </c>
      <c r="B964" s="239" t="s">
        <v>7634</v>
      </c>
      <c r="C964" s="240" t="s">
        <v>7635</v>
      </c>
      <c r="D964" s="236"/>
      <c r="E964" s="240" t="s">
        <v>3511</v>
      </c>
      <c r="F964" s="240" t="s">
        <v>7636</v>
      </c>
      <c r="G964" s="238" t="s">
        <v>7637</v>
      </c>
      <c r="H964" s="240" t="s">
        <v>7638</v>
      </c>
      <c r="I964" s="236"/>
      <c r="J964" s="238" t="s">
        <v>7600</v>
      </c>
      <c r="K964" s="239" t="s">
        <v>7634</v>
      </c>
      <c r="L964" s="237"/>
      <c r="M964" s="237"/>
      <c r="N964" s="237"/>
      <c r="O964" s="237"/>
      <c r="P964" s="237"/>
      <c r="Q964" s="237"/>
      <c r="R964" s="237"/>
      <c r="S964" s="237"/>
      <c r="T964" s="237"/>
      <c r="U964" s="237"/>
      <c r="V964" s="237"/>
      <c r="W964" s="237"/>
      <c r="X964" s="237"/>
      <c r="Y964" s="237"/>
      <c r="Z964" s="237"/>
      <c r="AA964" s="237"/>
      <c r="AB964" s="237"/>
    </row>
    <row r="965">
      <c r="A965" s="238">
        <v>964.0</v>
      </c>
      <c r="B965" s="239" t="s">
        <v>7639</v>
      </c>
      <c r="C965" s="240" t="s">
        <v>7640</v>
      </c>
      <c r="D965" s="236"/>
      <c r="E965" s="240" t="s">
        <v>3511</v>
      </c>
      <c r="F965" s="241" t="s">
        <v>7641</v>
      </c>
      <c r="G965" s="238" t="s">
        <v>7642</v>
      </c>
      <c r="H965" s="240" t="s">
        <v>7643</v>
      </c>
      <c r="I965" s="236"/>
      <c r="J965" s="238" t="s">
        <v>7600</v>
      </c>
      <c r="K965" s="239" t="s">
        <v>7639</v>
      </c>
      <c r="L965" s="237"/>
      <c r="M965" s="237"/>
      <c r="N965" s="237"/>
      <c r="O965" s="237"/>
      <c r="P965" s="237"/>
      <c r="Q965" s="237"/>
      <c r="R965" s="237"/>
      <c r="S965" s="237"/>
      <c r="T965" s="237"/>
      <c r="U965" s="237"/>
      <c r="V965" s="237"/>
      <c r="W965" s="237"/>
      <c r="X965" s="237"/>
      <c r="Y965" s="237"/>
      <c r="Z965" s="237"/>
      <c r="AA965" s="237"/>
      <c r="AB965" s="237"/>
    </row>
    <row r="966">
      <c r="A966" s="238">
        <v>965.0</v>
      </c>
      <c r="B966" s="239" t="s">
        <v>7644</v>
      </c>
      <c r="C966" s="240" t="s">
        <v>7645</v>
      </c>
      <c r="D966" s="236"/>
      <c r="E966" s="240" t="s">
        <v>3511</v>
      </c>
      <c r="F966" s="240" t="s">
        <v>7646</v>
      </c>
      <c r="G966" s="238" t="s">
        <v>7647</v>
      </c>
      <c r="H966" s="240" t="s">
        <v>7648</v>
      </c>
      <c r="I966" s="236"/>
      <c r="J966" s="238" t="s">
        <v>7600</v>
      </c>
      <c r="K966" s="239" t="s">
        <v>7644</v>
      </c>
      <c r="L966" s="237"/>
      <c r="M966" s="237"/>
      <c r="N966" s="237"/>
      <c r="O966" s="237"/>
      <c r="P966" s="237"/>
      <c r="Q966" s="237"/>
      <c r="R966" s="237"/>
      <c r="S966" s="237"/>
      <c r="T966" s="237"/>
      <c r="U966" s="237"/>
      <c r="V966" s="237"/>
      <c r="W966" s="237"/>
      <c r="X966" s="237"/>
      <c r="Y966" s="237"/>
      <c r="Z966" s="237"/>
      <c r="AA966" s="237"/>
      <c r="AB966" s="237"/>
    </row>
    <row r="967">
      <c r="A967" s="238">
        <v>966.0</v>
      </c>
      <c r="B967" s="239" t="s">
        <v>7649</v>
      </c>
      <c r="C967" s="240" t="s">
        <v>7650</v>
      </c>
      <c r="D967" s="236"/>
      <c r="E967" s="240" t="s">
        <v>3511</v>
      </c>
      <c r="F967" s="241" t="s">
        <v>7651</v>
      </c>
      <c r="G967" s="238" t="s">
        <v>7652</v>
      </c>
      <c r="H967" s="240" t="s">
        <v>7653</v>
      </c>
      <c r="I967" s="236"/>
      <c r="J967" s="238" t="s">
        <v>7600</v>
      </c>
      <c r="K967" s="239" t="s">
        <v>7649</v>
      </c>
      <c r="L967" s="237"/>
      <c r="M967" s="237"/>
      <c r="N967" s="237"/>
      <c r="O967" s="237"/>
      <c r="P967" s="237"/>
      <c r="Q967" s="237"/>
      <c r="R967" s="237"/>
      <c r="S967" s="237"/>
      <c r="T967" s="237"/>
      <c r="U967" s="237"/>
      <c r="V967" s="237"/>
      <c r="W967" s="237"/>
      <c r="X967" s="237"/>
      <c r="Y967" s="237"/>
      <c r="Z967" s="237"/>
      <c r="AA967" s="237"/>
      <c r="AB967" s="237"/>
    </row>
    <row r="968">
      <c r="A968" s="238">
        <v>967.0</v>
      </c>
      <c r="B968" s="239" t="s">
        <v>7654</v>
      </c>
      <c r="C968" s="240" t="s">
        <v>7655</v>
      </c>
      <c r="D968" s="236"/>
      <c r="E968" s="240" t="s">
        <v>3511</v>
      </c>
      <c r="F968" s="241" t="s">
        <v>7656</v>
      </c>
      <c r="G968" s="238" t="s">
        <v>7657</v>
      </c>
      <c r="H968" s="240" t="s">
        <v>7658</v>
      </c>
      <c r="I968" s="236"/>
      <c r="J968" s="238" t="s">
        <v>7600</v>
      </c>
      <c r="K968" s="239" t="s">
        <v>7654</v>
      </c>
      <c r="L968" s="237"/>
      <c r="M968" s="237"/>
      <c r="N968" s="237"/>
      <c r="O968" s="237"/>
      <c r="P968" s="237"/>
      <c r="Q968" s="237"/>
      <c r="R968" s="237"/>
      <c r="S968" s="237"/>
      <c r="T968" s="237"/>
      <c r="U968" s="237"/>
      <c r="V968" s="237"/>
      <c r="W968" s="237"/>
      <c r="X968" s="237"/>
      <c r="Y968" s="237"/>
      <c r="Z968" s="237"/>
      <c r="AA968" s="237"/>
      <c r="AB968" s="237"/>
    </row>
    <row r="969">
      <c r="A969" s="238">
        <v>968.0</v>
      </c>
      <c r="B969" s="239" t="s">
        <v>7659</v>
      </c>
      <c r="C969" s="240" t="s">
        <v>7660</v>
      </c>
      <c r="D969" s="236"/>
      <c r="E969" s="240" t="s">
        <v>3511</v>
      </c>
      <c r="F969" s="240" t="s">
        <v>7661</v>
      </c>
      <c r="G969" s="238" t="s">
        <v>7662</v>
      </c>
      <c r="H969" s="240" t="s">
        <v>7663</v>
      </c>
      <c r="I969" s="236"/>
      <c r="J969" s="238" t="s">
        <v>7600</v>
      </c>
      <c r="K969" s="239" t="s">
        <v>7659</v>
      </c>
      <c r="L969" s="237"/>
      <c r="M969" s="237"/>
      <c r="N969" s="237"/>
      <c r="O969" s="237"/>
      <c r="P969" s="237"/>
      <c r="Q969" s="237"/>
      <c r="R969" s="237"/>
      <c r="S969" s="237"/>
      <c r="T969" s="237"/>
      <c r="U969" s="237"/>
      <c r="V969" s="237"/>
      <c r="W969" s="237"/>
      <c r="X969" s="237"/>
      <c r="Y969" s="237"/>
      <c r="Z969" s="237"/>
      <c r="AA969" s="237"/>
      <c r="AB969" s="237"/>
    </row>
    <row r="970">
      <c r="A970" s="238">
        <v>969.0</v>
      </c>
      <c r="B970" s="239" t="s">
        <v>7664</v>
      </c>
      <c r="C970" s="240" t="s">
        <v>7665</v>
      </c>
      <c r="D970" s="236"/>
      <c r="E970" s="240" t="s">
        <v>3511</v>
      </c>
      <c r="F970" s="240" t="s">
        <v>7666</v>
      </c>
      <c r="G970" s="238" t="s">
        <v>7667</v>
      </c>
      <c r="H970" s="240" t="s">
        <v>7668</v>
      </c>
      <c r="I970" s="236"/>
      <c r="J970" s="238" t="s">
        <v>7600</v>
      </c>
      <c r="K970" s="239" t="s">
        <v>7664</v>
      </c>
      <c r="L970" s="237"/>
      <c r="M970" s="237"/>
      <c r="N970" s="237"/>
      <c r="O970" s="237"/>
      <c r="P970" s="237"/>
      <c r="Q970" s="237"/>
      <c r="R970" s="237"/>
      <c r="S970" s="237"/>
      <c r="T970" s="237"/>
      <c r="U970" s="237"/>
      <c r="V970" s="237"/>
      <c r="W970" s="237"/>
      <c r="X970" s="237"/>
      <c r="Y970" s="237"/>
      <c r="Z970" s="237"/>
      <c r="AA970" s="237"/>
      <c r="AB970" s="237"/>
    </row>
    <row r="971">
      <c r="A971" s="238">
        <v>970.0</v>
      </c>
      <c r="B971" s="239" t="s">
        <v>7669</v>
      </c>
      <c r="C971" s="240" t="s">
        <v>7670</v>
      </c>
      <c r="D971" s="236"/>
      <c r="E971" s="240" t="s">
        <v>3511</v>
      </c>
      <c r="F971" s="240" t="s">
        <v>7671</v>
      </c>
      <c r="G971" s="238" t="s">
        <v>7672</v>
      </c>
      <c r="H971" s="240" t="s">
        <v>7673</v>
      </c>
      <c r="I971" s="236"/>
      <c r="J971" s="238" t="s">
        <v>7600</v>
      </c>
      <c r="K971" s="239" t="s">
        <v>7669</v>
      </c>
      <c r="L971" s="237"/>
      <c r="M971" s="237"/>
      <c r="N971" s="237"/>
      <c r="O971" s="237"/>
      <c r="P971" s="237"/>
      <c r="Q971" s="237"/>
      <c r="R971" s="237"/>
      <c r="S971" s="237"/>
      <c r="T971" s="237"/>
      <c r="U971" s="237"/>
      <c r="V971" s="237"/>
      <c r="W971" s="237"/>
      <c r="X971" s="237"/>
      <c r="Y971" s="237"/>
      <c r="Z971" s="237"/>
      <c r="AA971" s="237"/>
      <c r="AB971" s="237"/>
    </row>
    <row r="972">
      <c r="A972" s="238">
        <v>971.0</v>
      </c>
      <c r="B972" s="239" t="s">
        <v>7674</v>
      </c>
      <c r="C972" s="240" t="s">
        <v>7675</v>
      </c>
      <c r="D972" s="236"/>
      <c r="E972" s="240" t="s">
        <v>3511</v>
      </c>
      <c r="F972" s="240" t="s">
        <v>7676</v>
      </c>
      <c r="G972" s="238" t="s">
        <v>7677</v>
      </c>
      <c r="H972" s="240" t="s">
        <v>7678</v>
      </c>
      <c r="I972" s="236"/>
      <c r="J972" s="238" t="s">
        <v>7600</v>
      </c>
      <c r="K972" s="239" t="s">
        <v>7674</v>
      </c>
      <c r="L972" s="237"/>
      <c r="M972" s="237"/>
      <c r="N972" s="237"/>
      <c r="O972" s="237"/>
      <c r="P972" s="237"/>
      <c r="Q972" s="237"/>
      <c r="R972" s="237"/>
      <c r="S972" s="237"/>
      <c r="T972" s="237"/>
      <c r="U972" s="237"/>
      <c r="V972" s="237"/>
      <c r="W972" s="237"/>
      <c r="X972" s="237"/>
      <c r="Y972" s="237"/>
      <c r="Z972" s="237"/>
      <c r="AA972" s="237"/>
      <c r="AB972" s="237"/>
    </row>
    <row r="973">
      <c r="A973" s="238">
        <v>972.0</v>
      </c>
      <c r="B973" s="239" t="s">
        <v>7679</v>
      </c>
      <c r="C973" s="240" t="s">
        <v>7680</v>
      </c>
      <c r="D973" s="236"/>
      <c r="E973" s="240" t="s">
        <v>3511</v>
      </c>
      <c r="F973" s="240" t="s">
        <v>7681</v>
      </c>
      <c r="G973" s="238" t="s">
        <v>7682</v>
      </c>
      <c r="H973" s="240" t="s">
        <v>7683</v>
      </c>
      <c r="I973" s="236"/>
      <c r="J973" s="238" t="s">
        <v>7600</v>
      </c>
      <c r="K973" s="239" t="s">
        <v>7679</v>
      </c>
      <c r="L973" s="237"/>
      <c r="M973" s="237"/>
      <c r="N973" s="237"/>
      <c r="O973" s="237"/>
      <c r="P973" s="237"/>
      <c r="Q973" s="237"/>
      <c r="R973" s="237"/>
      <c r="S973" s="237"/>
      <c r="T973" s="237"/>
      <c r="U973" s="237"/>
      <c r="V973" s="237"/>
      <c r="W973" s="237"/>
      <c r="X973" s="237"/>
      <c r="Y973" s="237"/>
      <c r="Z973" s="237"/>
      <c r="AA973" s="237"/>
      <c r="AB973" s="237"/>
    </row>
    <row r="974">
      <c r="A974" s="238">
        <v>973.0</v>
      </c>
      <c r="B974" s="239" t="s">
        <v>7684</v>
      </c>
      <c r="C974" s="240" t="s">
        <v>7685</v>
      </c>
      <c r="D974" s="236"/>
      <c r="E974" s="240" t="s">
        <v>3511</v>
      </c>
      <c r="F974" s="240" t="s">
        <v>7686</v>
      </c>
      <c r="G974" s="238" t="s">
        <v>7687</v>
      </c>
      <c r="H974" s="240" t="s">
        <v>7688</v>
      </c>
      <c r="I974" s="236"/>
      <c r="J974" s="238" t="s">
        <v>7600</v>
      </c>
      <c r="K974" s="239" t="s">
        <v>7684</v>
      </c>
      <c r="L974" s="237"/>
      <c r="M974" s="237"/>
      <c r="N974" s="237"/>
      <c r="O974" s="237"/>
      <c r="P974" s="237"/>
      <c r="Q974" s="237"/>
      <c r="R974" s="237"/>
      <c r="S974" s="237"/>
      <c r="T974" s="237"/>
      <c r="U974" s="237"/>
      <c r="V974" s="237"/>
      <c r="W974" s="237"/>
      <c r="X974" s="237"/>
      <c r="Y974" s="237"/>
      <c r="Z974" s="237"/>
      <c r="AA974" s="237"/>
      <c r="AB974" s="237"/>
    </row>
    <row r="975">
      <c r="A975" s="238">
        <v>974.0</v>
      </c>
      <c r="B975" s="242"/>
      <c r="C975" s="240" t="s">
        <v>7689</v>
      </c>
      <c r="D975" s="236"/>
      <c r="E975" s="240" t="s">
        <v>3511</v>
      </c>
      <c r="F975" s="240" t="s">
        <v>7690</v>
      </c>
      <c r="G975" s="238" t="s">
        <v>7691</v>
      </c>
      <c r="H975" s="240" t="s">
        <v>7692</v>
      </c>
      <c r="I975" s="236"/>
      <c r="J975" s="238" t="s">
        <v>7600</v>
      </c>
      <c r="K975" s="242"/>
      <c r="L975" s="237"/>
      <c r="M975" s="237"/>
      <c r="N975" s="237"/>
      <c r="O975" s="237"/>
      <c r="P975" s="237"/>
      <c r="Q975" s="237"/>
      <c r="R975" s="237"/>
      <c r="S975" s="237"/>
      <c r="T975" s="237"/>
      <c r="U975" s="237"/>
      <c r="V975" s="237"/>
      <c r="W975" s="237"/>
      <c r="X975" s="237"/>
      <c r="Y975" s="237"/>
      <c r="Z975" s="237"/>
      <c r="AA975" s="237"/>
      <c r="AB975" s="237"/>
    </row>
    <row r="976">
      <c r="A976" s="238">
        <v>975.0</v>
      </c>
      <c r="B976" s="239" t="s">
        <v>7693</v>
      </c>
      <c r="C976" s="240" t="s">
        <v>7694</v>
      </c>
      <c r="D976" s="236"/>
      <c r="E976" s="240" t="s">
        <v>3511</v>
      </c>
      <c r="F976" s="240" t="s">
        <v>7695</v>
      </c>
      <c r="G976" s="238" t="s">
        <v>7696</v>
      </c>
      <c r="H976" s="240" t="s">
        <v>7697</v>
      </c>
      <c r="I976" s="236"/>
      <c r="J976" s="238" t="s">
        <v>7600</v>
      </c>
      <c r="K976" s="239" t="s">
        <v>7693</v>
      </c>
      <c r="L976" s="237"/>
      <c r="M976" s="237"/>
      <c r="N976" s="237"/>
      <c r="O976" s="237"/>
      <c r="P976" s="237"/>
      <c r="Q976" s="237"/>
      <c r="R976" s="237"/>
      <c r="S976" s="237"/>
      <c r="T976" s="237"/>
      <c r="U976" s="237"/>
      <c r="V976" s="237"/>
      <c r="W976" s="237"/>
      <c r="X976" s="237"/>
      <c r="Y976" s="237"/>
      <c r="Z976" s="237"/>
      <c r="AA976" s="237"/>
      <c r="AB976" s="237"/>
    </row>
    <row r="977">
      <c r="A977" s="238">
        <v>976.0</v>
      </c>
      <c r="B977" s="239" t="s">
        <v>7698</v>
      </c>
      <c r="C977" s="240" t="s">
        <v>7699</v>
      </c>
      <c r="D977" s="236"/>
      <c r="E977" s="240" t="s">
        <v>3511</v>
      </c>
      <c r="F977" s="240" t="s">
        <v>7700</v>
      </c>
      <c r="G977" s="238" t="s">
        <v>7701</v>
      </c>
      <c r="H977" s="240" t="s">
        <v>7702</v>
      </c>
      <c r="I977" s="236"/>
      <c r="J977" s="238" t="s">
        <v>7600</v>
      </c>
      <c r="K977" s="239" t="s">
        <v>7698</v>
      </c>
      <c r="L977" s="237"/>
      <c r="M977" s="237"/>
      <c r="N977" s="237"/>
      <c r="O977" s="237"/>
      <c r="P977" s="237"/>
      <c r="Q977" s="237"/>
      <c r="R977" s="237"/>
      <c r="S977" s="237"/>
      <c r="T977" s="237"/>
      <c r="U977" s="237"/>
      <c r="V977" s="237"/>
      <c r="W977" s="237"/>
      <c r="X977" s="237"/>
      <c r="Y977" s="237"/>
      <c r="Z977" s="237"/>
      <c r="AA977" s="237"/>
      <c r="AB977" s="237"/>
    </row>
    <row r="978">
      <c r="A978" s="238">
        <v>977.0</v>
      </c>
      <c r="B978" s="239" t="s">
        <v>7703</v>
      </c>
      <c r="C978" s="240" t="s">
        <v>7704</v>
      </c>
      <c r="D978" s="236"/>
      <c r="E978" s="240" t="s">
        <v>3511</v>
      </c>
      <c r="F978" s="240" t="s">
        <v>7705</v>
      </c>
      <c r="G978" s="238" t="s">
        <v>7706</v>
      </c>
      <c r="H978" s="240" t="s">
        <v>7707</v>
      </c>
      <c r="I978" s="236"/>
      <c r="J978" s="238" t="s">
        <v>7600</v>
      </c>
      <c r="K978" s="239" t="s">
        <v>7703</v>
      </c>
      <c r="L978" s="237"/>
      <c r="M978" s="237"/>
      <c r="N978" s="237"/>
      <c r="O978" s="237"/>
      <c r="P978" s="237"/>
      <c r="Q978" s="237"/>
      <c r="R978" s="237"/>
      <c r="S978" s="237"/>
      <c r="T978" s="237"/>
      <c r="U978" s="237"/>
      <c r="V978" s="237"/>
      <c r="W978" s="237"/>
      <c r="X978" s="237"/>
      <c r="Y978" s="237"/>
      <c r="Z978" s="237"/>
      <c r="AA978" s="237"/>
      <c r="AB978" s="237"/>
    </row>
    <row r="979">
      <c r="A979" s="238">
        <v>978.0</v>
      </c>
      <c r="B979" s="239" t="s">
        <v>7708</v>
      </c>
      <c r="C979" s="240" t="s">
        <v>7709</v>
      </c>
      <c r="D979" s="236"/>
      <c r="E979" s="240" t="s">
        <v>3511</v>
      </c>
      <c r="F979" s="240" t="s">
        <v>7710</v>
      </c>
      <c r="G979" s="238" t="s">
        <v>7711</v>
      </c>
      <c r="H979" s="240" t="s">
        <v>7712</v>
      </c>
      <c r="I979" s="236"/>
      <c r="J979" s="238" t="s">
        <v>7600</v>
      </c>
      <c r="K979" s="239" t="s">
        <v>7708</v>
      </c>
      <c r="L979" s="237"/>
      <c r="M979" s="237"/>
      <c r="N979" s="237"/>
      <c r="O979" s="237"/>
      <c r="P979" s="237"/>
      <c r="Q979" s="237"/>
      <c r="R979" s="237"/>
      <c r="S979" s="237"/>
      <c r="T979" s="237"/>
      <c r="U979" s="237"/>
      <c r="V979" s="237"/>
      <c r="W979" s="237"/>
      <c r="X979" s="237"/>
      <c r="Y979" s="237"/>
      <c r="Z979" s="237"/>
      <c r="AA979" s="237"/>
      <c r="AB979" s="237"/>
    </row>
    <row r="980">
      <c r="A980" s="238">
        <v>979.0</v>
      </c>
      <c r="B980" s="239" t="s">
        <v>7713</v>
      </c>
      <c r="C980" s="240" t="s">
        <v>7714</v>
      </c>
      <c r="D980" s="236"/>
      <c r="E980" s="240" t="s">
        <v>3511</v>
      </c>
      <c r="F980" s="240" t="s">
        <v>7715</v>
      </c>
      <c r="G980" s="238" t="s">
        <v>7716</v>
      </c>
      <c r="H980" s="240" t="s">
        <v>7717</v>
      </c>
      <c r="I980" s="236"/>
      <c r="J980" s="238" t="s">
        <v>7600</v>
      </c>
      <c r="K980" s="239" t="s">
        <v>7713</v>
      </c>
      <c r="L980" s="237"/>
      <c r="M980" s="237"/>
      <c r="N980" s="237"/>
      <c r="O980" s="237"/>
      <c r="P980" s="237"/>
      <c r="Q980" s="237"/>
      <c r="R980" s="237"/>
      <c r="S980" s="237"/>
      <c r="T980" s="237"/>
      <c r="U980" s="237"/>
      <c r="V980" s="237"/>
      <c r="W980" s="237"/>
      <c r="X980" s="237"/>
      <c r="Y980" s="237"/>
      <c r="Z980" s="237"/>
      <c r="AA980" s="237"/>
      <c r="AB980" s="237"/>
    </row>
    <row r="981">
      <c r="A981" s="238">
        <v>980.0</v>
      </c>
      <c r="B981" s="239" t="s">
        <v>7718</v>
      </c>
      <c r="C981" s="240" t="s">
        <v>7719</v>
      </c>
      <c r="D981" s="236"/>
      <c r="E981" s="240" t="s">
        <v>3511</v>
      </c>
      <c r="F981" s="241" t="s">
        <v>7720</v>
      </c>
      <c r="G981" s="238" t="s">
        <v>7721</v>
      </c>
      <c r="H981" s="240" t="s">
        <v>7722</v>
      </c>
      <c r="I981" s="236"/>
      <c r="J981" s="238" t="s">
        <v>4100</v>
      </c>
      <c r="K981" s="239" t="s">
        <v>7718</v>
      </c>
      <c r="L981" s="237"/>
      <c r="M981" s="237"/>
      <c r="N981" s="237"/>
      <c r="O981" s="237"/>
      <c r="P981" s="237"/>
      <c r="Q981" s="237"/>
      <c r="R981" s="237"/>
      <c r="S981" s="237"/>
      <c r="T981" s="237"/>
      <c r="U981" s="237"/>
      <c r="V981" s="237"/>
      <c r="W981" s="237"/>
      <c r="X981" s="237"/>
      <c r="Y981" s="237"/>
      <c r="Z981" s="237"/>
      <c r="AA981" s="237"/>
      <c r="AB981" s="237"/>
    </row>
    <row r="982">
      <c r="A982" s="238">
        <v>981.0</v>
      </c>
      <c r="B982" s="239" t="s">
        <v>7723</v>
      </c>
      <c r="C982" s="240" t="s">
        <v>7724</v>
      </c>
      <c r="D982" s="236"/>
      <c r="E982" s="240" t="s">
        <v>3511</v>
      </c>
      <c r="F982" s="241" t="s">
        <v>7725</v>
      </c>
      <c r="G982" s="238" t="s">
        <v>7726</v>
      </c>
      <c r="H982" s="240" t="s">
        <v>7727</v>
      </c>
      <c r="I982" s="236"/>
      <c r="J982" s="238" t="s">
        <v>4100</v>
      </c>
      <c r="K982" s="239" t="s">
        <v>7723</v>
      </c>
      <c r="L982" s="237"/>
      <c r="M982" s="237"/>
      <c r="N982" s="237"/>
      <c r="O982" s="237"/>
      <c r="P982" s="237"/>
      <c r="Q982" s="237"/>
      <c r="R982" s="237"/>
      <c r="S982" s="237"/>
      <c r="T982" s="237"/>
      <c r="U982" s="237"/>
      <c r="V982" s="237"/>
      <c r="W982" s="237"/>
      <c r="X982" s="237"/>
      <c r="Y982" s="237"/>
      <c r="Z982" s="237"/>
      <c r="AA982" s="237"/>
      <c r="AB982" s="237"/>
    </row>
    <row r="983">
      <c r="A983" s="238">
        <v>982.0</v>
      </c>
      <c r="B983" s="239" t="s">
        <v>7728</v>
      </c>
      <c r="C983" s="240" t="s">
        <v>7729</v>
      </c>
      <c r="D983" s="236"/>
      <c r="E983" s="240" t="s">
        <v>3511</v>
      </c>
      <c r="F983" s="241" t="s">
        <v>7730</v>
      </c>
      <c r="G983" s="238" t="s">
        <v>7731</v>
      </c>
      <c r="H983" s="240" t="s">
        <v>7732</v>
      </c>
      <c r="I983" s="236"/>
      <c r="J983" s="238" t="s">
        <v>4100</v>
      </c>
      <c r="K983" s="239" t="s">
        <v>7728</v>
      </c>
      <c r="L983" s="237"/>
      <c r="M983" s="237"/>
      <c r="N983" s="237"/>
      <c r="O983" s="237"/>
      <c r="P983" s="237"/>
      <c r="Q983" s="237"/>
      <c r="R983" s="237"/>
      <c r="S983" s="237"/>
      <c r="T983" s="237"/>
      <c r="U983" s="237"/>
      <c r="V983" s="237"/>
      <c r="W983" s="237"/>
      <c r="X983" s="237"/>
      <c r="Y983" s="237"/>
      <c r="Z983" s="237"/>
      <c r="AA983" s="237"/>
      <c r="AB983" s="237"/>
    </row>
    <row r="984">
      <c r="A984" s="238">
        <v>983.0</v>
      </c>
      <c r="B984" s="239" t="s">
        <v>7733</v>
      </c>
      <c r="C984" s="240" t="s">
        <v>7734</v>
      </c>
      <c r="D984" s="236"/>
      <c r="E984" s="240" t="s">
        <v>3511</v>
      </c>
      <c r="F984" s="241" t="s">
        <v>7735</v>
      </c>
      <c r="G984" s="238" t="s">
        <v>7736</v>
      </c>
      <c r="H984" s="240" t="s">
        <v>7737</v>
      </c>
      <c r="I984" s="236"/>
      <c r="J984" s="238" t="s">
        <v>4100</v>
      </c>
      <c r="K984" s="239" t="s">
        <v>7733</v>
      </c>
      <c r="L984" s="237"/>
      <c r="M984" s="237"/>
      <c r="N984" s="237"/>
      <c r="O984" s="237"/>
      <c r="P984" s="237"/>
      <c r="Q984" s="237"/>
      <c r="R984" s="237"/>
      <c r="S984" s="237"/>
      <c r="T984" s="237"/>
      <c r="U984" s="237"/>
      <c r="V984" s="237"/>
      <c r="W984" s="237"/>
      <c r="X984" s="237"/>
      <c r="Y984" s="237"/>
      <c r="Z984" s="237"/>
      <c r="AA984" s="237"/>
      <c r="AB984" s="237"/>
    </row>
    <row r="985">
      <c r="A985" s="238">
        <v>984.0</v>
      </c>
      <c r="B985" s="239" t="s">
        <v>7738</v>
      </c>
      <c r="C985" s="240" t="s">
        <v>7739</v>
      </c>
      <c r="D985" s="236"/>
      <c r="E985" s="240" t="s">
        <v>3511</v>
      </c>
      <c r="F985" s="241" t="s">
        <v>7740</v>
      </c>
      <c r="G985" s="238" t="s">
        <v>7741</v>
      </c>
      <c r="H985" s="240" t="s">
        <v>7742</v>
      </c>
      <c r="I985" s="236"/>
      <c r="J985" s="238" t="s">
        <v>4100</v>
      </c>
      <c r="K985" s="239" t="s">
        <v>7738</v>
      </c>
      <c r="L985" s="237"/>
      <c r="M985" s="237"/>
      <c r="N985" s="237"/>
      <c r="O985" s="237"/>
      <c r="P985" s="237"/>
      <c r="Q985" s="237"/>
      <c r="R985" s="237"/>
      <c r="S985" s="237"/>
      <c r="T985" s="237"/>
      <c r="U985" s="237"/>
      <c r="V985" s="237"/>
      <c r="W985" s="237"/>
      <c r="X985" s="237"/>
      <c r="Y985" s="237"/>
      <c r="Z985" s="237"/>
      <c r="AA985" s="237"/>
      <c r="AB985" s="237"/>
    </row>
    <row r="986">
      <c r="A986" s="238">
        <v>985.0</v>
      </c>
      <c r="B986" s="239" t="s">
        <v>7743</v>
      </c>
      <c r="C986" s="240" t="s">
        <v>7744</v>
      </c>
      <c r="D986" s="236"/>
      <c r="E986" s="240" t="s">
        <v>3511</v>
      </c>
      <c r="F986" s="241" t="s">
        <v>7745</v>
      </c>
      <c r="G986" s="238" t="s">
        <v>7746</v>
      </c>
      <c r="H986" s="240" t="s">
        <v>7747</v>
      </c>
      <c r="I986" s="236"/>
      <c r="J986" s="238" t="s">
        <v>4100</v>
      </c>
      <c r="K986" s="239" t="s">
        <v>7743</v>
      </c>
      <c r="L986" s="237"/>
      <c r="M986" s="237"/>
      <c r="N986" s="237"/>
      <c r="O986" s="237"/>
      <c r="P986" s="237"/>
      <c r="Q986" s="237"/>
      <c r="R986" s="237"/>
      <c r="S986" s="237"/>
      <c r="T986" s="237"/>
      <c r="U986" s="237"/>
      <c r="V986" s="237"/>
      <c r="W986" s="237"/>
      <c r="X986" s="237"/>
      <c r="Y986" s="237"/>
      <c r="Z986" s="237"/>
      <c r="AA986" s="237"/>
      <c r="AB986" s="237"/>
    </row>
    <row r="987">
      <c r="A987" s="238">
        <v>986.0</v>
      </c>
      <c r="B987" s="239" t="s">
        <v>7748</v>
      </c>
      <c r="C987" s="240" t="s">
        <v>7749</v>
      </c>
      <c r="D987" s="236"/>
      <c r="E987" s="240" t="s">
        <v>3511</v>
      </c>
      <c r="F987" s="240" t="s">
        <v>7750</v>
      </c>
      <c r="G987" s="238" t="s">
        <v>7751</v>
      </c>
      <c r="H987" s="240" t="s">
        <v>7752</v>
      </c>
      <c r="I987" s="236"/>
      <c r="J987" s="238" t="s">
        <v>4100</v>
      </c>
      <c r="K987" s="239" t="s">
        <v>7748</v>
      </c>
      <c r="L987" s="237"/>
      <c r="M987" s="237"/>
      <c r="N987" s="237"/>
      <c r="O987" s="237"/>
      <c r="P987" s="237"/>
      <c r="Q987" s="237"/>
      <c r="R987" s="237"/>
      <c r="S987" s="237"/>
      <c r="T987" s="237"/>
      <c r="U987" s="237"/>
      <c r="V987" s="237"/>
      <c r="W987" s="237"/>
      <c r="X987" s="237"/>
      <c r="Y987" s="237"/>
      <c r="Z987" s="237"/>
      <c r="AA987" s="237"/>
      <c r="AB987" s="237"/>
    </row>
    <row r="988">
      <c r="A988" s="238">
        <v>987.0</v>
      </c>
      <c r="B988" s="239" t="s">
        <v>7753</v>
      </c>
      <c r="C988" s="240" t="s">
        <v>7754</v>
      </c>
      <c r="D988" s="236"/>
      <c r="E988" s="240" t="s">
        <v>3511</v>
      </c>
      <c r="F988" s="241" t="s">
        <v>7755</v>
      </c>
      <c r="G988" s="238" t="s">
        <v>7756</v>
      </c>
      <c r="H988" s="240" t="s">
        <v>7757</v>
      </c>
      <c r="I988" s="236"/>
      <c r="J988" s="238" t="s">
        <v>4100</v>
      </c>
      <c r="K988" s="239" t="s">
        <v>7753</v>
      </c>
      <c r="L988" s="237"/>
      <c r="M988" s="237"/>
      <c r="N988" s="237"/>
      <c r="O988" s="237"/>
      <c r="P988" s="237"/>
      <c r="Q988" s="237"/>
      <c r="R988" s="237"/>
      <c r="S988" s="237"/>
      <c r="T988" s="237"/>
      <c r="U988" s="237"/>
      <c r="V988" s="237"/>
      <c r="W988" s="237"/>
      <c r="X988" s="237"/>
      <c r="Y988" s="237"/>
      <c r="Z988" s="237"/>
      <c r="AA988" s="237"/>
      <c r="AB988" s="237"/>
    </row>
    <row r="989">
      <c r="A989" s="238">
        <v>988.0</v>
      </c>
      <c r="B989" s="239" t="s">
        <v>7758</v>
      </c>
      <c r="C989" s="240" t="s">
        <v>7759</v>
      </c>
      <c r="D989" s="236"/>
      <c r="E989" s="240" t="s">
        <v>3511</v>
      </c>
      <c r="F989" s="241" t="s">
        <v>7760</v>
      </c>
      <c r="G989" s="238" t="s">
        <v>7761</v>
      </c>
      <c r="H989" s="240" t="s">
        <v>7762</v>
      </c>
      <c r="I989" s="236"/>
      <c r="J989" s="238" t="s">
        <v>4100</v>
      </c>
      <c r="K989" s="239" t="s">
        <v>7758</v>
      </c>
      <c r="L989" s="237"/>
      <c r="M989" s="237"/>
      <c r="N989" s="237"/>
      <c r="O989" s="237"/>
      <c r="P989" s="237"/>
      <c r="Q989" s="237"/>
      <c r="R989" s="237"/>
      <c r="S989" s="237"/>
      <c r="T989" s="237"/>
      <c r="U989" s="237"/>
      <c r="V989" s="237"/>
      <c r="W989" s="237"/>
      <c r="X989" s="237"/>
      <c r="Y989" s="237"/>
      <c r="Z989" s="237"/>
      <c r="AA989" s="237"/>
      <c r="AB989" s="237"/>
    </row>
    <row r="990">
      <c r="A990" s="238">
        <v>989.0</v>
      </c>
      <c r="B990" s="239" t="s">
        <v>7763</v>
      </c>
      <c r="C990" s="240" t="s">
        <v>7764</v>
      </c>
      <c r="D990" s="236"/>
      <c r="E990" s="240" t="s">
        <v>3511</v>
      </c>
      <c r="F990" s="241" t="s">
        <v>7765</v>
      </c>
      <c r="G990" s="238" t="s">
        <v>7766</v>
      </c>
      <c r="H990" s="240" t="s">
        <v>7767</v>
      </c>
      <c r="I990" s="236"/>
      <c r="J990" s="238" t="s">
        <v>4100</v>
      </c>
      <c r="K990" s="239" t="s">
        <v>7763</v>
      </c>
      <c r="L990" s="237"/>
      <c r="M990" s="237"/>
      <c r="N990" s="237"/>
      <c r="O990" s="237"/>
      <c r="P990" s="237"/>
      <c r="Q990" s="237"/>
      <c r="R990" s="237"/>
      <c r="S990" s="237"/>
      <c r="T990" s="237"/>
      <c r="U990" s="237"/>
      <c r="V990" s="237"/>
      <c r="W990" s="237"/>
      <c r="X990" s="237"/>
      <c r="Y990" s="237"/>
      <c r="Z990" s="237"/>
      <c r="AA990" s="237"/>
      <c r="AB990" s="237"/>
    </row>
    <row r="991">
      <c r="A991" s="238">
        <v>990.0</v>
      </c>
      <c r="B991" s="239" t="s">
        <v>7768</v>
      </c>
      <c r="C991" s="240" t="s">
        <v>7769</v>
      </c>
      <c r="D991" s="236"/>
      <c r="E991" s="240" t="s">
        <v>3511</v>
      </c>
      <c r="F991" s="241" t="s">
        <v>7770</v>
      </c>
      <c r="G991" s="238" t="s">
        <v>7771</v>
      </c>
      <c r="H991" s="240" t="s">
        <v>7772</v>
      </c>
      <c r="I991" s="236"/>
      <c r="J991" s="238" t="s">
        <v>4100</v>
      </c>
      <c r="K991" s="239" t="s">
        <v>7768</v>
      </c>
      <c r="L991" s="237"/>
      <c r="M991" s="237"/>
      <c r="N991" s="237"/>
      <c r="O991" s="237"/>
      <c r="P991" s="237"/>
      <c r="Q991" s="237"/>
      <c r="R991" s="237"/>
      <c r="S991" s="237"/>
      <c r="T991" s="237"/>
      <c r="U991" s="237"/>
      <c r="V991" s="237"/>
      <c r="W991" s="237"/>
      <c r="X991" s="237"/>
      <c r="Y991" s="237"/>
      <c r="Z991" s="237"/>
      <c r="AA991" s="237"/>
      <c r="AB991" s="237"/>
    </row>
    <row r="992">
      <c r="A992" s="238">
        <v>991.0</v>
      </c>
      <c r="B992" s="239" t="s">
        <v>7773</v>
      </c>
      <c r="C992" s="240" t="s">
        <v>7774</v>
      </c>
      <c r="D992" s="236"/>
      <c r="E992" s="240" t="s">
        <v>3511</v>
      </c>
      <c r="F992" s="241" t="s">
        <v>7775</v>
      </c>
      <c r="G992" s="238" t="s">
        <v>7776</v>
      </c>
      <c r="H992" s="240" t="s">
        <v>7777</v>
      </c>
      <c r="I992" s="236"/>
      <c r="J992" s="238" t="s">
        <v>4100</v>
      </c>
      <c r="K992" s="239" t="s">
        <v>7773</v>
      </c>
      <c r="L992" s="237"/>
      <c r="M992" s="237"/>
      <c r="N992" s="237"/>
      <c r="O992" s="237"/>
      <c r="P992" s="237"/>
      <c r="Q992" s="237"/>
      <c r="R992" s="237"/>
      <c r="S992" s="237"/>
      <c r="T992" s="237"/>
      <c r="U992" s="237"/>
      <c r="V992" s="237"/>
      <c r="W992" s="237"/>
      <c r="X992" s="237"/>
      <c r="Y992" s="237"/>
      <c r="Z992" s="237"/>
      <c r="AA992" s="237"/>
      <c r="AB992" s="237"/>
    </row>
    <row r="993">
      <c r="A993" s="238">
        <v>992.0</v>
      </c>
      <c r="B993" s="239" t="s">
        <v>7778</v>
      </c>
      <c r="C993" s="240" t="s">
        <v>7779</v>
      </c>
      <c r="D993" s="236"/>
      <c r="E993" s="240" t="s">
        <v>3511</v>
      </c>
      <c r="F993" s="240" t="s">
        <v>7780</v>
      </c>
      <c r="G993" s="238" t="s">
        <v>7781</v>
      </c>
      <c r="H993" s="240" t="s">
        <v>7782</v>
      </c>
      <c r="I993" s="236"/>
      <c r="J993" s="238" t="s">
        <v>4100</v>
      </c>
      <c r="K993" s="239" t="s">
        <v>7778</v>
      </c>
      <c r="L993" s="237"/>
      <c r="M993" s="237"/>
      <c r="N993" s="237"/>
      <c r="O993" s="237"/>
      <c r="P993" s="237"/>
      <c r="Q993" s="237"/>
      <c r="R993" s="237"/>
      <c r="S993" s="237"/>
      <c r="T993" s="237"/>
      <c r="U993" s="237"/>
      <c r="V993" s="237"/>
      <c r="W993" s="237"/>
      <c r="X993" s="237"/>
      <c r="Y993" s="237"/>
      <c r="Z993" s="237"/>
      <c r="AA993" s="237"/>
      <c r="AB993" s="237"/>
    </row>
    <row r="994">
      <c r="A994" s="238">
        <v>993.0</v>
      </c>
      <c r="B994" s="245" t="s">
        <v>7783</v>
      </c>
      <c r="C994" s="246" t="s">
        <v>7784</v>
      </c>
      <c r="D994" s="247"/>
      <c r="E994" s="240" t="s">
        <v>3511</v>
      </c>
      <c r="F994" s="248" t="s">
        <v>7785</v>
      </c>
      <c r="G994" s="243" t="s">
        <v>7786</v>
      </c>
      <c r="H994" s="241" t="s">
        <v>7787</v>
      </c>
      <c r="I994" s="236"/>
      <c r="J994" s="238" t="s">
        <v>4100</v>
      </c>
      <c r="K994" s="245" t="s">
        <v>7783</v>
      </c>
      <c r="L994" s="237"/>
      <c r="M994" s="237"/>
      <c r="N994" s="237"/>
      <c r="O994" s="237"/>
      <c r="P994" s="237"/>
      <c r="Q994" s="237"/>
      <c r="R994" s="237"/>
      <c r="S994" s="237"/>
      <c r="T994" s="237"/>
      <c r="U994" s="237"/>
      <c r="V994" s="237"/>
      <c r="W994" s="237"/>
      <c r="X994" s="237"/>
      <c r="Y994" s="237"/>
      <c r="Z994" s="237"/>
      <c r="AA994" s="237"/>
      <c r="AB994" s="237"/>
    </row>
    <row r="995">
      <c r="A995" s="238">
        <v>994.0</v>
      </c>
      <c r="B995" s="239" t="s">
        <v>7788</v>
      </c>
      <c r="C995" s="240" t="s">
        <v>7789</v>
      </c>
      <c r="D995" s="236"/>
      <c r="E995" s="241" t="s">
        <v>3511</v>
      </c>
      <c r="F995" s="240" t="s">
        <v>7790</v>
      </c>
      <c r="G995" s="238" t="s">
        <v>7791</v>
      </c>
      <c r="H995" s="240" t="s">
        <v>7792</v>
      </c>
      <c r="I995" s="236"/>
      <c r="J995" s="238" t="s">
        <v>4100</v>
      </c>
      <c r="K995" s="239" t="s">
        <v>7788</v>
      </c>
      <c r="L995" s="237"/>
      <c r="M995" s="237"/>
      <c r="N995" s="237"/>
      <c r="O995" s="237"/>
      <c r="P995" s="237"/>
      <c r="Q995" s="237"/>
      <c r="R995" s="237"/>
      <c r="S995" s="237"/>
      <c r="T995" s="237"/>
      <c r="U995" s="237"/>
      <c r="V995" s="237"/>
      <c r="W995" s="237"/>
      <c r="X995" s="237"/>
      <c r="Y995" s="237"/>
      <c r="Z995" s="237"/>
      <c r="AA995" s="237"/>
      <c r="AB995" s="237"/>
    </row>
    <row r="996">
      <c r="A996" s="238">
        <v>995.0</v>
      </c>
      <c r="B996" s="239" t="s">
        <v>7793</v>
      </c>
      <c r="C996" s="240" t="s">
        <v>7794</v>
      </c>
      <c r="D996" s="236"/>
      <c r="E996" s="240" t="s">
        <v>3511</v>
      </c>
      <c r="F996" s="240" t="s">
        <v>7795</v>
      </c>
      <c r="G996" s="238" t="s">
        <v>7796</v>
      </c>
      <c r="H996" s="240" t="s">
        <v>7797</v>
      </c>
      <c r="I996" s="236"/>
      <c r="J996" s="238" t="s">
        <v>4100</v>
      </c>
      <c r="K996" s="239" t="s">
        <v>7793</v>
      </c>
      <c r="L996" s="237"/>
      <c r="M996" s="237"/>
      <c r="N996" s="237"/>
      <c r="O996" s="237"/>
      <c r="P996" s="237"/>
      <c r="Q996" s="237"/>
      <c r="R996" s="237"/>
      <c r="S996" s="237"/>
      <c r="T996" s="237"/>
      <c r="U996" s="237"/>
      <c r="V996" s="237"/>
      <c r="W996" s="237"/>
      <c r="X996" s="237"/>
      <c r="Y996" s="237"/>
      <c r="Z996" s="237"/>
      <c r="AA996" s="237"/>
      <c r="AB996" s="237"/>
    </row>
    <row r="997">
      <c r="A997" s="238">
        <v>996.0</v>
      </c>
      <c r="B997" s="239" t="s">
        <v>7798</v>
      </c>
      <c r="C997" s="240" t="s">
        <v>7799</v>
      </c>
      <c r="D997" s="236"/>
      <c r="E997" s="240" t="s">
        <v>3511</v>
      </c>
      <c r="F997" s="240" t="s">
        <v>7800</v>
      </c>
      <c r="G997" s="238" t="s">
        <v>7801</v>
      </c>
      <c r="H997" s="240" t="s">
        <v>7802</v>
      </c>
      <c r="I997" s="236"/>
      <c r="J997" s="238" t="s">
        <v>4100</v>
      </c>
      <c r="K997" s="239" t="s">
        <v>7798</v>
      </c>
      <c r="L997" s="237"/>
      <c r="M997" s="237"/>
      <c r="N997" s="237"/>
      <c r="O997" s="237"/>
      <c r="P997" s="237"/>
      <c r="Q997" s="237"/>
      <c r="R997" s="237"/>
      <c r="S997" s="237"/>
      <c r="T997" s="237"/>
      <c r="U997" s="237"/>
      <c r="V997" s="237"/>
      <c r="W997" s="237"/>
      <c r="X997" s="237"/>
      <c r="Y997" s="237"/>
      <c r="Z997" s="237"/>
      <c r="AA997" s="237"/>
      <c r="AB997" s="237"/>
    </row>
    <row r="998">
      <c r="A998" s="238">
        <v>997.0</v>
      </c>
      <c r="B998" s="239" t="s">
        <v>7803</v>
      </c>
      <c r="C998" s="240" t="s">
        <v>7804</v>
      </c>
      <c r="D998" s="236"/>
      <c r="E998" s="240" t="s">
        <v>3511</v>
      </c>
      <c r="F998" s="241" t="s">
        <v>7805</v>
      </c>
      <c r="G998" s="238" t="s">
        <v>7806</v>
      </c>
      <c r="H998" s="240" t="s">
        <v>7807</v>
      </c>
      <c r="I998" s="236"/>
      <c r="J998" s="238" t="s">
        <v>4100</v>
      </c>
      <c r="K998" s="239" t="s">
        <v>7803</v>
      </c>
      <c r="L998" s="237"/>
      <c r="M998" s="237"/>
      <c r="N998" s="237"/>
      <c r="O998" s="237"/>
      <c r="P998" s="237"/>
      <c r="Q998" s="237"/>
      <c r="R998" s="237"/>
      <c r="S998" s="237"/>
      <c r="T998" s="237"/>
      <c r="U998" s="237"/>
      <c r="V998" s="237"/>
      <c r="W998" s="237"/>
      <c r="X998" s="237"/>
      <c r="Y998" s="237"/>
      <c r="Z998" s="237"/>
      <c r="AA998" s="237"/>
      <c r="AB998" s="237"/>
    </row>
    <row r="999">
      <c r="A999" s="238">
        <v>998.0</v>
      </c>
      <c r="B999" s="239" t="s">
        <v>7808</v>
      </c>
      <c r="C999" s="240" t="s">
        <v>7809</v>
      </c>
      <c r="D999" s="236"/>
      <c r="E999" s="240" t="s">
        <v>3511</v>
      </c>
      <c r="F999" s="240" t="s">
        <v>7810</v>
      </c>
      <c r="G999" s="238" t="s">
        <v>7811</v>
      </c>
      <c r="H999" s="240" t="s">
        <v>7812</v>
      </c>
      <c r="I999" s="236"/>
      <c r="J999" s="238" t="s">
        <v>3515</v>
      </c>
      <c r="K999" s="239" t="s">
        <v>7808</v>
      </c>
      <c r="L999" s="237"/>
      <c r="M999" s="237"/>
      <c r="N999" s="237"/>
      <c r="O999" s="237"/>
      <c r="P999" s="237"/>
      <c r="Q999" s="237"/>
      <c r="R999" s="237"/>
      <c r="S999" s="237"/>
      <c r="T999" s="237"/>
      <c r="U999" s="237"/>
      <c r="V999" s="237"/>
      <c r="W999" s="237"/>
      <c r="X999" s="237"/>
      <c r="Y999" s="237"/>
      <c r="Z999" s="237"/>
      <c r="AA999" s="237"/>
      <c r="AB999" s="237"/>
    </row>
    <row r="1000">
      <c r="A1000" s="238">
        <v>999.0</v>
      </c>
      <c r="B1000" s="239" t="s">
        <v>7813</v>
      </c>
      <c r="C1000" s="240" t="s">
        <v>7814</v>
      </c>
      <c r="D1000" s="236"/>
      <c r="E1000" s="240" t="s">
        <v>3511</v>
      </c>
      <c r="F1000" s="240" t="s">
        <v>7815</v>
      </c>
      <c r="G1000" s="238" t="s">
        <v>7816</v>
      </c>
      <c r="H1000" s="240" t="s">
        <v>7817</v>
      </c>
      <c r="I1000" s="236"/>
      <c r="J1000" s="238" t="s">
        <v>3515</v>
      </c>
      <c r="K1000" s="239" t="s">
        <v>7813</v>
      </c>
      <c r="L1000" s="237"/>
      <c r="M1000" s="237"/>
      <c r="N1000" s="237"/>
      <c r="O1000" s="237"/>
      <c r="P1000" s="237"/>
      <c r="Q1000" s="237"/>
      <c r="R1000" s="237"/>
      <c r="S1000" s="237"/>
      <c r="T1000" s="237"/>
      <c r="U1000" s="237"/>
      <c r="V1000" s="237"/>
      <c r="W1000" s="237"/>
      <c r="X1000" s="237"/>
      <c r="Y1000" s="237"/>
      <c r="Z1000" s="237"/>
      <c r="AA1000" s="237"/>
      <c r="AB1000" s="237"/>
    </row>
    <row r="1001">
      <c r="A1001" s="238">
        <v>1000.0</v>
      </c>
      <c r="B1001" s="239" t="s">
        <v>7818</v>
      </c>
      <c r="C1001" s="240" t="s">
        <v>7819</v>
      </c>
      <c r="D1001" s="236"/>
      <c r="E1001" s="240" t="s">
        <v>3511</v>
      </c>
      <c r="F1001" s="240" t="s">
        <v>7820</v>
      </c>
      <c r="G1001" s="238" t="s">
        <v>7821</v>
      </c>
      <c r="H1001" s="240" t="s">
        <v>7822</v>
      </c>
      <c r="I1001" s="236"/>
      <c r="J1001" s="238" t="s">
        <v>3515</v>
      </c>
      <c r="K1001" s="239" t="s">
        <v>7818</v>
      </c>
      <c r="L1001" s="237"/>
      <c r="M1001" s="237"/>
      <c r="N1001" s="237"/>
      <c r="O1001" s="237"/>
      <c r="P1001" s="237"/>
      <c r="Q1001" s="237"/>
      <c r="R1001" s="237"/>
      <c r="S1001" s="237"/>
      <c r="T1001" s="237"/>
      <c r="U1001" s="237"/>
      <c r="V1001" s="237"/>
      <c r="W1001" s="237"/>
      <c r="X1001" s="237"/>
      <c r="Y1001" s="237"/>
      <c r="Z1001" s="237"/>
      <c r="AA1001" s="237"/>
      <c r="AB1001" s="237"/>
    </row>
    <row r="1002">
      <c r="A1002" s="238">
        <v>1001.0</v>
      </c>
      <c r="B1002" s="239" t="s">
        <v>7823</v>
      </c>
      <c r="C1002" s="240" t="s">
        <v>7824</v>
      </c>
      <c r="D1002" s="236"/>
      <c r="E1002" s="240" t="s">
        <v>3511</v>
      </c>
      <c r="F1002" s="240" t="s">
        <v>7825</v>
      </c>
      <c r="G1002" s="238" t="s">
        <v>7826</v>
      </c>
      <c r="H1002" s="240" t="s">
        <v>7827</v>
      </c>
      <c r="I1002" s="236"/>
      <c r="J1002" s="238" t="s">
        <v>3515</v>
      </c>
      <c r="K1002" s="239" t="s">
        <v>7823</v>
      </c>
      <c r="L1002" s="237"/>
      <c r="M1002" s="237"/>
      <c r="N1002" s="237"/>
      <c r="O1002" s="237"/>
      <c r="P1002" s="237"/>
      <c r="Q1002" s="237"/>
      <c r="R1002" s="237"/>
      <c r="S1002" s="237"/>
      <c r="T1002" s="237"/>
      <c r="U1002" s="237"/>
      <c r="V1002" s="237"/>
      <c r="W1002" s="237"/>
      <c r="X1002" s="237"/>
      <c r="Y1002" s="237"/>
      <c r="Z1002" s="237"/>
      <c r="AA1002" s="237"/>
      <c r="AB1002" s="237"/>
    </row>
    <row r="1003">
      <c r="A1003" s="238">
        <v>1002.0</v>
      </c>
      <c r="B1003" s="239" t="s">
        <v>7828</v>
      </c>
      <c r="C1003" s="240" t="s">
        <v>7829</v>
      </c>
      <c r="D1003" s="236"/>
      <c r="E1003" s="240" t="s">
        <v>3511</v>
      </c>
      <c r="F1003" s="240" t="s">
        <v>7830</v>
      </c>
      <c r="G1003" s="238" t="s">
        <v>7831</v>
      </c>
      <c r="H1003" s="240" t="s">
        <v>7832</v>
      </c>
      <c r="I1003" s="236"/>
      <c r="J1003" s="238" t="s">
        <v>3515</v>
      </c>
      <c r="K1003" s="239" t="s">
        <v>7828</v>
      </c>
      <c r="L1003" s="237"/>
      <c r="M1003" s="237"/>
      <c r="N1003" s="237"/>
      <c r="O1003" s="237"/>
      <c r="P1003" s="237"/>
      <c r="Q1003" s="237"/>
      <c r="R1003" s="237"/>
      <c r="S1003" s="237"/>
      <c r="T1003" s="237"/>
      <c r="U1003" s="237"/>
      <c r="V1003" s="237"/>
      <c r="W1003" s="237"/>
      <c r="X1003" s="237"/>
      <c r="Y1003" s="237"/>
      <c r="Z1003" s="237"/>
      <c r="AA1003" s="237"/>
      <c r="AB1003" s="237"/>
    </row>
    <row r="1004">
      <c r="A1004" s="238">
        <v>1003.0</v>
      </c>
      <c r="B1004" s="239" t="s">
        <v>7833</v>
      </c>
      <c r="C1004" s="240" t="s">
        <v>7834</v>
      </c>
      <c r="D1004" s="236"/>
      <c r="E1004" s="240" t="s">
        <v>3511</v>
      </c>
      <c r="F1004" s="240" t="s">
        <v>7835</v>
      </c>
      <c r="G1004" s="238" t="s">
        <v>7836</v>
      </c>
      <c r="H1004" s="240" t="s">
        <v>7837</v>
      </c>
      <c r="I1004" s="236"/>
      <c r="J1004" s="238" t="s">
        <v>3515</v>
      </c>
      <c r="K1004" s="239" t="s">
        <v>7833</v>
      </c>
      <c r="L1004" s="237"/>
      <c r="M1004" s="237"/>
      <c r="N1004" s="237"/>
      <c r="O1004" s="237"/>
      <c r="P1004" s="237"/>
      <c r="Q1004" s="237"/>
      <c r="R1004" s="237"/>
      <c r="S1004" s="237"/>
      <c r="T1004" s="237"/>
      <c r="U1004" s="237"/>
      <c r="V1004" s="237"/>
      <c r="W1004" s="237"/>
      <c r="X1004" s="237"/>
      <c r="Y1004" s="237"/>
      <c r="Z1004" s="237"/>
      <c r="AA1004" s="237"/>
      <c r="AB1004" s="237"/>
    </row>
    <row r="1005">
      <c r="A1005" s="238">
        <v>1004.0</v>
      </c>
      <c r="B1005" s="239" t="s">
        <v>7838</v>
      </c>
      <c r="C1005" s="240" t="s">
        <v>7839</v>
      </c>
      <c r="D1005" s="236"/>
      <c r="E1005" s="240" t="s">
        <v>3511</v>
      </c>
      <c r="F1005" s="240" t="s">
        <v>7840</v>
      </c>
      <c r="G1005" s="238" t="s">
        <v>7841</v>
      </c>
      <c r="H1005" s="240" t="s">
        <v>7842</v>
      </c>
      <c r="I1005" s="236"/>
      <c r="J1005" s="238" t="s">
        <v>3515</v>
      </c>
      <c r="K1005" s="239" t="s">
        <v>7838</v>
      </c>
      <c r="L1005" s="237"/>
      <c r="M1005" s="237"/>
      <c r="N1005" s="237"/>
      <c r="O1005" s="237"/>
      <c r="P1005" s="237"/>
      <c r="Q1005" s="237"/>
      <c r="R1005" s="237"/>
      <c r="S1005" s="237"/>
      <c r="T1005" s="237"/>
      <c r="U1005" s="237"/>
      <c r="V1005" s="237"/>
      <c r="W1005" s="237"/>
      <c r="X1005" s="237"/>
      <c r="Y1005" s="237"/>
      <c r="Z1005" s="237"/>
      <c r="AA1005" s="237"/>
      <c r="AB1005" s="237"/>
    </row>
    <row r="1006">
      <c r="A1006" s="238">
        <v>1005.0</v>
      </c>
      <c r="B1006" s="239" t="s">
        <v>7843</v>
      </c>
      <c r="C1006" s="240" t="s">
        <v>7844</v>
      </c>
      <c r="D1006" s="236"/>
      <c r="E1006" s="240" t="s">
        <v>3511</v>
      </c>
      <c r="F1006" s="240" t="s">
        <v>7845</v>
      </c>
      <c r="G1006" s="238" t="s">
        <v>7846</v>
      </c>
      <c r="H1006" s="240" t="s">
        <v>7847</v>
      </c>
      <c r="I1006" s="236"/>
      <c r="J1006" s="238" t="s">
        <v>3515</v>
      </c>
      <c r="K1006" s="239" t="s">
        <v>7843</v>
      </c>
      <c r="L1006" s="237"/>
      <c r="M1006" s="237"/>
      <c r="N1006" s="237"/>
      <c r="O1006" s="237"/>
      <c r="P1006" s="237"/>
      <c r="Q1006" s="237"/>
      <c r="R1006" s="237"/>
      <c r="S1006" s="237"/>
      <c r="T1006" s="237"/>
      <c r="U1006" s="237"/>
      <c r="V1006" s="237"/>
      <c r="W1006" s="237"/>
      <c r="X1006" s="237"/>
      <c r="Y1006" s="237"/>
      <c r="Z1006" s="237"/>
      <c r="AA1006" s="237"/>
      <c r="AB1006" s="237"/>
    </row>
    <row r="1007">
      <c r="A1007" s="238">
        <v>1006.0</v>
      </c>
      <c r="B1007" s="239" t="s">
        <v>7848</v>
      </c>
      <c r="C1007" s="240" t="s">
        <v>7849</v>
      </c>
      <c r="D1007" s="236"/>
      <c r="E1007" s="240" t="s">
        <v>3511</v>
      </c>
      <c r="F1007" s="240" t="s">
        <v>7850</v>
      </c>
      <c r="G1007" s="238" t="s">
        <v>7851</v>
      </c>
      <c r="H1007" s="240" t="s">
        <v>7852</v>
      </c>
      <c r="I1007" s="236"/>
      <c r="J1007" s="238" t="s">
        <v>3515</v>
      </c>
      <c r="K1007" s="239" t="s">
        <v>7848</v>
      </c>
      <c r="L1007" s="237"/>
      <c r="M1007" s="237"/>
      <c r="N1007" s="237"/>
      <c r="O1007" s="237"/>
      <c r="P1007" s="237"/>
      <c r="Q1007" s="237"/>
      <c r="R1007" s="237"/>
      <c r="S1007" s="237"/>
      <c r="T1007" s="237"/>
      <c r="U1007" s="237"/>
      <c r="V1007" s="237"/>
      <c r="W1007" s="237"/>
      <c r="X1007" s="237"/>
      <c r="Y1007" s="237"/>
      <c r="Z1007" s="237"/>
      <c r="AA1007" s="237"/>
      <c r="AB1007" s="237"/>
    </row>
    <row r="1008">
      <c r="A1008" s="238">
        <v>1007.0</v>
      </c>
      <c r="B1008" s="242"/>
      <c r="C1008" s="240" t="s">
        <v>7853</v>
      </c>
      <c r="D1008" s="236"/>
      <c r="E1008" s="240" t="s">
        <v>3511</v>
      </c>
      <c r="F1008" s="240" t="s">
        <v>7854</v>
      </c>
      <c r="G1008" s="238" t="s">
        <v>7855</v>
      </c>
      <c r="H1008" s="240" t="s">
        <v>7856</v>
      </c>
      <c r="I1008" s="236"/>
      <c r="J1008" s="238" t="s">
        <v>3658</v>
      </c>
      <c r="K1008" s="242"/>
      <c r="L1008" s="237"/>
      <c r="M1008" s="237"/>
      <c r="N1008" s="237"/>
      <c r="O1008" s="237"/>
      <c r="P1008" s="237"/>
      <c r="Q1008" s="237"/>
      <c r="R1008" s="237"/>
      <c r="S1008" s="237"/>
      <c r="T1008" s="237"/>
      <c r="U1008" s="237"/>
      <c r="V1008" s="237"/>
      <c r="W1008" s="237"/>
      <c r="X1008" s="237"/>
      <c r="Y1008" s="237"/>
      <c r="Z1008" s="237"/>
      <c r="AA1008" s="237"/>
      <c r="AB1008" s="237"/>
    </row>
    <row r="1009">
      <c r="A1009" s="238">
        <v>1008.0</v>
      </c>
      <c r="B1009" s="242"/>
      <c r="C1009" s="240" t="s">
        <v>7857</v>
      </c>
      <c r="D1009" s="236"/>
      <c r="E1009" s="240" t="s">
        <v>3511</v>
      </c>
      <c r="F1009" s="240" t="s">
        <v>7858</v>
      </c>
      <c r="G1009" s="238" t="s">
        <v>7859</v>
      </c>
      <c r="H1009" s="240" t="s">
        <v>7860</v>
      </c>
      <c r="I1009" s="236"/>
      <c r="J1009" s="238" t="s">
        <v>3658</v>
      </c>
      <c r="K1009" s="242"/>
      <c r="L1009" s="237"/>
      <c r="M1009" s="237"/>
      <c r="N1009" s="237"/>
      <c r="O1009" s="237"/>
      <c r="P1009" s="237"/>
      <c r="Q1009" s="237"/>
      <c r="R1009" s="237"/>
      <c r="S1009" s="237"/>
      <c r="T1009" s="237"/>
      <c r="U1009" s="237"/>
      <c r="V1009" s="237"/>
      <c r="W1009" s="237"/>
      <c r="X1009" s="237"/>
      <c r="Y1009" s="237"/>
      <c r="Z1009" s="237"/>
      <c r="AA1009" s="237"/>
      <c r="AB1009" s="237"/>
    </row>
    <row r="1010">
      <c r="A1010" s="238">
        <v>1009.0</v>
      </c>
      <c r="B1010" s="242"/>
      <c r="C1010" s="240" t="s">
        <v>7861</v>
      </c>
      <c r="D1010" s="236"/>
      <c r="E1010" s="240" t="s">
        <v>3511</v>
      </c>
      <c r="F1010" s="240" t="s">
        <v>7862</v>
      </c>
      <c r="G1010" s="238" t="s">
        <v>7863</v>
      </c>
      <c r="H1010" s="240" t="s">
        <v>7864</v>
      </c>
      <c r="I1010" s="236"/>
      <c r="J1010" s="238" t="s">
        <v>3658</v>
      </c>
      <c r="K1010" s="242"/>
      <c r="L1010" s="237"/>
      <c r="M1010" s="237"/>
      <c r="N1010" s="237"/>
      <c r="O1010" s="237"/>
      <c r="P1010" s="237"/>
      <c r="Q1010" s="237"/>
      <c r="R1010" s="237"/>
      <c r="S1010" s="237"/>
      <c r="T1010" s="237"/>
      <c r="U1010" s="237"/>
      <c r="V1010" s="237"/>
      <c r="W1010" s="237"/>
      <c r="X1010" s="237"/>
      <c r="Y1010" s="237"/>
      <c r="Z1010" s="237"/>
      <c r="AA1010" s="237"/>
      <c r="AB1010" s="237"/>
    </row>
    <row r="1011">
      <c r="A1011" s="238">
        <v>1010.0</v>
      </c>
      <c r="B1011" s="242"/>
      <c r="C1011" s="240" t="s">
        <v>7865</v>
      </c>
      <c r="D1011" s="236"/>
      <c r="E1011" s="240" t="s">
        <v>3511</v>
      </c>
      <c r="F1011" s="240" t="s">
        <v>7866</v>
      </c>
      <c r="G1011" s="238" t="s">
        <v>7867</v>
      </c>
      <c r="H1011" s="240" t="s">
        <v>7868</v>
      </c>
      <c r="I1011" s="236"/>
      <c r="J1011" s="238" t="s">
        <v>3658</v>
      </c>
      <c r="K1011" s="242"/>
      <c r="L1011" s="237"/>
      <c r="M1011" s="237"/>
      <c r="N1011" s="237"/>
      <c r="O1011" s="237"/>
      <c r="P1011" s="237"/>
      <c r="Q1011" s="237"/>
      <c r="R1011" s="237"/>
      <c r="S1011" s="237"/>
      <c r="T1011" s="237"/>
      <c r="U1011" s="237"/>
      <c r="V1011" s="237"/>
      <c r="W1011" s="237"/>
      <c r="X1011" s="237"/>
      <c r="Y1011" s="237"/>
      <c r="Z1011" s="237"/>
      <c r="AA1011" s="237"/>
      <c r="AB1011" s="237"/>
    </row>
    <row r="1012">
      <c r="A1012" s="238">
        <v>1011.0</v>
      </c>
      <c r="B1012" s="242"/>
      <c r="C1012" s="240" t="s">
        <v>7869</v>
      </c>
      <c r="D1012" s="236"/>
      <c r="E1012" s="240" t="s">
        <v>3511</v>
      </c>
      <c r="F1012" s="240" t="s">
        <v>7870</v>
      </c>
      <c r="G1012" s="238" t="s">
        <v>7871</v>
      </c>
      <c r="H1012" s="240" t="s">
        <v>7872</v>
      </c>
      <c r="I1012" s="236"/>
      <c r="J1012" s="238" t="s">
        <v>3658</v>
      </c>
      <c r="K1012" s="242"/>
      <c r="L1012" s="237"/>
      <c r="M1012" s="237"/>
      <c r="N1012" s="237"/>
      <c r="O1012" s="237"/>
      <c r="P1012" s="237"/>
      <c r="Q1012" s="237"/>
      <c r="R1012" s="237"/>
      <c r="S1012" s="237"/>
      <c r="T1012" s="237"/>
      <c r="U1012" s="237"/>
      <c r="V1012" s="237"/>
      <c r="W1012" s="237"/>
      <c r="X1012" s="237"/>
      <c r="Y1012" s="237"/>
      <c r="Z1012" s="237"/>
      <c r="AA1012" s="237"/>
      <c r="AB1012" s="237"/>
    </row>
    <row r="1013">
      <c r="A1013" s="238">
        <v>1012.0</v>
      </c>
      <c r="B1013" s="242"/>
      <c r="C1013" s="240" t="s">
        <v>7873</v>
      </c>
      <c r="D1013" s="236"/>
      <c r="E1013" s="240" t="s">
        <v>3511</v>
      </c>
      <c r="F1013" s="240" t="s">
        <v>7874</v>
      </c>
      <c r="G1013" s="238" t="s">
        <v>7875</v>
      </c>
      <c r="H1013" s="240" t="s">
        <v>7876</v>
      </c>
      <c r="I1013" s="236"/>
      <c r="J1013" s="238" t="s">
        <v>3658</v>
      </c>
      <c r="K1013" s="242"/>
      <c r="L1013" s="237"/>
      <c r="M1013" s="237"/>
      <c r="N1013" s="237"/>
      <c r="O1013" s="237"/>
      <c r="P1013" s="237"/>
      <c r="Q1013" s="237"/>
      <c r="R1013" s="237"/>
      <c r="S1013" s="237"/>
      <c r="T1013" s="237"/>
      <c r="U1013" s="237"/>
      <c r="V1013" s="237"/>
      <c r="W1013" s="237"/>
      <c r="X1013" s="237"/>
      <c r="Y1013" s="237"/>
      <c r="Z1013" s="237"/>
      <c r="AA1013" s="237"/>
      <c r="AB1013" s="237"/>
    </row>
    <row r="1014">
      <c r="A1014" s="238">
        <v>1013.0</v>
      </c>
      <c r="B1014" s="242"/>
      <c r="C1014" s="240" t="s">
        <v>7877</v>
      </c>
      <c r="D1014" s="236"/>
      <c r="E1014" s="240" t="s">
        <v>3511</v>
      </c>
      <c r="F1014" s="240" t="s">
        <v>7878</v>
      </c>
      <c r="G1014" s="238" t="s">
        <v>7879</v>
      </c>
      <c r="H1014" s="240" t="s">
        <v>7880</v>
      </c>
      <c r="I1014" s="236"/>
      <c r="J1014" s="238" t="s">
        <v>3658</v>
      </c>
      <c r="K1014" s="242"/>
      <c r="L1014" s="237"/>
      <c r="M1014" s="237"/>
      <c r="N1014" s="237"/>
      <c r="O1014" s="237"/>
      <c r="P1014" s="237"/>
      <c r="Q1014" s="237"/>
      <c r="R1014" s="237"/>
      <c r="S1014" s="237"/>
      <c r="T1014" s="237"/>
      <c r="U1014" s="237"/>
      <c r="V1014" s="237"/>
      <c r="W1014" s="237"/>
      <c r="X1014" s="237"/>
      <c r="Y1014" s="237"/>
      <c r="Z1014" s="237"/>
      <c r="AA1014" s="237"/>
      <c r="AB1014" s="237"/>
    </row>
    <row r="1015">
      <c r="A1015" s="238">
        <v>1014.0</v>
      </c>
      <c r="B1015" s="242"/>
      <c r="C1015" s="240" t="s">
        <v>7881</v>
      </c>
      <c r="D1015" s="236"/>
      <c r="E1015" s="240" t="s">
        <v>3511</v>
      </c>
      <c r="F1015" s="240" t="s">
        <v>7882</v>
      </c>
      <c r="G1015" s="238" t="s">
        <v>7883</v>
      </c>
      <c r="H1015" s="240" t="s">
        <v>7884</v>
      </c>
      <c r="I1015" s="236"/>
      <c r="J1015" s="238" t="s">
        <v>3658</v>
      </c>
      <c r="K1015" s="242"/>
      <c r="L1015" s="237"/>
      <c r="M1015" s="237"/>
      <c r="N1015" s="237"/>
      <c r="O1015" s="237"/>
      <c r="P1015" s="237"/>
      <c r="Q1015" s="237"/>
      <c r="R1015" s="237"/>
      <c r="S1015" s="237"/>
      <c r="T1015" s="237"/>
      <c r="U1015" s="237"/>
      <c r="V1015" s="237"/>
      <c r="W1015" s="237"/>
      <c r="X1015" s="237"/>
      <c r="Y1015" s="237"/>
      <c r="Z1015" s="237"/>
      <c r="AA1015" s="237"/>
      <c r="AB1015" s="237"/>
    </row>
    <row r="1016">
      <c r="A1016" s="238">
        <v>1015.0</v>
      </c>
      <c r="B1016" s="242"/>
      <c r="C1016" s="240" t="s">
        <v>7885</v>
      </c>
      <c r="D1016" s="236"/>
      <c r="E1016" s="240" t="s">
        <v>3511</v>
      </c>
      <c r="F1016" s="240" t="s">
        <v>7886</v>
      </c>
      <c r="G1016" s="238" t="s">
        <v>7887</v>
      </c>
      <c r="H1016" s="240" t="s">
        <v>7888</v>
      </c>
      <c r="I1016" s="236"/>
      <c r="J1016" s="238" t="s">
        <v>3658</v>
      </c>
      <c r="K1016" s="242"/>
      <c r="L1016" s="237"/>
      <c r="M1016" s="237"/>
      <c r="N1016" s="237"/>
      <c r="O1016" s="237"/>
      <c r="P1016" s="237"/>
      <c r="Q1016" s="237"/>
      <c r="R1016" s="237"/>
      <c r="S1016" s="237"/>
      <c r="T1016" s="237"/>
      <c r="U1016" s="237"/>
      <c r="V1016" s="237"/>
      <c r="W1016" s="237"/>
      <c r="X1016" s="237"/>
      <c r="Y1016" s="237"/>
      <c r="Z1016" s="237"/>
      <c r="AA1016" s="237"/>
      <c r="AB1016" s="237"/>
    </row>
    <row r="1017">
      <c r="A1017" s="238">
        <v>1016.0</v>
      </c>
      <c r="B1017" s="242"/>
      <c r="C1017" s="240" t="s">
        <v>7889</v>
      </c>
      <c r="D1017" s="236"/>
      <c r="E1017" s="240" t="s">
        <v>3511</v>
      </c>
      <c r="F1017" s="240" t="s">
        <v>7890</v>
      </c>
      <c r="G1017" s="238" t="s">
        <v>7891</v>
      </c>
      <c r="H1017" s="240" t="s">
        <v>7892</v>
      </c>
      <c r="I1017" s="236"/>
      <c r="J1017" s="238" t="s">
        <v>3658</v>
      </c>
      <c r="K1017" s="242"/>
      <c r="L1017" s="237"/>
      <c r="M1017" s="237"/>
      <c r="N1017" s="237"/>
      <c r="O1017" s="237"/>
      <c r="P1017" s="237"/>
      <c r="Q1017" s="237"/>
      <c r="R1017" s="237"/>
      <c r="S1017" s="237"/>
      <c r="T1017" s="237"/>
      <c r="U1017" s="237"/>
      <c r="V1017" s="237"/>
      <c r="W1017" s="237"/>
      <c r="X1017" s="237"/>
      <c r="Y1017" s="237"/>
      <c r="Z1017" s="237"/>
      <c r="AA1017" s="237"/>
      <c r="AB1017" s="237"/>
    </row>
    <row r="1018">
      <c r="A1018" s="238">
        <v>1017.0</v>
      </c>
      <c r="B1018" s="242"/>
      <c r="C1018" s="240" t="s">
        <v>7893</v>
      </c>
      <c r="D1018" s="236"/>
      <c r="E1018" s="240" t="s">
        <v>3511</v>
      </c>
      <c r="F1018" s="240" t="s">
        <v>7894</v>
      </c>
      <c r="G1018" s="238" t="s">
        <v>7895</v>
      </c>
      <c r="H1018" s="240" t="s">
        <v>7896</v>
      </c>
      <c r="I1018" s="236"/>
      <c r="J1018" s="238" t="s">
        <v>3658</v>
      </c>
      <c r="K1018" s="242"/>
      <c r="L1018" s="237"/>
      <c r="M1018" s="237"/>
      <c r="N1018" s="237"/>
      <c r="O1018" s="237"/>
      <c r="P1018" s="237"/>
      <c r="Q1018" s="237"/>
      <c r="R1018" s="237"/>
      <c r="S1018" s="237"/>
      <c r="T1018" s="237"/>
      <c r="U1018" s="237"/>
      <c r="V1018" s="237"/>
      <c r="W1018" s="237"/>
      <c r="X1018" s="237"/>
      <c r="Y1018" s="237"/>
      <c r="Z1018" s="237"/>
      <c r="AA1018" s="237"/>
      <c r="AB1018" s="237"/>
    </row>
    <row r="1019">
      <c r="A1019" s="238">
        <v>1018.0</v>
      </c>
      <c r="B1019" s="242"/>
      <c r="C1019" s="240" t="s">
        <v>7897</v>
      </c>
      <c r="D1019" s="236"/>
      <c r="E1019" s="240" t="s">
        <v>3511</v>
      </c>
      <c r="F1019" s="240" t="s">
        <v>7898</v>
      </c>
      <c r="G1019" s="238" t="s">
        <v>7899</v>
      </c>
      <c r="H1019" s="240" t="s">
        <v>7900</v>
      </c>
      <c r="I1019" s="236"/>
      <c r="J1019" s="238" t="s">
        <v>3658</v>
      </c>
      <c r="K1019" s="242"/>
      <c r="L1019" s="237"/>
      <c r="M1019" s="237"/>
      <c r="N1019" s="237"/>
      <c r="O1019" s="237"/>
      <c r="P1019" s="237"/>
      <c r="Q1019" s="237"/>
      <c r="R1019" s="237"/>
      <c r="S1019" s="237"/>
      <c r="T1019" s="237"/>
      <c r="U1019" s="237"/>
      <c r="V1019" s="237"/>
      <c r="W1019" s="237"/>
      <c r="X1019" s="237"/>
      <c r="Y1019" s="237"/>
      <c r="Z1019" s="237"/>
      <c r="AA1019" s="237"/>
      <c r="AB1019" s="237"/>
    </row>
    <row r="1020">
      <c r="A1020" s="238">
        <v>1019.0</v>
      </c>
      <c r="B1020" s="239" t="s">
        <v>3653</v>
      </c>
      <c r="C1020" s="240" t="s">
        <v>7901</v>
      </c>
      <c r="D1020" s="236"/>
      <c r="E1020" s="240" t="s">
        <v>3511</v>
      </c>
      <c r="F1020" s="240" t="s">
        <v>7902</v>
      </c>
      <c r="G1020" s="238" t="s">
        <v>7903</v>
      </c>
      <c r="H1020" s="240" t="s">
        <v>7904</v>
      </c>
      <c r="I1020" s="236"/>
      <c r="J1020" s="238" t="s">
        <v>3658</v>
      </c>
      <c r="K1020" s="239" t="s">
        <v>3653</v>
      </c>
      <c r="L1020" s="237"/>
      <c r="M1020" s="237"/>
      <c r="N1020" s="237"/>
      <c r="O1020" s="237"/>
      <c r="P1020" s="237"/>
      <c r="Q1020" s="237"/>
      <c r="R1020" s="237"/>
      <c r="S1020" s="237"/>
      <c r="T1020" s="237"/>
      <c r="U1020" s="237"/>
      <c r="V1020" s="237"/>
      <c r="W1020" s="237"/>
      <c r="X1020" s="237"/>
      <c r="Y1020" s="237"/>
      <c r="Z1020" s="237"/>
      <c r="AA1020" s="237"/>
      <c r="AB1020" s="237"/>
    </row>
    <row r="1021">
      <c r="A1021" s="238">
        <v>1020.0</v>
      </c>
      <c r="B1021" s="242"/>
      <c r="C1021" s="240" t="s">
        <v>7905</v>
      </c>
      <c r="D1021" s="236"/>
      <c r="E1021" s="240" t="s">
        <v>3511</v>
      </c>
      <c r="F1021" s="240" t="s">
        <v>7906</v>
      </c>
      <c r="G1021" s="238" t="s">
        <v>7907</v>
      </c>
      <c r="H1021" s="240" t="s">
        <v>7908</v>
      </c>
      <c r="I1021" s="236"/>
      <c r="J1021" s="238" t="s">
        <v>3658</v>
      </c>
      <c r="K1021" s="242"/>
      <c r="L1021" s="237"/>
      <c r="M1021" s="237"/>
      <c r="N1021" s="237"/>
      <c r="O1021" s="237"/>
      <c r="P1021" s="237"/>
      <c r="Q1021" s="237"/>
      <c r="R1021" s="237"/>
      <c r="S1021" s="237"/>
      <c r="T1021" s="237"/>
      <c r="U1021" s="237"/>
      <c r="V1021" s="237"/>
      <c r="W1021" s="237"/>
      <c r="X1021" s="237"/>
      <c r="Y1021" s="237"/>
      <c r="Z1021" s="237"/>
      <c r="AA1021" s="237"/>
      <c r="AB1021" s="237"/>
    </row>
    <row r="1022">
      <c r="A1022" s="238">
        <v>1021.0</v>
      </c>
      <c r="B1022" s="239" t="s">
        <v>7909</v>
      </c>
      <c r="C1022" s="240" t="s">
        <v>7910</v>
      </c>
      <c r="D1022" s="236"/>
      <c r="E1022" s="240" t="s">
        <v>3511</v>
      </c>
      <c r="F1022" s="240" t="s">
        <v>7911</v>
      </c>
      <c r="G1022" s="238" t="s">
        <v>7912</v>
      </c>
      <c r="H1022" s="240" t="s">
        <v>7913</v>
      </c>
      <c r="I1022" s="236"/>
      <c r="J1022" s="238" t="s">
        <v>3658</v>
      </c>
      <c r="K1022" s="239" t="s">
        <v>7909</v>
      </c>
      <c r="L1022" s="237"/>
      <c r="M1022" s="237"/>
      <c r="N1022" s="237"/>
      <c r="O1022" s="237"/>
      <c r="P1022" s="237"/>
      <c r="Q1022" s="237"/>
      <c r="R1022" s="237"/>
      <c r="S1022" s="237"/>
      <c r="T1022" s="237"/>
      <c r="U1022" s="237"/>
      <c r="V1022" s="237"/>
      <c r="W1022" s="237"/>
      <c r="X1022" s="237"/>
      <c r="Y1022" s="237"/>
      <c r="Z1022" s="237"/>
      <c r="AA1022" s="237"/>
      <c r="AB1022" s="237"/>
    </row>
    <row r="1023">
      <c r="A1023" s="238">
        <v>1022.0</v>
      </c>
      <c r="B1023" s="242"/>
      <c r="C1023" s="240" t="s">
        <v>7914</v>
      </c>
      <c r="D1023" s="236"/>
      <c r="E1023" s="240" t="s">
        <v>3511</v>
      </c>
      <c r="F1023" s="240" t="s">
        <v>7915</v>
      </c>
      <c r="G1023" s="238" t="s">
        <v>7916</v>
      </c>
      <c r="H1023" s="240" t="s">
        <v>7917</v>
      </c>
      <c r="I1023" s="236"/>
      <c r="J1023" s="238" t="s">
        <v>3658</v>
      </c>
      <c r="K1023" s="242"/>
      <c r="L1023" s="237"/>
      <c r="M1023" s="237"/>
      <c r="N1023" s="237"/>
      <c r="O1023" s="237"/>
      <c r="P1023" s="237"/>
      <c r="Q1023" s="237"/>
      <c r="R1023" s="237"/>
      <c r="S1023" s="237"/>
      <c r="T1023" s="237"/>
      <c r="U1023" s="237"/>
      <c r="V1023" s="237"/>
      <c r="W1023" s="237"/>
      <c r="X1023" s="237"/>
      <c r="Y1023" s="237"/>
      <c r="Z1023" s="237"/>
      <c r="AA1023" s="237"/>
      <c r="AB1023" s="237"/>
    </row>
    <row r="1024">
      <c r="A1024" s="238">
        <v>1023.0</v>
      </c>
      <c r="B1024" s="239" t="s">
        <v>7918</v>
      </c>
      <c r="C1024" s="240" t="s">
        <v>7919</v>
      </c>
      <c r="D1024" s="236"/>
      <c r="E1024" s="240" t="s">
        <v>3511</v>
      </c>
      <c r="F1024" s="240" t="s">
        <v>7920</v>
      </c>
      <c r="G1024" s="238" t="s">
        <v>7921</v>
      </c>
      <c r="H1024" s="240" t="s">
        <v>7922</v>
      </c>
      <c r="I1024" s="236"/>
      <c r="J1024" s="238" t="s">
        <v>7103</v>
      </c>
      <c r="K1024" s="239" t="s">
        <v>7918</v>
      </c>
      <c r="L1024" s="237"/>
      <c r="M1024" s="237"/>
      <c r="N1024" s="237"/>
      <c r="O1024" s="237"/>
      <c r="P1024" s="237"/>
      <c r="Q1024" s="237"/>
      <c r="R1024" s="237"/>
      <c r="S1024" s="237"/>
      <c r="T1024" s="237"/>
      <c r="U1024" s="237"/>
      <c r="V1024" s="237"/>
      <c r="W1024" s="237"/>
      <c r="X1024" s="237"/>
      <c r="Y1024" s="237"/>
      <c r="Z1024" s="237"/>
      <c r="AA1024" s="237"/>
      <c r="AB1024" s="237"/>
    </row>
    <row r="1025">
      <c r="A1025" s="238">
        <v>1024.0</v>
      </c>
      <c r="B1025" s="239" t="s">
        <v>7923</v>
      </c>
      <c r="C1025" s="240" t="s">
        <v>7924</v>
      </c>
      <c r="D1025" s="236"/>
      <c r="E1025" s="240" t="s">
        <v>3511</v>
      </c>
      <c r="F1025" s="240" t="s">
        <v>7925</v>
      </c>
      <c r="G1025" s="238" t="s">
        <v>7926</v>
      </c>
      <c r="H1025" s="240" t="s">
        <v>7927</v>
      </c>
      <c r="I1025" s="236"/>
      <c r="J1025" s="238" t="s">
        <v>7103</v>
      </c>
      <c r="K1025" s="239" t="s">
        <v>7923</v>
      </c>
      <c r="L1025" s="237"/>
      <c r="M1025" s="237"/>
      <c r="N1025" s="237"/>
      <c r="O1025" s="237"/>
      <c r="P1025" s="237"/>
      <c r="Q1025" s="237"/>
      <c r="R1025" s="237"/>
      <c r="S1025" s="237"/>
      <c r="T1025" s="237"/>
      <c r="U1025" s="237"/>
      <c r="V1025" s="237"/>
      <c r="W1025" s="237"/>
      <c r="X1025" s="237"/>
      <c r="Y1025" s="237"/>
      <c r="Z1025" s="237"/>
      <c r="AA1025" s="237"/>
      <c r="AB1025" s="237"/>
    </row>
    <row r="1026">
      <c r="A1026" s="238">
        <v>1025.0</v>
      </c>
      <c r="B1026" s="239" t="s">
        <v>7928</v>
      </c>
      <c r="C1026" s="240" t="s">
        <v>7929</v>
      </c>
      <c r="D1026" s="236"/>
      <c r="E1026" s="240" t="s">
        <v>3511</v>
      </c>
      <c r="F1026" s="240" t="s">
        <v>7930</v>
      </c>
      <c r="G1026" s="238" t="s">
        <v>7931</v>
      </c>
      <c r="H1026" s="240" t="s">
        <v>7932</v>
      </c>
      <c r="I1026" s="236"/>
      <c r="J1026" s="238" t="s">
        <v>7103</v>
      </c>
      <c r="K1026" s="239" t="s">
        <v>7928</v>
      </c>
      <c r="L1026" s="237"/>
      <c r="M1026" s="237"/>
      <c r="N1026" s="237"/>
      <c r="O1026" s="237"/>
      <c r="P1026" s="237"/>
      <c r="Q1026" s="237"/>
      <c r="R1026" s="237"/>
      <c r="S1026" s="237"/>
      <c r="T1026" s="237"/>
      <c r="U1026" s="237"/>
      <c r="V1026" s="237"/>
      <c r="W1026" s="237"/>
      <c r="X1026" s="237"/>
      <c r="Y1026" s="237"/>
      <c r="Z1026" s="237"/>
      <c r="AA1026" s="237"/>
      <c r="AB1026" s="237"/>
    </row>
    <row r="1027">
      <c r="A1027" s="238">
        <v>1026.0</v>
      </c>
      <c r="B1027" s="239" t="s">
        <v>7933</v>
      </c>
      <c r="C1027" s="240" t="s">
        <v>7934</v>
      </c>
      <c r="D1027" s="236"/>
      <c r="E1027" s="240" t="s">
        <v>3511</v>
      </c>
      <c r="F1027" s="240" t="s">
        <v>7935</v>
      </c>
      <c r="G1027" s="238" t="s">
        <v>7936</v>
      </c>
      <c r="H1027" s="240" t="s">
        <v>7937</v>
      </c>
      <c r="I1027" s="236"/>
      <c r="J1027" s="238" t="s">
        <v>7103</v>
      </c>
      <c r="K1027" s="239" t="s">
        <v>7933</v>
      </c>
      <c r="L1027" s="237"/>
      <c r="M1027" s="237"/>
      <c r="N1027" s="237"/>
      <c r="O1027" s="237"/>
      <c r="P1027" s="237"/>
      <c r="Q1027" s="237"/>
      <c r="R1027" s="237"/>
      <c r="S1027" s="237"/>
      <c r="T1027" s="237"/>
      <c r="U1027" s="237"/>
      <c r="V1027" s="237"/>
      <c r="W1027" s="237"/>
      <c r="X1027" s="237"/>
      <c r="Y1027" s="237"/>
      <c r="Z1027" s="237"/>
      <c r="AA1027" s="237"/>
      <c r="AB1027" s="237"/>
    </row>
    <row r="1028">
      <c r="A1028" s="238">
        <v>1027.0</v>
      </c>
      <c r="B1028" s="239" t="s">
        <v>7938</v>
      </c>
      <c r="C1028" s="240" t="s">
        <v>7939</v>
      </c>
      <c r="D1028" s="236"/>
      <c r="E1028" s="240" t="s">
        <v>3511</v>
      </c>
      <c r="F1028" s="240" t="s">
        <v>7940</v>
      </c>
      <c r="G1028" s="238" t="s">
        <v>7941</v>
      </c>
      <c r="H1028" s="241" t="s">
        <v>7942</v>
      </c>
      <c r="I1028" s="236"/>
      <c r="J1028" s="238" t="s">
        <v>4745</v>
      </c>
      <c r="K1028" s="239" t="s">
        <v>7938</v>
      </c>
      <c r="L1028" s="237"/>
      <c r="M1028" s="237"/>
      <c r="N1028" s="237"/>
      <c r="O1028" s="237"/>
      <c r="P1028" s="237"/>
      <c r="Q1028" s="237"/>
      <c r="R1028" s="237"/>
      <c r="S1028" s="237"/>
      <c r="T1028" s="237"/>
      <c r="U1028" s="237"/>
      <c r="V1028" s="237"/>
      <c r="W1028" s="237"/>
      <c r="X1028" s="237"/>
      <c r="Y1028" s="237"/>
      <c r="Z1028" s="237"/>
      <c r="AA1028" s="237"/>
      <c r="AB1028" s="237"/>
    </row>
    <row r="1029">
      <c r="A1029" s="238">
        <v>1028.0</v>
      </c>
      <c r="B1029" s="239" t="s">
        <v>7943</v>
      </c>
      <c r="C1029" s="240" t="s">
        <v>7944</v>
      </c>
      <c r="D1029" s="236"/>
      <c r="E1029" s="240" t="s">
        <v>3511</v>
      </c>
      <c r="F1029" s="240" t="s">
        <v>7945</v>
      </c>
      <c r="G1029" s="238" t="s">
        <v>7946</v>
      </c>
      <c r="H1029" s="240" t="s">
        <v>7947</v>
      </c>
      <c r="I1029" s="236"/>
      <c r="J1029" s="238" t="s">
        <v>4745</v>
      </c>
      <c r="K1029" s="239" t="s">
        <v>7943</v>
      </c>
      <c r="L1029" s="237"/>
      <c r="M1029" s="237"/>
      <c r="N1029" s="237"/>
      <c r="O1029" s="237"/>
      <c r="P1029" s="237"/>
      <c r="Q1029" s="237"/>
      <c r="R1029" s="237"/>
      <c r="S1029" s="237"/>
      <c r="T1029" s="237"/>
      <c r="U1029" s="237"/>
      <c r="V1029" s="237"/>
      <c r="W1029" s="237"/>
      <c r="X1029" s="237"/>
      <c r="Y1029" s="237"/>
      <c r="Z1029" s="237"/>
      <c r="AA1029" s="237"/>
      <c r="AB1029" s="237"/>
    </row>
    <row r="1030">
      <c r="A1030" s="238">
        <v>1029.0</v>
      </c>
      <c r="B1030" s="239" t="s">
        <v>7948</v>
      </c>
      <c r="C1030" s="240" t="s">
        <v>7949</v>
      </c>
      <c r="D1030" s="236"/>
      <c r="E1030" s="240" t="s">
        <v>3511</v>
      </c>
      <c r="F1030" s="240" t="s">
        <v>7950</v>
      </c>
      <c r="G1030" s="238" t="s">
        <v>7951</v>
      </c>
      <c r="H1030" s="240" t="s">
        <v>7952</v>
      </c>
      <c r="I1030" s="236"/>
      <c r="J1030" s="238" t="s">
        <v>4745</v>
      </c>
      <c r="K1030" s="239" t="s">
        <v>7948</v>
      </c>
      <c r="L1030" s="237"/>
      <c r="M1030" s="237"/>
      <c r="N1030" s="237"/>
      <c r="O1030" s="237"/>
      <c r="P1030" s="237"/>
      <c r="Q1030" s="237"/>
      <c r="R1030" s="237"/>
      <c r="S1030" s="237"/>
      <c r="T1030" s="237"/>
      <c r="U1030" s="237"/>
      <c r="V1030" s="237"/>
      <c r="W1030" s="237"/>
      <c r="X1030" s="237"/>
      <c r="Y1030" s="237"/>
      <c r="Z1030" s="237"/>
      <c r="AA1030" s="237"/>
      <c r="AB1030" s="237"/>
    </row>
    <row r="1031">
      <c r="A1031" s="238">
        <v>1030.0</v>
      </c>
      <c r="B1031" s="242"/>
      <c r="C1031" s="240" t="s">
        <v>7953</v>
      </c>
      <c r="D1031" s="236"/>
      <c r="E1031" s="240" t="s">
        <v>3511</v>
      </c>
      <c r="F1031" s="240" t="s">
        <v>6885</v>
      </c>
      <c r="G1031" s="238" t="s">
        <v>7954</v>
      </c>
      <c r="H1031" s="240" t="s">
        <v>7955</v>
      </c>
      <c r="I1031" s="236"/>
      <c r="J1031" s="238" t="s">
        <v>7956</v>
      </c>
      <c r="K1031" s="242"/>
      <c r="L1031" s="237"/>
      <c r="M1031" s="237"/>
      <c r="N1031" s="237"/>
      <c r="O1031" s="237"/>
      <c r="P1031" s="237"/>
      <c r="Q1031" s="237"/>
      <c r="R1031" s="237"/>
      <c r="S1031" s="237"/>
      <c r="T1031" s="237"/>
      <c r="U1031" s="237"/>
      <c r="V1031" s="237"/>
      <c r="W1031" s="237"/>
      <c r="X1031" s="237"/>
      <c r="Y1031" s="237"/>
      <c r="Z1031" s="237"/>
      <c r="AA1031" s="237"/>
      <c r="AB1031" s="237"/>
    </row>
    <row r="1032">
      <c r="A1032" s="238">
        <v>1031.0</v>
      </c>
      <c r="B1032" s="239" t="s">
        <v>7957</v>
      </c>
      <c r="C1032" s="240" t="s">
        <v>7958</v>
      </c>
      <c r="D1032" s="236"/>
      <c r="E1032" s="240" t="s">
        <v>3511</v>
      </c>
      <c r="F1032" s="240" t="s">
        <v>7959</v>
      </c>
      <c r="G1032" s="238" t="s">
        <v>7960</v>
      </c>
      <c r="H1032" s="240" t="s">
        <v>7961</v>
      </c>
      <c r="I1032" s="236"/>
      <c r="J1032" s="238" t="s">
        <v>7956</v>
      </c>
      <c r="K1032" s="239" t="s">
        <v>7957</v>
      </c>
      <c r="L1032" s="237"/>
      <c r="M1032" s="237"/>
      <c r="N1032" s="237"/>
      <c r="O1032" s="237"/>
      <c r="P1032" s="237"/>
      <c r="Q1032" s="237"/>
      <c r="R1032" s="237"/>
      <c r="S1032" s="237"/>
      <c r="T1032" s="237"/>
      <c r="U1032" s="237"/>
      <c r="V1032" s="237"/>
      <c r="W1032" s="237"/>
      <c r="X1032" s="237"/>
      <c r="Y1032" s="237"/>
      <c r="Z1032" s="237"/>
      <c r="AA1032" s="237"/>
      <c r="AB1032" s="237"/>
    </row>
    <row r="1033">
      <c r="A1033" s="238">
        <v>1032.0</v>
      </c>
      <c r="B1033" s="242"/>
      <c r="C1033" s="240" t="s">
        <v>7962</v>
      </c>
      <c r="D1033" s="236"/>
      <c r="E1033" s="240" t="s">
        <v>3511</v>
      </c>
      <c r="F1033" s="240" t="s">
        <v>7963</v>
      </c>
      <c r="G1033" s="238" t="s">
        <v>7964</v>
      </c>
      <c r="H1033" s="240" t="s">
        <v>7965</v>
      </c>
      <c r="I1033" s="236"/>
      <c r="J1033" s="238" t="s">
        <v>7966</v>
      </c>
      <c r="K1033" s="242"/>
      <c r="L1033" s="237"/>
      <c r="M1033" s="237"/>
      <c r="N1033" s="237"/>
      <c r="O1033" s="237"/>
      <c r="P1033" s="237"/>
      <c r="Q1033" s="237"/>
      <c r="R1033" s="237"/>
      <c r="S1033" s="237"/>
      <c r="T1033" s="237"/>
      <c r="U1033" s="237"/>
      <c r="V1033" s="237"/>
      <c r="W1033" s="237"/>
      <c r="X1033" s="237"/>
      <c r="Y1033" s="237"/>
      <c r="Z1033" s="237"/>
      <c r="AA1033" s="237"/>
      <c r="AB1033" s="237"/>
    </row>
    <row r="1034">
      <c r="A1034" s="238">
        <v>1033.0</v>
      </c>
      <c r="B1034" s="242"/>
      <c r="C1034" s="240" t="s">
        <v>7967</v>
      </c>
      <c r="D1034" s="236"/>
      <c r="E1034" s="240" t="s">
        <v>3511</v>
      </c>
      <c r="F1034" s="240" t="s">
        <v>7968</v>
      </c>
      <c r="G1034" s="238" t="s">
        <v>7969</v>
      </c>
      <c r="H1034" s="240" t="s">
        <v>7970</v>
      </c>
      <c r="I1034" s="236"/>
      <c r="J1034" s="238" t="s">
        <v>5032</v>
      </c>
      <c r="K1034" s="242"/>
      <c r="L1034" s="237"/>
      <c r="M1034" s="237"/>
      <c r="N1034" s="237"/>
      <c r="O1034" s="237"/>
      <c r="P1034" s="237"/>
      <c r="Q1034" s="237"/>
      <c r="R1034" s="237"/>
      <c r="S1034" s="237"/>
      <c r="T1034" s="237"/>
      <c r="U1034" s="237"/>
      <c r="V1034" s="237"/>
      <c r="W1034" s="237"/>
      <c r="X1034" s="237"/>
      <c r="Y1034" s="237"/>
      <c r="Z1034" s="237"/>
      <c r="AA1034" s="237"/>
      <c r="AB1034" s="237"/>
    </row>
    <row r="1035">
      <c r="A1035" s="238">
        <v>1034.0</v>
      </c>
      <c r="B1035" s="242"/>
      <c r="C1035" s="240" t="s">
        <v>7971</v>
      </c>
      <c r="D1035" s="236"/>
      <c r="E1035" s="240" t="s">
        <v>3511</v>
      </c>
      <c r="F1035" s="240" t="s">
        <v>7972</v>
      </c>
      <c r="G1035" s="238" t="s">
        <v>7973</v>
      </c>
      <c r="H1035" s="240" t="s">
        <v>7974</v>
      </c>
      <c r="I1035" s="236"/>
      <c r="J1035" s="238" t="s">
        <v>5032</v>
      </c>
      <c r="K1035" s="242"/>
      <c r="L1035" s="237"/>
      <c r="M1035" s="237"/>
      <c r="N1035" s="237"/>
      <c r="O1035" s="237"/>
      <c r="P1035" s="237"/>
      <c r="Q1035" s="237"/>
      <c r="R1035" s="237"/>
      <c r="S1035" s="237"/>
      <c r="T1035" s="237"/>
      <c r="U1035" s="237"/>
      <c r="V1035" s="237"/>
      <c r="W1035" s="237"/>
      <c r="X1035" s="237"/>
      <c r="Y1035" s="237"/>
      <c r="Z1035" s="237"/>
      <c r="AA1035" s="237"/>
      <c r="AB1035" s="237"/>
    </row>
    <row r="1036">
      <c r="A1036" s="238">
        <v>1035.0</v>
      </c>
      <c r="B1036" s="242"/>
      <c r="C1036" s="240" t="s">
        <v>7975</v>
      </c>
      <c r="D1036" s="236"/>
      <c r="E1036" s="240" t="s">
        <v>3511</v>
      </c>
      <c r="F1036" s="240" t="s">
        <v>7976</v>
      </c>
      <c r="G1036" s="238" t="s">
        <v>7977</v>
      </c>
      <c r="H1036" s="240" t="s">
        <v>7978</v>
      </c>
      <c r="I1036" s="236"/>
      <c r="J1036" s="238" t="s">
        <v>5032</v>
      </c>
      <c r="K1036" s="242"/>
      <c r="L1036" s="237"/>
      <c r="M1036" s="237"/>
      <c r="N1036" s="237"/>
      <c r="O1036" s="237"/>
      <c r="P1036" s="237"/>
      <c r="Q1036" s="237"/>
      <c r="R1036" s="237"/>
      <c r="S1036" s="237"/>
      <c r="T1036" s="237"/>
      <c r="U1036" s="237"/>
      <c r="V1036" s="237"/>
      <c r="W1036" s="237"/>
      <c r="X1036" s="237"/>
      <c r="Y1036" s="237"/>
      <c r="Z1036" s="237"/>
      <c r="AA1036" s="237"/>
      <c r="AB1036" s="237"/>
    </row>
    <row r="1037">
      <c r="A1037" s="238">
        <v>1036.0</v>
      </c>
      <c r="B1037" s="242"/>
      <c r="C1037" s="240" t="s">
        <v>7979</v>
      </c>
      <c r="D1037" s="236"/>
      <c r="E1037" s="240" t="s">
        <v>3511</v>
      </c>
      <c r="F1037" s="240" t="s">
        <v>7980</v>
      </c>
      <c r="G1037" s="238" t="s">
        <v>7981</v>
      </c>
      <c r="H1037" s="240" t="s">
        <v>7982</v>
      </c>
      <c r="I1037" s="236"/>
      <c r="J1037" s="238" t="s">
        <v>5032</v>
      </c>
      <c r="K1037" s="242"/>
      <c r="L1037" s="237"/>
      <c r="M1037" s="237"/>
      <c r="N1037" s="237"/>
      <c r="O1037" s="237"/>
      <c r="P1037" s="237"/>
      <c r="Q1037" s="237"/>
      <c r="R1037" s="237"/>
      <c r="S1037" s="237"/>
      <c r="T1037" s="237"/>
      <c r="U1037" s="237"/>
      <c r="V1037" s="237"/>
      <c r="W1037" s="237"/>
      <c r="X1037" s="237"/>
      <c r="Y1037" s="237"/>
      <c r="Z1037" s="237"/>
      <c r="AA1037" s="237"/>
      <c r="AB1037" s="237"/>
    </row>
    <row r="1038">
      <c r="A1038" s="238">
        <v>1037.0</v>
      </c>
      <c r="B1038" s="242"/>
      <c r="C1038" s="240" t="s">
        <v>7983</v>
      </c>
      <c r="D1038" s="236"/>
      <c r="E1038" s="240" t="s">
        <v>3511</v>
      </c>
      <c r="F1038" s="240" t="s">
        <v>7984</v>
      </c>
      <c r="G1038" s="238" t="s">
        <v>7985</v>
      </c>
      <c r="H1038" s="240" t="s">
        <v>7986</v>
      </c>
      <c r="I1038" s="236"/>
      <c r="J1038" s="238" t="s">
        <v>5032</v>
      </c>
      <c r="K1038" s="242"/>
      <c r="L1038" s="237"/>
      <c r="M1038" s="237"/>
      <c r="N1038" s="237"/>
      <c r="O1038" s="237"/>
      <c r="P1038" s="237"/>
      <c r="Q1038" s="237"/>
      <c r="R1038" s="237"/>
      <c r="S1038" s="237"/>
      <c r="T1038" s="237"/>
      <c r="U1038" s="237"/>
      <c r="V1038" s="237"/>
      <c r="W1038" s="237"/>
      <c r="X1038" s="237"/>
      <c r="Y1038" s="237"/>
      <c r="Z1038" s="237"/>
      <c r="AA1038" s="237"/>
      <c r="AB1038" s="237"/>
    </row>
    <row r="1039">
      <c r="A1039" s="238">
        <v>1038.0</v>
      </c>
      <c r="B1039" s="242"/>
      <c r="C1039" s="240" t="s">
        <v>7987</v>
      </c>
      <c r="D1039" s="236"/>
      <c r="E1039" s="240" t="s">
        <v>3511</v>
      </c>
      <c r="F1039" s="240" t="s">
        <v>7988</v>
      </c>
      <c r="G1039" s="238" t="s">
        <v>7989</v>
      </c>
      <c r="H1039" s="240" t="s">
        <v>7990</v>
      </c>
      <c r="I1039" s="236"/>
      <c r="J1039" s="238" t="s">
        <v>5032</v>
      </c>
      <c r="K1039" s="242"/>
      <c r="L1039" s="237"/>
      <c r="M1039" s="237"/>
      <c r="N1039" s="237"/>
      <c r="O1039" s="237"/>
      <c r="P1039" s="237"/>
      <c r="Q1039" s="237"/>
      <c r="R1039" s="237"/>
      <c r="S1039" s="237"/>
      <c r="T1039" s="237"/>
      <c r="U1039" s="237"/>
      <c r="V1039" s="237"/>
      <c r="W1039" s="237"/>
      <c r="X1039" s="237"/>
      <c r="Y1039" s="237"/>
      <c r="Z1039" s="237"/>
      <c r="AA1039" s="237"/>
      <c r="AB1039" s="237"/>
    </row>
    <row r="1040">
      <c r="A1040" s="238">
        <v>1039.0</v>
      </c>
      <c r="B1040" s="239" t="s">
        <v>7991</v>
      </c>
      <c r="C1040" s="240" t="s">
        <v>7992</v>
      </c>
      <c r="D1040" s="236"/>
      <c r="E1040" s="240" t="s">
        <v>3511</v>
      </c>
      <c r="F1040" s="240" t="s">
        <v>7993</v>
      </c>
      <c r="G1040" s="238" t="s">
        <v>7994</v>
      </c>
      <c r="H1040" s="240" t="s">
        <v>7995</v>
      </c>
      <c r="I1040" s="236"/>
      <c r="J1040" s="238" t="s">
        <v>5032</v>
      </c>
      <c r="K1040" s="239" t="s">
        <v>7991</v>
      </c>
      <c r="L1040" s="237"/>
      <c r="M1040" s="237"/>
      <c r="N1040" s="237"/>
      <c r="O1040" s="237"/>
      <c r="P1040" s="237"/>
      <c r="Q1040" s="237"/>
      <c r="R1040" s="237"/>
      <c r="S1040" s="237"/>
      <c r="T1040" s="237"/>
      <c r="U1040" s="237"/>
      <c r="V1040" s="237"/>
      <c r="W1040" s="237"/>
      <c r="X1040" s="237"/>
      <c r="Y1040" s="237"/>
      <c r="Z1040" s="237"/>
      <c r="AA1040" s="237"/>
      <c r="AB1040" s="237"/>
    </row>
    <row r="1041">
      <c r="A1041" s="238">
        <v>1040.0</v>
      </c>
      <c r="B1041" s="239" t="s">
        <v>7996</v>
      </c>
      <c r="C1041" s="240" t="s">
        <v>7997</v>
      </c>
      <c r="D1041" s="236"/>
      <c r="E1041" s="240" t="s">
        <v>3511</v>
      </c>
      <c r="F1041" s="240" t="s">
        <v>7998</v>
      </c>
      <c r="G1041" s="238" t="s">
        <v>7999</v>
      </c>
      <c r="H1041" s="241" t="s">
        <v>8000</v>
      </c>
      <c r="I1041" s="236"/>
      <c r="J1041" s="238" t="s">
        <v>5032</v>
      </c>
      <c r="K1041" s="239" t="s">
        <v>7996</v>
      </c>
      <c r="L1041" s="237"/>
      <c r="M1041" s="237"/>
      <c r="N1041" s="237"/>
      <c r="O1041" s="237"/>
      <c r="P1041" s="237"/>
      <c r="Q1041" s="237"/>
      <c r="R1041" s="237"/>
      <c r="S1041" s="237"/>
      <c r="T1041" s="237"/>
      <c r="U1041" s="237"/>
      <c r="V1041" s="237"/>
      <c r="W1041" s="237"/>
      <c r="X1041" s="237"/>
      <c r="Y1041" s="237"/>
      <c r="Z1041" s="237"/>
      <c r="AA1041" s="237"/>
      <c r="AB1041" s="237"/>
    </row>
    <row r="1042">
      <c r="A1042" s="238">
        <v>1041.0</v>
      </c>
      <c r="B1042" s="239" t="s">
        <v>8001</v>
      </c>
      <c r="C1042" s="240" t="s">
        <v>8002</v>
      </c>
      <c r="D1042" s="236"/>
      <c r="E1042" s="240" t="s">
        <v>3511</v>
      </c>
      <c r="F1042" s="240" t="s">
        <v>8003</v>
      </c>
      <c r="G1042" s="238" t="s">
        <v>8004</v>
      </c>
      <c r="H1042" s="241" t="s">
        <v>8005</v>
      </c>
      <c r="I1042" s="236"/>
      <c r="J1042" s="238" t="s">
        <v>5032</v>
      </c>
      <c r="K1042" s="239" t="s">
        <v>8001</v>
      </c>
      <c r="L1042" s="237"/>
      <c r="M1042" s="237"/>
      <c r="N1042" s="237"/>
      <c r="O1042" s="237"/>
      <c r="P1042" s="237"/>
      <c r="Q1042" s="237"/>
      <c r="R1042" s="237"/>
      <c r="S1042" s="237"/>
      <c r="T1042" s="237"/>
      <c r="U1042" s="237"/>
      <c r="V1042" s="237"/>
      <c r="W1042" s="237"/>
      <c r="X1042" s="237"/>
      <c r="Y1042" s="237"/>
      <c r="Z1042" s="237"/>
      <c r="AA1042" s="237"/>
      <c r="AB1042" s="237"/>
    </row>
    <row r="1043">
      <c r="A1043" s="238">
        <v>1042.0</v>
      </c>
      <c r="B1043" s="239" t="s">
        <v>8006</v>
      </c>
      <c r="C1043" s="240" t="s">
        <v>8007</v>
      </c>
      <c r="D1043" s="236"/>
      <c r="E1043" s="240" t="s">
        <v>3511</v>
      </c>
      <c r="F1043" s="240" t="s">
        <v>8008</v>
      </c>
      <c r="G1043" s="238" t="s">
        <v>8009</v>
      </c>
      <c r="H1043" s="241" t="s">
        <v>8010</v>
      </c>
      <c r="I1043" s="236"/>
      <c r="J1043" s="238" t="s">
        <v>5032</v>
      </c>
      <c r="K1043" s="239" t="s">
        <v>8006</v>
      </c>
      <c r="L1043" s="237"/>
      <c r="M1043" s="237"/>
      <c r="N1043" s="237"/>
      <c r="O1043" s="237"/>
      <c r="P1043" s="237"/>
      <c r="Q1043" s="237"/>
      <c r="R1043" s="237"/>
      <c r="S1043" s="237"/>
      <c r="T1043" s="237"/>
      <c r="U1043" s="237"/>
      <c r="V1043" s="237"/>
      <c r="W1043" s="237"/>
      <c r="X1043" s="237"/>
      <c r="Y1043" s="237"/>
      <c r="Z1043" s="237"/>
      <c r="AA1043" s="237"/>
      <c r="AB1043" s="237"/>
    </row>
    <row r="1044">
      <c r="A1044" s="238">
        <v>1043.0</v>
      </c>
      <c r="B1044" s="239" t="s">
        <v>8011</v>
      </c>
      <c r="C1044" s="240" t="s">
        <v>8012</v>
      </c>
      <c r="D1044" s="236"/>
      <c r="E1044" s="240" t="s">
        <v>3511</v>
      </c>
      <c r="F1044" s="240" t="s">
        <v>8013</v>
      </c>
      <c r="G1044" s="238" t="s">
        <v>8014</v>
      </c>
      <c r="H1044" s="241" t="s">
        <v>8015</v>
      </c>
      <c r="I1044" s="236"/>
      <c r="J1044" s="238" t="s">
        <v>5032</v>
      </c>
      <c r="K1044" s="239" t="s">
        <v>8011</v>
      </c>
      <c r="L1044" s="237"/>
      <c r="M1044" s="237"/>
      <c r="N1044" s="237"/>
      <c r="O1044" s="237"/>
      <c r="P1044" s="237"/>
      <c r="Q1044" s="237"/>
      <c r="R1044" s="237"/>
      <c r="S1044" s="237"/>
      <c r="T1044" s="237"/>
      <c r="U1044" s="237"/>
      <c r="V1044" s="237"/>
      <c r="W1044" s="237"/>
      <c r="X1044" s="237"/>
      <c r="Y1044" s="237"/>
      <c r="Z1044" s="237"/>
      <c r="AA1044" s="237"/>
      <c r="AB1044" s="237"/>
    </row>
    <row r="1045">
      <c r="A1045" s="238">
        <v>1044.0</v>
      </c>
      <c r="B1045" s="239" t="s">
        <v>8016</v>
      </c>
      <c r="C1045" s="240" t="s">
        <v>8017</v>
      </c>
      <c r="D1045" s="236"/>
      <c r="E1045" s="240" t="s">
        <v>3511</v>
      </c>
      <c r="F1045" s="241" t="s">
        <v>8018</v>
      </c>
      <c r="G1045" s="238" t="s">
        <v>8019</v>
      </c>
      <c r="H1045" s="240" t="s">
        <v>8020</v>
      </c>
      <c r="I1045" s="236"/>
      <c r="J1045" s="238" t="s">
        <v>8021</v>
      </c>
      <c r="K1045" s="239" t="s">
        <v>8016</v>
      </c>
      <c r="L1045" s="237"/>
      <c r="M1045" s="237"/>
      <c r="N1045" s="237"/>
      <c r="O1045" s="237"/>
      <c r="P1045" s="237"/>
      <c r="Q1045" s="237"/>
      <c r="R1045" s="237"/>
      <c r="S1045" s="237"/>
      <c r="T1045" s="237"/>
      <c r="U1045" s="237"/>
      <c r="V1045" s="237"/>
      <c r="W1045" s="237"/>
      <c r="X1045" s="237"/>
      <c r="Y1045" s="237"/>
      <c r="Z1045" s="237"/>
      <c r="AA1045" s="237"/>
      <c r="AB1045" s="237"/>
    </row>
    <row r="1046">
      <c r="A1046" s="238">
        <v>1045.0</v>
      </c>
      <c r="B1046" s="239" t="s">
        <v>8022</v>
      </c>
      <c r="C1046" s="240" t="s">
        <v>8023</v>
      </c>
      <c r="D1046" s="236"/>
      <c r="E1046" s="240" t="s">
        <v>3511</v>
      </c>
      <c r="F1046" s="240" t="s">
        <v>8024</v>
      </c>
      <c r="G1046" s="238" t="s">
        <v>8025</v>
      </c>
      <c r="H1046" s="240" t="s">
        <v>8026</v>
      </c>
      <c r="I1046" s="236"/>
      <c r="J1046" s="238" t="s">
        <v>8021</v>
      </c>
      <c r="K1046" s="239" t="s">
        <v>8022</v>
      </c>
      <c r="L1046" s="237"/>
      <c r="M1046" s="237"/>
      <c r="N1046" s="237"/>
      <c r="O1046" s="237"/>
      <c r="P1046" s="237"/>
      <c r="Q1046" s="237"/>
      <c r="R1046" s="237"/>
      <c r="S1046" s="237"/>
      <c r="T1046" s="237"/>
      <c r="U1046" s="237"/>
      <c r="V1046" s="237"/>
      <c r="W1046" s="237"/>
      <c r="X1046" s="237"/>
      <c r="Y1046" s="237"/>
      <c r="Z1046" s="237"/>
      <c r="AA1046" s="237"/>
      <c r="AB1046" s="237"/>
    </row>
    <row r="1047">
      <c r="A1047" s="238">
        <v>1046.0</v>
      </c>
      <c r="B1047" s="239" t="s">
        <v>8027</v>
      </c>
      <c r="C1047" s="241" t="s">
        <v>8028</v>
      </c>
      <c r="D1047" s="236"/>
      <c r="E1047" s="240" t="s">
        <v>3511</v>
      </c>
      <c r="F1047" s="240" t="s">
        <v>8029</v>
      </c>
      <c r="G1047" s="238" t="s">
        <v>8030</v>
      </c>
      <c r="H1047" s="240" t="s">
        <v>8031</v>
      </c>
      <c r="I1047" s="236"/>
      <c r="J1047" s="238" t="s">
        <v>8021</v>
      </c>
      <c r="K1047" s="239" t="s">
        <v>8027</v>
      </c>
      <c r="L1047" s="237"/>
      <c r="M1047" s="237"/>
      <c r="N1047" s="237"/>
      <c r="O1047" s="237"/>
      <c r="P1047" s="237"/>
      <c r="Q1047" s="237"/>
      <c r="R1047" s="237"/>
      <c r="S1047" s="237"/>
      <c r="T1047" s="237"/>
      <c r="U1047" s="237"/>
      <c r="V1047" s="237"/>
      <c r="W1047" s="237"/>
      <c r="X1047" s="237"/>
      <c r="Y1047" s="237"/>
      <c r="Z1047" s="237"/>
      <c r="AA1047" s="237"/>
      <c r="AB1047" s="237"/>
    </row>
    <row r="1048">
      <c r="A1048" s="238">
        <v>1047.0</v>
      </c>
      <c r="B1048" s="239" t="s">
        <v>8032</v>
      </c>
      <c r="C1048" s="241" t="s">
        <v>8033</v>
      </c>
      <c r="D1048" s="236"/>
      <c r="E1048" s="240" t="s">
        <v>3511</v>
      </c>
      <c r="F1048" s="240" t="s">
        <v>8034</v>
      </c>
      <c r="G1048" s="238" t="s">
        <v>8035</v>
      </c>
      <c r="H1048" s="240" t="s">
        <v>8036</v>
      </c>
      <c r="I1048" s="236"/>
      <c r="J1048" s="238" t="s">
        <v>8021</v>
      </c>
      <c r="K1048" s="239" t="s">
        <v>8032</v>
      </c>
      <c r="L1048" s="237"/>
      <c r="M1048" s="237"/>
      <c r="N1048" s="237"/>
      <c r="O1048" s="237"/>
      <c r="P1048" s="237"/>
      <c r="Q1048" s="237"/>
      <c r="R1048" s="237"/>
      <c r="S1048" s="237"/>
      <c r="T1048" s="237"/>
      <c r="U1048" s="237"/>
      <c r="V1048" s="237"/>
      <c r="W1048" s="237"/>
      <c r="X1048" s="237"/>
      <c r="Y1048" s="237"/>
      <c r="Z1048" s="237"/>
      <c r="AA1048" s="237"/>
      <c r="AB1048" s="237"/>
    </row>
    <row r="1049">
      <c r="A1049" s="238">
        <v>1048.0</v>
      </c>
      <c r="B1049" s="239" t="s">
        <v>8037</v>
      </c>
      <c r="C1049" s="240" t="s">
        <v>8038</v>
      </c>
      <c r="D1049" s="236"/>
      <c r="E1049" s="240" t="s">
        <v>3511</v>
      </c>
      <c r="F1049" s="240" t="s">
        <v>8039</v>
      </c>
      <c r="G1049" s="238" t="s">
        <v>8040</v>
      </c>
      <c r="H1049" s="240" t="s">
        <v>8041</v>
      </c>
      <c r="I1049" s="236"/>
      <c r="J1049" s="238" t="s">
        <v>8021</v>
      </c>
      <c r="K1049" s="239" t="s">
        <v>8037</v>
      </c>
      <c r="L1049" s="237"/>
      <c r="M1049" s="237"/>
      <c r="N1049" s="237"/>
      <c r="O1049" s="237"/>
      <c r="P1049" s="237"/>
      <c r="Q1049" s="237"/>
      <c r="R1049" s="237"/>
      <c r="S1049" s="237"/>
      <c r="T1049" s="237"/>
      <c r="U1049" s="237"/>
      <c r="V1049" s="237"/>
      <c r="W1049" s="237"/>
      <c r="X1049" s="237"/>
      <c r="Y1049" s="237"/>
      <c r="Z1049" s="237"/>
      <c r="AA1049" s="237"/>
      <c r="AB1049" s="237"/>
    </row>
    <row r="1050">
      <c r="A1050" s="238">
        <v>1049.0</v>
      </c>
      <c r="B1050" s="239" t="s">
        <v>8042</v>
      </c>
      <c r="C1050" s="240" t="s">
        <v>8043</v>
      </c>
      <c r="D1050" s="236"/>
      <c r="E1050" s="240" t="s">
        <v>3511</v>
      </c>
      <c r="F1050" s="240" t="s">
        <v>8044</v>
      </c>
      <c r="G1050" s="238" t="s">
        <v>8045</v>
      </c>
      <c r="H1050" s="240" t="s">
        <v>8046</v>
      </c>
      <c r="I1050" s="236"/>
      <c r="J1050" s="238" t="s">
        <v>8021</v>
      </c>
      <c r="K1050" s="239" t="s">
        <v>8042</v>
      </c>
      <c r="L1050" s="237"/>
      <c r="M1050" s="237"/>
      <c r="N1050" s="237"/>
      <c r="O1050" s="237"/>
      <c r="P1050" s="237"/>
      <c r="Q1050" s="237"/>
      <c r="R1050" s="237"/>
      <c r="S1050" s="237"/>
      <c r="T1050" s="237"/>
      <c r="U1050" s="237"/>
      <c r="V1050" s="237"/>
      <c r="W1050" s="237"/>
      <c r="X1050" s="237"/>
      <c r="Y1050" s="237"/>
      <c r="Z1050" s="237"/>
      <c r="AA1050" s="237"/>
      <c r="AB1050" s="237"/>
    </row>
    <row r="1051">
      <c r="A1051" s="238">
        <v>1050.0</v>
      </c>
      <c r="B1051" s="239" t="s">
        <v>8047</v>
      </c>
      <c r="C1051" s="240" t="s">
        <v>8048</v>
      </c>
      <c r="D1051" s="236"/>
      <c r="E1051" s="240" t="s">
        <v>3511</v>
      </c>
      <c r="F1051" s="240" t="s">
        <v>8049</v>
      </c>
      <c r="G1051" s="238" t="s">
        <v>8050</v>
      </c>
      <c r="H1051" s="240" t="s">
        <v>8051</v>
      </c>
      <c r="I1051" s="236"/>
      <c r="J1051" s="238" t="s">
        <v>8021</v>
      </c>
      <c r="K1051" s="239" t="s">
        <v>8047</v>
      </c>
      <c r="L1051" s="237"/>
      <c r="M1051" s="237"/>
      <c r="N1051" s="237"/>
      <c r="O1051" s="237"/>
      <c r="P1051" s="237"/>
      <c r="Q1051" s="237"/>
      <c r="R1051" s="237"/>
      <c r="S1051" s="237"/>
      <c r="T1051" s="237"/>
      <c r="U1051" s="237"/>
      <c r="V1051" s="237"/>
      <c r="W1051" s="237"/>
      <c r="X1051" s="237"/>
      <c r="Y1051" s="237"/>
      <c r="Z1051" s="237"/>
      <c r="AA1051" s="237"/>
      <c r="AB1051" s="237"/>
    </row>
    <row r="1052">
      <c r="A1052" s="238">
        <v>1051.0</v>
      </c>
      <c r="B1052" s="239" t="s">
        <v>8052</v>
      </c>
      <c r="C1052" s="240" t="s">
        <v>8053</v>
      </c>
      <c r="D1052" s="236"/>
      <c r="E1052" s="240" t="s">
        <v>3511</v>
      </c>
      <c r="F1052" s="240" t="s">
        <v>8054</v>
      </c>
      <c r="G1052" s="238" t="s">
        <v>8055</v>
      </c>
      <c r="H1052" s="240" t="s">
        <v>8056</v>
      </c>
      <c r="I1052" s="236"/>
      <c r="J1052" s="238" t="s">
        <v>8021</v>
      </c>
      <c r="K1052" s="239" t="s">
        <v>8052</v>
      </c>
      <c r="L1052" s="237"/>
      <c r="M1052" s="237"/>
      <c r="N1052" s="237"/>
      <c r="O1052" s="237"/>
      <c r="P1052" s="237"/>
      <c r="Q1052" s="237"/>
      <c r="R1052" s="237"/>
      <c r="S1052" s="237"/>
      <c r="T1052" s="237"/>
      <c r="U1052" s="237"/>
      <c r="V1052" s="237"/>
      <c r="W1052" s="237"/>
      <c r="X1052" s="237"/>
      <c r="Y1052" s="237"/>
      <c r="Z1052" s="237"/>
      <c r="AA1052" s="237"/>
      <c r="AB1052" s="237"/>
    </row>
    <row r="1053">
      <c r="A1053" s="238">
        <v>1052.0</v>
      </c>
      <c r="B1053" s="239" t="s">
        <v>8057</v>
      </c>
      <c r="C1053" s="240" t="s">
        <v>8058</v>
      </c>
      <c r="D1053" s="236"/>
      <c r="E1053" s="240" t="s">
        <v>3511</v>
      </c>
      <c r="F1053" s="240" t="s">
        <v>8059</v>
      </c>
      <c r="G1053" s="238" t="s">
        <v>8060</v>
      </c>
      <c r="H1053" s="240" t="s">
        <v>8061</v>
      </c>
      <c r="I1053" s="236"/>
      <c r="J1053" s="238" t="s">
        <v>8021</v>
      </c>
      <c r="K1053" s="239" t="s">
        <v>8057</v>
      </c>
      <c r="L1053" s="237"/>
      <c r="M1053" s="237"/>
      <c r="N1053" s="237"/>
      <c r="O1053" s="237"/>
      <c r="P1053" s="237"/>
      <c r="Q1053" s="237"/>
      <c r="R1053" s="237"/>
      <c r="S1053" s="237"/>
      <c r="T1053" s="237"/>
      <c r="U1053" s="237"/>
      <c r="V1053" s="237"/>
      <c r="W1053" s="237"/>
      <c r="X1053" s="237"/>
      <c r="Y1053" s="237"/>
      <c r="Z1053" s="237"/>
      <c r="AA1053" s="237"/>
      <c r="AB1053" s="237"/>
    </row>
    <row r="1054">
      <c r="A1054" s="238">
        <v>1053.0</v>
      </c>
      <c r="B1054" s="239" t="s">
        <v>8062</v>
      </c>
      <c r="C1054" s="240" t="s">
        <v>8063</v>
      </c>
      <c r="D1054" s="236"/>
      <c r="E1054" s="240" t="s">
        <v>3511</v>
      </c>
      <c r="F1054" s="240" t="s">
        <v>8064</v>
      </c>
      <c r="G1054" s="238" t="s">
        <v>8065</v>
      </c>
      <c r="H1054" s="240" t="s">
        <v>8066</v>
      </c>
      <c r="I1054" s="236"/>
      <c r="J1054" s="238" t="s">
        <v>8021</v>
      </c>
      <c r="K1054" s="239" t="s">
        <v>8062</v>
      </c>
      <c r="L1054" s="237"/>
      <c r="M1054" s="237"/>
      <c r="N1054" s="237"/>
      <c r="O1054" s="237"/>
      <c r="P1054" s="237"/>
      <c r="Q1054" s="237"/>
      <c r="R1054" s="237"/>
      <c r="S1054" s="237"/>
      <c r="T1054" s="237"/>
      <c r="U1054" s="237"/>
      <c r="V1054" s="237"/>
      <c r="W1054" s="237"/>
      <c r="X1054" s="237"/>
      <c r="Y1054" s="237"/>
      <c r="Z1054" s="237"/>
      <c r="AA1054" s="237"/>
      <c r="AB1054" s="237"/>
    </row>
    <row r="1055">
      <c r="A1055" s="238">
        <v>1054.0</v>
      </c>
      <c r="B1055" s="239" t="s">
        <v>8067</v>
      </c>
      <c r="C1055" s="240" t="s">
        <v>8068</v>
      </c>
      <c r="D1055" s="236"/>
      <c r="E1055" s="240" t="s">
        <v>3511</v>
      </c>
      <c r="F1055" s="240" t="s">
        <v>8069</v>
      </c>
      <c r="G1055" s="238" t="s">
        <v>8070</v>
      </c>
      <c r="H1055" s="240" t="s">
        <v>8071</v>
      </c>
      <c r="I1055" s="236"/>
      <c r="J1055" s="238" t="s">
        <v>8021</v>
      </c>
      <c r="K1055" s="239" t="s">
        <v>8067</v>
      </c>
      <c r="L1055" s="237"/>
      <c r="M1055" s="237"/>
      <c r="N1055" s="237"/>
      <c r="O1055" s="237"/>
      <c r="P1055" s="237"/>
      <c r="Q1055" s="237"/>
      <c r="R1055" s="237"/>
      <c r="S1055" s="237"/>
      <c r="T1055" s="237"/>
      <c r="U1055" s="237"/>
      <c r="V1055" s="237"/>
      <c r="W1055" s="237"/>
      <c r="X1055" s="237"/>
      <c r="Y1055" s="237"/>
      <c r="Z1055" s="237"/>
      <c r="AA1055" s="237"/>
      <c r="AB1055" s="237"/>
    </row>
    <row r="1056">
      <c r="A1056" s="238">
        <v>1055.0</v>
      </c>
      <c r="B1056" s="239" t="s">
        <v>8072</v>
      </c>
      <c r="C1056" s="240" t="s">
        <v>8073</v>
      </c>
      <c r="D1056" s="236"/>
      <c r="E1056" s="240" t="s">
        <v>3511</v>
      </c>
      <c r="F1056" s="240" t="s">
        <v>8074</v>
      </c>
      <c r="G1056" s="238" t="s">
        <v>8075</v>
      </c>
      <c r="H1056" s="240" t="s">
        <v>8076</v>
      </c>
      <c r="I1056" s="236"/>
      <c r="J1056" s="238" t="s">
        <v>8021</v>
      </c>
      <c r="K1056" s="239" t="s">
        <v>8072</v>
      </c>
      <c r="L1056" s="237"/>
      <c r="M1056" s="237"/>
      <c r="N1056" s="237"/>
      <c r="O1056" s="237"/>
      <c r="P1056" s="237"/>
      <c r="Q1056" s="237"/>
      <c r="R1056" s="237"/>
      <c r="S1056" s="237"/>
      <c r="T1056" s="237"/>
      <c r="U1056" s="237"/>
      <c r="V1056" s="237"/>
      <c r="W1056" s="237"/>
      <c r="X1056" s="237"/>
      <c r="Y1056" s="237"/>
      <c r="Z1056" s="237"/>
      <c r="AA1056" s="237"/>
      <c r="AB1056" s="237"/>
    </row>
    <row r="1057">
      <c r="A1057" s="238">
        <v>1056.0</v>
      </c>
      <c r="B1057" s="239" t="s">
        <v>8077</v>
      </c>
      <c r="C1057" s="240" t="s">
        <v>8078</v>
      </c>
      <c r="D1057" s="236"/>
      <c r="E1057" s="240" t="s">
        <v>3496</v>
      </c>
      <c r="F1057" s="240" t="s">
        <v>8079</v>
      </c>
      <c r="G1057" s="238" t="s">
        <v>8080</v>
      </c>
      <c r="H1057" s="236"/>
      <c r="I1057" s="236"/>
      <c r="J1057" s="238" t="s">
        <v>8021</v>
      </c>
      <c r="K1057" s="239" t="s">
        <v>8077</v>
      </c>
      <c r="L1057" s="237"/>
      <c r="M1057" s="237"/>
      <c r="N1057" s="237"/>
      <c r="O1057" s="237"/>
      <c r="P1057" s="237"/>
      <c r="Q1057" s="237"/>
      <c r="R1057" s="237"/>
      <c r="S1057" s="237"/>
      <c r="T1057" s="237"/>
      <c r="U1057" s="237"/>
      <c r="V1057" s="237"/>
      <c r="W1057" s="237"/>
      <c r="X1057" s="237"/>
      <c r="Y1057" s="237"/>
      <c r="Z1057" s="237"/>
      <c r="AA1057" s="237"/>
      <c r="AB1057" s="237"/>
    </row>
    <row r="1058">
      <c r="A1058" s="238">
        <v>1057.0</v>
      </c>
      <c r="B1058" s="239" t="s">
        <v>8081</v>
      </c>
      <c r="C1058" s="240" t="s">
        <v>8082</v>
      </c>
      <c r="D1058" s="236"/>
      <c r="E1058" s="240" t="s">
        <v>3496</v>
      </c>
      <c r="F1058" s="240" t="s">
        <v>8083</v>
      </c>
      <c r="G1058" s="238" t="s">
        <v>8084</v>
      </c>
      <c r="H1058" s="236"/>
      <c r="I1058" s="236"/>
      <c r="J1058" s="238" t="s">
        <v>8021</v>
      </c>
      <c r="K1058" s="239" t="s">
        <v>8081</v>
      </c>
      <c r="L1058" s="237"/>
      <c r="M1058" s="237"/>
      <c r="N1058" s="237"/>
      <c r="O1058" s="237"/>
      <c r="P1058" s="237"/>
      <c r="Q1058" s="237"/>
      <c r="R1058" s="237"/>
      <c r="S1058" s="237"/>
      <c r="T1058" s="237"/>
      <c r="U1058" s="237"/>
      <c r="V1058" s="237"/>
      <c r="W1058" s="237"/>
      <c r="X1058" s="237"/>
      <c r="Y1058" s="237"/>
      <c r="Z1058" s="237"/>
      <c r="AA1058" s="237"/>
      <c r="AB1058" s="237"/>
    </row>
    <row r="1059">
      <c r="A1059" s="238">
        <v>1058.0</v>
      </c>
      <c r="B1059" s="239" t="s">
        <v>8085</v>
      </c>
      <c r="C1059" s="240" t="s">
        <v>8086</v>
      </c>
      <c r="D1059" s="236"/>
      <c r="E1059" s="240" t="s">
        <v>3496</v>
      </c>
      <c r="F1059" s="240" t="s">
        <v>8087</v>
      </c>
      <c r="G1059" s="238" t="s">
        <v>8088</v>
      </c>
      <c r="H1059" s="236"/>
      <c r="I1059" s="236"/>
      <c r="J1059" s="238" t="s">
        <v>8021</v>
      </c>
      <c r="K1059" s="239" t="s">
        <v>8085</v>
      </c>
      <c r="L1059" s="237"/>
      <c r="M1059" s="237"/>
      <c r="N1059" s="237"/>
      <c r="O1059" s="237"/>
      <c r="P1059" s="237"/>
      <c r="Q1059" s="237"/>
      <c r="R1059" s="237"/>
      <c r="S1059" s="237"/>
      <c r="T1059" s="237"/>
      <c r="U1059" s="237"/>
      <c r="V1059" s="237"/>
      <c r="W1059" s="237"/>
      <c r="X1059" s="237"/>
      <c r="Y1059" s="237"/>
      <c r="Z1059" s="237"/>
      <c r="AA1059" s="237"/>
      <c r="AB1059" s="237"/>
    </row>
    <row r="1060">
      <c r="A1060" s="238">
        <v>1059.0</v>
      </c>
      <c r="B1060" s="239" t="s">
        <v>8089</v>
      </c>
      <c r="C1060" s="240" t="s">
        <v>8090</v>
      </c>
      <c r="D1060" s="236"/>
      <c r="E1060" s="240" t="s">
        <v>3496</v>
      </c>
      <c r="F1060" s="240" t="s">
        <v>8091</v>
      </c>
      <c r="G1060" s="238" t="s">
        <v>8092</v>
      </c>
      <c r="H1060" s="236"/>
      <c r="I1060" s="236"/>
      <c r="J1060" s="238" t="s">
        <v>8021</v>
      </c>
      <c r="K1060" s="239" t="s">
        <v>8089</v>
      </c>
      <c r="L1060" s="237"/>
      <c r="M1060" s="237"/>
      <c r="N1060" s="237"/>
      <c r="O1060" s="237"/>
      <c r="P1060" s="237"/>
      <c r="Q1060" s="237"/>
      <c r="R1060" s="237"/>
      <c r="S1060" s="237"/>
      <c r="T1060" s="237"/>
      <c r="U1060" s="237"/>
      <c r="V1060" s="237"/>
      <c r="W1060" s="237"/>
      <c r="X1060" s="237"/>
      <c r="Y1060" s="237"/>
      <c r="Z1060" s="237"/>
      <c r="AA1060" s="237"/>
      <c r="AB1060" s="237"/>
    </row>
    <row r="1061">
      <c r="A1061" s="238">
        <v>1060.0</v>
      </c>
      <c r="B1061" s="239" t="s">
        <v>8093</v>
      </c>
      <c r="C1061" s="240" t="s">
        <v>8094</v>
      </c>
      <c r="D1061" s="236"/>
      <c r="E1061" s="240" t="s">
        <v>3496</v>
      </c>
      <c r="F1061" s="240" t="s">
        <v>8095</v>
      </c>
      <c r="G1061" s="238" t="s">
        <v>8096</v>
      </c>
      <c r="H1061" s="236"/>
      <c r="I1061" s="236"/>
      <c r="J1061" s="238" t="s">
        <v>8021</v>
      </c>
      <c r="K1061" s="239" t="s">
        <v>8093</v>
      </c>
      <c r="L1061" s="237"/>
      <c r="M1061" s="237"/>
      <c r="N1061" s="237"/>
      <c r="O1061" s="237"/>
      <c r="P1061" s="237"/>
      <c r="Q1061" s="237"/>
      <c r="R1061" s="237"/>
      <c r="S1061" s="237"/>
      <c r="T1061" s="237"/>
      <c r="U1061" s="237"/>
      <c r="V1061" s="237"/>
      <c r="W1061" s="237"/>
      <c r="X1061" s="237"/>
      <c r="Y1061" s="237"/>
      <c r="Z1061" s="237"/>
      <c r="AA1061" s="237"/>
      <c r="AB1061" s="237"/>
    </row>
    <row r="1062">
      <c r="A1062" s="238">
        <v>1061.0</v>
      </c>
      <c r="B1062" s="239" t="s">
        <v>8097</v>
      </c>
      <c r="C1062" s="240" t="s">
        <v>8098</v>
      </c>
      <c r="D1062" s="236"/>
      <c r="E1062" s="240" t="s">
        <v>3496</v>
      </c>
      <c r="F1062" s="240" t="s">
        <v>8099</v>
      </c>
      <c r="G1062" s="238" t="s">
        <v>8100</v>
      </c>
      <c r="H1062" s="236"/>
      <c r="I1062" s="236"/>
      <c r="J1062" s="238" t="s">
        <v>8021</v>
      </c>
      <c r="K1062" s="239" t="s">
        <v>8097</v>
      </c>
      <c r="L1062" s="237"/>
      <c r="M1062" s="237"/>
      <c r="N1062" s="237"/>
      <c r="O1062" s="237"/>
      <c r="P1062" s="237"/>
      <c r="Q1062" s="237"/>
      <c r="R1062" s="237"/>
      <c r="S1062" s="237"/>
      <c r="T1062" s="237"/>
      <c r="U1062" s="237"/>
      <c r="V1062" s="237"/>
      <c r="W1062" s="237"/>
      <c r="X1062" s="237"/>
      <c r="Y1062" s="237"/>
      <c r="Z1062" s="237"/>
      <c r="AA1062" s="237"/>
      <c r="AB1062" s="237"/>
    </row>
    <row r="1063">
      <c r="A1063" s="238">
        <v>1062.0</v>
      </c>
      <c r="B1063" s="239" t="s">
        <v>8101</v>
      </c>
      <c r="C1063" s="240" t="s">
        <v>8102</v>
      </c>
      <c r="D1063" s="236"/>
      <c r="E1063" s="240" t="s">
        <v>3496</v>
      </c>
      <c r="F1063" s="240" t="s">
        <v>8103</v>
      </c>
      <c r="G1063" s="238" t="s">
        <v>8104</v>
      </c>
      <c r="H1063" s="236"/>
      <c r="I1063" s="236"/>
      <c r="J1063" s="238" t="s">
        <v>8021</v>
      </c>
      <c r="K1063" s="239" t="s">
        <v>8101</v>
      </c>
      <c r="L1063" s="237"/>
      <c r="M1063" s="237"/>
      <c r="N1063" s="237"/>
      <c r="O1063" s="237"/>
      <c r="P1063" s="237"/>
      <c r="Q1063" s="237"/>
      <c r="R1063" s="237"/>
      <c r="S1063" s="237"/>
      <c r="T1063" s="237"/>
      <c r="U1063" s="237"/>
      <c r="V1063" s="237"/>
      <c r="W1063" s="237"/>
      <c r="X1063" s="237"/>
      <c r="Y1063" s="237"/>
      <c r="Z1063" s="237"/>
      <c r="AA1063" s="237"/>
      <c r="AB1063" s="237"/>
    </row>
    <row r="1064">
      <c r="A1064" s="238">
        <v>1063.0</v>
      </c>
      <c r="B1064" s="239" t="s">
        <v>8105</v>
      </c>
      <c r="C1064" s="240" t="s">
        <v>8106</v>
      </c>
      <c r="D1064" s="236"/>
      <c r="E1064" s="240" t="s">
        <v>3496</v>
      </c>
      <c r="F1064" s="240" t="s">
        <v>8107</v>
      </c>
      <c r="G1064" s="238" t="s">
        <v>8108</v>
      </c>
      <c r="H1064" s="236"/>
      <c r="I1064" s="236"/>
      <c r="J1064" s="238" t="s">
        <v>8021</v>
      </c>
      <c r="K1064" s="239" t="s">
        <v>8105</v>
      </c>
      <c r="L1064" s="237"/>
      <c r="M1064" s="237"/>
      <c r="N1064" s="237"/>
      <c r="O1064" s="237"/>
      <c r="P1064" s="237"/>
      <c r="Q1064" s="237"/>
      <c r="R1064" s="237"/>
      <c r="S1064" s="237"/>
      <c r="T1064" s="237"/>
      <c r="U1064" s="237"/>
      <c r="V1064" s="237"/>
      <c r="W1064" s="237"/>
      <c r="X1064" s="237"/>
      <c r="Y1064" s="237"/>
      <c r="Z1064" s="237"/>
      <c r="AA1064" s="237"/>
      <c r="AB1064" s="237"/>
    </row>
    <row r="1065">
      <c r="A1065" s="238">
        <v>1064.0</v>
      </c>
      <c r="B1065" s="239" t="s">
        <v>8109</v>
      </c>
      <c r="C1065" s="240" t="s">
        <v>8110</v>
      </c>
      <c r="D1065" s="236"/>
      <c r="E1065" s="240" t="s">
        <v>3496</v>
      </c>
      <c r="F1065" s="240" t="s">
        <v>8111</v>
      </c>
      <c r="G1065" s="238" t="s">
        <v>8112</v>
      </c>
      <c r="H1065" s="236"/>
      <c r="I1065" s="236"/>
      <c r="J1065" s="238" t="s">
        <v>8021</v>
      </c>
      <c r="K1065" s="239" t="s">
        <v>8109</v>
      </c>
      <c r="L1065" s="237"/>
      <c r="M1065" s="237"/>
      <c r="N1065" s="237"/>
      <c r="O1065" s="237"/>
      <c r="P1065" s="237"/>
      <c r="Q1065" s="237"/>
      <c r="R1065" s="237"/>
      <c r="S1065" s="237"/>
      <c r="T1065" s="237"/>
      <c r="U1065" s="237"/>
      <c r="V1065" s="237"/>
      <c r="W1065" s="237"/>
      <c r="X1065" s="237"/>
      <c r="Y1065" s="237"/>
      <c r="Z1065" s="237"/>
      <c r="AA1065" s="237"/>
      <c r="AB1065" s="237"/>
    </row>
    <row r="1066">
      <c r="A1066" s="238">
        <v>1065.0</v>
      </c>
      <c r="B1066" s="239" t="s">
        <v>8113</v>
      </c>
      <c r="C1066" s="240" t="s">
        <v>8114</v>
      </c>
      <c r="D1066" s="236"/>
      <c r="E1066" s="240" t="s">
        <v>3496</v>
      </c>
      <c r="F1066" s="240" t="s">
        <v>8115</v>
      </c>
      <c r="G1066" s="238" t="s">
        <v>8116</v>
      </c>
      <c r="H1066" s="236"/>
      <c r="I1066" s="236"/>
      <c r="J1066" s="238" t="s">
        <v>8021</v>
      </c>
      <c r="K1066" s="239" t="s">
        <v>8113</v>
      </c>
      <c r="L1066" s="237"/>
      <c r="M1066" s="237"/>
      <c r="N1066" s="237"/>
      <c r="O1066" s="237"/>
      <c r="P1066" s="237"/>
      <c r="Q1066" s="237"/>
      <c r="R1066" s="237"/>
      <c r="S1066" s="237"/>
      <c r="T1066" s="237"/>
      <c r="U1066" s="237"/>
      <c r="V1066" s="237"/>
      <c r="W1066" s="237"/>
      <c r="X1066" s="237"/>
      <c r="Y1066" s="237"/>
      <c r="Z1066" s="237"/>
      <c r="AA1066" s="237"/>
      <c r="AB1066" s="237"/>
    </row>
    <row r="1067">
      <c r="A1067" s="238">
        <v>1066.0</v>
      </c>
      <c r="B1067" s="239" t="s">
        <v>8117</v>
      </c>
      <c r="C1067" s="240" t="s">
        <v>8118</v>
      </c>
      <c r="D1067" s="236"/>
      <c r="E1067" s="240" t="s">
        <v>3496</v>
      </c>
      <c r="F1067" s="240" t="s">
        <v>8119</v>
      </c>
      <c r="G1067" s="238" t="s">
        <v>8120</v>
      </c>
      <c r="H1067" s="236"/>
      <c r="I1067" s="236"/>
      <c r="J1067" s="238" t="s">
        <v>8021</v>
      </c>
      <c r="K1067" s="239" t="s">
        <v>8117</v>
      </c>
      <c r="L1067" s="237"/>
      <c r="M1067" s="237"/>
      <c r="N1067" s="237"/>
      <c r="O1067" s="237"/>
      <c r="P1067" s="237"/>
      <c r="Q1067" s="237"/>
      <c r="R1067" s="237"/>
      <c r="S1067" s="237"/>
      <c r="T1067" s="237"/>
      <c r="U1067" s="237"/>
      <c r="V1067" s="237"/>
      <c r="W1067" s="237"/>
      <c r="X1067" s="237"/>
      <c r="Y1067" s="237"/>
      <c r="Z1067" s="237"/>
      <c r="AA1067" s="237"/>
      <c r="AB1067" s="237"/>
    </row>
    <row r="1068">
      <c r="A1068" s="238">
        <v>1067.0</v>
      </c>
      <c r="B1068" s="239" t="s">
        <v>8121</v>
      </c>
      <c r="C1068" s="240" t="s">
        <v>8122</v>
      </c>
      <c r="D1068" s="236"/>
      <c r="E1068" s="240" t="s">
        <v>3496</v>
      </c>
      <c r="F1068" s="240" t="s">
        <v>8123</v>
      </c>
      <c r="G1068" s="238" t="s">
        <v>8124</v>
      </c>
      <c r="H1068" s="236"/>
      <c r="I1068" s="236"/>
      <c r="J1068" s="238" t="s">
        <v>8021</v>
      </c>
      <c r="K1068" s="239" t="s">
        <v>8121</v>
      </c>
      <c r="L1068" s="237"/>
      <c r="M1068" s="237"/>
      <c r="N1068" s="237"/>
      <c r="O1068" s="237"/>
      <c r="P1068" s="237"/>
      <c r="Q1068" s="237"/>
      <c r="R1068" s="237"/>
      <c r="S1068" s="237"/>
      <c r="T1068" s="237"/>
      <c r="U1068" s="237"/>
      <c r="V1068" s="237"/>
      <c r="W1068" s="237"/>
      <c r="X1068" s="237"/>
      <c r="Y1068" s="237"/>
      <c r="Z1068" s="237"/>
      <c r="AA1068" s="237"/>
      <c r="AB1068" s="237"/>
    </row>
    <row r="1069">
      <c r="A1069" s="238">
        <v>1068.0</v>
      </c>
      <c r="B1069" s="239" t="s">
        <v>8125</v>
      </c>
      <c r="C1069" s="240" t="s">
        <v>8126</v>
      </c>
      <c r="D1069" s="236"/>
      <c r="E1069" s="240" t="s">
        <v>3496</v>
      </c>
      <c r="F1069" s="240" t="s">
        <v>8127</v>
      </c>
      <c r="G1069" s="238" t="s">
        <v>8128</v>
      </c>
      <c r="H1069" s="236"/>
      <c r="I1069" s="236"/>
      <c r="J1069" s="238" t="s">
        <v>8021</v>
      </c>
      <c r="K1069" s="239" t="s">
        <v>8125</v>
      </c>
      <c r="L1069" s="237"/>
      <c r="M1069" s="237"/>
      <c r="N1069" s="237"/>
      <c r="O1069" s="237"/>
      <c r="P1069" s="237"/>
      <c r="Q1069" s="237"/>
      <c r="R1069" s="237"/>
      <c r="S1069" s="237"/>
      <c r="T1069" s="237"/>
      <c r="U1069" s="237"/>
      <c r="V1069" s="237"/>
      <c r="W1069" s="237"/>
      <c r="X1069" s="237"/>
      <c r="Y1069" s="237"/>
      <c r="Z1069" s="237"/>
      <c r="AA1069" s="237"/>
      <c r="AB1069" s="237"/>
    </row>
    <row r="1070">
      <c r="A1070" s="238">
        <v>1069.0</v>
      </c>
      <c r="B1070" s="239" t="s">
        <v>8129</v>
      </c>
      <c r="C1070" s="240" t="s">
        <v>8130</v>
      </c>
      <c r="D1070" s="236"/>
      <c r="E1070" s="240" t="s">
        <v>3496</v>
      </c>
      <c r="F1070" s="240" t="s">
        <v>8131</v>
      </c>
      <c r="G1070" s="238" t="s">
        <v>8132</v>
      </c>
      <c r="H1070" s="236"/>
      <c r="I1070" s="236"/>
      <c r="J1070" s="238" t="s">
        <v>8021</v>
      </c>
      <c r="K1070" s="239" t="s">
        <v>8129</v>
      </c>
      <c r="L1070" s="237"/>
      <c r="M1070" s="237"/>
      <c r="N1070" s="237"/>
      <c r="O1070" s="237"/>
      <c r="P1070" s="237"/>
      <c r="Q1070" s="237"/>
      <c r="R1070" s="237"/>
      <c r="S1070" s="237"/>
      <c r="T1070" s="237"/>
      <c r="U1070" s="237"/>
      <c r="V1070" s="237"/>
      <c r="W1070" s="237"/>
      <c r="X1070" s="237"/>
      <c r="Y1070" s="237"/>
      <c r="Z1070" s="237"/>
      <c r="AA1070" s="237"/>
      <c r="AB1070" s="237"/>
    </row>
    <row r="1071">
      <c r="A1071" s="238">
        <v>1070.0</v>
      </c>
      <c r="B1071" s="239" t="s">
        <v>8133</v>
      </c>
      <c r="C1071" s="240" t="s">
        <v>8134</v>
      </c>
      <c r="D1071" s="236"/>
      <c r="E1071" s="240" t="s">
        <v>3496</v>
      </c>
      <c r="F1071" s="240" t="s">
        <v>8135</v>
      </c>
      <c r="G1071" s="238" t="s">
        <v>8136</v>
      </c>
      <c r="H1071" s="236"/>
      <c r="I1071" s="236"/>
      <c r="J1071" s="238" t="s">
        <v>8021</v>
      </c>
      <c r="K1071" s="239" t="s">
        <v>8133</v>
      </c>
      <c r="L1071" s="237"/>
      <c r="M1071" s="237"/>
      <c r="N1071" s="237"/>
      <c r="O1071" s="237"/>
      <c r="P1071" s="237"/>
      <c r="Q1071" s="237"/>
      <c r="R1071" s="237"/>
      <c r="S1071" s="237"/>
      <c r="T1071" s="237"/>
      <c r="U1071" s="237"/>
      <c r="V1071" s="237"/>
      <c r="W1071" s="237"/>
      <c r="X1071" s="237"/>
      <c r="Y1071" s="237"/>
      <c r="Z1071" s="237"/>
      <c r="AA1071" s="237"/>
      <c r="AB1071" s="237"/>
    </row>
    <row r="1072">
      <c r="A1072" s="238">
        <v>1071.0</v>
      </c>
      <c r="B1072" s="239" t="s">
        <v>8137</v>
      </c>
      <c r="C1072" s="240" t="s">
        <v>8138</v>
      </c>
      <c r="D1072" s="236"/>
      <c r="E1072" s="240" t="s">
        <v>3496</v>
      </c>
      <c r="F1072" s="240" t="s">
        <v>8139</v>
      </c>
      <c r="G1072" s="238" t="s">
        <v>8140</v>
      </c>
      <c r="H1072" s="236"/>
      <c r="I1072" s="236"/>
      <c r="J1072" s="238" t="s">
        <v>8021</v>
      </c>
      <c r="K1072" s="239" t="s">
        <v>8137</v>
      </c>
      <c r="L1072" s="237"/>
      <c r="M1072" s="237"/>
      <c r="N1072" s="237"/>
      <c r="O1072" s="237"/>
      <c r="P1072" s="237"/>
      <c r="Q1072" s="237"/>
      <c r="R1072" s="237"/>
      <c r="S1072" s="237"/>
      <c r="T1072" s="237"/>
      <c r="U1072" s="237"/>
      <c r="V1072" s="237"/>
      <c r="W1072" s="237"/>
      <c r="X1072" s="237"/>
      <c r="Y1072" s="237"/>
      <c r="Z1072" s="237"/>
      <c r="AA1072" s="237"/>
      <c r="AB1072" s="237"/>
    </row>
    <row r="1073">
      <c r="A1073" s="238">
        <v>1072.0</v>
      </c>
      <c r="B1073" s="239" t="s">
        <v>8141</v>
      </c>
      <c r="C1073" s="240" t="s">
        <v>8142</v>
      </c>
      <c r="D1073" s="236"/>
      <c r="E1073" s="240" t="s">
        <v>3496</v>
      </c>
      <c r="F1073" s="240" t="s">
        <v>8143</v>
      </c>
      <c r="G1073" s="238" t="s">
        <v>8144</v>
      </c>
      <c r="H1073" s="236"/>
      <c r="I1073" s="236"/>
      <c r="J1073" s="238" t="s">
        <v>8021</v>
      </c>
      <c r="K1073" s="239" t="s">
        <v>8141</v>
      </c>
      <c r="L1073" s="237"/>
      <c r="M1073" s="237"/>
      <c r="N1073" s="237"/>
      <c r="O1073" s="237"/>
      <c r="P1073" s="237"/>
      <c r="Q1073" s="237"/>
      <c r="R1073" s="237"/>
      <c r="S1073" s="237"/>
      <c r="T1073" s="237"/>
      <c r="U1073" s="237"/>
      <c r="V1073" s="237"/>
      <c r="W1073" s="237"/>
      <c r="X1073" s="237"/>
      <c r="Y1073" s="237"/>
      <c r="Z1073" s="237"/>
      <c r="AA1073" s="237"/>
      <c r="AB1073" s="237"/>
    </row>
    <row r="1074">
      <c r="A1074" s="238">
        <v>1073.0</v>
      </c>
      <c r="B1074" s="239" t="s">
        <v>8145</v>
      </c>
      <c r="C1074" s="240" t="s">
        <v>8146</v>
      </c>
      <c r="D1074" s="236"/>
      <c r="E1074" s="240" t="s">
        <v>3496</v>
      </c>
      <c r="F1074" s="240" t="s">
        <v>8147</v>
      </c>
      <c r="G1074" s="238" t="s">
        <v>8148</v>
      </c>
      <c r="H1074" s="236"/>
      <c r="I1074" s="236"/>
      <c r="J1074" s="238" t="s">
        <v>8021</v>
      </c>
      <c r="K1074" s="239" t="s">
        <v>8145</v>
      </c>
      <c r="L1074" s="237"/>
      <c r="M1074" s="237"/>
      <c r="N1074" s="237"/>
      <c r="O1074" s="237"/>
      <c r="P1074" s="237"/>
      <c r="Q1074" s="237"/>
      <c r="R1074" s="237"/>
      <c r="S1074" s="237"/>
      <c r="T1074" s="237"/>
      <c r="U1074" s="237"/>
      <c r="V1074" s="237"/>
      <c r="W1074" s="237"/>
      <c r="X1074" s="237"/>
      <c r="Y1074" s="237"/>
      <c r="Z1074" s="237"/>
      <c r="AA1074" s="237"/>
      <c r="AB1074" s="237"/>
    </row>
    <row r="1075">
      <c r="A1075" s="238">
        <v>1074.0</v>
      </c>
      <c r="B1075" s="239" t="s">
        <v>8149</v>
      </c>
      <c r="C1075" s="240" t="s">
        <v>8150</v>
      </c>
      <c r="D1075" s="236"/>
      <c r="E1075" s="240" t="s">
        <v>3496</v>
      </c>
      <c r="F1075" s="240" t="s">
        <v>8151</v>
      </c>
      <c r="G1075" s="238" t="s">
        <v>8152</v>
      </c>
      <c r="H1075" s="236"/>
      <c r="I1075" s="236"/>
      <c r="J1075" s="238" t="s">
        <v>8021</v>
      </c>
      <c r="K1075" s="239" t="s">
        <v>8149</v>
      </c>
      <c r="L1075" s="237"/>
      <c r="M1075" s="237"/>
      <c r="N1075" s="237"/>
      <c r="O1075" s="237"/>
      <c r="P1075" s="237"/>
      <c r="Q1075" s="237"/>
      <c r="R1075" s="237"/>
      <c r="S1075" s="237"/>
      <c r="T1075" s="237"/>
      <c r="U1075" s="237"/>
      <c r="V1075" s="237"/>
      <c r="W1075" s="237"/>
      <c r="X1075" s="237"/>
      <c r="Y1075" s="237"/>
      <c r="Z1075" s="237"/>
      <c r="AA1075" s="237"/>
      <c r="AB1075" s="237"/>
    </row>
    <row r="1076">
      <c r="A1076" s="238">
        <v>1075.0</v>
      </c>
      <c r="B1076" s="239" t="s">
        <v>8153</v>
      </c>
      <c r="C1076" s="240" t="s">
        <v>8154</v>
      </c>
      <c r="D1076" s="236"/>
      <c r="E1076" s="240" t="s">
        <v>3496</v>
      </c>
      <c r="F1076" s="240" t="s">
        <v>8155</v>
      </c>
      <c r="G1076" s="238" t="s">
        <v>8156</v>
      </c>
      <c r="H1076" s="236"/>
      <c r="I1076" s="236"/>
      <c r="J1076" s="238" t="s">
        <v>8157</v>
      </c>
      <c r="K1076" s="239" t="s">
        <v>8153</v>
      </c>
      <c r="L1076" s="237"/>
      <c r="M1076" s="237"/>
      <c r="N1076" s="237"/>
      <c r="O1076" s="237"/>
      <c r="P1076" s="237"/>
      <c r="Q1076" s="237"/>
      <c r="R1076" s="237"/>
      <c r="S1076" s="237"/>
      <c r="T1076" s="237"/>
      <c r="U1076" s="237"/>
      <c r="V1076" s="237"/>
      <c r="W1076" s="237"/>
      <c r="X1076" s="237"/>
      <c r="Y1076" s="237"/>
      <c r="Z1076" s="237"/>
      <c r="AA1076" s="237"/>
      <c r="AB1076" s="237"/>
    </row>
    <row r="1077">
      <c r="A1077" s="238">
        <v>1076.0</v>
      </c>
      <c r="B1077" s="239" t="s">
        <v>8158</v>
      </c>
      <c r="C1077" s="240" t="s">
        <v>8159</v>
      </c>
      <c r="D1077" s="236"/>
      <c r="E1077" s="240" t="s">
        <v>3511</v>
      </c>
      <c r="F1077" s="241" t="s">
        <v>8160</v>
      </c>
      <c r="G1077" s="243" t="s">
        <v>8161</v>
      </c>
      <c r="H1077" s="240" t="s">
        <v>8162</v>
      </c>
      <c r="I1077" s="236"/>
      <c r="J1077" s="238" t="s">
        <v>8157</v>
      </c>
      <c r="K1077" s="239" t="s">
        <v>8158</v>
      </c>
      <c r="L1077" s="237"/>
      <c r="M1077" s="237"/>
      <c r="N1077" s="237"/>
      <c r="O1077" s="237"/>
      <c r="P1077" s="237"/>
      <c r="Q1077" s="237"/>
      <c r="R1077" s="237"/>
      <c r="S1077" s="237"/>
      <c r="T1077" s="237"/>
      <c r="U1077" s="237"/>
      <c r="V1077" s="237"/>
      <c r="W1077" s="237"/>
      <c r="X1077" s="237"/>
      <c r="Y1077" s="237"/>
      <c r="Z1077" s="237"/>
      <c r="AA1077" s="237"/>
      <c r="AB1077" s="237"/>
    </row>
    <row r="1078">
      <c r="A1078" s="238">
        <v>1077.0</v>
      </c>
      <c r="B1078" s="239" t="s">
        <v>8163</v>
      </c>
      <c r="C1078" s="240" t="s">
        <v>8164</v>
      </c>
      <c r="D1078" s="236"/>
      <c r="E1078" s="240" t="s">
        <v>3511</v>
      </c>
      <c r="F1078" s="240" t="s">
        <v>8165</v>
      </c>
      <c r="G1078" s="238" t="s">
        <v>8166</v>
      </c>
      <c r="H1078" s="240" t="s">
        <v>8167</v>
      </c>
      <c r="I1078" s="236"/>
      <c r="J1078" s="238" t="s">
        <v>8157</v>
      </c>
      <c r="K1078" s="239" t="s">
        <v>8163</v>
      </c>
      <c r="L1078" s="237"/>
      <c r="M1078" s="237"/>
      <c r="N1078" s="237"/>
      <c r="O1078" s="237"/>
      <c r="P1078" s="237"/>
      <c r="Q1078" s="237"/>
      <c r="R1078" s="237"/>
      <c r="S1078" s="237"/>
      <c r="T1078" s="237"/>
      <c r="U1078" s="237"/>
      <c r="V1078" s="237"/>
      <c r="W1078" s="237"/>
      <c r="X1078" s="237"/>
      <c r="Y1078" s="237"/>
      <c r="Z1078" s="237"/>
      <c r="AA1078" s="237"/>
      <c r="AB1078" s="237"/>
    </row>
    <row r="1079">
      <c r="A1079" s="238">
        <v>1078.0</v>
      </c>
      <c r="B1079" s="239" t="s">
        <v>8168</v>
      </c>
      <c r="C1079" s="240" t="s">
        <v>8169</v>
      </c>
      <c r="D1079" s="236"/>
      <c r="E1079" s="240" t="s">
        <v>3511</v>
      </c>
      <c r="F1079" s="240" t="s">
        <v>8170</v>
      </c>
      <c r="G1079" s="238" t="s">
        <v>8171</v>
      </c>
      <c r="H1079" s="240" t="s">
        <v>8172</v>
      </c>
      <c r="I1079" s="236"/>
      <c r="J1079" s="238" t="s">
        <v>8157</v>
      </c>
      <c r="K1079" s="239" t="s">
        <v>8168</v>
      </c>
      <c r="L1079" s="237"/>
      <c r="M1079" s="237"/>
      <c r="N1079" s="237"/>
      <c r="O1079" s="237"/>
      <c r="P1079" s="237"/>
      <c r="Q1079" s="237"/>
      <c r="R1079" s="237"/>
      <c r="S1079" s="237"/>
      <c r="T1079" s="237"/>
      <c r="U1079" s="237"/>
      <c r="V1079" s="237"/>
      <c r="W1079" s="237"/>
      <c r="X1079" s="237"/>
      <c r="Y1079" s="237"/>
      <c r="Z1079" s="237"/>
      <c r="AA1079" s="237"/>
      <c r="AB1079" s="237"/>
    </row>
    <row r="1080">
      <c r="A1080" s="238">
        <v>1079.0</v>
      </c>
      <c r="B1080" s="239" t="s">
        <v>8173</v>
      </c>
      <c r="C1080" s="240" t="s">
        <v>8174</v>
      </c>
      <c r="D1080" s="236"/>
      <c r="E1080" s="240" t="s">
        <v>3511</v>
      </c>
      <c r="F1080" s="240" t="s">
        <v>8175</v>
      </c>
      <c r="G1080" s="238" t="s">
        <v>8176</v>
      </c>
      <c r="H1080" s="240" t="s">
        <v>8177</v>
      </c>
      <c r="I1080" s="236"/>
      <c r="J1080" s="238" t="s">
        <v>8157</v>
      </c>
      <c r="K1080" s="239" t="s">
        <v>8173</v>
      </c>
      <c r="L1080" s="237"/>
      <c r="M1080" s="237"/>
      <c r="N1080" s="237"/>
      <c r="O1080" s="237"/>
      <c r="P1080" s="237"/>
      <c r="Q1080" s="237"/>
      <c r="R1080" s="237"/>
      <c r="S1080" s="237"/>
      <c r="T1080" s="237"/>
      <c r="U1080" s="237"/>
      <c r="V1080" s="237"/>
      <c r="W1080" s="237"/>
      <c r="X1080" s="237"/>
      <c r="Y1080" s="237"/>
      <c r="Z1080" s="237"/>
      <c r="AA1080" s="237"/>
      <c r="AB1080" s="237"/>
    </row>
    <row r="1081">
      <c r="A1081" s="238">
        <v>1080.0</v>
      </c>
      <c r="B1081" s="239" t="s">
        <v>8178</v>
      </c>
      <c r="C1081" s="240" t="s">
        <v>8179</v>
      </c>
      <c r="D1081" s="236"/>
      <c r="E1081" s="240" t="s">
        <v>3511</v>
      </c>
      <c r="F1081" s="240" t="s">
        <v>8180</v>
      </c>
      <c r="G1081" s="238" t="s">
        <v>8181</v>
      </c>
      <c r="H1081" s="240" t="s">
        <v>8182</v>
      </c>
      <c r="I1081" s="236"/>
      <c r="J1081" s="238" t="s">
        <v>8157</v>
      </c>
      <c r="K1081" s="239" t="s">
        <v>8178</v>
      </c>
      <c r="L1081" s="237"/>
      <c r="M1081" s="237"/>
      <c r="N1081" s="237"/>
      <c r="O1081" s="237"/>
      <c r="P1081" s="237"/>
      <c r="Q1081" s="237"/>
      <c r="R1081" s="237"/>
      <c r="S1081" s="237"/>
      <c r="T1081" s="237"/>
      <c r="U1081" s="237"/>
      <c r="V1081" s="237"/>
      <c r="W1081" s="237"/>
      <c r="X1081" s="237"/>
      <c r="Y1081" s="237"/>
      <c r="Z1081" s="237"/>
      <c r="AA1081" s="237"/>
      <c r="AB1081" s="237"/>
    </row>
    <row r="1082">
      <c r="A1082" s="238">
        <v>1081.0</v>
      </c>
      <c r="B1082" s="239" t="s">
        <v>8183</v>
      </c>
      <c r="C1082" s="240" t="s">
        <v>8184</v>
      </c>
      <c r="D1082" s="236"/>
      <c r="E1082" s="240" t="s">
        <v>3511</v>
      </c>
      <c r="F1082" s="240" t="s">
        <v>8185</v>
      </c>
      <c r="G1082" s="238" t="s">
        <v>8186</v>
      </c>
      <c r="H1082" s="240" t="s">
        <v>8187</v>
      </c>
      <c r="I1082" s="236"/>
      <c r="J1082" s="238" t="s">
        <v>8157</v>
      </c>
      <c r="K1082" s="239" t="s">
        <v>8183</v>
      </c>
      <c r="L1082" s="237"/>
      <c r="M1082" s="237"/>
      <c r="N1082" s="237"/>
      <c r="O1082" s="237"/>
      <c r="P1082" s="237"/>
      <c r="Q1082" s="237"/>
      <c r="R1082" s="237"/>
      <c r="S1082" s="237"/>
      <c r="T1082" s="237"/>
      <c r="U1082" s="237"/>
      <c r="V1082" s="237"/>
      <c r="W1082" s="237"/>
      <c r="X1082" s="237"/>
      <c r="Y1082" s="237"/>
      <c r="Z1082" s="237"/>
      <c r="AA1082" s="237"/>
      <c r="AB1082" s="237"/>
    </row>
    <row r="1083">
      <c r="A1083" s="238">
        <v>1082.0</v>
      </c>
      <c r="B1083" s="242"/>
      <c r="C1083" s="240" t="s">
        <v>8188</v>
      </c>
      <c r="D1083" s="236"/>
      <c r="E1083" s="240" t="s">
        <v>3496</v>
      </c>
      <c r="F1083" s="240" t="s">
        <v>8189</v>
      </c>
      <c r="G1083" s="238" t="s">
        <v>8190</v>
      </c>
      <c r="H1083" s="236"/>
      <c r="I1083" s="236"/>
      <c r="J1083" s="238" t="s">
        <v>3658</v>
      </c>
      <c r="K1083" s="242"/>
      <c r="L1083" s="237"/>
      <c r="M1083" s="237"/>
      <c r="N1083" s="237"/>
      <c r="O1083" s="237"/>
      <c r="P1083" s="237"/>
      <c r="Q1083" s="237"/>
      <c r="R1083" s="237"/>
      <c r="S1083" s="237"/>
      <c r="T1083" s="237"/>
      <c r="U1083" s="237"/>
      <c r="V1083" s="237"/>
      <c r="W1083" s="237"/>
      <c r="X1083" s="237"/>
      <c r="Y1083" s="237"/>
      <c r="Z1083" s="237"/>
      <c r="AA1083" s="237"/>
      <c r="AB1083" s="237"/>
    </row>
    <row r="1084">
      <c r="A1084" s="238">
        <v>1083.0</v>
      </c>
      <c r="B1084" s="239" t="s">
        <v>8191</v>
      </c>
      <c r="C1084" s="240" t="s">
        <v>8192</v>
      </c>
      <c r="D1084" s="236"/>
      <c r="E1084" s="240" t="s">
        <v>3511</v>
      </c>
      <c r="F1084" s="240" t="s">
        <v>8193</v>
      </c>
      <c r="G1084" s="238" t="s">
        <v>8194</v>
      </c>
      <c r="H1084" s="240" t="s">
        <v>8195</v>
      </c>
      <c r="I1084" s="236"/>
      <c r="J1084" s="238" t="s">
        <v>8021</v>
      </c>
      <c r="K1084" s="239" t="s">
        <v>8191</v>
      </c>
      <c r="L1084" s="237"/>
      <c r="M1084" s="237"/>
      <c r="N1084" s="237"/>
      <c r="O1084" s="237"/>
      <c r="P1084" s="237"/>
      <c r="Q1084" s="237"/>
      <c r="R1084" s="237"/>
      <c r="S1084" s="237"/>
      <c r="T1084" s="237"/>
      <c r="U1084" s="237"/>
      <c r="V1084" s="237"/>
      <c r="W1084" s="237"/>
      <c r="X1084" s="237"/>
      <c r="Y1084" s="237"/>
      <c r="Z1084" s="237"/>
      <c r="AA1084" s="237"/>
      <c r="AB1084" s="237"/>
    </row>
    <row r="1085">
      <c r="A1085" s="238">
        <v>1084.0</v>
      </c>
      <c r="B1085" s="239" t="s">
        <v>8196</v>
      </c>
      <c r="C1085" s="240" t="s">
        <v>8197</v>
      </c>
      <c r="D1085" s="236"/>
      <c r="E1085" s="240" t="s">
        <v>3511</v>
      </c>
      <c r="F1085" s="240" t="s">
        <v>8198</v>
      </c>
      <c r="G1085" s="238" t="s">
        <v>8199</v>
      </c>
      <c r="H1085" s="240" t="s">
        <v>8200</v>
      </c>
      <c r="I1085" s="236"/>
      <c r="J1085" s="238" t="s">
        <v>8021</v>
      </c>
      <c r="K1085" s="239" t="s">
        <v>8196</v>
      </c>
      <c r="L1085" s="237"/>
      <c r="M1085" s="237"/>
      <c r="N1085" s="237"/>
      <c r="O1085" s="237"/>
      <c r="P1085" s="237"/>
      <c r="Q1085" s="237"/>
      <c r="R1085" s="237"/>
      <c r="S1085" s="237"/>
      <c r="T1085" s="237"/>
      <c r="U1085" s="237"/>
      <c r="V1085" s="237"/>
      <c r="W1085" s="237"/>
      <c r="X1085" s="237"/>
      <c r="Y1085" s="237"/>
      <c r="Z1085" s="237"/>
      <c r="AA1085" s="237"/>
      <c r="AB1085" s="237"/>
    </row>
    <row r="1086">
      <c r="A1086" s="238">
        <v>1085.0</v>
      </c>
      <c r="B1086" s="239" t="s">
        <v>8201</v>
      </c>
      <c r="C1086" s="240" t="s">
        <v>8202</v>
      </c>
      <c r="D1086" s="236"/>
      <c r="E1086" s="240" t="s">
        <v>3511</v>
      </c>
      <c r="F1086" s="240" t="s">
        <v>8203</v>
      </c>
      <c r="G1086" s="238" t="s">
        <v>8204</v>
      </c>
      <c r="H1086" s="240" t="s">
        <v>8205</v>
      </c>
      <c r="I1086" s="236"/>
      <c r="J1086" s="238" t="s">
        <v>8021</v>
      </c>
      <c r="K1086" s="239" t="s">
        <v>8201</v>
      </c>
      <c r="L1086" s="237"/>
      <c r="M1086" s="237"/>
      <c r="N1086" s="237"/>
      <c r="O1086" s="237"/>
      <c r="P1086" s="237"/>
      <c r="Q1086" s="237"/>
      <c r="R1086" s="237"/>
      <c r="S1086" s="237"/>
      <c r="T1086" s="237"/>
      <c r="U1086" s="237"/>
      <c r="V1086" s="237"/>
      <c r="W1086" s="237"/>
      <c r="X1086" s="237"/>
      <c r="Y1086" s="237"/>
      <c r="Z1086" s="237"/>
      <c r="AA1086" s="237"/>
      <c r="AB1086" s="237"/>
    </row>
    <row r="1087">
      <c r="A1087" s="238">
        <v>1086.0</v>
      </c>
      <c r="B1087" s="239" t="s">
        <v>8206</v>
      </c>
      <c r="C1087" s="240" t="s">
        <v>8207</v>
      </c>
      <c r="D1087" s="236"/>
      <c r="E1087" s="240" t="s">
        <v>3511</v>
      </c>
      <c r="F1087" s="240" t="s">
        <v>8208</v>
      </c>
      <c r="G1087" s="238" t="s">
        <v>8209</v>
      </c>
      <c r="H1087" s="240" t="s">
        <v>8210</v>
      </c>
      <c r="I1087" s="236"/>
      <c r="J1087" s="238" t="s">
        <v>8021</v>
      </c>
      <c r="K1087" s="239" t="s">
        <v>8206</v>
      </c>
      <c r="L1087" s="237"/>
      <c r="M1087" s="237"/>
      <c r="N1087" s="237"/>
      <c r="O1087" s="237"/>
      <c r="P1087" s="237"/>
      <c r="Q1087" s="237"/>
      <c r="R1087" s="237"/>
      <c r="S1087" s="237"/>
      <c r="T1087" s="237"/>
      <c r="U1087" s="237"/>
      <c r="V1087" s="237"/>
      <c r="W1087" s="237"/>
      <c r="X1087" s="237"/>
      <c r="Y1087" s="237"/>
      <c r="Z1087" s="237"/>
      <c r="AA1087" s="237"/>
      <c r="AB1087" s="237"/>
    </row>
    <row r="1088">
      <c r="A1088" s="238">
        <v>1087.0</v>
      </c>
      <c r="B1088" s="239" t="s">
        <v>8211</v>
      </c>
      <c r="C1088" s="240" t="s">
        <v>8212</v>
      </c>
      <c r="D1088" s="236"/>
      <c r="E1088" s="240" t="s">
        <v>3511</v>
      </c>
      <c r="F1088" s="240" t="s">
        <v>8213</v>
      </c>
      <c r="G1088" s="238" t="s">
        <v>8214</v>
      </c>
      <c r="H1088" s="240" t="s">
        <v>8215</v>
      </c>
      <c r="I1088" s="236"/>
      <c r="J1088" s="238" t="s">
        <v>8021</v>
      </c>
      <c r="K1088" s="239" t="s">
        <v>8211</v>
      </c>
      <c r="L1088" s="237"/>
      <c r="M1088" s="237"/>
      <c r="N1088" s="237"/>
      <c r="O1088" s="237"/>
      <c r="P1088" s="237"/>
      <c r="Q1088" s="237"/>
      <c r="R1088" s="237"/>
      <c r="S1088" s="237"/>
      <c r="T1088" s="237"/>
      <c r="U1088" s="237"/>
      <c r="V1088" s="237"/>
      <c r="W1088" s="237"/>
      <c r="X1088" s="237"/>
      <c r="Y1088" s="237"/>
      <c r="Z1088" s="237"/>
      <c r="AA1088" s="237"/>
      <c r="AB1088" s="237"/>
    </row>
    <row r="1089">
      <c r="A1089" s="238">
        <v>1088.0</v>
      </c>
      <c r="B1089" s="239" t="s">
        <v>8216</v>
      </c>
      <c r="C1089" s="240" t="s">
        <v>8217</v>
      </c>
      <c r="D1089" s="236"/>
      <c r="E1089" s="240" t="s">
        <v>3511</v>
      </c>
      <c r="F1089" s="240" t="s">
        <v>8218</v>
      </c>
      <c r="G1089" s="238" t="s">
        <v>8219</v>
      </c>
      <c r="H1089" s="240" t="s">
        <v>8220</v>
      </c>
      <c r="I1089" s="236"/>
      <c r="J1089" s="238" t="s">
        <v>8021</v>
      </c>
      <c r="K1089" s="239" t="s">
        <v>8216</v>
      </c>
      <c r="L1089" s="237"/>
      <c r="M1089" s="237"/>
      <c r="N1089" s="237"/>
      <c r="O1089" s="237"/>
      <c r="P1089" s="237"/>
      <c r="Q1089" s="237"/>
      <c r="R1089" s="237"/>
      <c r="S1089" s="237"/>
      <c r="T1089" s="237"/>
      <c r="U1089" s="237"/>
      <c r="V1089" s="237"/>
      <c r="W1089" s="237"/>
      <c r="X1089" s="237"/>
      <c r="Y1089" s="237"/>
      <c r="Z1089" s="237"/>
      <c r="AA1089" s="237"/>
      <c r="AB1089" s="237"/>
    </row>
    <row r="1090">
      <c r="A1090" s="238">
        <v>1089.0</v>
      </c>
      <c r="B1090" s="239" t="s">
        <v>8077</v>
      </c>
      <c r="C1090" s="240" t="s">
        <v>8221</v>
      </c>
      <c r="D1090" s="236"/>
      <c r="E1090" s="240" t="s">
        <v>3511</v>
      </c>
      <c r="F1090" s="240" t="s">
        <v>8079</v>
      </c>
      <c r="G1090" s="238" t="s">
        <v>8222</v>
      </c>
      <c r="H1090" s="240" t="s">
        <v>8223</v>
      </c>
      <c r="I1090" s="236"/>
      <c r="J1090" s="238" t="s">
        <v>8021</v>
      </c>
      <c r="K1090" s="239" t="s">
        <v>8077</v>
      </c>
      <c r="L1090" s="237"/>
      <c r="M1090" s="237"/>
      <c r="N1090" s="237"/>
      <c r="O1090" s="237"/>
      <c r="P1090" s="237"/>
      <c r="Q1090" s="237"/>
      <c r="R1090" s="237"/>
      <c r="S1090" s="237"/>
      <c r="T1090" s="237"/>
      <c r="U1090" s="237"/>
      <c r="V1090" s="237"/>
      <c r="W1090" s="237"/>
      <c r="X1090" s="237"/>
      <c r="Y1090" s="237"/>
      <c r="Z1090" s="237"/>
      <c r="AA1090" s="237"/>
      <c r="AB1090" s="237"/>
    </row>
    <row r="1091">
      <c r="A1091" s="238">
        <v>1090.0</v>
      </c>
      <c r="B1091" s="239" t="s">
        <v>8081</v>
      </c>
      <c r="C1091" s="240" t="s">
        <v>8224</v>
      </c>
      <c r="D1091" s="236"/>
      <c r="E1091" s="240" t="s">
        <v>3511</v>
      </c>
      <c r="F1091" s="240" t="s">
        <v>8083</v>
      </c>
      <c r="G1091" s="238" t="s">
        <v>8084</v>
      </c>
      <c r="H1091" s="240" t="s">
        <v>8225</v>
      </c>
      <c r="I1091" s="236"/>
      <c r="J1091" s="238" t="s">
        <v>8021</v>
      </c>
      <c r="K1091" s="239" t="s">
        <v>8081</v>
      </c>
      <c r="L1091" s="237"/>
      <c r="M1091" s="237"/>
      <c r="N1091" s="237"/>
      <c r="O1091" s="237"/>
      <c r="P1091" s="237"/>
      <c r="Q1091" s="237"/>
      <c r="R1091" s="237"/>
      <c r="S1091" s="237"/>
      <c r="T1091" s="237"/>
      <c r="U1091" s="237"/>
      <c r="V1091" s="237"/>
      <c r="W1091" s="237"/>
      <c r="X1091" s="237"/>
      <c r="Y1091" s="237"/>
      <c r="Z1091" s="237"/>
      <c r="AA1091" s="237"/>
      <c r="AB1091" s="237"/>
    </row>
    <row r="1092">
      <c r="A1092" s="238">
        <v>1091.0</v>
      </c>
      <c r="B1092" s="239" t="s">
        <v>8085</v>
      </c>
      <c r="C1092" s="240" t="s">
        <v>8226</v>
      </c>
      <c r="D1092" s="236"/>
      <c r="E1092" s="240" t="s">
        <v>3511</v>
      </c>
      <c r="F1092" s="240" t="s">
        <v>8087</v>
      </c>
      <c r="G1092" s="238" t="s">
        <v>8088</v>
      </c>
      <c r="H1092" s="240" t="s">
        <v>8227</v>
      </c>
      <c r="I1092" s="236"/>
      <c r="J1092" s="238" t="s">
        <v>8021</v>
      </c>
      <c r="K1092" s="239" t="s">
        <v>8085</v>
      </c>
      <c r="L1092" s="237"/>
      <c r="M1092" s="237"/>
      <c r="N1092" s="237"/>
      <c r="O1092" s="237"/>
      <c r="P1092" s="237"/>
      <c r="Q1092" s="237"/>
      <c r="R1092" s="237"/>
      <c r="S1092" s="237"/>
      <c r="T1092" s="237"/>
      <c r="U1092" s="237"/>
      <c r="V1092" s="237"/>
      <c r="W1092" s="237"/>
      <c r="X1092" s="237"/>
      <c r="Y1092" s="237"/>
      <c r="Z1092" s="237"/>
      <c r="AA1092" s="237"/>
      <c r="AB1092" s="237"/>
    </row>
    <row r="1093">
      <c r="A1093" s="238">
        <v>1092.0</v>
      </c>
      <c r="B1093" s="239" t="s">
        <v>8089</v>
      </c>
      <c r="C1093" s="240" t="s">
        <v>8228</v>
      </c>
      <c r="D1093" s="236"/>
      <c r="E1093" s="240" t="s">
        <v>3511</v>
      </c>
      <c r="F1093" s="240" t="s">
        <v>8091</v>
      </c>
      <c r="G1093" s="238" t="s">
        <v>8092</v>
      </c>
      <c r="H1093" s="240" t="s">
        <v>8229</v>
      </c>
      <c r="I1093" s="236"/>
      <c r="J1093" s="238" t="s">
        <v>8021</v>
      </c>
      <c r="K1093" s="239" t="s">
        <v>8089</v>
      </c>
      <c r="L1093" s="237"/>
      <c r="M1093" s="237"/>
      <c r="N1093" s="237"/>
      <c r="O1093" s="237"/>
      <c r="P1093" s="237"/>
      <c r="Q1093" s="237"/>
      <c r="R1093" s="237"/>
      <c r="S1093" s="237"/>
      <c r="T1093" s="237"/>
      <c r="U1093" s="237"/>
      <c r="V1093" s="237"/>
      <c r="W1093" s="237"/>
      <c r="X1093" s="237"/>
      <c r="Y1093" s="237"/>
      <c r="Z1093" s="237"/>
      <c r="AA1093" s="237"/>
      <c r="AB1093" s="237"/>
    </row>
    <row r="1094">
      <c r="A1094" s="238">
        <v>1093.0</v>
      </c>
      <c r="B1094" s="239" t="s">
        <v>8093</v>
      </c>
      <c r="C1094" s="240" t="s">
        <v>8230</v>
      </c>
      <c r="D1094" s="236"/>
      <c r="E1094" s="240" t="s">
        <v>3511</v>
      </c>
      <c r="F1094" s="240" t="s">
        <v>8095</v>
      </c>
      <c r="G1094" s="238" t="s">
        <v>8096</v>
      </c>
      <c r="H1094" s="240" t="s">
        <v>8231</v>
      </c>
      <c r="I1094" s="236"/>
      <c r="J1094" s="238" t="s">
        <v>8021</v>
      </c>
      <c r="K1094" s="239" t="s">
        <v>8093</v>
      </c>
      <c r="L1094" s="237"/>
      <c r="M1094" s="237"/>
      <c r="N1094" s="237"/>
      <c r="O1094" s="237"/>
      <c r="P1094" s="237"/>
      <c r="Q1094" s="237"/>
      <c r="R1094" s="237"/>
      <c r="S1094" s="237"/>
      <c r="T1094" s="237"/>
      <c r="U1094" s="237"/>
      <c r="V1094" s="237"/>
      <c r="W1094" s="237"/>
      <c r="X1094" s="237"/>
      <c r="Y1094" s="237"/>
      <c r="Z1094" s="237"/>
      <c r="AA1094" s="237"/>
      <c r="AB1094" s="237"/>
    </row>
    <row r="1095">
      <c r="A1095" s="238">
        <v>1094.0</v>
      </c>
      <c r="B1095" s="239" t="s">
        <v>8097</v>
      </c>
      <c r="C1095" s="240" t="s">
        <v>8232</v>
      </c>
      <c r="D1095" s="236"/>
      <c r="E1095" s="240" t="s">
        <v>3511</v>
      </c>
      <c r="F1095" s="240" t="s">
        <v>8099</v>
      </c>
      <c r="G1095" s="238" t="s">
        <v>8100</v>
      </c>
      <c r="H1095" s="240" t="s">
        <v>8233</v>
      </c>
      <c r="I1095" s="236"/>
      <c r="J1095" s="238" t="s">
        <v>8021</v>
      </c>
      <c r="K1095" s="239" t="s">
        <v>8097</v>
      </c>
      <c r="L1095" s="237"/>
      <c r="M1095" s="237"/>
      <c r="N1095" s="237"/>
      <c r="O1095" s="237"/>
      <c r="P1095" s="237"/>
      <c r="Q1095" s="237"/>
      <c r="R1095" s="237"/>
      <c r="S1095" s="237"/>
      <c r="T1095" s="237"/>
      <c r="U1095" s="237"/>
      <c r="V1095" s="237"/>
      <c r="W1095" s="237"/>
      <c r="X1095" s="237"/>
      <c r="Y1095" s="237"/>
      <c r="Z1095" s="237"/>
      <c r="AA1095" s="237"/>
      <c r="AB1095" s="237"/>
    </row>
    <row r="1096">
      <c r="A1096" s="238">
        <v>1095.0</v>
      </c>
      <c r="B1096" s="239" t="s">
        <v>8101</v>
      </c>
      <c r="C1096" s="240" t="s">
        <v>8234</v>
      </c>
      <c r="D1096" s="236"/>
      <c r="E1096" s="240" t="s">
        <v>3511</v>
      </c>
      <c r="F1096" s="240" t="s">
        <v>8103</v>
      </c>
      <c r="G1096" s="238" t="s">
        <v>8104</v>
      </c>
      <c r="H1096" s="240" t="s">
        <v>8235</v>
      </c>
      <c r="I1096" s="236"/>
      <c r="J1096" s="238" t="s">
        <v>8021</v>
      </c>
      <c r="K1096" s="239" t="s">
        <v>8101</v>
      </c>
      <c r="L1096" s="237"/>
      <c r="M1096" s="237"/>
      <c r="N1096" s="237"/>
      <c r="O1096" s="237"/>
      <c r="P1096" s="237"/>
      <c r="Q1096" s="237"/>
      <c r="R1096" s="237"/>
      <c r="S1096" s="237"/>
      <c r="T1096" s="237"/>
      <c r="U1096" s="237"/>
      <c r="V1096" s="237"/>
      <c r="W1096" s="237"/>
      <c r="X1096" s="237"/>
      <c r="Y1096" s="237"/>
      <c r="Z1096" s="237"/>
      <c r="AA1096" s="237"/>
      <c r="AB1096" s="237"/>
    </row>
    <row r="1097">
      <c r="A1097" s="238">
        <v>1096.0</v>
      </c>
      <c r="B1097" s="239" t="s">
        <v>8105</v>
      </c>
      <c r="C1097" s="240" t="s">
        <v>8236</v>
      </c>
      <c r="D1097" s="236"/>
      <c r="E1097" s="240" t="s">
        <v>3511</v>
      </c>
      <c r="F1097" s="240" t="s">
        <v>8107</v>
      </c>
      <c r="G1097" s="238" t="s">
        <v>8108</v>
      </c>
      <c r="H1097" s="240" t="s">
        <v>8237</v>
      </c>
      <c r="I1097" s="236"/>
      <c r="J1097" s="238" t="s">
        <v>8021</v>
      </c>
      <c r="K1097" s="239" t="s">
        <v>8105</v>
      </c>
      <c r="L1097" s="237"/>
      <c r="M1097" s="237"/>
      <c r="N1097" s="237"/>
      <c r="O1097" s="237"/>
      <c r="P1097" s="237"/>
      <c r="Q1097" s="237"/>
      <c r="R1097" s="237"/>
      <c r="S1097" s="237"/>
      <c r="T1097" s="237"/>
      <c r="U1097" s="237"/>
      <c r="V1097" s="237"/>
      <c r="W1097" s="237"/>
      <c r="X1097" s="237"/>
      <c r="Y1097" s="237"/>
      <c r="Z1097" s="237"/>
      <c r="AA1097" s="237"/>
      <c r="AB1097" s="237"/>
    </row>
    <row r="1098">
      <c r="A1098" s="238">
        <v>1097.0</v>
      </c>
      <c r="B1098" s="239" t="s">
        <v>8109</v>
      </c>
      <c r="C1098" s="240" t="s">
        <v>8238</v>
      </c>
      <c r="D1098" s="236"/>
      <c r="E1098" s="240" t="s">
        <v>3511</v>
      </c>
      <c r="F1098" s="240" t="s">
        <v>8111</v>
      </c>
      <c r="G1098" s="238" t="s">
        <v>8112</v>
      </c>
      <c r="H1098" s="240" t="s">
        <v>8239</v>
      </c>
      <c r="I1098" s="236"/>
      <c r="J1098" s="238" t="s">
        <v>8021</v>
      </c>
      <c r="K1098" s="239" t="s">
        <v>8109</v>
      </c>
      <c r="L1098" s="237"/>
      <c r="M1098" s="237"/>
      <c r="N1098" s="237"/>
      <c r="O1098" s="237"/>
      <c r="P1098" s="237"/>
      <c r="Q1098" s="237"/>
      <c r="R1098" s="237"/>
      <c r="S1098" s="237"/>
      <c r="T1098" s="237"/>
      <c r="U1098" s="237"/>
      <c r="V1098" s="237"/>
      <c r="W1098" s="237"/>
      <c r="X1098" s="237"/>
      <c r="Y1098" s="237"/>
      <c r="Z1098" s="237"/>
      <c r="AA1098" s="237"/>
      <c r="AB1098" s="237"/>
    </row>
    <row r="1099">
      <c r="A1099" s="238">
        <v>1098.0</v>
      </c>
      <c r="B1099" s="239" t="s">
        <v>8113</v>
      </c>
      <c r="C1099" s="240" t="s">
        <v>8240</v>
      </c>
      <c r="D1099" s="236"/>
      <c r="E1099" s="240" t="s">
        <v>3511</v>
      </c>
      <c r="F1099" s="240" t="s">
        <v>8115</v>
      </c>
      <c r="G1099" s="238" t="s">
        <v>8116</v>
      </c>
      <c r="H1099" s="240" t="s">
        <v>8241</v>
      </c>
      <c r="I1099" s="236"/>
      <c r="J1099" s="238" t="s">
        <v>8021</v>
      </c>
      <c r="K1099" s="239" t="s">
        <v>8113</v>
      </c>
      <c r="L1099" s="237"/>
      <c r="M1099" s="237"/>
      <c r="N1099" s="237"/>
      <c r="O1099" s="237"/>
      <c r="P1099" s="237"/>
      <c r="Q1099" s="237"/>
      <c r="R1099" s="237"/>
      <c r="S1099" s="237"/>
      <c r="T1099" s="237"/>
      <c r="U1099" s="237"/>
      <c r="V1099" s="237"/>
      <c r="W1099" s="237"/>
      <c r="X1099" s="237"/>
      <c r="Y1099" s="237"/>
      <c r="Z1099" s="237"/>
      <c r="AA1099" s="237"/>
      <c r="AB1099" s="237"/>
    </row>
    <row r="1100">
      <c r="A1100" s="238">
        <v>1099.0</v>
      </c>
      <c r="B1100" s="239" t="s">
        <v>8117</v>
      </c>
      <c r="C1100" s="240" t="s">
        <v>8242</v>
      </c>
      <c r="D1100" s="236"/>
      <c r="E1100" s="240" t="s">
        <v>3511</v>
      </c>
      <c r="F1100" s="240" t="s">
        <v>8119</v>
      </c>
      <c r="G1100" s="238" t="s">
        <v>8120</v>
      </c>
      <c r="H1100" s="240" t="s">
        <v>8243</v>
      </c>
      <c r="I1100" s="236"/>
      <c r="J1100" s="238" t="s">
        <v>8021</v>
      </c>
      <c r="K1100" s="239" t="s">
        <v>8117</v>
      </c>
      <c r="L1100" s="237"/>
      <c r="M1100" s="237"/>
      <c r="N1100" s="237"/>
      <c r="O1100" s="237"/>
      <c r="P1100" s="237"/>
      <c r="Q1100" s="237"/>
      <c r="R1100" s="237"/>
      <c r="S1100" s="237"/>
      <c r="T1100" s="237"/>
      <c r="U1100" s="237"/>
      <c r="V1100" s="237"/>
      <c r="W1100" s="237"/>
      <c r="X1100" s="237"/>
      <c r="Y1100" s="237"/>
      <c r="Z1100" s="237"/>
      <c r="AA1100" s="237"/>
      <c r="AB1100" s="237"/>
    </row>
    <row r="1101">
      <c r="A1101" s="238">
        <v>1100.0</v>
      </c>
      <c r="B1101" s="239" t="s">
        <v>8121</v>
      </c>
      <c r="C1101" s="240" t="s">
        <v>8244</v>
      </c>
      <c r="D1101" s="236"/>
      <c r="E1101" s="240" t="s">
        <v>3511</v>
      </c>
      <c r="F1101" s="240" t="s">
        <v>8123</v>
      </c>
      <c r="G1101" s="238" t="s">
        <v>8124</v>
      </c>
      <c r="H1101" s="240" t="s">
        <v>8245</v>
      </c>
      <c r="I1101" s="236"/>
      <c r="J1101" s="238" t="s">
        <v>8021</v>
      </c>
      <c r="K1101" s="239" t="s">
        <v>8121</v>
      </c>
      <c r="L1101" s="237"/>
      <c r="M1101" s="237"/>
      <c r="N1101" s="237"/>
      <c r="O1101" s="237"/>
      <c r="P1101" s="237"/>
      <c r="Q1101" s="237"/>
      <c r="R1101" s="237"/>
      <c r="S1101" s="237"/>
      <c r="T1101" s="237"/>
      <c r="U1101" s="237"/>
      <c r="V1101" s="237"/>
      <c r="W1101" s="237"/>
      <c r="X1101" s="237"/>
      <c r="Y1101" s="237"/>
      <c r="Z1101" s="237"/>
      <c r="AA1101" s="237"/>
      <c r="AB1101" s="237"/>
    </row>
    <row r="1102">
      <c r="A1102" s="238">
        <v>1101.0</v>
      </c>
      <c r="B1102" s="239" t="s">
        <v>8125</v>
      </c>
      <c r="C1102" s="240" t="s">
        <v>8246</v>
      </c>
      <c r="D1102" s="236"/>
      <c r="E1102" s="240" t="s">
        <v>3511</v>
      </c>
      <c r="F1102" s="240" t="s">
        <v>8127</v>
      </c>
      <c r="G1102" s="238" t="s">
        <v>8128</v>
      </c>
      <c r="H1102" s="240" t="s">
        <v>8247</v>
      </c>
      <c r="I1102" s="236"/>
      <c r="J1102" s="238" t="s">
        <v>8021</v>
      </c>
      <c r="K1102" s="239" t="s">
        <v>8125</v>
      </c>
      <c r="L1102" s="237"/>
      <c r="M1102" s="237"/>
      <c r="N1102" s="237"/>
      <c r="O1102" s="237"/>
      <c r="P1102" s="237"/>
      <c r="Q1102" s="237"/>
      <c r="R1102" s="237"/>
      <c r="S1102" s="237"/>
      <c r="T1102" s="237"/>
      <c r="U1102" s="237"/>
      <c r="V1102" s="237"/>
      <c r="W1102" s="237"/>
      <c r="X1102" s="237"/>
      <c r="Y1102" s="237"/>
      <c r="Z1102" s="237"/>
      <c r="AA1102" s="237"/>
      <c r="AB1102" s="237"/>
    </row>
    <row r="1103">
      <c r="A1103" s="238">
        <v>1102.0</v>
      </c>
      <c r="B1103" s="239" t="s">
        <v>8129</v>
      </c>
      <c r="C1103" s="240" t="s">
        <v>8248</v>
      </c>
      <c r="D1103" s="236"/>
      <c r="E1103" s="240" t="s">
        <v>3511</v>
      </c>
      <c r="F1103" s="240" t="s">
        <v>8131</v>
      </c>
      <c r="G1103" s="238" t="s">
        <v>8132</v>
      </c>
      <c r="H1103" s="240" t="s">
        <v>8249</v>
      </c>
      <c r="I1103" s="236"/>
      <c r="J1103" s="238" t="s">
        <v>8021</v>
      </c>
      <c r="K1103" s="239" t="s">
        <v>8129</v>
      </c>
      <c r="L1103" s="237"/>
      <c r="M1103" s="237"/>
      <c r="N1103" s="237"/>
      <c r="O1103" s="237"/>
      <c r="P1103" s="237"/>
      <c r="Q1103" s="237"/>
      <c r="R1103" s="237"/>
      <c r="S1103" s="237"/>
      <c r="T1103" s="237"/>
      <c r="U1103" s="237"/>
      <c r="V1103" s="237"/>
      <c r="W1103" s="237"/>
      <c r="X1103" s="237"/>
      <c r="Y1103" s="237"/>
      <c r="Z1103" s="237"/>
      <c r="AA1103" s="237"/>
      <c r="AB1103" s="237"/>
    </row>
    <row r="1104">
      <c r="A1104" s="238">
        <v>1103.0</v>
      </c>
      <c r="B1104" s="239" t="s">
        <v>8133</v>
      </c>
      <c r="C1104" s="240" t="s">
        <v>8250</v>
      </c>
      <c r="D1104" s="236"/>
      <c r="E1104" s="240" t="s">
        <v>3511</v>
      </c>
      <c r="F1104" s="240" t="s">
        <v>8135</v>
      </c>
      <c r="G1104" s="238" t="s">
        <v>8136</v>
      </c>
      <c r="H1104" s="240" t="s">
        <v>8251</v>
      </c>
      <c r="I1104" s="236"/>
      <c r="J1104" s="238" t="s">
        <v>8021</v>
      </c>
      <c r="K1104" s="239" t="s">
        <v>8133</v>
      </c>
      <c r="L1104" s="237"/>
      <c r="M1104" s="237"/>
      <c r="N1104" s="237"/>
      <c r="O1104" s="237"/>
      <c r="P1104" s="237"/>
      <c r="Q1104" s="237"/>
      <c r="R1104" s="237"/>
      <c r="S1104" s="237"/>
      <c r="T1104" s="237"/>
      <c r="U1104" s="237"/>
      <c r="V1104" s="237"/>
      <c r="W1104" s="237"/>
      <c r="X1104" s="237"/>
      <c r="Y1104" s="237"/>
      <c r="Z1104" s="237"/>
      <c r="AA1104" s="237"/>
      <c r="AB1104" s="237"/>
    </row>
    <row r="1105">
      <c r="A1105" s="238">
        <v>1104.0</v>
      </c>
      <c r="B1105" s="239" t="s">
        <v>8137</v>
      </c>
      <c r="C1105" s="240" t="s">
        <v>8252</v>
      </c>
      <c r="D1105" s="236"/>
      <c r="E1105" s="240" t="s">
        <v>3511</v>
      </c>
      <c r="F1105" s="240" t="s">
        <v>8139</v>
      </c>
      <c r="G1105" s="238" t="s">
        <v>8140</v>
      </c>
      <c r="H1105" s="240" t="s">
        <v>8253</v>
      </c>
      <c r="I1105" s="236"/>
      <c r="J1105" s="238" t="s">
        <v>8021</v>
      </c>
      <c r="K1105" s="239" t="s">
        <v>8137</v>
      </c>
      <c r="L1105" s="237"/>
      <c r="M1105" s="237"/>
      <c r="N1105" s="237"/>
      <c r="O1105" s="237"/>
      <c r="P1105" s="237"/>
      <c r="Q1105" s="237"/>
      <c r="R1105" s="237"/>
      <c r="S1105" s="237"/>
      <c r="T1105" s="237"/>
      <c r="U1105" s="237"/>
      <c r="V1105" s="237"/>
      <c r="W1105" s="237"/>
      <c r="X1105" s="237"/>
      <c r="Y1105" s="237"/>
      <c r="Z1105" s="237"/>
      <c r="AA1105" s="237"/>
      <c r="AB1105" s="237"/>
    </row>
    <row r="1106">
      <c r="A1106" s="238">
        <v>1105.0</v>
      </c>
      <c r="B1106" s="239" t="s">
        <v>8141</v>
      </c>
      <c r="C1106" s="240" t="s">
        <v>8254</v>
      </c>
      <c r="D1106" s="236"/>
      <c r="E1106" s="240" t="s">
        <v>3511</v>
      </c>
      <c r="F1106" s="240" t="s">
        <v>8143</v>
      </c>
      <c r="G1106" s="238" t="s">
        <v>8144</v>
      </c>
      <c r="H1106" s="240" t="s">
        <v>8255</v>
      </c>
      <c r="I1106" s="236"/>
      <c r="J1106" s="238" t="s">
        <v>8021</v>
      </c>
      <c r="K1106" s="239" t="s">
        <v>8141</v>
      </c>
      <c r="L1106" s="237"/>
      <c r="M1106" s="237"/>
      <c r="N1106" s="237"/>
      <c r="O1106" s="237"/>
      <c r="P1106" s="237"/>
      <c r="Q1106" s="237"/>
      <c r="R1106" s="237"/>
      <c r="S1106" s="237"/>
      <c r="T1106" s="237"/>
      <c r="U1106" s="237"/>
      <c r="V1106" s="237"/>
      <c r="W1106" s="237"/>
      <c r="X1106" s="237"/>
      <c r="Y1106" s="237"/>
      <c r="Z1106" s="237"/>
      <c r="AA1106" s="237"/>
      <c r="AB1106" s="237"/>
    </row>
    <row r="1107">
      <c r="A1107" s="238">
        <v>1106.0</v>
      </c>
      <c r="B1107" s="239" t="s">
        <v>8145</v>
      </c>
      <c r="C1107" s="240" t="s">
        <v>8256</v>
      </c>
      <c r="D1107" s="236"/>
      <c r="E1107" s="240" t="s">
        <v>3511</v>
      </c>
      <c r="F1107" s="240" t="s">
        <v>8147</v>
      </c>
      <c r="G1107" s="238" t="s">
        <v>8148</v>
      </c>
      <c r="H1107" s="240" t="s">
        <v>8257</v>
      </c>
      <c r="I1107" s="236"/>
      <c r="J1107" s="238" t="s">
        <v>8021</v>
      </c>
      <c r="K1107" s="239" t="s">
        <v>8145</v>
      </c>
      <c r="L1107" s="237"/>
      <c r="M1107" s="237"/>
      <c r="N1107" s="237"/>
      <c r="O1107" s="237"/>
      <c r="P1107" s="237"/>
      <c r="Q1107" s="237"/>
      <c r="R1107" s="237"/>
      <c r="S1107" s="237"/>
      <c r="T1107" s="237"/>
      <c r="U1107" s="237"/>
      <c r="V1107" s="237"/>
      <c r="W1107" s="237"/>
      <c r="X1107" s="237"/>
      <c r="Y1107" s="237"/>
      <c r="Z1107" s="237"/>
      <c r="AA1107" s="237"/>
      <c r="AB1107" s="237"/>
    </row>
    <row r="1108">
      <c r="A1108" s="238">
        <v>1107.0</v>
      </c>
      <c r="B1108" s="239" t="s">
        <v>8149</v>
      </c>
      <c r="C1108" s="241" t="s">
        <v>8258</v>
      </c>
      <c r="D1108" s="236"/>
      <c r="E1108" s="240" t="s">
        <v>3511</v>
      </c>
      <c r="F1108" s="240" t="s">
        <v>8151</v>
      </c>
      <c r="G1108" s="238" t="s">
        <v>8152</v>
      </c>
      <c r="H1108" s="240" t="s">
        <v>8259</v>
      </c>
      <c r="I1108" s="236"/>
      <c r="J1108" s="238" t="s">
        <v>8021</v>
      </c>
      <c r="K1108" s="239" t="s">
        <v>8149</v>
      </c>
      <c r="L1108" s="237"/>
      <c r="M1108" s="237"/>
      <c r="N1108" s="237"/>
      <c r="O1108" s="237"/>
      <c r="P1108" s="237"/>
      <c r="Q1108" s="237"/>
      <c r="R1108" s="237"/>
      <c r="S1108" s="237"/>
      <c r="T1108" s="237"/>
      <c r="U1108" s="237"/>
      <c r="V1108" s="237"/>
      <c r="W1108" s="237"/>
      <c r="X1108" s="237"/>
      <c r="Y1108" s="237"/>
      <c r="Z1108" s="237"/>
      <c r="AA1108" s="237"/>
      <c r="AB1108" s="237"/>
    </row>
    <row r="1109">
      <c r="A1109" s="238">
        <v>1108.0</v>
      </c>
      <c r="B1109" s="239" t="s">
        <v>8260</v>
      </c>
      <c r="C1109" s="240" t="s">
        <v>8261</v>
      </c>
      <c r="D1109" s="236"/>
      <c r="E1109" s="240" t="s">
        <v>3511</v>
      </c>
      <c r="F1109" s="240" t="s">
        <v>8262</v>
      </c>
      <c r="G1109" s="238" t="s">
        <v>8263</v>
      </c>
      <c r="H1109" s="240" t="s">
        <v>8264</v>
      </c>
      <c r="I1109" s="236"/>
      <c r="J1109" s="238" t="s">
        <v>8021</v>
      </c>
      <c r="K1109" s="239" t="s">
        <v>8260</v>
      </c>
      <c r="L1109" s="237"/>
      <c r="M1109" s="237"/>
      <c r="N1109" s="237"/>
      <c r="O1109" s="237"/>
      <c r="P1109" s="237"/>
      <c r="Q1109" s="237"/>
      <c r="R1109" s="237"/>
      <c r="S1109" s="237"/>
      <c r="T1109" s="237"/>
      <c r="U1109" s="237"/>
      <c r="V1109" s="237"/>
      <c r="W1109" s="237"/>
      <c r="X1109" s="237"/>
      <c r="Y1109" s="237"/>
      <c r="Z1109" s="237"/>
      <c r="AA1109" s="237"/>
      <c r="AB1109" s="237"/>
    </row>
    <row r="1110">
      <c r="A1110" s="238">
        <v>1109.0</v>
      </c>
      <c r="B1110" s="239" t="s">
        <v>8265</v>
      </c>
      <c r="C1110" s="240" t="s">
        <v>8266</v>
      </c>
      <c r="D1110" s="236"/>
      <c r="E1110" s="240" t="s">
        <v>3511</v>
      </c>
      <c r="F1110" s="240" t="s">
        <v>8267</v>
      </c>
      <c r="G1110" s="238" t="s">
        <v>8268</v>
      </c>
      <c r="H1110" s="240" t="s">
        <v>8269</v>
      </c>
      <c r="I1110" s="236"/>
      <c r="J1110" s="238" t="s">
        <v>8021</v>
      </c>
      <c r="K1110" s="239" t="s">
        <v>8265</v>
      </c>
      <c r="L1110" s="237"/>
      <c r="M1110" s="237"/>
      <c r="N1110" s="237"/>
      <c r="O1110" s="237"/>
      <c r="P1110" s="237"/>
      <c r="Q1110" s="237"/>
      <c r="R1110" s="237"/>
      <c r="S1110" s="237"/>
      <c r="T1110" s="237"/>
      <c r="U1110" s="237"/>
      <c r="V1110" s="237"/>
      <c r="W1110" s="237"/>
      <c r="X1110" s="237"/>
      <c r="Y1110" s="237"/>
      <c r="Z1110" s="237"/>
      <c r="AA1110" s="237"/>
      <c r="AB1110" s="237"/>
    </row>
    <row r="1111">
      <c r="A1111" s="238">
        <v>1110.0</v>
      </c>
      <c r="B1111" s="239" t="s">
        <v>8270</v>
      </c>
      <c r="C1111" s="240" t="s">
        <v>8271</v>
      </c>
      <c r="D1111" s="236"/>
      <c r="E1111" s="240" t="s">
        <v>3511</v>
      </c>
      <c r="F1111" s="240" t="s">
        <v>8272</v>
      </c>
      <c r="G1111" s="238" t="s">
        <v>8273</v>
      </c>
      <c r="H1111" s="240" t="s">
        <v>8274</v>
      </c>
      <c r="I1111" s="236"/>
      <c r="J1111" s="238" t="s">
        <v>8021</v>
      </c>
      <c r="K1111" s="239" t="s">
        <v>8270</v>
      </c>
      <c r="L1111" s="237"/>
      <c r="M1111" s="237"/>
      <c r="N1111" s="237"/>
      <c r="O1111" s="237"/>
      <c r="P1111" s="237"/>
      <c r="Q1111" s="237"/>
      <c r="R1111" s="237"/>
      <c r="S1111" s="237"/>
      <c r="T1111" s="237"/>
      <c r="U1111" s="237"/>
      <c r="V1111" s="237"/>
      <c r="W1111" s="237"/>
      <c r="X1111" s="237"/>
      <c r="Y1111" s="237"/>
      <c r="Z1111" s="237"/>
      <c r="AA1111" s="237"/>
      <c r="AB1111" s="237"/>
    </row>
    <row r="1112">
      <c r="A1112" s="238">
        <v>1111.0</v>
      </c>
      <c r="B1112" s="239" t="s">
        <v>8275</v>
      </c>
      <c r="C1112" s="240" t="s">
        <v>8276</v>
      </c>
      <c r="D1112" s="236"/>
      <c r="E1112" s="240" t="s">
        <v>3511</v>
      </c>
      <c r="F1112" s="240" t="s">
        <v>8277</v>
      </c>
      <c r="G1112" s="238" t="s">
        <v>8278</v>
      </c>
      <c r="H1112" s="240" t="s">
        <v>8279</v>
      </c>
      <c r="I1112" s="236"/>
      <c r="J1112" s="238" t="s">
        <v>8021</v>
      </c>
      <c r="K1112" s="239" t="s">
        <v>8275</v>
      </c>
      <c r="L1112" s="237"/>
      <c r="M1112" s="237"/>
      <c r="N1112" s="237"/>
      <c r="O1112" s="237"/>
      <c r="P1112" s="237"/>
      <c r="Q1112" s="237"/>
      <c r="R1112" s="237"/>
      <c r="S1112" s="237"/>
      <c r="T1112" s="237"/>
      <c r="U1112" s="237"/>
      <c r="V1112" s="237"/>
      <c r="W1112" s="237"/>
      <c r="X1112" s="237"/>
      <c r="Y1112" s="237"/>
      <c r="Z1112" s="237"/>
      <c r="AA1112" s="237"/>
      <c r="AB1112" s="237"/>
    </row>
    <row r="1113">
      <c r="A1113" s="238">
        <v>1112.0</v>
      </c>
      <c r="B1113" s="239" t="s">
        <v>8153</v>
      </c>
      <c r="C1113" s="240" t="s">
        <v>8280</v>
      </c>
      <c r="D1113" s="236"/>
      <c r="E1113" s="240" t="s">
        <v>3511</v>
      </c>
      <c r="F1113" s="240" t="s">
        <v>8155</v>
      </c>
      <c r="G1113" s="238" t="s">
        <v>8156</v>
      </c>
      <c r="H1113" s="240" t="s">
        <v>8281</v>
      </c>
      <c r="I1113" s="236"/>
      <c r="J1113" s="238" t="s">
        <v>8157</v>
      </c>
      <c r="K1113" s="239" t="s">
        <v>8153</v>
      </c>
      <c r="L1113" s="237"/>
      <c r="M1113" s="237"/>
      <c r="N1113" s="237"/>
      <c r="O1113" s="237"/>
      <c r="P1113" s="237"/>
      <c r="Q1113" s="237"/>
      <c r="R1113" s="237"/>
      <c r="S1113" s="237"/>
      <c r="T1113" s="237"/>
      <c r="U1113" s="237"/>
      <c r="V1113" s="237"/>
      <c r="W1113" s="237"/>
      <c r="X1113" s="237"/>
      <c r="Y1113" s="237"/>
      <c r="Z1113" s="237"/>
      <c r="AA1113" s="237"/>
      <c r="AB1113" s="237"/>
    </row>
    <row r="1114">
      <c r="A1114" s="238">
        <v>1113.0</v>
      </c>
      <c r="B1114" s="239" t="s">
        <v>8282</v>
      </c>
      <c r="C1114" s="240" t="s">
        <v>8283</v>
      </c>
      <c r="D1114" s="236"/>
      <c r="E1114" s="240" t="s">
        <v>3511</v>
      </c>
      <c r="F1114" s="240" t="s">
        <v>8284</v>
      </c>
      <c r="G1114" s="238" t="s">
        <v>8285</v>
      </c>
      <c r="H1114" s="240" t="s">
        <v>8286</v>
      </c>
      <c r="I1114" s="236"/>
      <c r="J1114" s="238" t="s">
        <v>4100</v>
      </c>
      <c r="K1114" s="239" t="s">
        <v>8282</v>
      </c>
      <c r="L1114" s="237"/>
      <c r="M1114" s="237"/>
      <c r="N1114" s="237"/>
      <c r="O1114" s="237"/>
      <c r="P1114" s="237"/>
      <c r="Q1114" s="237"/>
      <c r="R1114" s="237"/>
      <c r="S1114" s="237"/>
      <c r="T1114" s="237"/>
      <c r="U1114" s="237"/>
      <c r="V1114" s="237"/>
      <c r="W1114" s="237"/>
      <c r="X1114" s="237"/>
      <c r="Y1114" s="237"/>
      <c r="Z1114" s="237"/>
      <c r="AA1114" s="237"/>
      <c r="AB1114" s="237"/>
    </row>
    <row r="1115">
      <c r="A1115" s="238">
        <v>1114.0</v>
      </c>
      <c r="B1115" s="239" t="s">
        <v>8287</v>
      </c>
      <c r="C1115" s="240" t="s">
        <v>8288</v>
      </c>
      <c r="D1115" s="236"/>
      <c r="E1115" s="240" t="s">
        <v>3511</v>
      </c>
      <c r="F1115" s="240" t="s">
        <v>8289</v>
      </c>
      <c r="G1115" s="238" t="s">
        <v>8290</v>
      </c>
      <c r="H1115" s="240" t="s">
        <v>8291</v>
      </c>
      <c r="I1115" s="236"/>
      <c r="J1115" s="238" t="s">
        <v>4100</v>
      </c>
      <c r="K1115" s="239" t="s">
        <v>8287</v>
      </c>
      <c r="L1115" s="237"/>
      <c r="M1115" s="237"/>
      <c r="N1115" s="237"/>
      <c r="O1115" s="237"/>
      <c r="P1115" s="237"/>
      <c r="Q1115" s="237"/>
      <c r="R1115" s="237"/>
      <c r="S1115" s="237"/>
      <c r="T1115" s="237"/>
      <c r="U1115" s="237"/>
      <c r="V1115" s="237"/>
      <c r="W1115" s="237"/>
      <c r="X1115" s="237"/>
      <c r="Y1115" s="237"/>
      <c r="Z1115" s="237"/>
      <c r="AA1115" s="237"/>
      <c r="AB1115" s="237"/>
    </row>
    <row r="1116">
      <c r="A1116" s="238">
        <v>1115.0</v>
      </c>
      <c r="B1116" s="239" t="s">
        <v>8292</v>
      </c>
      <c r="C1116" s="240" t="s">
        <v>8293</v>
      </c>
      <c r="D1116" s="236"/>
      <c r="E1116" s="240" t="s">
        <v>3511</v>
      </c>
      <c r="F1116" s="240" t="s">
        <v>8294</v>
      </c>
      <c r="G1116" s="238" t="s">
        <v>8295</v>
      </c>
      <c r="H1116" s="240" t="s">
        <v>8296</v>
      </c>
      <c r="I1116" s="236"/>
      <c r="J1116" s="238" t="s">
        <v>4100</v>
      </c>
      <c r="K1116" s="239" t="s">
        <v>8292</v>
      </c>
      <c r="L1116" s="237"/>
      <c r="M1116" s="237"/>
      <c r="N1116" s="237"/>
      <c r="O1116" s="237"/>
      <c r="P1116" s="237"/>
      <c r="Q1116" s="237"/>
      <c r="R1116" s="237"/>
      <c r="S1116" s="237"/>
      <c r="T1116" s="237"/>
      <c r="U1116" s="237"/>
      <c r="V1116" s="237"/>
      <c r="W1116" s="237"/>
      <c r="X1116" s="237"/>
      <c r="Y1116" s="237"/>
      <c r="Z1116" s="237"/>
      <c r="AA1116" s="237"/>
      <c r="AB1116" s="237"/>
    </row>
    <row r="1117">
      <c r="A1117" s="238">
        <v>1116.0</v>
      </c>
      <c r="B1117" s="242"/>
      <c r="C1117" s="240" t="s">
        <v>8297</v>
      </c>
      <c r="D1117" s="236"/>
      <c r="E1117" s="240" t="s">
        <v>3511</v>
      </c>
      <c r="F1117" s="240" t="s">
        <v>8298</v>
      </c>
      <c r="G1117" s="238" t="s">
        <v>8299</v>
      </c>
      <c r="H1117" s="240" t="s">
        <v>8300</v>
      </c>
      <c r="I1117" s="236"/>
      <c r="J1117" s="238" t="s">
        <v>8301</v>
      </c>
      <c r="K1117" s="242"/>
      <c r="L1117" s="237"/>
      <c r="M1117" s="237"/>
      <c r="N1117" s="237"/>
      <c r="O1117" s="237"/>
      <c r="P1117" s="237"/>
      <c r="Q1117" s="237"/>
      <c r="R1117" s="237"/>
      <c r="S1117" s="237"/>
      <c r="T1117" s="237"/>
      <c r="U1117" s="237"/>
      <c r="V1117" s="237"/>
      <c r="W1117" s="237"/>
      <c r="X1117" s="237"/>
      <c r="Y1117" s="237"/>
      <c r="Z1117" s="237"/>
      <c r="AA1117" s="237"/>
      <c r="AB1117" s="237"/>
    </row>
    <row r="1118">
      <c r="A1118" s="238">
        <v>1117.0</v>
      </c>
      <c r="B1118" s="242"/>
      <c r="C1118" s="240" t="s">
        <v>8302</v>
      </c>
      <c r="D1118" s="236"/>
      <c r="E1118" s="240" t="s">
        <v>3511</v>
      </c>
      <c r="F1118" s="240" t="s">
        <v>8303</v>
      </c>
      <c r="G1118" s="238" t="s">
        <v>8304</v>
      </c>
      <c r="H1118" s="240" t="s">
        <v>8305</v>
      </c>
      <c r="I1118" s="236"/>
      <c r="J1118" s="238" t="s">
        <v>8301</v>
      </c>
      <c r="K1118" s="242"/>
      <c r="L1118" s="237"/>
      <c r="M1118" s="237"/>
      <c r="N1118" s="237"/>
      <c r="O1118" s="237"/>
      <c r="P1118" s="237"/>
      <c r="Q1118" s="237"/>
      <c r="R1118" s="237"/>
      <c r="S1118" s="237"/>
      <c r="T1118" s="237"/>
      <c r="U1118" s="237"/>
      <c r="V1118" s="237"/>
      <c r="W1118" s="237"/>
      <c r="X1118" s="237"/>
      <c r="Y1118" s="237"/>
      <c r="Z1118" s="237"/>
      <c r="AA1118" s="237"/>
      <c r="AB1118" s="237"/>
    </row>
    <row r="1119">
      <c r="A1119" s="238">
        <v>1118.0</v>
      </c>
      <c r="B1119" s="242"/>
      <c r="C1119" s="240" t="s">
        <v>8306</v>
      </c>
      <c r="D1119" s="236"/>
      <c r="E1119" s="240" t="s">
        <v>3511</v>
      </c>
      <c r="F1119" s="240" t="s">
        <v>8307</v>
      </c>
      <c r="G1119" s="238" t="s">
        <v>8308</v>
      </c>
      <c r="H1119" s="240" t="s">
        <v>8309</v>
      </c>
      <c r="I1119" s="236"/>
      <c r="J1119" s="238" t="s">
        <v>8301</v>
      </c>
      <c r="K1119" s="242"/>
      <c r="L1119" s="237"/>
      <c r="M1119" s="237"/>
      <c r="N1119" s="237"/>
      <c r="O1119" s="237"/>
      <c r="P1119" s="237"/>
      <c r="Q1119" s="237"/>
      <c r="R1119" s="237"/>
      <c r="S1119" s="237"/>
      <c r="T1119" s="237"/>
      <c r="U1119" s="237"/>
      <c r="V1119" s="237"/>
      <c r="W1119" s="237"/>
      <c r="X1119" s="237"/>
      <c r="Y1119" s="237"/>
      <c r="Z1119" s="237"/>
      <c r="AA1119" s="237"/>
      <c r="AB1119" s="237"/>
    </row>
    <row r="1120">
      <c r="A1120" s="238">
        <v>1119.0</v>
      </c>
      <c r="B1120" s="242"/>
      <c r="C1120" s="240" t="s">
        <v>8310</v>
      </c>
      <c r="D1120" s="236"/>
      <c r="E1120" s="240" t="s">
        <v>3511</v>
      </c>
      <c r="F1120" s="240" t="s">
        <v>8311</v>
      </c>
      <c r="G1120" s="238" t="s">
        <v>8312</v>
      </c>
      <c r="H1120" s="240" t="s">
        <v>8313</v>
      </c>
      <c r="I1120" s="236"/>
      <c r="J1120" s="238" t="s">
        <v>8301</v>
      </c>
      <c r="K1120" s="242"/>
      <c r="L1120" s="237"/>
      <c r="M1120" s="237"/>
      <c r="N1120" s="237"/>
      <c r="O1120" s="237"/>
      <c r="P1120" s="237"/>
      <c r="Q1120" s="237"/>
      <c r="R1120" s="237"/>
      <c r="S1120" s="237"/>
      <c r="T1120" s="237"/>
      <c r="U1120" s="237"/>
      <c r="V1120" s="237"/>
      <c r="W1120" s="237"/>
      <c r="X1120" s="237"/>
      <c r="Y1120" s="237"/>
      <c r="Z1120" s="237"/>
      <c r="AA1120" s="237"/>
      <c r="AB1120" s="237"/>
    </row>
    <row r="1121">
      <c r="A1121" s="238">
        <v>1120.0</v>
      </c>
      <c r="B1121" s="242"/>
      <c r="C1121" s="240" t="s">
        <v>8314</v>
      </c>
      <c r="D1121" s="236"/>
      <c r="E1121" s="240" t="s">
        <v>3511</v>
      </c>
      <c r="F1121" s="240" t="s">
        <v>8315</v>
      </c>
      <c r="G1121" s="238" t="s">
        <v>8316</v>
      </c>
      <c r="H1121" s="240" t="s">
        <v>8317</v>
      </c>
      <c r="I1121" s="236"/>
      <c r="J1121" s="238" t="s">
        <v>8301</v>
      </c>
      <c r="K1121" s="242"/>
      <c r="L1121" s="237"/>
      <c r="M1121" s="237"/>
      <c r="N1121" s="237"/>
      <c r="O1121" s="237"/>
      <c r="P1121" s="237"/>
      <c r="Q1121" s="237"/>
      <c r="R1121" s="237"/>
      <c r="S1121" s="237"/>
      <c r="T1121" s="237"/>
      <c r="U1121" s="237"/>
      <c r="V1121" s="237"/>
      <c r="W1121" s="237"/>
      <c r="X1121" s="237"/>
      <c r="Y1121" s="237"/>
      <c r="Z1121" s="237"/>
      <c r="AA1121" s="237"/>
      <c r="AB1121" s="237"/>
    </row>
    <row r="1122">
      <c r="A1122" s="238">
        <v>1121.0</v>
      </c>
      <c r="B1122" s="239" t="s">
        <v>8318</v>
      </c>
      <c r="C1122" s="240" t="s">
        <v>8319</v>
      </c>
      <c r="D1122" s="236"/>
      <c r="E1122" s="240" t="s">
        <v>3511</v>
      </c>
      <c r="F1122" s="240" t="s">
        <v>8320</v>
      </c>
      <c r="G1122" s="238" t="s">
        <v>8321</v>
      </c>
      <c r="H1122" s="240" t="s">
        <v>8322</v>
      </c>
      <c r="I1122" s="236"/>
      <c r="J1122" s="238" t="s">
        <v>8301</v>
      </c>
      <c r="K1122" s="239" t="s">
        <v>8318</v>
      </c>
      <c r="L1122" s="237"/>
      <c r="M1122" s="237"/>
      <c r="N1122" s="237"/>
      <c r="O1122" s="237"/>
      <c r="P1122" s="237"/>
      <c r="Q1122" s="237"/>
      <c r="R1122" s="237"/>
      <c r="S1122" s="237"/>
      <c r="T1122" s="237"/>
      <c r="U1122" s="237"/>
      <c r="V1122" s="237"/>
      <c r="W1122" s="237"/>
      <c r="X1122" s="237"/>
      <c r="Y1122" s="237"/>
      <c r="Z1122" s="237"/>
      <c r="AA1122" s="237"/>
      <c r="AB1122" s="237"/>
    </row>
    <row r="1123">
      <c r="A1123" s="238">
        <v>1122.0</v>
      </c>
      <c r="B1123" s="239" t="s">
        <v>8323</v>
      </c>
      <c r="C1123" s="240" t="s">
        <v>8324</v>
      </c>
      <c r="D1123" s="236"/>
      <c r="E1123" s="240" t="s">
        <v>3511</v>
      </c>
      <c r="F1123" s="240" t="s">
        <v>8325</v>
      </c>
      <c r="G1123" s="238" t="s">
        <v>8326</v>
      </c>
      <c r="H1123" s="240" t="s">
        <v>8327</v>
      </c>
      <c r="I1123" s="236"/>
      <c r="J1123" s="238" t="s">
        <v>8301</v>
      </c>
      <c r="K1123" s="239" t="s">
        <v>8323</v>
      </c>
      <c r="L1123" s="237"/>
      <c r="M1123" s="237"/>
      <c r="N1123" s="237"/>
      <c r="O1123" s="237"/>
      <c r="P1123" s="237"/>
      <c r="Q1123" s="237"/>
      <c r="R1123" s="237"/>
      <c r="S1123" s="237"/>
      <c r="T1123" s="237"/>
      <c r="U1123" s="237"/>
      <c r="V1123" s="237"/>
      <c r="W1123" s="237"/>
      <c r="X1123" s="237"/>
      <c r="Y1123" s="237"/>
      <c r="Z1123" s="237"/>
      <c r="AA1123" s="237"/>
      <c r="AB1123" s="237"/>
    </row>
    <row r="1124">
      <c r="A1124" s="238">
        <v>1123.0</v>
      </c>
      <c r="B1124" s="239" t="s">
        <v>8328</v>
      </c>
      <c r="C1124" s="240" t="s">
        <v>8329</v>
      </c>
      <c r="D1124" s="236"/>
      <c r="E1124" s="240" t="s">
        <v>3511</v>
      </c>
      <c r="F1124" s="240" t="s">
        <v>8330</v>
      </c>
      <c r="G1124" s="238" t="s">
        <v>8331</v>
      </c>
      <c r="H1124" s="240" t="s">
        <v>8332</v>
      </c>
      <c r="I1124" s="236"/>
      <c r="J1124" s="238" t="s">
        <v>8301</v>
      </c>
      <c r="K1124" s="239" t="s">
        <v>8328</v>
      </c>
      <c r="L1124" s="237"/>
      <c r="M1124" s="237"/>
      <c r="N1124" s="237"/>
      <c r="O1124" s="237"/>
      <c r="P1124" s="237"/>
      <c r="Q1124" s="237"/>
      <c r="R1124" s="237"/>
      <c r="S1124" s="237"/>
      <c r="T1124" s="237"/>
      <c r="U1124" s="237"/>
      <c r="V1124" s="237"/>
      <c r="W1124" s="237"/>
      <c r="X1124" s="237"/>
      <c r="Y1124" s="237"/>
      <c r="Z1124" s="237"/>
      <c r="AA1124" s="237"/>
      <c r="AB1124" s="237"/>
    </row>
    <row r="1125">
      <c r="A1125" s="238">
        <v>1124.0</v>
      </c>
      <c r="B1125" s="239" t="s">
        <v>8333</v>
      </c>
      <c r="C1125" s="240" t="s">
        <v>8334</v>
      </c>
      <c r="D1125" s="236"/>
      <c r="E1125" s="240" t="s">
        <v>3511</v>
      </c>
      <c r="F1125" s="240" t="s">
        <v>8335</v>
      </c>
      <c r="G1125" s="238" t="s">
        <v>8336</v>
      </c>
      <c r="H1125" s="240" t="s">
        <v>8337</v>
      </c>
      <c r="I1125" s="236"/>
      <c r="J1125" s="238" t="s">
        <v>8301</v>
      </c>
      <c r="K1125" s="239" t="s">
        <v>8333</v>
      </c>
      <c r="L1125" s="237"/>
      <c r="M1125" s="237"/>
      <c r="N1125" s="237"/>
      <c r="O1125" s="237"/>
      <c r="P1125" s="237"/>
      <c r="Q1125" s="237"/>
      <c r="R1125" s="237"/>
      <c r="S1125" s="237"/>
      <c r="T1125" s="237"/>
      <c r="U1125" s="237"/>
      <c r="V1125" s="237"/>
      <c r="W1125" s="237"/>
      <c r="X1125" s="237"/>
      <c r="Y1125" s="237"/>
      <c r="Z1125" s="237"/>
      <c r="AA1125" s="237"/>
      <c r="AB1125" s="237"/>
    </row>
    <row r="1126">
      <c r="A1126" s="238">
        <v>1125.0</v>
      </c>
      <c r="B1126" s="242"/>
      <c r="C1126" s="240" t="s">
        <v>8338</v>
      </c>
      <c r="D1126" s="236"/>
      <c r="E1126" s="240" t="s">
        <v>3511</v>
      </c>
      <c r="F1126" s="240" t="s">
        <v>8339</v>
      </c>
      <c r="G1126" s="238" t="s">
        <v>8340</v>
      </c>
      <c r="H1126" s="240" t="s">
        <v>8341</v>
      </c>
      <c r="I1126" s="236"/>
      <c r="J1126" s="238" t="s">
        <v>3545</v>
      </c>
      <c r="K1126" s="242"/>
      <c r="L1126" s="237"/>
      <c r="M1126" s="237"/>
      <c r="N1126" s="237"/>
      <c r="O1126" s="237"/>
      <c r="P1126" s="237"/>
      <c r="Q1126" s="237"/>
      <c r="R1126" s="237"/>
      <c r="S1126" s="237"/>
      <c r="T1126" s="237"/>
      <c r="U1126" s="237"/>
      <c r="V1126" s="237"/>
      <c r="W1126" s="237"/>
      <c r="X1126" s="237"/>
      <c r="Y1126" s="237"/>
      <c r="Z1126" s="237"/>
      <c r="AA1126" s="237"/>
      <c r="AB1126" s="237"/>
    </row>
    <row r="1127">
      <c r="A1127" s="238">
        <v>1126.0</v>
      </c>
      <c r="B1127" s="242"/>
      <c r="C1127" s="240" t="s">
        <v>8342</v>
      </c>
      <c r="D1127" s="236"/>
      <c r="E1127" s="240" t="s">
        <v>3511</v>
      </c>
      <c r="F1127" s="240" t="s">
        <v>8343</v>
      </c>
      <c r="G1127" s="238" t="s">
        <v>8344</v>
      </c>
      <c r="H1127" s="240" t="s">
        <v>8345</v>
      </c>
      <c r="I1127" s="236"/>
      <c r="J1127" s="238" t="s">
        <v>3545</v>
      </c>
      <c r="K1127" s="242"/>
      <c r="L1127" s="237"/>
      <c r="M1127" s="237"/>
      <c r="N1127" s="237"/>
      <c r="O1127" s="237"/>
      <c r="P1127" s="237"/>
      <c r="Q1127" s="237"/>
      <c r="R1127" s="237"/>
      <c r="S1127" s="237"/>
      <c r="T1127" s="237"/>
      <c r="U1127" s="237"/>
      <c r="V1127" s="237"/>
      <c r="W1127" s="237"/>
      <c r="X1127" s="237"/>
      <c r="Y1127" s="237"/>
      <c r="Z1127" s="237"/>
      <c r="AA1127" s="237"/>
      <c r="AB1127" s="237"/>
    </row>
    <row r="1128">
      <c r="A1128" s="238">
        <v>1127.0</v>
      </c>
      <c r="B1128" s="242"/>
      <c r="C1128" s="240" t="s">
        <v>8346</v>
      </c>
      <c r="D1128" s="236"/>
      <c r="E1128" s="240" t="s">
        <v>3511</v>
      </c>
      <c r="F1128" s="240" t="s">
        <v>8347</v>
      </c>
      <c r="G1128" s="238" t="s">
        <v>8348</v>
      </c>
      <c r="H1128" s="240" t="s">
        <v>8349</v>
      </c>
      <c r="I1128" s="236"/>
      <c r="J1128" s="238" t="s">
        <v>3545</v>
      </c>
      <c r="K1128" s="242"/>
      <c r="L1128" s="237"/>
      <c r="M1128" s="237"/>
      <c r="N1128" s="237"/>
      <c r="O1128" s="237"/>
      <c r="P1128" s="237"/>
      <c r="Q1128" s="237"/>
      <c r="R1128" s="237"/>
      <c r="S1128" s="237"/>
      <c r="T1128" s="237"/>
      <c r="U1128" s="237"/>
      <c r="V1128" s="237"/>
      <c r="W1128" s="237"/>
      <c r="X1128" s="237"/>
      <c r="Y1128" s="237"/>
      <c r="Z1128" s="237"/>
      <c r="AA1128" s="237"/>
      <c r="AB1128" s="237"/>
    </row>
    <row r="1129">
      <c r="A1129" s="238">
        <v>1128.0</v>
      </c>
      <c r="B1129" s="242"/>
      <c r="C1129" s="240" t="s">
        <v>8350</v>
      </c>
      <c r="D1129" s="236"/>
      <c r="E1129" s="240" t="s">
        <v>3511</v>
      </c>
      <c r="F1129" s="240" t="s">
        <v>8351</v>
      </c>
      <c r="G1129" s="238" t="s">
        <v>8352</v>
      </c>
      <c r="H1129" s="240" t="s">
        <v>8353</v>
      </c>
      <c r="I1129" s="236"/>
      <c r="J1129" s="238" t="s">
        <v>3545</v>
      </c>
      <c r="K1129" s="242"/>
      <c r="L1129" s="237"/>
      <c r="M1129" s="237"/>
      <c r="N1129" s="237"/>
      <c r="O1129" s="237"/>
      <c r="P1129" s="237"/>
      <c r="Q1129" s="237"/>
      <c r="R1129" s="237"/>
      <c r="S1129" s="237"/>
      <c r="T1129" s="237"/>
      <c r="U1129" s="237"/>
      <c r="V1129" s="237"/>
      <c r="W1129" s="237"/>
      <c r="X1129" s="237"/>
      <c r="Y1129" s="237"/>
      <c r="Z1129" s="237"/>
      <c r="AA1129" s="237"/>
      <c r="AB1129" s="237"/>
    </row>
    <row r="1130">
      <c r="A1130" s="238">
        <v>1129.0</v>
      </c>
      <c r="B1130" s="239" t="s">
        <v>8354</v>
      </c>
      <c r="C1130" s="240" t="s">
        <v>8355</v>
      </c>
      <c r="D1130" s="236"/>
      <c r="E1130" s="240" t="s">
        <v>3511</v>
      </c>
      <c r="F1130" s="240" t="s">
        <v>8356</v>
      </c>
      <c r="G1130" s="238" t="s">
        <v>8357</v>
      </c>
      <c r="H1130" s="240" t="s">
        <v>8358</v>
      </c>
      <c r="I1130" s="236"/>
      <c r="J1130" s="238" t="s">
        <v>3545</v>
      </c>
      <c r="K1130" s="239" t="s">
        <v>8354</v>
      </c>
      <c r="L1130" s="237"/>
      <c r="M1130" s="237"/>
      <c r="N1130" s="237"/>
      <c r="O1130" s="237"/>
      <c r="P1130" s="237"/>
      <c r="Q1130" s="237"/>
      <c r="R1130" s="237"/>
      <c r="S1130" s="237"/>
      <c r="T1130" s="237"/>
      <c r="U1130" s="237"/>
      <c r="V1130" s="237"/>
      <c r="W1130" s="237"/>
      <c r="X1130" s="237"/>
      <c r="Y1130" s="237"/>
      <c r="Z1130" s="237"/>
      <c r="AA1130" s="237"/>
      <c r="AB1130" s="237"/>
    </row>
    <row r="1131">
      <c r="A1131" s="238">
        <v>1130.0</v>
      </c>
      <c r="B1131" s="242"/>
      <c r="C1131" s="240" t="s">
        <v>8359</v>
      </c>
      <c r="D1131" s="236"/>
      <c r="E1131" s="240" t="s">
        <v>3511</v>
      </c>
      <c r="F1131" s="240" t="s">
        <v>8360</v>
      </c>
      <c r="G1131" s="238" t="s">
        <v>8361</v>
      </c>
      <c r="H1131" s="240" t="s">
        <v>8362</v>
      </c>
      <c r="I1131" s="236"/>
      <c r="J1131" s="238" t="s">
        <v>3545</v>
      </c>
      <c r="K1131" s="242"/>
      <c r="L1131" s="237"/>
      <c r="M1131" s="237"/>
      <c r="N1131" s="237"/>
      <c r="O1131" s="237"/>
      <c r="P1131" s="237"/>
      <c r="Q1131" s="237"/>
      <c r="R1131" s="237"/>
      <c r="S1131" s="237"/>
      <c r="T1131" s="237"/>
      <c r="U1131" s="237"/>
      <c r="V1131" s="237"/>
      <c r="W1131" s="237"/>
      <c r="X1131" s="237"/>
      <c r="Y1131" s="237"/>
      <c r="Z1131" s="237"/>
      <c r="AA1131" s="237"/>
      <c r="AB1131" s="237"/>
    </row>
    <row r="1132">
      <c r="A1132" s="238">
        <v>1131.0</v>
      </c>
      <c r="B1132" s="242"/>
      <c r="C1132" s="240" t="s">
        <v>8363</v>
      </c>
      <c r="D1132" s="236"/>
      <c r="E1132" s="240" t="s">
        <v>3511</v>
      </c>
      <c r="F1132" s="240" t="s">
        <v>8364</v>
      </c>
      <c r="G1132" s="238" t="s">
        <v>8365</v>
      </c>
      <c r="H1132" s="240" t="s">
        <v>8366</v>
      </c>
      <c r="I1132" s="236"/>
      <c r="J1132" s="238" t="s">
        <v>3545</v>
      </c>
      <c r="K1132" s="242"/>
      <c r="L1132" s="237"/>
      <c r="M1132" s="237"/>
      <c r="N1132" s="237"/>
      <c r="O1132" s="237"/>
      <c r="P1132" s="237"/>
      <c r="Q1132" s="237"/>
      <c r="R1132" s="237"/>
      <c r="S1132" s="237"/>
      <c r="T1132" s="237"/>
      <c r="U1132" s="237"/>
      <c r="V1132" s="237"/>
      <c r="W1132" s="237"/>
      <c r="X1132" s="237"/>
      <c r="Y1132" s="237"/>
      <c r="Z1132" s="237"/>
      <c r="AA1132" s="237"/>
      <c r="AB1132" s="237"/>
    </row>
    <row r="1133">
      <c r="A1133" s="238">
        <v>1132.0</v>
      </c>
      <c r="B1133" s="242"/>
      <c r="C1133" s="240" t="s">
        <v>8367</v>
      </c>
      <c r="D1133" s="236"/>
      <c r="E1133" s="240" t="s">
        <v>3511</v>
      </c>
      <c r="F1133" s="240" t="s">
        <v>8368</v>
      </c>
      <c r="G1133" s="238" t="s">
        <v>8369</v>
      </c>
      <c r="H1133" s="240" t="s">
        <v>8370</v>
      </c>
      <c r="I1133" s="236"/>
      <c r="J1133" s="238" t="s">
        <v>3545</v>
      </c>
      <c r="K1133" s="242"/>
      <c r="L1133" s="237"/>
      <c r="M1133" s="237"/>
      <c r="N1133" s="237"/>
      <c r="O1133" s="237"/>
      <c r="P1133" s="237"/>
      <c r="Q1133" s="237"/>
      <c r="R1133" s="237"/>
      <c r="S1133" s="237"/>
      <c r="T1133" s="237"/>
      <c r="U1133" s="237"/>
      <c r="V1133" s="237"/>
      <c r="W1133" s="237"/>
      <c r="X1133" s="237"/>
      <c r="Y1133" s="237"/>
      <c r="Z1133" s="237"/>
      <c r="AA1133" s="237"/>
      <c r="AB1133" s="237"/>
    </row>
    <row r="1134">
      <c r="A1134" s="238">
        <v>1133.0</v>
      </c>
      <c r="B1134" s="242"/>
      <c r="C1134" s="240" t="s">
        <v>8371</v>
      </c>
      <c r="D1134" s="236"/>
      <c r="E1134" s="240" t="s">
        <v>3511</v>
      </c>
      <c r="F1134" s="240" t="s">
        <v>8372</v>
      </c>
      <c r="G1134" s="238" t="s">
        <v>8373</v>
      </c>
      <c r="H1134" s="240" t="s">
        <v>8374</v>
      </c>
      <c r="I1134" s="236"/>
      <c r="J1134" s="238" t="s">
        <v>3545</v>
      </c>
      <c r="K1134" s="242"/>
      <c r="L1134" s="237"/>
      <c r="M1134" s="237"/>
      <c r="N1134" s="237"/>
      <c r="O1134" s="237"/>
      <c r="P1134" s="237"/>
      <c r="Q1134" s="237"/>
      <c r="R1134" s="237"/>
      <c r="S1134" s="237"/>
      <c r="T1134" s="237"/>
      <c r="U1134" s="237"/>
      <c r="V1134" s="237"/>
      <c r="W1134" s="237"/>
      <c r="X1134" s="237"/>
      <c r="Y1134" s="237"/>
      <c r="Z1134" s="237"/>
      <c r="AA1134" s="237"/>
      <c r="AB1134" s="237"/>
    </row>
    <row r="1135">
      <c r="A1135" s="238">
        <v>1134.0</v>
      </c>
      <c r="B1135" s="242"/>
      <c r="C1135" s="240" t="s">
        <v>8375</v>
      </c>
      <c r="D1135" s="236"/>
      <c r="E1135" s="240" t="s">
        <v>3511</v>
      </c>
      <c r="F1135" s="240" t="s">
        <v>8376</v>
      </c>
      <c r="G1135" s="238" t="s">
        <v>8377</v>
      </c>
      <c r="H1135" s="240" t="s">
        <v>8378</v>
      </c>
      <c r="I1135" s="236"/>
      <c r="J1135" s="238" t="s">
        <v>3545</v>
      </c>
      <c r="K1135" s="242"/>
      <c r="L1135" s="237"/>
      <c r="M1135" s="237"/>
      <c r="N1135" s="237"/>
      <c r="O1135" s="237"/>
      <c r="P1135" s="237"/>
      <c r="Q1135" s="237"/>
      <c r="R1135" s="237"/>
      <c r="S1135" s="237"/>
      <c r="T1135" s="237"/>
      <c r="U1135" s="237"/>
      <c r="V1135" s="237"/>
      <c r="W1135" s="237"/>
      <c r="X1135" s="237"/>
      <c r="Y1135" s="237"/>
      <c r="Z1135" s="237"/>
      <c r="AA1135" s="237"/>
      <c r="AB1135" s="237"/>
    </row>
    <row r="1136">
      <c r="A1136" s="238">
        <v>1135.0</v>
      </c>
      <c r="B1136" s="242"/>
      <c r="C1136" s="240" t="s">
        <v>8379</v>
      </c>
      <c r="D1136" s="236"/>
      <c r="E1136" s="240" t="s">
        <v>3511</v>
      </c>
      <c r="F1136" s="240" t="s">
        <v>8380</v>
      </c>
      <c r="G1136" s="238" t="s">
        <v>8381</v>
      </c>
      <c r="H1136" s="240" t="s">
        <v>8382</v>
      </c>
      <c r="I1136" s="236"/>
      <c r="J1136" s="238" t="s">
        <v>3545</v>
      </c>
      <c r="K1136" s="242"/>
      <c r="L1136" s="237"/>
      <c r="M1136" s="237"/>
      <c r="N1136" s="237"/>
      <c r="O1136" s="237"/>
      <c r="P1136" s="237"/>
      <c r="Q1136" s="237"/>
      <c r="R1136" s="237"/>
      <c r="S1136" s="237"/>
      <c r="T1136" s="237"/>
      <c r="U1136" s="237"/>
      <c r="V1136" s="237"/>
      <c r="W1136" s="237"/>
      <c r="X1136" s="237"/>
      <c r="Y1136" s="237"/>
      <c r="Z1136" s="237"/>
      <c r="AA1136" s="237"/>
      <c r="AB1136" s="237"/>
    </row>
    <row r="1137">
      <c r="A1137" s="238">
        <v>1136.0</v>
      </c>
      <c r="B1137" s="242"/>
      <c r="C1137" s="240" t="s">
        <v>8383</v>
      </c>
      <c r="D1137" s="236"/>
      <c r="E1137" s="240" t="s">
        <v>3511</v>
      </c>
      <c r="F1137" s="240" t="s">
        <v>8384</v>
      </c>
      <c r="G1137" s="238" t="s">
        <v>8385</v>
      </c>
      <c r="H1137" s="240" t="s">
        <v>8386</v>
      </c>
      <c r="I1137" s="236"/>
      <c r="J1137" s="238" t="s">
        <v>3545</v>
      </c>
      <c r="K1137" s="242"/>
      <c r="L1137" s="237"/>
      <c r="M1137" s="237"/>
      <c r="N1137" s="237"/>
      <c r="O1137" s="237"/>
      <c r="P1137" s="237"/>
      <c r="Q1137" s="237"/>
      <c r="R1137" s="237"/>
      <c r="S1137" s="237"/>
      <c r="T1137" s="237"/>
      <c r="U1137" s="237"/>
      <c r="V1137" s="237"/>
      <c r="W1137" s="237"/>
      <c r="X1137" s="237"/>
      <c r="Y1137" s="237"/>
      <c r="Z1137" s="237"/>
      <c r="AA1137" s="237"/>
      <c r="AB1137" s="237"/>
    </row>
    <row r="1138">
      <c r="A1138" s="238">
        <v>1137.0</v>
      </c>
      <c r="B1138" s="242"/>
      <c r="C1138" s="240" t="s">
        <v>8387</v>
      </c>
      <c r="D1138" s="236"/>
      <c r="E1138" s="240" t="s">
        <v>3511</v>
      </c>
      <c r="F1138" s="240" t="s">
        <v>8388</v>
      </c>
      <c r="G1138" s="238" t="s">
        <v>8389</v>
      </c>
      <c r="H1138" s="240" t="s">
        <v>8390</v>
      </c>
      <c r="I1138" s="236"/>
      <c r="J1138" s="238" t="s">
        <v>3545</v>
      </c>
      <c r="K1138" s="242"/>
      <c r="L1138" s="237"/>
      <c r="M1138" s="237"/>
      <c r="N1138" s="237"/>
      <c r="O1138" s="237"/>
      <c r="P1138" s="237"/>
      <c r="Q1138" s="237"/>
      <c r="R1138" s="237"/>
      <c r="S1138" s="237"/>
      <c r="T1138" s="237"/>
      <c r="U1138" s="237"/>
      <c r="V1138" s="237"/>
      <c r="W1138" s="237"/>
      <c r="X1138" s="237"/>
      <c r="Y1138" s="237"/>
      <c r="Z1138" s="237"/>
      <c r="AA1138" s="237"/>
      <c r="AB1138" s="237"/>
    </row>
    <row r="1139">
      <c r="A1139" s="238">
        <v>1138.0</v>
      </c>
      <c r="B1139" s="239" t="s">
        <v>8391</v>
      </c>
      <c r="C1139" s="240" t="s">
        <v>8392</v>
      </c>
      <c r="D1139" s="236"/>
      <c r="E1139" s="240" t="s">
        <v>3511</v>
      </c>
      <c r="F1139" s="240" t="s">
        <v>8393</v>
      </c>
      <c r="G1139" s="238" t="s">
        <v>8394</v>
      </c>
      <c r="H1139" s="240" t="s">
        <v>8395</v>
      </c>
      <c r="I1139" s="236"/>
      <c r="J1139" s="238" t="s">
        <v>3545</v>
      </c>
      <c r="K1139" s="239" t="s">
        <v>8391</v>
      </c>
      <c r="L1139" s="237"/>
      <c r="M1139" s="237"/>
      <c r="N1139" s="237"/>
      <c r="O1139" s="237"/>
      <c r="P1139" s="237"/>
      <c r="Q1139" s="237"/>
      <c r="R1139" s="237"/>
      <c r="S1139" s="237"/>
      <c r="T1139" s="237"/>
      <c r="U1139" s="237"/>
      <c r="V1139" s="237"/>
      <c r="W1139" s="237"/>
      <c r="X1139" s="237"/>
      <c r="Y1139" s="237"/>
      <c r="Z1139" s="237"/>
      <c r="AA1139" s="237"/>
      <c r="AB1139" s="237"/>
    </row>
    <row r="1140">
      <c r="A1140" s="238">
        <v>1139.0</v>
      </c>
      <c r="B1140" s="242"/>
      <c r="C1140" s="240" t="s">
        <v>8396</v>
      </c>
      <c r="D1140" s="236"/>
      <c r="E1140" s="240" t="s">
        <v>3511</v>
      </c>
      <c r="F1140" s="240" t="s">
        <v>8397</v>
      </c>
      <c r="G1140" s="238" t="s">
        <v>8398</v>
      </c>
      <c r="H1140" s="240" t="s">
        <v>8399</v>
      </c>
      <c r="I1140" s="236"/>
      <c r="J1140" s="238" t="s">
        <v>3545</v>
      </c>
      <c r="K1140" s="242"/>
      <c r="L1140" s="237"/>
      <c r="M1140" s="237"/>
      <c r="N1140" s="237"/>
      <c r="O1140" s="237"/>
      <c r="P1140" s="237"/>
      <c r="Q1140" s="237"/>
      <c r="R1140" s="237"/>
      <c r="S1140" s="237"/>
      <c r="T1140" s="237"/>
      <c r="U1140" s="237"/>
      <c r="V1140" s="237"/>
      <c r="W1140" s="237"/>
      <c r="X1140" s="237"/>
      <c r="Y1140" s="237"/>
      <c r="Z1140" s="237"/>
      <c r="AA1140" s="237"/>
      <c r="AB1140" s="237"/>
    </row>
    <row r="1141">
      <c r="A1141" s="238">
        <v>1140.0</v>
      </c>
      <c r="B1141" s="239" t="s">
        <v>8400</v>
      </c>
      <c r="C1141" s="240" t="s">
        <v>8401</v>
      </c>
      <c r="D1141" s="236"/>
      <c r="E1141" s="240" t="s">
        <v>3511</v>
      </c>
      <c r="F1141" s="240" t="s">
        <v>8402</v>
      </c>
      <c r="G1141" s="238" t="s">
        <v>8403</v>
      </c>
      <c r="H1141" s="240" t="s">
        <v>8404</v>
      </c>
      <c r="I1141" s="236"/>
      <c r="J1141" s="238" t="s">
        <v>3545</v>
      </c>
      <c r="K1141" s="239" t="s">
        <v>8400</v>
      </c>
      <c r="L1141" s="237"/>
      <c r="M1141" s="237"/>
      <c r="N1141" s="237"/>
      <c r="O1141" s="237"/>
      <c r="P1141" s="237"/>
      <c r="Q1141" s="237"/>
      <c r="R1141" s="237"/>
      <c r="S1141" s="237"/>
      <c r="T1141" s="237"/>
      <c r="U1141" s="237"/>
      <c r="V1141" s="237"/>
      <c r="W1141" s="237"/>
      <c r="X1141" s="237"/>
      <c r="Y1141" s="237"/>
      <c r="Z1141" s="237"/>
      <c r="AA1141" s="237"/>
      <c r="AB1141" s="237"/>
    </row>
    <row r="1142">
      <c r="A1142" s="238">
        <v>1141.0</v>
      </c>
      <c r="B1142" s="242"/>
      <c r="C1142" s="240" t="s">
        <v>8405</v>
      </c>
      <c r="D1142" s="236"/>
      <c r="E1142" s="240" t="s">
        <v>3511</v>
      </c>
      <c r="F1142" s="240" t="s">
        <v>8406</v>
      </c>
      <c r="G1142" s="238" t="s">
        <v>8407</v>
      </c>
      <c r="H1142" s="240" t="s">
        <v>8408</v>
      </c>
      <c r="I1142" s="236"/>
      <c r="J1142" s="238" t="s">
        <v>3545</v>
      </c>
      <c r="K1142" s="242"/>
      <c r="L1142" s="237"/>
      <c r="M1142" s="237"/>
      <c r="N1142" s="237"/>
      <c r="O1142" s="237"/>
      <c r="P1142" s="237"/>
      <c r="Q1142" s="237"/>
      <c r="R1142" s="237"/>
      <c r="S1142" s="237"/>
      <c r="T1142" s="237"/>
      <c r="U1142" s="237"/>
      <c r="V1142" s="237"/>
      <c r="W1142" s="237"/>
      <c r="X1142" s="237"/>
      <c r="Y1142" s="237"/>
      <c r="Z1142" s="237"/>
      <c r="AA1142" s="237"/>
      <c r="AB1142" s="237"/>
    </row>
    <row r="1143">
      <c r="A1143" s="238">
        <v>1142.0</v>
      </c>
      <c r="B1143" s="242"/>
      <c r="C1143" s="240" t="s">
        <v>8409</v>
      </c>
      <c r="D1143" s="236"/>
      <c r="E1143" s="240" t="s">
        <v>3511</v>
      </c>
      <c r="F1143" s="240" t="s">
        <v>8410</v>
      </c>
      <c r="G1143" s="238" t="s">
        <v>8411</v>
      </c>
      <c r="H1143" s="240" t="s">
        <v>8412</v>
      </c>
      <c r="I1143" s="236"/>
      <c r="J1143" s="238" t="s">
        <v>3545</v>
      </c>
      <c r="K1143" s="242"/>
      <c r="L1143" s="237"/>
      <c r="M1143" s="237"/>
      <c r="N1143" s="237"/>
      <c r="O1143" s="237"/>
      <c r="P1143" s="237"/>
      <c r="Q1143" s="237"/>
      <c r="R1143" s="237"/>
      <c r="S1143" s="237"/>
      <c r="T1143" s="237"/>
      <c r="U1143" s="237"/>
      <c r="V1143" s="237"/>
      <c r="W1143" s="237"/>
      <c r="X1143" s="237"/>
      <c r="Y1143" s="237"/>
      <c r="Z1143" s="237"/>
      <c r="AA1143" s="237"/>
      <c r="AB1143" s="237"/>
    </row>
    <row r="1144">
      <c r="A1144" s="238">
        <v>1143.0</v>
      </c>
      <c r="B1144" s="242"/>
      <c r="C1144" s="240" t="s">
        <v>8413</v>
      </c>
      <c r="D1144" s="236"/>
      <c r="E1144" s="240" t="s">
        <v>3511</v>
      </c>
      <c r="F1144" s="240" t="s">
        <v>8414</v>
      </c>
      <c r="G1144" s="238" t="s">
        <v>8415</v>
      </c>
      <c r="H1144" s="240" t="s">
        <v>8416</v>
      </c>
      <c r="I1144" s="236"/>
      <c r="J1144" s="238" t="s">
        <v>3545</v>
      </c>
      <c r="K1144" s="242"/>
      <c r="L1144" s="237"/>
      <c r="M1144" s="237"/>
      <c r="N1144" s="237"/>
      <c r="O1144" s="237"/>
      <c r="P1144" s="237"/>
      <c r="Q1144" s="237"/>
      <c r="R1144" s="237"/>
      <c r="S1144" s="237"/>
      <c r="T1144" s="237"/>
      <c r="U1144" s="237"/>
      <c r="V1144" s="237"/>
      <c r="W1144" s="237"/>
      <c r="X1144" s="237"/>
      <c r="Y1144" s="237"/>
      <c r="Z1144" s="237"/>
      <c r="AA1144" s="237"/>
      <c r="AB1144" s="237"/>
    </row>
    <row r="1145">
      <c r="A1145" s="238">
        <v>1144.0</v>
      </c>
      <c r="B1145" s="242"/>
      <c r="C1145" s="240" t="s">
        <v>8417</v>
      </c>
      <c r="D1145" s="236"/>
      <c r="E1145" s="240" t="s">
        <v>3511</v>
      </c>
      <c r="F1145" s="240" t="s">
        <v>8418</v>
      </c>
      <c r="G1145" s="238" t="s">
        <v>8419</v>
      </c>
      <c r="H1145" s="240" t="s">
        <v>8420</v>
      </c>
      <c r="I1145" s="236"/>
      <c r="J1145" s="238" t="s">
        <v>5848</v>
      </c>
      <c r="K1145" s="242"/>
      <c r="L1145" s="237"/>
      <c r="M1145" s="237"/>
      <c r="N1145" s="237"/>
      <c r="O1145" s="237"/>
      <c r="P1145" s="237"/>
      <c r="Q1145" s="237"/>
      <c r="R1145" s="237"/>
      <c r="S1145" s="237"/>
      <c r="T1145" s="237"/>
      <c r="U1145" s="237"/>
      <c r="V1145" s="237"/>
      <c r="W1145" s="237"/>
      <c r="X1145" s="237"/>
      <c r="Y1145" s="237"/>
      <c r="Z1145" s="237"/>
      <c r="AA1145" s="237"/>
      <c r="AB1145" s="237"/>
    </row>
    <row r="1146">
      <c r="A1146" s="238">
        <v>1145.0</v>
      </c>
      <c r="B1146" s="242"/>
      <c r="C1146" s="240" t="s">
        <v>8421</v>
      </c>
      <c r="D1146" s="236"/>
      <c r="E1146" s="240" t="s">
        <v>3511</v>
      </c>
      <c r="F1146" s="240" t="s">
        <v>8422</v>
      </c>
      <c r="G1146" s="238" t="s">
        <v>8423</v>
      </c>
      <c r="H1146" s="240" t="s">
        <v>8424</v>
      </c>
      <c r="I1146" s="236"/>
      <c r="J1146" s="238" t="s">
        <v>5848</v>
      </c>
      <c r="K1146" s="242"/>
      <c r="L1146" s="237"/>
      <c r="M1146" s="237"/>
      <c r="N1146" s="237"/>
      <c r="O1146" s="237"/>
      <c r="P1146" s="237"/>
      <c r="Q1146" s="237"/>
      <c r="R1146" s="237"/>
      <c r="S1146" s="237"/>
      <c r="T1146" s="237"/>
      <c r="U1146" s="237"/>
      <c r="V1146" s="237"/>
      <c r="W1146" s="237"/>
      <c r="X1146" s="237"/>
      <c r="Y1146" s="237"/>
      <c r="Z1146" s="237"/>
      <c r="AA1146" s="237"/>
      <c r="AB1146" s="237"/>
    </row>
    <row r="1147">
      <c r="A1147" s="238">
        <v>1146.0</v>
      </c>
      <c r="B1147" s="242"/>
      <c r="C1147" s="240" t="s">
        <v>8425</v>
      </c>
      <c r="D1147" s="236"/>
      <c r="E1147" s="240" t="s">
        <v>3511</v>
      </c>
      <c r="F1147" s="240" t="s">
        <v>8426</v>
      </c>
      <c r="G1147" s="238" t="s">
        <v>8427</v>
      </c>
      <c r="H1147" s="240" t="s">
        <v>8428</v>
      </c>
      <c r="I1147" s="236"/>
      <c r="J1147" s="238" t="s">
        <v>5848</v>
      </c>
      <c r="K1147" s="242"/>
      <c r="L1147" s="237"/>
      <c r="M1147" s="237"/>
      <c r="N1147" s="237"/>
      <c r="O1147" s="237"/>
      <c r="P1147" s="237"/>
      <c r="Q1147" s="237"/>
      <c r="R1147" s="237"/>
      <c r="S1147" s="237"/>
      <c r="T1147" s="237"/>
      <c r="U1147" s="237"/>
      <c r="V1147" s="237"/>
      <c r="W1147" s="237"/>
      <c r="X1147" s="237"/>
      <c r="Y1147" s="237"/>
      <c r="Z1147" s="237"/>
      <c r="AA1147" s="237"/>
      <c r="AB1147" s="237"/>
    </row>
    <row r="1148">
      <c r="A1148" s="238">
        <v>1147.0</v>
      </c>
      <c r="B1148" s="242"/>
      <c r="C1148" s="240" t="s">
        <v>8429</v>
      </c>
      <c r="D1148" s="236"/>
      <c r="E1148" s="240" t="s">
        <v>3511</v>
      </c>
      <c r="F1148" s="240" t="s">
        <v>8430</v>
      </c>
      <c r="G1148" s="238" t="s">
        <v>8431</v>
      </c>
      <c r="H1148" s="240" t="s">
        <v>8432</v>
      </c>
      <c r="I1148" s="236"/>
      <c r="J1148" s="238" t="s">
        <v>5848</v>
      </c>
      <c r="K1148" s="242"/>
      <c r="L1148" s="237"/>
      <c r="M1148" s="237"/>
      <c r="N1148" s="237"/>
      <c r="O1148" s="237"/>
      <c r="P1148" s="237"/>
      <c r="Q1148" s="237"/>
      <c r="R1148" s="237"/>
      <c r="S1148" s="237"/>
      <c r="T1148" s="237"/>
      <c r="U1148" s="237"/>
      <c r="V1148" s="237"/>
      <c r="W1148" s="237"/>
      <c r="X1148" s="237"/>
      <c r="Y1148" s="237"/>
      <c r="Z1148" s="237"/>
      <c r="AA1148" s="237"/>
      <c r="AB1148" s="237"/>
    </row>
    <row r="1149">
      <c r="A1149" s="238">
        <v>1148.0</v>
      </c>
      <c r="B1149" s="242"/>
      <c r="C1149" s="240" t="s">
        <v>8433</v>
      </c>
      <c r="D1149" s="236"/>
      <c r="E1149" s="240" t="s">
        <v>3511</v>
      </c>
      <c r="F1149" s="240" t="s">
        <v>8434</v>
      </c>
      <c r="G1149" s="238" t="s">
        <v>8435</v>
      </c>
      <c r="H1149" s="240" t="s">
        <v>8436</v>
      </c>
      <c r="I1149" s="236"/>
      <c r="J1149" s="238" t="s">
        <v>5848</v>
      </c>
      <c r="K1149" s="242"/>
      <c r="L1149" s="237"/>
      <c r="M1149" s="237"/>
      <c r="N1149" s="237"/>
      <c r="O1149" s="237"/>
      <c r="P1149" s="237"/>
      <c r="Q1149" s="237"/>
      <c r="R1149" s="237"/>
      <c r="S1149" s="237"/>
      <c r="T1149" s="237"/>
      <c r="U1149" s="237"/>
      <c r="V1149" s="237"/>
      <c r="W1149" s="237"/>
      <c r="X1149" s="237"/>
      <c r="Y1149" s="237"/>
      <c r="Z1149" s="237"/>
      <c r="AA1149" s="237"/>
      <c r="AB1149" s="237"/>
    </row>
    <row r="1150">
      <c r="A1150" s="238">
        <v>1149.0</v>
      </c>
      <c r="B1150" s="242"/>
      <c r="C1150" s="240" t="s">
        <v>8437</v>
      </c>
      <c r="D1150" s="236"/>
      <c r="E1150" s="240" t="s">
        <v>3511</v>
      </c>
      <c r="F1150" s="240" t="s">
        <v>8438</v>
      </c>
      <c r="G1150" s="238" t="s">
        <v>8439</v>
      </c>
      <c r="H1150" s="240" t="s">
        <v>8440</v>
      </c>
      <c r="I1150" s="236"/>
      <c r="J1150" s="238" t="s">
        <v>5848</v>
      </c>
      <c r="K1150" s="242"/>
      <c r="L1150" s="237"/>
      <c r="M1150" s="237"/>
      <c r="N1150" s="237"/>
      <c r="O1150" s="237"/>
      <c r="P1150" s="237"/>
      <c r="Q1150" s="237"/>
      <c r="R1150" s="237"/>
      <c r="S1150" s="237"/>
      <c r="T1150" s="237"/>
      <c r="U1150" s="237"/>
      <c r="V1150" s="237"/>
      <c r="W1150" s="237"/>
      <c r="X1150" s="237"/>
      <c r="Y1150" s="237"/>
      <c r="Z1150" s="237"/>
      <c r="AA1150" s="237"/>
      <c r="AB1150" s="237"/>
    </row>
    <row r="1151">
      <c r="A1151" s="238">
        <v>1150.0</v>
      </c>
      <c r="B1151" s="242"/>
      <c r="C1151" s="240" t="s">
        <v>8441</v>
      </c>
      <c r="D1151" s="236"/>
      <c r="E1151" s="240" t="s">
        <v>3511</v>
      </c>
      <c r="F1151" s="240" t="s">
        <v>8442</v>
      </c>
      <c r="G1151" s="238" t="s">
        <v>8443</v>
      </c>
      <c r="H1151" s="240" t="s">
        <v>8444</v>
      </c>
      <c r="I1151" s="236"/>
      <c r="J1151" s="238" t="s">
        <v>5848</v>
      </c>
      <c r="K1151" s="242"/>
      <c r="L1151" s="237"/>
      <c r="M1151" s="237"/>
      <c r="N1151" s="237"/>
      <c r="O1151" s="237"/>
      <c r="P1151" s="237"/>
      <c r="Q1151" s="237"/>
      <c r="R1151" s="237"/>
      <c r="S1151" s="237"/>
      <c r="T1151" s="237"/>
      <c r="U1151" s="237"/>
      <c r="V1151" s="237"/>
      <c r="W1151" s="237"/>
      <c r="X1151" s="237"/>
      <c r="Y1151" s="237"/>
      <c r="Z1151" s="237"/>
      <c r="AA1151" s="237"/>
      <c r="AB1151" s="237"/>
    </row>
    <row r="1152">
      <c r="A1152" s="238">
        <v>1151.0</v>
      </c>
      <c r="B1152" s="242"/>
      <c r="C1152" s="240" t="s">
        <v>8445</v>
      </c>
      <c r="D1152" s="236"/>
      <c r="E1152" s="240" t="s">
        <v>3511</v>
      </c>
      <c r="F1152" s="240" t="s">
        <v>8446</v>
      </c>
      <c r="G1152" s="238" t="s">
        <v>8447</v>
      </c>
      <c r="H1152" s="240" t="s">
        <v>8448</v>
      </c>
      <c r="I1152" s="236"/>
      <c r="J1152" s="238" t="s">
        <v>5848</v>
      </c>
      <c r="K1152" s="242"/>
      <c r="L1152" s="237"/>
      <c r="M1152" s="237"/>
      <c r="N1152" s="237"/>
      <c r="O1152" s="237"/>
      <c r="P1152" s="237"/>
      <c r="Q1152" s="237"/>
      <c r="R1152" s="237"/>
      <c r="S1152" s="237"/>
      <c r="T1152" s="237"/>
      <c r="U1152" s="237"/>
      <c r="V1152" s="237"/>
      <c r="W1152" s="237"/>
      <c r="X1152" s="237"/>
      <c r="Y1152" s="237"/>
      <c r="Z1152" s="237"/>
      <c r="AA1152" s="237"/>
      <c r="AB1152" s="237"/>
    </row>
    <row r="1153">
      <c r="A1153" s="238">
        <v>1152.0</v>
      </c>
      <c r="B1153" s="242"/>
      <c r="C1153" s="240" t="s">
        <v>8449</v>
      </c>
      <c r="D1153" s="236"/>
      <c r="E1153" s="240" t="s">
        <v>3511</v>
      </c>
      <c r="F1153" s="240" t="s">
        <v>8450</v>
      </c>
      <c r="G1153" s="238" t="s">
        <v>8451</v>
      </c>
      <c r="H1153" s="240" t="s">
        <v>8452</v>
      </c>
      <c r="I1153" s="236"/>
      <c r="J1153" s="238" t="s">
        <v>5848</v>
      </c>
      <c r="K1153" s="242"/>
      <c r="L1153" s="237"/>
      <c r="M1153" s="237"/>
      <c r="N1153" s="237"/>
      <c r="O1153" s="237"/>
      <c r="P1153" s="237"/>
      <c r="Q1153" s="237"/>
      <c r="R1153" s="237"/>
      <c r="S1153" s="237"/>
      <c r="T1153" s="237"/>
      <c r="U1153" s="237"/>
      <c r="V1153" s="237"/>
      <c r="W1153" s="237"/>
      <c r="X1153" s="237"/>
      <c r="Y1153" s="237"/>
      <c r="Z1153" s="237"/>
      <c r="AA1153" s="237"/>
      <c r="AB1153" s="237"/>
    </row>
    <row r="1154">
      <c r="A1154" s="238">
        <v>1153.0</v>
      </c>
      <c r="B1154" s="242"/>
      <c r="C1154" s="240" t="s">
        <v>8453</v>
      </c>
      <c r="D1154" s="236"/>
      <c r="E1154" s="240" t="s">
        <v>3511</v>
      </c>
      <c r="F1154" s="240" t="s">
        <v>8454</v>
      </c>
      <c r="G1154" s="238" t="s">
        <v>8455</v>
      </c>
      <c r="H1154" s="240" t="s">
        <v>8456</v>
      </c>
      <c r="I1154" s="236"/>
      <c r="J1154" s="238" t="s">
        <v>5848</v>
      </c>
      <c r="K1154" s="242"/>
      <c r="L1154" s="237"/>
      <c r="M1154" s="237"/>
      <c r="N1154" s="237"/>
      <c r="O1154" s="237"/>
      <c r="P1154" s="237"/>
      <c r="Q1154" s="237"/>
      <c r="R1154" s="237"/>
      <c r="S1154" s="237"/>
      <c r="T1154" s="237"/>
      <c r="U1154" s="237"/>
      <c r="V1154" s="237"/>
      <c r="W1154" s="237"/>
      <c r="X1154" s="237"/>
      <c r="Y1154" s="237"/>
      <c r="Z1154" s="237"/>
      <c r="AA1154" s="237"/>
      <c r="AB1154" s="237"/>
    </row>
    <row r="1155">
      <c r="A1155" s="238">
        <v>1154.0</v>
      </c>
      <c r="B1155" s="242"/>
      <c r="C1155" s="240" t="s">
        <v>8457</v>
      </c>
      <c r="D1155" s="236"/>
      <c r="E1155" s="240" t="s">
        <v>3511</v>
      </c>
      <c r="F1155" s="241" t="s">
        <v>8458</v>
      </c>
      <c r="G1155" s="238" t="s">
        <v>8459</v>
      </c>
      <c r="H1155" s="240" t="s">
        <v>8460</v>
      </c>
      <c r="I1155" s="236"/>
      <c r="J1155" s="238" t="s">
        <v>5848</v>
      </c>
      <c r="K1155" s="242"/>
      <c r="L1155" s="237"/>
      <c r="M1155" s="237"/>
      <c r="N1155" s="237"/>
      <c r="O1155" s="237"/>
      <c r="P1155" s="237"/>
      <c r="Q1155" s="237"/>
      <c r="R1155" s="237"/>
      <c r="S1155" s="237"/>
      <c r="T1155" s="237"/>
      <c r="U1155" s="237"/>
      <c r="V1155" s="237"/>
      <c r="W1155" s="237"/>
      <c r="X1155" s="237"/>
      <c r="Y1155" s="237"/>
      <c r="Z1155" s="237"/>
      <c r="AA1155" s="237"/>
      <c r="AB1155" s="237"/>
    </row>
    <row r="1156">
      <c r="A1156" s="238">
        <v>1155.0</v>
      </c>
      <c r="B1156" s="242"/>
      <c r="C1156" s="240" t="s">
        <v>8461</v>
      </c>
      <c r="D1156" s="236"/>
      <c r="E1156" s="240" t="s">
        <v>3511</v>
      </c>
      <c r="F1156" s="240" t="s">
        <v>8462</v>
      </c>
      <c r="G1156" s="238" t="s">
        <v>8463</v>
      </c>
      <c r="H1156" s="240" t="s">
        <v>8464</v>
      </c>
      <c r="I1156" s="236"/>
      <c r="J1156" s="238" t="s">
        <v>5848</v>
      </c>
      <c r="K1156" s="242"/>
      <c r="L1156" s="237"/>
      <c r="M1156" s="237"/>
      <c r="N1156" s="237"/>
      <c r="O1156" s="237"/>
      <c r="P1156" s="237"/>
      <c r="Q1156" s="237"/>
      <c r="R1156" s="237"/>
      <c r="S1156" s="237"/>
      <c r="T1156" s="237"/>
      <c r="U1156" s="237"/>
      <c r="V1156" s="237"/>
      <c r="W1156" s="237"/>
      <c r="X1156" s="237"/>
      <c r="Y1156" s="237"/>
      <c r="Z1156" s="237"/>
      <c r="AA1156" s="237"/>
      <c r="AB1156" s="237"/>
    </row>
    <row r="1157">
      <c r="A1157" s="238">
        <v>1156.0</v>
      </c>
      <c r="B1157" s="242"/>
      <c r="C1157" s="240" t="s">
        <v>8465</v>
      </c>
      <c r="D1157" s="236"/>
      <c r="E1157" s="240" t="s">
        <v>3511</v>
      </c>
      <c r="F1157" s="240" t="s">
        <v>8466</v>
      </c>
      <c r="G1157" s="238" t="s">
        <v>8467</v>
      </c>
      <c r="H1157" s="240" t="s">
        <v>8468</v>
      </c>
      <c r="I1157" s="236"/>
      <c r="J1157" s="238" t="s">
        <v>5848</v>
      </c>
      <c r="K1157" s="242"/>
      <c r="L1157" s="237"/>
      <c r="M1157" s="237"/>
      <c r="N1157" s="237"/>
      <c r="O1157" s="237"/>
      <c r="P1157" s="237"/>
      <c r="Q1157" s="237"/>
      <c r="R1157" s="237"/>
      <c r="S1157" s="237"/>
      <c r="T1157" s="237"/>
      <c r="U1157" s="237"/>
      <c r="V1157" s="237"/>
      <c r="W1157" s="237"/>
      <c r="X1157" s="237"/>
      <c r="Y1157" s="237"/>
      <c r="Z1157" s="237"/>
      <c r="AA1157" s="237"/>
      <c r="AB1157" s="237"/>
    </row>
    <row r="1158">
      <c r="A1158" s="238">
        <v>1157.0</v>
      </c>
      <c r="B1158" s="242"/>
      <c r="C1158" s="240" t="s">
        <v>8469</v>
      </c>
      <c r="D1158" s="236"/>
      <c r="E1158" s="240" t="s">
        <v>3511</v>
      </c>
      <c r="F1158" s="240" t="s">
        <v>8470</v>
      </c>
      <c r="G1158" s="238" t="s">
        <v>8471</v>
      </c>
      <c r="H1158" s="240" t="s">
        <v>8472</v>
      </c>
      <c r="I1158" s="236"/>
      <c r="J1158" s="238" t="s">
        <v>5848</v>
      </c>
      <c r="K1158" s="242"/>
      <c r="L1158" s="237"/>
      <c r="M1158" s="237"/>
      <c r="N1158" s="237"/>
      <c r="O1158" s="237"/>
      <c r="P1158" s="237"/>
      <c r="Q1158" s="237"/>
      <c r="R1158" s="237"/>
      <c r="S1158" s="237"/>
      <c r="T1158" s="237"/>
      <c r="U1158" s="237"/>
      <c r="V1158" s="237"/>
      <c r="W1158" s="237"/>
      <c r="X1158" s="237"/>
      <c r="Y1158" s="237"/>
      <c r="Z1158" s="237"/>
      <c r="AA1158" s="237"/>
      <c r="AB1158" s="237"/>
    </row>
    <row r="1159">
      <c r="A1159" s="238">
        <v>1158.0</v>
      </c>
      <c r="B1159" s="239" t="s">
        <v>8473</v>
      </c>
      <c r="C1159" s="240" t="s">
        <v>8474</v>
      </c>
      <c r="D1159" s="236"/>
      <c r="E1159" s="240" t="s">
        <v>3511</v>
      </c>
      <c r="F1159" s="240" t="s">
        <v>8475</v>
      </c>
      <c r="G1159" s="238" t="s">
        <v>8476</v>
      </c>
      <c r="H1159" s="240" t="s">
        <v>8477</v>
      </c>
      <c r="I1159" s="236"/>
      <c r="J1159" s="238" t="s">
        <v>4100</v>
      </c>
      <c r="K1159" s="239" t="s">
        <v>8473</v>
      </c>
      <c r="L1159" s="237"/>
      <c r="M1159" s="237"/>
      <c r="N1159" s="237"/>
      <c r="O1159" s="237"/>
      <c r="P1159" s="237"/>
      <c r="Q1159" s="237"/>
      <c r="R1159" s="237"/>
      <c r="S1159" s="237"/>
      <c r="T1159" s="237"/>
      <c r="U1159" s="237"/>
      <c r="V1159" s="237"/>
      <c r="W1159" s="237"/>
      <c r="X1159" s="237"/>
      <c r="Y1159" s="237"/>
      <c r="Z1159" s="237"/>
      <c r="AA1159" s="237"/>
      <c r="AB1159" s="237"/>
    </row>
    <row r="1160">
      <c r="A1160" s="238">
        <v>1159.0</v>
      </c>
      <c r="B1160" s="239" t="s">
        <v>8478</v>
      </c>
      <c r="C1160" s="240" t="s">
        <v>8479</v>
      </c>
      <c r="D1160" s="236"/>
      <c r="E1160" s="240" t="s">
        <v>3511</v>
      </c>
      <c r="F1160" s="240" t="s">
        <v>8480</v>
      </c>
      <c r="G1160" s="238" t="s">
        <v>8481</v>
      </c>
      <c r="H1160" s="240" t="s">
        <v>8482</v>
      </c>
      <c r="I1160" s="236"/>
      <c r="J1160" s="238" t="s">
        <v>4100</v>
      </c>
      <c r="K1160" s="239" t="s">
        <v>8478</v>
      </c>
      <c r="L1160" s="237"/>
      <c r="M1160" s="237"/>
      <c r="N1160" s="237"/>
      <c r="O1160" s="237"/>
      <c r="P1160" s="237"/>
      <c r="Q1160" s="237"/>
      <c r="R1160" s="237"/>
      <c r="S1160" s="237"/>
      <c r="T1160" s="237"/>
      <c r="U1160" s="237"/>
      <c r="V1160" s="237"/>
      <c r="W1160" s="237"/>
      <c r="X1160" s="237"/>
      <c r="Y1160" s="237"/>
      <c r="Z1160" s="237"/>
      <c r="AA1160" s="237"/>
      <c r="AB1160" s="237"/>
    </row>
    <row r="1161">
      <c r="A1161" s="238">
        <v>1160.0</v>
      </c>
      <c r="B1161" s="239" t="s">
        <v>8483</v>
      </c>
      <c r="C1161" s="240" t="s">
        <v>8484</v>
      </c>
      <c r="D1161" s="236"/>
      <c r="E1161" s="240" t="s">
        <v>3511</v>
      </c>
      <c r="F1161" s="240" t="s">
        <v>8485</v>
      </c>
      <c r="G1161" s="238" t="s">
        <v>8486</v>
      </c>
      <c r="H1161" s="240" t="s">
        <v>8487</v>
      </c>
      <c r="I1161" s="236"/>
      <c r="J1161" s="238" t="s">
        <v>4100</v>
      </c>
      <c r="K1161" s="239" t="s">
        <v>8483</v>
      </c>
      <c r="L1161" s="237"/>
      <c r="M1161" s="237"/>
      <c r="N1161" s="237"/>
      <c r="O1161" s="237"/>
      <c r="P1161" s="237"/>
      <c r="Q1161" s="237"/>
      <c r="R1161" s="237"/>
      <c r="S1161" s="237"/>
      <c r="T1161" s="237"/>
      <c r="U1161" s="237"/>
      <c r="V1161" s="237"/>
      <c r="W1161" s="237"/>
      <c r="X1161" s="237"/>
      <c r="Y1161" s="237"/>
      <c r="Z1161" s="237"/>
      <c r="AA1161" s="237"/>
      <c r="AB1161" s="237"/>
    </row>
    <row r="1162">
      <c r="A1162" s="238">
        <v>1161.0</v>
      </c>
      <c r="B1162" s="239" t="s">
        <v>8488</v>
      </c>
      <c r="C1162" s="240" t="s">
        <v>8489</v>
      </c>
      <c r="D1162" s="236"/>
      <c r="E1162" s="240" t="s">
        <v>3511</v>
      </c>
      <c r="F1162" s="240" t="s">
        <v>8490</v>
      </c>
      <c r="G1162" s="238" t="s">
        <v>8491</v>
      </c>
      <c r="H1162" s="240" t="s">
        <v>8492</v>
      </c>
      <c r="I1162" s="236"/>
      <c r="J1162" s="238" t="s">
        <v>4100</v>
      </c>
      <c r="K1162" s="239" t="s">
        <v>8488</v>
      </c>
      <c r="L1162" s="237"/>
      <c r="M1162" s="237"/>
      <c r="N1162" s="237"/>
      <c r="O1162" s="237"/>
      <c r="P1162" s="237"/>
      <c r="Q1162" s="237"/>
      <c r="R1162" s="237"/>
      <c r="S1162" s="237"/>
      <c r="T1162" s="237"/>
      <c r="U1162" s="237"/>
      <c r="V1162" s="237"/>
      <c r="W1162" s="237"/>
      <c r="X1162" s="237"/>
      <c r="Y1162" s="237"/>
      <c r="Z1162" s="237"/>
      <c r="AA1162" s="237"/>
      <c r="AB1162" s="237"/>
    </row>
    <row r="1163">
      <c r="A1163" s="238">
        <v>1162.0</v>
      </c>
      <c r="B1163" s="239" t="s">
        <v>8493</v>
      </c>
      <c r="C1163" s="240" t="s">
        <v>8494</v>
      </c>
      <c r="D1163" s="236"/>
      <c r="E1163" s="240" t="s">
        <v>3511</v>
      </c>
      <c r="F1163" s="240" t="s">
        <v>8495</v>
      </c>
      <c r="G1163" s="238" t="s">
        <v>8496</v>
      </c>
      <c r="H1163" s="240" t="s">
        <v>8497</v>
      </c>
      <c r="I1163" s="236"/>
      <c r="J1163" s="238" t="s">
        <v>4100</v>
      </c>
      <c r="K1163" s="239" t="s">
        <v>8493</v>
      </c>
      <c r="L1163" s="237"/>
      <c r="M1163" s="237"/>
      <c r="N1163" s="237"/>
      <c r="O1163" s="237"/>
      <c r="P1163" s="237"/>
      <c r="Q1163" s="237"/>
      <c r="R1163" s="237"/>
      <c r="S1163" s="237"/>
      <c r="T1163" s="237"/>
      <c r="U1163" s="237"/>
      <c r="V1163" s="237"/>
      <c r="W1163" s="237"/>
      <c r="X1163" s="237"/>
      <c r="Y1163" s="237"/>
      <c r="Z1163" s="237"/>
      <c r="AA1163" s="237"/>
      <c r="AB1163" s="237"/>
    </row>
    <row r="1164">
      <c r="A1164" s="238">
        <v>1163.0</v>
      </c>
      <c r="B1164" s="239" t="s">
        <v>8498</v>
      </c>
      <c r="C1164" s="240" t="s">
        <v>8499</v>
      </c>
      <c r="D1164" s="236"/>
      <c r="E1164" s="240" t="s">
        <v>3511</v>
      </c>
      <c r="F1164" s="240" t="s">
        <v>8500</v>
      </c>
      <c r="G1164" s="238" t="s">
        <v>8501</v>
      </c>
      <c r="H1164" s="240" t="s">
        <v>8502</v>
      </c>
      <c r="I1164" s="236"/>
      <c r="J1164" s="238" t="s">
        <v>4100</v>
      </c>
      <c r="K1164" s="239" t="s">
        <v>8498</v>
      </c>
      <c r="L1164" s="237"/>
      <c r="M1164" s="237"/>
      <c r="N1164" s="237"/>
      <c r="O1164" s="237"/>
      <c r="P1164" s="237"/>
      <c r="Q1164" s="237"/>
      <c r="R1164" s="237"/>
      <c r="S1164" s="237"/>
      <c r="T1164" s="237"/>
      <c r="U1164" s="237"/>
      <c r="V1164" s="237"/>
      <c r="W1164" s="237"/>
      <c r="X1164" s="237"/>
      <c r="Y1164" s="237"/>
      <c r="Z1164" s="237"/>
      <c r="AA1164" s="237"/>
      <c r="AB1164" s="237"/>
    </row>
    <row r="1165">
      <c r="A1165" s="238">
        <v>1164.0</v>
      </c>
      <c r="B1165" s="242"/>
      <c r="C1165" s="240" t="s">
        <v>8503</v>
      </c>
      <c r="D1165" s="236"/>
      <c r="E1165" s="240" t="s">
        <v>3511</v>
      </c>
      <c r="F1165" s="240" t="s">
        <v>8504</v>
      </c>
      <c r="G1165" s="238" t="s">
        <v>8505</v>
      </c>
      <c r="H1165" s="240" t="s">
        <v>8506</v>
      </c>
      <c r="I1165" s="236"/>
      <c r="J1165" s="238" t="s">
        <v>8507</v>
      </c>
      <c r="K1165" s="242"/>
      <c r="L1165" s="237"/>
      <c r="M1165" s="237"/>
      <c r="N1165" s="237"/>
      <c r="O1165" s="237"/>
      <c r="P1165" s="237"/>
      <c r="Q1165" s="237"/>
      <c r="R1165" s="237"/>
      <c r="S1165" s="237"/>
      <c r="T1165" s="237"/>
      <c r="U1165" s="237"/>
      <c r="V1165" s="237"/>
      <c r="W1165" s="237"/>
      <c r="X1165" s="237"/>
      <c r="Y1165" s="237"/>
      <c r="Z1165" s="237"/>
      <c r="AA1165" s="237"/>
      <c r="AB1165" s="237"/>
    </row>
    <row r="1166">
      <c r="A1166" s="238">
        <v>1165.0</v>
      </c>
      <c r="B1166" s="242"/>
      <c r="C1166" s="240" t="s">
        <v>8508</v>
      </c>
      <c r="D1166" s="236"/>
      <c r="E1166" s="240" t="s">
        <v>3511</v>
      </c>
      <c r="F1166" s="240" t="s">
        <v>8509</v>
      </c>
      <c r="G1166" s="238" t="s">
        <v>8510</v>
      </c>
      <c r="H1166" s="240" t="s">
        <v>8511</v>
      </c>
      <c r="I1166" s="236"/>
      <c r="J1166" s="238" t="s">
        <v>8507</v>
      </c>
      <c r="K1166" s="242"/>
      <c r="L1166" s="237"/>
      <c r="M1166" s="237"/>
      <c r="N1166" s="237"/>
      <c r="O1166" s="237"/>
      <c r="P1166" s="237"/>
      <c r="Q1166" s="237"/>
      <c r="R1166" s="237"/>
      <c r="S1166" s="237"/>
      <c r="T1166" s="237"/>
      <c r="U1166" s="237"/>
      <c r="V1166" s="237"/>
      <c r="W1166" s="237"/>
      <c r="X1166" s="237"/>
      <c r="Y1166" s="237"/>
      <c r="Z1166" s="237"/>
      <c r="AA1166" s="237"/>
      <c r="AB1166" s="237"/>
    </row>
    <row r="1167">
      <c r="A1167" s="238">
        <v>1166.0</v>
      </c>
      <c r="B1167" s="239" t="s">
        <v>8512</v>
      </c>
      <c r="C1167" s="240" t="s">
        <v>8513</v>
      </c>
      <c r="D1167" s="236"/>
      <c r="E1167" s="240" t="s">
        <v>3511</v>
      </c>
      <c r="F1167" s="240" t="s">
        <v>8514</v>
      </c>
      <c r="G1167" s="238" t="s">
        <v>8515</v>
      </c>
      <c r="H1167" s="240" t="s">
        <v>8516</v>
      </c>
      <c r="I1167" s="236"/>
      <c r="J1167" s="238" t="s">
        <v>4044</v>
      </c>
      <c r="K1167" s="239" t="s">
        <v>8512</v>
      </c>
      <c r="L1167" s="237"/>
      <c r="M1167" s="237"/>
      <c r="N1167" s="237"/>
      <c r="O1167" s="237"/>
      <c r="P1167" s="237"/>
      <c r="Q1167" s="237"/>
      <c r="R1167" s="237"/>
      <c r="S1167" s="237"/>
      <c r="T1167" s="237"/>
      <c r="U1167" s="237"/>
      <c r="V1167" s="237"/>
      <c r="W1167" s="237"/>
      <c r="X1167" s="237"/>
      <c r="Y1167" s="237"/>
      <c r="Z1167" s="237"/>
      <c r="AA1167" s="237"/>
      <c r="AB1167" s="237"/>
    </row>
    <row r="1168">
      <c r="A1168" s="238">
        <v>1167.0</v>
      </c>
      <c r="B1168" s="239" t="s">
        <v>8512</v>
      </c>
      <c r="C1168" s="240" t="s">
        <v>8517</v>
      </c>
      <c r="D1168" s="236"/>
      <c r="E1168" s="240" t="s">
        <v>3511</v>
      </c>
      <c r="F1168" s="240" t="s">
        <v>8518</v>
      </c>
      <c r="G1168" s="238" t="s">
        <v>8519</v>
      </c>
      <c r="H1168" s="240" t="s">
        <v>8520</v>
      </c>
      <c r="I1168" s="236"/>
      <c r="J1168" s="238" t="s">
        <v>4044</v>
      </c>
      <c r="K1168" s="239" t="s">
        <v>8512</v>
      </c>
      <c r="L1168" s="237"/>
      <c r="M1168" s="237"/>
      <c r="N1168" s="237"/>
      <c r="O1168" s="237"/>
      <c r="P1168" s="237"/>
      <c r="Q1168" s="237"/>
      <c r="R1168" s="237"/>
      <c r="S1168" s="237"/>
      <c r="T1168" s="237"/>
      <c r="U1168" s="237"/>
      <c r="V1168" s="237"/>
      <c r="W1168" s="237"/>
      <c r="X1168" s="237"/>
      <c r="Y1168" s="237"/>
      <c r="Z1168" s="237"/>
      <c r="AA1168" s="237"/>
      <c r="AB1168" s="237"/>
    </row>
    <row r="1169">
      <c r="A1169" s="238">
        <v>1168.0</v>
      </c>
      <c r="B1169" s="239" t="s">
        <v>8512</v>
      </c>
      <c r="C1169" s="240" t="s">
        <v>8521</v>
      </c>
      <c r="D1169" s="236"/>
      <c r="E1169" s="240" t="s">
        <v>3511</v>
      </c>
      <c r="F1169" s="240" t="s">
        <v>8522</v>
      </c>
      <c r="G1169" s="238" t="s">
        <v>8523</v>
      </c>
      <c r="H1169" s="240" t="s">
        <v>8524</v>
      </c>
      <c r="I1169" s="236"/>
      <c r="J1169" s="238" t="s">
        <v>4044</v>
      </c>
      <c r="K1169" s="239" t="s">
        <v>8512</v>
      </c>
      <c r="L1169" s="237"/>
      <c r="M1169" s="237"/>
      <c r="N1169" s="237"/>
      <c r="O1169" s="237"/>
      <c r="P1169" s="237"/>
      <c r="Q1169" s="237"/>
      <c r="R1169" s="237"/>
      <c r="S1169" s="237"/>
      <c r="T1169" s="237"/>
      <c r="U1169" s="237"/>
      <c r="V1169" s="237"/>
      <c r="W1169" s="237"/>
      <c r="X1169" s="237"/>
      <c r="Y1169" s="237"/>
      <c r="Z1169" s="237"/>
      <c r="AA1169" s="237"/>
      <c r="AB1169" s="237"/>
    </row>
    <row r="1170">
      <c r="A1170" s="238">
        <v>1169.0</v>
      </c>
      <c r="B1170" s="239" t="s">
        <v>8512</v>
      </c>
      <c r="C1170" s="240" t="s">
        <v>8525</v>
      </c>
      <c r="D1170" s="236"/>
      <c r="E1170" s="240" t="s">
        <v>3511</v>
      </c>
      <c r="F1170" s="240" t="s">
        <v>8526</v>
      </c>
      <c r="G1170" s="238" t="s">
        <v>8527</v>
      </c>
      <c r="H1170" s="240" t="s">
        <v>8528</v>
      </c>
      <c r="I1170" s="236"/>
      <c r="J1170" s="238" t="s">
        <v>4044</v>
      </c>
      <c r="K1170" s="239" t="s">
        <v>8512</v>
      </c>
      <c r="L1170" s="237"/>
      <c r="M1170" s="237"/>
      <c r="N1170" s="237"/>
      <c r="O1170" s="237"/>
      <c r="P1170" s="237"/>
      <c r="Q1170" s="237"/>
      <c r="R1170" s="237"/>
      <c r="S1170" s="237"/>
      <c r="T1170" s="237"/>
      <c r="U1170" s="237"/>
      <c r="V1170" s="237"/>
      <c r="W1170" s="237"/>
      <c r="X1170" s="237"/>
      <c r="Y1170" s="237"/>
      <c r="Z1170" s="237"/>
      <c r="AA1170" s="237"/>
      <c r="AB1170" s="237"/>
    </row>
    <row r="1171">
      <c r="A1171" s="238">
        <v>1170.0</v>
      </c>
      <c r="B1171" s="239" t="s">
        <v>8512</v>
      </c>
      <c r="C1171" s="240" t="s">
        <v>8529</v>
      </c>
      <c r="D1171" s="236"/>
      <c r="E1171" s="240" t="s">
        <v>3511</v>
      </c>
      <c r="F1171" s="240" t="s">
        <v>8530</v>
      </c>
      <c r="G1171" s="238" t="s">
        <v>8531</v>
      </c>
      <c r="H1171" s="240" t="s">
        <v>8532</v>
      </c>
      <c r="I1171" s="236"/>
      <c r="J1171" s="238" t="s">
        <v>4044</v>
      </c>
      <c r="K1171" s="239" t="s">
        <v>8512</v>
      </c>
      <c r="L1171" s="237"/>
      <c r="M1171" s="237"/>
      <c r="N1171" s="237"/>
      <c r="O1171" s="237"/>
      <c r="P1171" s="237"/>
      <c r="Q1171" s="237"/>
      <c r="R1171" s="237"/>
      <c r="S1171" s="237"/>
      <c r="T1171" s="237"/>
      <c r="U1171" s="237"/>
      <c r="V1171" s="237"/>
      <c r="W1171" s="237"/>
      <c r="X1171" s="237"/>
      <c r="Y1171" s="237"/>
      <c r="Z1171" s="237"/>
      <c r="AA1171" s="237"/>
      <c r="AB1171" s="237"/>
    </row>
    <row r="1172">
      <c r="A1172" s="238">
        <v>1171.0</v>
      </c>
      <c r="B1172" s="239" t="s">
        <v>8512</v>
      </c>
      <c r="C1172" s="240" t="s">
        <v>8533</v>
      </c>
      <c r="D1172" s="236"/>
      <c r="E1172" s="240" t="s">
        <v>3511</v>
      </c>
      <c r="F1172" s="240" t="s">
        <v>8534</v>
      </c>
      <c r="G1172" s="238" t="s">
        <v>8535</v>
      </c>
      <c r="H1172" s="240" t="s">
        <v>8536</v>
      </c>
      <c r="I1172" s="236"/>
      <c r="J1172" s="238" t="s">
        <v>4044</v>
      </c>
      <c r="K1172" s="239" t="s">
        <v>8512</v>
      </c>
      <c r="L1172" s="237"/>
      <c r="M1172" s="237"/>
      <c r="N1172" s="237"/>
      <c r="O1172" s="237"/>
      <c r="P1172" s="237"/>
      <c r="Q1172" s="237"/>
      <c r="R1172" s="237"/>
      <c r="S1172" s="237"/>
      <c r="T1172" s="237"/>
      <c r="U1172" s="237"/>
      <c r="V1172" s="237"/>
      <c r="W1172" s="237"/>
      <c r="X1172" s="237"/>
      <c r="Y1172" s="237"/>
      <c r="Z1172" s="237"/>
      <c r="AA1172" s="237"/>
      <c r="AB1172" s="237"/>
    </row>
    <row r="1173">
      <c r="A1173" s="238">
        <v>1172.0</v>
      </c>
      <c r="B1173" s="239" t="s">
        <v>8537</v>
      </c>
      <c r="C1173" s="241" t="s">
        <v>8538</v>
      </c>
      <c r="D1173" s="236"/>
      <c r="E1173" s="240" t="s">
        <v>3511</v>
      </c>
      <c r="F1173" s="241" t="s">
        <v>8539</v>
      </c>
      <c r="G1173" s="238" t="s">
        <v>8540</v>
      </c>
      <c r="H1173" s="241" t="s">
        <v>8541</v>
      </c>
      <c r="I1173" s="236"/>
      <c r="J1173" s="238" t="s">
        <v>3499</v>
      </c>
      <c r="K1173" s="239" t="s">
        <v>8537</v>
      </c>
      <c r="L1173" s="237"/>
      <c r="M1173" s="237"/>
      <c r="N1173" s="237"/>
      <c r="O1173" s="237"/>
      <c r="P1173" s="237"/>
      <c r="Q1173" s="237"/>
      <c r="R1173" s="237"/>
      <c r="S1173" s="237"/>
      <c r="T1173" s="237"/>
      <c r="U1173" s="237"/>
      <c r="V1173" s="237"/>
      <c r="W1173" s="237"/>
      <c r="X1173" s="237"/>
      <c r="Y1173" s="237"/>
      <c r="Z1173" s="237"/>
      <c r="AA1173" s="237"/>
      <c r="AB1173" s="237"/>
    </row>
    <row r="1174">
      <c r="A1174" s="238">
        <v>1173.0</v>
      </c>
      <c r="B1174" s="242"/>
      <c r="C1174" s="241" t="s">
        <v>8542</v>
      </c>
      <c r="D1174" s="236"/>
      <c r="E1174" s="240" t="s">
        <v>3511</v>
      </c>
      <c r="F1174" s="241" t="s">
        <v>8543</v>
      </c>
      <c r="G1174" s="238" t="s">
        <v>8544</v>
      </c>
      <c r="H1174" s="241" t="s">
        <v>8545</v>
      </c>
      <c r="I1174" s="236"/>
      <c r="J1174" s="238" t="s">
        <v>3499</v>
      </c>
      <c r="K1174" s="242"/>
      <c r="L1174" s="237"/>
      <c r="M1174" s="237"/>
      <c r="N1174" s="237"/>
      <c r="O1174" s="237"/>
      <c r="P1174" s="237"/>
      <c r="Q1174" s="237"/>
      <c r="R1174" s="237"/>
      <c r="S1174" s="237"/>
      <c r="T1174" s="237"/>
      <c r="U1174" s="237"/>
      <c r="V1174" s="237"/>
      <c r="W1174" s="237"/>
      <c r="X1174" s="237"/>
      <c r="Y1174" s="237"/>
      <c r="Z1174" s="237"/>
      <c r="AA1174" s="237"/>
      <c r="AB1174" s="237"/>
    </row>
    <row r="1175">
      <c r="A1175" s="238">
        <v>1174.0</v>
      </c>
      <c r="B1175" s="242"/>
      <c r="C1175" s="240" t="s">
        <v>8546</v>
      </c>
      <c r="D1175" s="236"/>
      <c r="E1175" s="240" t="s">
        <v>3511</v>
      </c>
      <c r="F1175" s="241" t="s">
        <v>8547</v>
      </c>
      <c r="G1175" s="238" t="s">
        <v>8548</v>
      </c>
      <c r="H1175" s="241" t="s">
        <v>8549</v>
      </c>
      <c r="I1175" s="236"/>
      <c r="J1175" s="238" t="s">
        <v>3499</v>
      </c>
      <c r="K1175" s="242"/>
      <c r="L1175" s="237"/>
      <c r="M1175" s="237"/>
      <c r="N1175" s="237"/>
      <c r="O1175" s="237"/>
      <c r="P1175" s="237"/>
      <c r="Q1175" s="237"/>
      <c r="R1175" s="237"/>
      <c r="S1175" s="237"/>
      <c r="T1175" s="237"/>
      <c r="U1175" s="237"/>
      <c r="V1175" s="237"/>
      <c r="W1175" s="237"/>
      <c r="X1175" s="237"/>
      <c r="Y1175" s="237"/>
      <c r="Z1175" s="237"/>
      <c r="AA1175" s="237"/>
      <c r="AB1175" s="237"/>
    </row>
    <row r="1176">
      <c r="A1176" s="238">
        <v>1175.0</v>
      </c>
      <c r="B1176" s="242"/>
      <c r="C1176" s="240" t="s">
        <v>8550</v>
      </c>
      <c r="D1176" s="236"/>
      <c r="E1176" s="240" t="s">
        <v>3511</v>
      </c>
      <c r="F1176" s="240" t="s">
        <v>8551</v>
      </c>
      <c r="G1176" s="238" t="s">
        <v>8552</v>
      </c>
      <c r="H1176" s="241" t="s">
        <v>8553</v>
      </c>
      <c r="I1176" s="236"/>
      <c r="J1176" s="238" t="s">
        <v>3499</v>
      </c>
      <c r="K1176" s="242"/>
      <c r="L1176" s="237"/>
      <c r="M1176" s="237"/>
      <c r="N1176" s="237"/>
      <c r="O1176" s="237"/>
      <c r="P1176" s="237"/>
      <c r="Q1176" s="237"/>
      <c r="R1176" s="237"/>
      <c r="S1176" s="237"/>
      <c r="T1176" s="237"/>
      <c r="U1176" s="237"/>
      <c r="V1176" s="237"/>
      <c r="W1176" s="237"/>
      <c r="X1176" s="237"/>
      <c r="Y1176" s="237"/>
      <c r="Z1176" s="237"/>
      <c r="AA1176" s="237"/>
      <c r="AB1176" s="237"/>
    </row>
    <row r="1177">
      <c r="A1177" s="238">
        <v>1176.0</v>
      </c>
      <c r="B1177" s="242"/>
      <c r="C1177" s="240" t="s">
        <v>8554</v>
      </c>
      <c r="D1177" s="236"/>
      <c r="E1177" s="240" t="s">
        <v>3511</v>
      </c>
      <c r="F1177" s="241" t="s">
        <v>8555</v>
      </c>
      <c r="G1177" s="238" t="s">
        <v>8556</v>
      </c>
      <c r="H1177" s="241" t="s">
        <v>8557</v>
      </c>
      <c r="I1177" s="236"/>
      <c r="J1177" s="238" t="s">
        <v>3499</v>
      </c>
      <c r="K1177" s="242"/>
      <c r="L1177" s="237"/>
      <c r="M1177" s="237"/>
      <c r="N1177" s="237"/>
      <c r="O1177" s="237"/>
      <c r="P1177" s="237"/>
      <c r="Q1177" s="237"/>
      <c r="R1177" s="237"/>
      <c r="S1177" s="237"/>
      <c r="T1177" s="237"/>
      <c r="U1177" s="237"/>
      <c r="V1177" s="237"/>
      <c r="W1177" s="237"/>
      <c r="X1177" s="237"/>
      <c r="Y1177" s="237"/>
      <c r="Z1177" s="237"/>
      <c r="AA1177" s="237"/>
      <c r="AB1177" s="237"/>
    </row>
    <row r="1178">
      <c r="A1178" s="238">
        <v>1177.0</v>
      </c>
      <c r="B1178" s="242"/>
      <c r="C1178" s="240" t="s">
        <v>8558</v>
      </c>
      <c r="D1178" s="236"/>
      <c r="E1178" s="240" t="s">
        <v>3511</v>
      </c>
      <c r="F1178" s="241" t="s">
        <v>8559</v>
      </c>
      <c r="G1178" s="238" t="s">
        <v>8560</v>
      </c>
      <c r="H1178" s="241" t="s">
        <v>8561</v>
      </c>
      <c r="I1178" s="236"/>
      <c r="J1178" s="238" t="s">
        <v>3499</v>
      </c>
      <c r="K1178" s="242"/>
      <c r="L1178" s="237"/>
      <c r="M1178" s="237"/>
      <c r="N1178" s="237"/>
      <c r="O1178" s="237"/>
      <c r="P1178" s="237"/>
      <c r="Q1178" s="237"/>
      <c r="R1178" s="237"/>
      <c r="S1178" s="237"/>
      <c r="T1178" s="237"/>
      <c r="U1178" s="237"/>
      <c r="V1178" s="237"/>
      <c r="W1178" s="237"/>
      <c r="X1178" s="237"/>
      <c r="Y1178" s="237"/>
      <c r="Z1178" s="237"/>
      <c r="AA1178" s="237"/>
      <c r="AB1178" s="237"/>
    </row>
    <row r="1179">
      <c r="A1179" s="238">
        <v>1178.0</v>
      </c>
      <c r="B1179" s="242"/>
      <c r="C1179" s="240" t="s">
        <v>8562</v>
      </c>
      <c r="D1179" s="236"/>
      <c r="E1179" s="240" t="s">
        <v>3511</v>
      </c>
      <c r="F1179" s="241" t="s">
        <v>8563</v>
      </c>
      <c r="G1179" s="238" t="s">
        <v>8564</v>
      </c>
      <c r="H1179" s="241" t="s">
        <v>8565</v>
      </c>
      <c r="I1179" s="236"/>
      <c r="J1179" s="238" t="s">
        <v>3499</v>
      </c>
      <c r="K1179" s="242"/>
      <c r="L1179" s="237"/>
      <c r="M1179" s="237"/>
      <c r="N1179" s="237"/>
      <c r="O1179" s="237"/>
      <c r="P1179" s="237"/>
      <c r="Q1179" s="237"/>
      <c r="R1179" s="237"/>
      <c r="S1179" s="237"/>
      <c r="T1179" s="237"/>
      <c r="U1179" s="237"/>
      <c r="V1179" s="237"/>
      <c r="W1179" s="237"/>
      <c r="X1179" s="237"/>
      <c r="Y1179" s="237"/>
      <c r="Z1179" s="237"/>
      <c r="AA1179" s="237"/>
      <c r="AB1179" s="237"/>
    </row>
    <row r="1180">
      <c r="A1180" s="238">
        <v>1179.0</v>
      </c>
      <c r="B1180" s="242"/>
      <c r="C1180" s="240" t="s">
        <v>8566</v>
      </c>
      <c r="D1180" s="236"/>
      <c r="E1180" s="240" t="s">
        <v>3511</v>
      </c>
      <c r="F1180" s="241" t="s">
        <v>8567</v>
      </c>
      <c r="G1180" s="238" t="s">
        <v>8568</v>
      </c>
      <c r="H1180" s="241" t="s">
        <v>8569</v>
      </c>
      <c r="I1180" s="236"/>
      <c r="J1180" s="238" t="s">
        <v>3499</v>
      </c>
      <c r="K1180" s="242"/>
      <c r="L1180" s="237"/>
      <c r="M1180" s="237"/>
      <c r="N1180" s="237"/>
      <c r="O1180" s="237"/>
      <c r="P1180" s="237"/>
      <c r="Q1180" s="237"/>
      <c r="R1180" s="237"/>
      <c r="S1180" s="237"/>
      <c r="T1180" s="237"/>
      <c r="U1180" s="237"/>
      <c r="V1180" s="237"/>
      <c r="W1180" s="237"/>
      <c r="X1180" s="237"/>
      <c r="Y1180" s="237"/>
      <c r="Z1180" s="237"/>
      <c r="AA1180" s="237"/>
      <c r="AB1180" s="237"/>
    </row>
    <row r="1181">
      <c r="A1181" s="238">
        <v>1180.0</v>
      </c>
      <c r="B1181" s="242"/>
      <c r="C1181" s="240" t="s">
        <v>8570</v>
      </c>
      <c r="D1181" s="236"/>
      <c r="E1181" s="240" t="s">
        <v>3511</v>
      </c>
      <c r="F1181" s="241" t="s">
        <v>8571</v>
      </c>
      <c r="G1181" s="238" t="s">
        <v>8572</v>
      </c>
      <c r="H1181" s="241" t="s">
        <v>8573</v>
      </c>
      <c r="I1181" s="236"/>
      <c r="J1181" s="238" t="s">
        <v>3499</v>
      </c>
      <c r="K1181" s="242"/>
      <c r="L1181" s="237"/>
      <c r="M1181" s="237"/>
      <c r="N1181" s="237"/>
      <c r="O1181" s="237"/>
      <c r="P1181" s="237"/>
      <c r="Q1181" s="237"/>
      <c r="R1181" s="237"/>
      <c r="S1181" s="237"/>
      <c r="T1181" s="237"/>
      <c r="U1181" s="237"/>
      <c r="V1181" s="237"/>
      <c r="W1181" s="237"/>
      <c r="X1181" s="237"/>
      <c r="Y1181" s="237"/>
      <c r="Z1181" s="237"/>
      <c r="AA1181" s="237"/>
      <c r="AB1181" s="237"/>
    </row>
    <row r="1182">
      <c r="A1182" s="238">
        <v>1181.0</v>
      </c>
      <c r="B1182" s="242"/>
      <c r="C1182" s="240" t="s">
        <v>8574</v>
      </c>
      <c r="D1182" s="236"/>
      <c r="E1182" s="240" t="s">
        <v>3511</v>
      </c>
      <c r="F1182" s="240" t="s">
        <v>8575</v>
      </c>
      <c r="G1182" s="238" t="s">
        <v>8576</v>
      </c>
      <c r="H1182" s="88" t="s">
        <v>8577</v>
      </c>
      <c r="I1182" s="236"/>
      <c r="J1182" s="238" t="s">
        <v>3499</v>
      </c>
      <c r="K1182" s="242"/>
      <c r="L1182" s="237"/>
      <c r="M1182" s="237"/>
      <c r="N1182" s="237"/>
      <c r="O1182" s="237"/>
      <c r="P1182" s="237"/>
      <c r="Q1182" s="237"/>
      <c r="R1182" s="237"/>
      <c r="S1182" s="237"/>
      <c r="T1182" s="237"/>
      <c r="U1182" s="237"/>
      <c r="V1182" s="237"/>
      <c r="W1182" s="237"/>
      <c r="X1182" s="237"/>
      <c r="Y1182" s="237"/>
      <c r="Z1182" s="237"/>
      <c r="AA1182" s="237"/>
      <c r="AB1182" s="237"/>
    </row>
    <row r="1183">
      <c r="A1183" s="238">
        <v>1182.0</v>
      </c>
      <c r="B1183" s="242"/>
      <c r="C1183" s="240" t="s">
        <v>8578</v>
      </c>
      <c r="D1183" s="236"/>
      <c r="E1183" s="240" t="s">
        <v>3511</v>
      </c>
      <c r="F1183" s="240" t="s">
        <v>8579</v>
      </c>
      <c r="G1183" s="238" t="s">
        <v>8580</v>
      </c>
      <c r="H1183" s="236"/>
      <c r="I1183" s="236"/>
      <c r="J1183" s="238" t="s">
        <v>3499</v>
      </c>
      <c r="K1183" s="242"/>
      <c r="L1183" s="237"/>
      <c r="M1183" s="237"/>
      <c r="N1183" s="237"/>
      <c r="O1183" s="237"/>
      <c r="P1183" s="237"/>
      <c r="Q1183" s="237"/>
      <c r="R1183" s="237"/>
      <c r="S1183" s="237"/>
      <c r="T1183" s="237"/>
      <c r="U1183" s="237"/>
      <c r="V1183" s="237"/>
      <c r="W1183" s="237"/>
      <c r="X1183" s="237"/>
      <c r="Y1183" s="237"/>
      <c r="Z1183" s="237"/>
      <c r="AA1183" s="237"/>
      <c r="AB1183" s="237"/>
    </row>
    <row r="1184">
      <c r="A1184" s="238">
        <v>1183.0</v>
      </c>
      <c r="B1184" s="242"/>
      <c r="C1184" s="240" t="s">
        <v>8581</v>
      </c>
      <c r="D1184" s="236"/>
      <c r="E1184" s="240" t="s">
        <v>3511</v>
      </c>
      <c r="F1184" s="240" t="s">
        <v>8582</v>
      </c>
      <c r="G1184" s="238" t="s">
        <v>8583</v>
      </c>
      <c r="H1184" s="88" t="s">
        <v>8584</v>
      </c>
      <c r="I1184" s="236"/>
      <c r="J1184" s="238" t="s">
        <v>8585</v>
      </c>
      <c r="K1184" s="242"/>
      <c r="L1184" s="237"/>
      <c r="M1184" s="237"/>
      <c r="N1184" s="237"/>
      <c r="O1184" s="237"/>
      <c r="P1184" s="237"/>
      <c r="Q1184" s="237"/>
      <c r="R1184" s="237"/>
      <c r="S1184" s="237"/>
      <c r="T1184" s="237"/>
      <c r="U1184" s="237"/>
      <c r="V1184" s="237"/>
      <c r="W1184" s="237"/>
      <c r="X1184" s="237"/>
      <c r="Y1184" s="237"/>
      <c r="Z1184" s="237"/>
      <c r="AA1184" s="237"/>
      <c r="AB1184" s="237"/>
    </row>
    <row r="1185">
      <c r="A1185" s="238">
        <v>1184.0</v>
      </c>
      <c r="B1185" s="242"/>
      <c r="C1185" s="240" t="s">
        <v>8586</v>
      </c>
      <c r="D1185" s="236"/>
      <c r="E1185" s="240" t="s">
        <v>3511</v>
      </c>
      <c r="F1185" s="240" t="s">
        <v>8587</v>
      </c>
      <c r="G1185" s="238" t="s">
        <v>8588</v>
      </c>
      <c r="H1185" s="252" t="s">
        <v>8589</v>
      </c>
      <c r="I1185" s="253"/>
      <c r="J1185" s="238" t="s">
        <v>8585</v>
      </c>
      <c r="K1185" s="242"/>
      <c r="L1185" s="237"/>
      <c r="M1185" s="237"/>
      <c r="N1185" s="237"/>
      <c r="O1185" s="237"/>
      <c r="P1185" s="237"/>
      <c r="Q1185" s="237"/>
      <c r="R1185" s="237"/>
      <c r="S1185" s="237"/>
      <c r="T1185" s="237"/>
      <c r="U1185" s="237"/>
      <c r="V1185" s="237"/>
      <c r="W1185" s="237"/>
      <c r="X1185" s="237"/>
      <c r="Y1185" s="237"/>
      <c r="Z1185" s="237"/>
      <c r="AA1185" s="237"/>
      <c r="AB1185" s="237"/>
    </row>
    <row r="1186">
      <c r="A1186" s="238">
        <v>1185.0</v>
      </c>
      <c r="B1186" s="242"/>
      <c r="C1186" s="240" t="s">
        <v>8590</v>
      </c>
      <c r="D1186" s="236"/>
      <c r="E1186" s="240" t="s">
        <v>3511</v>
      </c>
      <c r="F1186" s="240" t="s">
        <v>8591</v>
      </c>
      <c r="G1186" s="238" t="s">
        <v>8592</v>
      </c>
      <c r="H1186" s="252" t="s">
        <v>8593</v>
      </c>
      <c r="I1186" s="253"/>
      <c r="J1186" s="238" t="s">
        <v>8585</v>
      </c>
      <c r="K1186" s="242"/>
      <c r="L1186" s="237"/>
      <c r="M1186" s="237"/>
      <c r="N1186" s="237"/>
      <c r="O1186" s="237"/>
      <c r="P1186" s="237"/>
      <c r="Q1186" s="237"/>
      <c r="R1186" s="237"/>
      <c r="S1186" s="237"/>
      <c r="T1186" s="237"/>
      <c r="U1186" s="237"/>
      <c r="V1186" s="237"/>
      <c r="W1186" s="237"/>
      <c r="X1186" s="237"/>
      <c r="Y1186" s="237"/>
      <c r="Z1186" s="237"/>
      <c r="AA1186" s="237"/>
      <c r="AB1186" s="237"/>
    </row>
    <row r="1187">
      <c r="A1187" s="238">
        <v>1186.0</v>
      </c>
      <c r="B1187" s="242"/>
      <c r="C1187" s="240" t="s">
        <v>8594</v>
      </c>
      <c r="D1187" s="236"/>
      <c r="E1187" s="240" t="s">
        <v>3511</v>
      </c>
      <c r="F1187" s="240" t="s">
        <v>8595</v>
      </c>
      <c r="G1187" s="238" t="s">
        <v>8596</v>
      </c>
      <c r="H1187" s="252" t="s">
        <v>8597</v>
      </c>
      <c r="I1187" s="253"/>
      <c r="J1187" s="238" t="s">
        <v>8585</v>
      </c>
      <c r="K1187" s="242"/>
      <c r="L1187" s="237"/>
      <c r="M1187" s="237"/>
      <c r="N1187" s="237"/>
      <c r="O1187" s="237"/>
      <c r="P1187" s="237"/>
      <c r="Q1187" s="237"/>
      <c r="R1187" s="237"/>
      <c r="S1187" s="237"/>
      <c r="T1187" s="237"/>
      <c r="U1187" s="237"/>
      <c r="V1187" s="237"/>
      <c r="W1187" s="237"/>
      <c r="X1187" s="237"/>
      <c r="Y1187" s="237"/>
      <c r="Z1187" s="237"/>
      <c r="AA1187" s="237"/>
      <c r="AB1187" s="237"/>
    </row>
    <row r="1188">
      <c r="A1188" s="238">
        <v>1187.0</v>
      </c>
      <c r="B1188" s="242"/>
      <c r="C1188" s="240" t="s">
        <v>8598</v>
      </c>
      <c r="D1188" s="236"/>
      <c r="E1188" s="240" t="s">
        <v>3511</v>
      </c>
      <c r="F1188" s="240" t="s">
        <v>8599</v>
      </c>
      <c r="G1188" s="238" t="s">
        <v>8600</v>
      </c>
      <c r="H1188" s="252" t="s">
        <v>8601</v>
      </c>
      <c r="I1188" s="253"/>
      <c r="J1188" s="238" t="s">
        <v>8585</v>
      </c>
      <c r="K1188" s="242"/>
      <c r="L1188" s="237"/>
      <c r="M1188" s="237"/>
      <c r="N1188" s="237"/>
      <c r="O1188" s="237"/>
      <c r="P1188" s="237"/>
      <c r="Q1188" s="237"/>
      <c r="R1188" s="237"/>
      <c r="S1188" s="237"/>
      <c r="T1188" s="237"/>
      <c r="U1188" s="237"/>
      <c r="V1188" s="237"/>
      <c r="W1188" s="237"/>
      <c r="X1188" s="237"/>
      <c r="Y1188" s="237"/>
      <c r="Z1188" s="237"/>
      <c r="AA1188" s="237"/>
      <c r="AB1188" s="237"/>
    </row>
    <row r="1189">
      <c r="A1189" s="238">
        <v>1188.0</v>
      </c>
      <c r="B1189" s="242"/>
      <c r="C1189" s="240" t="s">
        <v>8602</v>
      </c>
      <c r="D1189" s="236"/>
      <c r="E1189" s="240" t="s">
        <v>3511</v>
      </c>
      <c r="F1189" s="240" t="s">
        <v>8603</v>
      </c>
      <c r="G1189" s="238" t="s">
        <v>8604</v>
      </c>
      <c r="H1189" s="252" t="s">
        <v>8605</v>
      </c>
      <c r="I1189" s="253"/>
      <c r="J1189" s="238" t="s">
        <v>8585</v>
      </c>
      <c r="K1189" s="242"/>
      <c r="L1189" s="237"/>
      <c r="M1189" s="237"/>
      <c r="N1189" s="237"/>
      <c r="O1189" s="237"/>
      <c r="P1189" s="237"/>
      <c r="Q1189" s="237"/>
      <c r="R1189" s="237"/>
      <c r="S1189" s="237"/>
      <c r="T1189" s="237"/>
      <c r="U1189" s="237"/>
      <c r="V1189" s="237"/>
      <c r="W1189" s="237"/>
      <c r="X1189" s="237"/>
      <c r="Y1189" s="237"/>
      <c r="Z1189" s="237"/>
      <c r="AA1189" s="237"/>
      <c r="AB1189" s="237"/>
    </row>
    <row r="1190">
      <c r="A1190" s="238">
        <v>1189.0</v>
      </c>
      <c r="B1190" s="242"/>
      <c r="C1190" s="240" t="s">
        <v>8606</v>
      </c>
      <c r="D1190" s="236"/>
      <c r="E1190" s="240" t="s">
        <v>3511</v>
      </c>
      <c r="F1190" s="240" t="s">
        <v>8607</v>
      </c>
      <c r="G1190" s="238" t="s">
        <v>8608</v>
      </c>
      <c r="H1190" s="252" t="s">
        <v>8609</v>
      </c>
      <c r="I1190" s="253"/>
      <c r="J1190" s="238" t="s">
        <v>8585</v>
      </c>
      <c r="K1190" s="242"/>
      <c r="L1190" s="237"/>
      <c r="M1190" s="237"/>
      <c r="N1190" s="237"/>
      <c r="O1190" s="237"/>
      <c r="P1190" s="237"/>
      <c r="Q1190" s="237"/>
      <c r="R1190" s="237"/>
      <c r="S1190" s="237"/>
      <c r="T1190" s="237"/>
      <c r="U1190" s="237"/>
      <c r="V1190" s="237"/>
      <c r="W1190" s="237"/>
      <c r="X1190" s="237"/>
      <c r="Y1190" s="237"/>
      <c r="Z1190" s="237"/>
      <c r="AA1190" s="237"/>
      <c r="AB1190" s="237"/>
    </row>
    <row r="1191">
      <c r="A1191" s="238">
        <v>1190.0</v>
      </c>
      <c r="B1191" s="242"/>
      <c r="C1191" s="240" t="s">
        <v>8610</v>
      </c>
      <c r="D1191" s="236"/>
      <c r="E1191" s="240" t="s">
        <v>3511</v>
      </c>
      <c r="F1191" s="240" t="s">
        <v>8611</v>
      </c>
      <c r="G1191" s="238" t="s">
        <v>8612</v>
      </c>
      <c r="H1191" s="252" t="s">
        <v>8609</v>
      </c>
      <c r="I1191" s="253"/>
      <c r="J1191" s="238" t="s">
        <v>8585</v>
      </c>
      <c r="K1191" s="242"/>
      <c r="L1191" s="237"/>
      <c r="M1191" s="237"/>
      <c r="N1191" s="237"/>
      <c r="O1191" s="237"/>
      <c r="P1191" s="237"/>
      <c r="Q1191" s="237"/>
      <c r="R1191" s="237"/>
      <c r="S1191" s="237"/>
      <c r="T1191" s="237"/>
      <c r="U1191" s="237"/>
      <c r="V1191" s="237"/>
      <c r="W1191" s="237"/>
      <c r="X1191" s="237"/>
      <c r="Y1191" s="237"/>
      <c r="Z1191" s="237"/>
      <c r="AA1191" s="237"/>
      <c r="AB1191" s="237"/>
    </row>
    <row r="1192">
      <c r="A1192" s="238">
        <v>1191.0</v>
      </c>
      <c r="B1192" s="242"/>
      <c r="C1192" s="240" t="s">
        <v>8613</v>
      </c>
      <c r="D1192" s="236"/>
      <c r="E1192" s="240" t="s">
        <v>3511</v>
      </c>
      <c r="F1192" s="240" t="s">
        <v>8614</v>
      </c>
      <c r="G1192" s="238" t="s">
        <v>8615</v>
      </c>
      <c r="H1192" s="236"/>
      <c r="I1192" s="236"/>
      <c r="J1192" s="238" t="s">
        <v>8585</v>
      </c>
      <c r="K1192" s="242"/>
      <c r="L1192" s="237"/>
      <c r="M1192" s="237"/>
      <c r="N1192" s="237"/>
      <c r="O1192" s="237"/>
      <c r="P1192" s="237"/>
      <c r="Q1192" s="237"/>
      <c r="R1192" s="237"/>
      <c r="S1192" s="237"/>
      <c r="T1192" s="237"/>
      <c r="U1192" s="237"/>
      <c r="V1192" s="237"/>
      <c r="W1192" s="237"/>
      <c r="X1192" s="237"/>
      <c r="Y1192" s="237"/>
      <c r="Z1192" s="237"/>
      <c r="AA1192" s="237"/>
      <c r="AB1192" s="237"/>
    </row>
    <row r="1193">
      <c r="A1193" s="238">
        <v>1192.0</v>
      </c>
      <c r="B1193" s="242"/>
      <c r="C1193" s="240" t="s">
        <v>8616</v>
      </c>
      <c r="D1193" s="236"/>
      <c r="E1193" s="240" t="s">
        <v>3511</v>
      </c>
      <c r="F1193" s="240" t="s">
        <v>8617</v>
      </c>
      <c r="G1193" s="238" t="s">
        <v>8618</v>
      </c>
      <c r="H1193" s="236"/>
      <c r="I1193" s="236"/>
      <c r="J1193" s="238" t="s">
        <v>8021</v>
      </c>
      <c r="K1193" s="242"/>
      <c r="L1193" s="237"/>
      <c r="M1193" s="237"/>
      <c r="N1193" s="237"/>
      <c r="O1193" s="237"/>
      <c r="P1193" s="237"/>
      <c r="Q1193" s="237"/>
      <c r="R1193" s="237"/>
      <c r="S1193" s="237"/>
      <c r="T1193" s="237"/>
      <c r="U1193" s="237"/>
      <c r="V1193" s="237"/>
      <c r="W1193" s="237"/>
      <c r="X1193" s="237"/>
      <c r="Y1193" s="237"/>
      <c r="Z1193" s="237"/>
      <c r="AA1193" s="237"/>
      <c r="AB1193" s="237"/>
    </row>
    <row r="1194">
      <c r="A1194" s="238">
        <v>1193.0</v>
      </c>
      <c r="B1194" s="239" t="s">
        <v>8619</v>
      </c>
      <c r="C1194" s="240" t="s">
        <v>8620</v>
      </c>
      <c r="D1194" s="236"/>
      <c r="E1194" s="240" t="s">
        <v>3511</v>
      </c>
      <c r="F1194" s="240" t="s">
        <v>8621</v>
      </c>
      <c r="G1194" s="238" t="s">
        <v>8622</v>
      </c>
      <c r="H1194" s="236"/>
      <c r="I1194" s="236"/>
      <c r="J1194" s="238" t="s">
        <v>8021</v>
      </c>
      <c r="K1194" s="239" t="s">
        <v>8619</v>
      </c>
      <c r="L1194" s="237"/>
      <c r="M1194" s="237"/>
      <c r="N1194" s="237"/>
      <c r="O1194" s="237"/>
      <c r="P1194" s="237"/>
      <c r="Q1194" s="237"/>
      <c r="R1194" s="237"/>
      <c r="S1194" s="237"/>
      <c r="T1194" s="237"/>
      <c r="U1194" s="237"/>
      <c r="V1194" s="237"/>
      <c r="W1194" s="237"/>
      <c r="X1194" s="237"/>
      <c r="Y1194" s="237"/>
      <c r="Z1194" s="237"/>
      <c r="AA1194" s="237"/>
      <c r="AB1194" s="237"/>
    </row>
    <row r="1195">
      <c r="A1195" s="238">
        <v>1194.0</v>
      </c>
      <c r="B1195" s="242"/>
      <c r="C1195" s="240" t="s">
        <v>8623</v>
      </c>
      <c r="D1195" s="236"/>
      <c r="E1195" s="240" t="s">
        <v>3511</v>
      </c>
      <c r="F1195" s="240" t="s">
        <v>8624</v>
      </c>
      <c r="G1195" s="238" t="s">
        <v>8625</v>
      </c>
      <c r="H1195" s="236"/>
      <c r="I1195" s="236"/>
      <c r="J1195" s="238" t="s">
        <v>8021</v>
      </c>
      <c r="K1195" s="242"/>
      <c r="L1195" s="237"/>
      <c r="M1195" s="237"/>
      <c r="N1195" s="237"/>
      <c r="O1195" s="237"/>
      <c r="P1195" s="237"/>
      <c r="Q1195" s="237"/>
      <c r="R1195" s="237"/>
      <c r="S1195" s="237"/>
      <c r="T1195" s="237"/>
      <c r="U1195" s="237"/>
      <c r="V1195" s="237"/>
      <c r="W1195" s="237"/>
      <c r="X1195" s="237"/>
      <c r="Y1195" s="237"/>
      <c r="Z1195" s="237"/>
      <c r="AA1195" s="237"/>
      <c r="AB1195" s="237"/>
    </row>
    <row r="1196">
      <c r="A1196" s="238">
        <v>1195.0</v>
      </c>
      <c r="B1196" s="239" t="s">
        <v>8626</v>
      </c>
      <c r="C1196" s="240" t="s">
        <v>8627</v>
      </c>
      <c r="D1196" s="236"/>
      <c r="E1196" s="240" t="s">
        <v>3511</v>
      </c>
      <c r="F1196" s="240" t="s">
        <v>8628</v>
      </c>
      <c r="G1196" s="238" t="s">
        <v>8629</v>
      </c>
      <c r="H1196" s="236"/>
      <c r="I1196" s="236"/>
      <c r="J1196" s="238" t="s">
        <v>8021</v>
      </c>
      <c r="K1196" s="239" t="s">
        <v>8626</v>
      </c>
      <c r="L1196" s="237"/>
      <c r="M1196" s="237"/>
      <c r="N1196" s="237"/>
      <c r="O1196" s="237"/>
      <c r="P1196" s="237"/>
      <c r="Q1196" s="237"/>
      <c r="R1196" s="237"/>
      <c r="S1196" s="237"/>
      <c r="T1196" s="237"/>
      <c r="U1196" s="237"/>
      <c r="V1196" s="237"/>
      <c r="W1196" s="237"/>
      <c r="X1196" s="237"/>
      <c r="Y1196" s="237"/>
      <c r="Z1196" s="237"/>
      <c r="AA1196" s="237"/>
      <c r="AB1196" s="237"/>
    </row>
    <row r="1197">
      <c r="A1197" s="238">
        <v>1196.0</v>
      </c>
      <c r="B1197" s="242"/>
      <c r="C1197" s="240" t="s">
        <v>8630</v>
      </c>
      <c r="D1197" s="236"/>
      <c r="E1197" s="240" t="s">
        <v>3511</v>
      </c>
      <c r="F1197" s="240" t="s">
        <v>8631</v>
      </c>
      <c r="G1197" s="238" t="s">
        <v>8632</v>
      </c>
      <c r="H1197" s="236"/>
      <c r="I1197" s="236"/>
      <c r="J1197" s="238" t="s">
        <v>8021</v>
      </c>
      <c r="K1197" s="242"/>
      <c r="L1197" s="237"/>
      <c r="M1197" s="237"/>
      <c r="N1197" s="237"/>
      <c r="O1197" s="237"/>
      <c r="P1197" s="237"/>
      <c r="Q1197" s="237"/>
      <c r="R1197" s="237"/>
      <c r="S1197" s="237"/>
      <c r="T1197" s="237"/>
      <c r="U1197" s="237"/>
      <c r="V1197" s="237"/>
      <c r="W1197" s="237"/>
      <c r="X1197" s="237"/>
      <c r="Y1197" s="237"/>
      <c r="Z1197" s="237"/>
      <c r="AA1197" s="237"/>
      <c r="AB1197" s="237"/>
    </row>
    <row r="1198">
      <c r="A1198" s="238">
        <v>1197.0</v>
      </c>
      <c r="B1198" s="239" t="s">
        <v>8633</v>
      </c>
      <c r="C1198" s="240" t="s">
        <v>8634</v>
      </c>
      <c r="D1198" s="236"/>
      <c r="E1198" s="240" t="s">
        <v>3511</v>
      </c>
      <c r="F1198" s="240" t="s">
        <v>8635</v>
      </c>
      <c r="G1198" s="238" t="s">
        <v>8636</v>
      </c>
      <c r="H1198" s="236"/>
      <c r="I1198" s="236"/>
      <c r="J1198" s="238" t="s">
        <v>8021</v>
      </c>
      <c r="K1198" s="239" t="s">
        <v>8633</v>
      </c>
      <c r="L1198" s="237"/>
      <c r="M1198" s="237"/>
      <c r="N1198" s="237"/>
      <c r="O1198" s="237"/>
      <c r="P1198" s="237"/>
      <c r="Q1198" s="237"/>
      <c r="R1198" s="237"/>
      <c r="S1198" s="237"/>
      <c r="T1198" s="237"/>
      <c r="U1198" s="237"/>
      <c r="V1198" s="237"/>
      <c r="W1198" s="237"/>
      <c r="X1198" s="237"/>
      <c r="Y1198" s="237"/>
      <c r="Z1198" s="237"/>
      <c r="AA1198" s="237"/>
      <c r="AB1198" s="237"/>
    </row>
    <row r="1199">
      <c r="A1199" s="238">
        <v>1198.0</v>
      </c>
      <c r="B1199" s="242"/>
      <c r="C1199" s="240" t="s">
        <v>8637</v>
      </c>
      <c r="D1199" s="236"/>
      <c r="E1199" s="240" t="s">
        <v>3511</v>
      </c>
      <c r="F1199" s="240" t="s">
        <v>8638</v>
      </c>
      <c r="G1199" s="238" t="s">
        <v>8639</v>
      </c>
      <c r="H1199" s="236"/>
      <c r="I1199" s="236"/>
      <c r="J1199" s="238" t="s">
        <v>8021</v>
      </c>
      <c r="K1199" s="242"/>
      <c r="L1199" s="237"/>
      <c r="M1199" s="237"/>
      <c r="N1199" s="237"/>
      <c r="O1199" s="237"/>
      <c r="P1199" s="237"/>
      <c r="Q1199" s="237"/>
      <c r="R1199" s="237"/>
      <c r="S1199" s="237"/>
      <c r="T1199" s="237"/>
      <c r="U1199" s="237"/>
      <c r="V1199" s="237"/>
      <c r="W1199" s="237"/>
      <c r="X1199" s="237"/>
      <c r="Y1199" s="237"/>
      <c r="Z1199" s="237"/>
      <c r="AA1199" s="237"/>
      <c r="AB1199" s="237"/>
    </row>
    <row r="1200">
      <c r="A1200" s="238">
        <v>1199.0</v>
      </c>
      <c r="B1200" s="242"/>
      <c r="C1200" s="240" t="s">
        <v>8640</v>
      </c>
      <c r="D1200" s="236"/>
      <c r="E1200" s="240" t="s">
        <v>3511</v>
      </c>
      <c r="F1200" s="240" t="s">
        <v>8641</v>
      </c>
      <c r="G1200" s="238" t="s">
        <v>8642</v>
      </c>
      <c r="H1200" s="236"/>
      <c r="I1200" s="236"/>
      <c r="J1200" s="238" t="s">
        <v>8021</v>
      </c>
      <c r="K1200" s="242"/>
      <c r="L1200" s="237"/>
      <c r="M1200" s="237"/>
      <c r="N1200" s="237"/>
      <c r="O1200" s="237"/>
      <c r="P1200" s="237"/>
      <c r="Q1200" s="237"/>
      <c r="R1200" s="237"/>
      <c r="S1200" s="237"/>
      <c r="T1200" s="237"/>
      <c r="U1200" s="237"/>
      <c r="V1200" s="237"/>
      <c r="W1200" s="237"/>
      <c r="X1200" s="237"/>
      <c r="Y1200" s="237"/>
      <c r="Z1200" s="237"/>
      <c r="AA1200" s="237"/>
      <c r="AB1200" s="237"/>
    </row>
    <row r="1201">
      <c r="A1201" s="238">
        <v>1200.0</v>
      </c>
      <c r="B1201" s="239" t="s">
        <v>8643</v>
      </c>
      <c r="C1201" s="240" t="s">
        <v>8644</v>
      </c>
      <c r="D1201" s="236"/>
      <c r="E1201" s="240" t="s">
        <v>3511</v>
      </c>
      <c r="F1201" s="240" t="s">
        <v>8645</v>
      </c>
      <c r="G1201" s="238" t="s">
        <v>8646</v>
      </c>
      <c r="H1201" s="236"/>
      <c r="I1201" s="236"/>
      <c r="J1201" s="238" t="s">
        <v>8021</v>
      </c>
      <c r="K1201" s="239" t="s">
        <v>8643</v>
      </c>
      <c r="L1201" s="237"/>
      <c r="M1201" s="237"/>
      <c r="N1201" s="237"/>
      <c r="O1201" s="237"/>
      <c r="P1201" s="237"/>
      <c r="Q1201" s="237"/>
      <c r="R1201" s="237"/>
      <c r="S1201" s="237"/>
      <c r="T1201" s="237"/>
      <c r="U1201" s="237"/>
      <c r="V1201" s="237"/>
      <c r="W1201" s="237"/>
      <c r="X1201" s="237"/>
      <c r="Y1201" s="237"/>
      <c r="Z1201" s="237"/>
      <c r="AA1201" s="237"/>
      <c r="AB1201" s="237"/>
    </row>
    <row r="1202">
      <c r="A1202" s="238">
        <v>1201.0</v>
      </c>
      <c r="B1202" s="239" t="s">
        <v>8647</v>
      </c>
      <c r="C1202" s="240" t="s">
        <v>8648</v>
      </c>
      <c r="D1202" s="236"/>
      <c r="E1202" s="240" t="s">
        <v>3511</v>
      </c>
      <c r="F1202" s="240" t="s">
        <v>8649</v>
      </c>
      <c r="G1202" s="238" t="s">
        <v>8650</v>
      </c>
      <c r="H1202" s="236"/>
      <c r="I1202" s="236"/>
      <c r="J1202" s="238" t="s">
        <v>8021</v>
      </c>
      <c r="K1202" s="239" t="s">
        <v>8647</v>
      </c>
      <c r="L1202" s="237"/>
      <c r="M1202" s="237"/>
      <c r="N1202" s="237"/>
      <c r="O1202" s="237"/>
      <c r="P1202" s="237"/>
      <c r="Q1202" s="237"/>
      <c r="R1202" s="237"/>
      <c r="S1202" s="237"/>
      <c r="T1202" s="237"/>
      <c r="U1202" s="237"/>
      <c r="V1202" s="237"/>
      <c r="W1202" s="237"/>
      <c r="X1202" s="237"/>
      <c r="Y1202" s="237"/>
      <c r="Z1202" s="237"/>
      <c r="AA1202" s="237"/>
      <c r="AB1202" s="237"/>
    </row>
    <row r="1203">
      <c r="A1203" s="238">
        <v>1202.0</v>
      </c>
      <c r="B1203" s="239" t="s">
        <v>8651</v>
      </c>
      <c r="C1203" s="240" t="s">
        <v>8652</v>
      </c>
      <c r="D1203" s="236"/>
      <c r="E1203" s="240" t="s">
        <v>3511</v>
      </c>
      <c r="F1203" s="240" t="s">
        <v>8653</v>
      </c>
      <c r="G1203" s="238" t="s">
        <v>8654</v>
      </c>
      <c r="H1203" s="236"/>
      <c r="I1203" s="236"/>
      <c r="J1203" s="238" t="s">
        <v>8021</v>
      </c>
      <c r="K1203" s="239" t="s">
        <v>8651</v>
      </c>
      <c r="L1203" s="237"/>
      <c r="M1203" s="237"/>
      <c r="N1203" s="237"/>
      <c r="O1203" s="237"/>
      <c r="P1203" s="237"/>
      <c r="Q1203" s="237"/>
      <c r="R1203" s="237"/>
      <c r="S1203" s="237"/>
      <c r="T1203" s="237"/>
      <c r="U1203" s="237"/>
      <c r="V1203" s="237"/>
      <c r="W1203" s="237"/>
      <c r="X1203" s="237"/>
      <c r="Y1203" s="237"/>
      <c r="Z1203" s="237"/>
      <c r="AA1203" s="237"/>
      <c r="AB1203" s="237"/>
    </row>
    <row r="1204">
      <c r="A1204" s="238">
        <v>1203.0</v>
      </c>
      <c r="B1204" s="239" t="s">
        <v>8655</v>
      </c>
      <c r="C1204" s="240" t="s">
        <v>8656</v>
      </c>
      <c r="D1204" s="236"/>
      <c r="E1204" s="240" t="s">
        <v>3511</v>
      </c>
      <c r="F1204" s="240" t="s">
        <v>8657</v>
      </c>
      <c r="G1204" s="238" t="s">
        <v>8658</v>
      </c>
      <c r="H1204" s="236"/>
      <c r="I1204" s="236"/>
      <c r="J1204" s="238" t="s">
        <v>8021</v>
      </c>
      <c r="K1204" s="239" t="s">
        <v>8655</v>
      </c>
      <c r="L1204" s="237"/>
      <c r="M1204" s="237"/>
      <c r="N1204" s="237"/>
      <c r="O1204" s="237"/>
      <c r="P1204" s="237"/>
      <c r="Q1204" s="237"/>
      <c r="R1204" s="237"/>
      <c r="S1204" s="237"/>
      <c r="T1204" s="237"/>
      <c r="U1204" s="237"/>
      <c r="V1204" s="237"/>
      <c r="W1204" s="237"/>
      <c r="X1204" s="237"/>
      <c r="Y1204" s="237"/>
      <c r="Z1204" s="237"/>
      <c r="AA1204" s="237"/>
      <c r="AB1204" s="237"/>
    </row>
    <row r="1205">
      <c r="A1205" s="238">
        <v>1204.0</v>
      </c>
      <c r="B1205" s="239" t="s">
        <v>8659</v>
      </c>
      <c r="C1205" s="240" t="s">
        <v>8660</v>
      </c>
      <c r="D1205" s="236"/>
      <c r="E1205" s="240" t="s">
        <v>3511</v>
      </c>
      <c r="F1205" s="240" t="s">
        <v>8661</v>
      </c>
      <c r="G1205" s="238" t="s">
        <v>8662</v>
      </c>
      <c r="H1205" s="236"/>
      <c r="I1205" s="236"/>
      <c r="J1205" s="238" t="s">
        <v>8021</v>
      </c>
      <c r="K1205" s="239" t="s">
        <v>8659</v>
      </c>
      <c r="L1205" s="237"/>
      <c r="M1205" s="237"/>
      <c r="N1205" s="237"/>
      <c r="O1205" s="237"/>
      <c r="P1205" s="237"/>
      <c r="Q1205" s="237"/>
      <c r="R1205" s="237"/>
      <c r="S1205" s="237"/>
      <c r="T1205" s="237"/>
      <c r="U1205" s="237"/>
      <c r="V1205" s="237"/>
      <c r="W1205" s="237"/>
      <c r="X1205" s="237"/>
      <c r="Y1205" s="237"/>
      <c r="Z1205" s="237"/>
      <c r="AA1205" s="237"/>
      <c r="AB1205" s="237"/>
    </row>
    <row r="1206">
      <c r="A1206" s="238">
        <v>1205.0</v>
      </c>
      <c r="B1206" s="242"/>
      <c r="C1206" s="240" t="s">
        <v>8663</v>
      </c>
      <c r="D1206" s="236"/>
      <c r="E1206" s="240" t="s">
        <v>3511</v>
      </c>
      <c r="F1206" s="240" t="s">
        <v>8664</v>
      </c>
      <c r="G1206" s="238" t="s">
        <v>8665</v>
      </c>
      <c r="H1206" s="236"/>
      <c r="I1206" s="236"/>
      <c r="J1206" s="238" t="s">
        <v>8021</v>
      </c>
      <c r="K1206" s="242"/>
      <c r="L1206" s="237"/>
      <c r="M1206" s="237"/>
      <c r="N1206" s="237"/>
      <c r="O1206" s="237"/>
      <c r="P1206" s="237"/>
      <c r="Q1206" s="237"/>
      <c r="R1206" s="237"/>
      <c r="S1206" s="237"/>
      <c r="T1206" s="237"/>
      <c r="U1206" s="237"/>
      <c r="V1206" s="237"/>
      <c r="W1206" s="237"/>
      <c r="X1206" s="237"/>
      <c r="Y1206" s="237"/>
      <c r="Z1206" s="237"/>
      <c r="AA1206" s="237"/>
      <c r="AB1206" s="237"/>
    </row>
    <row r="1207">
      <c r="A1207" s="238">
        <v>1206.0</v>
      </c>
      <c r="B1207" s="242"/>
      <c r="C1207" s="240" t="s">
        <v>8666</v>
      </c>
      <c r="D1207" s="236"/>
      <c r="E1207" s="241" t="s">
        <v>1420</v>
      </c>
      <c r="F1207" s="240" t="s">
        <v>8667</v>
      </c>
      <c r="G1207" s="238" t="s">
        <v>8668</v>
      </c>
      <c r="H1207" s="241" t="s">
        <v>8669</v>
      </c>
      <c r="I1207" s="236"/>
      <c r="J1207" s="238" t="s">
        <v>8021</v>
      </c>
      <c r="K1207" s="242"/>
      <c r="L1207" s="237"/>
      <c r="M1207" s="237"/>
      <c r="N1207" s="237"/>
      <c r="O1207" s="237"/>
      <c r="P1207" s="237"/>
      <c r="Q1207" s="237"/>
      <c r="R1207" s="237"/>
      <c r="S1207" s="237"/>
      <c r="T1207" s="237"/>
      <c r="U1207" s="237"/>
      <c r="V1207" s="237"/>
      <c r="W1207" s="237"/>
      <c r="X1207" s="237"/>
      <c r="Y1207" s="237"/>
      <c r="Z1207" s="237"/>
      <c r="AA1207" s="237"/>
      <c r="AB1207" s="237"/>
    </row>
    <row r="1208">
      <c r="A1208" s="238">
        <v>1207.0</v>
      </c>
      <c r="B1208" s="242"/>
      <c r="C1208" s="240" t="s">
        <v>8670</v>
      </c>
      <c r="D1208" s="236"/>
      <c r="E1208" s="240" t="s">
        <v>3511</v>
      </c>
      <c r="F1208" s="240" t="s">
        <v>8671</v>
      </c>
      <c r="G1208" s="238" t="s">
        <v>8672</v>
      </c>
      <c r="H1208" s="240" t="s">
        <v>8673</v>
      </c>
      <c r="I1208" s="236"/>
      <c r="J1208" s="238" t="s">
        <v>8674</v>
      </c>
      <c r="K1208" s="242"/>
      <c r="L1208" s="237"/>
      <c r="M1208" s="237"/>
      <c r="N1208" s="237"/>
      <c r="O1208" s="237"/>
      <c r="P1208" s="237"/>
      <c r="Q1208" s="237"/>
      <c r="R1208" s="237"/>
      <c r="S1208" s="237"/>
      <c r="T1208" s="237"/>
      <c r="U1208" s="237"/>
      <c r="V1208" s="237"/>
      <c r="W1208" s="237"/>
      <c r="X1208" s="237"/>
      <c r="Y1208" s="237"/>
      <c r="Z1208" s="237"/>
      <c r="AA1208" s="237"/>
      <c r="AB1208" s="237"/>
    </row>
    <row r="1209">
      <c r="A1209" s="238">
        <v>1208.0</v>
      </c>
      <c r="B1209" s="242"/>
      <c r="C1209" s="240" t="s">
        <v>8675</v>
      </c>
      <c r="D1209" s="236"/>
      <c r="E1209" s="240" t="s">
        <v>3511</v>
      </c>
      <c r="F1209" s="240" t="s">
        <v>8676</v>
      </c>
      <c r="G1209" s="238" t="s">
        <v>8677</v>
      </c>
      <c r="H1209" s="236"/>
      <c r="I1209" s="236"/>
      <c r="J1209" s="238" t="s">
        <v>8674</v>
      </c>
      <c r="K1209" s="242"/>
      <c r="L1209" s="237"/>
      <c r="M1209" s="237"/>
      <c r="N1209" s="237"/>
      <c r="O1209" s="237"/>
      <c r="P1209" s="237"/>
      <c r="Q1209" s="237"/>
      <c r="R1209" s="237"/>
      <c r="S1209" s="237"/>
      <c r="T1209" s="237"/>
      <c r="U1209" s="237"/>
      <c r="V1209" s="237"/>
      <c r="W1209" s="237"/>
      <c r="X1209" s="237"/>
      <c r="Y1209" s="237"/>
      <c r="Z1209" s="237"/>
      <c r="AA1209" s="237"/>
      <c r="AB1209" s="237"/>
    </row>
    <row r="1210">
      <c r="A1210" s="238">
        <v>1209.0</v>
      </c>
      <c r="B1210" s="242"/>
      <c r="C1210" s="240" t="s">
        <v>8678</v>
      </c>
      <c r="D1210" s="236"/>
      <c r="E1210" s="240" t="s">
        <v>3511</v>
      </c>
      <c r="F1210" s="240" t="s">
        <v>8679</v>
      </c>
      <c r="G1210" s="238" t="s">
        <v>8680</v>
      </c>
      <c r="H1210" s="240" t="s">
        <v>8681</v>
      </c>
      <c r="I1210" s="236"/>
      <c r="J1210" s="238" t="s">
        <v>3545</v>
      </c>
      <c r="K1210" s="242"/>
      <c r="L1210" s="237"/>
      <c r="M1210" s="237"/>
      <c r="N1210" s="237"/>
      <c r="O1210" s="237"/>
      <c r="P1210" s="237"/>
      <c r="Q1210" s="237"/>
      <c r="R1210" s="237"/>
      <c r="S1210" s="237"/>
      <c r="T1210" s="237"/>
      <c r="U1210" s="237"/>
      <c r="V1210" s="237"/>
      <c r="W1210" s="237"/>
      <c r="X1210" s="237"/>
      <c r="Y1210" s="237"/>
      <c r="Z1210" s="237"/>
      <c r="AA1210" s="237"/>
      <c r="AB1210" s="237"/>
    </row>
    <row r="1211">
      <c r="A1211" s="238">
        <v>1210.0</v>
      </c>
      <c r="B1211" s="239" t="s">
        <v>8682</v>
      </c>
      <c r="C1211" s="240" t="s">
        <v>8683</v>
      </c>
      <c r="D1211" s="236"/>
      <c r="E1211" s="240" t="s">
        <v>3511</v>
      </c>
      <c r="F1211" s="240" t="s">
        <v>8684</v>
      </c>
      <c r="G1211" s="238" t="s">
        <v>8685</v>
      </c>
      <c r="H1211" s="240" t="s">
        <v>8686</v>
      </c>
      <c r="I1211" s="236"/>
      <c r="J1211" s="238" t="s">
        <v>3545</v>
      </c>
      <c r="K1211" s="239" t="s">
        <v>8682</v>
      </c>
      <c r="L1211" s="237"/>
      <c r="M1211" s="237"/>
      <c r="N1211" s="237"/>
      <c r="O1211" s="237"/>
      <c r="P1211" s="237"/>
      <c r="Q1211" s="237"/>
      <c r="R1211" s="237"/>
      <c r="S1211" s="237"/>
      <c r="T1211" s="237"/>
      <c r="U1211" s="237"/>
      <c r="V1211" s="237"/>
      <c r="W1211" s="237"/>
      <c r="X1211" s="237"/>
      <c r="Y1211" s="237"/>
      <c r="Z1211" s="237"/>
      <c r="AA1211" s="237"/>
      <c r="AB1211" s="237"/>
    </row>
    <row r="1212">
      <c r="A1212" s="238">
        <v>1211.0</v>
      </c>
      <c r="B1212" s="239" t="s">
        <v>8687</v>
      </c>
      <c r="C1212" s="240" t="s">
        <v>8688</v>
      </c>
      <c r="D1212" s="236"/>
      <c r="E1212" s="240" t="s">
        <v>3511</v>
      </c>
      <c r="F1212" s="240" t="s">
        <v>8689</v>
      </c>
      <c r="G1212" s="238" t="s">
        <v>8690</v>
      </c>
      <c r="H1212" s="240" t="s">
        <v>8691</v>
      </c>
      <c r="I1212" s="236"/>
      <c r="J1212" s="238" t="s">
        <v>3545</v>
      </c>
      <c r="K1212" s="239" t="s">
        <v>8687</v>
      </c>
      <c r="L1212" s="237"/>
      <c r="M1212" s="237"/>
      <c r="N1212" s="237"/>
      <c r="O1212" s="237"/>
      <c r="P1212" s="237"/>
      <c r="Q1212" s="237"/>
      <c r="R1212" s="237"/>
      <c r="S1212" s="237"/>
      <c r="T1212" s="237"/>
      <c r="U1212" s="237"/>
      <c r="V1212" s="237"/>
      <c r="W1212" s="237"/>
      <c r="X1212" s="237"/>
      <c r="Y1212" s="237"/>
      <c r="Z1212" s="237"/>
      <c r="AA1212" s="237"/>
      <c r="AB1212" s="237"/>
    </row>
    <row r="1213">
      <c r="A1213" s="238">
        <v>1212.0</v>
      </c>
      <c r="B1213" s="242"/>
      <c r="C1213" s="240" t="s">
        <v>8692</v>
      </c>
      <c r="D1213" s="236"/>
      <c r="E1213" s="240" t="s">
        <v>3511</v>
      </c>
      <c r="F1213" s="240" t="s">
        <v>8693</v>
      </c>
      <c r="G1213" s="238" t="s">
        <v>8694</v>
      </c>
      <c r="H1213" s="240" t="s">
        <v>8695</v>
      </c>
      <c r="I1213" s="236"/>
      <c r="J1213" s="238" t="s">
        <v>3545</v>
      </c>
      <c r="K1213" s="242"/>
      <c r="L1213" s="237"/>
      <c r="M1213" s="237"/>
      <c r="N1213" s="237"/>
      <c r="O1213" s="237"/>
      <c r="P1213" s="237"/>
      <c r="Q1213" s="237"/>
      <c r="R1213" s="237"/>
      <c r="S1213" s="237"/>
      <c r="T1213" s="237"/>
      <c r="U1213" s="237"/>
      <c r="V1213" s="237"/>
      <c r="W1213" s="237"/>
      <c r="X1213" s="237"/>
      <c r="Y1213" s="237"/>
      <c r="Z1213" s="237"/>
      <c r="AA1213" s="237"/>
      <c r="AB1213" s="237"/>
    </row>
    <row r="1214">
      <c r="A1214" s="238">
        <v>1213.0</v>
      </c>
      <c r="B1214" s="239" t="s">
        <v>8696</v>
      </c>
      <c r="C1214" s="240" t="s">
        <v>8697</v>
      </c>
      <c r="D1214" s="236"/>
      <c r="E1214" s="240" t="s">
        <v>3511</v>
      </c>
      <c r="F1214" s="240" t="s">
        <v>8698</v>
      </c>
      <c r="G1214" s="238" t="s">
        <v>8699</v>
      </c>
      <c r="H1214" s="240" t="s">
        <v>8700</v>
      </c>
      <c r="I1214" s="236"/>
      <c r="J1214" s="238" t="s">
        <v>3545</v>
      </c>
      <c r="K1214" s="239" t="s">
        <v>8696</v>
      </c>
      <c r="L1214" s="237"/>
      <c r="M1214" s="237"/>
      <c r="N1214" s="237"/>
      <c r="O1214" s="237"/>
      <c r="P1214" s="237"/>
      <c r="Q1214" s="237"/>
      <c r="R1214" s="237"/>
      <c r="S1214" s="237"/>
      <c r="T1214" s="237"/>
      <c r="U1214" s="237"/>
      <c r="V1214" s="237"/>
      <c r="W1214" s="237"/>
      <c r="X1214" s="237"/>
      <c r="Y1214" s="237"/>
      <c r="Z1214" s="237"/>
      <c r="AA1214" s="237"/>
      <c r="AB1214" s="237"/>
    </row>
    <row r="1215">
      <c r="A1215" s="238">
        <v>1214.0</v>
      </c>
      <c r="B1215" s="242"/>
      <c r="C1215" s="240" t="s">
        <v>8701</v>
      </c>
      <c r="D1215" s="236"/>
      <c r="E1215" s="240" t="s">
        <v>3511</v>
      </c>
      <c r="F1215" s="241" t="s">
        <v>8702</v>
      </c>
      <c r="G1215" s="238" t="s">
        <v>8703</v>
      </c>
      <c r="H1215" s="240" t="s">
        <v>8704</v>
      </c>
      <c r="I1215" s="236"/>
      <c r="J1215" s="238" t="s">
        <v>5032</v>
      </c>
      <c r="K1215" s="242"/>
      <c r="L1215" s="237"/>
      <c r="M1215" s="237"/>
      <c r="N1215" s="237"/>
      <c r="O1215" s="237"/>
      <c r="P1215" s="237"/>
      <c r="Q1215" s="237"/>
      <c r="R1215" s="237"/>
      <c r="S1215" s="237"/>
      <c r="T1215" s="237"/>
      <c r="U1215" s="237"/>
      <c r="V1215" s="237"/>
      <c r="W1215" s="237"/>
      <c r="X1215" s="237"/>
      <c r="Y1215" s="237"/>
      <c r="Z1215" s="237"/>
      <c r="AA1215" s="237"/>
      <c r="AB1215" s="237"/>
    </row>
    <row r="1216">
      <c r="A1216" s="238">
        <v>1215.0</v>
      </c>
      <c r="B1216" s="242"/>
      <c r="C1216" s="240" t="s">
        <v>8705</v>
      </c>
      <c r="D1216" s="236"/>
      <c r="E1216" s="240" t="s">
        <v>8706</v>
      </c>
      <c r="F1216" s="240" t="s">
        <v>8707</v>
      </c>
      <c r="G1216" s="238" t="s">
        <v>8708</v>
      </c>
      <c r="H1216" s="236"/>
      <c r="I1216" s="236"/>
      <c r="J1216" s="236"/>
      <c r="K1216" s="242"/>
      <c r="L1216" s="237"/>
      <c r="M1216" s="237"/>
      <c r="N1216" s="237"/>
      <c r="O1216" s="237"/>
      <c r="P1216" s="237"/>
      <c r="Q1216" s="237"/>
      <c r="R1216" s="237"/>
      <c r="S1216" s="237"/>
      <c r="T1216" s="237"/>
      <c r="U1216" s="237"/>
      <c r="V1216" s="237"/>
      <c r="W1216" s="237"/>
      <c r="X1216" s="237"/>
      <c r="Y1216" s="237"/>
      <c r="Z1216" s="237"/>
      <c r="AA1216" s="237"/>
      <c r="AB1216" s="237"/>
    </row>
    <row r="1217">
      <c r="A1217" s="238">
        <v>1216.0</v>
      </c>
      <c r="B1217" s="242"/>
      <c r="C1217" s="240" t="s">
        <v>8709</v>
      </c>
      <c r="D1217" s="236"/>
      <c r="E1217" s="240" t="s">
        <v>8706</v>
      </c>
      <c r="F1217" s="240" t="s">
        <v>8710</v>
      </c>
      <c r="G1217" s="238" t="s">
        <v>8711</v>
      </c>
      <c r="H1217" s="236"/>
      <c r="I1217" s="236"/>
      <c r="J1217" s="236"/>
      <c r="K1217" s="242"/>
      <c r="L1217" s="237"/>
      <c r="M1217" s="237"/>
      <c r="N1217" s="237"/>
      <c r="O1217" s="237"/>
      <c r="P1217" s="237"/>
      <c r="Q1217" s="237"/>
      <c r="R1217" s="237"/>
      <c r="S1217" s="237"/>
      <c r="T1217" s="237"/>
      <c r="U1217" s="237"/>
      <c r="V1217" s="237"/>
      <c r="W1217" s="237"/>
      <c r="X1217" s="237"/>
      <c r="Y1217" s="237"/>
      <c r="Z1217" s="237"/>
      <c r="AA1217" s="237"/>
      <c r="AB1217" s="237"/>
    </row>
    <row r="1218">
      <c r="A1218" s="238">
        <v>1217.0</v>
      </c>
      <c r="B1218" s="242"/>
      <c r="C1218" s="240" t="s">
        <v>8712</v>
      </c>
      <c r="D1218" s="236"/>
      <c r="E1218" s="240" t="s">
        <v>8706</v>
      </c>
      <c r="F1218" s="240" t="s">
        <v>8713</v>
      </c>
      <c r="G1218" s="238" t="s">
        <v>8714</v>
      </c>
      <c r="H1218" s="236"/>
      <c r="I1218" s="236"/>
      <c r="J1218" s="236"/>
      <c r="K1218" s="242"/>
      <c r="L1218" s="237"/>
      <c r="M1218" s="237"/>
      <c r="N1218" s="237"/>
      <c r="O1218" s="237"/>
      <c r="P1218" s="237"/>
      <c r="Q1218" s="237"/>
      <c r="R1218" s="237"/>
      <c r="S1218" s="237"/>
      <c r="T1218" s="237"/>
      <c r="U1218" s="237"/>
      <c r="V1218" s="237"/>
      <c r="W1218" s="237"/>
      <c r="X1218" s="237"/>
      <c r="Y1218" s="237"/>
      <c r="Z1218" s="237"/>
      <c r="AA1218" s="237"/>
      <c r="AB1218" s="237"/>
    </row>
    <row r="1219">
      <c r="A1219" s="238">
        <v>1218.0</v>
      </c>
      <c r="B1219" s="242"/>
      <c r="C1219" s="240" t="s">
        <v>8715</v>
      </c>
      <c r="D1219" s="236"/>
      <c r="E1219" s="240" t="s">
        <v>8706</v>
      </c>
      <c r="F1219" s="240" t="s">
        <v>8716</v>
      </c>
      <c r="G1219" s="238" t="s">
        <v>8717</v>
      </c>
      <c r="H1219" s="236"/>
      <c r="I1219" s="236"/>
      <c r="J1219" s="236"/>
      <c r="K1219" s="242"/>
      <c r="L1219" s="237"/>
      <c r="M1219" s="237"/>
      <c r="N1219" s="237"/>
      <c r="O1219" s="237"/>
      <c r="P1219" s="237"/>
      <c r="Q1219" s="237"/>
      <c r="R1219" s="237"/>
      <c r="S1219" s="237"/>
      <c r="T1219" s="237"/>
      <c r="U1219" s="237"/>
      <c r="V1219" s="237"/>
      <c r="W1219" s="237"/>
      <c r="X1219" s="237"/>
      <c r="Y1219" s="237"/>
      <c r="Z1219" s="237"/>
      <c r="AA1219" s="237"/>
      <c r="AB1219" s="237"/>
    </row>
    <row r="1220">
      <c r="A1220" s="238">
        <v>1219.0</v>
      </c>
      <c r="B1220" s="242"/>
      <c r="C1220" s="240" t="s">
        <v>8718</v>
      </c>
      <c r="D1220" s="236"/>
      <c r="E1220" s="240" t="s">
        <v>3511</v>
      </c>
      <c r="F1220" s="240" t="s">
        <v>8719</v>
      </c>
      <c r="G1220" s="238" t="s">
        <v>8720</v>
      </c>
      <c r="H1220" s="240" t="s">
        <v>8721</v>
      </c>
      <c r="I1220" s="236"/>
      <c r="J1220" s="238" t="s">
        <v>5032</v>
      </c>
      <c r="K1220" s="242"/>
      <c r="L1220" s="237"/>
      <c r="M1220" s="237"/>
      <c r="N1220" s="237"/>
      <c r="O1220" s="237"/>
      <c r="P1220" s="237"/>
      <c r="Q1220" s="237"/>
      <c r="R1220" s="237"/>
      <c r="S1220" s="237"/>
      <c r="T1220" s="237"/>
      <c r="U1220" s="237"/>
      <c r="V1220" s="237"/>
      <c r="W1220" s="237"/>
      <c r="X1220" s="237"/>
      <c r="Y1220" s="237"/>
      <c r="Z1220" s="237"/>
      <c r="AA1220" s="237"/>
      <c r="AB1220" s="237"/>
    </row>
    <row r="1221">
      <c r="A1221" s="238">
        <v>1220.0</v>
      </c>
      <c r="B1221" s="242"/>
      <c r="C1221" s="240" t="s">
        <v>8722</v>
      </c>
      <c r="D1221" s="236"/>
      <c r="E1221" s="240" t="s">
        <v>3511</v>
      </c>
      <c r="F1221" s="240" t="s">
        <v>8504</v>
      </c>
      <c r="G1221" s="238" t="s">
        <v>8505</v>
      </c>
      <c r="H1221" s="240" t="s">
        <v>8723</v>
      </c>
      <c r="I1221" s="236"/>
      <c r="J1221" s="238" t="s">
        <v>8507</v>
      </c>
      <c r="K1221" s="242"/>
      <c r="L1221" s="237"/>
      <c r="M1221" s="237"/>
      <c r="N1221" s="237"/>
      <c r="O1221" s="237"/>
      <c r="P1221" s="237"/>
      <c r="Q1221" s="237"/>
      <c r="R1221" s="237"/>
      <c r="S1221" s="237"/>
      <c r="T1221" s="237"/>
      <c r="U1221" s="237"/>
      <c r="V1221" s="237"/>
      <c r="W1221" s="237"/>
      <c r="X1221" s="237"/>
      <c r="Y1221" s="237"/>
      <c r="Z1221" s="237"/>
      <c r="AA1221" s="237"/>
      <c r="AB1221" s="237"/>
    </row>
    <row r="1222">
      <c r="A1222" s="238">
        <v>1221.0</v>
      </c>
      <c r="B1222" s="242"/>
      <c r="C1222" s="240" t="s">
        <v>8724</v>
      </c>
      <c r="D1222" s="236"/>
      <c r="E1222" s="240" t="s">
        <v>3511</v>
      </c>
      <c r="F1222" s="240" t="s">
        <v>8509</v>
      </c>
      <c r="G1222" s="238" t="s">
        <v>8510</v>
      </c>
      <c r="H1222" s="240" t="s">
        <v>8725</v>
      </c>
      <c r="I1222" s="236"/>
      <c r="J1222" s="238" t="s">
        <v>8507</v>
      </c>
      <c r="K1222" s="242"/>
      <c r="L1222" s="237"/>
      <c r="M1222" s="237"/>
      <c r="N1222" s="237"/>
      <c r="O1222" s="237"/>
      <c r="P1222" s="237"/>
      <c r="Q1222" s="237"/>
      <c r="R1222" s="237"/>
      <c r="S1222" s="237"/>
      <c r="T1222" s="237"/>
      <c r="U1222" s="237"/>
      <c r="V1222" s="237"/>
      <c r="W1222" s="237"/>
      <c r="X1222" s="237"/>
      <c r="Y1222" s="237"/>
      <c r="Z1222" s="237"/>
      <c r="AA1222" s="237"/>
      <c r="AB1222" s="237"/>
    </row>
    <row r="1223">
      <c r="A1223" s="238">
        <v>1222.0</v>
      </c>
      <c r="B1223" s="242"/>
      <c r="C1223" s="240" t="s">
        <v>8726</v>
      </c>
      <c r="D1223" s="236"/>
      <c r="E1223" s="240" t="s">
        <v>3511</v>
      </c>
      <c r="F1223" s="240" t="s">
        <v>8727</v>
      </c>
      <c r="G1223" s="238" t="s">
        <v>8728</v>
      </c>
      <c r="H1223" s="240" t="s">
        <v>8729</v>
      </c>
      <c r="I1223" s="236"/>
      <c r="J1223" s="238" t="s">
        <v>8674</v>
      </c>
      <c r="K1223" s="242"/>
      <c r="L1223" s="237"/>
      <c r="M1223" s="237"/>
      <c r="N1223" s="237"/>
      <c r="O1223" s="237"/>
      <c r="P1223" s="237"/>
      <c r="Q1223" s="237"/>
      <c r="R1223" s="237"/>
      <c r="S1223" s="237"/>
      <c r="T1223" s="237"/>
      <c r="U1223" s="237"/>
      <c r="V1223" s="237"/>
      <c r="W1223" s="237"/>
      <c r="X1223" s="237"/>
      <c r="Y1223" s="237"/>
      <c r="Z1223" s="237"/>
      <c r="AA1223" s="237"/>
      <c r="AB1223" s="237"/>
    </row>
    <row r="1224">
      <c r="A1224" s="238">
        <v>1223.0</v>
      </c>
      <c r="B1224" s="242"/>
      <c r="C1224" s="240" t="s">
        <v>8730</v>
      </c>
      <c r="D1224" s="236"/>
      <c r="E1224" s="240" t="s">
        <v>3511</v>
      </c>
      <c r="F1224" s="240" t="s">
        <v>8671</v>
      </c>
      <c r="G1224" s="238" t="s">
        <v>8672</v>
      </c>
      <c r="H1224" s="240" t="s">
        <v>8731</v>
      </c>
      <c r="I1224" s="236"/>
      <c r="J1224" s="238" t="s">
        <v>8674</v>
      </c>
      <c r="K1224" s="242"/>
      <c r="L1224" s="237"/>
      <c r="M1224" s="237"/>
      <c r="N1224" s="237"/>
      <c r="O1224" s="237"/>
      <c r="P1224" s="237"/>
      <c r="Q1224" s="237"/>
      <c r="R1224" s="237"/>
      <c r="S1224" s="237"/>
      <c r="T1224" s="237"/>
      <c r="U1224" s="237"/>
      <c r="V1224" s="237"/>
      <c r="W1224" s="237"/>
      <c r="X1224" s="237"/>
      <c r="Y1224" s="237"/>
      <c r="Z1224" s="237"/>
      <c r="AA1224" s="237"/>
      <c r="AB1224" s="237"/>
    </row>
    <row r="1225">
      <c r="A1225" s="238">
        <v>1224.0</v>
      </c>
      <c r="B1225" s="242"/>
      <c r="C1225" s="240" t="s">
        <v>8732</v>
      </c>
      <c r="D1225" s="236"/>
      <c r="E1225" s="240" t="s">
        <v>3511</v>
      </c>
      <c r="F1225" s="240" t="s">
        <v>8676</v>
      </c>
      <c r="G1225" s="238" t="s">
        <v>8677</v>
      </c>
      <c r="H1225" s="240" t="s">
        <v>8733</v>
      </c>
      <c r="I1225" s="236"/>
      <c r="J1225" s="238" t="s">
        <v>8674</v>
      </c>
      <c r="K1225" s="242"/>
      <c r="L1225" s="237"/>
      <c r="M1225" s="237"/>
      <c r="N1225" s="237"/>
      <c r="O1225" s="237"/>
      <c r="P1225" s="237"/>
      <c r="Q1225" s="237"/>
      <c r="R1225" s="237"/>
      <c r="S1225" s="237"/>
      <c r="T1225" s="237"/>
      <c r="U1225" s="237"/>
      <c r="V1225" s="237"/>
      <c r="W1225" s="237"/>
      <c r="X1225" s="237"/>
      <c r="Y1225" s="237"/>
      <c r="Z1225" s="237"/>
      <c r="AA1225" s="237"/>
      <c r="AB1225" s="237"/>
    </row>
    <row r="1226">
      <c r="A1226" s="238">
        <v>1225.0</v>
      </c>
      <c r="B1226" s="242"/>
      <c r="C1226" s="240" t="s">
        <v>8734</v>
      </c>
      <c r="D1226" s="236"/>
      <c r="E1226" s="240" t="s">
        <v>3511</v>
      </c>
      <c r="F1226" s="240" t="s">
        <v>8735</v>
      </c>
      <c r="G1226" s="238" t="s">
        <v>8736</v>
      </c>
      <c r="H1226" s="240" t="s">
        <v>8737</v>
      </c>
      <c r="I1226" s="236"/>
      <c r="J1226" s="238" t="s">
        <v>8021</v>
      </c>
      <c r="K1226" s="242"/>
      <c r="L1226" s="237"/>
      <c r="M1226" s="237"/>
      <c r="N1226" s="237"/>
      <c r="O1226" s="237"/>
      <c r="P1226" s="237"/>
      <c r="Q1226" s="237"/>
      <c r="R1226" s="237"/>
      <c r="S1226" s="237"/>
      <c r="T1226" s="237"/>
      <c r="U1226" s="237"/>
      <c r="V1226" s="237"/>
      <c r="W1226" s="237"/>
      <c r="X1226" s="237"/>
      <c r="Y1226" s="237"/>
      <c r="Z1226" s="237"/>
      <c r="AA1226" s="237"/>
      <c r="AB1226" s="237"/>
    </row>
    <row r="1227">
      <c r="A1227" s="238">
        <v>1226.0</v>
      </c>
      <c r="B1227" s="239" t="s">
        <v>8738</v>
      </c>
      <c r="C1227" s="240" t="s">
        <v>8739</v>
      </c>
      <c r="D1227" s="236"/>
      <c r="E1227" s="240" t="s">
        <v>3511</v>
      </c>
      <c r="F1227" s="240" t="s">
        <v>8740</v>
      </c>
      <c r="G1227" s="238" t="s">
        <v>8741</v>
      </c>
      <c r="H1227" s="240" t="s">
        <v>8742</v>
      </c>
      <c r="I1227" s="236"/>
      <c r="J1227" s="238" t="s">
        <v>8021</v>
      </c>
      <c r="K1227" s="239" t="s">
        <v>8738</v>
      </c>
      <c r="L1227" s="237"/>
      <c r="M1227" s="237"/>
      <c r="N1227" s="237"/>
      <c r="O1227" s="237"/>
      <c r="P1227" s="237"/>
      <c r="Q1227" s="237"/>
      <c r="R1227" s="237"/>
      <c r="S1227" s="237"/>
      <c r="T1227" s="237"/>
      <c r="U1227" s="237"/>
      <c r="V1227" s="237"/>
      <c r="W1227" s="237"/>
      <c r="X1227" s="237"/>
      <c r="Y1227" s="237"/>
      <c r="Z1227" s="237"/>
      <c r="AA1227" s="237"/>
      <c r="AB1227" s="237"/>
    </row>
    <row r="1228">
      <c r="A1228" s="238">
        <v>1227.0</v>
      </c>
      <c r="B1228" s="239" t="s">
        <v>8743</v>
      </c>
      <c r="C1228" s="240" t="s">
        <v>8744</v>
      </c>
      <c r="D1228" s="236"/>
      <c r="E1228" s="240" t="s">
        <v>3511</v>
      </c>
      <c r="F1228" s="240" t="s">
        <v>8745</v>
      </c>
      <c r="G1228" s="238" t="s">
        <v>8746</v>
      </c>
      <c r="H1228" s="240" t="s">
        <v>8747</v>
      </c>
      <c r="I1228" s="236"/>
      <c r="J1228" s="238" t="s">
        <v>8021</v>
      </c>
      <c r="K1228" s="239" t="s">
        <v>8743</v>
      </c>
      <c r="L1228" s="237"/>
      <c r="M1228" s="237"/>
      <c r="N1228" s="237"/>
      <c r="O1228" s="237"/>
      <c r="P1228" s="237"/>
      <c r="Q1228" s="237"/>
      <c r="R1228" s="237"/>
      <c r="S1228" s="237"/>
      <c r="T1228" s="237"/>
      <c r="U1228" s="237"/>
      <c r="V1228" s="237"/>
      <c r="W1228" s="237"/>
      <c r="X1228" s="237"/>
      <c r="Y1228" s="237"/>
      <c r="Z1228" s="237"/>
      <c r="AA1228" s="237"/>
      <c r="AB1228" s="237"/>
    </row>
    <row r="1229">
      <c r="A1229" s="238">
        <v>1228.0</v>
      </c>
      <c r="B1229" s="239" t="s">
        <v>8748</v>
      </c>
      <c r="C1229" s="240" t="s">
        <v>8749</v>
      </c>
      <c r="D1229" s="236"/>
      <c r="E1229" s="240" t="s">
        <v>3511</v>
      </c>
      <c r="F1229" s="240" t="s">
        <v>8750</v>
      </c>
      <c r="G1229" s="238" t="s">
        <v>8751</v>
      </c>
      <c r="H1229" s="240" t="s">
        <v>8752</v>
      </c>
      <c r="I1229" s="236"/>
      <c r="J1229" s="238" t="s">
        <v>8021</v>
      </c>
      <c r="K1229" s="239" t="s">
        <v>8748</v>
      </c>
      <c r="L1229" s="237"/>
      <c r="M1229" s="237"/>
      <c r="N1229" s="237"/>
      <c r="O1229" s="237"/>
      <c r="P1229" s="237"/>
      <c r="Q1229" s="237"/>
      <c r="R1229" s="237"/>
      <c r="S1229" s="237"/>
      <c r="T1229" s="237"/>
      <c r="U1229" s="237"/>
      <c r="V1229" s="237"/>
      <c r="W1229" s="237"/>
      <c r="X1229" s="237"/>
      <c r="Y1229" s="237"/>
      <c r="Z1229" s="237"/>
      <c r="AA1229" s="237"/>
      <c r="AB1229" s="237"/>
    </row>
    <row r="1230">
      <c r="A1230" s="238">
        <v>1229.0</v>
      </c>
      <c r="B1230" s="239" t="s">
        <v>8753</v>
      </c>
      <c r="C1230" s="240" t="s">
        <v>8754</v>
      </c>
      <c r="D1230" s="236"/>
      <c r="E1230" s="240" t="s">
        <v>3511</v>
      </c>
      <c r="F1230" s="240" t="s">
        <v>8755</v>
      </c>
      <c r="G1230" s="238" t="s">
        <v>8756</v>
      </c>
      <c r="H1230" s="240" t="s">
        <v>8757</v>
      </c>
      <c r="I1230" s="236"/>
      <c r="J1230" s="238" t="s">
        <v>8021</v>
      </c>
      <c r="K1230" s="239" t="s">
        <v>8753</v>
      </c>
      <c r="L1230" s="237"/>
      <c r="M1230" s="237"/>
      <c r="N1230" s="237"/>
      <c r="O1230" s="237"/>
      <c r="P1230" s="237"/>
      <c r="Q1230" s="237"/>
      <c r="R1230" s="237"/>
      <c r="S1230" s="237"/>
      <c r="T1230" s="237"/>
      <c r="U1230" s="237"/>
      <c r="V1230" s="237"/>
      <c r="W1230" s="237"/>
      <c r="X1230" s="237"/>
      <c r="Y1230" s="237"/>
      <c r="Z1230" s="237"/>
      <c r="AA1230" s="237"/>
      <c r="AB1230" s="237"/>
    </row>
    <row r="1231">
      <c r="A1231" s="238">
        <v>1230.0</v>
      </c>
      <c r="B1231" s="239" t="s">
        <v>8758</v>
      </c>
      <c r="C1231" s="240" t="s">
        <v>8759</v>
      </c>
      <c r="D1231" s="236"/>
      <c r="E1231" s="240" t="s">
        <v>3511</v>
      </c>
      <c r="F1231" s="240" t="s">
        <v>8760</v>
      </c>
      <c r="G1231" s="238" t="s">
        <v>8761</v>
      </c>
      <c r="H1231" s="240" t="s">
        <v>8762</v>
      </c>
      <c r="I1231" s="236"/>
      <c r="J1231" s="238" t="s">
        <v>8021</v>
      </c>
      <c r="K1231" s="239" t="s">
        <v>8758</v>
      </c>
      <c r="L1231" s="237"/>
      <c r="M1231" s="237"/>
      <c r="N1231" s="237"/>
      <c r="O1231" s="237"/>
      <c r="P1231" s="237"/>
      <c r="Q1231" s="237"/>
      <c r="R1231" s="237"/>
      <c r="S1231" s="237"/>
      <c r="T1231" s="237"/>
      <c r="U1231" s="237"/>
      <c r="V1231" s="237"/>
      <c r="W1231" s="237"/>
      <c r="X1231" s="237"/>
      <c r="Y1231" s="237"/>
      <c r="Z1231" s="237"/>
      <c r="AA1231" s="237"/>
      <c r="AB1231" s="237"/>
    </row>
    <row r="1232">
      <c r="A1232" s="238">
        <v>1231.0</v>
      </c>
      <c r="B1232" s="239" t="s">
        <v>8763</v>
      </c>
      <c r="C1232" s="240" t="s">
        <v>8764</v>
      </c>
      <c r="D1232" s="236"/>
      <c r="E1232" s="240" t="s">
        <v>3511</v>
      </c>
      <c r="F1232" s="240" t="s">
        <v>8765</v>
      </c>
      <c r="G1232" s="238" t="s">
        <v>8766</v>
      </c>
      <c r="H1232" s="240" t="s">
        <v>8767</v>
      </c>
      <c r="I1232" s="236"/>
      <c r="J1232" s="238" t="s">
        <v>8021</v>
      </c>
      <c r="K1232" s="239" t="s">
        <v>8763</v>
      </c>
      <c r="L1232" s="237"/>
      <c r="M1232" s="237"/>
      <c r="N1232" s="237"/>
      <c r="O1232" s="237"/>
      <c r="P1232" s="237"/>
      <c r="Q1232" s="237"/>
      <c r="R1232" s="237"/>
      <c r="S1232" s="237"/>
      <c r="T1232" s="237"/>
      <c r="U1232" s="237"/>
      <c r="V1232" s="237"/>
      <c r="W1232" s="237"/>
      <c r="X1232" s="237"/>
      <c r="Y1232" s="237"/>
      <c r="Z1232" s="237"/>
      <c r="AA1232" s="237"/>
      <c r="AB1232" s="237"/>
    </row>
    <row r="1233">
      <c r="A1233" s="238">
        <v>1232.0</v>
      </c>
      <c r="B1233" s="239" t="s">
        <v>8768</v>
      </c>
      <c r="C1233" s="240" t="s">
        <v>8769</v>
      </c>
      <c r="D1233" s="236"/>
      <c r="E1233" s="240" t="s">
        <v>3511</v>
      </c>
      <c r="F1233" s="240" t="s">
        <v>8770</v>
      </c>
      <c r="G1233" s="238" t="s">
        <v>8771</v>
      </c>
      <c r="H1233" s="240" t="s">
        <v>8772</v>
      </c>
      <c r="I1233" s="236"/>
      <c r="J1233" s="238" t="s">
        <v>8021</v>
      </c>
      <c r="K1233" s="239" t="s">
        <v>8768</v>
      </c>
      <c r="L1233" s="237"/>
      <c r="M1233" s="237"/>
      <c r="N1233" s="237"/>
      <c r="O1233" s="237"/>
      <c r="P1233" s="237"/>
      <c r="Q1233" s="237"/>
      <c r="R1233" s="237"/>
      <c r="S1233" s="237"/>
      <c r="T1233" s="237"/>
      <c r="U1233" s="237"/>
      <c r="V1233" s="237"/>
      <c r="W1233" s="237"/>
      <c r="X1233" s="237"/>
      <c r="Y1233" s="237"/>
      <c r="Z1233" s="237"/>
      <c r="AA1233" s="237"/>
      <c r="AB1233" s="237"/>
    </row>
    <row r="1234">
      <c r="A1234" s="238">
        <v>1233.0</v>
      </c>
      <c r="B1234" s="239" t="s">
        <v>8773</v>
      </c>
      <c r="C1234" s="240" t="s">
        <v>8774</v>
      </c>
      <c r="D1234" s="236"/>
      <c r="E1234" s="240" t="s">
        <v>3511</v>
      </c>
      <c r="F1234" s="240" t="s">
        <v>8775</v>
      </c>
      <c r="G1234" s="238" t="s">
        <v>8776</v>
      </c>
      <c r="H1234" s="240" t="s">
        <v>8777</v>
      </c>
      <c r="I1234" s="236"/>
      <c r="J1234" s="238" t="s">
        <v>8021</v>
      </c>
      <c r="K1234" s="239" t="s">
        <v>8773</v>
      </c>
      <c r="L1234" s="237"/>
      <c r="M1234" s="237"/>
      <c r="N1234" s="237"/>
      <c r="O1234" s="237"/>
      <c r="P1234" s="237"/>
      <c r="Q1234" s="237"/>
      <c r="R1234" s="237"/>
      <c r="S1234" s="237"/>
      <c r="T1234" s="237"/>
      <c r="U1234" s="237"/>
      <c r="V1234" s="237"/>
      <c r="W1234" s="237"/>
      <c r="X1234" s="237"/>
      <c r="Y1234" s="237"/>
      <c r="Z1234" s="237"/>
      <c r="AA1234" s="237"/>
      <c r="AB1234" s="237"/>
    </row>
    <row r="1235">
      <c r="A1235" s="238">
        <v>1234.0</v>
      </c>
      <c r="B1235" s="239" t="s">
        <v>8778</v>
      </c>
      <c r="C1235" s="240" t="s">
        <v>8779</v>
      </c>
      <c r="D1235" s="236"/>
      <c r="E1235" s="240" t="s">
        <v>3511</v>
      </c>
      <c r="F1235" s="240" t="s">
        <v>8780</v>
      </c>
      <c r="G1235" s="238" t="s">
        <v>8781</v>
      </c>
      <c r="H1235" s="240" t="s">
        <v>8782</v>
      </c>
      <c r="I1235" s="236"/>
      <c r="J1235" s="238" t="s">
        <v>8021</v>
      </c>
      <c r="K1235" s="239" t="s">
        <v>8778</v>
      </c>
      <c r="L1235" s="237"/>
      <c r="M1235" s="237"/>
      <c r="N1235" s="237"/>
      <c r="O1235" s="237"/>
      <c r="P1235" s="237"/>
      <c r="Q1235" s="237"/>
      <c r="R1235" s="237"/>
      <c r="S1235" s="237"/>
      <c r="T1235" s="237"/>
      <c r="U1235" s="237"/>
      <c r="V1235" s="237"/>
      <c r="W1235" s="237"/>
      <c r="X1235" s="237"/>
      <c r="Y1235" s="237"/>
      <c r="Z1235" s="237"/>
      <c r="AA1235" s="237"/>
      <c r="AB1235" s="237"/>
    </row>
    <row r="1236">
      <c r="A1236" s="238">
        <v>1235.0</v>
      </c>
      <c r="B1236" s="242"/>
      <c r="C1236" s="240" t="s">
        <v>8783</v>
      </c>
      <c r="D1236" s="236"/>
      <c r="E1236" s="240" t="s">
        <v>3511</v>
      </c>
      <c r="F1236" s="240" t="s">
        <v>8784</v>
      </c>
      <c r="G1236" s="238" t="s">
        <v>8785</v>
      </c>
      <c r="H1236" s="240" t="s">
        <v>8786</v>
      </c>
      <c r="I1236" s="236"/>
      <c r="J1236" s="238" t="s">
        <v>8021</v>
      </c>
      <c r="K1236" s="242"/>
      <c r="L1236" s="237"/>
      <c r="M1236" s="237"/>
      <c r="N1236" s="237"/>
      <c r="O1236" s="237"/>
      <c r="P1236" s="237"/>
      <c r="Q1236" s="237"/>
      <c r="R1236" s="237"/>
      <c r="S1236" s="237"/>
      <c r="T1236" s="237"/>
      <c r="U1236" s="237"/>
      <c r="V1236" s="237"/>
      <c r="W1236" s="237"/>
      <c r="X1236" s="237"/>
      <c r="Y1236" s="237"/>
      <c r="Z1236" s="237"/>
      <c r="AA1236" s="237"/>
      <c r="AB1236" s="237"/>
    </row>
    <row r="1237">
      <c r="A1237" s="238">
        <v>1236.0</v>
      </c>
      <c r="B1237" s="239" t="s">
        <v>8787</v>
      </c>
      <c r="C1237" s="240" t="s">
        <v>8788</v>
      </c>
      <c r="D1237" s="236"/>
      <c r="E1237" s="240" t="s">
        <v>3511</v>
      </c>
      <c r="F1237" s="240" t="s">
        <v>8789</v>
      </c>
      <c r="G1237" s="238" t="s">
        <v>8790</v>
      </c>
      <c r="H1237" s="240" t="s">
        <v>8791</v>
      </c>
      <c r="I1237" s="236"/>
      <c r="J1237" s="238" t="s">
        <v>8021</v>
      </c>
      <c r="K1237" s="239" t="s">
        <v>8787</v>
      </c>
      <c r="L1237" s="237"/>
      <c r="M1237" s="237"/>
      <c r="N1237" s="237"/>
      <c r="O1237" s="237"/>
      <c r="P1237" s="237"/>
      <c r="Q1237" s="237"/>
      <c r="R1237" s="237"/>
      <c r="S1237" s="237"/>
      <c r="T1237" s="237"/>
      <c r="U1237" s="237"/>
      <c r="V1237" s="237"/>
      <c r="W1237" s="237"/>
      <c r="X1237" s="237"/>
      <c r="Y1237" s="237"/>
      <c r="Z1237" s="237"/>
      <c r="AA1237" s="237"/>
      <c r="AB1237" s="237"/>
    </row>
    <row r="1238">
      <c r="A1238" s="238">
        <v>1237.0</v>
      </c>
      <c r="B1238" s="239" t="s">
        <v>8792</v>
      </c>
      <c r="C1238" s="240" t="s">
        <v>8793</v>
      </c>
      <c r="D1238" s="236"/>
      <c r="E1238" s="240" t="s">
        <v>3511</v>
      </c>
      <c r="F1238" s="240" t="s">
        <v>8794</v>
      </c>
      <c r="G1238" s="238" t="s">
        <v>8795</v>
      </c>
      <c r="H1238" s="240" t="s">
        <v>8796</v>
      </c>
      <c r="I1238" s="236"/>
      <c r="J1238" s="238" t="s">
        <v>8021</v>
      </c>
      <c r="K1238" s="239" t="s">
        <v>8792</v>
      </c>
      <c r="L1238" s="237"/>
      <c r="M1238" s="237"/>
      <c r="N1238" s="237"/>
      <c r="O1238" s="237"/>
      <c r="P1238" s="237"/>
      <c r="Q1238" s="237"/>
      <c r="R1238" s="237"/>
      <c r="S1238" s="237"/>
      <c r="T1238" s="237"/>
      <c r="U1238" s="237"/>
      <c r="V1238" s="237"/>
      <c r="W1238" s="237"/>
      <c r="X1238" s="237"/>
      <c r="Y1238" s="237"/>
      <c r="Z1238" s="237"/>
      <c r="AA1238" s="237"/>
      <c r="AB1238" s="237"/>
    </row>
    <row r="1239">
      <c r="A1239" s="238">
        <v>1238.0</v>
      </c>
      <c r="B1239" s="242"/>
      <c r="C1239" s="240" t="s">
        <v>8797</v>
      </c>
      <c r="D1239" s="236"/>
      <c r="E1239" s="240" t="s">
        <v>3511</v>
      </c>
      <c r="F1239" s="240" t="s">
        <v>8798</v>
      </c>
      <c r="G1239" s="238" t="s">
        <v>8799</v>
      </c>
      <c r="H1239" s="240" t="s">
        <v>8800</v>
      </c>
      <c r="I1239" s="236"/>
      <c r="J1239" s="238" t="s">
        <v>8021</v>
      </c>
      <c r="K1239" s="242"/>
      <c r="L1239" s="237"/>
      <c r="M1239" s="237"/>
      <c r="N1239" s="237"/>
      <c r="O1239" s="237"/>
      <c r="P1239" s="237"/>
      <c r="Q1239" s="237"/>
      <c r="R1239" s="237"/>
      <c r="S1239" s="237"/>
      <c r="T1239" s="237"/>
      <c r="U1239" s="237"/>
      <c r="V1239" s="237"/>
      <c r="W1239" s="237"/>
      <c r="X1239" s="237"/>
      <c r="Y1239" s="237"/>
      <c r="Z1239" s="237"/>
      <c r="AA1239" s="237"/>
      <c r="AB1239" s="237"/>
    </row>
    <row r="1240">
      <c r="A1240" s="238">
        <v>1239.0</v>
      </c>
      <c r="B1240" s="242"/>
      <c r="C1240" s="240" t="s">
        <v>8801</v>
      </c>
      <c r="D1240" s="236"/>
      <c r="E1240" s="240" t="s">
        <v>3511</v>
      </c>
      <c r="F1240" s="240" t="s">
        <v>8802</v>
      </c>
      <c r="G1240" s="238" t="s">
        <v>8803</v>
      </c>
      <c r="H1240" s="240" t="s">
        <v>8804</v>
      </c>
      <c r="I1240" s="236"/>
      <c r="J1240" s="238" t="s">
        <v>8021</v>
      </c>
      <c r="K1240" s="242"/>
      <c r="L1240" s="237"/>
      <c r="M1240" s="237"/>
      <c r="N1240" s="237"/>
      <c r="O1240" s="237"/>
      <c r="P1240" s="237"/>
      <c r="Q1240" s="237"/>
      <c r="R1240" s="237"/>
      <c r="S1240" s="237"/>
      <c r="T1240" s="237"/>
      <c r="U1240" s="237"/>
      <c r="V1240" s="237"/>
      <c r="W1240" s="237"/>
      <c r="X1240" s="237"/>
      <c r="Y1240" s="237"/>
      <c r="Z1240" s="237"/>
      <c r="AA1240" s="237"/>
      <c r="AB1240" s="237"/>
    </row>
    <row r="1241">
      <c r="A1241" s="238">
        <v>1240.0</v>
      </c>
      <c r="B1241" s="242"/>
      <c r="C1241" s="240" t="s">
        <v>8805</v>
      </c>
      <c r="D1241" s="236"/>
      <c r="E1241" s="240" t="s">
        <v>3511</v>
      </c>
      <c r="F1241" s="240" t="s">
        <v>8806</v>
      </c>
      <c r="G1241" s="238" t="s">
        <v>8807</v>
      </c>
      <c r="H1241" s="240" t="s">
        <v>8808</v>
      </c>
      <c r="I1241" s="236"/>
      <c r="J1241" s="238" t="s">
        <v>5032</v>
      </c>
      <c r="K1241" s="242"/>
      <c r="L1241" s="237"/>
      <c r="M1241" s="237"/>
      <c r="N1241" s="237"/>
      <c r="O1241" s="237"/>
      <c r="P1241" s="237"/>
      <c r="Q1241" s="237"/>
      <c r="R1241" s="237"/>
      <c r="S1241" s="237"/>
      <c r="T1241" s="237"/>
      <c r="U1241" s="237"/>
      <c r="V1241" s="237"/>
      <c r="W1241" s="237"/>
      <c r="X1241" s="237"/>
      <c r="Y1241" s="237"/>
      <c r="Z1241" s="237"/>
      <c r="AA1241" s="237"/>
      <c r="AB1241" s="237"/>
    </row>
    <row r="1242">
      <c r="A1242" s="238">
        <v>1241.0</v>
      </c>
      <c r="B1242" s="242"/>
      <c r="C1242" s="240" t="s">
        <v>8809</v>
      </c>
      <c r="D1242" s="236"/>
      <c r="E1242" s="240" t="s">
        <v>3511</v>
      </c>
      <c r="F1242" s="240" t="s">
        <v>8810</v>
      </c>
      <c r="G1242" s="238" t="s">
        <v>8811</v>
      </c>
      <c r="H1242" s="240" t="s">
        <v>8812</v>
      </c>
      <c r="I1242" s="236"/>
      <c r="J1242" s="238" t="s">
        <v>5032</v>
      </c>
      <c r="K1242" s="242"/>
      <c r="L1242" s="237"/>
      <c r="M1242" s="237"/>
      <c r="N1242" s="237"/>
      <c r="O1242" s="237"/>
      <c r="P1242" s="237"/>
      <c r="Q1242" s="237"/>
      <c r="R1242" s="237"/>
      <c r="S1242" s="237"/>
      <c r="T1242" s="237"/>
      <c r="U1242" s="237"/>
      <c r="V1242" s="237"/>
      <c r="W1242" s="237"/>
      <c r="X1242" s="237"/>
      <c r="Y1242" s="237"/>
      <c r="Z1242" s="237"/>
      <c r="AA1242" s="237"/>
      <c r="AB1242" s="237"/>
    </row>
    <row r="1243">
      <c r="A1243" s="238">
        <v>1242.0</v>
      </c>
      <c r="B1243" s="242"/>
      <c r="C1243" s="240" t="s">
        <v>8813</v>
      </c>
      <c r="D1243" s="236"/>
      <c r="E1243" s="240" t="s">
        <v>3511</v>
      </c>
      <c r="F1243" s="240" t="s">
        <v>8814</v>
      </c>
      <c r="G1243" s="238" t="s">
        <v>8815</v>
      </c>
      <c r="H1243" s="240" t="s">
        <v>8816</v>
      </c>
      <c r="I1243" s="236"/>
      <c r="J1243" s="238" t="s">
        <v>5032</v>
      </c>
      <c r="K1243" s="242"/>
      <c r="L1243" s="237"/>
      <c r="M1243" s="237"/>
      <c r="N1243" s="237"/>
      <c r="O1243" s="237"/>
      <c r="P1243" s="237"/>
      <c r="Q1243" s="237"/>
      <c r="R1243" s="237"/>
      <c r="S1243" s="237"/>
      <c r="T1243" s="237"/>
      <c r="U1243" s="237"/>
      <c r="V1243" s="237"/>
      <c r="W1243" s="237"/>
      <c r="X1243" s="237"/>
      <c r="Y1243" s="237"/>
      <c r="Z1243" s="237"/>
      <c r="AA1243" s="237"/>
      <c r="AB1243" s="237"/>
    </row>
    <row r="1244">
      <c r="A1244" s="238">
        <v>1243.0</v>
      </c>
      <c r="B1244" s="242"/>
      <c r="C1244" s="240" t="s">
        <v>8817</v>
      </c>
      <c r="D1244" s="236"/>
      <c r="E1244" s="240" t="s">
        <v>3511</v>
      </c>
      <c r="F1244" s="240" t="s">
        <v>8818</v>
      </c>
      <c r="G1244" s="238" t="s">
        <v>8819</v>
      </c>
      <c r="H1244" s="240" t="s">
        <v>8820</v>
      </c>
      <c r="I1244" s="236"/>
      <c r="J1244" s="238" t="s">
        <v>5032</v>
      </c>
      <c r="K1244" s="242"/>
      <c r="L1244" s="237"/>
      <c r="M1244" s="237"/>
      <c r="N1244" s="237"/>
      <c r="O1244" s="237"/>
      <c r="P1244" s="237"/>
      <c r="Q1244" s="237"/>
      <c r="R1244" s="237"/>
      <c r="S1244" s="237"/>
      <c r="T1244" s="237"/>
      <c r="U1244" s="237"/>
      <c r="V1244" s="237"/>
      <c r="W1244" s="237"/>
      <c r="X1244" s="237"/>
      <c r="Y1244" s="237"/>
      <c r="Z1244" s="237"/>
      <c r="AA1244" s="237"/>
      <c r="AB1244" s="237"/>
    </row>
    <row r="1245">
      <c r="A1245" s="238">
        <v>1244.0</v>
      </c>
      <c r="B1245" s="242"/>
      <c r="C1245" s="240" t="s">
        <v>8821</v>
      </c>
      <c r="D1245" s="236"/>
      <c r="E1245" s="240" t="s">
        <v>3511</v>
      </c>
      <c r="F1245" s="240" t="s">
        <v>8822</v>
      </c>
      <c r="G1245" s="238" t="s">
        <v>8823</v>
      </c>
      <c r="H1245" s="240" t="s">
        <v>8824</v>
      </c>
      <c r="I1245" s="236"/>
      <c r="J1245" s="238" t="s">
        <v>5032</v>
      </c>
      <c r="K1245" s="242"/>
      <c r="L1245" s="237"/>
      <c r="M1245" s="237"/>
      <c r="N1245" s="237"/>
      <c r="O1245" s="237"/>
      <c r="P1245" s="237"/>
      <c r="Q1245" s="237"/>
      <c r="R1245" s="237"/>
      <c r="S1245" s="237"/>
      <c r="T1245" s="237"/>
      <c r="U1245" s="237"/>
      <c r="V1245" s="237"/>
      <c r="W1245" s="237"/>
      <c r="X1245" s="237"/>
      <c r="Y1245" s="237"/>
      <c r="Z1245" s="237"/>
      <c r="AA1245" s="237"/>
      <c r="AB1245" s="237"/>
    </row>
    <row r="1246">
      <c r="A1246" s="238">
        <v>1245.0</v>
      </c>
      <c r="B1246" s="242"/>
      <c r="C1246" s="240" t="s">
        <v>8825</v>
      </c>
      <c r="D1246" s="236"/>
      <c r="E1246" s="240" t="s">
        <v>3511</v>
      </c>
      <c r="F1246" s="240" t="s">
        <v>8826</v>
      </c>
      <c r="G1246" s="238" t="s">
        <v>8827</v>
      </c>
      <c r="H1246" s="240" t="s">
        <v>8828</v>
      </c>
      <c r="I1246" s="236"/>
      <c r="J1246" s="238" t="s">
        <v>5032</v>
      </c>
      <c r="K1246" s="242"/>
      <c r="L1246" s="237"/>
      <c r="M1246" s="237"/>
      <c r="N1246" s="237"/>
      <c r="O1246" s="237"/>
      <c r="P1246" s="237"/>
      <c r="Q1246" s="237"/>
      <c r="R1246" s="237"/>
      <c r="S1246" s="237"/>
      <c r="T1246" s="237"/>
      <c r="U1246" s="237"/>
      <c r="V1246" s="237"/>
      <c r="W1246" s="237"/>
      <c r="X1246" s="237"/>
      <c r="Y1246" s="237"/>
      <c r="Z1246" s="237"/>
      <c r="AA1246" s="237"/>
      <c r="AB1246" s="237"/>
    </row>
    <row r="1247">
      <c r="A1247" s="238">
        <v>1246.0</v>
      </c>
      <c r="B1247" s="242"/>
      <c r="C1247" s="240" t="s">
        <v>8829</v>
      </c>
      <c r="D1247" s="236"/>
      <c r="E1247" s="240" t="s">
        <v>3511</v>
      </c>
      <c r="F1247" s="240" t="s">
        <v>8830</v>
      </c>
      <c r="G1247" s="238" t="s">
        <v>8831</v>
      </c>
      <c r="H1247" s="240" t="s">
        <v>8832</v>
      </c>
      <c r="I1247" s="236"/>
      <c r="J1247" s="238" t="s">
        <v>5032</v>
      </c>
      <c r="K1247" s="242"/>
      <c r="L1247" s="237"/>
      <c r="M1247" s="237"/>
      <c r="N1247" s="237"/>
      <c r="O1247" s="237"/>
      <c r="P1247" s="237"/>
      <c r="Q1247" s="237"/>
      <c r="R1247" s="237"/>
      <c r="S1247" s="237"/>
      <c r="T1247" s="237"/>
      <c r="U1247" s="237"/>
      <c r="V1247" s="237"/>
      <c r="W1247" s="237"/>
      <c r="X1247" s="237"/>
      <c r="Y1247" s="237"/>
      <c r="Z1247" s="237"/>
      <c r="AA1247" s="237"/>
      <c r="AB1247" s="237"/>
    </row>
    <row r="1248">
      <c r="A1248" s="238">
        <v>1247.0</v>
      </c>
      <c r="B1248" s="242"/>
      <c r="C1248" s="240" t="s">
        <v>8833</v>
      </c>
      <c r="D1248" s="236"/>
      <c r="E1248" s="240" t="s">
        <v>8706</v>
      </c>
      <c r="F1248" s="240" t="s">
        <v>8834</v>
      </c>
      <c r="G1248" s="238" t="s">
        <v>8835</v>
      </c>
      <c r="H1248" s="236"/>
      <c r="I1248" s="236"/>
      <c r="J1248" s="236"/>
      <c r="K1248" s="242"/>
      <c r="L1248" s="237"/>
      <c r="M1248" s="237"/>
      <c r="N1248" s="237"/>
      <c r="O1248" s="237"/>
      <c r="P1248" s="237"/>
      <c r="Q1248" s="237"/>
      <c r="R1248" s="237"/>
      <c r="S1248" s="237"/>
      <c r="T1248" s="237"/>
      <c r="U1248" s="237"/>
      <c r="V1248" s="237"/>
      <c r="W1248" s="237"/>
      <c r="X1248" s="237"/>
      <c r="Y1248" s="237"/>
      <c r="Z1248" s="237"/>
      <c r="AA1248" s="237"/>
      <c r="AB1248" s="237"/>
    </row>
    <row r="1249">
      <c r="A1249" s="238">
        <v>1248.0</v>
      </c>
      <c r="B1249" s="242"/>
      <c r="C1249" s="240" t="s">
        <v>8836</v>
      </c>
      <c r="D1249" s="236"/>
      <c r="E1249" s="240" t="s">
        <v>3511</v>
      </c>
      <c r="F1249" s="240" t="s">
        <v>8837</v>
      </c>
      <c r="G1249" s="238" t="s">
        <v>8838</v>
      </c>
      <c r="H1249" s="240" t="s">
        <v>8839</v>
      </c>
      <c r="I1249" s="236"/>
      <c r="J1249" s="236"/>
      <c r="K1249" s="242"/>
      <c r="L1249" s="237"/>
      <c r="M1249" s="237"/>
      <c r="N1249" s="237"/>
      <c r="O1249" s="237"/>
      <c r="P1249" s="237"/>
      <c r="Q1249" s="237"/>
      <c r="R1249" s="237"/>
      <c r="S1249" s="237"/>
      <c r="T1249" s="237"/>
      <c r="U1249" s="237"/>
      <c r="V1249" s="237"/>
      <c r="W1249" s="237"/>
      <c r="X1249" s="237"/>
      <c r="Y1249" s="237"/>
      <c r="Z1249" s="237"/>
      <c r="AA1249" s="237"/>
      <c r="AB1249" s="237"/>
    </row>
    <row r="1250">
      <c r="A1250" s="238">
        <v>1249.0</v>
      </c>
      <c r="B1250" s="242"/>
      <c r="C1250" s="240" t="s">
        <v>8840</v>
      </c>
      <c r="D1250" s="236"/>
      <c r="E1250" s="240" t="s">
        <v>3511</v>
      </c>
      <c r="F1250" s="240" t="s">
        <v>8841</v>
      </c>
      <c r="G1250" s="238" t="s">
        <v>8842</v>
      </c>
      <c r="H1250" s="240" t="s">
        <v>8843</v>
      </c>
      <c r="I1250" s="236"/>
      <c r="J1250" s="236"/>
      <c r="K1250" s="242"/>
      <c r="L1250" s="237"/>
      <c r="M1250" s="237"/>
      <c r="N1250" s="237"/>
      <c r="O1250" s="237"/>
      <c r="P1250" s="237"/>
      <c r="Q1250" s="237"/>
      <c r="R1250" s="237"/>
      <c r="S1250" s="237"/>
      <c r="T1250" s="237"/>
      <c r="U1250" s="237"/>
      <c r="V1250" s="237"/>
      <c r="W1250" s="237"/>
      <c r="X1250" s="237"/>
      <c r="Y1250" s="237"/>
      <c r="Z1250" s="237"/>
      <c r="AA1250" s="237"/>
      <c r="AB1250" s="237"/>
    </row>
    <row r="1251">
      <c r="A1251" s="238">
        <v>1250.0</v>
      </c>
      <c r="B1251" s="250" t="s">
        <v>8844</v>
      </c>
      <c r="C1251" s="240" t="s">
        <v>8845</v>
      </c>
      <c r="D1251" s="236"/>
      <c r="E1251" s="240" t="s">
        <v>3511</v>
      </c>
      <c r="F1251" s="240" t="s">
        <v>8846</v>
      </c>
      <c r="G1251" s="238" t="s">
        <v>8847</v>
      </c>
      <c r="H1251" s="241" t="s">
        <v>8848</v>
      </c>
      <c r="I1251" s="236"/>
      <c r="J1251" s="238" t="s">
        <v>3545</v>
      </c>
      <c r="K1251" s="250" t="s">
        <v>8844</v>
      </c>
      <c r="L1251" s="237"/>
      <c r="M1251" s="237"/>
      <c r="N1251" s="237"/>
      <c r="O1251" s="237"/>
      <c r="P1251" s="237"/>
      <c r="Q1251" s="237"/>
      <c r="R1251" s="237"/>
      <c r="S1251" s="237"/>
      <c r="T1251" s="237"/>
      <c r="U1251" s="237"/>
      <c r="V1251" s="237"/>
      <c r="W1251" s="237"/>
      <c r="X1251" s="237"/>
      <c r="Y1251" s="237"/>
      <c r="Z1251" s="237"/>
      <c r="AA1251" s="237"/>
      <c r="AB1251" s="237"/>
    </row>
    <row r="1252">
      <c r="A1252" s="238">
        <v>1251.0</v>
      </c>
      <c r="B1252" s="242"/>
      <c r="C1252" s="240" t="s">
        <v>8849</v>
      </c>
      <c r="D1252" s="236"/>
      <c r="E1252" s="240" t="s">
        <v>3511</v>
      </c>
      <c r="F1252" s="240" t="s">
        <v>8850</v>
      </c>
      <c r="G1252" s="238" t="s">
        <v>8851</v>
      </c>
      <c r="H1252" s="241" t="s">
        <v>8852</v>
      </c>
      <c r="I1252" s="236"/>
      <c r="J1252" s="238" t="s">
        <v>3545</v>
      </c>
      <c r="K1252" s="242"/>
      <c r="L1252" s="237"/>
      <c r="M1252" s="237"/>
      <c r="N1252" s="237"/>
      <c r="O1252" s="237"/>
      <c r="P1252" s="237"/>
      <c r="Q1252" s="237"/>
      <c r="R1252" s="237"/>
      <c r="S1252" s="237"/>
      <c r="T1252" s="237"/>
      <c r="U1252" s="237"/>
      <c r="V1252" s="237"/>
      <c r="W1252" s="237"/>
      <c r="X1252" s="237"/>
      <c r="Y1252" s="237"/>
      <c r="Z1252" s="237"/>
      <c r="AA1252" s="237"/>
      <c r="AB1252" s="237"/>
    </row>
    <row r="1253">
      <c r="A1253" s="238">
        <v>1252.0</v>
      </c>
      <c r="B1253" s="242"/>
      <c r="C1253" s="240" t="s">
        <v>8853</v>
      </c>
      <c r="D1253" s="236"/>
      <c r="E1253" s="240" t="s">
        <v>3511</v>
      </c>
      <c r="F1253" s="240" t="s">
        <v>8854</v>
      </c>
      <c r="G1253" s="238" t="s">
        <v>8855</v>
      </c>
      <c r="H1253" s="240" t="s">
        <v>8856</v>
      </c>
      <c r="I1253" s="236"/>
      <c r="J1253" s="238" t="s">
        <v>3545</v>
      </c>
      <c r="K1253" s="242"/>
      <c r="L1253" s="237"/>
      <c r="M1253" s="237"/>
      <c r="N1253" s="237"/>
      <c r="O1253" s="237"/>
      <c r="P1253" s="237"/>
      <c r="Q1253" s="237"/>
      <c r="R1253" s="237"/>
      <c r="S1253" s="237"/>
      <c r="T1253" s="237"/>
      <c r="U1253" s="237"/>
      <c r="V1253" s="237"/>
      <c r="W1253" s="237"/>
      <c r="X1253" s="237"/>
      <c r="Y1253" s="237"/>
      <c r="Z1253" s="237"/>
      <c r="AA1253" s="237"/>
      <c r="AB1253" s="237"/>
    </row>
    <row r="1254">
      <c r="A1254" s="238">
        <v>1253.0</v>
      </c>
      <c r="B1254" s="250" t="s">
        <v>8857</v>
      </c>
      <c r="C1254" s="240" t="s">
        <v>8858</v>
      </c>
      <c r="D1254" s="236"/>
      <c r="E1254" s="240" t="s">
        <v>3511</v>
      </c>
      <c r="F1254" s="240" t="s">
        <v>8859</v>
      </c>
      <c r="G1254" s="238" t="s">
        <v>8860</v>
      </c>
      <c r="H1254" s="241" t="s">
        <v>8861</v>
      </c>
      <c r="I1254" s="236"/>
      <c r="J1254" s="238" t="s">
        <v>3545</v>
      </c>
      <c r="K1254" s="250" t="s">
        <v>8857</v>
      </c>
      <c r="L1254" s="237"/>
      <c r="M1254" s="237"/>
      <c r="N1254" s="237"/>
      <c r="O1254" s="237"/>
      <c r="P1254" s="237"/>
      <c r="Q1254" s="237"/>
      <c r="R1254" s="237"/>
      <c r="S1254" s="237"/>
      <c r="T1254" s="237"/>
      <c r="U1254" s="237"/>
      <c r="V1254" s="237"/>
      <c r="W1254" s="237"/>
      <c r="X1254" s="237"/>
      <c r="Y1254" s="237"/>
      <c r="Z1254" s="237"/>
      <c r="AA1254" s="237"/>
      <c r="AB1254" s="237"/>
    </row>
    <row r="1255">
      <c r="A1255" s="238">
        <v>1254.0</v>
      </c>
      <c r="B1255" s="242"/>
      <c r="C1255" s="240" t="s">
        <v>8862</v>
      </c>
      <c r="D1255" s="236"/>
      <c r="E1255" s="240" t="s">
        <v>3511</v>
      </c>
      <c r="F1255" s="240" t="s">
        <v>6895</v>
      </c>
      <c r="G1255" s="238" t="s">
        <v>6896</v>
      </c>
      <c r="H1255" s="241" t="s">
        <v>8863</v>
      </c>
      <c r="I1255" s="236"/>
      <c r="J1255" s="238" t="s">
        <v>3962</v>
      </c>
      <c r="K1255" s="242"/>
      <c r="L1255" s="237"/>
      <c r="M1255" s="237"/>
      <c r="N1255" s="237"/>
      <c r="O1255" s="237"/>
      <c r="P1255" s="237"/>
      <c r="Q1255" s="237"/>
      <c r="R1255" s="237"/>
      <c r="S1255" s="237"/>
      <c r="T1255" s="237"/>
      <c r="U1255" s="237"/>
      <c r="V1255" s="237"/>
      <c r="W1255" s="237"/>
      <c r="X1255" s="237"/>
      <c r="Y1255" s="237"/>
      <c r="Z1255" s="237"/>
      <c r="AA1255" s="237"/>
      <c r="AB1255" s="237"/>
    </row>
    <row r="1256">
      <c r="A1256" s="238">
        <v>1255.0</v>
      </c>
      <c r="B1256" s="239" t="s">
        <v>6890</v>
      </c>
      <c r="C1256" s="240" t="s">
        <v>8864</v>
      </c>
      <c r="D1256" s="236"/>
      <c r="E1256" s="240" t="s">
        <v>3511</v>
      </c>
      <c r="F1256" s="240" t="s">
        <v>8865</v>
      </c>
      <c r="G1256" s="238" t="s">
        <v>6893</v>
      </c>
      <c r="H1256" s="240" t="s">
        <v>8866</v>
      </c>
      <c r="I1256" s="236"/>
      <c r="J1256" s="238" t="s">
        <v>3962</v>
      </c>
      <c r="K1256" s="239" t="s">
        <v>6890</v>
      </c>
      <c r="L1256" s="237"/>
      <c r="M1256" s="237"/>
      <c r="N1256" s="237"/>
      <c r="O1256" s="237"/>
      <c r="P1256" s="237"/>
      <c r="Q1256" s="237"/>
      <c r="R1256" s="237"/>
      <c r="S1256" s="237"/>
      <c r="T1256" s="237"/>
      <c r="U1256" s="237"/>
      <c r="V1256" s="237"/>
      <c r="W1256" s="237"/>
      <c r="X1256" s="237"/>
      <c r="Y1256" s="237"/>
      <c r="Z1256" s="237"/>
      <c r="AA1256" s="237"/>
      <c r="AB1256" s="237"/>
    </row>
    <row r="1257">
      <c r="A1257" s="238">
        <v>1256.0</v>
      </c>
      <c r="B1257" s="242"/>
      <c r="C1257" s="240" t="s">
        <v>8867</v>
      </c>
      <c r="D1257" s="236"/>
      <c r="E1257" s="240" t="s">
        <v>3511</v>
      </c>
      <c r="F1257" s="240" t="s">
        <v>8834</v>
      </c>
      <c r="G1257" s="238" t="s">
        <v>8835</v>
      </c>
      <c r="H1257" s="240" t="s">
        <v>8868</v>
      </c>
      <c r="I1257" s="236"/>
      <c r="J1257" s="238" t="s">
        <v>5032</v>
      </c>
      <c r="K1257" s="242"/>
      <c r="L1257" s="237"/>
      <c r="M1257" s="237"/>
      <c r="N1257" s="237"/>
      <c r="O1257" s="237"/>
      <c r="P1257" s="237"/>
      <c r="Q1257" s="237"/>
      <c r="R1257" s="237"/>
      <c r="S1257" s="237"/>
      <c r="T1257" s="237"/>
      <c r="U1257" s="237"/>
      <c r="V1257" s="237"/>
      <c r="W1257" s="237"/>
      <c r="X1257" s="237"/>
      <c r="Y1257" s="237"/>
      <c r="Z1257" s="237"/>
      <c r="AA1257" s="237"/>
      <c r="AB1257" s="237"/>
    </row>
    <row r="1258">
      <c r="A1258" s="238">
        <v>1257.0</v>
      </c>
      <c r="B1258" s="239" t="s">
        <v>8869</v>
      </c>
      <c r="C1258" s="240" t="s">
        <v>8870</v>
      </c>
      <c r="D1258" s="236"/>
      <c r="E1258" s="240" t="s">
        <v>3511</v>
      </c>
      <c r="F1258" s="240" t="s">
        <v>8871</v>
      </c>
      <c r="G1258" s="238" t="s">
        <v>8872</v>
      </c>
      <c r="H1258" s="240" t="s">
        <v>8873</v>
      </c>
      <c r="I1258" s="236"/>
      <c r="J1258" s="238" t="s">
        <v>4536</v>
      </c>
      <c r="K1258" s="239" t="s">
        <v>8869</v>
      </c>
      <c r="L1258" s="237"/>
      <c r="M1258" s="237"/>
      <c r="N1258" s="237"/>
      <c r="O1258" s="237"/>
      <c r="P1258" s="237"/>
      <c r="Q1258" s="237"/>
      <c r="R1258" s="237"/>
      <c r="S1258" s="237"/>
      <c r="T1258" s="237"/>
      <c r="U1258" s="237"/>
      <c r="V1258" s="237"/>
      <c r="W1258" s="237"/>
      <c r="X1258" s="237"/>
      <c r="Y1258" s="237"/>
      <c r="Z1258" s="237"/>
      <c r="AA1258" s="237"/>
      <c r="AB1258" s="237"/>
    </row>
    <row r="1259">
      <c r="A1259" s="238">
        <v>1258.0</v>
      </c>
      <c r="B1259" s="239" t="s">
        <v>8874</v>
      </c>
      <c r="C1259" s="240" t="s">
        <v>8875</v>
      </c>
      <c r="D1259" s="236"/>
      <c r="E1259" s="240" t="s">
        <v>3511</v>
      </c>
      <c r="F1259" s="240" t="s">
        <v>8876</v>
      </c>
      <c r="G1259" s="238" t="s">
        <v>8877</v>
      </c>
      <c r="H1259" s="240" t="s">
        <v>8878</v>
      </c>
      <c r="I1259" s="236"/>
      <c r="J1259" s="238" t="s">
        <v>4536</v>
      </c>
      <c r="K1259" s="239" t="s">
        <v>8874</v>
      </c>
      <c r="L1259" s="237"/>
      <c r="M1259" s="237"/>
      <c r="N1259" s="237"/>
      <c r="O1259" s="237"/>
      <c r="P1259" s="237"/>
      <c r="Q1259" s="237"/>
      <c r="R1259" s="237"/>
      <c r="S1259" s="237"/>
      <c r="T1259" s="237"/>
      <c r="U1259" s="237"/>
      <c r="V1259" s="237"/>
      <c r="W1259" s="237"/>
      <c r="X1259" s="237"/>
      <c r="Y1259" s="237"/>
      <c r="Z1259" s="237"/>
      <c r="AA1259" s="237"/>
      <c r="AB1259" s="237"/>
    </row>
    <row r="1260">
      <c r="A1260" s="238">
        <v>1259.0</v>
      </c>
      <c r="B1260" s="242"/>
      <c r="C1260" s="240" t="s">
        <v>8879</v>
      </c>
      <c r="D1260" s="236"/>
      <c r="E1260" s="240" t="s">
        <v>3511</v>
      </c>
      <c r="F1260" s="240" t="s">
        <v>2814</v>
      </c>
      <c r="G1260" s="238" t="s">
        <v>8880</v>
      </c>
      <c r="H1260" s="240" t="s">
        <v>8881</v>
      </c>
      <c r="I1260" s="236"/>
      <c r="J1260" s="238" t="s">
        <v>4536</v>
      </c>
      <c r="K1260" s="242"/>
      <c r="L1260" s="237"/>
      <c r="M1260" s="237"/>
      <c r="N1260" s="237"/>
      <c r="O1260" s="237"/>
      <c r="P1260" s="237"/>
      <c r="Q1260" s="237"/>
      <c r="R1260" s="237"/>
      <c r="S1260" s="237"/>
      <c r="T1260" s="237"/>
      <c r="U1260" s="237"/>
      <c r="V1260" s="237"/>
      <c r="W1260" s="237"/>
      <c r="X1260" s="237"/>
      <c r="Y1260" s="237"/>
      <c r="Z1260" s="237"/>
      <c r="AA1260" s="237"/>
      <c r="AB1260" s="237"/>
    </row>
    <row r="1261">
      <c r="A1261" s="238">
        <v>1260.0</v>
      </c>
      <c r="B1261" s="239" t="s">
        <v>8882</v>
      </c>
      <c r="C1261" s="240" t="s">
        <v>8883</v>
      </c>
      <c r="D1261" s="236"/>
      <c r="E1261" s="240" t="s">
        <v>3511</v>
      </c>
      <c r="F1261" s="240" t="s">
        <v>8884</v>
      </c>
      <c r="G1261" s="238" t="s">
        <v>8885</v>
      </c>
      <c r="H1261" s="240" t="s">
        <v>8886</v>
      </c>
      <c r="I1261" s="236"/>
      <c r="J1261" s="238" t="s">
        <v>4536</v>
      </c>
      <c r="K1261" s="239" t="s">
        <v>8882</v>
      </c>
      <c r="L1261" s="237"/>
      <c r="M1261" s="237"/>
      <c r="N1261" s="237"/>
      <c r="O1261" s="237"/>
      <c r="P1261" s="237"/>
      <c r="Q1261" s="237"/>
      <c r="R1261" s="237"/>
      <c r="S1261" s="237"/>
      <c r="T1261" s="237"/>
      <c r="U1261" s="237"/>
      <c r="V1261" s="237"/>
      <c r="W1261" s="237"/>
      <c r="X1261" s="237"/>
      <c r="Y1261" s="237"/>
      <c r="Z1261" s="237"/>
      <c r="AA1261" s="237"/>
      <c r="AB1261" s="237"/>
    </row>
    <row r="1262">
      <c r="A1262" s="238">
        <v>1261.0</v>
      </c>
      <c r="B1262" s="239" t="s">
        <v>8887</v>
      </c>
      <c r="C1262" s="240" t="s">
        <v>8888</v>
      </c>
      <c r="D1262" s="236"/>
      <c r="E1262" s="240" t="s">
        <v>3511</v>
      </c>
      <c r="F1262" s="240" t="s">
        <v>8889</v>
      </c>
      <c r="G1262" s="238" t="s">
        <v>8890</v>
      </c>
      <c r="H1262" s="236"/>
      <c r="I1262" s="236"/>
      <c r="J1262" s="238" t="s">
        <v>4536</v>
      </c>
      <c r="K1262" s="239" t="s">
        <v>8887</v>
      </c>
      <c r="L1262" s="237"/>
      <c r="M1262" s="237"/>
      <c r="N1262" s="237"/>
      <c r="O1262" s="237"/>
      <c r="P1262" s="237"/>
      <c r="Q1262" s="237"/>
      <c r="R1262" s="237"/>
      <c r="S1262" s="237"/>
      <c r="T1262" s="237"/>
      <c r="U1262" s="237"/>
      <c r="V1262" s="237"/>
      <c r="W1262" s="237"/>
      <c r="X1262" s="237"/>
      <c r="Y1262" s="237"/>
      <c r="Z1262" s="237"/>
      <c r="AA1262" s="237"/>
      <c r="AB1262" s="237"/>
    </row>
    <row r="1263">
      <c r="A1263" s="238">
        <v>1262.0</v>
      </c>
      <c r="B1263" s="239" t="s">
        <v>8891</v>
      </c>
      <c r="C1263" s="240" t="s">
        <v>8892</v>
      </c>
      <c r="D1263" s="236"/>
      <c r="E1263" s="240" t="s">
        <v>3511</v>
      </c>
      <c r="F1263" s="240" t="s">
        <v>8893</v>
      </c>
      <c r="G1263" s="238" t="s">
        <v>8894</v>
      </c>
      <c r="H1263" s="240" t="s">
        <v>8895</v>
      </c>
      <c r="I1263" s="236"/>
      <c r="J1263" s="238" t="s">
        <v>4536</v>
      </c>
      <c r="K1263" s="239" t="s">
        <v>8891</v>
      </c>
      <c r="L1263" s="237"/>
      <c r="M1263" s="237"/>
      <c r="N1263" s="237"/>
      <c r="O1263" s="237"/>
      <c r="P1263" s="237"/>
      <c r="Q1263" s="237"/>
      <c r="R1263" s="237"/>
      <c r="S1263" s="237"/>
      <c r="T1263" s="237"/>
      <c r="U1263" s="237"/>
      <c r="V1263" s="237"/>
      <c r="W1263" s="237"/>
      <c r="X1263" s="237"/>
      <c r="Y1263" s="237"/>
      <c r="Z1263" s="237"/>
      <c r="AA1263" s="237"/>
      <c r="AB1263" s="237"/>
    </row>
    <row r="1264">
      <c r="A1264" s="238">
        <v>1263.0</v>
      </c>
      <c r="B1264" s="239" t="s">
        <v>8896</v>
      </c>
      <c r="C1264" s="240" t="s">
        <v>8897</v>
      </c>
      <c r="D1264" s="236"/>
      <c r="E1264" s="240" t="s">
        <v>3511</v>
      </c>
      <c r="F1264" s="240" t="s">
        <v>8898</v>
      </c>
      <c r="G1264" s="238" t="s">
        <v>8899</v>
      </c>
      <c r="H1264" s="236"/>
      <c r="I1264" s="236"/>
      <c r="J1264" s="238" t="s">
        <v>4536</v>
      </c>
      <c r="K1264" s="239" t="s">
        <v>8896</v>
      </c>
      <c r="L1264" s="237"/>
      <c r="M1264" s="237"/>
      <c r="N1264" s="237"/>
      <c r="O1264" s="237"/>
      <c r="P1264" s="237"/>
      <c r="Q1264" s="237"/>
      <c r="R1264" s="237"/>
      <c r="S1264" s="237"/>
      <c r="T1264" s="237"/>
      <c r="U1264" s="237"/>
      <c r="V1264" s="237"/>
      <c r="W1264" s="237"/>
      <c r="X1264" s="237"/>
      <c r="Y1264" s="237"/>
      <c r="Z1264" s="237"/>
      <c r="AA1264" s="237"/>
      <c r="AB1264" s="237"/>
    </row>
    <row r="1265">
      <c r="A1265" s="238">
        <v>1264.0</v>
      </c>
      <c r="B1265" s="239" t="s">
        <v>8900</v>
      </c>
      <c r="C1265" s="240" t="s">
        <v>8901</v>
      </c>
      <c r="D1265" s="236"/>
      <c r="E1265" s="240" t="s">
        <v>3511</v>
      </c>
      <c r="F1265" s="240" t="s">
        <v>8902</v>
      </c>
      <c r="G1265" s="238" t="s">
        <v>8903</v>
      </c>
      <c r="H1265" s="236"/>
      <c r="I1265" s="236"/>
      <c r="J1265" s="238" t="s">
        <v>4536</v>
      </c>
      <c r="K1265" s="239" t="s">
        <v>8900</v>
      </c>
      <c r="L1265" s="237"/>
      <c r="M1265" s="237"/>
      <c r="N1265" s="237"/>
      <c r="O1265" s="237"/>
      <c r="P1265" s="237"/>
      <c r="Q1265" s="237"/>
      <c r="R1265" s="237"/>
      <c r="S1265" s="237"/>
      <c r="T1265" s="237"/>
      <c r="U1265" s="237"/>
      <c r="V1265" s="237"/>
      <c r="W1265" s="237"/>
      <c r="X1265" s="237"/>
      <c r="Y1265" s="237"/>
      <c r="Z1265" s="237"/>
      <c r="AA1265" s="237"/>
      <c r="AB1265" s="237"/>
    </row>
    <row r="1266">
      <c r="A1266" s="238">
        <v>1265.0</v>
      </c>
      <c r="B1266" s="239" t="s">
        <v>8904</v>
      </c>
      <c r="C1266" s="240" t="s">
        <v>8905</v>
      </c>
      <c r="D1266" s="236"/>
      <c r="E1266" s="240" t="s">
        <v>3511</v>
      </c>
      <c r="F1266" s="240" t="s">
        <v>8906</v>
      </c>
      <c r="G1266" s="238" t="s">
        <v>8907</v>
      </c>
      <c r="H1266" s="240" t="s">
        <v>8908</v>
      </c>
      <c r="I1266" s="236"/>
      <c r="J1266" s="238" t="s">
        <v>4536</v>
      </c>
      <c r="K1266" s="239" t="s">
        <v>8904</v>
      </c>
      <c r="L1266" s="237"/>
      <c r="M1266" s="237"/>
      <c r="N1266" s="237"/>
      <c r="O1266" s="237"/>
      <c r="P1266" s="237"/>
      <c r="Q1266" s="237"/>
      <c r="R1266" s="237"/>
      <c r="S1266" s="237"/>
      <c r="T1266" s="237"/>
      <c r="U1266" s="237"/>
      <c r="V1266" s="237"/>
      <c r="W1266" s="237"/>
      <c r="X1266" s="237"/>
      <c r="Y1266" s="237"/>
      <c r="Z1266" s="237"/>
      <c r="AA1266" s="237"/>
      <c r="AB1266" s="237"/>
    </row>
    <row r="1267">
      <c r="A1267" s="238">
        <v>1266.0</v>
      </c>
      <c r="B1267" s="250" t="s">
        <v>8909</v>
      </c>
      <c r="C1267" s="240" t="s">
        <v>8910</v>
      </c>
      <c r="D1267" s="236"/>
      <c r="E1267" s="240" t="s">
        <v>3511</v>
      </c>
      <c r="F1267" s="240" t="s">
        <v>8911</v>
      </c>
      <c r="G1267" s="238" t="s">
        <v>8912</v>
      </c>
      <c r="H1267" s="240" t="s">
        <v>8913</v>
      </c>
      <c r="I1267" s="236"/>
      <c r="J1267" s="238" t="s">
        <v>3545</v>
      </c>
      <c r="K1267" s="250" t="s">
        <v>8909</v>
      </c>
      <c r="L1267" s="237"/>
      <c r="M1267" s="237"/>
      <c r="N1267" s="237"/>
      <c r="O1267" s="237"/>
      <c r="P1267" s="237"/>
      <c r="Q1267" s="237"/>
      <c r="R1267" s="237"/>
      <c r="S1267" s="237"/>
      <c r="T1267" s="237"/>
      <c r="U1267" s="237"/>
      <c r="V1267" s="237"/>
      <c r="W1267" s="237"/>
      <c r="X1267" s="237"/>
      <c r="Y1267" s="237"/>
      <c r="Z1267" s="237"/>
      <c r="AA1267" s="237"/>
      <c r="AB1267" s="237"/>
    </row>
    <row r="1268">
      <c r="A1268" s="238">
        <v>1267.0</v>
      </c>
      <c r="B1268" s="242"/>
      <c r="C1268" s="240" t="s">
        <v>8914</v>
      </c>
      <c r="D1268" s="236"/>
      <c r="E1268" s="240" t="s">
        <v>3511</v>
      </c>
      <c r="F1268" s="240" t="s">
        <v>8915</v>
      </c>
      <c r="G1268" s="238" t="s">
        <v>8916</v>
      </c>
      <c r="H1268" s="240" t="s">
        <v>8917</v>
      </c>
      <c r="I1268" s="236"/>
      <c r="J1268" s="238" t="s">
        <v>3545</v>
      </c>
      <c r="K1268" s="242"/>
      <c r="L1268" s="237"/>
      <c r="M1268" s="237"/>
      <c r="N1268" s="237"/>
      <c r="O1268" s="237"/>
      <c r="P1268" s="237"/>
      <c r="Q1268" s="237"/>
      <c r="R1268" s="237"/>
      <c r="S1268" s="237"/>
      <c r="T1268" s="237"/>
      <c r="U1268" s="237"/>
      <c r="V1268" s="237"/>
      <c r="W1268" s="237"/>
      <c r="X1268" s="237"/>
      <c r="Y1268" s="237"/>
      <c r="Z1268" s="237"/>
      <c r="AA1268" s="237"/>
      <c r="AB1268" s="237"/>
    </row>
    <row r="1269">
      <c r="A1269" s="238">
        <v>1268.0</v>
      </c>
      <c r="B1269" s="242"/>
      <c r="C1269" s="240" t="s">
        <v>8918</v>
      </c>
      <c r="D1269" s="236"/>
      <c r="E1269" s="240" t="s">
        <v>3511</v>
      </c>
      <c r="F1269" s="240" t="s">
        <v>8919</v>
      </c>
      <c r="G1269" s="238" t="s">
        <v>8920</v>
      </c>
      <c r="H1269" s="240" t="s">
        <v>8921</v>
      </c>
      <c r="I1269" s="236"/>
      <c r="J1269" s="238" t="s">
        <v>3545</v>
      </c>
      <c r="K1269" s="242"/>
      <c r="L1269" s="237"/>
      <c r="M1269" s="237"/>
      <c r="N1269" s="237"/>
      <c r="O1269" s="237"/>
      <c r="P1269" s="237"/>
      <c r="Q1269" s="237"/>
      <c r="R1269" s="237"/>
      <c r="S1269" s="237"/>
      <c r="T1269" s="237"/>
      <c r="U1269" s="237"/>
      <c r="V1269" s="237"/>
      <c r="W1269" s="237"/>
      <c r="X1269" s="237"/>
      <c r="Y1269" s="237"/>
      <c r="Z1269" s="237"/>
      <c r="AA1269" s="237"/>
      <c r="AB1269" s="237"/>
    </row>
    <row r="1270">
      <c r="A1270" s="238">
        <v>1269.0</v>
      </c>
      <c r="B1270" s="242"/>
      <c r="C1270" s="240" t="s">
        <v>8922</v>
      </c>
      <c r="D1270" s="236"/>
      <c r="E1270" s="240" t="s">
        <v>3511</v>
      </c>
      <c r="F1270" s="240" t="s">
        <v>8923</v>
      </c>
      <c r="G1270" s="238" t="s">
        <v>8924</v>
      </c>
      <c r="H1270" s="240" t="s">
        <v>8925</v>
      </c>
      <c r="I1270" s="236"/>
      <c r="J1270" s="238" t="s">
        <v>3545</v>
      </c>
      <c r="K1270" s="242"/>
      <c r="L1270" s="237"/>
      <c r="M1270" s="237"/>
      <c r="N1270" s="237"/>
      <c r="O1270" s="237"/>
      <c r="P1270" s="237"/>
      <c r="Q1270" s="237"/>
      <c r="R1270" s="237"/>
      <c r="S1270" s="237"/>
      <c r="T1270" s="237"/>
      <c r="U1270" s="237"/>
      <c r="V1270" s="237"/>
      <c r="W1270" s="237"/>
      <c r="X1270" s="237"/>
      <c r="Y1270" s="237"/>
      <c r="Z1270" s="237"/>
      <c r="AA1270" s="237"/>
      <c r="AB1270" s="237"/>
    </row>
    <row r="1271">
      <c r="A1271" s="238">
        <v>1270.0</v>
      </c>
      <c r="B1271" s="242"/>
      <c r="C1271" s="241" t="s">
        <v>8926</v>
      </c>
      <c r="D1271" s="236"/>
      <c r="E1271" s="240" t="s">
        <v>3511</v>
      </c>
      <c r="F1271" s="240" t="s">
        <v>8927</v>
      </c>
      <c r="G1271" s="238" t="s">
        <v>8928</v>
      </c>
      <c r="H1271" s="240" t="s">
        <v>8929</v>
      </c>
      <c r="I1271" s="236"/>
      <c r="J1271" s="238" t="s">
        <v>3996</v>
      </c>
      <c r="K1271" s="242"/>
      <c r="L1271" s="237"/>
      <c r="M1271" s="237"/>
      <c r="N1271" s="237"/>
      <c r="O1271" s="237"/>
      <c r="P1271" s="237"/>
      <c r="Q1271" s="237"/>
      <c r="R1271" s="237"/>
      <c r="S1271" s="237"/>
      <c r="T1271" s="237"/>
      <c r="U1271" s="237"/>
      <c r="V1271" s="237"/>
      <c r="W1271" s="237"/>
      <c r="X1271" s="237"/>
      <c r="Y1271" s="237"/>
      <c r="Z1271" s="237"/>
      <c r="AA1271" s="237"/>
      <c r="AB1271" s="237"/>
    </row>
    <row r="1272">
      <c r="A1272" s="238">
        <v>1271.0</v>
      </c>
      <c r="B1272" s="242"/>
      <c r="C1272" s="240" t="s">
        <v>8930</v>
      </c>
      <c r="D1272" s="236"/>
      <c r="E1272" s="240" t="s">
        <v>3511</v>
      </c>
      <c r="F1272" s="240" t="s">
        <v>8931</v>
      </c>
      <c r="G1272" s="238" t="s">
        <v>8932</v>
      </c>
      <c r="H1272" s="240" t="s">
        <v>8933</v>
      </c>
      <c r="I1272" s="236"/>
      <c r="J1272" s="238" t="s">
        <v>3996</v>
      </c>
      <c r="K1272" s="242"/>
      <c r="L1272" s="237"/>
      <c r="M1272" s="237"/>
      <c r="N1272" s="237"/>
      <c r="O1272" s="237"/>
      <c r="P1272" s="237"/>
      <c r="Q1272" s="237"/>
      <c r="R1272" s="237"/>
      <c r="S1272" s="237"/>
      <c r="T1272" s="237"/>
      <c r="U1272" s="237"/>
      <c r="V1272" s="237"/>
      <c r="W1272" s="237"/>
      <c r="X1272" s="237"/>
      <c r="Y1272" s="237"/>
      <c r="Z1272" s="237"/>
      <c r="AA1272" s="237"/>
      <c r="AB1272" s="237"/>
    </row>
    <row r="1273">
      <c r="A1273" s="238">
        <v>1272.0</v>
      </c>
      <c r="B1273" s="242"/>
      <c r="C1273" s="240" t="s">
        <v>8934</v>
      </c>
      <c r="D1273" s="236"/>
      <c r="E1273" s="241" t="s">
        <v>1420</v>
      </c>
      <c r="F1273" s="241" t="s">
        <v>8935</v>
      </c>
      <c r="G1273" s="238" t="s">
        <v>8936</v>
      </c>
      <c r="H1273" s="251" t="s">
        <v>8937</v>
      </c>
      <c r="I1273" s="236"/>
      <c r="J1273" s="238" t="s">
        <v>8938</v>
      </c>
      <c r="K1273" s="242"/>
      <c r="L1273" s="254" t="s">
        <v>8939</v>
      </c>
      <c r="M1273" s="237"/>
      <c r="N1273" s="237"/>
      <c r="O1273" s="237"/>
      <c r="P1273" s="237"/>
      <c r="Q1273" s="237"/>
      <c r="R1273" s="237"/>
      <c r="S1273" s="237"/>
      <c r="T1273" s="237"/>
      <c r="U1273" s="237"/>
      <c r="V1273" s="237"/>
      <c r="W1273" s="237"/>
      <c r="X1273" s="237"/>
      <c r="Y1273" s="237"/>
      <c r="Z1273" s="237"/>
      <c r="AA1273" s="237"/>
      <c r="AB1273" s="237"/>
    </row>
    <row r="1274">
      <c r="A1274" s="238">
        <v>1273.0</v>
      </c>
      <c r="B1274" s="242"/>
      <c r="C1274" s="240" t="s">
        <v>8940</v>
      </c>
      <c r="D1274" s="236"/>
      <c r="E1274" s="240" t="s">
        <v>3511</v>
      </c>
      <c r="F1274" s="241" t="s">
        <v>8941</v>
      </c>
      <c r="G1274" s="238" t="s">
        <v>8942</v>
      </c>
      <c r="H1274" s="240" t="s">
        <v>8943</v>
      </c>
      <c r="I1274" s="236"/>
      <c r="J1274" s="238" t="s">
        <v>8938</v>
      </c>
      <c r="K1274" s="242"/>
      <c r="L1274" s="237"/>
      <c r="M1274" s="237"/>
      <c r="N1274" s="237"/>
      <c r="O1274" s="237"/>
      <c r="P1274" s="237"/>
      <c r="Q1274" s="237"/>
      <c r="R1274" s="237"/>
      <c r="S1274" s="237"/>
      <c r="T1274" s="237"/>
      <c r="U1274" s="237"/>
      <c r="V1274" s="237"/>
      <c r="W1274" s="237"/>
      <c r="X1274" s="237"/>
      <c r="Y1274" s="237"/>
      <c r="Z1274" s="237"/>
      <c r="AA1274" s="237"/>
      <c r="AB1274" s="237"/>
    </row>
    <row r="1275">
      <c r="A1275" s="238">
        <v>1274.0</v>
      </c>
      <c r="B1275" s="242"/>
      <c r="C1275" s="240" t="s">
        <v>8944</v>
      </c>
      <c r="D1275" s="236"/>
      <c r="E1275" s="240" t="s">
        <v>3511</v>
      </c>
      <c r="F1275" s="241" t="s">
        <v>8945</v>
      </c>
      <c r="G1275" s="238" t="s">
        <v>8946</v>
      </c>
      <c r="H1275" s="240" t="s">
        <v>8947</v>
      </c>
      <c r="I1275" s="236"/>
      <c r="J1275" s="238" t="s">
        <v>8938</v>
      </c>
      <c r="K1275" s="242"/>
      <c r="L1275" s="237"/>
      <c r="M1275" s="237"/>
      <c r="N1275" s="237"/>
      <c r="O1275" s="237"/>
      <c r="P1275" s="237"/>
      <c r="Q1275" s="237"/>
      <c r="R1275" s="237"/>
      <c r="S1275" s="237"/>
      <c r="T1275" s="237"/>
      <c r="U1275" s="237"/>
      <c r="V1275" s="237"/>
      <c r="W1275" s="237"/>
      <c r="X1275" s="237"/>
      <c r="Y1275" s="237"/>
      <c r="Z1275" s="237"/>
      <c r="AA1275" s="237"/>
      <c r="AB1275" s="237"/>
    </row>
    <row r="1276">
      <c r="A1276" s="238">
        <v>1275.0</v>
      </c>
      <c r="B1276" s="242"/>
      <c r="C1276" s="240" t="s">
        <v>8948</v>
      </c>
      <c r="D1276" s="236"/>
      <c r="E1276" s="240" t="s">
        <v>3511</v>
      </c>
      <c r="F1276" s="241" t="s">
        <v>8949</v>
      </c>
      <c r="G1276" s="238" t="s">
        <v>8950</v>
      </c>
      <c r="H1276" s="240" t="s">
        <v>8951</v>
      </c>
      <c r="I1276" s="236"/>
      <c r="J1276" s="238" t="s">
        <v>8938</v>
      </c>
      <c r="K1276" s="242"/>
      <c r="L1276" s="237"/>
      <c r="M1276" s="237"/>
      <c r="N1276" s="237"/>
      <c r="O1276" s="237"/>
      <c r="P1276" s="237"/>
      <c r="Q1276" s="237"/>
      <c r="R1276" s="237"/>
      <c r="S1276" s="237"/>
      <c r="T1276" s="237"/>
      <c r="U1276" s="237"/>
      <c r="V1276" s="237"/>
      <c r="W1276" s="237"/>
      <c r="X1276" s="237"/>
      <c r="Y1276" s="237"/>
      <c r="Z1276" s="237"/>
      <c r="AA1276" s="237"/>
      <c r="AB1276" s="237"/>
    </row>
    <row r="1277">
      <c r="A1277" s="238">
        <v>1276.0</v>
      </c>
      <c r="B1277" s="242"/>
      <c r="C1277" s="240" t="s">
        <v>8952</v>
      </c>
      <c r="D1277" s="236"/>
      <c r="E1277" s="240" t="s">
        <v>3511</v>
      </c>
      <c r="F1277" s="241" t="s">
        <v>8953</v>
      </c>
      <c r="G1277" s="238" t="s">
        <v>8954</v>
      </c>
      <c r="H1277" s="240" t="s">
        <v>8955</v>
      </c>
      <c r="I1277" s="236"/>
      <c r="J1277" s="238" t="s">
        <v>8938</v>
      </c>
      <c r="K1277" s="242"/>
      <c r="L1277" s="237"/>
      <c r="M1277" s="237"/>
      <c r="N1277" s="237"/>
      <c r="O1277" s="237"/>
      <c r="P1277" s="237"/>
      <c r="Q1277" s="237"/>
      <c r="R1277" s="237"/>
      <c r="S1277" s="237"/>
      <c r="T1277" s="237"/>
      <c r="U1277" s="237"/>
      <c r="V1277" s="237"/>
      <c r="W1277" s="237"/>
      <c r="X1277" s="237"/>
      <c r="Y1277" s="237"/>
      <c r="Z1277" s="237"/>
      <c r="AA1277" s="237"/>
      <c r="AB1277" s="237"/>
    </row>
    <row r="1278">
      <c r="A1278" s="238">
        <v>1277.0</v>
      </c>
      <c r="B1278" s="242"/>
      <c r="C1278" s="240" t="s">
        <v>8956</v>
      </c>
      <c r="D1278" s="236"/>
      <c r="E1278" s="240" t="s">
        <v>3511</v>
      </c>
      <c r="F1278" s="241" t="s">
        <v>8957</v>
      </c>
      <c r="G1278" s="238" t="s">
        <v>8958</v>
      </c>
      <c r="H1278" s="240" t="s">
        <v>8959</v>
      </c>
      <c r="I1278" s="236"/>
      <c r="J1278" s="238" t="s">
        <v>8938</v>
      </c>
      <c r="K1278" s="242"/>
      <c r="L1278" s="237"/>
      <c r="M1278" s="237"/>
      <c r="N1278" s="237"/>
      <c r="O1278" s="237"/>
      <c r="P1278" s="237"/>
      <c r="Q1278" s="237"/>
      <c r="R1278" s="237"/>
      <c r="S1278" s="237"/>
      <c r="T1278" s="237"/>
      <c r="U1278" s="237"/>
      <c r="V1278" s="237"/>
      <c r="W1278" s="237"/>
      <c r="X1278" s="237"/>
      <c r="Y1278" s="237"/>
      <c r="Z1278" s="237"/>
      <c r="AA1278" s="237"/>
      <c r="AB1278" s="237"/>
    </row>
    <row r="1279">
      <c r="A1279" s="238">
        <v>1278.0</v>
      </c>
      <c r="B1279" s="242"/>
      <c r="C1279" s="240" t="s">
        <v>8960</v>
      </c>
      <c r="D1279" s="236"/>
      <c r="E1279" s="241" t="s">
        <v>1420</v>
      </c>
      <c r="F1279" s="241" t="s">
        <v>8961</v>
      </c>
      <c r="G1279" s="238" t="s">
        <v>8962</v>
      </c>
      <c r="H1279" s="251" t="s">
        <v>8963</v>
      </c>
      <c r="I1279" s="236"/>
      <c r="J1279" s="238" t="s">
        <v>8938</v>
      </c>
      <c r="K1279" s="242"/>
      <c r="L1279" s="237"/>
      <c r="M1279" s="237"/>
      <c r="N1279" s="237"/>
      <c r="O1279" s="237"/>
      <c r="P1279" s="237"/>
      <c r="Q1279" s="237"/>
      <c r="R1279" s="237"/>
      <c r="S1279" s="237"/>
      <c r="T1279" s="237"/>
      <c r="U1279" s="237"/>
      <c r="V1279" s="237"/>
      <c r="W1279" s="237"/>
      <c r="X1279" s="237"/>
      <c r="Y1279" s="237"/>
      <c r="Z1279" s="237"/>
      <c r="AA1279" s="237"/>
      <c r="AB1279" s="237"/>
    </row>
    <row r="1280">
      <c r="A1280" s="238">
        <v>1279.0</v>
      </c>
      <c r="B1280" s="242"/>
      <c r="C1280" s="240" t="s">
        <v>8964</v>
      </c>
      <c r="D1280" s="236"/>
      <c r="E1280" s="240" t="s">
        <v>3511</v>
      </c>
      <c r="F1280" s="241" t="s">
        <v>8965</v>
      </c>
      <c r="G1280" s="238" t="s">
        <v>8958</v>
      </c>
      <c r="H1280" s="240" t="s">
        <v>8966</v>
      </c>
      <c r="I1280" s="236"/>
      <c r="J1280" s="238" t="s">
        <v>8938</v>
      </c>
      <c r="K1280" s="242"/>
      <c r="L1280" s="237"/>
      <c r="M1280" s="237"/>
      <c r="N1280" s="237"/>
      <c r="O1280" s="237"/>
      <c r="P1280" s="237"/>
      <c r="Q1280" s="237"/>
      <c r="R1280" s="237"/>
      <c r="S1280" s="237"/>
      <c r="T1280" s="237"/>
      <c r="U1280" s="237"/>
      <c r="V1280" s="237"/>
      <c r="W1280" s="237"/>
      <c r="X1280" s="237"/>
      <c r="Y1280" s="237"/>
      <c r="Z1280" s="237"/>
      <c r="AA1280" s="237"/>
      <c r="AB1280" s="237"/>
    </row>
    <row r="1281">
      <c r="A1281" s="238">
        <v>1280.0</v>
      </c>
      <c r="B1281" s="242"/>
      <c r="C1281" s="240" t="s">
        <v>8967</v>
      </c>
      <c r="D1281" s="236"/>
      <c r="E1281" s="240" t="s">
        <v>3511</v>
      </c>
      <c r="F1281" s="241" t="s">
        <v>8968</v>
      </c>
      <c r="G1281" s="238" t="s">
        <v>8969</v>
      </c>
      <c r="H1281" s="240" t="s">
        <v>8970</v>
      </c>
      <c r="I1281" s="236"/>
      <c r="J1281" s="238" t="s">
        <v>8938</v>
      </c>
      <c r="K1281" s="242"/>
      <c r="L1281" s="237"/>
      <c r="M1281" s="237"/>
      <c r="N1281" s="237"/>
      <c r="O1281" s="237"/>
      <c r="P1281" s="237"/>
      <c r="Q1281" s="237"/>
      <c r="R1281" s="237"/>
      <c r="S1281" s="237"/>
      <c r="T1281" s="237"/>
      <c r="U1281" s="237"/>
      <c r="V1281" s="237"/>
      <c r="W1281" s="237"/>
      <c r="X1281" s="237"/>
      <c r="Y1281" s="237"/>
      <c r="Z1281" s="237"/>
      <c r="AA1281" s="237"/>
      <c r="AB1281" s="237"/>
    </row>
    <row r="1282">
      <c r="A1282" s="238">
        <v>1281.0</v>
      </c>
      <c r="B1282" s="242"/>
      <c r="C1282" s="240" t="s">
        <v>8971</v>
      </c>
      <c r="D1282" s="236"/>
      <c r="E1282" s="240" t="s">
        <v>3511</v>
      </c>
      <c r="F1282" s="241" t="s">
        <v>8972</v>
      </c>
      <c r="G1282" s="238" t="s">
        <v>8973</v>
      </c>
      <c r="H1282" s="240" t="s">
        <v>8974</v>
      </c>
      <c r="I1282" s="236"/>
      <c r="J1282" s="238" t="s">
        <v>3996</v>
      </c>
      <c r="K1282" s="242"/>
      <c r="L1282" s="237"/>
      <c r="M1282" s="237"/>
      <c r="N1282" s="237"/>
      <c r="O1282" s="237"/>
      <c r="P1282" s="237"/>
      <c r="Q1282" s="237"/>
      <c r="R1282" s="237"/>
      <c r="S1282" s="237"/>
      <c r="T1282" s="237"/>
      <c r="U1282" s="237"/>
      <c r="V1282" s="237"/>
      <c r="W1282" s="237"/>
      <c r="X1282" s="237"/>
      <c r="Y1282" s="237"/>
      <c r="Z1282" s="237"/>
      <c r="AA1282" s="237"/>
      <c r="AB1282" s="237"/>
    </row>
    <row r="1283">
      <c r="A1283" s="238">
        <v>1282.0</v>
      </c>
      <c r="B1283" s="242"/>
      <c r="C1283" s="240" t="s">
        <v>8975</v>
      </c>
      <c r="D1283" s="236"/>
      <c r="E1283" s="240" t="s">
        <v>3511</v>
      </c>
      <c r="F1283" s="241" t="s">
        <v>8976</v>
      </c>
      <c r="G1283" s="238" t="s">
        <v>8977</v>
      </c>
      <c r="H1283" s="240" t="s">
        <v>8978</v>
      </c>
      <c r="I1283" s="236"/>
      <c r="J1283" s="238" t="s">
        <v>8938</v>
      </c>
      <c r="K1283" s="242"/>
      <c r="L1283" s="237"/>
      <c r="M1283" s="237"/>
      <c r="N1283" s="237"/>
      <c r="O1283" s="237"/>
      <c r="P1283" s="237"/>
      <c r="Q1283" s="237"/>
      <c r="R1283" s="237"/>
      <c r="S1283" s="237"/>
      <c r="T1283" s="237"/>
      <c r="U1283" s="237"/>
      <c r="V1283" s="237"/>
      <c r="W1283" s="237"/>
      <c r="X1283" s="237"/>
      <c r="Y1283" s="237"/>
      <c r="Z1283" s="237"/>
      <c r="AA1283" s="237"/>
      <c r="AB1283" s="237"/>
    </row>
    <row r="1284">
      <c r="A1284" s="238">
        <v>1283.0</v>
      </c>
      <c r="B1284" s="242"/>
      <c r="C1284" s="240" t="s">
        <v>8979</v>
      </c>
      <c r="D1284" s="236"/>
      <c r="E1284" s="241" t="s">
        <v>1420</v>
      </c>
      <c r="F1284" s="241" t="s">
        <v>8980</v>
      </c>
      <c r="G1284" s="238" t="s">
        <v>8981</v>
      </c>
      <c r="H1284" s="255" t="s">
        <v>8982</v>
      </c>
      <c r="I1284" s="236"/>
      <c r="J1284" s="238" t="s">
        <v>3996</v>
      </c>
      <c r="K1284" s="242"/>
      <c r="L1284" s="237"/>
      <c r="M1284" s="237"/>
      <c r="N1284" s="237"/>
      <c r="O1284" s="237"/>
      <c r="P1284" s="237"/>
      <c r="Q1284" s="237"/>
      <c r="R1284" s="237"/>
      <c r="S1284" s="237"/>
      <c r="T1284" s="237"/>
      <c r="U1284" s="237"/>
      <c r="V1284" s="237"/>
      <c r="W1284" s="237"/>
      <c r="X1284" s="237"/>
      <c r="Y1284" s="237"/>
      <c r="Z1284" s="237"/>
      <c r="AA1284" s="237"/>
      <c r="AB1284" s="237"/>
    </row>
    <row r="1285">
      <c r="A1285" s="238">
        <v>1284.0</v>
      </c>
      <c r="B1285" s="242"/>
      <c r="C1285" s="240" t="s">
        <v>8983</v>
      </c>
      <c r="D1285" s="236"/>
      <c r="E1285" s="240" t="s">
        <v>3511</v>
      </c>
      <c r="F1285" s="241" t="s">
        <v>8984</v>
      </c>
      <c r="G1285" s="238" t="s">
        <v>8985</v>
      </c>
      <c r="H1285" s="240" t="s">
        <v>8986</v>
      </c>
      <c r="I1285" s="236"/>
      <c r="J1285" s="238" t="s">
        <v>8938</v>
      </c>
      <c r="K1285" s="242"/>
      <c r="L1285" s="237"/>
      <c r="M1285" s="237"/>
      <c r="N1285" s="237"/>
      <c r="O1285" s="237"/>
      <c r="P1285" s="237"/>
      <c r="Q1285" s="237"/>
      <c r="R1285" s="237"/>
      <c r="S1285" s="237"/>
      <c r="T1285" s="237"/>
      <c r="U1285" s="237"/>
      <c r="V1285" s="237"/>
      <c r="W1285" s="237"/>
      <c r="X1285" s="237"/>
      <c r="Y1285" s="237"/>
      <c r="Z1285" s="237"/>
      <c r="AA1285" s="237"/>
      <c r="AB1285" s="237"/>
    </row>
    <row r="1286">
      <c r="A1286" s="238">
        <v>1285.0</v>
      </c>
      <c r="B1286" s="242"/>
      <c r="C1286" s="240" t="s">
        <v>8987</v>
      </c>
      <c r="D1286" s="236"/>
      <c r="E1286" s="240" t="s">
        <v>3511</v>
      </c>
      <c r="F1286" s="241" t="s">
        <v>8988</v>
      </c>
      <c r="G1286" s="238" t="s">
        <v>8989</v>
      </c>
      <c r="H1286" s="240" t="s">
        <v>8990</v>
      </c>
      <c r="I1286" s="236"/>
      <c r="J1286" s="238" t="s">
        <v>8938</v>
      </c>
      <c r="K1286" s="242"/>
      <c r="L1286" s="237"/>
      <c r="M1286" s="237"/>
      <c r="N1286" s="237"/>
      <c r="O1286" s="237"/>
      <c r="P1286" s="237"/>
      <c r="Q1286" s="237"/>
      <c r="R1286" s="237"/>
      <c r="S1286" s="237"/>
      <c r="T1286" s="237"/>
      <c r="U1286" s="237"/>
      <c r="V1286" s="237"/>
      <c r="W1286" s="237"/>
      <c r="X1286" s="237"/>
      <c r="Y1286" s="237"/>
      <c r="Z1286" s="237"/>
      <c r="AA1286" s="237"/>
      <c r="AB1286" s="237"/>
    </row>
    <row r="1287">
      <c r="A1287" s="238">
        <v>1286.0</v>
      </c>
      <c r="B1287" s="242"/>
      <c r="C1287" s="240" t="s">
        <v>8991</v>
      </c>
      <c r="D1287" s="236"/>
      <c r="E1287" s="240" t="s">
        <v>3511</v>
      </c>
      <c r="F1287" s="241" t="s">
        <v>8992</v>
      </c>
      <c r="G1287" s="238" t="s">
        <v>8993</v>
      </c>
      <c r="H1287" s="240" t="s">
        <v>8994</v>
      </c>
      <c r="I1287" s="236"/>
      <c r="J1287" s="238" t="s">
        <v>8938</v>
      </c>
      <c r="K1287" s="242"/>
      <c r="L1287" s="237"/>
      <c r="M1287" s="237"/>
      <c r="N1287" s="237"/>
      <c r="O1287" s="237"/>
      <c r="P1287" s="237"/>
      <c r="Q1287" s="237"/>
      <c r="R1287" s="237"/>
      <c r="S1287" s="237"/>
      <c r="T1287" s="237"/>
      <c r="U1287" s="237"/>
      <c r="V1287" s="237"/>
      <c r="W1287" s="237"/>
      <c r="X1287" s="237"/>
      <c r="Y1287" s="237"/>
      <c r="Z1287" s="237"/>
      <c r="AA1287" s="237"/>
      <c r="AB1287" s="237"/>
    </row>
    <row r="1288">
      <c r="A1288" s="238">
        <v>1287.0</v>
      </c>
      <c r="B1288" s="242"/>
      <c r="C1288" s="240" t="s">
        <v>8995</v>
      </c>
      <c r="D1288" s="236"/>
      <c r="E1288" s="240" t="s">
        <v>3511</v>
      </c>
      <c r="F1288" s="241" t="s">
        <v>8996</v>
      </c>
      <c r="G1288" s="238" t="s">
        <v>8997</v>
      </c>
      <c r="H1288" s="240" t="s">
        <v>8998</v>
      </c>
      <c r="I1288" s="236"/>
      <c r="J1288" s="238" t="s">
        <v>8938</v>
      </c>
      <c r="K1288" s="242"/>
      <c r="L1288" s="237"/>
      <c r="M1288" s="237"/>
      <c r="N1288" s="237"/>
      <c r="O1288" s="237"/>
      <c r="P1288" s="237"/>
      <c r="Q1288" s="237"/>
      <c r="R1288" s="237"/>
      <c r="S1288" s="237"/>
      <c r="T1288" s="237"/>
      <c r="U1288" s="237"/>
      <c r="V1288" s="237"/>
      <c r="W1288" s="237"/>
      <c r="X1288" s="237"/>
      <c r="Y1288" s="237"/>
      <c r="Z1288" s="237"/>
      <c r="AA1288" s="237"/>
      <c r="AB1288" s="237"/>
    </row>
    <row r="1289">
      <c r="A1289" s="238">
        <v>1288.0</v>
      </c>
      <c r="B1289" s="239" t="s">
        <v>8999</v>
      </c>
      <c r="C1289" s="240" t="s">
        <v>9000</v>
      </c>
      <c r="D1289" s="236"/>
      <c r="E1289" s="240" t="s">
        <v>3511</v>
      </c>
      <c r="F1289" s="241" t="s">
        <v>9001</v>
      </c>
      <c r="G1289" s="238" t="s">
        <v>9002</v>
      </c>
      <c r="H1289" s="240" t="s">
        <v>9003</v>
      </c>
      <c r="I1289" s="236"/>
      <c r="J1289" s="238" t="s">
        <v>3996</v>
      </c>
      <c r="K1289" s="239" t="s">
        <v>8999</v>
      </c>
      <c r="L1289" s="237"/>
      <c r="M1289" s="237"/>
      <c r="N1289" s="237"/>
      <c r="O1289" s="237"/>
      <c r="P1289" s="237"/>
      <c r="Q1289" s="237"/>
      <c r="R1289" s="237"/>
      <c r="S1289" s="237"/>
      <c r="T1289" s="237"/>
      <c r="U1289" s="237"/>
      <c r="V1289" s="237"/>
      <c r="W1289" s="237"/>
      <c r="X1289" s="237"/>
      <c r="Y1289" s="237"/>
      <c r="Z1289" s="237"/>
      <c r="AA1289" s="237"/>
      <c r="AB1289" s="237"/>
    </row>
    <row r="1290">
      <c r="A1290" s="238">
        <v>1289.0</v>
      </c>
      <c r="B1290" s="250" t="s">
        <v>9004</v>
      </c>
      <c r="C1290" s="240" t="s">
        <v>9005</v>
      </c>
      <c r="D1290" s="236"/>
      <c r="E1290" s="240" t="s">
        <v>3511</v>
      </c>
      <c r="F1290" s="241" t="s">
        <v>9006</v>
      </c>
      <c r="G1290" s="238" t="s">
        <v>9007</v>
      </c>
      <c r="H1290" s="240" t="s">
        <v>9008</v>
      </c>
      <c r="I1290" s="236"/>
      <c r="J1290" s="238" t="s">
        <v>8938</v>
      </c>
      <c r="K1290" s="250" t="s">
        <v>9004</v>
      </c>
      <c r="L1290" s="237"/>
      <c r="M1290" s="237"/>
      <c r="N1290" s="237"/>
      <c r="O1290" s="237"/>
      <c r="P1290" s="237"/>
      <c r="Q1290" s="237"/>
      <c r="R1290" s="237"/>
      <c r="S1290" s="237"/>
      <c r="T1290" s="237"/>
      <c r="U1290" s="237"/>
      <c r="V1290" s="237"/>
      <c r="W1290" s="237"/>
      <c r="X1290" s="237"/>
      <c r="Y1290" s="237"/>
      <c r="Z1290" s="237"/>
      <c r="AA1290" s="237"/>
      <c r="AB1290" s="237"/>
    </row>
    <row r="1291">
      <c r="A1291" s="238">
        <v>1290.0</v>
      </c>
      <c r="B1291" s="239" t="s">
        <v>9009</v>
      </c>
      <c r="C1291" s="240" t="s">
        <v>9010</v>
      </c>
      <c r="D1291" s="236"/>
      <c r="E1291" s="240" t="s">
        <v>3511</v>
      </c>
      <c r="F1291" s="241" t="s">
        <v>9011</v>
      </c>
      <c r="G1291" s="238" t="s">
        <v>9012</v>
      </c>
      <c r="H1291" s="240" t="s">
        <v>9013</v>
      </c>
      <c r="I1291" s="236"/>
      <c r="J1291" s="238" t="s">
        <v>8938</v>
      </c>
      <c r="K1291" s="239" t="s">
        <v>9009</v>
      </c>
      <c r="L1291" s="237"/>
      <c r="M1291" s="237"/>
      <c r="N1291" s="237"/>
      <c r="O1291" s="237"/>
      <c r="P1291" s="237"/>
      <c r="Q1291" s="237"/>
      <c r="R1291" s="237"/>
      <c r="S1291" s="237"/>
      <c r="T1291" s="237"/>
      <c r="U1291" s="237"/>
      <c r="V1291" s="237"/>
      <c r="W1291" s="237"/>
      <c r="X1291" s="237"/>
      <c r="Y1291" s="237"/>
      <c r="Z1291" s="237"/>
      <c r="AA1291" s="237"/>
      <c r="AB1291" s="237"/>
    </row>
    <row r="1292">
      <c r="A1292" s="238">
        <v>1291.0</v>
      </c>
      <c r="B1292" s="239" t="s">
        <v>9014</v>
      </c>
      <c r="C1292" s="240" t="s">
        <v>9015</v>
      </c>
      <c r="D1292" s="236"/>
      <c r="E1292" s="240" t="s">
        <v>3511</v>
      </c>
      <c r="F1292" s="241" t="s">
        <v>9016</v>
      </c>
      <c r="G1292" s="238" t="s">
        <v>9017</v>
      </c>
      <c r="H1292" s="240" t="s">
        <v>9018</v>
      </c>
      <c r="I1292" s="236"/>
      <c r="J1292" s="238" t="s">
        <v>8938</v>
      </c>
      <c r="K1292" s="239" t="s">
        <v>9014</v>
      </c>
      <c r="L1292" s="237"/>
      <c r="M1292" s="237"/>
      <c r="N1292" s="237"/>
      <c r="O1292" s="237"/>
      <c r="P1292" s="237"/>
      <c r="Q1292" s="237"/>
      <c r="R1292" s="237"/>
      <c r="S1292" s="237"/>
      <c r="T1292" s="237"/>
      <c r="U1292" s="237"/>
      <c r="V1292" s="237"/>
      <c r="W1292" s="237"/>
      <c r="X1292" s="237"/>
      <c r="Y1292" s="237"/>
      <c r="Z1292" s="237"/>
      <c r="AA1292" s="237"/>
      <c r="AB1292" s="237"/>
    </row>
    <row r="1293">
      <c r="A1293" s="238">
        <v>1292.0</v>
      </c>
      <c r="B1293" s="239" t="s">
        <v>9019</v>
      </c>
      <c r="C1293" s="240" t="s">
        <v>9020</v>
      </c>
      <c r="D1293" s="236"/>
      <c r="E1293" s="240" t="s">
        <v>3511</v>
      </c>
      <c r="F1293" s="241" t="s">
        <v>9021</v>
      </c>
      <c r="G1293" s="238" t="s">
        <v>9022</v>
      </c>
      <c r="H1293" s="240" t="s">
        <v>9023</v>
      </c>
      <c r="I1293" s="236"/>
      <c r="J1293" s="238" t="s">
        <v>3996</v>
      </c>
      <c r="K1293" s="239" t="s">
        <v>9019</v>
      </c>
      <c r="L1293" s="237"/>
      <c r="M1293" s="237"/>
      <c r="N1293" s="237"/>
      <c r="O1293" s="237"/>
      <c r="P1293" s="237"/>
      <c r="Q1293" s="237"/>
      <c r="R1293" s="237"/>
      <c r="S1293" s="237"/>
      <c r="T1293" s="237"/>
      <c r="U1293" s="237"/>
      <c r="V1293" s="237"/>
      <c r="W1293" s="237"/>
      <c r="X1293" s="237"/>
      <c r="Y1293" s="237"/>
      <c r="Z1293" s="237"/>
      <c r="AA1293" s="237"/>
      <c r="AB1293" s="237"/>
    </row>
    <row r="1294">
      <c r="A1294" s="238">
        <v>1293.0</v>
      </c>
      <c r="B1294" s="242"/>
      <c r="C1294" s="240" t="s">
        <v>9024</v>
      </c>
      <c r="D1294" s="236"/>
      <c r="E1294" s="240" t="s">
        <v>3511</v>
      </c>
      <c r="F1294" s="241" t="s">
        <v>9025</v>
      </c>
      <c r="G1294" s="238" t="s">
        <v>9026</v>
      </c>
      <c r="H1294" s="240" t="s">
        <v>9027</v>
      </c>
      <c r="I1294" s="236"/>
      <c r="J1294" s="238" t="s">
        <v>3996</v>
      </c>
      <c r="K1294" s="242"/>
      <c r="L1294" s="237"/>
      <c r="M1294" s="237"/>
      <c r="N1294" s="237"/>
      <c r="O1294" s="237"/>
      <c r="P1294" s="237"/>
      <c r="Q1294" s="237"/>
      <c r="R1294" s="237"/>
      <c r="S1294" s="237"/>
      <c r="T1294" s="237"/>
      <c r="U1294" s="237"/>
      <c r="V1294" s="237"/>
      <c r="W1294" s="237"/>
      <c r="X1294" s="237"/>
      <c r="Y1294" s="237"/>
      <c r="Z1294" s="237"/>
      <c r="AA1294" s="237"/>
      <c r="AB1294" s="237"/>
    </row>
    <row r="1295">
      <c r="A1295" s="238">
        <v>1294.0</v>
      </c>
      <c r="B1295" s="239" t="s">
        <v>9028</v>
      </c>
      <c r="C1295" s="240" t="s">
        <v>9029</v>
      </c>
      <c r="D1295" s="236"/>
      <c r="E1295" s="240" t="s">
        <v>3511</v>
      </c>
      <c r="F1295" s="241" t="s">
        <v>9030</v>
      </c>
      <c r="G1295" s="238" t="s">
        <v>9031</v>
      </c>
      <c r="H1295" s="240" t="s">
        <v>9032</v>
      </c>
      <c r="I1295" s="236"/>
      <c r="J1295" s="238" t="s">
        <v>3996</v>
      </c>
      <c r="K1295" s="239" t="s">
        <v>9028</v>
      </c>
      <c r="L1295" s="237"/>
      <c r="M1295" s="237"/>
      <c r="N1295" s="237"/>
      <c r="O1295" s="237"/>
      <c r="P1295" s="237"/>
      <c r="Q1295" s="237"/>
      <c r="R1295" s="237"/>
      <c r="S1295" s="237"/>
      <c r="T1295" s="237"/>
      <c r="U1295" s="237"/>
      <c r="V1295" s="237"/>
      <c r="W1295" s="237"/>
      <c r="X1295" s="237"/>
      <c r="Y1295" s="237"/>
      <c r="Z1295" s="237"/>
      <c r="AA1295" s="237"/>
      <c r="AB1295" s="237"/>
    </row>
    <row r="1296">
      <c r="A1296" s="238">
        <v>1295.0</v>
      </c>
      <c r="B1296" s="239" t="s">
        <v>9033</v>
      </c>
      <c r="C1296" s="240" t="s">
        <v>9034</v>
      </c>
      <c r="D1296" s="236"/>
      <c r="E1296" s="240" t="s">
        <v>3511</v>
      </c>
      <c r="F1296" s="241" t="s">
        <v>9035</v>
      </c>
      <c r="G1296" s="238" t="s">
        <v>9036</v>
      </c>
      <c r="H1296" s="240" t="s">
        <v>9037</v>
      </c>
      <c r="I1296" s="236"/>
      <c r="J1296" s="238" t="s">
        <v>3996</v>
      </c>
      <c r="K1296" s="239" t="s">
        <v>9033</v>
      </c>
      <c r="L1296" s="237"/>
      <c r="M1296" s="237"/>
      <c r="N1296" s="237"/>
      <c r="O1296" s="237"/>
      <c r="P1296" s="237"/>
      <c r="Q1296" s="237"/>
      <c r="R1296" s="237"/>
      <c r="S1296" s="237"/>
      <c r="T1296" s="237"/>
      <c r="U1296" s="237"/>
      <c r="V1296" s="237"/>
      <c r="W1296" s="237"/>
      <c r="X1296" s="237"/>
      <c r="Y1296" s="237"/>
      <c r="Z1296" s="237"/>
      <c r="AA1296" s="237"/>
      <c r="AB1296" s="237"/>
    </row>
    <row r="1297">
      <c r="A1297" s="238">
        <v>1296.0</v>
      </c>
      <c r="B1297" s="239" t="s">
        <v>9038</v>
      </c>
      <c r="C1297" s="240" t="s">
        <v>9039</v>
      </c>
      <c r="D1297" s="236"/>
      <c r="E1297" s="240" t="s">
        <v>3511</v>
      </c>
      <c r="F1297" s="241" t="s">
        <v>9040</v>
      </c>
      <c r="G1297" s="238" t="s">
        <v>9041</v>
      </c>
      <c r="H1297" s="240" t="s">
        <v>9042</v>
      </c>
      <c r="I1297" s="236"/>
      <c r="J1297" s="238" t="s">
        <v>3996</v>
      </c>
      <c r="K1297" s="239" t="s">
        <v>9038</v>
      </c>
      <c r="L1297" s="237"/>
      <c r="M1297" s="237"/>
      <c r="N1297" s="237"/>
      <c r="O1297" s="237"/>
      <c r="P1297" s="237"/>
      <c r="Q1297" s="237"/>
      <c r="R1297" s="237"/>
      <c r="S1297" s="237"/>
      <c r="T1297" s="237"/>
      <c r="U1297" s="237"/>
      <c r="V1297" s="237"/>
      <c r="W1297" s="237"/>
      <c r="X1297" s="237"/>
      <c r="Y1297" s="237"/>
      <c r="Z1297" s="237"/>
      <c r="AA1297" s="237"/>
      <c r="AB1297" s="237"/>
    </row>
    <row r="1298">
      <c r="A1298" s="238">
        <v>1297.0</v>
      </c>
      <c r="B1298" s="239" t="s">
        <v>9043</v>
      </c>
      <c r="C1298" s="240" t="s">
        <v>9044</v>
      </c>
      <c r="D1298" s="236"/>
      <c r="E1298" s="240" t="s">
        <v>3511</v>
      </c>
      <c r="F1298" s="241" t="s">
        <v>9045</v>
      </c>
      <c r="G1298" s="238" t="s">
        <v>9046</v>
      </c>
      <c r="H1298" s="240" t="s">
        <v>9047</v>
      </c>
      <c r="I1298" s="236"/>
      <c r="J1298" s="238" t="s">
        <v>3996</v>
      </c>
      <c r="K1298" s="239" t="s">
        <v>9043</v>
      </c>
      <c r="L1298" s="237"/>
      <c r="M1298" s="237"/>
      <c r="N1298" s="237"/>
      <c r="O1298" s="237"/>
      <c r="P1298" s="237"/>
      <c r="Q1298" s="237"/>
      <c r="R1298" s="237"/>
      <c r="S1298" s="237"/>
      <c r="T1298" s="237"/>
      <c r="U1298" s="237"/>
      <c r="V1298" s="237"/>
      <c r="W1298" s="237"/>
      <c r="X1298" s="237"/>
      <c r="Y1298" s="237"/>
      <c r="Z1298" s="237"/>
      <c r="AA1298" s="237"/>
      <c r="AB1298" s="237"/>
    </row>
    <row r="1299">
      <c r="A1299" s="238">
        <v>1298.0</v>
      </c>
      <c r="B1299" s="242"/>
      <c r="C1299" s="240" t="s">
        <v>9048</v>
      </c>
      <c r="D1299" s="236"/>
      <c r="E1299" s="240" t="s">
        <v>3511</v>
      </c>
      <c r="F1299" s="241" t="s">
        <v>9049</v>
      </c>
      <c r="G1299" s="238" t="s">
        <v>9050</v>
      </c>
      <c r="H1299" s="240" t="s">
        <v>9051</v>
      </c>
      <c r="I1299" s="236"/>
      <c r="J1299" s="238" t="s">
        <v>3996</v>
      </c>
      <c r="K1299" s="242"/>
      <c r="L1299" s="237"/>
      <c r="M1299" s="237"/>
      <c r="N1299" s="237"/>
      <c r="O1299" s="237"/>
      <c r="P1299" s="237"/>
      <c r="Q1299" s="237"/>
      <c r="R1299" s="237"/>
      <c r="S1299" s="237"/>
      <c r="T1299" s="237"/>
      <c r="U1299" s="237"/>
      <c r="V1299" s="237"/>
      <c r="W1299" s="237"/>
      <c r="X1299" s="237"/>
      <c r="Y1299" s="237"/>
      <c r="Z1299" s="237"/>
      <c r="AA1299" s="237"/>
      <c r="AB1299" s="237"/>
    </row>
    <row r="1300">
      <c r="A1300" s="238">
        <v>1299.0</v>
      </c>
      <c r="B1300" s="242"/>
      <c r="C1300" s="240" t="s">
        <v>9052</v>
      </c>
      <c r="D1300" s="236"/>
      <c r="E1300" s="240" t="s">
        <v>3511</v>
      </c>
      <c r="F1300" s="241" t="s">
        <v>9053</v>
      </c>
      <c r="G1300" s="238" t="s">
        <v>9054</v>
      </c>
      <c r="H1300" s="240" t="s">
        <v>9055</v>
      </c>
      <c r="I1300" s="236"/>
      <c r="J1300" s="238" t="s">
        <v>3996</v>
      </c>
      <c r="K1300" s="242"/>
      <c r="L1300" s="237"/>
      <c r="M1300" s="237"/>
      <c r="N1300" s="237"/>
      <c r="O1300" s="237"/>
      <c r="P1300" s="237"/>
      <c r="Q1300" s="237"/>
      <c r="R1300" s="237"/>
      <c r="S1300" s="237"/>
      <c r="T1300" s="237"/>
      <c r="U1300" s="237"/>
      <c r="V1300" s="237"/>
      <c r="W1300" s="237"/>
      <c r="X1300" s="237"/>
      <c r="Y1300" s="237"/>
      <c r="Z1300" s="237"/>
      <c r="AA1300" s="237"/>
      <c r="AB1300" s="237"/>
    </row>
    <row r="1301">
      <c r="A1301" s="238">
        <v>1300.0</v>
      </c>
      <c r="B1301" s="242"/>
      <c r="C1301" s="240" t="s">
        <v>9056</v>
      </c>
      <c r="D1301" s="236"/>
      <c r="E1301" s="240" t="s">
        <v>3511</v>
      </c>
      <c r="F1301" s="241" t="s">
        <v>9057</v>
      </c>
      <c r="G1301" s="238" t="s">
        <v>9058</v>
      </c>
      <c r="H1301" s="240" t="s">
        <v>9059</v>
      </c>
      <c r="I1301" s="236"/>
      <c r="J1301" s="238" t="s">
        <v>3996</v>
      </c>
      <c r="K1301" s="242"/>
      <c r="L1301" s="237"/>
      <c r="M1301" s="237"/>
      <c r="N1301" s="237"/>
      <c r="O1301" s="237"/>
      <c r="P1301" s="237"/>
      <c r="Q1301" s="237"/>
      <c r="R1301" s="237"/>
      <c r="S1301" s="237"/>
      <c r="T1301" s="237"/>
      <c r="U1301" s="237"/>
      <c r="V1301" s="237"/>
      <c r="W1301" s="237"/>
      <c r="X1301" s="237"/>
      <c r="Y1301" s="237"/>
      <c r="Z1301" s="237"/>
      <c r="AA1301" s="237"/>
      <c r="AB1301" s="237"/>
    </row>
    <row r="1302">
      <c r="A1302" s="238">
        <v>1301.0</v>
      </c>
      <c r="B1302" s="242"/>
      <c r="C1302" s="240" t="s">
        <v>9060</v>
      </c>
      <c r="D1302" s="236"/>
      <c r="E1302" s="240" t="s">
        <v>3511</v>
      </c>
      <c r="F1302" s="241" t="s">
        <v>9061</v>
      </c>
      <c r="G1302" s="238" t="s">
        <v>9062</v>
      </c>
      <c r="H1302" s="240" t="s">
        <v>9063</v>
      </c>
      <c r="I1302" s="236"/>
      <c r="J1302" s="238" t="s">
        <v>3996</v>
      </c>
      <c r="K1302" s="242"/>
      <c r="L1302" s="237"/>
      <c r="M1302" s="237"/>
      <c r="N1302" s="237"/>
      <c r="O1302" s="237"/>
      <c r="P1302" s="237"/>
      <c r="Q1302" s="237"/>
      <c r="R1302" s="237"/>
      <c r="S1302" s="237"/>
      <c r="T1302" s="237"/>
      <c r="U1302" s="237"/>
      <c r="V1302" s="237"/>
      <c r="W1302" s="237"/>
      <c r="X1302" s="237"/>
      <c r="Y1302" s="237"/>
      <c r="Z1302" s="237"/>
      <c r="AA1302" s="237"/>
      <c r="AB1302" s="237"/>
    </row>
    <row r="1303">
      <c r="A1303" s="238">
        <v>1302.0</v>
      </c>
      <c r="B1303" s="242"/>
      <c r="C1303" s="240" t="s">
        <v>9064</v>
      </c>
      <c r="D1303" s="236"/>
      <c r="E1303" s="240" t="s">
        <v>3511</v>
      </c>
      <c r="F1303" s="241" t="s">
        <v>9065</v>
      </c>
      <c r="G1303" s="238" t="s">
        <v>9066</v>
      </c>
      <c r="H1303" s="240" t="s">
        <v>9067</v>
      </c>
      <c r="I1303" s="236"/>
      <c r="J1303" s="238" t="s">
        <v>3996</v>
      </c>
      <c r="K1303" s="242"/>
      <c r="L1303" s="237"/>
      <c r="M1303" s="237"/>
      <c r="N1303" s="237"/>
      <c r="O1303" s="237"/>
      <c r="P1303" s="237"/>
      <c r="Q1303" s="237"/>
      <c r="R1303" s="237"/>
      <c r="S1303" s="237"/>
      <c r="T1303" s="237"/>
      <c r="U1303" s="237"/>
      <c r="V1303" s="237"/>
      <c r="W1303" s="237"/>
      <c r="X1303" s="237"/>
      <c r="Y1303" s="237"/>
      <c r="Z1303" s="237"/>
      <c r="AA1303" s="237"/>
      <c r="AB1303" s="237"/>
    </row>
    <row r="1304">
      <c r="A1304" s="238">
        <v>1303.0</v>
      </c>
      <c r="B1304" s="242"/>
      <c r="C1304" s="240" t="s">
        <v>9068</v>
      </c>
      <c r="D1304" s="236"/>
      <c r="E1304" s="240" t="s">
        <v>3511</v>
      </c>
      <c r="F1304" s="241" t="s">
        <v>9069</v>
      </c>
      <c r="G1304" s="238" t="s">
        <v>9070</v>
      </c>
      <c r="H1304" s="240" t="s">
        <v>9071</v>
      </c>
      <c r="I1304" s="236"/>
      <c r="J1304" s="238" t="s">
        <v>3996</v>
      </c>
      <c r="K1304" s="242"/>
      <c r="L1304" s="237"/>
      <c r="M1304" s="237"/>
      <c r="N1304" s="237"/>
      <c r="O1304" s="237"/>
      <c r="P1304" s="237"/>
      <c r="Q1304" s="237"/>
      <c r="R1304" s="237"/>
      <c r="S1304" s="237"/>
      <c r="T1304" s="237"/>
      <c r="U1304" s="237"/>
      <c r="V1304" s="237"/>
      <c r="W1304" s="237"/>
      <c r="X1304" s="237"/>
      <c r="Y1304" s="237"/>
      <c r="Z1304" s="237"/>
      <c r="AA1304" s="237"/>
      <c r="AB1304" s="237"/>
    </row>
    <row r="1305">
      <c r="A1305" s="238">
        <v>1304.0</v>
      </c>
      <c r="B1305" s="242"/>
      <c r="C1305" s="240" t="s">
        <v>9072</v>
      </c>
      <c r="D1305" s="236"/>
      <c r="E1305" s="240" t="s">
        <v>3511</v>
      </c>
      <c r="F1305" s="241" t="s">
        <v>9073</v>
      </c>
      <c r="G1305" s="238" t="s">
        <v>9074</v>
      </c>
      <c r="H1305" s="240" t="s">
        <v>9075</v>
      </c>
      <c r="I1305" s="236"/>
      <c r="J1305" s="238" t="s">
        <v>3996</v>
      </c>
      <c r="K1305" s="242"/>
      <c r="L1305" s="237"/>
      <c r="M1305" s="237"/>
      <c r="N1305" s="237"/>
      <c r="O1305" s="237"/>
      <c r="P1305" s="237"/>
      <c r="Q1305" s="237"/>
      <c r="R1305" s="237"/>
      <c r="S1305" s="237"/>
      <c r="T1305" s="237"/>
      <c r="U1305" s="237"/>
      <c r="V1305" s="237"/>
      <c r="W1305" s="237"/>
      <c r="X1305" s="237"/>
      <c r="Y1305" s="237"/>
      <c r="Z1305" s="237"/>
      <c r="AA1305" s="237"/>
      <c r="AB1305" s="237"/>
    </row>
    <row r="1306">
      <c r="A1306" s="238">
        <v>1305.0</v>
      </c>
      <c r="B1306" s="242"/>
      <c r="C1306" s="240" t="s">
        <v>9076</v>
      </c>
      <c r="D1306" s="236"/>
      <c r="E1306" s="240" t="s">
        <v>3511</v>
      </c>
      <c r="F1306" s="241" t="s">
        <v>9077</v>
      </c>
      <c r="G1306" s="238" t="s">
        <v>9078</v>
      </c>
      <c r="H1306" s="240" t="s">
        <v>9079</v>
      </c>
      <c r="I1306" s="236"/>
      <c r="J1306" s="238" t="s">
        <v>3996</v>
      </c>
      <c r="K1306" s="242"/>
      <c r="L1306" s="237"/>
      <c r="M1306" s="237"/>
      <c r="N1306" s="237"/>
      <c r="O1306" s="237"/>
      <c r="P1306" s="237"/>
      <c r="Q1306" s="237"/>
      <c r="R1306" s="237"/>
      <c r="S1306" s="237"/>
      <c r="T1306" s="237"/>
      <c r="U1306" s="237"/>
      <c r="V1306" s="237"/>
      <c r="W1306" s="237"/>
      <c r="X1306" s="237"/>
      <c r="Y1306" s="237"/>
      <c r="Z1306" s="237"/>
      <c r="AA1306" s="237"/>
      <c r="AB1306" s="237"/>
    </row>
    <row r="1307">
      <c r="A1307" s="238">
        <v>1306.0</v>
      </c>
      <c r="B1307" s="242"/>
      <c r="C1307" s="240" t="s">
        <v>9080</v>
      </c>
      <c r="D1307" s="236"/>
      <c r="E1307" s="240" t="s">
        <v>3511</v>
      </c>
      <c r="F1307" s="241" t="s">
        <v>9081</v>
      </c>
      <c r="G1307" s="238" t="s">
        <v>9082</v>
      </c>
      <c r="H1307" s="240" t="s">
        <v>9083</v>
      </c>
      <c r="I1307" s="236"/>
      <c r="J1307" s="238" t="s">
        <v>3996</v>
      </c>
      <c r="K1307" s="242"/>
      <c r="L1307" s="237"/>
      <c r="M1307" s="237"/>
      <c r="N1307" s="237"/>
      <c r="O1307" s="237"/>
      <c r="P1307" s="237"/>
      <c r="Q1307" s="237"/>
      <c r="R1307" s="237"/>
      <c r="S1307" s="237"/>
      <c r="T1307" s="237"/>
      <c r="U1307" s="237"/>
      <c r="V1307" s="237"/>
      <c r="W1307" s="237"/>
      <c r="X1307" s="237"/>
      <c r="Y1307" s="237"/>
      <c r="Z1307" s="237"/>
      <c r="AA1307" s="237"/>
      <c r="AB1307" s="237"/>
    </row>
    <row r="1308">
      <c r="A1308" s="238">
        <v>1307.0</v>
      </c>
      <c r="B1308" s="242"/>
      <c r="C1308" s="240" t="s">
        <v>9084</v>
      </c>
      <c r="D1308" s="236"/>
      <c r="E1308" s="240" t="s">
        <v>3511</v>
      </c>
      <c r="F1308" s="241" t="s">
        <v>9085</v>
      </c>
      <c r="G1308" s="238" t="s">
        <v>9086</v>
      </c>
      <c r="H1308" s="240" t="s">
        <v>9087</v>
      </c>
      <c r="I1308" s="236"/>
      <c r="J1308" s="238" t="s">
        <v>3996</v>
      </c>
      <c r="K1308" s="242"/>
      <c r="L1308" s="237"/>
      <c r="M1308" s="237"/>
      <c r="N1308" s="237"/>
      <c r="O1308" s="237"/>
      <c r="P1308" s="237"/>
      <c r="Q1308" s="237"/>
      <c r="R1308" s="237"/>
      <c r="S1308" s="237"/>
      <c r="T1308" s="237"/>
      <c r="U1308" s="237"/>
      <c r="V1308" s="237"/>
      <c r="W1308" s="237"/>
      <c r="X1308" s="237"/>
      <c r="Y1308" s="237"/>
      <c r="Z1308" s="237"/>
      <c r="AA1308" s="237"/>
      <c r="AB1308" s="237"/>
    </row>
    <row r="1309">
      <c r="A1309" s="238">
        <v>1308.0</v>
      </c>
      <c r="B1309" s="239" t="s">
        <v>9088</v>
      </c>
      <c r="C1309" s="240" t="s">
        <v>9089</v>
      </c>
      <c r="D1309" s="236"/>
      <c r="E1309" s="240" t="s">
        <v>3511</v>
      </c>
      <c r="F1309" s="241" t="s">
        <v>9090</v>
      </c>
      <c r="G1309" s="238" t="s">
        <v>9091</v>
      </c>
      <c r="H1309" s="240" t="s">
        <v>9092</v>
      </c>
      <c r="I1309" s="236"/>
      <c r="J1309" s="238" t="s">
        <v>3996</v>
      </c>
      <c r="K1309" s="239" t="s">
        <v>9088</v>
      </c>
      <c r="L1309" s="237"/>
      <c r="M1309" s="237"/>
      <c r="N1309" s="237"/>
      <c r="O1309" s="237"/>
      <c r="P1309" s="237"/>
      <c r="Q1309" s="237"/>
      <c r="R1309" s="237"/>
      <c r="S1309" s="237"/>
      <c r="T1309" s="237"/>
      <c r="U1309" s="237"/>
      <c r="V1309" s="237"/>
      <c r="W1309" s="237"/>
      <c r="X1309" s="237"/>
      <c r="Y1309" s="237"/>
      <c r="Z1309" s="237"/>
      <c r="AA1309" s="237"/>
      <c r="AB1309" s="237"/>
    </row>
    <row r="1310">
      <c r="A1310" s="238">
        <v>1309.0</v>
      </c>
      <c r="B1310" s="239" t="s">
        <v>9093</v>
      </c>
      <c r="C1310" s="240" t="s">
        <v>9094</v>
      </c>
      <c r="D1310" s="236"/>
      <c r="E1310" s="240" t="s">
        <v>3511</v>
      </c>
      <c r="F1310" s="241" t="s">
        <v>9095</v>
      </c>
      <c r="G1310" s="238" t="s">
        <v>9096</v>
      </c>
      <c r="H1310" s="240" t="s">
        <v>9097</v>
      </c>
      <c r="I1310" s="236"/>
      <c r="J1310" s="238" t="s">
        <v>3996</v>
      </c>
      <c r="K1310" s="239" t="s">
        <v>9093</v>
      </c>
      <c r="L1310" s="237"/>
      <c r="M1310" s="237"/>
      <c r="N1310" s="237"/>
      <c r="O1310" s="237"/>
      <c r="P1310" s="237"/>
      <c r="Q1310" s="237"/>
      <c r="R1310" s="237"/>
      <c r="S1310" s="237"/>
      <c r="T1310" s="237"/>
      <c r="U1310" s="237"/>
      <c r="V1310" s="237"/>
      <c r="W1310" s="237"/>
      <c r="X1310" s="237"/>
      <c r="Y1310" s="237"/>
      <c r="Z1310" s="237"/>
      <c r="AA1310" s="237"/>
      <c r="AB1310" s="237"/>
    </row>
    <row r="1311">
      <c r="A1311" s="238">
        <v>1310.0</v>
      </c>
      <c r="B1311" s="239" t="s">
        <v>9098</v>
      </c>
      <c r="C1311" s="240" t="s">
        <v>9099</v>
      </c>
      <c r="D1311" s="236"/>
      <c r="E1311" s="240" t="s">
        <v>3511</v>
      </c>
      <c r="F1311" s="241" t="s">
        <v>9100</v>
      </c>
      <c r="G1311" s="238" t="s">
        <v>9101</v>
      </c>
      <c r="H1311" s="240" t="s">
        <v>9102</v>
      </c>
      <c r="I1311" s="236"/>
      <c r="J1311" s="238" t="s">
        <v>3996</v>
      </c>
      <c r="K1311" s="239" t="s">
        <v>9098</v>
      </c>
      <c r="L1311" s="237"/>
      <c r="M1311" s="237"/>
      <c r="N1311" s="237"/>
      <c r="O1311" s="237"/>
      <c r="P1311" s="237"/>
      <c r="Q1311" s="237"/>
      <c r="R1311" s="237"/>
      <c r="S1311" s="237"/>
      <c r="T1311" s="237"/>
      <c r="U1311" s="237"/>
      <c r="V1311" s="237"/>
      <c r="W1311" s="237"/>
      <c r="X1311" s="237"/>
      <c r="Y1311" s="237"/>
      <c r="Z1311" s="237"/>
      <c r="AA1311" s="237"/>
      <c r="AB1311" s="237"/>
    </row>
    <row r="1312">
      <c r="A1312" s="238">
        <v>1311.0</v>
      </c>
      <c r="B1312" s="239" t="s">
        <v>9103</v>
      </c>
      <c r="C1312" s="240" t="s">
        <v>9104</v>
      </c>
      <c r="D1312" s="236"/>
      <c r="E1312" s="240" t="s">
        <v>3511</v>
      </c>
      <c r="F1312" s="241" t="s">
        <v>9105</v>
      </c>
      <c r="G1312" s="238" t="s">
        <v>9106</v>
      </c>
      <c r="H1312" s="240" t="s">
        <v>9107</v>
      </c>
      <c r="I1312" s="236"/>
      <c r="J1312" s="238" t="s">
        <v>3996</v>
      </c>
      <c r="K1312" s="239" t="s">
        <v>9103</v>
      </c>
      <c r="L1312" s="237"/>
      <c r="M1312" s="237"/>
      <c r="N1312" s="237"/>
      <c r="O1312" s="237"/>
      <c r="P1312" s="237"/>
      <c r="Q1312" s="237"/>
      <c r="R1312" s="237"/>
      <c r="S1312" s="237"/>
      <c r="T1312" s="237"/>
      <c r="U1312" s="237"/>
      <c r="V1312" s="237"/>
      <c r="W1312" s="237"/>
      <c r="X1312" s="237"/>
      <c r="Y1312" s="237"/>
      <c r="Z1312" s="237"/>
      <c r="AA1312" s="237"/>
      <c r="AB1312" s="237"/>
    </row>
    <row r="1313">
      <c r="A1313" s="238">
        <v>1312.0</v>
      </c>
      <c r="B1313" s="242"/>
      <c r="C1313" s="240" t="s">
        <v>9108</v>
      </c>
      <c r="D1313" s="236"/>
      <c r="E1313" s="240" t="s">
        <v>3511</v>
      </c>
      <c r="F1313" s="241" t="s">
        <v>9109</v>
      </c>
      <c r="G1313" s="238" t="s">
        <v>9110</v>
      </c>
      <c r="H1313" s="240" t="s">
        <v>9111</v>
      </c>
      <c r="I1313" s="236"/>
      <c r="J1313" s="238" t="s">
        <v>9112</v>
      </c>
      <c r="K1313" s="242"/>
      <c r="L1313" s="237"/>
      <c r="M1313" s="237"/>
      <c r="N1313" s="237"/>
      <c r="O1313" s="237"/>
      <c r="P1313" s="237"/>
      <c r="Q1313" s="237"/>
      <c r="R1313" s="237"/>
      <c r="S1313" s="237"/>
      <c r="T1313" s="237"/>
      <c r="U1313" s="237"/>
      <c r="V1313" s="237"/>
      <c r="W1313" s="237"/>
      <c r="X1313" s="237"/>
      <c r="Y1313" s="237"/>
      <c r="Z1313" s="237"/>
      <c r="AA1313" s="237"/>
      <c r="AB1313" s="237"/>
    </row>
    <row r="1314">
      <c r="A1314" s="238">
        <v>1313.0</v>
      </c>
      <c r="B1314" s="239" t="s">
        <v>9113</v>
      </c>
      <c r="C1314" s="240" t="s">
        <v>9114</v>
      </c>
      <c r="D1314" s="236"/>
      <c r="E1314" s="240" t="s">
        <v>3511</v>
      </c>
      <c r="F1314" s="241" t="s">
        <v>9115</v>
      </c>
      <c r="G1314" s="238" t="s">
        <v>9116</v>
      </c>
      <c r="H1314" s="240" t="s">
        <v>9117</v>
      </c>
      <c r="I1314" s="236"/>
      <c r="J1314" s="238" t="s">
        <v>3996</v>
      </c>
      <c r="K1314" s="239" t="s">
        <v>9113</v>
      </c>
      <c r="L1314" s="237"/>
      <c r="M1314" s="237"/>
      <c r="N1314" s="237"/>
      <c r="O1314" s="237"/>
      <c r="P1314" s="237"/>
      <c r="Q1314" s="237"/>
      <c r="R1314" s="237"/>
      <c r="S1314" s="237"/>
      <c r="T1314" s="237"/>
      <c r="U1314" s="237"/>
      <c r="V1314" s="237"/>
      <c r="W1314" s="237"/>
      <c r="X1314" s="237"/>
      <c r="Y1314" s="237"/>
      <c r="Z1314" s="237"/>
      <c r="AA1314" s="237"/>
      <c r="AB1314" s="237"/>
    </row>
    <row r="1315">
      <c r="A1315" s="238">
        <v>1314.0</v>
      </c>
      <c r="B1315" s="239" t="s">
        <v>9088</v>
      </c>
      <c r="C1315" s="240" t="s">
        <v>9118</v>
      </c>
      <c r="D1315" s="236"/>
      <c r="E1315" s="240" t="s">
        <v>3511</v>
      </c>
      <c r="F1315" s="241" t="s">
        <v>9090</v>
      </c>
      <c r="G1315" s="238" t="s">
        <v>9091</v>
      </c>
      <c r="H1315" s="240" t="s">
        <v>9119</v>
      </c>
      <c r="I1315" s="236"/>
      <c r="J1315" s="238" t="s">
        <v>3996</v>
      </c>
      <c r="K1315" s="239" t="s">
        <v>9088</v>
      </c>
      <c r="L1315" s="237"/>
      <c r="M1315" s="237"/>
      <c r="N1315" s="237"/>
      <c r="O1315" s="237"/>
      <c r="P1315" s="237"/>
      <c r="Q1315" s="237"/>
      <c r="R1315" s="237"/>
      <c r="S1315" s="237"/>
      <c r="T1315" s="237"/>
      <c r="U1315" s="237"/>
      <c r="V1315" s="237"/>
      <c r="W1315" s="237"/>
      <c r="X1315" s="237"/>
      <c r="Y1315" s="237"/>
      <c r="Z1315" s="237"/>
      <c r="AA1315" s="237"/>
      <c r="AB1315" s="237"/>
    </row>
    <row r="1316">
      <c r="A1316" s="238">
        <v>1315.0</v>
      </c>
      <c r="B1316" s="239" t="s">
        <v>9093</v>
      </c>
      <c r="C1316" s="240" t="s">
        <v>9120</v>
      </c>
      <c r="D1316" s="236"/>
      <c r="E1316" s="240" t="s">
        <v>3511</v>
      </c>
      <c r="F1316" s="241" t="s">
        <v>9095</v>
      </c>
      <c r="G1316" s="238" t="s">
        <v>9096</v>
      </c>
      <c r="H1316" s="240" t="s">
        <v>9121</v>
      </c>
      <c r="I1316" s="236"/>
      <c r="J1316" s="238" t="s">
        <v>3996</v>
      </c>
      <c r="K1316" s="239" t="s">
        <v>9093</v>
      </c>
      <c r="L1316" s="237"/>
      <c r="M1316" s="237"/>
      <c r="N1316" s="237"/>
      <c r="O1316" s="237"/>
      <c r="P1316" s="237"/>
      <c r="Q1316" s="237"/>
      <c r="R1316" s="237"/>
      <c r="S1316" s="237"/>
      <c r="T1316" s="237"/>
      <c r="U1316" s="237"/>
      <c r="V1316" s="237"/>
      <c r="W1316" s="237"/>
      <c r="X1316" s="237"/>
      <c r="Y1316" s="237"/>
      <c r="Z1316" s="237"/>
      <c r="AA1316" s="237"/>
      <c r="AB1316" s="237"/>
    </row>
    <row r="1317">
      <c r="A1317" s="238">
        <v>1316.0</v>
      </c>
      <c r="B1317" s="242"/>
      <c r="C1317" s="240" t="s">
        <v>9122</v>
      </c>
      <c r="D1317" s="236"/>
      <c r="E1317" s="240" t="s">
        <v>3511</v>
      </c>
      <c r="F1317" s="241" t="s">
        <v>9123</v>
      </c>
      <c r="G1317" s="238" t="s">
        <v>9124</v>
      </c>
      <c r="H1317" s="241" t="s">
        <v>9125</v>
      </c>
      <c r="I1317" s="236"/>
      <c r="J1317" s="238" t="s">
        <v>8507</v>
      </c>
      <c r="K1317" s="242"/>
      <c r="L1317" s="237"/>
      <c r="M1317" s="237"/>
      <c r="N1317" s="237"/>
      <c r="O1317" s="237"/>
      <c r="P1317" s="237"/>
      <c r="Q1317" s="237"/>
      <c r="R1317" s="237"/>
      <c r="S1317" s="237"/>
      <c r="T1317" s="237"/>
      <c r="U1317" s="237"/>
      <c r="V1317" s="237"/>
      <c r="W1317" s="237"/>
      <c r="X1317" s="237"/>
      <c r="Y1317" s="237"/>
      <c r="Z1317" s="237"/>
      <c r="AA1317" s="237"/>
      <c r="AB1317" s="237"/>
    </row>
    <row r="1318">
      <c r="A1318" s="238">
        <v>1317.0</v>
      </c>
      <c r="B1318" s="242"/>
      <c r="C1318" s="240" t="s">
        <v>9126</v>
      </c>
      <c r="D1318" s="236"/>
      <c r="E1318" s="240" t="s">
        <v>3511</v>
      </c>
      <c r="F1318" s="241" t="s">
        <v>9127</v>
      </c>
      <c r="G1318" s="238" t="s">
        <v>9128</v>
      </c>
      <c r="H1318" s="240" t="s">
        <v>9129</v>
      </c>
      <c r="I1318" s="236"/>
      <c r="J1318" s="238" t="s">
        <v>8507</v>
      </c>
      <c r="K1318" s="242"/>
      <c r="L1318" s="237"/>
      <c r="M1318" s="237"/>
      <c r="N1318" s="237"/>
      <c r="O1318" s="237"/>
      <c r="P1318" s="237"/>
      <c r="Q1318" s="237"/>
      <c r="R1318" s="237"/>
      <c r="S1318" s="237"/>
      <c r="T1318" s="237"/>
      <c r="U1318" s="237"/>
      <c r="V1318" s="237"/>
      <c r="W1318" s="237"/>
      <c r="X1318" s="237"/>
      <c r="Y1318" s="237"/>
      <c r="Z1318" s="237"/>
      <c r="AA1318" s="237"/>
      <c r="AB1318" s="237"/>
    </row>
    <row r="1319">
      <c r="A1319" s="238">
        <v>1318.0</v>
      </c>
      <c r="B1319" s="242"/>
      <c r="C1319" s="240" t="s">
        <v>9130</v>
      </c>
      <c r="D1319" s="236"/>
      <c r="E1319" s="240" t="s">
        <v>3511</v>
      </c>
      <c r="F1319" s="241" t="s">
        <v>9131</v>
      </c>
      <c r="G1319" s="238" t="s">
        <v>9132</v>
      </c>
      <c r="H1319" s="241" t="s">
        <v>9133</v>
      </c>
      <c r="I1319" s="236"/>
      <c r="J1319" s="238" t="s">
        <v>8507</v>
      </c>
      <c r="K1319" s="242"/>
      <c r="L1319" s="237"/>
      <c r="M1319" s="237"/>
      <c r="N1319" s="237"/>
      <c r="O1319" s="237"/>
      <c r="P1319" s="237"/>
      <c r="Q1319" s="237"/>
      <c r="R1319" s="237"/>
      <c r="S1319" s="237"/>
      <c r="T1319" s="237"/>
      <c r="U1319" s="237"/>
      <c r="V1319" s="237"/>
      <c r="W1319" s="237"/>
      <c r="X1319" s="237"/>
      <c r="Y1319" s="237"/>
      <c r="Z1319" s="237"/>
      <c r="AA1319" s="237"/>
      <c r="AB1319" s="237"/>
    </row>
    <row r="1320">
      <c r="A1320" s="238">
        <v>1319.0</v>
      </c>
      <c r="B1320" s="242"/>
      <c r="C1320" s="240" t="s">
        <v>9134</v>
      </c>
      <c r="D1320" s="236"/>
      <c r="E1320" s="240" t="s">
        <v>3511</v>
      </c>
      <c r="F1320" s="241" t="s">
        <v>9135</v>
      </c>
      <c r="G1320" s="238" t="s">
        <v>9136</v>
      </c>
      <c r="H1320" s="240" t="s">
        <v>9137</v>
      </c>
      <c r="I1320" s="236"/>
      <c r="J1320" s="238" t="s">
        <v>8507</v>
      </c>
      <c r="K1320" s="242"/>
      <c r="L1320" s="237"/>
      <c r="M1320" s="237"/>
      <c r="N1320" s="237"/>
      <c r="O1320" s="237"/>
      <c r="P1320" s="237"/>
      <c r="Q1320" s="237"/>
      <c r="R1320" s="237"/>
      <c r="S1320" s="237"/>
      <c r="T1320" s="237"/>
      <c r="U1320" s="237"/>
      <c r="V1320" s="237"/>
      <c r="W1320" s="237"/>
      <c r="X1320" s="237"/>
      <c r="Y1320" s="237"/>
      <c r="Z1320" s="237"/>
      <c r="AA1320" s="237"/>
      <c r="AB1320" s="237"/>
    </row>
    <row r="1321">
      <c r="A1321" s="238">
        <v>1320.0</v>
      </c>
      <c r="B1321" s="242"/>
      <c r="C1321" s="240" t="s">
        <v>9138</v>
      </c>
      <c r="D1321" s="236"/>
      <c r="E1321" s="240" t="s">
        <v>3511</v>
      </c>
      <c r="F1321" s="241" t="s">
        <v>9139</v>
      </c>
      <c r="G1321" s="238" t="s">
        <v>9140</v>
      </c>
      <c r="H1321" s="240" t="s">
        <v>9141</v>
      </c>
      <c r="I1321" s="236"/>
      <c r="J1321" s="238" t="s">
        <v>8507</v>
      </c>
      <c r="K1321" s="242"/>
      <c r="L1321" s="237"/>
      <c r="M1321" s="237"/>
      <c r="N1321" s="237"/>
      <c r="O1321" s="237"/>
      <c r="P1321" s="237"/>
      <c r="Q1321" s="237"/>
      <c r="R1321" s="237"/>
      <c r="S1321" s="237"/>
      <c r="T1321" s="237"/>
      <c r="U1321" s="237"/>
      <c r="V1321" s="237"/>
      <c r="W1321" s="237"/>
      <c r="X1321" s="237"/>
      <c r="Y1321" s="237"/>
      <c r="Z1321" s="237"/>
      <c r="AA1321" s="237"/>
      <c r="AB1321" s="237"/>
    </row>
    <row r="1322">
      <c r="A1322" s="238">
        <v>1321.0</v>
      </c>
      <c r="B1322" s="242"/>
      <c r="C1322" s="240" t="s">
        <v>9142</v>
      </c>
      <c r="D1322" s="236"/>
      <c r="E1322" s="240" t="s">
        <v>3511</v>
      </c>
      <c r="F1322" s="241" t="s">
        <v>9143</v>
      </c>
      <c r="G1322" s="238" t="s">
        <v>9144</v>
      </c>
      <c r="H1322" s="240" t="s">
        <v>9145</v>
      </c>
      <c r="I1322" s="236"/>
      <c r="J1322" s="238" t="s">
        <v>8507</v>
      </c>
      <c r="K1322" s="242"/>
      <c r="L1322" s="237"/>
      <c r="M1322" s="237"/>
      <c r="N1322" s="237"/>
      <c r="O1322" s="237"/>
      <c r="P1322" s="237"/>
      <c r="Q1322" s="237"/>
      <c r="R1322" s="237"/>
      <c r="S1322" s="237"/>
      <c r="T1322" s="237"/>
      <c r="U1322" s="237"/>
      <c r="V1322" s="237"/>
      <c r="W1322" s="237"/>
      <c r="X1322" s="237"/>
      <c r="Y1322" s="237"/>
      <c r="Z1322" s="237"/>
      <c r="AA1322" s="237"/>
      <c r="AB1322" s="237"/>
    </row>
    <row r="1323">
      <c r="A1323" s="238">
        <v>1322.0</v>
      </c>
      <c r="B1323" s="242"/>
      <c r="C1323" s="240" t="s">
        <v>9146</v>
      </c>
      <c r="D1323" s="236"/>
      <c r="E1323" s="240" t="s">
        <v>3511</v>
      </c>
      <c r="F1323" s="241" t="s">
        <v>1500</v>
      </c>
      <c r="G1323" s="238" t="s">
        <v>9147</v>
      </c>
      <c r="H1323" s="241" t="s">
        <v>9148</v>
      </c>
      <c r="I1323" s="236"/>
      <c r="J1323" s="238" t="s">
        <v>8507</v>
      </c>
      <c r="K1323" s="242"/>
      <c r="L1323" s="237"/>
      <c r="M1323" s="237"/>
      <c r="N1323" s="237"/>
      <c r="O1323" s="237"/>
      <c r="P1323" s="237"/>
      <c r="Q1323" s="237"/>
      <c r="R1323" s="237"/>
      <c r="S1323" s="237"/>
      <c r="T1323" s="237"/>
      <c r="U1323" s="237"/>
      <c r="V1323" s="237"/>
      <c r="W1323" s="237"/>
      <c r="X1323" s="237"/>
      <c r="Y1323" s="237"/>
      <c r="Z1323" s="237"/>
      <c r="AA1323" s="237"/>
      <c r="AB1323" s="237"/>
    </row>
    <row r="1324">
      <c r="A1324" s="238">
        <v>1323.0</v>
      </c>
      <c r="B1324" s="242"/>
      <c r="C1324" s="240" t="s">
        <v>9149</v>
      </c>
      <c r="D1324" s="236"/>
      <c r="E1324" s="240" t="s">
        <v>3511</v>
      </c>
      <c r="F1324" s="241" t="s">
        <v>1508</v>
      </c>
      <c r="G1324" s="238" t="s">
        <v>9150</v>
      </c>
      <c r="H1324" s="241" t="s">
        <v>9151</v>
      </c>
      <c r="I1324" s="236"/>
      <c r="J1324" s="238" t="s">
        <v>8507</v>
      </c>
      <c r="K1324" s="242"/>
      <c r="L1324" s="237"/>
      <c r="M1324" s="237"/>
      <c r="N1324" s="237"/>
      <c r="O1324" s="237"/>
      <c r="P1324" s="237"/>
      <c r="Q1324" s="237"/>
      <c r="R1324" s="237"/>
      <c r="S1324" s="237"/>
      <c r="T1324" s="237"/>
      <c r="U1324" s="237"/>
      <c r="V1324" s="237"/>
      <c r="W1324" s="237"/>
      <c r="X1324" s="237"/>
      <c r="Y1324" s="237"/>
      <c r="Z1324" s="237"/>
      <c r="AA1324" s="237"/>
      <c r="AB1324" s="237"/>
    </row>
    <row r="1325">
      <c r="A1325" s="238">
        <v>1324.0</v>
      </c>
      <c r="B1325" s="242"/>
      <c r="C1325" s="240" t="s">
        <v>9152</v>
      </c>
      <c r="D1325" s="236"/>
      <c r="E1325" s="240" t="s">
        <v>3511</v>
      </c>
      <c r="F1325" s="241" t="s">
        <v>9153</v>
      </c>
      <c r="G1325" s="238" t="s">
        <v>9154</v>
      </c>
      <c r="H1325" s="240" t="s">
        <v>9155</v>
      </c>
      <c r="I1325" s="236"/>
      <c r="J1325" s="238" t="s">
        <v>8674</v>
      </c>
      <c r="K1325" s="242"/>
      <c r="L1325" s="237"/>
      <c r="M1325" s="237"/>
      <c r="N1325" s="237"/>
      <c r="O1325" s="237"/>
      <c r="P1325" s="237"/>
      <c r="Q1325" s="237"/>
      <c r="R1325" s="237"/>
      <c r="S1325" s="237"/>
      <c r="T1325" s="237"/>
      <c r="U1325" s="237"/>
      <c r="V1325" s="237"/>
      <c r="W1325" s="237"/>
      <c r="X1325" s="237"/>
      <c r="Y1325" s="237"/>
      <c r="Z1325" s="237"/>
      <c r="AA1325" s="237"/>
      <c r="AB1325" s="237"/>
    </row>
    <row r="1326">
      <c r="A1326" s="238">
        <v>1325.0</v>
      </c>
      <c r="B1326" s="242"/>
      <c r="C1326" s="240" t="s">
        <v>9156</v>
      </c>
      <c r="D1326" s="236"/>
      <c r="E1326" s="240" t="s">
        <v>3511</v>
      </c>
      <c r="F1326" s="241" t="s">
        <v>9157</v>
      </c>
      <c r="G1326" s="238" t="s">
        <v>9158</v>
      </c>
      <c r="H1326" s="240" t="s">
        <v>9159</v>
      </c>
      <c r="I1326" s="236"/>
      <c r="J1326" s="238" t="s">
        <v>8674</v>
      </c>
      <c r="K1326" s="242"/>
      <c r="L1326" s="237"/>
      <c r="M1326" s="237"/>
      <c r="N1326" s="237"/>
      <c r="O1326" s="237"/>
      <c r="P1326" s="237"/>
      <c r="Q1326" s="237"/>
      <c r="R1326" s="237"/>
      <c r="S1326" s="237"/>
      <c r="T1326" s="237"/>
      <c r="U1326" s="237"/>
      <c r="V1326" s="237"/>
      <c r="W1326" s="237"/>
      <c r="X1326" s="237"/>
      <c r="Y1326" s="237"/>
      <c r="Z1326" s="237"/>
      <c r="AA1326" s="237"/>
      <c r="AB1326" s="237"/>
    </row>
    <row r="1327">
      <c r="A1327" s="238">
        <v>1326.0</v>
      </c>
      <c r="B1327" s="242"/>
      <c r="C1327" s="240" t="s">
        <v>9160</v>
      </c>
      <c r="D1327" s="236"/>
      <c r="E1327" s="240" t="s">
        <v>3511</v>
      </c>
      <c r="F1327" s="241" t="s">
        <v>9161</v>
      </c>
      <c r="G1327" s="238" t="s">
        <v>9162</v>
      </c>
      <c r="H1327" s="240" t="s">
        <v>9163</v>
      </c>
      <c r="I1327" s="236"/>
      <c r="J1327" s="238" t="s">
        <v>8674</v>
      </c>
      <c r="K1327" s="242"/>
      <c r="L1327" s="237"/>
      <c r="M1327" s="237"/>
      <c r="N1327" s="237"/>
      <c r="O1327" s="237"/>
      <c r="P1327" s="237"/>
      <c r="Q1327" s="237"/>
      <c r="R1327" s="237"/>
      <c r="S1327" s="237"/>
      <c r="T1327" s="237"/>
      <c r="U1327" s="237"/>
      <c r="V1327" s="237"/>
      <c r="W1327" s="237"/>
      <c r="X1327" s="237"/>
      <c r="Y1327" s="237"/>
      <c r="Z1327" s="237"/>
      <c r="AA1327" s="237"/>
      <c r="AB1327" s="237"/>
    </row>
    <row r="1328">
      <c r="A1328" s="238">
        <v>1327.0</v>
      </c>
      <c r="B1328" s="242"/>
      <c r="C1328" s="240" t="s">
        <v>9164</v>
      </c>
      <c r="D1328" s="236"/>
      <c r="E1328" s="240" t="s">
        <v>3511</v>
      </c>
      <c r="F1328" s="241" t="s">
        <v>9165</v>
      </c>
      <c r="G1328" s="238" t="s">
        <v>9166</v>
      </c>
      <c r="H1328" s="240" t="s">
        <v>9167</v>
      </c>
      <c r="I1328" s="236"/>
      <c r="J1328" s="238" t="s">
        <v>8674</v>
      </c>
      <c r="K1328" s="242"/>
      <c r="L1328" s="237"/>
      <c r="M1328" s="237"/>
      <c r="N1328" s="237"/>
      <c r="O1328" s="237"/>
      <c r="P1328" s="237"/>
      <c r="Q1328" s="237"/>
      <c r="R1328" s="237"/>
      <c r="S1328" s="237"/>
      <c r="T1328" s="237"/>
      <c r="U1328" s="237"/>
      <c r="V1328" s="237"/>
      <c r="W1328" s="237"/>
      <c r="X1328" s="237"/>
      <c r="Y1328" s="237"/>
      <c r="Z1328" s="237"/>
      <c r="AA1328" s="237"/>
      <c r="AB1328" s="237"/>
    </row>
    <row r="1329">
      <c r="A1329" s="238">
        <v>1328.0</v>
      </c>
      <c r="B1329" s="242"/>
      <c r="C1329" s="240" t="s">
        <v>9168</v>
      </c>
      <c r="D1329" s="236"/>
      <c r="E1329" s="240" t="s">
        <v>3511</v>
      </c>
      <c r="F1329" s="241" t="s">
        <v>9169</v>
      </c>
      <c r="G1329" s="238" t="s">
        <v>9170</v>
      </c>
      <c r="H1329" s="240" t="s">
        <v>9171</v>
      </c>
      <c r="I1329" s="236"/>
      <c r="J1329" s="238" t="s">
        <v>8674</v>
      </c>
      <c r="K1329" s="242"/>
      <c r="L1329" s="237"/>
      <c r="M1329" s="237"/>
      <c r="N1329" s="237"/>
      <c r="O1329" s="237"/>
      <c r="P1329" s="237"/>
      <c r="Q1329" s="237"/>
      <c r="R1329" s="237"/>
      <c r="S1329" s="237"/>
      <c r="T1329" s="237"/>
      <c r="U1329" s="237"/>
      <c r="V1329" s="237"/>
      <c r="W1329" s="237"/>
      <c r="X1329" s="237"/>
      <c r="Y1329" s="237"/>
      <c r="Z1329" s="237"/>
      <c r="AA1329" s="237"/>
      <c r="AB1329" s="237"/>
    </row>
    <row r="1330">
      <c r="A1330" s="238">
        <v>1329.0</v>
      </c>
      <c r="B1330" s="242"/>
      <c r="C1330" s="240" t="s">
        <v>9172</v>
      </c>
      <c r="D1330" s="236"/>
      <c r="E1330" s="240" t="s">
        <v>3511</v>
      </c>
      <c r="F1330" s="241" t="s">
        <v>9173</v>
      </c>
      <c r="G1330" s="238" t="s">
        <v>9174</v>
      </c>
      <c r="H1330" s="88" t="s">
        <v>9175</v>
      </c>
      <c r="I1330" s="236"/>
      <c r="J1330" s="238" t="s">
        <v>8674</v>
      </c>
      <c r="K1330" s="242"/>
      <c r="L1330" s="237"/>
      <c r="M1330" s="237"/>
      <c r="N1330" s="237"/>
      <c r="O1330" s="237"/>
      <c r="P1330" s="237"/>
      <c r="Q1330" s="237"/>
      <c r="R1330" s="237"/>
      <c r="S1330" s="237"/>
      <c r="T1330" s="237"/>
      <c r="U1330" s="237"/>
      <c r="V1330" s="237"/>
      <c r="W1330" s="237"/>
      <c r="X1330" s="237"/>
      <c r="Y1330" s="237"/>
      <c r="Z1330" s="237"/>
      <c r="AA1330" s="237"/>
      <c r="AB1330" s="237"/>
    </row>
    <row r="1331">
      <c r="A1331" s="238">
        <v>1330.0</v>
      </c>
      <c r="B1331" s="242"/>
      <c r="C1331" s="240" t="s">
        <v>9176</v>
      </c>
      <c r="D1331" s="236"/>
      <c r="E1331" s="240" t="s">
        <v>3511</v>
      </c>
      <c r="F1331" s="240" t="s">
        <v>9177</v>
      </c>
      <c r="G1331" s="238" t="s">
        <v>9178</v>
      </c>
      <c r="H1331" s="236"/>
      <c r="I1331" s="236"/>
      <c r="J1331" s="238" t="s">
        <v>8674</v>
      </c>
      <c r="K1331" s="242"/>
      <c r="L1331" s="237"/>
      <c r="M1331" s="237"/>
      <c r="N1331" s="237"/>
      <c r="O1331" s="237"/>
      <c r="P1331" s="237"/>
      <c r="Q1331" s="237"/>
      <c r="R1331" s="237"/>
      <c r="S1331" s="237"/>
      <c r="T1331" s="237"/>
      <c r="U1331" s="237"/>
      <c r="V1331" s="237"/>
      <c r="W1331" s="237"/>
      <c r="X1331" s="237"/>
      <c r="Y1331" s="237"/>
      <c r="Z1331" s="237"/>
      <c r="AA1331" s="237"/>
      <c r="AB1331" s="237"/>
    </row>
    <row r="1332">
      <c r="A1332" s="238">
        <v>1331.0</v>
      </c>
      <c r="B1332" s="242"/>
      <c r="C1332" s="240" t="s">
        <v>9179</v>
      </c>
      <c r="D1332" s="236"/>
      <c r="E1332" s="240" t="s">
        <v>3511</v>
      </c>
      <c r="F1332" s="240" t="s">
        <v>9180</v>
      </c>
      <c r="G1332" s="238" t="s">
        <v>9181</v>
      </c>
      <c r="H1332" s="240" t="s">
        <v>9182</v>
      </c>
      <c r="I1332" s="236"/>
      <c r="J1332" s="238" t="s">
        <v>8674</v>
      </c>
      <c r="K1332" s="242"/>
      <c r="L1332" s="237"/>
      <c r="M1332" s="237"/>
      <c r="N1332" s="237"/>
      <c r="O1332" s="237"/>
      <c r="P1332" s="237"/>
      <c r="Q1332" s="237"/>
      <c r="R1332" s="237"/>
      <c r="S1332" s="237"/>
      <c r="T1332" s="237"/>
      <c r="U1332" s="237"/>
      <c r="V1332" s="237"/>
      <c r="W1332" s="237"/>
      <c r="X1332" s="237"/>
      <c r="Y1332" s="237"/>
      <c r="Z1332" s="237"/>
      <c r="AA1332" s="237"/>
      <c r="AB1332" s="237"/>
    </row>
    <row r="1333">
      <c r="A1333" s="238">
        <v>1332.0</v>
      </c>
      <c r="B1333" s="242"/>
      <c r="C1333" s="240" t="s">
        <v>9183</v>
      </c>
      <c r="D1333" s="236"/>
      <c r="E1333" s="240" t="s">
        <v>3511</v>
      </c>
      <c r="F1333" s="240" t="s">
        <v>9184</v>
      </c>
      <c r="G1333" s="238" t="s">
        <v>9185</v>
      </c>
      <c r="H1333" s="240" t="s">
        <v>9186</v>
      </c>
      <c r="I1333" s="236"/>
      <c r="J1333" s="238" t="s">
        <v>8674</v>
      </c>
      <c r="K1333" s="242"/>
      <c r="L1333" s="237"/>
      <c r="M1333" s="237"/>
      <c r="N1333" s="237"/>
      <c r="O1333" s="237"/>
      <c r="P1333" s="237"/>
      <c r="Q1333" s="237"/>
      <c r="R1333" s="237"/>
      <c r="S1333" s="237"/>
      <c r="T1333" s="237"/>
      <c r="U1333" s="237"/>
      <c r="V1333" s="237"/>
      <c r="W1333" s="237"/>
      <c r="X1333" s="237"/>
      <c r="Y1333" s="237"/>
      <c r="Z1333" s="237"/>
      <c r="AA1333" s="237"/>
      <c r="AB1333" s="237"/>
    </row>
    <row r="1334">
      <c r="A1334" s="238">
        <v>1333.0</v>
      </c>
      <c r="B1334" s="242"/>
      <c r="C1334" s="240" t="s">
        <v>9187</v>
      </c>
      <c r="D1334" s="236"/>
      <c r="E1334" s="240" t="s">
        <v>3511</v>
      </c>
      <c r="F1334" s="240" t="s">
        <v>9188</v>
      </c>
      <c r="G1334" s="238" t="s">
        <v>9189</v>
      </c>
      <c r="H1334" s="88" t="s">
        <v>9190</v>
      </c>
      <c r="I1334" s="236"/>
      <c r="J1334" s="238" t="s">
        <v>8674</v>
      </c>
      <c r="K1334" s="242"/>
      <c r="L1334" s="237"/>
      <c r="M1334" s="237"/>
      <c r="N1334" s="237"/>
      <c r="O1334" s="237"/>
      <c r="P1334" s="237"/>
      <c r="Q1334" s="237"/>
      <c r="R1334" s="237"/>
      <c r="S1334" s="237"/>
      <c r="T1334" s="237"/>
      <c r="U1334" s="237"/>
      <c r="V1334" s="237"/>
      <c r="W1334" s="237"/>
      <c r="X1334" s="237"/>
      <c r="Y1334" s="237"/>
      <c r="Z1334" s="237"/>
      <c r="AA1334" s="237"/>
      <c r="AB1334" s="237"/>
    </row>
    <row r="1335">
      <c r="A1335" s="238">
        <v>1334.0</v>
      </c>
      <c r="B1335" s="242"/>
      <c r="C1335" s="240" t="s">
        <v>9191</v>
      </c>
      <c r="D1335" s="236"/>
      <c r="E1335" s="240" t="s">
        <v>3511</v>
      </c>
      <c r="F1335" s="240" t="s">
        <v>9192</v>
      </c>
      <c r="G1335" s="238" t="s">
        <v>9193</v>
      </c>
      <c r="H1335" s="252" t="s">
        <v>9194</v>
      </c>
      <c r="I1335" s="253"/>
      <c r="J1335" s="238" t="s">
        <v>8674</v>
      </c>
      <c r="K1335" s="242"/>
      <c r="L1335" s="237"/>
      <c r="M1335" s="237"/>
      <c r="N1335" s="237"/>
      <c r="O1335" s="237"/>
      <c r="P1335" s="237"/>
      <c r="Q1335" s="237"/>
      <c r="R1335" s="237"/>
      <c r="S1335" s="237"/>
      <c r="T1335" s="237"/>
      <c r="U1335" s="237"/>
      <c r="V1335" s="237"/>
      <c r="W1335" s="237"/>
      <c r="X1335" s="237"/>
      <c r="Y1335" s="237"/>
      <c r="Z1335" s="237"/>
      <c r="AA1335" s="237"/>
      <c r="AB1335" s="237"/>
    </row>
    <row r="1336">
      <c r="A1336" s="238">
        <v>1335.0</v>
      </c>
      <c r="B1336" s="242"/>
      <c r="C1336" s="240" t="s">
        <v>9195</v>
      </c>
      <c r="D1336" s="236"/>
      <c r="E1336" s="240" t="s">
        <v>3511</v>
      </c>
      <c r="F1336" s="240" t="s">
        <v>9196</v>
      </c>
      <c r="G1336" s="238" t="s">
        <v>9197</v>
      </c>
      <c r="H1336" s="240" t="s">
        <v>9198</v>
      </c>
      <c r="I1336" s="236"/>
      <c r="J1336" s="238" t="s">
        <v>3996</v>
      </c>
      <c r="K1336" s="242"/>
      <c r="L1336" s="237"/>
      <c r="M1336" s="237"/>
      <c r="N1336" s="237"/>
      <c r="O1336" s="237"/>
      <c r="P1336" s="237"/>
      <c r="Q1336" s="237"/>
      <c r="R1336" s="237"/>
      <c r="S1336" s="237"/>
      <c r="T1336" s="237"/>
      <c r="U1336" s="237"/>
      <c r="V1336" s="237"/>
      <c r="W1336" s="237"/>
      <c r="X1336" s="237"/>
      <c r="Y1336" s="237"/>
      <c r="Z1336" s="237"/>
      <c r="AA1336" s="237"/>
      <c r="AB1336" s="237"/>
    </row>
    <row r="1337">
      <c r="A1337" s="238">
        <v>1336.0</v>
      </c>
      <c r="B1337" s="242"/>
      <c r="C1337" s="240" t="s">
        <v>9199</v>
      </c>
      <c r="D1337" s="236"/>
      <c r="E1337" s="240" t="s">
        <v>3511</v>
      </c>
      <c r="F1337" s="240" t="s">
        <v>9200</v>
      </c>
      <c r="G1337" s="238" t="s">
        <v>9201</v>
      </c>
      <c r="H1337" s="88" t="s">
        <v>9198</v>
      </c>
      <c r="I1337" s="236"/>
      <c r="J1337" s="238" t="s">
        <v>3996</v>
      </c>
      <c r="K1337" s="242"/>
      <c r="L1337" s="237"/>
      <c r="M1337" s="237"/>
      <c r="N1337" s="237"/>
      <c r="O1337" s="237"/>
      <c r="P1337" s="237"/>
      <c r="Q1337" s="237"/>
      <c r="R1337" s="237"/>
      <c r="S1337" s="237"/>
      <c r="T1337" s="237"/>
      <c r="U1337" s="237"/>
      <c r="V1337" s="237"/>
      <c r="W1337" s="237"/>
      <c r="X1337" s="237"/>
      <c r="Y1337" s="237"/>
      <c r="Z1337" s="237"/>
      <c r="AA1337" s="237"/>
      <c r="AB1337" s="237"/>
    </row>
    <row r="1338">
      <c r="A1338" s="238">
        <v>1337.0</v>
      </c>
      <c r="B1338" s="242"/>
      <c r="C1338" s="240" t="s">
        <v>9202</v>
      </c>
      <c r="D1338" s="236"/>
      <c r="E1338" s="240" t="s">
        <v>3511</v>
      </c>
      <c r="F1338" s="240" t="s">
        <v>9203</v>
      </c>
      <c r="G1338" s="238" t="s">
        <v>9204</v>
      </c>
      <c r="H1338" s="240" t="s">
        <v>9205</v>
      </c>
      <c r="I1338" s="236"/>
      <c r="J1338" s="238" t="s">
        <v>3996</v>
      </c>
      <c r="K1338" s="242"/>
      <c r="L1338" s="237"/>
      <c r="M1338" s="237"/>
      <c r="N1338" s="237"/>
      <c r="O1338" s="237"/>
      <c r="P1338" s="237"/>
      <c r="Q1338" s="237"/>
      <c r="R1338" s="237"/>
      <c r="S1338" s="237"/>
      <c r="T1338" s="237"/>
      <c r="U1338" s="237"/>
      <c r="V1338" s="237"/>
      <c r="W1338" s="237"/>
      <c r="X1338" s="237"/>
      <c r="Y1338" s="237"/>
      <c r="Z1338" s="237"/>
      <c r="AA1338" s="237"/>
      <c r="AB1338" s="237"/>
    </row>
    <row r="1339">
      <c r="A1339" s="238">
        <v>1338.0</v>
      </c>
      <c r="B1339" s="242"/>
      <c r="C1339" s="240" t="s">
        <v>9206</v>
      </c>
      <c r="D1339" s="236"/>
      <c r="E1339" s="240" t="s">
        <v>3511</v>
      </c>
      <c r="F1339" s="240" t="s">
        <v>9207</v>
      </c>
      <c r="G1339" s="238" t="s">
        <v>9208</v>
      </c>
      <c r="H1339" s="88" t="s">
        <v>8929</v>
      </c>
      <c r="I1339" s="236"/>
      <c r="J1339" s="238" t="s">
        <v>3996</v>
      </c>
      <c r="K1339" s="242"/>
      <c r="L1339" s="237"/>
      <c r="M1339" s="237"/>
      <c r="N1339" s="237"/>
      <c r="O1339" s="237"/>
      <c r="P1339" s="237"/>
      <c r="Q1339" s="237"/>
      <c r="R1339" s="237"/>
      <c r="S1339" s="237"/>
      <c r="T1339" s="237"/>
      <c r="U1339" s="237"/>
      <c r="V1339" s="237"/>
      <c r="W1339" s="237"/>
      <c r="X1339" s="237"/>
      <c r="Y1339" s="237"/>
      <c r="Z1339" s="237"/>
      <c r="AA1339" s="237"/>
      <c r="AB1339" s="237"/>
    </row>
    <row r="1340">
      <c r="A1340" s="238">
        <v>1339.0</v>
      </c>
      <c r="B1340" s="242"/>
      <c r="C1340" s="240" t="s">
        <v>9209</v>
      </c>
      <c r="D1340" s="236"/>
      <c r="E1340" s="240" t="s">
        <v>3511</v>
      </c>
      <c r="F1340" s="240" t="s">
        <v>9210</v>
      </c>
      <c r="G1340" s="238" t="s">
        <v>9211</v>
      </c>
      <c r="H1340" s="240" t="s">
        <v>9212</v>
      </c>
      <c r="I1340" s="236"/>
      <c r="J1340" s="238" t="s">
        <v>3996</v>
      </c>
      <c r="K1340" s="242"/>
      <c r="L1340" s="237"/>
      <c r="M1340" s="237"/>
      <c r="N1340" s="237"/>
      <c r="O1340" s="237"/>
      <c r="P1340" s="237"/>
      <c r="Q1340" s="237"/>
      <c r="R1340" s="237"/>
      <c r="S1340" s="237"/>
      <c r="T1340" s="237"/>
      <c r="U1340" s="237"/>
      <c r="V1340" s="237"/>
      <c r="W1340" s="237"/>
      <c r="X1340" s="237"/>
      <c r="Y1340" s="237"/>
      <c r="Z1340" s="237"/>
      <c r="AA1340" s="237"/>
      <c r="AB1340" s="237"/>
    </row>
    <row r="1341">
      <c r="A1341" s="238">
        <v>1340.0</v>
      </c>
      <c r="B1341" s="242"/>
      <c r="C1341" s="240" t="s">
        <v>9213</v>
      </c>
      <c r="D1341" s="236"/>
      <c r="E1341" s="240" t="s">
        <v>3511</v>
      </c>
      <c r="F1341" s="240" t="s">
        <v>9214</v>
      </c>
      <c r="G1341" s="238" t="s">
        <v>9215</v>
      </c>
      <c r="H1341" s="240" t="s">
        <v>9216</v>
      </c>
      <c r="I1341" s="236"/>
      <c r="J1341" s="238" t="s">
        <v>3996</v>
      </c>
      <c r="K1341" s="242"/>
      <c r="L1341" s="237"/>
      <c r="M1341" s="237"/>
      <c r="N1341" s="237"/>
      <c r="O1341" s="237"/>
      <c r="P1341" s="237"/>
      <c r="Q1341" s="237"/>
      <c r="R1341" s="237"/>
      <c r="S1341" s="237"/>
      <c r="T1341" s="237"/>
      <c r="U1341" s="237"/>
      <c r="V1341" s="237"/>
      <c r="W1341" s="237"/>
      <c r="X1341" s="237"/>
      <c r="Y1341" s="237"/>
      <c r="Z1341" s="237"/>
      <c r="AA1341" s="237"/>
      <c r="AB1341" s="237"/>
    </row>
    <row r="1342">
      <c r="A1342" s="238">
        <v>1341.0</v>
      </c>
      <c r="B1342" s="242"/>
      <c r="C1342" s="240" t="s">
        <v>9217</v>
      </c>
      <c r="D1342" s="236"/>
      <c r="E1342" s="240" t="s">
        <v>3511</v>
      </c>
      <c r="F1342" s="240" t="s">
        <v>9218</v>
      </c>
      <c r="G1342" s="238" t="s">
        <v>9219</v>
      </c>
      <c r="H1342" s="236"/>
      <c r="I1342" s="236"/>
      <c r="J1342" s="238" t="s">
        <v>8507</v>
      </c>
      <c r="K1342" s="242"/>
      <c r="L1342" s="237"/>
      <c r="M1342" s="237"/>
      <c r="N1342" s="237"/>
      <c r="O1342" s="237"/>
      <c r="P1342" s="237"/>
      <c r="Q1342" s="237"/>
      <c r="R1342" s="237"/>
      <c r="S1342" s="237"/>
      <c r="T1342" s="237"/>
      <c r="U1342" s="237"/>
      <c r="V1342" s="237"/>
      <c r="W1342" s="237"/>
      <c r="X1342" s="237"/>
      <c r="Y1342" s="237"/>
      <c r="Z1342" s="237"/>
      <c r="AA1342" s="237"/>
      <c r="AB1342" s="237"/>
    </row>
    <row r="1343">
      <c r="A1343" s="238">
        <v>1342.0</v>
      </c>
      <c r="B1343" s="242"/>
      <c r="C1343" s="240" t="s">
        <v>9220</v>
      </c>
      <c r="D1343" s="236"/>
      <c r="E1343" s="240" t="s">
        <v>3511</v>
      </c>
      <c r="F1343" s="240" t="s">
        <v>9221</v>
      </c>
      <c r="G1343" s="238" t="s">
        <v>9222</v>
      </c>
      <c r="H1343" s="88" t="s">
        <v>9223</v>
      </c>
      <c r="I1343" s="236"/>
      <c r="J1343" s="238" t="s">
        <v>8507</v>
      </c>
      <c r="K1343" s="242"/>
      <c r="L1343" s="237"/>
      <c r="M1343" s="237"/>
      <c r="N1343" s="237"/>
      <c r="O1343" s="237"/>
      <c r="P1343" s="237"/>
      <c r="Q1343" s="237"/>
      <c r="R1343" s="237"/>
      <c r="S1343" s="237"/>
      <c r="T1343" s="237"/>
      <c r="U1343" s="237"/>
      <c r="V1343" s="237"/>
      <c r="W1343" s="237"/>
      <c r="X1343" s="237"/>
      <c r="Y1343" s="237"/>
      <c r="Z1343" s="237"/>
      <c r="AA1343" s="237"/>
      <c r="AB1343" s="237"/>
    </row>
    <row r="1344">
      <c r="A1344" s="238">
        <v>1343.0</v>
      </c>
      <c r="B1344" s="242"/>
      <c r="C1344" s="240" t="s">
        <v>9224</v>
      </c>
      <c r="D1344" s="236"/>
      <c r="E1344" s="240" t="s">
        <v>3511</v>
      </c>
      <c r="F1344" s="240" t="s">
        <v>9225</v>
      </c>
      <c r="G1344" s="238" t="s">
        <v>9226</v>
      </c>
      <c r="H1344" s="252" t="s">
        <v>9227</v>
      </c>
      <c r="I1344" s="253"/>
      <c r="J1344" s="238" t="s">
        <v>8674</v>
      </c>
      <c r="K1344" s="242"/>
      <c r="L1344" s="237"/>
      <c r="M1344" s="237"/>
      <c r="N1344" s="237"/>
      <c r="O1344" s="237"/>
      <c r="P1344" s="237"/>
      <c r="Q1344" s="237"/>
      <c r="R1344" s="237"/>
      <c r="S1344" s="237"/>
      <c r="T1344" s="237"/>
      <c r="U1344" s="237"/>
      <c r="V1344" s="237"/>
      <c r="W1344" s="237"/>
      <c r="X1344" s="237"/>
      <c r="Y1344" s="237"/>
      <c r="Z1344" s="237"/>
      <c r="AA1344" s="237"/>
      <c r="AB1344" s="237"/>
    </row>
    <row r="1345">
      <c r="A1345" s="238">
        <v>1344.0</v>
      </c>
      <c r="B1345" s="242"/>
      <c r="C1345" s="240" t="s">
        <v>9228</v>
      </c>
      <c r="D1345" s="236"/>
      <c r="E1345" s="240" t="s">
        <v>3511</v>
      </c>
      <c r="F1345" s="240" t="s">
        <v>9229</v>
      </c>
      <c r="G1345" s="238" t="s">
        <v>9230</v>
      </c>
      <c r="H1345" s="252" t="s">
        <v>9194</v>
      </c>
      <c r="I1345" s="253"/>
      <c r="J1345" s="238" t="s">
        <v>8674</v>
      </c>
      <c r="K1345" s="242"/>
      <c r="L1345" s="237"/>
      <c r="M1345" s="237"/>
      <c r="N1345" s="237"/>
      <c r="O1345" s="237"/>
      <c r="P1345" s="237"/>
      <c r="Q1345" s="237"/>
      <c r="R1345" s="237"/>
      <c r="S1345" s="237"/>
      <c r="T1345" s="237"/>
      <c r="U1345" s="237"/>
      <c r="V1345" s="237"/>
      <c r="W1345" s="237"/>
      <c r="X1345" s="237"/>
      <c r="Y1345" s="237"/>
      <c r="Z1345" s="237"/>
      <c r="AA1345" s="237"/>
      <c r="AB1345" s="237"/>
    </row>
    <row r="1346">
      <c r="A1346" s="238">
        <v>1345.0</v>
      </c>
      <c r="B1346" s="242"/>
      <c r="C1346" s="240" t="s">
        <v>9231</v>
      </c>
      <c r="D1346" s="236"/>
      <c r="E1346" s="240" t="s">
        <v>3511</v>
      </c>
      <c r="F1346" s="240" t="s">
        <v>9232</v>
      </c>
      <c r="G1346" s="238" t="s">
        <v>9233</v>
      </c>
      <c r="H1346" s="252" t="s">
        <v>9234</v>
      </c>
      <c r="I1346" s="253"/>
      <c r="J1346" s="238" t="s">
        <v>8674</v>
      </c>
      <c r="K1346" s="242"/>
      <c r="L1346" s="237"/>
      <c r="M1346" s="237"/>
      <c r="N1346" s="237"/>
      <c r="O1346" s="237"/>
      <c r="P1346" s="237"/>
      <c r="Q1346" s="237"/>
      <c r="R1346" s="237"/>
      <c r="S1346" s="237"/>
      <c r="T1346" s="237"/>
      <c r="U1346" s="237"/>
      <c r="V1346" s="237"/>
      <c r="W1346" s="237"/>
      <c r="X1346" s="237"/>
      <c r="Y1346" s="237"/>
      <c r="Z1346" s="237"/>
      <c r="AA1346" s="237"/>
      <c r="AB1346" s="237"/>
    </row>
    <row r="1347">
      <c r="A1347" s="238">
        <v>1346.0</v>
      </c>
      <c r="B1347" s="242"/>
      <c r="C1347" s="240" t="s">
        <v>9235</v>
      </c>
      <c r="D1347" s="236"/>
      <c r="E1347" s="240" t="s">
        <v>3511</v>
      </c>
      <c r="F1347" s="240" t="s">
        <v>9236</v>
      </c>
      <c r="G1347" s="238" t="s">
        <v>9237</v>
      </c>
      <c r="H1347" s="252" t="s">
        <v>9238</v>
      </c>
      <c r="I1347" s="253"/>
      <c r="J1347" s="238" t="s">
        <v>8674</v>
      </c>
      <c r="K1347" s="242"/>
      <c r="L1347" s="237"/>
      <c r="M1347" s="237"/>
      <c r="N1347" s="237"/>
      <c r="O1347" s="237"/>
      <c r="P1347" s="237"/>
      <c r="Q1347" s="237"/>
      <c r="R1347" s="237"/>
      <c r="S1347" s="237"/>
      <c r="T1347" s="237"/>
      <c r="U1347" s="237"/>
      <c r="V1347" s="237"/>
      <c r="W1347" s="237"/>
      <c r="X1347" s="237"/>
      <c r="Y1347" s="237"/>
      <c r="Z1347" s="237"/>
      <c r="AA1347" s="237"/>
      <c r="AB1347" s="237"/>
    </row>
    <row r="1348">
      <c r="A1348" s="238">
        <v>1347.0</v>
      </c>
      <c r="B1348" s="242"/>
      <c r="C1348" s="240" t="s">
        <v>9239</v>
      </c>
      <c r="D1348" s="236"/>
      <c r="E1348" s="240" t="s">
        <v>3511</v>
      </c>
      <c r="F1348" s="240" t="s">
        <v>9240</v>
      </c>
      <c r="G1348" s="238" t="s">
        <v>9241</v>
      </c>
      <c r="H1348" s="236"/>
      <c r="I1348" s="236"/>
      <c r="J1348" s="238" t="s">
        <v>8674</v>
      </c>
      <c r="K1348" s="242"/>
      <c r="L1348" s="237"/>
      <c r="M1348" s="237"/>
      <c r="N1348" s="237"/>
      <c r="O1348" s="237"/>
      <c r="P1348" s="237"/>
      <c r="Q1348" s="237"/>
      <c r="R1348" s="237"/>
      <c r="S1348" s="237"/>
      <c r="T1348" s="237"/>
      <c r="U1348" s="237"/>
      <c r="V1348" s="237"/>
      <c r="W1348" s="237"/>
      <c r="X1348" s="237"/>
      <c r="Y1348" s="237"/>
      <c r="Z1348" s="237"/>
      <c r="AA1348" s="237"/>
      <c r="AB1348" s="237"/>
    </row>
    <row r="1349">
      <c r="A1349" s="238">
        <v>1348.0</v>
      </c>
      <c r="B1349" s="242"/>
      <c r="C1349" s="240" t="s">
        <v>9242</v>
      </c>
      <c r="D1349" s="236"/>
      <c r="E1349" s="240" t="s">
        <v>3511</v>
      </c>
      <c r="F1349" s="241" t="s">
        <v>9243</v>
      </c>
      <c r="G1349" s="238" t="s">
        <v>9244</v>
      </c>
      <c r="H1349" s="236"/>
      <c r="I1349" s="236"/>
      <c r="J1349" s="238" t="s">
        <v>8674</v>
      </c>
      <c r="K1349" s="242"/>
      <c r="L1349" s="237"/>
      <c r="M1349" s="237"/>
      <c r="N1349" s="237"/>
      <c r="O1349" s="237"/>
      <c r="P1349" s="237"/>
      <c r="Q1349" s="237"/>
      <c r="R1349" s="237"/>
      <c r="S1349" s="237"/>
      <c r="T1349" s="237"/>
      <c r="U1349" s="237"/>
      <c r="V1349" s="237"/>
      <c r="W1349" s="237"/>
      <c r="X1349" s="237"/>
      <c r="Y1349" s="237"/>
      <c r="Z1349" s="237"/>
      <c r="AA1349" s="237"/>
      <c r="AB1349" s="237"/>
    </row>
    <row r="1350">
      <c r="A1350" s="238">
        <v>1349.0</v>
      </c>
      <c r="B1350" s="239" t="s">
        <v>4354</v>
      </c>
      <c r="C1350" s="240" t="s">
        <v>9245</v>
      </c>
      <c r="D1350" s="236"/>
      <c r="E1350" s="241" t="s">
        <v>1420</v>
      </c>
      <c r="F1350" s="240" t="s">
        <v>9246</v>
      </c>
      <c r="G1350" s="238" t="s">
        <v>9247</v>
      </c>
      <c r="H1350" s="241" t="s">
        <v>9248</v>
      </c>
      <c r="I1350" s="236"/>
      <c r="J1350" s="238" t="s">
        <v>9249</v>
      </c>
      <c r="K1350" s="239" t="s">
        <v>4354</v>
      </c>
      <c r="L1350" s="254" t="s">
        <v>9250</v>
      </c>
      <c r="M1350" s="237"/>
      <c r="N1350" s="237"/>
      <c r="O1350" s="237"/>
      <c r="P1350" s="237"/>
      <c r="Q1350" s="237"/>
      <c r="R1350" s="237"/>
      <c r="S1350" s="237"/>
      <c r="T1350" s="237"/>
      <c r="U1350" s="237"/>
      <c r="V1350" s="237"/>
      <c r="W1350" s="237"/>
      <c r="X1350" s="237"/>
      <c r="Y1350" s="237"/>
      <c r="Z1350" s="237"/>
      <c r="AA1350" s="237"/>
      <c r="AB1350" s="237"/>
    </row>
    <row r="1351">
      <c r="A1351" s="238">
        <v>1350.0</v>
      </c>
      <c r="B1351" s="242"/>
      <c r="C1351" s="240" t="s">
        <v>9251</v>
      </c>
      <c r="D1351" s="236"/>
      <c r="E1351" s="241" t="s">
        <v>1420</v>
      </c>
      <c r="F1351" s="240" t="s">
        <v>9252</v>
      </c>
      <c r="G1351" s="238" t="s">
        <v>9253</v>
      </c>
      <c r="H1351" s="241" t="s">
        <v>9254</v>
      </c>
      <c r="I1351" s="236"/>
      <c r="J1351" s="238" t="s">
        <v>9249</v>
      </c>
      <c r="K1351" s="242"/>
      <c r="L1351" s="254" t="s">
        <v>9250</v>
      </c>
      <c r="M1351" s="237"/>
      <c r="N1351" s="237"/>
      <c r="O1351" s="237"/>
      <c r="P1351" s="237"/>
      <c r="Q1351" s="237"/>
      <c r="R1351" s="237"/>
      <c r="S1351" s="237"/>
      <c r="T1351" s="237"/>
      <c r="U1351" s="237"/>
      <c r="V1351" s="237"/>
      <c r="W1351" s="237"/>
      <c r="X1351" s="237"/>
      <c r="Y1351" s="237"/>
      <c r="Z1351" s="237"/>
      <c r="AA1351" s="237"/>
      <c r="AB1351" s="237"/>
    </row>
    <row r="1352">
      <c r="A1352" s="238">
        <v>1351.0</v>
      </c>
      <c r="B1352" s="242"/>
      <c r="C1352" s="240" t="s">
        <v>9255</v>
      </c>
      <c r="D1352" s="236"/>
      <c r="E1352" s="241" t="s">
        <v>1420</v>
      </c>
      <c r="F1352" s="240" t="s">
        <v>9256</v>
      </c>
      <c r="G1352" s="238" t="s">
        <v>9257</v>
      </c>
      <c r="H1352" s="241" t="s">
        <v>9258</v>
      </c>
      <c r="I1352" s="236"/>
      <c r="J1352" s="238" t="s">
        <v>9249</v>
      </c>
      <c r="K1352" s="242"/>
      <c r="L1352" s="254" t="s">
        <v>9250</v>
      </c>
      <c r="M1352" s="237"/>
      <c r="N1352" s="237"/>
      <c r="O1352" s="237"/>
      <c r="P1352" s="237"/>
      <c r="Q1352" s="237"/>
      <c r="R1352" s="237"/>
      <c r="S1352" s="237"/>
      <c r="T1352" s="237"/>
      <c r="U1352" s="237"/>
      <c r="V1352" s="237"/>
      <c r="W1352" s="237"/>
      <c r="X1352" s="237"/>
      <c r="Y1352" s="237"/>
      <c r="Z1352" s="237"/>
      <c r="AA1352" s="237"/>
      <c r="AB1352" s="237"/>
    </row>
    <row r="1353">
      <c r="A1353" s="238">
        <v>1352.0</v>
      </c>
      <c r="B1353" s="239" t="s">
        <v>4339</v>
      </c>
      <c r="C1353" s="240" t="s">
        <v>9259</v>
      </c>
      <c r="D1353" s="236"/>
      <c r="E1353" s="241" t="s">
        <v>1420</v>
      </c>
      <c r="F1353" s="240" t="s">
        <v>9260</v>
      </c>
      <c r="G1353" s="238" t="s">
        <v>9261</v>
      </c>
      <c r="H1353" s="241" t="s">
        <v>9262</v>
      </c>
      <c r="I1353" s="236"/>
      <c r="J1353" s="238" t="s">
        <v>9249</v>
      </c>
      <c r="K1353" s="239" t="s">
        <v>4339</v>
      </c>
      <c r="L1353" s="254" t="s">
        <v>9250</v>
      </c>
      <c r="M1353" s="237"/>
      <c r="N1353" s="237"/>
      <c r="O1353" s="237"/>
      <c r="P1353" s="237"/>
      <c r="Q1353" s="237"/>
      <c r="R1353" s="237"/>
      <c r="S1353" s="237"/>
      <c r="T1353" s="237"/>
      <c r="U1353" s="237"/>
      <c r="V1353" s="237"/>
      <c r="W1353" s="237"/>
      <c r="X1353" s="237"/>
      <c r="Y1353" s="237"/>
      <c r="Z1353" s="237"/>
      <c r="AA1353" s="237"/>
      <c r="AB1353" s="237"/>
    </row>
    <row r="1354">
      <c r="A1354" s="238">
        <v>1353.0</v>
      </c>
      <c r="B1354" s="242"/>
      <c r="C1354" s="240" t="s">
        <v>9263</v>
      </c>
      <c r="D1354" s="236"/>
      <c r="E1354" s="241" t="s">
        <v>1420</v>
      </c>
      <c r="F1354" s="240" t="s">
        <v>9264</v>
      </c>
      <c r="G1354" s="238" t="s">
        <v>9265</v>
      </c>
      <c r="H1354" s="241" t="s">
        <v>9266</v>
      </c>
      <c r="I1354" s="236"/>
      <c r="J1354" s="238" t="s">
        <v>9249</v>
      </c>
      <c r="K1354" s="242"/>
      <c r="L1354" s="254" t="s">
        <v>9250</v>
      </c>
      <c r="M1354" s="237"/>
      <c r="N1354" s="237"/>
      <c r="O1354" s="237"/>
      <c r="P1354" s="237"/>
      <c r="Q1354" s="237"/>
      <c r="R1354" s="237"/>
      <c r="S1354" s="237"/>
      <c r="T1354" s="237"/>
      <c r="U1354" s="237"/>
      <c r="V1354" s="237"/>
      <c r="W1354" s="237"/>
      <c r="X1354" s="237"/>
      <c r="Y1354" s="237"/>
      <c r="Z1354" s="237"/>
      <c r="AA1354" s="237"/>
      <c r="AB1354" s="237"/>
    </row>
    <row r="1355">
      <c r="A1355" s="238">
        <v>1354.0</v>
      </c>
      <c r="B1355" s="242"/>
      <c r="C1355" s="240" t="s">
        <v>9267</v>
      </c>
      <c r="D1355" s="236"/>
      <c r="E1355" s="240" t="s">
        <v>3511</v>
      </c>
      <c r="F1355" s="240" t="s">
        <v>9268</v>
      </c>
      <c r="G1355" s="238" t="s">
        <v>9269</v>
      </c>
      <c r="H1355" s="236"/>
      <c r="I1355" s="236"/>
      <c r="J1355" s="238" t="s">
        <v>9249</v>
      </c>
      <c r="K1355" s="242"/>
      <c r="L1355" s="254" t="s">
        <v>9250</v>
      </c>
      <c r="M1355" s="237"/>
      <c r="N1355" s="237"/>
      <c r="O1355" s="237"/>
      <c r="P1355" s="237"/>
      <c r="Q1355" s="237"/>
      <c r="R1355" s="237"/>
      <c r="S1355" s="237"/>
      <c r="T1355" s="237"/>
      <c r="U1355" s="237"/>
      <c r="V1355" s="237"/>
      <c r="W1355" s="237"/>
      <c r="X1355" s="237"/>
      <c r="Y1355" s="237"/>
      <c r="Z1355" s="237"/>
      <c r="AA1355" s="237"/>
      <c r="AB1355" s="237"/>
    </row>
    <row r="1356">
      <c r="A1356" s="238">
        <v>1355.0</v>
      </c>
      <c r="B1356" s="239" t="s">
        <v>4359</v>
      </c>
      <c r="C1356" s="240" t="s">
        <v>9270</v>
      </c>
      <c r="D1356" s="236"/>
      <c r="E1356" s="241" t="s">
        <v>1420</v>
      </c>
      <c r="F1356" s="240" t="s">
        <v>9271</v>
      </c>
      <c r="G1356" s="238" t="s">
        <v>9272</v>
      </c>
      <c r="H1356" s="241" t="s">
        <v>9273</v>
      </c>
      <c r="I1356" s="236"/>
      <c r="J1356" s="238" t="s">
        <v>9249</v>
      </c>
      <c r="K1356" s="239" t="s">
        <v>4359</v>
      </c>
      <c r="L1356" s="254" t="s">
        <v>9250</v>
      </c>
      <c r="M1356" s="237"/>
      <c r="N1356" s="237"/>
      <c r="O1356" s="237"/>
      <c r="P1356" s="237"/>
      <c r="Q1356" s="237"/>
      <c r="R1356" s="237"/>
      <c r="S1356" s="237"/>
      <c r="T1356" s="237"/>
      <c r="U1356" s="237"/>
      <c r="V1356" s="237"/>
      <c r="W1356" s="237"/>
      <c r="X1356" s="237"/>
      <c r="Y1356" s="237"/>
      <c r="Z1356" s="237"/>
      <c r="AA1356" s="237"/>
      <c r="AB1356" s="237"/>
    </row>
    <row r="1357">
      <c r="A1357" s="238">
        <v>1356.0</v>
      </c>
      <c r="B1357" s="242"/>
      <c r="C1357" s="240" t="s">
        <v>9274</v>
      </c>
      <c r="D1357" s="236"/>
      <c r="E1357" s="241" t="s">
        <v>1420</v>
      </c>
      <c r="F1357" s="240" t="s">
        <v>9275</v>
      </c>
      <c r="G1357" s="238" t="s">
        <v>9276</v>
      </c>
      <c r="H1357" s="241" t="s">
        <v>9277</v>
      </c>
      <c r="I1357" s="236"/>
      <c r="J1357" s="238" t="s">
        <v>9249</v>
      </c>
      <c r="K1357" s="242"/>
      <c r="L1357" s="254" t="s">
        <v>9250</v>
      </c>
      <c r="M1357" s="237"/>
      <c r="N1357" s="237"/>
      <c r="O1357" s="237"/>
      <c r="P1357" s="237"/>
      <c r="Q1357" s="237"/>
      <c r="R1357" s="237"/>
      <c r="S1357" s="237"/>
      <c r="T1357" s="237"/>
      <c r="U1357" s="237"/>
      <c r="V1357" s="237"/>
      <c r="W1357" s="237"/>
      <c r="X1357" s="237"/>
      <c r="Y1357" s="237"/>
      <c r="Z1357" s="237"/>
      <c r="AA1357" s="237"/>
      <c r="AB1357" s="237"/>
    </row>
    <row r="1358">
      <c r="A1358" s="238">
        <v>1357.0</v>
      </c>
      <c r="B1358" s="242"/>
      <c r="C1358" s="240" t="s">
        <v>9278</v>
      </c>
      <c r="D1358" s="236"/>
      <c r="E1358" s="241" t="s">
        <v>1420</v>
      </c>
      <c r="F1358" s="240" t="s">
        <v>9279</v>
      </c>
      <c r="G1358" s="238" t="s">
        <v>9280</v>
      </c>
      <c r="H1358" s="241" t="s">
        <v>9281</v>
      </c>
      <c r="I1358" s="236"/>
      <c r="J1358" s="238" t="s">
        <v>9249</v>
      </c>
      <c r="K1358" s="242"/>
      <c r="L1358" s="254" t="s">
        <v>9250</v>
      </c>
      <c r="M1358" s="237"/>
      <c r="N1358" s="237"/>
      <c r="O1358" s="237"/>
      <c r="P1358" s="237"/>
      <c r="Q1358" s="237"/>
      <c r="R1358" s="237"/>
      <c r="S1358" s="237"/>
      <c r="T1358" s="237"/>
      <c r="U1358" s="237"/>
      <c r="V1358" s="237"/>
      <c r="W1358" s="237"/>
      <c r="X1358" s="237"/>
      <c r="Y1358" s="237"/>
      <c r="Z1358" s="237"/>
      <c r="AA1358" s="237"/>
      <c r="AB1358" s="237"/>
    </row>
    <row r="1359">
      <c r="A1359" s="238">
        <v>1358.0</v>
      </c>
      <c r="B1359" s="239" t="s">
        <v>4319</v>
      </c>
      <c r="C1359" s="240" t="s">
        <v>9282</v>
      </c>
      <c r="D1359" s="236"/>
      <c r="E1359" s="241" t="s">
        <v>1420</v>
      </c>
      <c r="F1359" s="240" t="s">
        <v>9283</v>
      </c>
      <c r="G1359" s="238" t="s">
        <v>9284</v>
      </c>
      <c r="H1359" s="241" t="s">
        <v>9285</v>
      </c>
      <c r="I1359" s="236"/>
      <c r="J1359" s="238" t="s">
        <v>9249</v>
      </c>
      <c r="K1359" s="239" t="s">
        <v>4319</v>
      </c>
      <c r="L1359" s="254" t="s">
        <v>9286</v>
      </c>
      <c r="M1359" s="237"/>
      <c r="N1359" s="237"/>
      <c r="O1359" s="237"/>
      <c r="P1359" s="237"/>
      <c r="Q1359" s="237"/>
      <c r="R1359" s="237"/>
      <c r="S1359" s="237"/>
      <c r="T1359" s="237"/>
      <c r="U1359" s="237"/>
      <c r="V1359" s="237"/>
      <c r="W1359" s="237"/>
      <c r="X1359" s="237"/>
      <c r="Y1359" s="237"/>
      <c r="Z1359" s="237"/>
      <c r="AA1359" s="237"/>
      <c r="AB1359" s="237"/>
    </row>
    <row r="1360">
      <c r="A1360" s="238">
        <v>1359.0</v>
      </c>
      <c r="B1360" s="242"/>
      <c r="C1360" s="240" t="s">
        <v>9287</v>
      </c>
      <c r="D1360" s="236"/>
      <c r="E1360" s="241" t="s">
        <v>1420</v>
      </c>
      <c r="F1360" s="240" t="s">
        <v>9288</v>
      </c>
      <c r="G1360" s="238" t="s">
        <v>9289</v>
      </c>
      <c r="H1360" s="241" t="s">
        <v>9290</v>
      </c>
      <c r="I1360" s="236"/>
      <c r="J1360" s="238" t="s">
        <v>9249</v>
      </c>
      <c r="K1360" s="242"/>
      <c r="L1360" s="254" t="s">
        <v>9286</v>
      </c>
      <c r="M1360" s="237"/>
      <c r="N1360" s="237"/>
      <c r="O1360" s="237"/>
      <c r="P1360" s="237"/>
      <c r="Q1360" s="237"/>
      <c r="R1360" s="237"/>
      <c r="S1360" s="237"/>
      <c r="T1360" s="237"/>
      <c r="U1360" s="237"/>
      <c r="V1360" s="237"/>
      <c r="W1360" s="237"/>
      <c r="X1360" s="237"/>
      <c r="Y1360" s="237"/>
      <c r="Z1360" s="237"/>
      <c r="AA1360" s="237"/>
      <c r="AB1360" s="237"/>
    </row>
    <row r="1361">
      <c r="A1361" s="238">
        <v>1360.0</v>
      </c>
      <c r="B1361" s="242"/>
      <c r="C1361" s="240" t="s">
        <v>9291</v>
      </c>
      <c r="D1361" s="236"/>
      <c r="E1361" s="241" t="s">
        <v>1420</v>
      </c>
      <c r="F1361" s="240" t="s">
        <v>9292</v>
      </c>
      <c r="G1361" s="238" t="s">
        <v>9293</v>
      </c>
      <c r="H1361" s="241" t="s">
        <v>9294</v>
      </c>
      <c r="I1361" s="236"/>
      <c r="J1361" s="238" t="s">
        <v>9249</v>
      </c>
      <c r="K1361" s="242"/>
      <c r="L1361" s="254" t="s">
        <v>9286</v>
      </c>
      <c r="M1361" s="237"/>
      <c r="N1361" s="237"/>
      <c r="O1361" s="237"/>
      <c r="P1361" s="237"/>
      <c r="Q1361" s="237"/>
      <c r="R1361" s="237"/>
      <c r="S1361" s="237"/>
      <c r="T1361" s="237"/>
      <c r="U1361" s="237"/>
      <c r="V1361" s="237"/>
      <c r="W1361" s="237"/>
      <c r="X1361" s="237"/>
      <c r="Y1361" s="237"/>
      <c r="Z1361" s="237"/>
      <c r="AA1361" s="237"/>
      <c r="AB1361" s="237"/>
    </row>
    <row r="1362">
      <c r="A1362" s="238">
        <v>1361.0</v>
      </c>
      <c r="B1362" s="239" t="s">
        <v>4324</v>
      </c>
      <c r="C1362" s="240" t="s">
        <v>9295</v>
      </c>
      <c r="D1362" s="236"/>
      <c r="E1362" s="241" t="s">
        <v>1420</v>
      </c>
      <c r="F1362" s="240" t="s">
        <v>9296</v>
      </c>
      <c r="G1362" s="238" t="s">
        <v>9297</v>
      </c>
      <c r="H1362" s="241" t="s">
        <v>9298</v>
      </c>
      <c r="I1362" s="236"/>
      <c r="J1362" s="238" t="s">
        <v>9249</v>
      </c>
      <c r="K1362" s="239" t="s">
        <v>4324</v>
      </c>
      <c r="L1362" s="254" t="s">
        <v>9286</v>
      </c>
      <c r="M1362" s="237"/>
      <c r="N1362" s="237"/>
      <c r="O1362" s="237"/>
      <c r="P1362" s="237"/>
      <c r="Q1362" s="237"/>
      <c r="R1362" s="237"/>
      <c r="S1362" s="237"/>
      <c r="T1362" s="237"/>
      <c r="U1362" s="237"/>
      <c r="V1362" s="237"/>
      <c r="W1362" s="237"/>
      <c r="X1362" s="237"/>
      <c r="Y1362" s="237"/>
      <c r="Z1362" s="237"/>
      <c r="AA1362" s="237"/>
      <c r="AB1362" s="237"/>
    </row>
    <row r="1363">
      <c r="A1363" s="238">
        <v>1362.0</v>
      </c>
      <c r="B1363" s="242"/>
      <c r="C1363" s="240" t="s">
        <v>9299</v>
      </c>
      <c r="D1363" s="236"/>
      <c r="E1363" s="241" t="s">
        <v>1420</v>
      </c>
      <c r="F1363" s="240" t="s">
        <v>9300</v>
      </c>
      <c r="G1363" s="238" t="s">
        <v>9301</v>
      </c>
      <c r="H1363" s="241" t="s">
        <v>9302</v>
      </c>
      <c r="I1363" s="236"/>
      <c r="J1363" s="238" t="s">
        <v>9249</v>
      </c>
      <c r="K1363" s="242"/>
      <c r="L1363" s="254" t="s">
        <v>9286</v>
      </c>
      <c r="M1363" s="237"/>
      <c r="N1363" s="237"/>
      <c r="O1363" s="237"/>
      <c r="P1363" s="237"/>
      <c r="Q1363" s="237"/>
      <c r="R1363" s="237"/>
      <c r="S1363" s="237"/>
      <c r="T1363" s="237"/>
      <c r="U1363" s="237"/>
      <c r="V1363" s="237"/>
      <c r="W1363" s="237"/>
      <c r="X1363" s="237"/>
      <c r="Y1363" s="237"/>
      <c r="Z1363" s="237"/>
      <c r="AA1363" s="237"/>
      <c r="AB1363" s="237"/>
    </row>
    <row r="1364">
      <c r="A1364" s="238">
        <v>1363.0</v>
      </c>
      <c r="B1364" s="242"/>
      <c r="C1364" s="240" t="s">
        <v>9303</v>
      </c>
      <c r="D1364" s="236"/>
      <c r="E1364" s="241" t="s">
        <v>1420</v>
      </c>
      <c r="F1364" s="240" t="s">
        <v>9304</v>
      </c>
      <c r="G1364" s="238" t="s">
        <v>9305</v>
      </c>
      <c r="H1364" s="241" t="s">
        <v>9306</v>
      </c>
      <c r="I1364" s="236"/>
      <c r="J1364" s="238" t="s">
        <v>9249</v>
      </c>
      <c r="K1364" s="242"/>
      <c r="L1364" s="254" t="s">
        <v>9286</v>
      </c>
      <c r="M1364" s="237"/>
      <c r="N1364" s="237"/>
      <c r="O1364" s="237"/>
      <c r="P1364" s="237"/>
      <c r="Q1364" s="237"/>
      <c r="R1364" s="237"/>
      <c r="S1364" s="237"/>
      <c r="T1364" s="237"/>
      <c r="U1364" s="237"/>
      <c r="V1364" s="237"/>
      <c r="W1364" s="237"/>
      <c r="X1364" s="237"/>
      <c r="Y1364" s="237"/>
      <c r="Z1364" s="237"/>
      <c r="AA1364" s="237"/>
      <c r="AB1364" s="237"/>
    </row>
    <row r="1365">
      <c r="A1365" s="238">
        <v>1364.0</v>
      </c>
      <c r="B1365" s="242"/>
      <c r="C1365" s="240" t="s">
        <v>9307</v>
      </c>
      <c r="D1365" s="236"/>
      <c r="E1365" s="241" t="s">
        <v>1420</v>
      </c>
      <c r="F1365" s="241" t="s">
        <v>9308</v>
      </c>
      <c r="G1365" s="238" t="s">
        <v>6896</v>
      </c>
      <c r="H1365" s="241" t="s">
        <v>9309</v>
      </c>
      <c r="I1365" s="236"/>
      <c r="J1365" s="238" t="s">
        <v>9249</v>
      </c>
      <c r="K1365" s="242"/>
      <c r="L1365" s="254" t="s">
        <v>9286</v>
      </c>
      <c r="M1365" s="237"/>
      <c r="N1365" s="237"/>
      <c r="O1365" s="237"/>
      <c r="P1365" s="237"/>
      <c r="Q1365" s="237"/>
      <c r="R1365" s="237"/>
      <c r="S1365" s="237"/>
      <c r="T1365" s="237"/>
      <c r="U1365" s="237"/>
      <c r="V1365" s="237"/>
      <c r="W1365" s="237"/>
      <c r="X1365" s="237"/>
      <c r="Y1365" s="237"/>
      <c r="Z1365" s="237"/>
      <c r="AA1365" s="237"/>
      <c r="AB1365" s="237"/>
    </row>
    <row r="1366">
      <c r="A1366" s="238">
        <v>1365.0</v>
      </c>
      <c r="B1366" s="239" t="s">
        <v>5687</v>
      </c>
      <c r="C1366" s="240" t="s">
        <v>9310</v>
      </c>
      <c r="D1366" s="236"/>
      <c r="E1366" s="241" t="s">
        <v>1420</v>
      </c>
      <c r="F1366" s="240" t="s">
        <v>9311</v>
      </c>
      <c r="G1366" s="238" t="s">
        <v>5690</v>
      </c>
      <c r="H1366" s="241" t="s">
        <v>9312</v>
      </c>
      <c r="I1366" s="236"/>
      <c r="J1366" s="238" t="s">
        <v>9249</v>
      </c>
      <c r="K1366" s="239" t="s">
        <v>5687</v>
      </c>
      <c r="L1366" s="254" t="s">
        <v>9286</v>
      </c>
      <c r="M1366" s="237"/>
      <c r="N1366" s="237"/>
      <c r="O1366" s="237"/>
      <c r="P1366" s="237"/>
      <c r="Q1366" s="237"/>
      <c r="R1366" s="237"/>
      <c r="S1366" s="237"/>
      <c r="T1366" s="237"/>
      <c r="U1366" s="237"/>
      <c r="V1366" s="237"/>
      <c r="W1366" s="237"/>
      <c r="X1366" s="237"/>
      <c r="Y1366" s="237"/>
      <c r="Z1366" s="237"/>
      <c r="AA1366" s="237"/>
      <c r="AB1366" s="237"/>
    </row>
    <row r="1367">
      <c r="A1367" s="238">
        <v>1366.0</v>
      </c>
      <c r="B1367" s="239" t="s">
        <v>6890</v>
      </c>
      <c r="C1367" s="240" t="s">
        <v>9313</v>
      </c>
      <c r="D1367" s="236"/>
      <c r="E1367" s="241" t="s">
        <v>1420</v>
      </c>
      <c r="F1367" s="241" t="s">
        <v>9314</v>
      </c>
      <c r="G1367" s="238" t="s">
        <v>6893</v>
      </c>
      <c r="H1367" s="241" t="s">
        <v>9315</v>
      </c>
      <c r="I1367" s="236"/>
      <c r="J1367" s="238" t="s">
        <v>9249</v>
      </c>
      <c r="K1367" s="239" t="s">
        <v>6890</v>
      </c>
      <c r="L1367" s="254" t="s">
        <v>9286</v>
      </c>
      <c r="M1367" s="237"/>
      <c r="N1367" s="237"/>
      <c r="O1367" s="237"/>
      <c r="P1367" s="237"/>
      <c r="Q1367" s="237"/>
      <c r="R1367" s="237"/>
      <c r="S1367" s="237"/>
      <c r="T1367" s="237"/>
      <c r="U1367" s="237"/>
      <c r="V1367" s="237"/>
      <c r="W1367" s="237"/>
      <c r="X1367" s="237"/>
      <c r="Y1367" s="237"/>
      <c r="Z1367" s="237"/>
      <c r="AA1367" s="237"/>
      <c r="AB1367" s="237"/>
    </row>
    <row r="1368">
      <c r="A1368" s="238">
        <v>1367.0</v>
      </c>
      <c r="B1368" s="239" t="s">
        <v>9316</v>
      </c>
      <c r="C1368" s="240" t="s">
        <v>9317</v>
      </c>
      <c r="D1368" s="236"/>
      <c r="E1368" s="240" t="s">
        <v>3511</v>
      </c>
      <c r="F1368" s="240" t="s">
        <v>9318</v>
      </c>
      <c r="G1368" s="238" t="s">
        <v>9319</v>
      </c>
      <c r="H1368" s="240" t="s">
        <v>9320</v>
      </c>
      <c r="I1368" s="236"/>
      <c r="J1368" s="238" t="s">
        <v>5032</v>
      </c>
      <c r="K1368" s="239" t="s">
        <v>9316</v>
      </c>
      <c r="L1368" s="237"/>
      <c r="M1368" s="237"/>
      <c r="N1368" s="237"/>
      <c r="O1368" s="237"/>
      <c r="P1368" s="237"/>
      <c r="Q1368" s="237"/>
      <c r="R1368" s="237"/>
      <c r="S1368" s="237"/>
      <c r="T1368" s="237"/>
      <c r="U1368" s="237"/>
      <c r="V1368" s="237"/>
      <c r="W1368" s="237"/>
      <c r="X1368" s="237"/>
      <c r="Y1368" s="237"/>
      <c r="Z1368" s="237"/>
      <c r="AA1368" s="237"/>
      <c r="AB1368" s="237"/>
    </row>
    <row r="1369">
      <c r="A1369" s="238">
        <v>1368.0</v>
      </c>
      <c r="B1369" s="239" t="s">
        <v>9321</v>
      </c>
      <c r="C1369" s="240" t="s">
        <v>9322</v>
      </c>
      <c r="D1369" s="236"/>
      <c r="E1369" s="240" t="s">
        <v>3511</v>
      </c>
      <c r="F1369" s="240" t="s">
        <v>9323</v>
      </c>
      <c r="G1369" s="238" t="s">
        <v>9324</v>
      </c>
      <c r="H1369" s="240" t="s">
        <v>9325</v>
      </c>
      <c r="I1369" s="236"/>
      <c r="J1369" s="238" t="s">
        <v>5032</v>
      </c>
      <c r="K1369" s="239" t="s">
        <v>9321</v>
      </c>
      <c r="L1369" s="237"/>
      <c r="M1369" s="237"/>
      <c r="N1369" s="237"/>
      <c r="O1369" s="237"/>
      <c r="P1369" s="237"/>
      <c r="Q1369" s="237"/>
      <c r="R1369" s="237"/>
      <c r="S1369" s="237"/>
      <c r="T1369" s="237"/>
      <c r="U1369" s="237"/>
      <c r="V1369" s="237"/>
      <c r="W1369" s="237"/>
      <c r="X1369" s="237"/>
      <c r="Y1369" s="237"/>
      <c r="Z1369" s="237"/>
      <c r="AA1369" s="237"/>
      <c r="AB1369" s="237"/>
    </row>
    <row r="1370">
      <c r="A1370" s="238">
        <v>1369.0</v>
      </c>
      <c r="B1370" s="239" t="s">
        <v>9326</v>
      </c>
      <c r="C1370" s="240" t="s">
        <v>9327</v>
      </c>
      <c r="D1370" s="236"/>
      <c r="E1370" s="240" t="s">
        <v>3511</v>
      </c>
      <c r="F1370" s="240" t="s">
        <v>9328</v>
      </c>
      <c r="G1370" s="238" t="s">
        <v>9329</v>
      </c>
      <c r="H1370" s="240" t="s">
        <v>9330</v>
      </c>
      <c r="I1370" s="236"/>
      <c r="J1370" s="238" t="s">
        <v>5032</v>
      </c>
      <c r="K1370" s="239" t="s">
        <v>9326</v>
      </c>
      <c r="L1370" s="237"/>
      <c r="M1370" s="237"/>
      <c r="N1370" s="237"/>
      <c r="O1370" s="237"/>
      <c r="P1370" s="237"/>
      <c r="Q1370" s="237"/>
      <c r="R1370" s="237"/>
      <c r="S1370" s="237"/>
      <c r="T1370" s="237"/>
      <c r="U1370" s="237"/>
      <c r="V1370" s="237"/>
      <c r="W1370" s="237"/>
      <c r="X1370" s="237"/>
      <c r="Y1370" s="237"/>
      <c r="Z1370" s="237"/>
      <c r="AA1370" s="237"/>
      <c r="AB1370" s="237"/>
    </row>
    <row r="1371">
      <c r="A1371" s="238">
        <v>1370.0</v>
      </c>
      <c r="B1371" s="242"/>
      <c r="C1371" s="240" t="s">
        <v>9331</v>
      </c>
      <c r="D1371" s="236"/>
      <c r="E1371" s="240" t="s">
        <v>3511</v>
      </c>
      <c r="F1371" s="240" t="s">
        <v>9332</v>
      </c>
      <c r="G1371" s="238" t="s">
        <v>9333</v>
      </c>
      <c r="H1371" s="236"/>
      <c r="I1371" s="236"/>
      <c r="J1371" s="238" t="s">
        <v>8507</v>
      </c>
      <c r="K1371" s="242"/>
      <c r="L1371" s="237"/>
      <c r="M1371" s="237"/>
      <c r="N1371" s="237"/>
      <c r="O1371" s="237"/>
      <c r="P1371" s="237"/>
      <c r="Q1371" s="237"/>
      <c r="R1371" s="237"/>
      <c r="S1371" s="237"/>
      <c r="T1371" s="237"/>
      <c r="U1371" s="237"/>
      <c r="V1371" s="237"/>
      <c r="W1371" s="237"/>
      <c r="X1371" s="237"/>
      <c r="Y1371" s="237"/>
      <c r="Z1371" s="237"/>
      <c r="AA1371" s="237"/>
      <c r="AB1371" s="237"/>
    </row>
    <row r="1372">
      <c r="A1372" s="238">
        <v>1371.0</v>
      </c>
      <c r="B1372" s="242"/>
      <c r="C1372" s="240" t="s">
        <v>9334</v>
      </c>
      <c r="D1372" s="236"/>
      <c r="E1372" s="240" t="s">
        <v>3511</v>
      </c>
      <c r="F1372" s="240" t="s">
        <v>9335</v>
      </c>
      <c r="G1372" s="238" t="s">
        <v>9336</v>
      </c>
      <c r="H1372" s="236"/>
      <c r="I1372" s="236"/>
      <c r="J1372" s="238" t="s">
        <v>8507</v>
      </c>
      <c r="K1372" s="242"/>
      <c r="L1372" s="237"/>
      <c r="M1372" s="237"/>
      <c r="N1372" s="237"/>
      <c r="O1372" s="237"/>
      <c r="P1372" s="237"/>
      <c r="Q1372" s="237"/>
      <c r="R1372" s="237"/>
      <c r="S1372" s="237"/>
      <c r="T1372" s="237"/>
      <c r="U1372" s="237"/>
      <c r="V1372" s="237"/>
      <c r="W1372" s="237"/>
      <c r="X1372" s="237"/>
      <c r="Y1372" s="237"/>
      <c r="Z1372" s="237"/>
      <c r="AA1372" s="237"/>
      <c r="AB1372" s="237"/>
    </row>
    <row r="1373">
      <c r="A1373" s="238">
        <v>1372.0</v>
      </c>
      <c r="B1373" s="242"/>
      <c r="C1373" s="240" t="s">
        <v>9337</v>
      </c>
      <c r="D1373" s="236"/>
      <c r="E1373" s="240" t="s">
        <v>3511</v>
      </c>
      <c r="F1373" s="240" t="s">
        <v>9338</v>
      </c>
      <c r="G1373" s="238" t="s">
        <v>9339</v>
      </c>
      <c r="H1373" s="236"/>
      <c r="I1373" s="236"/>
      <c r="J1373" s="238" t="s">
        <v>8507</v>
      </c>
      <c r="K1373" s="242"/>
      <c r="L1373" s="237"/>
      <c r="M1373" s="237"/>
      <c r="N1373" s="237"/>
      <c r="O1373" s="237"/>
      <c r="P1373" s="237"/>
      <c r="Q1373" s="237"/>
      <c r="R1373" s="237"/>
      <c r="S1373" s="237"/>
      <c r="T1373" s="237"/>
      <c r="U1373" s="237"/>
      <c r="V1373" s="237"/>
      <c r="W1373" s="237"/>
      <c r="X1373" s="237"/>
      <c r="Y1373" s="237"/>
      <c r="Z1373" s="237"/>
      <c r="AA1373" s="237"/>
      <c r="AB1373" s="237"/>
    </row>
    <row r="1374">
      <c r="A1374" s="238">
        <v>1373.0</v>
      </c>
      <c r="B1374" s="242"/>
      <c r="C1374" s="240" t="s">
        <v>9340</v>
      </c>
      <c r="D1374" s="236"/>
      <c r="E1374" s="240" t="s">
        <v>3511</v>
      </c>
      <c r="F1374" s="240" t="s">
        <v>9341</v>
      </c>
      <c r="G1374" s="238" t="s">
        <v>9342</v>
      </c>
      <c r="H1374" s="236"/>
      <c r="I1374" s="236"/>
      <c r="J1374" s="238" t="s">
        <v>8507</v>
      </c>
      <c r="K1374" s="242"/>
      <c r="L1374" s="237"/>
      <c r="M1374" s="237"/>
      <c r="N1374" s="237"/>
      <c r="O1374" s="237"/>
      <c r="P1374" s="237"/>
      <c r="Q1374" s="237"/>
      <c r="R1374" s="237"/>
      <c r="S1374" s="237"/>
      <c r="T1374" s="237"/>
      <c r="U1374" s="237"/>
      <c r="V1374" s="237"/>
      <c r="W1374" s="237"/>
      <c r="X1374" s="237"/>
      <c r="Y1374" s="237"/>
      <c r="Z1374" s="237"/>
      <c r="AA1374" s="237"/>
      <c r="AB1374" s="237"/>
    </row>
    <row r="1375">
      <c r="A1375" s="238">
        <v>1374.0</v>
      </c>
      <c r="B1375" s="242"/>
      <c r="C1375" s="240" t="s">
        <v>9343</v>
      </c>
      <c r="D1375" s="236"/>
      <c r="E1375" s="240" t="s">
        <v>3511</v>
      </c>
      <c r="F1375" s="240" t="s">
        <v>9344</v>
      </c>
      <c r="G1375" s="238" t="s">
        <v>9345</v>
      </c>
      <c r="H1375" s="236"/>
      <c r="I1375" s="236"/>
      <c r="J1375" s="238" t="s">
        <v>8507</v>
      </c>
      <c r="K1375" s="242"/>
      <c r="L1375" s="237"/>
      <c r="M1375" s="237"/>
      <c r="N1375" s="237"/>
      <c r="O1375" s="237"/>
      <c r="P1375" s="237"/>
      <c r="Q1375" s="237"/>
      <c r="R1375" s="237"/>
      <c r="S1375" s="237"/>
      <c r="T1375" s="237"/>
      <c r="U1375" s="237"/>
      <c r="V1375" s="237"/>
      <c r="W1375" s="237"/>
      <c r="X1375" s="237"/>
      <c r="Y1375" s="237"/>
      <c r="Z1375" s="237"/>
      <c r="AA1375" s="237"/>
      <c r="AB1375" s="237"/>
    </row>
    <row r="1376">
      <c r="A1376" s="238">
        <v>1375.0</v>
      </c>
      <c r="B1376" s="242"/>
      <c r="C1376" s="240" t="s">
        <v>9346</v>
      </c>
      <c r="D1376" s="236"/>
      <c r="E1376" s="240" t="s">
        <v>3511</v>
      </c>
      <c r="F1376" s="240" t="s">
        <v>9347</v>
      </c>
      <c r="G1376" s="238" t="s">
        <v>9348</v>
      </c>
      <c r="H1376" s="236"/>
      <c r="I1376" s="236"/>
      <c r="J1376" s="238" t="s">
        <v>8507</v>
      </c>
      <c r="K1376" s="242"/>
      <c r="L1376" s="237"/>
      <c r="M1376" s="237"/>
      <c r="N1376" s="237"/>
      <c r="O1376" s="237"/>
      <c r="P1376" s="237"/>
      <c r="Q1376" s="237"/>
      <c r="R1376" s="237"/>
      <c r="S1376" s="237"/>
      <c r="T1376" s="237"/>
      <c r="U1376" s="237"/>
      <c r="V1376" s="237"/>
      <c r="W1376" s="237"/>
      <c r="X1376" s="237"/>
      <c r="Y1376" s="237"/>
      <c r="Z1376" s="237"/>
      <c r="AA1376" s="237"/>
      <c r="AB1376" s="237"/>
    </row>
    <row r="1377">
      <c r="A1377" s="238">
        <v>1376.0</v>
      </c>
      <c r="B1377" s="242"/>
      <c r="C1377" s="240" t="s">
        <v>9349</v>
      </c>
      <c r="D1377" s="236"/>
      <c r="E1377" s="240" t="s">
        <v>3511</v>
      </c>
      <c r="F1377" s="240" t="s">
        <v>9350</v>
      </c>
      <c r="G1377" s="238" t="s">
        <v>9351</v>
      </c>
      <c r="H1377" s="236"/>
      <c r="I1377" s="236"/>
      <c r="J1377" s="238" t="s">
        <v>8507</v>
      </c>
      <c r="K1377" s="242"/>
      <c r="L1377" s="237"/>
      <c r="M1377" s="237"/>
      <c r="N1377" s="237"/>
      <c r="O1377" s="237"/>
      <c r="P1377" s="237"/>
      <c r="Q1377" s="237"/>
      <c r="R1377" s="237"/>
      <c r="S1377" s="237"/>
      <c r="T1377" s="237"/>
      <c r="U1377" s="237"/>
      <c r="V1377" s="237"/>
      <c r="W1377" s="237"/>
      <c r="X1377" s="237"/>
      <c r="Y1377" s="237"/>
      <c r="Z1377" s="237"/>
      <c r="AA1377" s="237"/>
      <c r="AB1377" s="237"/>
    </row>
    <row r="1378">
      <c r="A1378" s="238">
        <v>1377.0</v>
      </c>
      <c r="B1378" s="242"/>
      <c r="C1378" s="240" t="s">
        <v>9352</v>
      </c>
      <c r="D1378" s="236"/>
      <c r="E1378" s="240" t="s">
        <v>3511</v>
      </c>
      <c r="F1378" s="240" t="s">
        <v>9353</v>
      </c>
      <c r="G1378" s="238" t="s">
        <v>9354</v>
      </c>
      <c r="H1378" s="240" t="s">
        <v>9355</v>
      </c>
      <c r="I1378" s="236"/>
      <c r="J1378" s="238" t="s">
        <v>8507</v>
      </c>
      <c r="K1378" s="242"/>
      <c r="L1378" s="237"/>
      <c r="M1378" s="237"/>
      <c r="N1378" s="237"/>
      <c r="O1378" s="237"/>
      <c r="P1378" s="237"/>
      <c r="Q1378" s="237"/>
      <c r="R1378" s="237"/>
      <c r="S1378" s="237"/>
      <c r="T1378" s="237"/>
      <c r="U1378" s="237"/>
      <c r="V1378" s="237"/>
      <c r="W1378" s="237"/>
      <c r="X1378" s="237"/>
      <c r="Y1378" s="237"/>
      <c r="Z1378" s="237"/>
      <c r="AA1378" s="237"/>
      <c r="AB1378" s="237"/>
    </row>
    <row r="1379">
      <c r="A1379" s="238">
        <v>1378.0</v>
      </c>
      <c r="B1379" s="242"/>
      <c r="C1379" s="240" t="s">
        <v>9356</v>
      </c>
      <c r="D1379" s="236"/>
      <c r="E1379" s="240" t="s">
        <v>3511</v>
      </c>
      <c r="F1379" s="240" t="s">
        <v>9357</v>
      </c>
      <c r="G1379" s="238" t="s">
        <v>9358</v>
      </c>
      <c r="H1379" s="240" t="s">
        <v>9359</v>
      </c>
      <c r="I1379" s="236"/>
      <c r="J1379" s="238" t="s">
        <v>8507</v>
      </c>
      <c r="K1379" s="242"/>
      <c r="L1379" s="237"/>
      <c r="M1379" s="237"/>
      <c r="N1379" s="237"/>
      <c r="O1379" s="237"/>
      <c r="P1379" s="237"/>
      <c r="Q1379" s="237"/>
      <c r="R1379" s="237"/>
      <c r="S1379" s="237"/>
      <c r="T1379" s="237"/>
      <c r="U1379" s="237"/>
      <c r="V1379" s="237"/>
      <c r="W1379" s="237"/>
      <c r="X1379" s="237"/>
      <c r="Y1379" s="237"/>
      <c r="Z1379" s="237"/>
      <c r="AA1379" s="237"/>
      <c r="AB1379" s="237"/>
    </row>
    <row r="1380">
      <c r="A1380" s="238">
        <v>1379.0</v>
      </c>
      <c r="B1380" s="242"/>
      <c r="C1380" s="240" t="s">
        <v>9360</v>
      </c>
      <c r="D1380" s="236"/>
      <c r="E1380" s="240" t="s">
        <v>3511</v>
      </c>
      <c r="F1380" s="240" t="s">
        <v>9361</v>
      </c>
      <c r="G1380" s="238" t="s">
        <v>9362</v>
      </c>
      <c r="H1380" s="240" t="s">
        <v>9363</v>
      </c>
      <c r="I1380" s="236"/>
      <c r="J1380" s="238" t="s">
        <v>8507</v>
      </c>
      <c r="K1380" s="242"/>
      <c r="L1380" s="237"/>
      <c r="M1380" s="237"/>
      <c r="N1380" s="237"/>
      <c r="O1380" s="237"/>
      <c r="P1380" s="237"/>
      <c r="Q1380" s="237"/>
      <c r="R1380" s="237"/>
      <c r="S1380" s="237"/>
      <c r="T1380" s="237"/>
      <c r="U1380" s="237"/>
      <c r="V1380" s="237"/>
      <c r="W1380" s="237"/>
      <c r="X1380" s="237"/>
      <c r="Y1380" s="237"/>
      <c r="Z1380" s="237"/>
      <c r="AA1380" s="237"/>
      <c r="AB1380" s="237"/>
    </row>
    <row r="1381">
      <c r="A1381" s="238">
        <v>1380.0</v>
      </c>
      <c r="B1381" s="239" t="s">
        <v>9364</v>
      </c>
      <c r="C1381" s="240" t="s">
        <v>9365</v>
      </c>
      <c r="D1381" s="236"/>
      <c r="E1381" s="240" t="s">
        <v>3511</v>
      </c>
      <c r="F1381" s="240" t="s">
        <v>9366</v>
      </c>
      <c r="G1381" s="238" t="s">
        <v>9367</v>
      </c>
      <c r="H1381" s="241" t="s">
        <v>9368</v>
      </c>
      <c r="I1381" s="236"/>
      <c r="J1381" s="238" t="s">
        <v>8507</v>
      </c>
      <c r="K1381" s="239" t="s">
        <v>9364</v>
      </c>
      <c r="L1381" s="237"/>
      <c r="M1381" s="237"/>
      <c r="N1381" s="237"/>
      <c r="O1381" s="237"/>
      <c r="P1381" s="237"/>
      <c r="Q1381" s="237"/>
      <c r="R1381" s="237"/>
      <c r="S1381" s="237"/>
      <c r="T1381" s="237"/>
      <c r="U1381" s="237"/>
      <c r="V1381" s="237"/>
      <c r="W1381" s="237"/>
      <c r="X1381" s="237"/>
      <c r="Y1381" s="237"/>
      <c r="Z1381" s="237"/>
      <c r="AA1381" s="237"/>
      <c r="AB1381" s="237"/>
    </row>
    <row r="1382">
      <c r="A1382" s="238">
        <v>1381.0</v>
      </c>
      <c r="B1382" s="239" t="s">
        <v>9369</v>
      </c>
      <c r="C1382" s="240" t="s">
        <v>9370</v>
      </c>
      <c r="D1382" s="236"/>
      <c r="E1382" s="240" t="s">
        <v>3511</v>
      </c>
      <c r="F1382" s="240" t="s">
        <v>9371</v>
      </c>
      <c r="G1382" s="238" t="s">
        <v>9372</v>
      </c>
      <c r="H1382" s="240" t="s">
        <v>9373</v>
      </c>
      <c r="I1382" s="236"/>
      <c r="J1382" s="238" t="s">
        <v>8507</v>
      </c>
      <c r="K1382" s="239" t="s">
        <v>9369</v>
      </c>
      <c r="L1382" s="237"/>
      <c r="M1382" s="237"/>
      <c r="N1382" s="237"/>
      <c r="O1382" s="237"/>
      <c r="P1382" s="237"/>
      <c r="Q1382" s="237"/>
      <c r="R1382" s="237"/>
      <c r="S1382" s="237"/>
      <c r="T1382" s="237"/>
      <c r="U1382" s="237"/>
      <c r="V1382" s="237"/>
      <c r="W1382" s="237"/>
      <c r="X1382" s="237"/>
      <c r="Y1382" s="237"/>
      <c r="Z1382" s="237"/>
      <c r="AA1382" s="237"/>
      <c r="AB1382" s="237"/>
    </row>
    <row r="1383">
      <c r="A1383" s="238">
        <v>1382.0</v>
      </c>
      <c r="B1383" s="239" t="s">
        <v>9374</v>
      </c>
      <c r="C1383" s="240" t="s">
        <v>9375</v>
      </c>
      <c r="D1383" s="236"/>
      <c r="E1383" s="240" t="s">
        <v>3511</v>
      </c>
      <c r="F1383" s="240" t="s">
        <v>9376</v>
      </c>
      <c r="G1383" s="238" t="s">
        <v>9377</v>
      </c>
      <c r="H1383" s="241" t="s">
        <v>9378</v>
      </c>
      <c r="I1383" s="236"/>
      <c r="J1383" s="238" t="s">
        <v>8507</v>
      </c>
      <c r="K1383" s="239" t="s">
        <v>9374</v>
      </c>
      <c r="L1383" s="237"/>
      <c r="M1383" s="237"/>
      <c r="N1383" s="237"/>
      <c r="O1383" s="237"/>
      <c r="P1383" s="237"/>
      <c r="Q1383" s="237"/>
      <c r="R1383" s="237"/>
      <c r="S1383" s="237"/>
      <c r="T1383" s="237"/>
      <c r="U1383" s="237"/>
      <c r="V1383" s="237"/>
      <c r="W1383" s="237"/>
      <c r="X1383" s="237"/>
      <c r="Y1383" s="237"/>
      <c r="Z1383" s="237"/>
      <c r="AA1383" s="237"/>
      <c r="AB1383" s="237"/>
    </row>
    <row r="1384">
      <c r="A1384" s="238">
        <v>1383.0</v>
      </c>
      <c r="B1384" s="239" t="s">
        <v>9379</v>
      </c>
      <c r="C1384" s="240" t="s">
        <v>9380</v>
      </c>
      <c r="D1384" s="236"/>
      <c r="E1384" s="240" t="s">
        <v>3511</v>
      </c>
      <c r="F1384" s="240" t="s">
        <v>9381</v>
      </c>
      <c r="G1384" s="238" t="s">
        <v>9382</v>
      </c>
      <c r="H1384" s="240" t="s">
        <v>9383</v>
      </c>
      <c r="I1384" s="236"/>
      <c r="J1384" s="238" t="s">
        <v>8507</v>
      </c>
      <c r="K1384" s="239" t="s">
        <v>9379</v>
      </c>
      <c r="L1384" s="237"/>
      <c r="M1384" s="237"/>
      <c r="N1384" s="237"/>
      <c r="O1384" s="237"/>
      <c r="P1384" s="237"/>
      <c r="Q1384" s="237"/>
      <c r="R1384" s="237"/>
      <c r="S1384" s="237"/>
      <c r="T1384" s="237"/>
      <c r="U1384" s="237"/>
      <c r="V1384" s="237"/>
      <c r="W1384" s="237"/>
      <c r="X1384" s="237"/>
      <c r="Y1384" s="237"/>
      <c r="Z1384" s="237"/>
      <c r="AA1384" s="237"/>
      <c r="AB1384" s="237"/>
    </row>
    <row r="1385">
      <c r="A1385" s="238">
        <v>1384.0</v>
      </c>
      <c r="B1385" s="242"/>
      <c r="C1385" s="240" t="s">
        <v>9384</v>
      </c>
      <c r="D1385" s="236"/>
      <c r="E1385" s="240" t="s">
        <v>3511</v>
      </c>
      <c r="F1385" s="240" t="s">
        <v>9385</v>
      </c>
      <c r="G1385" s="238" t="s">
        <v>9386</v>
      </c>
      <c r="H1385" s="240" t="s">
        <v>9387</v>
      </c>
      <c r="I1385" s="236"/>
      <c r="J1385" s="238" t="s">
        <v>8507</v>
      </c>
      <c r="K1385" s="242"/>
      <c r="L1385" s="237"/>
      <c r="M1385" s="237"/>
      <c r="N1385" s="237"/>
      <c r="O1385" s="237"/>
      <c r="P1385" s="237"/>
      <c r="Q1385" s="237"/>
      <c r="R1385" s="237"/>
      <c r="S1385" s="237"/>
      <c r="T1385" s="237"/>
      <c r="U1385" s="237"/>
      <c r="V1385" s="237"/>
      <c r="W1385" s="237"/>
      <c r="X1385" s="237"/>
      <c r="Y1385" s="237"/>
      <c r="Z1385" s="237"/>
      <c r="AA1385" s="237"/>
      <c r="AB1385" s="237"/>
    </row>
    <row r="1386">
      <c r="A1386" s="238">
        <v>1385.0</v>
      </c>
      <c r="B1386" s="242"/>
      <c r="C1386" s="240" t="s">
        <v>9388</v>
      </c>
      <c r="D1386" s="236"/>
      <c r="E1386" s="240" t="s">
        <v>3511</v>
      </c>
      <c r="F1386" s="240" t="s">
        <v>9389</v>
      </c>
      <c r="G1386" s="238" t="s">
        <v>9390</v>
      </c>
      <c r="H1386" s="240" t="s">
        <v>9391</v>
      </c>
      <c r="I1386" s="236"/>
      <c r="J1386" s="238" t="s">
        <v>8507</v>
      </c>
      <c r="K1386" s="242"/>
      <c r="L1386" s="237"/>
      <c r="M1386" s="237"/>
      <c r="N1386" s="237"/>
      <c r="O1386" s="237"/>
      <c r="P1386" s="237"/>
      <c r="Q1386" s="237"/>
      <c r="R1386" s="237"/>
      <c r="S1386" s="237"/>
      <c r="T1386" s="237"/>
      <c r="U1386" s="237"/>
      <c r="V1386" s="237"/>
      <c r="W1386" s="237"/>
      <c r="X1386" s="237"/>
      <c r="Y1386" s="237"/>
      <c r="Z1386" s="237"/>
      <c r="AA1386" s="237"/>
      <c r="AB1386" s="237"/>
    </row>
    <row r="1387">
      <c r="A1387" s="238">
        <v>1386.0</v>
      </c>
      <c r="B1387" s="242"/>
      <c r="C1387" s="240" t="s">
        <v>9392</v>
      </c>
      <c r="D1387" s="236"/>
      <c r="E1387" s="240" t="s">
        <v>3511</v>
      </c>
      <c r="F1387" s="240" t="s">
        <v>9393</v>
      </c>
      <c r="G1387" s="238" t="s">
        <v>9394</v>
      </c>
      <c r="H1387" s="240" t="s">
        <v>9395</v>
      </c>
      <c r="I1387" s="236"/>
      <c r="J1387" s="238" t="s">
        <v>8507</v>
      </c>
      <c r="K1387" s="242"/>
      <c r="L1387" s="237"/>
      <c r="M1387" s="237"/>
      <c r="N1387" s="237"/>
      <c r="O1387" s="237"/>
      <c r="P1387" s="237"/>
      <c r="Q1387" s="237"/>
      <c r="R1387" s="237"/>
      <c r="S1387" s="237"/>
      <c r="T1387" s="237"/>
      <c r="U1387" s="237"/>
      <c r="V1387" s="237"/>
      <c r="W1387" s="237"/>
      <c r="X1387" s="237"/>
      <c r="Y1387" s="237"/>
      <c r="Z1387" s="237"/>
      <c r="AA1387" s="237"/>
      <c r="AB1387" s="237"/>
    </row>
    <row r="1388">
      <c r="A1388" s="238">
        <v>1387.0</v>
      </c>
      <c r="B1388" s="242"/>
      <c r="C1388" s="240" t="s">
        <v>9396</v>
      </c>
      <c r="D1388" s="236"/>
      <c r="E1388" s="240" t="s">
        <v>3511</v>
      </c>
      <c r="F1388" s="240" t="s">
        <v>9397</v>
      </c>
      <c r="G1388" s="238" t="s">
        <v>9398</v>
      </c>
      <c r="H1388" s="240" t="s">
        <v>9399</v>
      </c>
      <c r="I1388" s="236"/>
      <c r="J1388" s="238" t="s">
        <v>8507</v>
      </c>
      <c r="K1388" s="242"/>
      <c r="L1388" s="237"/>
      <c r="M1388" s="237"/>
      <c r="N1388" s="237"/>
      <c r="O1388" s="237"/>
      <c r="P1388" s="237"/>
      <c r="Q1388" s="237"/>
      <c r="R1388" s="237"/>
      <c r="S1388" s="237"/>
      <c r="T1388" s="237"/>
      <c r="U1388" s="237"/>
      <c r="V1388" s="237"/>
      <c r="W1388" s="237"/>
      <c r="X1388" s="237"/>
      <c r="Y1388" s="237"/>
      <c r="Z1388" s="237"/>
      <c r="AA1388" s="237"/>
      <c r="AB1388" s="237"/>
    </row>
    <row r="1389">
      <c r="A1389" s="238">
        <v>1388.0</v>
      </c>
      <c r="B1389" s="242"/>
      <c r="C1389" s="240" t="s">
        <v>9400</v>
      </c>
      <c r="D1389" s="236"/>
      <c r="E1389" s="240" t="s">
        <v>3511</v>
      </c>
      <c r="F1389" s="240" t="s">
        <v>9401</v>
      </c>
      <c r="G1389" s="238" t="s">
        <v>9402</v>
      </c>
      <c r="H1389" s="240" t="s">
        <v>9403</v>
      </c>
      <c r="I1389" s="236"/>
      <c r="J1389" s="238" t="s">
        <v>8507</v>
      </c>
      <c r="K1389" s="242"/>
      <c r="L1389" s="237"/>
      <c r="M1389" s="237"/>
      <c r="N1389" s="237"/>
      <c r="O1389" s="237"/>
      <c r="P1389" s="237"/>
      <c r="Q1389" s="237"/>
      <c r="R1389" s="237"/>
      <c r="S1389" s="237"/>
      <c r="T1389" s="237"/>
      <c r="U1389" s="237"/>
      <c r="V1389" s="237"/>
      <c r="W1389" s="237"/>
      <c r="X1389" s="237"/>
      <c r="Y1389" s="237"/>
      <c r="Z1389" s="237"/>
      <c r="AA1389" s="237"/>
      <c r="AB1389" s="237"/>
    </row>
    <row r="1390">
      <c r="A1390" s="238">
        <v>1389.0</v>
      </c>
      <c r="B1390" s="242"/>
      <c r="C1390" s="240" t="s">
        <v>9404</v>
      </c>
      <c r="D1390" s="236"/>
      <c r="E1390" s="240" t="s">
        <v>3511</v>
      </c>
      <c r="F1390" s="240" t="s">
        <v>9405</v>
      </c>
      <c r="G1390" s="238" t="s">
        <v>9406</v>
      </c>
      <c r="H1390" s="240" t="s">
        <v>9407</v>
      </c>
      <c r="I1390" s="236"/>
      <c r="J1390" s="238" t="s">
        <v>9408</v>
      </c>
      <c r="K1390" s="242"/>
      <c r="L1390" s="237"/>
      <c r="M1390" s="237"/>
      <c r="N1390" s="237"/>
      <c r="O1390" s="237"/>
      <c r="P1390" s="237"/>
      <c r="Q1390" s="237"/>
      <c r="R1390" s="237"/>
      <c r="S1390" s="237"/>
      <c r="T1390" s="237"/>
      <c r="U1390" s="237"/>
      <c r="V1390" s="237"/>
      <c r="W1390" s="237"/>
      <c r="X1390" s="237"/>
      <c r="Y1390" s="237"/>
      <c r="Z1390" s="237"/>
      <c r="AA1390" s="237"/>
      <c r="AB1390" s="237"/>
    </row>
    <row r="1391">
      <c r="A1391" s="238">
        <v>1390.0</v>
      </c>
      <c r="B1391" s="239" t="s">
        <v>9409</v>
      </c>
      <c r="C1391" s="240" t="s">
        <v>9410</v>
      </c>
      <c r="D1391" s="236"/>
      <c r="E1391" s="240" t="s">
        <v>3511</v>
      </c>
      <c r="F1391" s="240" t="s">
        <v>9411</v>
      </c>
      <c r="G1391" s="238" t="s">
        <v>9412</v>
      </c>
      <c r="H1391" s="240" t="s">
        <v>9413</v>
      </c>
      <c r="I1391" s="236"/>
      <c r="J1391" s="238" t="s">
        <v>9408</v>
      </c>
      <c r="K1391" s="239" t="s">
        <v>9409</v>
      </c>
      <c r="L1391" s="237"/>
      <c r="M1391" s="237"/>
      <c r="N1391" s="237"/>
      <c r="O1391" s="237"/>
      <c r="P1391" s="237"/>
      <c r="Q1391" s="237"/>
      <c r="R1391" s="237"/>
      <c r="S1391" s="237"/>
      <c r="T1391" s="237"/>
      <c r="U1391" s="237"/>
      <c r="V1391" s="237"/>
      <c r="W1391" s="237"/>
      <c r="X1391" s="237"/>
      <c r="Y1391" s="237"/>
      <c r="Z1391" s="237"/>
      <c r="AA1391" s="237"/>
      <c r="AB1391" s="237"/>
    </row>
    <row r="1392">
      <c r="A1392" s="238">
        <v>1391.0</v>
      </c>
      <c r="B1392" s="242"/>
      <c r="C1392" s="240" t="s">
        <v>9414</v>
      </c>
      <c r="D1392" s="236"/>
      <c r="E1392" s="240" t="s">
        <v>3511</v>
      </c>
      <c r="F1392" s="240" t="s">
        <v>9415</v>
      </c>
      <c r="G1392" s="238" t="s">
        <v>9416</v>
      </c>
      <c r="H1392" s="240" t="s">
        <v>9417</v>
      </c>
      <c r="I1392" s="236"/>
      <c r="J1392" s="238" t="s">
        <v>8674</v>
      </c>
      <c r="K1392" s="242"/>
      <c r="L1392" s="237"/>
      <c r="M1392" s="237"/>
      <c r="N1392" s="237"/>
      <c r="O1392" s="237"/>
      <c r="P1392" s="237"/>
      <c r="Q1392" s="237"/>
      <c r="R1392" s="237"/>
      <c r="S1392" s="237"/>
      <c r="T1392" s="237"/>
      <c r="U1392" s="237"/>
      <c r="V1392" s="237"/>
      <c r="W1392" s="237"/>
      <c r="X1392" s="237"/>
      <c r="Y1392" s="237"/>
      <c r="Z1392" s="237"/>
      <c r="AA1392" s="237"/>
      <c r="AB1392" s="237"/>
    </row>
    <row r="1393">
      <c r="A1393" s="238">
        <v>1392.0</v>
      </c>
      <c r="B1393" s="242"/>
      <c r="C1393" s="240" t="s">
        <v>9418</v>
      </c>
      <c r="D1393" s="236"/>
      <c r="E1393" s="240" t="s">
        <v>3511</v>
      </c>
      <c r="F1393" s="240" t="s">
        <v>9419</v>
      </c>
      <c r="G1393" s="238" t="s">
        <v>9420</v>
      </c>
      <c r="H1393" s="241" t="s">
        <v>9421</v>
      </c>
      <c r="I1393" s="236"/>
      <c r="J1393" s="238" t="s">
        <v>8674</v>
      </c>
      <c r="K1393" s="242"/>
      <c r="L1393" s="237"/>
      <c r="M1393" s="237"/>
      <c r="N1393" s="237"/>
      <c r="O1393" s="237"/>
      <c r="P1393" s="237"/>
      <c r="Q1393" s="237"/>
      <c r="R1393" s="237"/>
      <c r="S1393" s="237"/>
      <c r="T1393" s="237"/>
      <c r="U1393" s="237"/>
      <c r="V1393" s="237"/>
      <c r="W1393" s="237"/>
      <c r="X1393" s="237"/>
      <c r="Y1393" s="237"/>
      <c r="Z1393" s="237"/>
      <c r="AA1393" s="237"/>
      <c r="AB1393" s="237"/>
    </row>
    <row r="1394">
      <c r="A1394" s="238">
        <v>1393.0</v>
      </c>
      <c r="B1394" s="242"/>
      <c r="C1394" s="240" t="s">
        <v>9422</v>
      </c>
      <c r="D1394" s="236"/>
      <c r="E1394" s="240" t="s">
        <v>3511</v>
      </c>
      <c r="F1394" s="240" t="s">
        <v>9423</v>
      </c>
      <c r="G1394" s="238" t="s">
        <v>9424</v>
      </c>
      <c r="H1394" s="241" t="s">
        <v>9425</v>
      </c>
      <c r="I1394" s="236"/>
      <c r="J1394" s="238" t="s">
        <v>8674</v>
      </c>
      <c r="K1394" s="242"/>
      <c r="L1394" s="237"/>
      <c r="M1394" s="237"/>
      <c r="N1394" s="237"/>
      <c r="O1394" s="237"/>
      <c r="P1394" s="237"/>
      <c r="Q1394" s="237"/>
      <c r="R1394" s="237"/>
      <c r="S1394" s="237"/>
      <c r="T1394" s="237"/>
      <c r="U1394" s="237"/>
      <c r="V1394" s="237"/>
      <c r="W1394" s="237"/>
      <c r="X1394" s="237"/>
      <c r="Y1394" s="237"/>
      <c r="Z1394" s="237"/>
      <c r="AA1394" s="237"/>
      <c r="AB1394" s="237"/>
    </row>
    <row r="1395">
      <c r="A1395" s="238">
        <v>1394.0</v>
      </c>
      <c r="B1395" s="242"/>
      <c r="C1395" s="240" t="s">
        <v>9426</v>
      </c>
      <c r="D1395" s="236"/>
      <c r="E1395" s="240" t="s">
        <v>3511</v>
      </c>
      <c r="F1395" s="240" t="s">
        <v>9427</v>
      </c>
      <c r="G1395" s="238" t="s">
        <v>9428</v>
      </c>
      <c r="H1395" s="241" t="s">
        <v>9429</v>
      </c>
      <c r="I1395" s="236"/>
      <c r="J1395" s="238" t="s">
        <v>8674</v>
      </c>
      <c r="K1395" s="242"/>
      <c r="L1395" s="237"/>
      <c r="M1395" s="237"/>
      <c r="N1395" s="237"/>
      <c r="O1395" s="237"/>
      <c r="P1395" s="237"/>
      <c r="Q1395" s="237"/>
      <c r="R1395" s="237"/>
      <c r="S1395" s="237"/>
      <c r="T1395" s="237"/>
      <c r="U1395" s="237"/>
      <c r="V1395" s="237"/>
      <c r="W1395" s="237"/>
      <c r="X1395" s="237"/>
      <c r="Y1395" s="237"/>
      <c r="Z1395" s="237"/>
      <c r="AA1395" s="237"/>
      <c r="AB1395" s="237"/>
    </row>
    <row r="1396">
      <c r="A1396" s="238">
        <v>1395.0</v>
      </c>
      <c r="B1396" s="242"/>
      <c r="C1396" s="240" t="s">
        <v>9430</v>
      </c>
      <c r="D1396" s="236"/>
      <c r="E1396" s="240" t="s">
        <v>3511</v>
      </c>
      <c r="F1396" s="240" t="s">
        <v>9431</v>
      </c>
      <c r="G1396" s="238" t="s">
        <v>9432</v>
      </c>
      <c r="H1396" s="241" t="s">
        <v>9433</v>
      </c>
      <c r="I1396" s="236"/>
      <c r="J1396" s="238" t="s">
        <v>8674</v>
      </c>
      <c r="K1396" s="242"/>
      <c r="L1396" s="237"/>
      <c r="M1396" s="237"/>
      <c r="N1396" s="237"/>
      <c r="O1396" s="237"/>
      <c r="P1396" s="237"/>
      <c r="Q1396" s="237"/>
      <c r="R1396" s="237"/>
      <c r="S1396" s="237"/>
      <c r="T1396" s="237"/>
      <c r="U1396" s="237"/>
      <c r="V1396" s="237"/>
      <c r="W1396" s="237"/>
      <c r="X1396" s="237"/>
      <c r="Y1396" s="237"/>
      <c r="Z1396" s="237"/>
      <c r="AA1396" s="237"/>
      <c r="AB1396" s="237"/>
    </row>
    <row r="1397">
      <c r="A1397" s="238">
        <v>1396.0</v>
      </c>
      <c r="B1397" s="242"/>
      <c r="C1397" s="240" t="s">
        <v>9434</v>
      </c>
      <c r="D1397" s="236"/>
      <c r="E1397" s="240" t="s">
        <v>3511</v>
      </c>
      <c r="F1397" s="240" t="s">
        <v>9435</v>
      </c>
      <c r="G1397" s="238" t="s">
        <v>9436</v>
      </c>
      <c r="H1397" s="241" t="s">
        <v>9437</v>
      </c>
      <c r="I1397" s="236"/>
      <c r="J1397" s="238" t="s">
        <v>8674</v>
      </c>
      <c r="K1397" s="242"/>
      <c r="L1397" s="237"/>
      <c r="M1397" s="237"/>
      <c r="N1397" s="237"/>
      <c r="O1397" s="237"/>
      <c r="P1397" s="237"/>
      <c r="Q1397" s="237"/>
      <c r="R1397" s="237"/>
      <c r="S1397" s="237"/>
      <c r="T1397" s="237"/>
      <c r="U1397" s="237"/>
      <c r="V1397" s="237"/>
      <c r="W1397" s="237"/>
      <c r="X1397" s="237"/>
      <c r="Y1397" s="237"/>
      <c r="Z1397" s="237"/>
      <c r="AA1397" s="237"/>
      <c r="AB1397" s="237"/>
    </row>
    <row r="1398">
      <c r="A1398" s="238">
        <v>1397.0</v>
      </c>
      <c r="B1398" s="242"/>
      <c r="C1398" s="240" t="s">
        <v>9438</v>
      </c>
      <c r="D1398" s="236"/>
      <c r="E1398" s="240" t="s">
        <v>3511</v>
      </c>
      <c r="F1398" s="240" t="s">
        <v>9439</v>
      </c>
      <c r="G1398" s="243" t="s">
        <v>9440</v>
      </c>
      <c r="H1398" s="240" t="s">
        <v>9441</v>
      </c>
      <c r="I1398" s="236"/>
      <c r="J1398" s="238" t="s">
        <v>8674</v>
      </c>
      <c r="K1398" s="242"/>
      <c r="L1398" s="237"/>
      <c r="M1398" s="237"/>
      <c r="N1398" s="237"/>
      <c r="O1398" s="237"/>
      <c r="P1398" s="237"/>
      <c r="Q1398" s="237"/>
      <c r="R1398" s="237"/>
      <c r="S1398" s="237"/>
      <c r="T1398" s="237"/>
      <c r="U1398" s="237"/>
      <c r="V1398" s="237"/>
      <c r="W1398" s="237"/>
      <c r="X1398" s="237"/>
      <c r="Y1398" s="237"/>
      <c r="Z1398" s="237"/>
      <c r="AA1398" s="237"/>
      <c r="AB1398" s="237"/>
    </row>
    <row r="1399">
      <c r="A1399" s="238">
        <v>1398.0</v>
      </c>
      <c r="B1399" s="242"/>
      <c r="C1399" s="240" t="s">
        <v>9442</v>
      </c>
      <c r="D1399" s="236"/>
      <c r="E1399" s="240" t="s">
        <v>3511</v>
      </c>
      <c r="F1399" s="240" t="s">
        <v>9443</v>
      </c>
      <c r="G1399" s="238" t="s">
        <v>9444</v>
      </c>
      <c r="H1399" s="241" t="s">
        <v>9445</v>
      </c>
      <c r="I1399" s="236"/>
      <c r="J1399" s="238" t="s">
        <v>8674</v>
      </c>
      <c r="K1399" s="242"/>
      <c r="L1399" s="237"/>
      <c r="M1399" s="237"/>
      <c r="N1399" s="237"/>
      <c r="O1399" s="237"/>
      <c r="P1399" s="237"/>
      <c r="Q1399" s="237"/>
      <c r="R1399" s="237"/>
      <c r="S1399" s="237"/>
      <c r="T1399" s="237"/>
      <c r="U1399" s="237"/>
      <c r="V1399" s="237"/>
      <c r="W1399" s="237"/>
      <c r="X1399" s="237"/>
      <c r="Y1399" s="237"/>
      <c r="Z1399" s="237"/>
      <c r="AA1399" s="237"/>
      <c r="AB1399" s="237"/>
    </row>
    <row r="1400">
      <c r="A1400" s="238">
        <v>1399.0</v>
      </c>
      <c r="B1400" s="242"/>
      <c r="C1400" s="240" t="s">
        <v>9446</v>
      </c>
      <c r="D1400" s="236"/>
      <c r="E1400" s="240" t="s">
        <v>3511</v>
      </c>
      <c r="F1400" s="240" t="s">
        <v>9447</v>
      </c>
      <c r="G1400" s="238" t="s">
        <v>9448</v>
      </c>
      <c r="H1400" s="240" t="s">
        <v>9449</v>
      </c>
      <c r="I1400" s="236"/>
      <c r="J1400" s="238" t="s">
        <v>8674</v>
      </c>
      <c r="K1400" s="242"/>
      <c r="L1400" s="237"/>
      <c r="M1400" s="237"/>
      <c r="N1400" s="237"/>
      <c r="O1400" s="237"/>
      <c r="P1400" s="237"/>
      <c r="Q1400" s="237"/>
      <c r="R1400" s="237"/>
      <c r="S1400" s="237"/>
      <c r="T1400" s="237"/>
      <c r="U1400" s="237"/>
      <c r="V1400" s="237"/>
      <c r="W1400" s="237"/>
      <c r="X1400" s="237"/>
      <c r="Y1400" s="237"/>
      <c r="Z1400" s="237"/>
      <c r="AA1400" s="237"/>
      <c r="AB1400" s="237"/>
    </row>
    <row r="1401">
      <c r="A1401" s="238">
        <v>1400.0</v>
      </c>
      <c r="B1401" s="242"/>
      <c r="C1401" s="240" t="s">
        <v>9450</v>
      </c>
      <c r="D1401" s="236"/>
      <c r="E1401" s="240" t="s">
        <v>3511</v>
      </c>
      <c r="F1401" s="240" t="s">
        <v>9451</v>
      </c>
      <c r="G1401" s="238" t="s">
        <v>9452</v>
      </c>
      <c r="H1401" s="240" t="s">
        <v>9453</v>
      </c>
      <c r="I1401" s="236"/>
      <c r="J1401" s="238" t="s">
        <v>8674</v>
      </c>
      <c r="K1401" s="242"/>
      <c r="L1401" s="237"/>
      <c r="M1401" s="237"/>
      <c r="N1401" s="237"/>
      <c r="O1401" s="237"/>
      <c r="P1401" s="237"/>
      <c r="Q1401" s="237"/>
      <c r="R1401" s="237"/>
      <c r="S1401" s="237"/>
      <c r="T1401" s="237"/>
      <c r="U1401" s="237"/>
      <c r="V1401" s="237"/>
      <c r="W1401" s="237"/>
      <c r="X1401" s="237"/>
      <c r="Y1401" s="237"/>
      <c r="Z1401" s="237"/>
      <c r="AA1401" s="237"/>
      <c r="AB1401" s="237"/>
    </row>
    <row r="1402">
      <c r="A1402" s="238">
        <v>1401.0</v>
      </c>
      <c r="B1402" s="242"/>
      <c r="C1402" s="240" t="s">
        <v>9454</v>
      </c>
      <c r="D1402" s="236"/>
      <c r="E1402" s="240" t="s">
        <v>3511</v>
      </c>
      <c r="F1402" s="240" t="s">
        <v>9455</v>
      </c>
      <c r="G1402" s="238" t="s">
        <v>9456</v>
      </c>
      <c r="H1402" s="240" t="s">
        <v>9457</v>
      </c>
      <c r="I1402" s="236"/>
      <c r="J1402" s="238" t="s">
        <v>8674</v>
      </c>
      <c r="K1402" s="242"/>
      <c r="L1402" s="237"/>
      <c r="M1402" s="237"/>
      <c r="N1402" s="237"/>
      <c r="O1402" s="237"/>
      <c r="P1402" s="237"/>
      <c r="Q1402" s="237"/>
      <c r="R1402" s="237"/>
      <c r="S1402" s="237"/>
      <c r="T1402" s="237"/>
      <c r="U1402" s="237"/>
      <c r="V1402" s="237"/>
      <c r="W1402" s="237"/>
      <c r="X1402" s="237"/>
      <c r="Y1402" s="237"/>
      <c r="Z1402" s="237"/>
      <c r="AA1402" s="237"/>
      <c r="AB1402" s="237"/>
    </row>
    <row r="1403">
      <c r="A1403" s="238">
        <v>1402.0</v>
      </c>
      <c r="B1403" s="242"/>
      <c r="C1403" s="240" t="s">
        <v>9458</v>
      </c>
      <c r="D1403" s="236"/>
      <c r="E1403" s="240" t="s">
        <v>3511</v>
      </c>
      <c r="F1403" s="240" t="s">
        <v>9459</v>
      </c>
      <c r="G1403" s="238" t="s">
        <v>9460</v>
      </c>
      <c r="H1403" s="240" t="s">
        <v>9461</v>
      </c>
      <c r="I1403" s="236"/>
      <c r="J1403" s="238" t="s">
        <v>8674</v>
      </c>
      <c r="K1403" s="242"/>
      <c r="L1403" s="237"/>
      <c r="M1403" s="237"/>
      <c r="N1403" s="237"/>
      <c r="O1403" s="237"/>
      <c r="P1403" s="237"/>
      <c r="Q1403" s="237"/>
      <c r="R1403" s="237"/>
      <c r="S1403" s="237"/>
      <c r="T1403" s="237"/>
      <c r="U1403" s="237"/>
      <c r="V1403" s="237"/>
      <c r="W1403" s="237"/>
      <c r="X1403" s="237"/>
      <c r="Y1403" s="237"/>
      <c r="Z1403" s="237"/>
      <c r="AA1403" s="237"/>
      <c r="AB1403" s="237"/>
    </row>
    <row r="1404">
      <c r="A1404" s="238">
        <v>1403.0</v>
      </c>
      <c r="B1404" s="242"/>
      <c r="C1404" s="240" t="s">
        <v>9462</v>
      </c>
      <c r="D1404" s="236"/>
      <c r="E1404" s="240" t="s">
        <v>3511</v>
      </c>
      <c r="F1404" s="240" t="s">
        <v>9463</v>
      </c>
      <c r="G1404" s="238" t="s">
        <v>9464</v>
      </c>
      <c r="H1404" s="240" t="s">
        <v>9465</v>
      </c>
      <c r="I1404" s="236"/>
      <c r="J1404" s="238" t="s">
        <v>8507</v>
      </c>
      <c r="K1404" s="242"/>
      <c r="L1404" s="237"/>
      <c r="M1404" s="237"/>
      <c r="N1404" s="237"/>
      <c r="O1404" s="237"/>
      <c r="P1404" s="237"/>
      <c r="Q1404" s="237"/>
      <c r="R1404" s="237"/>
      <c r="S1404" s="237"/>
      <c r="T1404" s="237"/>
      <c r="U1404" s="237"/>
      <c r="V1404" s="237"/>
      <c r="W1404" s="237"/>
      <c r="X1404" s="237"/>
      <c r="Y1404" s="237"/>
      <c r="Z1404" s="237"/>
      <c r="AA1404" s="237"/>
      <c r="AB1404" s="237"/>
    </row>
    <row r="1405">
      <c r="A1405" s="238">
        <v>1404.0</v>
      </c>
      <c r="B1405" s="242"/>
      <c r="C1405" s="240" t="s">
        <v>9466</v>
      </c>
      <c r="D1405" s="236"/>
      <c r="E1405" s="240" t="s">
        <v>3511</v>
      </c>
      <c r="F1405" s="240" t="s">
        <v>9467</v>
      </c>
      <c r="G1405" s="238" t="s">
        <v>9468</v>
      </c>
      <c r="H1405" s="240" t="s">
        <v>9469</v>
      </c>
      <c r="I1405" s="236"/>
      <c r="J1405" s="238" t="s">
        <v>8507</v>
      </c>
      <c r="K1405" s="242"/>
      <c r="L1405" s="237"/>
      <c r="M1405" s="237"/>
      <c r="N1405" s="237"/>
      <c r="O1405" s="237"/>
      <c r="P1405" s="237"/>
      <c r="Q1405" s="237"/>
      <c r="R1405" s="237"/>
      <c r="S1405" s="237"/>
      <c r="T1405" s="237"/>
      <c r="U1405" s="237"/>
      <c r="V1405" s="237"/>
      <c r="W1405" s="237"/>
      <c r="X1405" s="237"/>
      <c r="Y1405" s="237"/>
      <c r="Z1405" s="237"/>
      <c r="AA1405" s="237"/>
      <c r="AB1405" s="237"/>
    </row>
    <row r="1406">
      <c r="A1406" s="238">
        <v>1405.0</v>
      </c>
      <c r="B1406" s="242"/>
      <c r="C1406" s="240" t="s">
        <v>9470</v>
      </c>
      <c r="D1406" s="236"/>
      <c r="E1406" s="240" t="s">
        <v>3511</v>
      </c>
      <c r="F1406" s="240" t="s">
        <v>9471</v>
      </c>
      <c r="G1406" s="238" t="s">
        <v>9472</v>
      </c>
      <c r="H1406" s="240" t="s">
        <v>9473</v>
      </c>
      <c r="I1406" s="236"/>
      <c r="J1406" s="238" t="s">
        <v>8507</v>
      </c>
      <c r="K1406" s="242"/>
      <c r="L1406" s="237"/>
      <c r="M1406" s="237"/>
      <c r="N1406" s="237"/>
      <c r="O1406" s="237"/>
      <c r="P1406" s="237"/>
      <c r="Q1406" s="237"/>
      <c r="R1406" s="237"/>
      <c r="S1406" s="237"/>
      <c r="T1406" s="237"/>
      <c r="U1406" s="237"/>
      <c r="V1406" s="237"/>
      <c r="W1406" s="237"/>
      <c r="X1406" s="237"/>
      <c r="Y1406" s="237"/>
      <c r="Z1406" s="237"/>
      <c r="AA1406" s="237"/>
      <c r="AB1406" s="237"/>
    </row>
    <row r="1407">
      <c r="A1407" s="238">
        <v>1406.0</v>
      </c>
      <c r="B1407" s="242"/>
      <c r="C1407" s="240" t="s">
        <v>9474</v>
      </c>
      <c r="D1407" s="236"/>
      <c r="E1407" s="240" t="s">
        <v>3511</v>
      </c>
      <c r="F1407" s="240" t="s">
        <v>9475</v>
      </c>
      <c r="G1407" s="238" t="s">
        <v>9476</v>
      </c>
      <c r="H1407" s="240" t="s">
        <v>9477</v>
      </c>
      <c r="I1407" s="236"/>
      <c r="J1407" s="238" t="s">
        <v>8507</v>
      </c>
      <c r="K1407" s="242"/>
      <c r="L1407" s="237"/>
      <c r="M1407" s="237"/>
      <c r="N1407" s="237"/>
      <c r="O1407" s="237"/>
      <c r="P1407" s="237"/>
      <c r="Q1407" s="237"/>
      <c r="R1407" s="237"/>
      <c r="S1407" s="237"/>
      <c r="T1407" s="237"/>
      <c r="U1407" s="237"/>
      <c r="V1407" s="237"/>
      <c r="W1407" s="237"/>
      <c r="X1407" s="237"/>
      <c r="Y1407" s="237"/>
      <c r="Z1407" s="237"/>
      <c r="AA1407" s="237"/>
      <c r="AB1407" s="237"/>
    </row>
    <row r="1408">
      <c r="A1408" s="238">
        <v>1407.0</v>
      </c>
      <c r="B1408" s="242"/>
      <c r="C1408" s="240" t="s">
        <v>9478</v>
      </c>
      <c r="D1408" s="236"/>
      <c r="E1408" s="240" t="s">
        <v>3511</v>
      </c>
      <c r="F1408" s="240" t="s">
        <v>9479</v>
      </c>
      <c r="G1408" s="238" t="s">
        <v>9480</v>
      </c>
      <c r="H1408" s="240" t="s">
        <v>9481</v>
      </c>
      <c r="I1408" s="236"/>
      <c r="J1408" s="238" t="s">
        <v>8507</v>
      </c>
      <c r="K1408" s="242"/>
      <c r="L1408" s="237"/>
      <c r="M1408" s="237"/>
      <c r="N1408" s="237"/>
      <c r="O1408" s="237"/>
      <c r="P1408" s="237"/>
      <c r="Q1408" s="237"/>
      <c r="R1408" s="237"/>
      <c r="S1408" s="237"/>
      <c r="T1408" s="237"/>
      <c r="U1408" s="237"/>
      <c r="V1408" s="237"/>
      <c r="W1408" s="237"/>
      <c r="X1408" s="237"/>
      <c r="Y1408" s="237"/>
      <c r="Z1408" s="237"/>
      <c r="AA1408" s="237"/>
      <c r="AB1408" s="237"/>
    </row>
    <row r="1409">
      <c r="A1409" s="238">
        <v>1408.0</v>
      </c>
      <c r="B1409" s="242"/>
      <c r="C1409" s="240" t="s">
        <v>9482</v>
      </c>
      <c r="D1409" s="236"/>
      <c r="E1409" s="240" t="s">
        <v>3511</v>
      </c>
      <c r="F1409" s="240" t="s">
        <v>9483</v>
      </c>
      <c r="G1409" s="238" t="s">
        <v>9484</v>
      </c>
      <c r="H1409" s="241" t="s">
        <v>9485</v>
      </c>
      <c r="I1409" s="236"/>
      <c r="J1409" s="238" t="s">
        <v>8507</v>
      </c>
      <c r="K1409" s="242"/>
      <c r="L1409" s="237"/>
      <c r="M1409" s="237"/>
      <c r="N1409" s="237"/>
      <c r="O1409" s="237"/>
      <c r="P1409" s="237"/>
      <c r="Q1409" s="237"/>
      <c r="R1409" s="237"/>
      <c r="S1409" s="237"/>
      <c r="T1409" s="237"/>
      <c r="U1409" s="237"/>
      <c r="V1409" s="237"/>
      <c r="W1409" s="237"/>
      <c r="X1409" s="237"/>
      <c r="Y1409" s="237"/>
      <c r="Z1409" s="237"/>
      <c r="AA1409" s="237"/>
      <c r="AB1409" s="237"/>
    </row>
    <row r="1410">
      <c r="A1410" s="238">
        <v>1409.0</v>
      </c>
      <c r="B1410" s="242"/>
      <c r="C1410" s="240" t="s">
        <v>9486</v>
      </c>
      <c r="D1410" s="236"/>
      <c r="E1410" s="240" t="s">
        <v>3511</v>
      </c>
      <c r="F1410" s="240" t="s">
        <v>9487</v>
      </c>
      <c r="G1410" s="238" t="s">
        <v>9488</v>
      </c>
      <c r="H1410" s="240" t="s">
        <v>9489</v>
      </c>
      <c r="I1410" s="236"/>
      <c r="J1410" s="238" t="s">
        <v>8507</v>
      </c>
      <c r="K1410" s="242"/>
      <c r="L1410" s="237"/>
      <c r="M1410" s="237"/>
      <c r="N1410" s="237"/>
      <c r="O1410" s="237"/>
      <c r="P1410" s="237"/>
      <c r="Q1410" s="237"/>
      <c r="R1410" s="237"/>
      <c r="S1410" s="237"/>
      <c r="T1410" s="237"/>
      <c r="U1410" s="237"/>
      <c r="V1410" s="237"/>
      <c r="W1410" s="237"/>
      <c r="X1410" s="237"/>
      <c r="Y1410" s="237"/>
      <c r="Z1410" s="237"/>
      <c r="AA1410" s="237"/>
      <c r="AB1410" s="237"/>
    </row>
    <row r="1411">
      <c r="A1411" s="238">
        <v>1410.0</v>
      </c>
      <c r="B1411" s="242"/>
      <c r="C1411" s="240" t="s">
        <v>9490</v>
      </c>
      <c r="D1411" s="236"/>
      <c r="E1411" s="240" t="s">
        <v>3511</v>
      </c>
      <c r="F1411" s="240" t="s">
        <v>9491</v>
      </c>
      <c r="G1411" s="238" t="s">
        <v>9492</v>
      </c>
      <c r="H1411" s="240" t="s">
        <v>9493</v>
      </c>
      <c r="I1411" s="236"/>
      <c r="J1411" s="238" t="s">
        <v>8507</v>
      </c>
      <c r="K1411" s="242"/>
      <c r="L1411" s="237"/>
      <c r="M1411" s="237"/>
      <c r="N1411" s="237"/>
      <c r="O1411" s="237"/>
      <c r="P1411" s="237"/>
      <c r="Q1411" s="237"/>
      <c r="R1411" s="237"/>
      <c r="S1411" s="237"/>
      <c r="T1411" s="237"/>
      <c r="U1411" s="237"/>
      <c r="V1411" s="237"/>
      <c r="W1411" s="237"/>
      <c r="X1411" s="237"/>
      <c r="Y1411" s="237"/>
      <c r="Z1411" s="237"/>
      <c r="AA1411" s="237"/>
      <c r="AB1411" s="237"/>
    </row>
    <row r="1412">
      <c r="A1412" s="238">
        <v>1411.0</v>
      </c>
      <c r="B1412" s="242"/>
      <c r="C1412" s="240" t="s">
        <v>9494</v>
      </c>
      <c r="D1412" s="236"/>
      <c r="E1412" s="240" t="s">
        <v>3511</v>
      </c>
      <c r="F1412" s="240" t="s">
        <v>9495</v>
      </c>
      <c r="G1412" s="238" t="s">
        <v>9496</v>
      </c>
      <c r="H1412" s="240" t="s">
        <v>9497</v>
      </c>
      <c r="I1412" s="236"/>
      <c r="J1412" s="238" t="s">
        <v>8507</v>
      </c>
      <c r="K1412" s="242"/>
      <c r="L1412" s="237"/>
      <c r="M1412" s="237"/>
      <c r="N1412" s="237"/>
      <c r="O1412" s="237"/>
      <c r="P1412" s="237"/>
      <c r="Q1412" s="237"/>
      <c r="R1412" s="237"/>
      <c r="S1412" s="237"/>
      <c r="T1412" s="237"/>
      <c r="U1412" s="237"/>
      <c r="V1412" s="237"/>
      <c r="W1412" s="237"/>
      <c r="X1412" s="237"/>
      <c r="Y1412" s="237"/>
      <c r="Z1412" s="237"/>
      <c r="AA1412" s="237"/>
      <c r="AB1412" s="237"/>
    </row>
    <row r="1413">
      <c r="A1413" s="238">
        <v>1412.0</v>
      </c>
      <c r="B1413" s="242"/>
      <c r="C1413" s="240" t="s">
        <v>9498</v>
      </c>
      <c r="D1413" s="236"/>
      <c r="E1413" s="240" t="s">
        <v>3511</v>
      </c>
      <c r="F1413" s="240" t="s">
        <v>9499</v>
      </c>
      <c r="G1413" s="238" t="s">
        <v>9500</v>
      </c>
      <c r="H1413" s="240" t="s">
        <v>9501</v>
      </c>
      <c r="I1413" s="236"/>
      <c r="J1413" s="238" t="s">
        <v>8507</v>
      </c>
      <c r="K1413" s="242"/>
      <c r="L1413" s="237"/>
      <c r="M1413" s="237"/>
      <c r="N1413" s="237"/>
      <c r="O1413" s="237"/>
      <c r="P1413" s="237"/>
      <c r="Q1413" s="237"/>
      <c r="R1413" s="237"/>
      <c r="S1413" s="237"/>
      <c r="T1413" s="237"/>
      <c r="U1413" s="237"/>
      <c r="V1413" s="237"/>
      <c r="W1413" s="237"/>
      <c r="X1413" s="237"/>
      <c r="Y1413" s="237"/>
      <c r="Z1413" s="237"/>
      <c r="AA1413" s="237"/>
      <c r="AB1413" s="237"/>
    </row>
    <row r="1414">
      <c r="A1414" s="238">
        <v>1413.0</v>
      </c>
      <c r="B1414" s="242"/>
      <c r="C1414" s="240" t="s">
        <v>9502</v>
      </c>
      <c r="D1414" s="236"/>
      <c r="E1414" s="240" t="s">
        <v>3511</v>
      </c>
      <c r="F1414" s="240" t="s">
        <v>9503</v>
      </c>
      <c r="G1414" s="238" t="s">
        <v>9504</v>
      </c>
      <c r="H1414" s="240" t="s">
        <v>9505</v>
      </c>
      <c r="I1414" s="236"/>
      <c r="J1414" s="238" t="s">
        <v>8507</v>
      </c>
      <c r="K1414" s="242"/>
      <c r="L1414" s="237"/>
      <c r="M1414" s="237"/>
      <c r="N1414" s="237"/>
      <c r="O1414" s="237"/>
      <c r="P1414" s="237"/>
      <c r="Q1414" s="237"/>
      <c r="R1414" s="237"/>
      <c r="S1414" s="237"/>
      <c r="T1414" s="237"/>
      <c r="U1414" s="237"/>
      <c r="V1414" s="237"/>
      <c r="W1414" s="237"/>
      <c r="X1414" s="237"/>
      <c r="Y1414" s="237"/>
      <c r="Z1414" s="237"/>
      <c r="AA1414" s="237"/>
      <c r="AB1414" s="237"/>
    </row>
    <row r="1415">
      <c r="A1415" s="238">
        <v>1414.0</v>
      </c>
      <c r="B1415" s="242"/>
      <c r="C1415" s="240" t="s">
        <v>9506</v>
      </c>
      <c r="D1415" s="236"/>
      <c r="E1415" s="240" t="s">
        <v>3511</v>
      </c>
      <c r="F1415" s="240" t="s">
        <v>9507</v>
      </c>
      <c r="G1415" s="238" t="s">
        <v>9508</v>
      </c>
      <c r="H1415" s="240" t="s">
        <v>9509</v>
      </c>
      <c r="I1415" s="236"/>
      <c r="J1415" s="238" t="s">
        <v>8507</v>
      </c>
      <c r="K1415" s="242"/>
      <c r="L1415" s="237"/>
      <c r="M1415" s="237"/>
      <c r="N1415" s="237"/>
      <c r="O1415" s="237"/>
      <c r="P1415" s="237"/>
      <c r="Q1415" s="237"/>
      <c r="R1415" s="237"/>
      <c r="S1415" s="237"/>
      <c r="T1415" s="237"/>
      <c r="U1415" s="237"/>
      <c r="V1415" s="237"/>
      <c r="W1415" s="237"/>
      <c r="X1415" s="237"/>
      <c r="Y1415" s="237"/>
      <c r="Z1415" s="237"/>
      <c r="AA1415" s="237"/>
      <c r="AB1415" s="237"/>
    </row>
    <row r="1416">
      <c r="A1416" s="238">
        <v>1415.0</v>
      </c>
      <c r="B1416" s="242"/>
      <c r="C1416" s="240" t="s">
        <v>9510</v>
      </c>
      <c r="D1416" s="236"/>
      <c r="E1416" s="240" t="s">
        <v>3511</v>
      </c>
      <c r="F1416" s="240" t="s">
        <v>9511</v>
      </c>
      <c r="G1416" s="238" t="s">
        <v>9512</v>
      </c>
      <c r="H1416" s="240" t="s">
        <v>9513</v>
      </c>
      <c r="I1416" s="236"/>
      <c r="J1416" s="238" t="s">
        <v>8507</v>
      </c>
      <c r="K1416" s="242"/>
      <c r="L1416" s="237"/>
      <c r="M1416" s="237"/>
      <c r="N1416" s="237"/>
      <c r="O1416" s="237"/>
      <c r="P1416" s="237"/>
      <c r="Q1416" s="237"/>
      <c r="R1416" s="237"/>
      <c r="S1416" s="237"/>
      <c r="T1416" s="237"/>
      <c r="U1416" s="237"/>
      <c r="V1416" s="237"/>
      <c r="W1416" s="237"/>
      <c r="X1416" s="237"/>
      <c r="Y1416" s="237"/>
      <c r="Z1416" s="237"/>
      <c r="AA1416" s="237"/>
      <c r="AB1416" s="237"/>
    </row>
    <row r="1417">
      <c r="A1417" s="238">
        <v>1416.0</v>
      </c>
      <c r="B1417" s="242"/>
      <c r="C1417" s="240" t="s">
        <v>9514</v>
      </c>
      <c r="D1417" s="236"/>
      <c r="E1417" s="240" t="s">
        <v>3511</v>
      </c>
      <c r="F1417" s="240" t="s">
        <v>9515</v>
      </c>
      <c r="G1417" s="238" t="s">
        <v>9516</v>
      </c>
      <c r="H1417" s="240" t="s">
        <v>9517</v>
      </c>
      <c r="I1417" s="236"/>
      <c r="J1417" s="238" t="s">
        <v>8507</v>
      </c>
      <c r="K1417" s="242"/>
      <c r="L1417" s="237"/>
      <c r="M1417" s="237"/>
      <c r="N1417" s="237"/>
      <c r="O1417" s="237"/>
      <c r="P1417" s="237"/>
      <c r="Q1417" s="237"/>
      <c r="R1417" s="237"/>
      <c r="S1417" s="237"/>
      <c r="T1417" s="237"/>
      <c r="U1417" s="237"/>
      <c r="V1417" s="237"/>
      <c r="W1417" s="237"/>
      <c r="X1417" s="237"/>
      <c r="Y1417" s="237"/>
      <c r="Z1417" s="237"/>
      <c r="AA1417" s="237"/>
      <c r="AB1417" s="237"/>
    </row>
    <row r="1418">
      <c r="A1418" s="238">
        <v>1417.0</v>
      </c>
      <c r="B1418" s="242"/>
      <c r="C1418" s="240" t="s">
        <v>9518</v>
      </c>
      <c r="D1418" s="236"/>
      <c r="E1418" s="240" t="s">
        <v>3511</v>
      </c>
      <c r="F1418" s="240" t="s">
        <v>9519</v>
      </c>
      <c r="G1418" s="238" t="s">
        <v>9520</v>
      </c>
      <c r="H1418" s="240" t="s">
        <v>9521</v>
      </c>
      <c r="I1418" s="236"/>
      <c r="J1418" s="238" t="s">
        <v>8507</v>
      </c>
      <c r="K1418" s="242"/>
      <c r="L1418" s="237"/>
      <c r="M1418" s="237"/>
      <c r="N1418" s="237"/>
      <c r="O1418" s="237"/>
      <c r="P1418" s="237"/>
      <c r="Q1418" s="237"/>
      <c r="R1418" s="237"/>
      <c r="S1418" s="237"/>
      <c r="T1418" s="237"/>
      <c r="U1418" s="237"/>
      <c r="V1418" s="237"/>
      <c r="W1418" s="237"/>
      <c r="X1418" s="237"/>
      <c r="Y1418" s="237"/>
      <c r="Z1418" s="237"/>
      <c r="AA1418" s="237"/>
      <c r="AB1418" s="237"/>
    </row>
    <row r="1419">
      <c r="A1419" s="238">
        <v>1418.0</v>
      </c>
      <c r="B1419" s="242"/>
      <c r="C1419" s="240" t="s">
        <v>9522</v>
      </c>
      <c r="D1419" s="236"/>
      <c r="E1419" s="240" t="s">
        <v>3511</v>
      </c>
      <c r="F1419" s="240" t="s">
        <v>9523</v>
      </c>
      <c r="G1419" s="238" t="s">
        <v>9524</v>
      </c>
      <c r="H1419" s="240" t="s">
        <v>9525</v>
      </c>
      <c r="I1419" s="236"/>
      <c r="J1419" s="238" t="s">
        <v>8507</v>
      </c>
      <c r="K1419" s="242"/>
      <c r="L1419" s="237"/>
      <c r="M1419" s="237"/>
      <c r="N1419" s="237"/>
      <c r="O1419" s="237"/>
      <c r="P1419" s="237"/>
      <c r="Q1419" s="237"/>
      <c r="R1419" s="237"/>
      <c r="S1419" s="237"/>
      <c r="T1419" s="237"/>
      <c r="U1419" s="237"/>
      <c r="V1419" s="237"/>
      <c r="W1419" s="237"/>
      <c r="X1419" s="237"/>
      <c r="Y1419" s="237"/>
      <c r="Z1419" s="237"/>
      <c r="AA1419" s="237"/>
      <c r="AB1419" s="237"/>
    </row>
    <row r="1420">
      <c r="A1420" s="238">
        <v>1419.0</v>
      </c>
      <c r="B1420" s="242"/>
      <c r="C1420" s="240" t="s">
        <v>9526</v>
      </c>
      <c r="D1420" s="236"/>
      <c r="E1420" s="240" t="s">
        <v>3511</v>
      </c>
      <c r="F1420" s="240" t="s">
        <v>9527</v>
      </c>
      <c r="G1420" s="238" t="s">
        <v>9528</v>
      </c>
      <c r="H1420" s="240" t="s">
        <v>9529</v>
      </c>
      <c r="I1420" s="237"/>
      <c r="J1420" s="256" t="s">
        <v>8507</v>
      </c>
      <c r="K1420" s="242"/>
      <c r="L1420" s="237"/>
      <c r="M1420" s="237"/>
      <c r="N1420" s="237"/>
      <c r="O1420" s="237"/>
      <c r="P1420" s="237"/>
      <c r="Q1420" s="237"/>
      <c r="R1420" s="237"/>
      <c r="S1420" s="237"/>
      <c r="T1420" s="237"/>
      <c r="U1420" s="237"/>
      <c r="V1420" s="237"/>
      <c r="W1420" s="237"/>
      <c r="X1420" s="237"/>
      <c r="Y1420" s="237"/>
      <c r="Z1420" s="237"/>
      <c r="AA1420" s="237"/>
      <c r="AB1420" s="237"/>
    </row>
    <row r="1421">
      <c r="A1421" s="238">
        <v>1420.0</v>
      </c>
      <c r="B1421" s="242"/>
      <c r="C1421" s="240" t="s">
        <v>9530</v>
      </c>
      <c r="D1421" s="236"/>
      <c r="E1421" s="240" t="s">
        <v>3511</v>
      </c>
      <c r="F1421" s="240" t="s">
        <v>9531</v>
      </c>
      <c r="G1421" s="238" t="s">
        <v>9532</v>
      </c>
      <c r="H1421" s="240" t="s">
        <v>9533</v>
      </c>
      <c r="I1421" s="237"/>
      <c r="J1421" s="256" t="s">
        <v>8507</v>
      </c>
      <c r="K1421" s="242"/>
      <c r="L1421" s="237"/>
      <c r="M1421" s="237"/>
      <c r="N1421" s="237"/>
      <c r="O1421" s="237"/>
      <c r="P1421" s="237"/>
      <c r="Q1421" s="237"/>
      <c r="R1421" s="237"/>
      <c r="S1421" s="237"/>
      <c r="T1421" s="237"/>
      <c r="U1421" s="237"/>
      <c r="V1421" s="237"/>
      <c r="W1421" s="237"/>
      <c r="X1421" s="237"/>
      <c r="Y1421" s="237"/>
      <c r="Z1421" s="237"/>
      <c r="AA1421" s="237"/>
      <c r="AB1421" s="237"/>
    </row>
    <row r="1422">
      <c r="A1422" s="238">
        <v>1421.0</v>
      </c>
      <c r="B1422" s="242"/>
      <c r="C1422" s="240" t="s">
        <v>9534</v>
      </c>
      <c r="D1422" s="236"/>
      <c r="E1422" s="240" t="s">
        <v>3511</v>
      </c>
      <c r="F1422" s="240" t="s">
        <v>9535</v>
      </c>
      <c r="G1422" s="238" t="s">
        <v>9536</v>
      </c>
      <c r="H1422" s="240" t="s">
        <v>9537</v>
      </c>
      <c r="I1422" s="237"/>
      <c r="J1422" s="256" t="s">
        <v>8507</v>
      </c>
      <c r="K1422" s="242"/>
      <c r="L1422" s="237"/>
      <c r="M1422" s="237"/>
      <c r="N1422" s="237"/>
      <c r="O1422" s="237"/>
      <c r="P1422" s="237"/>
      <c r="Q1422" s="237"/>
      <c r="R1422" s="237"/>
      <c r="S1422" s="237"/>
      <c r="T1422" s="237"/>
      <c r="U1422" s="237"/>
      <c r="V1422" s="237"/>
      <c r="W1422" s="237"/>
      <c r="X1422" s="237"/>
      <c r="Y1422" s="237"/>
      <c r="Z1422" s="237"/>
      <c r="AA1422" s="237"/>
      <c r="AB1422" s="237"/>
    </row>
    <row r="1423">
      <c r="A1423" s="238">
        <v>1422.0</v>
      </c>
      <c r="B1423" s="239" t="s">
        <v>9538</v>
      </c>
      <c r="C1423" s="240" t="s">
        <v>9539</v>
      </c>
      <c r="D1423" s="236"/>
      <c r="E1423" s="240" t="s">
        <v>3511</v>
      </c>
      <c r="F1423" s="240" t="s">
        <v>9540</v>
      </c>
      <c r="G1423" s="238" t="s">
        <v>9541</v>
      </c>
      <c r="H1423" s="240" t="s">
        <v>9542</v>
      </c>
      <c r="I1423" s="237"/>
      <c r="J1423" s="256" t="s">
        <v>8507</v>
      </c>
      <c r="K1423" s="239" t="s">
        <v>9538</v>
      </c>
      <c r="L1423" s="237"/>
      <c r="M1423" s="237"/>
      <c r="N1423" s="237"/>
      <c r="O1423" s="237"/>
      <c r="P1423" s="237"/>
      <c r="Q1423" s="237"/>
      <c r="R1423" s="237"/>
      <c r="S1423" s="237"/>
      <c r="T1423" s="237"/>
      <c r="U1423" s="237"/>
      <c r="V1423" s="237"/>
      <c r="W1423" s="237"/>
      <c r="X1423" s="237"/>
      <c r="Y1423" s="237"/>
      <c r="Z1423" s="237"/>
      <c r="AA1423" s="237"/>
      <c r="AB1423" s="237"/>
    </row>
    <row r="1424">
      <c r="A1424" s="238">
        <v>1423.0</v>
      </c>
      <c r="B1424" s="242"/>
      <c r="C1424" s="240" t="s">
        <v>9543</v>
      </c>
      <c r="D1424" s="236"/>
      <c r="E1424" s="240" t="s">
        <v>3511</v>
      </c>
      <c r="F1424" s="240" t="s">
        <v>9544</v>
      </c>
      <c r="G1424" s="238" t="s">
        <v>9545</v>
      </c>
      <c r="H1424" s="240" t="s">
        <v>9546</v>
      </c>
      <c r="I1424" s="237"/>
      <c r="J1424" s="256" t="s">
        <v>8507</v>
      </c>
      <c r="K1424" s="242"/>
      <c r="L1424" s="237"/>
      <c r="M1424" s="237"/>
      <c r="N1424" s="237"/>
      <c r="O1424" s="237"/>
      <c r="P1424" s="237"/>
      <c r="Q1424" s="237"/>
      <c r="R1424" s="237"/>
      <c r="S1424" s="237"/>
      <c r="T1424" s="237"/>
      <c r="U1424" s="237"/>
      <c r="V1424" s="237"/>
      <c r="W1424" s="237"/>
      <c r="X1424" s="237"/>
      <c r="Y1424" s="237"/>
      <c r="Z1424" s="237"/>
      <c r="AA1424" s="237"/>
      <c r="AB1424" s="237"/>
    </row>
    <row r="1425">
      <c r="A1425" s="238">
        <v>1424.0</v>
      </c>
      <c r="B1425" s="242"/>
      <c r="C1425" s="240" t="s">
        <v>9547</v>
      </c>
      <c r="D1425" s="236"/>
      <c r="E1425" s="240" t="s">
        <v>3511</v>
      </c>
      <c r="F1425" s="240" t="s">
        <v>9548</v>
      </c>
      <c r="G1425" s="238" t="s">
        <v>9549</v>
      </c>
      <c r="H1425" s="240" t="s">
        <v>9550</v>
      </c>
      <c r="I1425" s="237"/>
      <c r="J1425" s="256" t="s">
        <v>8507</v>
      </c>
      <c r="K1425" s="242"/>
      <c r="L1425" s="237"/>
      <c r="M1425" s="237"/>
      <c r="N1425" s="237"/>
      <c r="O1425" s="237"/>
      <c r="P1425" s="237"/>
      <c r="Q1425" s="237"/>
      <c r="R1425" s="237"/>
      <c r="S1425" s="237"/>
      <c r="T1425" s="237"/>
      <c r="U1425" s="237"/>
      <c r="V1425" s="237"/>
      <c r="W1425" s="237"/>
      <c r="X1425" s="237"/>
      <c r="Y1425" s="237"/>
      <c r="Z1425" s="237"/>
      <c r="AA1425" s="237"/>
      <c r="AB1425" s="237"/>
    </row>
    <row r="1426">
      <c r="A1426" s="238">
        <v>1425.0</v>
      </c>
      <c r="B1426" s="242"/>
      <c r="C1426" s="240" t="s">
        <v>9551</v>
      </c>
      <c r="D1426" s="236"/>
      <c r="E1426" s="240" t="s">
        <v>3511</v>
      </c>
      <c r="F1426" s="240" t="s">
        <v>9552</v>
      </c>
      <c r="G1426" s="238" t="s">
        <v>9553</v>
      </c>
      <c r="H1426" s="240" t="s">
        <v>9554</v>
      </c>
      <c r="I1426" s="237"/>
      <c r="J1426" s="256" t="s">
        <v>8507</v>
      </c>
      <c r="K1426" s="242"/>
      <c r="L1426" s="237"/>
      <c r="M1426" s="237"/>
      <c r="N1426" s="237"/>
      <c r="O1426" s="237"/>
      <c r="P1426" s="237"/>
      <c r="Q1426" s="237"/>
      <c r="R1426" s="237"/>
      <c r="S1426" s="237"/>
      <c r="T1426" s="237"/>
      <c r="U1426" s="237"/>
      <c r="V1426" s="237"/>
      <c r="W1426" s="237"/>
      <c r="X1426" s="237"/>
      <c r="Y1426" s="237"/>
      <c r="Z1426" s="237"/>
      <c r="AA1426" s="237"/>
      <c r="AB1426" s="237"/>
    </row>
    <row r="1427">
      <c r="A1427" s="238">
        <v>1426.0</v>
      </c>
      <c r="B1427" s="242"/>
      <c r="C1427" s="240" t="s">
        <v>9555</v>
      </c>
      <c r="D1427" s="236"/>
      <c r="E1427" s="240" t="s">
        <v>3511</v>
      </c>
      <c r="F1427" s="240" t="s">
        <v>9556</v>
      </c>
      <c r="G1427" s="238" t="s">
        <v>9557</v>
      </c>
      <c r="H1427" s="240" t="s">
        <v>9558</v>
      </c>
      <c r="I1427" s="237"/>
      <c r="J1427" s="256" t="s">
        <v>8507</v>
      </c>
      <c r="K1427" s="242"/>
      <c r="L1427" s="237"/>
      <c r="M1427" s="237"/>
      <c r="N1427" s="237"/>
      <c r="O1427" s="237"/>
      <c r="P1427" s="237"/>
      <c r="Q1427" s="237"/>
      <c r="R1427" s="237"/>
      <c r="S1427" s="237"/>
      <c r="T1427" s="237"/>
      <c r="U1427" s="237"/>
      <c r="V1427" s="237"/>
      <c r="W1427" s="237"/>
      <c r="X1427" s="237"/>
      <c r="Y1427" s="237"/>
      <c r="Z1427" s="237"/>
      <c r="AA1427" s="237"/>
      <c r="AB1427" s="237"/>
    </row>
    <row r="1428">
      <c r="A1428" s="238">
        <v>1427.0</v>
      </c>
      <c r="B1428" s="242"/>
      <c r="C1428" s="240" t="s">
        <v>9559</v>
      </c>
      <c r="D1428" s="236"/>
      <c r="E1428" s="240" t="s">
        <v>3511</v>
      </c>
      <c r="F1428" s="240" t="s">
        <v>9560</v>
      </c>
      <c r="G1428" s="238" t="s">
        <v>9561</v>
      </c>
      <c r="H1428" s="240" t="s">
        <v>9562</v>
      </c>
      <c r="I1428" s="237"/>
      <c r="J1428" s="256" t="s">
        <v>8507</v>
      </c>
      <c r="K1428" s="242"/>
      <c r="L1428" s="237"/>
      <c r="M1428" s="237"/>
      <c r="N1428" s="237"/>
      <c r="O1428" s="237"/>
      <c r="P1428" s="237"/>
      <c r="Q1428" s="237"/>
      <c r="R1428" s="237"/>
      <c r="S1428" s="237"/>
      <c r="T1428" s="237"/>
      <c r="U1428" s="237"/>
      <c r="V1428" s="237"/>
      <c r="W1428" s="237"/>
      <c r="X1428" s="237"/>
      <c r="Y1428" s="237"/>
      <c r="Z1428" s="237"/>
      <c r="AA1428" s="237"/>
      <c r="AB1428" s="237"/>
    </row>
    <row r="1429">
      <c r="A1429" s="238">
        <v>1428.0</v>
      </c>
      <c r="B1429" s="242"/>
      <c r="C1429" s="240" t="s">
        <v>9563</v>
      </c>
      <c r="D1429" s="236"/>
      <c r="E1429" s="240" t="s">
        <v>3511</v>
      </c>
      <c r="F1429" s="240" t="s">
        <v>9564</v>
      </c>
      <c r="G1429" s="238" t="s">
        <v>9565</v>
      </c>
      <c r="H1429" s="240" t="s">
        <v>9566</v>
      </c>
      <c r="I1429" s="237"/>
      <c r="J1429" s="256" t="s">
        <v>8507</v>
      </c>
      <c r="K1429" s="242"/>
      <c r="L1429" s="237"/>
      <c r="M1429" s="237"/>
      <c r="N1429" s="237"/>
      <c r="O1429" s="237"/>
      <c r="P1429" s="237"/>
      <c r="Q1429" s="237"/>
      <c r="R1429" s="237"/>
      <c r="S1429" s="237"/>
      <c r="T1429" s="237"/>
      <c r="U1429" s="237"/>
      <c r="V1429" s="237"/>
      <c r="W1429" s="237"/>
      <c r="X1429" s="237"/>
      <c r="Y1429" s="237"/>
      <c r="Z1429" s="237"/>
      <c r="AA1429" s="237"/>
      <c r="AB1429" s="237"/>
    </row>
    <row r="1430">
      <c r="A1430" s="238">
        <v>1429.0</v>
      </c>
      <c r="B1430" s="242"/>
      <c r="C1430" s="240" t="s">
        <v>9567</v>
      </c>
      <c r="D1430" s="236"/>
      <c r="E1430" s="240" t="s">
        <v>3511</v>
      </c>
      <c r="F1430" s="240" t="s">
        <v>9568</v>
      </c>
      <c r="G1430" s="238" t="s">
        <v>9569</v>
      </c>
      <c r="H1430" s="240" t="s">
        <v>9570</v>
      </c>
      <c r="I1430" s="237"/>
      <c r="J1430" s="256" t="s">
        <v>8507</v>
      </c>
      <c r="K1430" s="242"/>
      <c r="L1430" s="237"/>
      <c r="M1430" s="237"/>
      <c r="N1430" s="237"/>
      <c r="O1430" s="237"/>
      <c r="P1430" s="237"/>
      <c r="Q1430" s="237"/>
      <c r="R1430" s="237"/>
      <c r="S1430" s="237"/>
      <c r="T1430" s="237"/>
      <c r="U1430" s="237"/>
      <c r="V1430" s="237"/>
      <c r="W1430" s="237"/>
      <c r="X1430" s="237"/>
      <c r="Y1430" s="237"/>
      <c r="Z1430" s="237"/>
      <c r="AA1430" s="237"/>
      <c r="AB1430" s="237"/>
    </row>
    <row r="1431">
      <c r="A1431" s="238">
        <v>1430.0</v>
      </c>
      <c r="B1431" s="242"/>
      <c r="C1431" s="240" t="s">
        <v>9571</v>
      </c>
      <c r="D1431" s="236"/>
      <c r="E1431" s="240" t="s">
        <v>3511</v>
      </c>
      <c r="F1431" s="240" t="s">
        <v>9572</v>
      </c>
      <c r="G1431" s="238" t="s">
        <v>9573</v>
      </c>
      <c r="H1431" s="240" t="s">
        <v>9574</v>
      </c>
      <c r="I1431" s="237"/>
      <c r="J1431" s="256" t="s">
        <v>8507</v>
      </c>
      <c r="K1431" s="242"/>
      <c r="L1431" s="237"/>
      <c r="M1431" s="237"/>
      <c r="N1431" s="237"/>
      <c r="O1431" s="237"/>
      <c r="P1431" s="237"/>
      <c r="Q1431" s="237"/>
      <c r="R1431" s="237"/>
      <c r="S1431" s="237"/>
      <c r="T1431" s="237"/>
      <c r="U1431" s="237"/>
      <c r="V1431" s="237"/>
      <c r="W1431" s="237"/>
      <c r="X1431" s="237"/>
      <c r="Y1431" s="237"/>
      <c r="Z1431" s="237"/>
      <c r="AA1431" s="237"/>
      <c r="AB1431" s="237"/>
    </row>
    <row r="1432">
      <c r="A1432" s="238">
        <v>1431.0</v>
      </c>
      <c r="B1432" s="242"/>
      <c r="C1432" s="240" t="s">
        <v>9575</v>
      </c>
      <c r="D1432" s="236"/>
      <c r="E1432" s="240" t="s">
        <v>3511</v>
      </c>
      <c r="F1432" s="240" t="s">
        <v>9576</v>
      </c>
      <c r="G1432" s="238" t="s">
        <v>9577</v>
      </c>
      <c r="H1432" s="240" t="s">
        <v>9578</v>
      </c>
      <c r="I1432" s="237"/>
      <c r="J1432" s="256" t="s">
        <v>8507</v>
      </c>
      <c r="K1432" s="242"/>
      <c r="L1432" s="237"/>
      <c r="M1432" s="237"/>
      <c r="N1432" s="237"/>
      <c r="O1432" s="237"/>
      <c r="P1432" s="237"/>
      <c r="Q1432" s="237"/>
      <c r="R1432" s="237"/>
      <c r="S1432" s="237"/>
      <c r="T1432" s="237"/>
      <c r="U1432" s="237"/>
      <c r="V1432" s="237"/>
      <c r="W1432" s="237"/>
      <c r="X1432" s="237"/>
      <c r="Y1432" s="237"/>
      <c r="Z1432" s="237"/>
      <c r="AA1432" s="237"/>
      <c r="AB1432" s="237"/>
    </row>
    <row r="1433">
      <c r="A1433" s="238">
        <v>1432.0</v>
      </c>
      <c r="B1433" s="242"/>
      <c r="C1433" s="240" t="s">
        <v>9579</v>
      </c>
      <c r="D1433" s="236"/>
      <c r="E1433" s="240" t="s">
        <v>3511</v>
      </c>
      <c r="F1433" s="240" t="s">
        <v>9580</v>
      </c>
      <c r="G1433" s="238" t="s">
        <v>9581</v>
      </c>
      <c r="H1433" s="240" t="s">
        <v>9582</v>
      </c>
      <c r="I1433" s="237"/>
      <c r="J1433" s="256" t="s">
        <v>8507</v>
      </c>
      <c r="K1433" s="242"/>
      <c r="L1433" s="237"/>
      <c r="M1433" s="237"/>
      <c r="N1433" s="237"/>
      <c r="O1433" s="237"/>
      <c r="P1433" s="237"/>
      <c r="Q1433" s="237"/>
      <c r="R1433" s="237"/>
      <c r="S1433" s="237"/>
      <c r="T1433" s="237"/>
      <c r="U1433" s="237"/>
      <c r="V1433" s="237"/>
      <c r="W1433" s="237"/>
      <c r="X1433" s="237"/>
      <c r="Y1433" s="237"/>
      <c r="Z1433" s="237"/>
      <c r="AA1433" s="237"/>
      <c r="AB1433" s="237"/>
    </row>
    <row r="1434">
      <c r="A1434" s="238">
        <v>1433.0</v>
      </c>
      <c r="B1434" s="242"/>
      <c r="C1434" s="240" t="s">
        <v>9583</v>
      </c>
      <c r="D1434" s="236"/>
      <c r="E1434" s="240" t="s">
        <v>3511</v>
      </c>
      <c r="F1434" s="240" t="s">
        <v>9584</v>
      </c>
      <c r="G1434" s="238" t="s">
        <v>9585</v>
      </c>
      <c r="H1434" s="240" t="s">
        <v>9586</v>
      </c>
      <c r="I1434" s="237"/>
      <c r="J1434" s="256" t="s">
        <v>8507</v>
      </c>
      <c r="K1434" s="242"/>
      <c r="L1434" s="237"/>
      <c r="M1434" s="237"/>
      <c r="N1434" s="237"/>
      <c r="O1434" s="237"/>
      <c r="P1434" s="237"/>
      <c r="Q1434" s="237"/>
      <c r="R1434" s="237"/>
      <c r="S1434" s="237"/>
      <c r="T1434" s="237"/>
      <c r="U1434" s="237"/>
      <c r="V1434" s="237"/>
      <c r="W1434" s="237"/>
      <c r="X1434" s="237"/>
      <c r="Y1434" s="237"/>
      <c r="Z1434" s="237"/>
      <c r="AA1434" s="237"/>
      <c r="AB1434" s="237"/>
    </row>
    <row r="1435">
      <c r="A1435" s="238">
        <v>1434.0</v>
      </c>
      <c r="B1435" s="242"/>
      <c r="C1435" s="240" t="s">
        <v>9587</v>
      </c>
      <c r="D1435" s="236"/>
      <c r="E1435" s="240" t="s">
        <v>3511</v>
      </c>
      <c r="F1435" s="240" t="s">
        <v>9588</v>
      </c>
      <c r="G1435" s="238" t="s">
        <v>9589</v>
      </c>
      <c r="H1435" s="240" t="s">
        <v>9590</v>
      </c>
      <c r="I1435" s="237"/>
      <c r="J1435" s="256" t="s">
        <v>8507</v>
      </c>
      <c r="K1435" s="242"/>
      <c r="L1435" s="237"/>
      <c r="M1435" s="237"/>
      <c r="N1435" s="237"/>
      <c r="O1435" s="237"/>
      <c r="P1435" s="237"/>
      <c r="Q1435" s="237"/>
      <c r="R1435" s="237"/>
      <c r="S1435" s="237"/>
      <c r="T1435" s="237"/>
      <c r="U1435" s="237"/>
      <c r="V1435" s="237"/>
      <c r="W1435" s="237"/>
      <c r="X1435" s="237"/>
      <c r="Y1435" s="237"/>
      <c r="Z1435" s="237"/>
      <c r="AA1435" s="237"/>
      <c r="AB1435" s="237"/>
    </row>
    <row r="1436">
      <c r="A1436" s="238">
        <v>1435.0</v>
      </c>
      <c r="B1436" s="242"/>
      <c r="C1436" s="240" t="s">
        <v>9591</v>
      </c>
      <c r="D1436" s="236"/>
      <c r="E1436" s="240" t="s">
        <v>3511</v>
      </c>
      <c r="F1436" s="240" t="s">
        <v>9592</v>
      </c>
      <c r="G1436" s="238" t="s">
        <v>9593</v>
      </c>
      <c r="H1436" s="240" t="s">
        <v>9594</v>
      </c>
      <c r="I1436" s="237"/>
      <c r="J1436" s="256" t="s">
        <v>8507</v>
      </c>
      <c r="K1436" s="242"/>
      <c r="L1436" s="237"/>
      <c r="M1436" s="237"/>
      <c r="N1436" s="237"/>
      <c r="O1436" s="237"/>
      <c r="P1436" s="237"/>
      <c r="Q1436" s="237"/>
      <c r="R1436" s="237"/>
      <c r="S1436" s="237"/>
      <c r="T1436" s="237"/>
      <c r="U1436" s="237"/>
      <c r="V1436" s="237"/>
      <c r="W1436" s="237"/>
      <c r="X1436" s="237"/>
      <c r="Y1436" s="237"/>
      <c r="Z1436" s="237"/>
      <c r="AA1436" s="237"/>
      <c r="AB1436" s="237"/>
    </row>
    <row r="1437">
      <c r="A1437" s="238">
        <v>1436.0</v>
      </c>
      <c r="B1437" s="242"/>
      <c r="C1437" s="240" t="s">
        <v>9595</v>
      </c>
      <c r="D1437" s="236"/>
      <c r="E1437" s="240" t="s">
        <v>3511</v>
      </c>
      <c r="F1437" s="240" t="s">
        <v>9596</v>
      </c>
      <c r="G1437" s="238" t="s">
        <v>9597</v>
      </c>
      <c r="H1437" s="240" t="s">
        <v>9598</v>
      </c>
      <c r="I1437" s="237"/>
      <c r="J1437" s="256" t="s">
        <v>8507</v>
      </c>
      <c r="K1437" s="242"/>
      <c r="L1437" s="237"/>
      <c r="M1437" s="237"/>
      <c r="N1437" s="237"/>
      <c r="O1437" s="237"/>
      <c r="P1437" s="237"/>
      <c r="Q1437" s="237"/>
      <c r="R1437" s="237"/>
      <c r="S1437" s="237"/>
      <c r="T1437" s="237"/>
      <c r="U1437" s="237"/>
      <c r="V1437" s="237"/>
      <c r="W1437" s="237"/>
      <c r="X1437" s="237"/>
      <c r="Y1437" s="237"/>
      <c r="Z1437" s="237"/>
      <c r="AA1437" s="237"/>
      <c r="AB1437" s="237"/>
    </row>
    <row r="1438">
      <c r="A1438" s="238">
        <v>1437.0</v>
      </c>
      <c r="B1438" s="242"/>
      <c r="C1438" s="240" t="s">
        <v>9599</v>
      </c>
      <c r="D1438" s="236"/>
      <c r="E1438" s="240" t="s">
        <v>3511</v>
      </c>
      <c r="F1438" s="240" t="s">
        <v>9600</v>
      </c>
      <c r="G1438" s="238" t="s">
        <v>9601</v>
      </c>
      <c r="H1438" s="240" t="s">
        <v>9602</v>
      </c>
      <c r="I1438" s="237"/>
      <c r="J1438" s="256" t="s">
        <v>8507</v>
      </c>
      <c r="K1438" s="242"/>
      <c r="L1438" s="237"/>
      <c r="M1438" s="237"/>
      <c r="N1438" s="237"/>
      <c r="O1438" s="237"/>
      <c r="P1438" s="237"/>
      <c r="Q1438" s="237"/>
      <c r="R1438" s="237"/>
      <c r="S1438" s="237"/>
      <c r="T1438" s="237"/>
      <c r="U1438" s="237"/>
      <c r="V1438" s="237"/>
      <c r="W1438" s="237"/>
      <c r="X1438" s="237"/>
      <c r="Y1438" s="237"/>
      <c r="Z1438" s="237"/>
      <c r="AA1438" s="237"/>
      <c r="AB1438" s="237"/>
    </row>
    <row r="1439">
      <c r="A1439" s="238">
        <v>1438.0</v>
      </c>
      <c r="B1439" s="242"/>
      <c r="C1439" s="240" t="s">
        <v>9603</v>
      </c>
      <c r="D1439" s="236"/>
      <c r="E1439" s="240" t="s">
        <v>3511</v>
      </c>
      <c r="F1439" s="240" t="s">
        <v>9604</v>
      </c>
      <c r="G1439" s="238" t="s">
        <v>9605</v>
      </c>
      <c r="H1439" s="240" t="s">
        <v>9606</v>
      </c>
      <c r="I1439" s="237"/>
      <c r="J1439" s="256" t="s">
        <v>8507</v>
      </c>
      <c r="K1439" s="242"/>
      <c r="L1439" s="237"/>
      <c r="M1439" s="237"/>
      <c r="N1439" s="237"/>
      <c r="O1439" s="237"/>
      <c r="P1439" s="237"/>
      <c r="Q1439" s="237"/>
      <c r="R1439" s="237"/>
      <c r="S1439" s="237"/>
      <c r="T1439" s="237"/>
      <c r="U1439" s="237"/>
      <c r="V1439" s="237"/>
      <c r="W1439" s="237"/>
      <c r="X1439" s="237"/>
      <c r="Y1439" s="237"/>
      <c r="Z1439" s="237"/>
      <c r="AA1439" s="237"/>
      <c r="AB1439" s="237"/>
    </row>
    <row r="1440">
      <c r="A1440" s="238">
        <v>1439.0</v>
      </c>
      <c r="B1440" s="242"/>
      <c r="C1440" s="240" t="s">
        <v>9607</v>
      </c>
      <c r="D1440" s="236"/>
      <c r="E1440" s="240" t="s">
        <v>3511</v>
      </c>
      <c r="F1440" s="240" t="s">
        <v>9608</v>
      </c>
      <c r="G1440" s="238" t="s">
        <v>9609</v>
      </c>
      <c r="H1440" s="241" t="s">
        <v>9610</v>
      </c>
      <c r="I1440" s="237"/>
      <c r="J1440" s="256" t="s">
        <v>8674</v>
      </c>
      <c r="K1440" s="242"/>
      <c r="L1440" s="237"/>
      <c r="M1440" s="237"/>
      <c r="N1440" s="237"/>
      <c r="O1440" s="237"/>
      <c r="P1440" s="237"/>
      <c r="Q1440" s="237"/>
      <c r="R1440" s="237"/>
      <c r="S1440" s="237"/>
      <c r="T1440" s="237"/>
      <c r="U1440" s="237"/>
      <c r="V1440" s="237"/>
      <c r="W1440" s="237"/>
      <c r="X1440" s="237"/>
      <c r="Y1440" s="237"/>
      <c r="Z1440" s="237"/>
      <c r="AA1440" s="237"/>
      <c r="AB1440" s="237"/>
    </row>
    <row r="1441">
      <c r="A1441" s="238">
        <v>1440.0</v>
      </c>
      <c r="B1441" s="239" t="s">
        <v>9611</v>
      </c>
      <c r="C1441" s="240" t="s">
        <v>9612</v>
      </c>
      <c r="D1441" s="236"/>
      <c r="E1441" s="240" t="s">
        <v>3511</v>
      </c>
      <c r="F1441" s="240" t="s">
        <v>9613</v>
      </c>
      <c r="G1441" s="238" t="s">
        <v>9614</v>
      </c>
      <c r="H1441" s="240" t="s">
        <v>9615</v>
      </c>
      <c r="I1441" s="237"/>
      <c r="J1441" s="256" t="s">
        <v>4100</v>
      </c>
      <c r="K1441" s="239" t="s">
        <v>9611</v>
      </c>
      <c r="L1441" s="237"/>
      <c r="M1441" s="237"/>
      <c r="N1441" s="237"/>
      <c r="O1441" s="237"/>
      <c r="P1441" s="237"/>
      <c r="Q1441" s="237"/>
      <c r="R1441" s="237"/>
      <c r="S1441" s="237"/>
      <c r="T1441" s="237"/>
      <c r="U1441" s="237"/>
      <c r="V1441" s="237"/>
      <c r="W1441" s="237"/>
      <c r="X1441" s="237"/>
      <c r="Y1441" s="237"/>
      <c r="Z1441" s="237"/>
      <c r="AA1441" s="237"/>
      <c r="AB1441" s="237"/>
    </row>
    <row r="1442">
      <c r="A1442" s="238">
        <v>1441.0</v>
      </c>
      <c r="B1442" s="239" t="s">
        <v>9616</v>
      </c>
      <c r="C1442" s="240" t="s">
        <v>9617</v>
      </c>
      <c r="D1442" s="236"/>
      <c r="E1442" s="240" t="s">
        <v>3511</v>
      </c>
      <c r="F1442" s="240" t="s">
        <v>9618</v>
      </c>
      <c r="G1442" s="238" t="s">
        <v>9619</v>
      </c>
      <c r="H1442" s="240" t="s">
        <v>9620</v>
      </c>
      <c r="I1442" s="237"/>
      <c r="J1442" s="256" t="s">
        <v>4100</v>
      </c>
      <c r="K1442" s="239" t="s">
        <v>9616</v>
      </c>
      <c r="L1442" s="237"/>
      <c r="M1442" s="237"/>
      <c r="N1442" s="237"/>
      <c r="O1442" s="237"/>
      <c r="P1442" s="237"/>
      <c r="Q1442" s="237"/>
      <c r="R1442" s="237"/>
      <c r="S1442" s="237"/>
      <c r="T1442" s="237"/>
      <c r="U1442" s="237"/>
      <c r="V1442" s="237"/>
      <c r="W1442" s="237"/>
      <c r="X1442" s="237"/>
      <c r="Y1442" s="237"/>
      <c r="Z1442" s="237"/>
      <c r="AA1442" s="237"/>
      <c r="AB1442" s="237"/>
    </row>
    <row r="1443">
      <c r="A1443" s="238">
        <v>1442.0</v>
      </c>
      <c r="B1443" s="239" t="s">
        <v>9621</v>
      </c>
      <c r="C1443" s="240" t="s">
        <v>9622</v>
      </c>
      <c r="D1443" s="236"/>
      <c r="E1443" s="240" t="s">
        <v>3511</v>
      </c>
      <c r="F1443" s="240" t="s">
        <v>9623</v>
      </c>
      <c r="G1443" s="238" t="s">
        <v>9624</v>
      </c>
      <c r="H1443" s="240" t="s">
        <v>9625</v>
      </c>
      <c r="I1443" s="237"/>
      <c r="J1443" s="256" t="s">
        <v>4100</v>
      </c>
      <c r="K1443" s="239" t="s">
        <v>9621</v>
      </c>
      <c r="L1443" s="237"/>
      <c r="M1443" s="237"/>
      <c r="N1443" s="237"/>
      <c r="O1443" s="237"/>
      <c r="P1443" s="237"/>
      <c r="Q1443" s="237"/>
      <c r="R1443" s="237"/>
      <c r="S1443" s="237"/>
      <c r="T1443" s="237"/>
      <c r="U1443" s="237"/>
      <c r="V1443" s="237"/>
      <c r="W1443" s="237"/>
      <c r="X1443" s="237"/>
      <c r="Y1443" s="237"/>
      <c r="Z1443" s="237"/>
      <c r="AA1443" s="237"/>
      <c r="AB1443" s="237"/>
    </row>
    <row r="1444">
      <c r="A1444" s="238">
        <v>1443.0</v>
      </c>
      <c r="B1444" s="239" t="s">
        <v>9626</v>
      </c>
      <c r="C1444" s="240" t="s">
        <v>9627</v>
      </c>
      <c r="D1444" s="236"/>
      <c r="E1444" s="240" t="s">
        <v>3511</v>
      </c>
      <c r="F1444" s="240" t="s">
        <v>9628</v>
      </c>
      <c r="G1444" s="238" t="s">
        <v>9629</v>
      </c>
      <c r="H1444" s="240" t="s">
        <v>9630</v>
      </c>
      <c r="I1444" s="237"/>
      <c r="J1444" s="256" t="s">
        <v>4100</v>
      </c>
      <c r="K1444" s="239" t="s">
        <v>9626</v>
      </c>
      <c r="L1444" s="237"/>
      <c r="M1444" s="237"/>
      <c r="N1444" s="237"/>
      <c r="O1444" s="237"/>
      <c r="P1444" s="237"/>
      <c r="Q1444" s="237"/>
      <c r="R1444" s="237"/>
      <c r="S1444" s="237"/>
      <c r="T1444" s="237"/>
      <c r="U1444" s="237"/>
      <c r="V1444" s="237"/>
      <c r="W1444" s="237"/>
      <c r="X1444" s="237"/>
      <c r="Y1444" s="237"/>
      <c r="Z1444" s="237"/>
      <c r="AA1444" s="237"/>
      <c r="AB1444" s="237"/>
    </row>
    <row r="1445">
      <c r="A1445" s="238">
        <v>1444.0</v>
      </c>
      <c r="B1445" s="239" t="s">
        <v>9631</v>
      </c>
      <c r="C1445" s="240" t="s">
        <v>9632</v>
      </c>
      <c r="D1445" s="236"/>
      <c r="E1445" s="240" t="s">
        <v>3511</v>
      </c>
      <c r="F1445" s="240" t="s">
        <v>9633</v>
      </c>
      <c r="G1445" s="238" t="s">
        <v>9634</v>
      </c>
      <c r="H1445" s="240" t="s">
        <v>9635</v>
      </c>
      <c r="I1445" s="237"/>
      <c r="J1445" s="256" t="s">
        <v>4100</v>
      </c>
      <c r="K1445" s="239" t="s">
        <v>9631</v>
      </c>
      <c r="L1445" s="237"/>
      <c r="M1445" s="237"/>
      <c r="N1445" s="237"/>
      <c r="O1445" s="237"/>
      <c r="P1445" s="237"/>
      <c r="Q1445" s="237"/>
      <c r="R1445" s="237"/>
      <c r="S1445" s="237"/>
      <c r="T1445" s="237"/>
      <c r="U1445" s="237"/>
      <c r="V1445" s="237"/>
      <c r="W1445" s="237"/>
      <c r="X1445" s="237"/>
      <c r="Y1445" s="237"/>
      <c r="Z1445" s="237"/>
      <c r="AA1445" s="237"/>
      <c r="AB1445" s="237"/>
    </row>
    <row r="1446">
      <c r="A1446" s="238">
        <v>1445.0</v>
      </c>
      <c r="B1446" s="239" t="s">
        <v>9636</v>
      </c>
      <c r="C1446" s="240" t="s">
        <v>9637</v>
      </c>
      <c r="D1446" s="236"/>
      <c r="E1446" s="240" t="s">
        <v>3511</v>
      </c>
      <c r="F1446" s="240" t="s">
        <v>9638</v>
      </c>
      <c r="G1446" s="238" t="s">
        <v>9639</v>
      </c>
      <c r="H1446" s="240" t="s">
        <v>9640</v>
      </c>
      <c r="I1446" s="237"/>
      <c r="J1446" s="256" t="s">
        <v>4100</v>
      </c>
      <c r="K1446" s="239" t="s">
        <v>9636</v>
      </c>
      <c r="L1446" s="237"/>
      <c r="M1446" s="237"/>
      <c r="N1446" s="237"/>
      <c r="O1446" s="237"/>
      <c r="P1446" s="237"/>
      <c r="Q1446" s="237"/>
      <c r="R1446" s="237"/>
      <c r="S1446" s="237"/>
      <c r="T1446" s="237"/>
      <c r="U1446" s="237"/>
      <c r="V1446" s="237"/>
      <c r="W1446" s="237"/>
      <c r="X1446" s="237"/>
      <c r="Y1446" s="237"/>
      <c r="Z1446" s="237"/>
      <c r="AA1446" s="237"/>
      <c r="AB1446" s="237"/>
    </row>
    <row r="1447">
      <c r="A1447" s="238">
        <v>1446.0</v>
      </c>
      <c r="B1447" s="242"/>
      <c r="C1447" s="240" t="s">
        <v>9641</v>
      </c>
      <c r="D1447" s="236"/>
      <c r="E1447" s="240" t="s">
        <v>3511</v>
      </c>
      <c r="F1447" s="240" t="s">
        <v>9642</v>
      </c>
      <c r="G1447" s="238" t="s">
        <v>9643</v>
      </c>
      <c r="H1447" s="88" t="s">
        <v>9644</v>
      </c>
      <c r="I1447" s="237"/>
      <c r="J1447" s="256" t="s">
        <v>8674</v>
      </c>
      <c r="K1447" s="242"/>
      <c r="L1447" s="237"/>
      <c r="M1447" s="237"/>
      <c r="N1447" s="237"/>
      <c r="O1447" s="237"/>
      <c r="P1447" s="237"/>
      <c r="Q1447" s="237"/>
      <c r="R1447" s="237"/>
      <c r="S1447" s="237"/>
      <c r="T1447" s="237"/>
      <c r="U1447" s="237"/>
      <c r="V1447" s="237"/>
      <c r="W1447" s="237"/>
      <c r="X1447" s="237"/>
      <c r="Y1447" s="237"/>
      <c r="Z1447" s="237"/>
      <c r="AA1447" s="237"/>
      <c r="AB1447" s="237"/>
    </row>
    <row r="1448">
      <c r="A1448" s="238">
        <v>1447.0</v>
      </c>
      <c r="B1448" s="239" t="s">
        <v>9645</v>
      </c>
      <c r="C1448" s="240" t="s">
        <v>9646</v>
      </c>
      <c r="D1448" s="236"/>
      <c r="E1448" s="240" t="s">
        <v>3511</v>
      </c>
      <c r="F1448" s="240" t="s">
        <v>9647</v>
      </c>
      <c r="G1448" s="238" t="s">
        <v>9648</v>
      </c>
      <c r="H1448" s="240" t="s">
        <v>9649</v>
      </c>
      <c r="I1448" s="237"/>
      <c r="J1448" s="256" t="s">
        <v>5032</v>
      </c>
      <c r="K1448" s="239" t="s">
        <v>9645</v>
      </c>
      <c r="L1448" s="237"/>
      <c r="M1448" s="237"/>
      <c r="N1448" s="237"/>
      <c r="O1448" s="237"/>
      <c r="P1448" s="237"/>
      <c r="Q1448" s="237"/>
      <c r="R1448" s="237"/>
      <c r="S1448" s="237"/>
      <c r="T1448" s="237"/>
      <c r="U1448" s="237"/>
      <c r="V1448" s="237"/>
      <c r="W1448" s="237"/>
      <c r="X1448" s="237"/>
      <c r="Y1448" s="237"/>
      <c r="Z1448" s="237"/>
      <c r="AA1448" s="237"/>
      <c r="AB1448" s="237"/>
    </row>
    <row r="1449">
      <c r="A1449" s="238">
        <v>1448.0</v>
      </c>
      <c r="B1449" s="239" t="s">
        <v>9650</v>
      </c>
      <c r="C1449" s="240" t="s">
        <v>9651</v>
      </c>
      <c r="D1449" s="236"/>
      <c r="E1449" s="240" t="s">
        <v>3511</v>
      </c>
      <c r="F1449" s="240" t="s">
        <v>9652</v>
      </c>
      <c r="G1449" s="238" t="s">
        <v>9653</v>
      </c>
      <c r="H1449" s="240" t="s">
        <v>9654</v>
      </c>
      <c r="I1449" s="237"/>
      <c r="J1449" s="256" t="s">
        <v>5032</v>
      </c>
      <c r="K1449" s="239" t="s">
        <v>9650</v>
      </c>
      <c r="L1449" s="237"/>
      <c r="M1449" s="237"/>
      <c r="N1449" s="237"/>
      <c r="O1449" s="237"/>
      <c r="P1449" s="237"/>
      <c r="Q1449" s="237"/>
      <c r="R1449" s="237"/>
      <c r="S1449" s="237"/>
      <c r="T1449" s="237"/>
      <c r="U1449" s="237"/>
      <c r="V1449" s="237"/>
      <c r="W1449" s="237"/>
      <c r="X1449" s="237"/>
      <c r="Y1449" s="237"/>
      <c r="Z1449" s="237"/>
      <c r="AA1449" s="237"/>
      <c r="AB1449" s="237"/>
    </row>
    <row r="1450">
      <c r="A1450" s="238">
        <v>1449.0</v>
      </c>
      <c r="B1450" s="239" t="s">
        <v>9655</v>
      </c>
      <c r="C1450" s="240" t="s">
        <v>9656</v>
      </c>
      <c r="D1450" s="236"/>
      <c r="E1450" s="240" t="s">
        <v>3511</v>
      </c>
      <c r="F1450" s="240" t="s">
        <v>9657</v>
      </c>
      <c r="G1450" s="238" t="s">
        <v>9658</v>
      </c>
      <c r="H1450" s="240" t="s">
        <v>9659</v>
      </c>
      <c r="I1450" s="237"/>
      <c r="J1450" s="256" t="s">
        <v>5032</v>
      </c>
      <c r="K1450" s="239" t="s">
        <v>9655</v>
      </c>
      <c r="L1450" s="237"/>
      <c r="M1450" s="237"/>
      <c r="N1450" s="237"/>
      <c r="O1450" s="237"/>
      <c r="P1450" s="237"/>
      <c r="Q1450" s="237"/>
      <c r="R1450" s="237"/>
      <c r="S1450" s="237"/>
      <c r="T1450" s="237"/>
      <c r="U1450" s="237"/>
      <c r="V1450" s="237"/>
      <c r="W1450" s="237"/>
      <c r="X1450" s="237"/>
      <c r="Y1450" s="237"/>
      <c r="Z1450" s="237"/>
      <c r="AA1450" s="237"/>
      <c r="AB1450" s="237"/>
    </row>
    <row r="1451">
      <c r="A1451" s="238">
        <v>1450.0</v>
      </c>
      <c r="B1451" s="239" t="s">
        <v>9660</v>
      </c>
      <c r="C1451" s="240" t="s">
        <v>9661</v>
      </c>
      <c r="D1451" s="236"/>
      <c r="E1451" s="240" t="s">
        <v>3511</v>
      </c>
      <c r="F1451" s="240" t="s">
        <v>9662</v>
      </c>
      <c r="G1451" s="238" t="s">
        <v>9663</v>
      </c>
      <c r="H1451" s="240" t="s">
        <v>9664</v>
      </c>
      <c r="I1451" s="237"/>
      <c r="J1451" s="256" t="s">
        <v>5032</v>
      </c>
      <c r="K1451" s="239" t="s">
        <v>9660</v>
      </c>
      <c r="L1451" s="237"/>
      <c r="M1451" s="237"/>
      <c r="N1451" s="237"/>
      <c r="O1451" s="237"/>
      <c r="P1451" s="237"/>
      <c r="Q1451" s="237"/>
      <c r="R1451" s="237"/>
      <c r="S1451" s="237"/>
      <c r="T1451" s="237"/>
      <c r="U1451" s="237"/>
      <c r="V1451" s="237"/>
      <c r="W1451" s="237"/>
      <c r="X1451" s="237"/>
      <c r="Y1451" s="237"/>
      <c r="Z1451" s="237"/>
      <c r="AA1451" s="237"/>
      <c r="AB1451" s="237"/>
    </row>
    <row r="1452">
      <c r="A1452" s="238">
        <v>1451.0</v>
      </c>
      <c r="B1452" s="242"/>
      <c r="C1452" s="240" t="s">
        <v>9665</v>
      </c>
      <c r="D1452" s="236"/>
      <c r="E1452" s="240" t="s">
        <v>8706</v>
      </c>
      <c r="F1452" s="241" t="s">
        <v>9666</v>
      </c>
      <c r="G1452" s="238" t="s">
        <v>9667</v>
      </c>
      <c r="H1452" s="237" t="s">
        <v>9668</v>
      </c>
      <c r="I1452" s="237"/>
      <c r="J1452" s="237"/>
      <c r="K1452" s="242"/>
      <c r="L1452" s="237"/>
      <c r="M1452" s="237"/>
      <c r="N1452" s="237"/>
      <c r="O1452" s="237"/>
      <c r="P1452" s="237"/>
      <c r="Q1452" s="237"/>
      <c r="R1452" s="237"/>
      <c r="S1452" s="237"/>
      <c r="T1452" s="237"/>
      <c r="U1452" s="237"/>
      <c r="V1452" s="237"/>
      <c r="W1452" s="237"/>
      <c r="X1452" s="237"/>
      <c r="Y1452" s="237"/>
      <c r="Z1452" s="237"/>
      <c r="AA1452" s="237"/>
      <c r="AB1452" s="237"/>
    </row>
    <row r="1453">
      <c r="A1453" s="238">
        <v>1452.0</v>
      </c>
      <c r="B1453" s="242"/>
      <c r="C1453" s="240" t="s">
        <v>9669</v>
      </c>
      <c r="D1453" s="236"/>
      <c r="E1453" s="240" t="s">
        <v>3511</v>
      </c>
      <c r="F1453" s="240" t="s">
        <v>9670</v>
      </c>
      <c r="G1453" s="238" t="s">
        <v>9671</v>
      </c>
      <c r="H1453" s="240" t="s">
        <v>9672</v>
      </c>
      <c r="I1453" s="237"/>
      <c r="J1453" s="237"/>
      <c r="K1453" s="242"/>
      <c r="L1453" s="237"/>
      <c r="M1453" s="237"/>
      <c r="N1453" s="237"/>
      <c r="O1453" s="237"/>
      <c r="P1453" s="237"/>
      <c r="Q1453" s="237"/>
      <c r="R1453" s="237"/>
      <c r="S1453" s="237"/>
      <c r="T1453" s="237"/>
      <c r="U1453" s="237"/>
      <c r="V1453" s="237"/>
      <c r="W1453" s="237"/>
      <c r="X1453" s="237"/>
      <c r="Y1453" s="237"/>
      <c r="Z1453" s="237"/>
      <c r="AA1453" s="237"/>
      <c r="AB1453" s="237"/>
    </row>
    <row r="1454">
      <c r="A1454" s="238">
        <v>1453.0</v>
      </c>
      <c r="B1454" s="242"/>
      <c r="C1454" s="240" t="s">
        <v>9673</v>
      </c>
      <c r="D1454" s="236"/>
      <c r="E1454" s="240" t="s">
        <v>3511</v>
      </c>
      <c r="F1454" s="240" t="s">
        <v>9674</v>
      </c>
      <c r="G1454" s="238" t="s">
        <v>9675</v>
      </c>
      <c r="H1454" s="240" t="s">
        <v>9676</v>
      </c>
      <c r="I1454" s="237"/>
      <c r="J1454" s="256" t="s">
        <v>9677</v>
      </c>
      <c r="K1454" s="242"/>
      <c r="L1454" s="237"/>
      <c r="M1454" s="237"/>
      <c r="N1454" s="237"/>
      <c r="O1454" s="237"/>
      <c r="P1454" s="237"/>
      <c r="Q1454" s="237"/>
      <c r="R1454" s="237"/>
      <c r="S1454" s="237"/>
      <c r="T1454" s="237"/>
      <c r="U1454" s="237"/>
      <c r="V1454" s="237"/>
      <c r="W1454" s="237"/>
      <c r="X1454" s="237"/>
      <c r="Y1454" s="237"/>
      <c r="Z1454" s="237"/>
      <c r="AA1454" s="237"/>
      <c r="AB1454" s="237"/>
    </row>
    <row r="1455">
      <c r="A1455" s="238">
        <v>1454.0</v>
      </c>
      <c r="B1455" s="242"/>
      <c r="C1455" s="240" t="s">
        <v>9678</v>
      </c>
      <c r="D1455" s="236"/>
      <c r="E1455" s="240" t="s">
        <v>3511</v>
      </c>
      <c r="F1455" s="240" t="s">
        <v>9679</v>
      </c>
      <c r="G1455" s="238" t="s">
        <v>9680</v>
      </c>
      <c r="H1455" s="240" t="s">
        <v>9681</v>
      </c>
      <c r="I1455" s="237"/>
      <c r="J1455" s="256" t="s">
        <v>9677</v>
      </c>
      <c r="K1455" s="242"/>
      <c r="L1455" s="237"/>
      <c r="M1455" s="237"/>
      <c r="N1455" s="237"/>
      <c r="O1455" s="237"/>
      <c r="P1455" s="237"/>
      <c r="Q1455" s="237"/>
      <c r="R1455" s="237"/>
      <c r="S1455" s="237"/>
      <c r="T1455" s="237"/>
      <c r="U1455" s="237"/>
      <c r="V1455" s="237"/>
      <c r="W1455" s="237"/>
      <c r="X1455" s="237"/>
      <c r="Y1455" s="237"/>
      <c r="Z1455" s="237"/>
      <c r="AA1455" s="237"/>
      <c r="AB1455" s="237"/>
    </row>
    <row r="1456">
      <c r="A1456" s="238">
        <v>1455.0</v>
      </c>
      <c r="B1456" s="242"/>
      <c r="C1456" s="240" t="s">
        <v>9682</v>
      </c>
      <c r="D1456" s="236"/>
      <c r="E1456" s="240" t="s">
        <v>3511</v>
      </c>
      <c r="F1456" s="240" t="s">
        <v>9683</v>
      </c>
      <c r="G1456" s="238" t="s">
        <v>9684</v>
      </c>
      <c r="H1456" s="240" t="s">
        <v>9685</v>
      </c>
      <c r="I1456" s="237"/>
      <c r="J1456" s="256" t="s">
        <v>9677</v>
      </c>
      <c r="K1456" s="242"/>
      <c r="L1456" s="237"/>
      <c r="M1456" s="237"/>
      <c r="N1456" s="237"/>
      <c r="O1456" s="237"/>
      <c r="P1456" s="237"/>
      <c r="Q1456" s="237"/>
      <c r="R1456" s="237"/>
      <c r="S1456" s="237"/>
      <c r="T1456" s="237"/>
      <c r="U1456" s="237"/>
      <c r="V1456" s="237"/>
      <c r="W1456" s="237"/>
      <c r="X1456" s="237"/>
      <c r="Y1456" s="237"/>
      <c r="Z1456" s="237"/>
      <c r="AA1456" s="237"/>
      <c r="AB1456" s="237"/>
    </row>
    <row r="1457">
      <c r="A1457" s="238">
        <v>1456.0</v>
      </c>
      <c r="B1457" s="242"/>
      <c r="C1457" s="240" t="s">
        <v>9686</v>
      </c>
      <c r="D1457" s="236"/>
      <c r="E1457" s="240" t="s">
        <v>3511</v>
      </c>
      <c r="F1457" s="240" t="s">
        <v>9687</v>
      </c>
      <c r="G1457" s="238" t="s">
        <v>9688</v>
      </c>
      <c r="H1457" s="236"/>
      <c r="I1457" s="237"/>
      <c r="J1457" s="256" t="s">
        <v>9677</v>
      </c>
      <c r="K1457" s="242"/>
      <c r="L1457" s="237"/>
      <c r="M1457" s="237"/>
      <c r="N1457" s="237"/>
      <c r="O1457" s="237"/>
      <c r="P1457" s="237"/>
      <c r="Q1457" s="237"/>
      <c r="R1457" s="237"/>
      <c r="S1457" s="237"/>
      <c r="T1457" s="237"/>
      <c r="U1457" s="237"/>
      <c r="V1457" s="237"/>
      <c r="W1457" s="237"/>
      <c r="X1457" s="237"/>
      <c r="Y1457" s="237"/>
      <c r="Z1457" s="237"/>
      <c r="AA1457" s="237"/>
      <c r="AB1457" s="237"/>
    </row>
    <row r="1458">
      <c r="A1458" s="238">
        <v>1457.0</v>
      </c>
      <c r="B1458" s="242"/>
      <c r="C1458" s="240" t="s">
        <v>9689</v>
      </c>
      <c r="D1458" s="236"/>
      <c r="E1458" s="240" t="s">
        <v>3511</v>
      </c>
      <c r="F1458" s="240" t="s">
        <v>9690</v>
      </c>
      <c r="G1458" s="238" t="s">
        <v>9691</v>
      </c>
      <c r="H1458" s="240" t="s">
        <v>9692</v>
      </c>
      <c r="I1458" s="237"/>
      <c r="J1458" s="256" t="s">
        <v>9677</v>
      </c>
      <c r="K1458" s="242"/>
      <c r="L1458" s="237"/>
      <c r="M1458" s="237"/>
      <c r="N1458" s="237"/>
      <c r="O1458" s="237"/>
      <c r="P1458" s="237"/>
      <c r="Q1458" s="237"/>
      <c r="R1458" s="237"/>
      <c r="S1458" s="237"/>
      <c r="T1458" s="237"/>
      <c r="U1458" s="237"/>
      <c r="V1458" s="237"/>
      <c r="W1458" s="237"/>
      <c r="X1458" s="237"/>
      <c r="Y1458" s="237"/>
      <c r="Z1458" s="237"/>
      <c r="AA1458" s="237"/>
      <c r="AB1458" s="237"/>
    </row>
    <row r="1459">
      <c r="A1459" s="238">
        <v>1458.0</v>
      </c>
      <c r="B1459" s="242"/>
      <c r="C1459" s="240" t="s">
        <v>9693</v>
      </c>
      <c r="D1459" s="236"/>
      <c r="E1459" s="240" t="s">
        <v>3511</v>
      </c>
      <c r="F1459" s="240" t="s">
        <v>9694</v>
      </c>
      <c r="G1459" s="238" t="s">
        <v>9695</v>
      </c>
      <c r="H1459" s="240" t="s">
        <v>9696</v>
      </c>
      <c r="I1459" s="237"/>
      <c r="J1459" s="256" t="s">
        <v>9677</v>
      </c>
      <c r="K1459" s="242"/>
      <c r="L1459" s="237"/>
      <c r="M1459" s="237"/>
      <c r="N1459" s="237"/>
      <c r="O1459" s="237"/>
      <c r="P1459" s="237"/>
      <c r="Q1459" s="237"/>
      <c r="R1459" s="237"/>
      <c r="S1459" s="237"/>
      <c r="T1459" s="237"/>
      <c r="U1459" s="237"/>
      <c r="V1459" s="237"/>
      <c r="W1459" s="237"/>
      <c r="X1459" s="237"/>
      <c r="Y1459" s="237"/>
      <c r="Z1459" s="237"/>
      <c r="AA1459" s="237"/>
      <c r="AB1459" s="237"/>
    </row>
    <row r="1460">
      <c r="A1460" s="238">
        <v>1459.0</v>
      </c>
      <c r="B1460" s="242"/>
      <c r="C1460" s="240" t="s">
        <v>9697</v>
      </c>
      <c r="D1460" s="236"/>
      <c r="E1460" s="240" t="s">
        <v>3511</v>
      </c>
      <c r="F1460" s="240" t="s">
        <v>9698</v>
      </c>
      <c r="G1460" s="238" t="s">
        <v>9699</v>
      </c>
      <c r="H1460" s="240" t="s">
        <v>9700</v>
      </c>
      <c r="I1460" s="237"/>
      <c r="J1460" s="256" t="s">
        <v>9677</v>
      </c>
      <c r="K1460" s="242"/>
      <c r="L1460" s="237"/>
      <c r="M1460" s="237"/>
      <c r="N1460" s="237"/>
      <c r="O1460" s="237"/>
      <c r="P1460" s="237"/>
      <c r="Q1460" s="237"/>
      <c r="R1460" s="237"/>
      <c r="S1460" s="237"/>
      <c r="T1460" s="237"/>
      <c r="U1460" s="237"/>
      <c r="V1460" s="237"/>
      <c r="W1460" s="237"/>
      <c r="X1460" s="237"/>
      <c r="Y1460" s="237"/>
      <c r="Z1460" s="237"/>
      <c r="AA1460" s="237"/>
      <c r="AB1460" s="237"/>
    </row>
    <row r="1461">
      <c r="A1461" s="238">
        <v>1460.0</v>
      </c>
      <c r="B1461" s="242"/>
      <c r="C1461" s="240" t="s">
        <v>9701</v>
      </c>
      <c r="D1461" s="236"/>
      <c r="E1461" s="240" t="s">
        <v>3511</v>
      </c>
      <c r="F1461" s="240" t="s">
        <v>9702</v>
      </c>
      <c r="G1461" s="238" t="s">
        <v>9703</v>
      </c>
      <c r="H1461" s="240" t="s">
        <v>9704</v>
      </c>
      <c r="I1461" s="237"/>
      <c r="J1461" s="256" t="s">
        <v>9677</v>
      </c>
      <c r="K1461" s="242"/>
      <c r="L1461" s="237"/>
      <c r="M1461" s="237"/>
      <c r="N1461" s="237"/>
      <c r="O1461" s="237"/>
      <c r="P1461" s="237"/>
      <c r="Q1461" s="237"/>
      <c r="R1461" s="237"/>
      <c r="S1461" s="237"/>
      <c r="T1461" s="237"/>
      <c r="U1461" s="237"/>
      <c r="V1461" s="237"/>
      <c r="W1461" s="237"/>
      <c r="X1461" s="237"/>
      <c r="Y1461" s="237"/>
      <c r="Z1461" s="237"/>
      <c r="AA1461" s="237"/>
      <c r="AB1461" s="237"/>
    </row>
    <row r="1462">
      <c r="A1462" s="238">
        <v>1461.0</v>
      </c>
      <c r="B1462" s="242"/>
      <c r="C1462" s="240" t="s">
        <v>9705</v>
      </c>
      <c r="D1462" s="236"/>
      <c r="E1462" s="240" t="s">
        <v>3511</v>
      </c>
      <c r="F1462" s="240" t="s">
        <v>9706</v>
      </c>
      <c r="G1462" s="238" t="s">
        <v>9707</v>
      </c>
      <c r="H1462" s="240" t="s">
        <v>9708</v>
      </c>
      <c r="I1462" s="237"/>
      <c r="J1462" s="256" t="s">
        <v>9677</v>
      </c>
      <c r="K1462" s="242"/>
      <c r="L1462" s="237"/>
      <c r="M1462" s="237"/>
      <c r="N1462" s="237"/>
      <c r="O1462" s="237"/>
      <c r="P1462" s="237"/>
      <c r="Q1462" s="237"/>
      <c r="R1462" s="237"/>
      <c r="S1462" s="237"/>
      <c r="T1462" s="237"/>
      <c r="U1462" s="237"/>
      <c r="V1462" s="237"/>
      <c r="W1462" s="237"/>
      <c r="X1462" s="237"/>
      <c r="Y1462" s="237"/>
      <c r="Z1462" s="237"/>
      <c r="AA1462" s="237"/>
      <c r="AB1462" s="237"/>
    </row>
    <row r="1463">
      <c r="A1463" s="238">
        <v>1462.0</v>
      </c>
      <c r="B1463" s="242"/>
      <c r="C1463" s="240" t="s">
        <v>9709</v>
      </c>
      <c r="D1463" s="236"/>
      <c r="E1463" s="240" t="s">
        <v>3511</v>
      </c>
      <c r="F1463" s="240" t="s">
        <v>9710</v>
      </c>
      <c r="G1463" s="238" t="s">
        <v>9711</v>
      </c>
      <c r="H1463" s="240" t="s">
        <v>9712</v>
      </c>
      <c r="I1463" s="237"/>
      <c r="J1463" s="256" t="s">
        <v>9677</v>
      </c>
      <c r="K1463" s="242"/>
      <c r="L1463" s="237"/>
      <c r="M1463" s="237"/>
      <c r="N1463" s="237"/>
      <c r="O1463" s="237"/>
      <c r="P1463" s="237"/>
      <c r="Q1463" s="237"/>
      <c r="R1463" s="237"/>
      <c r="S1463" s="237"/>
      <c r="T1463" s="237"/>
      <c r="U1463" s="237"/>
      <c r="V1463" s="237"/>
      <c r="W1463" s="237"/>
      <c r="X1463" s="237"/>
      <c r="Y1463" s="237"/>
      <c r="Z1463" s="237"/>
      <c r="AA1463" s="237"/>
      <c r="AB1463" s="237"/>
    </row>
    <row r="1464">
      <c r="A1464" s="238">
        <v>1463.0</v>
      </c>
      <c r="B1464" s="239" t="s">
        <v>9713</v>
      </c>
      <c r="C1464" s="240" t="s">
        <v>9714</v>
      </c>
      <c r="D1464" s="236"/>
      <c r="E1464" s="240" t="s">
        <v>3511</v>
      </c>
      <c r="F1464" s="240" t="s">
        <v>9715</v>
      </c>
      <c r="G1464" s="238" t="s">
        <v>9716</v>
      </c>
      <c r="H1464" s="240" t="s">
        <v>9717</v>
      </c>
      <c r="I1464" s="237"/>
      <c r="J1464" s="256" t="s">
        <v>9677</v>
      </c>
      <c r="K1464" s="239" t="s">
        <v>9713</v>
      </c>
      <c r="L1464" s="237"/>
      <c r="M1464" s="237"/>
      <c r="N1464" s="237"/>
      <c r="O1464" s="237"/>
      <c r="P1464" s="237"/>
      <c r="Q1464" s="237"/>
      <c r="R1464" s="237"/>
      <c r="S1464" s="237"/>
      <c r="T1464" s="237"/>
      <c r="U1464" s="237"/>
      <c r="V1464" s="237"/>
      <c r="W1464" s="237"/>
      <c r="X1464" s="237"/>
      <c r="Y1464" s="237"/>
      <c r="Z1464" s="237"/>
      <c r="AA1464" s="237"/>
      <c r="AB1464" s="237"/>
    </row>
    <row r="1465">
      <c r="A1465" s="238">
        <v>1464.0</v>
      </c>
      <c r="B1465" s="239" t="s">
        <v>9718</v>
      </c>
      <c r="C1465" s="240" t="s">
        <v>9719</v>
      </c>
      <c r="D1465" s="236"/>
      <c r="E1465" s="240" t="s">
        <v>3511</v>
      </c>
      <c r="F1465" s="240" t="s">
        <v>9720</v>
      </c>
      <c r="G1465" s="238" t="s">
        <v>9721</v>
      </c>
      <c r="H1465" s="240" t="s">
        <v>9722</v>
      </c>
      <c r="I1465" s="237"/>
      <c r="J1465" s="256" t="s">
        <v>9677</v>
      </c>
      <c r="K1465" s="239" t="s">
        <v>9718</v>
      </c>
      <c r="L1465" s="237"/>
      <c r="M1465" s="237"/>
      <c r="N1465" s="237"/>
      <c r="O1465" s="237"/>
      <c r="P1465" s="237"/>
      <c r="Q1465" s="237"/>
      <c r="R1465" s="237"/>
      <c r="S1465" s="237"/>
      <c r="T1465" s="237"/>
      <c r="U1465" s="237"/>
      <c r="V1465" s="237"/>
      <c r="W1465" s="237"/>
      <c r="X1465" s="237"/>
      <c r="Y1465" s="237"/>
      <c r="Z1465" s="237"/>
      <c r="AA1465" s="237"/>
      <c r="AB1465" s="237"/>
    </row>
    <row r="1466">
      <c r="A1466" s="238">
        <v>1465.0</v>
      </c>
      <c r="B1466" s="239" t="s">
        <v>9723</v>
      </c>
      <c r="C1466" s="240" t="s">
        <v>9724</v>
      </c>
      <c r="D1466" s="236"/>
      <c r="E1466" s="240" t="s">
        <v>3511</v>
      </c>
      <c r="F1466" s="240" t="s">
        <v>9725</v>
      </c>
      <c r="G1466" s="238" t="s">
        <v>9726</v>
      </c>
      <c r="H1466" s="240" t="s">
        <v>9727</v>
      </c>
      <c r="I1466" s="237"/>
      <c r="J1466" s="256" t="s">
        <v>9677</v>
      </c>
      <c r="K1466" s="239" t="s">
        <v>9723</v>
      </c>
      <c r="L1466" s="237"/>
      <c r="M1466" s="237"/>
      <c r="N1466" s="237"/>
      <c r="O1466" s="237"/>
      <c r="P1466" s="237"/>
      <c r="Q1466" s="237"/>
      <c r="R1466" s="237"/>
      <c r="S1466" s="237"/>
      <c r="T1466" s="237"/>
      <c r="U1466" s="237"/>
      <c r="V1466" s="237"/>
      <c r="W1466" s="237"/>
      <c r="X1466" s="237"/>
      <c r="Y1466" s="237"/>
      <c r="Z1466" s="237"/>
      <c r="AA1466" s="237"/>
      <c r="AB1466" s="237"/>
    </row>
    <row r="1467">
      <c r="A1467" s="238">
        <v>1466.0</v>
      </c>
      <c r="B1467" s="239" t="s">
        <v>9728</v>
      </c>
      <c r="C1467" s="240" t="s">
        <v>9729</v>
      </c>
      <c r="D1467" s="236"/>
      <c r="E1467" s="240" t="s">
        <v>3511</v>
      </c>
      <c r="F1467" s="240" t="s">
        <v>9730</v>
      </c>
      <c r="G1467" s="238" t="s">
        <v>9731</v>
      </c>
      <c r="H1467" s="240" t="s">
        <v>9732</v>
      </c>
      <c r="I1467" s="237"/>
      <c r="J1467" s="256" t="s">
        <v>9677</v>
      </c>
      <c r="K1467" s="239" t="s">
        <v>9728</v>
      </c>
      <c r="L1467" s="237"/>
      <c r="M1467" s="237"/>
      <c r="N1467" s="237"/>
      <c r="O1467" s="237"/>
      <c r="P1467" s="237"/>
      <c r="Q1467" s="237"/>
      <c r="R1467" s="237"/>
      <c r="S1467" s="237"/>
      <c r="T1467" s="237"/>
      <c r="U1467" s="237"/>
      <c r="V1467" s="237"/>
      <c r="W1467" s="237"/>
      <c r="X1467" s="237"/>
      <c r="Y1467" s="237"/>
      <c r="Z1467" s="237"/>
      <c r="AA1467" s="237"/>
      <c r="AB1467" s="237"/>
    </row>
    <row r="1468">
      <c r="A1468" s="238">
        <v>1467.0</v>
      </c>
      <c r="B1468" s="242"/>
      <c r="C1468" s="240" t="s">
        <v>9733</v>
      </c>
      <c r="D1468" s="236"/>
      <c r="E1468" s="240" t="s">
        <v>3511</v>
      </c>
      <c r="F1468" s="240" t="s">
        <v>9734</v>
      </c>
      <c r="G1468" s="238" t="s">
        <v>9735</v>
      </c>
      <c r="H1468" s="240" t="s">
        <v>9736</v>
      </c>
      <c r="I1468" s="237"/>
      <c r="J1468" s="256" t="s">
        <v>9677</v>
      </c>
      <c r="K1468" s="242"/>
      <c r="L1468" s="237"/>
      <c r="M1468" s="237"/>
      <c r="N1468" s="237"/>
      <c r="O1468" s="237"/>
      <c r="P1468" s="237"/>
      <c r="Q1468" s="237"/>
      <c r="R1468" s="237"/>
      <c r="S1468" s="237"/>
      <c r="T1468" s="237"/>
      <c r="U1468" s="237"/>
      <c r="V1468" s="237"/>
      <c r="W1468" s="237"/>
      <c r="X1468" s="237"/>
      <c r="Y1468" s="237"/>
      <c r="Z1468" s="237"/>
      <c r="AA1468" s="237"/>
      <c r="AB1468" s="237"/>
    </row>
    <row r="1469">
      <c r="A1469" s="238">
        <v>1468.0</v>
      </c>
      <c r="B1469" s="242"/>
      <c r="C1469" s="240" t="s">
        <v>9737</v>
      </c>
      <c r="D1469" s="236"/>
      <c r="E1469" s="240" t="s">
        <v>3511</v>
      </c>
      <c r="F1469" s="241" t="s">
        <v>9738</v>
      </c>
      <c r="G1469" s="238" t="s">
        <v>9739</v>
      </c>
      <c r="H1469" s="240" t="s">
        <v>9740</v>
      </c>
      <c r="I1469" s="237"/>
      <c r="J1469" s="256" t="s">
        <v>9677</v>
      </c>
      <c r="K1469" s="242"/>
      <c r="L1469" s="237"/>
      <c r="M1469" s="237"/>
      <c r="N1469" s="237"/>
      <c r="O1469" s="237"/>
      <c r="P1469" s="237"/>
      <c r="Q1469" s="237"/>
      <c r="R1469" s="237"/>
      <c r="S1469" s="237"/>
      <c r="T1469" s="237"/>
      <c r="U1469" s="237"/>
      <c r="V1469" s="237"/>
      <c r="W1469" s="237"/>
      <c r="X1469" s="237"/>
      <c r="Y1469" s="237"/>
      <c r="Z1469" s="237"/>
      <c r="AA1469" s="237"/>
      <c r="AB1469" s="237"/>
    </row>
    <row r="1470">
      <c r="A1470" s="238">
        <v>1469.0</v>
      </c>
      <c r="B1470" s="242"/>
      <c r="C1470" s="240" t="s">
        <v>9741</v>
      </c>
      <c r="D1470" s="236"/>
      <c r="E1470" s="240" t="s">
        <v>3511</v>
      </c>
      <c r="F1470" s="241" t="s">
        <v>9742</v>
      </c>
      <c r="G1470" s="238" t="s">
        <v>9743</v>
      </c>
      <c r="H1470" s="240" t="s">
        <v>9744</v>
      </c>
      <c r="I1470" s="237"/>
      <c r="J1470" s="256" t="s">
        <v>9677</v>
      </c>
      <c r="K1470" s="242"/>
      <c r="L1470" s="237"/>
      <c r="M1470" s="237"/>
      <c r="N1470" s="237"/>
      <c r="O1470" s="237"/>
      <c r="P1470" s="237"/>
      <c r="Q1470" s="237"/>
      <c r="R1470" s="237"/>
      <c r="S1470" s="237"/>
      <c r="T1470" s="237"/>
      <c r="U1470" s="237"/>
      <c r="V1470" s="237"/>
      <c r="W1470" s="237"/>
      <c r="X1470" s="237"/>
      <c r="Y1470" s="237"/>
      <c r="Z1470" s="237"/>
      <c r="AA1470" s="237"/>
      <c r="AB1470" s="237"/>
    </row>
    <row r="1471">
      <c r="A1471" s="238">
        <v>1470.0</v>
      </c>
      <c r="B1471" s="242"/>
      <c r="C1471" s="240" t="s">
        <v>9745</v>
      </c>
      <c r="D1471" s="236"/>
      <c r="E1471" s="240" t="s">
        <v>3511</v>
      </c>
      <c r="F1471" s="241" t="s">
        <v>9746</v>
      </c>
      <c r="G1471" s="238" t="s">
        <v>9747</v>
      </c>
      <c r="H1471" s="241" t="s">
        <v>9748</v>
      </c>
      <c r="I1471" s="237"/>
      <c r="J1471" s="256" t="s">
        <v>9677</v>
      </c>
      <c r="K1471" s="242"/>
      <c r="L1471" s="237"/>
      <c r="M1471" s="237"/>
      <c r="N1471" s="237"/>
      <c r="O1471" s="237"/>
      <c r="P1471" s="237"/>
      <c r="Q1471" s="237"/>
      <c r="R1471" s="237"/>
      <c r="S1471" s="237"/>
      <c r="T1471" s="237"/>
      <c r="U1471" s="237"/>
      <c r="V1471" s="237"/>
      <c r="W1471" s="237"/>
      <c r="X1471" s="237"/>
      <c r="Y1471" s="237"/>
      <c r="Z1471" s="237"/>
      <c r="AA1471" s="237"/>
      <c r="AB1471" s="237"/>
    </row>
    <row r="1472">
      <c r="A1472" s="238">
        <v>1471.0</v>
      </c>
      <c r="B1472" s="242"/>
      <c r="C1472" s="240" t="s">
        <v>9749</v>
      </c>
      <c r="D1472" s="236"/>
      <c r="E1472" s="240" t="s">
        <v>3511</v>
      </c>
      <c r="F1472" s="241" t="s">
        <v>9750</v>
      </c>
      <c r="G1472" s="238" t="s">
        <v>9751</v>
      </c>
      <c r="H1472" s="240" t="s">
        <v>9752</v>
      </c>
      <c r="I1472" s="237"/>
      <c r="J1472" s="256" t="s">
        <v>9677</v>
      </c>
      <c r="K1472" s="242"/>
      <c r="L1472" s="237"/>
      <c r="M1472" s="237"/>
      <c r="N1472" s="237"/>
      <c r="O1472" s="237"/>
      <c r="P1472" s="237"/>
      <c r="Q1472" s="237"/>
      <c r="R1472" s="237"/>
      <c r="S1472" s="237"/>
      <c r="T1472" s="237"/>
      <c r="U1472" s="237"/>
      <c r="V1472" s="237"/>
      <c r="W1472" s="237"/>
      <c r="X1472" s="237"/>
      <c r="Y1472" s="237"/>
      <c r="Z1472" s="237"/>
      <c r="AA1472" s="237"/>
      <c r="AB1472" s="237"/>
    </row>
    <row r="1473">
      <c r="A1473" s="238">
        <v>1472.0</v>
      </c>
      <c r="B1473" s="242"/>
      <c r="C1473" s="240" t="s">
        <v>9753</v>
      </c>
      <c r="D1473" s="243" t="s">
        <v>9754</v>
      </c>
      <c r="E1473" s="241" t="s">
        <v>1420</v>
      </c>
      <c r="F1473" s="240" t="s">
        <v>9755</v>
      </c>
      <c r="G1473" s="238" t="s">
        <v>9756</v>
      </c>
      <c r="H1473" s="237" t="s">
        <v>9757</v>
      </c>
      <c r="I1473" s="237"/>
      <c r="J1473" s="256" t="s">
        <v>9758</v>
      </c>
      <c r="K1473" s="242"/>
      <c r="L1473" s="254" t="s">
        <v>9759</v>
      </c>
      <c r="M1473" s="237"/>
      <c r="N1473" s="237"/>
      <c r="O1473" s="237"/>
      <c r="P1473" s="237"/>
      <c r="Q1473" s="237"/>
      <c r="R1473" s="237"/>
      <c r="S1473" s="237"/>
      <c r="T1473" s="237"/>
      <c r="U1473" s="237"/>
      <c r="V1473" s="237"/>
      <c r="W1473" s="237"/>
      <c r="X1473" s="237"/>
      <c r="Y1473" s="237"/>
      <c r="Z1473" s="237"/>
      <c r="AA1473" s="237"/>
      <c r="AB1473" s="237"/>
    </row>
    <row r="1474">
      <c r="A1474" s="238">
        <v>1473.0</v>
      </c>
      <c r="B1474" s="242"/>
      <c r="C1474" s="240" t="s">
        <v>9760</v>
      </c>
      <c r="D1474" s="243" t="s">
        <v>9761</v>
      </c>
      <c r="E1474" s="241" t="s">
        <v>1420</v>
      </c>
      <c r="F1474" s="240" t="s">
        <v>9762</v>
      </c>
      <c r="G1474" s="238" t="s">
        <v>9763</v>
      </c>
      <c r="H1474" s="237" t="s">
        <v>9764</v>
      </c>
      <c r="I1474" s="237"/>
      <c r="J1474" s="256" t="s">
        <v>9758</v>
      </c>
      <c r="K1474" s="242"/>
      <c r="L1474" s="254" t="s">
        <v>9759</v>
      </c>
      <c r="M1474" s="237"/>
      <c r="N1474" s="237"/>
      <c r="O1474" s="237"/>
      <c r="P1474" s="237"/>
      <c r="Q1474" s="237"/>
      <c r="R1474" s="237"/>
      <c r="S1474" s="237"/>
      <c r="T1474" s="237"/>
      <c r="U1474" s="237"/>
      <c r="V1474" s="237"/>
      <c r="W1474" s="237"/>
      <c r="X1474" s="237"/>
      <c r="Y1474" s="237"/>
      <c r="Z1474" s="237"/>
      <c r="AA1474" s="237"/>
      <c r="AB1474" s="237"/>
    </row>
    <row r="1475">
      <c r="A1475" s="238">
        <v>1474.0</v>
      </c>
      <c r="B1475" s="242"/>
      <c r="C1475" s="240" t="s">
        <v>9765</v>
      </c>
      <c r="D1475" s="236"/>
      <c r="E1475" s="240" t="s">
        <v>3496</v>
      </c>
      <c r="F1475" s="241" t="s">
        <v>9766</v>
      </c>
      <c r="G1475" s="238" t="s">
        <v>9767</v>
      </c>
      <c r="H1475" s="236"/>
      <c r="I1475" s="237"/>
      <c r="J1475" s="256" t="s">
        <v>9758</v>
      </c>
      <c r="K1475" s="242"/>
      <c r="L1475" s="237"/>
      <c r="M1475" s="237"/>
      <c r="N1475" s="237"/>
      <c r="O1475" s="237"/>
      <c r="P1475" s="237"/>
      <c r="Q1475" s="237"/>
      <c r="R1475" s="237"/>
      <c r="S1475" s="237"/>
      <c r="T1475" s="237"/>
      <c r="U1475" s="237"/>
      <c r="V1475" s="237"/>
      <c r="W1475" s="237"/>
      <c r="X1475" s="237"/>
      <c r="Y1475" s="237"/>
      <c r="Z1475" s="237"/>
      <c r="AA1475" s="237"/>
      <c r="AB1475" s="237"/>
    </row>
    <row r="1476">
      <c r="A1476" s="238">
        <v>1475.0</v>
      </c>
      <c r="B1476" s="242"/>
      <c r="C1476" s="240" t="s">
        <v>9768</v>
      </c>
      <c r="D1476" s="236"/>
      <c r="E1476" s="240" t="s">
        <v>3496</v>
      </c>
      <c r="F1476" s="241" t="s">
        <v>9769</v>
      </c>
      <c r="G1476" s="238" t="s">
        <v>9770</v>
      </c>
      <c r="H1476" s="236"/>
      <c r="I1476" s="237"/>
      <c r="J1476" s="256" t="s">
        <v>9758</v>
      </c>
      <c r="K1476" s="242"/>
      <c r="L1476" s="237"/>
      <c r="M1476" s="237"/>
      <c r="N1476" s="237"/>
      <c r="O1476" s="237"/>
      <c r="P1476" s="237"/>
      <c r="Q1476" s="237"/>
      <c r="R1476" s="237"/>
      <c r="S1476" s="237"/>
      <c r="T1476" s="237"/>
      <c r="U1476" s="237"/>
      <c r="V1476" s="237"/>
      <c r="W1476" s="237"/>
      <c r="X1476" s="237"/>
      <c r="Y1476" s="237"/>
      <c r="Z1476" s="237"/>
      <c r="AA1476" s="237"/>
      <c r="AB1476" s="237"/>
    </row>
    <row r="1477">
      <c r="A1477" s="238">
        <v>1476.0</v>
      </c>
      <c r="B1477" s="242"/>
      <c r="C1477" s="240" t="s">
        <v>9771</v>
      </c>
      <c r="D1477" s="243" t="s">
        <v>9772</v>
      </c>
      <c r="E1477" s="241" t="s">
        <v>1420</v>
      </c>
      <c r="F1477" s="241" t="s">
        <v>9773</v>
      </c>
      <c r="G1477" s="238" t="s">
        <v>9774</v>
      </c>
      <c r="H1477" s="254" t="s">
        <v>9775</v>
      </c>
      <c r="I1477" s="237"/>
      <c r="J1477" s="256" t="s">
        <v>9758</v>
      </c>
      <c r="K1477" s="242"/>
      <c r="L1477" s="237" t="s">
        <v>9776</v>
      </c>
      <c r="M1477" s="237"/>
      <c r="N1477" s="237"/>
      <c r="O1477" s="237"/>
      <c r="P1477" s="237"/>
      <c r="Q1477" s="237"/>
      <c r="R1477" s="237"/>
      <c r="S1477" s="237"/>
      <c r="T1477" s="237"/>
      <c r="U1477" s="237"/>
      <c r="V1477" s="237"/>
      <c r="W1477" s="237"/>
      <c r="X1477" s="237"/>
      <c r="Y1477" s="237"/>
      <c r="Z1477" s="237"/>
      <c r="AA1477" s="237"/>
      <c r="AB1477" s="237"/>
    </row>
    <row r="1478">
      <c r="A1478" s="238">
        <v>1478.0</v>
      </c>
      <c r="B1478" s="242"/>
      <c r="C1478" s="240" t="s">
        <v>9777</v>
      </c>
      <c r="D1478" s="236"/>
      <c r="E1478" s="241" t="s">
        <v>1420</v>
      </c>
      <c r="F1478" s="241" t="s">
        <v>9778</v>
      </c>
      <c r="G1478" s="238" t="s">
        <v>9779</v>
      </c>
      <c r="H1478" s="237" t="s">
        <v>9780</v>
      </c>
      <c r="I1478" s="237"/>
      <c r="J1478" s="256" t="s">
        <v>9758</v>
      </c>
      <c r="K1478" s="242"/>
      <c r="L1478" s="237" t="s">
        <v>9776</v>
      </c>
      <c r="M1478" s="237"/>
      <c r="N1478" s="237"/>
      <c r="O1478" s="237"/>
      <c r="P1478" s="237"/>
      <c r="Q1478" s="237"/>
      <c r="R1478" s="237"/>
      <c r="S1478" s="237"/>
      <c r="T1478" s="237"/>
      <c r="U1478" s="237"/>
      <c r="V1478" s="237"/>
      <c r="W1478" s="237"/>
      <c r="X1478" s="237"/>
      <c r="Y1478" s="237"/>
      <c r="Z1478" s="237"/>
      <c r="AA1478" s="237"/>
      <c r="AB1478" s="237"/>
    </row>
    <row r="1479">
      <c r="A1479" s="238">
        <v>1479.0</v>
      </c>
      <c r="B1479" s="242"/>
      <c r="C1479" s="241" t="s">
        <v>9781</v>
      </c>
      <c r="D1479" s="236"/>
      <c r="E1479" s="241" t="s">
        <v>1420</v>
      </c>
      <c r="F1479" s="241" t="s">
        <v>9782</v>
      </c>
      <c r="G1479" s="238" t="s">
        <v>9783</v>
      </c>
      <c r="H1479" s="241" t="s">
        <v>9784</v>
      </c>
      <c r="I1479" s="237"/>
      <c r="J1479" s="256" t="s">
        <v>9758</v>
      </c>
      <c r="K1479" s="242"/>
      <c r="L1479" s="237"/>
      <c r="M1479" s="237"/>
      <c r="N1479" s="237"/>
      <c r="O1479" s="237"/>
      <c r="P1479" s="237"/>
      <c r="Q1479" s="237"/>
      <c r="R1479" s="237"/>
      <c r="S1479" s="237"/>
      <c r="T1479" s="237"/>
      <c r="U1479" s="237"/>
      <c r="V1479" s="237"/>
      <c r="W1479" s="237"/>
      <c r="X1479" s="237"/>
      <c r="Y1479" s="237"/>
      <c r="Z1479" s="237"/>
      <c r="AA1479" s="237"/>
      <c r="AB1479" s="237"/>
    </row>
    <row r="1480">
      <c r="A1480" s="238">
        <v>1480.0</v>
      </c>
      <c r="B1480" s="242"/>
      <c r="C1480" s="240" t="s">
        <v>9785</v>
      </c>
      <c r="D1480" s="243" t="s">
        <v>9786</v>
      </c>
      <c r="E1480" s="241" t="s">
        <v>1420</v>
      </c>
      <c r="F1480" s="241" t="s">
        <v>9787</v>
      </c>
      <c r="G1480" s="238" t="s">
        <v>9788</v>
      </c>
      <c r="H1480" s="241" t="s">
        <v>9789</v>
      </c>
      <c r="I1480" s="237"/>
      <c r="J1480" s="256" t="s">
        <v>9758</v>
      </c>
      <c r="K1480" s="242"/>
      <c r="L1480" s="254" t="s">
        <v>9790</v>
      </c>
      <c r="M1480" s="237"/>
      <c r="N1480" s="237"/>
      <c r="O1480" s="237"/>
      <c r="P1480" s="237"/>
      <c r="Q1480" s="237"/>
      <c r="R1480" s="237"/>
      <c r="S1480" s="237"/>
      <c r="T1480" s="237"/>
      <c r="U1480" s="237"/>
      <c r="V1480" s="237"/>
      <c r="W1480" s="237"/>
      <c r="X1480" s="237"/>
      <c r="Y1480" s="237"/>
      <c r="Z1480" s="237"/>
      <c r="AA1480" s="237"/>
      <c r="AB1480" s="237"/>
    </row>
    <row r="1481">
      <c r="A1481" s="238">
        <v>1481.0</v>
      </c>
      <c r="B1481" s="239" t="s">
        <v>9791</v>
      </c>
      <c r="C1481" s="240" t="s">
        <v>9792</v>
      </c>
      <c r="D1481" s="236"/>
      <c r="E1481" s="240" t="s">
        <v>3511</v>
      </c>
      <c r="F1481" s="240" t="s">
        <v>9793</v>
      </c>
      <c r="G1481" s="238" t="s">
        <v>9794</v>
      </c>
      <c r="H1481" s="241" t="s">
        <v>9795</v>
      </c>
      <c r="I1481" s="237"/>
      <c r="J1481" s="256" t="s">
        <v>9758</v>
      </c>
      <c r="K1481" s="239" t="s">
        <v>9791</v>
      </c>
      <c r="L1481" s="237"/>
      <c r="M1481" s="237"/>
      <c r="N1481" s="237"/>
      <c r="O1481" s="237"/>
      <c r="P1481" s="237"/>
      <c r="Q1481" s="237"/>
      <c r="R1481" s="237"/>
      <c r="S1481" s="237"/>
      <c r="T1481" s="237"/>
      <c r="U1481" s="237"/>
      <c r="V1481" s="237"/>
      <c r="W1481" s="237"/>
      <c r="X1481" s="237"/>
      <c r="Y1481" s="237"/>
      <c r="Z1481" s="237"/>
      <c r="AA1481" s="237"/>
      <c r="AB1481" s="237"/>
    </row>
    <row r="1482">
      <c r="A1482" s="238">
        <v>1482.0</v>
      </c>
      <c r="B1482" s="239" t="s">
        <v>9796</v>
      </c>
      <c r="C1482" s="240" t="s">
        <v>9797</v>
      </c>
      <c r="D1482" s="236"/>
      <c r="E1482" s="240" t="s">
        <v>3511</v>
      </c>
      <c r="F1482" s="240" t="s">
        <v>9798</v>
      </c>
      <c r="G1482" s="238" t="s">
        <v>9799</v>
      </c>
      <c r="H1482" s="241" t="s">
        <v>9800</v>
      </c>
      <c r="I1482" s="237"/>
      <c r="J1482" s="256" t="s">
        <v>9758</v>
      </c>
      <c r="K1482" s="239" t="s">
        <v>9796</v>
      </c>
      <c r="L1482" s="237"/>
      <c r="M1482" s="237"/>
      <c r="N1482" s="237"/>
      <c r="O1482" s="237"/>
      <c r="P1482" s="237"/>
      <c r="Q1482" s="237"/>
      <c r="R1482" s="237"/>
      <c r="S1482" s="237"/>
      <c r="T1482" s="237"/>
      <c r="U1482" s="237"/>
      <c r="V1482" s="237"/>
      <c r="W1482" s="237"/>
      <c r="X1482" s="237"/>
      <c r="Y1482" s="237"/>
      <c r="Z1482" s="237"/>
      <c r="AA1482" s="237"/>
      <c r="AB1482" s="237"/>
    </row>
    <row r="1483">
      <c r="A1483" s="238">
        <v>1483.0</v>
      </c>
      <c r="B1483" s="239" t="s">
        <v>9801</v>
      </c>
      <c r="C1483" s="240" t="s">
        <v>9802</v>
      </c>
      <c r="D1483" s="236"/>
      <c r="E1483" s="240" t="s">
        <v>3511</v>
      </c>
      <c r="F1483" s="241" t="s">
        <v>9803</v>
      </c>
      <c r="G1483" s="238" t="s">
        <v>9804</v>
      </c>
      <c r="H1483" s="240" t="s">
        <v>9805</v>
      </c>
      <c r="I1483" s="237"/>
      <c r="J1483" s="256" t="s">
        <v>9758</v>
      </c>
      <c r="K1483" s="239" t="s">
        <v>9801</v>
      </c>
      <c r="L1483" s="237"/>
      <c r="M1483" s="237"/>
      <c r="N1483" s="237"/>
      <c r="O1483" s="237"/>
      <c r="P1483" s="237"/>
      <c r="Q1483" s="237"/>
      <c r="R1483" s="237"/>
      <c r="S1483" s="237"/>
      <c r="T1483" s="237"/>
      <c r="U1483" s="237"/>
      <c r="V1483" s="237"/>
      <c r="W1483" s="237"/>
      <c r="X1483" s="237"/>
      <c r="Y1483" s="237"/>
      <c r="Z1483" s="237"/>
      <c r="AA1483" s="237"/>
      <c r="AB1483" s="237"/>
    </row>
    <row r="1484">
      <c r="A1484" s="238">
        <v>1484.0</v>
      </c>
      <c r="B1484" s="242"/>
      <c r="C1484" s="240" t="s">
        <v>9806</v>
      </c>
      <c r="D1484" s="236"/>
      <c r="E1484" s="240" t="s">
        <v>3496</v>
      </c>
      <c r="F1484" s="240" t="s">
        <v>9807</v>
      </c>
      <c r="G1484" s="238" t="s">
        <v>9808</v>
      </c>
      <c r="H1484" s="236"/>
      <c r="I1484" s="237"/>
      <c r="J1484" s="256" t="s">
        <v>9758</v>
      </c>
      <c r="K1484" s="242"/>
      <c r="L1484" s="237"/>
      <c r="M1484" s="237"/>
      <c r="N1484" s="237"/>
      <c r="O1484" s="237"/>
      <c r="P1484" s="237"/>
      <c r="Q1484" s="237"/>
      <c r="R1484" s="237"/>
      <c r="S1484" s="237"/>
      <c r="T1484" s="237"/>
      <c r="U1484" s="237"/>
      <c r="V1484" s="237"/>
      <c r="W1484" s="237"/>
      <c r="X1484" s="237"/>
      <c r="Y1484" s="237"/>
      <c r="Z1484" s="237"/>
      <c r="AA1484" s="237"/>
      <c r="AB1484" s="237"/>
    </row>
    <row r="1485">
      <c r="A1485" s="238">
        <v>1485.0</v>
      </c>
      <c r="B1485" s="239" t="s">
        <v>9809</v>
      </c>
      <c r="C1485" s="240" t="s">
        <v>9810</v>
      </c>
      <c r="D1485" s="236"/>
      <c r="E1485" s="240" t="s">
        <v>3511</v>
      </c>
      <c r="F1485" s="240" t="s">
        <v>9811</v>
      </c>
      <c r="G1485" s="238" t="s">
        <v>9812</v>
      </c>
      <c r="H1485" s="240" t="s">
        <v>9813</v>
      </c>
      <c r="I1485" s="237"/>
      <c r="J1485" s="256" t="s">
        <v>3515</v>
      </c>
      <c r="K1485" s="239" t="s">
        <v>9809</v>
      </c>
      <c r="L1485" s="237"/>
      <c r="M1485" s="237"/>
      <c r="N1485" s="237"/>
      <c r="O1485" s="237"/>
      <c r="P1485" s="237"/>
      <c r="Q1485" s="237"/>
      <c r="R1485" s="237"/>
      <c r="S1485" s="237"/>
      <c r="T1485" s="237"/>
      <c r="U1485" s="237"/>
      <c r="V1485" s="237"/>
      <c r="W1485" s="237"/>
      <c r="X1485" s="237"/>
      <c r="Y1485" s="237"/>
      <c r="Z1485" s="237"/>
      <c r="AA1485" s="237"/>
      <c r="AB1485" s="237"/>
    </row>
    <row r="1486">
      <c r="A1486" s="238">
        <v>1486.0</v>
      </c>
      <c r="B1486" s="239" t="s">
        <v>9814</v>
      </c>
      <c r="C1486" s="240" t="s">
        <v>9815</v>
      </c>
      <c r="D1486" s="236"/>
      <c r="E1486" s="240" t="s">
        <v>3511</v>
      </c>
      <c r="F1486" s="240" t="s">
        <v>9816</v>
      </c>
      <c r="G1486" s="238" t="s">
        <v>9817</v>
      </c>
      <c r="H1486" s="240" t="s">
        <v>9818</v>
      </c>
      <c r="I1486" s="237"/>
      <c r="J1486" s="256" t="s">
        <v>9677</v>
      </c>
      <c r="K1486" s="239" t="s">
        <v>9814</v>
      </c>
      <c r="L1486" s="237"/>
      <c r="M1486" s="237"/>
      <c r="N1486" s="237"/>
      <c r="O1486" s="237"/>
      <c r="P1486" s="237"/>
      <c r="Q1486" s="237"/>
      <c r="R1486" s="237"/>
      <c r="S1486" s="237"/>
      <c r="T1486" s="237"/>
      <c r="U1486" s="237"/>
      <c r="V1486" s="237"/>
      <c r="W1486" s="237"/>
      <c r="X1486" s="237"/>
      <c r="Y1486" s="237"/>
      <c r="Z1486" s="237"/>
      <c r="AA1486" s="237"/>
      <c r="AB1486" s="237"/>
    </row>
    <row r="1487">
      <c r="A1487" s="238">
        <v>1487.0</v>
      </c>
      <c r="B1487" s="242"/>
      <c r="C1487" s="240" t="s">
        <v>9819</v>
      </c>
      <c r="D1487" s="236"/>
      <c r="E1487" s="240" t="s">
        <v>3511</v>
      </c>
      <c r="F1487" s="240" t="s">
        <v>9820</v>
      </c>
      <c r="G1487" s="238" t="s">
        <v>9821</v>
      </c>
      <c r="H1487" s="240" t="s">
        <v>9822</v>
      </c>
      <c r="I1487" s="237"/>
      <c r="J1487" s="256" t="s">
        <v>9677</v>
      </c>
      <c r="K1487" s="242"/>
      <c r="L1487" s="237"/>
      <c r="M1487" s="237"/>
      <c r="N1487" s="237"/>
      <c r="O1487" s="237"/>
      <c r="P1487" s="237"/>
      <c r="Q1487" s="237"/>
      <c r="R1487" s="237"/>
      <c r="S1487" s="237"/>
      <c r="T1487" s="237"/>
      <c r="U1487" s="237"/>
      <c r="V1487" s="237"/>
      <c r="W1487" s="237"/>
      <c r="X1487" s="237"/>
      <c r="Y1487" s="237"/>
      <c r="Z1487" s="237"/>
      <c r="AA1487" s="237"/>
      <c r="AB1487" s="237"/>
    </row>
    <row r="1488">
      <c r="A1488" s="238">
        <v>1488.0</v>
      </c>
      <c r="B1488" s="239" t="s">
        <v>9823</v>
      </c>
      <c r="C1488" s="240" t="s">
        <v>9824</v>
      </c>
      <c r="D1488" s="236"/>
      <c r="E1488" s="240" t="s">
        <v>3511</v>
      </c>
      <c r="F1488" s="240" t="s">
        <v>9825</v>
      </c>
      <c r="G1488" s="238" t="s">
        <v>9826</v>
      </c>
      <c r="H1488" s="240" t="s">
        <v>9827</v>
      </c>
      <c r="I1488" s="237"/>
      <c r="J1488" s="256" t="s">
        <v>9677</v>
      </c>
      <c r="K1488" s="239" t="s">
        <v>9823</v>
      </c>
      <c r="L1488" s="237"/>
      <c r="M1488" s="237"/>
      <c r="N1488" s="237"/>
      <c r="O1488" s="237"/>
      <c r="P1488" s="237"/>
      <c r="Q1488" s="237"/>
      <c r="R1488" s="237"/>
      <c r="S1488" s="237"/>
      <c r="T1488" s="237"/>
      <c r="U1488" s="237"/>
      <c r="V1488" s="237"/>
      <c r="W1488" s="237"/>
      <c r="X1488" s="237"/>
      <c r="Y1488" s="237"/>
      <c r="Z1488" s="237"/>
      <c r="AA1488" s="237"/>
      <c r="AB1488" s="237"/>
    </row>
    <row r="1489">
      <c r="A1489" s="238">
        <v>1489.0</v>
      </c>
      <c r="B1489" s="242"/>
      <c r="C1489" s="240" t="s">
        <v>9828</v>
      </c>
      <c r="D1489" s="236"/>
      <c r="E1489" s="240" t="s">
        <v>3511</v>
      </c>
      <c r="F1489" s="240" t="s">
        <v>9829</v>
      </c>
      <c r="G1489" s="238" t="s">
        <v>9830</v>
      </c>
      <c r="H1489" s="240" t="s">
        <v>9831</v>
      </c>
      <c r="I1489" s="237"/>
      <c r="J1489" s="256" t="s">
        <v>9677</v>
      </c>
      <c r="K1489" s="242"/>
      <c r="L1489" s="237"/>
      <c r="M1489" s="237"/>
      <c r="N1489" s="237"/>
      <c r="O1489" s="237"/>
      <c r="P1489" s="237"/>
      <c r="Q1489" s="237"/>
      <c r="R1489" s="237"/>
      <c r="S1489" s="237"/>
      <c r="T1489" s="237"/>
      <c r="U1489" s="237"/>
      <c r="V1489" s="237"/>
      <c r="W1489" s="237"/>
      <c r="X1489" s="237"/>
      <c r="Y1489" s="237"/>
      <c r="Z1489" s="237"/>
      <c r="AA1489" s="237"/>
      <c r="AB1489" s="237"/>
    </row>
    <row r="1490">
      <c r="A1490" s="238">
        <v>1490.0</v>
      </c>
      <c r="B1490" s="239" t="s">
        <v>9832</v>
      </c>
      <c r="C1490" s="240" t="s">
        <v>9833</v>
      </c>
      <c r="D1490" s="236"/>
      <c r="E1490" s="240" t="s">
        <v>3511</v>
      </c>
      <c r="F1490" s="240" t="s">
        <v>9834</v>
      </c>
      <c r="G1490" s="238" t="s">
        <v>9835</v>
      </c>
      <c r="H1490" s="240" t="s">
        <v>9836</v>
      </c>
      <c r="I1490" s="237"/>
      <c r="J1490" s="256" t="s">
        <v>9677</v>
      </c>
      <c r="K1490" s="239" t="s">
        <v>9832</v>
      </c>
      <c r="L1490" s="237"/>
      <c r="M1490" s="237"/>
      <c r="N1490" s="237"/>
      <c r="O1490" s="237"/>
      <c r="P1490" s="237"/>
      <c r="Q1490" s="237"/>
      <c r="R1490" s="237"/>
      <c r="S1490" s="237"/>
      <c r="T1490" s="237"/>
      <c r="U1490" s="237"/>
      <c r="V1490" s="237"/>
      <c r="W1490" s="237"/>
      <c r="X1490" s="237"/>
      <c r="Y1490" s="237"/>
      <c r="Z1490" s="237"/>
      <c r="AA1490" s="237"/>
      <c r="AB1490" s="237"/>
    </row>
    <row r="1491">
      <c r="A1491" s="238">
        <v>1491.0</v>
      </c>
      <c r="B1491" s="239" t="s">
        <v>9837</v>
      </c>
      <c r="C1491" s="240" t="s">
        <v>9838</v>
      </c>
      <c r="D1491" s="236"/>
      <c r="E1491" s="240" t="s">
        <v>3511</v>
      </c>
      <c r="F1491" s="240" t="s">
        <v>9839</v>
      </c>
      <c r="G1491" s="238" t="s">
        <v>9840</v>
      </c>
      <c r="H1491" s="240" t="s">
        <v>9841</v>
      </c>
      <c r="I1491" s="237"/>
      <c r="J1491" s="256" t="s">
        <v>9677</v>
      </c>
      <c r="K1491" s="239" t="s">
        <v>9837</v>
      </c>
      <c r="L1491" s="237"/>
      <c r="M1491" s="237"/>
      <c r="N1491" s="237"/>
      <c r="O1491" s="237"/>
      <c r="P1491" s="237"/>
      <c r="Q1491" s="237"/>
      <c r="R1491" s="237"/>
      <c r="S1491" s="237"/>
      <c r="T1491" s="237"/>
      <c r="U1491" s="237"/>
      <c r="V1491" s="237"/>
      <c r="W1491" s="237"/>
      <c r="X1491" s="237"/>
      <c r="Y1491" s="237"/>
      <c r="Z1491" s="237"/>
      <c r="AA1491" s="237"/>
      <c r="AB1491" s="237"/>
    </row>
    <row r="1492">
      <c r="A1492" s="238">
        <v>1492.0</v>
      </c>
      <c r="B1492" s="242"/>
      <c r="C1492" s="240" t="s">
        <v>9842</v>
      </c>
      <c r="D1492" s="236"/>
      <c r="E1492" s="240" t="s">
        <v>3511</v>
      </c>
      <c r="F1492" s="240" t="s">
        <v>9843</v>
      </c>
      <c r="G1492" s="238" t="s">
        <v>9844</v>
      </c>
      <c r="H1492" s="240" t="s">
        <v>9845</v>
      </c>
      <c r="I1492" s="237"/>
      <c r="J1492" s="256" t="s">
        <v>9677</v>
      </c>
      <c r="K1492" s="242"/>
      <c r="L1492" s="237"/>
      <c r="M1492" s="237"/>
      <c r="N1492" s="237"/>
      <c r="O1492" s="237"/>
      <c r="P1492" s="237"/>
      <c r="Q1492" s="237"/>
      <c r="R1492" s="237"/>
      <c r="S1492" s="237"/>
      <c r="T1492" s="237"/>
      <c r="U1492" s="237"/>
      <c r="V1492" s="237"/>
      <c r="W1492" s="237"/>
      <c r="X1492" s="237"/>
      <c r="Y1492" s="237"/>
      <c r="Z1492" s="237"/>
      <c r="AA1492" s="237"/>
      <c r="AB1492" s="237"/>
    </row>
    <row r="1493">
      <c r="A1493" s="238">
        <v>1493.0</v>
      </c>
      <c r="B1493" s="242"/>
      <c r="C1493" s="240" t="s">
        <v>9846</v>
      </c>
      <c r="D1493" s="236"/>
      <c r="E1493" s="240" t="s">
        <v>3511</v>
      </c>
      <c r="F1493" s="240" t="s">
        <v>9847</v>
      </c>
      <c r="G1493" s="238" t="s">
        <v>9848</v>
      </c>
      <c r="H1493" s="240" t="s">
        <v>9849</v>
      </c>
      <c r="I1493" s="237"/>
      <c r="J1493" s="256" t="s">
        <v>9677</v>
      </c>
      <c r="K1493" s="242"/>
      <c r="L1493" s="237"/>
      <c r="M1493" s="237"/>
      <c r="N1493" s="237"/>
      <c r="O1493" s="237"/>
      <c r="P1493" s="237"/>
      <c r="Q1493" s="237"/>
      <c r="R1493" s="237"/>
      <c r="S1493" s="237"/>
      <c r="T1493" s="237"/>
      <c r="U1493" s="237"/>
      <c r="V1493" s="237"/>
      <c r="W1493" s="237"/>
      <c r="X1493" s="237"/>
      <c r="Y1493" s="237"/>
      <c r="Z1493" s="237"/>
      <c r="AA1493" s="237"/>
      <c r="AB1493" s="237"/>
    </row>
    <row r="1494">
      <c r="A1494" s="238">
        <v>1494.0</v>
      </c>
      <c r="B1494" s="242"/>
      <c r="C1494" s="240" t="s">
        <v>9850</v>
      </c>
      <c r="D1494" s="236"/>
      <c r="E1494" s="240" t="s">
        <v>3511</v>
      </c>
      <c r="F1494" s="240" t="s">
        <v>9851</v>
      </c>
      <c r="G1494" s="238" t="s">
        <v>9852</v>
      </c>
      <c r="H1494" s="240" t="s">
        <v>9853</v>
      </c>
      <c r="I1494" s="237"/>
      <c r="J1494" s="256" t="s">
        <v>9677</v>
      </c>
      <c r="K1494" s="242"/>
      <c r="L1494" s="237"/>
      <c r="M1494" s="237"/>
      <c r="N1494" s="237"/>
      <c r="O1494" s="237"/>
      <c r="P1494" s="237"/>
      <c r="Q1494" s="237"/>
      <c r="R1494" s="237"/>
      <c r="S1494" s="237"/>
      <c r="T1494" s="237"/>
      <c r="U1494" s="237"/>
      <c r="V1494" s="237"/>
      <c r="W1494" s="237"/>
      <c r="X1494" s="237"/>
      <c r="Y1494" s="237"/>
      <c r="Z1494" s="237"/>
      <c r="AA1494" s="237"/>
      <c r="AB1494" s="237"/>
    </row>
    <row r="1495">
      <c r="A1495" s="238">
        <v>1495.0</v>
      </c>
      <c r="B1495" s="239" t="s">
        <v>9854</v>
      </c>
      <c r="C1495" s="240" t="s">
        <v>9855</v>
      </c>
      <c r="D1495" s="236"/>
      <c r="E1495" s="240" t="s">
        <v>3511</v>
      </c>
      <c r="F1495" s="240" t="s">
        <v>9856</v>
      </c>
      <c r="G1495" s="238" t="s">
        <v>9857</v>
      </c>
      <c r="H1495" s="240" t="s">
        <v>9858</v>
      </c>
      <c r="I1495" s="237"/>
      <c r="J1495" s="256" t="s">
        <v>9677</v>
      </c>
      <c r="K1495" s="239" t="s">
        <v>9854</v>
      </c>
      <c r="L1495" s="237"/>
      <c r="M1495" s="237"/>
      <c r="N1495" s="237"/>
      <c r="O1495" s="237"/>
      <c r="P1495" s="237"/>
      <c r="Q1495" s="237"/>
      <c r="R1495" s="237"/>
      <c r="S1495" s="237"/>
      <c r="T1495" s="237"/>
      <c r="U1495" s="237"/>
      <c r="V1495" s="237"/>
      <c r="W1495" s="237"/>
      <c r="X1495" s="237"/>
      <c r="Y1495" s="237"/>
      <c r="Z1495" s="237"/>
      <c r="AA1495" s="237"/>
      <c r="AB1495" s="237"/>
    </row>
    <row r="1496">
      <c r="A1496" s="238">
        <v>1496.0</v>
      </c>
      <c r="B1496" s="239" t="s">
        <v>9859</v>
      </c>
      <c r="C1496" s="240" t="s">
        <v>9860</v>
      </c>
      <c r="D1496" s="236"/>
      <c r="E1496" s="240" t="s">
        <v>3511</v>
      </c>
      <c r="F1496" s="240" t="s">
        <v>9861</v>
      </c>
      <c r="G1496" s="238" t="s">
        <v>9862</v>
      </c>
      <c r="H1496" s="240" t="s">
        <v>9863</v>
      </c>
      <c r="I1496" s="237"/>
      <c r="J1496" s="256" t="s">
        <v>9677</v>
      </c>
      <c r="K1496" s="239" t="s">
        <v>9859</v>
      </c>
      <c r="L1496" s="237"/>
      <c r="M1496" s="237"/>
      <c r="N1496" s="237"/>
      <c r="O1496" s="237"/>
      <c r="P1496" s="237"/>
      <c r="Q1496" s="237"/>
      <c r="R1496" s="237"/>
      <c r="S1496" s="237"/>
      <c r="T1496" s="237"/>
      <c r="U1496" s="237"/>
      <c r="V1496" s="237"/>
      <c r="W1496" s="237"/>
      <c r="X1496" s="237"/>
      <c r="Y1496" s="237"/>
      <c r="Z1496" s="237"/>
      <c r="AA1496" s="237"/>
      <c r="AB1496" s="237"/>
    </row>
    <row r="1497">
      <c r="A1497" s="238">
        <v>1497.0</v>
      </c>
      <c r="B1497" s="239" t="s">
        <v>9864</v>
      </c>
      <c r="C1497" s="240" t="s">
        <v>9865</v>
      </c>
      <c r="D1497" s="236"/>
      <c r="E1497" s="240" t="s">
        <v>3511</v>
      </c>
      <c r="F1497" s="240" t="s">
        <v>9866</v>
      </c>
      <c r="G1497" s="238" t="s">
        <v>9867</v>
      </c>
      <c r="H1497" s="240" t="s">
        <v>9868</v>
      </c>
      <c r="I1497" s="237"/>
      <c r="J1497" s="256" t="s">
        <v>9677</v>
      </c>
      <c r="K1497" s="239" t="s">
        <v>9864</v>
      </c>
      <c r="L1497" s="237"/>
      <c r="M1497" s="237"/>
      <c r="N1497" s="237"/>
      <c r="O1497" s="237"/>
      <c r="P1497" s="237"/>
      <c r="Q1497" s="237"/>
      <c r="R1497" s="237"/>
      <c r="S1497" s="237"/>
      <c r="T1497" s="237"/>
      <c r="U1497" s="237"/>
      <c r="V1497" s="237"/>
      <c r="W1497" s="237"/>
      <c r="X1497" s="237"/>
      <c r="Y1497" s="237"/>
      <c r="Z1497" s="237"/>
      <c r="AA1497" s="237"/>
      <c r="AB1497" s="237"/>
    </row>
    <row r="1498">
      <c r="A1498" s="238">
        <v>1498.0</v>
      </c>
      <c r="B1498" s="242"/>
      <c r="C1498" s="240" t="s">
        <v>9869</v>
      </c>
      <c r="D1498" s="236"/>
      <c r="E1498" s="240" t="s">
        <v>3511</v>
      </c>
      <c r="F1498" s="240" t="s">
        <v>9870</v>
      </c>
      <c r="G1498" s="238" t="s">
        <v>9871</v>
      </c>
      <c r="H1498" s="240" t="s">
        <v>9872</v>
      </c>
      <c r="I1498" s="237"/>
      <c r="J1498" s="256" t="s">
        <v>9677</v>
      </c>
      <c r="K1498" s="242"/>
      <c r="L1498" s="237"/>
      <c r="M1498" s="237"/>
      <c r="N1498" s="237"/>
      <c r="O1498" s="237"/>
      <c r="P1498" s="237"/>
      <c r="Q1498" s="237"/>
      <c r="R1498" s="237"/>
      <c r="S1498" s="237"/>
      <c r="T1498" s="237"/>
      <c r="U1498" s="237"/>
      <c r="V1498" s="237"/>
      <c r="W1498" s="237"/>
      <c r="X1498" s="237"/>
      <c r="Y1498" s="237"/>
      <c r="Z1498" s="237"/>
      <c r="AA1498" s="237"/>
      <c r="AB1498" s="237"/>
    </row>
    <row r="1499">
      <c r="A1499" s="238">
        <v>1499.0</v>
      </c>
      <c r="B1499" s="242"/>
      <c r="C1499" s="240" t="s">
        <v>9873</v>
      </c>
      <c r="D1499" s="236"/>
      <c r="E1499" s="240" t="s">
        <v>3511</v>
      </c>
      <c r="F1499" s="240" t="s">
        <v>9874</v>
      </c>
      <c r="G1499" s="238" t="s">
        <v>9875</v>
      </c>
      <c r="H1499" s="240" t="s">
        <v>9876</v>
      </c>
      <c r="I1499" s="237"/>
      <c r="J1499" s="256" t="s">
        <v>9677</v>
      </c>
      <c r="K1499" s="242"/>
      <c r="L1499" s="237"/>
      <c r="M1499" s="237"/>
      <c r="N1499" s="237"/>
      <c r="O1499" s="237"/>
      <c r="P1499" s="237"/>
      <c r="Q1499" s="237"/>
      <c r="R1499" s="237"/>
      <c r="S1499" s="237"/>
      <c r="T1499" s="237"/>
      <c r="U1499" s="237"/>
      <c r="V1499" s="237"/>
      <c r="W1499" s="237"/>
      <c r="X1499" s="237"/>
      <c r="Y1499" s="237"/>
      <c r="Z1499" s="237"/>
      <c r="AA1499" s="237"/>
      <c r="AB1499" s="237"/>
    </row>
    <row r="1500">
      <c r="A1500" s="238">
        <v>1500.0</v>
      </c>
      <c r="B1500" s="239" t="s">
        <v>9877</v>
      </c>
      <c r="C1500" s="240" t="s">
        <v>9878</v>
      </c>
      <c r="D1500" s="236"/>
      <c r="E1500" s="240" t="s">
        <v>3511</v>
      </c>
      <c r="F1500" s="240" t="s">
        <v>9879</v>
      </c>
      <c r="G1500" s="238" t="s">
        <v>9880</v>
      </c>
      <c r="H1500" s="240" t="s">
        <v>9881</v>
      </c>
      <c r="I1500" s="237"/>
      <c r="J1500" s="256" t="s">
        <v>9677</v>
      </c>
      <c r="K1500" s="239" t="s">
        <v>9877</v>
      </c>
      <c r="L1500" s="237"/>
      <c r="M1500" s="237"/>
      <c r="N1500" s="237"/>
      <c r="O1500" s="237"/>
      <c r="P1500" s="237"/>
      <c r="Q1500" s="237"/>
      <c r="R1500" s="237"/>
      <c r="S1500" s="237"/>
      <c r="T1500" s="237"/>
      <c r="U1500" s="237"/>
      <c r="V1500" s="237"/>
      <c r="W1500" s="237"/>
      <c r="X1500" s="237"/>
      <c r="Y1500" s="237"/>
      <c r="Z1500" s="237"/>
      <c r="AA1500" s="237"/>
      <c r="AB1500" s="237"/>
    </row>
    <row r="1501">
      <c r="A1501" s="238">
        <v>1501.0</v>
      </c>
      <c r="B1501" s="242"/>
      <c r="C1501" s="240" t="s">
        <v>9882</v>
      </c>
      <c r="D1501" s="236"/>
      <c r="E1501" s="240" t="s">
        <v>3511</v>
      </c>
      <c r="F1501" s="240" t="s">
        <v>9883</v>
      </c>
      <c r="G1501" s="238" t="s">
        <v>9884</v>
      </c>
      <c r="H1501" s="240" t="s">
        <v>9885</v>
      </c>
      <c r="I1501" s="237"/>
      <c r="J1501" s="256" t="s">
        <v>9677</v>
      </c>
      <c r="K1501" s="242"/>
      <c r="L1501" s="237"/>
      <c r="M1501" s="237"/>
      <c r="N1501" s="237"/>
      <c r="O1501" s="237"/>
      <c r="P1501" s="237"/>
      <c r="Q1501" s="237"/>
      <c r="R1501" s="237"/>
      <c r="S1501" s="237"/>
      <c r="T1501" s="237"/>
      <c r="U1501" s="237"/>
      <c r="V1501" s="237"/>
      <c r="W1501" s="237"/>
      <c r="X1501" s="237"/>
      <c r="Y1501" s="237"/>
      <c r="Z1501" s="237"/>
      <c r="AA1501" s="237"/>
      <c r="AB1501" s="237"/>
    </row>
    <row r="1502">
      <c r="A1502" s="238">
        <v>1502.0</v>
      </c>
      <c r="B1502" s="242"/>
      <c r="C1502" s="240" t="s">
        <v>9886</v>
      </c>
      <c r="D1502" s="236"/>
      <c r="E1502" s="240" t="s">
        <v>3511</v>
      </c>
      <c r="F1502" s="240" t="s">
        <v>9887</v>
      </c>
      <c r="G1502" s="238" t="s">
        <v>9888</v>
      </c>
      <c r="H1502" s="241" t="s">
        <v>9889</v>
      </c>
      <c r="I1502" s="237"/>
      <c r="J1502" s="256" t="s">
        <v>9677</v>
      </c>
      <c r="K1502" s="242"/>
      <c r="L1502" s="237"/>
      <c r="M1502" s="237"/>
      <c r="N1502" s="237"/>
      <c r="O1502" s="237"/>
      <c r="P1502" s="237"/>
      <c r="Q1502" s="237"/>
      <c r="R1502" s="237"/>
      <c r="S1502" s="237"/>
      <c r="T1502" s="237"/>
      <c r="U1502" s="237"/>
      <c r="V1502" s="237"/>
      <c r="W1502" s="237"/>
      <c r="X1502" s="237"/>
      <c r="Y1502" s="237"/>
      <c r="Z1502" s="237"/>
      <c r="AA1502" s="237"/>
      <c r="AB1502" s="237"/>
    </row>
    <row r="1503">
      <c r="A1503" s="238">
        <v>1503.0</v>
      </c>
      <c r="B1503" s="239" t="s">
        <v>9890</v>
      </c>
      <c r="C1503" s="240" t="s">
        <v>9891</v>
      </c>
      <c r="D1503" s="236"/>
      <c r="E1503" s="240" t="s">
        <v>3511</v>
      </c>
      <c r="F1503" s="240" t="s">
        <v>9892</v>
      </c>
      <c r="G1503" s="238" t="s">
        <v>9893</v>
      </c>
      <c r="H1503" s="240" t="s">
        <v>9894</v>
      </c>
      <c r="I1503" s="237"/>
      <c r="J1503" s="256" t="s">
        <v>9677</v>
      </c>
      <c r="K1503" s="239" t="s">
        <v>9890</v>
      </c>
      <c r="L1503" s="237"/>
      <c r="M1503" s="237"/>
      <c r="N1503" s="237"/>
      <c r="O1503" s="237"/>
      <c r="P1503" s="237"/>
      <c r="Q1503" s="237"/>
      <c r="R1503" s="237"/>
      <c r="S1503" s="237"/>
      <c r="T1503" s="237"/>
      <c r="U1503" s="237"/>
      <c r="V1503" s="237"/>
      <c r="W1503" s="237"/>
      <c r="X1503" s="237"/>
      <c r="Y1503" s="237"/>
      <c r="Z1503" s="237"/>
      <c r="AA1503" s="237"/>
      <c r="AB1503" s="237"/>
    </row>
    <row r="1504">
      <c r="A1504" s="238">
        <v>1504.0</v>
      </c>
      <c r="B1504" s="239" t="s">
        <v>9895</v>
      </c>
      <c r="C1504" s="240" t="s">
        <v>9896</v>
      </c>
      <c r="D1504" s="236"/>
      <c r="E1504" s="240" t="s">
        <v>3511</v>
      </c>
      <c r="F1504" s="240" t="s">
        <v>9897</v>
      </c>
      <c r="G1504" s="238" t="s">
        <v>9898</v>
      </c>
      <c r="H1504" s="240" t="s">
        <v>9899</v>
      </c>
      <c r="I1504" s="237"/>
      <c r="J1504" s="256" t="s">
        <v>9677</v>
      </c>
      <c r="K1504" s="239" t="s">
        <v>9895</v>
      </c>
      <c r="L1504" s="237"/>
      <c r="M1504" s="237"/>
      <c r="N1504" s="237"/>
      <c r="O1504" s="237"/>
      <c r="P1504" s="237"/>
      <c r="Q1504" s="237"/>
      <c r="R1504" s="237"/>
      <c r="S1504" s="237"/>
      <c r="T1504" s="237"/>
      <c r="U1504" s="237"/>
      <c r="V1504" s="237"/>
      <c r="W1504" s="237"/>
      <c r="X1504" s="237"/>
      <c r="Y1504" s="237"/>
      <c r="Z1504" s="237"/>
      <c r="AA1504" s="237"/>
      <c r="AB1504" s="237"/>
    </row>
    <row r="1505">
      <c r="A1505" s="238">
        <v>1505.0</v>
      </c>
      <c r="B1505" s="239" t="s">
        <v>9900</v>
      </c>
      <c r="C1505" s="240" t="s">
        <v>9901</v>
      </c>
      <c r="D1505" s="236"/>
      <c r="E1505" s="240" t="s">
        <v>3511</v>
      </c>
      <c r="F1505" s="240" t="s">
        <v>9902</v>
      </c>
      <c r="G1505" s="238" t="s">
        <v>9903</v>
      </c>
      <c r="H1505" s="240" t="s">
        <v>9904</v>
      </c>
      <c r="I1505" s="237"/>
      <c r="J1505" s="256" t="s">
        <v>9677</v>
      </c>
      <c r="K1505" s="239" t="s">
        <v>9900</v>
      </c>
      <c r="L1505" s="237"/>
      <c r="M1505" s="237"/>
      <c r="N1505" s="237"/>
      <c r="O1505" s="237"/>
      <c r="P1505" s="237"/>
      <c r="Q1505" s="237"/>
      <c r="R1505" s="237"/>
      <c r="S1505" s="237"/>
      <c r="T1505" s="237"/>
      <c r="U1505" s="237"/>
      <c r="V1505" s="237"/>
      <c r="W1505" s="237"/>
      <c r="X1505" s="237"/>
      <c r="Y1505" s="237"/>
      <c r="Z1505" s="237"/>
      <c r="AA1505" s="237"/>
      <c r="AB1505" s="237"/>
    </row>
    <row r="1506">
      <c r="A1506" s="238">
        <v>1506.0</v>
      </c>
      <c r="B1506" s="239" t="s">
        <v>9905</v>
      </c>
      <c r="C1506" s="240" t="s">
        <v>9906</v>
      </c>
      <c r="D1506" s="236"/>
      <c r="E1506" s="240" t="s">
        <v>3511</v>
      </c>
      <c r="F1506" s="240" t="s">
        <v>9907</v>
      </c>
      <c r="G1506" s="238" t="s">
        <v>9908</v>
      </c>
      <c r="H1506" s="240" t="s">
        <v>9909</v>
      </c>
      <c r="I1506" s="237"/>
      <c r="J1506" s="256" t="s">
        <v>9677</v>
      </c>
      <c r="K1506" s="239" t="s">
        <v>9905</v>
      </c>
      <c r="L1506" s="237"/>
      <c r="M1506" s="237"/>
      <c r="N1506" s="237"/>
      <c r="O1506" s="237"/>
      <c r="P1506" s="237"/>
      <c r="Q1506" s="237"/>
      <c r="R1506" s="237"/>
      <c r="S1506" s="237"/>
      <c r="T1506" s="237"/>
      <c r="U1506" s="237"/>
      <c r="V1506" s="237"/>
      <c r="W1506" s="237"/>
      <c r="X1506" s="237"/>
      <c r="Y1506" s="237"/>
      <c r="Z1506" s="237"/>
      <c r="AA1506" s="237"/>
      <c r="AB1506" s="237"/>
    </row>
    <row r="1507">
      <c r="A1507" s="238">
        <v>1507.0</v>
      </c>
      <c r="B1507" s="239" t="s">
        <v>9910</v>
      </c>
      <c r="C1507" s="240" t="s">
        <v>9911</v>
      </c>
      <c r="D1507" s="236"/>
      <c r="E1507" s="240" t="s">
        <v>3511</v>
      </c>
      <c r="F1507" s="240" t="s">
        <v>9912</v>
      </c>
      <c r="G1507" s="238" t="s">
        <v>9913</v>
      </c>
      <c r="H1507" s="240" t="s">
        <v>9914</v>
      </c>
      <c r="I1507" s="237"/>
      <c r="J1507" s="256" t="s">
        <v>9677</v>
      </c>
      <c r="K1507" s="239" t="s">
        <v>9910</v>
      </c>
      <c r="L1507" s="237"/>
      <c r="M1507" s="237"/>
      <c r="N1507" s="237"/>
      <c r="O1507" s="237"/>
      <c r="P1507" s="237"/>
      <c r="Q1507" s="237"/>
      <c r="R1507" s="237"/>
      <c r="S1507" s="237"/>
      <c r="T1507" s="237"/>
      <c r="U1507" s="237"/>
      <c r="V1507" s="237"/>
      <c r="W1507" s="237"/>
      <c r="X1507" s="237"/>
      <c r="Y1507" s="237"/>
      <c r="Z1507" s="237"/>
      <c r="AA1507" s="237"/>
      <c r="AB1507" s="237"/>
    </row>
    <row r="1508">
      <c r="A1508" s="238">
        <v>1508.0</v>
      </c>
      <c r="B1508" s="239" t="s">
        <v>9915</v>
      </c>
      <c r="C1508" s="240" t="s">
        <v>9916</v>
      </c>
      <c r="D1508" s="236"/>
      <c r="E1508" s="240" t="s">
        <v>3511</v>
      </c>
      <c r="F1508" s="240" t="s">
        <v>9917</v>
      </c>
      <c r="G1508" s="238" t="s">
        <v>9918</v>
      </c>
      <c r="H1508" s="240" t="s">
        <v>9919</v>
      </c>
      <c r="I1508" s="237"/>
      <c r="J1508" s="256" t="s">
        <v>9677</v>
      </c>
      <c r="K1508" s="239" t="s">
        <v>9915</v>
      </c>
      <c r="L1508" s="237"/>
      <c r="M1508" s="237"/>
      <c r="N1508" s="237"/>
      <c r="O1508" s="237"/>
      <c r="P1508" s="237"/>
      <c r="Q1508" s="237"/>
      <c r="R1508" s="237"/>
      <c r="S1508" s="237"/>
      <c r="T1508" s="237"/>
      <c r="U1508" s="237"/>
      <c r="V1508" s="237"/>
      <c r="W1508" s="237"/>
      <c r="X1508" s="237"/>
      <c r="Y1508" s="237"/>
      <c r="Z1508" s="237"/>
      <c r="AA1508" s="237"/>
      <c r="AB1508" s="237"/>
    </row>
    <row r="1509">
      <c r="A1509" s="238">
        <v>1509.0</v>
      </c>
      <c r="B1509" s="239" t="s">
        <v>9920</v>
      </c>
      <c r="C1509" s="240" t="s">
        <v>9921</v>
      </c>
      <c r="D1509" s="236"/>
      <c r="E1509" s="240" t="s">
        <v>3511</v>
      </c>
      <c r="F1509" s="240" t="s">
        <v>9922</v>
      </c>
      <c r="G1509" s="238" t="s">
        <v>9923</v>
      </c>
      <c r="H1509" s="240" t="s">
        <v>9924</v>
      </c>
      <c r="I1509" s="237"/>
      <c r="J1509" s="256" t="s">
        <v>9677</v>
      </c>
      <c r="K1509" s="239" t="s">
        <v>9920</v>
      </c>
      <c r="L1509" s="237"/>
      <c r="M1509" s="237"/>
      <c r="N1509" s="237"/>
      <c r="O1509" s="237"/>
      <c r="P1509" s="237"/>
      <c r="Q1509" s="237"/>
      <c r="R1509" s="237"/>
      <c r="S1509" s="237"/>
      <c r="T1509" s="237"/>
      <c r="U1509" s="237"/>
      <c r="V1509" s="237"/>
      <c r="W1509" s="237"/>
      <c r="X1509" s="237"/>
      <c r="Y1509" s="237"/>
      <c r="Z1509" s="237"/>
      <c r="AA1509" s="237"/>
      <c r="AB1509" s="237"/>
    </row>
    <row r="1510">
      <c r="A1510" s="238">
        <v>1510.0</v>
      </c>
      <c r="B1510" s="242"/>
      <c r="C1510" s="240" t="s">
        <v>9925</v>
      </c>
      <c r="D1510" s="236"/>
      <c r="E1510" s="240" t="s">
        <v>3511</v>
      </c>
      <c r="F1510" s="240" t="s">
        <v>9926</v>
      </c>
      <c r="G1510" s="238" t="s">
        <v>9927</v>
      </c>
      <c r="H1510" s="241" t="s">
        <v>9928</v>
      </c>
      <c r="I1510" s="237"/>
      <c r="J1510" s="256" t="s">
        <v>9677</v>
      </c>
      <c r="K1510" s="242"/>
      <c r="L1510" s="237"/>
      <c r="M1510" s="237"/>
      <c r="N1510" s="237"/>
      <c r="O1510" s="237"/>
      <c r="P1510" s="237"/>
      <c r="Q1510" s="237"/>
      <c r="R1510" s="237"/>
      <c r="S1510" s="237"/>
      <c r="T1510" s="237"/>
      <c r="U1510" s="237"/>
      <c r="V1510" s="237"/>
      <c r="W1510" s="237"/>
      <c r="X1510" s="237"/>
      <c r="Y1510" s="237"/>
      <c r="Z1510" s="237"/>
      <c r="AA1510" s="237"/>
      <c r="AB1510" s="237"/>
    </row>
    <row r="1511">
      <c r="A1511" s="238">
        <v>1511.0</v>
      </c>
      <c r="B1511" s="242"/>
      <c r="C1511" s="240" t="s">
        <v>9929</v>
      </c>
      <c r="D1511" s="236"/>
      <c r="E1511" s="240" t="s">
        <v>3511</v>
      </c>
      <c r="F1511" s="240" t="s">
        <v>9930</v>
      </c>
      <c r="G1511" s="238" t="s">
        <v>9931</v>
      </c>
      <c r="H1511" s="241" t="s">
        <v>9932</v>
      </c>
      <c r="I1511" s="237"/>
      <c r="J1511" s="256" t="s">
        <v>9677</v>
      </c>
      <c r="K1511" s="242"/>
      <c r="L1511" s="237"/>
      <c r="M1511" s="237"/>
      <c r="N1511" s="237"/>
      <c r="O1511" s="237"/>
      <c r="P1511" s="237"/>
      <c r="Q1511" s="237"/>
      <c r="R1511" s="237"/>
      <c r="S1511" s="237"/>
      <c r="T1511" s="237"/>
      <c r="U1511" s="237"/>
      <c r="V1511" s="237"/>
      <c r="W1511" s="237"/>
      <c r="X1511" s="237"/>
      <c r="Y1511" s="237"/>
      <c r="Z1511" s="237"/>
      <c r="AA1511" s="237"/>
      <c r="AB1511" s="237"/>
    </row>
    <row r="1512">
      <c r="A1512" s="238">
        <v>1512.0</v>
      </c>
      <c r="B1512" s="239" t="s">
        <v>9933</v>
      </c>
      <c r="C1512" s="240" t="s">
        <v>9934</v>
      </c>
      <c r="D1512" s="236"/>
      <c r="E1512" s="240" t="s">
        <v>3511</v>
      </c>
      <c r="F1512" s="240" t="s">
        <v>9935</v>
      </c>
      <c r="G1512" s="238" t="s">
        <v>9936</v>
      </c>
      <c r="H1512" s="240" t="s">
        <v>9937</v>
      </c>
      <c r="I1512" s="237"/>
      <c r="J1512" s="256" t="s">
        <v>7103</v>
      </c>
      <c r="K1512" s="239" t="s">
        <v>9933</v>
      </c>
      <c r="L1512" s="237"/>
      <c r="M1512" s="237"/>
      <c r="N1512" s="237"/>
      <c r="O1512" s="237"/>
      <c r="P1512" s="237"/>
      <c r="Q1512" s="237"/>
      <c r="R1512" s="237"/>
      <c r="S1512" s="237"/>
      <c r="T1512" s="237"/>
      <c r="U1512" s="237"/>
      <c r="V1512" s="237"/>
      <c r="W1512" s="237"/>
      <c r="X1512" s="237"/>
      <c r="Y1512" s="237"/>
      <c r="Z1512" s="237"/>
      <c r="AA1512" s="237"/>
      <c r="AB1512" s="237"/>
    </row>
    <row r="1513">
      <c r="A1513" s="238">
        <v>1513.0</v>
      </c>
      <c r="B1513" s="239" t="s">
        <v>9938</v>
      </c>
      <c r="C1513" s="240" t="s">
        <v>9939</v>
      </c>
      <c r="D1513" s="236"/>
      <c r="E1513" s="240" t="s">
        <v>3511</v>
      </c>
      <c r="F1513" s="240" t="s">
        <v>9940</v>
      </c>
      <c r="G1513" s="238" t="s">
        <v>9941</v>
      </c>
      <c r="H1513" s="240" t="s">
        <v>9942</v>
      </c>
      <c r="I1513" s="237"/>
      <c r="J1513" s="256" t="s">
        <v>7103</v>
      </c>
      <c r="K1513" s="239" t="s">
        <v>9938</v>
      </c>
      <c r="L1513" s="237"/>
      <c r="M1513" s="237"/>
      <c r="N1513" s="237"/>
      <c r="O1513" s="237"/>
      <c r="P1513" s="237"/>
      <c r="Q1513" s="237"/>
      <c r="R1513" s="237"/>
      <c r="S1513" s="237"/>
      <c r="T1513" s="237"/>
      <c r="U1513" s="237"/>
      <c r="V1513" s="237"/>
      <c r="W1513" s="237"/>
      <c r="X1513" s="237"/>
      <c r="Y1513" s="237"/>
      <c r="Z1513" s="237"/>
      <c r="AA1513" s="237"/>
      <c r="AB1513" s="237"/>
    </row>
    <row r="1514">
      <c r="A1514" s="238">
        <v>1514.0</v>
      </c>
      <c r="B1514" s="239" t="s">
        <v>9943</v>
      </c>
      <c r="C1514" s="240" t="s">
        <v>9944</v>
      </c>
      <c r="D1514" s="236"/>
      <c r="E1514" s="240" t="s">
        <v>3511</v>
      </c>
      <c r="F1514" s="240" t="s">
        <v>9945</v>
      </c>
      <c r="G1514" s="238" t="s">
        <v>9946</v>
      </c>
      <c r="H1514" s="240" t="s">
        <v>9947</v>
      </c>
      <c r="I1514" s="237"/>
      <c r="J1514" s="256" t="s">
        <v>7103</v>
      </c>
      <c r="K1514" s="239" t="s">
        <v>9943</v>
      </c>
      <c r="L1514" s="237"/>
      <c r="M1514" s="237"/>
      <c r="N1514" s="237"/>
      <c r="O1514" s="237"/>
      <c r="P1514" s="237"/>
      <c r="Q1514" s="237"/>
      <c r="R1514" s="237"/>
      <c r="S1514" s="237"/>
      <c r="T1514" s="237"/>
      <c r="U1514" s="237"/>
      <c r="V1514" s="237"/>
      <c r="W1514" s="237"/>
      <c r="X1514" s="237"/>
      <c r="Y1514" s="237"/>
      <c r="Z1514" s="237"/>
      <c r="AA1514" s="237"/>
      <c r="AB1514" s="237"/>
    </row>
    <row r="1515">
      <c r="A1515" s="238">
        <v>1515.0</v>
      </c>
      <c r="B1515" s="242"/>
      <c r="C1515" s="240" t="s">
        <v>9948</v>
      </c>
      <c r="D1515" s="236"/>
      <c r="E1515" s="240" t="s">
        <v>3511</v>
      </c>
      <c r="F1515" s="240" t="s">
        <v>9949</v>
      </c>
      <c r="G1515" s="238" t="s">
        <v>9950</v>
      </c>
      <c r="H1515" s="240" t="s">
        <v>9951</v>
      </c>
      <c r="I1515" s="237"/>
      <c r="J1515" s="256" t="s">
        <v>7103</v>
      </c>
      <c r="K1515" s="242"/>
      <c r="L1515" s="237"/>
      <c r="M1515" s="237"/>
      <c r="N1515" s="237"/>
      <c r="O1515" s="237"/>
      <c r="P1515" s="237"/>
      <c r="Q1515" s="237"/>
      <c r="R1515" s="237"/>
      <c r="S1515" s="237"/>
      <c r="T1515" s="237"/>
      <c r="U1515" s="237"/>
      <c r="V1515" s="237"/>
      <c r="W1515" s="237"/>
      <c r="X1515" s="237"/>
      <c r="Y1515" s="237"/>
      <c r="Z1515" s="237"/>
      <c r="AA1515" s="237"/>
      <c r="AB1515" s="237"/>
    </row>
    <row r="1516">
      <c r="A1516" s="238">
        <v>1516.0</v>
      </c>
      <c r="B1516" s="242"/>
      <c r="C1516" s="240" t="s">
        <v>9952</v>
      </c>
      <c r="D1516" s="236"/>
      <c r="E1516" s="240" t="s">
        <v>3511</v>
      </c>
      <c r="F1516" s="240" t="s">
        <v>9953</v>
      </c>
      <c r="G1516" s="238" t="s">
        <v>9954</v>
      </c>
      <c r="H1516" s="240" t="s">
        <v>9955</v>
      </c>
      <c r="I1516" s="237"/>
      <c r="J1516" s="256" t="s">
        <v>7103</v>
      </c>
      <c r="K1516" s="242"/>
      <c r="L1516" s="237"/>
      <c r="M1516" s="237"/>
      <c r="N1516" s="237"/>
      <c r="O1516" s="237"/>
      <c r="P1516" s="237"/>
      <c r="Q1516" s="237"/>
      <c r="R1516" s="237"/>
      <c r="S1516" s="237"/>
      <c r="T1516" s="237"/>
      <c r="U1516" s="237"/>
      <c r="V1516" s="237"/>
      <c r="W1516" s="237"/>
      <c r="X1516" s="237"/>
      <c r="Y1516" s="237"/>
      <c r="Z1516" s="237"/>
      <c r="AA1516" s="237"/>
      <c r="AB1516" s="237"/>
    </row>
    <row r="1517">
      <c r="A1517" s="238">
        <v>1517.0</v>
      </c>
      <c r="B1517" s="242"/>
      <c r="C1517" s="240" t="s">
        <v>9956</v>
      </c>
      <c r="D1517" s="236"/>
      <c r="E1517" s="240" t="s">
        <v>3511</v>
      </c>
      <c r="F1517" s="240" t="s">
        <v>9957</v>
      </c>
      <c r="G1517" s="238" t="s">
        <v>9958</v>
      </c>
      <c r="H1517" s="240" t="s">
        <v>9959</v>
      </c>
      <c r="I1517" s="237"/>
      <c r="J1517" s="256" t="s">
        <v>7103</v>
      </c>
      <c r="K1517" s="242"/>
      <c r="L1517" s="237"/>
      <c r="M1517" s="237"/>
      <c r="N1517" s="237"/>
      <c r="O1517" s="237"/>
      <c r="P1517" s="237"/>
      <c r="Q1517" s="237"/>
      <c r="R1517" s="237"/>
      <c r="S1517" s="237"/>
      <c r="T1517" s="237"/>
      <c r="U1517" s="237"/>
      <c r="V1517" s="237"/>
      <c r="W1517" s="237"/>
      <c r="X1517" s="237"/>
      <c r="Y1517" s="237"/>
      <c r="Z1517" s="237"/>
      <c r="AA1517" s="237"/>
      <c r="AB1517" s="237"/>
    </row>
    <row r="1518">
      <c r="A1518" s="238">
        <v>1518.0</v>
      </c>
      <c r="B1518" s="239" t="s">
        <v>9960</v>
      </c>
      <c r="C1518" s="240" t="s">
        <v>9961</v>
      </c>
      <c r="D1518" s="236"/>
      <c r="E1518" s="240" t="s">
        <v>3511</v>
      </c>
      <c r="F1518" s="240" t="s">
        <v>9962</v>
      </c>
      <c r="G1518" s="238" t="s">
        <v>9963</v>
      </c>
      <c r="H1518" s="240" t="s">
        <v>9964</v>
      </c>
      <c r="I1518" s="237"/>
      <c r="J1518" s="256" t="s">
        <v>7103</v>
      </c>
      <c r="K1518" s="239" t="s">
        <v>9960</v>
      </c>
      <c r="L1518" s="237"/>
      <c r="M1518" s="237"/>
      <c r="N1518" s="237"/>
      <c r="O1518" s="237"/>
      <c r="P1518" s="237"/>
      <c r="Q1518" s="237"/>
      <c r="R1518" s="237"/>
      <c r="S1518" s="237"/>
      <c r="T1518" s="237"/>
      <c r="U1518" s="237"/>
      <c r="V1518" s="237"/>
      <c r="W1518" s="237"/>
      <c r="X1518" s="237"/>
      <c r="Y1518" s="237"/>
      <c r="Z1518" s="237"/>
      <c r="AA1518" s="237"/>
      <c r="AB1518" s="237"/>
    </row>
    <row r="1519">
      <c r="A1519" s="238">
        <v>1519.0</v>
      </c>
      <c r="B1519" s="242"/>
      <c r="C1519" s="240" t="s">
        <v>9965</v>
      </c>
      <c r="D1519" s="236"/>
      <c r="E1519" s="240" t="s">
        <v>3511</v>
      </c>
      <c r="F1519" s="240" t="s">
        <v>9966</v>
      </c>
      <c r="G1519" s="238" t="s">
        <v>9967</v>
      </c>
      <c r="H1519" s="88" t="s">
        <v>9968</v>
      </c>
      <c r="I1519" s="237"/>
      <c r="J1519" s="256" t="s">
        <v>7103</v>
      </c>
      <c r="K1519" s="242"/>
      <c r="L1519" s="237"/>
      <c r="M1519" s="237"/>
      <c r="N1519" s="237"/>
      <c r="O1519" s="237"/>
      <c r="P1519" s="237"/>
      <c r="Q1519" s="237"/>
      <c r="R1519" s="237"/>
      <c r="S1519" s="237"/>
      <c r="T1519" s="237"/>
      <c r="U1519" s="237"/>
      <c r="V1519" s="237"/>
      <c r="W1519" s="237"/>
      <c r="X1519" s="237"/>
      <c r="Y1519" s="237"/>
      <c r="Z1519" s="237"/>
      <c r="AA1519" s="237"/>
      <c r="AB1519" s="237"/>
    </row>
    <row r="1520">
      <c r="A1520" s="238">
        <v>1520.0</v>
      </c>
      <c r="B1520" s="239" t="s">
        <v>9969</v>
      </c>
      <c r="C1520" s="240" t="s">
        <v>9970</v>
      </c>
      <c r="D1520" s="236"/>
      <c r="E1520" s="240" t="s">
        <v>3511</v>
      </c>
      <c r="F1520" s="240" t="s">
        <v>9971</v>
      </c>
      <c r="G1520" s="238" t="s">
        <v>9972</v>
      </c>
      <c r="H1520" s="240" t="s">
        <v>9973</v>
      </c>
      <c r="I1520" s="237"/>
      <c r="J1520" s="256" t="s">
        <v>7103</v>
      </c>
      <c r="K1520" s="239" t="s">
        <v>9969</v>
      </c>
      <c r="L1520" s="237"/>
      <c r="M1520" s="237"/>
      <c r="N1520" s="237"/>
      <c r="O1520" s="237"/>
      <c r="P1520" s="237"/>
      <c r="Q1520" s="237"/>
      <c r="R1520" s="237"/>
      <c r="S1520" s="237"/>
      <c r="T1520" s="237"/>
      <c r="U1520" s="237"/>
      <c r="V1520" s="237"/>
      <c r="W1520" s="237"/>
      <c r="X1520" s="237"/>
      <c r="Y1520" s="237"/>
      <c r="Z1520" s="237"/>
      <c r="AA1520" s="237"/>
      <c r="AB1520" s="237"/>
    </row>
    <row r="1521">
      <c r="A1521" s="238">
        <v>1521.0</v>
      </c>
      <c r="B1521" s="242"/>
      <c r="C1521" s="240" t="s">
        <v>9974</v>
      </c>
      <c r="D1521" s="236"/>
      <c r="E1521" s="240" t="s">
        <v>3511</v>
      </c>
      <c r="F1521" s="240" t="s">
        <v>9975</v>
      </c>
      <c r="G1521" s="238" t="s">
        <v>9976</v>
      </c>
      <c r="H1521" s="240" t="s">
        <v>9977</v>
      </c>
      <c r="I1521" s="237"/>
      <c r="J1521" s="256" t="s">
        <v>7103</v>
      </c>
      <c r="K1521" s="242"/>
      <c r="L1521" s="237"/>
      <c r="M1521" s="237"/>
      <c r="N1521" s="237"/>
      <c r="O1521" s="237"/>
      <c r="P1521" s="237"/>
      <c r="Q1521" s="237"/>
      <c r="R1521" s="237"/>
      <c r="S1521" s="237"/>
      <c r="T1521" s="237"/>
      <c r="U1521" s="237"/>
      <c r="V1521" s="237"/>
      <c r="W1521" s="237"/>
      <c r="X1521" s="237"/>
      <c r="Y1521" s="237"/>
      <c r="Z1521" s="237"/>
      <c r="AA1521" s="237"/>
      <c r="AB1521" s="237"/>
    </row>
    <row r="1522">
      <c r="A1522" s="238">
        <v>1522.0</v>
      </c>
      <c r="B1522" s="239" t="s">
        <v>9978</v>
      </c>
      <c r="C1522" s="240" t="s">
        <v>9979</v>
      </c>
      <c r="D1522" s="236"/>
      <c r="E1522" s="240" t="s">
        <v>3511</v>
      </c>
      <c r="F1522" s="240" t="s">
        <v>9980</v>
      </c>
      <c r="G1522" s="238" t="s">
        <v>9981</v>
      </c>
      <c r="H1522" s="240" t="s">
        <v>9982</v>
      </c>
      <c r="I1522" s="237"/>
      <c r="J1522" s="256" t="s">
        <v>7103</v>
      </c>
      <c r="K1522" s="239" t="s">
        <v>9978</v>
      </c>
      <c r="L1522" s="237"/>
      <c r="M1522" s="237"/>
      <c r="N1522" s="237"/>
      <c r="O1522" s="237"/>
      <c r="P1522" s="237"/>
      <c r="Q1522" s="237"/>
      <c r="R1522" s="237"/>
      <c r="S1522" s="237"/>
      <c r="T1522" s="237"/>
      <c r="U1522" s="237"/>
      <c r="V1522" s="237"/>
      <c r="W1522" s="237"/>
      <c r="X1522" s="237"/>
      <c r="Y1522" s="237"/>
      <c r="Z1522" s="237"/>
      <c r="AA1522" s="237"/>
      <c r="AB1522" s="237"/>
    </row>
    <row r="1523">
      <c r="A1523" s="238">
        <v>1523.0</v>
      </c>
      <c r="B1523" s="239" t="s">
        <v>9983</v>
      </c>
      <c r="C1523" s="240" t="s">
        <v>9984</v>
      </c>
      <c r="D1523" s="236"/>
      <c r="E1523" s="240" t="s">
        <v>3511</v>
      </c>
      <c r="F1523" s="240" t="s">
        <v>9985</v>
      </c>
      <c r="G1523" s="238" t="s">
        <v>9986</v>
      </c>
      <c r="H1523" s="240" t="s">
        <v>9987</v>
      </c>
      <c r="I1523" s="237"/>
      <c r="J1523" s="256" t="s">
        <v>7103</v>
      </c>
      <c r="K1523" s="239" t="s">
        <v>9983</v>
      </c>
      <c r="L1523" s="237"/>
      <c r="M1523" s="237"/>
      <c r="N1523" s="237"/>
      <c r="O1523" s="237"/>
      <c r="P1523" s="237"/>
      <c r="Q1523" s="237"/>
      <c r="R1523" s="237"/>
      <c r="S1523" s="237"/>
      <c r="T1523" s="237"/>
      <c r="U1523" s="237"/>
      <c r="V1523" s="237"/>
      <c r="W1523" s="237"/>
      <c r="X1523" s="237"/>
      <c r="Y1523" s="237"/>
      <c r="Z1523" s="237"/>
      <c r="AA1523" s="237"/>
      <c r="AB1523" s="237"/>
    </row>
    <row r="1524">
      <c r="A1524" s="238">
        <v>1524.0</v>
      </c>
      <c r="B1524" s="239" t="s">
        <v>9988</v>
      </c>
      <c r="C1524" s="240" t="s">
        <v>9989</v>
      </c>
      <c r="D1524" s="236"/>
      <c r="E1524" s="240" t="s">
        <v>3511</v>
      </c>
      <c r="F1524" s="240" t="s">
        <v>9990</v>
      </c>
      <c r="G1524" s="238" t="s">
        <v>9991</v>
      </c>
      <c r="H1524" s="240" t="s">
        <v>9992</v>
      </c>
      <c r="I1524" s="237"/>
      <c r="J1524" s="256" t="s">
        <v>7103</v>
      </c>
      <c r="K1524" s="239" t="s">
        <v>9988</v>
      </c>
      <c r="L1524" s="237"/>
      <c r="M1524" s="237"/>
      <c r="N1524" s="237"/>
      <c r="O1524" s="237"/>
      <c r="P1524" s="237"/>
      <c r="Q1524" s="237"/>
      <c r="R1524" s="237"/>
      <c r="S1524" s="237"/>
      <c r="T1524" s="237"/>
      <c r="U1524" s="237"/>
      <c r="V1524" s="237"/>
      <c r="W1524" s="237"/>
      <c r="X1524" s="237"/>
      <c r="Y1524" s="237"/>
      <c r="Z1524" s="237"/>
      <c r="AA1524" s="237"/>
      <c r="AB1524" s="237"/>
    </row>
    <row r="1525">
      <c r="A1525" s="238">
        <v>1525.0</v>
      </c>
      <c r="B1525" s="239" t="s">
        <v>9993</v>
      </c>
      <c r="C1525" s="240" t="s">
        <v>9994</v>
      </c>
      <c r="D1525" s="236"/>
      <c r="E1525" s="240" t="s">
        <v>3511</v>
      </c>
      <c r="F1525" s="240" t="s">
        <v>9995</v>
      </c>
      <c r="G1525" s="238" t="s">
        <v>9996</v>
      </c>
      <c r="H1525" s="240" t="s">
        <v>9997</v>
      </c>
      <c r="I1525" s="237"/>
      <c r="J1525" s="256" t="s">
        <v>7103</v>
      </c>
      <c r="K1525" s="239" t="s">
        <v>9993</v>
      </c>
      <c r="L1525" s="237"/>
      <c r="M1525" s="237"/>
      <c r="N1525" s="237"/>
      <c r="O1525" s="237"/>
      <c r="P1525" s="237"/>
      <c r="Q1525" s="237"/>
      <c r="R1525" s="237"/>
      <c r="S1525" s="237"/>
      <c r="T1525" s="237"/>
      <c r="U1525" s="237"/>
      <c r="V1525" s="237"/>
      <c r="W1525" s="237"/>
      <c r="X1525" s="237"/>
      <c r="Y1525" s="237"/>
      <c r="Z1525" s="237"/>
      <c r="AA1525" s="237"/>
      <c r="AB1525" s="237"/>
    </row>
    <row r="1526">
      <c r="A1526" s="238">
        <v>1526.0</v>
      </c>
      <c r="B1526" s="239" t="s">
        <v>9998</v>
      </c>
      <c r="C1526" s="240" t="s">
        <v>9999</v>
      </c>
      <c r="D1526" s="236"/>
      <c r="E1526" s="240" t="s">
        <v>3511</v>
      </c>
      <c r="F1526" s="240" t="s">
        <v>10000</v>
      </c>
      <c r="G1526" s="238" t="s">
        <v>10001</v>
      </c>
      <c r="H1526" s="240" t="s">
        <v>10002</v>
      </c>
      <c r="I1526" s="237"/>
      <c r="J1526" s="256" t="s">
        <v>7103</v>
      </c>
      <c r="K1526" s="239" t="s">
        <v>9998</v>
      </c>
      <c r="L1526" s="237"/>
      <c r="M1526" s="237"/>
      <c r="N1526" s="237"/>
      <c r="O1526" s="237"/>
      <c r="P1526" s="237"/>
      <c r="Q1526" s="237"/>
      <c r="R1526" s="237"/>
      <c r="S1526" s="237"/>
      <c r="T1526" s="237"/>
      <c r="U1526" s="237"/>
      <c r="V1526" s="237"/>
      <c r="W1526" s="237"/>
      <c r="X1526" s="237"/>
      <c r="Y1526" s="237"/>
      <c r="Z1526" s="237"/>
      <c r="AA1526" s="237"/>
      <c r="AB1526" s="237"/>
    </row>
    <row r="1527">
      <c r="A1527" s="238">
        <v>1527.0</v>
      </c>
      <c r="B1527" s="239" t="s">
        <v>10003</v>
      </c>
      <c r="C1527" s="240" t="s">
        <v>10004</v>
      </c>
      <c r="D1527" s="236"/>
      <c r="E1527" s="240" t="s">
        <v>3511</v>
      </c>
      <c r="F1527" s="240" t="s">
        <v>10005</v>
      </c>
      <c r="G1527" s="238" t="s">
        <v>10006</v>
      </c>
      <c r="H1527" s="240" t="s">
        <v>10007</v>
      </c>
      <c r="I1527" s="237"/>
      <c r="J1527" s="256" t="s">
        <v>7103</v>
      </c>
      <c r="K1527" s="239" t="s">
        <v>10003</v>
      </c>
      <c r="L1527" s="237"/>
      <c r="M1527" s="237"/>
      <c r="N1527" s="237"/>
      <c r="O1527" s="237"/>
      <c r="P1527" s="237"/>
      <c r="Q1527" s="237"/>
      <c r="R1527" s="237"/>
      <c r="S1527" s="237"/>
      <c r="T1527" s="237"/>
      <c r="U1527" s="237"/>
      <c r="V1527" s="237"/>
      <c r="W1527" s="237"/>
      <c r="X1527" s="237"/>
      <c r="Y1527" s="237"/>
      <c r="Z1527" s="237"/>
      <c r="AA1527" s="237"/>
      <c r="AB1527" s="237"/>
    </row>
    <row r="1528">
      <c r="A1528" s="238">
        <v>1528.0</v>
      </c>
      <c r="B1528" s="239" t="s">
        <v>10008</v>
      </c>
      <c r="C1528" s="240" t="s">
        <v>10009</v>
      </c>
      <c r="D1528" s="236"/>
      <c r="E1528" s="240" t="s">
        <v>3511</v>
      </c>
      <c r="F1528" s="240" t="s">
        <v>10010</v>
      </c>
      <c r="G1528" s="238" t="s">
        <v>10011</v>
      </c>
      <c r="H1528" s="240" t="s">
        <v>10012</v>
      </c>
      <c r="I1528" s="237"/>
      <c r="J1528" s="256" t="s">
        <v>7103</v>
      </c>
      <c r="K1528" s="239" t="s">
        <v>10008</v>
      </c>
      <c r="L1528" s="237"/>
      <c r="M1528" s="237"/>
      <c r="N1528" s="237"/>
      <c r="O1528" s="237"/>
      <c r="P1528" s="237"/>
      <c r="Q1528" s="237"/>
      <c r="R1528" s="237"/>
      <c r="S1528" s="237"/>
      <c r="T1528" s="237"/>
      <c r="U1528" s="237"/>
      <c r="V1528" s="237"/>
      <c r="W1528" s="237"/>
      <c r="X1528" s="237"/>
      <c r="Y1528" s="237"/>
      <c r="Z1528" s="237"/>
      <c r="AA1528" s="237"/>
      <c r="AB1528" s="237"/>
    </row>
    <row r="1529">
      <c r="A1529" s="238">
        <v>1529.0</v>
      </c>
      <c r="B1529" s="242"/>
      <c r="C1529" s="240" t="s">
        <v>10013</v>
      </c>
      <c r="D1529" s="236"/>
      <c r="E1529" s="240" t="s">
        <v>3511</v>
      </c>
      <c r="F1529" s="240" t="s">
        <v>2814</v>
      </c>
      <c r="G1529" s="238" t="s">
        <v>10014</v>
      </c>
      <c r="H1529" s="240" t="s">
        <v>10015</v>
      </c>
      <c r="I1529" s="237"/>
      <c r="J1529" s="256" t="s">
        <v>7103</v>
      </c>
      <c r="K1529" s="242"/>
      <c r="L1529" s="237"/>
      <c r="M1529" s="237"/>
      <c r="N1529" s="237"/>
      <c r="O1529" s="237"/>
      <c r="P1529" s="237"/>
      <c r="Q1529" s="237"/>
      <c r="R1529" s="237"/>
      <c r="S1529" s="237"/>
      <c r="T1529" s="237"/>
      <c r="U1529" s="237"/>
      <c r="V1529" s="237"/>
      <c r="W1529" s="237"/>
      <c r="X1529" s="237"/>
      <c r="Y1529" s="237"/>
      <c r="Z1529" s="237"/>
      <c r="AA1529" s="237"/>
      <c r="AB1529" s="237"/>
    </row>
    <row r="1530">
      <c r="A1530" s="238">
        <v>1530.0</v>
      </c>
      <c r="B1530" s="239" t="s">
        <v>10016</v>
      </c>
      <c r="C1530" s="240" t="s">
        <v>10017</v>
      </c>
      <c r="D1530" s="236"/>
      <c r="E1530" s="240" t="s">
        <v>3511</v>
      </c>
      <c r="F1530" s="240" t="s">
        <v>10018</v>
      </c>
      <c r="G1530" s="238" t="s">
        <v>10019</v>
      </c>
      <c r="H1530" s="240" t="s">
        <v>10020</v>
      </c>
      <c r="I1530" s="237"/>
      <c r="J1530" s="256" t="s">
        <v>7103</v>
      </c>
      <c r="K1530" s="239" t="s">
        <v>10016</v>
      </c>
      <c r="L1530" s="237"/>
      <c r="M1530" s="237"/>
      <c r="N1530" s="237"/>
      <c r="O1530" s="237"/>
      <c r="P1530" s="237"/>
      <c r="Q1530" s="237"/>
      <c r="R1530" s="237"/>
      <c r="S1530" s="237"/>
      <c r="T1530" s="237"/>
      <c r="U1530" s="237"/>
      <c r="V1530" s="237"/>
      <c r="W1530" s="237"/>
      <c r="X1530" s="237"/>
      <c r="Y1530" s="237"/>
      <c r="Z1530" s="237"/>
      <c r="AA1530" s="237"/>
      <c r="AB1530" s="237"/>
    </row>
    <row r="1531">
      <c r="A1531" s="238">
        <v>1531.0</v>
      </c>
      <c r="B1531" s="242"/>
      <c r="C1531" s="240" t="s">
        <v>10021</v>
      </c>
      <c r="D1531" s="236"/>
      <c r="E1531" s="240" t="s">
        <v>3511</v>
      </c>
      <c r="F1531" s="240" t="s">
        <v>10022</v>
      </c>
      <c r="G1531" s="238" t="s">
        <v>10023</v>
      </c>
      <c r="H1531" s="240" t="s">
        <v>10024</v>
      </c>
      <c r="I1531" s="237"/>
      <c r="J1531" s="256" t="s">
        <v>7103</v>
      </c>
      <c r="K1531" s="242"/>
      <c r="L1531" s="237"/>
      <c r="M1531" s="237"/>
      <c r="N1531" s="237"/>
      <c r="O1531" s="237"/>
      <c r="P1531" s="237"/>
      <c r="Q1531" s="237"/>
      <c r="R1531" s="237"/>
      <c r="S1531" s="237"/>
      <c r="T1531" s="237"/>
      <c r="U1531" s="237"/>
      <c r="V1531" s="237"/>
      <c r="W1531" s="237"/>
      <c r="X1531" s="237"/>
      <c r="Y1531" s="237"/>
      <c r="Z1531" s="237"/>
      <c r="AA1531" s="237"/>
      <c r="AB1531" s="237"/>
    </row>
    <row r="1532">
      <c r="A1532" s="238">
        <v>1532.0</v>
      </c>
      <c r="B1532" s="242"/>
      <c r="C1532" s="240" t="s">
        <v>10025</v>
      </c>
      <c r="D1532" s="236"/>
      <c r="E1532" s="240" t="s">
        <v>3511</v>
      </c>
      <c r="F1532" s="240" t="s">
        <v>10026</v>
      </c>
      <c r="G1532" s="238" t="s">
        <v>10027</v>
      </c>
      <c r="H1532" s="240" t="s">
        <v>10028</v>
      </c>
      <c r="I1532" s="237"/>
      <c r="J1532" s="256" t="s">
        <v>7103</v>
      </c>
      <c r="K1532" s="242"/>
      <c r="L1532" s="237"/>
      <c r="M1532" s="237"/>
      <c r="N1532" s="237"/>
      <c r="O1532" s="237"/>
      <c r="P1532" s="237"/>
      <c r="Q1532" s="237"/>
      <c r="R1532" s="237"/>
      <c r="S1532" s="237"/>
      <c r="T1532" s="237"/>
      <c r="U1532" s="237"/>
      <c r="V1532" s="237"/>
      <c r="W1532" s="237"/>
      <c r="X1532" s="237"/>
      <c r="Y1532" s="237"/>
      <c r="Z1532" s="237"/>
      <c r="AA1532" s="237"/>
      <c r="AB1532" s="237"/>
    </row>
    <row r="1533">
      <c r="A1533" s="238">
        <v>1533.0</v>
      </c>
      <c r="B1533" s="239" t="s">
        <v>10029</v>
      </c>
      <c r="C1533" s="240" t="s">
        <v>10030</v>
      </c>
      <c r="D1533" s="236"/>
      <c r="E1533" s="240" t="s">
        <v>3511</v>
      </c>
      <c r="F1533" s="240" t="s">
        <v>10031</v>
      </c>
      <c r="G1533" s="238" t="s">
        <v>10032</v>
      </c>
      <c r="H1533" s="240" t="s">
        <v>10033</v>
      </c>
      <c r="I1533" s="237"/>
      <c r="J1533" s="256" t="s">
        <v>7103</v>
      </c>
      <c r="K1533" s="239" t="s">
        <v>10029</v>
      </c>
      <c r="L1533" s="237"/>
      <c r="M1533" s="237"/>
      <c r="N1533" s="237"/>
      <c r="O1533" s="237"/>
      <c r="P1533" s="237"/>
      <c r="Q1533" s="237"/>
      <c r="R1533" s="237"/>
      <c r="S1533" s="237"/>
      <c r="T1533" s="237"/>
      <c r="U1533" s="237"/>
      <c r="V1533" s="237"/>
      <c r="W1533" s="237"/>
      <c r="X1533" s="237"/>
      <c r="Y1533" s="237"/>
      <c r="Z1533" s="237"/>
      <c r="AA1533" s="237"/>
      <c r="AB1533" s="237"/>
    </row>
    <row r="1534">
      <c r="A1534" s="238">
        <v>1534.0</v>
      </c>
      <c r="B1534" s="242"/>
      <c r="C1534" s="240" t="s">
        <v>10034</v>
      </c>
      <c r="D1534" s="236"/>
      <c r="E1534" s="240" t="s">
        <v>3511</v>
      </c>
      <c r="F1534" s="240" t="s">
        <v>10035</v>
      </c>
      <c r="G1534" s="238" t="s">
        <v>10036</v>
      </c>
      <c r="H1534" s="240" t="s">
        <v>10037</v>
      </c>
      <c r="I1534" s="237"/>
      <c r="J1534" s="256" t="s">
        <v>7103</v>
      </c>
      <c r="K1534" s="242"/>
      <c r="L1534" s="237"/>
      <c r="M1534" s="237"/>
      <c r="N1534" s="237"/>
      <c r="O1534" s="237"/>
      <c r="P1534" s="237"/>
      <c r="Q1534" s="237"/>
      <c r="R1534" s="237"/>
      <c r="S1534" s="237"/>
      <c r="T1534" s="237"/>
      <c r="U1534" s="237"/>
      <c r="V1534" s="237"/>
      <c r="W1534" s="237"/>
      <c r="X1534" s="237"/>
      <c r="Y1534" s="237"/>
      <c r="Z1534" s="237"/>
      <c r="AA1534" s="237"/>
      <c r="AB1534" s="237"/>
    </row>
    <row r="1535">
      <c r="A1535" s="238">
        <v>1535.0</v>
      </c>
      <c r="B1535" s="242"/>
      <c r="C1535" s="240" t="s">
        <v>10038</v>
      </c>
      <c r="D1535" s="236"/>
      <c r="E1535" s="240" t="s">
        <v>3511</v>
      </c>
      <c r="F1535" s="240" t="s">
        <v>10039</v>
      </c>
      <c r="G1535" s="238" t="s">
        <v>10040</v>
      </c>
      <c r="H1535" s="240" t="s">
        <v>10041</v>
      </c>
      <c r="I1535" s="237"/>
      <c r="J1535" s="256" t="s">
        <v>7103</v>
      </c>
      <c r="K1535" s="242"/>
      <c r="L1535" s="237"/>
      <c r="M1535" s="237"/>
      <c r="N1535" s="237"/>
      <c r="O1535" s="237"/>
      <c r="P1535" s="237"/>
      <c r="Q1535" s="237"/>
      <c r="R1535" s="237"/>
      <c r="S1535" s="237"/>
      <c r="T1535" s="237"/>
      <c r="U1535" s="237"/>
      <c r="V1535" s="237"/>
      <c r="W1535" s="237"/>
      <c r="X1535" s="237"/>
      <c r="Y1535" s="237"/>
      <c r="Z1535" s="237"/>
      <c r="AA1535" s="237"/>
      <c r="AB1535" s="237"/>
    </row>
    <row r="1536">
      <c r="A1536" s="238">
        <v>1536.0</v>
      </c>
      <c r="B1536" s="242"/>
      <c r="C1536" s="240" t="s">
        <v>10042</v>
      </c>
      <c r="D1536" s="236"/>
      <c r="E1536" s="240" t="s">
        <v>3511</v>
      </c>
      <c r="F1536" s="240" t="s">
        <v>10043</v>
      </c>
      <c r="G1536" s="238" t="s">
        <v>10044</v>
      </c>
      <c r="H1536" s="240" t="s">
        <v>10045</v>
      </c>
      <c r="I1536" s="237"/>
      <c r="J1536" s="256" t="s">
        <v>7103</v>
      </c>
      <c r="K1536" s="242"/>
      <c r="L1536" s="237"/>
      <c r="M1536" s="237"/>
      <c r="N1536" s="237"/>
      <c r="O1536" s="237"/>
      <c r="P1536" s="237"/>
      <c r="Q1536" s="237"/>
      <c r="R1536" s="237"/>
      <c r="S1536" s="237"/>
      <c r="T1536" s="237"/>
      <c r="U1536" s="237"/>
      <c r="V1536" s="237"/>
      <c r="W1536" s="237"/>
      <c r="X1536" s="237"/>
      <c r="Y1536" s="237"/>
      <c r="Z1536" s="237"/>
      <c r="AA1536" s="237"/>
      <c r="AB1536" s="237"/>
    </row>
    <row r="1537">
      <c r="A1537" s="238">
        <v>1537.0</v>
      </c>
      <c r="B1537" s="239" t="s">
        <v>10046</v>
      </c>
      <c r="C1537" s="240" t="s">
        <v>10047</v>
      </c>
      <c r="D1537" s="236"/>
      <c r="E1537" s="240" t="s">
        <v>3511</v>
      </c>
      <c r="F1537" s="240" t="s">
        <v>10048</v>
      </c>
      <c r="G1537" s="238" t="s">
        <v>10049</v>
      </c>
      <c r="H1537" s="240" t="s">
        <v>10050</v>
      </c>
      <c r="I1537" s="237"/>
      <c r="J1537" s="256" t="s">
        <v>7103</v>
      </c>
      <c r="K1537" s="239" t="s">
        <v>10046</v>
      </c>
      <c r="L1537" s="237"/>
      <c r="M1537" s="237"/>
      <c r="N1537" s="237"/>
      <c r="O1537" s="237"/>
      <c r="P1537" s="237"/>
      <c r="Q1537" s="237"/>
      <c r="R1537" s="237"/>
      <c r="S1537" s="237"/>
      <c r="T1537" s="237"/>
      <c r="U1537" s="237"/>
      <c r="V1537" s="237"/>
      <c r="W1537" s="237"/>
      <c r="X1537" s="237"/>
      <c r="Y1537" s="237"/>
      <c r="Z1537" s="237"/>
      <c r="AA1537" s="237"/>
      <c r="AB1537" s="237"/>
    </row>
    <row r="1538">
      <c r="A1538" s="238">
        <v>1538.0</v>
      </c>
      <c r="B1538" s="242"/>
      <c r="C1538" s="240" t="s">
        <v>10051</v>
      </c>
      <c r="D1538" s="236"/>
      <c r="E1538" s="240" t="s">
        <v>3511</v>
      </c>
      <c r="F1538" s="240" t="s">
        <v>10052</v>
      </c>
      <c r="G1538" s="238" t="s">
        <v>10053</v>
      </c>
      <c r="H1538" s="240" t="s">
        <v>10054</v>
      </c>
      <c r="I1538" s="237"/>
      <c r="J1538" s="256" t="s">
        <v>7103</v>
      </c>
      <c r="K1538" s="242"/>
      <c r="L1538" s="237"/>
      <c r="M1538" s="237"/>
      <c r="N1538" s="237"/>
      <c r="O1538" s="237"/>
      <c r="P1538" s="237"/>
      <c r="Q1538" s="237"/>
      <c r="R1538" s="237"/>
      <c r="S1538" s="237"/>
      <c r="T1538" s="237"/>
      <c r="U1538" s="237"/>
      <c r="V1538" s="237"/>
      <c r="W1538" s="237"/>
      <c r="X1538" s="237"/>
      <c r="Y1538" s="237"/>
      <c r="Z1538" s="237"/>
      <c r="AA1538" s="237"/>
      <c r="AB1538" s="237"/>
    </row>
    <row r="1539">
      <c r="A1539" s="238">
        <v>1539.0</v>
      </c>
      <c r="B1539" s="242"/>
      <c r="C1539" s="240" t="s">
        <v>10055</v>
      </c>
      <c r="D1539" s="236"/>
      <c r="E1539" s="240" t="s">
        <v>3511</v>
      </c>
      <c r="F1539" s="240" t="s">
        <v>10056</v>
      </c>
      <c r="G1539" s="238" t="s">
        <v>10057</v>
      </c>
      <c r="H1539" s="240" t="s">
        <v>10058</v>
      </c>
      <c r="I1539" s="237"/>
      <c r="J1539" s="256" t="s">
        <v>7103</v>
      </c>
      <c r="K1539" s="242"/>
      <c r="L1539" s="237"/>
      <c r="M1539" s="237"/>
      <c r="N1539" s="237"/>
      <c r="O1539" s="237"/>
      <c r="P1539" s="237"/>
      <c r="Q1539" s="237"/>
      <c r="R1539" s="237"/>
      <c r="S1539" s="237"/>
      <c r="T1539" s="237"/>
      <c r="U1539" s="237"/>
      <c r="V1539" s="237"/>
      <c r="W1539" s="237"/>
      <c r="X1539" s="237"/>
      <c r="Y1539" s="237"/>
      <c r="Z1539" s="237"/>
      <c r="AA1539" s="237"/>
      <c r="AB1539" s="237"/>
    </row>
    <row r="1540">
      <c r="A1540" s="238">
        <v>1540.0</v>
      </c>
      <c r="B1540" s="239" t="s">
        <v>10059</v>
      </c>
      <c r="C1540" s="240" t="s">
        <v>10060</v>
      </c>
      <c r="D1540" s="236"/>
      <c r="E1540" s="240" t="s">
        <v>3511</v>
      </c>
      <c r="F1540" s="240" t="s">
        <v>10061</v>
      </c>
      <c r="G1540" s="238" t="s">
        <v>10062</v>
      </c>
      <c r="H1540" s="240" t="s">
        <v>10063</v>
      </c>
      <c r="I1540" s="237"/>
      <c r="J1540" s="256" t="s">
        <v>7103</v>
      </c>
      <c r="K1540" s="239" t="s">
        <v>10059</v>
      </c>
      <c r="L1540" s="237"/>
      <c r="M1540" s="237"/>
      <c r="N1540" s="237"/>
      <c r="O1540" s="237"/>
      <c r="P1540" s="237"/>
      <c r="Q1540" s="237"/>
      <c r="R1540" s="237"/>
      <c r="S1540" s="237"/>
      <c r="T1540" s="237"/>
      <c r="U1540" s="237"/>
      <c r="V1540" s="237"/>
      <c r="W1540" s="237"/>
      <c r="X1540" s="237"/>
      <c r="Y1540" s="237"/>
      <c r="Z1540" s="237"/>
      <c r="AA1540" s="237"/>
      <c r="AB1540" s="237"/>
    </row>
    <row r="1541">
      <c r="A1541" s="238">
        <v>1541.0</v>
      </c>
      <c r="B1541" s="242"/>
      <c r="C1541" s="240" t="s">
        <v>10064</v>
      </c>
      <c r="D1541" s="236"/>
      <c r="E1541" s="240" t="s">
        <v>3511</v>
      </c>
      <c r="F1541" s="240" t="s">
        <v>10065</v>
      </c>
      <c r="G1541" s="238" t="s">
        <v>10066</v>
      </c>
      <c r="H1541" s="240" t="s">
        <v>10067</v>
      </c>
      <c r="I1541" s="237"/>
      <c r="J1541" s="256" t="s">
        <v>7103</v>
      </c>
      <c r="K1541" s="242"/>
      <c r="L1541" s="237"/>
      <c r="M1541" s="237"/>
      <c r="N1541" s="237"/>
      <c r="O1541" s="237"/>
      <c r="P1541" s="237"/>
      <c r="Q1541" s="237"/>
      <c r="R1541" s="237"/>
      <c r="S1541" s="237"/>
      <c r="T1541" s="237"/>
      <c r="U1541" s="237"/>
      <c r="V1541" s="237"/>
      <c r="W1541" s="237"/>
      <c r="X1541" s="237"/>
      <c r="Y1541" s="237"/>
      <c r="Z1541" s="237"/>
      <c r="AA1541" s="237"/>
      <c r="AB1541" s="237"/>
    </row>
    <row r="1542">
      <c r="A1542" s="238">
        <v>1542.0</v>
      </c>
      <c r="B1542" s="242"/>
      <c r="C1542" s="240" t="s">
        <v>10068</v>
      </c>
      <c r="D1542" s="236"/>
      <c r="E1542" s="240" t="s">
        <v>3511</v>
      </c>
      <c r="F1542" s="240" t="s">
        <v>10069</v>
      </c>
      <c r="G1542" s="238" t="s">
        <v>10070</v>
      </c>
      <c r="H1542" s="240" t="s">
        <v>10071</v>
      </c>
      <c r="I1542" s="237"/>
      <c r="J1542" s="256" t="s">
        <v>7103</v>
      </c>
      <c r="K1542" s="242"/>
      <c r="L1542" s="237"/>
      <c r="M1542" s="237"/>
      <c r="N1542" s="237"/>
      <c r="O1542" s="237"/>
      <c r="P1542" s="237"/>
      <c r="Q1542" s="237"/>
      <c r="R1542" s="237"/>
      <c r="S1542" s="237"/>
      <c r="T1542" s="237"/>
      <c r="U1542" s="237"/>
      <c r="V1542" s="237"/>
      <c r="W1542" s="237"/>
      <c r="X1542" s="237"/>
      <c r="Y1542" s="237"/>
      <c r="Z1542" s="237"/>
      <c r="AA1542" s="237"/>
      <c r="AB1542" s="237"/>
    </row>
    <row r="1543">
      <c r="A1543" s="238">
        <v>1543.0</v>
      </c>
      <c r="B1543" s="242"/>
      <c r="C1543" s="240" t="s">
        <v>10072</v>
      </c>
      <c r="D1543" s="236"/>
      <c r="E1543" s="240" t="s">
        <v>3511</v>
      </c>
      <c r="F1543" s="240" t="s">
        <v>9787</v>
      </c>
      <c r="G1543" s="238" t="s">
        <v>10073</v>
      </c>
      <c r="H1543" s="240" t="s">
        <v>10074</v>
      </c>
      <c r="I1543" s="237"/>
      <c r="J1543" s="256" t="s">
        <v>9758</v>
      </c>
      <c r="K1543" s="242"/>
      <c r="L1543" s="237"/>
      <c r="M1543" s="237"/>
      <c r="N1543" s="237"/>
      <c r="O1543" s="237"/>
      <c r="P1543" s="237"/>
      <c r="Q1543" s="237"/>
      <c r="R1543" s="237"/>
      <c r="S1543" s="237"/>
      <c r="T1543" s="237"/>
      <c r="U1543" s="237"/>
      <c r="V1543" s="237"/>
      <c r="W1543" s="237"/>
      <c r="X1543" s="237"/>
      <c r="Y1543" s="237"/>
      <c r="Z1543" s="237"/>
      <c r="AA1543" s="237"/>
      <c r="AB1543" s="237"/>
    </row>
    <row r="1544">
      <c r="A1544" s="238">
        <v>1544.0</v>
      </c>
      <c r="B1544" s="242"/>
      <c r="C1544" s="240" t="s">
        <v>10075</v>
      </c>
      <c r="D1544" s="236"/>
      <c r="E1544" s="240" t="s">
        <v>3511</v>
      </c>
      <c r="F1544" s="240" t="s">
        <v>9766</v>
      </c>
      <c r="G1544" s="238" t="s">
        <v>9767</v>
      </c>
      <c r="H1544" s="240" t="s">
        <v>10076</v>
      </c>
      <c r="I1544" s="237"/>
      <c r="J1544" s="256" t="s">
        <v>9758</v>
      </c>
      <c r="K1544" s="242"/>
      <c r="L1544" s="237"/>
      <c r="M1544" s="237"/>
      <c r="N1544" s="237"/>
      <c r="O1544" s="237"/>
      <c r="P1544" s="237"/>
      <c r="Q1544" s="237"/>
      <c r="R1544" s="237"/>
      <c r="S1544" s="237"/>
      <c r="T1544" s="237"/>
      <c r="U1544" s="237"/>
      <c r="V1544" s="237"/>
      <c r="W1544" s="237"/>
      <c r="X1544" s="237"/>
      <c r="Y1544" s="237"/>
      <c r="Z1544" s="237"/>
      <c r="AA1544" s="237"/>
      <c r="AB1544" s="237"/>
    </row>
    <row r="1545">
      <c r="A1545" s="238">
        <v>1545.0</v>
      </c>
      <c r="B1545" s="239" t="s">
        <v>10077</v>
      </c>
      <c r="C1545" s="240" t="s">
        <v>10078</v>
      </c>
      <c r="D1545" s="236"/>
      <c r="E1545" s="240" t="s">
        <v>3511</v>
      </c>
      <c r="F1545" s="240" t="s">
        <v>9769</v>
      </c>
      <c r="G1545" s="238" t="s">
        <v>9770</v>
      </c>
      <c r="H1545" s="241" t="s">
        <v>10079</v>
      </c>
      <c r="I1545" s="237"/>
      <c r="J1545" s="256" t="s">
        <v>9758</v>
      </c>
      <c r="K1545" s="239" t="s">
        <v>10077</v>
      </c>
      <c r="L1545" s="237"/>
      <c r="M1545" s="237"/>
      <c r="N1545" s="237"/>
      <c r="O1545" s="237"/>
      <c r="P1545" s="237"/>
      <c r="Q1545" s="237"/>
      <c r="R1545" s="237"/>
      <c r="S1545" s="237"/>
      <c r="T1545" s="237"/>
      <c r="U1545" s="237"/>
      <c r="V1545" s="237"/>
      <c r="W1545" s="237"/>
      <c r="X1545" s="237"/>
      <c r="Y1545" s="237"/>
      <c r="Z1545" s="237"/>
      <c r="AA1545" s="237"/>
      <c r="AB1545" s="237"/>
    </row>
    <row r="1546">
      <c r="A1546" s="238">
        <v>1547.0</v>
      </c>
      <c r="B1546" s="239" t="s">
        <v>10080</v>
      </c>
      <c r="C1546" s="240" t="s">
        <v>10081</v>
      </c>
      <c r="D1546" s="236"/>
      <c r="E1546" s="241" t="s">
        <v>1420</v>
      </c>
      <c r="F1546" s="240" t="s">
        <v>10082</v>
      </c>
      <c r="G1546" s="238" t="s">
        <v>10083</v>
      </c>
      <c r="H1546" s="254" t="s">
        <v>10084</v>
      </c>
      <c r="I1546" s="237"/>
      <c r="J1546" s="256" t="s">
        <v>9758</v>
      </c>
      <c r="K1546" s="239" t="s">
        <v>10080</v>
      </c>
      <c r="L1546" s="237"/>
      <c r="M1546" s="237"/>
      <c r="N1546" s="237"/>
      <c r="O1546" s="237"/>
      <c r="P1546" s="237"/>
      <c r="Q1546" s="237"/>
      <c r="R1546" s="237"/>
      <c r="S1546" s="237"/>
      <c r="T1546" s="237"/>
      <c r="U1546" s="237"/>
      <c r="V1546" s="237"/>
      <c r="W1546" s="237"/>
      <c r="X1546" s="237"/>
      <c r="Y1546" s="237"/>
      <c r="Z1546" s="237"/>
      <c r="AA1546" s="237"/>
      <c r="AB1546" s="237"/>
    </row>
    <row r="1547">
      <c r="A1547" s="238">
        <v>1548.0</v>
      </c>
      <c r="B1547" s="242"/>
      <c r="C1547" s="240" t="s">
        <v>10085</v>
      </c>
      <c r="D1547" s="236"/>
      <c r="E1547" s="240" t="s">
        <v>3511</v>
      </c>
      <c r="F1547" s="240" t="s">
        <v>9778</v>
      </c>
      <c r="G1547" s="238" t="s">
        <v>9779</v>
      </c>
      <c r="H1547" s="240" t="s">
        <v>10086</v>
      </c>
      <c r="I1547" s="237"/>
      <c r="J1547" s="256" t="s">
        <v>9758</v>
      </c>
      <c r="K1547" s="242"/>
      <c r="L1547" s="237"/>
      <c r="M1547" s="237"/>
      <c r="N1547" s="237"/>
      <c r="O1547" s="237"/>
      <c r="P1547" s="237"/>
      <c r="Q1547" s="237"/>
      <c r="R1547" s="237"/>
      <c r="S1547" s="237"/>
      <c r="T1547" s="237"/>
      <c r="U1547" s="237"/>
      <c r="V1547" s="237"/>
      <c r="W1547" s="237"/>
      <c r="X1547" s="237"/>
      <c r="Y1547" s="237"/>
      <c r="Z1547" s="237"/>
      <c r="AA1547" s="237"/>
      <c r="AB1547" s="237"/>
    </row>
    <row r="1548">
      <c r="A1548" s="238">
        <v>1549.0</v>
      </c>
      <c r="B1548" s="242"/>
      <c r="C1548" s="240" t="s">
        <v>10087</v>
      </c>
      <c r="D1548" s="236"/>
      <c r="E1548" s="240" t="s">
        <v>3496</v>
      </c>
      <c r="F1548" s="241" t="s">
        <v>9782</v>
      </c>
      <c r="G1548" s="238" t="s">
        <v>10088</v>
      </c>
      <c r="H1548" s="236"/>
      <c r="I1548" s="237"/>
      <c r="J1548" s="256" t="s">
        <v>9758</v>
      </c>
      <c r="K1548" s="242"/>
      <c r="L1548" s="237"/>
      <c r="M1548" s="237"/>
      <c r="N1548" s="237"/>
      <c r="O1548" s="237"/>
      <c r="P1548" s="237"/>
      <c r="Q1548" s="237"/>
      <c r="R1548" s="237"/>
      <c r="S1548" s="237"/>
      <c r="T1548" s="237"/>
      <c r="U1548" s="237"/>
      <c r="V1548" s="237"/>
      <c r="W1548" s="237"/>
      <c r="X1548" s="237"/>
      <c r="Y1548" s="237"/>
      <c r="Z1548" s="237"/>
      <c r="AA1548" s="237"/>
      <c r="AB1548" s="237"/>
    </row>
    <row r="1549">
      <c r="A1549" s="238">
        <v>1550.0</v>
      </c>
      <c r="B1549" s="239" t="s">
        <v>10089</v>
      </c>
      <c r="C1549" s="240" t="s">
        <v>10090</v>
      </c>
      <c r="D1549" s="236"/>
      <c r="E1549" s="240" t="s">
        <v>3511</v>
      </c>
      <c r="F1549" s="240" t="s">
        <v>10091</v>
      </c>
      <c r="G1549" s="238" t="s">
        <v>10092</v>
      </c>
      <c r="H1549" s="240" t="s">
        <v>10093</v>
      </c>
      <c r="I1549" s="237"/>
      <c r="J1549" s="256" t="s">
        <v>5032</v>
      </c>
      <c r="K1549" s="239" t="s">
        <v>10089</v>
      </c>
      <c r="L1549" s="237"/>
      <c r="M1549" s="237"/>
      <c r="N1549" s="237"/>
      <c r="O1549" s="237"/>
      <c r="P1549" s="237"/>
      <c r="Q1549" s="237"/>
      <c r="R1549" s="237"/>
      <c r="S1549" s="237"/>
      <c r="T1549" s="237"/>
      <c r="U1549" s="237"/>
      <c r="V1549" s="237"/>
      <c r="W1549" s="237"/>
      <c r="X1549" s="237"/>
      <c r="Y1549" s="237"/>
      <c r="Z1549" s="237"/>
      <c r="AA1549" s="237"/>
      <c r="AB1549" s="237"/>
    </row>
    <row r="1550">
      <c r="A1550" s="238">
        <v>1551.0</v>
      </c>
      <c r="B1550" s="239" t="s">
        <v>10094</v>
      </c>
      <c r="C1550" s="240" t="s">
        <v>10095</v>
      </c>
      <c r="D1550" s="236"/>
      <c r="E1550" s="240" t="s">
        <v>3511</v>
      </c>
      <c r="F1550" s="240" t="s">
        <v>10096</v>
      </c>
      <c r="G1550" s="238" t="s">
        <v>10097</v>
      </c>
      <c r="H1550" s="240" t="s">
        <v>10098</v>
      </c>
      <c r="I1550" s="237"/>
      <c r="J1550" s="256" t="s">
        <v>5032</v>
      </c>
      <c r="K1550" s="239" t="s">
        <v>10094</v>
      </c>
      <c r="L1550" s="237"/>
      <c r="M1550" s="237"/>
      <c r="N1550" s="237"/>
      <c r="O1550" s="237"/>
      <c r="P1550" s="237"/>
      <c r="Q1550" s="237"/>
      <c r="R1550" s="237"/>
      <c r="S1550" s="237"/>
      <c r="T1550" s="237"/>
      <c r="U1550" s="237"/>
      <c r="V1550" s="237"/>
      <c r="W1550" s="237"/>
      <c r="X1550" s="237"/>
      <c r="Y1550" s="237"/>
      <c r="Z1550" s="237"/>
      <c r="AA1550" s="237"/>
      <c r="AB1550" s="237"/>
    </row>
    <row r="1551">
      <c r="A1551" s="238">
        <v>1552.0</v>
      </c>
      <c r="B1551" s="242"/>
      <c r="C1551" s="241" t="s">
        <v>10099</v>
      </c>
      <c r="D1551" s="236"/>
      <c r="E1551" s="240" t="s">
        <v>3496</v>
      </c>
      <c r="F1551" s="241" t="s">
        <v>10100</v>
      </c>
      <c r="G1551" s="238" t="s">
        <v>10101</v>
      </c>
      <c r="H1551" s="236"/>
      <c r="I1551" s="237"/>
      <c r="J1551" s="256" t="s">
        <v>9758</v>
      </c>
      <c r="K1551" s="242"/>
      <c r="L1551" s="237"/>
      <c r="M1551" s="237"/>
      <c r="N1551" s="237"/>
      <c r="O1551" s="237"/>
      <c r="P1551" s="237"/>
      <c r="Q1551" s="237"/>
      <c r="R1551" s="237"/>
      <c r="S1551" s="237"/>
      <c r="T1551" s="237"/>
      <c r="U1551" s="237"/>
      <c r="V1551" s="237"/>
      <c r="W1551" s="237"/>
      <c r="X1551" s="237"/>
      <c r="Y1551" s="237"/>
      <c r="Z1551" s="237"/>
      <c r="AA1551" s="237"/>
      <c r="AB1551" s="237"/>
    </row>
    <row r="1552">
      <c r="A1552" s="238">
        <v>1553.0</v>
      </c>
      <c r="B1552" s="239" t="s">
        <v>10102</v>
      </c>
      <c r="C1552" s="240" t="s">
        <v>10103</v>
      </c>
      <c r="D1552" s="236"/>
      <c r="E1552" s="240" t="s">
        <v>3511</v>
      </c>
      <c r="F1552" s="240" t="s">
        <v>10104</v>
      </c>
      <c r="G1552" s="238" t="s">
        <v>10105</v>
      </c>
      <c r="H1552" s="241" t="s">
        <v>10106</v>
      </c>
      <c r="I1552" s="237"/>
      <c r="J1552" s="256" t="s">
        <v>9758</v>
      </c>
      <c r="K1552" s="239" t="s">
        <v>10102</v>
      </c>
      <c r="L1552" s="237"/>
      <c r="M1552" s="237"/>
      <c r="N1552" s="237"/>
      <c r="O1552" s="237"/>
      <c r="P1552" s="237"/>
      <c r="Q1552" s="237"/>
      <c r="R1552" s="237"/>
      <c r="S1552" s="237"/>
      <c r="T1552" s="237"/>
      <c r="U1552" s="237"/>
      <c r="V1552" s="237"/>
      <c r="W1552" s="237"/>
      <c r="X1552" s="237"/>
      <c r="Y1552" s="237"/>
      <c r="Z1552" s="237"/>
      <c r="AA1552" s="237"/>
      <c r="AB1552" s="237"/>
    </row>
    <row r="1553">
      <c r="A1553" s="238">
        <v>1554.0</v>
      </c>
      <c r="B1553" s="239" t="s">
        <v>10107</v>
      </c>
      <c r="C1553" s="240" t="s">
        <v>10108</v>
      </c>
      <c r="D1553" s="236"/>
      <c r="E1553" s="240" t="s">
        <v>3511</v>
      </c>
      <c r="F1553" s="240" t="s">
        <v>10109</v>
      </c>
      <c r="G1553" s="238" t="s">
        <v>10110</v>
      </c>
      <c r="H1553" s="241" t="s">
        <v>10111</v>
      </c>
      <c r="I1553" s="237"/>
      <c r="J1553" s="256" t="s">
        <v>9758</v>
      </c>
      <c r="K1553" s="239" t="s">
        <v>10107</v>
      </c>
      <c r="L1553" s="237"/>
      <c r="M1553" s="237"/>
      <c r="N1553" s="237"/>
      <c r="O1553" s="237"/>
      <c r="P1553" s="237"/>
      <c r="Q1553" s="237"/>
      <c r="R1553" s="237"/>
      <c r="S1553" s="237"/>
      <c r="T1553" s="237"/>
      <c r="U1553" s="237"/>
      <c r="V1553" s="237"/>
      <c r="W1553" s="237"/>
      <c r="X1553" s="237"/>
      <c r="Y1553" s="237"/>
      <c r="Z1553" s="237"/>
      <c r="AA1553" s="237"/>
      <c r="AB1553" s="237"/>
    </row>
    <row r="1554">
      <c r="A1554" s="238">
        <v>1555.0</v>
      </c>
      <c r="B1554" s="242"/>
      <c r="C1554" s="240" t="s">
        <v>10112</v>
      </c>
      <c r="D1554" s="236"/>
      <c r="E1554" s="240" t="s">
        <v>3496</v>
      </c>
      <c r="F1554" s="241" t="s">
        <v>10113</v>
      </c>
      <c r="G1554" s="238" t="s">
        <v>10114</v>
      </c>
      <c r="H1554" s="236"/>
      <c r="I1554" s="237"/>
      <c r="J1554" s="256" t="s">
        <v>9758</v>
      </c>
      <c r="K1554" s="242"/>
      <c r="L1554" s="237"/>
      <c r="M1554" s="237"/>
      <c r="N1554" s="237"/>
      <c r="O1554" s="237"/>
      <c r="P1554" s="237"/>
      <c r="Q1554" s="237"/>
      <c r="R1554" s="237"/>
      <c r="S1554" s="237"/>
      <c r="T1554" s="237"/>
      <c r="U1554" s="237"/>
      <c r="V1554" s="237"/>
      <c r="W1554" s="237"/>
      <c r="X1554" s="237"/>
      <c r="Y1554" s="237"/>
      <c r="Z1554" s="237"/>
      <c r="AA1554" s="237"/>
      <c r="AB1554" s="237"/>
    </row>
    <row r="1555">
      <c r="A1555" s="238">
        <v>1556.0</v>
      </c>
      <c r="B1555" s="242"/>
      <c r="C1555" s="240" t="s">
        <v>10115</v>
      </c>
      <c r="D1555" s="236"/>
      <c r="E1555" s="240" t="s">
        <v>3496</v>
      </c>
      <c r="F1555" s="241" t="s">
        <v>10116</v>
      </c>
      <c r="G1555" s="238" t="s">
        <v>10117</v>
      </c>
      <c r="H1555" s="236"/>
      <c r="I1555" s="237"/>
      <c r="J1555" s="256" t="s">
        <v>9758</v>
      </c>
      <c r="K1555" s="242"/>
      <c r="L1555" s="237"/>
      <c r="M1555" s="237"/>
      <c r="N1555" s="237"/>
      <c r="O1555" s="237"/>
      <c r="P1555" s="237"/>
      <c r="Q1555" s="237"/>
      <c r="R1555" s="237"/>
      <c r="S1555" s="237"/>
      <c r="T1555" s="237"/>
      <c r="U1555" s="237"/>
      <c r="V1555" s="237"/>
      <c r="W1555" s="237"/>
      <c r="X1555" s="237"/>
      <c r="Y1555" s="237"/>
      <c r="Z1555" s="237"/>
      <c r="AA1555" s="237"/>
      <c r="AB1555" s="237"/>
    </row>
    <row r="1556">
      <c r="A1556" s="238">
        <v>1557.0</v>
      </c>
      <c r="B1556" s="242"/>
      <c r="C1556" s="240" t="s">
        <v>10118</v>
      </c>
      <c r="D1556" s="236"/>
      <c r="E1556" s="240" t="s">
        <v>3511</v>
      </c>
      <c r="F1556" s="240" t="s">
        <v>10119</v>
      </c>
      <c r="G1556" s="238" t="s">
        <v>10120</v>
      </c>
      <c r="H1556" s="241" t="s">
        <v>10121</v>
      </c>
      <c r="I1556" s="237"/>
      <c r="J1556" s="256" t="s">
        <v>9758</v>
      </c>
      <c r="K1556" s="242"/>
      <c r="L1556" s="237"/>
      <c r="M1556" s="237"/>
      <c r="N1556" s="237"/>
      <c r="O1556" s="237"/>
      <c r="P1556" s="237"/>
      <c r="Q1556" s="237"/>
      <c r="R1556" s="237"/>
      <c r="S1556" s="237"/>
      <c r="T1556" s="237"/>
      <c r="U1556" s="237"/>
      <c r="V1556" s="237"/>
      <c r="W1556" s="237"/>
      <c r="X1556" s="237"/>
      <c r="Y1556" s="237"/>
      <c r="Z1556" s="237"/>
      <c r="AA1556" s="237"/>
      <c r="AB1556" s="237"/>
    </row>
    <row r="1557">
      <c r="A1557" s="238">
        <v>1558.0</v>
      </c>
      <c r="B1557" s="239" t="s">
        <v>10122</v>
      </c>
      <c r="C1557" s="240" t="s">
        <v>10123</v>
      </c>
      <c r="D1557" s="236"/>
      <c r="E1557" s="240" t="s">
        <v>3511</v>
      </c>
      <c r="F1557" s="240" t="s">
        <v>10124</v>
      </c>
      <c r="G1557" s="238" t="s">
        <v>10125</v>
      </c>
      <c r="H1557" s="240" t="s">
        <v>10126</v>
      </c>
      <c r="I1557" s="237"/>
      <c r="J1557" s="256" t="s">
        <v>9758</v>
      </c>
      <c r="K1557" s="239" t="s">
        <v>10122</v>
      </c>
      <c r="L1557" s="237"/>
      <c r="M1557" s="237"/>
      <c r="N1557" s="237"/>
      <c r="O1557" s="237"/>
      <c r="P1557" s="237"/>
      <c r="Q1557" s="237"/>
      <c r="R1557" s="237"/>
      <c r="S1557" s="237"/>
      <c r="T1557" s="237"/>
      <c r="U1557" s="237"/>
      <c r="V1557" s="237"/>
      <c r="W1557" s="237"/>
      <c r="X1557" s="237"/>
      <c r="Y1557" s="237"/>
      <c r="Z1557" s="237"/>
      <c r="AA1557" s="237"/>
      <c r="AB1557" s="237"/>
    </row>
    <row r="1558">
      <c r="A1558" s="238">
        <v>1559.0</v>
      </c>
      <c r="B1558" s="239" t="s">
        <v>10127</v>
      </c>
      <c r="C1558" s="240" t="s">
        <v>10128</v>
      </c>
      <c r="D1558" s="236"/>
      <c r="E1558" s="240" t="s">
        <v>3511</v>
      </c>
      <c r="F1558" s="240" t="s">
        <v>10129</v>
      </c>
      <c r="G1558" s="238" t="s">
        <v>10130</v>
      </c>
      <c r="H1558" s="241" t="s">
        <v>10131</v>
      </c>
      <c r="I1558" s="237"/>
      <c r="J1558" s="256" t="s">
        <v>9758</v>
      </c>
      <c r="K1558" s="239" t="s">
        <v>10127</v>
      </c>
      <c r="L1558" s="237"/>
      <c r="M1558" s="237"/>
      <c r="N1558" s="237"/>
      <c r="O1558" s="237"/>
      <c r="P1558" s="237"/>
      <c r="Q1558" s="237"/>
      <c r="R1558" s="237"/>
      <c r="S1558" s="237"/>
      <c r="T1558" s="237"/>
      <c r="U1558" s="237"/>
      <c r="V1558" s="237"/>
      <c r="W1558" s="237"/>
      <c r="X1558" s="237"/>
      <c r="Y1558" s="237"/>
      <c r="Z1558" s="237"/>
      <c r="AA1558" s="237"/>
      <c r="AB1558" s="237"/>
    </row>
    <row r="1559">
      <c r="A1559" s="238">
        <v>1560.0</v>
      </c>
      <c r="B1559" s="239" t="s">
        <v>10132</v>
      </c>
      <c r="C1559" s="240" t="s">
        <v>10133</v>
      </c>
      <c r="D1559" s="236"/>
      <c r="E1559" s="240" t="s">
        <v>3511</v>
      </c>
      <c r="F1559" s="240" t="s">
        <v>10134</v>
      </c>
      <c r="G1559" s="238" t="s">
        <v>10135</v>
      </c>
      <c r="H1559" s="241" t="s">
        <v>10136</v>
      </c>
      <c r="I1559" s="237"/>
      <c r="J1559" s="256" t="s">
        <v>9758</v>
      </c>
      <c r="K1559" s="239" t="s">
        <v>10132</v>
      </c>
      <c r="L1559" s="237"/>
      <c r="M1559" s="237"/>
      <c r="N1559" s="237"/>
      <c r="O1559" s="237"/>
      <c r="P1559" s="237"/>
      <c r="Q1559" s="237"/>
      <c r="R1559" s="237"/>
      <c r="S1559" s="237"/>
      <c r="T1559" s="237"/>
      <c r="U1559" s="237"/>
      <c r="V1559" s="237"/>
      <c r="W1559" s="237"/>
      <c r="X1559" s="237"/>
      <c r="Y1559" s="237"/>
      <c r="Z1559" s="237"/>
      <c r="AA1559" s="237"/>
      <c r="AB1559" s="237"/>
    </row>
    <row r="1560">
      <c r="A1560" s="238">
        <v>1561.0</v>
      </c>
      <c r="B1560" s="239" t="s">
        <v>10137</v>
      </c>
      <c r="C1560" s="240" t="s">
        <v>10138</v>
      </c>
      <c r="D1560" s="236"/>
      <c r="E1560" s="240" t="s">
        <v>3511</v>
      </c>
      <c r="F1560" s="240" t="s">
        <v>10139</v>
      </c>
      <c r="G1560" s="238" t="s">
        <v>10140</v>
      </c>
      <c r="H1560" s="241" t="s">
        <v>10141</v>
      </c>
      <c r="I1560" s="237"/>
      <c r="J1560" s="256" t="s">
        <v>9758</v>
      </c>
      <c r="K1560" s="239" t="s">
        <v>10137</v>
      </c>
      <c r="L1560" s="237"/>
      <c r="M1560" s="237"/>
      <c r="N1560" s="237"/>
      <c r="O1560" s="237"/>
      <c r="P1560" s="237"/>
      <c r="Q1560" s="237"/>
      <c r="R1560" s="237"/>
      <c r="S1560" s="237"/>
      <c r="T1560" s="237"/>
      <c r="U1560" s="237"/>
      <c r="V1560" s="237"/>
      <c r="W1560" s="237"/>
      <c r="X1560" s="237"/>
      <c r="Y1560" s="237"/>
      <c r="Z1560" s="237"/>
      <c r="AA1560" s="237"/>
      <c r="AB1560" s="237"/>
    </row>
    <row r="1561">
      <c r="A1561" s="238">
        <v>1562.0</v>
      </c>
      <c r="B1561" s="239" t="s">
        <v>10142</v>
      </c>
      <c r="C1561" s="240" t="s">
        <v>10143</v>
      </c>
      <c r="D1561" s="236"/>
      <c r="E1561" s="240" t="s">
        <v>3511</v>
      </c>
      <c r="F1561" s="257" t="s">
        <v>10144</v>
      </c>
      <c r="G1561" s="238" t="s">
        <v>10145</v>
      </c>
      <c r="H1561" s="240" t="s">
        <v>10146</v>
      </c>
      <c r="I1561" s="237"/>
      <c r="J1561" s="256" t="s">
        <v>9758</v>
      </c>
      <c r="K1561" s="239" t="s">
        <v>10142</v>
      </c>
      <c r="L1561" s="237"/>
      <c r="M1561" s="237"/>
      <c r="N1561" s="237"/>
      <c r="O1561" s="237"/>
      <c r="P1561" s="237"/>
      <c r="Q1561" s="237"/>
      <c r="R1561" s="237"/>
      <c r="S1561" s="237"/>
      <c r="T1561" s="237"/>
      <c r="U1561" s="237"/>
      <c r="V1561" s="237"/>
      <c r="W1561" s="237"/>
      <c r="X1561" s="237"/>
      <c r="Y1561" s="237"/>
      <c r="Z1561" s="237"/>
      <c r="AA1561" s="237"/>
      <c r="AB1561" s="237"/>
    </row>
    <row r="1562">
      <c r="A1562" s="238">
        <v>1563.0</v>
      </c>
      <c r="B1562" s="242"/>
      <c r="C1562" s="241" t="s">
        <v>10147</v>
      </c>
      <c r="D1562" s="236"/>
      <c r="E1562" s="240" t="s">
        <v>3496</v>
      </c>
      <c r="F1562" s="241" t="s">
        <v>10148</v>
      </c>
      <c r="G1562" s="238" t="s">
        <v>10149</v>
      </c>
      <c r="H1562" s="236"/>
      <c r="I1562" s="237"/>
      <c r="J1562" s="256" t="s">
        <v>9758</v>
      </c>
      <c r="K1562" s="242"/>
      <c r="L1562" s="237"/>
      <c r="M1562" s="237"/>
      <c r="N1562" s="237"/>
      <c r="O1562" s="237"/>
      <c r="P1562" s="237"/>
      <c r="Q1562" s="237"/>
      <c r="R1562" s="237"/>
      <c r="S1562" s="237"/>
      <c r="T1562" s="237"/>
      <c r="U1562" s="237"/>
      <c r="V1562" s="237"/>
      <c r="W1562" s="237"/>
      <c r="X1562" s="237"/>
      <c r="Y1562" s="237"/>
      <c r="Z1562" s="237"/>
      <c r="AA1562" s="237"/>
      <c r="AB1562" s="237"/>
    </row>
    <row r="1563">
      <c r="A1563" s="238">
        <v>1564.0</v>
      </c>
      <c r="B1563" s="242"/>
      <c r="C1563" s="240" t="s">
        <v>10150</v>
      </c>
      <c r="D1563" s="236"/>
      <c r="E1563" s="240" t="s">
        <v>3496</v>
      </c>
      <c r="F1563" s="240" t="s">
        <v>10151</v>
      </c>
      <c r="G1563" s="238" t="s">
        <v>10152</v>
      </c>
      <c r="H1563" s="236"/>
      <c r="I1563" s="237"/>
      <c r="J1563" s="256" t="s">
        <v>3962</v>
      </c>
      <c r="K1563" s="242"/>
      <c r="L1563" s="237"/>
      <c r="M1563" s="237"/>
      <c r="N1563" s="237"/>
      <c r="O1563" s="237"/>
      <c r="P1563" s="237"/>
      <c r="Q1563" s="237"/>
      <c r="R1563" s="237"/>
      <c r="S1563" s="237"/>
      <c r="T1563" s="237"/>
      <c r="U1563" s="237"/>
      <c r="V1563" s="237"/>
      <c r="W1563" s="237"/>
      <c r="X1563" s="237"/>
      <c r="Y1563" s="237"/>
      <c r="Z1563" s="237"/>
      <c r="AA1563" s="237"/>
      <c r="AB1563" s="237"/>
    </row>
    <row r="1564">
      <c r="A1564" s="238">
        <v>1565.0</v>
      </c>
      <c r="B1564" s="242"/>
      <c r="C1564" s="240" t="s">
        <v>10153</v>
      </c>
      <c r="D1564" s="236"/>
      <c r="E1564" s="240" t="s">
        <v>3496</v>
      </c>
      <c r="F1564" s="240" t="s">
        <v>10154</v>
      </c>
      <c r="G1564" s="238" t="s">
        <v>10155</v>
      </c>
      <c r="H1564" s="236"/>
      <c r="I1564" s="237"/>
      <c r="J1564" s="256" t="s">
        <v>3962</v>
      </c>
      <c r="K1564" s="242"/>
      <c r="L1564" s="237"/>
      <c r="M1564" s="237"/>
      <c r="N1564" s="237"/>
      <c r="O1564" s="237"/>
      <c r="P1564" s="237"/>
      <c r="Q1564" s="237"/>
      <c r="R1564" s="237"/>
      <c r="S1564" s="237"/>
      <c r="T1564" s="237"/>
      <c r="U1564" s="237"/>
      <c r="V1564" s="237"/>
      <c r="W1564" s="237"/>
      <c r="X1564" s="237"/>
      <c r="Y1564" s="237"/>
      <c r="Z1564" s="237"/>
      <c r="AA1564" s="237"/>
      <c r="AB1564" s="237"/>
    </row>
    <row r="1565">
      <c r="A1565" s="238">
        <v>1566.0</v>
      </c>
      <c r="B1565" s="242"/>
      <c r="C1565" s="240" t="s">
        <v>10156</v>
      </c>
      <c r="D1565" s="236"/>
      <c r="E1565" s="240" t="s">
        <v>3496</v>
      </c>
      <c r="F1565" s="240" t="s">
        <v>10157</v>
      </c>
      <c r="G1565" s="238" t="s">
        <v>10158</v>
      </c>
      <c r="H1565" s="236"/>
      <c r="I1565" s="237"/>
      <c r="J1565" s="256" t="s">
        <v>3962</v>
      </c>
      <c r="K1565" s="242"/>
      <c r="L1565" s="237"/>
      <c r="M1565" s="237"/>
      <c r="N1565" s="237"/>
      <c r="O1565" s="237"/>
      <c r="P1565" s="237"/>
      <c r="Q1565" s="237"/>
      <c r="R1565" s="237"/>
      <c r="S1565" s="237"/>
      <c r="T1565" s="237"/>
      <c r="U1565" s="237"/>
      <c r="V1565" s="237"/>
      <c r="W1565" s="237"/>
      <c r="X1565" s="237"/>
      <c r="Y1565" s="237"/>
      <c r="Z1565" s="237"/>
      <c r="AA1565" s="237"/>
      <c r="AB1565" s="237"/>
    </row>
    <row r="1566">
      <c r="A1566" s="238">
        <v>1567.0</v>
      </c>
      <c r="B1566" s="242"/>
      <c r="C1566" s="240" t="s">
        <v>10159</v>
      </c>
      <c r="D1566" s="236"/>
      <c r="E1566" s="240" t="s">
        <v>3496</v>
      </c>
      <c r="F1566" s="240" t="s">
        <v>10160</v>
      </c>
      <c r="G1566" s="238" t="s">
        <v>10161</v>
      </c>
      <c r="H1566" s="236"/>
      <c r="I1566" s="237"/>
      <c r="J1566" s="256" t="s">
        <v>3962</v>
      </c>
      <c r="K1566" s="242"/>
      <c r="L1566" s="237"/>
      <c r="M1566" s="237"/>
      <c r="N1566" s="237"/>
      <c r="O1566" s="237"/>
      <c r="P1566" s="237"/>
      <c r="Q1566" s="237"/>
      <c r="R1566" s="237"/>
      <c r="S1566" s="237"/>
      <c r="T1566" s="237"/>
      <c r="U1566" s="237"/>
      <c r="V1566" s="237"/>
      <c r="W1566" s="237"/>
      <c r="X1566" s="237"/>
      <c r="Y1566" s="237"/>
      <c r="Z1566" s="237"/>
      <c r="AA1566" s="237"/>
      <c r="AB1566" s="237"/>
    </row>
    <row r="1567">
      <c r="A1567" s="238">
        <v>1568.0</v>
      </c>
      <c r="B1567" s="242"/>
      <c r="C1567" s="240" t="s">
        <v>10162</v>
      </c>
      <c r="D1567" s="236"/>
      <c r="E1567" s="240" t="s">
        <v>3496</v>
      </c>
      <c r="F1567" s="240" t="s">
        <v>10163</v>
      </c>
      <c r="G1567" s="238" t="s">
        <v>10164</v>
      </c>
      <c r="H1567" s="236"/>
      <c r="I1567" s="237"/>
      <c r="J1567" s="256" t="s">
        <v>3962</v>
      </c>
      <c r="K1567" s="242"/>
      <c r="L1567" s="237"/>
      <c r="M1567" s="237"/>
      <c r="N1567" s="237"/>
      <c r="O1567" s="237"/>
      <c r="P1567" s="237"/>
      <c r="Q1567" s="237"/>
      <c r="R1567" s="237"/>
      <c r="S1567" s="237"/>
      <c r="T1567" s="237"/>
      <c r="U1567" s="237"/>
      <c r="V1567" s="237"/>
      <c r="W1567" s="237"/>
      <c r="X1567" s="237"/>
      <c r="Y1567" s="237"/>
      <c r="Z1567" s="237"/>
      <c r="AA1567" s="237"/>
      <c r="AB1567" s="237"/>
    </row>
    <row r="1568">
      <c r="A1568" s="238">
        <v>1569.0</v>
      </c>
      <c r="B1568" s="239" t="s">
        <v>10165</v>
      </c>
      <c r="C1568" s="240" t="s">
        <v>10166</v>
      </c>
      <c r="D1568" s="236"/>
      <c r="E1568" s="240" t="s">
        <v>3511</v>
      </c>
      <c r="F1568" s="240" t="s">
        <v>10167</v>
      </c>
      <c r="G1568" s="238" t="s">
        <v>10168</v>
      </c>
      <c r="H1568" s="240" t="s">
        <v>10169</v>
      </c>
      <c r="I1568" s="237"/>
      <c r="J1568" s="256" t="s">
        <v>3499</v>
      </c>
      <c r="K1568" s="239" t="s">
        <v>10165</v>
      </c>
      <c r="L1568" s="237"/>
      <c r="M1568" s="237"/>
      <c r="N1568" s="237"/>
      <c r="O1568" s="237"/>
      <c r="P1568" s="237"/>
      <c r="Q1568" s="237"/>
      <c r="R1568" s="237"/>
      <c r="S1568" s="237"/>
      <c r="T1568" s="237"/>
      <c r="U1568" s="237"/>
      <c r="V1568" s="237"/>
      <c r="W1568" s="237"/>
      <c r="X1568" s="237"/>
      <c r="Y1568" s="237"/>
      <c r="Z1568" s="237"/>
      <c r="AA1568" s="237"/>
      <c r="AB1568" s="237"/>
    </row>
    <row r="1569">
      <c r="A1569" s="238">
        <v>1570.0</v>
      </c>
      <c r="B1569" s="242"/>
      <c r="C1569" s="240" t="s">
        <v>10170</v>
      </c>
      <c r="D1569" s="236"/>
      <c r="E1569" s="240" t="s">
        <v>3511</v>
      </c>
      <c r="F1569" s="240" t="s">
        <v>10171</v>
      </c>
      <c r="G1569" s="238" t="s">
        <v>10172</v>
      </c>
      <c r="H1569" s="241" t="s">
        <v>10173</v>
      </c>
      <c r="I1569" s="237"/>
      <c r="J1569" s="256" t="s">
        <v>3499</v>
      </c>
      <c r="K1569" s="242"/>
      <c r="L1569" s="237"/>
      <c r="M1569" s="237"/>
      <c r="N1569" s="237"/>
      <c r="O1569" s="237"/>
      <c r="P1569" s="237"/>
      <c r="Q1569" s="237"/>
      <c r="R1569" s="237"/>
      <c r="S1569" s="237"/>
      <c r="T1569" s="237"/>
      <c r="U1569" s="237"/>
      <c r="V1569" s="237"/>
      <c r="W1569" s="237"/>
      <c r="X1569" s="237"/>
      <c r="Y1569" s="237"/>
      <c r="Z1569" s="237"/>
      <c r="AA1569" s="237"/>
      <c r="AB1569" s="237"/>
    </row>
    <row r="1570">
      <c r="A1570" s="238">
        <v>1571.0</v>
      </c>
      <c r="B1570" s="242"/>
      <c r="C1570" s="240" t="s">
        <v>10174</v>
      </c>
      <c r="D1570" s="236"/>
      <c r="E1570" s="240" t="s">
        <v>3511</v>
      </c>
      <c r="F1570" s="240" t="s">
        <v>10175</v>
      </c>
      <c r="G1570" s="238" t="s">
        <v>10176</v>
      </c>
      <c r="H1570" s="240" t="s">
        <v>10177</v>
      </c>
      <c r="I1570" s="237"/>
      <c r="J1570" s="256" t="s">
        <v>3499</v>
      </c>
      <c r="K1570" s="242"/>
      <c r="L1570" s="237"/>
      <c r="M1570" s="237"/>
      <c r="N1570" s="237"/>
      <c r="O1570" s="237"/>
      <c r="P1570" s="237"/>
      <c r="Q1570" s="237"/>
      <c r="R1570" s="237"/>
      <c r="S1570" s="237"/>
      <c r="T1570" s="237"/>
      <c r="U1570" s="237"/>
      <c r="V1570" s="237"/>
      <c r="W1570" s="237"/>
      <c r="X1570" s="237"/>
      <c r="Y1570" s="237"/>
      <c r="Z1570" s="237"/>
      <c r="AA1570" s="237"/>
      <c r="AB1570" s="237"/>
    </row>
    <row r="1571">
      <c r="A1571" s="238">
        <v>1572.0</v>
      </c>
      <c r="B1571" s="239" t="s">
        <v>10178</v>
      </c>
      <c r="C1571" s="240" t="s">
        <v>10179</v>
      </c>
      <c r="D1571" s="236"/>
      <c r="E1571" s="240" t="s">
        <v>3511</v>
      </c>
      <c r="F1571" s="240" t="s">
        <v>10180</v>
      </c>
      <c r="G1571" s="238" t="s">
        <v>10181</v>
      </c>
      <c r="H1571" s="240" t="s">
        <v>10182</v>
      </c>
      <c r="I1571" s="237"/>
      <c r="J1571" s="256" t="s">
        <v>3499</v>
      </c>
      <c r="K1571" s="239" t="s">
        <v>10178</v>
      </c>
      <c r="L1571" s="237"/>
      <c r="M1571" s="237"/>
      <c r="N1571" s="237"/>
      <c r="O1571" s="237"/>
      <c r="P1571" s="237"/>
      <c r="Q1571" s="237"/>
      <c r="R1571" s="237"/>
      <c r="S1571" s="237"/>
      <c r="T1571" s="237"/>
      <c r="U1571" s="237"/>
      <c r="V1571" s="237"/>
      <c r="W1571" s="237"/>
      <c r="X1571" s="237"/>
      <c r="Y1571" s="237"/>
      <c r="Z1571" s="237"/>
      <c r="AA1571" s="237"/>
      <c r="AB1571" s="237"/>
    </row>
    <row r="1572">
      <c r="A1572" s="238">
        <v>1573.0</v>
      </c>
      <c r="B1572" s="242"/>
      <c r="C1572" s="240" t="s">
        <v>10183</v>
      </c>
      <c r="D1572" s="236"/>
      <c r="E1572" s="240" t="s">
        <v>3511</v>
      </c>
      <c r="F1572" s="240" t="s">
        <v>10184</v>
      </c>
      <c r="G1572" s="238" t="s">
        <v>10185</v>
      </c>
      <c r="H1572" s="240" t="s">
        <v>10186</v>
      </c>
      <c r="I1572" s="237"/>
      <c r="J1572" s="256" t="s">
        <v>3499</v>
      </c>
      <c r="K1572" s="242"/>
      <c r="L1572" s="237"/>
      <c r="M1572" s="237"/>
      <c r="N1572" s="237"/>
      <c r="O1572" s="237"/>
      <c r="P1572" s="237"/>
      <c r="Q1572" s="237"/>
      <c r="R1572" s="237"/>
      <c r="S1572" s="237"/>
      <c r="T1572" s="237"/>
      <c r="U1572" s="237"/>
      <c r="V1572" s="237"/>
      <c r="W1572" s="237"/>
      <c r="X1572" s="237"/>
      <c r="Y1572" s="237"/>
      <c r="Z1572" s="237"/>
      <c r="AA1572" s="237"/>
      <c r="AB1572" s="237"/>
    </row>
    <row r="1573">
      <c r="A1573" s="238">
        <v>1574.0</v>
      </c>
      <c r="B1573" s="242"/>
      <c r="C1573" s="240" t="s">
        <v>10187</v>
      </c>
      <c r="D1573" s="236"/>
      <c r="E1573" s="240" t="s">
        <v>3511</v>
      </c>
      <c r="F1573" s="241" t="s">
        <v>10188</v>
      </c>
      <c r="G1573" s="238" t="s">
        <v>10189</v>
      </c>
      <c r="H1573" s="240" t="s">
        <v>10190</v>
      </c>
      <c r="I1573" s="237"/>
      <c r="J1573" s="256" t="s">
        <v>10191</v>
      </c>
      <c r="K1573" s="242"/>
      <c r="L1573" s="237"/>
      <c r="M1573" s="237"/>
      <c r="N1573" s="237"/>
      <c r="O1573" s="237"/>
      <c r="P1573" s="237"/>
      <c r="Q1573" s="237"/>
      <c r="R1573" s="237"/>
      <c r="S1573" s="237"/>
      <c r="T1573" s="237"/>
      <c r="U1573" s="237"/>
      <c r="V1573" s="237"/>
      <c r="W1573" s="237"/>
      <c r="X1573" s="237"/>
      <c r="Y1573" s="237"/>
      <c r="Z1573" s="237"/>
      <c r="AA1573" s="237"/>
      <c r="AB1573" s="237"/>
    </row>
    <row r="1574">
      <c r="A1574" s="238">
        <v>1575.0</v>
      </c>
      <c r="B1574" s="242"/>
      <c r="C1574" s="240" t="s">
        <v>10192</v>
      </c>
      <c r="D1574" s="236"/>
      <c r="E1574" s="240" t="s">
        <v>3511</v>
      </c>
      <c r="F1574" s="240" t="s">
        <v>10193</v>
      </c>
      <c r="G1574" s="238" t="s">
        <v>10194</v>
      </c>
      <c r="H1574" s="240" t="s">
        <v>10195</v>
      </c>
      <c r="I1574" s="237"/>
      <c r="J1574" s="256" t="s">
        <v>10191</v>
      </c>
      <c r="K1574" s="242"/>
      <c r="L1574" s="237"/>
      <c r="M1574" s="237"/>
      <c r="N1574" s="237"/>
      <c r="O1574" s="237"/>
      <c r="P1574" s="237"/>
      <c r="Q1574" s="237"/>
      <c r="R1574" s="237"/>
      <c r="S1574" s="237"/>
      <c r="T1574" s="237"/>
      <c r="U1574" s="237"/>
      <c r="V1574" s="237"/>
      <c r="W1574" s="237"/>
      <c r="X1574" s="237"/>
      <c r="Y1574" s="237"/>
      <c r="Z1574" s="237"/>
      <c r="AA1574" s="237"/>
      <c r="AB1574" s="237"/>
    </row>
    <row r="1575">
      <c r="A1575" s="238">
        <v>1576.0</v>
      </c>
      <c r="B1575" s="242"/>
      <c r="C1575" s="240" t="s">
        <v>10196</v>
      </c>
      <c r="D1575" s="236"/>
      <c r="E1575" s="240" t="s">
        <v>3511</v>
      </c>
      <c r="F1575" s="240" t="s">
        <v>10197</v>
      </c>
      <c r="G1575" s="238" t="s">
        <v>10198</v>
      </c>
      <c r="H1575" s="240" t="s">
        <v>10199</v>
      </c>
      <c r="I1575" s="237"/>
      <c r="J1575" s="256" t="s">
        <v>10191</v>
      </c>
      <c r="K1575" s="242"/>
      <c r="L1575" s="237"/>
      <c r="M1575" s="237"/>
      <c r="N1575" s="237"/>
      <c r="O1575" s="237"/>
      <c r="P1575" s="237"/>
      <c r="Q1575" s="237"/>
      <c r="R1575" s="237"/>
      <c r="S1575" s="237"/>
      <c r="T1575" s="237"/>
      <c r="U1575" s="237"/>
      <c r="V1575" s="237"/>
      <c r="W1575" s="237"/>
      <c r="X1575" s="237"/>
      <c r="Y1575" s="237"/>
      <c r="Z1575" s="237"/>
      <c r="AA1575" s="237"/>
      <c r="AB1575" s="237"/>
    </row>
    <row r="1576">
      <c r="A1576" s="238">
        <v>1577.0</v>
      </c>
      <c r="B1576" s="242"/>
      <c r="C1576" s="240" t="s">
        <v>10200</v>
      </c>
      <c r="D1576" s="236"/>
      <c r="E1576" s="240" t="s">
        <v>3511</v>
      </c>
      <c r="F1576" s="240" t="s">
        <v>10201</v>
      </c>
      <c r="G1576" s="238" t="s">
        <v>10202</v>
      </c>
      <c r="H1576" s="240" t="s">
        <v>10203</v>
      </c>
      <c r="I1576" s="237"/>
      <c r="J1576" s="256" t="s">
        <v>10191</v>
      </c>
      <c r="K1576" s="242"/>
      <c r="L1576" s="237"/>
      <c r="M1576" s="237"/>
      <c r="N1576" s="237"/>
      <c r="O1576" s="237"/>
      <c r="P1576" s="237"/>
      <c r="Q1576" s="237"/>
      <c r="R1576" s="237"/>
      <c r="S1576" s="237"/>
      <c r="T1576" s="237"/>
      <c r="U1576" s="237"/>
      <c r="V1576" s="237"/>
      <c r="W1576" s="237"/>
      <c r="X1576" s="237"/>
      <c r="Y1576" s="237"/>
      <c r="Z1576" s="237"/>
      <c r="AA1576" s="237"/>
      <c r="AB1576" s="237"/>
    </row>
    <row r="1577">
      <c r="A1577" s="238">
        <v>1578.0</v>
      </c>
      <c r="B1577" s="242"/>
      <c r="C1577" s="240" t="s">
        <v>10204</v>
      </c>
      <c r="D1577" s="236"/>
      <c r="E1577" s="240" t="s">
        <v>3511</v>
      </c>
      <c r="F1577" s="240" t="s">
        <v>10205</v>
      </c>
      <c r="G1577" s="238" t="s">
        <v>10206</v>
      </c>
      <c r="H1577" s="240" t="s">
        <v>10207</v>
      </c>
      <c r="I1577" s="237"/>
      <c r="J1577" s="256" t="s">
        <v>10191</v>
      </c>
      <c r="K1577" s="242"/>
      <c r="L1577" s="237"/>
      <c r="M1577" s="237"/>
      <c r="N1577" s="237"/>
      <c r="O1577" s="237"/>
      <c r="P1577" s="237"/>
      <c r="Q1577" s="237"/>
      <c r="R1577" s="237"/>
      <c r="S1577" s="237"/>
      <c r="T1577" s="237"/>
      <c r="U1577" s="237"/>
      <c r="V1577" s="237"/>
      <c r="W1577" s="237"/>
      <c r="X1577" s="237"/>
      <c r="Y1577" s="237"/>
      <c r="Z1577" s="237"/>
      <c r="AA1577" s="237"/>
      <c r="AB1577" s="237"/>
    </row>
    <row r="1578">
      <c r="A1578" s="238">
        <v>1579.0</v>
      </c>
      <c r="B1578" s="242"/>
      <c r="C1578" s="240" t="s">
        <v>10208</v>
      </c>
      <c r="D1578" s="236"/>
      <c r="E1578" s="240" t="s">
        <v>3511</v>
      </c>
      <c r="F1578" s="240" t="s">
        <v>10209</v>
      </c>
      <c r="G1578" s="238" t="s">
        <v>10210</v>
      </c>
      <c r="H1578" s="240" t="s">
        <v>10211</v>
      </c>
      <c r="I1578" s="237"/>
      <c r="J1578" s="256" t="s">
        <v>10191</v>
      </c>
      <c r="K1578" s="242"/>
      <c r="L1578" s="237"/>
      <c r="M1578" s="237"/>
      <c r="N1578" s="237"/>
      <c r="O1578" s="237"/>
      <c r="P1578" s="237"/>
      <c r="Q1578" s="237"/>
      <c r="R1578" s="237"/>
      <c r="S1578" s="237"/>
      <c r="T1578" s="237"/>
      <c r="U1578" s="237"/>
      <c r="V1578" s="237"/>
      <c r="W1578" s="237"/>
      <c r="X1578" s="237"/>
      <c r="Y1578" s="237"/>
      <c r="Z1578" s="237"/>
      <c r="AA1578" s="237"/>
      <c r="AB1578" s="237"/>
    </row>
    <row r="1579">
      <c r="A1579" s="238">
        <v>1580.0</v>
      </c>
      <c r="B1579" s="242"/>
      <c r="C1579" s="240" t="s">
        <v>10212</v>
      </c>
      <c r="D1579" s="236"/>
      <c r="E1579" s="240" t="s">
        <v>3496</v>
      </c>
      <c r="F1579" s="240" t="s">
        <v>10213</v>
      </c>
      <c r="G1579" s="238" t="s">
        <v>10214</v>
      </c>
      <c r="H1579" s="236"/>
      <c r="I1579" s="237"/>
      <c r="J1579" s="256" t="s">
        <v>3962</v>
      </c>
      <c r="K1579" s="242"/>
      <c r="L1579" s="237"/>
      <c r="M1579" s="237"/>
      <c r="N1579" s="237"/>
      <c r="O1579" s="237"/>
      <c r="P1579" s="237"/>
      <c r="Q1579" s="237"/>
      <c r="R1579" s="237"/>
      <c r="S1579" s="237"/>
      <c r="T1579" s="237"/>
      <c r="U1579" s="237"/>
      <c r="V1579" s="237"/>
      <c r="W1579" s="237"/>
      <c r="X1579" s="237"/>
      <c r="Y1579" s="237"/>
      <c r="Z1579" s="237"/>
      <c r="AA1579" s="237"/>
      <c r="AB1579" s="237"/>
    </row>
    <row r="1580">
      <c r="A1580" s="238">
        <v>1581.0</v>
      </c>
      <c r="B1580" s="242"/>
      <c r="C1580" s="240" t="s">
        <v>10215</v>
      </c>
      <c r="D1580" s="236"/>
      <c r="E1580" s="240" t="s">
        <v>3496</v>
      </c>
      <c r="F1580" s="240" t="s">
        <v>10216</v>
      </c>
      <c r="G1580" s="238" t="s">
        <v>10217</v>
      </c>
      <c r="H1580" s="236"/>
      <c r="I1580" s="237"/>
      <c r="J1580" s="256" t="s">
        <v>3962</v>
      </c>
      <c r="K1580" s="242"/>
      <c r="L1580" s="237"/>
      <c r="M1580" s="237"/>
      <c r="N1580" s="237"/>
      <c r="O1580" s="237"/>
      <c r="P1580" s="237"/>
      <c r="Q1580" s="237"/>
      <c r="R1580" s="237"/>
      <c r="S1580" s="237"/>
      <c r="T1580" s="237"/>
      <c r="U1580" s="237"/>
      <c r="V1580" s="237"/>
      <c r="W1580" s="237"/>
      <c r="X1580" s="237"/>
      <c r="Y1580" s="237"/>
      <c r="Z1580" s="237"/>
      <c r="AA1580" s="237"/>
      <c r="AB1580" s="237"/>
    </row>
    <row r="1581">
      <c r="A1581" s="238">
        <v>1582.0</v>
      </c>
      <c r="B1581" s="242"/>
      <c r="C1581" s="240" t="s">
        <v>10218</v>
      </c>
      <c r="D1581" s="236"/>
      <c r="E1581" s="240" t="s">
        <v>3496</v>
      </c>
      <c r="F1581" s="240" t="s">
        <v>10219</v>
      </c>
      <c r="G1581" s="238" t="s">
        <v>10220</v>
      </c>
      <c r="H1581" s="236"/>
      <c r="I1581" s="237"/>
      <c r="J1581" s="256" t="s">
        <v>3962</v>
      </c>
      <c r="K1581" s="242"/>
      <c r="L1581" s="237"/>
      <c r="M1581" s="237"/>
      <c r="N1581" s="237"/>
      <c r="O1581" s="237"/>
      <c r="P1581" s="237"/>
      <c r="Q1581" s="237"/>
      <c r="R1581" s="237"/>
      <c r="S1581" s="237"/>
      <c r="T1581" s="237"/>
      <c r="U1581" s="237"/>
      <c r="V1581" s="237"/>
      <c r="W1581" s="237"/>
      <c r="X1581" s="237"/>
      <c r="Y1581" s="237"/>
      <c r="Z1581" s="237"/>
      <c r="AA1581" s="237"/>
      <c r="AB1581" s="237"/>
    </row>
    <row r="1582">
      <c r="A1582" s="238">
        <v>1583.0</v>
      </c>
      <c r="B1582" s="242"/>
      <c r="C1582" s="240" t="s">
        <v>10221</v>
      </c>
      <c r="D1582" s="236"/>
      <c r="E1582" s="240" t="s">
        <v>3496</v>
      </c>
      <c r="F1582" s="240" t="s">
        <v>10222</v>
      </c>
      <c r="G1582" s="238" t="s">
        <v>10223</v>
      </c>
      <c r="H1582" s="236"/>
      <c r="I1582" s="237"/>
      <c r="J1582" s="256" t="s">
        <v>10224</v>
      </c>
      <c r="K1582" s="242"/>
      <c r="L1582" s="237"/>
      <c r="M1582" s="237"/>
      <c r="N1582" s="237"/>
      <c r="O1582" s="237"/>
      <c r="P1582" s="237"/>
      <c r="Q1582" s="237"/>
      <c r="R1582" s="237"/>
      <c r="S1582" s="237"/>
      <c r="T1582" s="237"/>
      <c r="U1582" s="237"/>
      <c r="V1582" s="237"/>
      <c r="W1582" s="237"/>
      <c r="X1582" s="237"/>
      <c r="Y1582" s="237"/>
      <c r="Z1582" s="237"/>
      <c r="AA1582" s="237"/>
      <c r="AB1582" s="237"/>
    </row>
    <row r="1583">
      <c r="A1583" s="238">
        <v>1584.0</v>
      </c>
      <c r="B1583" s="242"/>
      <c r="C1583" s="240" t="s">
        <v>10225</v>
      </c>
      <c r="D1583" s="236"/>
      <c r="E1583" s="240" t="s">
        <v>3496</v>
      </c>
      <c r="F1583" s="240" t="s">
        <v>10226</v>
      </c>
      <c r="G1583" s="238" t="s">
        <v>10227</v>
      </c>
      <c r="H1583" s="236"/>
      <c r="I1583" s="237"/>
      <c r="J1583" s="256" t="s">
        <v>10224</v>
      </c>
      <c r="K1583" s="242"/>
      <c r="L1583" s="237"/>
      <c r="M1583" s="237"/>
      <c r="N1583" s="237"/>
      <c r="O1583" s="237"/>
      <c r="P1583" s="237"/>
      <c r="Q1583" s="237"/>
      <c r="R1583" s="237"/>
      <c r="S1583" s="237"/>
      <c r="T1583" s="237"/>
      <c r="U1583" s="237"/>
      <c r="V1583" s="237"/>
      <c r="W1583" s="237"/>
      <c r="X1583" s="237"/>
      <c r="Y1583" s="237"/>
      <c r="Z1583" s="237"/>
      <c r="AA1583" s="237"/>
      <c r="AB1583" s="237"/>
    </row>
    <row r="1584">
      <c r="A1584" s="238">
        <v>1585.0</v>
      </c>
      <c r="B1584" s="242"/>
      <c r="C1584" s="240" t="s">
        <v>10228</v>
      </c>
      <c r="D1584" s="236"/>
      <c r="E1584" s="240" t="s">
        <v>3496</v>
      </c>
      <c r="F1584" s="240" t="s">
        <v>10229</v>
      </c>
      <c r="G1584" s="238" t="s">
        <v>10230</v>
      </c>
      <c r="H1584" s="240" t="s">
        <v>10231</v>
      </c>
      <c r="I1584" s="237"/>
      <c r="J1584" s="256" t="s">
        <v>10224</v>
      </c>
      <c r="K1584" s="242"/>
      <c r="L1584" s="237"/>
      <c r="M1584" s="237"/>
      <c r="N1584" s="237"/>
      <c r="O1584" s="237"/>
      <c r="P1584" s="237"/>
      <c r="Q1584" s="237"/>
      <c r="R1584" s="237"/>
      <c r="S1584" s="237"/>
      <c r="T1584" s="237"/>
      <c r="U1584" s="237"/>
      <c r="V1584" s="237"/>
      <c r="W1584" s="237"/>
      <c r="X1584" s="237"/>
      <c r="Y1584" s="237"/>
      <c r="Z1584" s="237"/>
      <c r="AA1584" s="237"/>
      <c r="AB1584" s="237"/>
    </row>
    <row r="1585">
      <c r="A1585" s="238">
        <v>1586.0</v>
      </c>
      <c r="B1585" s="242"/>
      <c r="C1585" s="240" t="s">
        <v>10232</v>
      </c>
      <c r="D1585" s="236"/>
      <c r="E1585" s="240" t="s">
        <v>3496</v>
      </c>
      <c r="F1585" s="240" t="s">
        <v>10233</v>
      </c>
      <c r="G1585" s="238" t="s">
        <v>10234</v>
      </c>
      <c r="H1585" s="236"/>
      <c r="I1585" s="237"/>
      <c r="J1585" s="256" t="s">
        <v>10224</v>
      </c>
      <c r="K1585" s="242"/>
      <c r="L1585" s="237"/>
      <c r="M1585" s="237"/>
      <c r="N1585" s="237"/>
      <c r="O1585" s="237"/>
      <c r="P1585" s="237"/>
      <c r="Q1585" s="237"/>
      <c r="R1585" s="237"/>
      <c r="S1585" s="237"/>
      <c r="T1585" s="237"/>
      <c r="U1585" s="237"/>
      <c r="V1585" s="237"/>
      <c r="W1585" s="237"/>
      <c r="X1585" s="237"/>
      <c r="Y1585" s="237"/>
      <c r="Z1585" s="237"/>
      <c r="AA1585" s="237"/>
      <c r="AB1585" s="237"/>
    </row>
    <row r="1586">
      <c r="A1586" s="238">
        <v>1587.0</v>
      </c>
      <c r="B1586" s="239" t="s">
        <v>10235</v>
      </c>
      <c r="C1586" s="240" t="s">
        <v>10236</v>
      </c>
      <c r="D1586" s="236"/>
      <c r="E1586" s="240" t="s">
        <v>3511</v>
      </c>
      <c r="F1586" s="240" t="s">
        <v>10237</v>
      </c>
      <c r="G1586" s="238" t="s">
        <v>10238</v>
      </c>
      <c r="H1586" s="240" t="s">
        <v>10239</v>
      </c>
      <c r="I1586" s="237"/>
      <c r="J1586" s="256" t="s">
        <v>10191</v>
      </c>
      <c r="K1586" s="239" t="s">
        <v>10235</v>
      </c>
      <c r="L1586" s="237"/>
      <c r="M1586" s="237"/>
      <c r="N1586" s="237"/>
      <c r="O1586" s="237"/>
      <c r="P1586" s="237"/>
      <c r="Q1586" s="237"/>
      <c r="R1586" s="237"/>
      <c r="S1586" s="237"/>
      <c r="T1586" s="237"/>
      <c r="U1586" s="237"/>
      <c r="V1586" s="237"/>
      <c r="W1586" s="237"/>
      <c r="X1586" s="237"/>
      <c r="Y1586" s="237"/>
      <c r="Z1586" s="237"/>
      <c r="AA1586" s="237"/>
      <c r="AB1586" s="237"/>
    </row>
    <row r="1587">
      <c r="A1587" s="238">
        <v>1588.0</v>
      </c>
      <c r="B1587" s="239" t="s">
        <v>10240</v>
      </c>
      <c r="C1587" s="240" t="s">
        <v>10241</v>
      </c>
      <c r="D1587" s="236"/>
      <c r="E1587" s="240" t="s">
        <v>3511</v>
      </c>
      <c r="F1587" s="240" t="s">
        <v>10242</v>
      </c>
      <c r="G1587" s="238" t="s">
        <v>10243</v>
      </c>
      <c r="H1587" s="240" t="s">
        <v>10244</v>
      </c>
      <c r="I1587" s="237"/>
      <c r="J1587" s="256" t="s">
        <v>10191</v>
      </c>
      <c r="K1587" s="239" t="s">
        <v>10240</v>
      </c>
      <c r="L1587" s="237"/>
      <c r="M1587" s="237"/>
      <c r="N1587" s="237"/>
      <c r="O1587" s="237"/>
      <c r="P1587" s="237"/>
      <c r="Q1587" s="237"/>
      <c r="R1587" s="237"/>
      <c r="S1587" s="237"/>
      <c r="T1587" s="237"/>
      <c r="U1587" s="237"/>
      <c r="V1587" s="237"/>
      <c r="W1587" s="237"/>
      <c r="X1587" s="237"/>
      <c r="Y1587" s="237"/>
      <c r="Z1587" s="237"/>
      <c r="AA1587" s="237"/>
      <c r="AB1587" s="237"/>
    </row>
    <row r="1588">
      <c r="A1588" s="238">
        <v>1589.0</v>
      </c>
      <c r="B1588" s="239" t="s">
        <v>10245</v>
      </c>
      <c r="C1588" s="240" t="s">
        <v>10246</v>
      </c>
      <c r="D1588" s="236"/>
      <c r="E1588" s="240" t="s">
        <v>3511</v>
      </c>
      <c r="F1588" s="240" t="s">
        <v>10247</v>
      </c>
      <c r="G1588" s="238" t="s">
        <v>10248</v>
      </c>
      <c r="H1588" s="240" t="s">
        <v>10249</v>
      </c>
      <c r="I1588" s="237"/>
      <c r="J1588" s="256" t="s">
        <v>10191</v>
      </c>
      <c r="K1588" s="239" t="s">
        <v>10245</v>
      </c>
      <c r="L1588" s="237"/>
      <c r="M1588" s="237"/>
      <c r="N1588" s="237"/>
      <c r="O1588" s="237"/>
      <c r="P1588" s="237"/>
      <c r="Q1588" s="237"/>
      <c r="R1588" s="237"/>
      <c r="S1588" s="237"/>
      <c r="T1588" s="237"/>
      <c r="U1588" s="237"/>
      <c r="V1588" s="237"/>
      <c r="W1588" s="237"/>
      <c r="X1588" s="237"/>
      <c r="Y1588" s="237"/>
      <c r="Z1588" s="237"/>
      <c r="AA1588" s="237"/>
      <c r="AB1588" s="237"/>
    </row>
    <row r="1589">
      <c r="A1589" s="238">
        <v>1590.0</v>
      </c>
      <c r="B1589" s="242"/>
      <c r="C1589" s="240" t="s">
        <v>10250</v>
      </c>
      <c r="D1589" s="236"/>
      <c r="E1589" s="240" t="s">
        <v>3511</v>
      </c>
      <c r="F1589" s="240" t="s">
        <v>10251</v>
      </c>
      <c r="G1589" s="238" t="s">
        <v>10252</v>
      </c>
      <c r="H1589" s="240" t="s">
        <v>10253</v>
      </c>
      <c r="I1589" s="237"/>
      <c r="J1589" s="256" t="s">
        <v>10191</v>
      </c>
      <c r="K1589" s="242"/>
      <c r="L1589" s="237"/>
      <c r="M1589" s="237"/>
      <c r="N1589" s="237"/>
      <c r="O1589" s="237"/>
      <c r="P1589" s="237"/>
      <c r="Q1589" s="237"/>
      <c r="R1589" s="237"/>
      <c r="S1589" s="237"/>
      <c r="T1589" s="237"/>
      <c r="U1589" s="237"/>
      <c r="V1589" s="237"/>
      <c r="W1589" s="237"/>
      <c r="X1589" s="237"/>
      <c r="Y1589" s="237"/>
      <c r="Z1589" s="237"/>
      <c r="AA1589" s="237"/>
      <c r="AB1589" s="237"/>
    </row>
    <row r="1590">
      <c r="A1590" s="238">
        <v>1591.0</v>
      </c>
      <c r="B1590" s="239" t="s">
        <v>10254</v>
      </c>
      <c r="C1590" s="240" t="s">
        <v>10255</v>
      </c>
      <c r="D1590" s="236"/>
      <c r="E1590" s="240" t="s">
        <v>3511</v>
      </c>
      <c r="F1590" s="240" t="s">
        <v>10256</v>
      </c>
      <c r="G1590" s="238" t="s">
        <v>10257</v>
      </c>
      <c r="H1590" s="240" t="s">
        <v>10258</v>
      </c>
      <c r="I1590" s="237"/>
      <c r="J1590" s="256" t="s">
        <v>10191</v>
      </c>
      <c r="K1590" s="239" t="s">
        <v>10254</v>
      </c>
      <c r="L1590" s="237"/>
      <c r="M1590" s="237"/>
      <c r="N1590" s="237"/>
      <c r="O1590" s="237"/>
      <c r="P1590" s="237"/>
      <c r="Q1590" s="237"/>
      <c r="R1590" s="237"/>
      <c r="S1590" s="237"/>
      <c r="T1590" s="237"/>
      <c r="U1590" s="237"/>
      <c r="V1590" s="237"/>
      <c r="W1590" s="237"/>
      <c r="X1590" s="237"/>
      <c r="Y1590" s="237"/>
      <c r="Z1590" s="237"/>
      <c r="AA1590" s="237"/>
      <c r="AB1590" s="237"/>
    </row>
    <row r="1591">
      <c r="A1591" s="238">
        <v>1592.0</v>
      </c>
      <c r="B1591" s="239" t="s">
        <v>10259</v>
      </c>
      <c r="C1591" s="240" t="s">
        <v>10260</v>
      </c>
      <c r="D1591" s="236"/>
      <c r="E1591" s="240" t="s">
        <v>3511</v>
      </c>
      <c r="F1591" s="240" t="s">
        <v>10261</v>
      </c>
      <c r="G1591" s="238" t="s">
        <v>10262</v>
      </c>
      <c r="H1591" s="240" t="s">
        <v>10263</v>
      </c>
      <c r="I1591" s="237"/>
      <c r="J1591" s="256" t="s">
        <v>10191</v>
      </c>
      <c r="K1591" s="239" t="s">
        <v>10259</v>
      </c>
      <c r="L1591" s="237"/>
      <c r="M1591" s="237"/>
      <c r="N1591" s="237"/>
      <c r="O1591" s="237"/>
      <c r="P1591" s="237"/>
      <c r="Q1591" s="237"/>
      <c r="R1591" s="237"/>
      <c r="S1591" s="237"/>
      <c r="T1591" s="237"/>
      <c r="U1591" s="237"/>
      <c r="V1591" s="237"/>
      <c r="W1591" s="237"/>
      <c r="X1591" s="237"/>
      <c r="Y1591" s="237"/>
      <c r="Z1591" s="237"/>
      <c r="AA1591" s="237"/>
      <c r="AB1591" s="237"/>
    </row>
    <row r="1592">
      <c r="A1592" s="238">
        <v>1593.0</v>
      </c>
      <c r="B1592" s="239" t="s">
        <v>10264</v>
      </c>
      <c r="C1592" s="240" t="s">
        <v>10265</v>
      </c>
      <c r="D1592" s="236"/>
      <c r="E1592" s="240" t="s">
        <v>3511</v>
      </c>
      <c r="F1592" s="240" t="s">
        <v>10266</v>
      </c>
      <c r="G1592" s="238" t="s">
        <v>10267</v>
      </c>
      <c r="H1592" s="240" t="s">
        <v>10268</v>
      </c>
      <c r="I1592" s="237"/>
      <c r="J1592" s="256" t="s">
        <v>10191</v>
      </c>
      <c r="K1592" s="239" t="s">
        <v>10264</v>
      </c>
      <c r="L1592" s="237"/>
      <c r="M1592" s="237"/>
      <c r="N1592" s="237"/>
      <c r="O1592" s="237"/>
      <c r="P1592" s="237"/>
      <c r="Q1592" s="237"/>
      <c r="R1592" s="237"/>
      <c r="S1592" s="237"/>
      <c r="T1592" s="237"/>
      <c r="U1592" s="237"/>
      <c r="V1592" s="237"/>
      <c r="W1592" s="237"/>
      <c r="X1592" s="237"/>
      <c r="Y1592" s="237"/>
      <c r="Z1592" s="237"/>
      <c r="AA1592" s="237"/>
      <c r="AB1592" s="237"/>
    </row>
    <row r="1593">
      <c r="A1593" s="238">
        <v>1594.0</v>
      </c>
      <c r="B1593" s="239" t="s">
        <v>10269</v>
      </c>
      <c r="C1593" s="240" t="s">
        <v>10270</v>
      </c>
      <c r="D1593" s="236"/>
      <c r="E1593" s="240" t="s">
        <v>3511</v>
      </c>
      <c r="F1593" s="240" t="s">
        <v>10271</v>
      </c>
      <c r="G1593" s="238" t="s">
        <v>10272</v>
      </c>
      <c r="H1593" s="240" t="s">
        <v>10273</v>
      </c>
      <c r="I1593" s="237"/>
      <c r="J1593" s="256" t="s">
        <v>10191</v>
      </c>
      <c r="K1593" s="239" t="s">
        <v>10269</v>
      </c>
      <c r="L1593" s="237"/>
      <c r="M1593" s="237"/>
      <c r="N1593" s="237"/>
      <c r="O1593" s="237"/>
      <c r="P1593" s="237"/>
      <c r="Q1593" s="237"/>
      <c r="R1593" s="237"/>
      <c r="S1593" s="237"/>
      <c r="T1593" s="237"/>
      <c r="U1593" s="237"/>
      <c r="V1593" s="237"/>
      <c r="W1593" s="237"/>
      <c r="X1593" s="237"/>
      <c r="Y1593" s="237"/>
      <c r="Z1593" s="237"/>
      <c r="AA1593" s="237"/>
      <c r="AB1593" s="237"/>
    </row>
    <row r="1594">
      <c r="A1594" s="238">
        <v>1595.0</v>
      </c>
      <c r="B1594" s="239" t="s">
        <v>10274</v>
      </c>
      <c r="C1594" s="240" t="s">
        <v>10275</v>
      </c>
      <c r="D1594" s="236"/>
      <c r="E1594" s="240" t="s">
        <v>3511</v>
      </c>
      <c r="F1594" s="240" t="s">
        <v>10276</v>
      </c>
      <c r="G1594" s="238" t="s">
        <v>10277</v>
      </c>
      <c r="H1594" s="240" t="s">
        <v>10278</v>
      </c>
      <c r="I1594" s="237"/>
      <c r="J1594" s="256" t="s">
        <v>10191</v>
      </c>
      <c r="K1594" s="239" t="s">
        <v>10274</v>
      </c>
      <c r="L1594" s="237"/>
      <c r="M1594" s="237"/>
      <c r="N1594" s="237"/>
      <c r="O1594" s="237"/>
      <c r="P1594" s="237"/>
      <c r="Q1594" s="237"/>
      <c r="R1594" s="237"/>
      <c r="S1594" s="237"/>
      <c r="T1594" s="237"/>
      <c r="U1594" s="237"/>
      <c r="V1594" s="237"/>
      <c r="W1594" s="237"/>
      <c r="X1594" s="237"/>
      <c r="Y1594" s="237"/>
      <c r="Z1594" s="237"/>
      <c r="AA1594" s="237"/>
      <c r="AB1594" s="237"/>
    </row>
    <row r="1595">
      <c r="A1595" s="238">
        <v>1596.0</v>
      </c>
      <c r="B1595" s="239" t="s">
        <v>10279</v>
      </c>
      <c r="C1595" s="240" t="s">
        <v>10280</v>
      </c>
      <c r="D1595" s="236"/>
      <c r="E1595" s="240" t="s">
        <v>3511</v>
      </c>
      <c r="F1595" s="240" t="s">
        <v>10281</v>
      </c>
      <c r="G1595" s="238" t="s">
        <v>10282</v>
      </c>
      <c r="H1595" s="240" t="s">
        <v>10283</v>
      </c>
      <c r="I1595" s="237"/>
      <c r="J1595" s="256" t="s">
        <v>10191</v>
      </c>
      <c r="K1595" s="239" t="s">
        <v>10279</v>
      </c>
      <c r="L1595" s="237"/>
      <c r="M1595" s="237"/>
      <c r="N1595" s="237"/>
      <c r="O1595" s="237"/>
      <c r="P1595" s="237"/>
      <c r="Q1595" s="237"/>
      <c r="R1595" s="237"/>
      <c r="S1595" s="237"/>
      <c r="T1595" s="237"/>
      <c r="U1595" s="237"/>
      <c r="V1595" s="237"/>
      <c r="W1595" s="237"/>
      <c r="X1595" s="237"/>
      <c r="Y1595" s="237"/>
      <c r="Z1595" s="237"/>
      <c r="AA1595" s="237"/>
      <c r="AB1595" s="237"/>
    </row>
    <row r="1596">
      <c r="A1596" s="238">
        <v>1597.0</v>
      </c>
      <c r="B1596" s="239" t="s">
        <v>10284</v>
      </c>
      <c r="C1596" s="240" t="s">
        <v>10285</v>
      </c>
      <c r="D1596" s="236"/>
      <c r="E1596" s="240" t="s">
        <v>3511</v>
      </c>
      <c r="F1596" s="240" t="s">
        <v>10286</v>
      </c>
      <c r="G1596" s="238" t="s">
        <v>10287</v>
      </c>
      <c r="H1596" s="240" t="s">
        <v>10288</v>
      </c>
      <c r="I1596" s="237"/>
      <c r="J1596" s="256" t="s">
        <v>10191</v>
      </c>
      <c r="K1596" s="239" t="s">
        <v>10284</v>
      </c>
      <c r="L1596" s="237"/>
      <c r="M1596" s="237"/>
      <c r="N1596" s="237"/>
      <c r="O1596" s="237"/>
      <c r="P1596" s="237"/>
      <c r="Q1596" s="237"/>
      <c r="R1596" s="237"/>
      <c r="S1596" s="237"/>
      <c r="T1596" s="237"/>
      <c r="U1596" s="237"/>
      <c r="V1596" s="237"/>
      <c r="W1596" s="237"/>
      <c r="X1596" s="237"/>
      <c r="Y1596" s="237"/>
      <c r="Z1596" s="237"/>
      <c r="AA1596" s="237"/>
      <c r="AB1596" s="237"/>
    </row>
    <row r="1597">
      <c r="A1597" s="238">
        <v>1598.0</v>
      </c>
      <c r="B1597" s="239" t="s">
        <v>10289</v>
      </c>
      <c r="C1597" s="240" t="s">
        <v>10290</v>
      </c>
      <c r="D1597" s="236"/>
      <c r="E1597" s="240" t="s">
        <v>3511</v>
      </c>
      <c r="F1597" s="240" t="s">
        <v>10291</v>
      </c>
      <c r="G1597" s="238" t="s">
        <v>10292</v>
      </c>
      <c r="H1597" s="240" t="s">
        <v>10293</v>
      </c>
      <c r="I1597" s="237"/>
      <c r="J1597" s="256" t="s">
        <v>10191</v>
      </c>
      <c r="K1597" s="239" t="s">
        <v>10289</v>
      </c>
      <c r="L1597" s="237"/>
      <c r="M1597" s="237"/>
      <c r="N1597" s="237"/>
      <c r="O1597" s="237"/>
      <c r="P1597" s="237"/>
      <c r="Q1597" s="237"/>
      <c r="R1597" s="237"/>
      <c r="S1597" s="237"/>
      <c r="T1597" s="237"/>
      <c r="U1597" s="237"/>
      <c r="V1597" s="237"/>
      <c r="W1597" s="237"/>
      <c r="X1597" s="237"/>
      <c r="Y1597" s="237"/>
      <c r="Z1597" s="237"/>
      <c r="AA1597" s="237"/>
      <c r="AB1597" s="237"/>
    </row>
    <row r="1598">
      <c r="A1598" s="238">
        <v>1599.0</v>
      </c>
      <c r="B1598" s="242"/>
      <c r="C1598" s="240" t="s">
        <v>10294</v>
      </c>
      <c r="D1598" s="236"/>
      <c r="E1598" s="240" t="s">
        <v>3511</v>
      </c>
      <c r="F1598" s="240" t="s">
        <v>10295</v>
      </c>
      <c r="G1598" s="238" t="s">
        <v>10296</v>
      </c>
      <c r="H1598" s="240" t="s">
        <v>10297</v>
      </c>
      <c r="I1598" s="237"/>
      <c r="J1598" s="256" t="s">
        <v>10191</v>
      </c>
      <c r="K1598" s="242"/>
      <c r="L1598" s="237"/>
      <c r="M1598" s="237"/>
      <c r="N1598" s="237"/>
      <c r="O1598" s="237"/>
      <c r="P1598" s="237"/>
      <c r="Q1598" s="237"/>
      <c r="R1598" s="237"/>
      <c r="S1598" s="237"/>
      <c r="T1598" s="237"/>
      <c r="U1598" s="237"/>
      <c r="V1598" s="237"/>
      <c r="W1598" s="237"/>
      <c r="X1598" s="237"/>
      <c r="Y1598" s="237"/>
      <c r="Z1598" s="237"/>
      <c r="AA1598" s="237"/>
      <c r="AB1598" s="237"/>
    </row>
    <row r="1599">
      <c r="A1599" s="238">
        <v>1600.0</v>
      </c>
      <c r="B1599" s="239" t="s">
        <v>10298</v>
      </c>
      <c r="C1599" s="240" t="s">
        <v>10299</v>
      </c>
      <c r="D1599" s="236"/>
      <c r="E1599" s="240" t="s">
        <v>3511</v>
      </c>
      <c r="F1599" s="240" t="s">
        <v>10300</v>
      </c>
      <c r="G1599" s="238" t="s">
        <v>10301</v>
      </c>
      <c r="H1599" s="240" t="s">
        <v>10302</v>
      </c>
      <c r="I1599" s="237"/>
      <c r="J1599" s="256" t="s">
        <v>10191</v>
      </c>
      <c r="K1599" s="239" t="s">
        <v>10298</v>
      </c>
      <c r="L1599" s="237"/>
      <c r="M1599" s="237"/>
      <c r="N1599" s="237"/>
      <c r="O1599" s="237"/>
      <c r="P1599" s="237"/>
      <c r="Q1599" s="237"/>
      <c r="R1599" s="237"/>
      <c r="S1599" s="237"/>
      <c r="T1599" s="237"/>
      <c r="U1599" s="237"/>
      <c r="V1599" s="237"/>
      <c r="W1599" s="237"/>
      <c r="X1599" s="237"/>
      <c r="Y1599" s="237"/>
      <c r="Z1599" s="237"/>
      <c r="AA1599" s="237"/>
      <c r="AB1599" s="237"/>
    </row>
    <row r="1600">
      <c r="A1600" s="238">
        <v>1601.0</v>
      </c>
      <c r="B1600" s="239" t="s">
        <v>10303</v>
      </c>
      <c r="C1600" s="240" t="s">
        <v>10304</v>
      </c>
      <c r="D1600" s="236"/>
      <c r="E1600" s="240" t="s">
        <v>3511</v>
      </c>
      <c r="F1600" s="240" t="s">
        <v>10305</v>
      </c>
      <c r="G1600" s="238" t="s">
        <v>10306</v>
      </c>
      <c r="H1600" s="240" t="s">
        <v>10307</v>
      </c>
      <c r="I1600" s="237"/>
      <c r="J1600" s="256" t="s">
        <v>10191</v>
      </c>
      <c r="K1600" s="239" t="s">
        <v>10303</v>
      </c>
      <c r="L1600" s="237"/>
      <c r="M1600" s="237"/>
      <c r="N1600" s="237"/>
      <c r="O1600" s="237"/>
      <c r="P1600" s="237"/>
      <c r="Q1600" s="237"/>
      <c r="R1600" s="237"/>
      <c r="S1600" s="237"/>
      <c r="T1600" s="237"/>
      <c r="U1600" s="237"/>
      <c r="V1600" s="237"/>
      <c r="W1600" s="237"/>
      <c r="X1600" s="237"/>
      <c r="Y1600" s="237"/>
      <c r="Z1600" s="237"/>
      <c r="AA1600" s="237"/>
      <c r="AB1600" s="237"/>
    </row>
    <row r="1601">
      <c r="A1601" s="238">
        <v>1602.0</v>
      </c>
      <c r="B1601" s="242"/>
      <c r="C1601" s="240" t="s">
        <v>10308</v>
      </c>
      <c r="D1601" s="236"/>
      <c r="E1601" s="240" t="s">
        <v>3511</v>
      </c>
      <c r="F1601" s="240" t="s">
        <v>10229</v>
      </c>
      <c r="G1601" s="238" t="s">
        <v>10230</v>
      </c>
      <c r="H1601" s="236"/>
      <c r="I1601" s="237"/>
      <c r="J1601" s="256" t="s">
        <v>10224</v>
      </c>
      <c r="K1601" s="242"/>
      <c r="L1601" s="237"/>
      <c r="M1601" s="237"/>
      <c r="N1601" s="237"/>
      <c r="O1601" s="237"/>
      <c r="P1601" s="237"/>
      <c r="Q1601" s="237"/>
      <c r="R1601" s="237"/>
      <c r="S1601" s="237"/>
      <c r="T1601" s="237"/>
      <c r="U1601" s="237"/>
      <c r="V1601" s="237"/>
      <c r="W1601" s="237"/>
      <c r="X1601" s="237"/>
      <c r="Y1601" s="237"/>
      <c r="Z1601" s="237"/>
      <c r="AA1601" s="237"/>
      <c r="AB1601" s="237"/>
    </row>
    <row r="1602">
      <c r="A1602" s="238">
        <v>1603.0</v>
      </c>
      <c r="B1602" s="242"/>
      <c r="C1602" s="240" t="s">
        <v>10309</v>
      </c>
      <c r="D1602" s="236"/>
      <c r="E1602" s="240" t="s">
        <v>3511</v>
      </c>
      <c r="F1602" s="240" t="s">
        <v>10226</v>
      </c>
      <c r="G1602" s="238" t="s">
        <v>10227</v>
      </c>
      <c r="H1602" s="254" t="s">
        <v>10310</v>
      </c>
      <c r="I1602" s="237"/>
      <c r="J1602" s="256" t="s">
        <v>10224</v>
      </c>
      <c r="K1602" s="242"/>
      <c r="L1602" s="237"/>
      <c r="M1602" s="237"/>
      <c r="N1602" s="237"/>
      <c r="O1602" s="237"/>
      <c r="P1602" s="237"/>
      <c r="Q1602" s="237"/>
      <c r="R1602" s="237"/>
      <c r="S1602" s="237"/>
      <c r="T1602" s="237"/>
      <c r="U1602" s="237"/>
      <c r="V1602" s="237"/>
      <c r="W1602" s="237"/>
      <c r="X1602" s="237"/>
      <c r="Y1602" s="237"/>
      <c r="Z1602" s="237"/>
      <c r="AA1602" s="237"/>
      <c r="AB1602" s="237"/>
    </row>
    <row r="1603">
      <c r="A1603" s="238">
        <v>1604.0</v>
      </c>
      <c r="B1603" s="242"/>
      <c r="C1603" s="240" t="s">
        <v>10311</v>
      </c>
      <c r="D1603" s="236"/>
      <c r="E1603" s="240" t="s">
        <v>3511</v>
      </c>
      <c r="F1603" s="240" t="s">
        <v>10222</v>
      </c>
      <c r="G1603" s="238" t="s">
        <v>10223</v>
      </c>
      <c r="H1603" s="254" t="s">
        <v>10312</v>
      </c>
      <c r="I1603" s="237"/>
      <c r="J1603" s="256" t="s">
        <v>10224</v>
      </c>
      <c r="K1603" s="242"/>
      <c r="L1603" s="237"/>
      <c r="M1603" s="237"/>
      <c r="N1603" s="237"/>
      <c r="O1603" s="237"/>
      <c r="P1603" s="237"/>
      <c r="Q1603" s="237"/>
      <c r="R1603" s="237"/>
      <c r="S1603" s="237"/>
      <c r="T1603" s="237"/>
      <c r="U1603" s="237"/>
      <c r="V1603" s="237"/>
      <c r="W1603" s="237"/>
      <c r="X1603" s="237"/>
      <c r="Y1603" s="237"/>
      <c r="Z1603" s="237"/>
      <c r="AA1603" s="237"/>
      <c r="AB1603" s="237"/>
    </row>
    <row r="1604">
      <c r="A1604" s="238">
        <v>1605.0</v>
      </c>
      <c r="B1604" s="242"/>
      <c r="C1604" s="240" t="s">
        <v>10313</v>
      </c>
      <c r="D1604" s="236"/>
      <c r="E1604" s="240" t="s">
        <v>3511</v>
      </c>
      <c r="F1604" s="240" t="s">
        <v>10314</v>
      </c>
      <c r="G1604" s="238" t="s">
        <v>10315</v>
      </c>
      <c r="H1604" s="240" t="s">
        <v>10316</v>
      </c>
      <c r="I1604" s="237"/>
      <c r="J1604" s="256" t="s">
        <v>10191</v>
      </c>
      <c r="K1604" s="242"/>
      <c r="L1604" s="237"/>
      <c r="M1604" s="237"/>
      <c r="N1604" s="237"/>
      <c r="O1604" s="237"/>
      <c r="P1604" s="237"/>
      <c r="Q1604" s="237"/>
      <c r="R1604" s="237"/>
      <c r="S1604" s="237"/>
      <c r="T1604" s="237"/>
      <c r="U1604" s="237"/>
      <c r="V1604" s="237"/>
      <c r="W1604" s="237"/>
      <c r="X1604" s="237"/>
      <c r="Y1604" s="237"/>
      <c r="Z1604" s="237"/>
      <c r="AA1604" s="237"/>
      <c r="AB1604" s="237"/>
    </row>
    <row r="1605">
      <c r="A1605" s="238">
        <v>1606.0</v>
      </c>
      <c r="B1605" s="239" t="s">
        <v>10317</v>
      </c>
      <c r="C1605" s="240" t="s">
        <v>10318</v>
      </c>
      <c r="D1605" s="236"/>
      <c r="E1605" s="240" t="s">
        <v>3511</v>
      </c>
      <c r="F1605" s="240" t="s">
        <v>10319</v>
      </c>
      <c r="G1605" s="238" t="s">
        <v>10320</v>
      </c>
      <c r="H1605" s="240" t="s">
        <v>10321</v>
      </c>
      <c r="I1605" s="237"/>
      <c r="J1605" s="256" t="s">
        <v>10191</v>
      </c>
      <c r="K1605" s="239" t="s">
        <v>10317</v>
      </c>
      <c r="L1605" s="237"/>
      <c r="M1605" s="237"/>
      <c r="N1605" s="237"/>
      <c r="O1605" s="237"/>
      <c r="P1605" s="237"/>
      <c r="Q1605" s="237"/>
      <c r="R1605" s="237"/>
      <c r="S1605" s="237"/>
      <c r="T1605" s="237"/>
      <c r="U1605" s="237"/>
      <c r="V1605" s="237"/>
      <c r="W1605" s="237"/>
      <c r="X1605" s="237"/>
      <c r="Y1605" s="237"/>
      <c r="Z1605" s="237"/>
      <c r="AA1605" s="237"/>
      <c r="AB1605" s="237"/>
    </row>
    <row r="1606">
      <c r="A1606" s="238">
        <v>1607.0</v>
      </c>
      <c r="B1606" s="239" t="s">
        <v>10322</v>
      </c>
      <c r="C1606" s="240" t="s">
        <v>10323</v>
      </c>
      <c r="D1606" s="236"/>
      <c r="E1606" s="240" t="s">
        <v>3511</v>
      </c>
      <c r="F1606" s="240" t="s">
        <v>10324</v>
      </c>
      <c r="G1606" s="238" t="s">
        <v>10325</v>
      </c>
      <c r="H1606" s="240" t="s">
        <v>10326</v>
      </c>
      <c r="I1606" s="237"/>
      <c r="J1606" s="256" t="s">
        <v>10191</v>
      </c>
      <c r="K1606" s="239" t="s">
        <v>10322</v>
      </c>
      <c r="L1606" s="237"/>
      <c r="M1606" s="237"/>
      <c r="N1606" s="237"/>
      <c r="O1606" s="237"/>
      <c r="P1606" s="237"/>
      <c r="Q1606" s="237"/>
      <c r="R1606" s="237"/>
      <c r="S1606" s="237"/>
      <c r="T1606" s="237"/>
      <c r="U1606" s="237"/>
      <c r="V1606" s="237"/>
      <c r="W1606" s="237"/>
      <c r="X1606" s="237"/>
      <c r="Y1606" s="237"/>
      <c r="Z1606" s="237"/>
      <c r="AA1606" s="237"/>
      <c r="AB1606" s="237"/>
    </row>
    <row r="1607">
      <c r="A1607" s="238">
        <v>1608.0</v>
      </c>
      <c r="B1607" s="239" t="s">
        <v>10327</v>
      </c>
      <c r="C1607" s="240" t="s">
        <v>10328</v>
      </c>
      <c r="D1607" s="236"/>
      <c r="E1607" s="240" t="s">
        <v>3511</v>
      </c>
      <c r="F1607" s="240" t="s">
        <v>10329</v>
      </c>
      <c r="G1607" s="238" t="s">
        <v>10330</v>
      </c>
      <c r="H1607" s="240" t="s">
        <v>10331</v>
      </c>
      <c r="I1607" s="237"/>
      <c r="J1607" s="256" t="s">
        <v>10191</v>
      </c>
      <c r="K1607" s="239" t="s">
        <v>10327</v>
      </c>
      <c r="L1607" s="237"/>
      <c r="M1607" s="237"/>
      <c r="N1607" s="237"/>
      <c r="O1607" s="237"/>
      <c r="P1607" s="237"/>
      <c r="Q1607" s="237"/>
      <c r="R1607" s="237"/>
      <c r="S1607" s="237"/>
      <c r="T1607" s="237"/>
      <c r="U1607" s="237"/>
      <c r="V1607" s="237"/>
      <c r="W1607" s="237"/>
      <c r="X1607" s="237"/>
      <c r="Y1607" s="237"/>
      <c r="Z1607" s="237"/>
      <c r="AA1607" s="237"/>
      <c r="AB1607" s="237"/>
    </row>
    <row r="1608">
      <c r="A1608" s="238">
        <v>1609.0</v>
      </c>
      <c r="B1608" s="239" t="s">
        <v>10332</v>
      </c>
      <c r="C1608" s="240" t="s">
        <v>10333</v>
      </c>
      <c r="D1608" s="236"/>
      <c r="E1608" s="240" t="s">
        <v>3511</v>
      </c>
      <c r="F1608" s="240" t="s">
        <v>10334</v>
      </c>
      <c r="G1608" s="238" t="s">
        <v>10335</v>
      </c>
      <c r="H1608" s="240" t="s">
        <v>10336</v>
      </c>
      <c r="I1608" s="237"/>
      <c r="J1608" s="256" t="s">
        <v>10191</v>
      </c>
      <c r="K1608" s="239" t="s">
        <v>10332</v>
      </c>
      <c r="L1608" s="237"/>
      <c r="M1608" s="237"/>
      <c r="N1608" s="237"/>
      <c r="O1608" s="237"/>
      <c r="P1608" s="237"/>
      <c r="Q1608" s="237"/>
      <c r="R1608" s="237"/>
      <c r="S1608" s="237"/>
      <c r="T1608" s="237"/>
      <c r="U1608" s="237"/>
      <c r="V1608" s="237"/>
      <c r="W1608" s="237"/>
      <c r="X1608" s="237"/>
      <c r="Y1608" s="237"/>
      <c r="Z1608" s="237"/>
      <c r="AA1608" s="237"/>
      <c r="AB1608" s="237"/>
    </row>
    <row r="1609">
      <c r="A1609" s="238">
        <v>1610.0</v>
      </c>
      <c r="B1609" s="242"/>
      <c r="C1609" s="240" t="s">
        <v>10337</v>
      </c>
      <c r="D1609" s="236"/>
      <c r="E1609" s="240" t="s">
        <v>3511</v>
      </c>
      <c r="F1609" s="240" t="s">
        <v>10338</v>
      </c>
      <c r="G1609" s="238" t="s">
        <v>10339</v>
      </c>
      <c r="H1609" s="240" t="s">
        <v>10340</v>
      </c>
      <c r="I1609" s="237"/>
      <c r="J1609" s="256" t="s">
        <v>10191</v>
      </c>
      <c r="K1609" s="242"/>
      <c r="L1609" s="237"/>
      <c r="M1609" s="237"/>
      <c r="N1609" s="237"/>
      <c r="O1609" s="237"/>
      <c r="P1609" s="237"/>
      <c r="Q1609" s="237"/>
      <c r="R1609" s="237"/>
      <c r="S1609" s="237"/>
      <c r="T1609" s="237"/>
      <c r="U1609" s="237"/>
      <c r="V1609" s="237"/>
      <c r="W1609" s="237"/>
      <c r="X1609" s="237"/>
      <c r="Y1609" s="237"/>
      <c r="Z1609" s="237"/>
      <c r="AA1609" s="237"/>
      <c r="AB1609" s="237"/>
    </row>
    <row r="1610">
      <c r="A1610" s="238">
        <v>1611.0</v>
      </c>
      <c r="B1610" s="239" t="s">
        <v>10341</v>
      </c>
      <c r="C1610" s="240" t="s">
        <v>10342</v>
      </c>
      <c r="D1610" s="236"/>
      <c r="E1610" s="240" t="s">
        <v>3511</v>
      </c>
      <c r="F1610" s="240" t="s">
        <v>10343</v>
      </c>
      <c r="G1610" s="238" t="s">
        <v>10344</v>
      </c>
      <c r="H1610" s="240" t="s">
        <v>10345</v>
      </c>
      <c r="I1610" s="237"/>
      <c r="J1610" s="256" t="s">
        <v>10191</v>
      </c>
      <c r="K1610" s="239" t="s">
        <v>10341</v>
      </c>
      <c r="L1610" s="237"/>
      <c r="M1610" s="237"/>
      <c r="N1610" s="237"/>
      <c r="O1610" s="237"/>
      <c r="P1610" s="237"/>
      <c r="Q1610" s="237"/>
      <c r="R1610" s="237"/>
      <c r="S1610" s="237"/>
      <c r="T1610" s="237"/>
      <c r="U1610" s="237"/>
      <c r="V1610" s="237"/>
      <c r="W1610" s="237"/>
      <c r="X1610" s="237"/>
      <c r="Y1610" s="237"/>
      <c r="Z1610" s="237"/>
      <c r="AA1610" s="237"/>
      <c r="AB1610" s="237"/>
    </row>
    <row r="1611">
      <c r="A1611" s="238">
        <v>1612.0</v>
      </c>
      <c r="B1611" s="239" t="s">
        <v>10346</v>
      </c>
      <c r="C1611" s="240" t="s">
        <v>10347</v>
      </c>
      <c r="D1611" s="236"/>
      <c r="E1611" s="240" t="s">
        <v>3511</v>
      </c>
      <c r="F1611" s="240" t="s">
        <v>10348</v>
      </c>
      <c r="G1611" s="238" t="s">
        <v>10349</v>
      </c>
      <c r="H1611" s="240" t="s">
        <v>10350</v>
      </c>
      <c r="I1611" s="237"/>
      <c r="J1611" s="256" t="s">
        <v>10191</v>
      </c>
      <c r="K1611" s="239" t="s">
        <v>10346</v>
      </c>
      <c r="L1611" s="237"/>
      <c r="M1611" s="237"/>
      <c r="N1611" s="237"/>
      <c r="O1611" s="237"/>
      <c r="P1611" s="237"/>
      <c r="Q1611" s="237"/>
      <c r="R1611" s="237"/>
      <c r="S1611" s="237"/>
      <c r="T1611" s="237"/>
      <c r="U1611" s="237"/>
      <c r="V1611" s="237"/>
      <c r="W1611" s="237"/>
      <c r="X1611" s="237"/>
      <c r="Y1611" s="237"/>
      <c r="Z1611" s="237"/>
      <c r="AA1611" s="237"/>
      <c r="AB1611" s="237"/>
    </row>
    <row r="1612">
      <c r="A1612" s="238">
        <v>1613.0</v>
      </c>
      <c r="B1612" s="242"/>
      <c r="C1612" s="240" t="s">
        <v>10351</v>
      </c>
      <c r="D1612" s="236"/>
      <c r="E1612" s="240" t="s">
        <v>3511</v>
      </c>
      <c r="F1612" s="240" t="s">
        <v>10352</v>
      </c>
      <c r="G1612" s="238" t="s">
        <v>10353</v>
      </c>
      <c r="H1612" s="240" t="s">
        <v>10354</v>
      </c>
      <c r="I1612" s="237"/>
      <c r="J1612" s="256" t="s">
        <v>3499</v>
      </c>
      <c r="K1612" s="242"/>
      <c r="L1612" s="237"/>
      <c r="M1612" s="237"/>
      <c r="N1612" s="237"/>
      <c r="O1612" s="237"/>
      <c r="P1612" s="237"/>
      <c r="Q1612" s="237"/>
      <c r="R1612" s="237"/>
      <c r="S1612" s="237"/>
      <c r="T1612" s="237"/>
      <c r="U1612" s="237"/>
      <c r="V1612" s="237"/>
      <c r="W1612" s="237"/>
      <c r="X1612" s="237"/>
      <c r="Y1612" s="237"/>
      <c r="Z1612" s="237"/>
      <c r="AA1612" s="237"/>
      <c r="AB1612" s="237"/>
    </row>
    <row r="1613">
      <c r="A1613" s="238">
        <v>1614.0</v>
      </c>
      <c r="B1613" s="242"/>
      <c r="C1613" s="240" t="s">
        <v>10355</v>
      </c>
      <c r="D1613" s="236"/>
      <c r="E1613" s="240" t="s">
        <v>3511</v>
      </c>
      <c r="F1613" s="240" t="s">
        <v>10356</v>
      </c>
      <c r="G1613" s="238" t="s">
        <v>10357</v>
      </c>
      <c r="H1613" s="240" t="s">
        <v>10358</v>
      </c>
      <c r="I1613" s="237"/>
      <c r="J1613" s="256" t="s">
        <v>10191</v>
      </c>
      <c r="K1613" s="242"/>
      <c r="L1613" s="237"/>
      <c r="M1613" s="237"/>
      <c r="N1613" s="237"/>
      <c r="O1613" s="237"/>
      <c r="P1613" s="237"/>
      <c r="Q1613" s="237"/>
      <c r="R1613" s="237"/>
      <c r="S1613" s="237"/>
      <c r="T1613" s="237"/>
      <c r="U1613" s="237"/>
      <c r="V1613" s="237"/>
      <c r="W1613" s="237"/>
      <c r="X1613" s="237"/>
      <c r="Y1613" s="237"/>
      <c r="Z1613" s="237"/>
      <c r="AA1613" s="237"/>
      <c r="AB1613" s="237"/>
    </row>
    <row r="1614">
      <c r="A1614" s="238">
        <v>1615.0</v>
      </c>
      <c r="B1614" s="242"/>
      <c r="C1614" s="240" t="s">
        <v>10359</v>
      </c>
      <c r="D1614" s="236"/>
      <c r="E1614" s="240" t="s">
        <v>3511</v>
      </c>
      <c r="F1614" s="240" t="s">
        <v>10360</v>
      </c>
      <c r="G1614" s="238" t="s">
        <v>10361</v>
      </c>
      <c r="H1614" s="240" t="s">
        <v>10362</v>
      </c>
      <c r="I1614" s="237"/>
      <c r="J1614" s="256" t="s">
        <v>10191</v>
      </c>
      <c r="K1614" s="242"/>
      <c r="L1614" s="237"/>
      <c r="M1614" s="237"/>
      <c r="N1614" s="237"/>
      <c r="O1614" s="237"/>
      <c r="P1614" s="237"/>
      <c r="Q1614" s="237"/>
      <c r="R1614" s="237"/>
      <c r="S1614" s="237"/>
      <c r="T1614" s="237"/>
      <c r="U1614" s="237"/>
      <c r="V1614" s="237"/>
      <c r="W1614" s="237"/>
      <c r="X1614" s="237"/>
      <c r="Y1614" s="237"/>
      <c r="Z1614" s="237"/>
      <c r="AA1614" s="237"/>
      <c r="AB1614" s="237"/>
    </row>
    <row r="1615">
      <c r="A1615" s="238">
        <v>1616.0</v>
      </c>
      <c r="B1615" s="242"/>
      <c r="C1615" s="240" t="s">
        <v>10363</v>
      </c>
      <c r="D1615" s="236"/>
      <c r="E1615" s="240" t="s">
        <v>3511</v>
      </c>
      <c r="F1615" s="240" t="s">
        <v>10364</v>
      </c>
      <c r="G1615" s="238" t="s">
        <v>10365</v>
      </c>
      <c r="H1615" s="240" t="s">
        <v>10366</v>
      </c>
      <c r="I1615" s="237"/>
      <c r="J1615" s="256" t="s">
        <v>10191</v>
      </c>
      <c r="K1615" s="242"/>
      <c r="L1615" s="237"/>
      <c r="M1615" s="237"/>
      <c r="N1615" s="237"/>
      <c r="O1615" s="237"/>
      <c r="P1615" s="237"/>
      <c r="Q1615" s="237"/>
      <c r="R1615" s="237"/>
      <c r="S1615" s="237"/>
      <c r="T1615" s="237"/>
      <c r="U1615" s="237"/>
      <c r="V1615" s="237"/>
      <c r="W1615" s="237"/>
      <c r="X1615" s="237"/>
      <c r="Y1615" s="237"/>
      <c r="Z1615" s="237"/>
      <c r="AA1615" s="237"/>
      <c r="AB1615" s="237"/>
    </row>
    <row r="1616">
      <c r="A1616" s="238">
        <v>1617.0</v>
      </c>
      <c r="B1616" s="242"/>
      <c r="C1616" s="240" t="s">
        <v>10367</v>
      </c>
      <c r="D1616" s="236"/>
      <c r="E1616" s="240" t="s">
        <v>3511</v>
      </c>
      <c r="F1616" s="240" t="s">
        <v>10368</v>
      </c>
      <c r="G1616" s="238" t="s">
        <v>10369</v>
      </c>
      <c r="H1616" s="240" t="s">
        <v>10370</v>
      </c>
      <c r="I1616" s="237"/>
      <c r="J1616" s="256" t="s">
        <v>10191</v>
      </c>
      <c r="K1616" s="242"/>
      <c r="L1616" s="237"/>
      <c r="M1616" s="237"/>
      <c r="N1616" s="237"/>
      <c r="O1616" s="237"/>
      <c r="P1616" s="237"/>
      <c r="Q1616" s="237"/>
      <c r="R1616" s="237"/>
      <c r="S1616" s="237"/>
      <c r="T1616" s="237"/>
      <c r="U1616" s="237"/>
      <c r="V1616" s="237"/>
      <c r="W1616" s="237"/>
      <c r="X1616" s="237"/>
      <c r="Y1616" s="237"/>
      <c r="Z1616" s="237"/>
      <c r="AA1616" s="237"/>
      <c r="AB1616" s="237"/>
    </row>
    <row r="1617">
      <c r="A1617" s="238">
        <v>1618.0</v>
      </c>
      <c r="B1617" s="242"/>
      <c r="C1617" s="240" t="s">
        <v>10371</v>
      </c>
      <c r="D1617" s="236"/>
      <c r="E1617" s="240" t="s">
        <v>3511</v>
      </c>
      <c r="F1617" s="240" t="s">
        <v>10372</v>
      </c>
      <c r="G1617" s="238" t="s">
        <v>10373</v>
      </c>
      <c r="H1617" s="240" t="s">
        <v>10374</v>
      </c>
      <c r="I1617" s="237"/>
      <c r="J1617" s="256" t="s">
        <v>10191</v>
      </c>
      <c r="K1617" s="242"/>
      <c r="L1617" s="237"/>
      <c r="M1617" s="237"/>
      <c r="N1617" s="237"/>
      <c r="O1617" s="237"/>
      <c r="P1617" s="237"/>
      <c r="Q1617" s="237"/>
      <c r="R1617" s="237"/>
      <c r="S1617" s="237"/>
      <c r="T1617" s="237"/>
      <c r="U1617" s="237"/>
      <c r="V1617" s="237"/>
      <c r="W1617" s="237"/>
      <c r="X1617" s="237"/>
      <c r="Y1617" s="237"/>
      <c r="Z1617" s="237"/>
      <c r="AA1617" s="237"/>
      <c r="AB1617" s="237"/>
    </row>
    <row r="1618">
      <c r="A1618" s="238">
        <v>1619.0</v>
      </c>
      <c r="B1618" s="242"/>
      <c r="C1618" s="240" t="s">
        <v>10375</v>
      </c>
      <c r="D1618" s="236"/>
      <c r="E1618" s="240" t="s">
        <v>3511</v>
      </c>
      <c r="F1618" s="240" t="s">
        <v>10376</v>
      </c>
      <c r="G1618" s="238" t="s">
        <v>10377</v>
      </c>
      <c r="H1618" s="240" t="s">
        <v>10378</v>
      </c>
      <c r="I1618" s="237"/>
      <c r="J1618" s="256" t="s">
        <v>10191</v>
      </c>
      <c r="K1618" s="242"/>
      <c r="L1618" s="237"/>
      <c r="M1618" s="237"/>
      <c r="N1618" s="237"/>
      <c r="O1618" s="237"/>
      <c r="P1618" s="237"/>
      <c r="Q1618" s="237"/>
      <c r="R1618" s="237"/>
      <c r="S1618" s="237"/>
      <c r="T1618" s="237"/>
      <c r="U1618" s="237"/>
      <c r="V1618" s="237"/>
      <c r="W1618" s="237"/>
      <c r="X1618" s="237"/>
      <c r="Y1618" s="237"/>
      <c r="Z1618" s="237"/>
      <c r="AA1618" s="237"/>
      <c r="AB1618" s="237"/>
    </row>
    <row r="1619">
      <c r="A1619" s="238">
        <v>1620.0</v>
      </c>
      <c r="B1619" s="242"/>
      <c r="C1619" s="240" t="s">
        <v>10379</v>
      </c>
      <c r="D1619" s="236"/>
      <c r="E1619" s="240" t="s">
        <v>3511</v>
      </c>
      <c r="F1619" s="240" t="s">
        <v>10380</v>
      </c>
      <c r="G1619" s="238" t="s">
        <v>10381</v>
      </c>
      <c r="H1619" s="240" t="s">
        <v>10382</v>
      </c>
      <c r="I1619" s="237"/>
      <c r="J1619" s="256" t="s">
        <v>10191</v>
      </c>
      <c r="K1619" s="242"/>
      <c r="L1619" s="237"/>
      <c r="M1619" s="237"/>
      <c r="N1619" s="237"/>
      <c r="O1619" s="237"/>
      <c r="P1619" s="237"/>
      <c r="Q1619" s="237"/>
      <c r="R1619" s="237"/>
      <c r="S1619" s="237"/>
      <c r="T1619" s="237"/>
      <c r="U1619" s="237"/>
      <c r="V1619" s="237"/>
      <c r="W1619" s="237"/>
      <c r="X1619" s="237"/>
      <c r="Y1619" s="237"/>
      <c r="Z1619" s="237"/>
      <c r="AA1619" s="237"/>
      <c r="AB1619" s="237"/>
    </row>
    <row r="1620">
      <c r="A1620" s="238">
        <v>1621.0</v>
      </c>
      <c r="B1620" s="242"/>
      <c r="C1620" s="240" t="s">
        <v>10383</v>
      </c>
      <c r="D1620" s="236"/>
      <c r="E1620" s="240" t="s">
        <v>3511</v>
      </c>
      <c r="F1620" s="240" t="s">
        <v>10384</v>
      </c>
      <c r="G1620" s="238" t="s">
        <v>10385</v>
      </c>
      <c r="H1620" s="240" t="s">
        <v>10386</v>
      </c>
      <c r="I1620" s="237"/>
      <c r="J1620" s="256" t="s">
        <v>10191</v>
      </c>
      <c r="K1620" s="242"/>
      <c r="L1620" s="237"/>
      <c r="M1620" s="237"/>
      <c r="N1620" s="237"/>
      <c r="O1620" s="237"/>
      <c r="P1620" s="237"/>
      <c r="Q1620" s="237"/>
      <c r="R1620" s="237"/>
      <c r="S1620" s="237"/>
      <c r="T1620" s="237"/>
      <c r="U1620" s="237"/>
      <c r="V1620" s="237"/>
      <c r="W1620" s="237"/>
      <c r="X1620" s="237"/>
      <c r="Y1620" s="237"/>
      <c r="Z1620" s="237"/>
      <c r="AA1620" s="237"/>
      <c r="AB1620" s="237"/>
    </row>
    <row r="1621">
      <c r="A1621" s="238">
        <v>1622.0</v>
      </c>
      <c r="B1621" s="242"/>
      <c r="C1621" s="240" t="s">
        <v>10387</v>
      </c>
      <c r="D1621" s="236"/>
      <c r="E1621" s="240" t="s">
        <v>3511</v>
      </c>
      <c r="F1621" s="240" t="s">
        <v>10388</v>
      </c>
      <c r="G1621" s="238" t="s">
        <v>10389</v>
      </c>
      <c r="H1621" s="240" t="s">
        <v>10390</v>
      </c>
      <c r="I1621" s="237"/>
      <c r="J1621" s="256" t="s">
        <v>10191</v>
      </c>
      <c r="K1621" s="242"/>
      <c r="L1621" s="237"/>
      <c r="M1621" s="237"/>
      <c r="N1621" s="237"/>
      <c r="O1621" s="237"/>
      <c r="P1621" s="237"/>
      <c r="Q1621" s="237"/>
      <c r="R1621" s="237"/>
      <c r="S1621" s="237"/>
      <c r="T1621" s="237"/>
      <c r="U1621" s="237"/>
      <c r="V1621" s="237"/>
      <c r="W1621" s="237"/>
      <c r="X1621" s="237"/>
      <c r="Y1621" s="237"/>
      <c r="Z1621" s="237"/>
      <c r="AA1621" s="237"/>
      <c r="AB1621" s="237"/>
    </row>
    <row r="1622">
      <c r="A1622" s="238">
        <v>1623.0</v>
      </c>
      <c r="B1622" s="242"/>
      <c r="C1622" s="240" t="s">
        <v>10391</v>
      </c>
      <c r="D1622" s="236"/>
      <c r="E1622" s="240" t="s">
        <v>3511</v>
      </c>
      <c r="F1622" s="240" t="s">
        <v>10151</v>
      </c>
      <c r="G1622" s="238" t="s">
        <v>10152</v>
      </c>
      <c r="H1622" s="236"/>
      <c r="I1622" s="237"/>
      <c r="J1622" s="256" t="s">
        <v>3962</v>
      </c>
      <c r="K1622" s="242"/>
      <c r="L1622" s="237"/>
      <c r="M1622" s="237"/>
      <c r="N1622" s="237"/>
      <c r="O1622" s="237"/>
      <c r="P1622" s="237"/>
      <c r="Q1622" s="237"/>
      <c r="R1622" s="237"/>
      <c r="S1622" s="237"/>
      <c r="T1622" s="237"/>
      <c r="U1622" s="237"/>
      <c r="V1622" s="237"/>
      <c r="W1622" s="237"/>
      <c r="X1622" s="237"/>
      <c r="Y1622" s="237"/>
      <c r="Z1622" s="237"/>
      <c r="AA1622" s="237"/>
      <c r="AB1622" s="237"/>
    </row>
    <row r="1623">
      <c r="A1623" s="238">
        <v>1624.0</v>
      </c>
      <c r="B1623" s="242"/>
      <c r="C1623" s="240" t="s">
        <v>10392</v>
      </c>
      <c r="D1623" s="236"/>
      <c r="E1623" s="240" t="s">
        <v>3511</v>
      </c>
      <c r="F1623" s="240" t="s">
        <v>10154</v>
      </c>
      <c r="G1623" s="238" t="s">
        <v>10155</v>
      </c>
      <c r="H1623" s="236"/>
      <c r="I1623" s="237"/>
      <c r="J1623" s="256" t="s">
        <v>3962</v>
      </c>
      <c r="K1623" s="242"/>
      <c r="L1623" s="237"/>
      <c r="M1623" s="237"/>
      <c r="N1623" s="237"/>
      <c r="O1623" s="237"/>
      <c r="P1623" s="237"/>
      <c r="Q1623" s="237"/>
      <c r="R1623" s="237"/>
      <c r="S1623" s="237"/>
      <c r="T1623" s="237"/>
      <c r="U1623" s="237"/>
      <c r="V1623" s="237"/>
      <c r="W1623" s="237"/>
      <c r="X1623" s="237"/>
      <c r="Y1623" s="237"/>
      <c r="Z1623" s="237"/>
      <c r="AA1623" s="237"/>
      <c r="AB1623" s="237"/>
    </row>
    <row r="1624">
      <c r="A1624" s="238">
        <v>1625.0</v>
      </c>
      <c r="B1624" s="242"/>
      <c r="C1624" s="240" t="s">
        <v>10393</v>
      </c>
      <c r="D1624" s="236"/>
      <c r="E1624" s="240" t="s">
        <v>3511</v>
      </c>
      <c r="F1624" s="240" t="s">
        <v>10157</v>
      </c>
      <c r="G1624" s="238" t="s">
        <v>10158</v>
      </c>
      <c r="H1624" s="236"/>
      <c r="I1624" s="237"/>
      <c r="J1624" s="256" t="s">
        <v>3962</v>
      </c>
      <c r="K1624" s="242"/>
      <c r="L1624" s="237"/>
      <c r="M1624" s="237"/>
      <c r="N1624" s="237"/>
      <c r="O1624" s="237"/>
      <c r="P1624" s="237"/>
      <c r="Q1624" s="237"/>
      <c r="R1624" s="237"/>
      <c r="S1624" s="237"/>
      <c r="T1624" s="237"/>
      <c r="U1624" s="237"/>
      <c r="V1624" s="237"/>
      <c r="W1624" s="237"/>
      <c r="X1624" s="237"/>
      <c r="Y1624" s="237"/>
      <c r="Z1624" s="237"/>
      <c r="AA1624" s="237"/>
      <c r="AB1624" s="237"/>
    </row>
    <row r="1625">
      <c r="A1625" s="238">
        <v>1626.0</v>
      </c>
      <c r="B1625" s="242"/>
      <c r="C1625" s="240" t="s">
        <v>10394</v>
      </c>
      <c r="D1625" s="236"/>
      <c r="E1625" s="240" t="s">
        <v>3511</v>
      </c>
      <c r="F1625" s="240" t="s">
        <v>10395</v>
      </c>
      <c r="G1625" s="238" t="s">
        <v>10161</v>
      </c>
      <c r="H1625" s="236"/>
      <c r="I1625" s="237"/>
      <c r="J1625" s="256" t="s">
        <v>3962</v>
      </c>
      <c r="K1625" s="242"/>
      <c r="L1625" s="237"/>
      <c r="M1625" s="237"/>
      <c r="N1625" s="237"/>
      <c r="O1625" s="237"/>
      <c r="P1625" s="237"/>
      <c r="Q1625" s="237"/>
      <c r="R1625" s="237"/>
      <c r="S1625" s="237"/>
      <c r="T1625" s="237"/>
      <c r="U1625" s="237"/>
      <c r="V1625" s="237"/>
      <c r="W1625" s="237"/>
      <c r="X1625" s="237"/>
      <c r="Y1625" s="237"/>
      <c r="Z1625" s="237"/>
      <c r="AA1625" s="237"/>
      <c r="AB1625" s="237"/>
    </row>
    <row r="1626">
      <c r="A1626" s="238">
        <v>1627.0</v>
      </c>
      <c r="B1626" s="242"/>
      <c r="C1626" s="240" t="s">
        <v>10396</v>
      </c>
      <c r="D1626" s="236"/>
      <c r="E1626" s="240" t="s">
        <v>3511</v>
      </c>
      <c r="F1626" s="240" t="s">
        <v>10397</v>
      </c>
      <c r="G1626" s="238" t="s">
        <v>10398</v>
      </c>
      <c r="H1626" s="240" t="s">
        <v>10399</v>
      </c>
      <c r="I1626" s="237"/>
      <c r="J1626" s="256" t="s">
        <v>10191</v>
      </c>
      <c r="K1626" s="242"/>
      <c r="L1626" s="237"/>
      <c r="M1626" s="237"/>
      <c r="N1626" s="237"/>
      <c r="O1626" s="237"/>
      <c r="P1626" s="237"/>
      <c r="Q1626" s="237"/>
      <c r="R1626" s="237"/>
      <c r="S1626" s="237"/>
      <c r="T1626" s="237"/>
      <c r="U1626" s="237"/>
      <c r="V1626" s="237"/>
      <c r="W1626" s="237"/>
      <c r="X1626" s="237"/>
      <c r="Y1626" s="237"/>
      <c r="Z1626" s="237"/>
      <c r="AA1626" s="237"/>
      <c r="AB1626" s="237"/>
    </row>
    <row r="1627">
      <c r="A1627" s="238">
        <v>1628.0</v>
      </c>
      <c r="B1627" s="242"/>
      <c r="C1627" s="240" t="s">
        <v>10400</v>
      </c>
      <c r="D1627" s="236"/>
      <c r="E1627" s="240" t="s">
        <v>3511</v>
      </c>
      <c r="F1627" s="240" t="s">
        <v>10401</v>
      </c>
      <c r="G1627" s="238" t="s">
        <v>10402</v>
      </c>
      <c r="H1627" s="240" t="s">
        <v>10403</v>
      </c>
      <c r="I1627" s="237"/>
      <c r="J1627" s="256" t="s">
        <v>10191</v>
      </c>
      <c r="K1627" s="242"/>
      <c r="L1627" s="237"/>
      <c r="M1627" s="237"/>
      <c r="N1627" s="237"/>
      <c r="O1627" s="237"/>
      <c r="P1627" s="237"/>
      <c r="Q1627" s="237"/>
      <c r="R1627" s="237"/>
      <c r="S1627" s="237"/>
      <c r="T1627" s="237"/>
      <c r="U1627" s="237"/>
      <c r="V1627" s="237"/>
      <c r="W1627" s="237"/>
      <c r="X1627" s="237"/>
      <c r="Y1627" s="237"/>
      <c r="Z1627" s="237"/>
      <c r="AA1627" s="237"/>
      <c r="AB1627" s="237"/>
    </row>
    <row r="1628">
      <c r="A1628" s="238">
        <v>1629.0</v>
      </c>
      <c r="B1628" s="242"/>
      <c r="C1628" s="240" t="s">
        <v>10404</v>
      </c>
      <c r="D1628" s="236"/>
      <c r="E1628" s="240" t="s">
        <v>3511</v>
      </c>
      <c r="F1628" s="240" t="s">
        <v>10405</v>
      </c>
      <c r="G1628" s="238" t="s">
        <v>10406</v>
      </c>
      <c r="H1628" s="240" t="s">
        <v>10407</v>
      </c>
      <c r="I1628" s="237"/>
      <c r="J1628" s="256" t="s">
        <v>10191</v>
      </c>
      <c r="K1628" s="242"/>
      <c r="L1628" s="237"/>
      <c r="M1628" s="237"/>
      <c r="N1628" s="237"/>
      <c r="O1628" s="237"/>
      <c r="P1628" s="237"/>
      <c r="Q1628" s="237"/>
      <c r="R1628" s="237"/>
      <c r="S1628" s="237"/>
      <c r="T1628" s="237"/>
      <c r="U1628" s="237"/>
      <c r="V1628" s="237"/>
      <c r="W1628" s="237"/>
      <c r="X1628" s="237"/>
      <c r="Y1628" s="237"/>
      <c r="Z1628" s="237"/>
      <c r="AA1628" s="237"/>
      <c r="AB1628" s="237"/>
    </row>
    <row r="1629">
      <c r="A1629" s="238">
        <v>1630.0</v>
      </c>
      <c r="B1629" s="242"/>
      <c r="C1629" s="240" t="s">
        <v>10408</v>
      </c>
      <c r="D1629" s="236"/>
      <c r="E1629" s="240" t="s">
        <v>3511</v>
      </c>
      <c r="F1629" s="240" t="s">
        <v>10409</v>
      </c>
      <c r="G1629" s="238" t="s">
        <v>10410</v>
      </c>
      <c r="H1629" s="240" t="s">
        <v>10411</v>
      </c>
      <c r="I1629" s="237"/>
      <c r="J1629" s="256" t="s">
        <v>10191</v>
      </c>
      <c r="K1629" s="242"/>
      <c r="L1629" s="237"/>
      <c r="M1629" s="237"/>
      <c r="N1629" s="237"/>
      <c r="O1629" s="237"/>
      <c r="P1629" s="237"/>
      <c r="Q1629" s="237"/>
      <c r="R1629" s="237"/>
      <c r="S1629" s="237"/>
      <c r="T1629" s="237"/>
      <c r="U1629" s="237"/>
      <c r="V1629" s="237"/>
      <c r="W1629" s="237"/>
      <c r="X1629" s="237"/>
      <c r="Y1629" s="237"/>
      <c r="Z1629" s="237"/>
      <c r="AA1629" s="237"/>
      <c r="AB1629" s="237"/>
    </row>
    <row r="1630">
      <c r="A1630" s="238">
        <v>1631.0</v>
      </c>
      <c r="B1630" s="242"/>
      <c r="C1630" s="240" t="s">
        <v>10412</v>
      </c>
      <c r="D1630" s="236"/>
      <c r="E1630" s="240" t="s">
        <v>3511</v>
      </c>
      <c r="F1630" s="240" t="s">
        <v>10413</v>
      </c>
      <c r="G1630" s="238" t="s">
        <v>10414</v>
      </c>
      <c r="H1630" s="240" t="s">
        <v>10415</v>
      </c>
      <c r="I1630" s="237"/>
      <c r="J1630" s="256" t="s">
        <v>10191</v>
      </c>
      <c r="K1630" s="242"/>
      <c r="L1630" s="237"/>
      <c r="M1630" s="237"/>
      <c r="N1630" s="237"/>
      <c r="O1630" s="237"/>
      <c r="P1630" s="237"/>
      <c r="Q1630" s="237"/>
      <c r="R1630" s="237"/>
      <c r="S1630" s="237"/>
      <c r="T1630" s="237"/>
      <c r="U1630" s="237"/>
      <c r="V1630" s="237"/>
      <c r="W1630" s="237"/>
      <c r="X1630" s="237"/>
      <c r="Y1630" s="237"/>
      <c r="Z1630" s="237"/>
      <c r="AA1630" s="237"/>
      <c r="AB1630" s="237"/>
    </row>
    <row r="1631">
      <c r="A1631" s="238">
        <v>1632.0</v>
      </c>
      <c r="B1631" s="242"/>
      <c r="C1631" s="240" t="s">
        <v>10416</v>
      </c>
      <c r="D1631" s="236"/>
      <c r="E1631" s="240" t="s">
        <v>3511</v>
      </c>
      <c r="F1631" s="240" t="s">
        <v>10417</v>
      </c>
      <c r="G1631" s="238" t="s">
        <v>10418</v>
      </c>
      <c r="H1631" s="240" t="s">
        <v>10419</v>
      </c>
      <c r="I1631" s="237"/>
      <c r="J1631" s="256" t="s">
        <v>10191</v>
      </c>
      <c r="K1631" s="242"/>
      <c r="L1631" s="237"/>
      <c r="M1631" s="237"/>
      <c r="N1631" s="237"/>
      <c r="O1631" s="237"/>
      <c r="P1631" s="237"/>
      <c r="Q1631" s="237"/>
      <c r="R1631" s="237"/>
      <c r="S1631" s="237"/>
      <c r="T1631" s="237"/>
      <c r="U1631" s="237"/>
      <c r="V1631" s="237"/>
      <c r="W1631" s="237"/>
      <c r="X1631" s="237"/>
      <c r="Y1631" s="237"/>
      <c r="Z1631" s="237"/>
      <c r="AA1631" s="237"/>
      <c r="AB1631" s="237"/>
    </row>
    <row r="1632">
      <c r="A1632" s="238">
        <v>1633.0</v>
      </c>
      <c r="B1632" s="242"/>
      <c r="C1632" s="240" t="s">
        <v>10420</v>
      </c>
      <c r="D1632" s="236"/>
      <c r="E1632" s="240" t="s">
        <v>3511</v>
      </c>
      <c r="F1632" s="240" t="s">
        <v>10421</v>
      </c>
      <c r="G1632" s="238" t="s">
        <v>10422</v>
      </c>
      <c r="H1632" s="240" t="s">
        <v>10423</v>
      </c>
      <c r="I1632" s="237"/>
      <c r="J1632" s="256" t="s">
        <v>10191</v>
      </c>
      <c r="K1632" s="242"/>
      <c r="L1632" s="237"/>
      <c r="M1632" s="237"/>
      <c r="N1632" s="237"/>
      <c r="O1632" s="237"/>
      <c r="P1632" s="237"/>
      <c r="Q1632" s="237"/>
      <c r="R1632" s="237"/>
      <c r="S1632" s="237"/>
      <c r="T1632" s="237"/>
      <c r="U1632" s="237"/>
      <c r="V1632" s="237"/>
      <c r="W1632" s="237"/>
      <c r="X1632" s="237"/>
      <c r="Y1632" s="237"/>
      <c r="Z1632" s="237"/>
      <c r="AA1632" s="237"/>
      <c r="AB1632" s="237"/>
    </row>
    <row r="1633">
      <c r="A1633" s="238">
        <v>1634.0</v>
      </c>
      <c r="B1633" s="242"/>
      <c r="C1633" s="240" t="s">
        <v>10424</v>
      </c>
      <c r="D1633" s="236"/>
      <c r="E1633" s="240" t="s">
        <v>3511</v>
      </c>
      <c r="F1633" s="240" t="s">
        <v>10425</v>
      </c>
      <c r="G1633" s="238" t="s">
        <v>10426</v>
      </c>
      <c r="H1633" s="240" t="s">
        <v>10427</v>
      </c>
      <c r="I1633" s="237"/>
      <c r="J1633" s="256" t="s">
        <v>10191</v>
      </c>
      <c r="K1633" s="242"/>
      <c r="L1633" s="237"/>
      <c r="M1633" s="237"/>
      <c r="N1633" s="237"/>
      <c r="O1633" s="237"/>
      <c r="P1633" s="237"/>
      <c r="Q1633" s="237"/>
      <c r="R1633" s="237"/>
      <c r="S1633" s="237"/>
      <c r="T1633" s="237"/>
      <c r="U1633" s="237"/>
      <c r="V1633" s="237"/>
      <c r="W1633" s="237"/>
      <c r="X1633" s="237"/>
      <c r="Y1633" s="237"/>
      <c r="Z1633" s="237"/>
      <c r="AA1633" s="237"/>
      <c r="AB1633" s="237"/>
    </row>
    <row r="1634">
      <c r="A1634" s="238">
        <v>1635.0</v>
      </c>
      <c r="B1634" s="242"/>
      <c r="C1634" s="240" t="s">
        <v>10428</v>
      </c>
      <c r="D1634" s="236"/>
      <c r="E1634" s="240" t="s">
        <v>3511</v>
      </c>
      <c r="F1634" s="240" t="s">
        <v>10429</v>
      </c>
      <c r="G1634" s="238" t="s">
        <v>10430</v>
      </c>
      <c r="H1634" s="240" t="s">
        <v>10431</v>
      </c>
      <c r="I1634" s="237"/>
      <c r="J1634" s="256" t="s">
        <v>10191</v>
      </c>
      <c r="K1634" s="242"/>
      <c r="L1634" s="237"/>
      <c r="M1634" s="237"/>
      <c r="N1634" s="237"/>
      <c r="O1634" s="237"/>
      <c r="P1634" s="237"/>
      <c r="Q1634" s="237"/>
      <c r="R1634" s="237"/>
      <c r="S1634" s="237"/>
      <c r="T1634" s="237"/>
      <c r="U1634" s="237"/>
      <c r="V1634" s="237"/>
      <c r="W1634" s="237"/>
      <c r="X1634" s="237"/>
      <c r="Y1634" s="237"/>
      <c r="Z1634" s="237"/>
      <c r="AA1634" s="237"/>
      <c r="AB1634" s="237"/>
    </row>
    <row r="1635">
      <c r="A1635" s="238">
        <v>1636.0</v>
      </c>
      <c r="B1635" s="242"/>
      <c r="C1635" s="240" t="s">
        <v>10432</v>
      </c>
      <c r="D1635" s="236"/>
      <c r="E1635" s="240" t="s">
        <v>3511</v>
      </c>
      <c r="F1635" s="240" t="s">
        <v>10433</v>
      </c>
      <c r="G1635" s="238" t="s">
        <v>10434</v>
      </c>
      <c r="H1635" s="240" t="s">
        <v>10435</v>
      </c>
      <c r="I1635" s="237"/>
      <c r="J1635" s="256" t="s">
        <v>10191</v>
      </c>
      <c r="K1635" s="242"/>
      <c r="L1635" s="237"/>
      <c r="M1635" s="237"/>
      <c r="N1635" s="237"/>
      <c r="O1635" s="237"/>
      <c r="P1635" s="237"/>
      <c r="Q1635" s="237"/>
      <c r="R1635" s="237"/>
      <c r="S1635" s="237"/>
      <c r="T1635" s="237"/>
      <c r="U1635" s="237"/>
      <c r="V1635" s="237"/>
      <c r="W1635" s="237"/>
      <c r="X1635" s="237"/>
      <c r="Y1635" s="237"/>
      <c r="Z1635" s="237"/>
      <c r="AA1635" s="237"/>
      <c r="AB1635" s="237"/>
    </row>
    <row r="1636">
      <c r="A1636" s="238">
        <v>1637.0</v>
      </c>
      <c r="B1636" s="242"/>
      <c r="C1636" s="240" t="s">
        <v>10436</v>
      </c>
      <c r="D1636" s="236"/>
      <c r="E1636" s="240" t="s">
        <v>3511</v>
      </c>
      <c r="F1636" s="240" t="s">
        <v>10437</v>
      </c>
      <c r="G1636" s="238" t="s">
        <v>10438</v>
      </c>
      <c r="H1636" s="240" t="s">
        <v>10439</v>
      </c>
      <c r="I1636" s="237"/>
      <c r="J1636" s="256" t="s">
        <v>10191</v>
      </c>
      <c r="K1636" s="242"/>
      <c r="L1636" s="237"/>
      <c r="M1636" s="237"/>
      <c r="N1636" s="237"/>
      <c r="O1636" s="237"/>
      <c r="P1636" s="237"/>
      <c r="Q1636" s="237"/>
      <c r="R1636" s="237"/>
      <c r="S1636" s="237"/>
      <c r="T1636" s="237"/>
      <c r="U1636" s="237"/>
      <c r="V1636" s="237"/>
      <c r="W1636" s="237"/>
      <c r="X1636" s="237"/>
      <c r="Y1636" s="237"/>
      <c r="Z1636" s="237"/>
      <c r="AA1636" s="237"/>
      <c r="AB1636" s="237"/>
    </row>
    <row r="1637">
      <c r="A1637" s="238">
        <v>1638.0</v>
      </c>
      <c r="B1637" s="242"/>
      <c r="C1637" s="240" t="s">
        <v>10440</v>
      </c>
      <c r="D1637" s="236"/>
      <c r="E1637" s="240" t="s">
        <v>3511</v>
      </c>
      <c r="F1637" s="240" t="s">
        <v>10437</v>
      </c>
      <c r="G1637" s="238" t="s">
        <v>10438</v>
      </c>
      <c r="H1637" s="240" t="s">
        <v>10441</v>
      </c>
      <c r="I1637" s="237"/>
      <c r="J1637" s="256" t="s">
        <v>10191</v>
      </c>
      <c r="K1637" s="242"/>
      <c r="L1637" s="237"/>
      <c r="M1637" s="237"/>
      <c r="N1637" s="237"/>
      <c r="O1637" s="237"/>
      <c r="P1637" s="237"/>
      <c r="Q1637" s="237"/>
      <c r="R1637" s="237"/>
      <c r="S1637" s="237"/>
      <c r="T1637" s="237"/>
      <c r="U1637" s="237"/>
      <c r="V1637" s="237"/>
      <c r="W1637" s="237"/>
      <c r="X1637" s="237"/>
      <c r="Y1637" s="237"/>
      <c r="Z1637" s="237"/>
      <c r="AA1637" s="237"/>
      <c r="AB1637" s="237"/>
    </row>
    <row r="1638">
      <c r="A1638" s="238">
        <v>1639.0</v>
      </c>
      <c r="B1638" s="242"/>
      <c r="C1638" s="240" t="s">
        <v>10442</v>
      </c>
      <c r="D1638" s="236"/>
      <c r="E1638" s="240" t="s">
        <v>3511</v>
      </c>
      <c r="F1638" s="240" t="s">
        <v>10443</v>
      </c>
      <c r="G1638" s="238" t="s">
        <v>10444</v>
      </c>
      <c r="H1638" s="240" t="s">
        <v>10445</v>
      </c>
      <c r="I1638" s="237"/>
      <c r="J1638" s="256" t="s">
        <v>10191</v>
      </c>
      <c r="K1638" s="242"/>
      <c r="L1638" s="237"/>
      <c r="M1638" s="237"/>
      <c r="N1638" s="237"/>
      <c r="O1638" s="237"/>
      <c r="P1638" s="237"/>
      <c r="Q1638" s="237"/>
      <c r="R1638" s="237"/>
      <c r="S1638" s="237"/>
      <c r="T1638" s="237"/>
      <c r="U1638" s="237"/>
      <c r="V1638" s="237"/>
      <c r="W1638" s="237"/>
      <c r="X1638" s="237"/>
      <c r="Y1638" s="237"/>
      <c r="Z1638" s="237"/>
      <c r="AA1638" s="237"/>
      <c r="AB1638" s="237"/>
    </row>
    <row r="1639">
      <c r="A1639" s="238">
        <v>1640.0</v>
      </c>
      <c r="B1639" s="242"/>
      <c r="C1639" s="240" t="s">
        <v>10446</v>
      </c>
      <c r="D1639" s="236"/>
      <c r="E1639" s="240" t="s">
        <v>3511</v>
      </c>
      <c r="F1639" s="240" t="s">
        <v>10447</v>
      </c>
      <c r="G1639" s="238" t="s">
        <v>10448</v>
      </c>
      <c r="H1639" s="240" t="s">
        <v>10449</v>
      </c>
      <c r="I1639" s="237"/>
      <c r="J1639" s="256" t="s">
        <v>10191</v>
      </c>
      <c r="K1639" s="242"/>
      <c r="L1639" s="237"/>
      <c r="M1639" s="237"/>
      <c r="N1639" s="237"/>
      <c r="O1639" s="237"/>
      <c r="P1639" s="237"/>
      <c r="Q1639" s="237"/>
      <c r="R1639" s="237"/>
      <c r="S1639" s="237"/>
      <c r="T1639" s="237"/>
      <c r="U1639" s="237"/>
      <c r="V1639" s="237"/>
      <c r="W1639" s="237"/>
      <c r="X1639" s="237"/>
      <c r="Y1639" s="237"/>
      <c r="Z1639" s="237"/>
      <c r="AA1639" s="237"/>
      <c r="AB1639" s="237"/>
    </row>
    <row r="1640">
      <c r="A1640" s="238">
        <v>1641.0</v>
      </c>
      <c r="B1640" s="242"/>
      <c r="C1640" s="240" t="s">
        <v>10450</v>
      </c>
      <c r="D1640" s="236"/>
      <c r="E1640" s="240" t="s">
        <v>3511</v>
      </c>
      <c r="F1640" s="240" t="s">
        <v>10451</v>
      </c>
      <c r="G1640" s="238" t="s">
        <v>10452</v>
      </c>
      <c r="H1640" s="240" t="s">
        <v>10453</v>
      </c>
      <c r="I1640" s="237"/>
      <c r="J1640" s="256" t="s">
        <v>10191</v>
      </c>
      <c r="K1640" s="242"/>
      <c r="L1640" s="237"/>
      <c r="M1640" s="237"/>
      <c r="N1640" s="237"/>
      <c r="O1640" s="237"/>
      <c r="P1640" s="237"/>
      <c r="Q1640" s="237"/>
      <c r="R1640" s="237"/>
      <c r="S1640" s="237"/>
      <c r="T1640" s="237"/>
      <c r="U1640" s="237"/>
      <c r="V1640" s="237"/>
      <c r="W1640" s="237"/>
      <c r="X1640" s="237"/>
      <c r="Y1640" s="237"/>
      <c r="Z1640" s="237"/>
      <c r="AA1640" s="237"/>
      <c r="AB1640" s="237"/>
    </row>
    <row r="1641">
      <c r="A1641" s="238">
        <v>1642.0</v>
      </c>
      <c r="B1641" s="242"/>
      <c r="C1641" s="240" t="s">
        <v>10454</v>
      </c>
      <c r="D1641" s="236"/>
      <c r="E1641" s="240" t="s">
        <v>3511</v>
      </c>
      <c r="F1641" s="240" t="s">
        <v>10455</v>
      </c>
      <c r="G1641" s="238" t="s">
        <v>10456</v>
      </c>
      <c r="H1641" s="240" t="s">
        <v>10457</v>
      </c>
      <c r="I1641" s="237"/>
      <c r="J1641" s="256" t="s">
        <v>10191</v>
      </c>
      <c r="K1641" s="242"/>
      <c r="L1641" s="237"/>
      <c r="M1641" s="237"/>
      <c r="N1641" s="237"/>
      <c r="O1641" s="237"/>
      <c r="P1641" s="237"/>
      <c r="Q1641" s="237"/>
      <c r="R1641" s="237"/>
      <c r="S1641" s="237"/>
      <c r="T1641" s="237"/>
      <c r="U1641" s="237"/>
      <c r="V1641" s="237"/>
      <c r="W1641" s="237"/>
      <c r="X1641" s="237"/>
      <c r="Y1641" s="237"/>
      <c r="Z1641" s="237"/>
      <c r="AA1641" s="237"/>
      <c r="AB1641" s="237"/>
    </row>
    <row r="1642">
      <c r="A1642" s="238">
        <v>1643.0</v>
      </c>
      <c r="B1642" s="242"/>
      <c r="C1642" s="240" t="s">
        <v>10458</v>
      </c>
      <c r="D1642" s="236"/>
      <c r="E1642" s="240" t="s">
        <v>3511</v>
      </c>
      <c r="F1642" s="240" t="s">
        <v>10459</v>
      </c>
      <c r="G1642" s="238" t="s">
        <v>10460</v>
      </c>
      <c r="H1642" s="240" t="s">
        <v>10461</v>
      </c>
      <c r="I1642" s="237"/>
      <c r="J1642" s="256" t="s">
        <v>10191</v>
      </c>
      <c r="K1642" s="242"/>
      <c r="L1642" s="237"/>
      <c r="M1642" s="237"/>
      <c r="N1642" s="237"/>
      <c r="O1642" s="237"/>
      <c r="P1642" s="237"/>
      <c r="Q1642" s="237"/>
      <c r="R1642" s="237"/>
      <c r="S1642" s="237"/>
      <c r="T1642" s="237"/>
      <c r="U1642" s="237"/>
      <c r="V1642" s="237"/>
      <c r="W1642" s="237"/>
      <c r="X1642" s="237"/>
      <c r="Y1642" s="237"/>
      <c r="Z1642" s="237"/>
      <c r="AA1642" s="237"/>
      <c r="AB1642" s="237"/>
    </row>
    <row r="1643">
      <c r="A1643" s="238">
        <v>1644.0</v>
      </c>
      <c r="B1643" s="242"/>
      <c r="C1643" s="240" t="s">
        <v>10462</v>
      </c>
      <c r="D1643" s="236"/>
      <c r="E1643" s="240" t="s">
        <v>3511</v>
      </c>
      <c r="F1643" s="240" t="s">
        <v>10463</v>
      </c>
      <c r="G1643" s="238" t="s">
        <v>10464</v>
      </c>
      <c r="H1643" s="240" t="s">
        <v>10465</v>
      </c>
      <c r="I1643" s="237"/>
      <c r="J1643" s="256" t="s">
        <v>10191</v>
      </c>
      <c r="K1643" s="242"/>
      <c r="L1643" s="237"/>
      <c r="M1643" s="237"/>
      <c r="N1643" s="237"/>
      <c r="O1643" s="237"/>
      <c r="P1643" s="237"/>
      <c r="Q1643" s="237"/>
      <c r="R1643" s="237"/>
      <c r="S1643" s="237"/>
      <c r="T1643" s="237"/>
      <c r="U1643" s="237"/>
      <c r="V1643" s="237"/>
      <c r="W1643" s="237"/>
      <c r="X1643" s="237"/>
      <c r="Y1643" s="237"/>
      <c r="Z1643" s="237"/>
      <c r="AA1643" s="237"/>
      <c r="AB1643" s="237"/>
    </row>
    <row r="1644">
      <c r="A1644" s="238">
        <v>1645.0</v>
      </c>
      <c r="B1644" s="242"/>
      <c r="C1644" s="240" t="s">
        <v>10466</v>
      </c>
      <c r="D1644" s="236"/>
      <c r="E1644" s="240" t="s">
        <v>3511</v>
      </c>
      <c r="F1644" s="240" t="s">
        <v>10229</v>
      </c>
      <c r="G1644" s="238" t="s">
        <v>10230</v>
      </c>
      <c r="H1644" s="236"/>
      <c r="I1644" s="237"/>
      <c r="J1644" s="256" t="s">
        <v>10224</v>
      </c>
      <c r="K1644" s="242"/>
      <c r="L1644" s="237"/>
      <c r="M1644" s="237"/>
      <c r="N1644" s="237"/>
      <c r="O1644" s="237"/>
      <c r="P1644" s="237"/>
      <c r="Q1644" s="237"/>
      <c r="R1644" s="237"/>
      <c r="S1644" s="237"/>
      <c r="T1644" s="237"/>
      <c r="U1644" s="237"/>
      <c r="V1644" s="237"/>
      <c r="W1644" s="237"/>
      <c r="X1644" s="237"/>
      <c r="Y1644" s="237"/>
      <c r="Z1644" s="237"/>
      <c r="AA1644" s="237"/>
      <c r="AB1644" s="237"/>
    </row>
    <row r="1645">
      <c r="A1645" s="238">
        <v>1646.0</v>
      </c>
      <c r="B1645" s="242"/>
      <c r="C1645" s="240" t="s">
        <v>10467</v>
      </c>
      <c r="D1645" s="236"/>
      <c r="E1645" s="240" t="s">
        <v>3511</v>
      </c>
      <c r="F1645" s="240" t="s">
        <v>10229</v>
      </c>
      <c r="G1645" s="238" t="s">
        <v>10230</v>
      </c>
      <c r="H1645" s="236"/>
      <c r="I1645" s="237"/>
      <c r="J1645" s="256" t="s">
        <v>10224</v>
      </c>
      <c r="K1645" s="242"/>
      <c r="L1645" s="237"/>
      <c r="M1645" s="237"/>
      <c r="N1645" s="237"/>
      <c r="O1645" s="237"/>
      <c r="P1645" s="237"/>
      <c r="Q1645" s="237"/>
      <c r="R1645" s="237"/>
      <c r="S1645" s="237"/>
      <c r="T1645" s="237"/>
      <c r="U1645" s="237"/>
      <c r="V1645" s="237"/>
      <c r="W1645" s="237"/>
      <c r="X1645" s="237"/>
      <c r="Y1645" s="237"/>
      <c r="Z1645" s="237"/>
      <c r="AA1645" s="237"/>
      <c r="AB1645" s="237"/>
    </row>
    <row r="1646">
      <c r="A1646" s="238">
        <v>1647.0</v>
      </c>
      <c r="B1646" s="242"/>
      <c r="C1646" s="240" t="s">
        <v>10468</v>
      </c>
      <c r="D1646" s="236"/>
      <c r="E1646" s="240" t="s">
        <v>3511</v>
      </c>
      <c r="F1646" s="240" t="s">
        <v>10222</v>
      </c>
      <c r="G1646" s="238" t="s">
        <v>10223</v>
      </c>
      <c r="H1646" s="236"/>
      <c r="I1646" s="237"/>
      <c r="J1646" s="256" t="s">
        <v>10224</v>
      </c>
      <c r="K1646" s="242"/>
      <c r="L1646" s="237"/>
      <c r="M1646" s="237"/>
      <c r="N1646" s="237"/>
      <c r="O1646" s="237"/>
      <c r="P1646" s="237"/>
      <c r="Q1646" s="237"/>
      <c r="R1646" s="237"/>
      <c r="S1646" s="237"/>
      <c r="T1646" s="237"/>
      <c r="U1646" s="237"/>
      <c r="V1646" s="237"/>
      <c r="W1646" s="237"/>
      <c r="X1646" s="237"/>
      <c r="Y1646" s="237"/>
      <c r="Z1646" s="237"/>
      <c r="AA1646" s="237"/>
      <c r="AB1646" s="237"/>
    </row>
    <row r="1647">
      <c r="A1647" s="238">
        <v>1648.0</v>
      </c>
      <c r="B1647" s="242"/>
      <c r="C1647" s="240" t="s">
        <v>10469</v>
      </c>
      <c r="D1647" s="236"/>
      <c r="E1647" s="240" t="s">
        <v>3511</v>
      </c>
      <c r="F1647" s="240" t="s">
        <v>10226</v>
      </c>
      <c r="G1647" s="238" t="s">
        <v>10227</v>
      </c>
      <c r="H1647" s="236"/>
      <c r="I1647" s="237"/>
      <c r="J1647" s="256" t="s">
        <v>10224</v>
      </c>
      <c r="K1647" s="242"/>
      <c r="L1647" s="237"/>
      <c r="M1647" s="237"/>
      <c r="N1647" s="237"/>
      <c r="O1647" s="237"/>
      <c r="P1647" s="237"/>
      <c r="Q1647" s="237"/>
      <c r="R1647" s="237"/>
      <c r="S1647" s="237"/>
      <c r="T1647" s="237"/>
      <c r="U1647" s="237"/>
      <c r="V1647" s="237"/>
      <c r="W1647" s="237"/>
      <c r="X1647" s="237"/>
      <c r="Y1647" s="237"/>
      <c r="Z1647" s="237"/>
      <c r="AA1647" s="237"/>
      <c r="AB1647" s="237"/>
    </row>
    <row r="1648">
      <c r="A1648" s="238">
        <v>1649.0</v>
      </c>
      <c r="B1648" s="239" t="s">
        <v>10470</v>
      </c>
      <c r="C1648" s="240" t="s">
        <v>10471</v>
      </c>
      <c r="D1648" s="236"/>
      <c r="E1648" s="240" t="s">
        <v>3496</v>
      </c>
      <c r="F1648" s="240" t="s">
        <v>10472</v>
      </c>
      <c r="G1648" s="238" t="s">
        <v>10473</v>
      </c>
      <c r="H1648" s="236"/>
      <c r="I1648" s="237"/>
      <c r="J1648" s="256" t="s">
        <v>10191</v>
      </c>
      <c r="K1648" s="239" t="s">
        <v>10470</v>
      </c>
      <c r="L1648" s="237"/>
      <c r="M1648" s="237"/>
      <c r="N1648" s="237"/>
      <c r="O1648" s="237"/>
      <c r="P1648" s="237"/>
      <c r="Q1648" s="237"/>
      <c r="R1648" s="237"/>
      <c r="S1648" s="237"/>
      <c r="T1648" s="237"/>
      <c r="U1648" s="237"/>
      <c r="V1648" s="237"/>
      <c r="W1648" s="237"/>
      <c r="X1648" s="237"/>
      <c r="Y1648" s="237"/>
      <c r="Z1648" s="237"/>
      <c r="AA1648" s="237"/>
      <c r="AB1648" s="237"/>
    </row>
    <row r="1649">
      <c r="A1649" s="238">
        <v>1650.0</v>
      </c>
      <c r="B1649" s="239" t="s">
        <v>10474</v>
      </c>
      <c r="C1649" s="240" t="s">
        <v>10475</v>
      </c>
      <c r="D1649" s="236"/>
      <c r="E1649" s="240" t="s">
        <v>3496</v>
      </c>
      <c r="F1649" s="240" t="s">
        <v>10476</v>
      </c>
      <c r="G1649" s="238" t="s">
        <v>10477</v>
      </c>
      <c r="H1649" s="236"/>
      <c r="I1649" s="237"/>
      <c r="J1649" s="256" t="s">
        <v>10191</v>
      </c>
      <c r="K1649" s="239" t="s">
        <v>10474</v>
      </c>
      <c r="L1649" s="237"/>
      <c r="M1649" s="237"/>
      <c r="N1649" s="237"/>
      <c r="O1649" s="237"/>
      <c r="P1649" s="237"/>
      <c r="Q1649" s="237"/>
      <c r="R1649" s="237"/>
      <c r="S1649" s="237"/>
      <c r="T1649" s="237"/>
      <c r="U1649" s="237"/>
      <c r="V1649" s="237"/>
      <c r="W1649" s="237"/>
      <c r="X1649" s="237"/>
      <c r="Y1649" s="237"/>
      <c r="Z1649" s="237"/>
      <c r="AA1649" s="237"/>
      <c r="AB1649" s="237"/>
    </row>
    <row r="1650">
      <c r="A1650" s="238">
        <v>1651.0</v>
      </c>
      <c r="B1650" s="239" t="s">
        <v>10478</v>
      </c>
      <c r="C1650" s="240" t="s">
        <v>10479</v>
      </c>
      <c r="D1650" s="236"/>
      <c r="E1650" s="240" t="s">
        <v>3496</v>
      </c>
      <c r="F1650" s="240" t="s">
        <v>10480</v>
      </c>
      <c r="G1650" s="238" t="s">
        <v>10481</v>
      </c>
      <c r="H1650" s="236"/>
      <c r="I1650" s="237"/>
      <c r="J1650" s="256" t="s">
        <v>10191</v>
      </c>
      <c r="K1650" s="239" t="s">
        <v>10478</v>
      </c>
      <c r="L1650" s="237"/>
      <c r="M1650" s="237"/>
      <c r="N1650" s="237"/>
      <c r="O1650" s="237"/>
      <c r="P1650" s="237"/>
      <c r="Q1650" s="237"/>
      <c r="R1650" s="237"/>
      <c r="S1650" s="237"/>
      <c r="T1650" s="237"/>
      <c r="U1650" s="237"/>
      <c r="V1650" s="237"/>
      <c r="W1650" s="237"/>
      <c r="X1650" s="237"/>
      <c r="Y1650" s="237"/>
      <c r="Z1650" s="237"/>
      <c r="AA1650" s="237"/>
      <c r="AB1650" s="237"/>
    </row>
    <row r="1651">
      <c r="A1651" s="238">
        <v>1652.0</v>
      </c>
      <c r="B1651" s="239" t="s">
        <v>10482</v>
      </c>
      <c r="C1651" s="240" t="s">
        <v>10483</v>
      </c>
      <c r="D1651" s="236"/>
      <c r="E1651" s="240" t="s">
        <v>3496</v>
      </c>
      <c r="F1651" s="240" t="s">
        <v>10484</v>
      </c>
      <c r="G1651" s="238" t="s">
        <v>10485</v>
      </c>
      <c r="H1651" s="236"/>
      <c r="I1651" s="237"/>
      <c r="J1651" s="256" t="s">
        <v>10191</v>
      </c>
      <c r="K1651" s="239" t="s">
        <v>10482</v>
      </c>
      <c r="L1651" s="237"/>
      <c r="M1651" s="237"/>
      <c r="N1651" s="237"/>
      <c r="O1651" s="237"/>
      <c r="P1651" s="237"/>
      <c r="Q1651" s="237"/>
      <c r="R1651" s="237"/>
      <c r="S1651" s="237"/>
      <c r="T1651" s="237"/>
      <c r="U1651" s="237"/>
      <c r="V1651" s="237"/>
      <c r="W1651" s="237"/>
      <c r="X1651" s="237"/>
      <c r="Y1651" s="237"/>
      <c r="Z1651" s="237"/>
      <c r="AA1651" s="237"/>
      <c r="AB1651" s="237"/>
    </row>
    <row r="1652">
      <c r="A1652" s="238">
        <v>1653.0</v>
      </c>
      <c r="B1652" s="239" t="s">
        <v>10486</v>
      </c>
      <c r="C1652" s="240" t="s">
        <v>10487</v>
      </c>
      <c r="D1652" s="236"/>
      <c r="E1652" s="240" t="s">
        <v>3496</v>
      </c>
      <c r="F1652" s="240" t="s">
        <v>10488</v>
      </c>
      <c r="G1652" s="238" t="s">
        <v>10489</v>
      </c>
      <c r="H1652" s="236"/>
      <c r="I1652" s="237"/>
      <c r="J1652" s="256" t="s">
        <v>10191</v>
      </c>
      <c r="K1652" s="239" t="s">
        <v>10486</v>
      </c>
      <c r="L1652" s="237"/>
      <c r="M1652" s="237"/>
      <c r="N1652" s="237"/>
      <c r="O1652" s="237"/>
      <c r="P1652" s="237"/>
      <c r="Q1652" s="237"/>
      <c r="R1652" s="237"/>
      <c r="S1652" s="237"/>
      <c r="T1652" s="237"/>
      <c r="U1652" s="237"/>
      <c r="V1652" s="237"/>
      <c r="W1652" s="237"/>
      <c r="X1652" s="237"/>
      <c r="Y1652" s="237"/>
      <c r="Z1652" s="237"/>
      <c r="AA1652" s="237"/>
      <c r="AB1652" s="237"/>
    </row>
    <row r="1653">
      <c r="A1653" s="238">
        <v>1654.0</v>
      </c>
      <c r="B1653" s="239" t="s">
        <v>10490</v>
      </c>
      <c r="C1653" s="240" t="s">
        <v>10491</v>
      </c>
      <c r="D1653" s="236"/>
      <c r="E1653" s="240" t="s">
        <v>3496</v>
      </c>
      <c r="F1653" s="240" t="s">
        <v>10492</v>
      </c>
      <c r="G1653" s="238" t="s">
        <v>10493</v>
      </c>
      <c r="H1653" s="236"/>
      <c r="I1653" s="237"/>
      <c r="J1653" s="256" t="s">
        <v>10191</v>
      </c>
      <c r="K1653" s="239" t="s">
        <v>10490</v>
      </c>
      <c r="L1653" s="237"/>
      <c r="M1653" s="237"/>
      <c r="N1653" s="237"/>
      <c r="O1653" s="237"/>
      <c r="P1653" s="237"/>
      <c r="Q1653" s="237"/>
      <c r="R1653" s="237"/>
      <c r="S1653" s="237"/>
      <c r="T1653" s="237"/>
      <c r="U1653" s="237"/>
      <c r="V1653" s="237"/>
      <c r="W1653" s="237"/>
      <c r="X1653" s="237"/>
      <c r="Y1653" s="237"/>
      <c r="Z1653" s="237"/>
      <c r="AA1653" s="237"/>
      <c r="AB1653" s="237"/>
    </row>
    <row r="1654">
      <c r="A1654" s="238">
        <v>1655.0</v>
      </c>
      <c r="B1654" s="239" t="s">
        <v>10494</v>
      </c>
      <c r="C1654" s="240" t="s">
        <v>10495</v>
      </c>
      <c r="D1654" s="236"/>
      <c r="E1654" s="240" t="s">
        <v>3496</v>
      </c>
      <c r="F1654" s="240" t="s">
        <v>10496</v>
      </c>
      <c r="G1654" s="238" t="s">
        <v>10497</v>
      </c>
      <c r="H1654" s="236"/>
      <c r="I1654" s="237"/>
      <c r="J1654" s="256" t="s">
        <v>10191</v>
      </c>
      <c r="K1654" s="239" t="s">
        <v>10494</v>
      </c>
      <c r="L1654" s="237"/>
      <c r="M1654" s="237"/>
      <c r="N1654" s="237"/>
      <c r="O1654" s="237"/>
      <c r="P1654" s="237"/>
      <c r="Q1654" s="237"/>
      <c r="R1654" s="237"/>
      <c r="S1654" s="237"/>
      <c r="T1654" s="237"/>
      <c r="U1654" s="237"/>
      <c r="V1654" s="237"/>
      <c r="W1654" s="237"/>
      <c r="X1654" s="237"/>
      <c r="Y1654" s="237"/>
      <c r="Z1654" s="237"/>
      <c r="AA1654" s="237"/>
      <c r="AB1654" s="237"/>
    </row>
    <row r="1655">
      <c r="A1655" s="238">
        <v>1656.0</v>
      </c>
      <c r="B1655" s="239" t="s">
        <v>10498</v>
      </c>
      <c r="C1655" s="240" t="s">
        <v>10499</v>
      </c>
      <c r="D1655" s="236"/>
      <c r="E1655" s="240" t="s">
        <v>3496</v>
      </c>
      <c r="F1655" s="240" t="s">
        <v>10500</v>
      </c>
      <c r="G1655" s="238" t="s">
        <v>10501</v>
      </c>
      <c r="H1655" s="236"/>
      <c r="I1655" s="237"/>
      <c r="J1655" s="256" t="s">
        <v>10191</v>
      </c>
      <c r="K1655" s="239" t="s">
        <v>10498</v>
      </c>
      <c r="L1655" s="237"/>
      <c r="M1655" s="237"/>
      <c r="N1655" s="237"/>
      <c r="O1655" s="237"/>
      <c r="P1655" s="237"/>
      <c r="Q1655" s="237"/>
      <c r="R1655" s="237"/>
      <c r="S1655" s="237"/>
      <c r="T1655" s="237"/>
      <c r="U1655" s="237"/>
      <c r="V1655" s="237"/>
      <c r="W1655" s="237"/>
      <c r="X1655" s="237"/>
      <c r="Y1655" s="237"/>
      <c r="Z1655" s="237"/>
      <c r="AA1655" s="237"/>
      <c r="AB1655" s="237"/>
    </row>
    <row r="1656">
      <c r="A1656" s="238">
        <v>1657.0</v>
      </c>
      <c r="B1656" s="239" t="s">
        <v>10502</v>
      </c>
      <c r="C1656" s="240" t="s">
        <v>10503</v>
      </c>
      <c r="D1656" s="236"/>
      <c r="E1656" s="240" t="s">
        <v>3496</v>
      </c>
      <c r="F1656" s="240" t="s">
        <v>10504</v>
      </c>
      <c r="G1656" s="238" t="s">
        <v>10505</v>
      </c>
      <c r="H1656" s="236"/>
      <c r="I1656" s="237"/>
      <c r="J1656" s="256" t="s">
        <v>10191</v>
      </c>
      <c r="K1656" s="239" t="s">
        <v>10502</v>
      </c>
      <c r="L1656" s="237"/>
      <c r="M1656" s="237"/>
      <c r="N1656" s="237"/>
      <c r="O1656" s="237"/>
      <c r="P1656" s="237"/>
      <c r="Q1656" s="237"/>
      <c r="R1656" s="237"/>
      <c r="S1656" s="237"/>
      <c r="T1656" s="237"/>
      <c r="U1656" s="237"/>
      <c r="V1656" s="237"/>
      <c r="W1656" s="237"/>
      <c r="X1656" s="237"/>
      <c r="Y1656" s="237"/>
      <c r="Z1656" s="237"/>
      <c r="AA1656" s="237"/>
      <c r="AB1656" s="237"/>
    </row>
    <row r="1657">
      <c r="A1657" s="238">
        <v>1658.0</v>
      </c>
      <c r="B1657" s="239" t="s">
        <v>10506</v>
      </c>
      <c r="C1657" s="240" t="s">
        <v>10507</v>
      </c>
      <c r="D1657" s="236"/>
      <c r="E1657" s="240" t="s">
        <v>3496</v>
      </c>
      <c r="F1657" s="240" t="s">
        <v>10508</v>
      </c>
      <c r="G1657" s="238" t="s">
        <v>10509</v>
      </c>
      <c r="H1657" s="236"/>
      <c r="I1657" s="237"/>
      <c r="J1657" s="256" t="s">
        <v>10191</v>
      </c>
      <c r="K1657" s="239" t="s">
        <v>10506</v>
      </c>
      <c r="L1657" s="237"/>
      <c r="M1657" s="237"/>
      <c r="N1657" s="237"/>
      <c r="O1657" s="237"/>
      <c r="P1657" s="237"/>
      <c r="Q1657" s="237"/>
      <c r="R1657" s="237"/>
      <c r="S1657" s="237"/>
      <c r="T1657" s="237"/>
      <c r="U1657" s="237"/>
      <c r="V1657" s="237"/>
      <c r="W1657" s="237"/>
      <c r="X1657" s="237"/>
      <c r="Y1657" s="237"/>
      <c r="Z1657" s="237"/>
      <c r="AA1657" s="237"/>
      <c r="AB1657" s="237"/>
    </row>
    <row r="1658">
      <c r="A1658" s="238">
        <v>1659.0</v>
      </c>
      <c r="B1658" s="239" t="s">
        <v>10510</v>
      </c>
      <c r="C1658" s="240" t="s">
        <v>10511</v>
      </c>
      <c r="D1658" s="236"/>
      <c r="E1658" s="240" t="s">
        <v>3496</v>
      </c>
      <c r="F1658" s="240" t="s">
        <v>10512</v>
      </c>
      <c r="G1658" s="238" t="s">
        <v>10513</v>
      </c>
      <c r="H1658" s="236"/>
      <c r="I1658" s="237"/>
      <c r="J1658" s="256" t="s">
        <v>10191</v>
      </c>
      <c r="K1658" s="239" t="s">
        <v>10510</v>
      </c>
      <c r="L1658" s="237"/>
      <c r="M1658" s="237"/>
      <c r="N1658" s="237"/>
      <c r="O1658" s="237"/>
      <c r="P1658" s="237"/>
      <c r="Q1658" s="237"/>
      <c r="R1658" s="237"/>
      <c r="S1658" s="237"/>
      <c r="T1658" s="237"/>
      <c r="U1658" s="237"/>
      <c r="V1658" s="237"/>
      <c r="W1658" s="237"/>
      <c r="X1658" s="237"/>
      <c r="Y1658" s="237"/>
      <c r="Z1658" s="237"/>
      <c r="AA1658" s="237"/>
      <c r="AB1658" s="237"/>
    </row>
    <row r="1659">
      <c r="A1659" s="238">
        <v>1660.0</v>
      </c>
      <c r="B1659" s="239" t="s">
        <v>10514</v>
      </c>
      <c r="C1659" s="240" t="s">
        <v>10515</v>
      </c>
      <c r="D1659" s="236"/>
      <c r="E1659" s="240" t="s">
        <v>3496</v>
      </c>
      <c r="F1659" s="240" t="s">
        <v>10516</v>
      </c>
      <c r="G1659" s="238" t="s">
        <v>10517</v>
      </c>
      <c r="H1659" s="236"/>
      <c r="I1659" s="237"/>
      <c r="J1659" s="256" t="s">
        <v>10191</v>
      </c>
      <c r="K1659" s="239" t="s">
        <v>10514</v>
      </c>
      <c r="L1659" s="237"/>
      <c r="M1659" s="237"/>
      <c r="N1659" s="237"/>
      <c r="O1659" s="237"/>
      <c r="P1659" s="237"/>
      <c r="Q1659" s="237"/>
      <c r="R1659" s="237"/>
      <c r="S1659" s="237"/>
      <c r="T1659" s="237"/>
      <c r="U1659" s="237"/>
      <c r="V1659" s="237"/>
      <c r="W1659" s="237"/>
      <c r="X1659" s="237"/>
      <c r="Y1659" s="237"/>
      <c r="Z1659" s="237"/>
      <c r="AA1659" s="237"/>
      <c r="AB1659" s="237"/>
    </row>
    <row r="1660">
      <c r="A1660" s="238">
        <v>1661.0</v>
      </c>
      <c r="B1660" s="239" t="s">
        <v>10518</v>
      </c>
      <c r="C1660" s="240" t="s">
        <v>10519</v>
      </c>
      <c r="D1660" s="236"/>
      <c r="E1660" s="240" t="s">
        <v>3496</v>
      </c>
      <c r="F1660" s="240" t="s">
        <v>10520</v>
      </c>
      <c r="G1660" s="238" t="s">
        <v>10521</v>
      </c>
      <c r="H1660" s="236"/>
      <c r="I1660" s="237"/>
      <c r="J1660" s="256" t="s">
        <v>10191</v>
      </c>
      <c r="K1660" s="239" t="s">
        <v>10518</v>
      </c>
      <c r="L1660" s="237"/>
      <c r="M1660" s="237"/>
      <c r="N1660" s="237"/>
      <c r="O1660" s="237"/>
      <c r="P1660" s="237"/>
      <c r="Q1660" s="237"/>
      <c r="R1660" s="237"/>
      <c r="S1660" s="237"/>
      <c r="T1660" s="237"/>
      <c r="U1660" s="237"/>
      <c r="V1660" s="237"/>
      <c r="W1660" s="237"/>
      <c r="X1660" s="237"/>
      <c r="Y1660" s="237"/>
      <c r="Z1660" s="237"/>
      <c r="AA1660" s="237"/>
      <c r="AB1660" s="237"/>
    </row>
    <row r="1661">
      <c r="A1661" s="238">
        <v>1662.0</v>
      </c>
      <c r="B1661" s="239" t="s">
        <v>10522</v>
      </c>
      <c r="C1661" s="240" t="s">
        <v>10523</v>
      </c>
      <c r="D1661" s="236"/>
      <c r="E1661" s="240" t="s">
        <v>3496</v>
      </c>
      <c r="F1661" s="240" t="s">
        <v>10524</v>
      </c>
      <c r="G1661" s="238" t="s">
        <v>10525</v>
      </c>
      <c r="H1661" s="236"/>
      <c r="I1661" s="237"/>
      <c r="J1661" s="256" t="s">
        <v>10191</v>
      </c>
      <c r="K1661" s="239" t="s">
        <v>10522</v>
      </c>
      <c r="L1661" s="237"/>
      <c r="M1661" s="237"/>
      <c r="N1661" s="237"/>
      <c r="O1661" s="237"/>
      <c r="P1661" s="237"/>
      <c r="Q1661" s="237"/>
      <c r="R1661" s="237"/>
      <c r="S1661" s="237"/>
      <c r="T1661" s="237"/>
      <c r="U1661" s="237"/>
      <c r="V1661" s="237"/>
      <c r="W1661" s="237"/>
      <c r="X1661" s="237"/>
      <c r="Y1661" s="237"/>
      <c r="Z1661" s="237"/>
      <c r="AA1661" s="237"/>
      <c r="AB1661" s="237"/>
    </row>
    <row r="1662">
      <c r="A1662" s="238">
        <v>1663.0</v>
      </c>
      <c r="B1662" s="239" t="s">
        <v>10526</v>
      </c>
      <c r="C1662" s="240" t="s">
        <v>10527</v>
      </c>
      <c r="D1662" s="236"/>
      <c r="E1662" s="240" t="s">
        <v>3511</v>
      </c>
      <c r="F1662" s="240" t="s">
        <v>10528</v>
      </c>
      <c r="G1662" s="238" t="s">
        <v>10529</v>
      </c>
      <c r="H1662" s="240" t="s">
        <v>10530</v>
      </c>
      <c r="I1662" s="237"/>
      <c r="J1662" s="256" t="s">
        <v>10191</v>
      </c>
      <c r="K1662" s="239" t="s">
        <v>10526</v>
      </c>
      <c r="L1662" s="237"/>
      <c r="M1662" s="237"/>
      <c r="N1662" s="237"/>
      <c r="O1662" s="237"/>
      <c r="P1662" s="237"/>
      <c r="Q1662" s="237"/>
      <c r="R1662" s="237"/>
      <c r="S1662" s="237"/>
      <c r="T1662" s="237"/>
      <c r="U1662" s="237"/>
      <c r="V1662" s="237"/>
      <c r="W1662" s="237"/>
      <c r="X1662" s="237"/>
      <c r="Y1662" s="237"/>
      <c r="Z1662" s="237"/>
      <c r="AA1662" s="237"/>
      <c r="AB1662" s="237"/>
    </row>
    <row r="1663">
      <c r="A1663" s="238">
        <v>1664.0</v>
      </c>
      <c r="B1663" s="239" t="s">
        <v>10531</v>
      </c>
      <c r="C1663" s="240" t="s">
        <v>10532</v>
      </c>
      <c r="D1663" s="236"/>
      <c r="E1663" s="240" t="s">
        <v>3511</v>
      </c>
      <c r="F1663" s="240" t="s">
        <v>10533</v>
      </c>
      <c r="G1663" s="238" t="s">
        <v>10534</v>
      </c>
      <c r="H1663" s="241" t="s">
        <v>10535</v>
      </c>
      <c r="I1663" s="237"/>
      <c r="J1663" s="256" t="s">
        <v>10191</v>
      </c>
      <c r="K1663" s="239" t="s">
        <v>10531</v>
      </c>
      <c r="L1663" s="237"/>
      <c r="M1663" s="237"/>
      <c r="N1663" s="237"/>
      <c r="O1663" s="237"/>
      <c r="P1663" s="237"/>
      <c r="Q1663" s="237"/>
      <c r="R1663" s="237"/>
      <c r="S1663" s="237"/>
      <c r="T1663" s="237"/>
      <c r="U1663" s="237"/>
      <c r="V1663" s="237"/>
      <c r="W1663" s="237"/>
      <c r="X1663" s="237"/>
      <c r="Y1663" s="237"/>
      <c r="Z1663" s="237"/>
      <c r="AA1663" s="237"/>
      <c r="AB1663" s="237"/>
    </row>
    <row r="1664">
      <c r="A1664" s="238">
        <v>1665.0</v>
      </c>
      <c r="B1664" s="239" t="s">
        <v>10536</v>
      </c>
      <c r="C1664" s="240" t="s">
        <v>10537</v>
      </c>
      <c r="D1664" s="236"/>
      <c r="E1664" s="240" t="s">
        <v>3511</v>
      </c>
      <c r="F1664" s="240" t="s">
        <v>10538</v>
      </c>
      <c r="G1664" s="238" t="s">
        <v>10539</v>
      </c>
      <c r="H1664" s="240" t="s">
        <v>10540</v>
      </c>
      <c r="I1664" s="237"/>
      <c r="J1664" s="256" t="s">
        <v>10191</v>
      </c>
      <c r="K1664" s="239" t="s">
        <v>10536</v>
      </c>
      <c r="L1664" s="237"/>
      <c r="M1664" s="237"/>
      <c r="N1664" s="237"/>
      <c r="O1664" s="237"/>
      <c r="P1664" s="237"/>
      <c r="Q1664" s="237"/>
      <c r="R1664" s="237"/>
      <c r="S1664" s="237"/>
      <c r="T1664" s="237"/>
      <c r="U1664" s="237"/>
      <c r="V1664" s="237"/>
      <c r="W1664" s="237"/>
      <c r="X1664" s="237"/>
      <c r="Y1664" s="237"/>
      <c r="Z1664" s="237"/>
      <c r="AA1664" s="237"/>
      <c r="AB1664" s="237"/>
    </row>
    <row r="1665">
      <c r="A1665" s="238">
        <v>1666.0</v>
      </c>
      <c r="B1665" s="239" t="s">
        <v>10541</v>
      </c>
      <c r="C1665" s="240" t="s">
        <v>10542</v>
      </c>
      <c r="D1665" s="236"/>
      <c r="E1665" s="240" t="s">
        <v>3511</v>
      </c>
      <c r="F1665" s="240" t="s">
        <v>10543</v>
      </c>
      <c r="G1665" s="238" t="s">
        <v>10544</v>
      </c>
      <c r="H1665" s="240" t="s">
        <v>10545</v>
      </c>
      <c r="I1665" s="237"/>
      <c r="J1665" s="256" t="s">
        <v>10191</v>
      </c>
      <c r="K1665" s="239" t="s">
        <v>10541</v>
      </c>
      <c r="L1665" s="237"/>
      <c r="M1665" s="237"/>
      <c r="N1665" s="237"/>
      <c r="O1665" s="237"/>
      <c r="P1665" s="237"/>
      <c r="Q1665" s="237"/>
      <c r="R1665" s="237"/>
      <c r="S1665" s="237"/>
      <c r="T1665" s="237"/>
      <c r="U1665" s="237"/>
      <c r="V1665" s="237"/>
      <c r="W1665" s="237"/>
      <c r="X1665" s="237"/>
      <c r="Y1665" s="237"/>
      <c r="Z1665" s="237"/>
      <c r="AA1665" s="237"/>
      <c r="AB1665" s="237"/>
    </row>
    <row r="1666">
      <c r="A1666" s="238">
        <v>1667.0</v>
      </c>
      <c r="B1666" s="239" t="s">
        <v>10498</v>
      </c>
      <c r="C1666" s="240" t="s">
        <v>10546</v>
      </c>
      <c r="D1666" s="236"/>
      <c r="E1666" s="240" t="s">
        <v>3511</v>
      </c>
      <c r="F1666" s="240" t="s">
        <v>10547</v>
      </c>
      <c r="G1666" s="238" t="s">
        <v>10548</v>
      </c>
      <c r="H1666" s="240" t="s">
        <v>10549</v>
      </c>
      <c r="I1666" s="237"/>
      <c r="J1666" s="256" t="s">
        <v>10191</v>
      </c>
      <c r="K1666" s="239" t="s">
        <v>10498</v>
      </c>
      <c r="L1666" s="237"/>
      <c r="M1666" s="237"/>
      <c r="N1666" s="237"/>
      <c r="O1666" s="237"/>
      <c r="P1666" s="237"/>
      <c r="Q1666" s="237"/>
      <c r="R1666" s="237"/>
      <c r="S1666" s="237"/>
      <c r="T1666" s="237"/>
      <c r="U1666" s="237"/>
      <c r="V1666" s="237"/>
      <c r="W1666" s="237"/>
      <c r="X1666" s="237"/>
      <c r="Y1666" s="237"/>
      <c r="Z1666" s="237"/>
      <c r="AA1666" s="237"/>
      <c r="AB1666" s="237"/>
    </row>
    <row r="1667">
      <c r="A1667" s="238">
        <v>1668.0</v>
      </c>
      <c r="B1667" s="239" t="s">
        <v>10550</v>
      </c>
      <c r="C1667" s="240" t="s">
        <v>10551</v>
      </c>
      <c r="D1667" s="236"/>
      <c r="E1667" s="240" t="s">
        <v>3511</v>
      </c>
      <c r="F1667" s="240" t="s">
        <v>10552</v>
      </c>
      <c r="G1667" s="238" t="s">
        <v>10553</v>
      </c>
      <c r="H1667" s="240" t="s">
        <v>10554</v>
      </c>
      <c r="I1667" s="237"/>
      <c r="J1667" s="256" t="s">
        <v>10191</v>
      </c>
      <c r="K1667" s="239" t="s">
        <v>10550</v>
      </c>
      <c r="L1667" s="237"/>
      <c r="M1667" s="237"/>
      <c r="N1667" s="237"/>
      <c r="O1667" s="237"/>
      <c r="P1667" s="237"/>
      <c r="Q1667" s="237"/>
      <c r="R1667" s="237"/>
      <c r="S1667" s="237"/>
      <c r="T1667" s="237"/>
      <c r="U1667" s="237"/>
      <c r="V1667" s="237"/>
      <c r="W1667" s="237"/>
      <c r="X1667" s="237"/>
      <c r="Y1667" s="237"/>
      <c r="Z1667" s="237"/>
      <c r="AA1667" s="237"/>
      <c r="AB1667" s="237"/>
    </row>
    <row r="1668">
      <c r="A1668" s="238">
        <v>1669.0</v>
      </c>
      <c r="B1668" s="239" t="s">
        <v>10555</v>
      </c>
      <c r="C1668" s="240" t="s">
        <v>10556</v>
      </c>
      <c r="D1668" s="236"/>
      <c r="E1668" s="240" t="s">
        <v>3511</v>
      </c>
      <c r="F1668" s="240" t="s">
        <v>10557</v>
      </c>
      <c r="G1668" s="238" t="s">
        <v>10558</v>
      </c>
      <c r="H1668" s="240" t="s">
        <v>10559</v>
      </c>
      <c r="I1668" s="237"/>
      <c r="J1668" s="256" t="s">
        <v>10191</v>
      </c>
      <c r="K1668" s="239" t="s">
        <v>10555</v>
      </c>
      <c r="L1668" s="237"/>
      <c r="M1668" s="237"/>
      <c r="N1668" s="237"/>
      <c r="O1668" s="237"/>
      <c r="P1668" s="237"/>
      <c r="Q1668" s="237"/>
      <c r="R1668" s="237"/>
      <c r="S1668" s="237"/>
      <c r="T1668" s="237"/>
      <c r="U1668" s="237"/>
      <c r="V1668" s="237"/>
      <c r="W1668" s="237"/>
      <c r="X1668" s="237"/>
      <c r="Y1668" s="237"/>
      <c r="Z1668" s="237"/>
      <c r="AA1668" s="237"/>
      <c r="AB1668" s="237"/>
    </row>
    <row r="1669">
      <c r="A1669" s="238">
        <v>1670.0</v>
      </c>
      <c r="B1669" s="242"/>
      <c r="C1669" s="240" t="s">
        <v>10560</v>
      </c>
      <c r="D1669" s="236"/>
      <c r="E1669" s="240" t="s">
        <v>3511</v>
      </c>
      <c r="F1669" s="240" t="s">
        <v>10561</v>
      </c>
      <c r="G1669" s="238" t="s">
        <v>10562</v>
      </c>
      <c r="H1669" s="240" t="s">
        <v>10563</v>
      </c>
      <c r="I1669" s="237"/>
      <c r="J1669" s="256" t="s">
        <v>10191</v>
      </c>
      <c r="K1669" s="242"/>
      <c r="L1669" s="237"/>
      <c r="M1669" s="237"/>
      <c r="N1669" s="237"/>
      <c r="O1669" s="237"/>
      <c r="P1669" s="237"/>
      <c r="Q1669" s="237"/>
      <c r="R1669" s="237"/>
      <c r="S1669" s="237"/>
      <c r="T1669" s="237"/>
      <c r="U1669" s="237"/>
      <c r="V1669" s="237"/>
      <c r="W1669" s="237"/>
      <c r="X1669" s="237"/>
      <c r="Y1669" s="237"/>
      <c r="Z1669" s="237"/>
      <c r="AA1669" s="237"/>
      <c r="AB1669" s="237"/>
    </row>
    <row r="1670">
      <c r="A1670" s="238">
        <v>1671.0</v>
      </c>
      <c r="B1670" s="242"/>
      <c r="C1670" s="240" t="s">
        <v>10564</v>
      </c>
      <c r="D1670" s="236"/>
      <c r="E1670" s="240" t="s">
        <v>3511</v>
      </c>
      <c r="F1670" s="240" t="s">
        <v>10565</v>
      </c>
      <c r="G1670" s="238" t="s">
        <v>10566</v>
      </c>
      <c r="H1670" s="240" t="s">
        <v>10567</v>
      </c>
      <c r="I1670" s="237"/>
      <c r="J1670" s="256" t="s">
        <v>10191</v>
      </c>
      <c r="K1670" s="242"/>
      <c r="L1670" s="237"/>
      <c r="M1670" s="237"/>
      <c r="N1670" s="237"/>
      <c r="O1670" s="237"/>
      <c r="P1670" s="237"/>
      <c r="Q1670" s="237"/>
      <c r="R1670" s="237"/>
      <c r="S1670" s="237"/>
      <c r="T1670" s="237"/>
      <c r="U1670" s="237"/>
      <c r="V1670" s="237"/>
      <c r="W1670" s="237"/>
      <c r="X1670" s="237"/>
      <c r="Y1670" s="237"/>
      <c r="Z1670" s="237"/>
      <c r="AA1670" s="237"/>
      <c r="AB1670" s="237"/>
    </row>
    <row r="1671">
      <c r="A1671" s="238">
        <v>1672.0</v>
      </c>
      <c r="B1671" s="239" t="s">
        <v>10502</v>
      </c>
      <c r="C1671" s="240" t="s">
        <v>10568</v>
      </c>
      <c r="D1671" s="236"/>
      <c r="E1671" s="240" t="s">
        <v>3511</v>
      </c>
      <c r="F1671" s="240" t="s">
        <v>10569</v>
      </c>
      <c r="G1671" s="238" t="s">
        <v>10570</v>
      </c>
      <c r="H1671" s="240" t="s">
        <v>10571</v>
      </c>
      <c r="I1671" s="237"/>
      <c r="J1671" s="256" t="s">
        <v>10191</v>
      </c>
      <c r="K1671" s="239" t="s">
        <v>10502</v>
      </c>
      <c r="L1671" s="237"/>
      <c r="M1671" s="237"/>
      <c r="N1671" s="237"/>
      <c r="O1671" s="237"/>
      <c r="P1671" s="237"/>
      <c r="Q1671" s="237"/>
      <c r="R1671" s="237"/>
      <c r="S1671" s="237"/>
      <c r="T1671" s="237"/>
      <c r="U1671" s="237"/>
      <c r="V1671" s="237"/>
      <c r="W1671" s="237"/>
      <c r="X1671" s="237"/>
      <c r="Y1671" s="237"/>
      <c r="Z1671" s="237"/>
      <c r="AA1671" s="237"/>
      <c r="AB1671" s="237"/>
    </row>
    <row r="1672">
      <c r="A1672" s="238">
        <v>1673.0</v>
      </c>
      <c r="B1672" s="242"/>
      <c r="C1672" s="240" t="s">
        <v>10572</v>
      </c>
      <c r="D1672" s="236"/>
      <c r="E1672" s="240" t="s">
        <v>8706</v>
      </c>
      <c r="F1672" s="240" t="s">
        <v>10569</v>
      </c>
      <c r="G1672" s="238" t="s">
        <v>10570</v>
      </c>
      <c r="H1672" s="236"/>
      <c r="I1672" s="237"/>
      <c r="J1672" s="256" t="s">
        <v>10191</v>
      </c>
      <c r="K1672" s="242"/>
      <c r="L1672" s="237"/>
      <c r="M1672" s="237"/>
      <c r="N1672" s="237"/>
      <c r="O1672" s="237"/>
      <c r="P1672" s="237"/>
      <c r="Q1672" s="237"/>
      <c r="R1672" s="237"/>
      <c r="S1672" s="237"/>
      <c r="T1672" s="237"/>
      <c r="U1672" s="237"/>
      <c r="V1672" s="237"/>
      <c r="W1672" s="237"/>
      <c r="X1672" s="237"/>
      <c r="Y1672" s="237"/>
      <c r="Z1672" s="237"/>
      <c r="AA1672" s="237"/>
      <c r="AB1672" s="237"/>
    </row>
    <row r="1673">
      <c r="A1673" s="238">
        <v>1674.0</v>
      </c>
      <c r="B1673" s="242"/>
      <c r="C1673" s="240" t="s">
        <v>10573</v>
      </c>
      <c r="D1673" s="236"/>
      <c r="E1673" s="240" t="s">
        <v>3511</v>
      </c>
      <c r="F1673" s="240" t="s">
        <v>10574</v>
      </c>
      <c r="G1673" s="238" t="s">
        <v>10575</v>
      </c>
      <c r="H1673" s="240" t="s">
        <v>10576</v>
      </c>
      <c r="I1673" s="237"/>
      <c r="J1673" s="256" t="s">
        <v>10191</v>
      </c>
      <c r="K1673" s="242"/>
      <c r="L1673" s="237"/>
      <c r="M1673" s="237"/>
      <c r="N1673" s="237"/>
      <c r="O1673" s="237"/>
      <c r="P1673" s="237"/>
      <c r="Q1673" s="237"/>
      <c r="R1673" s="237"/>
      <c r="S1673" s="237"/>
      <c r="T1673" s="237"/>
      <c r="U1673" s="237"/>
      <c r="V1673" s="237"/>
      <c r="W1673" s="237"/>
      <c r="X1673" s="237"/>
      <c r="Y1673" s="237"/>
      <c r="Z1673" s="237"/>
      <c r="AA1673" s="237"/>
      <c r="AB1673" s="237"/>
    </row>
    <row r="1674">
      <c r="A1674" s="238">
        <v>1675.0</v>
      </c>
      <c r="B1674" s="242"/>
      <c r="C1674" s="240" t="s">
        <v>10577</v>
      </c>
      <c r="D1674" s="236"/>
      <c r="E1674" s="240" t="s">
        <v>3511</v>
      </c>
      <c r="F1674" s="240" t="s">
        <v>10578</v>
      </c>
      <c r="G1674" s="238" t="s">
        <v>10579</v>
      </c>
      <c r="H1674" s="240" t="s">
        <v>10580</v>
      </c>
      <c r="I1674" s="237"/>
      <c r="J1674" s="256" t="s">
        <v>10191</v>
      </c>
      <c r="K1674" s="242"/>
      <c r="L1674" s="237"/>
      <c r="M1674" s="237"/>
      <c r="N1674" s="237"/>
      <c r="O1674" s="237"/>
      <c r="P1674" s="237"/>
      <c r="Q1674" s="237"/>
      <c r="R1674" s="237"/>
      <c r="S1674" s="237"/>
      <c r="T1674" s="237"/>
      <c r="U1674" s="237"/>
      <c r="V1674" s="237"/>
      <c r="W1674" s="237"/>
      <c r="X1674" s="237"/>
      <c r="Y1674" s="237"/>
      <c r="Z1674" s="237"/>
      <c r="AA1674" s="237"/>
      <c r="AB1674" s="237"/>
    </row>
    <row r="1675">
      <c r="A1675" s="238">
        <v>1676.0</v>
      </c>
      <c r="B1675" s="242"/>
      <c r="C1675" s="240" t="s">
        <v>10581</v>
      </c>
      <c r="D1675" s="236"/>
      <c r="E1675" s="240" t="s">
        <v>3511</v>
      </c>
      <c r="F1675" s="240" t="s">
        <v>10582</v>
      </c>
      <c r="G1675" s="238" t="s">
        <v>10583</v>
      </c>
      <c r="H1675" s="240" t="s">
        <v>10584</v>
      </c>
      <c r="I1675" s="237"/>
      <c r="J1675" s="256" t="s">
        <v>10191</v>
      </c>
      <c r="K1675" s="242"/>
      <c r="L1675" s="237"/>
      <c r="M1675" s="237"/>
      <c r="N1675" s="237"/>
      <c r="O1675" s="237"/>
      <c r="P1675" s="237"/>
      <c r="Q1675" s="237"/>
      <c r="R1675" s="237"/>
      <c r="S1675" s="237"/>
      <c r="T1675" s="237"/>
      <c r="U1675" s="237"/>
      <c r="V1675" s="237"/>
      <c r="W1675" s="237"/>
      <c r="X1675" s="237"/>
      <c r="Y1675" s="237"/>
      <c r="Z1675" s="237"/>
      <c r="AA1675" s="237"/>
      <c r="AB1675" s="237"/>
    </row>
    <row r="1676">
      <c r="A1676" s="238">
        <v>1677.0</v>
      </c>
      <c r="B1676" s="242"/>
      <c r="C1676" s="240" t="s">
        <v>10585</v>
      </c>
      <c r="D1676" s="236"/>
      <c r="E1676" s="240" t="s">
        <v>3511</v>
      </c>
      <c r="F1676" s="240" t="s">
        <v>10586</v>
      </c>
      <c r="G1676" s="238" t="s">
        <v>10587</v>
      </c>
      <c r="H1676" s="240" t="s">
        <v>10588</v>
      </c>
      <c r="I1676" s="237"/>
      <c r="J1676" s="256" t="s">
        <v>10191</v>
      </c>
      <c r="K1676" s="242"/>
      <c r="L1676" s="237"/>
      <c r="M1676" s="237"/>
      <c r="N1676" s="237"/>
      <c r="O1676" s="237"/>
      <c r="P1676" s="237"/>
      <c r="Q1676" s="237"/>
      <c r="R1676" s="237"/>
      <c r="S1676" s="237"/>
      <c r="T1676" s="237"/>
      <c r="U1676" s="237"/>
      <c r="V1676" s="237"/>
      <c r="W1676" s="237"/>
      <c r="X1676" s="237"/>
      <c r="Y1676" s="237"/>
      <c r="Z1676" s="237"/>
      <c r="AA1676" s="237"/>
      <c r="AB1676" s="237"/>
    </row>
    <row r="1677">
      <c r="A1677" s="238">
        <v>1678.0</v>
      </c>
      <c r="B1677" s="242"/>
      <c r="C1677" s="240" t="s">
        <v>10589</v>
      </c>
      <c r="D1677" s="236"/>
      <c r="E1677" s="240" t="s">
        <v>3511</v>
      </c>
      <c r="F1677" s="240" t="s">
        <v>10590</v>
      </c>
      <c r="G1677" s="238" t="s">
        <v>10591</v>
      </c>
      <c r="H1677" s="240" t="s">
        <v>10592</v>
      </c>
      <c r="I1677" s="237"/>
      <c r="J1677" s="256" t="s">
        <v>10191</v>
      </c>
      <c r="K1677" s="242"/>
      <c r="L1677" s="237"/>
      <c r="M1677" s="237"/>
      <c r="N1677" s="237"/>
      <c r="O1677" s="237"/>
      <c r="P1677" s="237"/>
      <c r="Q1677" s="237"/>
      <c r="R1677" s="237"/>
      <c r="S1677" s="237"/>
      <c r="T1677" s="237"/>
      <c r="U1677" s="237"/>
      <c r="V1677" s="237"/>
      <c r="W1677" s="237"/>
      <c r="X1677" s="237"/>
      <c r="Y1677" s="237"/>
      <c r="Z1677" s="237"/>
      <c r="AA1677" s="237"/>
      <c r="AB1677" s="237"/>
    </row>
    <row r="1678">
      <c r="A1678" s="238">
        <v>1679.0</v>
      </c>
      <c r="B1678" s="242"/>
      <c r="C1678" s="240" t="s">
        <v>10593</v>
      </c>
      <c r="D1678" s="236"/>
      <c r="E1678" s="240" t="s">
        <v>3511</v>
      </c>
      <c r="F1678" s="240" t="s">
        <v>10594</v>
      </c>
      <c r="G1678" s="238" t="s">
        <v>10595</v>
      </c>
      <c r="H1678" s="240" t="s">
        <v>10596</v>
      </c>
      <c r="I1678" s="237"/>
      <c r="J1678" s="256" t="s">
        <v>10191</v>
      </c>
      <c r="K1678" s="242"/>
      <c r="L1678" s="237"/>
      <c r="M1678" s="237"/>
      <c r="N1678" s="237"/>
      <c r="O1678" s="237"/>
      <c r="P1678" s="237"/>
      <c r="Q1678" s="237"/>
      <c r="R1678" s="237"/>
      <c r="S1678" s="237"/>
      <c r="T1678" s="237"/>
      <c r="U1678" s="237"/>
      <c r="V1678" s="237"/>
      <c r="W1678" s="237"/>
      <c r="X1678" s="237"/>
      <c r="Y1678" s="237"/>
      <c r="Z1678" s="237"/>
      <c r="AA1678" s="237"/>
      <c r="AB1678" s="237"/>
    </row>
    <row r="1679">
      <c r="A1679" s="238">
        <v>1680.0</v>
      </c>
      <c r="B1679" s="242"/>
      <c r="C1679" s="240" t="s">
        <v>10597</v>
      </c>
      <c r="D1679" s="236"/>
      <c r="E1679" s="240" t="s">
        <v>3511</v>
      </c>
      <c r="F1679" s="240" t="s">
        <v>10598</v>
      </c>
      <c r="G1679" s="238" t="s">
        <v>10599</v>
      </c>
      <c r="H1679" s="240" t="s">
        <v>10600</v>
      </c>
      <c r="I1679" s="237"/>
      <c r="J1679" s="256" t="s">
        <v>10191</v>
      </c>
      <c r="K1679" s="242"/>
      <c r="L1679" s="237"/>
      <c r="M1679" s="237"/>
      <c r="N1679" s="237"/>
      <c r="O1679" s="237"/>
      <c r="P1679" s="237"/>
      <c r="Q1679" s="237"/>
      <c r="R1679" s="237"/>
      <c r="S1679" s="237"/>
      <c r="T1679" s="237"/>
      <c r="U1679" s="237"/>
      <c r="V1679" s="237"/>
      <c r="W1679" s="237"/>
      <c r="X1679" s="237"/>
      <c r="Y1679" s="237"/>
      <c r="Z1679" s="237"/>
      <c r="AA1679" s="237"/>
      <c r="AB1679" s="237"/>
    </row>
    <row r="1680">
      <c r="A1680" s="238">
        <v>1681.0</v>
      </c>
      <c r="B1680" s="242"/>
      <c r="C1680" s="240" t="s">
        <v>10601</v>
      </c>
      <c r="D1680" s="236"/>
      <c r="E1680" s="240" t="s">
        <v>3511</v>
      </c>
      <c r="F1680" s="240" t="s">
        <v>10602</v>
      </c>
      <c r="G1680" s="238" t="s">
        <v>10603</v>
      </c>
      <c r="H1680" s="240" t="s">
        <v>10604</v>
      </c>
      <c r="I1680" s="237"/>
      <c r="J1680" s="256" t="s">
        <v>10191</v>
      </c>
      <c r="K1680" s="242"/>
      <c r="L1680" s="237"/>
      <c r="M1680" s="237"/>
      <c r="N1680" s="237"/>
      <c r="O1680" s="237"/>
      <c r="P1680" s="237"/>
      <c r="Q1680" s="237"/>
      <c r="R1680" s="237"/>
      <c r="S1680" s="237"/>
      <c r="T1680" s="237"/>
      <c r="U1680" s="237"/>
      <c r="V1680" s="237"/>
      <c r="W1680" s="237"/>
      <c r="X1680" s="237"/>
      <c r="Y1680" s="237"/>
      <c r="Z1680" s="237"/>
      <c r="AA1680" s="237"/>
      <c r="AB1680" s="237"/>
    </row>
    <row r="1681">
      <c r="A1681" s="238">
        <v>1682.0</v>
      </c>
      <c r="B1681" s="242"/>
      <c r="C1681" s="240" t="s">
        <v>10605</v>
      </c>
      <c r="D1681" s="236"/>
      <c r="E1681" s="240" t="s">
        <v>3511</v>
      </c>
      <c r="F1681" s="240" t="s">
        <v>10606</v>
      </c>
      <c r="G1681" s="238" t="s">
        <v>10607</v>
      </c>
      <c r="H1681" s="240" t="s">
        <v>10608</v>
      </c>
      <c r="I1681" s="237"/>
      <c r="J1681" s="256" t="s">
        <v>10191</v>
      </c>
      <c r="K1681" s="242"/>
      <c r="L1681" s="237"/>
      <c r="M1681" s="237"/>
      <c r="N1681" s="237"/>
      <c r="O1681" s="237"/>
      <c r="P1681" s="237"/>
      <c r="Q1681" s="237"/>
      <c r="R1681" s="237"/>
      <c r="S1681" s="237"/>
      <c r="T1681" s="237"/>
      <c r="U1681" s="237"/>
      <c r="V1681" s="237"/>
      <c r="W1681" s="237"/>
      <c r="X1681" s="237"/>
      <c r="Y1681" s="237"/>
      <c r="Z1681" s="237"/>
      <c r="AA1681" s="237"/>
      <c r="AB1681" s="237"/>
    </row>
    <row r="1682">
      <c r="A1682" s="238">
        <v>1683.0</v>
      </c>
      <c r="B1682" s="242"/>
      <c r="C1682" s="240" t="s">
        <v>10609</v>
      </c>
      <c r="D1682" s="236"/>
      <c r="E1682" s="240" t="s">
        <v>3511</v>
      </c>
      <c r="F1682" s="240" t="s">
        <v>10610</v>
      </c>
      <c r="G1682" s="238" t="s">
        <v>10611</v>
      </c>
      <c r="H1682" s="240" t="s">
        <v>10612</v>
      </c>
      <c r="I1682" s="237"/>
      <c r="J1682" s="256" t="s">
        <v>10191</v>
      </c>
      <c r="K1682" s="242"/>
      <c r="L1682" s="237"/>
      <c r="M1682" s="237"/>
      <c r="N1682" s="237"/>
      <c r="O1682" s="237"/>
      <c r="P1682" s="237"/>
      <c r="Q1682" s="237"/>
      <c r="R1682" s="237"/>
      <c r="S1682" s="237"/>
      <c r="T1682" s="237"/>
      <c r="U1682" s="237"/>
      <c r="V1682" s="237"/>
      <c r="W1682" s="237"/>
      <c r="X1682" s="237"/>
      <c r="Y1682" s="237"/>
      <c r="Z1682" s="237"/>
      <c r="AA1682" s="237"/>
      <c r="AB1682" s="237"/>
    </row>
    <row r="1683">
      <c r="A1683" s="238">
        <v>1684.0</v>
      </c>
      <c r="B1683" s="242"/>
      <c r="C1683" s="240" t="s">
        <v>10613</v>
      </c>
      <c r="D1683" s="236"/>
      <c r="E1683" s="240" t="s">
        <v>3511</v>
      </c>
      <c r="F1683" s="240" t="s">
        <v>10614</v>
      </c>
      <c r="G1683" s="238" t="s">
        <v>10615</v>
      </c>
      <c r="H1683" s="240" t="s">
        <v>10616</v>
      </c>
      <c r="I1683" s="237"/>
      <c r="J1683" s="256" t="s">
        <v>10191</v>
      </c>
      <c r="K1683" s="242"/>
      <c r="L1683" s="237"/>
      <c r="M1683" s="237"/>
      <c r="N1683" s="237"/>
      <c r="O1683" s="237"/>
      <c r="P1683" s="237"/>
      <c r="Q1683" s="237"/>
      <c r="R1683" s="237"/>
      <c r="S1683" s="237"/>
      <c r="T1683" s="237"/>
      <c r="U1683" s="237"/>
      <c r="V1683" s="237"/>
      <c r="W1683" s="237"/>
      <c r="X1683" s="237"/>
      <c r="Y1683" s="237"/>
      <c r="Z1683" s="237"/>
      <c r="AA1683" s="237"/>
      <c r="AB1683" s="237"/>
    </row>
    <row r="1684">
      <c r="A1684" s="238">
        <v>1685.0</v>
      </c>
      <c r="B1684" s="258" t="s">
        <v>10617</v>
      </c>
      <c r="C1684" s="240" t="s">
        <v>10618</v>
      </c>
      <c r="D1684" s="236"/>
      <c r="E1684" s="241" t="s">
        <v>1420</v>
      </c>
      <c r="F1684" s="241" t="s">
        <v>10619</v>
      </c>
      <c r="G1684" s="238" t="s">
        <v>10620</v>
      </c>
      <c r="H1684" s="241" t="s">
        <v>10621</v>
      </c>
      <c r="I1684" s="237"/>
      <c r="J1684" s="256" t="s">
        <v>10622</v>
      </c>
      <c r="K1684" s="258" t="s">
        <v>10617</v>
      </c>
      <c r="L1684" s="254" t="s">
        <v>10623</v>
      </c>
      <c r="M1684" s="237"/>
      <c r="N1684" s="237"/>
      <c r="O1684" s="237"/>
      <c r="P1684" s="237"/>
      <c r="Q1684" s="237"/>
      <c r="R1684" s="237"/>
      <c r="S1684" s="237"/>
      <c r="T1684" s="237"/>
      <c r="U1684" s="237"/>
      <c r="V1684" s="237"/>
      <c r="W1684" s="237"/>
      <c r="X1684" s="237"/>
      <c r="Y1684" s="237"/>
      <c r="Z1684" s="237"/>
      <c r="AA1684" s="237"/>
      <c r="AB1684" s="237"/>
    </row>
    <row r="1685">
      <c r="A1685" s="238">
        <v>1686.0</v>
      </c>
      <c r="B1685" s="258" t="s">
        <v>10624</v>
      </c>
      <c r="C1685" s="240" t="s">
        <v>10625</v>
      </c>
      <c r="D1685" s="236"/>
      <c r="E1685" s="241" t="s">
        <v>1420</v>
      </c>
      <c r="F1685" s="241" t="s">
        <v>10626</v>
      </c>
      <c r="G1685" s="238" t="s">
        <v>10627</v>
      </c>
      <c r="H1685" s="241" t="s">
        <v>10628</v>
      </c>
      <c r="I1685" s="237"/>
      <c r="J1685" s="256" t="s">
        <v>10622</v>
      </c>
      <c r="K1685" s="258" t="s">
        <v>10624</v>
      </c>
      <c r="L1685" s="254" t="s">
        <v>10629</v>
      </c>
      <c r="M1685" s="237"/>
      <c r="N1685" s="237"/>
      <c r="O1685" s="237"/>
      <c r="P1685" s="237"/>
      <c r="Q1685" s="237"/>
      <c r="R1685" s="237"/>
      <c r="S1685" s="237"/>
      <c r="T1685" s="237"/>
      <c r="U1685" s="237"/>
      <c r="V1685" s="237"/>
      <c r="W1685" s="237"/>
      <c r="X1685" s="237"/>
      <c r="Y1685" s="237"/>
      <c r="Z1685" s="237"/>
      <c r="AA1685" s="237"/>
      <c r="AB1685" s="237"/>
    </row>
    <row r="1686">
      <c r="A1686" s="238">
        <v>1687.0</v>
      </c>
      <c r="B1686" s="259" t="s">
        <v>10630</v>
      </c>
      <c r="C1686" s="240" t="s">
        <v>10631</v>
      </c>
      <c r="D1686" s="236"/>
      <c r="E1686" s="241" t="s">
        <v>1420</v>
      </c>
      <c r="F1686" s="241" t="s">
        <v>10632</v>
      </c>
      <c r="G1686" s="238" t="s">
        <v>10633</v>
      </c>
      <c r="H1686" s="241" t="s">
        <v>10634</v>
      </c>
      <c r="I1686" s="237"/>
      <c r="J1686" s="256" t="s">
        <v>10622</v>
      </c>
      <c r="K1686" s="259" t="s">
        <v>10630</v>
      </c>
      <c r="L1686" s="254" t="s">
        <v>10629</v>
      </c>
      <c r="M1686" s="237"/>
      <c r="N1686" s="237"/>
      <c r="O1686" s="237"/>
      <c r="P1686" s="237"/>
      <c r="Q1686" s="237"/>
      <c r="R1686" s="237"/>
      <c r="S1686" s="237"/>
      <c r="T1686" s="237"/>
      <c r="U1686" s="237"/>
      <c r="V1686" s="237"/>
      <c r="W1686" s="237"/>
      <c r="X1686" s="237"/>
      <c r="Y1686" s="237"/>
      <c r="Z1686" s="237"/>
      <c r="AA1686" s="237"/>
      <c r="AB1686" s="237"/>
    </row>
    <row r="1687">
      <c r="A1687" s="238">
        <v>1688.0</v>
      </c>
      <c r="B1687" s="239" t="s">
        <v>10635</v>
      </c>
      <c r="C1687" s="240" t="s">
        <v>10636</v>
      </c>
      <c r="D1687" s="236"/>
      <c r="E1687" s="241" t="s">
        <v>1420</v>
      </c>
      <c r="F1687" s="241" t="s">
        <v>10637</v>
      </c>
      <c r="G1687" s="238" t="s">
        <v>10638</v>
      </c>
      <c r="H1687" s="241" t="s">
        <v>10639</v>
      </c>
      <c r="I1687" s="237"/>
      <c r="J1687" s="256" t="s">
        <v>10622</v>
      </c>
      <c r="K1687" s="239" t="s">
        <v>10635</v>
      </c>
      <c r="L1687" s="254" t="s">
        <v>10623</v>
      </c>
      <c r="M1687" s="237"/>
      <c r="N1687" s="237"/>
      <c r="O1687" s="237"/>
      <c r="P1687" s="237"/>
      <c r="Q1687" s="237"/>
      <c r="R1687" s="237"/>
      <c r="S1687" s="237"/>
      <c r="T1687" s="237"/>
      <c r="U1687" s="237"/>
      <c r="V1687" s="237"/>
      <c r="W1687" s="237"/>
      <c r="X1687" s="237"/>
      <c r="Y1687" s="237"/>
      <c r="Z1687" s="237"/>
      <c r="AA1687" s="237"/>
      <c r="AB1687" s="237"/>
    </row>
    <row r="1688">
      <c r="A1688" s="238">
        <v>1689.0</v>
      </c>
      <c r="B1688" s="259" t="s">
        <v>10640</v>
      </c>
      <c r="C1688" s="240" t="s">
        <v>10641</v>
      </c>
      <c r="D1688" s="236"/>
      <c r="E1688" s="241" t="s">
        <v>1420</v>
      </c>
      <c r="F1688" s="241" t="s">
        <v>10642</v>
      </c>
      <c r="G1688" s="238" t="s">
        <v>10643</v>
      </c>
      <c r="H1688" s="241" t="s">
        <v>10644</v>
      </c>
      <c r="I1688" s="237"/>
      <c r="J1688" s="256" t="s">
        <v>10622</v>
      </c>
      <c r="K1688" s="259" t="s">
        <v>10640</v>
      </c>
      <c r="L1688" s="254" t="s">
        <v>10623</v>
      </c>
      <c r="M1688" s="237"/>
      <c r="N1688" s="237"/>
      <c r="O1688" s="237"/>
      <c r="P1688" s="237"/>
      <c r="Q1688" s="237"/>
      <c r="R1688" s="237"/>
      <c r="S1688" s="237"/>
      <c r="T1688" s="237"/>
      <c r="U1688" s="237"/>
      <c r="V1688" s="237"/>
      <c r="W1688" s="237"/>
      <c r="X1688" s="237"/>
      <c r="Y1688" s="237"/>
      <c r="Z1688" s="237"/>
      <c r="AA1688" s="237"/>
      <c r="AB1688" s="237"/>
    </row>
    <row r="1689">
      <c r="A1689" s="238">
        <v>1690.0</v>
      </c>
      <c r="B1689" s="258" t="s">
        <v>10645</v>
      </c>
      <c r="C1689" s="240" t="s">
        <v>10646</v>
      </c>
      <c r="D1689" s="236"/>
      <c r="E1689" s="241" t="s">
        <v>1420</v>
      </c>
      <c r="F1689" s="241" t="s">
        <v>10647</v>
      </c>
      <c r="G1689" s="238" t="s">
        <v>10648</v>
      </c>
      <c r="H1689" s="241" t="s">
        <v>10649</v>
      </c>
      <c r="I1689" s="237"/>
      <c r="J1689" s="256" t="s">
        <v>10622</v>
      </c>
      <c r="K1689" s="258" t="s">
        <v>10645</v>
      </c>
      <c r="L1689" s="254" t="s">
        <v>10623</v>
      </c>
      <c r="M1689" s="237"/>
      <c r="N1689" s="237"/>
      <c r="O1689" s="237"/>
      <c r="P1689" s="237"/>
      <c r="Q1689" s="237"/>
      <c r="R1689" s="237"/>
      <c r="S1689" s="237"/>
      <c r="T1689" s="237"/>
      <c r="U1689" s="237"/>
      <c r="V1689" s="237"/>
      <c r="W1689" s="237"/>
      <c r="X1689" s="237"/>
      <c r="Y1689" s="237"/>
      <c r="Z1689" s="237"/>
      <c r="AA1689" s="237"/>
      <c r="AB1689" s="237"/>
    </row>
    <row r="1690">
      <c r="A1690" s="238">
        <v>1691.0</v>
      </c>
      <c r="B1690" s="259" t="s">
        <v>10650</v>
      </c>
      <c r="C1690" s="240" t="s">
        <v>10651</v>
      </c>
      <c r="D1690" s="236"/>
      <c r="E1690" s="241" t="s">
        <v>1420</v>
      </c>
      <c r="F1690" s="241" t="s">
        <v>10652</v>
      </c>
      <c r="G1690" s="238" t="s">
        <v>10653</v>
      </c>
      <c r="H1690" s="241" t="s">
        <v>10654</v>
      </c>
      <c r="I1690" s="237"/>
      <c r="J1690" s="256" t="s">
        <v>10622</v>
      </c>
      <c r="K1690" s="259" t="s">
        <v>10650</v>
      </c>
      <c r="L1690" s="254" t="s">
        <v>10623</v>
      </c>
      <c r="M1690" s="237"/>
      <c r="N1690" s="237"/>
      <c r="O1690" s="237"/>
      <c r="P1690" s="237"/>
      <c r="Q1690" s="237"/>
      <c r="R1690" s="237"/>
      <c r="S1690" s="237"/>
      <c r="T1690" s="237"/>
      <c r="U1690" s="237"/>
      <c r="V1690" s="237"/>
      <c r="W1690" s="237"/>
      <c r="X1690" s="237"/>
      <c r="Y1690" s="237"/>
      <c r="Z1690" s="237"/>
      <c r="AA1690" s="237"/>
      <c r="AB1690" s="237"/>
    </row>
    <row r="1691">
      <c r="A1691" s="238">
        <v>1692.0</v>
      </c>
      <c r="B1691" s="242"/>
      <c r="C1691" s="240" t="s">
        <v>10655</v>
      </c>
      <c r="D1691" s="236"/>
      <c r="E1691" s="241" t="s">
        <v>1420</v>
      </c>
      <c r="F1691" s="240" t="s">
        <v>10656</v>
      </c>
      <c r="G1691" s="238" t="s">
        <v>10657</v>
      </c>
      <c r="H1691" s="241" t="s">
        <v>10658</v>
      </c>
      <c r="I1691" s="237"/>
      <c r="J1691" s="256" t="s">
        <v>10622</v>
      </c>
      <c r="K1691" s="242"/>
      <c r="L1691" s="254" t="s">
        <v>10623</v>
      </c>
      <c r="M1691" s="237"/>
      <c r="N1691" s="237"/>
      <c r="O1691" s="237"/>
      <c r="P1691" s="237"/>
      <c r="Q1691" s="237"/>
      <c r="R1691" s="237"/>
      <c r="S1691" s="237"/>
      <c r="T1691" s="237"/>
      <c r="U1691" s="237"/>
      <c r="V1691" s="237"/>
      <c r="W1691" s="237"/>
      <c r="X1691" s="237"/>
      <c r="Y1691" s="237"/>
      <c r="Z1691" s="237"/>
      <c r="AA1691" s="237"/>
      <c r="AB1691" s="237"/>
    </row>
    <row r="1692">
      <c r="A1692" s="238">
        <v>1693.0</v>
      </c>
      <c r="B1692" s="259" t="s">
        <v>10659</v>
      </c>
      <c r="C1692" s="240" t="s">
        <v>10660</v>
      </c>
      <c r="D1692" s="236"/>
      <c r="E1692" s="241" t="s">
        <v>1420</v>
      </c>
      <c r="F1692" s="240" t="s">
        <v>10661</v>
      </c>
      <c r="G1692" s="238" t="s">
        <v>10662</v>
      </c>
      <c r="H1692" s="241" t="s">
        <v>10663</v>
      </c>
      <c r="I1692" s="237"/>
      <c r="J1692" s="256" t="s">
        <v>10622</v>
      </c>
      <c r="K1692" s="259" t="s">
        <v>10659</v>
      </c>
      <c r="L1692" s="254" t="s">
        <v>10623</v>
      </c>
      <c r="M1692" s="237"/>
      <c r="N1692" s="237"/>
      <c r="O1692" s="237"/>
      <c r="P1692" s="237"/>
      <c r="Q1692" s="237"/>
      <c r="R1692" s="237"/>
      <c r="S1692" s="237"/>
      <c r="T1692" s="237"/>
      <c r="U1692" s="237"/>
      <c r="V1692" s="237"/>
      <c r="W1692" s="237"/>
      <c r="X1692" s="237"/>
      <c r="Y1692" s="237"/>
      <c r="Z1692" s="237"/>
      <c r="AA1692" s="237"/>
      <c r="AB1692" s="237"/>
    </row>
    <row r="1693">
      <c r="A1693" s="238">
        <v>1694.0</v>
      </c>
      <c r="B1693" s="242"/>
      <c r="C1693" s="241" t="s">
        <v>10664</v>
      </c>
      <c r="D1693" s="236"/>
      <c r="E1693" s="241" t="s">
        <v>1420</v>
      </c>
      <c r="F1693" s="240" t="s">
        <v>10665</v>
      </c>
      <c r="G1693" s="238" t="s">
        <v>10666</v>
      </c>
      <c r="H1693" s="241" t="s">
        <v>10667</v>
      </c>
      <c r="I1693" s="237"/>
      <c r="J1693" s="256" t="s">
        <v>10622</v>
      </c>
      <c r="K1693" s="242"/>
      <c r="L1693" s="254" t="s">
        <v>10623</v>
      </c>
      <c r="M1693" s="237"/>
      <c r="N1693" s="237"/>
      <c r="O1693" s="237"/>
      <c r="P1693" s="237"/>
      <c r="Q1693" s="237"/>
      <c r="R1693" s="237"/>
      <c r="S1693" s="237"/>
      <c r="T1693" s="237"/>
      <c r="U1693" s="237"/>
      <c r="V1693" s="237"/>
      <c r="W1693" s="237"/>
      <c r="X1693" s="237"/>
      <c r="Y1693" s="237"/>
      <c r="Z1693" s="237"/>
      <c r="AA1693" s="237"/>
      <c r="AB1693" s="237"/>
    </row>
    <row r="1694">
      <c r="A1694" s="238">
        <v>1695.0</v>
      </c>
      <c r="B1694" s="242"/>
      <c r="C1694" s="240" t="s">
        <v>10668</v>
      </c>
      <c r="D1694" s="236"/>
      <c r="E1694" s="241" t="s">
        <v>1420</v>
      </c>
      <c r="F1694" s="240" t="s">
        <v>10669</v>
      </c>
      <c r="G1694" s="238" t="s">
        <v>10670</v>
      </c>
      <c r="H1694" s="241" t="s">
        <v>10671</v>
      </c>
      <c r="I1694" s="237"/>
      <c r="J1694" s="256" t="s">
        <v>10622</v>
      </c>
      <c r="K1694" s="242"/>
      <c r="L1694" s="254" t="s">
        <v>10623</v>
      </c>
      <c r="M1694" s="237"/>
      <c r="N1694" s="237"/>
      <c r="O1694" s="237"/>
      <c r="P1694" s="237"/>
      <c r="Q1694" s="237"/>
      <c r="R1694" s="237"/>
      <c r="S1694" s="237"/>
      <c r="T1694" s="237"/>
      <c r="U1694" s="237"/>
      <c r="V1694" s="237"/>
      <c r="W1694" s="237"/>
      <c r="X1694" s="237"/>
      <c r="Y1694" s="237"/>
      <c r="Z1694" s="237"/>
      <c r="AA1694" s="237"/>
      <c r="AB1694" s="237"/>
    </row>
    <row r="1695">
      <c r="A1695" s="238">
        <v>1696.0</v>
      </c>
      <c r="B1695" s="239" t="s">
        <v>10672</v>
      </c>
      <c r="C1695" s="240" t="s">
        <v>10673</v>
      </c>
      <c r="D1695" s="236"/>
      <c r="E1695" s="241" t="s">
        <v>1420</v>
      </c>
      <c r="F1695" s="240" t="s">
        <v>10674</v>
      </c>
      <c r="G1695" s="238" t="s">
        <v>10675</v>
      </c>
      <c r="H1695" s="241" t="s">
        <v>10676</v>
      </c>
      <c r="I1695" s="237"/>
      <c r="J1695" s="256" t="s">
        <v>10622</v>
      </c>
      <c r="K1695" s="239" t="s">
        <v>10672</v>
      </c>
      <c r="L1695" s="254" t="s">
        <v>10623</v>
      </c>
      <c r="M1695" s="237"/>
      <c r="N1695" s="237"/>
      <c r="O1695" s="237"/>
      <c r="P1695" s="237"/>
      <c r="Q1695" s="237"/>
      <c r="R1695" s="237"/>
      <c r="S1695" s="237"/>
      <c r="T1695" s="237"/>
      <c r="U1695" s="237"/>
      <c r="V1695" s="237"/>
      <c r="W1695" s="237"/>
      <c r="X1695" s="237"/>
      <c r="Y1695" s="237"/>
      <c r="Z1695" s="237"/>
      <c r="AA1695" s="237"/>
      <c r="AB1695" s="237"/>
    </row>
    <row r="1696">
      <c r="A1696" s="238">
        <v>1697.0</v>
      </c>
      <c r="B1696" s="242"/>
      <c r="C1696" s="240" t="s">
        <v>10677</v>
      </c>
      <c r="D1696" s="236"/>
      <c r="E1696" s="241" t="s">
        <v>1420</v>
      </c>
      <c r="F1696" s="240" t="s">
        <v>10678</v>
      </c>
      <c r="G1696" s="238" t="s">
        <v>10679</v>
      </c>
      <c r="H1696" s="241" t="s">
        <v>10680</v>
      </c>
      <c r="I1696" s="237"/>
      <c r="J1696" s="256" t="s">
        <v>10622</v>
      </c>
      <c r="K1696" s="242"/>
      <c r="L1696" s="254" t="s">
        <v>10623</v>
      </c>
      <c r="M1696" s="237"/>
      <c r="N1696" s="237"/>
      <c r="O1696" s="237"/>
      <c r="P1696" s="237"/>
      <c r="Q1696" s="237"/>
      <c r="R1696" s="237"/>
      <c r="S1696" s="237"/>
      <c r="T1696" s="237"/>
      <c r="U1696" s="237"/>
      <c r="V1696" s="237"/>
      <c r="W1696" s="237"/>
      <c r="X1696" s="237"/>
      <c r="Y1696" s="237"/>
      <c r="Z1696" s="237"/>
      <c r="AA1696" s="237"/>
      <c r="AB1696" s="237"/>
    </row>
    <row r="1697">
      <c r="A1697" s="238">
        <v>1698.0</v>
      </c>
      <c r="B1697" s="242"/>
      <c r="C1697" s="240" t="s">
        <v>10681</v>
      </c>
      <c r="D1697" s="236"/>
      <c r="E1697" s="241" t="s">
        <v>1420</v>
      </c>
      <c r="F1697" s="240" t="s">
        <v>10682</v>
      </c>
      <c r="G1697" s="238" t="s">
        <v>10683</v>
      </c>
      <c r="H1697" s="241" t="s">
        <v>10684</v>
      </c>
      <c r="I1697" s="237"/>
      <c r="J1697" s="256" t="s">
        <v>10622</v>
      </c>
      <c r="K1697" s="242"/>
      <c r="L1697" s="254" t="s">
        <v>10623</v>
      </c>
      <c r="M1697" s="237"/>
      <c r="N1697" s="237"/>
      <c r="O1697" s="237"/>
      <c r="P1697" s="237"/>
      <c r="Q1697" s="237"/>
      <c r="R1697" s="237"/>
      <c r="S1697" s="237"/>
      <c r="T1697" s="237"/>
      <c r="U1697" s="237"/>
      <c r="V1697" s="237"/>
      <c r="W1697" s="237"/>
      <c r="X1697" s="237"/>
      <c r="Y1697" s="237"/>
      <c r="Z1697" s="237"/>
      <c r="AA1697" s="237"/>
      <c r="AB1697" s="237"/>
    </row>
    <row r="1698">
      <c r="A1698" s="238">
        <v>1699.0</v>
      </c>
      <c r="B1698" s="239" t="s">
        <v>10685</v>
      </c>
      <c r="C1698" s="240" t="s">
        <v>10686</v>
      </c>
      <c r="D1698" s="236"/>
      <c r="E1698" s="241" t="s">
        <v>1420</v>
      </c>
      <c r="F1698" s="240" t="s">
        <v>10687</v>
      </c>
      <c r="G1698" s="238" t="s">
        <v>10688</v>
      </c>
      <c r="H1698" s="241" t="s">
        <v>10689</v>
      </c>
      <c r="I1698" s="237"/>
      <c r="J1698" s="256" t="s">
        <v>10622</v>
      </c>
      <c r="K1698" s="239" t="s">
        <v>10685</v>
      </c>
      <c r="L1698" s="254" t="s">
        <v>10623</v>
      </c>
      <c r="M1698" s="237"/>
      <c r="N1698" s="237"/>
      <c r="O1698" s="237"/>
      <c r="P1698" s="237"/>
      <c r="Q1698" s="237"/>
      <c r="R1698" s="237"/>
      <c r="S1698" s="237"/>
      <c r="T1698" s="237"/>
      <c r="U1698" s="237"/>
      <c r="V1698" s="237"/>
      <c r="W1698" s="237"/>
      <c r="X1698" s="237"/>
      <c r="Y1698" s="237"/>
      <c r="Z1698" s="237"/>
      <c r="AA1698" s="237"/>
      <c r="AB1698" s="237"/>
    </row>
    <row r="1699">
      <c r="A1699" s="238">
        <v>1700.0</v>
      </c>
      <c r="B1699" s="239" t="s">
        <v>10690</v>
      </c>
      <c r="C1699" s="240" t="s">
        <v>10691</v>
      </c>
      <c r="D1699" s="236"/>
      <c r="E1699" s="241" t="s">
        <v>1420</v>
      </c>
      <c r="F1699" s="240" t="s">
        <v>10692</v>
      </c>
      <c r="G1699" s="238" t="s">
        <v>10693</v>
      </c>
      <c r="H1699" s="241" t="s">
        <v>10694</v>
      </c>
      <c r="I1699" s="237"/>
      <c r="J1699" s="256" t="s">
        <v>10622</v>
      </c>
      <c r="K1699" s="239" t="s">
        <v>10690</v>
      </c>
      <c r="L1699" s="254" t="s">
        <v>10623</v>
      </c>
      <c r="M1699" s="237"/>
      <c r="N1699" s="237"/>
      <c r="O1699" s="237"/>
      <c r="P1699" s="237"/>
      <c r="Q1699" s="237"/>
      <c r="R1699" s="237"/>
      <c r="S1699" s="237"/>
      <c r="T1699" s="237"/>
      <c r="U1699" s="237"/>
      <c r="V1699" s="237"/>
      <c r="W1699" s="237"/>
      <c r="X1699" s="237"/>
      <c r="Y1699" s="237"/>
      <c r="Z1699" s="237"/>
      <c r="AA1699" s="237"/>
      <c r="AB1699" s="237"/>
    </row>
    <row r="1700">
      <c r="A1700" s="238">
        <v>1701.0</v>
      </c>
      <c r="B1700" s="242"/>
      <c r="C1700" s="240" t="s">
        <v>10695</v>
      </c>
      <c r="D1700" s="236"/>
      <c r="E1700" s="241" t="s">
        <v>1420</v>
      </c>
      <c r="F1700" s="241" t="s">
        <v>10696</v>
      </c>
      <c r="G1700" s="238" t="s">
        <v>10697</v>
      </c>
      <c r="H1700" s="241" t="s">
        <v>10698</v>
      </c>
      <c r="I1700" s="237"/>
      <c r="J1700" s="256" t="s">
        <v>10622</v>
      </c>
      <c r="K1700" s="242"/>
      <c r="L1700" s="254" t="s">
        <v>10623</v>
      </c>
      <c r="M1700" s="237"/>
      <c r="N1700" s="237"/>
      <c r="O1700" s="237"/>
      <c r="P1700" s="237"/>
      <c r="Q1700" s="237"/>
      <c r="R1700" s="237"/>
      <c r="S1700" s="237"/>
      <c r="T1700" s="237"/>
      <c r="U1700" s="237"/>
      <c r="V1700" s="237"/>
      <c r="W1700" s="237"/>
      <c r="X1700" s="237"/>
      <c r="Y1700" s="237"/>
      <c r="Z1700" s="237"/>
      <c r="AA1700" s="237"/>
      <c r="AB1700" s="237"/>
    </row>
    <row r="1701">
      <c r="A1701" s="238">
        <v>1702.0</v>
      </c>
      <c r="B1701" s="242"/>
      <c r="C1701" s="240" t="s">
        <v>10699</v>
      </c>
      <c r="D1701" s="236"/>
      <c r="E1701" s="241" t="s">
        <v>1420</v>
      </c>
      <c r="F1701" s="241" t="s">
        <v>10700</v>
      </c>
      <c r="G1701" s="238" t="s">
        <v>10701</v>
      </c>
      <c r="H1701" s="241" t="s">
        <v>10702</v>
      </c>
      <c r="I1701" s="237"/>
      <c r="J1701" s="256" t="s">
        <v>10622</v>
      </c>
      <c r="K1701" s="242"/>
      <c r="L1701" s="254" t="s">
        <v>10623</v>
      </c>
      <c r="M1701" s="237"/>
      <c r="N1701" s="237"/>
      <c r="O1701" s="237"/>
      <c r="P1701" s="237"/>
      <c r="Q1701" s="237"/>
      <c r="R1701" s="237"/>
      <c r="S1701" s="237"/>
      <c r="T1701" s="237"/>
      <c r="U1701" s="237"/>
      <c r="V1701" s="237"/>
      <c r="W1701" s="237"/>
      <c r="X1701" s="237"/>
      <c r="Y1701" s="237"/>
      <c r="Z1701" s="237"/>
      <c r="AA1701" s="237"/>
      <c r="AB1701" s="237"/>
    </row>
    <row r="1702">
      <c r="A1702" s="238">
        <v>1703.0</v>
      </c>
      <c r="B1702" s="242"/>
      <c r="C1702" s="240" t="s">
        <v>10703</v>
      </c>
      <c r="D1702" s="236"/>
      <c r="E1702" s="241" t="s">
        <v>1420</v>
      </c>
      <c r="F1702" s="241" t="s">
        <v>10704</v>
      </c>
      <c r="G1702" s="238" t="s">
        <v>10705</v>
      </c>
      <c r="H1702" s="241" t="s">
        <v>10706</v>
      </c>
      <c r="I1702" s="237"/>
      <c r="J1702" s="256" t="s">
        <v>10622</v>
      </c>
      <c r="K1702" s="242"/>
      <c r="L1702" s="254" t="s">
        <v>10623</v>
      </c>
      <c r="M1702" s="237"/>
      <c r="N1702" s="237"/>
      <c r="O1702" s="237"/>
      <c r="P1702" s="237"/>
      <c r="Q1702" s="237"/>
      <c r="R1702" s="237"/>
      <c r="S1702" s="237"/>
      <c r="T1702" s="237"/>
      <c r="U1702" s="237"/>
      <c r="V1702" s="237"/>
      <c r="W1702" s="237"/>
      <c r="X1702" s="237"/>
      <c r="Y1702" s="237"/>
      <c r="Z1702" s="237"/>
      <c r="AA1702" s="237"/>
      <c r="AB1702" s="237"/>
    </row>
    <row r="1703">
      <c r="A1703" s="238">
        <v>1704.0</v>
      </c>
      <c r="B1703" s="242"/>
      <c r="C1703" s="240" t="s">
        <v>10707</v>
      </c>
      <c r="D1703" s="236"/>
      <c r="E1703" s="241" t="s">
        <v>1420</v>
      </c>
      <c r="F1703" s="241" t="s">
        <v>10708</v>
      </c>
      <c r="G1703" s="238" t="s">
        <v>10709</v>
      </c>
      <c r="H1703" s="241" t="s">
        <v>10710</v>
      </c>
      <c r="I1703" s="237"/>
      <c r="J1703" s="256" t="s">
        <v>10622</v>
      </c>
      <c r="K1703" s="242"/>
      <c r="L1703" s="254" t="s">
        <v>10623</v>
      </c>
      <c r="M1703" s="237"/>
      <c r="N1703" s="237"/>
      <c r="O1703" s="237"/>
      <c r="P1703" s="237"/>
      <c r="Q1703" s="237"/>
      <c r="R1703" s="237"/>
      <c r="S1703" s="237"/>
      <c r="T1703" s="237"/>
      <c r="U1703" s="237"/>
      <c r="V1703" s="237"/>
      <c r="W1703" s="237"/>
      <c r="X1703" s="237"/>
      <c r="Y1703" s="237"/>
      <c r="Z1703" s="237"/>
      <c r="AA1703" s="237"/>
      <c r="AB1703" s="237"/>
    </row>
    <row r="1704">
      <c r="A1704" s="238">
        <v>1705.0</v>
      </c>
      <c r="B1704" s="259" t="s">
        <v>10711</v>
      </c>
      <c r="C1704" s="240" t="s">
        <v>10712</v>
      </c>
      <c r="D1704" s="236"/>
      <c r="E1704" s="240" t="s">
        <v>3511</v>
      </c>
      <c r="F1704" s="241" t="s">
        <v>10713</v>
      </c>
      <c r="G1704" s="238" t="s">
        <v>10714</v>
      </c>
      <c r="H1704" s="240" t="s">
        <v>10715</v>
      </c>
      <c r="I1704" s="237"/>
      <c r="J1704" s="256" t="s">
        <v>10622</v>
      </c>
      <c r="K1704" s="259" t="s">
        <v>10711</v>
      </c>
      <c r="L1704" s="237"/>
      <c r="M1704" s="237"/>
      <c r="N1704" s="237"/>
      <c r="O1704" s="237"/>
      <c r="P1704" s="237"/>
      <c r="Q1704" s="237"/>
      <c r="R1704" s="237"/>
      <c r="S1704" s="237"/>
      <c r="T1704" s="237"/>
      <c r="U1704" s="237"/>
      <c r="V1704" s="237"/>
      <c r="W1704" s="237"/>
      <c r="X1704" s="237"/>
      <c r="Y1704" s="237"/>
      <c r="Z1704" s="237"/>
      <c r="AA1704" s="237"/>
      <c r="AB1704" s="237"/>
    </row>
    <row r="1705">
      <c r="A1705" s="238">
        <v>1706.0</v>
      </c>
      <c r="B1705" s="242"/>
      <c r="C1705" s="240" t="s">
        <v>10716</v>
      </c>
      <c r="D1705" s="236"/>
      <c r="E1705" s="240" t="s">
        <v>3511</v>
      </c>
      <c r="F1705" s="241" t="s">
        <v>10717</v>
      </c>
      <c r="G1705" s="238" t="s">
        <v>10718</v>
      </c>
      <c r="H1705" s="240" t="s">
        <v>10719</v>
      </c>
      <c r="I1705" s="237"/>
      <c r="J1705" s="256" t="s">
        <v>10622</v>
      </c>
      <c r="K1705" s="242"/>
      <c r="L1705" s="237"/>
      <c r="M1705" s="237"/>
      <c r="N1705" s="237"/>
      <c r="O1705" s="237"/>
      <c r="P1705" s="237"/>
      <c r="Q1705" s="237"/>
      <c r="R1705" s="237"/>
      <c r="S1705" s="237"/>
      <c r="T1705" s="237"/>
      <c r="U1705" s="237"/>
      <c r="V1705" s="237"/>
      <c r="W1705" s="237"/>
      <c r="X1705" s="237"/>
      <c r="Y1705" s="237"/>
      <c r="Z1705" s="237"/>
      <c r="AA1705" s="237"/>
      <c r="AB1705" s="237"/>
    </row>
    <row r="1706">
      <c r="A1706" s="238">
        <v>1707.0</v>
      </c>
      <c r="B1706" s="239" t="s">
        <v>10720</v>
      </c>
      <c r="C1706" s="240" t="s">
        <v>10721</v>
      </c>
      <c r="D1706" s="236"/>
      <c r="E1706" s="240" t="s">
        <v>3511</v>
      </c>
      <c r="F1706" s="241" t="s">
        <v>10722</v>
      </c>
      <c r="G1706" s="238" t="s">
        <v>10723</v>
      </c>
      <c r="H1706" s="240" t="s">
        <v>10724</v>
      </c>
      <c r="I1706" s="237"/>
      <c r="J1706" s="256" t="s">
        <v>10622</v>
      </c>
      <c r="K1706" s="239" t="s">
        <v>10720</v>
      </c>
      <c r="L1706" s="237"/>
      <c r="M1706" s="237"/>
      <c r="N1706" s="237"/>
      <c r="O1706" s="237"/>
      <c r="P1706" s="237"/>
      <c r="Q1706" s="237"/>
      <c r="R1706" s="237"/>
      <c r="S1706" s="237"/>
      <c r="T1706" s="237"/>
      <c r="U1706" s="237"/>
      <c r="V1706" s="237"/>
      <c r="W1706" s="237"/>
      <c r="X1706" s="237"/>
      <c r="Y1706" s="237"/>
      <c r="Z1706" s="237"/>
      <c r="AA1706" s="237"/>
      <c r="AB1706" s="237"/>
    </row>
    <row r="1707">
      <c r="A1707" s="238">
        <v>1708.0</v>
      </c>
      <c r="B1707" s="242"/>
      <c r="C1707" s="240" t="s">
        <v>10725</v>
      </c>
      <c r="D1707" s="236"/>
      <c r="E1707" s="240" t="s">
        <v>3511</v>
      </c>
      <c r="F1707" s="241" t="s">
        <v>10726</v>
      </c>
      <c r="G1707" s="238" t="s">
        <v>10727</v>
      </c>
      <c r="H1707" s="240" t="s">
        <v>10728</v>
      </c>
      <c r="I1707" s="237"/>
      <c r="J1707" s="256" t="s">
        <v>10622</v>
      </c>
      <c r="K1707" s="242"/>
      <c r="L1707" s="237"/>
      <c r="M1707" s="237"/>
      <c r="N1707" s="237"/>
      <c r="O1707" s="237"/>
      <c r="P1707" s="237"/>
      <c r="Q1707" s="237"/>
      <c r="R1707" s="237"/>
      <c r="S1707" s="237"/>
      <c r="T1707" s="237"/>
      <c r="U1707" s="237"/>
      <c r="V1707" s="237"/>
      <c r="W1707" s="237"/>
      <c r="X1707" s="237"/>
      <c r="Y1707" s="237"/>
      <c r="Z1707" s="237"/>
      <c r="AA1707" s="237"/>
      <c r="AB1707" s="237"/>
    </row>
    <row r="1708">
      <c r="A1708" s="238">
        <v>1709.0</v>
      </c>
      <c r="B1708" s="239" t="s">
        <v>10729</v>
      </c>
      <c r="C1708" s="240" t="s">
        <v>10730</v>
      </c>
      <c r="D1708" s="236"/>
      <c r="E1708" s="240" t="s">
        <v>3511</v>
      </c>
      <c r="F1708" s="241" t="s">
        <v>10731</v>
      </c>
      <c r="G1708" s="238" t="s">
        <v>10732</v>
      </c>
      <c r="H1708" s="240" t="s">
        <v>10733</v>
      </c>
      <c r="I1708" s="237"/>
      <c r="J1708" s="256" t="s">
        <v>10622</v>
      </c>
      <c r="K1708" s="239" t="s">
        <v>10729</v>
      </c>
      <c r="L1708" s="237"/>
      <c r="M1708" s="237"/>
      <c r="N1708" s="237"/>
      <c r="O1708" s="237"/>
      <c r="P1708" s="237"/>
      <c r="Q1708" s="237"/>
      <c r="R1708" s="237"/>
      <c r="S1708" s="237"/>
      <c r="T1708" s="237"/>
      <c r="U1708" s="237"/>
      <c r="V1708" s="237"/>
      <c r="W1708" s="237"/>
      <c r="X1708" s="237"/>
      <c r="Y1708" s="237"/>
      <c r="Z1708" s="237"/>
      <c r="AA1708" s="237"/>
      <c r="AB1708" s="237"/>
    </row>
    <row r="1709">
      <c r="A1709" s="238">
        <v>1710.0</v>
      </c>
      <c r="B1709" s="242"/>
      <c r="C1709" s="240" t="s">
        <v>10734</v>
      </c>
      <c r="D1709" s="236"/>
      <c r="E1709" s="240" t="s">
        <v>3511</v>
      </c>
      <c r="F1709" s="241" t="s">
        <v>10735</v>
      </c>
      <c r="G1709" s="238" t="s">
        <v>10736</v>
      </c>
      <c r="H1709" s="240" t="s">
        <v>10737</v>
      </c>
      <c r="I1709" s="237"/>
      <c r="J1709" s="256" t="s">
        <v>10622</v>
      </c>
      <c r="K1709" s="242"/>
      <c r="L1709" s="237"/>
      <c r="M1709" s="237"/>
      <c r="N1709" s="237"/>
      <c r="O1709" s="237"/>
      <c r="P1709" s="237"/>
      <c r="Q1709" s="237"/>
      <c r="R1709" s="237"/>
      <c r="S1709" s="237"/>
      <c r="T1709" s="237"/>
      <c r="U1709" s="237"/>
      <c r="V1709" s="237"/>
      <c r="W1709" s="237"/>
      <c r="X1709" s="237"/>
      <c r="Y1709" s="237"/>
      <c r="Z1709" s="237"/>
      <c r="AA1709" s="237"/>
      <c r="AB1709" s="237"/>
    </row>
    <row r="1710">
      <c r="A1710" s="238">
        <v>1711.0</v>
      </c>
      <c r="B1710" s="239" t="s">
        <v>10738</v>
      </c>
      <c r="C1710" s="240" t="s">
        <v>10739</v>
      </c>
      <c r="D1710" s="236"/>
      <c r="E1710" s="240" t="s">
        <v>3511</v>
      </c>
      <c r="F1710" s="241" t="s">
        <v>10740</v>
      </c>
      <c r="G1710" s="238" t="s">
        <v>10741</v>
      </c>
      <c r="H1710" s="240" t="s">
        <v>10742</v>
      </c>
      <c r="I1710" s="237"/>
      <c r="J1710" s="256" t="s">
        <v>5366</v>
      </c>
      <c r="K1710" s="239" t="s">
        <v>10738</v>
      </c>
      <c r="L1710" s="237"/>
      <c r="M1710" s="237"/>
      <c r="N1710" s="237"/>
      <c r="O1710" s="237"/>
      <c r="P1710" s="237"/>
      <c r="Q1710" s="237"/>
      <c r="R1710" s="237"/>
      <c r="S1710" s="237"/>
      <c r="T1710" s="237"/>
      <c r="U1710" s="237"/>
      <c r="V1710" s="237"/>
      <c r="W1710" s="237"/>
      <c r="X1710" s="237"/>
      <c r="Y1710" s="237"/>
      <c r="Z1710" s="237"/>
      <c r="AA1710" s="237"/>
      <c r="AB1710" s="237"/>
    </row>
    <row r="1711">
      <c r="A1711" s="238">
        <v>1712.0</v>
      </c>
      <c r="B1711" s="239" t="s">
        <v>10743</v>
      </c>
      <c r="C1711" s="240" t="s">
        <v>10744</v>
      </c>
      <c r="D1711" s="236"/>
      <c r="E1711" s="240" t="s">
        <v>3511</v>
      </c>
      <c r="F1711" s="241" t="s">
        <v>10745</v>
      </c>
      <c r="G1711" s="238" t="s">
        <v>10746</v>
      </c>
      <c r="H1711" s="240" t="s">
        <v>10747</v>
      </c>
      <c r="I1711" s="237"/>
      <c r="J1711" s="256" t="s">
        <v>5366</v>
      </c>
      <c r="K1711" s="239" t="s">
        <v>10743</v>
      </c>
      <c r="L1711" s="237"/>
      <c r="M1711" s="237"/>
      <c r="N1711" s="237"/>
      <c r="O1711" s="237"/>
      <c r="P1711" s="237"/>
      <c r="Q1711" s="237"/>
      <c r="R1711" s="237"/>
      <c r="S1711" s="237"/>
      <c r="T1711" s="237"/>
      <c r="U1711" s="237"/>
      <c r="V1711" s="237"/>
      <c r="W1711" s="237"/>
      <c r="X1711" s="237"/>
      <c r="Y1711" s="237"/>
      <c r="Z1711" s="237"/>
      <c r="AA1711" s="237"/>
      <c r="AB1711" s="237"/>
    </row>
    <row r="1712">
      <c r="A1712" s="238">
        <v>1713.0</v>
      </c>
      <c r="B1712" s="239" t="s">
        <v>5367</v>
      </c>
      <c r="C1712" s="240" t="s">
        <v>10748</v>
      </c>
      <c r="D1712" s="236"/>
      <c r="E1712" s="240" t="s">
        <v>3511</v>
      </c>
      <c r="F1712" s="241" t="s">
        <v>10749</v>
      </c>
      <c r="G1712" s="238" t="s">
        <v>10750</v>
      </c>
      <c r="H1712" s="240" t="s">
        <v>10751</v>
      </c>
      <c r="I1712" s="237"/>
      <c r="J1712" s="256" t="s">
        <v>5366</v>
      </c>
      <c r="K1712" s="239" t="s">
        <v>5367</v>
      </c>
      <c r="L1712" s="237"/>
      <c r="M1712" s="237"/>
      <c r="N1712" s="237"/>
      <c r="O1712" s="237"/>
      <c r="P1712" s="237"/>
      <c r="Q1712" s="237"/>
      <c r="R1712" s="237"/>
      <c r="S1712" s="237"/>
      <c r="T1712" s="237"/>
      <c r="U1712" s="237"/>
      <c r="V1712" s="237"/>
      <c r="W1712" s="237"/>
      <c r="X1712" s="237"/>
      <c r="Y1712" s="237"/>
      <c r="Z1712" s="237"/>
      <c r="AA1712" s="237"/>
      <c r="AB1712" s="237"/>
    </row>
    <row r="1713">
      <c r="A1713" s="238">
        <v>1714.0</v>
      </c>
      <c r="B1713" s="239" t="s">
        <v>10752</v>
      </c>
      <c r="C1713" s="240" t="s">
        <v>10753</v>
      </c>
      <c r="D1713" s="236"/>
      <c r="E1713" s="240" t="s">
        <v>3511</v>
      </c>
      <c r="F1713" s="240" t="s">
        <v>10754</v>
      </c>
      <c r="G1713" s="238" t="s">
        <v>10755</v>
      </c>
      <c r="H1713" s="240" t="s">
        <v>10756</v>
      </c>
      <c r="I1713" s="237"/>
      <c r="J1713" s="256" t="s">
        <v>5366</v>
      </c>
      <c r="K1713" s="239" t="s">
        <v>10752</v>
      </c>
      <c r="L1713" s="237"/>
      <c r="M1713" s="237"/>
      <c r="N1713" s="237"/>
      <c r="O1713" s="237"/>
      <c r="P1713" s="237"/>
      <c r="Q1713" s="237"/>
      <c r="R1713" s="237"/>
      <c r="S1713" s="237"/>
      <c r="T1713" s="237"/>
      <c r="U1713" s="237"/>
      <c r="V1713" s="237"/>
      <c r="W1713" s="237"/>
      <c r="X1713" s="237"/>
      <c r="Y1713" s="237"/>
      <c r="Z1713" s="237"/>
      <c r="AA1713" s="237"/>
      <c r="AB1713" s="237"/>
    </row>
    <row r="1714">
      <c r="A1714" s="238">
        <v>1715.0</v>
      </c>
      <c r="B1714" s="239" t="s">
        <v>5374</v>
      </c>
      <c r="C1714" s="240" t="s">
        <v>10757</v>
      </c>
      <c r="D1714" s="236"/>
      <c r="E1714" s="240" t="s">
        <v>3511</v>
      </c>
      <c r="F1714" s="240" t="s">
        <v>10758</v>
      </c>
      <c r="G1714" s="238" t="s">
        <v>10759</v>
      </c>
      <c r="H1714" s="240" t="s">
        <v>10760</v>
      </c>
      <c r="I1714" s="237"/>
      <c r="J1714" s="256" t="s">
        <v>5366</v>
      </c>
      <c r="K1714" s="239" t="s">
        <v>5374</v>
      </c>
      <c r="L1714" s="237"/>
      <c r="M1714" s="237"/>
      <c r="N1714" s="237"/>
      <c r="O1714" s="237"/>
      <c r="P1714" s="237"/>
      <c r="Q1714" s="237"/>
      <c r="R1714" s="237"/>
      <c r="S1714" s="237"/>
      <c r="T1714" s="237"/>
      <c r="U1714" s="237"/>
      <c r="V1714" s="237"/>
      <c r="W1714" s="237"/>
      <c r="X1714" s="237"/>
      <c r="Y1714" s="237"/>
      <c r="Z1714" s="237"/>
      <c r="AA1714" s="237"/>
      <c r="AB1714" s="237"/>
    </row>
    <row r="1715">
      <c r="A1715" s="238">
        <v>1716.0</v>
      </c>
      <c r="B1715" s="239" t="s">
        <v>10761</v>
      </c>
      <c r="C1715" s="240" t="s">
        <v>10762</v>
      </c>
      <c r="D1715" s="236"/>
      <c r="E1715" s="240" t="s">
        <v>3511</v>
      </c>
      <c r="F1715" s="240" t="s">
        <v>10763</v>
      </c>
      <c r="G1715" s="238" t="s">
        <v>10764</v>
      </c>
      <c r="H1715" s="240" t="s">
        <v>10765</v>
      </c>
      <c r="I1715" s="237"/>
      <c r="J1715" s="256" t="s">
        <v>5366</v>
      </c>
      <c r="K1715" s="239" t="s">
        <v>10761</v>
      </c>
      <c r="L1715" s="237"/>
      <c r="M1715" s="237"/>
      <c r="N1715" s="237"/>
      <c r="O1715" s="237"/>
      <c r="P1715" s="237"/>
      <c r="Q1715" s="237"/>
      <c r="R1715" s="237"/>
      <c r="S1715" s="237"/>
      <c r="T1715" s="237"/>
      <c r="U1715" s="237"/>
      <c r="V1715" s="237"/>
      <c r="W1715" s="237"/>
      <c r="X1715" s="237"/>
      <c r="Y1715" s="237"/>
      <c r="Z1715" s="237"/>
      <c r="AA1715" s="237"/>
      <c r="AB1715" s="237"/>
    </row>
    <row r="1716">
      <c r="A1716" s="238">
        <v>1717.0</v>
      </c>
      <c r="B1716" s="239" t="s">
        <v>10766</v>
      </c>
      <c r="C1716" s="240" t="s">
        <v>10767</v>
      </c>
      <c r="D1716" s="236"/>
      <c r="E1716" s="240" t="s">
        <v>3511</v>
      </c>
      <c r="F1716" s="240" t="s">
        <v>10768</v>
      </c>
      <c r="G1716" s="238" t="s">
        <v>10769</v>
      </c>
      <c r="H1716" s="240" t="s">
        <v>10770</v>
      </c>
      <c r="I1716" s="237"/>
      <c r="J1716" s="256" t="s">
        <v>5366</v>
      </c>
      <c r="K1716" s="239" t="s">
        <v>10766</v>
      </c>
      <c r="L1716" s="237"/>
      <c r="M1716" s="237"/>
      <c r="N1716" s="237"/>
      <c r="O1716" s="237"/>
      <c r="P1716" s="237"/>
      <c r="Q1716" s="237"/>
      <c r="R1716" s="237"/>
      <c r="S1716" s="237"/>
      <c r="T1716" s="237"/>
      <c r="U1716" s="237"/>
      <c r="V1716" s="237"/>
      <c r="W1716" s="237"/>
      <c r="X1716" s="237"/>
      <c r="Y1716" s="237"/>
      <c r="Z1716" s="237"/>
      <c r="AA1716" s="237"/>
      <c r="AB1716" s="237"/>
    </row>
    <row r="1717">
      <c r="A1717" s="238">
        <v>1718.0</v>
      </c>
      <c r="B1717" s="239" t="s">
        <v>10771</v>
      </c>
      <c r="C1717" s="240" t="s">
        <v>10772</v>
      </c>
      <c r="D1717" s="236"/>
      <c r="E1717" s="240" t="s">
        <v>3511</v>
      </c>
      <c r="F1717" s="240" t="s">
        <v>10773</v>
      </c>
      <c r="G1717" s="238" t="s">
        <v>10774</v>
      </c>
      <c r="H1717" s="240" t="s">
        <v>10775</v>
      </c>
      <c r="I1717" s="237"/>
      <c r="J1717" s="256" t="s">
        <v>5366</v>
      </c>
      <c r="K1717" s="239" t="s">
        <v>10771</v>
      </c>
      <c r="L1717" s="237"/>
      <c r="M1717" s="237"/>
      <c r="N1717" s="237"/>
      <c r="O1717" s="237"/>
      <c r="P1717" s="237"/>
      <c r="Q1717" s="237"/>
      <c r="R1717" s="237"/>
      <c r="S1717" s="237"/>
      <c r="T1717" s="237"/>
      <c r="U1717" s="237"/>
      <c r="V1717" s="237"/>
      <c r="W1717" s="237"/>
      <c r="X1717" s="237"/>
      <c r="Y1717" s="237"/>
      <c r="Z1717" s="237"/>
      <c r="AA1717" s="237"/>
      <c r="AB1717" s="237"/>
    </row>
    <row r="1718">
      <c r="A1718" s="238">
        <v>1719.0</v>
      </c>
      <c r="B1718" s="250" t="s">
        <v>10776</v>
      </c>
      <c r="C1718" s="241" t="s">
        <v>10777</v>
      </c>
      <c r="D1718" s="236"/>
      <c r="E1718" s="240" t="s">
        <v>3511</v>
      </c>
      <c r="F1718" s="241" t="s">
        <v>10778</v>
      </c>
      <c r="G1718" s="238" t="s">
        <v>10779</v>
      </c>
      <c r="H1718" s="241" t="s">
        <v>10780</v>
      </c>
      <c r="I1718" s="237"/>
      <c r="J1718" s="256" t="s">
        <v>10224</v>
      </c>
      <c r="K1718" s="250" t="s">
        <v>10776</v>
      </c>
      <c r="L1718" s="237"/>
      <c r="M1718" s="237"/>
      <c r="N1718" s="237"/>
      <c r="O1718" s="237"/>
      <c r="P1718" s="237"/>
      <c r="Q1718" s="237"/>
      <c r="R1718" s="237"/>
      <c r="S1718" s="237"/>
      <c r="T1718" s="237"/>
      <c r="U1718" s="237"/>
      <c r="V1718" s="237"/>
      <c r="W1718" s="237"/>
      <c r="X1718" s="237"/>
      <c r="Y1718" s="237"/>
      <c r="Z1718" s="237"/>
      <c r="AA1718" s="237"/>
      <c r="AB1718" s="237"/>
    </row>
    <row r="1719">
      <c r="A1719" s="238">
        <v>1720.0</v>
      </c>
      <c r="B1719" s="242"/>
      <c r="C1719" s="240" t="s">
        <v>10781</v>
      </c>
      <c r="D1719" s="236"/>
      <c r="E1719" s="240" t="s">
        <v>3511</v>
      </c>
      <c r="F1719" s="240" t="s">
        <v>10782</v>
      </c>
      <c r="G1719" s="238" t="s">
        <v>10783</v>
      </c>
      <c r="H1719" s="240" t="s">
        <v>10784</v>
      </c>
      <c r="I1719" s="237"/>
      <c r="J1719" s="256" t="s">
        <v>10224</v>
      </c>
      <c r="K1719" s="242"/>
      <c r="L1719" s="237"/>
      <c r="M1719" s="237"/>
      <c r="N1719" s="237"/>
      <c r="O1719" s="237"/>
      <c r="P1719" s="237"/>
      <c r="Q1719" s="237"/>
      <c r="R1719" s="237"/>
      <c r="S1719" s="237"/>
      <c r="T1719" s="237"/>
      <c r="U1719" s="237"/>
      <c r="V1719" s="237"/>
      <c r="W1719" s="237"/>
      <c r="X1719" s="237"/>
      <c r="Y1719" s="237"/>
      <c r="Z1719" s="237"/>
      <c r="AA1719" s="237"/>
      <c r="AB1719" s="237"/>
    </row>
    <row r="1720">
      <c r="A1720" s="238">
        <v>1721.0</v>
      </c>
      <c r="B1720" s="242"/>
      <c r="C1720" s="240" t="s">
        <v>10785</v>
      </c>
      <c r="D1720" s="236"/>
      <c r="E1720" s="240" t="s">
        <v>8706</v>
      </c>
      <c r="F1720" s="240" t="s">
        <v>10786</v>
      </c>
      <c r="G1720" s="238" t="s">
        <v>10234</v>
      </c>
      <c r="H1720" s="236"/>
      <c r="I1720" s="237"/>
      <c r="J1720" s="256" t="s">
        <v>10224</v>
      </c>
      <c r="K1720" s="242"/>
      <c r="L1720" s="237"/>
      <c r="M1720" s="237"/>
      <c r="N1720" s="237"/>
      <c r="O1720" s="237"/>
      <c r="P1720" s="237"/>
      <c r="Q1720" s="237"/>
      <c r="R1720" s="237"/>
      <c r="S1720" s="237"/>
      <c r="T1720" s="237"/>
      <c r="U1720" s="237"/>
      <c r="V1720" s="237"/>
      <c r="W1720" s="237"/>
      <c r="X1720" s="237"/>
      <c r="Y1720" s="237"/>
      <c r="Z1720" s="237"/>
      <c r="AA1720" s="237"/>
      <c r="AB1720" s="237"/>
    </row>
    <row r="1721">
      <c r="A1721" s="238">
        <v>1722.0</v>
      </c>
      <c r="B1721" s="242"/>
      <c r="C1721" s="240" t="s">
        <v>10787</v>
      </c>
      <c r="D1721" s="236"/>
      <c r="E1721" s="240" t="s">
        <v>3511</v>
      </c>
      <c r="F1721" s="240" t="s">
        <v>10788</v>
      </c>
      <c r="G1721" s="238" t="s">
        <v>10789</v>
      </c>
      <c r="H1721" s="241" t="s">
        <v>10790</v>
      </c>
      <c r="I1721" s="237"/>
      <c r="J1721" s="256" t="s">
        <v>10224</v>
      </c>
      <c r="K1721" s="242"/>
      <c r="L1721" s="237"/>
      <c r="M1721" s="237"/>
      <c r="N1721" s="237"/>
      <c r="O1721" s="237"/>
      <c r="P1721" s="237"/>
      <c r="Q1721" s="237"/>
      <c r="R1721" s="237"/>
      <c r="S1721" s="237"/>
      <c r="T1721" s="237"/>
      <c r="U1721" s="237"/>
      <c r="V1721" s="237"/>
      <c r="W1721" s="237"/>
      <c r="X1721" s="237"/>
      <c r="Y1721" s="237"/>
      <c r="Z1721" s="237"/>
      <c r="AA1721" s="237"/>
      <c r="AB1721" s="237"/>
    </row>
    <row r="1722">
      <c r="A1722" s="238">
        <v>1723.0</v>
      </c>
      <c r="B1722" s="242"/>
      <c r="C1722" s="240" t="s">
        <v>10791</v>
      </c>
      <c r="D1722" s="236"/>
      <c r="E1722" s="240" t="s">
        <v>3511</v>
      </c>
      <c r="F1722" s="240" t="s">
        <v>10792</v>
      </c>
      <c r="G1722" s="238" t="s">
        <v>10793</v>
      </c>
      <c r="H1722" s="240" t="s">
        <v>10794</v>
      </c>
      <c r="I1722" s="237"/>
      <c r="J1722" s="256" t="s">
        <v>10224</v>
      </c>
      <c r="K1722" s="242"/>
      <c r="L1722" s="237"/>
      <c r="M1722" s="237"/>
      <c r="N1722" s="237"/>
      <c r="O1722" s="237"/>
      <c r="P1722" s="237"/>
      <c r="Q1722" s="237"/>
      <c r="R1722" s="237"/>
      <c r="S1722" s="237"/>
      <c r="T1722" s="237"/>
      <c r="U1722" s="237"/>
      <c r="V1722" s="237"/>
      <c r="W1722" s="237"/>
      <c r="X1722" s="237"/>
      <c r="Y1722" s="237"/>
      <c r="Z1722" s="237"/>
      <c r="AA1722" s="237"/>
      <c r="AB1722" s="237"/>
    </row>
    <row r="1723">
      <c r="A1723" s="238">
        <v>1724.0</v>
      </c>
      <c r="B1723" s="242"/>
      <c r="C1723" s="240" t="s">
        <v>10795</v>
      </c>
      <c r="D1723" s="236"/>
      <c r="E1723" s="240" t="s">
        <v>3511</v>
      </c>
      <c r="F1723" s="240" t="s">
        <v>10796</v>
      </c>
      <c r="G1723" s="238" t="s">
        <v>10797</v>
      </c>
      <c r="H1723" s="240" t="s">
        <v>10798</v>
      </c>
      <c r="I1723" s="237"/>
      <c r="J1723" s="256" t="s">
        <v>10224</v>
      </c>
      <c r="K1723" s="242"/>
      <c r="L1723" s="237"/>
      <c r="M1723" s="237"/>
      <c r="N1723" s="237"/>
      <c r="O1723" s="237"/>
      <c r="P1723" s="237"/>
      <c r="Q1723" s="237"/>
      <c r="R1723" s="237"/>
      <c r="S1723" s="237"/>
      <c r="T1723" s="237"/>
      <c r="U1723" s="237"/>
      <c r="V1723" s="237"/>
      <c r="W1723" s="237"/>
      <c r="X1723" s="237"/>
      <c r="Y1723" s="237"/>
      <c r="Z1723" s="237"/>
      <c r="AA1723" s="237"/>
      <c r="AB1723" s="237"/>
    </row>
    <row r="1724">
      <c r="A1724" s="238">
        <v>1725.0</v>
      </c>
      <c r="B1724" s="242"/>
      <c r="C1724" s="240" t="s">
        <v>10799</v>
      </c>
      <c r="D1724" s="236"/>
      <c r="E1724" s="240" t="s">
        <v>3511</v>
      </c>
      <c r="F1724" s="240" t="s">
        <v>10800</v>
      </c>
      <c r="G1724" s="238" t="s">
        <v>10801</v>
      </c>
      <c r="H1724" s="237" t="s">
        <v>10802</v>
      </c>
      <c r="I1724" s="237"/>
      <c r="J1724" s="256" t="s">
        <v>10224</v>
      </c>
      <c r="K1724" s="242"/>
      <c r="L1724" s="237"/>
      <c r="M1724" s="237"/>
      <c r="N1724" s="237"/>
      <c r="O1724" s="237"/>
      <c r="P1724" s="237"/>
      <c r="Q1724" s="237"/>
      <c r="R1724" s="237"/>
      <c r="S1724" s="237"/>
      <c r="T1724" s="237"/>
      <c r="U1724" s="237"/>
      <c r="V1724" s="237"/>
      <c r="W1724" s="237"/>
      <c r="X1724" s="237"/>
      <c r="Y1724" s="237"/>
      <c r="Z1724" s="237"/>
      <c r="AA1724" s="237"/>
      <c r="AB1724" s="237"/>
    </row>
    <row r="1725">
      <c r="A1725" s="238">
        <v>1726.0</v>
      </c>
      <c r="B1725" s="242"/>
      <c r="C1725" s="240" t="s">
        <v>10803</v>
      </c>
      <c r="D1725" s="236"/>
      <c r="E1725" s="240" t="s">
        <v>3511</v>
      </c>
      <c r="F1725" s="240" t="s">
        <v>10804</v>
      </c>
      <c r="G1725" s="238" t="s">
        <v>10805</v>
      </c>
      <c r="H1725" s="240" t="s">
        <v>10806</v>
      </c>
      <c r="I1725" s="237"/>
      <c r="J1725" s="256" t="s">
        <v>9677</v>
      </c>
      <c r="K1725" s="242"/>
      <c r="L1725" s="237"/>
      <c r="M1725" s="237"/>
      <c r="N1725" s="237"/>
      <c r="O1725" s="237"/>
      <c r="P1725" s="237"/>
      <c r="Q1725" s="237"/>
      <c r="R1725" s="237"/>
      <c r="S1725" s="237"/>
      <c r="T1725" s="237"/>
      <c r="U1725" s="237"/>
      <c r="V1725" s="237"/>
      <c r="W1725" s="237"/>
      <c r="X1725" s="237"/>
      <c r="Y1725" s="237"/>
      <c r="Z1725" s="237"/>
      <c r="AA1725" s="237"/>
      <c r="AB1725" s="237"/>
    </row>
    <row r="1726">
      <c r="A1726" s="238">
        <v>1727.0</v>
      </c>
      <c r="B1726" s="242"/>
      <c r="C1726" s="240" t="s">
        <v>10807</v>
      </c>
      <c r="D1726" s="236"/>
      <c r="E1726" s="240" t="s">
        <v>3511</v>
      </c>
      <c r="F1726" s="240" t="s">
        <v>10808</v>
      </c>
      <c r="G1726" s="238" t="s">
        <v>10809</v>
      </c>
      <c r="H1726" s="236"/>
      <c r="I1726" s="237"/>
      <c r="J1726" s="256" t="s">
        <v>9677</v>
      </c>
      <c r="K1726" s="242"/>
      <c r="L1726" s="237"/>
      <c r="M1726" s="237"/>
      <c r="N1726" s="237"/>
      <c r="O1726" s="237"/>
      <c r="P1726" s="237"/>
      <c r="Q1726" s="237"/>
      <c r="R1726" s="237"/>
      <c r="S1726" s="237"/>
      <c r="T1726" s="237"/>
      <c r="U1726" s="237"/>
      <c r="V1726" s="237"/>
      <c r="W1726" s="237"/>
      <c r="X1726" s="237"/>
      <c r="Y1726" s="237"/>
      <c r="Z1726" s="237"/>
      <c r="AA1726" s="237"/>
      <c r="AB1726" s="237"/>
    </row>
    <row r="1727">
      <c r="A1727" s="238">
        <v>1728.0</v>
      </c>
      <c r="B1727" s="242"/>
      <c r="C1727" s="240" t="s">
        <v>10810</v>
      </c>
      <c r="D1727" s="236"/>
      <c r="E1727" s="240" t="s">
        <v>3511</v>
      </c>
      <c r="F1727" s="240" t="s">
        <v>10811</v>
      </c>
      <c r="G1727" s="238" t="s">
        <v>10812</v>
      </c>
      <c r="H1727" s="240" t="s">
        <v>10813</v>
      </c>
      <c r="I1727" s="237"/>
      <c r="J1727" s="256" t="s">
        <v>3515</v>
      </c>
      <c r="K1727" s="242"/>
      <c r="L1727" s="237"/>
      <c r="M1727" s="237"/>
      <c r="N1727" s="237"/>
      <c r="O1727" s="237"/>
      <c r="P1727" s="237"/>
      <c r="Q1727" s="237"/>
      <c r="R1727" s="237"/>
      <c r="S1727" s="237"/>
      <c r="T1727" s="237"/>
      <c r="U1727" s="237"/>
      <c r="V1727" s="237"/>
      <c r="W1727" s="237"/>
      <c r="X1727" s="237"/>
      <c r="Y1727" s="237"/>
      <c r="Z1727" s="237"/>
      <c r="AA1727" s="237"/>
      <c r="AB1727" s="237"/>
    </row>
    <row r="1728">
      <c r="A1728" s="238">
        <v>1729.0</v>
      </c>
      <c r="B1728" s="242"/>
      <c r="C1728" s="240" t="s">
        <v>10814</v>
      </c>
      <c r="D1728" s="236"/>
      <c r="E1728" s="240" t="s">
        <v>3511</v>
      </c>
      <c r="F1728" s="240" t="s">
        <v>10811</v>
      </c>
      <c r="G1728" s="238" t="s">
        <v>10815</v>
      </c>
      <c r="H1728" s="240" t="s">
        <v>10816</v>
      </c>
      <c r="I1728" s="237"/>
      <c r="J1728" s="256" t="s">
        <v>3515</v>
      </c>
      <c r="K1728" s="242"/>
      <c r="L1728" s="237"/>
      <c r="M1728" s="237"/>
      <c r="N1728" s="237"/>
      <c r="O1728" s="237"/>
      <c r="P1728" s="237"/>
      <c r="Q1728" s="237"/>
      <c r="R1728" s="237"/>
      <c r="S1728" s="237"/>
      <c r="T1728" s="237"/>
      <c r="U1728" s="237"/>
      <c r="V1728" s="237"/>
      <c r="W1728" s="237"/>
      <c r="X1728" s="237"/>
      <c r="Y1728" s="237"/>
      <c r="Z1728" s="237"/>
      <c r="AA1728" s="237"/>
      <c r="AB1728" s="237"/>
    </row>
    <row r="1729">
      <c r="A1729" s="238">
        <v>1730.0</v>
      </c>
      <c r="B1729" s="242"/>
      <c r="C1729" s="240" t="s">
        <v>10817</v>
      </c>
      <c r="D1729" s="236"/>
      <c r="E1729" s="240" t="s">
        <v>3511</v>
      </c>
      <c r="F1729" s="240" t="s">
        <v>10818</v>
      </c>
      <c r="G1729" s="238" t="s">
        <v>10819</v>
      </c>
      <c r="H1729" s="240" t="s">
        <v>10820</v>
      </c>
      <c r="I1729" s="237"/>
      <c r="J1729" s="256" t="s">
        <v>9677</v>
      </c>
      <c r="K1729" s="242"/>
      <c r="L1729" s="237"/>
      <c r="M1729" s="237"/>
      <c r="N1729" s="237"/>
      <c r="O1729" s="237"/>
      <c r="P1729" s="237"/>
      <c r="Q1729" s="237"/>
      <c r="R1729" s="237"/>
      <c r="S1729" s="237"/>
      <c r="T1729" s="237"/>
      <c r="U1729" s="237"/>
      <c r="V1729" s="237"/>
      <c r="W1729" s="237"/>
      <c r="X1729" s="237"/>
      <c r="Y1729" s="237"/>
      <c r="Z1729" s="237"/>
      <c r="AA1729" s="237"/>
      <c r="AB1729" s="237"/>
    </row>
    <row r="1730">
      <c r="A1730" s="238">
        <v>1731.0</v>
      </c>
      <c r="B1730" s="239" t="s">
        <v>10821</v>
      </c>
      <c r="C1730" s="240" t="s">
        <v>10822</v>
      </c>
      <c r="D1730" s="236"/>
      <c r="E1730" s="240" t="s">
        <v>3511</v>
      </c>
      <c r="F1730" s="240" t="s">
        <v>10823</v>
      </c>
      <c r="G1730" s="238" t="s">
        <v>10824</v>
      </c>
      <c r="H1730" s="240" t="s">
        <v>10825</v>
      </c>
      <c r="I1730" s="237"/>
      <c r="J1730" s="256" t="s">
        <v>9677</v>
      </c>
      <c r="K1730" s="239" t="s">
        <v>10821</v>
      </c>
      <c r="L1730" s="237"/>
      <c r="M1730" s="237"/>
      <c r="N1730" s="237"/>
      <c r="O1730" s="237"/>
      <c r="P1730" s="237"/>
      <c r="Q1730" s="237"/>
      <c r="R1730" s="237"/>
      <c r="S1730" s="237"/>
      <c r="T1730" s="237"/>
      <c r="U1730" s="237"/>
      <c r="V1730" s="237"/>
      <c r="W1730" s="237"/>
      <c r="X1730" s="237"/>
      <c r="Y1730" s="237"/>
      <c r="Z1730" s="237"/>
      <c r="AA1730" s="237"/>
      <c r="AB1730" s="237"/>
    </row>
    <row r="1731">
      <c r="A1731" s="238">
        <v>1732.0</v>
      </c>
      <c r="B1731" s="242"/>
      <c r="C1731" s="240" t="s">
        <v>10826</v>
      </c>
      <c r="D1731" s="236"/>
      <c r="E1731" s="240" t="s">
        <v>3511</v>
      </c>
      <c r="F1731" s="240" t="s">
        <v>10827</v>
      </c>
      <c r="G1731" s="238" t="s">
        <v>10828</v>
      </c>
      <c r="H1731" s="240" t="s">
        <v>10829</v>
      </c>
      <c r="I1731" s="237"/>
      <c r="J1731" s="256" t="s">
        <v>9677</v>
      </c>
      <c r="K1731" s="242"/>
      <c r="L1731" s="237"/>
      <c r="M1731" s="237"/>
      <c r="N1731" s="237"/>
      <c r="O1731" s="237"/>
      <c r="P1731" s="237"/>
      <c r="Q1731" s="237"/>
      <c r="R1731" s="237"/>
      <c r="S1731" s="237"/>
      <c r="T1731" s="237"/>
      <c r="U1731" s="237"/>
      <c r="V1731" s="237"/>
      <c r="W1731" s="237"/>
      <c r="X1731" s="237"/>
      <c r="Y1731" s="237"/>
      <c r="Z1731" s="237"/>
      <c r="AA1731" s="237"/>
      <c r="AB1731" s="237"/>
    </row>
    <row r="1732">
      <c r="A1732" s="238">
        <v>1733.0</v>
      </c>
      <c r="B1732" s="242"/>
      <c r="C1732" s="240" t="s">
        <v>10830</v>
      </c>
      <c r="D1732" s="236"/>
      <c r="E1732" s="240" t="s">
        <v>3511</v>
      </c>
      <c r="F1732" s="240" t="s">
        <v>10831</v>
      </c>
      <c r="G1732" s="238" t="s">
        <v>10832</v>
      </c>
      <c r="H1732" s="240" t="s">
        <v>10833</v>
      </c>
      <c r="I1732" s="237"/>
      <c r="J1732" s="256" t="s">
        <v>9677</v>
      </c>
      <c r="K1732" s="242"/>
      <c r="L1732" s="237"/>
      <c r="M1732" s="237"/>
      <c r="N1732" s="237"/>
      <c r="O1732" s="237"/>
      <c r="P1732" s="237"/>
      <c r="Q1732" s="237"/>
      <c r="R1732" s="237"/>
      <c r="S1732" s="237"/>
      <c r="T1732" s="237"/>
      <c r="U1732" s="237"/>
      <c r="V1732" s="237"/>
      <c r="W1732" s="237"/>
      <c r="X1732" s="237"/>
      <c r="Y1732" s="237"/>
      <c r="Z1732" s="237"/>
      <c r="AA1732" s="237"/>
      <c r="AB1732" s="237"/>
    </row>
    <row r="1733">
      <c r="A1733" s="238">
        <v>1734.0</v>
      </c>
      <c r="B1733" s="242"/>
      <c r="C1733" s="240" t="s">
        <v>10834</v>
      </c>
      <c r="D1733" s="236"/>
      <c r="E1733" s="240" t="s">
        <v>3511</v>
      </c>
      <c r="F1733" s="240" t="s">
        <v>10835</v>
      </c>
      <c r="G1733" s="238" t="s">
        <v>10836</v>
      </c>
      <c r="H1733" s="240" t="s">
        <v>10837</v>
      </c>
      <c r="I1733" s="237"/>
      <c r="J1733" s="256" t="s">
        <v>9677</v>
      </c>
      <c r="K1733" s="242"/>
      <c r="L1733" s="237"/>
      <c r="M1733" s="237"/>
      <c r="N1733" s="237"/>
      <c r="O1733" s="237"/>
      <c r="P1733" s="237"/>
      <c r="Q1733" s="237"/>
      <c r="R1733" s="237"/>
      <c r="S1733" s="237"/>
      <c r="T1733" s="237"/>
      <c r="U1733" s="237"/>
      <c r="V1733" s="237"/>
      <c r="W1733" s="237"/>
      <c r="X1733" s="237"/>
      <c r="Y1733" s="237"/>
      <c r="Z1733" s="237"/>
      <c r="AA1733" s="237"/>
      <c r="AB1733" s="237"/>
    </row>
    <row r="1734">
      <c r="A1734" s="238">
        <v>1735.0</v>
      </c>
      <c r="B1734" s="250" t="s">
        <v>10838</v>
      </c>
      <c r="C1734" s="240" t="s">
        <v>10839</v>
      </c>
      <c r="D1734" s="236"/>
      <c r="E1734" s="240" t="s">
        <v>3511</v>
      </c>
      <c r="F1734" s="240" t="s">
        <v>10840</v>
      </c>
      <c r="G1734" s="238" t="s">
        <v>10841</v>
      </c>
      <c r="H1734" s="241" t="s">
        <v>10842</v>
      </c>
      <c r="I1734" s="237"/>
      <c r="J1734" s="256" t="s">
        <v>9677</v>
      </c>
      <c r="K1734" s="250" t="s">
        <v>10838</v>
      </c>
      <c r="L1734" s="237"/>
      <c r="M1734" s="237"/>
      <c r="N1734" s="237"/>
      <c r="O1734" s="237"/>
      <c r="P1734" s="237"/>
      <c r="Q1734" s="237"/>
      <c r="R1734" s="237"/>
      <c r="S1734" s="237"/>
      <c r="T1734" s="237"/>
      <c r="U1734" s="237"/>
      <c r="V1734" s="237"/>
      <c r="W1734" s="237"/>
      <c r="X1734" s="237"/>
      <c r="Y1734" s="237"/>
      <c r="Z1734" s="237"/>
      <c r="AA1734" s="237"/>
      <c r="AB1734" s="237"/>
    </row>
    <row r="1735">
      <c r="A1735" s="238">
        <v>1736.0</v>
      </c>
      <c r="B1735" s="242"/>
      <c r="C1735" s="240" t="s">
        <v>10843</v>
      </c>
      <c r="D1735" s="236"/>
      <c r="E1735" s="240" t="s">
        <v>3511</v>
      </c>
      <c r="F1735" s="240" t="s">
        <v>10844</v>
      </c>
      <c r="G1735" s="238" t="s">
        <v>10845</v>
      </c>
      <c r="H1735" s="240" t="s">
        <v>10846</v>
      </c>
      <c r="I1735" s="237"/>
      <c r="J1735" s="256" t="s">
        <v>9677</v>
      </c>
      <c r="K1735" s="242"/>
      <c r="L1735" s="237"/>
      <c r="M1735" s="237"/>
      <c r="N1735" s="237"/>
      <c r="O1735" s="237"/>
      <c r="P1735" s="237"/>
      <c r="Q1735" s="237"/>
      <c r="R1735" s="237"/>
      <c r="S1735" s="237"/>
      <c r="T1735" s="237"/>
      <c r="U1735" s="237"/>
      <c r="V1735" s="237"/>
      <c r="W1735" s="237"/>
      <c r="X1735" s="237"/>
      <c r="Y1735" s="237"/>
      <c r="Z1735" s="237"/>
      <c r="AA1735" s="237"/>
      <c r="AB1735" s="237"/>
    </row>
    <row r="1736">
      <c r="A1736" s="238">
        <v>1737.0</v>
      </c>
      <c r="B1736" s="242"/>
      <c r="C1736" s="240" t="s">
        <v>10847</v>
      </c>
      <c r="D1736" s="236"/>
      <c r="E1736" s="240" t="s">
        <v>3511</v>
      </c>
      <c r="F1736" s="240" t="s">
        <v>10848</v>
      </c>
      <c r="G1736" s="238" t="s">
        <v>10849</v>
      </c>
      <c r="H1736" s="240" t="s">
        <v>10850</v>
      </c>
      <c r="I1736" s="237"/>
      <c r="J1736" s="256" t="s">
        <v>9677</v>
      </c>
      <c r="K1736" s="242"/>
      <c r="L1736" s="237"/>
      <c r="M1736" s="237"/>
      <c r="N1736" s="237"/>
      <c r="O1736" s="237"/>
      <c r="P1736" s="237"/>
      <c r="Q1736" s="237"/>
      <c r="R1736" s="237"/>
      <c r="S1736" s="237"/>
      <c r="T1736" s="237"/>
      <c r="U1736" s="237"/>
      <c r="V1736" s="237"/>
      <c r="W1736" s="237"/>
      <c r="X1736" s="237"/>
      <c r="Y1736" s="237"/>
      <c r="Z1736" s="237"/>
      <c r="AA1736" s="237"/>
      <c r="AB1736" s="237"/>
    </row>
    <row r="1737">
      <c r="A1737" s="238">
        <v>1738.0</v>
      </c>
      <c r="B1737" s="242"/>
      <c r="C1737" s="240" t="s">
        <v>10851</v>
      </c>
      <c r="D1737" s="236"/>
      <c r="E1737" s="240" t="s">
        <v>3511</v>
      </c>
      <c r="F1737" s="240" t="s">
        <v>10852</v>
      </c>
      <c r="G1737" s="238" t="s">
        <v>10853</v>
      </c>
      <c r="H1737" s="241" t="s">
        <v>10854</v>
      </c>
      <c r="I1737" s="237"/>
      <c r="J1737" s="256" t="s">
        <v>9677</v>
      </c>
      <c r="K1737" s="242"/>
      <c r="L1737" s="237"/>
      <c r="M1737" s="237"/>
      <c r="N1737" s="237"/>
      <c r="O1737" s="237"/>
      <c r="P1737" s="237"/>
      <c r="Q1737" s="237"/>
      <c r="R1737" s="237"/>
      <c r="S1737" s="237"/>
      <c r="T1737" s="237"/>
      <c r="U1737" s="237"/>
      <c r="V1737" s="237"/>
      <c r="W1737" s="237"/>
      <c r="X1737" s="237"/>
      <c r="Y1737" s="237"/>
      <c r="Z1737" s="237"/>
      <c r="AA1737" s="237"/>
      <c r="AB1737" s="237"/>
    </row>
    <row r="1738">
      <c r="A1738" s="238">
        <v>1739.0</v>
      </c>
      <c r="B1738" s="242"/>
      <c r="C1738" s="240" t="s">
        <v>10855</v>
      </c>
      <c r="D1738" s="236"/>
      <c r="E1738" s="240" t="s">
        <v>3511</v>
      </c>
      <c r="F1738" s="240" t="s">
        <v>10856</v>
      </c>
      <c r="G1738" s="238" t="s">
        <v>10857</v>
      </c>
      <c r="H1738" s="240" t="s">
        <v>10858</v>
      </c>
      <c r="I1738" s="237"/>
      <c r="J1738" s="256" t="s">
        <v>9677</v>
      </c>
      <c r="K1738" s="242"/>
      <c r="L1738" s="237"/>
      <c r="M1738" s="237"/>
      <c r="N1738" s="237"/>
      <c r="O1738" s="237"/>
      <c r="P1738" s="237"/>
      <c r="Q1738" s="237"/>
      <c r="R1738" s="237"/>
      <c r="S1738" s="237"/>
      <c r="T1738" s="237"/>
      <c r="U1738" s="237"/>
      <c r="V1738" s="237"/>
      <c r="W1738" s="237"/>
      <c r="X1738" s="237"/>
      <c r="Y1738" s="237"/>
      <c r="Z1738" s="237"/>
      <c r="AA1738" s="237"/>
      <c r="AB1738" s="237"/>
    </row>
    <row r="1739">
      <c r="A1739" s="238">
        <v>1740.0</v>
      </c>
      <c r="B1739" s="242"/>
      <c r="C1739" s="240" t="s">
        <v>10859</v>
      </c>
      <c r="D1739" s="236"/>
      <c r="E1739" s="240" t="s">
        <v>3511</v>
      </c>
      <c r="F1739" s="240" t="s">
        <v>10860</v>
      </c>
      <c r="G1739" s="238" t="s">
        <v>10861</v>
      </c>
      <c r="H1739" s="240" t="s">
        <v>10862</v>
      </c>
      <c r="I1739" s="237"/>
      <c r="J1739" s="256" t="s">
        <v>9677</v>
      </c>
      <c r="K1739" s="242"/>
      <c r="L1739" s="237"/>
      <c r="M1739" s="237"/>
      <c r="N1739" s="237"/>
      <c r="O1739" s="237"/>
      <c r="P1739" s="237"/>
      <c r="Q1739" s="237"/>
      <c r="R1739" s="237"/>
      <c r="S1739" s="237"/>
      <c r="T1739" s="237"/>
      <c r="U1739" s="237"/>
      <c r="V1739" s="237"/>
      <c r="W1739" s="237"/>
      <c r="X1739" s="237"/>
      <c r="Y1739" s="237"/>
      <c r="Z1739" s="237"/>
      <c r="AA1739" s="237"/>
      <c r="AB1739" s="237"/>
    </row>
    <row r="1740">
      <c r="A1740" s="238">
        <v>1741.0</v>
      </c>
      <c r="B1740" s="242"/>
      <c r="C1740" s="240" t="s">
        <v>10863</v>
      </c>
      <c r="D1740" s="236"/>
      <c r="E1740" s="240" t="s">
        <v>3511</v>
      </c>
      <c r="F1740" s="240" t="s">
        <v>10864</v>
      </c>
      <c r="G1740" s="238" t="s">
        <v>10865</v>
      </c>
      <c r="H1740" s="240" t="s">
        <v>10866</v>
      </c>
      <c r="I1740" s="237"/>
      <c r="J1740" s="256" t="s">
        <v>9677</v>
      </c>
      <c r="K1740" s="242"/>
      <c r="L1740" s="237"/>
      <c r="M1740" s="237"/>
      <c r="N1740" s="237"/>
      <c r="O1740" s="237"/>
      <c r="P1740" s="237"/>
      <c r="Q1740" s="237"/>
      <c r="R1740" s="237"/>
      <c r="S1740" s="237"/>
      <c r="T1740" s="237"/>
      <c r="U1740" s="237"/>
      <c r="V1740" s="237"/>
      <c r="W1740" s="237"/>
      <c r="X1740" s="237"/>
      <c r="Y1740" s="237"/>
      <c r="Z1740" s="237"/>
      <c r="AA1740" s="237"/>
      <c r="AB1740" s="237"/>
    </row>
    <row r="1741">
      <c r="A1741" s="238">
        <v>1742.0</v>
      </c>
      <c r="B1741" s="242"/>
      <c r="C1741" s="240" t="s">
        <v>10867</v>
      </c>
      <c r="D1741" s="236"/>
      <c r="E1741" s="240" t="s">
        <v>3511</v>
      </c>
      <c r="F1741" s="240" t="s">
        <v>10868</v>
      </c>
      <c r="G1741" s="238" t="s">
        <v>10869</v>
      </c>
      <c r="H1741" s="240" t="s">
        <v>10870</v>
      </c>
      <c r="I1741" s="237"/>
      <c r="J1741" s="256" t="s">
        <v>9677</v>
      </c>
      <c r="K1741" s="242"/>
      <c r="L1741" s="237"/>
      <c r="M1741" s="237"/>
      <c r="N1741" s="237"/>
      <c r="O1741" s="237"/>
      <c r="P1741" s="237"/>
      <c r="Q1741" s="237"/>
      <c r="R1741" s="237"/>
      <c r="S1741" s="237"/>
      <c r="T1741" s="237"/>
      <c r="U1741" s="237"/>
      <c r="V1741" s="237"/>
      <c r="W1741" s="237"/>
      <c r="X1741" s="237"/>
      <c r="Y1741" s="237"/>
      <c r="Z1741" s="237"/>
      <c r="AA1741" s="237"/>
      <c r="AB1741" s="237"/>
    </row>
    <row r="1742">
      <c r="A1742" s="238">
        <v>1743.0</v>
      </c>
      <c r="B1742" s="242"/>
      <c r="C1742" s="240" t="s">
        <v>10871</v>
      </c>
      <c r="D1742" s="236"/>
      <c r="E1742" s="240" t="s">
        <v>3511</v>
      </c>
      <c r="F1742" s="240" t="s">
        <v>10872</v>
      </c>
      <c r="G1742" s="238" t="s">
        <v>10873</v>
      </c>
      <c r="H1742" s="240" t="s">
        <v>10874</v>
      </c>
      <c r="I1742" s="237"/>
      <c r="J1742" s="256" t="s">
        <v>9677</v>
      </c>
      <c r="K1742" s="242"/>
      <c r="L1742" s="237"/>
      <c r="M1742" s="237"/>
      <c r="N1742" s="237"/>
      <c r="O1742" s="237"/>
      <c r="P1742" s="237"/>
      <c r="Q1742" s="237"/>
      <c r="R1742" s="237"/>
      <c r="S1742" s="237"/>
      <c r="T1742" s="237"/>
      <c r="U1742" s="237"/>
      <c r="V1742" s="237"/>
      <c r="W1742" s="237"/>
      <c r="X1742" s="237"/>
      <c r="Y1742" s="237"/>
      <c r="Z1742" s="237"/>
      <c r="AA1742" s="237"/>
      <c r="AB1742" s="237"/>
    </row>
    <row r="1743">
      <c r="A1743" s="238">
        <v>1744.0</v>
      </c>
      <c r="B1743" s="242"/>
      <c r="C1743" s="240" t="s">
        <v>10875</v>
      </c>
      <c r="D1743" s="236"/>
      <c r="E1743" s="240" t="s">
        <v>3511</v>
      </c>
      <c r="F1743" s="240" t="s">
        <v>10868</v>
      </c>
      <c r="G1743" s="238" t="s">
        <v>10869</v>
      </c>
      <c r="H1743" s="240" t="s">
        <v>10876</v>
      </c>
      <c r="I1743" s="237"/>
      <c r="J1743" s="256" t="s">
        <v>9677</v>
      </c>
      <c r="K1743" s="242"/>
      <c r="L1743" s="237"/>
      <c r="M1743" s="237"/>
      <c r="N1743" s="237"/>
      <c r="O1743" s="237"/>
      <c r="P1743" s="237"/>
      <c r="Q1743" s="237"/>
      <c r="R1743" s="237"/>
      <c r="S1743" s="237"/>
      <c r="T1743" s="237"/>
      <c r="U1743" s="237"/>
      <c r="V1743" s="237"/>
      <c r="W1743" s="237"/>
      <c r="X1743" s="237"/>
      <c r="Y1743" s="237"/>
      <c r="Z1743" s="237"/>
      <c r="AA1743" s="237"/>
      <c r="AB1743" s="237"/>
    </row>
    <row r="1744">
      <c r="A1744" s="238">
        <v>1745.0</v>
      </c>
      <c r="B1744" s="242"/>
      <c r="C1744" s="240" t="s">
        <v>10877</v>
      </c>
      <c r="D1744" s="236"/>
      <c r="E1744" s="240" t="s">
        <v>3511</v>
      </c>
      <c r="F1744" s="240" t="s">
        <v>10878</v>
      </c>
      <c r="G1744" s="238" t="s">
        <v>10879</v>
      </c>
      <c r="H1744" s="240" t="s">
        <v>10880</v>
      </c>
      <c r="I1744" s="237"/>
      <c r="J1744" s="256" t="s">
        <v>9677</v>
      </c>
      <c r="K1744" s="242"/>
      <c r="L1744" s="237"/>
      <c r="M1744" s="237"/>
      <c r="N1744" s="237"/>
      <c r="O1744" s="237"/>
      <c r="P1744" s="237"/>
      <c r="Q1744" s="237"/>
      <c r="R1744" s="237"/>
      <c r="S1744" s="237"/>
      <c r="T1744" s="237"/>
      <c r="U1744" s="237"/>
      <c r="V1744" s="237"/>
      <c r="W1744" s="237"/>
      <c r="X1744" s="237"/>
      <c r="Y1744" s="237"/>
      <c r="Z1744" s="237"/>
      <c r="AA1744" s="237"/>
      <c r="AB1744" s="237"/>
    </row>
    <row r="1745">
      <c r="A1745" s="238">
        <v>1746.0</v>
      </c>
      <c r="B1745" s="242"/>
      <c r="C1745" s="240" t="s">
        <v>10881</v>
      </c>
      <c r="D1745" s="236"/>
      <c r="E1745" s="240" t="s">
        <v>3511</v>
      </c>
      <c r="F1745" s="240" t="s">
        <v>10882</v>
      </c>
      <c r="G1745" s="238" t="s">
        <v>10883</v>
      </c>
      <c r="H1745" s="240" t="s">
        <v>10884</v>
      </c>
      <c r="I1745" s="237"/>
      <c r="J1745" s="256" t="s">
        <v>9677</v>
      </c>
      <c r="K1745" s="242"/>
      <c r="L1745" s="237"/>
      <c r="M1745" s="237"/>
      <c r="N1745" s="237"/>
      <c r="O1745" s="237"/>
      <c r="P1745" s="237"/>
      <c r="Q1745" s="237"/>
      <c r="R1745" s="237"/>
      <c r="S1745" s="237"/>
      <c r="T1745" s="237"/>
      <c r="U1745" s="237"/>
      <c r="V1745" s="237"/>
      <c r="W1745" s="237"/>
      <c r="X1745" s="237"/>
      <c r="Y1745" s="237"/>
      <c r="Z1745" s="237"/>
      <c r="AA1745" s="237"/>
      <c r="AB1745" s="237"/>
    </row>
    <row r="1746">
      <c r="A1746" s="238">
        <v>1747.0</v>
      </c>
      <c r="B1746" s="242"/>
      <c r="C1746" s="240" t="s">
        <v>10885</v>
      </c>
      <c r="D1746" s="236"/>
      <c r="E1746" s="240" t="s">
        <v>3511</v>
      </c>
      <c r="F1746" s="240" t="s">
        <v>10886</v>
      </c>
      <c r="G1746" s="238" t="s">
        <v>10887</v>
      </c>
      <c r="H1746" s="240" t="s">
        <v>10888</v>
      </c>
      <c r="I1746" s="237"/>
      <c r="J1746" s="256" t="s">
        <v>9677</v>
      </c>
      <c r="K1746" s="242"/>
      <c r="L1746" s="237"/>
      <c r="M1746" s="237"/>
      <c r="N1746" s="237"/>
      <c r="O1746" s="237"/>
      <c r="P1746" s="237"/>
      <c r="Q1746" s="237"/>
      <c r="R1746" s="237"/>
      <c r="S1746" s="237"/>
      <c r="T1746" s="237"/>
      <c r="U1746" s="237"/>
      <c r="V1746" s="237"/>
      <c r="W1746" s="237"/>
      <c r="X1746" s="237"/>
      <c r="Y1746" s="237"/>
      <c r="Z1746" s="237"/>
      <c r="AA1746" s="237"/>
      <c r="AB1746" s="237"/>
    </row>
    <row r="1747">
      <c r="A1747" s="238">
        <v>1748.0</v>
      </c>
      <c r="B1747" s="242"/>
      <c r="C1747" s="240" t="s">
        <v>10889</v>
      </c>
      <c r="D1747" s="236"/>
      <c r="E1747" s="240" t="s">
        <v>3511</v>
      </c>
      <c r="F1747" s="240" t="s">
        <v>10890</v>
      </c>
      <c r="G1747" s="238" t="s">
        <v>10891</v>
      </c>
      <c r="H1747" s="240" t="s">
        <v>10892</v>
      </c>
      <c r="I1747" s="237"/>
      <c r="J1747" s="256" t="s">
        <v>9677</v>
      </c>
      <c r="K1747" s="242"/>
      <c r="L1747" s="237"/>
      <c r="M1747" s="237"/>
      <c r="N1747" s="237"/>
      <c r="O1747" s="237"/>
      <c r="P1747" s="237"/>
      <c r="Q1747" s="237"/>
      <c r="R1747" s="237"/>
      <c r="S1747" s="237"/>
      <c r="T1747" s="237"/>
      <c r="U1747" s="237"/>
      <c r="V1747" s="237"/>
      <c r="W1747" s="237"/>
      <c r="X1747" s="237"/>
      <c r="Y1747" s="237"/>
      <c r="Z1747" s="237"/>
      <c r="AA1747" s="237"/>
      <c r="AB1747" s="237"/>
    </row>
    <row r="1748">
      <c r="A1748" s="238">
        <v>1749.0</v>
      </c>
      <c r="B1748" s="242"/>
      <c r="C1748" s="240" t="s">
        <v>10893</v>
      </c>
      <c r="D1748" s="236"/>
      <c r="E1748" s="240" t="s">
        <v>3511</v>
      </c>
      <c r="F1748" s="240" t="s">
        <v>10894</v>
      </c>
      <c r="G1748" s="238" t="s">
        <v>10895</v>
      </c>
      <c r="H1748" s="240" t="s">
        <v>10896</v>
      </c>
      <c r="I1748" s="237"/>
      <c r="J1748" s="256" t="s">
        <v>9677</v>
      </c>
      <c r="K1748" s="242"/>
      <c r="L1748" s="237"/>
      <c r="M1748" s="237"/>
      <c r="N1748" s="237"/>
      <c r="O1748" s="237"/>
      <c r="P1748" s="237"/>
      <c r="Q1748" s="237"/>
      <c r="R1748" s="237"/>
      <c r="S1748" s="237"/>
      <c r="T1748" s="237"/>
      <c r="U1748" s="237"/>
      <c r="V1748" s="237"/>
      <c r="W1748" s="237"/>
      <c r="X1748" s="237"/>
      <c r="Y1748" s="237"/>
      <c r="Z1748" s="237"/>
      <c r="AA1748" s="237"/>
      <c r="AB1748" s="237"/>
    </row>
    <row r="1749">
      <c r="A1749" s="238">
        <v>1750.0</v>
      </c>
      <c r="B1749" s="242"/>
      <c r="C1749" s="240" t="s">
        <v>10897</v>
      </c>
      <c r="D1749" s="236"/>
      <c r="E1749" s="240" t="s">
        <v>3511</v>
      </c>
      <c r="F1749" s="240" t="s">
        <v>10898</v>
      </c>
      <c r="G1749" s="238" t="s">
        <v>10899</v>
      </c>
      <c r="H1749" s="240" t="s">
        <v>10900</v>
      </c>
      <c r="I1749" s="237"/>
      <c r="J1749" s="256" t="s">
        <v>9677</v>
      </c>
      <c r="K1749" s="242"/>
      <c r="L1749" s="237"/>
      <c r="M1749" s="237"/>
      <c r="N1749" s="237"/>
      <c r="O1749" s="237"/>
      <c r="P1749" s="237"/>
      <c r="Q1749" s="237"/>
      <c r="R1749" s="237"/>
      <c r="S1749" s="237"/>
      <c r="T1749" s="237"/>
      <c r="U1749" s="237"/>
      <c r="V1749" s="237"/>
      <c r="W1749" s="237"/>
      <c r="X1749" s="237"/>
      <c r="Y1749" s="237"/>
      <c r="Z1749" s="237"/>
      <c r="AA1749" s="237"/>
      <c r="AB1749" s="237"/>
    </row>
    <row r="1750">
      <c r="A1750" s="238">
        <v>1751.0</v>
      </c>
      <c r="B1750" s="242"/>
      <c r="C1750" s="240" t="s">
        <v>10901</v>
      </c>
      <c r="D1750" s="236"/>
      <c r="E1750" s="240" t="s">
        <v>3511</v>
      </c>
      <c r="F1750" s="240" t="s">
        <v>10902</v>
      </c>
      <c r="G1750" s="238" t="s">
        <v>10903</v>
      </c>
      <c r="H1750" s="240" t="s">
        <v>10904</v>
      </c>
      <c r="I1750" s="237"/>
      <c r="J1750" s="256" t="s">
        <v>9677</v>
      </c>
      <c r="K1750" s="242"/>
      <c r="L1750" s="237"/>
      <c r="M1750" s="237"/>
      <c r="N1750" s="237"/>
      <c r="O1750" s="237"/>
      <c r="P1750" s="237"/>
      <c r="Q1750" s="237"/>
      <c r="R1750" s="237"/>
      <c r="S1750" s="237"/>
      <c r="T1750" s="237"/>
      <c r="U1750" s="237"/>
      <c r="V1750" s="237"/>
      <c r="W1750" s="237"/>
      <c r="X1750" s="237"/>
      <c r="Y1750" s="237"/>
      <c r="Z1750" s="237"/>
      <c r="AA1750" s="237"/>
      <c r="AB1750" s="237"/>
    </row>
    <row r="1751">
      <c r="A1751" s="238">
        <v>1752.0</v>
      </c>
      <c r="B1751" s="242"/>
      <c r="C1751" s="240" t="s">
        <v>10905</v>
      </c>
      <c r="D1751" s="236"/>
      <c r="E1751" s="240" t="s">
        <v>3511</v>
      </c>
      <c r="F1751" s="240" t="s">
        <v>10906</v>
      </c>
      <c r="G1751" s="238" t="s">
        <v>10907</v>
      </c>
      <c r="H1751" s="240" t="s">
        <v>10908</v>
      </c>
      <c r="I1751" s="237"/>
      <c r="J1751" s="256" t="s">
        <v>9677</v>
      </c>
      <c r="K1751" s="242"/>
      <c r="L1751" s="237"/>
      <c r="M1751" s="237"/>
      <c r="N1751" s="237"/>
      <c r="O1751" s="237"/>
      <c r="P1751" s="237"/>
      <c r="Q1751" s="237"/>
      <c r="R1751" s="237"/>
      <c r="S1751" s="237"/>
      <c r="T1751" s="237"/>
      <c r="U1751" s="237"/>
      <c r="V1751" s="237"/>
      <c r="W1751" s="237"/>
      <c r="X1751" s="237"/>
      <c r="Y1751" s="237"/>
      <c r="Z1751" s="237"/>
      <c r="AA1751" s="237"/>
      <c r="AB1751" s="237"/>
    </row>
    <row r="1752">
      <c r="A1752" s="238">
        <v>1753.0</v>
      </c>
      <c r="B1752" s="242"/>
      <c r="C1752" s="240" t="s">
        <v>10909</v>
      </c>
      <c r="D1752" s="236"/>
      <c r="E1752" s="240" t="s">
        <v>3511</v>
      </c>
      <c r="F1752" s="240" t="s">
        <v>10910</v>
      </c>
      <c r="G1752" s="238" t="s">
        <v>10911</v>
      </c>
      <c r="H1752" s="241" t="s">
        <v>10912</v>
      </c>
      <c r="I1752" s="237"/>
      <c r="J1752" s="256" t="s">
        <v>10913</v>
      </c>
      <c r="K1752" s="242"/>
      <c r="L1752" s="237"/>
      <c r="M1752" s="237"/>
      <c r="N1752" s="237"/>
      <c r="O1752" s="237"/>
      <c r="P1752" s="237"/>
      <c r="Q1752" s="237"/>
      <c r="R1752" s="237"/>
      <c r="S1752" s="237"/>
      <c r="T1752" s="237"/>
      <c r="U1752" s="237"/>
      <c r="V1752" s="237"/>
      <c r="W1752" s="237"/>
      <c r="X1752" s="237"/>
      <c r="Y1752" s="237"/>
      <c r="Z1752" s="237"/>
      <c r="AA1752" s="237"/>
      <c r="AB1752" s="237"/>
    </row>
    <row r="1753">
      <c r="A1753" s="238">
        <v>1754.0</v>
      </c>
      <c r="B1753" s="242"/>
      <c r="C1753" s="240" t="s">
        <v>10914</v>
      </c>
      <c r="D1753" s="236"/>
      <c r="E1753" s="240" t="s">
        <v>3511</v>
      </c>
      <c r="F1753" s="240" t="s">
        <v>10915</v>
      </c>
      <c r="G1753" s="238" t="s">
        <v>10916</v>
      </c>
      <c r="H1753" s="241" t="s">
        <v>10917</v>
      </c>
      <c r="I1753" s="237"/>
      <c r="J1753" s="256" t="s">
        <v>10913</v>
      </c>
      <c r="K1753" s="242"/>
      <c r="L1753" s="237"/>
      <c r="M1753" s="237"/>
      <c r="N1753" s="237"/>
      <c r="O1753" s="237"/>
      <c r="P1753" s="237"/>
      <c r="Q1753" s="237"/>
      <c r="R1753" s="237"/>
      <c r="S1753" s="237"/>
      <c r="T1753" s="237"/>
      <c r="U1753" s="237"/>
      <c r="V1753" s="237"/>
      <c r="W1753" s="237"/>
      <c r="X1753" s="237"/>
      <c r="Y1753" s="237"/>
      <c r="Z1753" s="237"/>
      <c r="AA1753" s="237"/>
      <c r="AB1753" s="237"/>
    </row>
    <row r="1754">
      <c r="A1754" s="238">
        <v>1755.0</v>
      </c>
      <c r="B1754" s="242"/>
      <c r="C1754" s="240" t="s">
        <v>10918</v>
      </c>
      <c r="D1754" s="236"/>
      <c r="E1754" s="240" t="s">
        <v>3511</v>
      </c>
      <c r="F1754" s="240" t="s">
        <v>10919</v>
      </c>
      <c r="G1754" s="238" t="s">
        <v>10920</v>
      </c>
      <c r="H1754" s="241" t="s">
        <v>10921</v>
      </c>
      <c r="I1754" s="237"/>
      <c r="J1754" s="256" t="s">
        <v>10913</v>
      </c>
      <c r="K1754" s="242"/>
      <c r="L1754" s="237"/>
      <c r="M1754" s="237"/>
      <c r="N1754" s="237"/>
      <c r="O1754" s="237"/>
      <c r="P1754" s="237"/>
      <c r="Q1754" s="237"/>
      <c r="R1754" s="237"/>
      <c r="S1754" s="237"/>
      <c r="T1754" s="237"/>
      <c r="U1754" s="237"/>
      <c r="V1754" s="237"/>
      <c r="W1754" s="237"/>
      <c r="X1754" s="237"/>
      <c r="Y1754" s="237"/>
      <c r="Z1754" s="237"/>
      <c r="AA1754" s="237"/>
      <c r="AB1754" s="237"/>
    </row>
    <row r="1755">
      <c r="A1755" s="238">
        <v>1756.0</v>
      </c>
      <c r="B1755" s="242"/>
      <c r="C1755" s="240" t="s">
        <v>10922</v>
      </c>
      <c r="D1755" s="236"/>
      <c r="E1755" s="240" t="s">
        <v>3511</v>
      </c>
      <c r="F1755" s="240" t="s">
        <v>10923</v>
      </c>
      <c r="G1755" s="238" t="s">
        <v>10924</v>
      </c>
      <c r="H1755" s="241" t="s">
        <v>10925</v>
      </c>
      <c r="I1755" s="237"/>
      <c r="J1755" s="256" t="s">
        <v>10913</v>
      </c>
      <c r="K1755" s="242"/>
      <c r="L1755" s="237"/>
      <c r="M1755" s="237"/>
      <c r="N1755" s="237"/>
      <c r="O1755" s="237"/>
      <c r="P1755" s="237"/>
      <c r="Q1755" s="237"/>
      <c r="R1755" s="237"/>
      <c r="S1755" s="237"/>
      <c r="T1755" s="237"/>
      <c r="U1755" s="237"/>
      <c r="V1755" s="237"/>
      <c r="W1755" s="237"/>
      <c r="X1755" s="237"/>
      <c r="Y1755" s="237"/>
      <c r="Z1755" s="237"/>
      <c r="AA1755" s="237"/>
      <c r="AB1755" s="237"/>
    </row>
    <row r="1756">
      <c r="A1756" s="238">
        <v>1757.0</v>
      </c>
      <c r="B1756" s="242"/>
      <c r="C1756" s="240" t="s">
        <v>10926</v>
      </c>
      <c r="D1756" s="236"/>
      <c r="E1756" s="240" t="s">
        <v>3511</v>
      </c>
      <c r="F1756" s="240" t="s">
        <v>10927</v>
      </c>
      <c r="G1756" s="238" t="s">
        <v>10928</v>
      </c>
      <c r="H1756" s="241" t="s">
        <v>10929</v>
      </c>
      <c r="I1756" s="237"/>
      <c r="J1756" s="256" t="s">
        <v>10913</v>
      </c>
      <c r="K1756" s="242"/>
      <c r="L1756" s="237"/>
      <c r="M1756" s="237"/>
      <c r="N1756" s="237"/>
      <c r="O1756" s="237"/>
      <c r="P1756" s="237"/>
      <c r="Q1756" s="237"/>
      <c r="R1756" s="237"/>
      <c r="S1756" s="237"/>
      <c r="T1756" s="237"/>
      <c r="U1756" s="237"/>
      <c r="V1756" s="237"/>
      <c r="W1756" s="237"/>
      <c r="X1756" s="237"/>
      <c r="Y1756" s="237"/>
      <c r="Z1756" s="237"/>
      <c r="AA1756" s="237"/>
      <c r="AB1756" s="237"/>
    </row>
    <row r="1757">
      <c r="A1757" s="238">
        <v>1758.0</v>
      </c>
      <c r="B1757" s="242"/>
      <c r="C1757" s="240" t="s">
        <v>10930</v>
      </c>
      <c r="D1757" s="236"/>
      <c r="E1757" s="240" t="s">
        <v>3511</v>
      </c>
      <c r="F1757" s="240" t="s">
        <v>10931</v>
      </c>
      <c r="G1757" s="238" t="s">
        <v>10932</v>
      </c>
      <c r="H1757" s="241" t="s">
        <v>10933</v>
      </c>
      <c r="I1757" s="237"/>
      <c r="J1757" s="256" t="s">
        <v>10913</v>
      </c>
      <c r="K1757" s="242"/>
      <c r="L1757" s="237"/>
      <c r="M1757" s="237"/>
      <c r="N1757" s="237"/>
      <c r="O1757" s="237"/>
      <c r="P1757" s="237"/>
      <c r="Q1757" s="237"/>
      <c r="R1757" s="237"/>
      <c r="S1757" s="237"/>
      <c r="T1757" s="237"/>
      <c r="U1757" s="237"/>
      <c r="V1757" s="237"/>
      <c r="W1757" s="237"/>
      <c r="X1757" s="237"/>
      <c r="Y1757" s="237"/>
      <c r="Z1757" s="237"/>
      <c r="AA1757" s="237"/>
      <c r="AB1757" s="237"/>
    </row>
    <row r="1758">
      <c r="A1758" s="238">
        <v>1759.0</v>
      </c>
      <c r="B1758" s="242"/>
      <c r="C1758" s="240" t="s">
        <v>10934</v>
      </c>
      <c r="D1758" s="236"/>
      <c r="E1758" s="240" t="s">
        <v>3511</v>
      </c>
      <c r="F1758" s="240" t="s">
        <v>10935</v>
      </c>
      <c r="G1758" s="238" t="s">
        <v>10936</v>
      </c>
      <c r="H1758" s="241" t="s">
        <v>10937</v>
      </c>
      <c r="I1758" s="237"/>
      <c r="J1758" s="256" t="s">
        <v>10913</v>
      </c>
      <c r="K1758" s="242"/>
      <c r="L1758" s="237"/>
      <c r="M1758" s="237"/>
      <c r="N1758" s="237"/>
      <c r="O1758" s="237"/>
      <c r="P1758" s="237"/>
      <c r="Q1758" s="237"/>
      <c r="R1758" s="237"/>
      <c r="S1758" s="237"/>
      <c r="T1758" s="237"/>
      <c r="U1758" s="237"/>
      <c r="V1758" s="237"/>
      <c r="W1758" s="237"/>
      <c r="X1758" s="237"/>
      <c r="Y1758" s="237"/>
      <c r="Z1758" s="237"/>
      <c r="AA1758" s="237"/>
      <c r="AB1758" s="237"/>
    </row>
    <row r="1759">
      <c r="A1759" s="238">
        <v>1760.0</v>
      </c>
      <c r="B1759" s="242"/>
      <c r="C1759" s="238">
        <v>4.0</v>
      </c>
      <c r="D1759" s="236"/>
      <c r="E1759" s="240" t="s">
        <v>3511</v>
      </c>
      <c r="F1759" s="241" t="s">
        <v>10938</v>
      </c>
      <c r="G1759" s="238" t="s">
        <v>10939</v>
      </c>
      <c r="H1759" s="241" t="s">
        <v>10940</v>
      </c>
      <c r="I1759" s="237"/>
      <c r="J1759" s="256" t="s">
        <v>10913</v>
      </c>
      <c r="K1759" s="242"/>
      <c r="L1759" s="237"/>
      <c r="M1759" s="237"/>
      <c r="N1759" s="237"/>
      <c r="O1759" s="237"/>
      <c r="P1759" s="237"/>
      <c r="Q1759" s="237"/>
      <c r="R1759" s="237"/>
      <c r="S1759" s="237"/>
      <c r="T1759" s="237"/>
      <c r="U1759" s="237"/>
      <c r="V1759" s="237"/>
      <c r="W1759" s="237"/>
      <c r="X1759" s="237"/>
      <c r="Y1759" s="237"/>
      <c r="Z1759" s="237"/>
      <c r="AA1759" s="237"/>
      <c r="AB1759" s="237"/>
    </row>
    <row r="1760">
      <c r="A1760" s="238">
        <v>1761.0</v>
      </c>
      <c r="B1760" s="242"/>
      <c r="C1760" s="240" t="s">
        <v>10941</v>
      </c>
      <c r="D1760" s="236"/>
      <c r="E1760" s="241" t="s">
        <v>1420</v>
      </c>
      <c r="F1760" s="240" t="s">
        <v>10942</v>
      </c>
      <c r="G1760" s="238" t="s">
        <v>10943</v>
      </c>
      <c r="H1760" s="241" t="s">
        <v>10944</v>
      </c>
      <c r="I1760" s="237"/>
      <c r="J1760" s="256" t="s">
        <v>10622</v>
      </c>
      <c r="K1760" s="242"/>
      <c r="L1760" s="254" t="s">
        <v>10623</v>
      </c>
      <c r="M1760" s="237"/>
      <c r="N1760" s="237"/>
      <c r="O1760" s="237"/>
      <c r="P1760" s="237"/>
      <c r="Q1760" s="237"/>
      <c r="R1760" s="237"/>
      <c r="S1760" s="237"/>
      <c r="T1760" s="237"/>
      <c r="U1760" s="237"/>
      <c r="V1760" s="237"/>
      <c r="W1760" s="237"/>
      <c r="X1760" s="237"/>
      <c r="Y1760" s="237"/>
      <c r="Z1760" s="237"/>
      <c r="AA1760" s="237"/>
      <c r="AB1760" s="237"/>
    </row>
    <row r="1761">
      <c r="A1761" s="238">
        <v>1762.0</v>
      </c>
      <c r="B1761" s="242"/>
      <c r="C1761" s="240" t="s">
        <v>10945</v>
      </c>
      <c r="D1761" s="236"/>
      <c r="E1761" s="240" t="s">
        <v>3511</v>
      </c>
      <c r="F1761" s="240" t="s">
        <v>10946</v>
      </c>
      <c r="G1761" s="238" t="s">
        <v>10947</v>
      </c>
      <c r="H1761" s="88" t="s">
        <v>10948</v>
      </c>
      <c r="I1761" s="237"/>
      <c r="J1761" s="256" t="s">
        <v>10622</v>
      </c>
      <c r="K1761" s="242"/>
      <c r="L1761" s="237"/>
      <c r="M1761" s="237"/>
      <c r="N1761" s="237"/>
      <c r="O1761" s="237"/>
      <c r="P1761" s="237"/>
      <c r="Q1761" s="237"/>
      <c r="R1761" s="237"/>
      <c r="S1761" s="237"/>
      <c r="T1761" s="237"/>
      <c r="U1761" s="237"/>
      <c r="V1761" s="237"/>
      <c r="W1761" s="237"/>
      <c r="X1761" s="237"/>
      <c r="Y1761" s="237"/>
      <c r="Z1761" s="237"/>
      <c r="AA1761" s="237"/>
      <c r="AB1761" s="237"/>
    </row>
    <row r="1762">
      <c r="A1762" s="238">
        <v>1763.0</v>
      </c>
      <c r="B1762" s="242"/>
      <c r="C1762" s="240" t="s">
        <v>10949</v>
      </c>
      <c r="D1762" s="236"/>
      <c r="E1762" s="240" t="s">
        <v>10950</v>
      </c>
      <c r="F1762" s="240" t="s">
        <v>10951</v>
      </c>
      <c r="G1762" s="238" t="s">
        <v>10952</v>
      </c>
      <c r="H1762" s="236"/>
      <c r="I1762" s="237"/>
      <c r="J1762" s="256" t="s">
        <v>3515</v>
      </c>
      <c r="K1762" s="242"/>
      <c r="L1762" s="237"/>
      <c r="M1762" s="237"/>
      <c r="N1762" s="237"/>
      <c r="O1762" s="237"/>
      <c r="P1762" s="237"/>
      <c r="Q1762" s="237"/>
      <c r="R1762" s="237"/>
      <c r="S1762" s="237"/>
      <c r="T1762" s="237"/>
      <c r="U1762" s="237"/>
      <c r="V1762" s="237"/>
      <c r="W1762" s="237"/>
      <c r="X1762" s="237"/>
      <c r="Y1762" s="237"/>
      <c r="Z1762" s="237"/>
      <c r="AA1762" s="237"/>
      <c r="AB1762" s="237"/>
    </row>
    <row r="1763">
      <c r="A1763" s="238">
        <v>1764.0</v>
      </c>
      <c r="B1763" s="260" t="s">
        <v>10953</v>
      </c>
      <c r="C1763" s="240" t="s">
        <v>10954</v>
      </c>
      <c r="D1763" s="236"/>
      <c r="E1763" s="241" t="s">
        <v>1420</v>
      </c>
      <c r="F1763" s="240" t="s">
        <v>10955</v>
      </c>
      <c r="G1763" s="238" t="s">
        <v>10956</v>
      </c>
      <c r="H1763" s="241" t="s">
        <v>10957</v>
      </c>
      <c r="I1763" s="237"/>
      <c r="J1763" s="256" t="s">
        <v>10622</v>
      </c>
      <c r="K1763" s="260" t="s">
        <v>10953</v>
      </c>
      <c r="L1763" s="254" t="s">
        <v>10623</v>
      </c>
      <c r="M1763" s="237"/>
      <c r="N1763" s="237"/>
      <c r="O1763" s="237"/>
      <c r="P1763" s="237"/>
      <c r="Q1763" s="237"/>
      <c r="R1763" s="237"/>
      <c r="S1763" s="237"/>
      <c r="T1763" s="237"/>
      <c r="U1763" s="237"/>
      <c r="V1763" s="237"/>
      <c r="W1763" s="237"/>
      <c r="X1763" s="237"/>
      <c r="Y1763" s="237"/>
      <c r="Z1763" s="237"/>
      <c r="AA1763" s="237"/>
      <c r="AB1763" s="237"/>
    </row>
    <row r="1764">
      <c r="A1764" s="238">
        <v>1765.0</v>
      </c>
      <c r="B1764" s="258" t="s">
        <v>10958</v>
      </c>
      <c r="C1764" s="240" t="s">
        <v>10959</v>
      </c>
      <c r="D1764" s="236"/>
      <c r="E1764" s="240" t="s">
        <v>3511</v>
      </c>
      <c r="F1764" s="240" t="s">
        <v>10960</v>
      </c>
      <c r="G1764" s="238" t="s">
        <v>10961</v>
      </c>
      <c r="H1764" s="88" t="s">
        <v>10962</v>
      </c>
      <c r="I1764" s="237"/>
      <c r="J1764" s="256" t="s">
        <v>10622</v>
      </c>
      <c r="K1764" s="258" t="s">
        <v>10958</v>
      </c>
      <c r="L1764" s="237"/>
      <c r="M1764" s="237"/>
      <c r="N1764" s="237"/>
      <c r="O1764" s="237"/>
      <c r="P1764" s="237"/>
      <c r="Q1764" s="237"/>
      <c r="R1764" s="237"/>
      <c r="S1764" s="237"/>
      <c r="T1764" s="237"/>
      <c r="U1764" s="237"/>
      <c r="V1764" s="237"/>
      <c r="W1764" s="237"/>
      <c r="X1764" s="237"/>
      <c r="Y1764" s="237"/>
      <c r="Z1764" s="237"/>
      <c r="AA1764" s="237"/>
      <c r="AB1764" s="237"/>
    </row>
    <row r="1765">
      <c r="A1765" s="238">
        <v>1766.0</v>
      </c>
      <c r="B1765" s="259" t="s">
        <v>10963</v>
      </c>
      <c r="C1765" s="240" t="s">
        <v>10964</v>
      </c>
      <c r="D1765" s="236"/>
      <c r="E1765" s="240" t="s">
        <v>3511</v>
      </c>
      <c r="F1765" s="240" t="s">
        <v>10965</v>
      </c>
      <c r="G1765" s="238" t="s">
        <v>10966</v>
      </c>
      <c r="H1765" s="88" t="s">
        <v>10967</v>
      </c>
      <c r="I1765" s="237"/>
      <c r="J1765" s="256" t="s">
        <v>10622</v>
      </c>
      <c r="K1765" s="259" t="s">
        <v>10963</v>
      </c>
      <c r="L1765" s="237"/>
      <c r="M1765" s="237"/>
      <c r="N1765" s="237"/>
      <c r="O1765" s="237"/>
      <c r="P1765" s="237"/>
      <c r="Q1765" s="237"/>
      <c r="R1765" s="237"/>
      <c r="S1765" s="237"/>
      <c r="T1765" s="237"/>
      <c r="U1765" s="237"/>
      <c r="V1765" s="237"/>
      <c r="W1765" s="237"/>
      <c r="X1765" s="237"/>
      <c r="Y1765" s="237"/>
      <c r="Z1765" s="237"/>
      <c r="AA1765" s="237"/>
      <c r="AB1765" s="237"/>
    </row>
    <row r="1766">
      <c r="A1766" s="238">
        <v>1767.0</v>
      </c>
      <c r="B1766" s="260" t="s">
        <v>10968</v>
      </c>
      <c r="C1766" s="240" t="s">
        <v>10969</v>
      </c>
      <c r="D1766" s="236"/>
      <c r="E1766" s="240" t="s">
        <v>3511</v>
      </c>
      <c r="F1766" s="240" t="s">
        <v>10970</v>
      </c>
      <c r="G1766" s="238" t="s">
        <v>10971</v>
      </c>
      <c r="H1766" s="88" t="s">
        <v>10972</v>
      </c>
      <c r="I1766" s="237"/>
      <c r="J1766" s="256" t="s">
        <v>10622</v>
      </c>
      <c r="K1766" s="260" t="s">
        <v>10968</v>
      </c>
      <c r="L1766" s="237"/>
      <c r="M1766" s="237"/>
      <c r="N1766" s="237"/>
      <c r="O1766" s="237"/>
      <c r="P1766" s="237"/>
      <c r="Q1766" s="237"/>
      <c r="R1766" s="237"/>
      <c r="S1766" s="237"/>
      <c r="T1766" s="237"/>
      <c r="U1766" s="237"/>
      <c r="V1766" s="237"/>
      <c r="W1766" s="237"/>
      <c r="X1766" s="237"/>
      <c r="Y1766" s="237"/>
      <c r="Z1766" s="237"/>
      <c r="AA1766" s="237"/>
      <c r="AB1766" s="237"/>
    </row>
    <row r="1767">
      <c r="A1767" s="238">
        <v>1768.0</v>
      </c>
      <c r="B1767" s="239" t="s">
        <v>3963</v>
      </c>
      <c r="C1767" s="240" t="s">
        <v>10973</v>
      </c>
      <c r="D1767" s="236"/>
      <c r="E1767" s="240" t="s">
        <v>3496</v>
      </c>
      <c r="F1767" s="240" t="s">
        <v>3965</v>
      </c>
      <c r="G1767" s="238" t="s">
        <v>10974</v>
      </c>
      <c r="H1767" s="236"/>
      <c r="I1767" s="237"/>
      <c r="J1767" s="256" t="s">
        <v>3962</v>
      </c>
      <c r="K1767" s="239" t="s">
        <v>3963</v>
      </c>
      <c r="L1767" s="237"/>
      <c r="M1767" s="237"/>
      <c r="N1767" s="237"/>
      <c r="O1767" s="237"/>
      <c r="P1767" s="237"/>
      <c r="Q1767" s="237"/>
      <c r="R1767" s="237"/>
      <c r="S1767" s="237"/>
      <c r="T1767" s="237"/>
      <c r="U1767" s="237"/>
      <c r="V1767" s="237"/>
      <c r="W1767" s="237"/>
      <c r="X1767" s="237"/>
      <c r="Y1767" s="237"/>
      <c r="Z1767" s="237"/>
      <c r="AA1767" s="237"/>
      <c r="AB1767" s="237"/>
    </row>
    <row r="1768">
      <c r="A1768" s="238">
        <v>1769.0</v>
      </c>
      <c r="B1768" s="242"/>
      <c r="C1768" s="240" t="s">
        <v>10975</v>
      </c>
      <c r="D1768" s="236"/>
      <c r="E1768" s="240" t="s">
        <v>3496</v>
      </c>
      <c r="F1768" s="240" t="s">
        <v>10976</v>
      </c>
      <c r="G1768" s="238" t="s">
        <v>10977</v>
      </c>
      <c r="H1768" s="236"/>
      <c r="I1768" s="237"/>
      <c r="J1768" s="256" t="s">
        <v>3962</v>
      </c>
      <c r="K1768" s="242"/>
      <c r="L1768" s="237"/>
      <c r="M1768" s="237"/>
      <c r="N1768" s="237"/>
      <c r="O1768" s="237"/>
      <c r="P1768" s="237"/>
      <c r="Q1768" s="237"/>
      <c r="R1768" s="237"/>
      <c r="S1768" s="237"/>
      <c r="T1768" s="237"/>
      <c r="U1768" s="237"/>
      <c r="V1768" s="237"/>
      <c r="W1768" s="237"/>
      <c r="X1768" s="237"/>
      <c r="Y1768" s="237"/>
      <c r="Z1768" s="237"/>
      <c r="AA1768" s="237"/>
      <c r="AB1768" s="237"/>
    </row>
    <row r="1769">
      <c r="A1769" s="238">
        <v>1770.0</v>
      </c>
      <c r="B1769" s="239" t="s">
        <v>3505</v>
      </c>
      <c r="C1769" s="240" t="s">
        <v>10978</v>
      </c>
      <c r="D1769" s="236"/>
      <c r="E1769" s="240" t="s">
        <v>3496</v>
      </c>
      <c r="F1769" s="240" t="s">
        <v>3507</v>
      </c>
      <c r="G1769" s="238" t="s">
        <v>10979</v>
      </c>
      <c r="H1769" s="236"/>
      <c r="I1769" s="237"/>
      <c r="J1769" s="256" t="s">
        <v>3499</v>
      </c>
      <c r="K1769" s="239" t="s">
        <v>3505</v>
      </c>
      <c r="L1769" s="237"/>
      <c r="M1769" s="237"/>
      <c r="N1769" s="237"/>
      <c r="O1769" s="237"/>
      <c r="P1769" s="237"/>
      <c r="Q1769" s="237"/>
      <c r="R1769" s="237"/>
      <c r="S1769" s="237"/>
      <c r="T1769" s="237"/>
      <c r="U1769" s="237"/>
      <c r="V1769" s="237"/>
      <c r="W1769" s="237"/>
      <c r="X1769" s="237"/>
      <c r="Y1769" s="237"/>
      <c r="Z1769" s="237"/>
      <c r="AA1769" s="237"/>
      <c r="AB1769" s="237"/>
    </row>
    <row r="1770">
      <c r="A1770" s="238">
        <v>1771.0</v>
      </c>
      <c r="B1770" s="239" t="s">
        <v>10980</v>
      </c>
      <c r="C1770" s="240" t="s">
        <v>10981</v>
      </c>
      <c r="D1770" s="236"/>
      <c r="E1770" s="240" t="s">
        <v>3511</v>
      </c>
      <c r="F1770" s="240" t="s">
        <v>10982</v>
      </c>
      <c r="G1770" s="238" t="s">
        <v>10983</v>
      </c>
      <c r="H1770" s="240" t="s">
        <v>10984</v>
      </c>
      <c r="I1770" s="237"/>
      <c r="J1770" s="256" t="s">
        <v>3996</v>
      </c>
      <c r="K1770" s="239" t="s">
        <v>10980</v>
      </c>
      <c r="L1770" s="237"/>
      <c r="M1770" s="237"/>
      <c r="N1770" s="237"/>
      <c r="O1770" s="237"/>
      <c r="P1770" s="237"/>
      <c r="Q1770" s="237"/>
      <c r="R1770" s="237"/>
      <c r="S1770" s="237"/>
      <c r="T1770" s="237"/>
      <c r="U1770" s="237"/>
      <c r="V1770" s="237"/>
      <c r="W1770" s="237"/>
      <c r="X1770" s="237"/>
      <c r="Y1770" s="237"/>
      <c r="Z1770" s="237"/>
      <c r="AA1770" s="237"/>
      <c r="AB1770" s="237"/>
    </row>
    <row r="1771">
      <c r="A1771" s="238">
        <v>1772.0</v>
      </c>
      <c r="B1771" s="239" t="s">
        <v>10985</v>
      </c>
      <c r="C1771" s="240" t="s">
        <v>10986</v>
      </c>
      <c r="D1771" s="236"/>
      <c r="E1771" s="240" t="s">
        <v>3511</v>
      </c>
      <c r="F1771" s="240" t="s">
        <v>10987</v>
      </c>
      <c r="G1771" s="238" t="s">
        <v>10988</v>
      </c>
      <c r="H1771" s="240" t="s">
        <v>10989</v>
      </c>
      <c r="I1771" s="237"/>
      <c r="J1771" s="256" t="s">
        <v>3996</v>
      </c>
      <c r="K1771" s="239" t="s">
        <v>10985</v>
      </c>
      <c r="L1771" s="237"/>
      <c r="M1771" s="237"/>
      <c r="N1771" s="237"/>
      <c r="O1771" s="237"/>
      <c r="P1771" s="237"/>
      <c r="Q1771" s="237"/>
      <c r="R1771" s="237"/>
      <c r="S1771" s="237"/>
      <c r="T1771" s="237"/>
      <c r="U1771" s="237"/>
      <c r="V1771" s="237"/>
      <c r="W1771" s="237"/>
      <c r="X1771" s="237"/>
      <c r="Y1771" s="237"/>
      <c r="Z1771" s="237"/>
      <c r="AA1771" s="237"/>
      <c r="AB1771" s="237"/>
    </row>
    <row r="1772">
      <c r="A1772" s="238">
        <v>1773.0</v>
      </c>
      <c r="B1772" s="239" t="s">
        <v>10990</v>
      </c>
      <c r="C1772" s="240" t="s">
        <v>10991</v>
      </c>
      <c r="D1772" s="236"/>
      <c r="E1772" s="240" t="s">
        <v>3511</v>
      </c>
      <c r="F1772" s="240" t="s">
        <v>10992</v>
      </c>
      <c r="G1772" s="238" t="s">
        <v>10993</v>
      </c>
      <c r="H1772" s="240" t="s">
        <v>10994</v>
      </c>
      <c r="I1772" s="237"/>
      <c r="J1772" s="256" t="s">
        <v>3996</v>
      </c>
      <c r="K1772" s="239" t="s">
        <v>10990</v>
      </c>
      <c r="L1772" s="237"/>
      <c r="M1772" s="237"/>
      <c r="N1772" s="237"/>
      <c r="O1772" s="237"/>
      <c r="P1772" s="237"/>
      <c r="Q1772" s="237"/>
      <c r="R1772" s="237"/>
      <c r="S1772" s="237"/>
      <c r="T1772" s="237"/>
      <c r="U1772" s="237"/>
      <c r="V1772" s="237"/>
      <c r="W1772" s="237"/>
      <c r="X1772" s="237"/>
      <c r="Y1772" s="237"/>
      <c r="Z1772" s="237"/>
      <c r="AA1772" s="237"/>
      <c r="AB1772" s="237"/>
    </row>
    <row r="1773">
      <c r="A1773" s="238">
        <v>1774.0</v>
      </c>
      <c r="B1773" s="239" t="s">
        <v>10995</v>
      </c>
      <c r="C1773" s="240" t="s">
        <v>10996</v>
      </c>
      <c r="D1773" s="236"/>
      <c r="E1773" s="240" t="s">
        <v>3511</v>
      </c>
      <c r="F1773" s="240" t="s">
        <v>10997</v>
      </c>
      <c r="G1773" s="238" t="s">
        <v>10998</v>
      </c>
      <c r="H1773" s="240" t="s">
        <v>10999</v>
      </c>
      <c r="I1773" s="237"/>
      <c r="J1773" s="256" t="s">
        <v>3996</v>
      </c>
      <c r="K1773" s="239" t="s">
        <v>10995</v>
      </c>
      <c r="L1773" s="237"/>
      <c r="M1773" s="237"/>
      <c r="N1773" s="237"/>
      <c r="O1773" s="237"/>
      <c r="P1773" s="237"/>
      <c r="Q1773" s="237"/>
      <c r="R1773" s="237"/>
      <c r="S1773" s="237"/>
      <c r="T1773" s="237"/>
      <c r="U1773" s="237"/>
      <c r="V1773" s="237"/>
      <c r="W1773" s="237"/>
      <c r="X1773" s="237"/>
      <c r="Y1773" s="237"/>
      <c r="Z1773" s="237"/>
      <c r="AA1773" s="237"/>
      <c r="AB1773" s="237"/>
    </row>
    <row r="1774">
      <c r="A1774" s="238">
        <v>1775.0</v>
      </c>
      <c r="B1774" s="239" t="s">
        <v>11000</v>
      </c>
      <c r="C1774" s="240" t="s">
        <v>11001</v>
      </c>
      <c r="D1774" s="236"/>
      <c r="E1774" s="240" t="s">
        <v>3511</v>
      </c>
      <c r="F1774" s="240" t="s">
        <v>11002</v>
      </c>
      <c r="G1774" s="238" t="s">
        <v>11003</v>
      </c>
      <c r="H1774" s="240" t="s">
        <v>11004</v>
      </c>
      <c r="I1774" s="237"/>
      <c r="J1774" s="256" t="s">
        <v>3996</v>
      </c>
      <c r="K1774" s="239" t="s">
        <v>11000</v>
      </c>
      <c r="L1774" s="237"/>
      <c r="M1774" s="237"/>
      <c r="N1774" s="237"/>
      <c r="O1774" s="237"/>
      <c r="P1774" s="237"/>
      <c r="Q1774" s="237"/>
      <c r="R1774" s="237"/>
      <c r="S1774" s="237"/>
      <c r="T1774" s="237"/>
      <c r="U1774" s="237"/>
      <c r="V1774" s="237"/>
      <c r="W1774" s="237"/>
      <c r="X1774" s="237"/>
      <c r="Y1774" s="237"/>
      <c r="Z1774" s="237"/>
      <c r="AA1774" s="237"/>
      <c r="AB1774" s="237"/>
    </row>
    <row r="1775">
      <c r="A1775" s="238">
        <v>1776.0</v>
      </c>
      <c r="B1775" s="239" t="s">
        <v>11005</v>
      </c>
      <c r="C1775" s="240" t="s">
        <v>11006</v>
      </c>
      <c r="D1775" s="236"/>
      <c r="E1775" s="240" t="s">
        <v>3511</v>
      </c>
      <c r="F1775" s="240" t="s">
        <v>11007</v>
      </c>
      <c r="G1775" s="238" t="s">
        <v>11008</v>
      </c>
      <c r="H1775" s="240" t="s">
        <v>11009</v>
      </c>
      <c r="I1775" s="237"/>
      <c r="J1775" s="256" t="s">
        <v>3996</v>
      </c>
      <c r="K1775" s="239" t="s">
        <v>11005</v>
      </c>
      <c r="L1775" s="237"/>
      <c r="M1775" s="237"/>
      <c r="N1775" s="237"/>
      <c r="O1775" s="237"/>
      <c r="P1775" s="237"/>
      <c r="Q1775" s="237"/>
      <c r="R1775" s="237"/>
      <c r="S1775" s="237"/>
      <c r="T1775" s="237"/>
      <c r="U1775" s="237"/>
      <c r="V1775" s="237"/>
      <c r="W1775" s="237"/>
      <c r="X1775" s="237"/>
      <c r="Y1775" s="237"/>
      <c r="Z1775" s="237"/>
      <c r="AA1775" s="237"/>
      <c r="AB1775" s="237"/>
    </row>
    <row r="1776">
      <c r="A1776" s="238">
        <v>1777.0</v>
      </c>
      <c r="B1776" s="239" t="s">
        <v>11010</v>
      </c>
      <c r="C1776" s="240" t="s">
        <v>11011</v>
      </c>
      <c r="D1776" s="236"/>
      <c r="E1776" s="240" t="s">
        <v>3511</v>
      </c>
      <c r="F1776" s="240" t="s">
        <v>11012</v>
      </c>
      <c r="G1776" s="238" t="s">
        <v>11013</v>
      </c>
      <c r="H1776" s="240" t="s">
        <v>11014</v>
      </c>
      <c r="I1776" s="237"/>
      <c r="J1776" s="256" t="s">
        <v>3996</v>
      </c>
      <c r="K1776" s="239" t="s">
        <v>11010</v>
      </c>
      <c r="L1776" s="237"/>
      <c r="M1776" s="237"/>
      <c r="N1776" s="237"/>
      <c r="O1776" s="237"/>
      <c r="P1776" s="237"/>
      <c r="Q1776" s="237"/>
      <c r="R1776" s="237"/>
      <c r="S1776" s="237"/>
      <c r="T1776" s="237"/>
      <c r="U1776" s="237"/>
      <c r="V1776" s="237"/>
      <c r="W1776" s="237"/>
      <c r="X1776" s="237"/>
      <c r="Y1776" s="237"/>
      <c r="Z1776" s="237"/>
      <c r="AA1776" s="237"/>
      <c r="AB1776" s="237"/>
    </row>
    <row r="1777">
      <c r="A1777" s="238">
        <v>1778.0</v>
      </c>
      <c r="B1777" s="239" t="s">
        <v>11015</v>
      </c>
      <c r="C1777" s="240" t="s">
        <v>11016</v>
      </c>
      <c r="D1777" s="236"/>
      <c r="E1777" s="240" t="s">
        <v>3511</v>
      </c>
      <c r="F1777" s="240" t="s">
        <v>11017</v>
      </c>
      <c r="G1777" s="238" t="s">
        <v>11018</v>
      </c>
      <c r="H1777" s="240" t="s">
        <v>11019</v>
      </c>
      <c r="I1777" s="237"/>
      <c r="J1777" s="256" t="s">
        <v>3996</v>
      </c>
      <c r="K1777" s="239" t="s">
        <v>11015</v>
      </c>
      <c r="L1777" s="237"/>
      <c r="M1777" s="237"/>
      <c r="N1777" s="237"/>
      <c r="O1777" s="237"/>
      <c r="P1777" s="237"/>
      <c r="Q1777" s="237"/>
      <c r="R1777" s="237"/>
      <c r="S1777" s="237"/>
      <c r="T1777" s="237"/>
      <c r="U1777" s="237"/>
      <c r="V1777" s="237"/>
      <c r="W1777" s="237"/>
      <c r="X1777" s="237"/>
      <c r="Y1777" s="237"/>
      <c r="Z1777" s="237"/>
      <c r="AA1777" s="237"/>
      <c r="AB1777" s="237"/>
    </row>
    <row r="1778">
      <c r="A1778" s="238">
        <v>1779.0</v>
      </c>
      <c r="B1778" s="239" t="s">
        <v>11020</v>
      </c>
      <c r="C1778" s="240" t="s">
        <v>11021</v>
      </c>
      <c r="D1778" s="236"/>
      <c r="E1778" s="240" t="s">
        <v>3511</v>
      </c>
      <c r="F1778" s="241" t="s">
        <v>11022</v>
      </c>
      <c r="G1778" s="238" t="s">
        <v>11023</v>
      </c>
      <c r="H1778" s="240" t="s">
        <v>11024</v>
      </c>
      <c r="I1778" s="237"/>
      <c r="J1778" s="256" t="s">
        <v>3996</v>
      </c>
      <c r="K1778" s="239" t="s">
        <v>11020</v>
      </c>
      <c r="L1778" s="237"/>
      <c r="M1778" s="237"/>
      <c r="N1778" s="237"/>
      <c r="O1778" s="237"/>
      <c r="P1778" s="237"/>
      <c r="Q1778" s="237"/>
      <c r="R1778" s="237"/>
      <c r="S1778" s="237"/>
      <c r="T1778" s="237"/>
      <c r="U1778" s="237"/>
      <c r="V1778" s="237"/>
      <c r="W1778" s="237"/>
      <c r="X1778" s="237"/>
      <c r="Y1778" s="237"/>
      <c r="Z1778" s="237"/>
      <c r="AA1778" s="237"/>
      <c r="AB1778" s="237"/>
    </row>
    <row r="1779">
      <c r="A1779" s="238">
        <v>1780.0</v>
      </c>
      <c r="B1779" s="239" t="s">
        <v>11025</v>
      </c>
      <c r="C1779" s="240" t="s">
        <v>11026</v>
      </c>
      <c r="D1779" s="236"/>
      <c r="E1779" s="240" t="s">
        <v>3511</v>
      </c>
      <c r="F1779" s="240" t="s">
        <v>11027</v>
      </c>
      <c r="G1779" s="238" t="s">
        <v>11028</v>
      </c>
      <c r="H1779" s="240" t="s">
        <v>11029</v>
      </c>
      <c r="I1779" s="237"/>
      <c r="J1779" s="256" t="s">
        <v>3996</v>
      </c>
      <c r="K1779" s="239" t="s">
        <v>11025</v>
      </c>
      <c r="L1779" s="237"/>
      <c r="M1779" s="237"/>
      <c r="N1779" s="237"/>
      <c r="O1779" s="237"/>
      <c r="P1779" s="237"/>
      <c r="Q1779" s="237"/>
      <c r="R1779" s="237"/>
      <c r="S1779" s="237"/>
      <c r="T1779" s="237"/>
      <c r="U1779" s="237"/>
      <c r="V1779" s="237"/>
      <c r="W1779" s="237"/>
      <c r="X1779" s="237"/>
      <c r="Y1779" s="237"/>
      <c r="Z1779" s="237"/>
      <c r="AA1779" s="237"/>
      <c r="AB1779" s="237"/>
    </row>
    <row r="1780">
      <c r="A1780" s="238">
        <v>1781.0</v>
      </c>
      <c r="B1780" s="239" t="s">
        <v>11030</v>
      </c>
      <c r="C1780" s="240" t="s">
        <v>11031</v>
      </c>
      <c r="D1780" s="236"/>
      <c r="E1780" s="240" t="s">
        <v>3511</v>
      </c>
      <c r="F1780" s="240" t="s">
        <v>11032</v>
      </c>
      <c r="G1780" s="238" t="s">
        <v>11033</v>
      </c>
      <c r="H1780" s="240" t="s">
        <v>11034</v>
      </c>
      <c r="I1780" s="237"/>
      <c r="J1780" s="256" t="s">
        <v>3996</v>
      </c>
      <c r="K1780" s="239" t="s">
        <v>11030</v>
      </c>
      <c r="L1780" s="237"/>
      <c r="M1780" s="237"/>
      <c r="N1780" s="237"/>
      <c r="O1780" s="237"/>
      <c r="P1780" s="237"/>
      <c r="Q1780" s="237"/>
      <c r="R1780" s="237"/>
      <c r="S1780" s="237"/>
      <c r="T1780" s="237"/>
      <c r="U1780" s="237"/>
      <c r="V1780" s="237"/>
      <c r="W1780" s="237"/>
      <c r="X1780" s="237"/>
      <c r="Y1780" s="237"/>
      <c r="Z1780" s="237"/>
      <c r="AA1780" s="237"/>
      <c r="AB1780" s="237"/>
    </row>
    <row r="1781">
      <c r="A1781" s="238">
        <v>1782.0</v>
      </c>
      <c r="B1781" s="239" t="s">
        <v>11035</v>
      </c>
      <c r="C1781" s="240" t="s">
        <v>11036</v>
      </c>
      <c r="D1781" s="236"/>
      <c r="E1781" s="240" t="s">
        <v>3511</v>
      </c>
      <c r="F1781" s="240" t="s">
        <v>11037</v>
      </c>
      <c r="G1781" s="238" t="s">
        <v>11038</v>
      </c>
      <c r="H1781" s="240" t="s">
        <v>11039</v>
      </c>
      <c r="I1781" s="237"/>
      <c r="J1781" s="256" t="s">
        <v>3996</v>
      </c>
      <c r="K1781" s="239" t="s">
        <v>11035</v>
      </c>
      <c r="L1781" s="237"/>
      <c r="M1781" s="237"/>
      <c r="N1781" s="237"/>
      <c r="O1781" s="237"/>
      <c r="P1781" s="237"/>
      <c r="Q1781" s="237"/>
      <c r="R1781" s="237"/>
      <c r="S1781" s="237"/>
      <c r="T1781" s="237"/>
      <c r="U1781" s="237"/>
      <c r="V1781" s="237"/>
      <c r="W1781" s="237"/>
      <c r="X1781" s="237"/>
      <c r="Y1781" s="237"/>
      <c r="Z1781" s="237"/>
      <c r="AA1781" s="237"/>
      <c r="AB1781" s="237"/>
    </row>
    <row r="1782">
      <c r="A1782" s="238">
        <v>1783.0</v>
      </c>
      <c r="B1782" s="239" t="s">
        <v>11040</v>
      </c>
      <c r="C1782" s="240" t="s">
        <v>11041</v>
      </c>
      <c r="D1782" s="236"/>
      <c r="E1782" s="240" t="s">
        <v>3511</v>
      </c>
      <c r="F1782" s="240" t="s">
        <v>11042</v>
      </c>
      <c r="G1782" s="238" t="s">
        <v>11043</v>
      </c>
      <c r="H1782" s="240" t="s">
        <v>11044</v>
      </c>
      <c r="I1782" s="237"/>
      <c r="J1782" s="256" t="s">
        <v>3996</v>
      </c>
      <c r="K1782" s="239" t="s">
        <v>11040</v>
      </c>
      <c r="L1782" s="237"/>
      <c r="M1782" s="237"/>
      <c r="N1782" s="237"/>
      <c r="O1782" s="237"/>
      <c r="P1782" s="237"/>
      <c r="Q1782" s="237"/>
      <c r="R1782" s="237"/>
      <c r="S1782" s="237"/>
      <c r="T1782" s="237"/>
      <c r="U1782" s="237"/>
      <c r="V1782" s="237"/>
      <c r="W1782" s="237"/>
      <c r="X1782" s="237"/>
      <c r="Y1782" s="237"/>
      <c r="Z1782" s="237"/>
      <c r="AA1782" s="237"/>
      <c r="AB1782" s="237"/>
    </row>
    <row r="1783">
      <c r="A1783" s="238">
        <v>1784.0</v>
      </c>
      <c r="B1783" s="239" t="s">
        <v>11045</v>
      </c>
      <c r="C1783" s="240" t="s">
        <v>11046</v>
      </c>
      <c r="D1783" s="236"/>
      <c r="E1783" s="240" t="s">
        <v>3511</v>
      </c>
      <c r="F1783" s="240" t="s">
        <v>11047</v>
      </c>
      <c r="G1783" s="238" t="s">
        <v>11048</v>
      </c>
      <c r="H1783" s="240" t="s">
        <v>11049</v>
      </c>
      <c r="I1783" s="237"/>
      <c r="J1783" s="256" t="s">
        <v>3996</v>
      </c>
      <c r="K1783" s="239" t="s">
        <v>11045</v>
      </c>
      <c r="L1783" s="237"/>
      <c r="M1783" s="237"/>
      <c r="N1783" s="237"/>
      <c r="O1783" s="237"/>
      <c r="P1783" s="237"/>
      <c r="Q1783" s="237"/>
      <c r="R1783" s="237"/>
      <c r="S1783" s="237"/>
      <c r="T1783" s="237"/>
      <c r="U1783" s="237"/>
      <c r="V1783" s="237"/>
      <c r="W1783" s="237"/>
      <c r="X1783" s="237"/>
      <c r="Y1783" s="237"/>
      <c r="Z1783" s="237"/>
      <c r="AA1783" s="237"/>
      <c r="AB1783" s="237"/>
    </row>
    <row r="1784">
      <c r="A1784" s="238">
        <v>1785.0</v>
      </c>
      <c r="B1784" s="239" t="s">
        <v>11005</v>
      </c>
      <c r="C1784" s="240" t="s">
        <v>11050</v>
      </c>
      <c r="D1784" s="236"/>
      <c r="E1784" s="240" t="s">
        <v>3511</v>
      </c>
      <c r="F1784" s="240" t="s">
        <v>11007</v>
      </c>
      <c r="G1784" s="238" t="s">
        <v>11051</v>
      </c>
      <c r="H1784" s="240" t="s">
        <v>11052</v>
      </c>
      <c r="I1784" s="237"/>
      <c r="J1784" s="256" t="s">
        <v>4044</v>
      </c>
      <c r="K1784" s="239" t="s">
        <v>11005</v>
      </c>
      <c r="L1784" s="237"/>
      <c r="M1784" s="237"/>
      <c r="N1784" s="237"/>
      <c r="O1784" s="237"/>
      <c r="P1784" s="237"/>
      <c r="Q1784" s="237"/>
      <c r="R1784" s="237"/>
      <c r="S1784" s="237"/>
      <c r="T1784" s="237"/>
      <c r="U1784" s="237"/>
      <c r="V1784" s="237"/>
      <c r="W1784" s="237"/>
      <c r="X1784" s="237"/>
      <c r="Y1784" s="237"/>
      <c r="Z1784" s="237"/>
      <c r="AA1784" s="237"/>
      <c r="AB1784" s="237"/>
    </row>
    <row r="1785">
      <c r="A1785" s="238">
        <v>1786.0</v>
      </c>
      <c r="B1785" s="239" t="s">
        <v>11010</v>
      </c>
      <c r="C1785" s="240" t="s">
        <v>11053</v>
      </c>
      <c r="D1785" s="236"/>
      <c r="E1785" s="240" t="s">
        <v>3511</v>
      </c>
      <c r="F1785" s="240" t="s">
        <v>11012</v>
      </c>
      <c r="G1785" s="238" t="s">
        <v>11054</v>
      </c>
      <c r="H1785" s="240" t="s">
        <v>11055</v>
      </c>
      <c r="I1785" s="237"/>
      <c r="J1785" s="256" t="s">
        <v>4044</v>
      </c>
      <c r="K1785" s="239" t="s">
        <v>11010</v>
      </c>
      <c r="L1785" s="237"/>
      <c r="M1785" s="237"/>
      <c r="N1785" s="237"/>
      <c r="O1785" s="237"/>
      <c r="P1785" s="237"/>
      <c r="Q1785" s="237"/>
      <c r="R1785" s="237"/>
      <c r="S1785" s="237"/>
      <c r="T1785" s="237"/>
      <c r="U1785" s="237"/>
      <c r="V1785" s="237"/>
      <c r="W1785" s="237"/>
      <c r="X1785" s="237"/>
      <c r="Y1785" s="237"/>
      <c r="Z1785" s="237"/>
      <c r="AA1785" s="237"/>
      <c r="AB1785" s="237"/>
    </row>
    <row r="1786">
      <c r="A1786" s="238">
        <v>1787.0</v>
      </c>
      <c r="B1786" s="239" t="s">
        <v>11015</v>
      </c>
      <c r="C1786" s="240" t="s">
        <v>11056</v>
      </c>
      <c r="D1786" s="236"/>
      <c r="E1786" s="240" t="s">
        <v>3511</v>
      </c>
      <c r="F1786" s="240" t="s">
        <v>11017</v>
      </c>
      <c r="G1786" s="238" t="s">
        <v>11057</v>
      </c>
      <c r="H1786" s="240" t="s">
        <v>11058</v>
      </c>
      <c r="I1786" s="237"/>
      <c r="J1786" s="256" t="s">
        <v>4044</v>
      </c>
      <c r="K1786" s="239" t="s">
        <v>11015</v>
      </c>
      <c r="L1786" s="237"/>
      <c r="M1786" s="237"/>
      <c r="N1786" s="237"/>
      <c r="O1786" s="237"/>
      <c r="P1786" s="237"/>
      <c r="Q1786" s="237"/>
      <c r="R1786" s="237"/>
      <c r="S1786" s="237"/>
      <c r="T1786" s="237"/>
      <c r="U1786" s="237"/>
      <c r="V1786" s="237"/>
      <c r="W1786" s="237"/>
      <c r="X1786" s="237"/>
      <c r="Y1786" s="237"/>
      <c r="Z1786" s="237"/>
      <c r="AA1786" s="237"/>
      <c r="AB1786" s="237"/>
    </row>
    <row r="1787">
      <c r="A1787" s="238">
        <v>1788.0</v>
      </c>
      <c r="B1787" s="239" t="s">
        <v>11020</v>
      </c>
      <c r="C1787" s="240" t="s">
        <v>11059</v>
      </c>
      <c r="D1787" s="236"/>
      <c r="E1787" s="240" t="s">
        <v>3511</v>
      </c>
      <c r="F1787" s="240" t="s">
        <v>11022</v>
      </c>
      <c r="G1787" s="238" t="s">
        <v>11060</v>
      </c>
      <c r="H1787" s="240" t="s">
        <v>11061</v>
      </c>
      <c r="I1787" s="237"/>
      <c r="J1787" s="256" t="s">
        <v>4044</v>
      </c>
      <c r="K1787" s="239" t="s">
        <v>11020</v>
      </c>
      <c r="L1787" s="237"/>
      <c r="M1787" s="237"/>
      <c r="N1787" s="237"/>
      <c r="O1787" s="237"/>
      <c r="P1787" s="237"/>
      <c r="Q1787" s="237"/>
      <c r="R1787" s="237"/>
      <c r="S1787" s="237"/>
      <c r="T1787" s="237"/>
      <c r="U1787" s="237"/>
      <c r="V1787" s="237"/>
      <c r="W1787" s="237"/>
      <c r="X1787" s="237"/>
      <c r="Y1787" s="237"/>
      <c r="Z1787" s="237"/>
      <c r="AA1787" s="237"/>
      <c r="AB1787" s="237"/>
    </row>
    <row r="1788">
      <c r="A1788" s="238">
        <v>1789.0</v>
      </c>
      <c r="B1788" s="239" t="s">
        <v>11025</v>
      </c>
      <c r="C1788" s="240" t="s">
        <v>11062</v>
      </c>
      <c r="D1788" s="236"/>
      <c r="E1788" s="240" t="s">
        <v>3511</v>
      </c>
      <c r="F1788" s="240" t="s">
        <v>11027</v>
      </c>
      <c r="G1788" s="238" t="s">
        <v>11063</v>
      </c>
      <c r="H1788" s="240" t="s">
        <v>11064</v>
      </c>
      <c r="I1788" s="237"/>
      <c r="J1788" s="256" t="s">
        <v>4044</v>
      </c>
      <c r="K1788" s="239" t="s">
        <v>11025</v>
      </c>
      <c r="L1788" s="237"/>
      <c r="M1788" s="237"/>
      <c r="N1788" s="237"/>
      <c r="O1788" s="237"/>
      <c r="P1788" s="237"/>
      <c r="Q1788" s="237"/>
      <c r="R1788" s="237"/>
      <c r="S1788" s="237"/>
      <c r="T1788" s="237"/>
      <c r="U1788" s="237"/>
      <c r="V1788" s="237"/>
      <c r="W1788" s="237"/>
      <c r="X1788" s="237"/>
      <c r="Y1788" s="237"/>
      <c r="Z1788" s="237"/>
      <c r="AA1788" s="237"/>
      <c r="AB1788" s="237"/>
    </row>
    <row r="1789">
      <c r="A1789" s="238">
        <v>1790.0</v>
      </c>
      <c r="B1789" s="239" t="s">
        <v>11065</v>
      </c>
      <c r="C1789" s="240" t="s">
        <v>11066</v>
      </c>
      <c r="D1789" s="236"/>
      <c r="E1789" s="240" t="s">
        <v>3511</v>
      </c>
      <c r="F1789" s="240" t="s">
        <v>11067</v>
      </c>
      <c r="G1789" s="238" t="s">
        <v>11068</v>
      </c>
      <c r="H1789" s="240" t="s">
        <v>11069</v>
      </c>
      <c r="I1789" s="237"/>
      <c r="J1789" s="256" t="s">
        <v>4044</v>
      </c>
      <c r="K1789" s="239" t="s">
        <v>11065</v>
      </c>
      <c r="L1789" s="237"/>
      <c r="M1789" s="237"/>
      <c r="N1789" s="237"/>
      <c r="O1789" s="237"/>
      <c r="P1789" s="237"/>
      <c r="Q1789" s="237"/>
      <c r="R1789" s="237"/>
      <c r="S1789" s="237"/>
      <c r="T1789" s="237"/>
      <c r="U1789" s="237"/>
      <c r="V1789" s="237"/>
      <c r="W1789" s="237"/>
      <c r="X1789" s="237"/>
      <c r="Y1789" s="237"/>
      <c r="Z1789" s="237"/>
      <c r="AA1789" s="237"/>
      <c r="AB1789" s="237"/>
    </row>
    <row r="1790">
      <c r="A1790" s="238">
        <v>1791.0</v>
      </c>
      <c r="B1790" s="239" t="s">
        <v>11070</v>
      </c>
      <c r="C1790" s="240" t="s">
        <v>11071</v>
      </c>
      <c r="D1790" s="236"/>
      <c r="E1790" s="240" t="s">
        <v>3511</v>
      </c>
      <c r="F1790" s="240" t="s">
        <v>11072</v>
      </c>
      <c r="G1790" s="238" t="s">
        <v>11073</v>
      </c>
      <c r="H1790" s="240" t="s">
        <v>11074</v>
      </c>
      <c r="I1790" s="237"/>
      <c r="J1790" s="256" t="s">
        <v>4044</v>
      </c>
      <c r="K1790" s="239" t="s">
        <v>11070</v>
      </c>
      <c r="L1790" s="237"/>
      <c r="M1790" s="237"/>
      <c r="N1790" s="237"/>
      <c r="O1790" s="237"/>
      <c r="P1790" s="237"/>
      <c r="Q1790" s="237"/>
      <c r="R1790" s="237"/>
      <c r="S1790" s="237"/>
      <c r="T1790" s="237"/>
      <c r="U1790" s="237"/>
      <c r="V1790" s="237"/>
      <c r="W1790" s="237"/>
      <c r="X1790" s="237"/>
      <c r="Y1790" s="237"/>
      <c r="Z1790" s="237"/>
      <c r="AA1790" s="237"/>
      <c r="AB1790" s="237"/>
    </row>
    <row r="1791">
      <c r="A1791" s="238">
        <v>1792.0</v>
      </c>
      <c r="B1791" s="239" t="s">
        <v>11075</v>
      </c>
      <c r="C1791" s="240" t="s">
        <v>11076</v>
      </c>
      <c r="D1791" s="236"/>
      <c r="E1791" s="240" t="s">
        <v>3511</v>
      </c>
      <c r="F1791" s="240" t="s">
        <v>11077</v>
      </c>
      <c r="G1791" s="238" t="s">
        <v>11078</v>
      </c>
      <c r="H1791" s="240" t="s">
        <v>11079</v>
      </c>
      <c r="I1791" s="237"/>
      <c r="J1791" s="256" t="s">
        <v>4044</v>
      </c>
      <c r="K1791" s="239" t="s">
        <v>11075</v>
      </c>
      <c r="L1791" s="237"/>
      <c r="M1791" s="237"/>
      <c r="N1791" s="237"/>
      <c r="O1791" s="237"/>
      <c r="P1791" s="237"/>
      <c r="Q1791" s="237"/>
      <c r="R1791" s="237"/>
      <c r="S1791" s="237"/>
      <c r="T1791" s="237"/>
      <c r="U1791" s="237"/>
      <c r="V1791" s="237"/>
      <c r="W1791" s="237"/>
      <c r="X1791" s="237"/>
      <c r="Y1791" s="237"/>
      <c r="Z1791" s="237"/>
      <c r="AA1791" s="237"/>
      <c r="AB1791" s="237"/>
    </row>
    <row r="1792">
      <c r="A1792" s="238">
        <v>1793.0</v>
      </c>
      <c r="B1792" s="239" t="s">
        <v>11080</v>
      </c>
      <c r="C1792" s="240" t="s">
        <v>11081</v>
      </c>
      <c r="D1792" s="236"/>
      <c r="E1792" s="240" t="s">
        <v>3511</v>
      </c>
      <c r="F1792" s="240" t="s">
        <v>11082</v>
      </c>
      <c r="G1792" s="238" t="s">
        <v>11083</v>
      </c>
      <c r="H1792" s="240" t="s">
        <v>11084</v>
      </c>
      <c r="I1792" s="237"/>
      <c r="J1792" s="256" t="s">
        <v>4044</v>
      </c>
      <c r="K1792" s="239" t="s">
        <v>11080</v>
      </c>
      <c r="L1792" s="237"/>
      <c r="M1792" s="237"/>
      <c r="N1792" s="237"/>
      <c r="O1792" s="237"/>
      <c r="P1792" s="237"/>
      <c r="Q1792" s="237"/>
      <c r="R1792" s="237"/>
      <c r="S1792" s="237"/>
      <c r="T1792" s="237"/>
      <c r="U1792" s="237"/>
      <c r="V1792" s="237"/>
      <c r="W1792" s="237"/>
      <c r="X1792" s="237"/>
      <c r="Y1792" s="237"/>
      <c r="Z1792" s="237"/>
      <c r="AA1792" s="237"/>
      <c r="AB1792" s="237"/>
    </row>
    <row r="1793">
      <c r="A1793" s="238">
        <v>1794.0</v>
      </c>
      <c r="B1793" s="239" t="s">
        <v>11085</v>
      </c>
      <c r="C1793" s="240" t="s">
        <v>11086</v>
      </c>
      <c r="D1793" s="236"/>
      <c r="E1793" s="240" t="s">
        <v>3511</v>
      </c>
      <c r="F1793" s="240" t="s">
        <v>2545</v>
      </c>
      <c r="G1793" s="238" t="s">
        <v>11087</v>
      </c>
      <c r="H1793" s="240" t="s">
        <v>11088</v>
      </c>
      <c r="I1793" s="237"/>
      <c r="J1793" s="256" t="s">
        <v>4044</v>
      </c>
      <c r="K1793" s="239" t="s">
        <v>11085</v>
      </c>
      <c r="L1793" s="237"/>
      <c r="M1793" s="237"/>
      <c r="N1793" s="237"/>
      <c r="O1793" s="237"/>
      <c r="P1793" s="237"/>
      <c r="Q1793" s="237"/>
      <c r="R1793" s="237"/>
      <c r="S1793" s="237"/>
      <c r="T1793" s="237"/>
      <c r="U1793" s="237"/>
      <c r="V1793" s="237"/>
      <c r="W1793" s="237"/>
      <c r="X1793" s="237"/>
      <c r="Y1793" s="237"/>
      <c r="Z1793" s="237"/>
      <c r="AA1793" s="237"/>
      <c r="AB1793" s="237"/>
    </row>
    <row r="1794">
      <c r="A1794" s="238">
        <v>1795.0</v>
      </c>
      <c r="B1794" s="239" t="s">
        <v>11089</v>
      </c>
      <c r="C1794" s="240" t="s">
        <v>11090</v>
      </c>
      <c r="D1794" s="236"/>
      <c r="E1794" s="240" t="s">
        <v>3511</v>
      </c>
      <c r="F1794" s="240" t="s">
        <v>11091</v>
      </c>
      <c r="G1794" s="238" t="s">
        <v>11092</v>
      </c>
      <c r="H1794" s="240" t="s">
        <v>11093</v>
      </c>
      <c r="I1794" s="237"/>
      <c r="J1794" s="256" t="s">
        <v>4044</v>
      </c>
      <c r="K1794" s="239" t="s">
        <v>11089</v>
      </c>
      <c r="L1794" s="237"/>
      <c r="M1794" s="237"/>
      <c r="N1794" s="237"/>
      <c r="O1794" s="237"/>
      <c r="P1794" s="237"/>
      <c r="Q1794" s="237"/>
      <c r="R1794" s="237"/>
      <c r="S1794" s="237"/>
      <c r="T1794" s="237"/>
      <c r="U1794" s="237"/>
      <c r="V1794" s="237"/>
      <c r="W1794" s="237"/>
      <c r="X1794" s="237"/>
      <c r="Y1794" s="237"/>
      <c r="Z1794" s="237"/>
      <c r="AA1794" s="237"/>
      <c r="AB1794" s="237"/>
    </row>
    <row r="1795">
      <c r="A1795" s="238">
        <v>1796.0</v>
      </c>
      <c r="B1795" s="239" t="s">
        <v>11094</v>
      </c>
      <c r="C1795" s="240" t="s">
        <v>11095</v>
      </c>
      <c r="D1795" s="236"/>
      <c r="E1795" s="240" t="s">
        <v>3511</v>
      </c>
      <c r="F1795" s="240" t="s">
        <v>11096</v>
      </c>
      <c r="G1795" s="238" t="s">
        <v>11097</v>
      </c>
      <c r="H1795" s="240" t="s">
        <v>11098</v>
      </c>
      <c r="I1795" s="237"/>
      <c r="J1795" s="256" t="s">
        <v>4044</v>
      </c>
      <c r="K1795" s="239" t="s">
        <v>11094</v>
      </c>
      <c r="L1795" s="237"/>
      <c r="M1795" s="237"/>
      <c r="N1795" s="237"/>
      <c r="O1795" s="237"/>
      <c r="P1795" s="237"/>
      <c r="Q1795" s="237"/>
      <c r="R1795" s="237"/>
      <c r="S1795" s="237"/>
      <c r="T1795" s="237"/>
      <c r="U1795" s="237"/>
      <c r="V1795" s="237"/>
      <c r="W1795" s="237"/>
      <c r="X1795" s="237"/>
      <c r="Y1795" s="237"/>
      <c r="Z1795" s="237"/>
      <c r="AA1795" s="237"/>
      <c r="AB1795" s="237"/>
    </row>
    <row r="1796">
      <c r="A1796" s="238">
        <v>1797.0</v>
      </c>
      <c r="B1796" s="239" t="s">
        <v>11099</v>
      </c>
      <c r="C1796" s="240" t="s">
        <v>11100</v>
      </c>
      <c r="D1796" s="236"/>
      <c r="E1796" s="240" t="s">
        <v>3511</v>
      </c>
      <c r="F1796" s="240" t="s">
        <v>11101</v>
      </c>
      <c r="G1796" s="238" t="s">
        <v>11102</v>
      </c>
      <c r="H1796" s="240" t="s">
        <v>11103</v>
      </c>
      <c r="I1796" s="237"/>
      <c r="J1796" s="256" t="s">
        <v>4044</v>
      </c>
      <c r="K1796" s="239" t="s">
        <v>11099</v>
      </c>
      <c r="L1796" s="237"/>
      <c r="M1796" s="237"/>
      <c r="N1796" s="237"/>
      <c r="O1796" s="237"/>
      <c r="P1796" s="237"/>
      <c r="Q1796" s="237"/>
      <c r="R1796" s="237"/>
      <c r="S1796" s="237"/>
      <c r="T1796" s="237"/>
      <c r="U1796" s="237"/>
      <c r="V1796" s="237"/>
      <c r="W1796" s="237"/>
      <c r="X1796" s="237"/>
      <c r="Y1796" s="237"/>
      <c r="Z1796" s="237"/>
      <c r="AA1796" s="237"/>
      <c r="AB1796" s="237"/>
    </row>
    <row r="1797">
      <c r="A1797" s="238">
        <v>1798.0</v>
      </c>
      <c r="B1797" s="239" t="s">
        <v>11104</v>
      </c>
      <c r="C1797" s="240" t="s">
        <v>11105</v>
      </c>
      <c r="D1797" s="236"/>
      <c r="E1797" s="240" t="s">
        <v>3511</v>
      </c>
      <c r="F1797" s="240" t="s">
        <v>2431</v>
      </c>
      <c r="G1797" s="238" t="s">
        <v>11106</v>
      </c>
      <c r="H1797" s="240" t="s">
        <v>11107</v>
      </c>
      <c r="I1797" s="237"/>
      <c r="J1797" s="237"/>
      <c r="K1797" s="239" t="s">
        <v>11104</v>
      </c>
      <c r="L1797" s="237"/>
      <c r="M1797" s="237"/>
      <c r="N1797" s="237"/>
      <c r="O1797" s="237"/>
      <c r="P1797" s="237"/>
      <c r="Q1797" s="237"/>
      <c r="R1797" s="237"/>
      <c r="S1797" s="237"/>
      <c r="T1797" s="237"/>
      <c r="U1797" s="237"/>
      <c r="V1797" s="237"/>
      <c r="W1797" s="237"/>
      <c r="X1797" s="237"/>
      <c r="Y1797" s="237"/>
      <c r="Z1797" s="237"/>
      <c r="AA1797" s="237"/>
      <c r="AB1797" s="237"/>
    </row>
    <row r="1798">
      <c r="A1798" s="238">
        <v>1799.0</v>
      </c>
      <c r="B1798" s="239" t="s">
        <v>11108</v>
      </c>
      <c r="C1798" s="240" t="s">
        <v>11109</v>
      </c>
      <c r="D1798" s="236"/>
      <c r="E1798" s="240" t="s">
        <v>3511</v>
      </c>
      <c r="F1798" s="240" t="s">
        <v>2432</v>
      </c>
      <c r="G1798" s="238" t="s">
        <v>11110</v>
      </c>
      <c r="H1798" s="240" t="s">
        <v>11111</v>
      </c>
      <c r="I1798" s="237"/>
      <c r="J1798" s="237"/>
      <c r="K1798" s="239" t="s">
        <v>11108</v>
      </c>
      <c r="L1798" s="237"/>
      <c r="M1798" s="237"/>
      <c r="N1798" s="237"/>
      <c r="O1798" s="237"/>
      <c r="P1798" s="237"/>
      <c r="Q1798" s="237"/>
      <c r="R1798" s="237"/>
      <c r="S1798" s="237"/>
      <c r="T1798" s="237"/>
      <c r="U1798" s="237"/>
      <c r="V1798" s="237"/>
      <c r="W1798" s="237"/>
      <c r="X1798" s="237"/>
      <c r="Y1798" s="237"/>
      <c r="Z1798" s="237"/>
      <c r="AA1798" s="237"/>
      <c r="AB1798" s="237"/>
    </row>
    <row r="1799">
      <c r="A1799" s="238">
        <v>1800.0</v>
      </c>
      <c r="B1799" s="239" t="s">
        <v>11112</v>
      </c>
      <c r="C1799" s="240" t="s">
        <v>11113</v>
      </c>
      <c r="D1799" s="236"/>
      <c r="E1799" s="240" t="s">
        <v>3511</v>
      </c>
      <c r="F1799" s="240" t="s">
        <v>2433</v>
      </c>
      <c r="G1799" s="238" t="s">
        <v>11114</v>
      </c>
      <c r="H1799" s="240" t="s">
        <v>11115</v>
      </c>
      <c r="I1799" s="237"/>
      <c r="J1799" s="237"/>
      <c r="K1799" s="239" t="s">
        <v>11112</v>
      </c>
      <c r="L1799" s="237"/>
      <c r="M1799" s="237"/>
      <c r="N1799" s="237"/>
      <c r="O1799" s="237"/>
      <c r="P1799" s="237"/>
      <c r="Q1799" s="237"/>
      <c r="R1799" s="237"/>
      <c r="S1799" s="237"/>
      <c r="T1799" s="237"/>
      <c r="U1799" s="237"/>
      <c r="V1799" s="237"/>
      <c r="W1799" s="237"/>
      <c r="X1799" s="237"/>
      <c r="Y1799" s="237"/>
      <c r="Z1799" s="237"/>
      <c r="AA1799" s="237"/>
      <c r="AB1799" s="237"/>
    </row>
    <row r="1800">
      <c r="A1800" s="238">
        <v>1801.0</v>
      </c>
      <c r="B1800" s="239" t="s">
        <v>11116</v>
      </c>
      <c r="C1800" s="240" t="s">
        <v>11117</v>
      </c>
      <c r="D1800" s="236"/>
      <c r="E1800" s="240" t="s">
        <v>3511</v>
      </c>
      <c r="F1800" s="240" t="s">
        <v>2436</v>
      </c>
      <c r="G1800" s="238" t="s">
        <v>11118</v>
      </c>
      <c r="H1800" s="240" t="s">
        <v>11119</v>
      </c>
      <c r="I1800" s="237"/>
      <c r="J1800" s="237"/>
      <c r="K1800" s="239" t="s">
        <v>11116</v>
      </c>
      <c r="L1800" s="237"/>
      <c r="M1800" s="237"/>
      <c r="N1800" s="237"/>
      <c r="O1800" s="237"/>
      <c r="P1800" s="237"/>
      <c r="Q1800" s="237"/>
      <c r="R1800" s="237"/>
      <c r="S1800" s="237"/>
      <c r="T1800" s="237"/>
      <c r="U1800" s="237"/>
      <c r="V1800" s="237"/>
      <c r="W1800" s="237"/>
      <c r="X1800" s="237"/>
      <c r="Y1800" s="237"/>
      <c r="Z1800" s="237"/>
      <c r="AA1800" s="237"/>
      <c r="AB1800" s="237"/>
    </row>
    <row r="1801">
      <c r="A1801" s="238">
        <v>1802.0</v>
      </c>
      <c r="B1801" s="239" t="s">
        <v>11120</v>
      </c>
      <c r="C1801" s="240" t="s">
        <v>11121</v>
      </c>
      <c r="D1801" s="236"/>
      <c r="E1801" s="240" t="s">
        <v>3511</v>
      </c>
      <c r="F1801" s="240" t="s">
        <v>2435</v>
      </c>
      <c r="G1801" s="238" t="s">
        <v>11122</v>
      </c>
      <c r="H1801" s="240" t="s">
        <v>11123</v>
      </c>
      <c r="I1801" s="237"/>
      <c r="J1801" s="237"/>
      <c r="K1801" s="239" t="s">
        <v>11120</v>
      </c>
      <c r="L1801" s="237"/>
      <c r="M1801" s="237"/>
      <c r="N1801" s="237"/>
      <c r="O1801" s="237"/>
      <c r="P1801" s="237"/>
      <c r="Q1801" s="237"/>
      <c r="R1801" s="237"/>
      <c r="S1801" s="237"/>
      <c r="T1801" s="237"/>
      <c r="U1801" s="237"/>
      <c r="V1801" s="237"/>
      <c r="W1801" s="237"/>
      <c r="X1801" s="237"/>
      <c r="Y1801" s="237"/>
      <c r="Z1801" s="237"/>
      <c r="AA1801" s="237"/>
      <c r="AB1801" s="237"/>
    </row>
    <row r="1802">
      <c r="A1802" s="238">
        <v>1803.0</v>
      </c>
      <c r="B1802" s="239" t="s">
        <v>11124</v>
      </c>
      <c r="C1802" s="240" t="s">
        <v>11125</v>
      </c>
      <c r="D1802" s="236"/>
      <c r="E1802" s="240" t="s">
        <v>3511</v>
      </c>
      <c r="F1802" s="240" t="s">
        <v>2434</v>
      </c>
      <c r="G1802" s="238" t="s">
        <v>11126</v>
      </c>
      <c r="H1802" s="240" t="s">
        <v>11127</v>
      </c>
      <c r="I1802" s="237"/>
      <c r="J1802" s="237"/>
      <c r="K1802" s="239" t="s">
        <v>11124</v>
      </c>
      <c r="L1802" s="237"/>
      <c r="M1802" s="237"/>
      <c r="N1802" s="237"/>
      <c r="O1802" s="237"/>
      <c r="P1802" s="237"/>
      <c r="Q1802" s="237"/>
      <c r="R1802" s="237"/>
      <c r="S1802" s="237"/>
      <c r="T1802" s="237"/>
      <c r="U1802" s="237"/>
      <c r="V1802" s="237"/>
      <c r="W1802" s="237"/>
      <c r="X1802" s="237"/>
      <c r="Y1802" s="237"/>
      <c r="Z1802" s="237"/>
      <c r="AA1802" s="237"/>
      <c r="AB1802" s="237"/>
    </row>
    <row r="1803">
      <c r="A1803" s="238">
        <v>1804.0</v>
      </c>
      <c r="B1803" s="239" t="s">
        <v>11128</v>
      </c>
      <c r="C1803" s="240" t="s">
        <v>11129</v>
      </c>
      <c r="D1803" s="236"/>
      <c r="E1803" s="240" t="s">
        <v>3511</v>
      </c>
      <c r="F1803" s="240" t="s">
        <v>2439</v>
      </c>
      <c r="G1803" s="238" t="s">
        <v>11130</v>
      </c>
      <c r="H1803" s="240" t="s">
        <v>11131</v>
      </c>
      <c r="I1803" s="237"/>
      <c r="J1803" s="237"/>
      <c r="K1803" s="239" t="s">
        <v>11128</v>
      </c>
      <c r="L1803" s="237"/>
      <c r="M1803" s="237"/>
      <c r="N1803" s="237"/>
      <c r="O1803" s="237"/>
      <c r="P1803" s="237"/>
      <c r="Q1803" s="237"/>
      <c r="R1803" s="237"/>
      <c r="S1803" s="237"/>
      <c r="T1803" s="237"/>
      <c r="U1803" s="237"/>
      <c r="V1803" s="237"/>
      <c r="W1803" s="237"/>
      <c r="X1803" s="237"/>
      <c r="Y1803" s="237"/>
      <c r="Z1803" s="237"/>
      <c r="AA1803" s="237"/>
      <c r="AB1803" s="237"/>
    </row>
    <row r="1804">
      <c r="A1804" s="238">
        <v>1805.0</v>
      </c>
      <c r="B1804" s="239" t="s">
        <v>11132</v>
      </c>
      <c r="C1804" s="240" t="s">
        <v>11133</v>
      </c>
      <c r="D1804" s="236"/>
      <c r="E1804" s="240" t="s">
        <v>3511</v>
      </c>
      <c r="F1804" s="240" t="s">
        <v>2440</v>
      </c>
      <c r="G1804" s="238" t="s">
        <v>11134</v>
      </c>
      <c r="H1804" s="240" t="s">
        <v>11135</v>
      </c>
      <c r="I1804" s="237"/>
      <c r="J1804" s="237"/>
      <c r="K1804" s="239" t="s">
        <v>11132</v>
      </c>
      <c r="L1804" s="237"/>
      <c r="M1804" s="237"/>
      <c r="N1804" s="237"/>
      <c r="O1804" s="237"/>
      <c r="P1804" s="237"/>
      <c r="Q1804" s="237"/>
      <c r="R1804" s="237"/>
      <c r="S1804" s="237"/>
      <c r="T1804" s="237"/>
      <c r="U1804" s="237"/>
      <c r="V1804" s="237"/>
      <c r="W1804" s="237"/>
      <c r="X1804" s="237"/>
      <c r="Y1804" s="237"/>
      <c r="Z1804" s="237"/>
      <c r="AA1804" s="237"/>
      <c r="AB1804" s="237"/>
    </row>
    <row r="1805">
      <c r="A1805" s="238">
        <v>1806.0</v>
      </c>
      <c r="B1805" s="239" t="s">
        <v>11136</v>
      </c>
      <c r="C1805" s="240" t="s">
        <v>11137</v>
      </c>
      <c r="D1805" s="236"/>
      <c r="E1805" s="240" t="s">
        <v>3511</v>
      </c>
      <c r="F1805" s="240" t="s">
        <v>2441</v>
      </c>
      <c r="G1805" s="238" t="s">
        <v>11138</v>
      </c>
      <c r="H1805" s="240" t="s">
        <v>11139</v>
      </c>
      <c r="I1805" s="237"/>
      <c r="J1805" s="237"/>
      <c r="K1805" s="239" t="s">
        <v>11136</v>
      </c>
      <c r="L1805" s="237"/>
      <c r="M1805" s="237"/>
      <c r="N1805" s="237"/>
      <c r="O1805" s="237"/>
      <c r="P1805" s="237"/>
      <c r="Q1805" s="237"/>
      <c r="R1805" s="237"/>
      <c r="S1805" s="237"/>
      <c r="T1805" s="237"/>
      <c r="U1805" s="237"/>
      <c r="V1805" s="237"/>
      <c r="W1805" s="237"/>
      <c r="X1805" s="237"/>
      <c r="Y1805" s="237"/>
      <c r="Z1805" s="237"/>
      <c r="AA1805" s="237"/>
      <c r="AB1805" s="237"/>
    </row>
    <row r="1806">
      <c r="A1806" s="238">
        <v>1807.0</v>
      </c>
      <c r="B1806" s="239" t="s">
        <v>11132</v>
      </c>
      <c r="C1806" s="240" t="s">
        <v>11140</v>
      </c>
      <c r="D1806" s="236"/>
      <c r="E1806" s="240" t="s">
        <v>3511</v>
      </c>
      <c r="F1806" s="240" t="s">
        <v>2440</v>
      </c>
      <c r="G1806" s="238" t="s">
        <v>11141</v>
      </c>
      <c r="H1806" s="240" t="s">
        <v>11142</v>
      </c>
      <c r="I1806" s="237"/>
      <c r="J1806" s="237"/>
      <c r="K1806" s="239" t="s">
        <v>11132</v>
      </c>
      <c r="L1806" s="237"/>
      <c r="M1806" s="237"/>
      <c r="N1806" s="237"/>
      <c r="O1806" s="237"/>
      <c r="P1806" s="237"/>
      <c r="Q1806" s="237"/>
      <c r="R1806" s="237"/>
      <c r="S1806" s="237"/>
      <c r="T1806" s="237"/>
      <c r="U1806" s="237"/>
      <c r="V1806" s="237"/>
      <c r="W1806" s="237"/>
      <c r="X1806" s="237"/>
      <c r="Y1806" s="237"/>
      <c r="Z1806" s="237"/>
      <c r="AA1806" s="237"/>
      <c r="AB1806" s="237"/>
    </row>
    <row r="1807">
      <c r="A1807" s="238">
        <v>1808.0</v>
      </c>
      <c r="B1807" s="239" t="s">
        <v>11143</v>
      </c>
      <c r="C1807" s="240" t="s">
        <v>11144</v>
      </c>
      <c r="D1807" s="236"/>
      <c r="E1807" s="240" t="s">
        <v>3511</v>
      </c>
      <c r="F1807" s="240" t="s">
        <v>2442</v>
      </c>
      <c r="G1807" s="238" t="s">
        <v>11145</v>
      </c>
      <c r="H1807" s="240" t="s">
        <v>11146</v>
      </c>
      <c r="I1807" s="237"/>
      <c r="J1807" s="256" t="s">
        <v>5848</v>
      </c>
      <c r="K1807" s="239" t="s">
        <v>11143</v>
      </c>
      <c r="L1807" s="237"/>
      <c r="M1807" s="237"/>
      <c r="N1807" s="237"/>
      <c r="O1807" s="237"/>
      <c r="P1807" s="237"/>
      <c r="Q1807" s="237"/>
      <c r="R1807" s="237"/>
      <c r="S1807" s="237"/>
      <c r="T1807" s="237"/>
      <c r="U1807" s="237"/>
      <c r="V1807" s="237"/>
      <c r="W1807" s="237"/>
      <c r="X1807" s="237"/>
      <c r="Y1807" s="237"/>
      <c r="Z1807" s="237"/>
      <c r="AA1807" s="237"/>
      <c r="AB1807" s="237"/>
    </row>
    <row r="1808">
      <c r="A1808" s="238">
        <v>1809.0</v>
      </c>
      <c r="B1808" s="239" t="s">
        <v>11147</v>
      </c>
      <c r="C1808" s="240" t="s">
        <v>11148</v>
      </c>
      <c r="D1808" s="236"/>
      <c r="E1808" s="240" t="s">
        <v>3511</v>
      </c>
      <c r="F1808" s="240" t="s">
        <v>11149</v>
      </c>
      <c r="G1808" s="238" t="s">
        <v>11150</v>
      </c>
      <c r="H1808" s="240" t="s">
        <v>11151</v>
      </c>
      <c r="I1808" s="237"/>
      <c r="J1808" s="256" t="s">
        <v>5848</v>
      </c>
      <c r="K1808" s="239" t="s">
        <v>11147</v>
      </c>
      <c r="L1808" s="237"/>
      <c r="M1808" s="237"/>
      <c r="N1808" s="237"/>
      <c r="O1808" s="237"/>
      <c r="P1808" s="237"/>
      <c r="Q1808" s="237"/>
      <c r="R1808" s="237"/>
      <c r="S1808" s="237"/>
      <c r="T1808" s="237"/>
      <c r="U1808" s="237"/>
      <c r="V1808" s="237"/>
      <c r="W1808" s="237"/>
      <c r="X1808" s="237"/>
      <c r="Y1808" s="237"/>
      <c r="Z1808" s="237"/>
      <c r="AA1808" s="237"/>
      <c r="AB1808" s="237"/>
    </row>
    <row r="1809">
      <c r="A1809" s="238">
        <v>1810.0</v>
      </c>
      <c r="B1809" s="239" t="s">
        <v>11152</v>
      </c>
      <c r="C1809" s="240" t="s">
        <v>11153</v>
      </c>
      <c r="D1809" s="236"/>
      <c r="E1809" s="240" t="s">
        <v>3511</v>
      </c>
      <c r="F1809" s="240" t="s">
        <v>2274</v>
      </c>
      <c r="G1809" s="238" t="s">
        <v>11154</v>
      </c>
      <c r="H1809" s="240" t="s">
        <v>11155</v>
      </c>
      <c r="I1809" s="237"/>
      <c r="J1809" s="256" t="s">
        <v>5848</v>
      </c>
      <c r="K1809" s="239" t="s">
        <v>11152</v>
      </c>
      <c r="L1809" s="237"/>
      <c r="M1809" s="237"/>
      <c r="N1809" s="237"/>
      <c r="O1809" s="237"/>
      <c r="P1809" s="237"/>
      <c r="Q1809" s="237"/>
      <c r="R1809" s="237"/>
      <c r="S1809" s="237"/>
      <c r="T1809" s="237"/>
      <c r="U1809" s="237"/>
      <c r="V1809" s="237"/>
      <c r="W1809" s="237"/>
      <c r="X1809" s="237"/>
      <c r="Y1809" s="237"/>
      <c r="Z1809" s="237"/>
      <c r="AA1809" s="237"/>
      <c r="AB1809" s="237"/>
    </row>
    <row r="1810">
      <c r="A1810" s="238">
        <v>1811.0</v>
      </c>
      <c r="B1810" s="239" t="s">
        <v>11156</v>
      </c>
      <c r="C1810" s="240" t="s">
        <v>11157</v>
      </c>
      <c r="D1810" s="236"/>
      <c r="E1810" s="240" t="s">
        <v>3511</v>
      </c>
      <c r="F1810" s="240" t="s">
        <v>2273</v>
      </c>
      <c r="G1810" s="238" t="s">
        <v>11158</v>
      </c>
      <c r="H1810" s="240" t="s">
        <v>11159</v>
      </c>
      <c r="I1810" s="237"/>
      <c r="J1810" s="256" t="s">
        <v>5848</v>
      </c>
      <c r="K1810" s="239" t="s">
        <v>11156</v>
      </c>
      <c r="L1810" s="237"/>
      <c r="M1810" s="237"/>
      <c r="N1810" s="237"/>
      <c r="O1810" s="237"/>
      <c r="P1810" s="237"/>
      <c r="Q1810" s="237"/>
      <c r="R1810" s="237"/>
      <c r="S1810" s="237"/>
      <c r="T1810" s="237"/>
      <c r="U1810" s="237"/>
      <c r="V1810" s="237"/>
      <c r="W1810" s="237"/>
      <c r="X1810" s="237"/>
      <c r="Y1810" s="237"/>
      <c r="Z1810" s="237"/>
      <c r="AA1810" s="237"/>
      <c r="AB1810" s="237"/>
    </row>
    <row r="1811">
      <c r="A1811" s="238">
        <v>1812.0</v>
      </c>
      <c r="B1811" s="239" t="s">
        <v>11160</v>
      </c>
      <c r="C1811" s="240" t="s">
        <v>11161</v>
      </c>
      <c r="D1811" s="236"/>
      <c r="E1811" s="240" t="s">
        <v>3511</v>
      </c>
      <c r="F1811" s="240" t="s">
        <v>2277</v>
      </c>
      <c r="G1811" s="238" t="s">
        <v>11162</v>
      </c>
      <c r="H1811" s="240" t="s">
        <v>11163</v>
      </c>
      <c r="I1811" s="237"/>
      <c r="J1811" s="256" t="s">
        <v>5848</v>
      </c>
      <c r="K1811" s="239" t="s">
        <v>11160</v>
      </c>
      <c r="L1811" s="237"/>
      <c r="M1811" s="237"/>
      <c r="N1811" s="237"/>
      <c r="O1811" s="237"/>
      <c r="P1811" s="237"/>
      <c r="Q1811" s="237"/>
      <c r="R1811" s="237"/>
      <c r="S1811" s="237"/>
      <c r="T1811" s="237"/>
      <c r="U1811" s="237"/>
      <c r="V1811" s="237"/>
      <c r="W1811" s="237"/>
      <c r="X1811" s="237"/>
      <c r="Y1811" s="237"/>
      <c r="Z1811" s="237"/>
      <c r="AA1811" s="237"/>
      <c r="AB1811" s="237"/>
    </row>
    <row r="1812">
      <c r="A1812" s="238">
        <v>1813.0</v>
      </c>
      <c r="B1812" s="239" t="s">
        <v>11164</v>
      </c>
      <c r="C1812" s="240" t="s">
        <v>11165</v>
      </c>
      <c r="D1812" s="236"/>
      <c r="E1812" s="240" t="s">
        <v>3511</v>
      </c>
      <c r="F1812" s="240" t="s">
        <v>2283</v>
      </c>
      <c r="G1812" s="238" t="s">
        <v>11166</v>
      </c>
      <c r="H1812" s="240" t="s">
        <v>11167</v>
      </c>
      <c r="I1812" s="237"/>
      <c r="J1812" s="256" t="s">
        <v>5848</v>
      </c>
      <c r="K1812" s="239" t="s">
        <v>11164</v>
      </c>
      <c r="L1812" s="237"/>
      <c r="M1812" s="237"/>
      <c r="N1812" s="237"/>
      <c r="O1812" s="237"/>
      <c r="P1812" s="237"/>
      <c r="Q1812" s="237"/>
      <c r="R1812" s="237"/>
      <c r="S1812" s="237"/>
      <c r="T1812" s="237"/>
      <c r="U1812" s="237"/>
      <c r="V1812" s="237"/>
      <c r="W1812" s="237"/>
      <c r="X1812" s="237"/>
      <c r="Y1812" s="237"/>
      <c r="Z1812" s="237"/>
      <c r="AA1812" s="237"/>
      <c r="AB1812" s="237"/>
    </row>
    <row r="1813">
      <c r="A1813" s="238">
        <v>1814.0</v>
      </c>
      <c r="B1813" s="239" t="s">
        <v>11168</v>
      </c>
      <c r="C1813" s="240" t="s">
        <v>11169</v>
      </c>
      <c r="D1813" s="236"/>
      <c r="E1813" s="240" t="s">
        <v>3511</v>
      </c>
      <c r="F1813" s="240" t="s">
        <v>2279</v>
      </c>
      <c r="G1813" s="238" t="s">
        <v>11170</v>
      </c>
      <c r="H1813" s="240" t="s">
        <v>11171</v>
      </c>
      <c r="I1813" s="237"/>
      <c r="J1813" s="256" t="s">
        <v>5848</v>
      </c>
      <c r="K1813" s="239" t="s">
        <v>11168</v>
      </c>
      <c r="L1813" s="237"/>
      <c r="M1813" s="237"/>
      <c r="N1813" s="237"/>
      <c r="O1813" s="237"/>
      <c r="P1813" s="237"/>
      <c r="Q1813" s="237"/>
      <c r="R1813" s="237"/>
      <c r="S1813" s="237"/>
      <c r="T1813" s="237"/>
      <c r="U1813" s="237"/>
      <c r="V1813" s="237"/>
      <c r="W1813" s="237"/>
      <c r="X1813" s="237"/>
      <c r="Y1813" s="237"/>
      <c r="Z1813" s="237"/>
      <c r="AA1813" s="237"/>
      <c r="AB1813" s="237"/>
    </row>
    <row r="1814">
      <c r="A1814" s="238">
        <v>1815.0</v>
      </c>
      <c r="B1814" s="239" t="s">
        <v>11172</v>
      </c>
      <c r="C1814" s="240" t="s">
        <v>11173</v>
      </c>
      <c r="D1814" s="236"/>
      <c r="E1814" s="240" t="s">
        <v>3511</v>
      </c>
      <c r="F1814" s="240" t="s">
        <v>2281</v>
      </c>
      <c r="G1814" s="238" t="s">
        <v>11174</v>
      </c>
      <c r="H1814" s="240" t="s">
        <v>11175</v>
      </c>
      <c r="I1814" s="237"/>
      <c r="J1814" s="256" t="s">
        <v>5848</v>
      </c>
      <c r="K1814" s="239" t="s">
        <v>11172</v>
      </c>
      <c r="L1814" s="237"/>
      <c r="M1814" s="237"/>
      <c r="N1814" s="237"/>
      <c r="O1814" s="237"/>
      <c r="P1814" s="237"/>
      <c r="Q1814" s="237"/>
      <c r="R1814" s="237"/>
      <c r="S1814" s="237"/>
      <c r="T1814" s="237"/>
      <c r="U1814" s="237"/>
      <c r="V1814" s="237"/>
      <c r="W1814" s="237"/>
      <c r="X1814" s="237"/>
      <c r="Y1814" s="237"/>
      <c r="Z1814" s="237"/>
      <c r="AA1814" s="237"/>
      <c r="AB1814" s="237"/>
    </row>
    <row r="1815">
      <c r="A1815" s="238">
        <v>1816.0</v>
      </c>
      <c r="B1815" s="239" t="s">
        <v>11176</v>
      </c>
      <c r="C1815" s="240" t="s">
        <v>11177</v>
      </c>
      <c r="D1815" s="236"/>
      <c r="E1815" s="240" t="s">
        <v>3511</v>
      </c>
      <c r="F1815" s="240" t="s">
        <v>2280</v>
      </c>
      <c r="G1815" s="238" t="s">
        <v>11178</v>
      </c>
      <c r="H1815" s="240" t="s">
        <v>11179</v>
      </c>
      <c r="I1815" s="237"/>
      <c r="J1815" s="256" t="s">
        <v>5848</v>
      </c>
      <c r="K1815" s="239" t="s">
        <v>11176</v>
      </c>
      <c r="L1815" s="237"/>
      <c r="M1815" s="237"/>
      <c r="N1815" s="237"/>
      <c r="O1815" s="237"/>
      <c r="P1815" s="237"/>
      <c r="Q1815" s="237"/>
      <c r="R1815" s="237"/>
      <c r="S1815" s="237"/>
      <c r="T1815" s="237"/>
      <c r="U1815" s="237"/>
      <c r="V1815" s="237"/>
      <c r="W1815" s="237"/>
      <c r="X1815" s="237"/>
      <c r="Y1815" s="237"/>
      <c r="Z1815" s="237"/>
      <c r="AA1815" s="237"/>
      <c r="AB1815" s="237"/>
    </row>
    <row r="1816">
      <c r="A1816" s="238">
        <v>1817.0</v>
      </c>
      <c r="B1816" s="239" t="s">
        <v>11180</v>
      </c>
      <c r="C1816" s="240" t="s">
        <v>11181</v>
      </c>
      <c r="D1816" s="236"/>
      <c r="E1816" s="240" t="s">
        <v>3511</v>
      </c>
      <c r="F1816" s="240" t="s">
        <v>2278</v>
      </c>
      <c r="G1816" s="238" t="s">
        <v>11182</v>
      </c>
      <c r="H1816" s="240" t="s">
        <v>11183</v>
      </c>
      <c r="I1816" s="237"/>
      <c r="J1816" s="256" t="s">
        <v>5848</v>
      </c>
      <c r="K1816" s="239" t="s">
        <v>11180</v>
      </c>
      <c r="L1816" s="237"/>
      <c r="M1816" s="237"/>
      <c r="N1816" s="237"/>
      <c r="O1816" s="237"/>
      <c r="P1816" s="237"/>
      <c r="Q1816" s="237"/>
      <c r="R1816" s="237"/>
      <c r="S1816" s="237"/>
      <c r="T1816" s="237"/>
      <c r="U1816" s="237"/>
      <c r="V1816" s="237"/>
      <c r="W1816" s="237"/>
      <c r="X1816" s="237"/>
      <c r="Y1816" s="237"/>
      <c r="Z1816" s="237"/>
      <c r="AA1816" s="237"/>
      <c r="AB1816" s="237"/>
    </row>
    <row r="1817">
      <c r="A1817" s="238">
        <v>1818.0</v>
      </c>
      <c r="B1817" s="239" t="s">
        <v>11184</v>
      </c>
      <c r="C1817" s="240" t="s">
        <v>11185</v>
      </c>
      <c r="D1817" s="236"/>
      <c r="E1817" s="240" t="s">
        <v>3511</v>
      </c>
      <c r="F1817" s="240" t="s">
        <v>2270</v>
      </c>
      <c r="G1817" s="238" t="s">
        <v>11186</v>
      </c>
      <c r="H1817" s="240" t="s">
        <v>11187</v>
      </c>
      <c r="I1817" s="237"/>
      <c r="J1817" s="256" t="s">
        <v>5848</v>
      </c>
      <c r="K1817" s="239" t="s">
        <v>11184</v>
      </c>
      <c r="L1817" s="237"/>
      <c r="M1817" s="237"/>
      <c r="N1817" s="237"/>
      <c r="O1817" s="237"/>
      <c r="P1817" s="237"/>
      <c r="Q1817" s="237"/>
      <c r="R1817" s="237"/>
      <c r="S1817" s="237"/>
      <c r="T1817" s="237"/>
      <c r="U1817" s="237"/>
      <c r="V1817" s="237"/>
      <c r="W1817" s="237"/>
      <c r="X1817" s="237"/>
      <c r="Y1817" s="237"/>
      <c r="Z1817" s="237"/>
      <c r="AA1817" s="237"/>
      <c r="AB1817" s="237"/>
    </row>
    <row r="1818">
      <c r="A1818" s="238">
        <v>1819.0</v>
      </c>
      <c r="B1818" s="239" t="s">
        <v>11188</v>
      </c>
      <c r="C1818" s="240" t="s">
        <v>11189</v>
      </c>
      <c r="D1818" s="236"/>
      <c r="E1818" s="240" t="s">
        <v>3511</v>
      </c>
      <c r="F1818" s="240" t="s">
        <v>2271</v>
      </c>
      <c r="G1818" s="238" t="s">
        <v>11190</v>
      </c>
      <c r="H1818" s="240" t="s">
        <v>11191</v>
      </c>
      <c r="I1818" s="237"/>
      <c r="J1818" s="256" t="s">
        <v>5848</v>
      </c>
      <c r="K1818" s="239" t="s">
        <v>11188</v>
      </c>
      <c r="L1818" s="237"/>
      <c r="M1818" s="237"/>
      <c r="N1818" s="237"/>
      <c r="O1818" s="237"/>
      <c r="P1818" s="237"/>
      <c r="Q1818" s="237"/>
      <c r="R1818" s="237"/>
      <c r="S1818" s="237"/>
      <c r="T1818" s="237"/>
      <c r="U1818" s="237"/>
      <c r="V1818" s="237"/>
      <c r="W1818" s="237"/>
      <c r="X1818" s="237"/>
      <c r="Y1818" s="237"/>
      <c r="Z1818" s="237"/>
      <c r="AA1818" s="237"/>
      <c r="AB1818" s="237"/>
    </row>
    <row r="1819">
      <c r="A1819" s="238">
        <v>1820.0</v>
      </c>
      <c r="B1819" s="239" t="s">
        <v>11192</v>
      </c>
      <c r="C1819" s="240" t="s">
        <v>11193</v>
      </c>
      <c r="D1819" s="236"/>
      <c r="E1819" s="240" t="s">
        <v>3511</v>
      </c>
      <c r="F1819" s="240" t="s">
        <v>2272</v>
      </c>
      <c r="G1819" s="238" t="s">
        <v>11194</v>
      </c>
      <c r="H1819" s="240" t="s">
        <v>11195</v>
      </c>
      <c r="I1819" s="237"/>
      <c r="J1819" s="256" t="s">
        <v>5848</v>
      </c>
      <c r="K1819" s="239" t="s">
        <v>11192</v>
      </c>
      <c r="L1819" s="237"/>
      <c r="M1819" s="237"/>
      <c r="N1819" s="237"/>
      <c r="O1819" s="237"/>
      <c r="P1819" s="237"/>
      <c r="Q1819" s="237"/>
      <c r="R1819" s="237"/>
      <c r="S1819" s="237"/>
      <c r="T1819" s="237"/>
      <c r="U1819" s="237"/>
      <c r="V1819" s="237"/>
      <c r="W1819" s="237"/>
      <c r="X1819" s="237"/>
      <c r="Y1819" s="237"/>
      <c r="Z1819" s="237"/>
      <c r="AA1819" s="237"/>
      <c r="AB1819" s="237"/>
    </row>
    <row r="1820">
      <c r="A1820" s="238">
        <v>1821.0</v>
      </c>
      <c r="B1820" s="239" t="s">
        <v>11196</v>
      </c>
      <c r="C1820" s="240" t="s">
        <v>11197</v>
      </c>
      <c r="D1820" s="236"/>
      <c r="E1820" s="240" t="s">
        <v>3511</v>
      </c>
      <c r="F1820" s="240" t="s">
        <v>2276</v>
      </c>
      <c r="G1820" s="238" t="s">
        <v>11198</v>
      </c>
      <c r="H1820" s="240" t="s">
        <v>11199</v>
      </c>
      <c r="I1820" s="237"/>
      <c r="J1820" s="256" t="s">
        <v>5848</v>
      </c>
      <c r="K1820" s="239" t="s">
        <v>11196</v>
      </c>
      <c r="L1820" s="237"/>
      <c r="M1820" s="237"/>
      <c r="N1820" s="237"/>
      <c r="O1820" s="237"/>
      <c r="P1820" s="237"/>
      <c r="Q1820" s="237"/>
      <c r="R1820" s="237"/>
      <c r="S1820" s="237"/>
      <c r="T1820" s="237"/>
      <c r="U1820" s="237"/>
      <c r="V1820" s="237"/>
      <c r="W1820" s="237"/>
      <c r="X1820" s="237"/>
      <c r="Y1820" s="237"/>
      <c r="Z1820" s="237"/>
      <c r="AA1820" s="237"/>
      <c r="AB1820" s="237"/>
    </row>
    <row r="1821">
      <c r="A1821" s="238">
        <v>1822.0</v>
      </c>
      <c r="B1821" s="239" t="s">
        <v>11200</v>
      </c>
      <c r="C1821" s="240" t="s">
        <v>11201</v>
      </c>
      <c r="D1821" s="236"/>
      <c r="E1821" s="240" t="s">
        <v>3511</v>
      </c>
      <c r="F1821" s="240" t="s">
        <v>11202</v>
      </c>
      <c r="G1821" s="238" t="s">
        <v>11203</v>
      </c>
      <c r="H1821" s="240" t="s">
        <v>11204</v>
      </c>
      <c r="I1821" s="237"/>
      <c r="J1821" s="256" t="s">
        <v>4044</v>
      </c>
      <c r="K1821" s="239" t="s">
        <v>11200</v>
      </c>
      <c r="L1821" s="237"/>
      <c r="M1821" s="237"/>
      <c r="N1821" s="237"/>
      <c r="O1821" s="237"/>
      <c r="P1821" s="237"/>
      <c r="Q1821" s="237"/>
      <c r="R1821" s="237"/>
      <c r="S1821" s="237"/>
      <c r="T1821" s="237"/>
      <c r="U1821" s="237"/>
      <c r="V1821" s="237"/>
      <c r="W1821" s="237"/>
      <c r="X1821" s="237"/>
      <c r="Y1821" s="237"/>
      <c r="Z1821" s="237"/>
      <c r="AA1821" s="237"/>
      <c r="AB1821" s="237"/>
    </row>
    <row r="1822">
      <c r="A1822" s="238">
        <v>1823.0</v>
      </c>
      <c r="B1822" s="239" t="s">
        <v>11205</v>
      </c>
      <c r="C1822" s="240" t="s">
        <v>11206</v>
      </c>
      <c r="D1822" s="236"/>
      <c r="E1822" s="240" t="s">
        <v>3511</v>
      </c>
      <c r="F1822" s="240" t="s">
        <v>11207</v>
      </c>
      <c r="G1822" s="238" t="s">
        <v>11208</v>
      </c>
      <c r="H1822" s="240" t="s">
        <v>11209</v>
      </c>
      <c r="I1822" s="237"/>
      <c r="J1822" s="256" t="s">
        <v>4222</v>
      </c>
      <c r="K1822" s="239" t="s">
        <v>11205</v>
      </c>
      <c r="L1822" s="237"/>
      <c r="M1822" s="237"/>
      <c r="N1822" s="237"/>
      <c r="O1822" s="237"/>
      <c r="P1822" s="237"/>
      <c r="Q1822" s="237"/>
      <c r="R1822" s="237"/>
      <c r="S1822" s="237"/>
      <c r="T1822" s="237"/>
      <c r="U1822" s="237"/>
      <c r="V1822" s="237"/>
      <c r="W1822" s="237"/>
      <c r="X1822" s="237"/>
      <c r="Y1822" s="237"/>
      <c r="Z1822" s="237"/>
      <c r="AA1822" s="237"/>
      <c r="AB1822" s="237"/>
    </row>
    <row r="1823">
      <c r="A1823" s="238">
        <v>1824.0</v>
      </c>
      <c r="B1823" s="239" t="s">
        <v>11210</v>
      </c>
      <c r="C1823" s="240" t="s">
        <v>11211</v>
      </c>
      <c r="D1823" s="236"/>
      <c r="E1823" s="240" t="s">
        <v>3511</v>
      </c>
      <c r="F1823" s="240" t="s">
        <v>11212</v>
      </c>
      <c r="G1823" s="238" t="s">
        <v>11213</v>
      </c>
      <c r="H1823" s="240" t="s">
        <v>11214</v>
      </c>
      <c r="I1823" s="237"/>
      <c r="J1823" s="256" t="s">
        <v>4044</v>
      </c>
      <c r="K1823" s="239" t="s">
        <v>11210</v>
      </c>
      <c r="L1823" s="237"/>
      <c r="M1823" s="237"/>
      <c r="N1823" s="237"/>
      <c r="O1823" s="237"/>
      <c r="P1823" s="237"/>
      <c r="Q1823" s="237"/>
      <c r="R1823" s="237"/>
      <c r="S1823" s="237"/>
      <c r="T1823" s="237"/>
      <c r="U1823" s="237"/>
      <c r="V1823" s="237"/>
      <c r="W1823" s="237"/>
      <c r="X1823" s="237"/>
      <c r="Y1823" s="237"/>
      <c r="Z1823" s="237"/>
      <c r="AA1823" s="237"/>
      <c r="AB1823" s="237"/>
    </row>
    <row r="1824">
      <c r="A1824" s="238">
        <v>1825.0</v>
      </c>
      <c r="B1824" s="239" t="s">
        <v>11215</v>
      </c>
      <c r="C1824" s="240" t="s">
        <v>11216</v>
      </c>
      <c r="D1824" s="236"/>
      <c r="E1824" s="240" t="s">
        <v>3511</v>
      </c>
      <c r="F1824" s="240" t="s">
        <v>11217</v>
      </c>
      <c r="G1824" s="238" t="s">
        <v>11218</v>
      </c>
      <c r="H1824" s="240" t="s">
        <v>11219</v>
      </c>
      <c r="I1824" s="237"/>
      <c r="J1824" s="256" t="s">
        <v>4044</v>
      </c>
      <c r="K1824" s="239" t="s">
        <v>11215</v>
      </c>
      <c r="L1824" s="237"/>
      <c r="M1824" s="237"/>
      <c r="N1824" s="237"/>
      <c r="O1824" s="237"/>
      <c r="P1824" s="237"/>
      <c r="Q1824" s="237"/>
      <c r="R1824" s="237"/>
      <c r="S1824" s="237"/>
      <c r="T1824" s="237"/>
      <c r="U1824" s="237"/>
      <c r="V1824" s="237"/>
      <c r="W1824" s="237"/>
      <c r="X1824" s="237"/>
      <c r="Y1824" s="237"/>
      <c r="Z1824" s="237"/>
      <c r="AA1824" s="237"/>
      <c r="AB1824" s="237"/>
    </row>
    <row r="1825">
      <c r="A1825" s="238">
        <v>1826.0</v>
      </c>
      <c r="B1825" s="239" t="s">
        <v>11220</v>
      </c>
      <c r="C1825" s="240" t="s">
        <v>11221</v>
      </c>
      <c r="D1825" s="236"/>
      <c r="E1825" s="240" t="s">
        <v>3511</v>
      </c>
      <c r="F1825" s="240" t="s">
        <v>11222</v>
      </c>
      <c r="G1825" s="238" t="s">
        <v>11223</v>
      </c>
      <c r="H1825" s="240" t="s">
        <v>11224</v>
      </c>
      <c r="I1825" s="237"/>
      <c r="J1825" s="256" t="s">
        <v>4044</v>
      </c>
      <c r="K1825" s="239" t="s">
        <v>11220</v>
      </c>
      <c r="L1825" s="237"/>
      <c r="M1825" s="237"/>
      <c r="N1825" s="237"/>
      <c r="O1825" s="237"/>
      <c r="P1825" s="237"/>
      <c r="Q1825" s="237"/>
      <c r="R1825" s="237"/>
      <c r="S1825" s="237"/>
      <c r="T1825" s="237"/>
      <c r="U1825" s="237"/>
      <c r="V1825" s="237"/>
      <c r="W1825" s="237"/>
      <c r="X1825" s="237"/>
      <c r="Y1825" s="237"/>
      <c r="Z1825" s="237"/>
      <c r="AA1825" s="237"/>
      <c r="AB1825" s="237"/>
    </row>
    <row r="1826">
      <c r="A1826" s="238">
        <v>1827.0</v>
      </c>
      <c r="B1826" s="239" t="s">
        <v>11225</v>
      </c>
      <c r="C1826" s="240" t="s">
        <v>11226</v>
      </c>
      <c r="D1826" s="236"/>
      <c r="E1826" s="240" t="s">
        <v>3511</v>
      </c>
      <c r="F1826" s="240" t="s">
        <v>2290</v>
      </c>
      <c r="G1826" s="238" t="s">
        <v>11227</v>
      </c>
      <c r="H1826" s="240" t="s">
        <v>11228</v>
      </c>
      <c r="I1826" s="237"/>
      <c r="J1826" s="256" t="s">
        <v>5848</v>
      </c>
      <c r="K1826" s="239" t="s">
        <v>11225</v>
      </c>
      <c r="L1826" s="237"/>
      <c r="M1826" s="237"/>
      <c r="N1826" s="237"/>
      <c r="O1826" s="237"/>
      <c r="P1826" s="237"/>
      <c r="Q1826" s="237"/>
      <c r="R1826" s="237"/>
      <c r="S1826" s="237"/>
      <c r="T1826" s="237"/>
      <c r="U1826" s="237"/>
      <c r="V1826" s="237"/>
      <c r="W1826" s="237"/>
      <c r="X1826" s="237"/>
      <c r="Y1826" s="237"/>
      <c r="Z1826" s="237"/>
      <c r="AA1826" s="237"/>
      <c r="AB1826" s="237"/>
    </row>
    <row r="1827">
      <c r="A1827" s="238">
        <v>1828.0</v>
      </c>
      <c r="B1827" s="239" t="s">
        <v>11229</v>
      </c>
      <c r="C1827" s="240" t="s">
        <v>11230</v>
      </c>
      <c r="D1827" s="236"/>
      <c r="E1827" s="240" t="s">
        <v>3511</v>
      </c>
      <c r="F1827" s="240" t="s">
        <v>2284</v>
      </c>
      <c r="G1827" s="238" t="s">
        <v>11231</v>
      </c>
      <c r="H1827" s="240" t="s">
        <v>11232</v>
      </c>
      <c r="I1827" s="237"/>
      <c r="J1827" s="256" t="s">
        <v>4222</v>
      </c>
      <c r="K1827" s="239" t="s">
        <v>11229</v>
      </c>
      <c r="L1827" s="237"/>
      <c r="M1827" s="237"/>
      <c r="N1827" s="237"/>
      <c r="O1827" s="237"/>
      <c r="P1827" s="237"/>
      <c r="Q1827" s="237"/>
      <c r="R1827" s="237"/>
      <c r="S1827" s="237"/>
      <c r="T1827" s="237"/>
      <c r="U1827" s="237"/>
      <c r="V1827" s="237"/>
      <c r="W1827" s="237"/>
      <c r="X1827" s="237"/>
      <c r="Y1827" s="237"/>
      <c r="Z1827" s="237"/>
      <c r="AA1827" s="237"/>
      <c r="AB1827" s="237"/>
    </row>
    <row r="1828">
      <c r="A1828" s="238">
        <v>1829.0</v>
      </c>
      <c r="B1828" s="239" t="s">
        <v>11233</v>
      </c>
      <c r="C1828" s="240" t="s">
        <v>11234</v>
      </c>
      <c r="D1828" s="236"/>
      <c r="E1828" s="240" t="s">
        <v>3511</v>
      </c>
      <c r="F1828" s="240" t="s">
        <v>2285</v>
      </c>
      <c r="G1828" s="238" t="s">
        <v>11235</v>
      </c>
      <c r="H1828" s="240" t="s">
        <v>11236</v>
      </c>
      <c r="I1828" s="237"/>
      <c r="J1828" s="256" t="s">
        <v>5848</v>
      </c>
      <c r="K1828" s="239" t="s">
        <v>11233</v>
      </c>
      <c r="L1828" s="237"/>
      <c r="M1828" s="237"/>
      <c r="N1828" s="237"/>
      <c r="O1828" s="237"/>
      <c r="P1828" s="237"/>
      <c r="Q1828" s="237"/>
      <c r="R1828" s="237"/>
      <c r="S1828" s="237"/>
      <c r="T1828" s="237"/>
      <c r="U1828" s="237"/>
      <c r="V1828" s="237"/>
      <c r="W1828" s="237"/>
      <c r="X1828" s="237"/>
      <c r="Y1828" s="237"/>
      <c r="Z1828" s="237"/>
      <c r="AA1828" s="237"/>
      <c r="AB1828" s="237"/>
    </row>
    <row r="1829">
      <c r="A1829" s="238">
        <v>1830.0</v>
      </c>
      <c r="B1829" s="239" t="s">
        <v>11237</v>
      </c>
      <c r="C1829" s="240" t="s">
        <v>11238</v>
      </c>
      <c r="D1829" s="236"/>
      <c r="E1829" s="240" t="s">
        <v>3511</v>
      </c>
      <c r="F1829" s="240" t="s">
        <v>2286</v>
      </c>
      <c r="G1829" s="238" t="s">
        <v>11239</v>
      </c>
      <c r="H1829" s="240" t="s">
        <v>11240</v>
      </c>
      <c r="I1829" s="237"/>
      <c r="J1829" s="256" t="s">
        <v>5848</v>
      </c>
      <c r="K1829" s="239" t="s">
        <v>11237</v>
      </c>
      <c r="L1829" s="237"/>
      <c r="M1829" s="237"/>
      <c r="N1829" s="237"/>
      <c r="O1829" s="237"/>
      <c r="P1829" s="237"/>
      <c r="Q1829" s="237"/>
      <c r="R1829" s="237"/>
      <c r="S1829" s="237"/>
      <c r="T1829" s="237"/>
      <c r="U1829" s="237"/>
      <c r="V1829" s="237"/>
      <c r="W1829" s="237"/>
      <c r="X1829" s="237"/>
      <c r="Y1829" s="237"/>
      <c r="Z1829" s="237"/>
      <c r="AA1829" s="237"/>
      <c r="AB1829" s="237"/>
    </row>
    <row r="1830">
      <c r="A1830" s="238">
        <v>1831.0</v>
      </c>
      <c r="B1830" s="239" t="s">
        <v>11241</v>
      </c>
      <c r="C1830" s="240" t="s">
        <v>11242</v>
      </c>
      <c r="D1830" s="236"/>
      <c r="E1830" s="240" t="s">
        <v>3511</v>
      </c>
      <c r="F1830" s="240" t="s">
        <v>2288</v>
      </c>
      <c r="G1830" s="238" t="s">
        <v>11243</v>
      </c>
      <c r="H1830" s="240" t="s">
        <v>11244</v>
      </c>
      <c r="I1830" s="237"/>
      <c r="J1830" s="256" t="s">
        <v>5848</v>
      </c>
      <c r="K1830" s="239" t="s">
        <v>11241</v>
      </c>
      <c r="L1830" s="237"/>
      <c r="M1830" s="237"/>
      <c r="N1830" s="237"/>
      <c r="O1830" s="237"/>
      <c r="P1830" s="237"/>
      <c r="Q1830" s="237"/>
      <c r="R1830" s="237"/>
      <c r="S1830" s="237"/>
      <c r="T1830" s="237"/>
      <c r="U1830" s="237"/>
      <c r="V1830" s="237"/>
      <c r="W1830" s="237"/>
      <c r="X1830" s="237"/>
      <c r="Y1830" s="237"/>
      <c r="Z1830" s="237"/>
      <c r="AA1830" s="237"/>
      <c r="AB1830" s="237"/>
    </row>
    <row r="1831">
      <c r="A1831" s="238">
        <v>1832.0</v>
      </c>
      <c r="B1831" s="239" t="s">
        <v>11245</v>
      </c>
      <c r="C1831" s="240" t="s">
        <v>11246</v>
      </c>
      <c r="D1831" s="236"/>
      <c r="E1831" s="240" t="s">
        <v>3511</v>
      </c>
      <c r="F1831" s="240" t="s">
        <v>2289</v>
      </c>
      <c r="G1831" s="238" t="s">
        <v>11247</v>
      </c>
      <c r="H1831" s="240" t="s">
        <v>11248</v>
      </c>
      <c r="I1831" s="237"/>
      <c r="J1831" s="256" t="s">
        <v>5848</v>
      </c>
      <c r="K1831" s="239" t="s">
        <v>11245</v>
      </c>
      <c r="L1831" s="237"/>
      <c r="M1831" s="237"/>
      <c r="N1831" s="237"/>
      <c r="O1831" s="237"/>
      <c r="P1831" s="237"/>
      <c r="Q1831" s="237"/>
      <c r="R1831" s="237"/>
      <c r="S1831" s="237"/>
      <c r="T1831" s="237"/>
      <c r="U1831" s="237"/>
      <c r="V1831" s="237"/>
      <c r="W1831" s="237"/>
      <c r="X1831" s="237"/>
      <c r="Y1831" s="237"/>
      <c r="Z1831" s="237"/>
      <c r="AA1831" s="237"/>
      <c r="AB1831" s="237"/>
    </row>
    <row r="1832">
      <c r="A1832" s="238">
        <v>1833.0</v>
      </c>
      <c r="B1832" s="239" t="s">
        <v>11249</v>
      </c>
      <c r="C1832" s="240" t="s">
        <v>11250</v>
      </c>
      <c r="D1832" s="236"/>
      <c r="E1832" s="240" t="s">
        <v>3511</v>
      </c>
      <c r="F1832" s="240" t="s">
        <v>2294</v>
      </c>
      <c r="G1832" s="238" t="s">
        <v>11251</v>
      </c>
      <c r="H1832" s="240" t="s">
        <v>11252</v>
      </c>
      <c r="I1832" s="237"/>
      <c r="J1832" s="256" t="s">
        <v>5848</v>
      </c>
      <c r="K1832" s="239" t="s">
        <v>11249</v>
      </c>
      <c r="L1832" s="237"/>
      <c r="M1832" s="237"/>
      <c r="N1832" s="237"/>
      <c r="O1832" s="237"/>
      <c r="P1832" s="237"/>
      <c r="Q1832" s="237"/>
      <c r="R1832" s="237"/>
      <c r="S1832" s="237"/>
      <c r="T1832" s="237"/>
      <c r="U1832" s="237"/>
      <c r="V1832" s="237"/>
      <c r="W1832" s="237"/>
      <c r="X1832" s="237"/>
      <c r="Y1832" s="237"/>
      <c r="Z1832" s="237"/>
      <c r="AA1832" s="237"/>
      <c r="AB1832" s="237"/>
    </row>
    <row r="1833">
      <c r="A1833" s="238">
        <v>1834.0</v>
      </c>
      <c r="B1833" s="239" t="s">
        <v>11253</v>
      </c>
      <c r="C1833" s="240" t="s">
        <v>11254</v>
      </c>
      <c r="D1833" s="236"/>
      <c r="E1833" s="240" t="s">
        <v>3511</v>
      </c>
      <c r="F1833" s="240" t="s">
        <v>2291</v>
      </c>
      <c r="G1833" s="238" t="s">
        <v>11255</v>
      </c>
      <c r="H1833" s="240" t="s">
        <v>11256</v>
      </c>
      <c r="I1833" s="237"/>
      <c r="J1833" s="256" t="s">
        <v>5848</v>
      </c>
      <c r="K1833" s="239" t="s">
        <v>11253</v>
      </c>
      <c r="L1833" s="237"/>
      <c r="M1833" s="237"/>
      <c r="N1833" s="237"/>
      <c r="O1833" s="237"/>
      <c r="P1833" s="237"/>
      <c r="Q1833" s="237"/>
      <c r="R1833" s="237"/>
      <c r="S1833" s="237"/>
      <c r="T1833" s="237"/>
      <c r="U1833" s="237"/>
      <c r="V1833" s="237"/>
      <c r="W1833" s="237"/>
      <c r="X1833" s="237"/>
      <c r="Y1833" s="237"/>
      <c r="Z1833" s="237"/>
      <c r="AA1833" s="237"/>
      <c r="AB1833" s="237"/>
    </row>
    <row r="1834">
      <c r="A1834" s="238">
        <v>1835.0</v>
      </c>
      <c r="B1834" s="239" t="s">
        <v>11257</v>
      </c>
      <c r="C1834" s="240" t="s">
        <v>11258</v>
      </c>
      <c r="D1834" s="236"/>
      <c r="E1834" s="240" t="s">
        <v>3511</v>
      </c>
      <c r="F1834" s="240" t="s">
        <v>2292</v>
      </c>
      <c r="G1834" s="238" t="s">
        <v>11259</v>
      </c>
      <c r="H1834" s="240" t="s">
        <v>11260</v>
      </c>
      <c r="I1834" s="237"/>
      <c r="J1834" s="256" t="s">
        <v>5848</v>
      </c>
      <c r="K1834" s="239" t="s">
        <v>11257</v>
      </c>
      <c r="L1834" s="237"/>
      <c r="M1834" s="237"/>
      <c r="N1834" s="237"/>
      <c r="O1834" s="237"/>
      <c r="P1834" s="237"/>
      <c r="Q1834" s="237"/>
      <c r="R1834" s="237"/>
      <c r="S1834" s="237"/>
      <c r="T1834" s="237"/>
      <c r="U1834" s="237"/>
      <c r="V1834" s="237"/>
      <c r="W1834" s="237"/>
      <c r="X1834" s="237"/>
      <c r="Y1834" s="237"/>
      <c r="Z1834" s="237"/>
      <c r="AA1834" s="237"/>
      <c r="AB1834" s="237"/>
    </row>
    <row r="1835">
      <c r="A1835" s="238">
        <v>1836.0</v>
      </c>
      <c r="B1835" s="239" t="s">
        <v>11261</v>
      </c>
      <c r="C1835" s="240" t="s">
        <v>11262</v>
      </c>
      <c r="D1835" s="236"/>
      <c r="E1835" s="240" t="s">
        <v>3511</v>
      </c>
      <c r="F1835" s="240" t="s">
        <v>2295</v>
      </c>
      <c r="G1835" s="238" t="s">
        <v>11263</v>
      </c>
      <c r="H1835" s="240" t="s">
        <v>11264</v>
      </c>
      <c r="I1835" s="237"/>
      <c r="J1835" s="256" t="s">
        <v>5848</v>
      </c>
      <c r="K1835" s="239" t="s">
        <v>11261</v>
      </c>
      <c r="L1835" s="237"/>
      <c r="M1835" s="237"/>
      <c r="N1835" s="237"/>
      <c r="O1835" s="237"/>
      <c r="P1835" s="237"/>
      <c r="Q1835" s="237"/>
      <c r="R1835" s="237"/>
      <c r="S1835" s="237"/>
      <c r="T1835" s="237"/>
      <c r="U1835" s="237"/>
      <c r="V1835" s="237"/>
      <c r="W1835" s="237"/>
      <c r="X1835" s="237"/>
      <c r="Y1835" s="237"/>
      <c r="Z1835" s="237"/>
      <c r="AA1835" s="237"/>
      <c r="AB1835" s="237"/>
    </row>
    <row r="1836">
      <c r="A1836" s="238">
        <v>1837.0</v>
      </c>
      <c r="B1836" s="239" t="s">
        <v>11265</v>
      </c>
      <c r="C1836" s="240" t="s">
        <v>11266</v>
      </c>
      <c r="D1836" s="236"/>
      <c r="E1836" s="240" t="s">
        <v>3511</v>
      </c>
      <c r="F1836" s="240" t="s">
        <v>2287</v>
      </c>
      <c r="G1836" s="238" t="s">
        <v>11267</v>
      </c>
      <c r="H1836" s="240" t="s">
        <v>11268</v>
      </c>
      <c r="I1836" s="237"/>
      <c r="J1836" s="256" t="s">
        <v>5848</v>
      </c>
      <c r="K1836" s="239" t="s">
        <v>11265</v>
      </c>
      <c r="L1836" s="237"/>
      <c r="M1836" s="237"/>
      <c r="N1836" s="237"/>
      <c r="O1836" s="237"/>
      <c r="P1836" s="237"/>
      <c r="Q1836" s="237"/>
      <c r="R1836" s="237"/>
      <c r="S1836" s="237"/>
      <c r="T1836" s="237"/>
      <c r="U1836" s="237"/>
      <c r="V1836" s="237"/>
      <c r="W1836" s="237"/>
      <c r="X1836" s="237"/>
      <c r="Y1836" s="237"/>
      <c r="Z1836" s="237"/>
      <c r="AA1836" s="237"/>
      <c r="AB1836" s="237"/>
    </row>
    <row r="1837">
      <c r="A1837" s="238">
        <v>1838.0</v>
      </c>
      <c r="B1837" s="239" t="s">
        <v>11269</v>
      </c>
      <c r="C1837" s="240" t="s">
        <v>11270</v>
      </c>
      <c r="D1837" s="236"/>
      <c r="E1837" s="240" t="s">
        <v>3511</v>
      </c>
      <c r="F1837" s="240" t="s">
        <v>2293</v>
      </c>
      <c r="G1837" s="238" t="s">
        <v>11271</v>
      </c>
      <c r="H1837" s="240" t="s">
        <v>11272</v>
      </c>
      <c r="I1837" s="237"/>
      <c r="J1837" s="256" t="s">
        <v>4222</v>
      </c>
      <c r="K1837" s="239" t="s">
        <v>11269</v>
      </c>
      <c r="L1837" s="237"/>
      <c r="M1837" s="237"/>
      <c r="N1837" s="237"/>
      <c r="O1837" s="237"/>
      <c r="P1837" s="237"/>
      <c r="Q1837" s="237"/>
      <c r="R1837" s="237"/>
      <c r="S1837" s="237"/>
      <c r="T1837" s="237"/>
      <c r="U1837" s="237"/>
      <c r="V1837" s="237"/>
      <c r="W1837" s="237"/>
      <c r="X1837" s="237"/>
      <c r="Y1837" s="237"/>
      <c r="Z1837" s="237"/>
      <c r="AA1837" s="237"/>
      <c r="AB1837" s="237"/>
    </row>
    <row r="1838">
      <c r="A1838" s="238">
        <v>1839.0</v>
      </c>
      <c r="B1838" s="239" t="s">
        <v>11273</v>
      </c>
      <c r="C1838" s="240" t="s">
        <v>11274</v>
      </c>
      <c r="D1838" s="236"/>
      <c r="E1838" s="240" t="s">
        <v>3511</v>
      </c>
      <c r="F1838" s="240" t="s">
        <v>11275</v>
      </c>
      <c r="G1838" s="238" t="s">
        <v>11276</v>
      </c>
      <c r="H1838" s="240" t="s">
        <v>11277</v>
      </c>
      <c r="I1838" s="237"/>
      <c r="J1838" s="256" t="s">
        <v>4044</v>
      </c>
      <c r="K1838" s="239" t="s">
        <v>11273</v>
      </c>
      <c r="L1838" s="237"/>
      <c r="M1838" s="237"/>
      <c r="N1838" s="237"/>
      <c r="O1838" s="237"/>
      <c r="P1838" s="237"/>
      <c r="Q1838" s="237"/>
      <c r="R1838" s="237"/>
      <c r="S1838" s="237"/>
      <c r="T1838" s="237"/>
      <c r="U1838" s="237"/>
      <c r="V1838" s="237"/>
      <c r="W1838" s="237"/>
      <c r="X1838" s="237"/>
      <c r="Y1838" s="237"/>
      <c r="Z1838" s="237"/>
      <c r="AA1838" s="237"/>
      <c r="AB1838" s="237"/>
    </row>
    <row r="1839">
      <c r="A1839" s="238">
        <v>1840.0</v>
      </c>
      <c r="B1839" s="239" t="s">
        <v>11278</v>
      </c>
      <c r="C1839" s="240" t="s">
        <v>11279</v>
      </c>
      <c r="D1839" s="236"/>
      <c r="E1839" s="240" t="s">
        <v>3511</v>
      </c>
      <c r="F1839" s="240" t="s">
        <v>11280</v>
      </c>
      <c r="G1839" s="238" t="s">
        <v>11281</v>
      </c>
      <c r="H1839" s="240" t="s">
        <v>11282</v>
      </c>
      <c r="I1839" s="237"/>
      <c r="J1839" s="256" t="s">
        <v>4044</v>
      </c>
      <c r="K1839" s="239" t="s">
        <v>11278</v>
      </c>
      <c r="L1839" s="237"/>
      <c r="M1839" s="237"/>
      <c r="N1839" s="237"/>
      <c r="O1839" s="237"/>
      <c r="P1839" s="237"/>
      <c r="Q1839" s="237"/>
      <c r="R1839" s="237"/>
      <c r="S1839" s="237"/>
      <c r="T1839" s="237"/>
      <c r="U1839" s="237"/>
      <c r="V1839" s="237"/>
      <c r="W1839" s="237"/>
      <c r="X1839" s="237"/>
      <c r="Y1839" s="237"/>
      <c r="Z1839" s="237"/>
      <c r="AA1839" s="237"/>
      <c r="AB1839" s="237"/>
    </row>
    <row r="1840">
      <c r="A1840" s="238">
        <v>1841.0</v>
      </c>
      <c r="B1840" s="239" t="s">
        <v>11283</v>
      </c>
      <c r="C1840" s="240" t="s">
        <v>11284</v>
      </c>
      <c r="D1840" s="236"/>
      <c r="E1840" s="240" t="s">
        <v>3511</v>
      </c>
      <c r="F1840" s="240" t="s">
        <v>11285</v>
      </c>
      <c r="G1840" s="238" t="s">
        <v>11286</v>
      </c>
      <c r="H1840" s="240" t="s">
        <v>11287</v>
      </c>
      <c r="I1840" s="237"/>
      <c r="J1840" s="256" t="s">
        <v>4044</v>
      </c>
      <c r="K1840" s="239" t="s">
        <v>11283</v>
      </c>
      <c r="L1840" s="237"/>
      <c r="M1840" s="237"/>
      <c r="N1840" s="237"/>
      <c r="O1840" s="237"/>
      <c r="P1840" s="237"/>
      <c r="Q1840" s="237"/>
      <c r="R1840" s="237"/>
      <c r="S1840" s="237"/>
      <c r="T1840" s="237"/>
      <c r="U1840" s="237"/>
      <c r="V1840" s="237"/>
      <c r="W1840" s="237"/>
      <c r="X1840" s="237"/>
      <c r="Y1840" s="237"/>
      <c r="Z1840" s="237"/>
      <c r="AA1840" s="237"/>
      <c r="AB1840" s="237"/>
    </row>
    <row r="1841">
      <c r="A1841" s="238">
        <v>1842.0</v>
      </c>
      <c r="B1841" s="239" t="s">
        <v>11288</v>
      </c>
      <c r="C1841" s="240" t="s">
        <v>11289</v>
      </c>
      <c r="D1841" s="236"/>
      <c r="E1841" s="240" t="s">
        <v>3511</v>
      </c>
      <c r="F1841" s="240" t="s">
        <v>11290</v>
      </c>
      <c r="G1841" s="238" t="s">
        <v>11291</v>
      </c>
      <c r="H1841" s="240" t="s">
        <v>11292</v>
      </c>
      <c r="I1841" s="237"/>
      <c r="J1841" s="256" t="s">
        <v>4044</v>
      </c>
      <c r="K1841" s="239" t="s">
        <v>11288</v>
      </c>
      <c r="L1841" s="237"/>
      <c r="M1841" s="237"/>
      <c r="N1841" s="237"/>
      <c r="O1841" s="237"/>
      <c r="P1841" s="237"/>
      <c r="Q1841" s="237"/>
      <c r="R1841" s="237"/>
      <c r="S1841" s="237"/>
      <c r="T1841" s="237"/>
      <c r="U1841" s="237"/>
      <c r="V1841" s="237"/>
      <c r="W1841" s="237"/>
      <c r="X1841" s="237"/>
      <c r="Y1841" s="237"/>
      <c r="Z1841" s="237"/>
      <c r="AA1841" s="237"/>
      <c r="AB1841" s="237"/>
    </row>
    <row r="1842">
      <c r="A1842" s="238">
        <v>1843.0</v>
      </c>
      <c r="B1842" s="239" t="s">
        <v>11293</v>
      </c>
      <c r="C1842" s="240" t="s">
        <v>11294</v>
      </c>
      <c r="D1842" s="236"/>
      <c r="E1842" s="240" t="s">
        <v>3511</v>
      </c>
      <c r="F1842" s="240" t="s">
        <v>11295</v>
      </c>
      <c r="G1842" s="238" t="s">
        <v>11296</v>
      </c>
      <c r="H1842" s="240" t="s">
        <v>11297</v>
      </c>
      <c r="I1842" s="237"/>
      <c r="J1842" s="256" t="s">
        <v>4044</v>
      </c>
      <c r="K1842" s="239" t="s">
        <v>11293</v>
      </c>
      <c r="L1842" s="237"/>
      <c r="M1842" s="237"/>
      <c r="N1842" s="237"/>
      <c r="O1842" s="237"/>
      <c r="P1842" s="237"/>
      <c r="Q1842" s="237"/>
      <c r="R1842" s="237"/>
      <c r="S1842" s="237"/>
      <c r="T1842" s="237"/>
      <c r="U1842" s="237"/>
      <c r="V1842" s="237"/>
      <c r="W1842" s="237"/>
      <c r="X1842" s="237"/>
      <c r="Y1842" s="237"/>
      <c r="Z1842" s="237"/>
      <c r="AA1842" s="237"/>
      <c r="AB1842" s="237"/>
    </row>
    <row r="1843">
      <c r="A1843" s="238">
        <v>1844.0</v>
      </c>
      <c r="B1843" s="239" t="s">
        <v>11298</v>
      </c>
      <c r="C1843" s="240" t="s">
        <v>11299</v>
      </c>
      <c r="D1843" s="236"/>
      <c r="E1843" s="240" t="s">
        <v>3511</v>
      </c>
      <c r="F1843" s="240" t="s">
        <v>11300</v>
      </c>
      <c r="G1843" s="238" t="s">
        <v>11301</v>
      </c>
      <c r="H1843" s="240" t="s">
        <v>11302</v>
      </c>
      <c r="I1843" s="237"/>
      <c r="J1843" s="256" t="s">
        <v>4222</v>
      </c>
      <c r="K1843" s="239" t="s">
        <v>11298</v>
      </c>
      <c r="L1843" s="237"/>
      <c r="M1843" s="237"/>
      <c r="N1843" s="237"/>
      <c r="O1843" s="237"/>
      <c r="P1843" s="237"/>
      <c r="Q1843" s="237"/>
      <c r="R1843" s="237"/>
      <c r="S1843" s="237"/>
      <c r="T1843" s="237"/>
      <c r="U1843" s="237"/>
      <c r="V1843" s="237"/>
      <c r="W1843" s="237"/>
      <c r="X1843" s="237"/>
      <c r="Y1843" s="237"/>
      <c r="Z1843" s="237"/>
      <c r="AA1843" s="237"/>
      <c r="AB1843" s="237"/>
    </row>
    <row r="1844">
      <c r="A1844" s="238">
        <v>1845.0</v>
      </c>
      <c r="B1844" s="239" t="s">
        <v>11303</v>
      </c>
      <c r="C1844" s="240" t="s">
        <v>11304</v>
      </c>
      <c r="D1844" s="236"/>
      <c r="E1844" s="240" t="s">
        <v>3511</v>
      </c>
      <c r="F1844" s="240" t="s">
        <v>11305</v>
      </c>
      <c r="G1844" s="238" t="s">
        <v>11306</v>
      </c>
      <c r="H1844" s="240" t="s">
        <v>11307</v>
      </c>
      <c r="I1844" s="237"/>
      <c r="J1844" s="256" t="s">
        <v>4044</v>
      </c>
      <c r="K1844" s="239" t="s">
        <v>11303</v>
      </c>
      <c r="L1844" s="237"/>
      <c r="M1844" s="237"/>
      <c r="N1844" s="237"/>
      <c r="O1844" s="237"/>
      <c r="P1844" s="237"/>
      <c r="Q1844" s="237"/>
      <c r="R1844" s="237"/>
      <c r="S1844" s="237"/>
      <c r="T1844" s="237"/>
      <c r="U1844" s="237"/>
      <c r="V1844" s="237"/>
      <c r="W1844" s="237"/>
      <c r="X1844" s="237"/>
      <c r="Y1844" s="237"/>
      <c r="Z1844" s="237"/>
      <c r="AA1844" s="237"/>
      <c r="AB1844" s="237"/>
    </row>
    <row r="1845">
      <c r="A1845" s="238">
        <v>1846.0</v>
      </c>
      <c r="B1845" s="239" t="s">
        <v>11308</v>
      </c>
      <c r="C1845" s="240" t="s">
        <v>11309</v>
      </c>
      <c r="D1845" s="236"/>
      <c r="E1845" s="240" t="s">
        <v>3511</v>
      </c>
      <c r="F1845" s="240" t="s">
        <v>11310</v>
      </c>
      <c r="G1845" s="238" t="s">
        <v>11311</v>
      </c>
      <c r="H1845" s="240" t="s">
        <v>11312</v>
      </c>
      <c r="I1845" s="237"/>
      <c r="J1845" s="256" t="s">
        <v>4044</v>
      </c>
      <c r="K1845" s="239" t="s">
        <v>11308</v>
      </c>
      <c r="L1845" s="237"/>
      <c r="M1845" s="237"/>
      <c r="N1845" s="237"/>
      <c r="O1845" s="237"/>
      <c r="P1845" s="237"/>
      <c r="Q1845" s="237"/>
      <c r="R1845" s="237"/>
      <c r="S1845" s="237"/>
      <c r="T1845" s="237"/>
      <c r="U1845" s="237"/>
      <c r="V1845" s="237"/>
      <c r="W1845" s="237"/>
      <c r="X1845" s="237"/>
      <c r="Y1845" s="237"/>
      <c r="Z1845" s="237"/>
      <c r="AA1845" s="237"/>
      <c r="AB1845" s="237"/>
    </row>
    <row r="1846">
      <c r="A1846" s="238">
        <v>1847.0</v>
      </c>
      <c r="B1846" s="239" t="s">
        <v>11313</v>
      </c>
      <c r="C1846" s="240" t="s">
        <v>11314</v>
      </c>
      <c r="D1846" s="236"/>
      <c r="E1846" s="240" t="s">
        <v>3511</v>
      </c>
      <c r="F1846" s="240" t="s">
        <v>11315</v>
      </c>
      <c r="G1846" s="238" t="s">
        <v>5800</v>
      </c>
      <c r="H1846" s="240" t="s">
        <v>11316</v>
      </c>
      <c r="I1846" s="237"/>
      <c r="J1846" s="256" t="s">
        <v>5627</v>
      </c>
      <c r="K1846" s="239" t="s">
        <v>11313</v>
      </c>
      <c r="L1846" s="237"/>
      <c r="M1846" s="237"/>
      <c r="N1846" s="237"/>
      <c r="O1846" s="237"/>
      <c r="P1846" s="237"/>
      <c r="Q1846" s="237"/>
      <c r="R1846" s="237"/>
      <c r="S1846" s="237"/>
      <c r="T1846" s="237"/>
      <c r="U1846" s="237"/>
      <c r="V1846" s="237"/>
      <c r="W1846" s="237"/>
      <c r="X1846" s="237"/>
      <c r="Y1846" s="237"/>
      <c r="Z1846" s="237"/>
      <c r="AA1846" s="237"/>
      <c r="AB1846" s="237"/>
    </row>
    <row r="1847">
      <c r="A1847" s="238">
        <v>1848.0</v>
      </c>
      <c r="B1847" s="239" t="s">
        <v>11317</v>
      </c>
      <c r="C1847" s="240" t="s">
        <v>11318</v>
      </c>
      <c r="D1847" s="236"/>
      <c r="E1847" s="240" t="s">
        <v>3511</v>
      </c>
      <c r="F1847" s="240" t="s">
        <v>2207</v>
      </c>
      <c r="G1847" s="238" t="s">
        <v>11319</v>
      </c>
      <c r="H1847" s="240" t="s">
        <v>11320</v>
      </c>
      <c r="I1847" s="237"/>
      <c r="J1847" s="256" t="s">
        <v>5848</v>
      </c>
      <c r="K1847" s="239" t="s">
        <v>11317</v>
      </c>
      <c r="L1847" s="237"/>
      <c r="M1847" s="237"/>
      <c r="N1847" s="237"/>
      <c r="O1847" s="237"/>
      <c r="P1847" s="237"/>
      <c r="Q1847" s="237"/>
      <c r="R1847" s="237"/>
      <c r="S1847" s="237"/>
      <c r="T1847" s="237"/>
      <c r="U1847" s="237"/>
      <c r="V1847" s="237"/>
      <c r="W1847" s="237"/>
      <c r="X1847" s="237"/>
      <c r="Y1847" s="237"/>
      <c r="Z1847" s="237"/>
      <c r="AA1847" s="237"/>
      <c r="AB1847" s="237"/>
    </row>
    <row r="1848">
      <c r="A1848" s="238">
        <v>1849.0</v>
      </c>
      <c r="B1848" s="239" t="s">
        <v>11321</v>
      </c>
      <c r="C1848" s="240" t="s">
        <v>11322</v>
      </c>
      <c r="D1848" s="236"/>
      <c r="E1848" s="240" t="s">
        <v>3511</v>
      </c>
      <c r="F1848" s="240" t="s">
        <v>2206</v>
      </c>
      <c r="G1848" s="238" t="s">
        <v>11323</v>
      </c>
      <c r="H1848" s="240" t="s">
        <v>11324</v>
      </c>
      <c r="I1848" s="237"/>
      <c r="J1848" s="256" t="s">
        <v>5848</v>
      </c>
      <c r="K1848" s="239" t="s">
        <v>11321</v>
      </c>
      <c r="L1848" s="237"/>
      <c r="M1848" s="237"/>
      <c r="N1848" s="237"/>
      <c r="O1848" s="237"/>
      <c r="P1848" s="237"/>
      <c r="Q1848" s="237"/>
      <c r="R1848" s="237"/>
      <c r="S1848" s="237"/>
      <c r="T1848" s="237"/>
      <c r="U1848" s="237"/>
      <c r="V1848" s="237"/>
      <c r="W1848" s="237"/>
      <c r="X1848" s="237"/>
      <c r="Y1848" s="237"/>
      <c r="Z1848" s="237"/>
      <c r="AA1848" s="237"/>
      <c r="AB1848" s="237"/>
    </row>
    <row r="1849">
      <c r="A1849" s="238">
        <v>1850.0</v>
      </c>
      <c r="B1849" s="239" t="s">
        <v>11325</v>
      </c>
      <c r="C1849" s="240" t="s">
        <v>11326</v>
      </c>
      <c r="D1849" s="236"/>
      <c r="E1849" s="240" t="s">
        <v>3511</v>
      </c>
      <c r="F1849" s="240" t="s">
        <v>2211</v>
      </c>
      <c r="G1849" s="238" t="s">
        <v>11327</v>
      </c>
      <c r="H1849" s="240" t="s">
        <v>11328</v>
      </c>
      <c r="I1849" s="237"/>
      <c r="J1849" s="256" t="s">
        <v>5848</v>
      </c>
      <c r="K1849" s="239" t="s">
        <v>11325</v>
      </c>
      <c r="L1849" s="237"/>
      <c r="M1849" s="237"/>
      <c r="N1849" s="237"/>
      <c r="O1849" s="237"/>
      <c r="P1849" s="237"/>
      <c r="Q1849" s="237"/>
      <c r="R1849" s="237"/>
      <c r="S1849" s="237"/>
      <c r="T1849" s="237"/>
      <c r="U1849" s="237"/>
      <c r="V1849" s="237"/>
      <c r="W1849" s="237"/>
      <c r="X1849" s="237"/>
      <c r="Y1849" s="237"/>
      <c r="Z1849" s="237"/>
      <c r="AA1849" s="237"/>
      <c r="AB1849" s="237"/>
    </row>
    <row r="1850">
      <c r="A1850" s="238">
        <v>1851.0</v>
      </c>
      <c r="B1850" s="239" t="s">
        <v>11329</v>
      </c>
      <c r="C1850" s="240" t="s">
        <v>11330</v>
      </c>
      <c r="D1850" s="236"/>
      <c r="E1850" s="240" t="s">
        <v>3511</v>
      </c>
      <c r="F1850" s="240" t="s">
        <v>2212</v>
      </c>
      <c r="G1850" s="238" t="s">
        <v>11331</v>
      </c>
      <c r="H1850" s="240" t="s">
        <v>11332</v>
      </c>
      <c r="I1850" s="237"/>
      <c r="J1850" s="256" t="s">
        <v>5848</v>
      </c>
      <c r="K1850" s="239" t="s">
        <v>11329</v>
      </c>
      <c r="L1850" s="237"/>
      <c r="M1850" s="237"/>
      <c r="N1850" s="237"/>
      <c r="O1850" s="237"/>
      <c r="P1850" s="237"/>
      <c r="Q1850" s="237"/>
      <c r="R1850" s="237"/>
      <c r="S1850" s="237"/>
      <c r="T1850" s="237"/>
      <c r="U1850" s="237"/>
      <c r="V1850" s="237"/>
      <c r="W1850" s="237"/>
      <c r="X1850" s="237"/>
      <c r="Y1850" s="237"/>
      <c r="Z1850" s="237"/>
      <c r="AA1850" s="237"/>
      <c r="AB1850" s="237"/>
    </row>
    <row r="1851">
      <c r="A1851" s="238">
        <v>1852.0</v>
      </c>
      <c r="B1851" s="239" t="s">
        <v>11333</v>
      </c>
      <c r="C1851" s="240" t="s">
        <v>11334</v>
      </c>
      <c r="D1851" s="236"/>
      <c r="E1851" s="240" t="s">
        <v>3511</v>
      </c>
      <c r="F1851" s="240" t="s">
        <v>2214</v>
      </c>
      <c r="G1851" s="238" t="s">
        <v>11335</v>
      </c>
      <c r="H1851" s="240" t="s">
        <v>11336</v>
      </c>
      <c r="I1851" s="237"/>
      <c r="J1851" s="256" t="s">
        <v>4222</v>
      </c>
      <c r="K1851" s="239" t="s">
        <v>11333</v>
      </c>
      <c r="L1851" s="237"/>
      <c r="M1851" s="237"/>
      <c r="N1851" s="237"/>
      <c r="O1851" s="237"/>
      <c r="P1851" s="237"/>
      <c r="Q1851" s="237"/>
      <c r="R1851" s="237"/>
      <c r="S1851" s="237"/>
      <c r="T1851" s="237"/>
      <c r="U1851" s="237"/>
      <c r="V1851" s="237"/>
      <c r="W1851" s="237"/>
      <c r="X1851" s="237"/>
      <c r="Y1851" s="237"/>
      <c r="Z1851" s="237"/>
      <c r="AA1851" s="237"/>
      <c r="AB1851" s="237"/>
    </row>
    <row r="1852">
      <c r="A1852" s="238">
        <v>1853.0</v>
      </c>
      <c r="B1852" s="239" t="s">
        <v>11337</v>
      </c>
      <c r="C1852" s="240" t="s">
        <v>11338</v>
      </c>
      <c r="D1852" s="236"/>
      <c r="E1852" s="240" t="s">
        <v>3511</v>
      </c>
      <c r="F1852" s="240" t="s">
        <v>2444</v>
      </c>
      <c r="G1852" s="238" t="s">
        <v>11339</v>
      </c>
      <c r="H1852" s="240" t="s">
        <v>11340</v>
      </c>
      <c r="I1852" s="237"/>
      <c r="J1852" s="256" t="s">
        <v>5848</v>
      </c>
      <c r="K1852" s="239" t="s">
        <v>11337</v>
      </c>
      <c r="L1852" s="237"/>
      <c r="M1852" s="237"/>
      <c r="N1852" s="237"/>
      <c r="O1852" s="237"/>
      <c r="P1852" s="237"/>
      <c r="Q1852" s="237"/>
      <c r="R1852" s="237"/>
      <c r="S1852" s="237"/>
      <c r="T1852" s="237"/>
      <c r="U1852" s="237"/>
      <c r="V1852" s="237"/>
      <c r="W1852" s="237"/>
      <c r="X1852" s="237"/>
      <c r="Y1852" s="237"/>
      <c r="Z1852" s="237"/>
      <c r="AA1852" s="237"/>
      <c r="AB1852" s="237"/>
    </row>
    <row r="1853">
      <c r="A1853" s="238">
        <v>1854.0</v>
      </c>
      <c r="B1853" s="239" t="s">
        <v>11341</v>
      </c>
      <c r="C1853" s="240" t="s">
        <v>11342</v>
      </c>
      <c r="D1853" s="236"/>
      <c r="E1853" s="240" t="s">
        <v>3511</v>
      </c>
      <c r="F1853" s="240" t="s">
        <v>2443</v>
      </c>
      <c r="G1853" s="238" t="s">
        <v>11311</v>
      </c>
      <c r="H1853" s="240" t="s">
        <v>11343</v>
      </c>
      <c r="I1853" s="237"/>
      <c r="J1853" s="256" t="s">
        <v>5848</v>
      </c>
      <c r="K1853" s="239" t="s">
        <v>11341</v>
      </c>
      <c r="L1853" s="237"/>
      <c r="M1853" s="237"/>
      <c r="N1853" s="237"/>
      <c r="O1853" s="237"/>
      <c r="P1853" s="237"/>
      <c r="Q1853" s="237"/>
      <c r="R1853" s="237"/>
      <c r="S1853" s="237"/>
      <c r="T1853" s="237"/>
      <c r="U1853" s="237"/>
      <c r="V1853" s="237"/>
      <c r="W1853" s="237"/>
      <c r="X1853" s="237"/>
      <c r="Y1853" s="237"/>
      <c r="Z1853" s="237"/>
      <c r="AA1853" s="237"/>
      <c r="AB1853" s="237"/>
    </row>
    <row r="1854">
      <c r="A1854" s="238">
        <v>1855.0</v>
      </c>
      <c r="B1854" s="239" t="s">
        <v>11344</v>
      </c>
      <c r="C1854" s="240" t="s">
        <v>11345</v>
      </c>
      <c r="D1854" s="236"/>
      <c r="E1854" s="240" t="s">
        <v>3511</v>
      </c>
      <c r="F1854" s="240" t="s">
        <v>11346</v>
      </c>
      <c r="G1854" s="238" t="s">
        <v>11347</v>
      </c>
      <c r="H1854" s="240" t="s">
        <v>11348</v>
      </c>
      <c r="I1854" s="237"/>
      <c r="J1854" s="256" t="s">
        <v>5848</v>
      </c>
      <c r="K1854" s="239" t="s">
        <v>11344</v>
      </c>
      <c r="L1854" s="237"/>
      <c r="M1854" s="237"/>
      <c r="N1854" s="237"/>
      <c r="O1854" s="237"/>
      <c r="P1854" s="237"/>
      <c r="Q1854" s="237"/>
      <c r="R1854" s="237"/>
      <c r="S1854" s="237"/>
      <c r="T1854" s="237"/>
      <c r="U1854" s="237"/>
      <c r="V1854" s="237"/>
      <c r="W1854" s="237"/>
      <c r="X1854" s="237"/>
      <c r="Y1854" s="237"/>
      <c r="Z1854" s="237"/>
      <c r="AA1854" s="237"/>
      <c r="AB1854" s="237"/>
    </row>
    <row r="1855">
      <c r="A1855" s="238">
        <v>1856.0</v>
      </c>
      <c r="B1855" s="239" t="s">
        <v>11349</v>
      </c>
      <c r="C1855" s="240" t="s">
        <v>11350</v>
      </c>
      <c r="D1855" s="236"/>
      <c r="E1855" s="240" t="s">
        <v>3511</v>
      </c>
      <c r="F1855" s="240" t="s">
        <v>2446</v>
      </c>
      <c r="G1855" s="238" t="s">
        <v>11351</v>
      </c>
      <c r="H1855" s="240" t="s">
        <v>11352</v>
      </c>
      <c r="I1855" s="237"/>
      <c r="J1855" s="256" t="s">
        <v>5848</v>
      </c>
      <c r="K1855" s="239" t="s">
        <v>11349</v>
      </c>
      <c r="L1855" s="237"/>
      <c r="M1855" s="237"/>
      <c r="N1855" s="237"/>
      <c r="O1855" s="237"/>
      <c r="P1855" s="237"/>
      <c r="Q1855" s="237"/>
      <c r="R1855" s="237"/>
      <c r="S1855" s="237"/>
      <c r="T1855" s="237"/>
      <c r="U1855" s="237"/>
      <c r="V1855" s="237"/>
      <c r="W1855" s="237"/>
      <c r="X1855" s="237"/>
      <c r="Y1855" s="237"/>
      <c r="Z1855" s="237"/>
      <c r="AA1855" s="237"/>
      <c r="AB1855" s="237"/>
    </row>
    <row r="1856">
      <c r="A1856" s="238">
        <v>1857.0</v>
      </c>
      <c r="B1856" s="239" t="s">
        <v>11353</v>
      </c>
      <c r="C1856" s="240" t="s">
        <v>11354</v>
      </c>
      <c r="D1856" s="236"/>
      <c r="E1856" s="240" t="s">
        <v>3511</v>
      </c>
      <c r="F1856" s="240" t="s">
        <v>2282</v>
      </c>
      <c r="G1856" s="238" t="s">
        <v>11355</v>
      </c>
      <c r="H1856" s="240" t="s">
        <v>11356</v>
      </c>
      <c r="I1856" s="237"/>
      <c r="J1856" s="256" t="s">
        <v>4222</v>
      </c>
      <c r="K1856" s="239" t="s">
        <v>11353</v>
      </c>
      <c r="L1856" s="237"/>
      <c r="M1856" s="237"/>
      <c r="N1856" s="237"/>
      <c r="O1856" s="237"/>
      <c r="P1856" s="237"/>
      <c r="Q1856" s="237"/>
      <c r="R1856" s="237"/>
      <c r="S1856" s="237"/>
      <c r="T1856" s="237"/>
      <c r="U1856" s="237"/>
      <c r="V1856" s="237"/>
      <c r="W1856" s="237"/>
      <c r="X1856" s="237"/>
      <c r="Y1856" s="237"/>
      <c r="Z1856" s="237"/>
      <c r="AA1856" s="237"/>
      <c r="AB1856" s="237"/>
    </row>
    <row r="1857">
      <c r="A1857" s="238">
        <v>1858.0</v>
      </c>
      <c r="B1857" s="239" t="s">
        <v>11357</v>
      </c>
      <c r="C1857" s="240" t="s">
        <v>11358</v>
      </c>
      <c r="D1857" s="236"/>
      <c r="E1857" s="240" t="s">
        <v>3511</v>
      </c>
      <c r="F1857" s="240" t="s">
        <v>2213</v>
      </c>
      <c r="G1857" s="238" t="s">
        <v>11359</v>
      </c>
      <c r="H1857" s="240" t="s">
        <v>11360</v>
      </c>
      <c r="I1857" s="237"/>
      <c r="J1857" s="256" t="s">
        <v>5848</v>
      </c>
      <c r="K1857" s="239" t="s">
        <v>11357</v>
      </c>
      <c r="L1857" s="237"/>
      <c r="M1857" s="237"/>
      <c r="N1857" s="237"/>
      <c r="O1857" s="237"/>
      <c r="P1857" s="237"/>
      <c r="Q1857" s="237"/>
      <c r="R1857" s="237"/>
      <c r="S1857" s="237"/>
      <c r="T1857" s="237"/>
      <c r="U1857" s="237"/>
      <c r="V1857" s="237"/>
      <c r="W1857" s="237"/>
      <c r="X1857" s="237"/>
      <c r="Y1857" s="237"/>
      <c r="Z1857" s="237"/>
      <c r="AA1857" s="237"/>
      <c r="AB1857" s="237"/>
    </row>
    <row r="1858">
      <c r="A1858" s="238">
        <v>1859.0</v>
      </c>
      <c r="B1858" s="239" t="s">
        <v>11361</v>
      </c>
      <c r="C1858" s="240" t="s">
        <v>11362</v>
      </c>
      <c r="D1858" s="236"/>
      <c r="E1858" s="240" t="s">
        <v>3511</v>
      </c>
      <c r="F1858" s="240" t="s">
        <v>2447</v>
      </c>
      <c r="G1858" s="238" t="s">
        <v>11363</v>
      </c>
      <c r="H1858" s="240" t="s">
        <v>11364</v>
      </c>
      <c r="I1858" s="237"/>
      <c r="J1858" s="256" t="s">
        <v>5848</v>
      </c>
      <c r="K1858" s="239" t="s">
        <v>11361</v>
      </c>
      <c r="L1858" s="237"/>
      <c r="M1858" s="237"/>
      <c r="N1858" s="237"/>
      <c r="O1858" s="237"/>
      <c r="P1858" s="237"/>
      <c r="Q1858" s="237"/>
      <c r="R1858" s="237"/>
      <c r="S1858" s="237"/>
      <c r="T1858" s="237"/>
      <c r="U1858" s="237"/>
      <c r="V1858" s="237"/>
      <c r="W1858" s="237"/>
      <c r="X1858" s="237"/>
      <c r="Y1858" s="237"/>
      <c r="Z1858" s="237"/>
      <c r="AA1858" s="237"/>
      <c r="AB1858" s="237"/>
    </row>
    <row r="1859">
      <c r="A1859" s="238">
        <v>1860.0</v>
      </c>
      <c r="B1859" s="239" t="s">
        <v>11365</v>
      </c>
      <c r="C1859" s="240" t="s">
        <v>11366</v>
      </c>
      <c r="D1859" s="236"/>
      <c r="E1859" s="240" t="s">
        <v>3511</v>
      </c>
      <c r="F1859" s="240" t="s">
        <v>2448</v>
      </c>
      <c r="G1859" s="238" t="s">
        <v>11367</v>
      </c>
      <c r="H1859" s="240" t="s">
        <v>11368</v>
      </c>
      <c r="I1859" s="237"/>
      <c r="J1859" s="256" t="s">
        <v>5848</v>
      </c>
      <c r="K1859" s="239" t="s">
        <v>11365</v>
      </c>
      <c r="L1859" s="237"/>
      <c r="M1859" s="237"/>
      <c r="N1859" s="237"/>
      <c r="O1859" s="237"/>
      <c r="P1859" s="237"/>
      <c r="Q1859" s="237"/>
      <c r="R1859" s="237"/>
      <c r="S1859" s="237"/>
      <c r="T1859" s="237"/>
      <c r="U1859" s="237"/>
      <c r="V1859" s="237"/>
      <c r="W1859" s="237"/>
      <c r="X1859" s="237"/>
      <c r="Y1859" s="237"/>
      <c r="Z1859" s="237"/>
      <c r="AA1859" s="237"/>
      <c r="AB1859" s="237"/>
    </row>
    <row r="1860">
      <c r="A1860" s="238">
        <v>1861.0</v>
      </c>
      <c r="B1860" s="239" t="s">
        <v>11369</v>
      </c>
      <c r="C1860" s="240" t="s">
        <v>11370</v>
      </c>
      <c r="D1860" s="236"/>
      <c r="E1860" s="240" t="s">
        <v>3511</v>
      </c>
      <c r="F1860" s="240" t="s">
        <v>11371</v>
      </c>
      <c r="G1860" s="238" t="s">
        <v>11372</v>
      </c>
      <c r="H1860" s="241" t="s">
        <v>11373</v>
      </c>
      <c r="I1860" s="237"/>
      <c r="J1860" s="256" t="s">
        <v>6272</v>
      </c>
      <c r="K1860" s="239" t="s">
        <v>11369</v>
      </c>
      <c r="L1860" s="237"/>
      <c r="M1860" s="237"/>
      <c r="N1860" s="237"/>
      <c r="O1860" s="237"/>
      <c r="P1860" s="237"/>
      <c r="Q1860" s="237"/>
      <c r="R1860" s="237"/>
      <c r="S1860" s="237"/>
      <c r="T1860" s="237"/>
      <c r="U1860" s="237"/>
      <c r="V1860" s="237"/>
      <c r="W1860" s="237"/>
      <c r="X1860" s="237"/>
      <c r="Y1860" s="237"/>
      <c r="Z1860" s="237"/>
      <c r="AA1860" s="237"/>
      <c r="AB1860" s="237"/>
    </row>
    <row r="1861">
      <c r="A1861" s="238">
        <v>1862.0</v>
      </c>
      <c r="B1861" s="239" t="s">
        <v>11374</v>
      </c>
      <c r="C1861" s="240" t="s">
        <v>11375</v>
      </c>
      <c r="D1861" s="236"/>
      <c r="E1861" s="240" t="s">
        <v>3511</v>
      </c>
      <c r="F1861" s="240" t="s">
        <v>11376</v>
      </c>
      <c r="G1861" s="238" t="s">
        <v>11377</v>
      </c>
      <c r="H1861" s="240" t="s">
        <v>11378</v>
      </c>
      <c r="I1861" s="237"/>
      <c r="J1861" s="256" t="s">
        <v>6715</v>
      </c>
      <c r="K1861" s="239" t="s">
        <v>11374</v>
      </c>
      <c r="L1861" s="237"/>
      <c r="M1861" s="237"/>
      <c r="N1861" s="237"/>
      <c r="O1861" s="237"/>
      <c r="P1861" s="237"/>
      <c r="Q1861" s="237"/>
      <c r="R1861" s="237"/>
      <c r="S1861" s="237"/>
      <c r="T1861" s="237"/>
      <c r="U1861" s="237"/>
      <c r="V1861" s="237"/>
      <c r="W1861" s="237"/>
      <c r="X1861" s="237"/>
      <c r="Y1861" s="237"/>
      <c r="Z1861" s="237"/>
      <c r="AA1861" s="237"/>
      <c r="AB1861" s="237"/>
    </row>
    <row r="1862">
      <c r="A1862" s="238">
        <v>1863.0</v>
      </c>
      <c r="B1862" s="239" t="s">
        <v>11379</v>
      </c>
      <c r="C1862" s="240" t="s">
        <v>11380</v>
      </c>
      <c r="D1862" s="236"/>
      <c r="E1862" s="240" t="s">
        <v>3511</v>
      </c>
      <c r="F1862" s="240" t="s">
        <v>11381</v>
      </c>
      <c r="G1862" s="238" t="s">
        <v>11382</v>
      </c>
      <c r="H1862" s="240" t="s">
        <v>11383</v>
      </c>
      <c r="I1862" s="237"/>
      <c r="J1862" s="256" t="s">
        <v>6715</v>
      </c>
      <c r="K1862" s="239" t="s">
        <v>11379</v>
      </c>
      <c r="L1862" s="237"/>
      <c r="M1862" s="237"/>
      <c r="N1862" s="237"/>
      <c r="O1862" s="237"/>
      <c r="P1862" s="237"/>
      <c r="Q1862" s="237"/>
      <c r="R1862" s="237"/>
      <c r="S1862" s="237"/>
      <c r="T1862" s="237"/>
      <c r="U1862" s="237"/>
      <c r="V1862" s="237"/>
      <c r="W1862" s="237"/>
      <c r="X1862" s="237"/>
      <c r="Y1862" s="237"/>
      <c r="Z1862" s="237"/>
      <c r="AA1862" s="237"/>
      <c r="AB1862" s="237"/>
    </row>
    <row r="1863">
      <c r="A1863" s="238">
        <v>1864.0</v>
      </c>
      <c r="B1863" s="239" t="s">
        <v>11384</v>
      </c>
      <c r="C1863" s="240" t="s">
        <v>11385</v>
      </c>
      <c r="D1863" s="236"/>
      <c r="E1863" s="240" t="s">
        <v>3511</v>
      </c>
      <c r="F1863" s="240" t="s">
        <v>11386</v>
      </c>
      <c r="G1863" s="238" t="s">
        <v>11387</v>
      </c>
      <c r="H1863" s="240" t="s">
        <v>11388</v>
      </c>
      <c r="I1863" s="237"/>
      <c r="J1863" s="256" t="s">
        <v>6715</v>
      </c>
      <c r="K1863" s="239" t="s">
        <v>11384</v>
      </c>
      <c r="L1863" s="237"/>
      <c r="M1863" s="237"/>
      <c r="N1863" s="237"/>
      <c r="O1863" s="237"/>
      <c r="P1863" s="237"/>
      <c r="Q1863" s="237"/>
      <c r="R1863" s="237"/>
      <c r="S1863" s="237"/>
      <c r="T1863" s="237"/>
      <c r="U1863" s="237"/>
      <c r="V1863" s="237"/>
      <c r="W1863" s="237"/>
      <c r="X1863" s="237"/>
      <c r="Y1863" s="237"/>
      <c r="Z1863" s="237"/>
      <c r="AA1863" s="237"/>
      <c r="AB1863" s="237"/>
    </row>
    <row r="1864">
      <c r="A1864" s="238">
        <v>1865.0</v>
      </c>
      <c r="B1864" s="239" t="s">
        <v>11389</v>
      </c>
      <c r="C1864" s="240" t="s">
        <v>11390</v>
      </c>
      <c r="D1864" s="236"/>
      <c r="E1864" s="240" t="s">
        <v>3511</v>
      </c>
      <c r="F1864" s="240" t="s">
        <v>11391</v>
      </c>
      <c r="G1864" s="238" t="s">
        <v>11311</v>
      </c>
      <c r="H1864" s="240" t="s">
        <v>11392</v>
      </c>
      <c r="I1864" s="237"/>
      <c r="J1864" s="256" t="s">
        <v>6715</v>
      </c>
      <c r="K1864" s="239" t="s">
        <v>11389</v>
      </c>
      <c r="L1864" s="237"/>
      <c r="M1864" s="237"/>
      <c r="N1864" s="237"/>
      <c r="O1864" s="237"/>
      <c r="P1864" s="237"/>
      <c r="Q1864" s="237"/>
      <c r="R1864" s="237"/>
      <c r="S1864" s="237"/>
      <c r="T1864" s="237"/>
      <c r="U1864" s="237"/>
      <c r="V1864" s="237"/>
      <c r="W1864" s="237"/>
      <c r="X1864" s="237"/>
      <c r="Y1864" s="237"/>
      <c r="Z1864" s="237"/>
      <c r="AA1864" s="237"/>
      <c r="AB1864" s="237"/>
    </row>
    <row r="1865">
      <c r="A1865" s="238">
        <v>1866.0</v>
      </c>
      <c r="B1865" s="239" t="s">
        <v>11393</v>
      </c>
      <c r="C1865" s="240" t="s">
        <v>11394</v>
      </c>
      <c r="D1865" s="236"/>
      <c r="E1865" s="241" t="s">
        <v>3511</v>
      </c>
      <c r="F1865" s="240" t="s">
        <v>11395</v>
      </c>
      <c r="G1865" s="238" t="s">
        <v>11396</v>
      </c>
      <c r="H1865" s="240" t="s">
        <v>11397</v>
      </c>
      <c r="I1865" s="237"/>
      <c r="J1865" s="256" t="s">
        <v>6715</v>
      </c>
      <c r="K1865" s="239" t="s">
        <v>11393</v>
      </c>
      <c r="L1865" s="237"/>
      <c r="M1865" s="237"/>
      <c r="N1865" s="237"/>
      <c r="O1865" s="237"/>
      <c r="P1865" s="237"/>
      <c r="Q1865" s="237"/>
      <c r="R1865" s="237"/>
      <c r="S1865" s="237"/>
      <c r="T1865" s="237"/>
      <c r="U1865" s="237"/>
      <c r="V1865" s="237"/>
      <c r="W1865" s="237"/>
      <c r="X1865" s="237"/>
      <c r="Y1865" s="237"/>
      <c r="Z1865" s="237"/>
      <c r="AA1865" s="237"/>
      <c r="AB1865" s="237"/>
    </row>
    <row r="1866">
      <c r="A1866" s="238">
        <v>1867.0</v>
      </c>
      <c r="B1866" s="239" t="s">
        <v>11398</v>
      </c>
      <c r="C1866" s="240" t="s">
        <v>11399</v>
      </c>
      <c r="D1866" s="236"/>
      <c r="E1866" s="240" t="s">
        <v>3511</v>
      </c>
      <c r="F1866" s="240" t="s">
        <v>11400</v>
      </c>
      <c r="G1866" s="238" t="s">
        <v>11401</v>
      </c>
      <c r="H1866" s="240" t="s">
        <v>11402</v>
      </c>
      <c r="I1866" s="237"/>
      <c r="J1866" s="256" t="s">
        <v>6715</v>
      </c>
      <c r="K1866" s="239" t="s">
        <v>11398</v>
      </c>
      <c r="L1866" s="237"/>
      <c r="M1866" s="237"/>
      <c r="N1866" s="237"/>
      <c r="O1866" s="237"/>
      <c r="P1866" s="237"/>
      <c r="Q1866" s="237"/>
      <c r="R1866" s="237"/>
      <c r="S1866" s="237"/>
      <c r="T1866" s="237"/>
      <c r="U1866" s="237"/>
      <c r="V1866" s="237"/>
      <c r="W1866" s="237"/>
      <c r="X1866" s="237"/>
      <c r="Y1866" s="237"/>
      <c r="Z1866" s="237"/>
      <c r="AA1866" s="237"/>
      <c r="AB1866" s="237"/>
    </row>
    <row r="1867">
      <c r="A1867" s="238">
        <v>1868.0</v>
      </c>
      <c r="B1867" s="239" t="s">
        <v>11403</v>
      </c>
      <c r="C1867" s="240" t="s">
        <v>11404</v>
      </c>
      <c r="D1867" s="236"/>
      <c r="E1867" s="240" t="s">
        <v>3511</v>
      </c>
      <c r="F1867" s="240" t="s">
        <v>11405</v>
      </c>
      <c r="G1867" s="238" t="s">
        <v>11406</v>
      </c>
      <c r="H1867" s="240" t="s">
        <v>11407</v>
      </c>
      <c r="I1867" s="237"/>
      <c r="J1867" s="256" t="s">
        <v>6715</v>
      </c>
      <c r="K1867" s="239" t="s">
        <v>11403</v>
      </c>
      <c r="L1867" s="237"/>
      <c r="M1867" s="237"/>
      <c r="N1867" s="237"/>
      <c r="O1867" s="237"/>
      <c r="P1867" s="237"/>
      <c r="Q1867" s="237"/>
      <c r="R1867" s="237"/>
      <c r="S1867" s="237"/>
      <c r="T1867" s="237"/>
      <c r="U1867" s="237"/>
      <c r="V1867" s="237"/>
      <c r="W1867" s="237"/>
      <c r="X1867" s="237"/>
      <c r="Y1867" s="237"/>
      <c r="Z1867" s="237"/>
      <c r="AA1867" s="237"/>
      <c r="AB1867" s="237"/>
    </row>
    <row r="1868">
      <c r="A1868" s="238">
        <v>1869.0</v>
      </c>
      <c r="B1868" s="239" t="s">
        <v>11408</v>
      </c>
      <c r="C1868" s="240" t="s">
        <v>11409</v>
      </c>
      <c r="D1868" s="236"/>
      <c r="E1868" s="240" t="s">
        <v>3511</v>
      </c>
      <c r="F1868" s="240" t="s">
        <v>11410</v>
      </c>
      <c r="G1868" s="238" t="s">
        <v>11411</v>
      </c>
      <c r="H1868" s="240" t="s">
        <v>11412</v>
      </c>
      <c r="I1868" s="237"/>
      <c r="J1868" s="256" t="s">
        <v>6715</v>
      </c>
      <c r="K1868" s="239" t="s">
        <v>11408</v>
      </c>
      <c r="L1868" s="237"/>
      <c r="M1868" s="237"/>
      <c r="N1868" s="237"/>
      <c r="O1868" s="237"/>
      <c r="P1868" s="237"/>
      <c r="Q1868" s="237"/>
      <c r="R1868" s="237"/>
      <c r="S1868" s="237"/>
      <c r="T1868" s="237"/>
      <c r="U1868" s="237"/>
      <c r="V1868" s="237"/>
      <c r="W1868" s="237"/>
      <c r="X1868" s="237"/>
      <c r="Y1868" s="237"/>
      <c r="Z1868" s="237"/>
      <c r="AA1868" s="237"/>
      <c r="AB1868" s="237"/>
    </row>
    <row r="1869">
      <c r="A1869" s="238">
        <v>1870.0</v>
      </c>
      <c r="B1869" s="239" t="s">
        <v>11413</v>
      </c>
      <c r="C1869" s="240" t="s">
        <v>11414</v>
      </c>
      <c r="D1869" s="236"/>
      <c r="E1869" s="240" t="s">
        <v>3511</v>
      </c>
      <c r="F1869" s="240" t="s">
        <v>11415</v>
      </c>
      <c r="G1869" s="238" t="s">
        <v>11416</v>
      </c>
      <c r="H1869" s="240" t="s">
        <v>11417</v>
      </c>
      <c r="I1869" s="237"/>
      <c r="J1869" s="256" t="s">
        <v>6715</v>
      </c>
      <c r="K1869" s="239" t="s">
        <v>11413</v>
      </c>
      <c r="L1869" s="237"/>
      <c r="M1869" s="237"/>
      <c r="N1869" s="237"/>
      <c r="O1869" s="237"/>
      <c r="P1869" s="237"/>
      <c r="Q1869" s="237"/>
      <c r="R1869" s="237"/>
      <c r="S1869" s="237"/>
      <c r="T1869" s="237"/>
      <c r="U1869" s="237"/>
      <c r="V1869" s="237"/>
      <c r="W1869" s="237"/>
      <c r="X1869" s="237"/>
      <c r="Y1869" s="237"/>
      <c r="Z1869" s="237"/>
      <c r="AA1869" s="237"/>
      <c r="AB1869" s="237"/>
    </row>
    <row r="1870">
      <c r="A1870" s="238">
        <v>1871.0</v>
      </c>
      <c r="B1870" s="239" t="s">
        <v>11418</v>
      </c>
      <c r="C1870" s="240" t="s">
        <v>11419</v>
      </c>
      <c r="D1870" s="236"/>
      <c r="E1870" s="240" t="s">
        <v>3511</v>
      </c>
      <c r="F1870" s="240" t="s">
        <v>11420</v>
      </c>
      <c r="G1870" s="238" t="s">
        <v>11421</v>
      </c>
      <c r="H1870" s="240" t="s">
        <v>11422</v>
      </c>
      <c r="I1870" s="237"/>
      <c r="J1870" s="256" t="s">
        <v>6715</v>
      </c>
      <c r="K1870" s="239" t="s">
        <v>11418</v>
      </c>
      <c r="L1870" s="237"/>
      <c r="M1870" s="237"/>
      <c r="N1870" s="237"/>
      <c r="O1870" s="237"/>
      <c r="P1870" s="237"/>
      <c r="Q1870" s="237"/>
      <c r="R1870" s="237"/>
      <c r="S1870" s="237"/>
      <c r="T1870" s="237"/>
      <c r="U1870" s="237"/>
      <c r="V1870" s="237"/>
      <c r="W1870" s="237"/>
      <c r="X1870" s="237"/>
      <c r="Y1870" s="237"/>
      <c r="Z1870" s="237"/>
      <c r="AA1870" s="237"/>
      <c r="AB1870" s="237"/>
    </row>
    <row r="1871">
      <c r="A1871" s="238">
        <v>1872.0</v>
      </c>
      <c r="B1871" s="239" t="s">
        <v>11423</v>
      </c>
      <c r="C1871" s="240" t="s">
        <v>11424</v>
      </c>
      <c r="D1871" s="236"/>
      <c r="E1871" s="240" t="s">
        <v>3511</v>
      </c>
      <c r="F1871" s="240" t="s">
        <v>11425</v>
      </c>
      <c r="G1871" s="238" t="s">
        <v>11426</v>
      </c>
      <c r="H1871" s="236"/>
      <c r="I1871" s="237"/>
      <c r="J1871" s="256" t="s">
        <v>6715</v>
      </c>
      <c r="K1871" s="239" t="s">
        <v>11423</v>
      </c>
      <c r="L1871" s="237"/>
      <c r="M1871" s="237"/>
      <c r="N1871" s="237"/>
      <c r="O1871" s="237"/>
      <c r="P1871" s="237"/>
      <c r="Q1871" s="237"/>
      <c r="R1871" s="237"/>
      <c r="S1871" s="237"/>
      <c r="T1871" s="237"/>
      <c r="U1871" s="237"/>
      <c r="V1871" s="237"/>
      <c r="W1871" s="237"/>
      <c r="X1871" s="237"/>
      <c r="Y1871" s="237"/>
      <c r="Z1871" s="237"/>
      <c r="AA1871" s="237"/>
      <c r="AB1871" s="237"/>
    </row>
    <row r="1872">
      <c r="A1872" s="238">
        <v>1873.0</v>
      </c>
      <c r="B1872" s="239" t="s">
        <v>11427</v>
      </c>
      <c r="C1872" s="240" t="s">
        <v>11428</v>
      </c>
      <c r="D1872" s="236"/>
      <c r="E1872" s="240" t="s">
        <v>3511</v>
      </c>
      <c r="F1872" s="240" t="s">
        <v>11429</v>
      </c>
      <c r="G1872" s="238" t="s">
        <v>11430</v>
      </c>
      <c r="H1872" s="240" t="s">
        <v>11431</v>
      </c>
      <c r="I1872" s="237"/>
      <c r="J1872" s="256" t="s">
        <v>6715</v>
      </c>
      <c r="K1872" s="239" t="s">
        <v>11427</v>
      </c>
      <c r="L1872" s="237"/>
      <c r="M1872" s="237"/>
      <c r="N1872" s="237"/>
      <c r="O1872" s="237"/>
      <c r="P1872" s="237"/>
      <c r="Q1872" s="237"/>
      <c r="R1872" s="237"/>
      <c r="S1872" s="237"/>
      <c r="T1872" s="237"/>
      <c r="U1872" s="237"/>
      <c r="V1872" s="237"/>
      <c r="W1872" s="237"/>
      <c r="X1872" s="237"/>
      <c r="Y1872" s="237"/>
      <c r="Z1872" s="237"/>
      <c r="AA1872" s="237"/>
      <c r="AB1872" s="237"/>
    </row>
    <row r="1873">
      <c r="A1873" s="238">
        <v>1874.0</v>
      </c>
      <c r="B1873" s="239" t="s">
        <v>11432</v>
      </c>
      <c r="C1873" s="240" t="s">
        <v>11433</v>
      </c>
      <c r="D1873" s="236"/>
      <c r="E1873" s="240" t="s">
        <v>3511</v>
      </c>
      <c r="F1873" s="240" t="s">
        <v>11434</v>
      </c>
      <c r="G1873" s="238" t="s">
        <v>11435</v>
      </c>
      <c r="H1873" s="240" t="s">
        <v>11436</v>
      </c>
      <c r="I1873" s="237"/>
      <c r="J1873" s="256" t="s">
        <v>7956</v>
      </c>
      <c r="K1873" s="239" t="s">
        <v>11432</v>
      </c>
      <c r="L1873" s="237"/>
      <c r="M1873" s="237"/>
      <c r="N1873" s="237"/>
      <c r="O1873" s="237"/>
      <c r="P1873" s="237"/>
      <c r="Q1873" s="237"/>
      <c r="R1873" s="237"/>
      <c r="S1873" s="237"/>
      <c r="T1873" s="237"/>
      <c r="U1873" s="237"/>
      <c r="V1873" s="237"/>
      <c r="W1873" s="237"/>
      <c r="X1873" s="237"/>
      <c r="Y1873" s="237"/>
      <c r="Z1873" s="237"/>
      <c r="AA1873" s="237"/>
      <c r="AB1873" s="237"/>
    </row>
    <row r="1874">
      <c r="A1874" s="238">
        <v>1875.0</v>
      </c>
      <c r="B1874" s="239" t="s">
        <v>11437</v>
      </c>
      <c r="C1874" s="240" t="s">
        <v>11438</v>
      </c>
      <c r="D1874" s="236"/>
      <c r="E1874" s="240" t="s">
        <v>3511</v>
      </c>
      <c r="F1874" s="240" t="s">
        <v>11439</v>
      </c>
      <c r="G1874" s="238" t="s">
        <v>11440</v>
      </c>
      <c r="H1874" s="240" t="s">
        <v>11441</v>
      </c>
      <c r="I1874" s="237"/>
      <c r="J1874" s="256" t="s">
        <v>7956</v>
      </c>
      <c r="K1874" s="239" t="s">
        <v>11437</v>
      </c>
      <c r="L1874" s="237"/>
      <c r="M1874" s="237"/>
      <c r="N1874" s="237"/>
      <c r="O1874" s="237"/>
      <c r="P1874" s="237"/>
      <c r="Q1874" s="237"/>
      <c r="R1874" s="237"/>
      <c r="S1874" s="237"/>
      <c r="T1874" s="237"/>
      <c r="U1874" s="237"/>
      <c r="V1874" s="237"/>
      <c r="W1874" s="237"/>
      <c r="X1874" s="237"/>
      <c r="Y1874" s="237"/>
      <c r="Z1874" s="237"/>
      <c r="AA1874" s="237"/>
      <c r="AB1874" s="237"/>
    </row>
    <row r="1875">
      <c r="A1875" s="238">
        <v>1876.0</v>
      </c>
      <c r="B1875" s="239" t="s">
        <v>11442</v>
      </c>
      <c r="C1875" s="240" t="s">
        <v>11443</v>
      </c>
      <c r="D1875" s="236"/>
      <c r="E1875" s="240" t="s">
        <v>3511</v>
      </c>
      <c r="F1875" s="240" t="s">
        <v>11444</v>
      </c>
      <c r="G1875" s="238" t="s">
        <v>11445</v>
      </c>
      <c r="H1875" s="240" t="s">
        <v>11446</v>
      </c>
      <c r="I1875" s="237"/>
      <c r="J1875" s="256" t="s">
        <v>7956</v>
      </c>
      <c r="K1875" s="239" t="s">
        <v>11442</v>
      </c>
      <c r="L1875" s="237"/>
      <c r="M1875" s="237"/>
      <c r="N1875" s="237"/>
      <c r="O1875" s="237"/>
      <c r="P1875" s="237"/>
      <c r="Q1875" s="237"/>
      <c r="R1875" s="237"/>
      <c r="S1875" s="237"/>
      <c r="T1875" s="237"/>
      <c r="U1875" s="237"/>
      <c r="V1875" s="237"/>
      <c r="W1875" s="237"/>
      <c r="X1875" s="237"/>
      <c r="Y1875" s="237"/>
      <c r="Z1875" s="237"/>
      <c r="AA1875" s="237"/>
      <c r="AB1875" s="237"/>
    </row>
    <row r="1876">
      <c r="A1876" s="238">
        <v>1877.0</v>
      </c>
      <c r="B1876" s="239" t="s">
        <v>11447</v>
      </c>
      <c r="C1876" s="240" t="s">
        <v>11448</v>
      </c>
      <c r="D1876" s="236"/>
      <c r="E1876" s="240" t="s">
        <v>3511</v>
      </c>
      <c r="F1876" s="240" t="s">
        <v>11449</v>
      </c>
      <c r="G1876" s="238" t="s">
        <v>11450</v>
      </c>
      <c r="H1876" s="240" t="s">
        <v>11451</v>
      </c>
      <c r="I1876" s="237"/>
      <c r="J1876" s="256" t="s">
        <v>7956</v>
      </c>
      <c r="K1876" s="239" t="s">
        <v>11447</v>
      </c>
      <c r="L1876" s="237"/>
      <c r="M1876" s="237"/>
      <c r="N1876" s="237"/>
      <c r="O1876" s="237"/>
      <c r="P1876" s="237"/>
      <c r="Q1876" s="237"/>
      <c r="R1876" s="237"/>
      <c r="S1876" s="237"/>
      <c r="T1876" s="237"/>
      <c r="U1876" s="237"/>
      <c r="V1876" s="237"/>
      <c r="W1876" s="237"/>
      <c r="X1876" s="237"/>
      <c r="Y1876" s="237"/>
      <c r="Z1876" s="237"/>
      <c r="AA1876" s="237"/>
      <c r="AB1876" s="237"/>
    </row>
    <row r="1877">
      <c r="A1877" s="238">
        <v>1878.0</v>
      </c>
      <c r="B1877" s="239" t="s">
        <v>11452</v>
      </c>
      <c r="C1877" s="240" t="s">
        <v>11453</v>
      </c>
      <c r="D1877" s="236"/>
      <c r="E1877" s="240" t="s">
        <v>3511</v>
      </c>
      <c r="F1877" s="240" t="s">
        <v>11454</v>
      </c>
      <c r="G1877" s="238" t="s">
        <v>11455</v>
      </c>
      <c r="H1877" s="240" t="s">
        <v>11456</v>
      </c>
      <c r="I1877" s="237"/>
      <c r="J1877" s="256" t="s">
        <v>7956</v>
      </c>
      <c r="K1877" s="239" t="s">
        <v>11452</v>
      </c>
      <c r="L1877" s="237"/>
      <c r="M1877" s="237"/>
      <c r="N1877" s="237"/>
      <c r="O1877" s="237"/>
      <c r="P1877" s="237"/>
      <c r="Q1877" s="237"/>
      <c r="R1877" s="237"/>
      <c r="S1877" s="237"/>
      <c r="T1877" s="237"/>
      <c r="U1877" s="237"/>
      <c r="V1877" s="237"/>
      <c r="W1877" s="237"/>
      <c r="X1877" s="237"/>
      <c r="Y1877" s="237"/>
      <c r="Z1877" s="237"/>
      <c r="AA1877" s="237"/>
      <c r="AB1877" s="237"/>
    </row>
    <row r="1878">
      <c r="A1878" s="238">
        <v>1879.0</v>
      </c>
      <c r="B1878" s="239" t="s">
        <v>11457</v>
      </c>
      <c r="C1878" s="240" t="s">
        <v>11458</v>
      </c>
      <c r="D1878" s="236"/>
      <c r="E1878" s="240" t="s">
        <v>3511</v>
      </c>
      <c r="F1878" s="240" t="s">
        <v>11459</v>
      </c>
      <c r="G1878" s="238" t="s">
        <v>11460</v>
      </c>
      <c r="H1878" s="240" t="s">
        <v>11461</v>
      </c>
      <c r="I1878" s="237"/>
      <c r="J1878" s="256" t="s">
        <v>7956</v>
      </c>
      <c r="K1878" s="239" t="s">
        <v>11457</v>
      </c>
      <c r="L1878" s="237"/>
      <c r="M1878" s="237"/>
      <c r="N1878" s="237"/>
      <c r="O1878" s="237"/>
      <c r="P1878" s="237"/>
      <c r="Q1878" s="237"/>
      <c r="R1878" s="237"/>
      <c r="S1878" s="237"/>
      <c r="T1878" s="237"/>
      <c r="U1878" s="237"/>
      <c r="V1878" s="237"/>
      <c r="W1878" s="237"/>
      <c r="X1878" s="237"/>
      <c r="Y1878" s="237"/>
      <c r="Z1878" s="237"/>
      <c r="AA1878" s="237"/>
      <c r="AB1878" s="237"/>
    </row>
    <row r="1879">
      <c r="A1879" s="238">
        <v>1880.0</v>
      </c>
      <c r="B1879" s="239" t="s">
        <v>11462</v>
      </c>
      <c r="C1879" s="240" t="s">
        <v>11463</v>
      </c>
      <c r="D1879" s="236"/>
      <c r="E1879" s="240" t="s">
        <v>3511</v>
      </c>
      <c r="F1879" s="241" t="s">
        <v>11464</v>
      </c>
      <c r="G1879" s="238" t="s">
        <v>11465</v>
      </c>
      <c r="H1879" s="240" t="s">
        <v>11466</v>
      </c>
      <c r="I1879" s="237"/>
      <c r="J1879" s="256" t="s">
        <v>7966</v>
      </c>
      <c r="K1879" s="239" t="s">
        <v>11462</v>
      </c>
      <c r="L1879" s="237"/>
      <c r="M1879" s="237"/>
      <c r="N1879" s="237"/>
      <c r="O1879" s="237"/>
      <c r="P1879" s="237"/>
      <c r="Q1879" s="237"/>
      <c r="R1879" s="237"/>
      <c r="S1879" s="237"/>
      <c r="T1879" s="237"/>
      <c r="U1879" s="237"/>
      <c r="V1879" s="237"/>
      <c r="W1879" s="237"/>
      <c r="X1879" s="237"/>
      <c r="Y1879" s="237"/>
      <c r="Z1879" s="237"/>
      <c r="AA1879" s="237"/>
      <c r="AB1879" s="237"/>
    </row>
    <row r="1880">
      <c r="A1880" s="238">
        <v>1881.0</v>
      </c>
      <c r="B1880" s="239" t="s">
        <v>11467</v>
      </c>
      <c r="C1880" s="240" t="s">
        <v>11468</v>
      </c>
      <c r="D1880" s="236"/>
      <c r="E1880" s="240" t="s">
        <v>3511</v>
      </c>
      <c r="F1880" s="240" t="s">
        <v>11469</v>
      </c>
      <c r="G1880" s="238" t="s">
        <v>11470</v>
      </c>
      <c r="H1880" s="240" t="s">
        <v>11471</v>
      </c>
      <c r="I1880" s="237"/>
      <c r="J1880" s="256" t="s">
        <v>7966</v>
      </c>
      <c r="K1880" s="239" t="s">
        <v>11467</v>
      </c>
      <c r="L1880" s="237"/>
      <c r="M1880" s="237"/>
      <c r="N1880" s="237"/>
      <c r="O1880" s="237"/>
      <c r="P1880" s="237"/>
      <c r="Q1880" s="237"/>
      <c r="R1880" s="237"/>
      <c r="S1880" s="237"/>
      <c r="T1880" s="237"/>
      <c r="U1880" s="237"/>
      <c r="V1880" s="237"/>
      <c r="W1880" s="237"/>
      <c r="X1880" s="237"/>
      <c r="Y1880" s="237"/>
      <c r="Z1880" s="237"/>
      <c r="AA1880" s="237"/>
      <c r="AB1880" s="237"/>
    </row>
    <row r="1881">
      <c r="A1881" s="238">
        <v>1882.0</v>
      </c>
      <c r="B1881" s="239" t="s">
        <v>11472</v>
      </c>
      <c r="C1881" s="240" t="s">
        <v>11473</v>
      </c>
      <c r="D1881" s="236"/>
      <c r="E1881" s="240" t="s">
        <v>3511</v>
      </c>
      <c r="F1881" s="240" t="s">
        <v>11474</v>
      </c>
      <c r="G1881" s="238" t="s">
        <v>11475</v>
      </c>
      <c r="H1881" s="240" t="s">
        <v>11476</v>
      </c>
      <c r="I1881" s="237"/>
      <c r="J1881" s="256" t="s">
        <v>7966</v>
      </c>
      <c r="K1881" s="239" t="s">
        <v>11472</v>
      </c>
      <c r="L1881" s="237"/>
      <c r="M1881" s="237"/>
      <c r="N1881" s="237"/>
      <c r="O1881" s="237"/>
      <c r="P1881" s="237"/>
      <c r="Q1881" s="237"/>
      <c r="R1881" s="237"/>
      <c r="S1881" s="237"/>
      <c r="T1881" s="237"/>
      <c r="U1881" s="237"/>
      <c r="V1881" s="237"/>
      <c r="W1881" s="237"/>
      <c r="X1881" s="237"/>
      <c r="Y1881" s="237"/>
      <c r="Z1881" s="237"/>
      <c r="AA1881" s="237"/>
      <c r="AB1881" s="237"/>
    </row>
    <row r="1882">
      <c r="A1882" s="238">
        <v>1883.0</v>
      </c>
      <c r="B1882" s="239" t="s">
        <v>11477</v>
      </c>
      <c r="C1882" s="240" t="s">
        <v>11478</v>
      </c>
      <c r="D1882" s="236"/>
      <c r="E1882" s="240" t="s">
        <v>3511</v>
      </c>
      <c r="F1882" s="240" t="s">
        <v>11479</v>
      </c>
      <c r="G1882" s="238" t="s">
        <v>11480</v>
      </c>
      <c r="H1882" s="240" t="s">
        <v>11481</v>
      </c>
      <c r="I1882" s="237"/>
      <c r="J1882" s="256" t="s">
        <v>7966</v>
      </c>
      <c r="K1882" s="239" t="s">
        <v>11477</v>
      </c>
      <c r="L1882" s="237"/>
      <c r="M1882" s="237"/>
      <c r="N1882" s="237"/>
      <c r="O1882" s="237"/>
      <c r="P1882" s="237"/>
      <c r="Q1882" s="237"/>
      <c r="R1882" s="237"/>
      <c r="S1882" s="237"/>
      <c r="T1882" s="237"/>
      <c r="U1882" s="237"/>
      <c r="V1882" s="237"/>
      <c r="W1882" s="237"/>
      <c r="X1882" s="237"/>
      <c r="Y1882" s="237"/>
      <c r="Z1882" s="237"/>
      <c r="AA1882" s="237"/>
      <c r="AB1882" s="237"/>
    </row>
    <row r="1883">
      <c r="A1883" s="238">
        <v>1884.0</v>
      </c>
      <c r="B1883" s="239" t="s">
        <v>11482</v>
      </c>
      <c r="C1883" s="240" t="s">
        <v>11483</v>
      </c>
      <c r="D1883" s="236"/>
      <c r="E1883" s="240" t="s">
        <v>3511</v>
      </c>
      <c r="F1883" s="240" t="s">
        <v>11484</v>
      </c>
      <c r="G1883" s="238" t="s">
        <v>11485</v>
      </c>
      <c r="H1883" s="240" t="s">
        <v>11486</v>
      </c>
      <c r="I1883" s="237"/>
      <c r="J1883" s="256" t="s">
        <v>7966</v>
      </c>
      <c r="K1883" s="239" t="s">
        <v>11482</v>
      </c>
      <c r="L1883" s="237"/>
      <c r="M1883" s="237"/>
      <c r="N1883" s="237"/>
      <c r="O1883" s="237"/>
      <c r="P1883" s="237"/>
      <c r="Q1883" s="237"/>
      <c r="R1883" s="237"/>
      <c r="S1883" s="237"/>
      <c r="T1883" s="237"/>
      <c r="U1883" s="237"/>
      <c r="V1883" s="237"/>
      <c r="W1883" s="237"/>
      <c r="X1883" s="237"/>
      <c r="Y1883" s="237"/>
      <c r="Z1883" s="237"/>
      <c r="AA1883" s="237"/>
      <c r="AB1883" s="237"/>
    </row>
    <row r="1884">
      <c r="A1884" s="238">
        <v>1885.0</v>
      </c>
      <c r="B1884" s="239" t="s">
        <v>11487</v>
      </c>
      <c r="C1884" s="240" t="s">
        <v>11488</v>
      </c>
      <c r="D1884" s="236"/>
      <c r="E1884" s="240" t="s">
        <v>3511</v>
      </c>
      <c r="F1884" s="240" t="s">
        <v>11489</v>
      </c>
      <c r="G1884" s="238" t="s">
        <v>11490</v>
      </c>
      <c r="H1884" s="240" t="s">
        <v>11491</v>
      </c>
      <c r="I1884" s="237"/>
      <c r="J1884" s="256" t="s">
        <v>11492</v>
      </c>
      <c r="K1884" s="239" t="s">
        <v>11487</v>
      </c>
      <c r="L1884" s="237"/>
      <c r="M1884" s="237"/>
      <c r="N1884" s="237"/>
      <c r="O1884" s="237"/>
      <c r="P1884" s="237"/>
      <c r="Q1884" s="237"/>
      <c r="R1884" s="237"/>
      <c r="S1884" s="237"/>
      <c r="T1884" s="237"/>
      <c r="U1884" s="237"/>
      <c r="V1884" s="237"/>
      <c r="W1884" s="237"/>
      <c r="X1884" s="237"/>
      <c r="Y1884" s="237"/>
      <c r="Z1884" s="237"/>
      <c r="AA1884" s="237"/>
      <c r="AB1884" s="237"/>
    </row>
    <row r="1885">
      <c r="A1885" s="238">
        <v>1886.0</v>
      </c>
      <c r="B1885" s="239" t="s">
        <v>11493</v>
      </c>
      <c r="C1885" s="240" t="s">
        <v>11494</v>
      </c>
      <c r="D1885" s="236"/>
      <c r="E1885" s="240" t="s">
        <v>3511</v>
      </c>
      <c r="F1885" s="240" t="s">
        <v>11495</v>
      </c>
      <c r="G1885" s="238" t="s">
        <v>11496</v>
      </c>
      <c r="H1885" s="240" t="s">
        <v>11497</v>
      </c>
      <c r="I1885" s="237"/>
      <c r="J1885" s="256" t="s">
        <v>11492</v>
      </c>
      <c r="K1885" s="239" t="s">
        <v>11493</v>
      </c>
      <c r="L1885" s="237"/>
      <c r="M1885" s="237"/>
      <c r="N1885" s="237"/>
      <c r="O1885" s="237"/>
      <c r="P1885" s="237"/>
      <c r="Q1885" s="237"/>
      <c r="R1885" s="237"/>
      <c r="S1885" s="237"/>
      <c r="T1885" s="237"/>
      <c r="U1885" s="237"/>
      <c r="V1885" s="237"/>
      <c r="W1885" s="237"/>
      <c r="X1885" s="237"/>
      <c r="Y1885" s="237"/>
      <c r="Z1885" s="237"/>
      <c r="AA1885" s="237"/>
      <c r="AB1885" s="237"/>
    </row>
    <row r="1886">
      <c r="A1886" s="238">
        <v>1887.0</v>
      </c>
      <c r="B1886" s="239" t="s">
        <v>11498</v>
      </c>
      <c r="C1886" s="240" t="s">
        <v>11499</v>
      </c>
      <c r="D1886" s="236"/>
      <c r="E1886" s="240" t="s">
        <v>3511</v>
      </c>
      <c r="F1886" s="240" t="s">
        <v>11500</v>
      </c>
      <c r="G1886" s="238" t="s">
        <v>11501</v>
      </c>
      <c r="H1886" s="240" t="s">
        <v>11502</v>
      </c>
      <c r="I1886" s="237"/>
      <c r="J1886" s="256" t="s">
        <v>11492</v>
      </c>
      <c r="K1886" s="239" t="s">
        <v>11498</v>
      </c>
      <c r="L1886" s="237"/>
      <c r="M1886" s="237"/>
      <c r="N1886" s="237"/>
      <c r="O1886" s="237"/>
      <c r="P1886" s="237"/>
      <c r="Q1886" s="237"/>
      <c r="R1886" s="237"/>
      <c r="S1886" s="237"/>
      <c r="T1886" s="237"/>
      <c r="U1886" s="237"/>
      <c r="V1886" s="237"/>
      <c r="W1886" s="237"/>
      <c r="X1886" s="237"/>
      <c r="Y1886" s="237"/>
      <c r="Z1886" s="237"/>
      <c r="AA1886" s="237"/>
      <c r="AB1886" s="237"/>
    </row>
    <row r="1887">
      <c r="A1887" s="238">
        <v>1888.0</v>
      </c>
      <c r="B1887" s="239" t="s">
        <v>11503</v>
      </c>
      <c r="C1887" s="240" t="s">
        <v>11504</v>
      </c>
      <c r="D1887" s="236"/>
      <c r="E1887" s="240" t="s">
        <v>3511</v>
      </c>
      <c r="F1887" s="240" t="s">
        <v>11505</v>
      </c>
      <c r="G1887" s="238" t="s">
        <v>11506</v>
      </c>
      <c r="H1887" s="240" t="s">
        <v>11507</v>
      </c>
      <c r="I1887" s="237"/>
      <c r="J1887" s="256" t="s">
        <v>11492</v>
      </c>
      <c r="K1887" s="239" t="s">
        <v>11503</v>
      </c>
      <c r="L1887" s="237"/>
      <c r="M1887" s="237"/>
      <c r="N1887" s="237"/>
      <c r="O1887" s="237"/>
      <c r="P1887" s="237"/>
      <c r="Q1887" s="237"/>
      <c r="R1887" s="237"/>
      <c r="S1887" s="237"/>
      <c r="T1887" s="237"/>
      <c r="U1887" s="237"/>
      <c r="V1887" s="237"/>
      <c r="W1887" s="237"/>
      <c r="X1887" s="237"/>
      <c r="Y1887" s="237"/>
      <c r="Z1887" s="237"/>
      <c r="AA1887" s="237"/>
      <c r="AB1887" s="237"/>
    </row>
    <row r="1888">
      <c r="A1888" s="238">
        <v>1889.0</v>
      </c>
      <c r="B1888" s="239" t="s">
        <v>11508</v>
      </c>
      <c r="C1888" s="240" t="s">
        <v>11509</v>
      </c>
      <c r="D1888" s="236"/>
      <c r="E1888" s="240" t="s">
        <v>3511</v>
      </c>
      <c r="F1888" s="240" t="s">
        <v>11510</v>
      </c>
      <c r="G1888" s="238" t="s">
        <v>11511</v>
      </c>
      <c r="H1888" s="240" t="s">
        <v>11512</v>
      </c>
      <c r="I1888" s="237"/>
      <c r="J1888" s="256" t="s">
        <v>11492</v>
      </c>
      <c r="K1888" s="239" t="s">
        <v>11508</v>
      </c>
      <c r="L1888" s="237"/>
      <c r="M1888" s="237"/>
      <c r="N1888" s="237"/>
      <c r="O1888" s="237"/>
      <c r="P1888" s="237"/>
      <c r="Q1888" s="237"/>
      <c r="R1888" s="237"/>
      <c r="S1888" s="237"/>
      <c r="T1888" s="237"/>
      <c r="U1888" s="237"/>
      <c r="V1888" s="237"/>
      <c r="W1888" s="237"/>
      <c r="X1888" s="237"/>
      <c r="Y1888" s="237"/>
      <c r="Z1888" s="237"/>
      <c r="AA1888" s="237"/>
      <c r="AB1888" s="237"/>
    </row>
    <row r="1889">
      <c r="A1889" s="238">
        <v>1890.0</v>
      </c>
      <c r="B1889" s="239" t="s">
        <v>11513</v>
      </c>
      <c r="C1889" s="240" t="s">
        <v>11514</v>
      </c>
      <c r="D1889" s="236"/>
      <c r="E1889" s="240" t="s">
        <v>3511</v>
      </c>
      <c r="F1889" s="240" t="s">
        <v>11515</v>
      </c>
      <c r="G1889" s="238" t="s">
        <v>11516</v>
      </c>
      <c r="H1889" s="240" t="s">
        <v>11517</v>
      </c>
      <c r="I1889" s="237"/>
      <c r="J1889" s="256" t="s">
        <v>11492</v>
      </c>
      <c r="K1889" s="239" t="s">
        <v>11513</v>
      </c>
      <c r="L1889" s="237"/>
      <c r="M1889" s="237"/>
      <c r="N1889" s="237"/>
      <c r="O1889" s="237"/>
      <c r="P1889" s="237"/>
      <c r="Q1889" s="237"/>
      <c r="R1889" s="237"/>
      <c r="S1889" s="237"/>
      <c r="T1889" s="237"/>
      <c r="U1889" s="237"/>
      <c r="V1889" s="237"/>
      <c r="W1889" s="237"/>
      <c r="X1889" s="237"/>
      <c r="Y1889" s="237"/>
      <c r="Z1889" s="237"/>
      <c r="AA1889" s="237"/>
      <c r="AB1889" s="237"/>
    </row>
    <row r="1890">
      <c r="A1890" s="238">
        <v>1891.0</v>
      </c>
      <c r="B1890" s="239" t="s">
        <v>11518</v>
      </c>
      <c r="C1890" s="240" t="s">
        <v>11519</v>
      </c>
      <c r="D1890" s="236"/>
      <c r="E1890" s="240" t="s">
        <v>3511</v>
      </c>
      <c r="F1890" s="240" t="s">
        <v>11520</v>
      </c>
      <c r="G1890" s="238" t="s">
        <v>11521</v>
      </c>
      <c r="H1890" s="240" t="s">
        <v>11522</v>
      </c>
      <c r="I1890" s="237"/>
      <c r="J1890" s="256" t="s">
        <v>11492</v>
      </c>
      <c r="K1890" s="239" t="s">
        <v>11518</v>
      </c>
      <c r="L1890" s="237"/>
      <c r="M1890" s="237"/>
      <c r="N1890" s="237"/>
      <c r="O1890" s="237"/>
      <c r="P1890" s="237"/>
      <c r="Q1890" s="237"/>
      <c r="R1890" s="237"/>
      <c r="S1890" s="237"/>
      <c r="T1890" s="237"/>
      <c r="U1890" s="237"/>
      <c r="V1890" s="237"/>
      <c r="W1890" s="237"/>
      <c r="X1890" s="237"/>
      <c r="Y1890" s="237"/>
      <c r="Z1890" s="237"/>
      <c r="AA1890" s="237"/>
      <c r="AB1890" s="237"/>
    </row>
    <row r="1891">
      <c r="A1891" s="238">
        <v>1892.0</v>
      </c>
      <c r="B1891" s="239" t="s">
        <v>11523</v>
      </c>
      <c r="C1891" s="240" t="s">
        <v>11524</v>
      </c>
      <c r="D1891" s="236"/>
      <c r="E1891" s="240" t="s">
        <v>3511</v>
      </c>
      <c r="F1891" s="240" t="s">
        <v>11525</v>
      </c>
      <c r="G1891" s="238" t="s">
        <v>11526</v>
      </c>
      <c r="H1891" s="240" t="s">
        <v>11527</v>
      </c>
      <c r="I1891" s="237"/>
      <c r="J1891" s="256" t="s">
        <v>11492</v>
      </c>
      <c r="K1891" s="239" t="s">
        <v>11523</v>
      </c>
      <c r="L1891" s="237"/>
      <c r="M1891" s="237"/>
      <c r="N1891" s="237"/>
      <c r="O1891" s="237"/>
      <c r="P1891" s="237"/>
      <c r="Q1891" s="237"/>
      <c r="R1891" s="237"/>
      <c r="S1891" s="237"/>
      <c r="T1891" s="237"/>
      <c r="U1891" s="237"/>
      <c r="V1891" s="237"/>
      <c r="W1891" s="237"/>
      <c r="X1891" s="237"/>
      <c r="Y1891" s="237"/>
      <c r="Z1891" s="237"/>
      <c r="AA1891" s="237"/>
      <c r="AB1891" s="237"/>
    </row>
    <row r="1892">
      <c r="A1892" s="238">
        <v>1893.0</v>
      </c>
      <c r="B1892" s="239" t="s">
        <v>11528</v>
      </c>
      <c r="C1892" s="240" t="s">
        <v>11529</v>
      </c>
      <c r="D1892" s="236"/>
      <c r="E1892" s="240" t="s">
        <v>3511</v>
      </c>
      <c r="F1892" s="240" t="s">
        <v>11530</v>
      </c>
      <c r="G1892" s="238" t="s">
        <v>11531</v>
      </c>
      <c r="H1892" s="240" t="s">
        <v>11532</v>
      </c>
      <c r="I1892" s="237"/>
      <c r="J1892" s="256" t="s">
        <v>4044</v>
      </c>
      <c r="K1892" s="239" t="s">
        <v>11528</v>
      </c>
      <c r="L1892" s="237"/>
      <c r="M1892" s="237"/>
      <c r="N1892" s="237"/>
      <c r="O1892" s="237"/>
      <c r="P1892" s="237"/>
      <c r="Q1892" s="237"/>
      <c r="R1892" s="237"/>
      <c r="S1892" s="237"/>
      <c r="T1892" s="237"/>
      <c r="U1892" s="237"/>
      <c r="V1892" s="237"/>
      <c r="W1892" s="237"/>
      <c r="X1892" s="237"/>
      <c r="Y1892" s="237"/>
      <c r="Z1892" s="237"/>
      <c r="AA1892" s="237"/>
      <c r="AB1892" s="237"/>
    </row>
    <row r="1893">
      <c r="A1893" s="238">
        <v>1894.0</v>
      </c>
      <c r="B1893" s="239" t="s">
        <v>11533</v>
      </c>
      <c r="C1893" s="240" t="s">
        <v>11534</v>
      </c>
      <c r="D1893" s="236"/>
      <c r="E1893" s="240" t="s">
        <v>3511</v>
      </c>
      <c r="F1893" s="240" t="s">
        <v>11535</v>
      </c>
      <c r="G1893" s="238" t="s">
        <v>11536</v>
      </c>
      <c r="H1893" s="240" t="s">
        <v>11537</v>
      </c>
      <c r="I1893" s="237"/>
      <c r="J1893" s="256" t="s">
        <v>4044</v>
      </c>
      <c r="K1893" s="239" t="s">
        <v>11533</v>
      </c>
      <c r="L1893" s="237"/>
      <c r="M1893" s="237"/>
      <c r="N1893" s="237"/>
      <c r="O1893" s="237"/>
      <c r="P1893" s="237"/>
      <c r="Q1893" s="237"/>
      <c r="R1893" s="237"/>
      <c r="S1893" s="237"/>
      <c r="T1893" s="237"/>
      <c r="U1893" s="237"/>
      <c r="V1893" s="237"/>
      <c r="W1893" s="237"/>
      <c r="X1893" s="237"/>
      <c r="Y1893" s="237"/>
      <c r="Z1893" s="237"/>
      <c r="AA1893" s="237"/>
      <c r="AB1893" s="237"/>
    </row>
    <row r="1894">
      <c r="A1894" s="238">
        <v>1895.0</v>
      </c>
      <c r="B1894" s="239" t="s">
        <v>11538</v>
      </c>
      <c r="C1894" s="240" t="s">
        <v>11539</v>
      </c>
      <c r="D1894" s="236"/>
      <c r="E1894" s="240" t="s">
        <v>3511</v>
      </c>
      <c r="F1894" s="240" t="s">
        <v>11540</v>
      </c>
      <c r="G1894" s="238" t="s">
        <v>11541</v>
      </c>
      <c r="H1894" s="240" t="s">
        <v>11542</v>
      </c>
      <c r="I1894" s="237"/>
      <c r="J1894" s="256" t="s">
        <v>4044</v>
      </c>
      <c r="K1894" s="239" t="s">
        <v>11538</v>
      </c>
      <c r="L1894" s="237"/>
      <c r="M1894" s="237"/>
      <c r="N1894" s="237"/>
      <c r="O1894" s="237"/>
      <c r="P1894" s="237"/>
      <c r="Q1894" s="237"/>
      <c r="R1894" s="237"/>
      <c r="S1894" s="237"/>
      <c r="T1894" s="237"/>
      <c r="U1894" s="237"/>
      <c r="V1894" s="237"/>
      <c r="W1894" s="237"/>
      <c r="X1894" s="237"/>
      <c r="Y1894" s="237"/>
      <c r="Z1894" s="237"/>
      <c r="AA1894" s="237"/>
      <c r="AB1894" s="237"/>
    </row>
    <row r="1895">
      <c r="A1895" s="238">
        <v>1896.0</v>
      </c>
      <c r="B1895" s="239" t="s">
        <v>11543</v>
      </c>
      <c r="C1895" s="240" t="s">
        <v>11544</v>
      </c>
      <c r="D1895" s="236"/>
      <c r="E1895" s="240" t="s">
        <v>3511</v>
      </c>
      <c r="F1895" s="240" t="s">
        <v>11545</v>
      </c>
      <c r="G1895" s="238" t="s">
        <v>11546</v>
      </c>
      <c r="H1895" s="240" t="s">
        <v>11547</v>
      </c>
      <c r="I1895" s="237"/>
      <c r="J1895" s="256" t="s">
        <v>4044</v>
      </c>
      <c r="K1895" s="239" t="s">
        <v>11543</v>
      </c>
      <c r="L1895" s="237"/>
      <c r="M1895" s="237"/>
      <c r="N1895" s="237"/>
      <c r="O1895" s="237"/>
      <c r="P1895" s="237"/>
      <c r="Q1895" s="237"/>
      <c r="R1895" s="237"/>
      <c r="S1895" s="237"/>
      <c r="T1895" s="237"/>
      <c r="U1895" s="237"/>
      <c r="V1895" s="237"/>
      <c r="W1895" s="237"/>
      <c r="X1895" s="237"/>
      <c r="Y1895" s="237"/>
      <c r="Z1895" s="237"/>
      <c r="AA1895" s="237"/>
      <c r="AB1895" s="237"/>
    </row>
    <row r="1896">
      <c r="A1896" s="238">
        <v>1897.0</v>
      </c>
      <c r="B1896" s="239" t="s">
        <v>11548</v>
      </c>
      <c r="C1896" s="240" t="s">
        <v>11549</v>
      </c>
      <c r="D1896" s="236"/>
      <c r="E1896" s="240" t="s">
        <v>3511</v>
      </c>
      <c r="F1896" s="240" t="s">
        <v>11550</v>
      </c>
      <c r="G1896" s="238" t="s">
        <v>11551</v>
      </c>
      <c r="H1896" s="240" t="s">
        <v>11552</v>
      </c>
      <c r="I1896" s="237"/>
      <c r="J1896" s="256" t="s">
        <v>4044</v>
      </c>
      <c r="K1896" s="239" t="s">
        <v>11548</v>
      </c>
      <c r="L1896" s="237"/>
      <c r="M1896" s="237"/>
      <c r="N1896" s="237"/>
      <c r="O1896" s="237"/>
      <c r="P1896" s="237"/>
      <c r="Q1896" s="237"/>
      <c r="R1896" s="237"/>
      <c r="S1896" s="237"/>
      <c r="T1896" s="237"/>
      <c r="U1896" s="237"/>
      <c r="V1896" s="237"/>
      <c r="W1896" s="237"/>
      <c r="X1896" s="237"/>
      <c r="Y1896" s="237"/>
      <c r="Z1896" s="237"/>
      <c r="AA1896" s="237"/>
      <c r="AB1896" s="237"/>
    </row>
    <row r="1897">
      <c r="A1897" s="238">
        <v>1898.0</v>
      </c>
      <c r="B1897" s="239" t="s">
        <v>11553</v>
      </c>
      <c r="C1897" s="240" t="s">
        <v>11554</v>
      </c>
      <c r="D1897" s="236"/>
      <c r="E1897" s="240" t="s">
        <v>3511</v>
      </c>
      <c r="F1897" s="240" t="s">
        <v>11555</v>
      </c>
      <c r="G1897" s="238" t="s">
        <v>11556</v>
      </c>
      <c r="H1897" s="240" t="s">
        <v>11557</v>
      </c>
      <c r="I1897" s="237"/>
      <c r="J1897" s="256" t="s">
        <v>4044</v>
      </c>
      <c r="K1897" s="239" t="s">
        <v>11553</v>
      </c>
      <c r="L1897" s="237"/>
      <c r="M1897" s="237"/>
      <c r="N1897" s="237"/>
      <c r="O1897" s="237"/>
      <c r="P1897" s="237"/>
      <c r="Q1897" s="237"/>
      <c r="R1897" s="237"/>
      <c r="S1897" s="237"/>
      <c r="T1897" s="237"/>
      <c r="U1897" s="237"/>
      <c r="V1897" s="237"/>
      <c r="W1897" s="237"/>
      <c r="X1897" s="237"/>
      <c r="Y1897" s="237"/>
      <c r="Z1897" s="237"/>
      <c r="AA1897" s="237"/>
      <c r="AB1897" s="237"/>
    </row>
    <row r="1898">
      <c r="A1898" s="238">
        <v>1899.0</v>
      </c>
      <c r="B1898" s="242"/>
      <c r="C1898" s="240" t="s">
        <v>11558</v>
      </c>
      <c r="D1898" s="236"/>
      <c r="E1898" s="240" t="s">
        <v>3496</v>
      </c>
      <c r="F1898" s="238">
        <v>0.0</v>
      </c>
      <c r="G1898" s="236"/>
      <c r="H1898" s="236"/>
      <c r="I1898" s="237"/>
      <c r="J1898" s="237"/>
      <c r="K1898" s="242"/>
      <c r="L1898" s="237"/>
      <c r="M1898" s="237"/>
      <c r="N1898" s="237"/>
      <c r="O1898" s="237"/>
      <c r="P1898" s="237"/>
      <c r="Q1898" s="237"/>
      <c r="R1898" s="237"/>
      <c r="S1898" s="237"/>
      <c r="T1898" s="237"/>
      <c r="U1898" s="237"/>
      <c r="V1898" s="237"/>
      <c r="W1898" s="237"/>
      <c r="X1898" s="237"/>
      <c r="Y1898" s="237"/>
      <c r="Z1898" s="237"/>
      <c r="AA1898" s="237"/>
      <c r="AB1898" s="237"/>
    </row>
    <row r="1899">
      <c r="A1899" s="238">
        <v>1900.0</v>
      </c>
      <c r="B1899" s="242"/>
      <c r="C1899" s="240" t="s">
        <v>11559</v>
      </c>
      <c r="D1899" s="236"/>
      <c r="E1899" s="240" t="s">
        <v>3496</v>
      </c>
      <c r="F1899" s="238">
        <v>0.0</v>
      </c>
      <c r="G1899" s="236"/>
      <c r="H1899" s="236"/>
      <c r="I1899" s="237"/>
      <c r="J1899" s="237"/>
      <c r="K1899" s="242"/>
      <c r="L1899" s="237"/>
      <c r="M1899" s="237"/>
      <c r="N1899" s="237"/>
      <c r="O1899" s="237"/>
      <c r="P1899" s="237"/>
      <c r="Q1899" s="237"/>
      <c r="R1899" s="237"/>
      <c r="S1899" s="237"/>
      <c r="T1899" s="237"/>
      <c r="U1899" s="237"/>
      <c r="V1899" s="237"/>
      <c r="W1899" s="237"/>
      <c r="X1899" s="237"/>
      <c r="Y1899" s="237"/>
      <c r="Z1899" s="237"/>
      <c r="AA1899" s="237"/>
      <c r="AB1899" s="237"/>
    </row>
    <row r="1900">
      <c r="A1900" s="238">
        <v>1901.0</v>
      </c>
      <c r="B1900" s="242"/>
      <c r="C1900" s="240" t="s">
        <v>11560</v>
      </c>
      <c r="D1900" s="236"/>
      <c r="E1900" s="240" t="s">
        <v>3496</v>
      </c>
      <c r="F1900" s="238">
        <v>0.0</v>
      </c>
      <c r="G1900" s="236"/>
      <c r="H1900" s="236"/>
      <c r="I1900" s="237"/>
      <c r="J1900" s="237"/>
      <c r="K1900" s="242"/>
      <c r="L1900" s="237"/>
      <c r="M1900" s="237"/>
      <c r="N1900" s="237"/>
      <c r="O1900" s="237"/>
      <c r="P1900" s="237"/>
      <c r="Q1900" s="237"/>
      <c r="R1900" s="237"/>
      <c r="S1900" s="237"/>
      <c r="T1900" s="237"/>
      <c r="U1900" s="237"/>
      <c r="V1900" s="237"/>
      <c r="W1900" s="237"/>
      <c r="X1900" s="237"/>
      <c r="Y1900" s="237"/>
      <c r="Z1900" s="237"/>
      <c r="AA1900" s="237"/>
      <c r="AB1900" s="237"/>
    </row>
    <row r="1901">
      <c r="A1901" s="238">
        <v>1902.0</v>
      </c>
      <c r="B1901" s="242"/>
      <c r="C1901" s="240" t="s">
        <v>11561</v>
      </c>
      <c r="D1901" s="236"/>
      <c r="E1901" s="240" t="s">
        <v>3496</v>
      </c>
      <c r="F1901" s="238">
        <v>0.0</v>
      </c>
      <c r="G1901" s="236"/>
      <c r="H1901" s="236"/>
      <c r="I1901" s="237"/>
      <c r="J1901" s="237"/>
      <c r="K1901" s="242"/>
      <c r="L1901" s="237"/>
      <c r="M1901" s="237"/>
      <c r="N1901" s="237"/>
      <c r="O1901" s="237"/>
      <c r="P1901" s="237"/>
      <c r="Q1901" s="237"/>
      <c r="R1901" s="237"/>
      <c r="S1901" s="237"/>
      <c r="T1901" s="237"/>
      <c r="U1901" s="237"/>
      <c r="V1901" s="237"/>
      <c r="W1901" s="237"/>
      <c r="X1901" s="237"/>
      <c r="Y1901" s="237"/>
      <c r="Z1901" s="237"/>
      <c r="AA1901" s="237"/>
      <c r="AB1901" s="237"/>
    </row>
    <row r="1902">
      <c r="A1902" s="238">
        <v>1903.0</v>
      </c>
      <c r="B1902" s="242"/>
      <c r="C1902" s="240" t="s">
        <v>11562</v>
      </c>
      <c r="D1902" s="236"/>
      <c r="E1902" s="240" t="s">
        <v>3496</v>
      </c>
      <c r="F1902" s="238">
        <v>0.0</v>
      </c>
      <c r="G1902" s="236"/>
      <c r="H1902" s="236"/>
      <c r="I1902" s="237"/>
      <c r="J1902" s="237"/>
      <c r="K1902" s="242"/>
      <c r="L1902" s="237"/>
      <c r="M1902" s="237"/>
      <c r="N1902" s="237"/>
      <c r="O1902" s="237"/>
      <c r="P1902" s="237"/>
      <c r="Q1902" s="237"/>
      <c r="R1902" s="237"/>
      <c r="S1902" s="237"/>
      <c r="T1902" s="237"/>
      <c r="U1902" s="237"/>
      <c r="V1902" s="237"/>
      <c r="W1902" s="237"/>
      <c r="X1902" s="237"/>
      <c r="Y1902" s="237"/>
      <c r="Z1902" s="237"/>
      <c r="AA1902" s="237"/>
      <c r="AB1902" s="237"/>
    </row>
    <row r="1903">
      <c r="A1903" s="238">
        <v>1904.0</v>
      </c>
      <c r="B1903" s="242"/>
      <c r="C1903" s="240" t="s">
        <v>11563</v>
      </c>
      <c r="D1903" s="236"/>
      <c r="E1903" s="240" t="s">
        <v>3496</v>
      </c>
      <c r="F1903" s="238">
        <v>0.0</v>
      </c>
      <c r="G1903" s="236"/>
      <c r="H1903" s="236"/>
      <c r="I1903" s="237"/>
      <c r="J1903" s="237"/>
      <c r="K1903" s="242"/>
      <c r="L1903" s="237"/>
      <c r="M1903" s="237"/>
      <c r="N1903" s="237"/>
      <c r="O1903" s="237"/>
      <c r="P1903" s="237"/>
      <c r="Q1903" s="237"/>
      <c r="R1903" s="237"/>
      <c r="S1903" s="237"/>
      <c r="T1903" s="237"/>
      <c r="U1903" s="237"/>
      <c r="V1903" s="237"/>
      <c r="W1903" s="237"/>
      <c r="X1903" s="237"/>
      <c r="Y1903" s="237"/>
      <c r="Z1903" s="237"/>
      <c r="AA1903" s="237"/>
      <c r="AB1903" s="237"/>
    </row>
    <row r="1904">
      <c r="A1904" s="238">
        <v>1905.0</v>
      </c>
      <c r="B1904" s="242"/>
      <c r="C1904" s="240" t="s">
        <v>11564</v>
      </c>
      <c r="D1904" s="236"/>
      <c r="E1904" s="240" t="s">
        <v>3496</v>
      </c>
      <c r="F1904" s="238">
        <v>0.0</v>
      </c>
      <c r="G1904" s="236"/>
      <c r="H1904" s="236"/>
      <c r="I1904" s="237"/>
      <c r="J1904" s="237"/>
      <c r="K1904" s="242"/>
      <c r="L1904" s="237"/>
      <c r="M1904" s="237"/>
      <c r="N1904" s="237"/>
      <c r="O1904" s="237"/>
      <c r="P1904" s="237"/>
      <c r="Q1904" s="237"/>
      <c r="R1904" s="237"/>
      <c r="S1904" s="237"/>
      <c r="T1904" s="237"/>
      <c r="U1904" s="237"/>
      <c r="V1904" s="237"/>
      <c r="W1904" s="237"/>
      <c r="X1904" s="237"/>
      <c r="Y1904" s="237"/>
      <c r="Z1904" s="237"/>
      <c r="AA1904" s="237"/>
      <c r="AB1904" s="237"/>
    </row>
    <row r="1905">
      <c r="A1905" s="238">
        <v>1906.0</v>
      </c>
      <c r="B1905" s="242"/>
      <c r="C1905" s="240" t="s">
        <v>11565</v>
      </c>
      <c r="D1905" s="236"/>
      <c r="E1905" s="240" t="s">
        <v>3496</v>
      </c>
      <c r="F1905" s="238">
        <v>0.0</v>
      </c>
      <c r="G1905" s="236"/>
      <c r="H1905" s="236"/>
      <c r="I1905" s="237"/>
      <c r="J1905" s="237"/>
      <c r="K1905" s="242"/>
      <c r="L1905" s="237"/>
      <c r="M1905" s="237"/>
      <c r="N1905" s="237"/>
      <c r="O1905" s="237"/>
      <c r="P1905" s="237"/>
      <c r="Q1905" s="237"/>
      <c r="R1905" s="237"/>
      <c r="S1905" s="237"/>
      <c r="T1905" s="237"/>
      <c r="U1905" s="237"/>
      <c r="V1905" s="237"/>
      <c r="W1905" s="237"/>
      <c r="X1905" s="237"/>
      <c r="Y1905" s="237"/>
      <c r="Z1905" s="237"/>
      <c r="AA1905" s="237"/>
      <c r="AB1905" s="237"/>
    </row>
    <row r="1906">
      <c r="A1906" s="238">
        <v>1907.0</v>
      </c>
      <c r="B1906" s="242"/>
      <c r="C1906" s="240" t="s">
        <v>11566</v>
      </c>
      <c r="D1906" s="236"/>
      <c r="E1906" s="240" t="s">
        <v>3496</v>
      </c>
      <c r="F1906" s="238">
        <v>0.0</v>
      </c>
      <c r="G1906" s="236"/>
      <c r="H1906" s="236"/>
      <c r="I1906" s="237"/>
      <c r="J1906" s="237"/>
      <c r="K1906" s="242"/>
      <c r="L1906" s="237"/>
      <c r="M1906" s="237"/>
      <c r="N1906" s="237"/>
      <c r="O1906" s="237"/>
      <c r="P1906" s="237"/>
      <c r="Q1906" s="237"/>
      <c r="R1906" s="237"/>
      <c r="S1906" s="237"/>
      <c r="T1906" s="237"/>
      <c r="U1906" s="237"/>
      <c r="V1906" s="237"/>
      <c r="W1906" s="237"/>
      <c r="X1906" s="237"/>
      <c r="Y1906" s="237"/>
      <c r="Z1906" s="237"/>
      <c r="AA1906" s="237"/>
      <c r="AB1906" s="237"/>
    </row>
    <row r="1907">
      <c r="A1907" s="238">
        <v>1908.0</v>
      </c>
      <c r="B1907" s="242"/>
      <c r="C1907" s="240" t="s">
        <v>11567</v>
      </c>
      <c r="D1907" s="236"/>
      <c r="E1907" s="240" t="s">
        <v>3496</v>
      </c>
      <c r="F1907" s="238">
        <v>0.0</v>
      </c>
      <c r="G1907" s="236"/>
      <c r="H1907" s="236"/>
      <c r="I1907" s="237"/>
      <c r="J1907" s="237"/>
      <c r="K1907" s="242"/>
      <c r="L1907" s="237"/>
      <c r="M1907" s="237"/>
      <c r="N1907" s="237"/>
      <c r="O1907" s="237"/>
      <c r="P1907" s="237"/>
      <c r="Q1907" s="237"/>
      <c r="R1907" s="237"/>
      <c r="S1907" s="237"/>
      <c r="T1907" s="237"/>
      <c r="U1907" s="237"/>
      <c r="V1907" s="237"/>
      <c r="W1907" s="237"/>
      <c r="X1907" s="237"/>
      <c r="Y1907" s="237"/>
      <c r="Z1907" s="237"/>
      <c r="AA1907" s="237"/>
      <c r="AB1907" s="237"/>
    </row>
    <row r="1908">
      <c r="A1908" s="238">
        <v>1909.0</v>
      </c>
      <c r="B1908" s="242"/>
      <c r="C1908" s="240" t="s">
        <v>11568</v>
      </c>
      <c r="D1908" s="236"/>
      <c r="E1908" s="240" t="s">
        <v>3496</v>
      </c>
      <c r="F1908" s="238">
        <v>0.0</v>
      </c>
      <c r="G1908" s="236"/>
      <c r="H1908" s="236"/>
      <c r="I1908" s="237"/>
      <c r="J1908" s="237"/>
      <c r="K1908" s="242"/>
      <c r="L1908" s="237"/>
      <c r="M1908" s="237"/>
      <c r="N1908" s="237"/>
      <c r="O1908" s="237"/>
      <c r="P1908" s="237"/>
      <c r="Q1908" s="237"/>
      <c r="R1908" s="237"/>
      <c r="S1908" s="237"/>
      <c r="T1908" s="237"/>
      <c r="U1908" s="237"/>
      <c r="V1908" s="237"/>
      <c r="W1908" s="237"/>
      <c r="X1908" s="237"/>
      <c r="Y1908" s="237"/>
      <c r="Z1908" s="237"/>
      <c r="AA1908" s="237"/>
      <c r="AB1908" s="237"/>
    </row>
    <row r="1909">
      <c r="A1909" s="238">
        <v>1910.0</v>
      </c>
      <c r="B1909" s="242"/>
      <c r="C1909" s="240" t="s">
        <v>11569</v>
      </c>
      <c r="D1909" s="236"/>
      <c r="E1909" s="240" t="s">
        <v>3511</v>
      </c>
      <c r="F1909" s="240" t="s">
        <v>11570</v>
      </c>
      <c r="G1909" s="238" t="s">
        <v>11571</v>
      </c>
      <c r="H1909" s="240" t="s">
        <v>11572</v>
      </c>
      <c r="I1909" s="237"/>
      <c r="J1909" s="256" t="s">
        <v>11573</v>
      </c>
      <c r="K1909" s="242"/>
      <c r="L1909" s="237"/>
      <c r="M1909" s="237"/>
      <c r="N1909" s="237"/>
      <c r="O1909" s="237"/>
      <c r="P1909" s="237"/>
      <c r="Q1909" s="237"/>
      <c r="R1909" s="237"/>
      <c r="S1909" s="237"/>
      <c r="T1909" s="237"/>
      <c r="U1909" s="237"/>
      <c r="V1909" s="237"/>
      <c r="W1909" s="237"/>
      <c r="X1909" s="237"/>
      <c r="Y1909" s="237"/>
      <c r="Z1909" s="237"/>
      <c r="AA1909" s="237"/>
      <c r="AB1909" s="237"/>
    </row>
    <row r="1910">
      <c r="A1910" s="238">
        <v>1911.0</v>
      </c>
      <c r="B1910" s="242"/>
      <c r="C1910" s="240" t="s">
        <v>11574</v>
      </c>
      <c r="D1910" s="236"/>
      <c r="E1910" s="240" t="s">
        <v>3511</v>
      </c>
      <c r="F1910" s="240" t="s">
        <v>11575</v>
      </c>
      <c r="G1910" s="238" t="s">
        <v>11576</v>
      </c>
      <c r="H1910" s="241" t="s">
        <v>11577</v>
      </c>
      <c r="I1910" s="237"/>
      <c r="J1910" s="256" t="s">
        <v>11578</v>
      </c>
      <c r="K1910" s="242"/>
      <c r="L1910" s="237"/>
      <c r="M1910" s="237"/>
      <c r="N1910" s="237"/>
      <c r="O1910" s="237"/>
      <c r="P1910" s="237"/>
      <c r="Q1910" s="237"/>
      <c r="R1910" s="237"/>
      <c r="S1910" s="237"/>
      <c r="T1910" s="237"/>
      <c r="U1910" s="237"/>
      <c r="V1910" s="237"/>
      <c r="W1910" s="237"/>
      <c r="X1910" s="237"/>
      <c r="Y1910" s="237"/>
      <c r="Z1910" s="237"/>
      <c r="AA1910" s="237"/>
      <c r="AB1910" s="237"/>
    </row>
    <row r="1911">
      <c r="A1911" s="238">
        <v>1912.0</v>
      </c>
      <c r="B1911" s="242"/>
      <c r="C1911" s="240" t="s">
        <v>11579</v>
      </c>
      <c r="D1911" s="236"/>
      <c r="E1911" s="240" t="s">
        <v>3511</v>
      </c>
      <c r="F1911" s="240" t="s">
        <v>11580</v>
      </c>
      <c r="G1911" s="238" t="s">
        <v>11581</v>
      </c>
      <c r="H1911" s="240" t="s">
        <v>11582</v>
      </c>
      <c r="I1911" s="237"/>
      <c r="J1911" s="256" t="s">
        <v>11578</v>
      </c>
      <c r="K1911" s="242"/>
      <c r="L1911" s="237"/>
      <c r="M1911" s="237"/>
      <c r="N1911" s="237"/>
      <c r="O1911" s="237"/>
      <c r="P1911" s="237"/>
      <c r="Q1911" s="237"/>
      <c r="R1911" s="237"/>
      <c r="S1911" s="237"/>
      <c r="T1911" s="237"/>
      <c r="U1911" s="237"/>
      <c r="V1911" s="237"/>
      <c r="W1911" s="237"/>
      <c r="X1911" s="237"/>
      <c r="Y1911" s="237"/>
      <c r="Z1911" s="237"/>
      <c r="AA1911" s="237"/>
      <c r="AB1911" s="237"/>
    </row>
    <row r="1912">
      <c r="A1912" s="238">
        <v>1913.0</v>
      </c>
      <c r="B1912" s="242"/>
      <c r="C1912" s="240" t="s">
        <v>11583</v>
      </c>
      <c r="D1912" s="236"/>
      <c r="E1912" s="240" t="s">
        <v>3511</v>
      </c>
      <c r="F1912" s="240" t="s">
        <v>11584</v>
      </c>
      <c r="G1912" s="238" t="s">
        <v>11585</v>
      </c>
      <c r="H1912" s="241" t="s">
        <v>11586</v>
      </c>
      <c r="I1912" s="237"/>
      <c r="J1912" s="256" t="s">
        <v>11578</v>
      </c>
      <c r="K1912" s="242"/>
      <c r="L1912" s="237"/>
      <c r="M1912" s="237"/>
      <c r="N1912" s="237"/>
      <c r="O1912" s="237"/>
      <c r="P1912" s="237"/>
      <c r="Q1912" s="237"/>
      <c r="R1912" s="237"/>
      <c r="S1912" s="237"/>
      <c r="T1912" s="237"/>
      <c r="U1912" s="237"/>
      <c r="V1912" s="237"/>
      <c r="W1912" s="237"/>
      <c r="X1912" s="237"/>
      <c r="Y1912" s="237"/>
      <c r="Z1912" s="237"/>
      <c r="AA1912" s="237"/>
      <c r="AB1912" s="237"/>
    </row>
    <row r="1913">
      <c r="A1913" s="238">
        <v>1914.0</v>
      </c>
      <c r="B1913" s="242"/>
      <c r="C1913" s="240" t="s">
        <v>11587</v>
      </c>
      <c r="D1913" s="236"/>
      <c r="E1913" s="240" t="s">
        <v>3511</v>
      </c>
      <c r="F1913" s="240" t="s">
        <v>11588</v>
      </c>
      <c r="G1913" s="238" t="s">
        <v>11589</v>
      </c>
      <c r="H1913" s="241" t="s">
        <v>11590</v>
      </c>
      <c r="I1913" s="237"/>
      <c r="J1913" s="256" t="s">
        <v>11578</v>
      </c>
      <c r="K1913" s="242"/>
      <c r="L1913" s="237"/>
      <c r="M1913" s="237"/>
      <c r="N1913" s="237"/>
      <c r="O1913" s="237"/>
      <c r="P1913" s="237"/>
      <c r="Q1913" s="237"/>
      <c r="R1913" s="237"/>
      <c r="S1913" s="237"/>
      <c r="T1913" s="237"/>
      <c r="U1913" s="237"/>
      <c r="V1913" s="237"/>
      <c r="W1913" s="237"/>
      <c r="X1913" s="237"/>
      <c r="Y1913" s="237"/>
      <c r="Z1913" s="237"/>
      <c r="AA1913" s="237"/>
      <c r="AB1913" s="237"/>
    </row>
    <row r="1914">
      <c r="A1914" s="238">
        <v>1915.0</v>
      </c>
      <c r="B1914" s="242"/>
      <c r="C1914" s="240" t="s">
        <v>11591</v>
      </c>
      <c r="D1914" s="236"/>
      <c r="E1914" s="240" t="s">
        <v>3511</v>
      </c>
      <c r="F1914" s="240" t="s">
        <v>11592</v>
      </c>
      <c r="G1914" s="238" t="s">
        <v>11593</v>
      </c>
      <c r="H1914" s="241" t="s">
        <v>11594</v>
      </c>
      <c r="I1914" s="237"/>
      <c r="J1914" s="256" t="s">
        <v>11578</v>
      </c>
      <c r="K1914" s="242"/>
      <c r="L1914" s="237"/>
      <c r="M1914" s="237"/>
      <c r="N1914" s="237"/>
      <c r="O1914" s="237"/>
      <c r="P1914" s="237"/>
      <c r="Q1914" s="237"/>
      <c r="R1914" s="237"/>
      <c r="S1914" s="237"/>
      <c r="T1914" s="237"/>
      <c r="U1914" s="237"/>
      <c r="V1914" s="237"/>
      <c r="W1914" s="237"/>
      <c r="X1914" s="237"/>
      <c r="Y1914" s="237"/>
      <c r="Z1914" s="237"/>
      <c r="AA1914" s="237"/>
      <c r="AB1914" s="237"/>
    </row>
    <row r="1915">
      <c r="A1915" s="238">
        <v>1916.0</v>
      </c>
      <c r="B1915" s="242"/>
      <c r="C1915" s="240" t="s">
        <v>11595</v>
      </c>
      <c r="D1915" s="236"/>
      <c r="E1915" s="240" t="s">
        <v>3511</v>
      </c>
      <c r="F1915" s="240" t="s">
        <v>11596</v>
      </c>
      <c r="G1915" s="238" t="s">
        <v>11597</v>
      </c>
      <c r="H1915" s="240" t="s">
        <v>11598</v>
      </c>
      <c r="I1915" s="237"/>
      <c r="J1915" s="256" t="s">
        <v>11578</v>
      </c>
      <c r="K1915" s="242"/>
      <c r="L1915" s="237"/>
      <c r="M1915" s="237"/>
      <c r="N1915" s="237"/>
      <c r="O1915" s="237"/>
      <c r="P1915" s="237"/>
      <c r="Q1915" s="237"/>
      <c r="R1915" s="237"/>
      <c r="S1915" s="237"/>
      <c r="T1915" s="237"/>
      <c r="U1915" s="237"/>
      <c r="V1915" s="237"/>
      <c r="W1915" s="237"/>
      <c r="X1915" s="237"/>
      <c r="Y1915" s="237"/>
      <c r="Z1915" s="237"/>
      <c r="AA1915" s="237"/>
      <c r="AB1915" s="237"/>
    </row>
    <row r="1916">
      <c r="A1916" s="238">
        <v>1917.0</v>
      </c>
      <c r="B1916" s="242"/>
      <c r="C1916" s="240" t="s">
        <v>11599</v>
      </c>
      <c r="D1916" s="236"/>
      <c r="E1916" s="240" t="s">
        <v>3511</v>
      </c>
      <c r="F1916" s="240" t="s">
        <v>11600</v>
      </c>
      <c r="G1916" s="238" t="s">
        <v>11601</v>
      </c>
      <c r="H1916" s="240" t="s">
        <v>11602</v>
      </c>
      <c r="I1916" s="237"/>
      <c r="J1916" s="256" t="s">
        <v>11578</v>
      </c>
      <c r="K1916" s="242"/>
      <c r="L1916" s="237"/>
      <c r="M1916" s="237"/>
      <c r="N1916" s="237"/>
      <c r="O1916" s="237"/>
      <c r="P1916" s="237"/>
      <c r="Q1916" s="237"/>
      <c r="R1916" s="237"/>
      <c r="S1916" s="237"/>
      <c r="T1916" s="237"/>
      <c r="U1916" s="237"/>
      <c r="V1916" s="237"/>
      <c r="W1916" s="237"/>
      <c r="X1916" s="237"/>
      <c r="Y1916" s="237"/>
      <c r="Z1916" s="237"/>
      <c r="AA1916" s="237"/>
      <c r="AB1916" s="237"/>
    </row>
    <row r="1917">
      <c r="A1917" s="238">
        <v>1918.0</v>
      </c>
      <c r="B1917" s="242"/>
      <c r="C1917" s="240" t="s">
        <v>11603</v>
      </c>
      <c r="D1917" s="236"/>
      <c r="E1917" s="240" t="s">
        <v>3511</v>
      </c>
      <c r="F1917" s="240" t="s">
        <v>11604</v>
      </c>
      <c r="G1917" s="238" t="s">
        <v>11605</v>
      </c>
      <c r="H1917" s="241" t="s">
        <v>11606</v>
      </c>
      <c r="I1917" s="237"/>
      <c r="J1917" s="256" t="s">
        <v>11578</v>
      </c>
      <c r="K1917" s="242"/>
      <c r="L1917" s="237"/>
      <c r="M1917" s="237"/>
      <c r="N1917" s="237"/>
      <c r="O1917" s="237"/>
      <c r="P1917" s="237"/>
      <c r="Q1917" s="237"/>
      <c r="R1917" s="237"/>
      <c r="S1917" s="237"/>
      <c r="T1917" s="237"/>
      <c r="U1917" s="237"/>
      <c r="V1917" s="237"/>
      <c r="W1917" s="237"/>
      <c r="X1917" s="237"/>
      <c r="Y1917" s="237"/>
      <c r="Z1917" s="237"/>
      <c r="AA1917" s="237"/>
      <c r="AB1917" s="237"/>
    </row>
    <row r="1918">
      <c r="A1918" s="238">
        <v>1919.0</v>
      </c>
      <c r="B1918" s="242"/>
      <c r="C1918" s="240" t="s">
        <v>11607</v>
      </c>
      <c r="D1918" s="236"/>
      <c r="E1918" s="240" t="s">
        <v>3511</v>
      </c>
      <c r="F1918" s="240" t="s">
        <v>11608</v>
      </c>
      <c r="G1918" s="238" t="s">
        <v>11609</v>
      </c>
      <c r="H1918" s="241" t="s">
        <v>11610</v>
      </c>
      <c r="I1918" s="237"/>
      <c r="J1918" s="256" t="s">
        <v>11578</v>
      </c>
      <c r="K1918" s="242"/>
      <c r="L1918" s="237"/>
      <c r="M1918" s="237"/>
      <c r="N1918" s="237"/>
      <c r="O1918" s="237"/>
      <c r="P1918" s="237"/>
      <c r="Q1918" s="237"/>
      <c r="R1918" s="237"/>
      <c r="S1918" s="237"/>
      <c r="T1918" s="237"/>
      <c r="U1918" s="237"/>
      <c r="V1918" s="237"/>
      <c r="W1918" s="237"/>
      <c r="X1918" s="237"/>
      <c r="Y1918" s="237"/>
      <c r="Z1918" s="237"/>
      <c r="AA1918" s="237"/>
      <c r="AB1918" s="237"/>
    </row>
    <row r="1919">
      <c r="A1919" s="238">
        <v>1920.0</v>
      </c>
      <c r="B1919" s="242"/>
      <c r="C1919" s="240" t="s">
        <v>11611</v>
      </c>
      <c r="D1919" s="236"/>
      <c r="E1919" s="240" t="s">
        <v>3511</v>
      </c>
      <c r="F1919" s="240" t="s">
        <v>11612</v>
      </c>
      <c r="G1919" s="238" t="s">
        <v>11613</v>
      </c>
      <c r="H1919" s="240" t="s">
        <v>11614</v>
      </c>
      <c r="I1919" s="237"/>
      <c r="J1919" s="256" t="s">
        <v>11578</v>
      </c>
      <c r="K1919" s="242"/>
      <c r="L1919" s="237"/>
      <c r="M1919" s="237"/>
      <c r="N1919" s="237"/>
      <c r="O1919" s="237"/>
      <c r="P1919" s="237"/>
      <c r="Q1919" s="237"/>
      <c r="R1919" s="237"/>
      <c r="S1919" s="237"/>
      <c r="T1919" s="237"/>
      <c r="U1919" s="237"/>
      <c r="V1919" s="237"/>
      <c r="W1919" s="237"/>
      <c r="X1919" s="237"/>
      <c r="Y1919" s="237"/>
      <c r="Z1919" s="237"/>
      <c r="AA1919" s="237"/>
      <c r="AB1919" s="237"/>
    </row>
    <row r="1920">
      <c r="A1920" s="238">
        <v>1921.0</v>
      </c>
      <c r="B1920" s="242"/>
      <c r="C1920" s="240" t="s">
        <v>11615</v>
      </c>
      <c r="D1920" s="236"/>
      <c r="E1920" s="240" t="s">
        <v>3511</v>
      </c>
      <c r="F1920" s="240" t="s">
        <v>11616</v>
      </c>
      <c r="G1920" s="238" t="s">
        <v>11617</v>
      </c>
      <c r="H1920" s="240" t="s">
        <v>11618</v>
      </c>
      <c r="I1920" s="237"/>
      <c r="J1920" s="256" t="s">
        <v>11578</v>
      </c>
      <c r="K1920" s="242"/>
      <c r="L1920" s="237"/>
      <c r="M1920" s="237"/>
      <c r="N1920" s="237"/>
      <c r="O1920" s="237"/>
      <c r="P1920" s="237"/>
      <c r="Q1920" s="237"/>
      <c r="R1920" s="237"/>
      <c r="S1920" s="237"/>
      <c r="T1920" s="237"/>
      <c r="U1920" s="237"/>
      <c r="V1920" s="237"/>
      <c r="W1920" s="237"/>
      <c r="X1920" s="237"/>
      <c r="Y1920" s="237"/>
      <c r="Z1920" s="237"/>
      <c r="AA1920" s="237"/>
      <c r="AB1920" s="237"/>
    </row>
    <row r="1921">
      <c r="A1921" s="238">
        <v>1922.0</v>
      </c>
      <c r="B1921" s="242"/>
      <c r="C1921" s="240" t="s">
        <v>11619</v>
      </c>
      <c r="D1921" s="236"/>
      <c r="E1921" s="240" t="s">
        <v>3511</v>
      </c>
      <c r="F1921" s="240" t="s">
        <v>11620</v>
      </c>
      <c r="G1921" s="238" t="s">
        <v>11621</v>
      </c>
      <c r="H1921" s="240" t="s">
        <v>11622</v>
      </c>
      <c r="I1921" s="237"/>
      <c r="J1921" s="256" t="s">
        <v>11578</v>
      </c>
      <c r="K1921" s="242"/>
      <c r="L1921" s="237"/>
      <c r="M1921" s="237"/>
      <c r="N1921" s="237"/>
      <c r="O1921" s="237"/>
      <c r="P1921" s="237"/>
      <c r="Q1921" s="237"/>
      <c r="R1921" s="237"/>
      <c r="S1921" s="237"/>
      <c r="T1921" s="237"/>
      <c r="U1921" s="237"/>
      <c r="V1921" s="237"/>
      <c r="W1921" s="237"/>
      <c r="X1921" s="237"/>
      <c r="Y1921" s="237"/>
      <c r="Z1921" s="237"/>
      <c r="AA1921" s="237"/>
      <c r="AB1921" s="237"/>
    </row>
    <row r="1922">
      <c r="A1922" s="238">
        <v>1923.0</v>
      </c>
      <c r="B1922" s="242"/>
      <c r="C1922" s="240" t="s">
        <v>11623</v>
      </c>
      <c r="D1922" s="236"/>
      <c r="E1922" s="240" t="s">
        <v>3511</v>
      </c>
      <c r="F1922" s="240" t="s">
        <v>11624</v>
      </c>
      <c r="G1922" s="238" t="s">
        <v>11625</v>
      </c>
      <c r="H1922" s="240" t="s">
        <v>11626</v>
      </c>
      <c r="I1922" s="237"/>
      <c r="J1922" s="256" t="s">
        <v>11578</v>
      </c>
      <c r="K1922" s="242"/>
      <c r="L1922" s="237"/>
      <c r="M1922" s="237"/>
      <c r="N1922" s="237"/>
      <c r="O1922" s="237"/>
      <c r="P1922" s="237"/>
      <c r="Q1922" s="237"/>
      <c r="R1922" s="237"/>
      <c r="S1922" s="237"/>
      <c r="T1922" s="237"/>
      <c r="U1922" s="237"/>
      <c r="V1922" s="237"/>
      <c r="W1922" s="237"/>
      <c r="X1922" s="237"/>
      <c r="Y1922" s="237"/>
      <c r="Z1922" s="237"/>
      <c r="AA1922" s="237"/>
      <c r="AB1922" s="237"/>
    </row>
    <row r="1923">
      <c r="A1923" s="238">
        <v>1924.0</v>
      </c>
      <c r="B1923" s="242"/>
      <c r="C1923" s="240" t="s">
        <v>11627</v>
      </c>
      <c r="D1923" s="236"/>
      <c r="E1923" s="240" t="s">
        <v>3511</v>
      </c>
      <c r="F1923" s="240" t="s">
        <v>11628</v>
      </c>
      <c r="G1923" s="238" t="s">
        <v>11629</v>
      </c>
      <c r="H1923" s="241" t="s">
        <v>11606</v>
      </c>
      <c r="I1923" s="237"/>
      <c r="J1923" s="256" t="s">
        <v>11578</v>
      </c>
      <c r="K1923" s="242"/>
      <c r="L1923" s="237"/>
      <c r="M1923" s="237"/>
      <c r="N1923" s="237"/>
      <c r="O1923" s="237"/>
      <c r="P1923" s="237"/>
      <c r="Q1923" s="237"/>
      <c r="R1923" s="237"/>
      <c r="S1923" s="237"/>
      <c r="T1923" s="237"/>
      <c r="U1923" s="237"/>
      <c r="V1923" s="237"/>
      <c r="W1923" s="237"/>
      <c r="X1923" s="237"/>
      <c r="Y1923" s="237"/>
      <c r="Z1923" s="237"/>
      <c r="AA1923" s="237"/>
      <c r="AB1923" s="237"/>
    </row>
    <row r="1924">
      <c r="A1924" s="238">
        <v>1925.0</v>
      </c>
      <c r="B1924" s="242"/>
      <c r="C1924" s="240" t="s">
        <v>11630</v>
      </c>
      <c r="D1924" s="236"/>
      <c r="E1924" s="240" t="s">
        <v>3511</v>
      </c>
      <c r="F1924" s="240" t="s">
        <v>11631</v>
      </c>
      <c r="G1924" s="238" t="s">
        <v>11632</v>
      </c>
      <c r="H1924" s="241" t="s">
        <v>11633</v>
      </c>
      <c r="I1924" s="237"/>
      <c r="J1924" s="256" t="s">
        <v>11578</v>
      </c>
      <c r="K1924" s="242"/>
      <c r="L1924" s="237"/>
      <c r="M1924" s="237"/>
      <c r="N1924" s="237"/>
      <c r="O1924" s="237"/>
      <c r="P1924" s="237"/>
      <c r="Q1924" s="237"/>
      <c r="R1924" s="237"/>
      <c r="S1924" s="237"/>
      <c r="T1924" s="237"/>
      <c r="U1924" s="237"/>
      <c r="V1924" s="237"/>
      <c r="W1924" s="237"/>
      <c r="X1924" s="237"/>
      <c r="Y1924" s="237"/>
      <c r="Z1924" s="237"/>
      <c r="AA1924" s="237"/>
      <c r="AB1924" s="237"/>
    </row>
    <row r="1925">
      <c r="A1925" s="238">
        <v>1926.0</v>
      </c>
      <c r="B1925" s="242"/>
      <c r="C1925" s="240" t="s">
        <v>11634</v>
      </c>
      <c r="D1925" s="236"/>
      <c r="E1925" s="240" t="s">
        <v>3511</v>
      </c>
      <c r="F1925" s="240" t="s">
        <v>11635</v>
      </c>
      <c r="G1925" s="238" t="s">
        <v>11636</v>
      </c>
      <c r="H1925" s="240" t="s">
        <v>11637</v>
      </c>
      <c r="I1925" s="237"/>
      <c r="J1925" s="256" t="s">
        <v>3986</v>
      </c>
      <c r="K1925" s="242"/>
      <c r="L1925" s="237"/>
      <c r="M1925" s="237"/>
      <c r="N1925" s="237"/>
      <c r="O1925" s="237"/>
      <c r="P1925" s="237"/>
      <c r="Q1925" s="237"/>
      <c r="R1925" s="237"/>
      <c r="S1925" s="237"/>
      <c r="T1925" s="237"/>
      <c r="U1925" s="237"/>
      <c r="V1925" s="237"/>
      <c r="W1925" s="237"/>
      <c r="X1925" s="237"/>
      <c r="Y1925" s="237"/>
      <c r="Z1925" s="237"/>
      <c r="AA1925" s="237"/>
      <c r="AB1925" s="237"/>
    </row>
    <row r="1926">
      <c r="A1926" s="238">
        <v>1927.0</v>
      </c>
      <c r="B1926" s="242"/>
      <c r="C1926" s="240" t="s">
        <v>11638</v>
      </c>
      <c r="D1926" s="236"/>
      <c r="E1926" s="240" t="s">
        <v>3511</v>
      </c>
      <c r="F1926" s="240" t="s">
        <v>11639</v>
      </c>
      <c r="G1926" s="238" t="s">
        <v>11640</v>
      </c>
      <c r="H1926" s="240" t="s">
        <v>11641</v>
      </c>
      <c r="I1926" s="237"/>
      <c r="J1926" s="256" t="s">
        <v>3986</v>
      </c>
      <c r="K1926" s="242"/>
      <c r="L1926" s="237"/>
      <c r="M1926" s="237"/>
      <c r="N1926" s="237"/>
      <c r="O1926" s="237"/>
      <c r="P1926" s="237"/>
      <c r="Q1926" s="237"/>
      <c r="R1926" s="237"/>
      <c r="S1926" s="237"/>
      <c r="T1926" s="237"/>
      <c r="U1926" s="237"/>
      <c r="V1926" s="237"/>
      <c r="W1926" s="237"/>
      <c r="X1926" s="237"/>
      <c r="Y1926" s="237"/>
      <c r="Z1926" s="237"/>
      <c r="AA1926" s="237"/>
      <c r="AB1926" s="237"/>
    </row>
    <row r="1927">
      <c r="A1927" s="238">
        <v>1928.0</v>
      </c>
      <c r="B1927" s="242"/>
      <c r="C1927" s="240" t="s">
        <v>11642</v>
      </c>
      <c r="D1927" s="236"/>
      <c r="E1927" s="240" t="s">
        <v>3511</v>
      </c>
      <c r="F1927" s="240" t="s">
        <v>11643</v>
      </c>
      <c r="G1927" s="238" t="s">
        <v>11644</v>
      </c>
      <c r="H1927" s="241" t="s">
        <v>11645</v>
      </c>
      <c r="I1927" s="237"/>
      <c r="J1927" s="256" t="s">
        <v>3986</v>
      </c>
      <c r="K1927" s="242"/>
      <c r="L1927" s="237"/>
      <c r="M1927" s="237"/>
      <c r="N1927" s="237"/>
      <c r="O1927" s="237"/>
      <c r="P1927" s="237"/>
      <c r="Q1927" s="237"/>
      <c r="R1927" s="237"/>
      <c r="S1927" s="237"/>
      <c r="T1927" s="237"/>
      <c r="U1927" s="237"/>
      <c r="V1927" s="237"/>
      <c r="W1927" s="237"/>
      <c r="X1927" s="237"/>
      <c r="Y1927" s="237"/>
      <c r="Z1927" s="237"/>
      <c r="AA1927" s="237"/>
      <c r="AB1927" s="237"/>
    </row>
    <row r="1928">
      <c r="A1928" s="238">
        <v>1929.0</v>
      </c>
      <c r="B1928" s="242"/>
      <c r="C1928" s="240" t="s">
        <v>11646</v>
      </c>
      <c r="D1928" s="236"/>
      <c r="E1928" s="240" t="s">
        <v>3511</v>
      </c>
      <c r="F1928" s="241" t="s">
        <v>11647</v>
      </c>
      <c r="G1928" s="238" t="s">
        <v>11648</v>
      </c>
      <c r="H1928" s="240" t="s">
        <v>11649</v>
      </c>
      <c r="I1928" s="237"/>
      <c r="J1928" s="256" t="s">
        <v>3986</v>
      </c>
      <c r="K1928" s="242"/>
      <c r="L1928" s="237"/>
      <c r="M1928" s="237"/>
      <c r="N1928" s="237"/>
      <c r="O1928" s="237"/>
      <c r="P1928" s="237"/>
      <c r="Q1928" s="237"/>
      <c r="R1928" s="237"/>
      <c r="S1928" s="237"/>
      <c r="T1928" s="237"/>
      <c r="U1928" s="237"/>
      <c r="V1928" s="237"/>
      <c r="W1928" s="237"/>
      <c r="X1928" s="237"/>
      <c r="Y1928" s="237"/>
      <c r="Z1928" s="237"/>
      <c r="AA1928" s="237"/>
      <c r="AB1928" s="237"/>
    </row>
    <row r="1929">
      <c r="A1929" s="238">
        <v>1930.0</v>
      </c>
      <c r="B1929" s="242"/>
      <c r="C1929" s="240" t="s">
        <v>11650</v>
      </c>
      <c r="D1929" s="236"/>
      <c r="E1929" s="240" t="s">
        <v>3511</v>
      </c>
      <c r="F1929" s="240" t="s">
        <v>11651</v>
      </c>
      <c r="G1929" s="238" t="s">
        <v>11652</v>
      </c>
      <c r="H1929" s="240" t="s">
        <v>11653</v>
      </c>
      <c r="I1929" s="237"/>
      <c r="J1929" s="256" t="s">
        <v>3986</v>
      </c>
      <c r="K1929" s="242"/>
      <c r="L1929" s="237"/>
      <c r="M1929" s="237"/>
      <c r="N1929" s="237"/>
      <c r="O1929" s="237"/>
      <c r="P1929" s="237"/>
      <c r="Q1929" s="237"/>
      <c r="R1929" s="237"/>
      <c r="S1929" s="237"/>
      <c r="T1929" s="237"/>
      <c r="U1929" s="237"/>
      <c r="V1929" s="237"/>
      <c r="W1929" s="237"/>
      <c r="X1929" s="237"/>
      <c r="Y1929" s="237"/>
      <c r="Z1929" s="237"/>
      <c r="AA1929" s="237"/>
      <c r="AB1929" s="237"/>
    </row>
    <row r="1930">
      <c r="A1930" s="238">
        <v>1931.0</v>
      </c>
      <c r="B1930" s="242"/>
      <c r="C1930" s="240" t="s">
        <v>11654</v>
      </c>
      <c r="D1930" s="236"/>
      <c r="E1930" s="240" t="s">
        <v>1366</v>
      </c>
      <c r="F1930" s="241" t="s">
        <v>11655</v>
      </c>
      <c r="G1930" s="238" t="s">
        <v>11656</v>
      </c>
      <c r="H1930" s="236"/>
      <c r="I1930" s="237"/>
      <c r="J1930" s="256" t="s">
        <v>3986</v>
      </c>
      <c r="K1930" s="242"/>
      <c r="L1930" s="237"/>
      <c r="M1930" s="237"/>
      <c r="N1930" s="237"/>
      <c r="O1930" s="237"/>
      <c r="P1930" s="237"/>
      <c r="Q1930" s="237"/>
      <c r="R1930" s="237"/>
      <c r="S1930" s="237"/>
      <c r="T1930" s="237"/>
      <c r="U1930" s="237"/>
      <c r="V1930" s="237"/>
      <c r="W1930" s="237"/>
      <c r="X1930" s="237"/>
      <c r="Y1930" s="237"/>
      <c r="Z1930" s="237"/>
      <c r="AA1930" s="237"/>
      <c r="AB1930" s="237"/>
    </row>
    <row r="1931">
      <c r="A1931" s="238">
        <v>1932.0</v>
      </c>
      <c r="B1931" s="242"/>
      <c r="C1931" s="240" t="s">
        <v>11657</v>
      </c>
      <c r="D1931" s="236"/>
      <c r="E1931" s="240" t="s">
        <v>1366</v>
      </c>
      <c r="F1931" s="241" t="s">
        <v>11658</v>
      </c>
      <c r="G1931" s="238" t="s">
        <v>11659</v>
      </c>
      <c r="H1931" s="236"/>
      <c r="I1931" s="237"/>
      <c r="J1931" s="256" t="s">
        <v>3986</v>
      </c>
      <c r="K1931" s="242"/>
      <c r="L1931" s="237"/>
      <c r="M1931" s="237"/>
      <c r="N1931" s="237"/>
      <c r="O1931" s="237"/>
      <c r="P1931" s="237"/>
      <c r="Q1931" s="237"/>
      <c r="R1931" s="237"/>
      <c r="S1931" s="237"/>
      <c r="T1931" s="237"/>
      <c r="U1931" s="237"/>
      <c r="V1931" s="237"/>
      <c r="W1931" s="237"/>
      <c r="X1931" s="237"/>
      <c r="Y1931" s="237"/>
      <c r="Z1931" s="237"/>
      <c r="AA1931" s="237"/>
      <c r="AB1931" s="237"/>
    </row>
    <row r="1932">
      <c r="A1932" s="238">
        <v>1933.0</v>
      </c>
      <c r="B1932" s="242"/>
      <c r="C1932" s="240" t="s">
        <v>11660</v>
      </c>
      <c r="D1932" s="236"/>
      <c r="E1932" s="240" t="s">
        <v>1366</v>
      </c>
      <c r="F1932" s="240" t="s">
        <v>11661</v>
      </c>
      <c r="G1932" s="238" t="s">
        <v>11662</v>
      </c>
      <c r="H1932" s="236"/>
      <c r="I1932" s="237"/>
      <c r="J1932" s="256" t="s">
        <v>10191</v>
      </c>
      <c r="K1932" s="242"/>
      <c r="L1932" s="237"/>
      <c r="M1932" s="237"/>
      <c r="N1932" s="237"/>
      <c r="O1932" s="237"/>
      <c r="P1932" s="237"/>
      <c r="Q1932" s="237"/>
      <c r="R1932" s="237"/>
      <c r="S1932" s="237"/>
      <c r="T1932" s="237"/>
      <c r="U1932" s="237"/>
      <c r="V1932" s="237"/>
      <c r="W1932" s="237"/>
      <c r="X1932" s="237"/>
      <c r="Y1932" s="237"/>
      <c r="Z1932" s="237"/>
      <c r="AA1932" s="237"/>
      <c r="AB1932" s="237"/>
    </row>
    <row r="1933">
      <c r="A1933" s="238">
        <v>1934.0</v>
      </c>
      <c r="B1933" s="242"/>
      <c r="C1933" s="240" t="s">
        <v>11663</v>
      </c>
      <c r="D1933" s="236"/>
      <c r="E1933" s="240" t="s">
        <v>1366</v>
      </c>
      <c r="F1933" s="241" t="s">
        <v>11664</v>
      </c>
      <c r="G1933" s="236"/>
      <c r="H1933" s="236"/>
      <c r="I1933" s="237"/>
      <c r="J1933" s="237"/>
      <c r="K1933" s="242"/>
      <c r="L1933" s="237"/>
      <c r="M1933" s="237"/>
      <c r="N1933" s="237"/>
      <c r="O1933" s="237"/>
      <c r="P1933" s="237"/>
      <c r="Q1933" s="237"/>
      <c r="R1933" s="237"/>
      <c r="S1933" s="237"/>
      <c r="T1933" s="237"/>
      <c r="U1933" s="237"/>
      <c r="V1933" s="237"/>
      <c r="W1933" s="237"/>
      <c r="X1933" s="237"/>
      <c r="Y1933" s="237"/>
      <c r="Z1933" s="237"/>
      <c r="AA1933" s="237"/>
      <c r="AB1933" s="237"/>
    </row>
    <row r="1934">
      <c r="A1934" s="238">
        <v>1935.0</v>
      </c>
      <c r="B1934" s="242"/>
      <c r="C1934" s="241" t="s">
        <v>11665</v>
      </c>
      <c r="D1934" s="236"/>
      <c r="E1934" s="240" t="s">
        <v>1366</v>
      </c>
      <c r="F1934" s="240" t="s">
        <v>11666</v>
      </c>
      <c r="G1934" s="236"/>
      <c r="H1934" s="236"/>
      <c r="I1934" s="237"/>
      <c r="J1934" s="237"/>
      <c r="K1934" s="242"/>
      <c r="L1934" s="237"/>
      <c r="M1934" s="237"/>
      <c r="N1934" s="237"/>
      <c r="O1934" s="237"/>
      <c r="P1934" s="237"/>
      <c r="Q1934" s="237"/>
      <c r="R1934" s="237"/>
      <c r="S1934" s="237"/>
      <c r="T1934" s="237"/>
      <c r="U1934" s="237"/>
      <c r="V1934" s="237"/>
      <c r="W1934" s="237"/>
      <c r="X1934" s="237"/>
      <c r="Y1934" s="237"/>
      <c r="Z1934" s="237"/>
      <c r="AA1934" s="237"/>
      <c r="AB1934" s="237"/>
    </row>
    <row r="1935">
      <c r="A1935" s="243">
        <v>1936.0</v>
      </c>
      <c r="B1935" s="242"/>
      <c r="C1935" s="240" t="s">
        <v>11642</v>
      </c>
      <c r="D1935" s="236"/>
      <c r="E1935" s="241" t="s">
        <v>1420</v>
      </c>
      <c r="F1935" s="240" t="s">
        <v>11667</v>
      </c>
      <c r="G1935" s="240" t="s">
        <v>7591</v>
      </c>
      <c r="H1935" s="241" t="s">
        <v>11668</v>
      </c>
      <c r="I1935" s="237"/>
      <c r="J1935" s="256" t="s">
        <v>3986</v>
      </c>
      <c r="K1935" s="242"/>
      <c r="L1935" s="254" t="s">
        <v>11669</v>
      </c>
      <c r="M1935" s="237"/>
      <c r="N1935" s="237"/>
      <c r="O1935" s="237"/>
      <c r="P1935" s="237"/>
      <c r="Q1935" s="237"/>
      <c r="R1935" s="237"/>
      <c r="S1935" s="237"/>
      <c r="T1935" s="237"/>
      <c r="U1935" s="237"/>
      <c r="V1935" s="237"/>
      <c r="W1935" s="237"/>
      <c r="X1935" s="237"/>
      <c r="Y1935" s="237"/>
      <c r="Z1935" s="237"/>
      <c r="AA1935" s="237"/>
      <c r="AB1935" s="237"/>
    </row>
    <row r="1936">
      <c r="A1936" s="237"/>
      <c r="B1936" s="242"/>
      <c r="C1936" s="240" t="s">
        <v>11650</v>
      </c>
      <c r="D1936" s="251" t="s">
        <v>11670</v>
      </c>
      <c r="E1936" s="241" t="s">
        <v>11671</v>
      </c>
      <c r="F1936" s="241" t="s">
        <v>11672</v>
      </c>
      <c r="G1936" s="240" t="s">
        <v>11673</v>
      </c>
      <c r="H1936" s="237" t="s">
        <v>11674</v>
      </c>
      <c r="I1936" s="237"/>
      <c r="J1936" s="256" t="s">
        <v>3986</v>
      </c>
      <c r="K1936" s="242"/>
      <c r="L1936" s="237" t="s">
        <v>11675</v>
      </c>
      <c r="M1936" s="237"/>
      <c r="N1936" s="237"/>
      <c r="O1936" s="237"/>
      <c r="P1936" s="237"/>
      <c r="Q1936" s="237"/>
      <c r="R1936" s="237"/>
      <c r="S1936" s="237"/>
      <c r="T1936" s="237"/>
      <c r="U1936" s="237"/>
      <c r="V1936" s="237"/>
      <c r="W1936" s="237"/>
      <c r="X1936" s="237"/>
      <c r="Y1936" s="237"/>
      <c r="Z1936" s="237"/>
      <c r="AA1936" s="237"/>
      <c r="AB1936" s="237"/>
    </row>
    <row r="1937">
      <c r="A1937" s="236"/>
      <c r="B1937" s="242"/>
      <c r="C1937" s="251" t="s">
        <v>11676</v>
      </c>
      <c r="D1937" s="236"/>
      <c r="E1937" s="241" t="s">
        <v>11671</v>
      </c>
      <c r="F1937" s="241" t="s">
        <v>11677</v>
      </c>
      <c r="G1937" s="243" t="s">
        <v>11678</v>
      </c>
      <c r="H1937" s="251" t="s">
        <v>11679</v>
      </c>
      <c r="I1937" s="237"/>
      <c r="J1937" s="256" t="s">
        <v>10224</v>
      </c>
      <c r="K1937" s="242"/>
      <c r="L1937" s="237"/>
      <c r="M1937" s="237"/>
      <c r="N1937" s="237"/>
      <c r="O1937" s="237"/>
      <c r="P1937" s="237"/>
      <c r="Q1937" s="237"/>
      <c r="R1937" s="237"/>
      <c r="S1937" s="237"/>
      <c r="T1937" s="237"/>
      <c r="U1937" s="237"/>
      <c r="V1937" s="237"/>
      <c r="W1937" s="237"/>
      <c r="X1937" s="237"/>
      <c r="Y1937" s="237"/>
      <c r="Z1937" s="237"/>
      <c r="AA1937" s="237"/>
      <c r="AB1937" s="237"/>
    </row>
    <row r="1938">
      <c r="A1938" s="236"/>
      <c r="B1938" s="242"/>
      <c r="C1938" s="240" t="s">
        <v>11680</v>
      </c>
      <c r="D1938" s="236"/>
      <c r="E1938" s="240" t="s">
        <v>3511</v>
      </c>
      <c r="F1938" s="240" t="s">
        <v>11681</v>
      </c>
      <c r="G1938" s="238" t="s">
        <v>11682</v>
      </c>
      <c r="H1938" s="240" t="s">
        <v>11683</v>
      </c>
      <c r="I1938" s="237"/>
      <c r="J1938" s="256" t="s">
        <v>11684</v>
      </c>
      <c r="K1938" s="242"/>
      <c r="L1938" s="237"/>
      <c r="M1938" s="237"/>
      <c r="N1938" s="237"/>
      <c r="O1938" s="237"/>
      <c r="P1938" s="237"/>
      <c r="Q1938" s="237"/>
      <c r="R1938" s="237"/>
      <c r="S1938" s="237"/>
      <c r="T1938" s="237"/>
      <c r="U1938" s="237"/>
      <c r="V1938" s="237"/>
      <c r="W1938" s="237"/>
      <c r="X1938" s="237"/>
      <c r="Y1938" s="237"/>
      <c r="Z1938" s="237"/>
      <c r="AA1938" s="237"/>
      <c r="AB1938" s="237"/>
    </row>
    <row r="1939">
      <c r="A1939" s="236"/>
      <c r="B1939" s="242"/>
      <c r="C1939" s="240" t="s">
        <v>11685</v>
      </c>
      <c r="D1939" s="236"/>
      <c r="E1939" s="240" t="s">
        <v>3511</v>
      </c>
      <c r="F1939" s="240" t="s">
        <v>11686</v>
      </c>
      <c r="G1939" s="238" t="s">
        <v>11687</v>
      </c>
      <c r="H1939" s="241" t="s">
        <v>11688</v>
      </c>
      <c r="I1939" s="237"/>
      <c r="J1939" s="256" t="s">
        <v>11689</v>
      </c>
      <c r="K1939" s="242"/>
      <c r="L1939" s="237"/>
      <c r="M1939" s="237"/>
      <c r="N1939" s="237"/>
      <c r="O1939" s="237"/>
      <c r="P1939" s="237"/>
      <c r="Q1939" s="237"/>
      <c r="R1939" s="237"/>
      <c r="S1939" s="237"/>
      <c r="T1939" s="237"/>
      <c r="U1939" s="237"/>
      <c r="V1939" s="237"/>
      <c r="W1939" s="237"/>
      <c r="X1939" s="237"/>
      <c r="Y1939" s="237"/>
      <c r="Z1939" s="237"/>
      <c r="AA1939" s="237"/>
      <c r="AB1939" s="237"/>
    </row>
    <row r="1940">
      <c r="A1940" s="236"/>
      <c r="B1940" s="242"/>
      <c r="C1940" s="240" t="s">
        <v>11690</v>
      </c>
      <c r="D1940" s="236"/>
      <c r="E1940" s="240" t="s">
        <v>11691</v>
      </c>
      <c r="F1940" s="240" t="s">
        <v>0</v>
      </c>
      <c r="G1940" s="240" t="s">
        <v>10473</v>
      </c>
      <c r="H1940" s="236"/>
      <c r="I1940" s="237"/>
      <c r="J1940" s="237"/>
      <c r="K1940" s="242"/>
      <c r="L1940" s="237"/>
      <c r="M1940" s="237"/>
      <c r="N1940" s="237"/>
      <c r="O1940" s="237"/>
      <c r="P1940" s="237"/>
      <c r="Q1940" s="237"/>
      <c r="R1940" s="237"/>
      <c r="S1940" s="237"/>
      <c r="T1940" s="237"/>
      <c r="U1940" s="237"/>
      <c r="V1940" s="237"/>
      <c r="W1940" s="237"/>
      <c r="X1940" s="237"/>
      <c r="Y1940" s="237"/>
      <c r="Z1940" s="237"/>
      <c r="AA1940" s="237"/>
      <c r="AB1940" s="237"/>
    </row>
    <row r="1941">
      <c r="A1941" s="236"/>
      <c r="B1941" s="242"/>
      <c r="C1941" s="261"/>
      <c r="D1941" s="236"/>
      <c r="E1941" s="236"/>
      <c r="F1941" s="262"/>
      <c r="G1941" s="263" t="s">
        <v>10473</v>
      </c>
      <c r="H1941" s="236"/>
      <c r="I1941" s="237"/>
      <c r="J1941" s="256" t="s">
        <v>10191</v>
      </c>
      <c r="K1941" s="242"/>
      <c r="L1941" s="237"/>
      <c r="M1941" s="237"/>
      <c r="N1941" s="237"/>
      <c r="O1941" s="237"/>
      <c r="P1941" s="237"/>
      <c r="Q1941" s="237"/>
      <c r="R1941" s="237"/>
      <c r="S1941" s="237"/>
      <c r="T1941" s="237"/>
      <c r="U1941" s="237"/>
      <c r="V1941" s="237"/>
      <c r="W1941" s="237"/>
      <c r="X1941" s="237"/>
      <c r="Y1941" s="237"/>
      <c r="Z1941" s="237"/>
      <c r="AA1941" s="237"/>
      <c r="AB1941" s="237"/>
    </row>
    <row r="1942">
      <c r="A1942" s="236"/>
      <c r="B1942" s="242"/>
      <c r="C1942" s="88" t="s">
        <v>11692</v>
      </c>
      <c r="D1942" s="88" t="s">
        <v>11693</v>
      </c>
      <c r="E1942" s="88" t="s">
        <v>1420</v>
      </c>
      <c r="F1942" s="88" t="s">
        <v>1707</v>
      </c>
      <c r="G1942" s="88" t="s">
        <v>11694</v>
      </c>
      <c r="H1942" s="88" t="s">
        <v>11695</v>
      </c>
      <c r="I1942" s="236"/>
      <c r="J1942" s="88" t="s">
        <v>11696</v>
      </c>
      <c r="K1942" s="242"/>
      <c r="L1942" s="88" t="s">
        <v>11697</v>
      </c>
      <c r="M1942" s="237"/>
      <c r="N1942" s="237"/>
      <c r="O1942" s="237"/>
      <c r="P1942" s="237"/>
      <c r="Q1942" s="237"/>
      <c r="R1942" s="237"/>
      <c r="S1942" s="237"/>
      <c r="T1942" s="237"/>
      <c r="U1942" s="237"/>
      <c r="V1942" s="237"/>
      <c r="W1942" s="237"/>
      <c r="X1942" s="237"/>
      <c r="Y1942" s="237"/>
      <c r="Z1942" s="237"/>
      <c r="AA1942" s="237"/>
      <c r="AB1942" s="237"/>
    </row>
    <row r="1943">
      <c r="A1943" s="236"/>
      <c r="B1943" s="242"/>
      <c r="C1943" s="88" t="s">
        <v>11698</v>
      </c>
      <c r="D1943" s="88" t="s">
        <v>11699</v>
      </c>
      <c r="E1943" s="88" t="s">
        <v>1420</v>
      </c>
      <c r="F1943" s="88" t="s">
        <v>1708</v>
      </c>
      <c r="G1943" s="88" t="s">
        <v>11700</v>
      </c>
      <c r="H1943" s="88" t="s">
        <v>11701</v>
      </c>
      <c r="I1943" s="236"/>
      <c r="J1943" s="88" t="s">
        <v>11696</v>
      </c>
      <c r="K1943" s="242"/>
      <c r="L1943" s="88" t="s">
        <v>11697</v>
      </c>
      <c r="M1943" s="237"/>
      <c r="N1943" s="237"/>
      <c r="O1943" s="237"/>
      <c r="P1943" s="237"/>
      <c r="Q1943" s="237"/>
      <c r="R1943" s="237"/>
      <c r="S1943" s="237"/>
      <c r="T1943" s="237"/>
      <c r="U1943" s="237"/>
      <c r="V1943" s="237"/>
      <c r="W1943" s="237"/>
      <c r="X1943" s="237"/>
      <c r="Y1943" s="237"/>
      <c r="Z1943" s="237"/>
      <c r="AA1943" s="237"/>
      <c r="AB1943" s="237"/>
    </row>
    <row r="1944">
      <c r="A1944" s="236"/>
      <c r="B1944" s="242"/>
      <c r="C1944" s="88" t="s">
        <v>11702</v>
      </c>
      <c r="D1944" s="88" t="s">
        <v>11703</v>
      </c>
      <c r="E1944" s="88" t="s">
        <v>1420</v>
      </c>
      <c r="F1944" s="88" t="s">
        <v>1709</v>
      </c>
      <c r="G1944" s="88" t="s">
        <v>11704</v>
      </c>
      <c r="H1944" s="88" t="s">
        <v>11705</v>
      </c>
      <c r="I1944" s="236"/>
      <c r="J1944" s="88" t="s">
        <v>11696</v>
      </c>
      <c r="K1944" s="242"/>
      <c r="L1944" s="88" t="s">
        <v>11697</v>
      </c>
      <c r="M1944" s="237"/>
      <c r="N1944" s="237"/>
      <c r="O1944" s="237"/>
      <c r="P1944" s="237"/>
      <c r="Q1944" s="237"/>
      <c r="R1944" s="237"/>
      <c r="S1944" s="237"/>
      <c r="T1944" s="237"/>
      <c r="U1944" s="237"/>
      <c r="V1944" s="237"/>
      <c r="W1944" s="237"/>
      <c r="X1944" s="237"/>
      <c r="Y1944" s="237"/>
      <c r="Z1944" s="237"/>
      <c r="AA1944" s="237"/>
      <c r="AB1944" s="237"/>
    </row>
    <row r="1945">
      <c r="A1945" s="236"/>
      <c r="B1945" s="242"/>
      <c r="C1945" s="88" t="s">
        <v>11706</v>
      </c>
      <c r="D1945" s="88" t="s">
        <v>11707</v>
      </c>
      <c r="E1945" s="88" t="s">
        <v>1420</v>
      </c>
      <c r="F1945" s="88" t="s">
        <v>1710</v>
      </c>
      <c r="G1945" s="88" t="s">
        <v>11708</v>
      </c>
      <c r="H1945" s="88" t="s">
        <v>11709</v>
      </c>
      <c r="I1945" s="236"/>
      <c r="J1945" s="88" t="s">
        <v>11696</v>
      </c>
      <c r="K1945" s="242"/>
      <c r="L1945" s="88" t="s">
        <v>11697</v>
      </c>
      <c r="M1945" s="237"/>
      <c r="N1945" s="237"/>
      <c r="O1945" s="237"/>
      <c r="P1945" s="237"/>
      <c r="Q1945" s="237"/>
      <c r="R1945" s="237"/>
      <c r="S1945" s="237"/>
      <c r="T1945" s="237"/>
      <c r="U1945" s="237"/>
      <c r="V1945" s="237"/>
      <c r="W1945" s="237"/>
      <c r="X1945" s="237"/>
      <c r="Y1945" s="237"/>
      <c r="Z1945" s="237"/>
      <c r="AA1945" s="237"/>
      <c r="AB1945" s="237"/>
    </row>
    <row r="1946">
      <c r="A1946" s="236"/>
      <c r="B1946" s="242"/>
      <c r="C1946" s="88" t="s">
        <v>11710</v>
      </c>
      <c r="D1946" s="88" t="s">
        <v>11711</v>
      </c>
      <c r="E1946" s="88" t="s">
        <v>1420</v>
      </c>
      <c r="F1946" s="88" t="s">
        <v>1711</v>
      </c>
      <c r="G1946" s="88" t="s">
        <v>11712</v>
      </c>
      <c r="H1946" s="88" t="s">
        <v>11713</v>
      </c>
      <c r="I1946" s="236"/>
      <c r="J1946" s="88" t="s">
        <v>11696</v>
      </c>
      <c r="K1946" s="242"/>
      <c r="L1946" s="88" t="s">
        <v>11697</v>
      </c>
      <c r="M1946" s="237"/>
      <c r="N1946" s="237"/>
      <c r="O1946" s="237"/>
      <c r="P1946" s="237"/>
      <c r="Q1946" s="237"/>
      <c r="R1946" s="237"/>
      <c r="S1946" s="237"/>
      <c r="T1946" s="237"/>
      <c r="U1946" s="237"/>
      <c r="V1946" s="237"/>
      <c r="W1946" s="237"/>
      <c r="X1946" s="237"/>
      <c r="Y1946" s="237"/>
      <c r="Z1946" s="237"/>
      <c r="AA1946" s="237"/>
      <c r="AB1946" s="237"/>
    </row>
    <row r="1947">
      <c r="A1947" s="236"/>
      <c r="B1947" s="242"/>
      <c r="C1947" s="88" t="s">
        <v>11714</v>
      </c>
      <c r="D1947" s="88" t="s">
        <v>11715</v>
      </c>
      <c r="E1947" s="88" t="s">
        <v>1420</v>
      </c>
      <c r="F1947" s="88" t="s">
        <v>1712</v>
      </c>
      <c r="G1947" s="88" t="s">
        <v>11716</v>
      </c>
      <c r="H1947" s="88" t="s">
        <v>11717</v>
      </c>
      <c r="I1947" s="236"/>
      <c r="J1947" s="88" t="s">
        <v>11696</v>
      </c>
      <c r="K1947" s="242"/>
      <c r="L1947" s="88" t="s">
        <v>11697</v>
      </c>
      <c r="M1947" s="237"/>
      <c r="N1947" s="237"/>
      <c r="O1947" s="237"/>
      <c r="P1947" s="237"/>
      <c r="Q1947" s="237"/>
      <c r="R1947" s="237"/>
      <c r="S1947" s="237"/>
      <c r="T1947" s="237"/>
      <c r="U1947" s="237"/>
      <c r="V1947" s="237"/>
      <c r="W1947" s="237"/>
      <c r="X1947" s="237"/>
      <c r="Y1947" s="237"/>
      <c r="Z1947" s="237"/>
      <c r="AA1947" s="237"/>
      <c r="AB1947" s="237"/>
    </row>
    <row r="1948">
      <c r="A1948" s="236"/>
      <c r="B1948" s="242"/>
      <c r="C1948" s="88" t="s">
        <v>11718</v>
      </c>
      <c r="D1948" s="88" t="s">
        <v>11719</v>
      </c>
      <c r="E1948" s="88" t="s">
        <v>1420</v>
      </c>
      <c r="F1948" s="88" t="s">
        <v>1713</v>
      </c>
      <c r="G1948" s="88" t="s">
        <v>11720</v>
      </c>
      <c r="H1948" s="88" t="s">
        <v>11721</v>
      </c>
      <c r="I1948" s="236"/>
      <c r="J1948" s="88" t="s">
        <v>11696</v>
      </c>
      <c r="K1948" s="242"/>
      <c r="L1948" s="88" t="s">
        <v>11697</v>
      </c>
      <c r="M1948" s="237"/>
      <c r="N1948" s="237"/>
      <c r="O1948" s="237"/>
      <c r="P1948" s="237"/>
      <c r="Q1948" s="237"/>
      <c r="R1948" s="237"/>
      <c r="S1948" s="237"/>
      <c r="T1948" s="237"/>
      <c r="U1948" s="237"/>
      <c r="V1948" s="237"/>
      <c r="W1948" s="237"/>
      <c r="X1948" s="237"/>
      <c r="Y1948" s="237"/>
      <c r="Z1948" s="237"/>
      <c r="AA1948" s="237"/>
      <c r="AB1948" s="237"/>
    </row>
    <row r="1949">
      <c r="A1949" s="236"/>
      <c r="B1949" s="242"/>
      <c r="C1949" s="88" t="s">
        <v>11722</v>
      </c>
      <c r="D1949" s="88" t="s">
        <v>11723</v>
      </c>
      <c r="E1949" s="88" t="s">
        <v>1420</v>
      </c>
      <c r="F1949" s="88" t="s">
        <v>1714</v>
      </c>
      <c r="G1949" s="88" t="s">
        <v>11724</v>
      </c>
      <c r="H1949" s="88" t="s">
        <v>11725</v>
      </c>
      <c r="I1949" s="236"/>
      <c r="J1949" s="88" t="s">
        <v>11696</v>
      </c>
      <c r="K1949" s="242"/>
      <c r="L1949" s="88" t="s">
        <v>11697</v>
      </c>
      <c r="M1949" s="237"/>
      <c r="N1949" s="237"/>
      <c r="O1949" s="237"/>
      <c r="P1949" s="237"/>
      <c r="Q1949" s="237"/>
      <c r="R1949" s="237"/>
      <c r="S1949" s="237"/>
      <c r="T1949" s="237"/>
      <c r="U1949" s="237"/>
      <c r="V1949" s="237"/>
      <c r="W1949" s="237"/>
      <c r="X1949" s="237"/>
      <c r="Y1949" s="237"/>
      <c r="Z1949" s="237"/>
      <c r="AA1949" s="237"/>
      <c r="AB1949" s="237"/>
    </row>
    <row r="1950">
      <c r="A1950" s="236"/>
      <c r="B1950" s="242"/>
      <c r="C1950" s="88" t="s">
        <v>11726</v>
      </c>
      <c r="D1950" s="88" t="s">
        <v>11727</v>
      </c>
      <c r="E1950" s="88" t="s">
        <v>1420</v>
      </c>
      <c r="F1950" s="88" t="s">
        <v>11728</v>
      </c>
      <c r="G1950" s="88" t="s">
        <v>11729</v>
      </c>
      <c r="H1950" s="88" t="s">
        <v>11730</v>
      </c>
      <c r="I1950" s="236"/>
      <c r="J1950" s="88" t="s">
        <v>11696</v>
      </c>
      <c r="K1950" s="242"/>
      <c r="L1950" s="88" t="s">
        <v>11697</v>
      </c>
      <c r="M1950" s="237"/>
      <c r="N1950" s="237"/>
      <c r="O1950" s="237"/>
      <c r="P1950" s="237"/>
      <c r="Q1950" s="237"/>
      <c r="R1950" s="237"/>
      <c r="S1950" s="237"/>
      <c r="T1950" s="237"/>
      <c r="U1950" s="237"/>
      <c r="V1950" s="237"/>
      <c r="W1950" s="237"/>
      <c r="X1950" s="237"/>
      <c r="Y1950" s="237"/>
      <c r="Z1950" s="237"/>
      <c r="AA1950" s="237"/>
      <c r="AB1950" s="237"/>
    </row>
    <row r="1951">
      <c r="A1951" s="236"/>
      <c r="B1951" s="242"/>
      <c r="C1951" s="88" t="s">
        <v>11731</v>
      </c>
      <c r="D1951" s="88" t="s">
        <v>11732</v>
      </c>
      <c r="E1951" s="88" t="s">
        <v>1420</v>
      </c>
      <c r="F1951" s="88" t="s">
        <v>11733</v>
      </c>
      <c r="G1951" s="88" t="s">
        <v>11734</v>
      </c>
      <c r="H1951" s="88" t="s">
        <v>11735</v>
      </c>
      <c r="I1951" s="236"/>
      <c r="J1951" s="88" t="s">
        <v>11696</v>
      </c>
      <c r="K1951" s="242"/>
      <c r="L1951" s="88" t="s">
        <v>11697</v>
      </c>
      <c r="M1951" s="237"/>
      <c r="N1951" s="237"/>
      <c r="O1951" s="237"/>
      <c r="P1951" s="237"/>
      <c r="Q1951" s="237"/>
      <c r="R1951" s="237"/>
      <c r="S1951" s="237"/>
      <c r="T1951" s="237"/>
      <c r="U1951" s="237"/>
      <c r="V1951" s="237"/>
      <c r="W1951" s="237"/>
      <c r="X1951" s="237"/>
      <c r="Y1951" s="237"/>
      <c r="Z1951" s="237"/>
      <c r="AA1951" s="237"/>
      <c r="AB1951" s="237"/>
    </row>
    <row r="1952">
      <c r="A1952" s="237"/>
      <c r="B1952" s="239" t="s">
        <v>11736</v>
      </c>
      <c r="C1952" s="88" t="s">
        <v>11737</v>
      </c>
      <c r="D1952" s="236"/>
      <c r="E1952" s="88" t="s">
        <v>11738</v>
      </c>
      <c r="F1952" s="88" t="s">
        <v>11739</v>
      </c>
      <c r="G1952" s="88" t="s">
        <v>11740</v>
      </c>
      <c r="H1952" s="88" t="s">
        <v>11741</v>
      </c>
      <c r="I1952" s="236"/>
      <c r="J1952" s="88" t="s">
        <v>8507</v>
      </c>
      <c r="K1952" s="239" t="s">
        <v>11736</v>
      </c>
      <c r="L1952" s="88">
        <v>47306.0</v>
      </c>
      <c r="M1952" s="237"/>
      <c r="N1952" s="237"/>
      <c r="O1952" s="237"/>
      <c r="P1952" s="237"/>
      <c r="Q1952" s="237"/>
      <c r="R1952" s="237"/>
      <c r="S1952" s="237"/>
      <c r="T1952" s="237"/>
      <c r="U1952" s="237"/>
      <c r="V1952" s="237"/>
      <c r="W1952" s="237"/>
      <c r="X1952" s="237"/>
      <c r="Y1952" s="237"/>
      <c r="Z1952" s="237"/>
      <c r="AA1952" s="237"/>
      <c r="AB1952" s="237"/>
    </row>
    <row r="1953">
      <c r="A1953" s="237"/>
      <c r="B1953" s="239" t="s">
        <v>11742</v>
      </c>
      <c r="C1953" s="88" t="s">
        <v>11743</v>
      </c>
      <c r="D1953" s="236"/>
      <c r="E1953" s="88" t="s">
        <v>11738</v>
      </c>
      <c r="F1953" s="88" t="s">
        <v>11744</v>
      </c>
      <c r="G1953" s="264" t="s">
        <v>11745</v>
      </c>
      <c r="H1953" s="88" t="s">
        <v>11746</v>
      </c>
      <c r="I1953" s="237"/>
      <c r="J1953" s="256" t="s">
        <v>8507</v>
      </c>
      <c r="K1953" s="239" t="s">
        <v>11742</v>
      </c>
      <c r="L1953" s="265">
        <v>47306.0</v>
      </c>
      <c r="M1953" s="237"/>
      <c r="N1953" s="237"/>
      <c r="O1953" s="237"/>
      <c r="P1953" s="237"/>
      <c r="Q1953" s="237"/>
      <c r="R1953" s="237"/>
      <c r="S1953" s="237"/>
      <c r="T1953" s="237"/>
      <c r="U1953" s="237"/>
      <c r="V1953" s="237"/>
      <c r="W1953" s="237"/>
      <c r="X1953" s="237"/>
      <c r="Y1953" s="237"/>
      <c r="Z1953" s="237"/>
      <c r="AA1953" s="237"/>
      <c r="AB1953" s="237"/>
    </row>
    <row r="1954">
      <c r="A1954" s="237"/>
      <c r="B1954" s="242"/>
      <c r="C1954" s="88" t="s">
        <v>11747</v>
      </c>
      <c r="D1954" s="236"/>
      <c r="E1954" s="88" t="s">
        <v>1420</v>
      </c>
      <c r="F1954" s="88" t="s">
        <v>11748</v>
      </c>
      <c r="G1954" s="264" t="s">
        <v>11749</v>
      </c>
      <c r="H1954" s="254" t="s">
        <v>11750</v>
      </c>
      <c r="I1954" s="236"/>
      <c r="J1954" s="88" t="s">
        <v>11751</v>
      </c>
      <c r="K1954" s="242"/>
      <c r="L1954" s="254" t="s">
        <v>11752</v>
      </c>
      <c r="M1954" s="237"/>
      <c r="N1954" s="237"/>
      <c r="O1954" s="237"/>
      <c r="P1954" s="237"/>
      <c r="Q1954" s="237"/>
      <c r="R1954" s="237"/>
      <c r="S1954" s="237"/>
      <c r="T1954" s="237"/>
      <c r="U1954" s="237"/>
      <c r="V1954" s="237"/>
      <c r="W1954" s="237"/>
      <c r="X1954" s="237"/>
      <c r="Y1954" s="237"/>
      <c r="Z1954" s="237"/>
      <c r="AA1954" s="237"/>
      <c r="AB1954" s="237"/>
    </row>
    <row r="1955">
      <c r="A1955" s="237"/>
      <c r="B1955" s="242"/>
      <c r="C1955" s="88" t="s">
        <v>11753</v>
      </c>
      <c r="D1955" s="236"/>
      <c r="E1955" s="88" t="s">
        <v>1420</v>
      </c>
      <c r="F1955" s="88" t="s">
        <v>11754</v>
      </c>
      <c r="G1955" s="264" t="s">
        <v>11755</v>
      </c>
      <c r="H1955" s="241" t="s">
        <v>11756</v>
      </c>
      <c r="I1955" s="236"/>
      <c r="J1955" s="88" t="s">
        <v>11751</v>
      </c>
      <c r="K1955" s="242"/>
      <c r="L1955" s="254" t="s">
        <v>11752</v>
      </c>
      <c r="M1955" s="237"/>
      <c r="N1955" s="237"/>
      <c r="O1955" s="237"/>
      <c r="P1955" s="237"/>
      <c r="Q1955" s="237"/>
      <c r="R1955" s="237"/>
      <c r="S1955" s="237"/>
      <c r="T1955" s="237"/>
      <c r="U1955" s="237"/>
      <c r="V1955" s="237"/>
      <c r="W1955" s="237"/>
      <c r="X1955" s="237"/>
      <c r="Y1955" s="237"/>
      <c r="Z1955" s="237"/>
      <c r="AA1955" s="237"/>
      <c r="AB1955" s="237"/>
    </row>
    <row r="1956">
      <c r="A1956" s="237"/>
      <c r="B1956" s="242"/>
      <c r="C1956" s="88" t="s">
        <v>11757</v>
      </c>
      <c r="D1956" s="236"/>
      <c r="E1956" s="88" t="s">
        <v>1420</v>
      </c>
      <c r="F1956" s="88" t="s">
        <v>11758</v>
      </c>
      <c r="G1956" s="238" t="s">
        <v>11759</v>
      </c>
      <c r="H1956" s="241" t="s">
        <v>11760</v>
      </c>
      <c r="I1956" s="236"/>
      <c r="J1956" s="88" t="s">
        <v>11751</v>
      </c>
      <c r="K1956" s="242"/>
      <c r="L1956" s="254" t="s">
        <v>11752</v>
      </c>
      <c r="M1956" s="237"/>
      <c r="N1956" s="237"/>
      <c r="O1956" s="237"/>
      <c r="P1956" s="237"/>
      <c r="Q1956" s="237"/>
      <c r="R1956" s="237"/>
      <c r="S1956" s="237"/>
      <c r="T1956" s="237"/>
      <c r="U1956" s="237"/>
      <c r="V1956" s="237"/>
      <c r="W1956" s="237"/>
      <c r="X1956" s="237"/>
      <c r="Y1956" s="237"/>
      <c r="Z1956" s="237"/>
      <c r="AA1956" s="237"/>
      <c r="AB1956" s="237"/>
    </row>
    <row r="1957">
      <c r="A1957" s="237"/>
      <c r="B1957" s="242"/>
      <c r="C1957" s="88" t="s">
        <v>11761</v>
      </c>
      <c r="D1957" s="236"/>
      <c r="E1957" s="88" t="s">
        <v>1420</v>
      </c>
      <c r="F1957" s="88" t="s">
        <v>11762</v>
      </c>
      <c r="G1957" s="238" t="s">
        <v>11763</v>
      </c>
      <c r="H1957" s="241" t="s">
        <v>11764</v>
      </c>
      <c r="I1957" s="236"/>
      <c r="J1957" s="88" t="s">
        <v>11751</v>
      </c>
      <c r="K1957" s="242"/>
      <c r="L1957" s="254" t="s">
        <v>11752</v>
      </c>
      <c r="M1957" s="237"/>
      <c r="N1957" s="237"/>
      <c r="O1957" s="237"/>
      <c r="P1957" s="237"/>
      <c r="Q1957" s="237"/>
      <c r="R1957" s="237"/>
      <c r="S1957" s="237"/>
      <c r="T1957" s="237"/>
      <c r="U1957" s="237"/>
      <c r="V1957" s="237"/>
      <c r="W1957" s="237"/>
      <c r="X1957" s="237"/>
      <c r="Y1957" s="237"/>
      <c r="Z1957" s="237"/>
      <c r="AA1957" s="237"/>
      <c r="AB1957" s="237"/>
    </row>
    <row r="1958">
      <c r="A1958" s="237"/>
      <c r="B1958" s="242"/>
      <c r="C1958" s="88" t="s">
        <v>11765</v>
      </c>
      <c r="D1958" s="236"/>
      <c r="E1958" s="88" t="s">
        <v>1420</v>
      </c>
      <c r="F1958" s="88" t="s">
        <v>11766</v>
      </c>
      <c r="G1958" s="238" t="s">
        <v>11767</v>
      </c>
      <c r="H1958" s="241" t="s">
        <v>11768</v>
      </c>
      <c r="I1958" s="236"/>
      <c r="J1958" s="88" t="s">
        <v>11751</v>
      </c>
      <c r="K1958" s="242"/>
      <c r="L1958" s="254" t="s">
        <v>11752</v>
      </c>
      <c r="M1958" s="237"/>
      <c r="N1958" s="237"/>
      <c r="O1958" s="237"/>
      <c r="P1958" s="237"/>
      <c r="Q1958" s="237"/>
      <c r="R1958" s="237"/>
      <c r="S1958" s="237"/>
      <c r="T1958" s="237"/>
      <c r="U1958" s="237"/>
      <c r="V1958" s="237"/>
      <c r="W1958" s="237"/>
      <c r="X1958" s="237"/>
      <c r="Y1958" s="237"/>
      <c r="Z1958" s="237"/>
      <c r="AA1958" s="237"/>
      <c r="AB1958" s="237"/>
    </row>
    <row r="1959">
      <c r="A1959" s="237"/>
      <c r="B1959" s="242"/>
      <c r="C1959" s="88" t="s">
        <v>11769</v>
      </c>
      <c r="D1959" s="236"/>
      <c r="E1959" s="88" t="s">
        <v>1420</v>
      </c>
      <c r="F1959" s="88" t="s">
        <v>11770</v>
      </c>
      <c r="G1959" s="238" t="s">
        <v>11771</v>
      </c>
      <c r="H1959" s="241" t="s">
        <v>11772</v>
      </c>
      <c r="I1959" s="236"/>
      <c r="J1959" s="88" t="s">
        <v>11751</v>
      </c>
      <c r="K1959" s="242"/>
      <c r="L1959" s="254" t="s">
        <v>11752</v>
      </c>
      <c r="M1959" s="237"/>
      <c r="N1959" s="237"/>
      <c r="O1959" s="237"/>
      <c r="P1959" s="237"/>
      <c r="Q1959" s="237"/>
      <c r="R1959" s="237"/>
      <c r="S1959" s="237"/>
      <c r="T1959" s="237"/>
      <c r="U1959" s="237"/>
      <c r="V1959" s="237"/>
      <c r="W1959" s="237"/>
      <c r="X1959" s="237"/>
      <c r="Y1959" s="237"/>
      <c r="Z1959" s="237"/>
      <c r="AA1959" s="237"/>
      <c r="AB1959" s="237"/>
    </row>
    <row r="1960">
      <c r="A1960" s="237"/>
      <c r="B1960" s="242"/>
      <c r="C1960" s="88" t="s">
        <v>11773</v>
      </c>
      <c r="D1960" s="236"/>
      <c r="E1960" s="88" t="s">
        <v>1420</v>
      </c>
      <c r="F1960" s="88" t="s">
        <v>11774</v>
      </c>
      <c r="G1960" s="238" t="s">
        <v>11775</v>
      </c>
      <c r="H1960" s="241" t="s">
        <v>11776</v>
      </c>
      <c r="I1960" s="236"/>
      <c r="J1960" s="88" t="s">
        <v>11751</v>
      </c>
      <c r="K1960" s="242"/>
      <c r="L1960" s="254" t="s">
        <v>11752</v>
      </c>
      <c r="M1960" s="237"/>
      <c r="N1960" s="237"/>
      <c r="O1960" s="237"/>
      <c r="P1960" s="237"/>
      <c r="Q1960" s="237"/>
      <c r="R1960" s="237"/>
      <c r="S1960" s="237"/>
      <c r="T1960" s="237"/>
      <c r="U1960" s="237"/>
      <c r="V1960" s="237"/>
      <c r="W1960" s="237"/>
      <c r="X1960" s="237"/>
      <c r="Y1960" s="237"/>
      <c r="Z1960" s="237"/>
      <c r="AA1960" s="237"/>
      <c r="AB1960" s="237"/>
    </row>
    <row r="1961">
      <c r="A1961" s="237"/>
      <c r="B1961" s="242"/>
      <c r="C1961" s="88" t="s">
        <v>11777</v>
      </c>
      <c r="D1961" s="236"/>
      <c r="E1961" s="88" t="s">
        <v>1420</v>
      </c>
      <c r="F1961" s="88" t="s">
        <v>11774</v>
      </c>
      <c r="G1961" s="264" t="s">
        <v>11775</v>
      </c>
      <c r="H1961" s="88" t="s">
        <v>11778</v>
      </c>
      <c r="I1961" s="236"/>
      <c r="J1961" s="88" t="s">
        <v>11751</v>
      </c>
      <c r="K1961" s="242"/>
      <c r="L1961" s="254" t="s">
        <v>11752</v>
      </c>
      <c r="M1961" s="237"/>
      <c r="N1961" s="237"/>
      <c r="O1961" s="237"/>
      <c r="P1961" s="237"/>
      <c r="Q1961" s="237"/>
      <c r="R1961" s="237"/>
      <c r="S1961" s="237"/>
      <c r="T1961" s="237"/>
      <c r="U1961" s="237"/>
      <c r="V1961" s="237"/>
      <c r="W1961" s="237"/>
      <c r="X1961" s="237"/>
      <c r="Y1961" s="237"/>
      <c r="Z1961" s="237"/>
      <c r="AA1961" s="237"/>
      <c r="AB1961" s="237"/>
    </row>
    <row r="1962">
      <c r="A1962" s="237"/>
      <c r="B1962" s="242"/>
      <c r="C1962" s="88" t="s">
        <v>11779</v>
      </c>
      <c r="D1962" s="236"/>
      <c r="E1962" s="88" t="s">
        <v>1420</v>
      </c>
      <c r="F1962" s="88" t="s">
        <v>11780</v>
      </c>
      <c r="G1962" s="264" t="s">
        <v>11771</v>
      </c>
      <c r="H1962" s="88" t="s">
        <v>11781</v>
      </c>
      <c r="I1962" s="236"/>
      <c r="J1962" s="88" t="s">
        <v>11751</v>
      </c>
      <c r="K1962" s="242"/>
      <c r="L1962" s="254" t="s">
        <v>11752</v>
      </c>
      <c r="M1962" s="237"/>
      <c r="N1962" s="237"/>
      <c r="O1962" s="237"/>
      <c r="P1962" s="237"/>
      <c r="Q1962" s="237"/>
      <c r="R1962" s="237"/>
      <c r="S1962" s="237"/>
      <c r="T1962" s="237"/>
      <c r="U1962" s="237"/>
      <c r="V1962" s="237"/>
      <c r="W1962" s="237"/>
      <c r="X1962" s="237"/>
      <c r="Y1962" s="237"/>
      <c r="Z1962" s="237"/>
      <c r="AA1962" s="237"/>
      <c r="AB1962" s="237"/>
    </row>
    <row r="1963">
      <c r="A1963" s="237"/>
      <c r="B1963" s="242"/>
      <c r="C1963" s="88" t="s">
        <v>11782</v>
      </c>
      <c r="D1963" s="236"/>
      <c r="E1963" s="88" t="s">
        <v>1420</v>
      </c>
      <c r="F1963" s="88" t="s">
        <v>11783</v>
      </c>
      <c r="G1963" s="264" t="s">
        <v>11749</v>
      </c>
      <c r="H1963" s="88" t="s">
        <v>11784</v>
      </c>
      <c r="I1963" s="236"/>
      <c r="J1963" s="88" t="s">
        <v>11751</v>
      </c>
      <c r="K1963" s="242"/>
      <c r="L1963" s="254" t="s">
        <v>11752</v>
      </c>
      <c r="M1963" s="237"/>
      <c r="N1963" s="237"/>
      <c r="O1963" s="237"/>
      <c r="P1963" s="237"/>
      <c r="Q1963" s="237"/>
      <c r="R1963" s="237"/>
      <c r="S1963" s="237"/>
      <c r="T1963" s="237"/>
      <c r="U1963" s="237"/>
      <c r="V1963" s="237"/>
      <c r="W1963" s="237"/>
      <c r="X1963" s="237"/>
      <c r="Y1963" s="237"/>
      <c r="Z1963" s="237"/>
      <c r="AA1963" s="237"/>
      <c r="AB1963" s="237"/>
    </row>
    <row r="1964">
      <c r="A1964" s="237"/>
      <c r="B1964" s="242"/>
      <c r="C1964" s="88" t="s">
        <v>11785</v>
      </c>
      <c r="D1964" s="236"/>
      <c r="E1964" s="88" t="s">
        <v>1420</v>
      </c>
      <c r="F1964" s="88" t="s">
        <v>11786</v>
      </c>
      <c r="G1964" s="264" t="s">
        <v>11787</v>
      </c>
      <c r="H1964" s="88" t="s">
        <v>11788</v>
      </c>
      <c r="I1964" s="236"/>
      <c r="J1964" s="88" t="s">
        <v>11751</v>
      </c>
      <c r="K1964" s="242"/>
      <c r="L1964" s="254" t="s">
        <v>11752</v>
      </c>
      <c r="M1964" s="237"/>
      <c r="N1964" s="237"/>
      <c r="O1964" s="237"/>
      <c r="P1964" s="237"/>
      <c r="Q1964" s="237"/>
      <c r="R1964" s="237"/>
      <c r="S1964" s="237"/>
      <c r="T1964" s="237"/>
      <c r="U1964" s="237"/>
      <c r="V1964" s="237"/>
      <c r="W1964" s="237"/>
      <c r="X1964" s="237"/>
      <c r="Y1964" s="237"/>
      <c r="Z1964" s="237"/>
      <c r="AA1964" s="237"/>
      <c r="AB1964" s="237"/>
    </row>
    <row r="1965">
      <c r="A1965" s="237"/>
      <c r="B1965" s="242"/>
      <c r="C1965" s="88" t="s">
        <v>11789</v>
      </c>
      <c r="D1965" s="236"/>
      <c r="E1965" s="240" t="s">
        <v>11738</v>
      </c>
      <c r="F1965" s="88" t="s">
        <v>1399</v>
      </c>
      <c r="G1965" s="264" t="s">
        <v>11790</v>
      </c>
      <c r="H1965" s="237" t="s">
        <v>11791</v>
      </c>
      <c r="I1965" s="236"/>
      <c r="J1965" s="266" t="s">
        <v>5804</v>
      </c>
      <c r="K1965" s="242"/>
      <c r="L1965" s="237"/>
      <c r="M1965" s="237"/>
      <c r="N1965" s="237"/>
      <c r="O1965" s="237"/>
      <c r="P1965" s="237"/>
      <c r="Q1965" s="237"/>
      <c r="R1965" s="237"/>
      <c r="S1965" s="237"/>
      <c r="T1965" s="237"/>
      <c r="U1965" s="237"/>
      <c r="V1965" s="237"/>
      <c r="W1965" s="237"/>
      <c r="X1965" s="237"/>
      <c r="Y1965" s="237"/>
      <c r="Z1965" s="237"/>
      <c r="AA1965" s="237"/>
      <c r="AB1965" s="237"/>
    </row>
    <row r="1966">
      <c r="A1966" s="237"/>
      <c r="B1966" s="242"/>
      <c r="C1966" s="88" t="s">
        <v>11792</v>
      </c>
      <c r="D1966" s="236"/>
      <c r="E1966" s="88" t="s">
        <v>1427</v>
      </c>
      <c r="F1966" s="88" t="s">
        <v>11793</v>
      </c>
      <c r="G1966" s="264" t="s">
        <v>11794</v>
      </c>
      <c r="H1966" s="236"/>
      <c r="I1966" s="236"/>
      <c r="J1966" s="266" t="s">
        <v>11795</v>
      </c>
      <c r="K1966" s="242"/>
      <c r="L1966" s="237"/>
      <c r="M1966" s="237"/>
      <c r="N1966" s="237"/>
      <c r="O1966" s="237"/>
      <c r="P1966" s="237"/>
      <c r="Q1966" s="237"/>
      <c r="R1966" s="237"/>
      <c r="S1966" s="237"/>
      <c r="T1966" s="237"/>
      <c r="U1966" s="237"/>
      <c r="V1966" s="237"/>
      <c r="W1966" s="237"/>
      <c r="X1966" s="237"/>
      <c r="Y1966" s="237"/>
      <c r="Z1966" s="237"/>
      <c r="AA1966" s="237"/>
      <c r="AB1966" s="237"/>
    </row>
    <row r="1967">
      <c r="A1967" s="237"/>
      <c r="B1967" s="242"/>
      <c r="C1967" s="88" t="s">
        <v>11796</v>
      </c>
      <c r="D1967" s="236"/>
      <c r="E1967" s="88" t="s">
        <v>1420</v>
      </c>
      <c r="F1967" s="88" t="s">
        <v>11797</v>
      </c>
      <c r="G1967" s="264" t="s">
        <v>11798</v>
      </c>
      <c r="H1967" s="264" t="s">
        <v>11799</v>
      </c>
      <c r="I1967" s="236"/>
      <c r="J1967" s="266" t="s">
        <v>11800</v>
      </c>
      <c r="K1967" s="242"/>
      <c r="L1967" s="254" t="s">
        <v>11801</v>
      </c>
      <c r="M1967" s="237"/>
      <c r="N1967" s="237"/>
      <c r="O1967" s="237"/>
      <c r="P1967" s="237"/>
      <c r="Q1967" s="237"/>
      <c r="R1967" s="237"/>
      <c r="S1967" s="237"/>
      <c r="T1967" s="237"/>
      <c r="U1967" s="237"/>
      <c r="V1967" s="237"/>
      <c r="W1967" s="237"/>
      <c r="X1967" s="237"/>
      <c r="Y1967" s="237"/>
      <c r="Z1967" s="237"/>
      <c r="AA1967" s="237"/>
      <c r="AB1967" s="237"/>
    </row>
    <row r="1968">
      <c r="A1968" s="237"/>
      <c r="B1968" s="242"/>
      <c r="C1968" s="88" t="s">
        <v>11802</v>
      </c>
      <c r="D1968" s="236"/>
      <c r="E1968" s="88" t="s">
        <v>1420</v>
      </c>
      <c r="F1968" s="88" t="s">
        <v>11803</v>
      </c>
      <c r="G1968" s="264" t="s">
        <v>11804</v>
      </c>
      <c r="H1968" s="264" t="s">
        <v>11805</v>
      </c>
      <c r="I1968" s="236"/>
      <c r="J1968" s="266" t="s">
        <v>11800</v>
      </c>
      <c r="K1968" s="242"/>
      <c r="L1968" s="254" t="s">
        <v>11801</v>
      </c>
      <c r="M1968" s="237"/>
      <c r="N1968" s="237"/>
      <c r="O1968" s="237"/>
      <c r="P1968" s="237"/>
      <c r="Q1968" s="237"/>
      <c r="R1968" s="237"/>
      <c r="S1968" s="237"/>
      <c r="T1968" s="237"/>
      <c r="U1968" s="237"/>
      <c r="V1968" s="237"/>
      <c r="W1968" s="237"/>
      <c r="X1968" s="237"/>
      <c r="Y1968" s="237"/>
      <c r="Z1968" s="237"/>
      <c r="AA1968" s="237"/>
      <c r="AB1968" s="237"/>
    </row>
    <row r="1969">
      <c r="A1969" s="237"/>
      <c r="B1969" s="242"/>
      <c r="C1969" s="88" t="s">
        <v>11806</v>
      </c>
      <c r="D1969" s="236"/>
      <c r="E1969" s="88" t="s">
        <v>1420</v>
      </c>
      <c r="F1969" s="88" t="s">
        <v>11807</v>
      </c>
      <c r="G1969" s="267" t="s">
        <v>11808</v>
      </c>
      <c r="H1969" s="241" t="s">
        <v>11809</v>
      </c>
      <c r="I1969" s="236"/>
      <c r="J1969" s="266" t="s">
        <v>11810</v>
      </c>
      <c r="K1969" s="242"/>
      <c r="L1969" s="268">
        <v>47307.0</v>
      </c>
      <c r="M1969" s="237"/>
      <c r="N1969" s="237"/>
      <c r="O1969" s="237"/>
      <c r="P1969" s="237"/>
      <c r="Q1969" s="237"/>
      <c r="R1969" s="237"/>
      <c r="S1969" s="237"/>
      <c r="T1969" s="237"/>
      <c r="U1969" s="237"/>
      <c r="V1969" s="237"/>
      <c r="W1969" s="237"/>
      <c r="X1969" s="237"/>
      <c r="Y1969" s="237"/>
      <c r="Z1969" s="237"/>
      <c r="AA1969" s="237"/>
      <c r="AB1969" s="237"/>
    </row>
    <row r="1970">
      <c r="A1970" s="237"/>
      <c r="B1970" s="242"/>
      <c r="C1970" s="88" t="s">
        <v>11811</v>
      </c>
      <c r="D1970" s="236"/>
      <c r="E1970" s="88" t="s">
        <v>1420</v>
      </c>
      <c r="F1970" s="88" t="s">
        <v>11812</v>
      </c>
      <c r="G1970" s="264" t="s">
        <v>11813</v>
      </c>
      <c r="H1970" s="241" t="s">
        <v>11814</v>
      </c>
      <c r="I1970" s="236"/>
      <c r="J1970" s="266" t="s">
        <v>11810</v>
      </c>
      <c r="K1970" s="242"/>
      <c r="L1970" s="268">
        <v>47307.0</v>
      </c>
      <c r="M1970" s="237"/>
      <c r="N1970" s="237"/>
      <c r="O1970" s="237"/>
      <c r="P1970" s="237"/>
      <c r="Q1970" s="237"/>
      <c r="R1970" s="237"/>
      <c r="S1970" s="237"/>
      <c r="T1970" s="237"/>
      <c r="U1970" s="237"/>
      <c r="V1970" s="237"/>
      <c r="W1970" s="237"/>
      <c r="X1970" s="237"/>
      <c r="Y1970" s="237"/>
      <c r="Z1970" s="237"/>
      <c r="AA1970" s="237"/>
      <c r="AB1970" s="237"/>
    </row>
    <row r="1971">
      <c r="A1971" s="237"/>
      <c r="B1971" s="242"/>
      <c r="C1971" s="88" t="s">
        <v>11815</v>
      </c>
      <c r="D1971" s="236"/>
      <c r="E1971" s="88" t="s">
        <v>1420</v>
      </c>
      <c r="F1971" s="88" t="s">
        <v>11816</v>
      </c>
      <c r="G1971" s="264" t="s">
        <v>11817</v>
      </c>
      <c r="H1971" s="241" t="s">
        <v>11818</v>
      </c>
      <c r="I1971" s="236"/>
      <c r="J1971" s="266" t="s">
        <v>11810</v>
      </c>
      <c r="K1971" s="242"/>
      <c r="L1971" s="268">
        <v>47307.0</v>
      </c>
      <c r="M1971" s="237"/>
      <c r="N1971" s="237"/>
      <c r="O1971" s="237"/>
      <c r="P1971" s="237"/>
      <c r="Q1971" s="237"/>
      <c r="R1971" s="237"/>
      <c r="S1971" s="237"/>
      <c r="T1971" s="237"/>
      <c r="U1971" s="237"/>
      <c r="V1971" s="237"/>
      <c r="W1971" s="237"/>
      <c r="X1971" s="237"/>
      <c r="Y1971" s="237"/>
      <c r="Z1971" s="237"/>
      <c r="AA1971" s="237"/>
      <c r="AB1971" s="237"/>
    </row>
    <row r="1972">
      <c r="A1972" s="237"/>
      <c r="B1972" s="242"/>
      <c r="C1972" s="88" t="s">
        <v>11819</v>
      </c>
      <c r="D1972" s="236"/>
      <c r="E1972" s="88" t="s">
        <v>1420</v>
      </c>
      <c r="F1972" s="88" t="s">
        <v>11820</v>
      </c>
      <c r="G1972" s="264" t="s">
        <v>11821</v>
      </c>
      <c r="H1972" s="241" t="s">
        <v>11822</v>
      </c>
      <c r="I1972" s="236"/>
      <c r="J1972" s="266" t="s">
        <v>11810</v>
      </c>
      <c r="K1972" s="242"/>
      <c r="L1972" s="268">
        <v>47307.0</v>
      </c>
      <c r="M1972" s="237"/>
      <c r="N1972" s="237"/>
      <c r="O1972" s="237"/>
      <c r="P1972" s="237"/>
      <c r="Q1972" s="237"/>
      <c r="R1972" s="237"/>
      <c r="S1972" s="237"/>
      <c r="T1972" s="237"/>
      <c r="U1972" s="237"/>
      <c r="V1972" s="237"/>
      <c r="W1972" s="237"/>
      <c r="X1972" s="237"/>
      <c r="Y1972" s="237"/>
      <c r="Z1972" s="237"/>
      <c r="AA1972" s="237"/>
      <c r="AB1972" s="237"/>
    </row>
    <row r="1973">
      <c r="A1973" s="237"/>
      <c r="B1973" s="242"/>
      <c r="C1973" s="88" t="s">
        <v>11823</v>
      </c>
      <c r="D1973" s="236"/>
      <c r="E1973" s="88" t="s">
        <v>1420</v>
      </c>
      <c r="F1973" s="88" t="s">
        <v>11824</v>
      </c>
      <c r="G1973" s="264" t="s">
        <v>11825</v>
      </c>
      <c r="H1973" s="241" t="s">
        <v>11826</v>
      </c>
      <c r="I1973" s="236"/>
      <c r="J1973" s="266" t="s">
        <v>11810</v>
      </c>
      <c r="K1973" s="242"/>
      <c r="L1973" s="268">
        <v>47460.0</v>
      </c>
      <c r="M1973" s="237"/>
      <c r="N1973" s="237"/>
      <c r="O1973" s="237"/>
      <c r="P1973" s="237"/>
      <c r="Q1973" s="237"/>
      <c r="R1973" s="237"/>
      <c r="S1973" s="237"/>
      <c r="T1973" s="237"/>
      <c r="U1973" s="237"/>
      <c r="V1973" s="237"/>
      <c r="W1973" s="237"/>
      <c r="X1973" s="237"/>
      <c r="Y1973" s="237"/>
      <c r="Z1973" s="237"/>
      <c r="AA1973" s="237"/>
      <c r="AB1973" s="237"/>
    </row>
    <row r="1974">
      <c r="A1974" s="237"/>
      <c r="B1974" s="242"/>
      <c r="C1974" s="88" t="s">
        <v>11827</v>
      </c>
      <c r="D1974" s="236"/>
      <c r="E1974" s="88" t="s">
        <v>1420</v>
      </c>
      <c r="F1974" s="88" t="s">
        <v>11828</v>
      </c>
      <c r="G1974" s="264" t="s">
        <v>11829</v>
      </c>
      <c r="H1974" s="241" t="s">
        <v>11830</v>
      </c>
      <c r="I1974" s="236"/>
      <c r="J1974" s="266" t="s">
        <v>11810</v>
      </c>
      <c r="K1974" s="242"/>
      <c r="L1974" s="268">
        <v>47460.0</v>
      </c>
      <c r="M1974" s="237"/>
      <c r="N1974" s="237"/>
      <c r="O1974" s="237"/>
      <c r="P1974" s="237"/>
      <c r="Q1974" s="237"/>
      <c r="R1974" s="237"/>
      <c r="S1974" s="237"/>
      <c r="T1974" s="237"/>
      <c r="U1974" s="237"/>
      <c r="V1974" s="237"/>
      <c r="W1974" s="237"/>
      <c r="X1974" s="237"/>
      <c r="Y1974" s="237"/>
      <c r="Z1974" s="237"/>
      <c r="AA1974" s="237"/>
      <c r="AB1974" s="237"/>
    </row>
    <row r="1975">
      <c r="A1975" s="237"/>
      <c r="B1975" s="242"/>
      <c r="C1975" s="88" t="s">
        <v>11831</v>
      </c>
      <c r="D1975" s="236"/>
      <c r="E1975" s="88" t="s">
        <v>1420</v>
      </c>
      <c r="F1975" s="88" t="s">
        <v>11832</v>
      </c>
      <c r="G1975" s="264" t="s">
        <v>11833</v>
      </c>
      <c r="H1975" s="241" t="s">
        <v>11834</v>
      </c>
      <c r="I1975" s="236"/>
      <c r="J1975" s="266" t="s">
        <v>11810</v>
      </c>
      <c r="K1975" s="242"/>
      <c r="L1975" s="268">
        <v>47460.0</v>
      </c>
      <c r="M1975" s="237"/>
      <c r="N1975" s="237"/>
      <c r="O1975" s="237"/>
      <c r="P1975" s="237"/>
      <c r="Q1975" s="237"/>
      <c r="R1975" s="237"/>
      <c r="S1975" s="237"/>
      <c r="T1975" s="237"/>
      <c r="U1975" s="237"/>
      <c r="V1975" s="237"/>
      <c r="W1975" s="237"/>
      <c r="X1975" s="237"/>
      <c r="Y1975" s="237"/>
      <c r="Z1975" s="237"/>
      <c r="AA1975" s="237"/>
      <c r="AB1975" s="237"/>
    </row>
    <row r="1976">
      <c r="A1976" s="237"/>
      <c r="B1976" s="242"/>
      <c r="C1976" s="88" t="s">
        <v>11835</v>
      </c>
      <c r="D1976" s="236"/>
      <c r="E1976" s="88" t="s">
        <v>1420</v>
      </c>
      <c r="F1976" s="88" t="s">
        <v>11836</v>
      </c>
      <c r="G1976" s="264" t="s">
        <v>11837</v>
      </c>
      <c r="H1976" s="241" t="s">
        <v>11838</v>
      </c>
      <c r="I1976" s="236"/>
      <c r="J1976" s="266" t="s">
        <v>11810</v>
      </c>
      <c r="K1976" s="242"/>
      <c r="L1976" s="268">
        <v>47460.0</v>
      </c>
      <c r="M1976" s="237"/>
      <c r="N1976" s="237"/>
      <c r="O1976" s="237"/>
      <c r="P1976" s="237"/>
      <c r="Q1976" s="237"/>
      <c r="R1976" s="237"/>
      <c r="S1976" s="237"/>
      <c r="T1976" s="237"/>
      <c r="U1976" s="237"/>
      <c r="V1976" s="237"/>
      <c r="W1976" s="237"/>
      <c r="X1976" s="237"/>
      <c r="Y1976" s="237"/>
      <c r="Z1976" s="237"/>
      <c r="AA1976" s="237"/>
      <c r="AB1976" s="237"/>
    </row>
    <row r="1977">
      <c r="A1977" s="237"/>
      <c r="B1977" s="242"/>
      <c r="C1977" s="88" t="s">
        <v>11839</v>
      </c>
      <c r="D1977" s="236"/>
      <c r="E1977" s="88" t="s">
        <v>1420</v>
      </c>
      <c r="F1977" s="88" t="s">
        <v>11840</v>
      </c>
      <c r="G1977" s="264" t="s">
        <v>11841</v>
      </c>
      <c r="H1977" s="241" t="s">
        <v>11842</v>
      </c>
      <c r="I1977" s="236"/>
      <c r="J1977" s="266" t="s">
        <v>11810</v>
      </c>
      <c r="K1977" s="242"/>
      <c r="L1977" s="268">
        <v>47460.0</v>
      </c>
      <c r="M1977" s="237"/>
      <c r="N1977" s="237"/>
      <c r="O1977" s="237"/>
      <c r="P1977" s="237"/>
      <c r="Q1977" s="237"/>
      <c r="R1977" s="237"/>
      <c r="S1977" s="237"/>
      <c r="T1977" s="237"/>
      <c r="U1977" s="237"/>
      <c r="V1977" s="237"/>
      <c r="W1977" s="237"/>
      <c r="X1977" s="237"/>
      <c r="Y1977" s="237"/>
      <c r="Z1977" s="237"/>
      <c r="AA1977" s="237"/>
      <c r="AB1977" s="237"/>
    </row>
    <row r="1978">
      <c r="A1978" s="237"/>
      <c r="B1978" s="242"/>
      <c r="C1978" s="88" t="s">
        <v>11843</v>
      </c>
      <c r="D1978" s="236"/>
      <c r="E1978" s="88" t="s">
        <v>1420</v>
      </c>
      <c r="F1978" s="88" t="s">
        <v>11844</v>
      </c>
      <c r="G1978" s="269" t="s">
        <v>11845</v>
      </c>
      <c r="H1978" s="241" t="s">
        <v>11846</v>
      </c>
      <c r="I1978" s="236"/>
      <c r="J1978" s="266" t="s">
        <v>11810</v>
      </c>
      <c r="K1978" s="242"/>
      <c r="L1978" s="268">
        <v>47460.0</v>
      </c>
      <c r="M1978" s="237"/>
      <c r="N1978" s="237"/>
      <c r="O1978" s="237"/>
      <c r="P1978" s="237"/>
      <c r="Q1978" s="237"/>
      <c r="R1978" s="237"/>
      <c r="S1978" s="237"/>
      <c r="T1978" s="237"/>
      <c r="U1978" s="237"/>
      <c r="V1978" s="237"/>
      <c r="W1978" s="237"/>
      <c r="X1978" s="237"/>
      <c r="Y1978" s="237"/>
      <c r="Z1978" s="237"/>
      <c r="AA1978" s="237"/>
      <c r="AB1978" s="237"/>
    </row>
    <row r="1979">
      <c r="A1979" s="237"/>
      <c r="B1979" s="242"/>
      <c r="C1979" s="88" t="s">
        <v>11847</v>
      </c>
      <c r="D1979" s="236"/>
      <c r="E1979" s="88" t="s">
        <v>1420</v>
      </c>
      <c r="F1979" s="88" t="s">
        <v>11848</v>
      </c>
      <c r="G1979" s="264" t="s">
        <v>11849</v>
      </c>
      <c r="H1979" s="241" t="s">
        <v>11850</v>
      </c>
      <c r="I1979" s="236"/>
      <c r="J1979" s="266" t="s">
        <v>11810</v>
      </c>
      <c r="K1979" s="242"/>
      <c r="L1979" s="268">
        <v>47460.0</v>
      </c>
      <c r="M1979" s="237"/>
      <c r="N1979" s="237"/>
      <c r="O1979" s="237"/>
      <c r="P1979" s="237"/>
      <c r="Q1979" s="237"/>
      <c r="R1979" s="237"/>
      <c r="S1979" s="237"/>
      <c r="T1979" s="237"/>
      <c r="U1979" s="237"/>
      <c r="V1979" s="237"/>
      <c r="W1979" s="237"/>
      <c r="X1979" s="237"/>
      <c r="Y1979" s="237"/>
      <c r="Z1979" s="237"/>
      <c r="AA1979" s="237"/>
      <c r="AB1979" s="237"/>
    </row>
    <row r="1980">
      <c r="A1980" s="237"/>
      <c r="B1980" s="242"/>
      <c r="C1980" s="88" t="s">
        <v>11851</v>
      </c>
      <c r="D1980" s="236"/>
      <c r="E1980" s="88" t="s">
        <v>1420</v>
      </c>
      <c r="F1980" s="88" t="s">
        <v>11852</v>
      </c>
      <c r="G1980" s="264" t="s">
        <v>11853</v>
      </c>
      <c r="H1980" s="241" t="s">
        <v>11854</v>
      </c>
      <c r="I1980" s="236"/>
      <c r="J1980" s="266" t="s">
        <v>11810</v>
      </c>
      <c r="K1980" s="242"/>
      <c r="L1980" s="268">
        <v>47307.0</v>
      </c>
      <c r="M1980" s="237"/>
      <c r="N1980" s="237"/>
      <c r="O1980" s="237"/>
      <c r="P1980" s="237"/>
      <c r="Q1980" s="237"/>
      <c r="R1980" s="237"/>
      <c r="S1980" s="237"/>
      <c r="T1980" s="237"/>
      <c r="U1980" s="237"/>
      <c r="V1980" s="237"/>
      <c r="W1980" s="237"/>
      <c r="X1980" s="237"/>
      <c r="Y1980" s="237"/>
      <c r="Z1980" s="237"/>
      <c r="AA1980" s="237"/>
      <c r="AB1980" s="237"/>
    </row>
    <row r="1981">
      <c r="A1981" s="237"/>
      <c r="B1981" s="242"/>
      <c r="C1981" s="88" t="s">
        <v>11855</v>
      </c>
      <c r="D1981" s="236"/>
      <c r="E1981" s="88" t="s">
        <v>1420</v>
      </c>
      <c r="F1981" s="88" t="s">
        <v>11856</v>
      </c>
      <c r="G1981" s="264" t="s">
        <v>11857</v>
      </c>
      <c r="H1981" s="241" t="s">
        <v>11858</v>
      </c>
      <c r="I1981" s="236"/>
      <c r="J1981" s="266" t="s">
        <v>11810</v>
      </c>
      <c r="K1981" s="242"/>
      <c r="L1981" s="268">
        <v>47307.0</v>
      </c>
      <c r="M1981" s="237"/>
      <c r="N1981" s="237"/>
      <c r="O1981" s="237"/>
      <c r="P1981" s="237"/>
      <c r="Q1981" s="237"/>
      <c r="R1981" s="237"/>
      <c r="S1981" s="237"/>
      <c r="T1981" s="237"/>
      <c r="U1981" s="237"/>
      <c r="V1981" s="237"/>
      <c r="W1981" s="237"/>
      <c r="X1981" s="237"/>
      <c r="Y1981" s="237"/>
      <c r="Z1981" s="237"/>
      <c r="AA1981" s="237"/>
      <c r="AB1981" s="237"/>
    </row>
    <row r="1982">
      <c r="A1982" s="237"/>
      <c r="B1982" s="242"/>
      <c r="C1982" s="88" t="s">
        <v>11859</v>
      </c>
      <c r="D1982" s="236"/>
      <c r="E1982" s="88" t="s">
        <v>1420</v>
      </c>
      <c r="F1982" s="88" t="s">
        <v>11860</v>
      </c>
      <c r="G1982" s="264" t="s">
        <v>11861</v>
      </c>
      <c r="H1982" s="241" t="s">
        <v>11862</v>
      </c>
      <c r="I1982" s="236"/>
      <c r="J1982" s="266" t="s">
        <v>11810</v>
      </c>
      <c r="K1982" s="242"/>
      <c r="L1982" s="268">
        <v>47307.0</v>
      </c>
      <c r="M1982" s="237"/>
      <c r="N1982" s="237"/>
      <c r="O1982" s="237"/>
      <c r="P1982" s="237"/>
      <c r="Q1982" s="237"/>
      <c r="R1982" s="237"/>
      <c r="S1982" s="237"/>
      <c r="T1982" s="237"/>
      <c r="U1982" s="237"/>
      <c r="V1982" s="237"/>
      <c r="W1982" s="237"/>
      <c r="X1982" s="237"/>
      <c r="Y1982" s="237"/>
      <c r="Z1982" s="237"/>
      <c r="AA1982" s="237"/>
      <c r="AB1982" s="237"/>
    </row>
    <row r="1983">
      <c r="A1983" s="237"/>
      <c r="B1983" s="242"/>
      <c r="C1983" s="88" t="s">
        <v>11863</v>
      </c>
      <c r="D1983" s="236"/>
      <c r="E1983" s="88" t="s">
        <v>1420</v>
      </c>
      <c r="F1983" s="88" t="s">
        <v>11864</v>
      </c>
      <c r="G1983" s="264" t="s">
        <v>11865</v>
      </c>
      <c r="H1983" s="241" t="s">
        <v>11866</v>
      </c>
      <c r="I1983" s="236"/>
      <c r="J1983" s="266" t="s">
        <v>11810</v>
      </c>
      <c r="K1983" s="242"/>
      <c r="L1983" s="268">
        <v>47307.0</v>
      </c>
      <c r="M1983" s="237"/>
      <c r="N1983" s="237"/>
      <c r="O1983" s="237"/>
      <c r="P1983" s="237"/>
      <c r="Q1983" s="237"/>
      <c r="R1983" s="237"/>
      <c r="S1983" s="237"/>
      <c r="T1983" s="237"/>
      <c r="U1983" s="237"/>
      <c r="V1983" s="237"/>
      <c r="W1983" s="237"/>
      <c r="X1983" s="237"/>
      <c r="Y1983" s="237"/>
      <c r="Z1983" s="237"/>
      <c r="AA1983" s="237"/>
      <c r="AB1983" s="237"/>
    </row>
    <row r="1984">
      <c r="A1984" s="237"/>
      <c r="B1984" s="242"/>
      <c r="C1984" s="88" t="s">
        <v>11867</v>
      </c>
      <c r="D1984" s="264" t="s">
        <v>11868</v>
      </c>
      <c r="E1984" s="88" t="s">
        <v>1420</v>
      </c>
      <c r="F1984" s="270" t="s">
        <v>11869</v>
      </c>
      <c r="G1984" s="269" t="s">
        <v>11870</v>
      </c>
      <c r="H1984" s="237" t="s">
        <v>11871</v>
      </c>
      <c r="I1984" s="236"/>
      <c r="J1984" s="266" t="s">
        <v>11810</v>
      </c>
      <c r="K1984" s="242"/>
      <c r="L1984" s="271">
        <v>47307.0</v>
      </c>
      <c r="M1984" s="237"/>
      <c r="N1984" s="237"/>
      <c r="O1984" s="237"/>
      <c r="P1984" s="237"/>
      <c r="Q1984" s="237"/>
      <c r="R1984" s="237"/>
      <c r="S1984" s="237"/>
      <c r="T1984" s="237"/>
      <c r="U1984" s="237"/>
      <c r="V1984" s="237"/>
      <c r="W1984" s="237"/>
      <c r="X1984" s="237"/>
      <c r="Y1984" s="237"/>
      <c r="Z1984" s="237"/>
      <c r="AA1984" s="237"/>
      <c r="AB1984" s="237"/>
    </row>
    <row r="1985">
      <c r="A1985" s="237"/>
      <c r="B1985" s="242"/>
      <c r="C1985" s="88" t="s">
        <v>11872</v>
      </c>
      <c r="D1985" s="236"/>
      <c r="E1985" s="88" t="s">
        <v>1420</v>
      </c>
      <c r="F1985" s="88" t="s">
        <v>11873</v>
      </c>
      <c r="G1985" s="264" t="s">
        <v>11874</v>
      </c>
      <c r="H1985" s="237" t="s">
        <v>11875</v>
      </c>
      <c r="I1985" s="236"/>
      <c r="J1985" s="266" t="s">
        <v>11810</v>
      </c>
      <c r="K1985" s="242"/>
      <c r="L1985" s="265">
        <v>47307.0</v>
      </c>
      <c r="M1985" s="237"/>
      <c r="N1985" s="237"/>
      <c r="O1985" s="237"/>
      <c r="P1985" s="237"/>
      <c r="Q1985" s="237"/>
      <c r="R1985" s="237"/>
      <c r="S1985" s="237"/>
      <c r="T1985" s="237"/>
      <c r="U1985" s="237"/>
      <c r="V1985" s="237"/>
      <c r="W1985" s="237"/>
      <c r="X1985" s="237"/>
      <c r="Y1985" s="237"/>
      <c r="Z1985" s="237"/>
      <c r="AA1985" s="237"/>
      <c r="AB1985" s="237"/>
    </row>
    <row r="1986">
      <c r="A1986" s="237"/>
      <c r="B1986" s="242"/>
      <c r="C1986" s="88" t="s">
        <v>11876</v>
      </c>
      <c r="D1986" s="264" t="s">
        <v>11877</v>
      </c>
      <c r="E1986" s="88" t="s">
        <v>1420</v>
      </c>
      <c r="F1986" s="88" t="s">
        <v>11878</v>
      </c>
      <c r="G1986" s="264" t="s">
        <v>11879</v>
      </c>
      <c r="H1986" s="241" t="s">
        <v>11880</v>
      </c>
      <c r="I1986" s="236"/>
      <c r="J1986" s="266" t="s">
        <v>11810</v>
      </c>
      <c r="K1986" s="242"/>
      <c r="L1986" s="265">
        <v>47307.0</v>
      </c>
      <c r="M1986" s="237"/>
      <c r="N1986" s="237"/>
      <c r="O1986" s="237"/>
      <c r="P1986" s="237"/>
      <c r="Q1986" s="237"/>
      <c r="R1986" s="237"/>
      <c r="S1986" s="237"/>
      <c r="T1986" s="237"/>
      <c r="U1986" s="237"/>
      <c r="V1986" s="237"/>
      <c r="W1986" s="237"/>
      <c r="X1986" s="237"/>
      <c r="Y1986" s="237"/>
      <c r="Z1986" s="237"/>
      <c r="AA1986" s="237"/>
      <c r="AB1986" s="237"/>
    </row>
    <row r="1987">
      <c r="A1987" s="237"/>
      <c r="B1987" s="242"/>
      <c r="C1987" s="88" t="s">
        <v>11881</v>
      </c>
      <c r="D1987" s="264" t="s">
        <v>11882</v>
      </c>
      <c r="E1987" s="88" t="s">
        <v>1420</v>
      </c>
      <c r="F1987" s="88" t="s">
        <v>11883</v>
      </c>
      <c r="G1987" s="264" t="s">
        <v>11884</v>
      </c>
      <c r="H1987" s="237" t="s">
        <v>11885</v>
      </c>
      <c r="I1987" s="236"/>
      <c r="J1987" s="266" t="s">
        <v>11810</v>
      </c>
      <c r="K1987" s="242"/>
      <c r="L1987" s="272">
        <v>47460.0</v>
      </c>
      <c r="M1987" s="237"/>
      <c r="N1987" s="237"/>
      <c r="O1987" s="237"/>
      <c r="P1987" s="237"/>
      <c r="Q1987" s="237"/>
      <c r="R1987" s="237"/>
      <c r="S1987" s="237"/>
      <c r="T1987" s="237"/>
      <c r="U1987" s="237"/>
      <c r="V1987" s="237"/>
      <c r="W1987" s="237"/>
      <c r="X1987" s="237"/>
      <c r="Y1987" s="237"/>
      <c r="Z1987" s="237"/>
      <c r="AA1987" s="237"/>
      <c r="AB1987" s="237"/>
    </row>
    <row r="1988">
      <c r="A1988" s="237"/>
      <c r="B1988" s="242"/>
      <c r="C1988" s="88" t="s">
        <v>11886</v>
      </c>
      <c r="D1988" s="264" t="s">
        <v>11887</v>
      </c>
      <c r="E1988" s="88" t="s">
        <v>1420</v>
      </c>
      <c r="F1988" s="88" t="s">
        <v>11888</v>
      </c>
      <c r="G1988" s="264" t="s">
        <v>11889</v>
      </c>
      <c r="H1988" s="241" t="s">
        <v>11890</v>
      </c>
      <c r="I1988" s="236"/>
      <c r="J1988" s="266" t="s">
        <v>11810</v>
      </c>
      <c r="K1988" s="242"/>
      <c r="L1988" s="272">
        <v>47460.0</v>
      </c>
      <c r="M1988" s="237"/>
      <c r="N1988" s="237"/>
      <c r="O1988" s="237"/>
      <c r="P1988" s="237"/>
      <c r="Q1988" s="237"/>
      <c r="R1988" s="237"/>
      <c r="S1988" s="237"/>
      <c r="T1988" s="237"/>
      <c r="U1988" s="237"/>
      <c r="V1988" s="237"/>
      <c r="W1988" s="237"/>
      <c r="X1988" s="237"/>
      <c r="Y1988" s="237"/>
      <c r="Z1988" s="237"/>
      <c r="AA1988" s="237"/>
      <c r="AB1988" s="237"/>
    </row>
    <row r="1989">
      <c r="A1989" s="237"/>
      <c r="B1989" s="242"/>
      <c r="C1989" s="88" t="s">
        <v>11891</v>
      </c>
      <c r="D1989" s="264" t="s">
        <v>11892</v>
      </c>
      <c r="E1989" s="88" t="s">
        <v>1420</v>
      </c>
      <c r="F1989" s="88" t="s">
        <v>11893</v>
      </c>
      <c r="G1989" s="264" t="s">
        <v>11894</v>
      </c>
      <c r="H1989" s="241" t="s">
        <v>11895</v>
      </c>
      <c r="I1989" s="236"/>
      <c r="J1989" s="266" t="s">
        <v>11810</v>
      </c>
      <c r="K1989" s="242"/>
      <c r="L1989" s="272">
        <v>47460.0</v>
      </c>
      <c r="M1989" s="237"/>
      <c r="N1989" s="237"/>
      <c r="O1989" s="237"/>
      <c r="P1989" s="237"/>
      <c r="Q1989" s="237"/>
      <c r="R1989" s="237"/>
      <c r="S1989" s="237"/>
      <c r="T1989" s="237"/>
      <c r="U1989" s="237"/>
      <c r="V1989" s="237"/>
      <c r="W1989" s="237"/>
      <c r="X1989" s="237"/>
      <c r="Y1989" s="237"/>
      <c r="Z1989" s="237"/>
      <c r="AA1989" s="237"/>
      <c r="AB1989" s="237"/>
    </row>
    <row r="1990">
      <c r="A1990" s="237"/>
      <c r="B1990" s="242"/>
      <c r="C1990" s="88" t="s">
        <v>11896</v>
      </c>
      <c r="D1990" s="264" t="s">
        <v>11897</v>
      </c>
      <c r="E1990" s="88" t="s">
        <v>1420</v>
      </c>
      <c r="F1990" s="88" t="s">
        <v>11898</v>
      </c>
      <c r="G1990" s="264" t="s">
        <v>11899</v>
      </c>
      <c r="H1990" s="237" t="s">
        <v>11900</v>
      </c>
      <c r="I1990" s="236"/>
      <c r="J1990" s="266" t="s">
        <v>11810</v>
      </c>
      <c r="K1990" s="242"/>
      <c r="L1990" s="272">
        <v>47460.0</v>
      </c>
      <c r="M1990" s="237"/>
      <c r="N1990" s="237"/>
      <c r="O1990" s="237"/>
      <c r="P1990" s="237"/>
      <c r="Q1990" s="237"/>
      <c r="R1990" s="237"/>
      <c r="S1990" s="237"/>
      <c r="T1990" s="237"/>
      <c r="U1990" s="237"/>
      <c r="V1990" s="237"/>
      <c r="W1990" s="237"/>
      <c r="X1990" s="237"/>
      <c r="Y1990" s="237"/>
      <c r="Z1990" s="237"/>
      <c r="AA1990" s="237"/>
      <c r="AB1990" s="237"/>
    </row>
    <row r="1991">
      <c r="A1991" s="237"/>
      <c r="B1991" s="242"/>
      <c r="C1991" s="88" t="s">
        <v>11901</v>
      </c>
      <c r="D1991" s="264" t="s">
        <v>11902</v>
      </c>
      <c r="E1991" s="88" t="s">
        <v>1420</v>
      </c>
      <c r="F1991" s="88" t="s">
        <v>11903</v>
      </c>
      <c r="G1991" s="264" t="s">
        <v>11904</v>
      </c>
      <c r="H1991" s="237" t="s">
        <v>11905</v>
      </c>
      <c r="I1991" s="236"/>
      <c r="J1991" s="266" t="s">
        <v>11810</v>
      </c>
      <c r="K1991" s="242"/>
      <c r="L1991" s="272">
        <v>47460.0</v>
      </c>
      <c r="M1991" s="237"/>
      <c r="N1991" s="237"/>
      <c r="O1991" s="237"/>
      <c r="P1991" s="237"/>
      <c r="Q1991" s="237"/>
      <c r="R1991" s="237"/>
      <c r="S1991" s="237"/>
      <c r="T1991" s="237"/>
      <c r="U1991" s="237"/>
      <c r="V1991" s="237"/>
      <c r="W1991" s="237"/>
      <c r="X1991" s="237"/>
      <c r="Y1991" s="237"/>
      <c r="Z1991" s="237"/>
      <c r="AA1991" s="237"/>
      <c r="AB1991" s="237"/>
    </row>
    <row r="1992">
      <c r="A1992" s="237"/>
      <c r="B1992" s="242"/>
      <c r="C1992" s="88" t="s">
        <v>11906</v>
      </c>
      <c r="D1992" s="236"/>
      <c r="E1992" s="88" t="s">
        <v>11907</v>
      </c>
      <c r="F1992" s="88" t="s">
        <v>11908</v>
      </c>
      <c r="G1992" s="264" t="s">
        <v>11909</v>
      </c>
      <c r="H1992" s="236"/>
      <c r="I1992" s="236"/>
      <c r="J1992" s="266" t="s">
        <v>11810</v>
      </c>
      <c r="K1992" s="242"/>
      <c r="L1992" s="237"/>
      <c r="M1992" s="237"/>
      <c r="N1992" s="237"/>
      <c r="O1992" s="237"/>
      <c r="P1992" s="237"/>
      <c r="Q1992" s="237"/>
      <c r="R1992" s="237"/>
      <c r="S1992" s="237"/>
      <c r="T1992" s="237"/>
      <c r="U1992" s="237"/>
      <c r="V1992" s="237"/>
      <c r="W1992" s="237"/>
      <c r="X1992" s="237"/>
      <c r="Y1992" s="237"/>
      <c r="Z1992" s="237"/>
      <c r="AA1992" s="237"/>
      <c r="AB1992" s="237"/>
    </row>
    <row r="1993">
      <c r="A1993" s="237"/>
      <c r="B1993" s="242"/>
      <c r="C1993" s="88" t="s">
        <v>11910</v>
      </c>
      <c r="D1993" s="264">
        <v>0.0</v>
      </c>
      <c r="E1993" s="88" t="s">
        <v>11738</v>
      </c>
      <c r="F1993" s="88" t="s">
        <v>11911</v>
      </c>
      <c r="G1993" s="264" t="s">
        <v>11912</v>
      </c>
      <c r="H1993" s="237" t="s">
        <v>11913</v>
      </c>
      <c r="I1993" s="236"/>
      <c r="J1993" s="266" t="s">
        <v>11810</v>
      </c>
      <c r="K1993" s="242"/>
      <c r="L1993" s="272">
        <v>47430.0</v>
      </c>
      <c r="M1993" s="237"/>
      <c r="N1993" s="237"/>
      <c r="O1993" s="237"/>
      <c r="P1993" s="237"/>
      <c r="Q1993" s="237"/>
      <c r="R1993" s="237"/>
      <c r="S1993" s="237"/>
      <c r="T1993" s="237"/>
      <c r="U1993" s="237"/>
      <c r="V1993" s="237"/>
      <c r="W1993" s="237"/>
      <c r="X1993" s="237"/>
      <c r="Y1993" s="237"/>
      <c r="Z1993" s="237"/>
      <c r="AA1993" s="237"/>
      <c r="AB1993" s="237"/>
    </row>
    <row r="1994">
      <c r="A1994" s="237"/>
      <c r="B1994" s="242"/>
      <c r="C1994" s="88" t="s">
        <v>11914</v>
      </c>
      <c r="D1994" s="264">
        <v>0.0</v>
      </c>
      <c r="E1994" s="88" t="s">
        <v>11738</v>
      </c>
      <c r="F1994" s="88" t="s">
        <v>11915</v>
      </c>
      <c r="G1994" s="269" t="s">
        <v>11916</v>
      </c>
      <c r="H1994" s="241" t="s">
        <v>11917</v>
      </c>
      <c r="I1994" s="236"/>
      <c r="J1994" s="266" t="s">
        <v>5848</v>
      </c>
      <c r="K1994" s="242"/>
      <c r="L1994" s="271">
        <v>47307.0</v>
      </c>
      <c r="M1994" s="237"/>
      <c r="N1994" s="237"/>
      <c r="O1994" s="237"/>
      <c r="P1994" s="237"/>
      <c r="Q1994" s="237"/>
      <c r="R1994" s="237"/>
      <c r="S1994" s="237"/>
      <c r="T1994" s="237"/>
      <c r="U1994" s="237"/>
      <c r="V1994" s="237"/>
      <c r="W1994" s="237"/>
      <c r="X1994" s="237"/>
      <c r="Y1994" s="237"/>
      <c r="Z1994" s="237"/>
      <c r="AA1994" s="237"/>
      <c r="AB1994" s="237"/>
    </row>
    <row r="1995">
      <c r="A1995" s="237"/>
      <c r="B1995" s="242"/>
      <c r="C1995" s="88" t="s">
        <v>11918</v>
      </c>
      <c r="D1995" s="264" t="s">
        <v>11919</v>
      </c>
      <c r="E1995" s="88" t="s">
        <v>11738</v>
      </c>
      <c r="F1995" s="88" t="s">
        <v>11920</v>
      </c>
      <c r="G1995" s="269" t="s">
        <v>11921</v>
      </c>
      <c r="H1995" s="254" t="s">
        <v>11922</v>
      </c>
      <c r="I1995" s="236"/>
      <c r="J1995" s="266" t="s">
        <v>5848</v>
      </c>
      <c r="K1995" s="242"/>
      <c r="L1995" s="271">
        <v>47307.0</v>
      </c>
      <c r="M1995" s="237"/>
      <c r="N1995" s="237"/>
      <c r="O1995" s="237"/>
      <c r="P1995" s="237"/>
      <c r="Q1995" s="237"/>
      <c r="R1995" s="237"/>
      <c r="S1995" s="237"/>
      <c r="T1995" s="237"/>
      <c r="U1995" s="237"/>
      <c r="V1995" s="237"/>
      <c r="W1995" s="237"/>
      <c r="X1995" s="237"/>
      <c r="Y1995" s="237"/>
      <c r="Z1995" s="237"/>
      <c r="AA1995" s="237"/>
      <c r="AB1995" s="237"/>
    </row>
    <row r="1996">
      <c r="A1996" s="237"/>
      <c r="B1996" s="242"/>
      <c r="C1996" s="88" t="s">
        <v>11923</v>
      </c>
      <c r="D1996" s="264" t="s">
        <v>11924</v>
      </c>
      <c r="E1996" s="88" t="s">
        <v>11738</v>
      </c>
      <c r="F1996" s="88" t="s">
        <v>11925</v>
      </c>
      <c r="G1996" s="269" t="s">
        <v>11926</v>
      </c>
      <c r="H1996" s="254" t="s">
        <v>11927</v>
      </c>
      <c r="I1996" s="236"/>
      <c r="J1996" s="266" t="s">
        <v>5848</v>
      </c>
      <c r="K1996" s="242"/>
      <c r="L1996" s="271">
        <v>47307.0</v>
      </c>
      <c r="M1996" s="237"/>
      <c r="N1996" s="237"/>
      <c r="O1996" s="237"/>
      <c r="P1996" s="237"/>
      <c r="Q1996" s="237"/>
      <c r="R1996" s="237"/>
      <c r="S1996" s="237"/>
      <c r="T1996" s="237"/>
      <c r="U1996" s="237"/>
      <c r="V1996" s="237"/>
      <c r="W1996" s="237"/>
      <c r="X1996" s="237"/>
      <c r="Y1996" s="237"/>
      <c r="Z1996" s="237"/>
      <c r="AA1996" s="237"/>
      <c r="AB1996" s="237"/>
    </row>
    <row r="1997">
      <c r="A1997" s="237"/>
      <c r="B1997" s="242"/>
      <c r="C1997" s="88" t="s">
        <v>11928</v>
      </c>
      <c r="D1997" s="264" t="s">
        <v>11929</v>
      </c>
      <c r="E1997" s="88" t="s">
        <v>11738</v>
      </c>
      <c r="F1997" s="88" t="s">
        <v>11930</v>
      </c>
      <c r="G1997" s="269" t="s">
        <v>11931</v>
      </c>
      <c r="H1997" s="241" t="s">
        <v>11932</v>
      </c>
      <c r="I1997" s="236"/>
      <c r="J1997" s="266" t="s">
        <v>5848</v>
      </c>
      <c r="K1997" s="242"/>
      <c r="L1997" s="271">
        <v>47307.0</v>
      </c>
      <c r="M1997" s="237"/>
      <c r="N1997" s="237"/>
      <c r="O1997" s="237"/>
      <c r="P1997" s="237"/>
      <c r="Q1997" s="237"/>
      <c r="R1997" s="237"/>
      <c r="S1997" s="237"/>
      <c r="T1997" s="237"/>
      <c r="U1997" s="237"/>
      <c r="V1997" s="237"/>
      <c r="W1997" s="237"/>
      <c r="X1997" s="237"/>
      <c r="Y1997" s="237"/>
      <c r="Z1997" s="237"/>
      <c r="AA1997" s="237"/>
      <c r="AB1997" s="237"/>
    </row>
    <row r="1998">
      <c r="A1998" s="237"/>
      <c r="B1998" s="242"/>
      <c r="C1998" s="88" t="s">
        <v>11933</v>
      </c>
      <c r="D1998" s="264" t="s">
        <v>11934</v>
      </c>
      <c r="E1998" s="88" t="s">
        <v>11738</v>
      </c>
      <c r="F1998" s="88" t="s">
        <v>11935</v>
      </c>
      <c r="G1998" s="269" t="s">
        <v>11936</v>
      </c>
      <c r="H1998" s="241" t="s">
        <v>11937</v>
      </c>
      <c r="I1998" s="236"/>
      <c r="J1998" s="266" t="s">
        <v>5848</v>
      </c>
      <c r="K1998" s="242"/>
      <c r="L1998" s="271">
        <v>47307.0</v>
      </c>
      <c r="M1998" s="237"/>
      <c r="N1998" s="237"/>
      <c r="O1998" s="237"/>
      <c r="P1998" s="237"/>
      <c r="Q1998" s="237"/>
      <c r="R1998" s="237"/>
      <c r="S1998" s="237"/>
      <c r="T1998" s="237"/>
      <c r="U1998" s="237"/>
      <c r="V1998" s="237"/>
      <c r="W1998" s="237"/>
      <c r="X1998" s="237"/>
      <c r="Y1998" s="237"/>
      <c r="Z1998" s="237"/>
      <c r="AA1998" s="237"/>
      <c r="AB1998" s="237"/>
    </row>
    <row r="1999">
      <c r="A1999" s="237"/>
      <c r="B1999" s="242"/>
      <c r="C1999" s="88" t="s">
        <v>11938</v>
      </c>
      <c r="D1999" s="264" t="s">
        <v>11939</v>
      </c>
      <c r="E1999" s="88" t="s">
        <v>11738</v>
      </c>
      <c r="F1999" s="88" t="s">
        <v>11940</v>
      </c>
      <c r="G1999" s="269" t="s">
        <v>11941</v>
      </c>
      <c r="H1999" s="254" t="s">
        <v>11942</v>
      </c>
      <c r="I1999" s="236"/>
      <c r="J1999" s="266" t="s">
        <v>5848</v>
      </c>
      <c r="K1999" s="242"/>
      <c r="L1999" s="271">
        <v>47307.0</v>
      </c>
      <c r="M1999" s="237"/>
      <c r="N1999" s="237"/>
      <c r="O1999" s="237"/>
      <c r="P1999" s="237"/>
      <c r="Q1999" s="237"/>
      <c r="R1999" s="237"/>
      <c r="S1999" s="237"/>
      <c r="T1999" s="237"/>
      <c r="U1999" s="237"/>
      <c r="V1999" s="237"/>
      <c r="W1999" s="237"/>
      <c r="X1999" s="237"/>
      <c r="Y1999" s="237"/>
      <c r="Z1999" s="237"/>
      <c r="AA1999" s="237"/>
      <c r="AB1999" s="237"/>
    </row>
    <row r="2000">
      <c r="A2000" s="237"/>
      <c r="B2000" s="242"/>
      <c r="C2000" s="88" t="s">
        <v>11943</v>
      </c>
      <c r="D2000" s="237" t="s">
        <v>11944</v>
      </c>
      <c r="E2000" s="88" t="s">
        <v>11738</v>
      </c>
      <c r="F2000" s="88" t="s">
        <v>11945</v>
      </c>
      <c r="G2000" s="269" t="s">
        <v>11946</v>
      </c>
      <c r="H2000" s="254" t="s">
        <v>11947</v>
      </c>
      <c r="I2000" s="236"/>
      <c r="J2000" s="266" t="s">
        <v>5848</v>
      </c>
      <c r="K2000" s="242"/>
      <c r="L2000" s="265">
        <v>47307.0</v>
      </c>
      <c r="M2000" s="237"/>
      <c r="N2000" s="237"/>
      <c r="O2000" s="237"/>
      <c r="P2000" s="237"/>
      <c r="Q2000" s="237"/>
      <c r="R2000" s="237"/>
      <c r="S2000" s="237"/>
      <c r="T2000" s="237"/>
      <c r="U2000" s="237"/>
      <c r="V2000" s="237"/>
      <c r="W2000" s="237"/>
      <c r="X2000" s="237"/>
      <c r="Y2000" s="237"/>
      <c r="Z2000" s="237"/>
      <c r="AA2000" s="237"/>
      <c r="AB2000" s="237"/>
    </row>
    <row r="2001">
      <c r="A2001" s="237"/>
      <c r="B2001" s="242"/>
      <c r="C2001" s="262"/>
      <c r="D2001" s="236"/>
      <c r="E2001" s="88" t="s">
        <v>11738</v>
      </c>
      <c r="F2001" s="240" t="s">
        <v>11948</v>
      </c>
      <c r="G2001" s="238" t="s">
        <v>11949</v>
      </c>
      <c r="H2001" s="273" t="s">
        <v>11950</v>
      </c>
      <c r="I2001" s="236"/>
      <c r="J2001" s="236"/>
      <c r="K2001" s="242"/>
      <c r="L2001" s="237"/>
      <c r="M2001" s="237"/>
      <c r="N2001" s="237"/>
      <c r="O2001" s="237"/>
      <c r="P2001" s="237"/>
      <c r="Q2001" s="237"/>
      <c r="R2001" s="237"/>
      <c r="S2001" s="237"/>
      <c r="T2001" s="237"/>
      <c r="U2001" s="237"/>
      <c r="V2001" s="237"/>
      <c r="W2001" s="237"/>
      <c r="X2001" s="237"/>
      <c r="Y2001" s="237"/>
      <c r="Z2001" s="237"/>
      <c r="AA2001" s="237"/>
      <c r="AB2001" s="237"/>
    </row>
    <row r="2002">
      <c r="A2002" s="237"/>
      <c r="B2002" s="242"/>
      <c r="C2002" s="88" t="s">
        <v>11951</v>
      </c>
      <c r="D2002" s="264" t="s">
        <v>11952</v>
      </c>
      <c r="E2002" s="88" t="s">
        <v>11738</v>
      </c>
      <c r="F2002" s="88" t="s">
        <v>11953</v>
      </c>
      <c r="G2002" s="264" t="s">
        <v>11954</v>
      </c>
      <c r="H2002" s="237" t="s">
        <v>11955</v>
      </c>
      <c r="I2002" s="236"/>
      <c r="J2002" s="266" t="s">
        <v>8021</v>
      </c>
      <c r="K2002" s="242"/>
      <c r="L2002" s="265">
        <v>47307.0</v>
      </c>
      <c r="M2002" s="237"/>
      <c r="N2002" s="237"/>
      <c r="O2002" s="237"/>
      <c r="P2002" s="237"/>
      <c r="Q2002" s="237"/>
      <c r="R2002" s="237"/>
      <c r="S2002" s="237"/>
      <c r="T2002" s="237"/>
      <c r="U2002" s="237"/>
      <c r="V2002" s="237"/>
      <c r="W2002" s="237"/>
      <c r="X2002" s="237"/>
      <c r="Y2002" s="237"/>
      <c r="Z2002" s="237"/>
      <c r="AA2002" s="237"/>
      <c r="AB2002" s="237"/>
    </row>
    <row r="2003">
      <c r="A2003" s="237"/>
      <c r="B2003" s="242"/>
      <c r="C2003" s="88" t="s">
        <v>11956</v>
      </c>
      <c r="D2003" s="236"/>
      <c r="E2003" s="88" t="s">
        <v>11738</v>
      </c>
      <c r="F2003" s="88" t="s">
        <v>11957</v>
      </c>
      <c r="G2003" s="274" t="s">
        <v>11958</v>
      </c>
      <c r="H2003" s="237" t="s">
        <v>11959</v>
      </c>
      <c r="I2003" s="236"/>
      <c r="J2003" s="266" t="s">
        <v>3962</v>
      </c>
      <c r="K2003" s="242"/>
      <c r="L2003" s="237"/>
      <c r="M2003" s="237"/>
      <c r="N2003" s="237"/>
      <c r="O2003" s="237"/>
      <c r="P2003" s="237"/>
      <c r="Q2003" s="237"/>
      <c r="R2003" s="237"/>
      <c r="S2003" s="237"/>
      <c r="T2003" s="237"/>
      <c r="U2003" s="237"/>
      <c r="V2003" s="237"/>
      <c r="W2003" s="237"/>
      <c r="X2003" s="237"/>
      <c r="Y2003" s="237"/>
      <c r="Z2003" s="237"/>
      <c r="AA2003" s="237"/>
      <c r="AB2003" s="237"/>
    </row>
    <row r="2004">
      <c r="A2004" s="237"/>
      <c r="B2004" s="242"/>
      <c r="C2004" s="88" t="s">
        <v>11960</v>
      </c>
      <c r="D2004" s="236"/>
      <c r="E2004" s="241" t="s">
        <v>11961</v>
      </c>
      <c r="F2004" s="88" t="s">
        <v>4509</v>
      </c>
      <c r="G2004" s="274" t="s">
        <v>4510</v>
      </c>
      <c r="H2004" s="237"/>
      <c r="I2004" s="236"/>
      <c r="J2004" s="266" t="s">
        <v>11962</v>
      </c>
      <c r="K2004" s="242"/>
      <c r="L2004" s="237"/>
      <c r="M2004" s="237"/>
      <c r="N2004" s="237"/>
      <c r="O2004" s="237"/>
      <c r="P2004" s="237"/>
      <c r="Q2004" s="237"/>
      <c r="R2004" s="237"/>
      <c r="S2004" s="237"/>
      <c r="T2004" s="237"/>
      <c r="U2004" s="237"/>
      <c r="V2004" s="237"/>
      <c r="W2004" s="237"/>
      <c r="X2004" s="237"/>
      <c r="Y2004" s="237"/>
      <c r="Z2004" s="237"/>
      <c r="AA2004" s="237"/>
      <c r="AB2004" s="237"/>
    </row>
    <row r="2005">
      <c r="A2005" s="237"/>
      <c r="B2005" s="242"/>
      <c r="C2005" s="88" t="s">
        <v>11963</v>
      </c>
      <c r="D2005" s="236"/>
      <c r="E2005" s="241" t="s">
        <v>11961</v>
      </c>
      <c r="F2005" s="88" t="s">
        <v>11964</v>
      </c>
      <c r="G2005" s="274" t="s">
        <v>4512</v>
      </c>
      <c r="H2005" s="236"/>
      <c r="I2005" s="236"/>
      <c r="J2005" s="266" t="s">
        <v>11962</v>
      </c>
      <c r="K2005" s="242"/>
      <c r="L2005" s="237"/>
      <c r="M2005" s="237"/>
      <c r="N2005" s="237"/>
      <c r="O2005" s="237"/>
      <c r="P2005" s="237"/>
      <c r="Q2005" s="237"/>
      <c r="R2005" s="237"/>
      <c r="S2005" s="237"/>
      <c r="T2005" s="237"/>
      <c r="U2005" s="237"/>
      <c r="V2005" s="237"/>
      <c r="W2005" s="237"/>
      <c r="X2005" s="237"/>
      <c r="Y2005" s="237"/>
      <c r="Z2005" s="237"/>
      <c r="AA2005" s="237"/>
      <c r="AB2005" s="237"/>
    </row>
    <row r="2006">
      <c r="A2006" s="237"/>
      <c r="B2006" s="242"/>
      <c r="C2006" s="88" t="s">
        <v>11965</v>
      </c>
      <c r="D2006" s="236"/>
      <c r="E2006" s="241" t="s">
        <v>11961</v>
      </c>
      <c r="F2006" s="88" t="s">
        <v>11966</v>
      </c>
      <c r="G2006" s="238" t="s">
        <v>11967</v>
      </c>
      <c r="H2006" s="236"/>
      <c r="I2006" s="236"/>
      <c r="J2006" s="266" t="s">
        <v>11962</v>
      </c>
      <c r="K2006" s="242"/>
      <c r="L2006" s="237"/>
      <c r="M2006" s="237"/>
      <c r="N2006" s="237"/>
      <c r="O2006" s="237"/>
      <c r="P2006" s="237"/>
      <c r="Q2006" s="237"/>
      <c r="R2006" s="237"/>
      <c r="S2006" s="237"/>
      <c r="T2006" s="237"/>
      <c r="U2006" s="237"/>
      <c r="V2006" s="237"/>
      <c r="W2006" s="237"/>
      <c r="X2006" s="237"/>
      <c r="Y2006" s="237"/>
      <c r="Z2006" s="237"/>
      <c r="AA2006" s="237"/>
      <c r="AB2006" s="237"/>
    </row>
    <row r="2007">
      <c r="A2007" s="237"/>
      <c r="B2007" s="242"/>
      <c r="C2007" s="88" t="s">
        <v>11968</v>
      </c>
      <c r="D2007" s="236"/>
      <c r="E2007" s="241" t="s">
        <v>11961</v>
      </c>
      <c r="F2007" s="88" t="s">
        <v>11969</v>
      </c>
      <c r="G2007" s="274" t="s">
        <v>11970</v>
      </c>
      <c r="H2007" s="236"/>
      <c r="I2007" s="236"/>
      <c r="J2007" s="266" t="s">
        <v>11962</v>
      </c>
      <c r="K2007" s="242"/>
      <c r="L2007" s="237"/>
      <c r="M2007" s="237"/>
      <c r="N2007" s="237"/>
      <c r="O2007" s="237"/>
      <c r="P2007" s="237"/>
      <c r="Q2007" s="237"/>
      <c r="R2007" s="237"/>
      <c r="S2007" s="237"/>
      <c r="T2007" s="237"/>
      <c r="U2007" s="237"/>
      <c r="V2007" s="237"/>
      <c r="W2007" s="237"/>
      <c r="X2007" s="237"/>
      <c r="Y2007" s="237"/>
      <c r="Z2007" s="237"/>
      <c r="AA2007" s="237"/>
      <c r="AB2007" s="237"/>
    </row>
    <row r="2008">
      <c r="A2008" s="237"/>
      <c r="B2008" s="242"/>
      <c r="C2008" s="88" t="s">
        <v>11971</v>
      </c>
      <c r="D2008" s="236"/>
      <c r="E2008" s="241" t="s">
        <v>11961</v>
      </c>
      <c r="F2008" s="88" t="s">
        <v>11972</v>
      </c>
      <c r="G2008" s="274" t="s">
        <v>11973</v>
      </c>
      <c r="H2008" s="236"/>
      <c r="I2008" s="236"/>
      <c r="J2008" s="266" t="s">
        <v>11962</v>
      </c>
      <c r="K2008" s="242"/>
      <c r="L2008" s="237"/>
      <c r="M2008" s="237"/>
      <c r="N2008" s="237"/>
      <c r="O2008" s="237"/>
      <c r="P2008" s="237"/>
      <c r="Q2008" s="237"/>
      <c r="R2008" s="237"/>
      <c r="S2008" s="237"/>
      <c r="T2008" s="237"/>
      <c r="U2008" s="237"/>
      <c r="V2008" s="237"/>
      <c r="W2008" s="237"/>
      <c r="X2008" s="237"/>
      <c r="Y2008" s="237"/>
      <c r="Z2008" s="237"/>
      <c r="AA2008" s="237"/>
      <c r="AB2008" s="237"/>
    </row>
    <row r="2009">
      <c r="A2009" s="237"/>
      <c r="B2009" s="242"/>
      <c r="C2009" s="88" t="s">
        <v>11974</v>
      </c>
      <c r="D2009" s="236"/>
      <c r="E2009" s="241" t="s">
        <v>11961</v>
      </c>
      <c r="F2009" s="88" t="s">
        <v>11975</v>
      </c>
      <c r="G2009" s="264" t="s">
        <v>11976</v>
      </c>
      <c r="H2009" s="236"/>
      <c r="I2009" s="236"/>
      <c r="J2009" s="264" t="s">
        <v>11795</v>
      </c>
      <c r="K2009" s="242"/>
      <c r="L2009" s="237"/>
      <c r="M2009" s="237"/>
      <c r="N2009" s="237"/>
      <c r="O2009" s="237"/>
      <c r="P2009" s="237"/>
      <c r="Q2009" s="237"/>
      <c r="R2009" s="237"/>
      <c r="S2009" s="237"/>
      <c r="T2009" s="237"/>
      <c r="U2009" s="237"/>
      <c r="V2009" s="237"/>
      <c r="W2009" s="237"/>
      <c r="X2009" s="237"/>
      <c r="Y2009" s="237"/>
      <c r="Z2009" s="237"/>
      <c r="AA2009" s="237"/>
      <c r="AB2009" s="237"/>
    </row>
    <row r="2010">
      <c r="A2010" s="237"/>
      <c r="B2010" s="242"/>
      <c r="C2010" s="88" t="s">
        <v>11977</v>
      </c>
      <c r="D2010" s="243" t="s">
        <v>11978</v>
      </c>
      <c r="E2010" s="241" t="s">
        <v>1420</v>
      </c>
      <c r="F2010" s="88" t="s">
        <v>11979</v>
      </c>
      <c r="G2010" s="88" t="s">
        <v>11980</v>
      </c>
      <c r="H2010" s="254" t="s">
        <v>11981</v>
      </c>
      <c r="I2010" s="236"/>
      <c r="J2010" s="88" t="s">
        <v>9758</v>
      </c>
      <c r="K2010" s="242"/>
      <c r="L2010" s="237"/>
      <c r="M2010" s="237"/>
      <c r="N2010" s="237"/>
      <c r="O2010" s="237"/>
      <c r="P2010" s="237"/>
      <c r="Q2010" s="237"/>
      <c r="R2010" s="237"/>
      <c r="S2010" s="237"/>
      <c r="T2010" s="237"/>
      <c r="U2010" s="237"/>
      <c r="V2010" s="237"/>
      <c r="W2010" s="237"/>
      <c r="X2010" s="237"/>
      <c r="Y2010" s="237"/>
      <c r="Z2010" s="237"/>
      <c r="AA2010" s="237"/>
      <c r="AB2010" s="237"/>
    </row>
    <row r="2011">
      <c r="A2011" s="237"/>
      <c r="B2011" s="242"/>
      <c r="C2011" s="88" t="s">
        <v>11982</v>
      </c>
      <c r="D2011" s="243" t="s">
        <v>11983</v>
      </c>
      <c r="E2011" s="241" t="s">
        <v>1420</v>
      </c>
      <c r="F2011" s="88" t="s">
        <v>11984</v>
      </c>
      <c r="G2011" s="88" t="s">
        <v>11985</v>
      </c>
      <c r="H2011" s="88" t="s">
        <v>11986</v>
      </c>
      <c r="I2011" s="236"/>
      <c r="J2011" s="88" t="s">
        <v>9758</v>
      </c>
      <c r="K2011" s="242"/>
      <c r="L2011" s="237"/>
      <c r="M2011" s="237"/>
      <c r="N2011" s="237"/>
      <c r="O2011" s="237"/>
      <c r="P2011" s="237"/>
      <c r="Q2011" s="237"/>
      <c r="R2011" s="237"/>
      <c r="S2011" s="237"/>
      <c r="T2011" s="237"/>
      <c r="U2011" s="237"/>
      <c r="V2011" s="237"/>
      <c r="W2011" s="237"/>
      <c r="X2011" s="237"/>
      <c r="Y2011" s="237"/>
      <c r="Z2011" s="237"/>
      <c r="AA2011" s="237"/>
      <c r="AB2011" s="237"/>
    </row>
    <row r="2012">
      <c r="A2012" s="237"/>
      <c r="B2012" s="242"/>
      <c r="C2012" s="88" t="s">
        <v>11987</v>
      </c>
      <c r="D2012" s="243" t="s">
        <v>11988</v>
      </c>
      <c r="E2012" s="241" t="s">
        <v>1420</v>
      </c>
      <c r="F2012" s="88" t="s">
        <v>11989</v>
      </c>
      <c r="G2012" s="88" t="s">
        <v>11990</v>
      </c>
      <c r="H2012" s="254" t="s">
        <v>11991</v>
      </c>
      <c r="I2012" s="236"/>
      <c r="J2012" s="88" t="s">
        <v>9758</v>
      </c>
      <c r="K2012" s="242"/>
      <c r="L2012" s="271">
        <v>47308.0</v>
      </c>
      <c r="M2012" s="237"/>
      <c r="N2012" s="237"/>
      <c r="O2012" s="237"/>
      <c r="P2012" s="237"/>
      <c r="Q2012" s="237"/>
      <c r="R2012" s="237"/>
      <c r="S2012" s="237"/>
      <c r="T2012" s="237"/>
      <c r="U2012" s="237"/>
      <c r="V2012" s="237"/>
      <c r="W2012" s="237"/>
      <c r="X2012" s="237"/>
      <c r="Y2012" s="237"/>
      <c r="Z2012" s="237"/>
      <c r="AA2012" s="237"/>
      <c r="AB2012" s="237"/>
    </row>
    <row r="2013">
      <c r="A2013" s="237"/>
      <c r="B2013" s="242"/>
      <c r="C2013" s="88" t="s">
        <v>11992</v>
      </c>
      <c r="D2013" s="236"/>
      <c r="E2013" s="241" t="s">
        <v>11961</v>
      </c>
      <c r="F2013" s="88" t="s">
        <v>11993</v>
      </c>
      <c r="G2013" s="88" t="s">
        <v>11994</v>
      </c>
      <c r="H2013" s="236"/>
      <c r="I2013" s="236"/>
      <c r="J2013" s="88" t="s">
        <v>9758</v>
      </c>
      <c r="K2013" s="242"/>
      <c r="L2013" s="237"/>
      <c r="M2013" s="237"/>
      <c r="N2013" s="237"/>
      <c r="O2013" s="237"/>
      <c r="P2013" s="237"/>
      <c r="Q2013" s="237"/>
      <c r="R2013" s="237"/>
      <c r="S2013" s="237"/>
      <c r="T2013" s="237"/>
      <c r="U2013" s="237"/>
      <c r="V2013" s="237"/>
      <c r="W2013" s="237"/>
      <c r="X2013" s="237"/>
      <c r="Y2013" s="237"/>
      <c r="Z2013" s="237"/>
      <c r="AA2013" s="237"/>
      <c r="AB2013" s="237"/>
    </row>
    <row r="2014">
      <c r="A2014" s="237"/>
      <c r="B2014" s="275"/>
      <c r="C2014" s="88" t="s">
        <v>11995</v>
      </c>
      <c r="D2014" s="236"/>
      <c r="E2014" s="241" t="s">
        <v>11961</v>
      </c>
      <c r="F2014" s="88" t="s">
        <v>11996</v>
      </c>
      <c r="G2014" s="88" t="s">
        <v>11997</v>
      </c>
      <c r="H2014" s="236"/>
      <c r="I2014" s="236"/>
      <c r="J2014" s="88" t="s">
        <v>9758</v>
      </c>
      <c r="K2014" s="275"/>
      <c r="L2014" s="237"/>
      <c r="M2014" s="237"/>
      <c r="N2014" s="237"/>
      <c r="O2014" s="237"/>
      <c r="P2014" s="237"/>
      <c r="Q2014" s="237"/>
      <c r="R2014" s="237"/>
      <c r="S2014" s="237"/>
      <c r="T2014" s="237"/>
      <c r="U2014" s="237"/>
      <c r="V2014" s="237"/>
      <c r="W2014" s="237"/>
      <c r="X2014" s="237"/>
      <c r="Y2014" s="237"/>
      <c r="Z2014" s="237"/>
      <c r="AA2014" s="237"/>
      <c r="AB2014" s="237"/>
    </row>
    <row r="2015">
      <c r="A2015" s="237"/>
      <c r="B2015" s="275"/>
      <c r="C2015" s="88" t="s">
        <v>11998</v>
      </c>
      <c r="D2015" s="243" t="s">
        <v>11999</v>
      </c>
      <c r="E2015" s="241" t="s">
        <v>11961</v>
      </c>
      <c r="F2015" s="88" t="s">
        <v>12000</v>
      </c>
      <c r="G2015" s="88" t="s">
        <v>12001</v>
      </c>
      <c r="H2015" s="236"/>
      <c r="I2015" s="236"/>
      <c r="J2015" s="88" t="s">
        <v>3962</v>
      </c>
      <c r="K2015" s="275"/>
      <c r="L2015" s="237"/>
      <c r="M2015" s="237"/>
      <c r="N2015" s="237"/>
      <c r="O2015" s="237"/>
      <c r="P2015" s="237"/>
      <c r="Q2015" s="237"/>
      <c r="R2015" s="237"/>
      <c r="S2015" s="237"/>
      <c r="T2015" s="237"/>
      <c r="U2015" s="237"/>
      <c r="V2015" s="237"/>
      <c r="W2015" s="237"/>
      <c r="X2015" s="237"/>
      <c r="Y2015" s="237"/>
      <c r="Z2015" s="237"/>
      <c r="AA2015" s="237"/>
      <c r="AB2015" s="237"/>
    </row>
    <row r="2016">
      <c r="A2016" s="237"/>
      <c r="B2016" s="275"/>
      <c r="C2016" s="88" t="s">
        <v>12002</v>
      </c>
      <c r="D2016" s="236"/>
      <c r="E2016" s="241" t="s">
        <v>11961</v>
      </c>
      <c r="F2016" s="88" t="s">
        <v>12003</v>
      </c>
      <c r="G2016" s="88" t="s">
        <v>12004</v>
      </c>
      <c r="H2016" s="236"/>
      <c r="I2016" s="236"/>
      <c r="J2016" s="88" t="s">
        <v>3962</v>
      </c>
      <c r="K2016" s="275"/>
      <c r="L2016" s="237"/>
      <c r="M2016" s="237"/>
      <c r="N2016" s="237"/>
      <c r="O2016" s="237"/>
      <c r="P2016" s="237"/>
      <c r="Q2016" s="237"/>
      <c r="R2016" s="237"/>
      <c r="S2016" s="237"/>
      <c r="T2016" s="237"/>
      <c r="U2016" s="237"/>
      <c r="V2016" s="237"/>
      <c r="W2016" s="237"/>
      <c r="X2016" s="237"/>
      <c r="Y2016" s="237"/>
      <c r="Z2016" s="237"/>
      <c r="AA2016" s="237"/>
      <c r="AB2016" s="237"/>
    </row>
    <row r="2017">
      <c r="A2017" s="237"/>
      <c r="B2017" s="275"/>
      <c r="C2017" s="88" t="s">
        <v>12005</v>
      </c>
      <c r="D2017" s="236"/>
      <c r="E2017" s="241" t="s">
        <v>11961</v>
      </c>
      <c r="F2017" s="88" t="s">
        <v>12006</v>
      </c>
      <c r="G2017" s="88" t="s">
        <v>12007</v>
      </c>
      <c r="H2017" s="236"/>
      <c r="I2017" s="236"/>
      <c r="J2017" s="88" t="s">
        <v>3962</v>
      </c>
      <c r="K2017" s="275"/>
      <c r="L2017" s="237"/>
      <c r="M2017" s="237"/>
      <c r="N2017" s="237"/>
      <c r="O2017" s="237"/>
      <c r="P2017" s="237"/>
      <c r="Q2017" s="237"/>
      <c r="R2017" s="237"/>
      <c r="S2017" s="237"/>
      <c r="T2017" s="237"/>
      <c r="U2017" s="237"/>
      <c r="V2017" s="237"/>
      <c r="W2017" s="237"/>
      <c r="X2017" s="237"/>
      <c r="Y2017" s="237"/>
      <c r="Z2017" s="237"/>
      <c r="AA2017" s="237"/>
      <c r="AB2017" s="237"/>
    </row>
    <row r="2018">
      <c r="A2018" s="237"/>
      <c r="B2018" s="275"/>
      <c r="C2018" s="88" t="s">
        <v>12008</v>
      </c>
      <c r="D2018" s="236"/>
      <c r="E2018" s="241" t="s">
        <v>11961</v>
      </c>
      <c r="F2018" s="88" t="s">
        <v>12009</v>
      </c>
      <c r="G2018" s="88" t="s">
        <v>12010</v>
      </c>
      <c r="H2018" s="236"/>
      <c r="I2018" s="236"/>
      <c r="J2018" s="88" t="s">
        <v>3962</v>
      </c>
      <c r="K2018" s="275"/>
      <c r="L2018" s="237"/>
      <c r="M2018" s="237"/>
      <c r="N2018" s="237"/>
      <c r="O2018" s="237"/>
      <c r="P2018" s="237"/>
      <c r="Q2018" s="237"/>
      <c r="R2018" s="237"/>
      <c r="S2018" s="237"/>
      <c r="T2018" s="237"/>
      <c r="U2018" s="237"/>
      <c r="V2018" s="237"/>
      <c r="W2018" s="237"/>
      <c r="X2018" s="237"/>
      <c r="Y2018" s="237"/>
      <c r="Z2018" s="237"/>
      <c r="AA2018" s="237"/>
      <c r="AB2018" s="237"/>
    </row>
    <row r="2019">
      <c r="A2019" s="237"/>
      <c r="B2019" s="275"/>
      <c r="C2019" s="88" t="s">
        <v>12011</v>
      </c>
      <c r="D2019" s="236"/>
      <c r="E2019" s="241" t="s">
        <v>11961</v>
      </c>
      <c r="F2019" s="88" t="s">
        <v>12012</v>
      </c>
      <c r="G2019" s="88" t="s">
        <v>12013</v>
      </c>
      <c r="H2019" s="236"/>
      <c r="I2019" s="236"/>
      <c r="J2019" s="88" t="s">
        <v>3962</v>
      </c>
      <c r="K2019" s="275"/>
      <c r="L2019" s="237"/>
      <c r="M2019" s="237"/>
      <c r="N2019" s="237"/>
      <c r="O2019" s="237"/>
      <c r="P2019" s="237"/>
      <c r="Q2019" s="237"/>
      <c r="R2019" s="237"/>
      <c r="S2019" s="237"/>
      <c r="T2019" s="237"/>
      <c r="U2019" s="237"/>
      <c r="V2019" s="237"/>
      <c r="W2019" s="237"/>
      <c r="X2019" s="237"/>
      <c r="Y2019" s="237"/>
      <c r="Z2019" s="237"/>
      <c r="AA2019" s="237"/>
      <c r="AB2019" s="237"/>
    </row>
    <row r="2020">
      <c r="A2020" s="237"/>
      <c r="B2020" s="275"/>
      <c r="C2020" s="88" t="s">
        <v>12014</v>
      </c>
      <c r="D2020" s="236"/>
      <c r="E2020" s="241" t="s">
        <v>11961</v>
      </c>
      <c r="F2020" s="88" t="s">
        <v>12015</v>
      </c>
      <c r="G2020" s="88" t="s">
        <v>12016</v>
      </c>
      <c r="H2020" s="236"/>
      <c r="I2020" s="236"/>
      <c r="J2020" s="88" t="s">
        <v>11795</v>
      </c>
      <c r="K2020" s="275"/>
      <c r="L2020" s="237"/>
      <c r="M2020" s="237"/>
      <c r="N2020" s="237"/>
      <c r="O2020" s="237"/>
      <c r="P2020" s="237"/>
      <c r="Q2020" s="237"/>
      <c r="R2020" s="237"/>
      <c r="S2020" s="237"/>
      <c r="T2020" s="237"/>
      <c r="U2020" s="237"/>
      <c r="V2020" s="237"/>
      <c r="W2020" s="237"/>
      <c r="X2020" s="237"/>
      <c r="Y2020" s="237"/>
      <c r="Z2020" s="237"/>
      <c r="AA2020" s="237"/>
      <c r="AB2020" s="237"/>
    </row>
    <row r="2021">
      <c r="A2021" s="237"/>
      <c r="B2021" s="275"/>
      <c r="C2021" s="88" t="s">
        <v>12017</v>
      </c>
      <c r="D2021" s="236"/>
      <c r="E2021" s="241" t="s">
        <v>11961</v>
      </c>
      <c r="F2021" s="88" t="s">
        <v>12018</v>
      </c>
      <c r="G2021" s="88" t="s">
        <v>12019</v>
      </c>
      <c r="H2021" s="236"/>
      <c r="I2021" s="236"/>
      <c r="J2021" s="88" t="s">
        <v>11795</v>
      </c>
      <c r="K2021" s="275"/>
      <c r="L2021" s="237"/>
      <c r="M2021" s="237"/>
      <c r="N2021" s="237"/>
      <c r="O2021" s="237"/>
      <c r="P2021" s="237"/>
      <c r="Q2021" s="237"/>
      <c r="R2021" s="237"/>
      <c r="S2021" s="237"/>
      <c r="T2021" s="237"/>
      <c r="U2021" s="237"/>
      <c r="V2021" s="237"/>
      <c r="W2021" s="237"/>
      <c r="X2021" s="237"/>
      <c r="Y2021" s="237"/>
      <c r="Z2021" s="237"/>
      <c r="AA2021" s="237"/>
      <c r="AB2021" s="237"/>
    </row>
    <row r="2022">
      <c r="A2022" s="237"/>
      <c r="B2022" s="275"/>
      <c r="C2022" s="88" t="s">
        <v>12020</v>
      </c>
      <c r="D2022" s="236"/>
      <c r="E2022" s="241" t="s">
        <v>11961</v>
      </c>
      <c r="F2022" s="88" t="s">
        <v>12021</v>
      </c>
      <c r="G2022" s="88" t="s">
        <v>12022</v>
      </c>
      <c r="H2022" s="236"/>
      <c r="I2022" s="236"/>
      <c r="J2022" s="88" t="s">
        <v>11795</v>
      </c>
      <c r="K2022" s="275"/>
      <c r="L2022" s="237"/>
      <c r="M2022" s="237"/>
      <c r="N2022" s="237"/>
      <c r="O2022" s="237"/>
      <c r="P2022" s="237"/>
      <c r="Q2022" s="237"/>
      <c r="R2022" s="237"/>
      <c r="S2022" s="237"/>
      <c r="T2022" s="237"/>
      <c r="U2022" s="237"/>
      <c r="V2022" s="237"/>
      <c r="W2022" s="237"/>
      <c r="X2022" s="237"/>
      <c r="Y2022" s="237"/>
      <c r="Z2022" s="237"/>
      <c r="AA2022" s="237"/>
      <c r="AB2022" s="237"/>
    </row>
    <row r="2023">
      <c r="A2023" s="237"/>
      <c r="B2023" s="275"/>
      <c r="C2023" s="88" t="s">
        <v>12023</v>
      </c>
      <c r="D2023" s="236"/>
      <c r="E2023" s="241" t="s">
        <v>11961</v>
      </c>
      <c r="F2023" s="88" t="s">
        <v>12024</v>
      </c>
      <c r="G2023" s="236"/>
      <c r="H2023" s="236"/>
      <c r="I2023" s="236"/>
      <c r="J2023" s="88" t="s">
        <v>11795</v>
      </c>
      <c r="K2023" s="275"/>
      <c r="L2023" s="237"/>
      <c r="M2023" s="237"/>
      <c r="N2023" s="237"/>
      <c r="O2023" s="237"/>
      <c r="P2023" s="237"/>
      <c r="Q2023" s="237"/>
      <c r="R2023" s="237"/>
      <c r="S2023" s="237"/>
      <c r="T2023" s="237"/>
      <c r="U2023" s="237"/>
      <c r="V2023" s="237"/>
      <c r="W2023" s="237"/>
      <c r="X2023" s="237"/>
      <c r="Y2023" s="237"/>
      <c r="Z2023" s="237"/>
      <c r="AA2023" s="237"/>
      <c r="AB2023" s="237"/>
    </row>
    <row r="2024">
      <c r="A2024" s="237"/>
      <c r="B2024" s="275"/>
      <c r="C2024" s="88" t="s">
        <v>12025</v>
      </c>
      <c r="D2024" s="236"/>
      <c r="E2024" s="241" t="s">
        <v>11961</v>
      </c>
      <c r="F2024" s="88" t="s">
        <v>12026</v>
      </c>
      <c r="G2024" s="88" t="s">
        <v>12027</v>
      </c>
      <c r="H2024" s="236"/>
      <c r="I2024" s="236"/>
      <c r="J2024" s="88" t="s">
        <v>11795</v>
      </c>
      <c r="K2024" s="275"/>
      <c r="L2024" s="237"/>
      <c r="M2024" s="237"/>
      <c r="N2024" s="237"/>
      <c r="O2024" s="237"/>
      <c r="P2024" s="237"/>
      <c r="Q2024" s="237"/>
      <c r="R2024" s="237"/>
      <c r="S2024" s="237"/>
      <c r="T2024" s="237"/>
      <c r="U2024" s="237"/>
      <c r="V2024" s="237"/>
      <c r="W2024" s="237"/>
      <c r="X2024" s="237"/>
      <c r="Y2024" s="237"/>
      <c r="Z2024" s="237"/>
      <c r="AA2024" s="237"/>
      <c r="AB2024" s="237"/>
    </row>
    <row r="2025">
      <c r="A2025" s="237"/>
      <c r="B2025" s="275"/>
      <c r="C2025" s="88" t="s">
        <v>12028</v>
      </c>
      <c r="D2025" s="236"/>
      <c r="E2025" s="241" t="s">
        <v>11961</v>
      </c>
      <c r="F2025" s="88" t="s">
        <v>12029</v>
      </c>
      <c r="G2025" s="88" t="s">
        <v>12030</v>
      </c>
      <c r="H2025" s="236"/>
      <c r="I2025" s="236"/>
      <c r="J2025" s="88" t="s">
        <v>11795</v>
      </c>
      <c r="K2025" s="275"/>
      <c r="L2025" s="237"/>
      <c r="M2025" s="237"/>
      <c r="N2025" s="237"/>
      <c r="O2025" s="237"/>
      <c r="P2025" s="237"/>
      <c r="Q2025" s="237"/>
      <c r="R2025" s="237"/>
      <c r="S2025" s="237"/>
      <c r="T2025" s="237"/>
      <c r="U2025" s="237"/>
      <c r="V2025" s="237"/>
      <c r="W2025" s="237"/>
      <c r="X2025" s="237"/>
      <c r="Y2025" s="237"/>
      <c r="Z2025" s="237"/>
      <c r="AA2025" s="237"/>
      <c r="AB2025" s="237"/>
    </row>
    <row r="2026">
      <c r="A2026" s="237"/>
      <c r="B2026" s="275"/>
      <c r="C2026" s="88" t="s">
        <v>12031</v>
      </c>
      <c r="D2026" s="236"/>
      <c r="E2026" s="241" t="s">
        <v>11961</v>
      </c>
      <c r="F2026" s="88" t="s">
        <v>12032</v>
      </c>
      <c r="G2026" s="88" t="s">
        <v>12033</v>
      </c>
      <c r="H2026" s="236"/>
      <c r="I2026" s="236"/>
      <c r="J2026" s="88" t="s">
        <v>11795</v>
      </c>
      <c r="K2026" s="275"/>
      <c r="L2026" s="237"/>
      <c r="M2026" s="237"/>
      <c r="N2026" s="237"/>
      <c r="O2026" s="237"/>
      <c r="P2026" s="237"/>
      <c r="Q2026" s="237"/>
      <c r="R2026" s="237"/>
      <c r="S2026" s="237"/>
      <c r="T2026" s="237"/>
      <c r="U2026" s="237"/>
      <c r="V2026" s="237"/>
      <c r="W2026" s="237"/>
      <c r="X2026" s="237"/>
      <c r="Y2026" s="237"/>
      <c r="Z2026" s="237"/>
      <c r="AA2026" s="237"/>
      <c r="AB2026" s="237"/>
    </row>
    <row r="2027">
      <c r="A2027" s="237"/>
      <c r="B2027" s="275"/>
      <c r="C2027" s="88" t="s">
        <v>12034</v>
      </c>
      <c r="D2027" s="236"/>
      <c r="E2027" s="241" t="s">
        <v>11961</v>
      </c>
      <c r="F2027" s="88" t="s">
        <v>12035</v>
      </c>
      <c r="G2027" s="88" t="s">
        <v>12036</v>
      </c>
      <c r="H2027" s="236"/>
      <c r="I2027" s="236"/>
      <c r="J2027" s="88" t="s">
        <v>11795</v>
      </c>
      <c r="K2027" s="275"/>
      <c r="L2027" s="237"/>
      <c r="M2027" s="237"/>
      <c r="N2027" s="237"/>
      <c r="O2027" s="237"/>
      <c r="P2027" s="237"/>
      <c r="Q2027" s="237"/>
      <c r="R2027" s="237"/>
      <c r="S2027" s="237"/>
      <c r="T2027" s="237"/>
      <c r="U2027" s="237"/>
      <c r="V2027" s="237"/>
      <c r="W2027" s="237"/>
      <c r="X2027" s="237"/>
      <c r="Y2027" s="237"/>
      <c r="Z2027" s="237"/>
      <c r="AA2027" s="237"/>
      <c r="AB2027" s="237"/>
    </row>
    <row r="2028">
      <c r="A2028" s="237"/>
      <c r="B2028" s="275"/>
      <c r="C2028" s="88" t="s">
        <v>12037</v>
      </c>
      <c r="D2028" s="236"/>
      <c r="E2028" s="241" t="s">
        <v>11961</v>
      </c>
      <c r="F2028" s="88" t="s">
        <v>12038</v>
      </c>
      <c r="G2028" s="88" t="s">
        <v>12039</v>
      </c>
      <c r="H2028" s="236"/>
      <c r="I2028" s="236"/>
      <c r="J2028" s="88" t="s">
        <v>11795</v>
      </c>
      <c r="K2028" s="275"/>
      <c r="L2028" s="237"/>
      <c r="M2028" s="237"/>
      <c r="N2028" s="237"/>
      <c r="O2028" s="237"/>
      <c r="P2028" s="237"/>
      <c r="Q2028" s="237"/>
      <c r="R2028" s="237"/>
      <c r="S2028" s="237"/>
      <c r="T2028" s="237"/>
      <c r="U2028" s="237"/>
      <c r="V2028" s="237"/>
      <c r="W2028" s="237"/>
      <c r="X2028" s="237"/>
      <c r="Y2028" s="237"/>
      <c r="Z2028" s="237"/>
      <c r="AA2028" s="237"/>
      <c r="AB2028" s="237"/>
    </row>
    <row r="2029">
      <c r="A2029" s="237"/>
      <c r="B2029" s="275"/>
      <c r="C2029" s="88" t="s">
        <v>12040</v>
      </c>
      <c r="D2029" s="236"/>
      <c r="E2029" s="241" t="s">
        <v>11961</v>
      </c>
      <c r="F2029" s="88" t="s">
        <v>12041</v>
      </c>
      <c r="G2029" s="88" t="s">
        <v>12042</v>
      </c>
      <c r="H2029" s="236"/>
      <c r="I2029" s="236"/>
      <c r="J2029" s="88" t="s">
        <v>11795</v>
      </c>
      <c r="K2029" s="275"/>
      <c r="L2029" s="237"/>
      <c r="M2029" s="237"/>
      <c r="N2029" s="237"/>
      <c r="O2029" s="237"/>
      <c r="P2029" s="237"/>
      <c r="Q2029" s="237"/>
      <c r="R2029" s="237"/>
      <c r="S2029" s="237"/>
      <c r="T2029" s="237"/>
      <c r="U2029" s="237"/>
      <c r="V2029" s="237"/>
      <c r="W2029" s="237"/>
      <c r="X2029" s="237"/>
      <c r="Y2029" s="237"/>
      <c r="Z2029" s="237"/>
      <c r="AA2029" s="237"/>
      <c r="AB2029" s="237"/>
    </row>
    <row r="2030">
      <c r="A2030" s="237"/>
      <c r="B2030" s="275"/>
      <c r="C2030" s="88" t="s">
        <v>12043</v>
      </c>
      <c r="D2030" s="236"/>
      <c r="E2030" s="241" t="s">
        <v>11961</v>
      </c>
      <c r="F2030" s="88" t="s">
        <v>12044</v>
      </c>
      <c r="G2030" s="88" t="s">
        <v>12045</v>
      </c>
      <c r="H2030" s="236"/>
      <c r="I2030" s="236"/>
      <c r="J2030" s="88" t="s">
        <v>11795</v>
      </c>
      <c r="K2030" s="275"/>
      <c r="L2030" s="237"/>
      <c r="M2030" s="237"/>
      <c r="N2030" s="237"/>
      <c r="O2030" s="237"/>
      <c r="P2030" s="237"/>
      <c r="Q2030" s="237"/>
      <c r="R2030" s="237"/>
      <c r="S2030" s="237"/>
      <c r="T2030" s="237"/>
      <c r="U2030" s="237"/>
      <c r="V2030" s="237"/>
      <c r="W2030" s="237"/>
      <c r="X2030" s="237"/>
      <c r="Y2030" s="237"/>
      <c r="Z2030" s="237"/>
      <c r="AA2030" s="237"/>
      <c r="AB2030" s="237"/>
    </row>
    <row r="2031">
      <c r="A2031" s="237"/>
      <c r="B2031" s="275"/>
      <c r="C2031" s="88" t="s">
        <v>12046</v>
      </c>
      <c r="D2031" s="236"/>
      <c r="E2031" s="241" t="s">
        <v>11961</v>
      </c>
      <c r="F2031" s="88" t="s">
        <v>12047</v>
      </c>
      <c r="G2031" s="88" t="s">
        <v>12048</v>
      </c>
      <c r="H2031" s="236"/>
      <c r="I2031" s="236"/>
      <c r="J2031" s="88" t="s">
        <v>11795</v>
      </c>
      <c r="K2031" s="275"/>
      <c r="L2031" s="237"/>
      <c r="M2031" s="237"/>
      <c r="N2031" s="237"/>
      <c r="O2031" s="237"/>
      <c r="P2031" s="237"/>
      <c r="Q2031" s="237"/>
      <c r="R2031" s="237"/>
      <c r="S2031" s="237"/>
      <c r="T2031" s="237"/>
      <c r="U2031" s="237"/>
      <c r="V2031" s="237"/>
      <c r="W2031" s="237"/>
      <c r="X2031" s="237"/>
      <c r="Y2031" s="237"/>
      <c r="Z2031" s="237"/>
      <c r="AA2031" s="237"/>
      <c r="AB2031" s="237"/>
    </row>
    <row r="2032">
      <c r="A2032" s="237"/>
      <c r="B2032" s="275"/>
      <c r="C2032" s="88" t="s">
        <v>12049</v>
      </c>
      <c r="D2032" s="236"/>
      <c r="E2032" s="241" t="s">
        <v>11961</v>
      </c>
      <c r="F2032" s="88" t="s">
        <v>12050</v>
      </c>
      <c r="G2032" s="88" t="s">
        <v>12051</v>
      </c>
      <c r="H2032" s="236"/>
      <c r="I2032" s="236"/>
      <c r="J2032" s="88" t="s">
        <v>11795</v>
      </c>
      <c r="K2032" s="275"/>
      <c r="L2032" s="237"/>
      <c r="M2032" s="237"/>
      <c r="N2032" s="237"/>
      <c r="O2032" s="237"/>
      <c r="P2032" s="237"/>
      <c r="Q2032" s="237"/>
      <c r="R2032" s="237"/>
      <c r="S2032" s="237"/>
      <c r="T2032" s="237"/>
      <c r="U2032" s="237"/>
      <c r="V2032" s="237"/>
      <c r="W2032" s="237"/>
      <c r="X2032" s="237"/>
      <c r="Y2032" s="237"/>
      <c r="Z2032" s="237"/>
      <c r="AA2032" s="237"/>
      <c r="AB2032" s="237"/>
    </row>
    <row r="2033">
      <c r="A2033" s="237"/>
      <c r="B2033" s="275"/>
      <c r="C2033" s="88" t="s">
        <v>12052</v>
      </c>
      <c r="D2033" s="236"/>
      <c r="E2033" s="241" t="s">
        <v>11961</v>
      </c>
      <c r="F2033" s="88" t="s">
        <v>12053</v>
      </c>
      <c r="G2033" s="88" t="s">
        <v>12054</v>
      </c>
      <c r="H2033" s="236"/>
      <c r="I2033" s="236"/>
      <c r="J2033" s="88" t="s">
        <v>11795</v>
      </c>
      <c r="K2033" s="275"/>
      <c r="L2033" s="237"/>
      <c r="M2033" s="237"/>
      <c r="N2033" s="237"/>
      <c r="O2033" s="237"/>
      <c r="P2033" s="237"/>
      <c r="Q2033" s="237"/>
      <c r="R2033" s="237"/>
      <c r="S2033" s="237"/>
      <c r="T2033" s="237"/>
      <c r="U2033" s="237"/>
      <c r="V2033" s="237"/>
      <c r="W2033" s="237"/>
      <c r="X2033" s="237"/>
      <c r="Y2033" s="237"/>
      <c r="Z2033" s="237"/>
      <c r="AA2033" s="237"/>
      <c r="AB2033" s="237"/>
    </row>
    <row r="2034">
      <c r="A2034" s="237"/>
      <c r="B2034" s="275"/>
      <c r="C2034" s="88" t="s">
        <v>12055</v>
      </c>
      <c r="D2034" s="236"/>
      <c r="E2034" s="241" t="s">
        <v>11961</v>
      </c>
      <c r="F2034" s="88" t="s">
        <v>12056</v>
      </c>
      <c r="G2034" s="88" t="s">
        <v>12057</v>
      </c>
      <c r="H2034" s="236"/>
      <c r="I2034" s="236"/>
      <c r="J2034" s="88" t="s">
        <v>11795</v>
      </c>
      <c r="K2034" s="275"/>
      <c r="L2034" s="237"/>
      <c r="M2034" s="237"/>
      <c r="N2034" s="237"/>
      <c r="O2034" s="237"/>
      <c r="P2034" s="237"/>
      <c r="Q2034" s="237"/>
      <c r="R2034" s="237"/>
      <c r="S2034" s="237"/>
      <c r="T2034" s="237"/>
      <c r="U2034" s="237"/>
      <c r="V2034" s="237"/>
      <c r="W2034" s="237"/>
      <c r="X2034" s="237"/>
      <c r="Y2034" s="237"/>
      <c r="Z2034" s="237"/>
      <c r="AA2034" s="237"/>
      <c r="AB2034" s="237"/>
    </row>
    <row r="2035">
      <c r="A2035" s="237"/>
      <c r="B2035" s="275"/>
      <c r="C2035" s="88" t="s">
        <v>12058</v>
      </c>
      <c r="D2035" s="236"/>
      <c r="E2035" s="241" t="s">
        <v>11961</v>
      </c>
      <c r="F2035" s="88" t="s">
        <v>12059</v>
      </c>
      <c r="G2035" s="88" t="s">
        <v>12060</v>
      </c>
      <c r="H2035" s="236"/>
      <c r="I2035" s="236"/>
      <c r="J2035" s="88" t="s">
        <v>11795</v>
      </c>
      <c r="K2035" s="275"/>
      <c r="L2035" s="237"/>
      <c r="M2035" s="237"/>
      <c r="N2035" s="237"/>
      <c r="O2035" s="237"/>
      <c r="P2035" s="237"/>
      <c r="Q2035" s="237"/>
      <c r="R2035" s="237"/>
      <c r="S2035" s="237"/>
      <c r="T2035" s="237"/>
      <c r="U2035" s="237"/>
      <c r="V2035" s="237"/>
      <c r="W2035" s="237"/>
      <c r="X2035" s="237"/>
      <c r="Y2035" s="237"/>
      <c r="Z2035" s="237"/>
      <c r="AA2035" s="237"/>
      <c r="AB2035" s="237"/>
    </row>
    <row r="2036">
      <c r="A2036" s="237"/>
      <c r="B2036" s="275"/>
      <c r="C2036" s="88" t="s">
        <v>12061</v>
      </c>
      <c r="D2036" s="236"/>
      <c r="E2036" s="241" t="s">
        <v>11961</v>
      </c>
      <c r="F2036" s="88" t="s">
        <v>12062</v>
      </c>
      <c r="G2036" s="88" t="s">
        <v>12063</v>
      </c>
      <c r="H2036" s="236"/>
      <c r="I2036" s="236"/>
      <c r="J2036" s="88" t="s">
        <v>11795</v>
      </c>
      <c r="K2036" s="275"/>
      <c r="L2036" s="237"/>
      <c r="M2036" s="237"/>
      <c r="N2036" s="237"/>
      <c r="O2036" s="237"/>
      <c r="P2036" s="237"/>
      <c r="Q2036" s="237"/>
      <c r="R2036" s="237"/>
      <c r="S2036" s="237"/>
      <c r="T2036" s="237"/>
      <c r="U2036" s="237"/>
      <c r="V2036" s="237"/>
      <c r="W2036" s="237"/>
      <c r="X2036" s="237"/>
      <c r="Y2036" s="237"/>
      <c r="Z2036" s="237"/>
      <c r="AA2036" s="237"/>
      <c r="AB2036" s="237"/>
    </row>
    <row r="2037">
      <c r="A2037" s="237"/>
      <c r="B2037" s="275"/>
      <c r="C2037" s="88" t="s">
        <v>12064</v>
      </c>
      <c r="D2037" s="243" t="s">
        <v>12065</v>
      </c>
      <c r="E2037" s="241" t="s">
        <v>1420</v>
      </c>
      <c r="F2037" s="88" t="s">
        <v>12066</v>
      </c>
      <c r="G2037" s="88" t="s">
        <v>12067</v>
      </c>
      <c r="H2037" s="88" t="s">
        <v>12068</v>
      </c>
      <c r="I2037" s="236"/>
      <c r="J2037" s="88" t="s">
        <v>9758</v>
      </c>
      <c r="K2037" s="275"/>
      <c r="L2037" s="271">
        <v>47308.0</v>
      </c>
      <c r="M2037" s="237"/>
      <c r="N2037" s="237"/>
      <c r="O2037" s="237"/>
      <c r="P2037" s="237"/>
      <c r="Q2037" s="237"/>
      <c r="R2037" s="237"/>
      <c r="S2037" s="237"/>
      <c r="T2037" s="237"/>
      <c r="U2037" s="237"/>
      <c r="V2037" s="237"/>
      <c r="W2037" s="237"/>
      <c r="X2037" s="237"/>
      <c r="Y2037" s="237"/>
      <c r="Z2037" s="237"/>
      <c r="AA2037" s="237"/>
      <c r="AB2037" s="237"/>
    </row>
    <row r="2038">
      <c r="A2038" s="237"/>
      <c r="B2038" s="275"/>
      <c r="C2038" s="88" t="s">
        <v>12069</v>
      </c>
      <c r="D2038" s="243" t="s">
        <v>12070</v>
      </c>
      <c r="E2038" s="241" t="s">
        <v>1420</v>
      </c>
      <c r="F2038" s="88" t="s">
        <v>12071</v>
      </c>
      <c r="G2038" s="88" t="s">
        <v>12072</v>
      </c>
      <c r="H2038" s="88" t="s">
        <v>12073</v>
      </c>
      <c r="I2038" s="236"/>
      <c r="J2038" s="88" t="s">
        <v>9758</v>
      </c>
      <c r="K2038" s="275"/>
      <c r="L2038" s="271">
        <v>47308.0</v>
      </c>
      <c r="M2038" s="237"/>
      <c r="N2038" s="237"/>
      <c r="O2038" s="237"/>
      <c r="P2038" s="237"/>
      <c r="Q2038" s="237"/>
      <c r="R2038" s="237"/>
      <c r="S2038" s="237"/>
      <c r="T2038" s="237"/>
      <c r="U2038" s="237"/>
      <c r="V2038" s="237"/>
      <c r="W2038" s="237"/>
      <c r="X2038" s="237"/>
      <c r="Y2038" s="237"/>
      <c r="Z2038" s="237"/>
      <c r="AA2038" s="237"/>
      <c r="AB2038" s="237"/>
    </row>
    <row r="2039">
      <c r="A2039" s="237"/>
      <c r="B2039" s="275"/>
      <c r="C2039" s="88" t="s">
        <v>12074</v>
      </c>
      <c r="D2039" s="251" t="s">
        <v>12075</v>
      </c>
      <c r="E2039" s="241" t="s">
        <v>1420</v>
      </c>
      <c r="F2039" s="88" t="s">
        <v>12076</v>
      </c>
      <c r="G2039" s="88" t="s">
        <v>12077</v>
      </c>
      <c r="H2039" s="88" t="s">
        <v>12078</v>
      </c>
      <c r="I2039" s="236"/>
      <c r="J2039" s="88" t="s">
        <v>9758</v>
      </c>
      <c r="K2039" s="275"/>
      <c r="L2039" s="271">
        <v>47308.0</v>
      </c>
      <c r="M2039" s="237"/>
      <c r="N2039" s="237"/>
      <c r="O2039" s="237"/>
      <c r="P2039" s="237"/>
      <c r="Q2039" s="237"/>
      <c r="R2039" s="237"/>
      <c r="S2039" s="237"/>
      <c r="T2039" s="237"/>
      <c r="U2039" s="237"/>
      <c r="V2039" s="237"/>
      <c r="W2039" s="237"/>
      <c r="X2039" s="237"/>
      <c r="Y2039" s="237"/>
      <c r="Z2039" s="237"/>
      <c r="AA2039" s="237"/>
      <c r="AB2039" s="237"/>
    </row>
    <row r="2040">
      <c r="A2040" s="237"/>
      <c r="B2040" s="275"/>
      <c r="C2040" s="88" t="s">
        <v>12079</v>
      </c>
      <c r="D2040" s="237"/>
      <c r="E2040" s="241" t="s">
        <v>1420</v>
      </c>
      <c r="F2040" s="88" t="s">
        <v>12080</v>
      </c>
      <c r="G2040" s="88" t="s">
        <v>12081</v>
      </c>
      <c r="H2040" s="88" t="s">
        <v>12082</v>
      </c>
      <c r="I2040" s="236"/>
      <c r="J2040" s="88" t="s">
        <v>9758</v>
      </c>
      <c r="K2040" s="275"/>
      <c r="L2040" s="271">
        <v>47308.0</v>
      </c>
      <c r="M2040" s="237"/>
      <c r="N2040" s="237"/>
      <c r="O2040" s="237"/>
      <c r="P2040" s="237"/>
      <c r="Q2040" s="237"/>
      <c r="R2040" s="237"/>
      <c r="S2040" s="237"/>
      <c r="T2040" s="237"/>
      <c r="U2040" s="237"/>
      <c r="V2040" s="237"/>
      <c r="W2040" s="237"/>
      <c r="X2040" s="237"/>
      <c r="Y2040" s="237"/>
      <c r="Z2040" s="237"/>
      <c r="AA2040" s="237"/>
      <c r="AB2040" s="237"/>
    </row>
    <row r="2041">
      <c r="A2041" s="237"/>
      <c r="B2041" s="275"/>
      <c r="C2041" s="88" t="s">
        <v>12083</v>
      </c>
      <c r="D2041" s="243" t="s">
        <v>12084</v>
      </c>
      <c r="E2041" s="241" t="s">
        <v>1420</v>
      </c>
      <c r="F2041" s="88" t="s">
        <v>12085</v>
      </c>
      <c r="G2041" s="88" t="s">
        <v>12086</v>
      </c>
      <c r="H2041" s="254" t="s">
        <v>12087</v>
      </c>
      <c r="I2041" s="236"/>
      <c r="J2041" s="88" t="s">
        <v>9758</v>
      </c>
      <c r="K2041" s="275"/>
      <c r="L2041" s="271">
        <v>47308.0</v>
      </c>
      <c r="M2041" s="237"/>
      <c r="N2041" s="237"/>
      <c r="O2041" s="237"/>
      <c r="P2041" s="237"/>
      <c r="Q2041" s="237"/>
      <c r="R2041" s="237"/>
      <c r="S2041" s="237"/>
      <c r="T2041" s="237"/>
      <c r="U2041" s="237"/>
      <c r="V2041" s="237"/>
      <c r="W2041" s="237"/>
      <c r="X2041" s="237"/>
      <c r="Y2041" s="237"/>
      <c r="Z2041" s="237"/>
      <c r="AA2041" s="237"/>
      <c r="AB2041" s="237"/>
    </row>
    <row r="2042">
      <c r="A2042" s="237"/>
      <c r="B2042" s="275"/>
      <c r="C2042" s="88" t="s">
        <v>12088</v>
      </c>
      <c r="D2042" s="243" t="s">
        <v>12089</v>
      </c>
      <c r="E2042" s="241" t="s">
        <v>1420</v>
      </c>
      <c r="F2042" s="88" t="s">
        <v>12090</v>
      </c>
      <c r="G2042" s="88" t="s">
        <v>12091</v>
      </c>
      <c r="H2042" s="88" t="s">
        <v>12092</v>
      </c>
      <c r="I2042" s="236"/>
      <c r="J2042" s="88" t="s">
        <v>9758</v>
      </c>
      <c r="K2042" s="275"/>
      <c r="L2042" s="271">
        <v>47308.0</v>
      </c>
      <c r="M2042" s="237"/>
      <c r="N2042" s="237"/>
      <c r="O2042" s="237"/>
      <c r="P2042" s="237"/>
      <c r="Q2042" s="237"/>
      <c r="R2042" s="237"/>
      <c r="S2042" s="237"/>
      <c r="T2042" s="237"/>
      <c r="U2042" s="237"/>
      <c r="V2042" s="237"/>
      <c r="W2042" s="237"/>
      <c r="X2042" s="237"/>
      <c r="Y2042" s="237"/>
      <c r="Z2042" s="237"/>
      <c r="AA2042" s="237"/>
      <c r="AB2042" s="237"/>
    </row>
    <row r="2043">
      <c r="A2043" s="237"/>
      <c r="B2043" s="275"/>
      <c r="C2043" s="236"/>
      <c r="D2043" s="254" t="s">
        <v>12093</v>
      </c>
      <c r="E2043" s="241" t="s">
        <v>1420</v>
      </c>
      <c r="F2043" s="88" t="s">
        <v>12094</v>
      </c>
      <c r="G2043" s="88" t="s">
        <v>12095</v>
      </c>
      <c r="H2043" s="88" t="s">
        <v>12096</v>
      </c>
      <c r="I2043" s="236"/>
      <c r="J2043" s="88" t="s">
        <v>9758</v>
      </c>
      <c r="K2043" s="275"/>
      <c r="L2043" s="271">
        <v>47308.0</v>
      </c>
      <c r="M2043" s="237"/>
      <c r="N2043" s="237"/>
      <c r="O2043" s="237"/>
      <c r="P2043" s="237"/>
      <c r="Q2043" s="237"/>
      <c r="R2043" s="237"/>
      <c r="S2043" s="237"/>
      <c r="T2043" s="237"/>
      <c r="U2043" s="237"/>
      <c r="V2043" s="237"/>
      <c r="W2043" s="237"/>
      <c r="X2043" s="237"/>
      <c r="Y2043" s="237"/>
      <c r="Z2043" s="237"/>
      <c r="AA2043" s="237"/>
      <c r="AB2043" s="237"/>
    </row>
    <row r="2044">
      <c r="A2044" s="237"/>
      <c r="B2044" s="275"/>
      <c r="C2044" s="88" t="s">
        <v>12097</v>
      </c>
      <c r="D2044" s="236"/>
      <c r="E2044" s="241" t="s">
        <v>11961</v>
      </c>
      <c r="F2044" s="88" t="s">
        <v>12098</v>
      </c>
      <c r="G2044" s="88" t="s">
        <v>12099</v>
      </c>
      <c r="H2044" s="236"/>
      <c r="I2044" s="236"/>
      <c r="J2044" s="88" t="s">
        <v>9758</v>
      </c>
      <c r="K2044" s="275"/>
      <c r="L2044" s="236"/>
      <c r="M2044" s="237"/>
      <c r="N2044" s="237"/>
      <c r="O2044" s="237"/>
      <c r="P2044" s="237"/>
      <c r="Q2044" s="237"/>
      <c r="R2044" s="237"/>
      <c r="S2044" s="237"/>
      <c r="T2044" s="237"/>
      <c r="U2044" s="237"/>
      <c r="V2044" s="237"/>
      <c r="W2044" s="237"/>
      <c r="X2044" s="237"/>
      <c r="Y2044" s="237"/>
      <c r="Z2044" s="237"/>
      <c r="AA2044" s="237"/>
      <c r="AB2044" s="237"/>
    </row>
    <row r="2045">
      <c r="A2045" s="237"/>
      <c r="B2045" s="275"/>
      <c r="C2045" s="88" t="s">
        <v>12100</v>
      </c>
      <c r="D2045" s="243" t="s">
        <v>12101</v>
      </c>
      <c r="E2045" s="241" t="s">
        <v>1420</v>
      </c>
      <c r="F2045" s="88" t="s">
        <v>12102</v>
      </c>
      <c r="G2045" s="88" t="s">
        <v>12103</v>
      </c>
      <c r="H2045" s="88" t="s">
        <v>12104</v>
      </c>
      <c r="I2045" s="236"/>
      <c r="J2045" s="88" t="s">
        <v>9758</v>
      </c>
      <c r="K2045" s="275"/>
      <c r="L2045" s="271">
        <v>47308.0</v>
      </c>
      <c r="M2045" s="237"/>
      <c r="N2045" s="237"/>
      <c r="O2045" s="237"/>
      <c r="P2045" s="237"/>
      <c r="Q2045" s="237"/>
      <c r="R2045" s="237"/>
      <c r="S2045" s="237"/>
      <c r="T2045" s="237"/>
      <c r="U2045" s="237"/>
      <c r="V2045" s="237"/>
      <c r="W2045" s="237"/>
      <c r="X2045" s="237"/>
      <c r="Y2045" s="237"/>
      <c r="Z2045" s="237"/>
      <c r="AA2045" s="237"/>
      <c r="AB2045" s="237"/>
    </row>
    <row r="2046">
      <c r="A2046" s="237"/>
      <c r="B2046" s="275"/>
      <c r="C2046" s="88" t="s">
        <v>12105</v>
      </c>
      <c r="D2046" s="243" t="s">
        <v>12106</v>
      </c>
      <c r="E2046" s="241" t="s">
        <v>1420</v>
      </c>
      <c r="F2046" s="88" t="s">
        <v>12107</v>
      </c>
      <c r="G2046" s="88" t="s">
        <v>12108</v>
      </c>
      <c r="H2046" s="254" t="s">
        <v>12109</v>
      </c>
      <c r="I2046" s="236"/>
      <c r="J2046" s="88" t="s">
        <v>9758</v>
      </c>
      <c r="K2046" s="275"/>
      <c r="L2046" s="271">
        <v>47308.0</v>
      </c>
      <c r="M2046" s="237"/>
      <c r="N2046" s="237"/>
      <c r="O2046" s="237"/>
      <c r="P2046" s="237"/>
      <c r="Q2046" s="237"/>
      <c r="R2046" s="237"/>
      <c r="S2046" s="237"/>
      <c r="T2046" s="237"/>
      <c r="U2046" s="237"/>
      <c r="V2046" s="237"/>
      <c r="W2046" s="237"/>
      <c r="X2046" s="237"/>
      <c r="Y2046" s="237"/>
      <c r="Z2046" s="237"/>
      <c r="AA2046" s="237"/>
      <c r="AB2046" s="237"/>
    </row>
    <row r="2047">
      <c r="A2047" s="237"/>
      <c r="B2047" s="275"/>
      <c r="C2047" s="88" t="s">
        <v>12110</v>
      </c>
      <c r="D2047" s="243" t="s">
        <v>12111</v>
      </c>
      <c r="E2047" s="241" t="s">
        <v>1420</v>
      </c>
      <c r="F2047" s="88" t="s">
        <v>12112</v>
      </c>
      <c r="G2047" s="88" t="s">
        <v>12113</v>
      </c>
      <c r="H2047" s="254" t="s">
        <v>12114</v>
      </c>
      <c r="I2047" s="236"/>
      <c r="J2047" s="88" t="s">
        <v>9758</v>
      </c>
      <c r="K2047" s="275"/>
      <c r="L2047" s="276">
        <v>47308.0</v>
      </c>
      <c r="M2047" s="237"/>
      <c r="N2047" s="237"/>
      <c r="O2047" s="237"/>
      <c r="P2047" s="237"/>
      <c r="Q2047" s="237"/>
      <c r="R2047" s="237"/>
      <c r="S2047" s="237"/>
      <c r="T2047" s="237"/>
      <c r="U2047" s="237"/>
      <c r="V2047" s="237"/>
      <c r="W2047" s="237"/>
      <c r="X2047" s="237"/>
      <c r="Y2047" s="237"/>
      <c r="Z2047" s="237"/>
      <c r="AA2047" s="237"/>
      <c r="AB2047" s="237"/>
    </row>
    <row r="2048">
      <c r="A2048" s="237"/>
      <c r="B2048" s="275"/>
      <c r="C2048" s="88" t="s">
        <v>12115</v>
      </c>
      <c r="D2048" s="236"/>
      <c r="E2048" s="241" t="s">
        <v>11961</v>
      </c>
      <c r="F2048" s="88" t="s">
        <v>12116</v>
      </c>
      <c r="G2048" s="88" t="s">
        <v>12117</v>
      </c>
      <c r="H2048" s="236"/>
      <c r="I2048" s="236"/>
      <c r="J2048" s="88" t="s">
        <v>3962</v>
      </c>
      <c r="K2048" s="275"/>
      <c r="L2048" s="236"/>
      <c r="M2048" s="237"/>
      <c r="N2048" s="237"/>
      <c r="O2048" s="237"/>
      <c r="P2048" s="237"/>
      <c r="Q2048" s="237"/>
      <c r="R2048" s="237"/>
      <c r="S2048" s="237"/>
      <c r="T2048" s="237"/>
      <c r="U2048" s="237"/>
      <c r="V2048" s="237"/>
      <c r="W2048" s="237"/>
      <c r="X2048" s="237"/>
      <c r="Y2048" s="237"/>
      <c r="Z2048" s="237"/>
      <c r="AA2048" s="237"/>
      <c r="AB2048" s="237"/>
    </row>
    <row r="2049">
      <c r="A2049" s="237"/>
      <c r="B2049" s="275"/>
      <c r="C2049" s="88" t="s">
        <v>12118</v>
      </c>
      <c r="D2049" s="251" t="s">
        <v>12119</v>
      </c>
      <c r="E2049" s="241" t="s">
        <v>1420</v>
      </c>
      <c r="F2049" s="88" t="s">
        <v>12120</v>
      </c>
      <c r="G2049" s="88" t="s">
        <v>12121</v>
      </c>
      <c r="H2049" s="88" t="s">
        <v>12122</v>
      </c>
      <c r="I2049" s="236"/>
      <c r="J2049" s="88" t="s">
        <v>3962</v>
      </c>
      <c r="K2049" s="275"/>
      <c r="L2049" s="276">
        <v>47308.0</v>
      </c>
      <c r="M2049" s="237"/>
      <c r="N2049" s="237"/>
      <c r="O2049" s="237"/>
      <c r="P2049" s="237"/>
      <c r="Q2049" s="237"/>
      <c r="R2049" s="237"/>
      <c r="S2049" s="237"/>
      <c r="T2049" s="237"/>
      <c r="U2049" s="237"/>
      <c r="V2049" s="237"/>
      <c r="W2049" s="237"/>
      <c r="X2049" s="237"/>
      <c r="Y2049" s="237"/>
      <c r="Z2049" s="237"/>
      <c r="AA2049" s="237"/>
      <c r="AB2049" s="237"/>
    </row>
    <row r="2050">
      <c r="A2050" s="237"/>
      <c r="B2050" s="275"/>
      <c r="C2050" s="88" t="s">
        <v>12123</v>
      </c>
      <c r="D2050" s="237"/>
      <c r="E2050" s="241" t="s">
        <v>1420</v>
      </c>
      <c r="F2050" s="88" t="s">
        <v>12124</v>
      </c>
      <c r="G2050" s="88" t="s">
        <v>12125</v>
      </c>
      <c r="H2050" s="88" t="s">
        <v>12126</v>
      </c>
      <c r="I2050" s="236"/>
      <c r="J2050" s="88" t="s">
        <v>3962</v>
      </c>
      <c r="K2050" s="275"/>
      <c r="L2050" s="276">
        <v>47308.0</v>
      </c>
      <c r="M2050" s="237"/>
      <c r="N2050" s="237"/>
      <c r="O2050" s="237"/>
      <c r="P2050" s="237"/>
      <c r="Q2050" s="237"/>
      <c r="R2050" s="237"/>
      <c r="S2050" s="237"/>
      <c r="T2050" s="237"/>
      <c r="U2050" s="237"/>
      <c r="V2050" s="237"/>
      <c r="W2050" s="237"/>
      <c r="X2050" s="237"/>
      <c r="Y2050" s="237"/>
      <c r="Z2050" s="237"/>
      <c r="AA2050" s="237"/>
      <c r="AB2050" s="237"/>
    </row>
    <row r="2051">
      <c r="A2051" s="237"/>
      <c r="B2051" s="275"/>
      <c r="C2051" s="88" t="s">
        <v>12127</v>
      </c>
      <c r="D2051" s="236"/>
      <c r="E2051" s="241" t="s">
        <v>11961</v>
      </c>
      <c r="F2051" s="88" t="s">
        <v>12128</v>
      </c>
      <c r="G2051" s="88" t="s">
        <v>12129</v>
      </c>
      <c r="H2051" s="236"/>
      <c r="I2051" s="236"/>
      <c r="J2051" s="88" t="s">
        <v>3962</v>
      </c>
      <c r="K2051" s="275"/>
      <c r="L2051" s="236"/>
      <c r="M2051" s="237"/>
      <c r="N2051" s="237"/>
      <c r="O2051" s="237"/>
      <c r="P2051" s="237"/>
      <c r="Q2051" s="237"/>
      <c r="R2051" s="237"/>
      <c r="S2051" s="237"/>
      <c r="T2051" s="237"/>
      <c r="U2051" s="237"/>
      <c r="V2051" s="237"/>
      <c r="W2051" s="237"/>
      <c r="X2051" s="237"/>
      <c r="Y2051" s="237"/>
      <c r="Z2051" s="237"/>
      <c r="AA2051" s="237"/>
      <c r="AB2051" s="237"/>
    </row>
    <row r="2052">
      <c r="A2052" s="237"/>
      <c r="B2052" s="275"/>
      <c r="C2052" s="88" t="s">
        <v>12130</v>
      </c>
      <c r="D2052" s="243" t="s">
        <v>12131</v>
      </c>
      <c r="E2052" s="241" t="s">
        <v>11961</v>
      </c>
      <c r="F2052" s="88" t="s">
        <v>12132</v>
      </c>
      <c r="G2052" s="88" t="s">
        <v>12133</v>
      </c>
      <c r="H2052" s="236"/>
      <c r="I2052" s="236"/>
      <c r="J2052" s="88" t="s">
        <v>3962</v>
      </c>
      <c r="K2052" s="275"/>
      <c r="L2052" s="236"/>
      <c r="M2052" s="237"/>
      <c r="N2052" s="237"/>
      <c r="O2052" s="237"/>
      <c r="P2052" s="237"/>
      <c r="Q2052" s="237"/>
      <c r="R2052" s="237"/>
      <c r="S2052" s="237"/>
      <c r="T2052" s="237"/>
      <c r="U2052" s="237"/>
      <c r="V2052" s="237"/>
      <c r="W2052" s="237"/>
      <c r="X2052" s="237"/>
      <c r="Y2052" s="237"/>
      <c r="Z2052" s="237"/>
      <c r="AA2052" s="237"/>
      <c r="AB2052" s="237"/>
    </row>
    <row r="2053">
      <c r="A2053" s="237"/>
      <c r="B2053" s="275"/>
      <c r="C2053" s="88" t="s">
        <v>12134</v>
      </c>
      <c r="D2053" s="236"/>
      <c r="E2053" s="241" t="s">
        <v>11961</v>
      </c>
      <c r="F2053" s="88" t="s">
        <v>12135</v>
      </c>
      <c r="G2053" s="88" t="s">
        <v>12136</v>
      </c>
      <c r="H2053" s="236"/>
      <c r="I2053" s="236"/>
      <c r="J2053" s="88" t="s">
        <v>3962</v>
      </c>
      <c r="K2053" s="275"/>
      <c r="L2053" s="236"/>
      <c r="M2053" s="237"/>
      <c r="N2053" s="237"/>
      <c r="O2053" s="237"/>
      <c r="P2053" s="237"/>
      <c r="Q2053" s="237"/>
      <c r="R2053" s="237"/>
      <c r="S2053" s="237"/>
      <c r="T2053" s="237"/>
      <c r="U2053" s="237"/>
      <c r="V2053" s="237"/>
      <c r="W2053" s="237"/>
      <c r="X2053" s="237"/>
      <c r="Y2053" s="237"/>
      <c r="Z2053" s="237"/>
      <c r="AA2053" s="237"/>
      <c r="AB2053" s="237"/>
    </row>
    <row r="2054">
      <c r="A2054" s="237"/>
      <c r="B2054" s="275"/>
      <c r="C2054" s="88" t="s">
        <v>12137</v>
      </c>
      <c r="D2054" s="236"/>
      <c r="E2054" s="241" t="s">
        <v>11961</v>
      </c>
      <c r="F2054" s="88" t="s">
        <v>12138</v>
      </c>
      <c r="G2054" s="88" t="s">
        <v>12139</v>
      </c>
      <c r="H2054" s="236"/>
      <c r="I2054" s="236"/>
      <c r="J2054" s="88" t="s">
        <v>3962</v>
      </c>
      <c r="K2054" s="275"/>
      <c r="L2054" s="236"/>
      <c r="M2054" s="237"/>
      <c r="N2054" s="237"/>
      <c r="O2054" s="237"/>
      <c r="P2054" s="237"/>
      <c r="Q2054" s="237"/>
      <c r="R2054" s="237"/>
      <c r="S2054" s="237"/>
      <c r="T2054" s="237"/>
      <c r="U2054" s="237"/>
      <c r="V2054" s="237"/>
      <c r="W2054" s="237"/>
      <c r="X2054" s="237"/>
      <c r="Y2054" s="237"/>
      <c r="Z2054" s="237"/>
      <c r="AA2054" s="237"/>
      <c r="AB2054" s="237"/>
    </row>
    <row r="2055">
      <c r="A2055" s="237"/>
      <c r="B2055" s="275"/>
      <c r="C2055" s="88" t="s">
        <v>12140</v>
      </c>
      <c r="D2055" s="236"/>
      <c r="E2055" s="241" t="s">
        <v>11961</v>
      </c>
      <c r="F2055" s="88" t="s">
        <v>12141</v>
      </c>
      <c r="G2055" s="88" t="s">
        <v>12142</v>
      </c>
      <c r="H2055" s="236"/>
      <c r="I2055" s="236"/>
      <c r="J2055" s="88" t="s">
        <v>3962</v>
      </c>
      <c r="K2055" s="275"/>
      <c r="L2055" s="236"/>
      <c r="M2055" s="237"/>
      <c r="N2055" s="237"/>
      <c r="O2055" s="237"/>
      <c r="P2055" s="237"/>
      <c r="Q2055" s="237"/>
      <c r="R2055" s="237"/>
      <c r="S2055" s="237"/>
      <c r="T2055" s="237"/>
      <c r="U2055" s="237"/>
      <c r="V2055" s="237"/>
      <c r="W2055" s="237"/>
      <c r="X2055" s="237"/>
      <c r="Y2055" s="237"/>
      <c r="Z2055" s="237"/>
      <c r="AA2055" s="237"/>
      <c r="AB2055" s="237"/>
    </row>
    <row r="2056">
      <c r="A2056" s="237"/>
      <c r="B2056" s="275"/>
      <c r="C2056" s="88" t="s">
        <v>12143</v>
      </c>
      <c r="D2056" s="243" t="s">
        <v>12144</v>
      </c>
      <c r="E2056" s="241" t="s">
        <v>1420</v>
      </c>
      <c r="F2056" s="88" t="s">
        <v>12145</v>
      </c>
      <c r="G2056" s="88" t="s">
        <v>12146</v>
      </c>
      <c r="H2056" s="88" t="s">
        <v>12147</v>
      </c>
      <c r="I2056" s="236"/>
      <c r="J2056" s="88" t="s">
        <v>9758</v>
      </c>
      <c r="K2056" s="275"/>
      <c r="L2056" s="276">
        <v>47308.0</v>
      </c>
      <c r="M2056" s="237"/>
      <c r="N2056" s="237"/>
      <c r="O2056" s="237"/>
      <c r="P2056" s="237"/>
      <c r="Q2056" s="237"/>
      <c r="R2056" s="237"/>
      <c r="S2056" s="237"/>
      <c r="T2056" s="237"/>
      <c r="U2056" s="237"/>
      <c r="V2056" s="237"/>
      <c r="W2056" s="237"/>
      <c r="X2056" s="237"/>
      <c r="Y2056" s="237"/>
      <c r="Z2056" s="237"/>
      <c r="AA2056" s="237"/>
      <c r="AB2056" s="237"/>
    </row>
    <row r="2057">
      <c r="A2057" s="237"/>
      <c r="B2057" s="275"/>
      <c r="C2057" s="88" t="s">
        <v>12148</v>
      </c>
      <c r="D2057" s="243" t="s">
        <v>12149</v>
      </c>
      <c r="E2057" s="241" t="s">
        <v>1420</v>
      </c>
      <c r="F2057" s="88" t="s">
        <v>12150</v>
      </c>
      <c r="G2057" s="88" t="s">
        <v>12151</v>
      </c>
      <c r="H2057" s="88" t="s">
        <v>12152</v>
      </c>
      <c r="I2057" s="236"/>
      <c r="J2057" s="88" t="s">
        <v>9758</v>
      </c>
      <c r="K2057" s="275"/>
      <c r="L2057" s="276">
        <v>47308.0</v>
      </c>
      <c r="M2057" s="237"/>
      <c r="N2057" s="237"/>
      <c r="O2057" s="237"/>
      <c r="P2057" s="237"/>
      <c r="Q2057" s="237"/>
      <c r="R2057" s="237"/>
      <c r="S2057" s="237"/>
      <c r="T2057" s="237"/>
      <c r="U2057" s="237"/>
      <c r="V2057" s="237"/>
      <c r="W2057" s="237"/>
      <c r="X2057" s="237"/>
      <c r="Y2057" s="237"/>
      <c r="Z2057" s="237"/>
      <c r="AA2057" s="237"/>
      <c r="AB2057" s="237"/>
    </row>
    <row r="2058">
      <c r="A2058" s="237"/>
      <c r="B2058" s="275"/>
      <c r="C2058" s="236"/>
      <c r="D2058" s="243" t="s">
        <v>12153</v>
      </c>
      <c r="E2058" s="241" t="s">
        <v>1420</v>
      </c>
      <c r="F2058" s="88" t="s">
        <v>12154</v>
      </c>
      <c r="G2058" s="88" t="s">
        <v>12155</v>
      </c>
      <c r="H2058" s="88" t="s">
        <v>12156</v>
      </c>
      <c r="I2058" s="88" t="s">
        <v>12157</v>
      </c>
      <c r="J2058" s="88" t="s">
        <v>9758</v>
      </c>
      <c r="K2058" s="275"/>
      <c r="L2058" s="88">
        <v>47308.0</v>
      </c>
      <c r="M2058" s="237"/>
      <c r="N2058" s="237"/>
      <c r="O2058" s="237"/>
      <c r="P2058" s="237"/>
      <c r="Q2058" s="237"/>
      <c r="R2058" s="237"/>
      <c r="S2058" s="237"/>
      <c r="T2058" s="237"/>
      <c r="U2058" s="237"/>
      <c r="V2058" s="237"/>
      <c r="W2058" s="237"/>
      <c r="X2058" s="237"/>
      <c r="Y2058" s="237"/>
      <c r="Z2058" s="237"/>
      <c r="AA2058" s="237"/>
      <c r="AB2058" s="237"/>
    </row>
    <row r="2059">
      <c r="A2059" s="237"/>
      <c r="B2059" s="275"/>
      <c r="C2059" s="88" t="s">
        <v>12158</v>
      </c>
      <c r="D2059" s="243" t="s">
        <v>12159</v>
      </c>
      <c r="E2059" s="241" t="s">
        <v>1420</v>
      </c>
      <c r="F2059" s="88" t="s">
        <v>12160</v>
      </c>
      <c r="G2059" s="88" t="s">
        <v>12161</v>
      </c>
      <c r="H2059" s="88" t="s">
        <v>12162</v>
      </c>
      <c r="I2059" s="236"/>
      <c r="J2059" s="88" t="s">
        <v>9758</v>
      </c>
      <c r="K2059" s="275"/>
      <c r="L2059" s="88">
        <v>47308.0</v>
      </c>
      <c r="M2059" s="237"/>
      <c r="N2059" s="237"/>
      <c r="O2059" s="237"/>
      <c r="P2059" s="237"/>
      <c r="Q2059" s="237"/>
      <c r="R2059" s="237"/>
      <c r="S2059" s="237"/>
      <c r="T2059" s="237"/>
      <c r="U2059" s="237"/>
      <c r="V2059" s="237"/>
      <c r="W2059" s="237"/>
      <c r="X2059" s="237"/>
      <c r="Y2059" s="237"/>
      <c r="Z2059" s="237"/>
      <c r="AA2059" s="237"/>
      <c r="AB2059" s="237"/>
    </row>
    <row r="2060">
      <c r="A2060" s="237"/>
      <c r="B2060" s="275"/>
      <c r="C2060" s="88" t="s">
        <v>12163</v>
      </c>
      <c r="D2060" s="236"/>
      <c r="E2060" s="241" t="s">
        <v>11961</v>
      </c>
      <c r="F2060" s="88" t="s">
        <v>12164</v>
      </c>
      <c r="G2060" s="236"/>
      <c r="H2060" s="236"/>
      <c r="I2060" s="236"/>
      <c r="J2060" s="236"/>
      <c r="K2060" s="275"/>
      <c r="L2060" s="236"/>
      <c r="M2060" s="237"/>
      <c r="N2060" s="237"/>
      <c r="O2060" s="237"/>
      <c r="P2060" s="237"/>
      <c r="Q2060" s="237"/>
      <c r="R2060" s="237"/>
      <c r="S2060" s="237"/>
      <c r="T2060" s="237"/>
      <c r="U2060" s="237"/>
      <c r="V2060" s="237"/>
      <c r="W2060" s="237"/>
      <c r="X2060" s="237"/>
      <c r="Y2060" s="237"/>
      <c r="Z2060" s="237"/>
      <c r="AA2060" s="237"/>
      <c r="AB2060" s="237"/>
    </row>
    <row r="2061">
      <c r="A2061" s="237"/>
      <c r="B2061" s="275"/>
      <c r="C2061" s="88" t="s">
        <v>12165</v>
      </c>
      <c r="D2061" s="236"/>
      <c r="E2061" s="241" t="s">
        <v>11961</v>
      </c>
      <c r="F2061" s="88" t="s">
        <v>12166</v>
      </c>
      <c r="G2061" s="236"/>
      <c r="H2061" s="236"/>
      <c r="I2061" s="236"/>
      <c r="J2061" s="236"/>
      <c r="K2061" s="275"/>
      <c r="L2061" s="236"/>
      <c r="M2061" s="237"/>
      <c r="N2061" s="237"/>
      <c r="O2061" s="237"/>
      <c r="P2061" s="237"/>
      <c r="Q2061" s="237"/>
      <c r="R2061" s="237"/>
      <c r="S2061" s="237"/>
      <c r="T2061" s="237"/>
      <c r="U2061" s="237"/>
      <c r="V2061" s="237"/>
      <c r="W2061" s="237"/>
      <c r="X2061" s="237"/>
      <c r="Y2061" s="237"/>
      <c r="Z2061" s="237"/>
      <c r="AA2061" s="237"/>
      <c r="AB2061" s="237"/>
    </row>
    <row r="2062">
      <c r="A2062" s="237"/>
      <c r="B2062" s="275"/>
      <c r="C2062" s="88" t="s">
        <v>12167</v>
      </c>
      <c r="D2062" s="236"/>
      <c r="E2062" s="241" t="s">
        <v>11961</v>
      </c>
      <c r="F2062" s="88" t="s">
        <v>12168</v>
      </c>
      <c r="G2062" s="236"/>
      <c r="H2062" s="236"/>
      <c r="I2062" s="236"/>
      <c r="J2062" s="236"/>
      <c r="K2062" s="275"/>
      <c r="L2062" s="236"/>
      <c r="M2062" s="237"/>
      <c r="N2062" s="237"/>
      <c r="O2062" s="237"/>
      <c r="P2062" s="237"/>
      <c r="Q2062" s="237"/>
      <c r="R2062" s="237"/>
      <c r="S2062" s="237"/>
      <c r="T2062" s="237"/>
      <c r="U2062" s="237"/>
      <c r="V2062" s="237"/>
      <c r="W2062" s="237"/>
      <c r="X2062" s="237"/>
      <c r="Y2062" s="237"/>
      <c r="Z2062" s="237"/>
      <c r="AA2062" s="237"/>
      <c r="AB2062" s="237"/>
    </row>
    <row r="2063">
      <c r="A2063" s="237"/>
      <c r="B2063" s="275"/>
      <c r="C2063" s="88" t="s">
        <v>12169</v>
      </c>
      <c r="D2063" s="236"/>
      <c r="E2063" s="241" t="s">
        <v>11961</v>
      </c>
      <c r="F2063" s="88" t="s">
        <v>12170</v>
      </c>
      <c r="G2063" s="236"/>
      <c r="H2063" s="236"/>
      <c r="I2063" s="236"/>
      <c r="J2063" s="236"/>
      <c r="K2063" s="275"/>
      <c r="L2063" s="236"/>
      <c r="M2063" s="237"/>
      <c r="N2063" s="237"/>
      <c r="O2063" s="237"/>
      <c r="P2063" s="237"/>
      <c r="Q2063" s="237"/>
      <c r="R2063" s="237"/>
      <c r="S2063" s="237"/>
      <c r="T2063" s="237"/>
      <c r="U2063" s="237"/>
      <c r="V2063" s="237"/>
      <c r="W2063" s="237"/>
      <c r="X2063" s="237"/>
      <c r="Y2063" s="237"/>
      <c r="Z2063" s="237"/>
      <c r="AA2063" s="237"/>
      <c r="AB2063" s="237"/>
    </row>
    <row r="2064">
      <c r="A2064" s="237"/>
      <c r="B2064" s="275"/>
      <c r="C2064" s="88" t="s">
        <v>12171</v>
      </c>
      <c r="D2064" s="236"/>
      <c r="E2064" s="241" t="s">
        <v>11961</v>
      </c>
      <c r="F2064" s="88" t="s">
        <v>12172</v>
      </c>
      <c r="G2064" s="88" t="s">
        <v>12173</v>
      </c>
      <c r="H2064" s="236"/>
      <c r="I2064" s="236"/>
      <c r="J2064" s="236"/>
      <c r="K2064" s="275"/>
      <c r="L2064" s="236"/>
      <c r="M2064" s="237"/>
      <c r="N2064" s="237"/>
      <c r="O2064" s="237"/>
      <c r="P2064" s="237"/>
      <c r="Q2064" s="237"/>
      <c r="R2064" s="237"/>
      <c r="S2064" s="237"/>
      <c r="T2064" s="237"/>
      <c r="U2064" s="237"/>
      <c r="V2064" s="237"/>
      <c r="W2064" s="237"/>
      <c r="X2064" s="237"/>
      <c r="Y2064" s="237"/>
      <c r="Z2064" s="237"/>
      <c r="AA2064" s="237"/>
      <c r="AB2064" s="237"/>
    </row>
    <row r="2065">
      <c r="A2065" s="237"/>
      <c r="B2065" s="275"/>
      <c r="C2065" s="88" t="s">
        <v>12174</v>
      </c>
      <c r="D2065" s="236"/>
      <c r="E2065" s="241" t="s">
        <v>11961</v>
      </c>
      <c r="F2065" s="88" t="s">
        <v>12175</v>
      </c>
      <c r="G2065" s="88" t="s">
        <v>12176</v>
      </c>
      <c r="H2065" s="236"/>
      <c r="I2065" s="236"/>
      <c r="J2065" s="236"/>
      <c r="K2065" s="275"/>
      <c r="L2065" s="236"/>
      <c r="M2065" s="237"/>
      <c r="N2065" s="237"/>
      <c r="O2065" s="237"/>
      <c r="P2065" s="237"/>
      <c r="Q2065" s="237"/>
      <c r="R2065" s="237"/>
      <c r="S2065" s="237"/>
      <c r="T2065" s="237"/>
      <c r="U2065" s="237"/>
      <c r="V2065" s="237"/>
      <c r="W2065" s="237"/>
      <c r="X2065" s="237"/>
      <c r="Y2065" s="237"/>
      <c r="Z2065" s="237"/>
      <c r="AA2065" s="237"/>
      <c r="AB2065" s="237"/>
    </row>
    <row r="2066">
      <c r="A2066" s="237"/>
      <c r="B2066" s="275"/>
      <c r="C2066" s="88" t="s">
        <v>12177</v>
      </c>
      <c r="D2066" s="236"/>
      <c r="E2066" s="241" t="s">
        <v>11961</v>
      </c>
      <c r="F2066" s="88" t="s">
        <v>12178</v>
      </c>
      <c r="G2066" s="88" t="s">
        <v>12179</v>
      </c>
      <c r="H2066" s="236"/>
      <c r="I2066" s="236"/>
      <c r="J2066" s="236"/>
      <c r="K2066" s="275"/>
      <c r="L2066" s="236"/>
      <c r="M2066" s="237"/>
      <c r="N2066" s="237"/>
      <c r="O2066" s="237"/>
      <c r="P2066" s="237"/>
      <c r="Q2066" s="237"/>
      <c r="R2066" s="237"/>
      <c r="S2066" s="237"/>
      <c r="T2066" s="237"/>
      <c r="U2066" s="237"/>
      <c r="V2066" s="237"/>
      <c r="W2066" s="237"/>
      <c r="X2066" s="237"/>
      <c r="Y2066" s="237"/>
      <c r="Z2066" s="237"/>
      <c r="AA2066" s="237"/>
      <c r="AB2066" s="237"/>
    </row>
    <row r="2067">
      <c r="A2067" s="237"/>
      <c r="B2067" s="275"/>
      <c r="C2067" s="88" t="s">
        <v>12180</v>
      </c>
      <c r="D2067" s="236"/>
      <c r="E2067" s="241" t="s">
        <v>11961</v>
      </c>
      <c r="F2067" s="88" t="s">
        <v>12181</v>
      </c>
      <c r="G2067" s="88" t="s">
        <v>12182</v>
      </c>
      <c r="H2067" s="236"/>
      <c r="I2067" s="236"/>
      <c r="J2067" s="236"/>
      <c r="K2067" s="275"/>
      <c r="L2067" s="236"/>
      <c r="M2067" s="237"/>
      <c r="N2067" s="237"/>
      <c r="O2067" s="237"/>
      <c r="P2067" s="237"/>
      <c r="Q2067" s="237"/>
      <c r="R2067" s="237"/>
      <c r="S2067" s="237"/>
      <c r="T2067" s="237"/>
      <c r="U2067" s="237"/>
      <c r="V2067" s="237"/>
      <c r="W2067" s="237"/>
      <c r="X2067" s="237"/>
      <c r="Y2067" s="237"/>
      <c r="Z2067" s="237"/>
      <c r="AA2067" s="237"/>
      <c r="AB2067" s="237"/>
    </row>
    <row r="2068">
      <c r="A2068" s="237"/>
      <c r="B2068" s="275"/>
      <c r="C2068" s="88" t="s">
        <v>12183</v>
      </c>
      <c r="D2068" s="236"/>
      <c r="E2068" s="241" t="s">
        <v>11961</v>
      </c>
      <c r="F2068" s="88" t="s">
        <v>12184</v>
      </c>
      <c r="G2068" s="88" t="s">
        <v>12185</v>
      </c>
      <c r="H2068" s="236"/>
      <c r="I2068" s="236"/>
      <c r="J2068" s="236"/>
      <c r="K2068" s="275"/>
      <c r="L2068" s="236"/>
      <c r="M2068" s="237"/>
      <c r="N2068" s="237"/>
      <c r="O2068" s="237"/>
      <c r="P2068" s="237"/>
      <c r="Q2068" s="237"/>
      <c r="R2068" s="237"/>
      <c r="S2068" s="237"/>
      <c r="T2068" s="237"/>
      <c r="U2068" s="237"/>
      <c r="V2068" s="237"/>
      <c r="W2068" s="237"/>
      <c r="X2068" s="237"/>
      <c r="Y2068" s="237"/>
      <c r="Z2068" s="237"/>
      <c r="AA2068" s="237"/>
      <c r="AB2068" s="237"/>
    </row>
    <row r="2069">
      <c r="A2069" s="237"/>
      <c r="B2069" s="275"/>
      <c r="C2069" s="88" t="s">
        <v>12186</v>
      </c>
      <c r="D2069" s="236"/>
      <c r="E2069" s="241" t="s">
        <v>11961</v>
      </c>
      <c r="F2069" s="88" t="s">
        <v>12187</v>
      </c>
      <c r="G2069" s="88" t="s">
        <v>12188</v>
      </c>
      <c r="H2069" s="236"/>
      <c r="I2069" s="236"/>
      <c r="J2069" s="236"/>
      <c r="K2069" s="275"/>
      <c r="L2069" s="236"/>
      <c r="M2069" s="237"/>
      <c r="N2069" s="237"/>
      <c r="O2069" s="237"/>
      <c r="P2069" s="237"/>
      <c r="Q2069" s="237"/>
      <c r="R2069" s="237"/>
      <c r="S2069" s="237"/>
      <c r="T2069" s="237"/>
      <c r="U2069" s="237"/>
      <c r="V2069" s="237"/>
      <c r="W2069" s="237"/>
      <c r="X2069" s="237"/>
      <c r="Y2069" s="237"/>
      <c r="Z2069" s="237"/>
      <c r="AA2069" s="237"/>
      <c r="AB2069" s="237"/>
    </row>
    <row r="2070">
      <c r="A2070" s="237"/>
      <c r="B2070" s="275"/>
      <c r="C2070" s="88" t="s">
        <v>12189</v>
      </c>
      <c r="D2070" s="236"/>
      <c r="E2070" s="241" t="s">
        <v>11961</v>
      </c>
      <c r="F2070" s="88" t="s">
        <v>12190</v>
      </c>
      <c r="G2070" s="88" t="s">
        <v>12191</v>
      </c>
      <c r="H2070" s="236"/>
      <c r="I2070" s="236"/>
      <c r="J2070" s="236"/>
      <c r="K2070" s="275"/>
      <c r="L2070" s="236"/>
      <c r="M2070" s="237"/>
      <c r="N2070" s="237"/>
      <c r="O2070" s="237"/>
      <c r="P2070" s="237"/>
      <c r="Q2070" s="237"/>
      <c r="R2070" s="237"/>
      <c r="S2070" s="237"/>
      <c r="T2070" s="237"/>
      <c r="U2070" s="237"/>
      <c r="V2070" s="237"/>
      <c r="W2070" s="237"/>
      <c r="X2070" s="237"/>
      <c r="Y2070" s="237"/>
      <c r="Z2070" s="237"/>
      <c r="AA2070" s="237"/>
      <c r="AB2070" s="237"/>
    </row>
    <row r="2071">
      <c r="A2071" s="237"/>
      <c r="B2071" s="275"/>
      <c r="C2071" s="88" t="s">
        <v>12192</v>
      </c>
      <c r="D2071" s="236"/>
      <c r="E2071" s="241" t="s">
        <v>11961</v>
      </c>
      <c r="F2071" s="88" t="s">
        <v>12193</v>
      </c>
      <c r="G2071" s="88" t="s">
        <v>12194</v>
      </c>
      <c r="H2071" s="236"/>
      <c r="I2071" s="236"/>
      <c r="J2071" s="236"/>
      <c r="K2071" s="275"/>
      <c r="L2071" s="236"/>
      <c r="M2071" s="237"/>
      <c r="N2071" s="237"/>
      <c r="O2071" s="237"/>
      <c r="P2071" s="237"/>
      <c r="Q2071" s="237"/>
      <c r="R2071" s="237"/>
      <c r="S2071" s="237"/>
      <c r="T2071" s="237"/>
      <c r="U2071" s="237"/>
      <c r="V2071" s="237"/>
      <c r="W2071" s="237"/>
      <c r="X2071" s="237"/>
      <c r="Y2071" s="237"/>
      <c r="Z2071" s="237"/>
      <c r="AA2071" s="237"/>
      <c r="AB2071" s="237"/>
    </row>
    <row r="2072">
      <c r="A2072" s="237"/>
      <c r="B2072" s="275"/>
      <c r="C2072" s="88" t="s">
        <v>12195</v>
      </c>
      <c r="D2072" s="236"/>
      <c r="E2072" s="241" t="s">
        <v>11961</v>
      </c>
      <c r="F2072" s="88" t="s">
        <v>12196</v>
      </c>
      <c r="G2072" s="88" t="s">
        <v>12197</v>
      </c>
      <c r="H2072" s="236"/>
      <c r="I2072" s="236"/>
      <c r="J2072" s="236"/>
      <c r="K2072" s="275"/>
      <c r="L2072" s="236"/>
      <c r="M2072" s="237"/>
      <c r="N2072" s="237"/>
      <c r="O2072" s="237"/>
      <c r="P2072" s="237"/>
      <c r="Q2072" s="237"/>
      <c r="R2072" s="237"/>
      <c r="S2072" s="237"/>
      <c r="T2072" s="237"/>
      <c r="U2072" s="237"/>
      <c r="V2072" s="237"/>
      <c r="W2072" s="237"/>
      <c r="X2072" s="237"/>
      <c r="Y2072" s="237"/>
      <c r="Z2072" s="237"/>
      <c r="AA2072" s="237"/>
      <c r="AB2072" s="237"/>
    </row>
    <row r="2073">
      <c r="A2073" s="237"/>
      <c r="B2073" s="275"/>
      <c r="C2073" s="88" t="s">
        <v>12198</v>
      </c>
      <c r="D2073" s="236"/>
      <c r="E2073" s="241" t="s">
        <v>11961</v>
      </c>
      <c r="F2073" s="88" t="s">
        <v>12199</v>
      </c>
      <c r="G2073" s="88" t="s">
        <v>12200</v>
      </c>
      <c r="H2073" s="236"/>
      <c r="I2073" s="236"/>
      <c r="J2073" s="236"/>
      <c r="K2073" s="275"/>
      <c r="L2073" s="236"/>
      <c r="M2073" s="237"/>
      <c r="N2073" s="237"/>
      <c r="O2073" s="237"/>
      <c r="P2073" s="237"/>
      <c r="Q2073" s="237"/>
      <c r="R2073" s="237"/>
      <c r="S2073" s="237"/>
      <c r="T2073" s="237"/>
      <c r="U2073" s="237"/>
      <c r="V2073" s="237"/>
      <c r="W2073" s="237"/>
      <c r="X2073" s="237"/>
      <c r="Y2073" s="237"/>
      <c r="Z2073" s="237"/>
      <c r="AA2073" s="237"/>
      <c r="AB2073" s="237"/>
    </row>
    <row r="2074">
      <c r="A2074" s="237"/>
      <c r="B2074" s="275"/>
      <c r="C2074" s="88" t="s">
        <v>12201</v>
      </c>
      <c r="D2074" s="236"/>
      <c r="E2074" s="241" t="s">
        <v>11961</v>
      </c>
      <c r="F2074" s="88" t="s">
        <v>12202</v>
      </c>
      <c r="G2074" s="88" t="s">
        <v>12203</v>
      </c>
      <c r="H2074" s="236"/>
      <c r="I2074" s="236"/>
      <c r="J2074" s="236"/>
      <c r="K2074" s="275"/>
      <c r="L2074" s="236"/>
      <c r="M2074" s="237"/>
      <c r="N2074" s="237"/>
      <c r="O2074" s="237"/>
      <c r="P2074" s="237"/>
      <c r="Q2074" s="237"/>
      <c r="R2074" s="237"/>
      <c r="S2074" s="237"/>
      <c r="T2074" s="237"/>
      <c r="U2074" s="237"/>
      <c r="V2074" s="237"/>
      <c r="W2074" s="237"/>
      <c r="X2074" s="237"/>
      <c r="Y2074" s="237"/>
      <c r="Z2074" s="237"/>
      <c r="AA2074" s="237"/>
      <c r="AB2074" s="237"/>
    </row>
    <row r="2075">
      <c r="A2075" s="237"/>
      <c r="B2075" s="275"/>
      <c r="C2075" s="88" t="s">
        <v>12204</v>
      </c>
      <c r="D2075" s="236"/>
      <c r="E2075" s="241" t="s">
        <v>11961</v>
      </c>
      <c r="F2075" s="88" t="s">
        <v>12205</v>
      </c>
      <c r="G2075" s="88" t="s">
        <v>12206</v>
      </c>
      <c r="H2075" s="236"/>
      <c r="I2075" s="236"/>
      <c r="J2075" s="236"/>
      <c r="K2075" s="275"/>
      <c r="L2075" s="236"/>
      <c r="M2075" s="237"/>
      <c r="N2075" s="237"/>
      <c r="O2075" s="237"/>
      <c r="P2075" s="237"/>
      <c r="Q2075" s="237"/>
      <c r="R2075" s="237"/>
      <c r="S2075" s="237"/>
      <c r="T2075" s="237"/>
      <c r="U2075" s="237"/>
      <c r="V2075" s="237"/>
      <c r="W2075" s="237"/>
      <c r="X2075" s="237"/>
      <c r="Y2075" s="237"/>
      <c r="Z2075" s="237"/>
      <c r="AA2075" s="237"/>
      <c r="AB2075" s="237"/>
    </row>
    <row r="2076">
      <c r="A2076" s="237"/>
      <c r="B2076" s="275"/>
      <c r="C2076" s="88" t="s">
        <v>12207</v>
      </c>
      <c r="D2076" s="243" t="s">
        <v>12208</v>
      </c>
      <c r="E2076" s="241" t="s">
        <v>11961</v>
      </c>
      <c r="F2076" s="88" t="s">
        <v>12209</v>
      </c>
      <c r="G2076" s="88" t="s">
        <v>12210</v>
      </c>
      <c r="H2076" s="236"/>
      <c r="I2076" s="236"/>
      <c r="J2076" s="236"/>
      <c r="K2076" s="275"/>
      <c r="L2076" s="236"/>
      <c r="M2076" s="237"/>
      <c r="N2076" s="237"/>
      <c r="O2076" s="237"/>
      <c r="P2076" s="237"/>
      <c r="Q2076" s="237"/>
      <c r="R2076" s="237"/>
      <c r="S2076" s="237"/>
      <c r="T2076" s="237"/>
      <c r="U2076" s="237"/>
      <c r="V2076" s="237"/>
      <c r="W2076" s="237"/>
      <c r="X2076" s="237"/>
      <c r="Y2076" s="237"/>
      <c r="Z2076" s="237"/>
      <c r="AA2076" s="237"/>
      <c r="AB2076" s="237"/>
    </row>
    <row r="2077">
      <c r="A2077" s="237"/>
      <c r="B2077" s="275"/>
      <c r="C2077" s="88" t="s">
        <v>12211</v>
      </c>
      <c r="D2077" s="243" t="s">
        <v>12212</v>
      </c>
      <c r="E2077" s="241" t="s">
        <v>1420</v>
      </c>
      <c r="F2077" s="88" t="s">
        <v>12166</v>
      </c>
      <c r="G2077" s="88" t="s">
        <v>12213</v>
      </c>
      <c r="H2077" s="88" t="s">
        <v>12214</v>
      </c>
      <c r="I2077" s="236"/>
      <c r="J2077" s="88" t="s">
        <v>12215</v>
      </c>
      <c r="K2077" s="275"/>
      <c r="L2077" s="88" t="s">
        <v>12216</v>
      </c>
      <c r="M2077" s="236"/>
      <c r="N2077" s="236"/>
      <c r="O2077" s="236"/>
      <c r="P2077" s="236"/>
      <c r="Q2077" s="236"/>
      <c r="R2077" s="237"/>
      <c r="S2077" s="237"/>
      <c r="T2077" s="237"/>
      <c r="U2077" s="237"/>
      <c r="V2077" s="237"/>
      <c r="W2077" s="237"/>
      <c r="X2077" s="237"/>
      <c r="Y2077" s="237"/>
      <c r="Z2077" s="237"/>
      <c r="AA2077" s="237"/>
      <c r="AB2077" s="237"/>
    </row>
    <row r="2078">
      <c r="A2078" s="237"/>
      <c r="B2078" s="275"/>
      <c r="C2078" s="88" t="s">
        <v>12217</v>
      </c>
      <c r="D2078" s="243" t="s">
        <v>12218</v>
      </c>
      <c r="E2078" s="241" t="s">
        <v>1420</v>
      </c>
      <c r="F2078" s="88" t="s">
        <v>12164</v>
      </c>
      <c r="G2078" s="88" t="s">
        <v>12219</v>
      </c>
      <c r="H2078" s="88" t="s">
        <v>12220</v>
      </c>
      <c r="I2078" s="236"/>
      <c r="J2078" s="88" t="s">
        <v>12221</v>
      </c>
      <c r="K2078" s="275"/>
      <c r="L2078" s="88" t="s">
        <v>12216</v>
      </c>
      <c r="M2078" s="236"/>
      <c r="N2078" s="236"/>
      <c r="O2078" s="236"/>
      <c r="P2078" s="236"/>
      <c r="Q2078" s="236"/>
      <c r="R2078" s="237"/>
      <c r="S2078" s="237"/>
      <c r="T2078" s="237"/>
      <c r="U2078" s="237"/>
      <c r="V2078" s="237"/>
      <c r="W2078" s="237"/>
      <c r="X2078" s="237"/>
      <c r="Y2078" s="237"/>
      <c r="Z2078" s="237"/>
      <c r="AA2078" s="237"/>
      <c r="AB2078" s="237"/>
    </row>
    <row r="2079">
      <c r="A2079" s="237"/>
      <c r="B2079" s="275"/>
      <c r="C2079" s="88" t="s">
        <v>12222</v>
      </c>
      <c r="D2079" s="243" t="s">
        <v>12223</v>
      </c>
      <c r="E2079" s="241" t="s">
        <v>1420</v>
      </c>
      <c r="F2079" s="88" t="s">
        <v>12224</v>
      </c>
      <c r="G2079" s="88" t="s">
        <v>12225</v>
      </c>
      <c r="H2079" s="236"/>
      <c r="I2079" s="236"/>
      <c r="J2079" s="236"/>
      <c r="K2079" s="275"/>
      <c r="L2079" s="236"/>
      <c r="M2079" s="236"/>
      <c r="N2079" s="236"/>
      <c r="O2079" s="236"/>
      <c r="P2079" s="236"/>
      <c r="Q2079" s="236"/>
      <c r="R2079" s="237"/>
      <c r="S2079" s="237"/>
      <c r="T2079" s="237"/>
      <c r="U2079" s="237"/>
      <c r="V2079" s="237"/>
      <c r="W2079" s="237"/>
      <c r="X2079" s="237"/>
      <c r="Y2079" s="237"/>
      <c r="Z2079" s="237"/>
      <c r="AA2079" s="237"/>
      <c r="AB2079" s="237"/>
    </row>
    <row r="2080">
      <c r="A2080" s="237"/>
      <c r="B2080" s="275"/>
      <c r="C2080" s="88" t="s">
        <v>12226</v>
      </c>
      <c r="D2080" s="236"/>
      <c r="E2080" s="241" t="s">
        <v>1420</v>
      </c>
      <c r="F2080" s="88" t="s">
        <v>4509</v>
      </c>
      <c r="G2080" s="88" t="s">
        <v>4510</v>
      </c>
      <c r="H2080" s="88" t="s">
        <v>12227</v>
      </c>
      <c r="I2080" s="236"/>
      <c r="J2080" s="236"/>
      <c r="K2080" s="275"/>
      <c r="L2080" s="88">
        <v>47127.0</v>
      </c>
      <c r="M2080" s="236"/>
      <c r="N2080" s="236"/>
      <c r="O2080" s="236"/>
      <c r="P2080" s="236"/>
      <c r="Q2080" s="236"/>
      <c r="R2080" s="237"/>
      <c r="S2080" s="237"/>
      <c r="T2080" s="237"/>
      <c r="U2080" s="237"/>
      <c r="V2080" s="237"/>
      <c r="W2080" s="237"/>
      <c r="X2080" s="237"/>
      <c r="Y2080" s="237"/>
      <c r="Z2080" s="237"/>
      <c r="AA2080" s="237"/>
      <c r="AB2080" s="237"/>
    </row>
    <row r="2081">
      <c r="A2081" s="237"/>
      <c r="B2081" s="275"/>
      <c r="C2081" s="88" t="s">
        <v>12228</v>
      </c>
      <c r="D2081" s="236"/>
      <c r="E2081" s="241" t="s">
        <v>1420</v>
      </c>
      <c r="F2081" s="88" t="s">
        <v>11964</v>
      </c>
      <c r="G2081" s="88" t="s">
        <v>4512</v>
      </c>
      <c r="H2081" s="88" t="s">
        <v>12229</v>
      </c>
      <c r="I2081" s="236"/>
      <c r="J2081" s="236"/>
      <c r="K2081" s="275"/>
      <c r="L2081" s="88">
        <v>47127.0</v>
      </c>
      <c r="M2081" s="236"/>
      <c r="N2081" s="236"/>
      <c r="O2081" s="236"/>
      <c r="P2081" s="236"/>
      <c r="Q2081" s="236"/>
      <c r="R2081" s="237"/>
      <c r="S2081" s="237"/>
      <c r="T2081" s="237"/>
      <c r="U2081" s="237"/>
      <c r="V2081" s="237"/>
      <c r="W2081" s="237"/>
      <c r="X2081" s="237"/>
      <c r="Y2081" s="237"/>
      <c r="Z2081" s="237"/>
      <c r="AA2081" s="237"/>
      <c r="AB2081" s="237"/>
    </row>
    <row r="2082">
      <c r="A2082" s="237"/>
      <c r="B2082" s="275"/>
      <c r="C2082" s="88" t="s">
        <v>12230</v>
      </c>
      <c r="D2082" s="236"/>
      <c r="E2082" s="241" t="s">
        <v>1420</v>
      </c>
      <c r="F2082" s="88" t="s">
        <v>11966</v>
      </c>
      <c r="G2082" s="88" t="s">
        <v>11967</v>
      </c>
      <c r="H2082" s="88" t="s">
        <v>12231</v>
      </c>
      <c r="I2082" s="236"/>
      <c r="J2082" s="236"/>
      <c r="K2082" s="275"/>
      <c r="L2082" s="88">
        <v>47127.0</v>
      </c>
      <c r="M2082" s="236"/>
      <c r="N2082" s="236"/>
      <c r="O2082" s="236"/>
      <c r="P2082" s="236"/>
      <c r="Q2082" s="236"/>
      <c r="R2082" s="237"/>
      <c r="S2082" s="237"/>
      <c r="T2082" s="237"/>
      <c r="U2082" s="237"/>
      <c r="V2082" s="237"/>
      <c r="W2082" s="237"/>
      <c r="X2082" s="237"/>
      <c r="Y2082" s="237"/>
      <c r="Z2082" s="237"/>
      <c r="AA2082" s="237"/>
      <c r="AB2082" s="237"/>
    </row>
    <row r="2083">
      <c r="A2083" s="237"/>
      <c r="B2083" s="277" t="s">
        <v>12232</v>
      </c>
      <c r="C2083" s="88" t="s">
        <v>12233</v>
      </c>
      <c r="D2083" s="236"/>
      <c r="E2083" s="241" t="s">
        <v>12234</v>
      </c>
      <c r="F2083" s="88" t="s">
        <v>1863</v>
      </c>
      <c r="G2083" s="88" t="s">
        <v>12235</v>
      </c>
      <c r="H2083" s="236"/>
      <c r="I2083" s="236"/>
      <c r="J2083" s="236"/>
      <c r="K2083" s="277" t="s">
        <v>12232</v>
      </c>
      <c r="L2083" s="236"/>
      <c r="M2083" s="236"/>
      <c r="N2083" s="236"/>
      <c r="O2083" s="236"/>
      <c r="P2083" s="236"/>
      <c r="Q2083" s="236"/>
      <c r="R2083" s="237"/>
      <c r="S2083" s="237"/>
      <c r="T2083" s="237"/>
      <c r="U2083" s="237"/>
      <c r="V2083" s="237"/>
      <c r="W2083" s="237"/>
      <c r="X2083" s="237"/>
      <c r="Y2083" s="237"/>
      <c r="Z2083" s="237"/>
      <c r="AA2083" s="237"/>
      <c r="AB2083" s="237"/>
    </row>
    <row r="2084">
      <c r="A2084" s="237"/>
      <c r="B2084" s="277" t="s">
        <v>12232</v>
      </c>
      <c r="C2084" s="88" t="s">
        <v>12236</v>
      </c>
      <c r="D2084" s="236"/>
      <c r="E2084" s="241" t="s">
        <v>12234</v>
      </c>
      <c r="F2084" s="88" t="s">
        <v>1862</v>
      </c>
      <c r="G2084" s="88" t="s">
        <v>12237</v>
      </c>
      <c r="H2084" s="236"/>
      <c r="I2084" s="236"/>
      <c r="J2084" s="236"/>
      <c r="K2084" s="277" t="s">
        <v>12232</v>
      </c>
      <c r="L2084" s="236"/>
      <c r="M2084" s="236"/>
      <c r="N2084" s="236"/>
      <c r="O2084" s="236"/>
      <c r="P2084" s="236"/>
      <c r="Q2084" s="236"/>
      <c r="R2084" s="237"/>
      <c r="S2084" s="237"/>
      <c r="T2084" s="237"/>
      <c r="U2084" s="237"/>
      <c r="V2084" s="237"/>
      <c r="W2084" s="237"/>
      <c r="X2084" s="237"/>
      <c r="Y2084" s="237"/>
      <c r="Z2084" s="237"/>
      <c r="AA2084" s="237"/>
      <c r="AB2084" s="237"/>
    </row>
    <row r="2085">
      <c r="A2085" s="237"/>
      <c r="B2085" s="277" t="s">
        <v>12238</v>
      </c>
      <c r="C2085" s="88" t="s">
        <v>12239</v>
      </c>
      <c r="D2085" s="236"/>
      <c r="E2085" s="241" t="s">
        <v>12234</v>
      </c>
      <c r="F2085" s="88" t="s">
        <v>11969</v>
      </c>
      <c r="G2085" s="88" t="s">
        <v>11970</v>
      </c>
      <c r="H2085" s="236"/>
      <c r="I2085" s="236"/>
      <c r="J2085" s="236"/>
      <c r="K2085" s="277" t="s">
        <v>12238</v>
      </c>
      <c r="L2085" s="236"/>
      <c r="M2085" s="236"/>
      <c r="N2085" s="236"/>
      <c r="O2085" s="236"/>
      <c r="P2085" s="236"/>
      <c r="Q2085" s="236"/>
      <c r="R2085" s="237"/>
      <c r="S2085" s="237"/>
      <c r="T2085" s="237"/>
      <c r="U2085" s="237"/>
      <c r="V2085" s="237"/>
      <c r="W2085" s="237"/>
      <c r="X2085" s="237"/>
      <c r="Y2085" s="237"/>
      <c r="Z2085" s="237"/>
      <c r="AA2085" s="237"/>
      <c r="AB2085" s="237"/>
    </row>
    <row r="2086">
      <c r="A2086" s="237"/>
      <c r="B2086" s="277" t="s">
        <v>12238</v>
      </c>
      <c r="C2086" s="88" t="s">
        <v>12240</v>
      </c>
      <c r="D2086" s="236"/>
      <c r="E2086" s="241" t="s">
        <v>12234</v>
      </c>
      <c r="F2086" s="88" t="s">
        <v>11972</v>
      </c>
      <c r="G2086" s="88" t="s">
        <v>11973</v>
      </c>
      <c r="H2086" s="236"/>
      <c r="I2086" s="236"/>
      <c r="J2086" s="236"/>
      <c r="K2086" s="277" t="s">
        <v>12238</v>
      </c>
      <c r="L2086" s="236"/>
      <c r="M2086" s="236"/>
      <c r="N2086" s="236"/>
      <c r="O2086" s="236"/>
      <c r="P2086" s="236"/>
      <c r="Q2086" s="236"/>
      <c r="R2086" s="237"/>
      <c r="S2086" s="237"/>
      <c r="T2086" s="237"/>
      <c r="U2086" s="237"/>
      <c r="V2086" s="237"/>
      <c r="W2086" s="237"/>
      <c r="X2086" s="237"/>
      <c r="Y2086" s="237"/>
      <c r="Z2086" s="237"/>
      <c r="AA2086" s="237"/>
      <c r="AB2086" s="237"/>
    </row>
    <row r="2087">
      <c r="A2087" s="237"/>
      <c r="B2087" s="275"/>
      <c r="C2087" s="88" t="s">
        <v>12241</v>
      </c>
      <c r="D2087" s="278" t="s">
        <v>12242</v>
      </c>
      <c r="E2087" s="241" t="s">
        <v>1420</v>
      </c>
      <c r="F2087" s="88" t="s">
        <v>12012</v>
      </c>
      <c r="G2087" s="88" t="s">
        <v>12013</v>
      </c>
      <c r="H2087" s="236"/>
      <c r="I2087" s="236"/>
      <c r="J2087" s="236"/>
      <c r="K2087" s="275"/>
      <c r="L2087" s="236"/>
      <c r="M2087" s="236"/>
      <c r="N2087" s="236"/>
      <c r="O2087" s="236"/>
      <c r="P2087" s="236"/>
      <c r="Q2087" s="236"/>
      <c r="R2087" s="237"/>
      <c r="S2087" s="237"/>
      <c r="T2087" s="237"/>
      <c r="U2087" s="237"/>
      <c r="V2087" s="237"/>
      <c r="W2087" s="237"/>
      <c r="X2087" s="237"/>
      <c r="Y2087" s="237"/>
      <c r="Z2087" s="237"/>
      <c r="AA2087" s="237"/>
      <c r="AB2087" s="237"/>
    </row>
    <row r="2088">
      <c r="A2088" s="237"/>
      <c r="B2088" s="275"/>
      <c r="C2088" s="88" t="s">
        <v>12243</v>
      </c>
      <c r="D2088" s="278" t="s">
        <v>12244</v>
      </c>
      <c r="E2088" s="241" t="s">
        <v>11671</v>
      </c>
      <c r="F2088" s="88" t="s">
        <v>12245</v>
      </c>
      <c r="G2088" s="88" t="s">
        <v>12010</v>
      </c>
      <c r="H2088" s="236"/>
      <c r="I2088" s="236"/>
      <c r="J2088" s="236"/>
      <c r="K2088" s="275"/>
      <c r="L2088" s="236"/>
      <c r="M2088" s="236"/>
      <c r="N2088" s="236"/>
      <c r="O2088" s="236"/>
      <c r="P2088" s="236"/>
      <c r="Q2088" s="236"/>
      <c r="R2088" s="237"/>
      <c r="S2088" s="237"/>
      <c r="T2088" s="237"/>
      <c r="U2088" s="237"/>
      <c r="V2088" s="237"/>
      <c r="W2088" s="237"/>
      <c r="X2088" s="237"/>
      <c r="Y2088" s="237"/>
      <c r="Z2088" s="237"/>
      <c r="AA2088" s="237"/>
      <c r="AB2088" s="237"/>
    </row>
    <row r="2089">
      <c r="A2089" s="237"/>
      <c r="B2089" s="275"/>
      <c r="C2089" s="88" t="s">
        <v>12246</v>
      </c>
      <c r="D2089" s="236"/>
      <c r="E2089" s="241" t="s">
        <v>11671</v>
      </c>
      <c r="F2089" s="88" t="s">
        <v>12006</v>
      </c>
      <c r="G2089" s="88" t="s">
        <v>12007</v>
      </c>
      <c r="H2089" s="236"/>
      <c r="I2089" s="236"/>
      <c r="J2089" s="236"/>
      <c r="K2089" s="275"/>
      <c r="L2089" s="236"/>
      <c r="M2089" s="236"/>
      <c r="N2089" s="236"/>
      <c r="O2089" s="236"/>
      <c r="P2089" s="236"/>
      <c r="Q2089" s="236"/>
      <c r="R2089" s="237"/>
      <c r="S2089" s="237"/>
      <c r="T2089" s="237"/>
      <c r="U2089" s="237"/>
      <c r="V2089" s="237"/>
      <c r="W2089" s="237"/>
      <c r="X2089" s="237"/>
      <c r="Y2089" s="237"/>
      <c r="Z2089" s="237"/>
      <c r="AA2089" s="237"/>
      <c r="AB2089" s="237"/>
    </row>
    <row r="2090">
      <c r="A2090" s="237"/>
      <c r="B2090" s="279" t="s">
        <v>12247</v>
      </c>
      <c r="C2090" s="88" t="s">
        <v>12248</v>
      </c>
      <c r="D2090" s="236"/>
      <c r="E2090" s="241" t="s">
        <v>12234</v>
      </c>
      <c r="F2090" s="88" t="s">
        <v>12003</v>
      </c>
      <c r="G2090" s="88" t="s">
        <v>12004</v>
      </c>
      <c r="H2090" s="236"/>
      <c r="I2090" s="236"/>
      <c r="J2090" s="236"/>
      <c r="K2090" s="279" t="s">
        <v>12247</v>
      </c>
      <c r="L2090" s="236"/>
      <c r="M2090" s="236"/>
      <c r="N2090" s="236"/>
      <c r="O2090" s="236"/>
      <c r="P2090" s="236"/>
      <c r="Q2090" s="236"/>
      <c r="R2090" s="237"/>
      <c r="S2090" s="237"/>
      <c r="T2090" s="237"/>
      <c r="U2090" s="237"/>
      <c r="V2090" s="237"/>
      <c r="W2090" s="237"/>
      <c r="X2090" s="237"/>
      <c r="Y2090" s="237"/>
      <c r="Z2090" s="237"/>
      <c r="AA2090" s="237"/>
      <c r="AB2090" s="237"/>
    </row>
    <row r="2091">
      <c r="A2091" s="237"/>
      <c r="B2091" s="279" t="s">
        <v>12249</v>
      </c>
      <c r="C2091" s="88" t="s">
        <v>12250</v>
      </c>
      <c r="D2091" s="236"/>
      <c r="E2091" s="241" t="s">
        <v>12234</v>
      </c>
      <c r="F2091" s="88" t="s">
        <v>12000</v>
      </c>
      <c r="G2091" s="88" t="s">
        <v>12001</v>
      </c>
      <c r="H2091" s="236"/>
      <c r="I2091" s="236"/>
      <c r="J2091" s="236"/>
      <c r="K2091" s="279" t="s">
        <v>12249</v>
      </c>
      <c r="L2091" s="236"/>
      <c r="M2091" s="236"/>
      <c r="N2091" s="236"/>
      <c r="O2091" s="236"/>
      <c r="P2091" s="236"/>
      <c r="Q2091" s="236"/>
      <c r="R2091" s="237"/>
      <c r="S2091" s="237"/>
      <c r="T2091" s="237"/>
      <c r="U2091" s="237"/>
      <c r="V2091" s="237"/>
      <c r="W2091" s="237"/>
      <c r="X2091" s="237"/>
      <c r="Y2091" s="237"/>
      <c r="Z2091" s="237"/>
      <c r="AA2091" s="237"/>
      <c r="AB2091" s="237"/>
    </row>
    <row r="2092">
      <c r="A2092" s="237"/>
      <c r="B2092" s="275"/>
      <c r="C2092" s="88" t="s">
        <v>12251</v>
      </c>
      <c r="D2092" s="278" t="s">
        <v>12252</v>
      </c>
      <c r="E2092" s="241" t="s">
        <v>1420</v>
      </c>
      <c r="F2092" s="88" t="s">
        <v>12116</v>
      </c>
      <c r="G2092" s="88" t="s">
        <v>12117</v>
      </c>
      <c r="H2092" s="88" t="s">
        <v>12253</v>
      </c>
      <c r="I2092" s="236"/>
      <c r="J2092" s="88" t="s">
        <v>3962</v>
      </c>
      <c r="K2092" s="275"/>
      <c r="L2092" s="88">
        <v>47308.0</v>
      </c>
      <c r="M2092" s="236"/>
      <c r="N2092" s="236"/>
      <c r="O2092" s="236"/>
      <c r="P2092" s="236"/>
      <c r="Q2092" s="236"/>
      <c r="R2092" s="237"/>
      <c r="S2092" s="237"/>
      <c r="T2092" s="237"/>
      <c r="U2092" s="237"/>
      <c r="V2092" s="237"/>
      <c r="W2092" s="237"/>
      <c r="X2092" s="237"/>
      <c r="Y2092" s="237"/>
      <c r="Z2092" s="237"/>
      <c r="AA2092" s="237"/>
      <c r="AB2092" s="237"/>
    </row>
    <row r="2093">
      <c r="A2093" s="237"/>
      <c r="B2093" s="279" t="s">
        <v>12254</v>
      </c>
      <c r="C2093" s="88" t="s">
        <v>12255</v>
      </c>
      <c r="D2093" s="236"/>
      <c r="E2093" s="241" t="s">
        <v>12234</v>
      </c>
      <c r="F2093" s="88" t="s">
        <v>12172</v>
      </c>
      <c r="G2093" s="88" t="s">
        <v>12173</v>
      </c>
      <c r="H2093" s="236"/>
      <c r="I2093" s="236"/>
      <c r="J2093" s="236"/>
      <c r="K2093" s="279" t="s">
        <v>12254</v>
      </c>
      <c r="L2093" s="236"/>
      <c r="M2093" s="236"/>
      <c r="N2093" s="236"/>
      <c r="O2093" s="236"/>
      <c r="P2093" s="236"/>
      <c r="Q2093" s="236"/>
      <c r="R2093" s="237"/>
      <c r="S2093" s="237"/>
      <c r="T2093" s="237"/>
      <c r="U2093" s="237"/>
      <c r="V2093" s="237"/>
      <c r="W2093" s="237"/>
      <c r="X2093" s="237"/>
      <c r="Y2093" s="237"/>
      <c r="Z2093" s="237"/>
      <c r="AA2093" s="237"/>
      <c r="AB2093" s="237"/>
    </row>
    <row r="2094">
      <c r="A2094" s="237"/>
      <c r="B2094" s="279" t="s">
        <v>12256</v>
      </c>
      <c r="C2094" s="88" t="s">
        <v>12257</v>
      </c>
      <c r="D2094" s="236"/>
      <c r="E2094" s="241" t="s">
        <v>12234</v>
      </c>
      <c r="F2094" s="88" t="s">
        <v>12170</v>
      </c>
      <c r="G2094" s="88" t="s">
        <v>12258</v>
      </c>
      <c r="H2094" s="236"/>
      <c r="I2094" s="236"/>
      <c r="J2094" s="236"/>
      <c r="K2094" s="279" t="s">
        <v>12256</v>
      </c>
      <c r="L2094" s="236"/>
      <c r="M2094" s="236"/>
      <c r="N2094" s="236"/>
      <c r="O2094" s="236"/>
      <c r="P2094" s="236"/>
      <c r="Q2094" s="236"/>
      <c r="R2094" s="237"/>
      <c r="S2094" s="237"/>
      <c r="T2094" s="237"/>
      <c r="U2094" s="237"/>
      <c r="V2094" s="237"/>
      <c r="W2094" s="237"/>
      <c r="X2094" s="237"/>
      <c r="Y2094" s="237"/>
      <c r="Z2094" s="237"/>
      <c r="AA2094" s="237"/>
      <c r="AB2094" s="237"/>
    </row>
    <row r="2095">
      <c r="A2095" s="237"/>
      <c r="B2095" s="275"/>
      <c r="C2095" s="88" t="s">
        <v>12259</v>
      </c>
      <c r="D2095" s="278" t="s">
        <v>12260</v>
      </c>
      <c r="E2095" s="241" t="s">
        <v>11671</v>
      </c>
      <c r="F2095" s="88" t="s">
        <v>12261</v>
      </c>
      <c r="G2095" s="88" t="s">
        <v>12262</v>
      </c>
      <c r="H2095" s="236"/>
      <c r="I2095" s="236"/>
      <c r="J2095" s="236"/>
      <c r="K2095" s="275"/>
      <c r="L2095" s="236"/>
      <c r="M2095" s="236"/>
      <c r="N2095" s="236"/>
      <c r="O2095" s="236"/>
      <c r="P2095" s="236"/>
      <c r="Q2095" s="236"/>
      <c r="R2095" s="237"/>
      <c r="S2095" s="237"/>
      <c r="T2095" s="237"/>
      <c r="U2095" s="237"/>
      <c r="V2095" s="237"/>
      <c r="W2095" s="237"/>
      <c r="X2095" s="237"/>
      <c r="Y2095" s="237"/>
      <c r="Z2095" s="237"/>
      <c r="AA2095" s="237"/>
      <c r="AB2095" s="237"/>
    </row>
    <row r="2096">
      <c r="A2096" s="237"/>
      <c r="B2096" s="275"/>
      <c r="C2096" s="88" t="s">
        <v>12263</v>
      </c>
      <c r="D2096" s="237"/>
      <c r="E2096" s="241" t="s">
        <v>1420</v>
      </c>
      <c r="F2096" s="88" t="s">
        <v>12128</v>
      </c>
      <c r="G2096" s="88" t="s">
        <v>12129</v>
      </c>
      <c r="H2096" s="88" t="s">
        <v>12264</v>
      </c>
      <c r="I2096" s="236"/>
      <c r="J2096" s="88" t="s">
        <v>3962</v>
      </c>
      <c r="K2096" s="275"/>
      <c r="L2096" s="88">
        <v>47308.0</v>
      </c>
      <c r="M2096" s="236"/>
      <c r="N2096" s="236"/>
      <c r="O2096" s="236"/>
      <c r="P2096" s="236"/>
      <c r="Q2096" s="236"/>
      <c r="R2096" s="237"/>
      <c r="S2096" s="237"/>
      <c r="T2096" s="237"/>
      <c r="U2096" s="237"/>
      <c r="V2096" s="237"/>
      <c r="W2096" s="237"/>
      <c r="X2096" s="237"/>
      <c r="Y2096" s="237"/>
      <c r="Z2096" s="237"/>
      <c r="AA2096" s="237"/>
      <c r="AB2096" s="237"/>
    </row>
    <row r="2097">
      <c r="A2097" s="237"/>
      <c r="B2097" s="275"/>
      <c r="C2097" s="236"/>
      <c r="D2097" s="236"/>
      <c r="E2097" s="88" t="s">
        <v>1420</v>
      </c>
      <c r="F2097" s="88" t="s">
        <v>12265</v>
      </c>
      <c r="G2097" s="88" t="s">
        <v>12266</v>
      </c>
      <c r="H2097" s="88" t="s">
        <v>12267</v>
      </c>
      <c r="I2097" s="236"/>
      <c r="J2097" s="88" t="s">
        <v>9758</v>
      </c>
      <c r="K2097" s="275"/>
      <c r="L2097" s="88">
        <v>47186.0</v>
      </c>
      <c r="M2097" s="237"/>
      <c r="N2097" s="237"/>
      <c r="O2097" s="237"/>
      <c r="P2097" s="237"/>
      <c r="Q2097" s="237"/>
      <c r="R2097" s="237"/>
      <c r="S2097" s="237"/>
      <c r="T2097" s="237"/>
      <c r="U2097" s="237"/>
      <c r="V2097" s="237"/>
      <c r="W2097" s="237"/>
      <c r="X2097" s="237"/>
      <c r="Y2097" s="237"/>
      <c r="Z2097" s="237"/>
      <c r="AA2097" s="237"/>
      <c r="AB2097" s="237"/>
    </row>
    <row r="2098">
      <c r="A2098" s="237"/>
      <c r="B2098" s="275"/>
      <c r="C2098" s="236"/>
      <c r="D2098" s="236"/>
      <c r="E2098" s="88" t="s">
        <v>1420</v>
      </c>
      <c r="F2098" s="88" t="s">
        <v>11996</v>
      </c>
      <c r="G2098" s="88" t="s">
        <v>12268</v>
      </c>
      <c r="H2098" s="88" t="s">
        <v>12269</v>
      </c>
      <c r="I2098" s="236"/>
      <c r="J2098" s="88" t="s">
        <v>9758</v>
      </c>
      <c r="K2098" s="275"/>
      <c r="L2098" s="88">
        <v>47186.0</v>
      </c>
      <c r="M2098" s="237"/>
      <c r="N2098" s="237"/>
      <c r="O2098" s="237"/>
      <c r="P2098" s="237"/>
      <c r="Q2098" s="237"/>
      <c r="R2098" s="237"/>
      <c r="S2098" s="237"/>
      <c r="T2098" s="237"/>
      <c r="U2098" s="237"/>
      <c r="V2098" s="237"/>
      <c r="W2098" s="237"/>
      <c r="X2098" s="237"/>
      <c r="Y2098" s="237"/>
      <c r="Z2098" s="237"/>
      <c r="AA2098" s="237"/>
      <c r="AB2098" s="237"/>
    </row>
    <row r="2099">
      <c r="A2099" s="237"/>
      <c r="B2099" s="275"/>
      <c r="C2099" s="88" t="s">
        <v>12270</v>
      </c>
      <c r="D2099" s="236"/>
      <c r="E2099" s="88" t="s">
        <v>1420</v>
      </c>
      <c r="F2099" s="88" t="s">
        <v>12271</v>
      </c>
      <c r="G2099" s="88" t="s">
        <v>12272</v>
      </c>
      <c r="H2099" s="88" t="s">
        <v>12273</v>
      </c>
      <c r="I2099" s="236"/>
      <c r="J2099" s="236"/>
      <c r="K2099" s="275"/>
      <c r="L2099" s="88" t="s">
        <v>12274</v>
      </c>
      <c r="M2099" s="237"/>
      <c r="N2099" s="237"/>
      <c r="O2099" s="237"/>
      <c r="P2099" s="237"/>
      <c r="Q2099" s="237"/>
      <c r="R2099" s="237"/>
      <c r="S2099" s="237"/>
      <c r="T2099" s="237"/>
      <c r="U2099" s="237"/>
      <c r="V2099" s="237"/>
      <c r="W2099" s="237"/>
      <c r="X2099" s="237"/>
      <c r="Y2099" s="237"/>
      <c r="Z2099" s="237"/>
      <c r="AA2099" s="237"/>
      <c r="AB2099" s="237"/>
    </row>
    <row r="2100">
      <c r="A2100" s="237"/>
      <c r="B2100" s="275"/>
      <c r="C2100" s="88" t="s">
        <v>12275</v>
      </c>
      <c r="D2100" s="236"/>
      <c r="E2100" s="88" t="s">
        <v>1420</v>
      </c>
      <c r="F2100" s="88" t="s">
        <v>12276</v>
      </c>
      <c r="G2100" s="88" t="s">
        <v>12277</v>
      </c>
      <c r="H2100" s="88" t="s">
        <v>12278</v>
      </c>
      <c r="I2100" s="236"/>
      <c r="J2100" s="236"/>
      <c r="K2100" s="275"/>
      <c r="L2100" s="88" t="s">
        <v>12274</v>
      </c>
      <c r="M2100" s="237"/>
      <c r="N2100" s="237"/>
      <c r="O2100" s="237"/>
      <c r="P2100" s="237"/>
      <c r="Q2100" s="237"/>
      <c r="R2100" s="237"/>
      <c r="S2100" s="237"/>
      <c r="T2100" s="237"/>
      <c r="U2100" s="237"/>
      <c r="V2100" s="237"/>
      <c r="W2100" s="237"/>
      <c r="X2100" s="237"/>
      <c r="Y2100" s="237"/>
      <c r="Z2100" s="237"/>
      <c r="AA2100" s="237"/>
      <c r="AB2100" s="237"/>
    </row>
    <row r="2101">
      <c r="A2101" s="237"/>
      <c r="B2101" s="275"/>
      <c r="C2101" s="88" t="s">
        <v>12279</v>
      </c>
      <c r="D2101" s="236"/>
      <c r="E2101" s="88" t="s">
        <v>1420</v>
      </c>
      <c r="F2101" s="88" t="s">
        <v>12280</v>
      </c>
      <c r="G2101" s="88" t="s">
        <v>12281</v>
      </c>
      <c r="H2101" s="88" t="s">
        <v>12282</v>
      </c>
      <c r="I2101" s="236"/>
      <c r="J2101" s="88" t="s">
        <v>11795</v>
      </c>
      <c r="K2101" s="275"/>
      <c r="L2101" s="88" t="s">
        <v>12274</v>
      </c>
      <c r="M2101" s="237"/>
      <c r="N2101" s="237"/>
      <c r="O2101" s="237"/>
      <c r="P2101" s="237"/>
      <c r="Q2101" s="237"/>
      <c r="R2101" s="237"/>
      <c r="S2101" s="237"/>
      <c r="T2101" s="237"/>
      <c r="U2101" s="237"/>
      <c r="V2101" s="237"/>
      <c r="W2101" s="237"/>
      <c r="X2101" s="237"/>
      <c r="Y2101" s="237"/>
      <c r="Z2101" s="237"/>
      <c r="AA2101" s="237"/>
      <c r="AB2101" s="237"/>
    </row>
    <row r="2102">
      <c r="A2102" s="237"/>
      <c r="B2102" s="275"/>
      <c r="C2102" s="88" t="s">
        <v>12283</v>
      </c>
      <c r="D2102" s="236"/>
      <c r="E2102" s="88" t="s">
        <v>1420</v>
      </c>
      <c r="F2102" s="88" t="s">
        <v>12284</v>
      </c>
      <c r="G2102" s="88" t="s">
        <v>12285</v>
      </c>
      <c r="H2102" s="88" t="s">
        <v>12286</v>
      </c>
      <c r="I2102" s="236"/>
      <c r="J2102" s="236"/>
      <c r="K2102" s="275"/>
      <c r="L2102" s="88" t="s">
        <v>12274</v>
      </c>
      <c r="M2102" s="237"/>
      <c r="N2102" s="237"/>
      <c r="O2102" s="237"/>
      <c r="P2102" s="237"/>
      <c r="Q2102" s="237"/>
      <c r="R2102" s="237"/>
      <c r="S2102" s="237"/>
      <c r="T2102" s="237"/>
      <c r="U2102" s="237"/>
      <c r="V2102" s="237"/>
      <c r="W2102" s="237"/>
      <c r="X2102" s="237"/>
      <c r="Y2102" s="237"/>
      <c r="Z2102" s="237"/>
      <c r="AA2102" s="237"/>
      <c r="AB2102" s="237"/>
    </row>
    <row r="2103">
      <c r="A2103" s="237"/>
      <c r="B2103" s="275"/>
      <c r="C2103" s="88" t="s">
        <v>12287</v>
      </c>
      <c r="D2103" s="236"/>
      <c r="E2103" s="88" t="s">
        <v>1420</v>
      </c>
      <c r="F2103" s="88" t="s">
        <v>12288</v>
      </c>
      <c r="G2103" s="88" t="s">
        <v>12289</v>
      </c>
      <c r="H2103" s="88" t="s">
        <v>12290</v>
      </c>
      <c r="I2103" s="236"/>
      <c r="J2103" s="236"/>
      <c r="K2103" s="275"/>
      <c r="L2103" s="88" t="s">
        <v>12274</v>
      </c>
      <c r="M2103" s="237"/>
      <c r="N2103" s="237"/>
      <c r="O2103" s="237"/>
      <c r="P2103" s="237"/>
      <c r="Q2103" s="237"/>
      <c r="R2103" s="237"/>
      <c r="S2103" s="237"/>
      <c r="T2103" s="237"/>
      <c r="U2103" s="237"/>
      <c r="V2103" s="237"/>
      <c r="W2103" s="237"/>
      <c r="X2103" s="237"/>
      <c r="Y2103" s="237"/>
      <c r="Z2103" s="237"/>
      <c r="AA2103" s="237"/>
      <c r="AB2103" s="237"/>
    </row>
    <row r="2104">
      <c r="A2104" s="237"/>
      <c r="B2104" s="275"/>
      <c r="C2104" s="88" t="s">
        <v>12291</v>
      </c>
      <c r="D2104" s="236"/>
      <c r="E2104" s="88" t="s">
        <v>1420</v>
      </c>
      <c r="F2104" s="88" t="s">
        <v>12292</v>
      </c>
      <c r="G2104" s="88" t="s">
        <v>12293</v>
      </c>
      <c r="H2104" s="88" t="s">
        <v>12294</v>
      </c>
      <c r="I2104" s="236"/>
      <c r="J2104" s="236"/>
      <c r="K2104" s="275"/>
      <c r="L2104" s="88" t="s">
        <v>12274</v>
      </c>
      <c r="M2104" s="237"/>
      <c r="N2104" s="237"/>
      <c r="O2104" s="237"/>
      <c r="P2104" s="237"/>
      <c r="Q2104" s="237"/>
      <c r="R2104" s="237"/>
      <c r="S2104" s="237"/>
      <c r="T2104" s="237"/>
      <c r="U2104" s="237"/>
      <c r="V2104" s="237"/>
      <c r="W2104" s="237"/>
      <c r="X2104" s="237"/>
      <c r="Y2104" s="237"/>
      <c r="Z2104" s="237"/>
      <c r="AA2104" s="237"/>
      <c r="AB2104" s="237"/>
    </row>
    <row r="2105">
      <c r="A2105" s="237"/>
      <c r="B2105" s="275"/>
      <c r="C2105" s="88" t="s">
        <v>12295</v>
      </c>
      <c r="D2105" s="236"/>
      <c r="E2105" s="88" t="s">
        <v>1420</v>
      </c>
      <c r="F2105" s="88" t="s">
        <v>12296</v>
      </c>
      <c r="G2105" s="88" t="s">
        <v>12297</v>
      </c>
      <c r="H2105" s="88" t="s">
        <v>12298</v>
      </c>
      <c r="I2105" s="236"/>
      <c r="J2105" s="236"/>
      <c r="K2105" s="275"/>
      <c r="L2105" s="88" t="s">
        <v>12274</v>
      </c>
      <c r="M2105" s="237"/>
      <c r="N2105" s="237"/>
      <c r="O2105" s="237"/>
      <c r="P2105" s="237"/>
      <c r="Q2105" s="237"/>
      <c r="R2105" s="237"/>
      <c r="S2105" s="237"/>
      <c r="T2105" s="237"/>
      <c r="U2105" s="237"/>
      <c r="V2105" s="237"/>
      <c r="W2105" s="237"/>
      <c r="X2105" s="237"/>
      <c r="Y2105" s="237"/>
      <c r="Z2105" s="237"/>
      <c r="AA2105" s="237"/>
      <c r="AB2105" s="237"/>
    </row>
    <row r="2106">
      <c r="A2106" s="237"/>
      <c r="B2106" s="275"/>
      <c r="C2106" s="88" t="s">
        <v>12299</v>
      </c>
      <c r="D2106" s="88" t="s">
        <v>12300</v>
      </c>
      <c r="E2106" s="88" t="s">
        <v>1420</v>
      </c>
      <c r="F2106" s="88" t="s">
        <v>12301</v>
      </c>
      <c r="G2106" s="88" t="s">
        <v>12302</v>
      </c>
      <c r="H2106" s="88" t="s">
        <v>12303</v>
      </c>
      <c r="I2106" s="236"/>
      <c r="J2106" s="236"/>
      <c r="K2106" s="275"/>
      <c r="L2106" s="88" t="s">
        <v>12274</v>
      </c>
      <c r="M2106" s="237"/>
      <c r="N2106" s="237"/>
      <c r="O2106" s="237"/>
      <c r="P2106" s="237"/>
      <c r="Q2106" s="237"/>
      <c r="R2106" s="237"/>
      <c r="S2106" s="237"/>
      <c r="T2106" s="237"/>
      <c r="U2106" s="237"/>
      <c r="V2106" s="237"/>
      <c r="W2106" s="237"/>
      <c r="X2106" s="237"/>
      <c r="Y2106" s="237"/>
      <c r="Z2106" s="237"/>
      <c r="AA2106" s="237"/>
      <c r="AB2106" s="237"/>
    </row>
    <row r="2107">
      <c r="A2107" s="237"/>
      <c r="B2107" s="275"/>
      <c r="C2107" s="88" t="s">
        <v>12304</v>
      </c>
      <c r="D2107" s="88" t="s">
        <v>12305</v>
      </c>
      <c r="E2107" s="88" t="s">
        <v>1420</v>
      </c>
      <c r="F2107" s="88" t="s">
        <v>12306</v>
      </c>
      <c r="G2107" s="88" t="s">
        <v>12307</v>
      </c>
      <c r="H2107" s="88" t="s">
        <v>12308</v>
      </c>
      <c r="I2107" s="236"/>
      <c r="J2107" s="236"/>
      <c r="K2107" s="275"/>
      <c r="L2107" s="88" t="s">
        <v>12274</v>
      </c>
      <c r="M2107" s="237"/>
      <c r="N2107" s="237"/>
      <c r="O2107" s="237"/>
      <c r="P2107" s="237"/>
      <c r="Q2107" s="237"/>
      <c r="R2107" s="237"/>
      <c r="S2107" s="237"/>
      <c r="T2107" s="237"/>
      <c r="U2107" s="237"/>
      <c r="V2107" s="237"/>
      <c r="W2107" s="237"/>
      <c r="X2107" s="237"/>
      <c r="Y2107" s="237"/>
      <c r="Z2107" s="237"/>
      <c r="AA2107" s="237"/>
      <c r="AB2107" s="237"/>
    </row>
    <row r="2108">
      <c r="A2108" s="237"/>
      <c r="B2108" s="275"/>
      <c r="C2108" s="88" t="s">
        <v>12309</v>
      </c>
      <c r="D2108" s="88" t="s">
        <v>12310</v>
      </c>
      <c r="E2108" s="88" t="s">
        <v>1420</v>
      </c>
      <c r="F2108" s="88" t="s">
        <v>12311</v>
      </c>
      <c r="G2108" s="88" t="s">
        <v>12312</v>
      </c>
      <c r="H2108" s="88" t="s">
        <v>12313</v>
      </c>
      <c r="I2108" s="236"/>
      <c r="J2108" s="236"/>
      <c r="K2108" s="275"/>
      <c r="L2108" s="88">
        <v>47158.0</v>
      </c>
      <c r="M2108" s="237"/>
      <c r="N2108" s="237"/>
      <c r="O2108" s="237"/>
      <c r="P2108" s="237"/>
      <c r="Q2108" s="237"/>
      <c r="R2108" s="237"/>
      <c r="S2108" s="237"/>
      <c r="T2108" s="237"/>
      <c r="U2108" s="237"/>
      <c r="V2108" s="237"/>
      <c r="W2108" s="237"/>
      <c r="X2108" s="237"/>
      <c r="Y2108" s="237"/>
      <c r="Z2108" s="237"/>
      <c r="AA2108" s="237"/>
      <c r="AB2108" s="237"/>
    </row>
    <row r="2109">
      <c r="A2109" s="237"/>
      <c r="B2109" s="275"/>
      <c r="C2109" s="88" t="s">
        <v>12314</v>
      </c>
      <c r="D2109" s="88" t="s">
        <v>12315</v>
      </c>
      <c r="E2109" s="88" t="s">
        <v>1420</v>
      </c>
      <c r="F2109" s="88" t="s">
        <v>12316</v>
      </c>
      <c r="G2109" s="88" t="s">
        <v>12317</v>
      </c>
      <c r="H2109" s="88" t="s">
        <v>12318</v>
      </c>
      <c r="I2109" s="236"/>
      <c r="J2109" s="236"/>
      <c r="K2109" s="275"/>
      <c r="L2109" s="88">
        <v>47158.0</v>
      </c>
      <c r="M2109" s="237"/>
      <c r="N2109" s="237"/>
      <c r="O2109" s="237"/>
      <c r="P2109" s="237"/>
      <c r="Q2109" s="237"/>
      <c r="R2109" s="237"/>
      <c r="S2109" s="237"/>
      <c r="T2109" s="237"/>
      <c r="U2109" s="237"/>
      <c r="V2109" s="237"/>
      <c r="W2109" s="237"/>
      <c r="X2109" s="237"/>
      <c r="Y2109" s="237"/>
      <c r="Z2109" s="237"/>
      <c r="AA2109" s="237"/>
      <c r="AB2109" s="237"/>
    </row>
    <row r="2110">
      <c r="A2110" s="237"/>
      <c r="B2110" s="275"/>
      <c r="C2110" s="88" t="s">
        <v>12319</v>
      </c>
      <c r="D2110" s="88" t="s">
        <v>12320</v>
      </c>
      <c r="E2110" s="88" t="s">
        <v>1420</v>
      </c>
      <c r="F2110" s="88" t="s">
        <v>12321</v>
      </c>
      <c r="G2110" s="88" t="s">
        <v>12322</v>
      </c>
      <c r="H2110" s="88" t="s">
        <v>12323</v>
      </c>
      <c r="I2110" s="236"/>
      <c r="J2110" s="236"/>
      <c r="K2110" s="275"/>
      <c r="L2110" s="88">
        <v>47186.0</v>
      </c>
      <c r="M2110" s="237"/>
      <c r="N2110" s="237"/>
      <c r="O2110" s="237"/>
      <c r="P2110" s="237"/>
      <c r="Q2110" s="237"/>
      <c r="R2110" s="237"/>
      <c r="S2110" s="237"/>
      <c r="T2110" s="237"/>
      <c r="U2110" s="237"/>
      <c r="V2110" s="237"/>
      <c r="W2110" s="237"/>
      <c r="X2110" s="237"/>
      <c r="Y2110" s="237"/>
      <c r="Z2110" s="237"/>
      <c r="AA2110" s="237"/>
      <c r="AB2110" s="237"/>
    </row>
    <row r="2111">
      <c r="A2111" s="237"/>
      <c r="B2111" s="275"/>
      <c r="C2111" s="88" t="s">
        <v>12324</v>
      </c>
      <c r="D2111" s="88" t="s">
        <v>12325</v>
      </c>
      <c r="E2111" s="88" t="s">
        <v>1420</v>
      </c>
      <c r="F2111" s="88" t="s">
        <v>12326</v>
      </c>
      <c r="G2111" s="88" t="s">
        <v>12327</v>
      </c>
      <c r="H2111" s="88" t="s">
        <v>12328</v>
      </c>
      <c r="I2111" s="236"/>
      <c r="J2111" s="236"/>
      <c r="K2111" s="275"/>
      <c r="L2111" s="88">
        <v>47186.0</v>
      </c>
      <c r="M2111" s="237"/>
      <c r="N2111" s="237"/>
      <c r="O2111" s="237"/>
      <c r="P2111" s="237"/>
      <c r="Q2111" s="237"/>
      <c r="R2111" s="237"/>
      <c r="S2111" s="237"/>
      <c r="T2111" s="237"/>
      <c r="U2111" s="237"/>
      <c r="V2111" s="237"/>
      <c r="W2111" s="237"/>
      <c r="X2111" s="237"/>
      <c r="Y2111" s="237"/>
      <c r="Z2111" s="237"/>
      <c r="AA2111" s="237"/>
      <c r="AB2111" s="237"/>
    </row>
    <row r="2112">
      <c r="A2112" s="237"/>
      <c r="B2112" s="275"/>
      <c r="C2112" s="88" t="s">
        <v>12329</v>
      </c>
      <c r="D2112" s="88" t="s">
        <v>12330</v>
      </c>
      <c r="E2112" s="88" t="s">
        <v>1420</v>
      </c>
      <c r="F2112" s="88" t="s">
        <v>12331</v>
      </c>
      <c r="G2112" s="88" t="s">
        <v>12176</v>
      </c>
      <c r="H2112" s="88" t="s">
        <v>12332</v>
      </c>
      <c r="I2112" s="236"/>
      <c r="J2112" s="236"/>
      <c r="K2112" s="275"/>
      <c r="L2112" s="88">
        <v>47186.0</v>
      </c>
      <c r="M2112" s="237"/>
      <c r="N2112" s="237"/>
      <c r="O2112" s="237"/>
      <c r="P2112" s="237"/>
      <c r="Q2112" s="237"/>
      <c r="R2112" s="237"/>
      <c r="S2112" s="237"/>
      <c r="T2112" s="237"/>
      <c r="U2112" s="237"/>
      <c r="V2112" s="237"/>
      <c r="W2112" s="237"/>
      <c r="X2112" s="237"/>
      <c r="Y2112" s="237"/>
      <c r="Z2112" s="237"/>
      <c r="AA2112" s="237"/>
      <c r="AB2112" s="237"/>
    </row>
    <row r="2113">
      <c r="A2113" s="237"/>
      <c r="B2113" s="275"/>
      <c r="C2113" s="88" t="s">
        <v>12333</v>
      </c>
      <c r="D2113" s="88" t="s">
        <v>12334</v>
      </c>
      <c r="E2113" s="88" t="s">
        <v>1420</v>
      </c>
      <c r="F2113" s="88" t="s">
        <v>12335</v>
      </c>
      <c r="G2113" s="88" t="s">
        <v>12336</v>
      </c>
      <c r="H2113" s="88" t="s">
        <v>12337</v>
      </c>
      <c r="I2113" s="236"/>
      <c r="J2113" s="236"/>
      <c r="K2113" s="275"/>
      <c r="L2113" s="88">
        <v>47186.0</v>
      </c>
      <c r="M2113" s="237"/>
      <c r="N2113" s="237"/>
      <c r="O2113" s="237"/>
      <c r="P2113" s="237"/>
      <c r="Q2113" s="237"/>
      <c r="R2113" s="237"/>
      <c r="S2113" s="237"/>
      <c r="T2113" s="237"/>
      <c r="U2113" s="237"/>
      <c r="V2113" s="237"/>
      <c r="W2113" s="237"/>
      <c r="X2113" s="237"/>
      <c r="Y2113" s="237"/>
      <c r="Z2113" s="237"/>
      <c r="AA2113" s="237"/>
      <c r="AB2113" s="237"/>
    </row>
    <row r="2114">
      <c r="A2114" s="237"/>
      <c r="B2114" s="275"/>
      <c r="C2114" s="88" t="s">
        <v>12338</v>
      </c>
      <c r="D2114" s="88" t="s">
        <v>12339</v>
      </c>
      <c r="E2114" s="88" t="s">
        <v>1420</v>
      </c>
      <c r="F2114" s="88" t="s">
        <v>12340</v>
      </c>
      <c r="G2114" s="88" t="s">
        <v>12341</v>
      </c>
      <c r="H2114" s="88" t="s">
        <v>12342</v>
      </c>
      <c r="I2114" s="236"/>
      <c r="J2114" s="236"/>
      <c r="K2114" s="275"/>
      <c r="L2114" s="88">
        <v>47186.0</v>
      </c>
      <c r="M2114" s="237"/>
      <c r="N2114" s="237"/>
      <c r="O2114" s="237"/>
      <c r="P2114" s="237"/>
      <c r="Q2114" s="237"/>
      <c r="R2114" s="237"/>
      <c r="S2114" s="237"/>
      <c r="T2114" s="237"/>
      <c r="U2114" s="237"/>
      <c r="V2114" s="237"/>
      <c r="W2114" s="237"/>
      <c r="X2114" s="237"/>
      <c r="Y2114" s="237"/>
      <c r="Z2114" s="237"/>
      <c r="AA2114" s="237"/>
      <c r="AB2114" s="237"/>
    </row>
    <row r="2115">
      <c r="A2115" s="237"/>
      <c r="B2115" s="275"/>
      <c r="C2115" s="88" t="s">
        <v>12343</v>
      </c>
      <c r="D2115" s="88" t="s">
        <v>12344</v>
      </c>
      <c r="E2115" s="88" t="s">
        <v>1420</v>
      </c>
      <c r="F2115" s="88" t="s">
        <v>12345</v>
      </c>
      <c r="G2115" s="88" t="s">
        <v>12346</v>
      </c>
      <c r="H2115" s="88" t="s">
        <v>12347</v>
      </c>
      <c r="I2115" s="236"/>
      <c r="J2115" s="236"/>
      <c r="K2115" s="275"/>
      <c r="L2115" s="88">
        <v>47186.0</v>
      </c>
      <c r="M2115" s="237"/>
      <c r="N2115" s="237"/>
      <c r="O2115" s="237"/>
      <c r="P2115" s="237"/>
      <c r="Q2115" s="237"/>
      <c r="R2115" s="237"/>
      <c r="S2115" s="237"/>
      <c r="T2115" s="237"/>
      <c r="U2115" s="237"/>
      <c r="V2115" s="237"/>
      <c r="W2115" s="237"/>
      <c r="X2115" s="237"/>
      <c r="Y2115" s="237"/>
      <c r="Z2115" s="237"/>
      <c r="AA2115" s="237"/>
      <c r="AB2115" s="237"/>
    </row>
    <row r="2116">
      <c r="A2116" s="237"/>
      <c r="B2116" s="275"/>
      <c r="C2116" s="88" t="s">
        <v>12348</v>
      </c>
      <c r="D2116" s="88" t="s">
        <v>12349</v>
      </c>
      <c r="E2116" s="88" t="s">
        <v>1420</v>
      </c>
      <c r="F2116" s="88" t="s">
        <v>12350</v>
      </c>
      <c r="G2116" s="88" t="s">
        <v>12351</v>
      </c>
      <c r="H2116" s="88" t="s">
        <v>12352</v>
      </c>
      <c r="I2116" s="236"/>
      <c r="J2116" s="236"/>
      <c r="K2116" s="275"/>
      <c r="L2116" s="88">
        <v>47186.0</v>
      </c>
      <c r="M2116" s="237"/>
      <c r="N2116" s="237"/>
      <c r="O2116" s="237"/>
      <c r="P2116" s="237"/>
      <c r="Q2116" s="237"/>
      <c r="R2116" s="237"/>
      <c r="S2116" s="237"/>
      <c r="T2116" s="237"/>
      <c r="U2116" s="237"/>
      <c r="V2116" s="237"/>
      <c r="W2116" s="237"/>
      <c r="X2116" s="237"/>
      <c r="Y2116" s="237"/>
      <c r="Z2116" s="237"/>
      <c r="AA2116" s="237"/>
      <c r="AB2116" s="237"/>
    </row>
    <row r="2117">
      <c r="A2117" s="237"/>
      <c r="B2117" s="275"/>
      <c r="C2117" s="88" t="s">
        <v>12353</v>
      </c>
      <c r="D2117" s="88" t="s">
        <v>12354</v>
      </c>
      <c r="E2117" s="88" t="s">
        <v>1420</v>
      </c>
      <c r="F2117" s="88" t="s">
        <v>12355</v>
      </c>
      <c r="G2117" s="88" t="s">
        <v>12356</v>
      </c>
      <c r="H2117" s="88" t="s">
        <v>12357</v>
      </c>
      <c r="I2117" s="236"/>
      <c r="J2117" s="236"/>
      <c r="K2117" s="275"/>
      <c r="L2117" s="88">
        <v>47186.0</v>
      </c>
      <c r="M2117" s="237"/>
      <c r="N2117" s="237"/>
      <c r="O2117" s="237"/>
      <c r="P2117" s="237"/>
      <c r="Q2117" s="237"/>
      <c r="R2117" s="237"/>
      <c r="S2117" s="237"/>
      <c r="T2117" s="237"/>
      <c r="U2117" s="237"/>
      <c r="V2117" s="237"/>
      <c r="W2117" s="237"/>
      <c r="X2117" s="237"/>
      <c r="Y2117" s="237"/>
      <c r="Z2117" s="237"/>
      <c r="AA2117" s="237"/>
      <c r="AB2117" s="237"/>
    </row>
    <row r="2118">
      <c r="A2118" s="237"/>
      <c r="B2118" s="275"/>
      <c r="C2118" s="88" t="s">
        <v>12358</v>
      </c>
      <c r="D2118" s="88" t="s">
        <v>12359</v>
      </c>
      <c r="E2118" s="88" t="s">
        <v>1420</v>
      </c>
      <c r="F2118" s="88" t="s">
        <v>12360</v>
      </c>
      <c r="G2118" s="88" t="s">
        <v>12361</v>
      </c>
      <c r="H2118" s="88" t="s">
        <v>12362</v>
      </c>
      <c r="I2118" s="236"/>
      <c r="J2118" s="236"/>
      <c r="K2118" s="275"/>
      <c r="L2118" s="88">
        <v>47186.0</v>
      </c>
      <c r="M2118" s="237"/>
      <c r="N2118" s="237"/>
      <c r="O2118" s="237"/>
      <c r="P2118" s="237"/>
      <c r="Q2118" s="237"/>
      <c r="R2118" s="237"/>
      <c r="S2118" s="237"/>
      <c r="T2118" s="237"/>
      <c r="U2118" s="237"/>
      <c r="V2118" s="237"/>
      <c r="W2118" s="237"/>
      <c r="X2118" s="237"/>
      <c r="Y2118" s="237"/>
      <c r="Z2118" s="237"/>
      <c r="AA2118" s="237"/>
      <c r="AB2118" s="237"/>
    </row>
    <row r="2119">
      <c r="A2119" s="237"/>
      <c r="B2119" s="275"/>
      <c r="C2119" s="88" t="s">
        <v>12363</v>
      </c>
      <c r="D2119" s="88" t="s">
        <v>12364</v>
      </c>
      <c r="E2119" s="88" t="s">
        <v>1420</v>
      </c>
      <c r="F2119" s="88" t="s">
        <v>12365</v>
      </c>
      <c r="G2119" s="88" t="s">
        <v>12366</v>
      </c>
      <c r="H2119" s="88" t="s">
        <v>12367</v>
      </c>
      <c r="I2119" s="236"/>
      <c r="J2119" s="236"/>
      <c r="K2119" s="275"/>
      <c r="L2119" s="88">
        <v>47186.0</v>
      </c>
      <c r="M2119" s="237"/>
      <c r="N2119" s="237"/>
      <c r="O2119" s="237"/>
      <c r="P2119" s="237"/>
      <c r="Q2119" s="237"/>
      <c r="R2119" s="237"/>
      <c r="S2119" s="237"/>
      <c r="T2119" s="237"/>
      <c r="U2119" s="237"/>
      <c r="V2119" s="237"/>
      <c r="W2119" s="237"/>
      <c r="X2119" s="237"/>
      <c r="Y2119" s="237"/>
      <c r="Z2119" s="237"/>
      <c r="AA2119" s="237"/>
      <c r="AB2119" s="237"/>
    </row>
    <row r="2120">
      <c r="A2120" s="237"/>
      <c r="B2120" s="275"/>
      <c r="C2120" s="88" t="s">
        <v>12368</v>
      </c>
      <c r="D2120" s="88" t="s">
        <v>12369</v>
      </c>
      <c r="E2120" s="88" t="s">
        <v>1420</v>
      </c>
      <c r="F2120" s="88" t="s">
        <v>12370</v>
      </c>
      <c r="G2120" s="88" t="s">
        <v>12371</v>
      </c>
      <c r="H2120" s="88" t="s">
        <v>12372</v>
      </c>
      <c r="I2120" s="236"/>
      <c r="J2120" s="236"/>
      <c r="K2120" s="275"/>
      <c r="L2120" s="88">
        <v>47186.0</v>
      </c>
      <c r="M2120" s="237"/>
      <c r="N2120" s="237"/>
      <c r="O2120" s="237"/>
      <c r="P2120" s="237"/>
      <c r="Q2120" s="237"/>
      <c r="R2120" s="237"/>
      <c r="S2120" s="237"/>
      <c r="T2120" s="237"/>
      <c r="U2120" s="237"/>
      <c r="V2120" s="237"/>
      <c r="W2120" s="237"/>
      <c r="X2120" s="237"/>
      <c r="Y2120" s="237"/>
      <c r="Z2120" s="237"/>
      <c r="AA2120" s="237"/>
      <c r="AB2120" s="237"/>
    </row>
    <row r="2121">
      <c r="A2121" s="237"/>
      <c r="B2121" s="275"/>
      <c r="C2121" s="88" t="s">
        <v>12373</v>
      </c>
      <c r="D2121" s="236"/>
      <c r="E2121" s="88" t="s">
        <v>1420</v>
      </c>
      <c r="F2121" s="88" t="s">
        <v>12202</v>
      </c>
      <c r="G2121" s="88" t="s">
        <v>12374</v>
      </c>
      <c r="H2121" s="236"/>
      <c r="I2121" s="236"/>
      <c r="J2121" s="236"/>
      <c r="K2121" s="275"/>
      <c r="L2121" s="236"/>
      <c r="M2121" s="237"/>
      <c r="N2121" s="237"/>
      <c r="O2121" s="237"/>
      <c r="P2121" s="237"/>
      <c r="Q2121" s="237"/>
      <c r="R2121" s="237"/>
      <c r="S2121" s="237"/>
      <c r="T2121" s="237"/>
      <c r="U2121" s="237"/>
      <c r="V2121" s="237"/>
      <c r="W2121" s="237"/>
      <c r="X2121" s="237"/>
      <c r="Y2121" s="237"/>
      <c r="Z2121" s="237"/>
      <c r="AA2121" s="237"/>
      <c r="AB2121" s="237"/>
    </row>
    <row r="2122">
      <c r="A2122" s="237"/>
      <c r="B2122" s="275"/>
      <c r="C2122" s="88" t="s">
        <v>12375</v>
      </c>
      <c r="D2122" s="236"/>
      <c r="E2122" s="88" t="s">
        <v>1420</v>
      </c>
      <c r="F2122" s="88" t="s">
        <v>12181</v>
      </c>
      <c r="G2122" s="88" t="s">
        <v>12182</v>
      </c>
      <c r="H2122" s="236"/>
      <c r="I2122" s="236"/>
      <c r="J2122" s="236"/>
      <c r="K2122" s="275"/>
      <c r="L2122" s="236"/>
      <c r="M2122" s="237"/>
      <c r="N2122" s="237"/>
      <c r="O2122" s="237"/>
      <c r="P2122" s="237"/>
      <c r="Q2122" s="237"/>
      <c r="R2122" s="237"/>
      <c r="S2122" s="237"/>
      <c r="T2122" s="237"/>
      <c r="U2122" s="237"/>
      <c r="V2122" s="237"/>
      <c r="W2122" s="237"/>
      <c r="X2122" s="237"/>
      <c r="Y2122" s="237"/>
      <c r="Z2122" s="237"/>
      <c r="AA2122" s="237"/>
      <c r="AB2122" s="237"/>
    </row>
    <row r="2123">
      <c r="A2123" s="237"/>
      <c r="B2123" s="275"/>
      <c r="C2123" s="88" t="s">
        <v>12376</v>
      </c>
      <c r="D2123" s="236"/>
      <c r="E2123" s="88" t="s">
        <v>1420</v>
      </c>
      <c r="F2123" s="88" t="s">
        <v>12184</v>
      </c>
      <c r="G2123" s="88" t="s">
        <v>12185</v>
      </c>
      <c r="H2123" s="88" t="s">
        <v>12377</v>
      </c>
      <c r="I2123" s="236"/>
      <c r="J2123" s="88" t="s">
        <v>3996</v>
      </c>
      <c r="K2123" s="275"/>
      <c r="L2123" s="88">
        <v>47431.0</v>
      </c>
      <c r="M2123" s="237"/>
      <c r="N2123" s="237"/>
      <c r="O2123" s="237"/>
      <c r="P2123" s="237"/>
      <c r="Q2123" s="237"/>
      <c r="R2123" s="237"/>
      <c r="S2123" s="237"/>
      <c r="T2123" s="237"/>
      <c r="U2123" s="237"/>
      <c r="V2123" s="237"/>
      <c r="W2123" s="237"/>
      <c r="X2123" s="237"/>
      <c r="Y2123" s="237"/>
      <c r="Z2123" s="237"/>
      <c r="AA2123" s="237"/>
      <c r="AB2123" s="237"/>
    </row>
    <row r="2124">
      <c r="A2124" s="237"/>
      <c r="B2124" s="275"/>
      <c r="C2124" s="88" t="s">
        <v>12378</v>
      </c>
      <c r="D2124" s="236"/>
      <c r="E2124" s="88" t="s">
        <v>1420</v>
      </c>
      <c r="F2124" s="88" t="s">
        <v>12187</v>
      </c>
      <c r="G2124" s="88" t="s">
        <v>12188</v>
      </c>
      <c r="H2124" s="88" t="s">
        <v>12379</v>
      </c>
      <c r="I2124" s="236"/>
      <c r="J2124" s="88" t="s">
        <v>3996</v>
      </c>
      <c r="K2124" s="275"/>
      <c r="L2124" s="88">
        <v>47431.0</v>
      </c>
      <c r="M2124" s="237"/>
      <c r="N2124" s="237"/>
      <c r="O2124" s="237"/>
      <c r="P2124" s="237"/>
      <c r="Q2124" s="237"/>
      <c r="R2124" s="237"/>
      <c r="S2124" s="237"/>
      <c r="T2124" s="237"/>
      <c r="U2124" s="237"/>
      <c r="V2124" s="237"/>
      <c r="W2124" s="237"/>
      <c r="X2124" s="237"/>
      <c r="Y2124" s="237"/>
      <c r="Z2124" s="237"/>
      <c r="AA2124" s="237"/>
      <c r="AB2124" s="237"/>
    </row>
    <row r="2125">
      <c r="A2125" s="237"/>
      <c r="B2125" s="275"/>
      <c r="C2125" s="88" t="s">
        <v>12380</v>
      </c>
      <c r="D2125" s="236"/>
      <c r="E2125" s="88" t="s">
        <v>1420</v>
      </c>
      <c r="F2125" s="88" t="s">
        <v>12190</v>
      </c>
      <c r="G2125" s="88" t="s">
        <v>12191</v>
      </c>
      <c r="H2125" s="88" t="s">
        <v>12381</v>
      </c>
      <c r="I2125" s="236"/>
      <c r="J2125" s="88" t="s">
        <v>3996</v>
      </c>
      <c r="K2125" s="275"/>
      <c r="L2125" s="88">
        <v>47431.0</v>
      </c>
      <c r="M2125" s="237"/>
      <c r="N2125" s="237"/>
      <c r="O2125" s="237"/>
      <c r="P2125" s="237"/>
      <c r="Q2125" s="237"/>
      <c r="R2125" s="237"/>
      <c r="S2125" s="237"/>
      <c r="T2125" s="237"/>
      <c r="U2125" s="237"/>
      <c r="V2125" s="237"/>
      <c r="W2125" s="237"/>
      <c r="X2125" s="237"/>
      <c r="Y2125" s="237"/>
      <c r="Z2125" s="237"/>
      <c r="AA2125" s="237"/>
      <c r="AB2125" s="237"/>
    </row>
    <row r="2126">
      <c r="A2126" s="237"/>
      <c r="B2126" s="275"/>
      <c r="C2126" s="88" t="s">
        <v>12382</v>
      </c>
      <c r="D2126" s="236"/>
      <c r="E2126" s="88" t="s">
        <v>1420</v>
      </c>
      <c r="F2126" s="88" t="s">
        <v>12193</v>
      </c>
      <c r="G2126" s="88" t="s">
        <v>12194</v>
      </c>
      <c r="H2126" s="88" t="s">
        <v>12383</v>
      </c>
      <c r="I2126" s="236"/>
      <c r="J2126" s="88" t="s">
        <v>3996</v>
      </c>
      <c r="K2126" s="275"/>
      <c r="L2126" s="88">
        <v>47431.0</v>
      </c>
      <c r="M2126" s="237"/>
      <c r="N2126" s="237"/>
      <c r="O2126" s="237"/>
      <c r="P2126" s="237"/>
      <c r="Q2126" s="237"/>
      <c r="R2126" s="237"/>
      <c r="S2126" s="237"/>
      <c r="T2126" s="237"/>
      <c r="U2126" s="237"/>
      <c r="V2126" s="237"/>
      <c r="W2126" s="237"/>
      <c r="X2126" s="237"/>
      <c r="Y2126" s="237"/>
      <c r="Z2126" s="237"/>
      <c r="AA2126" s="237"/>
      <c r="AB2126" s="237"/>
    </row>
    <row r="2127">
      <c r="A2127" s="237"/>
      <c r="B2127" s="275"/>
      <c r="C2127" s="88" t="s">
        <v>12384</v>
      </c>
      <c r="D2127" s="236"/>
      <c r="E2127" s="88" t="s">
        <v>1420</v>
      </c>
      <c r="F2127" s="88" t="s">
        <v>12196</v>
      </c>
      <c r="G2127" s="88" t="s">
        <v>12197</v>
      </c>
      <c r="H2127" s="88" t="s">
        <v>12385</v>
      </c>
      <c r="I2127" s="236"/>
      <c r="J2127" s="88" t="s">
        <v>3996</v>
      </c>
      <c r="K2127" s="275"/>
      <c r="L2127" s="88">
        <v>47431.0</v>
      </c>
      <c r="M2127" s="237"/>
      <c r="N2127" s="237"/>
      <c r="O2127" s="237"/>
      <c r="P2127" s="237"/>
      <c r="Q2127" s="237"/>
      <c r="R2127" s="237"/>
      <c r="S2127" s="237"/>
      <c r="T2127" s="237"/>
      <c r="U2127" s="237"/>
      <c r="V2127" s="237"/>
      <c r="W2127" s="237"/>
      <c r="X2127" s="237"/>
      <c r="Y2127" s="237"/>
      <c r="Z2127" s="237"/>
      <c r="AA2127" s="237"/>
      <c r="AB2127" s="237"/>
    </row>
    <row r="2128">
      <c r="A2128" s="237"/>
      <c r="B2128" s="275"/>
      <c r="C2128" s="88" t="s">
        <v>12386</v>
      </c>
      <c r="D2128" s="236"/>
      <c r="E2128" s="88" t="s">
        <v>1420</v>
      </c>
      <c r="F2128" s="88" t="s">
        <v>12199</v>
      </c>
      <c r="G2128" s="88" t="s">
        <v>12200</v>
      </c>
      <c r="H2128" s="88" t="s">
        <v>12387</v>
      </c>
      <c r="I2128" s="236"/>
      <c r="J2128" s="236"/>
      <c r="K2128" s="275"/>
      <c r="L2128" s="236"/>
      <c r="M2128" s="237"/>
      <c r="N2128" s="237"/>
      <c r="O2128" s="237"/>
      <c r="P2128" s="237"/>
      <c r="Q2128" s="237"/>
      <c r="R2128" s="237"/>
      <c r="S2128" s="237"/>
      <c r="T2128" s="237"/>
      <c r="U2128" s="237"/>
      <c r="V2128" s="237"/>
      <c r="W2128" s="237"/>
      <c r="X2128" s="237"/>
      <c r="Y2128" s="237"/>
      <c r="Z2128" s="237"/>
      <c r="AA2128" s="237"/>
      <c r="AB2128" s="237"/>
    </row>
    <row r="2129">
      <c r="A2129" s="237"/>
      <c r="B2129" s="277" t="s">
        <v>12388</v>
      </c>
      <c r="C2129" s="88" t="s">
        <v>12389</v>
      </c>
      <c r="D2129" s="236"/>
      <c r="E2129" s="88" t="s">
        <v>12390</v>
      </c>
      <c r="F2129" s="88" t="s">
        <v>12391</v>
      </c>
      <c r="G2129" s="236"/>
      <c r="H2129" s="236"/>
      <c r="I2129" s="236"/>
      <c r="J2129" s="236"/>
      <c r="K2129" s="277" t="s">
        <v>12388</v>
      </c>
      <c r="L2129" s="236"/>
      <c r="M2129" s="237"/>
      <c r="N2129" s="237"/>
      <c r="O2129" s="237"/>
      <c r="P2129" s="237"/>
      <c r="Q2129" s="237"/>
      <c r="R2129" s="237"/>
      <c r="S2129" s="237"/>
      <c r="T2129" s="237"/>
      <c r="U2129" s="237"/>
      <c r="V2129" s="237"/>
      <c r="W2129" s="237"/>
      <c r="X2129" s="237"/>
      <c r="Y2129" s="237"/>
      <c r="Z2129" s="237"/>
      <c r="AA2129" s="237"/>
      <c r="AB2129" s="237"/>
    </row>
    <row r="2130">
      <c r="A2130" s="237"/>
      <c r="B2130" s="277" t="s">
        <v>12388</v>
      </c>
      <c r="C2130" s="88" t="s">
        <v>12389</v>
      </c>
      <c r="D2130" s="236"/>
      <c r="E2130" s="88" t="s">
        <v>12390</v>
      </c>
      <c r="F2130" s="88" t="s">
        <v>12392</v>
      </c>
      <c r="G2130" s="236"/>
      <c r="H2130" s="236"/>
      <c r="I2130" s="236"/>
      <c r="J2130" s="236"/>
      <c r="K2130" s="277" t="s">
        <v>12388</v>
      </c>
      <c r="L2130" s="236"/>
      <c r="M2130" s="237"/>
      <c r="N2130" s="237"/>
      <c r="O2130" s="237"/>
      <c r="P2130" s="237"/>
      <c r="Q2130" s="237"/>
      <c r="R2130" s="237"/>
      <c r="S2130" s="237"/>
      <c r="T2130" s="237"/>
      <c r="U2130" s="237"/>
      <c r="V2130" s="237"/>
      <c r="W2130" s="237"/>
      <c r="X2130" s="237"/>
      <c r="Y2130" s="237"/>
      <c r="Z2130" s="237"/>
      <c r="AA2130" s="237"/>
      <c r="AB2130" s="237"/>
    </row>
    <row r="2131">
      <c r="A2131" s="237"/>
      <c r="B2131" s="277" t="s">
        <v>12393</v>
      </c>
      <c r="C2131" s="88" t="s">
        <v>12394</v>
      </c>
      <c r="D2131" s="236"/>
      <c r="E2131" s="88" t="s">
        <v>12234</v>
      </c>
      <c r="F2131" s="88" t="s">
        <v>12395</v>
      </c>
      <c r="G2131" s="88" t="s">
        <v>12396</v>
      </c>
      <c r="H2131" s="236"/>
      <c r="I2131" s="236"/>
      <c r="J2131" s="236"/>
      <c r="K2131" s="277" t="s">
        <v>12393</v>
      </c>
      <c r="L2131" s="236"/>
      <c r="M2131" s="237"/>
      <c r="N2131" s="237"/>
      <c r="O2131" s="237"/>
      <c r="P2131" s="237"/>
      <c r="Q2131" s="237"/>
      <c r="R2131" s="237"/>
      <c r="S2131" s="237"/>
      <c r="T2131" s="237"/>
      <c r="U2131" s="237"/>
      <c r="V2131" s="237"/>
      <c r="W2131" s="237"/>
      <c r="X2131" s="237"/>
      <c r="Y2131" s="237"/>
      <c r="Z2131" s="237"/>
      <c r="AA2131" s="237"/>
      <c r="AB2131" s="237"/>
    </row>
    <row r="2132">
      <c r="A2132" s="237"/>
      <c r="B2132" s="275"/>
      <c r="C2132" s="88" t="s">
        <v>12397</v>
      </c>
      <c r="D2132" s="236"/>
      <c r="E2132" s="88" t="s">
        <v>11671</v>
      </c>
      <c r="F2132" s="88" t="s">
        <v>12398</v>
      </c>
      <c r="G2132" s="88" t="s">
        <v>12399</v>
      </c>
      <c r="H2132" s="88" t="s">
        <v>12400</v>
      </c>
      <c r="I2132" s="236"/>
      <c r="J2132" s="88" t="s">
        <v>11795</v>
      </c>
      <c r="K2132" s="275"/>
      <c r="L2132" s="88" t="s">
        <v>12401</v>
      </c>
      <c r="M2132" s="237"/>
      <c r="N2132" s="237"/>
      <c r="O2132" s="237"/>
      <c r="P2132" s="237"/>
      <c r="Q2132" s="237"/>
      <c r="R2132" s="237"/>
      <c r="S2132" s="237"/>
      <c r="T2132" s="237"/>
      <c r="U2132" s="237"/>
      <c r="V2132" s="237"/>
      <c r="W2132" s="237"/>
      <c r="X2132" s="237"/>
      <c r="Y2132" s="237"/>
      <c r="Z2132" s="237"/>
      <c r="AA2132" s="237"/>
      <c r="AB2132" s="237"/>
    </row>
    <row r="2133">
      <c r="A2133" s="237"/>
      <c r="B2133" s="277" t="s">
        <v>12402</v>
      </c>
      <c r="C2133" s="88" t="s">
        <v>12403</v>
      </c>
      <c r="D2133" s="236"/>
      <c r="E2133" s="88" t="s">
        <v>12234</v>
      </c>
      <c r="F2133" s="88" t="s">
        <v>12404</v>
      </c>
      <c r="G2133" s="88" t="s">
        <v>12405</v>
      </c>
      <c r="H2133" s="236"/>
      <c r="I2133" s="236"/>
      <c r="J2133" s="236"/>
      <c r="K2133" s="277" t="s">
        <v>12402</v>
      </c>
      <c r="L2133" s="236"/>
      <c r="M2133" s="237"/>
      <c r="N2133" s="237"/>
      <c r="O2133" s="237"/>
      <c r="P2133" s="237"/>
      <c r="Q2133" s="237"/>
      <c r="R2133" s="237"/>
      <c r="S2133" s="237"/>
      <c r="T2133" s="237"/>
      <c r="U2133" s="237"/>
      <c r="V2133" s="237"/>
      <c r="W2133" s="237"/>
      <c r="X2133" s="237"/>
      <c r="Y2133" s="237"/>
      <c r="Z2133" s="237"/>
      <c r="AA2133" s="237"/>
      <c r="AB2133" s="237"/>
    </row>
    <row r="2134">
      <c r="A2134" s="237"/>
      <c r="B2134" s="275"/>
      <c r="C2134" s="88" t="s">
        <v>12406</v>
      </c>
      <c r="D2134" s="236"/>
      <c r="E2134" s="88" t="s">
        <v>11671</v>
      </c>
      <c r="F2134" s="88" t="s">
        <v>12407</v>
      </c>
      <c r="G2134" s="88" t="s">
        <v>12408</v>
      </c>
      <c r="H2134" s="88" t="s">
        <v>12409</v>
      </c>
      <c r="I2134" s="236"/>
      <c r="J2134" s="88" t="s">
        <v>11795</v>
      </c>
      <c r="K2134" s="275"/>
      <c r="L2134" s="88" t="s">
        <v>12401</v>
      </c>
      <c r="M2134" s="237"/>
      <c r="N2134" s="237"/>
      <c r="O2134" s="237"/>
      <c r="P2134" s="237"/>
      <c r="Q2134" s="237"/>
      <c r="R2134" s="237"/>
      <c r="S2134" s="237"/>
      <c r="T2134" s="237"/>
      <c r="U2134" s="237"/>
      <c r="V2134" s="237"/>
      <c r="W2134" s="237"/>
      <c r="X2134" s="237"/>
      <c r="Y2134" s="237"/>
      <c r="Z2134" s="237"/>
      <c r="AA2134" s="237"/>
      <c r="AB2134" s="237"/>
    </row>
    <row r="2135">
      <c r="A2135" s="237"/>
      <c r="B2135" s="277" t="s">
        <v>12410</v>
      </c>
      <c r="C2135" s="88" t="s">
        <v>12411</v>
      </c>
      <c r="D2135" s="236"/>
      <c r="E2135" s="88" t="s">
        <v>12412</v>
      </c>
      <c r="F2135" s="88" t="s">
        <v>12413</v>
      </c>
      <c r="G2135" s="88" t="s">
        <v>12414</v>
      </c>
      <c r="H2135" s="236"/>
      <c r="I2135" s="236"/>
      <c r="J2135" s="236"/>
      <c r="K2135" s="277" t="s">
        <v>12410</v>
      </c>
      <c r="L2135" s="236"/>
      <c r="M2135" s="237"/>
      <c r="N2135" s="237"/>
      <c r="O2135" s="237"/>
      <c r="P2135" s="237"/>
      <c r="Q2135" s="237"/>
      <c r="R2135" s="237"/>
      <c r="S2135" s="237"/>
      <c r="T2135" s="237"/>
      <c r="U2135" s="237"/>
      <c r="V2135" s="237"/>
      <c r="W2135" s="237"/>
      <c r="X2135" s="237"/>
      <c r="Y2135" s="237"/>
      <c r="Z2135" s="237"/>
      <c r="AA2135" s="237"/>
      <c r="AB2135" s="237"/>
    </row>
    <row r="2136">
      <c r="A2136" s="237"/>
      <c r="B2136" s="275"/>
      <c r="C2136" s="88" t="s">
        <v>12415</v>
      </c>
      <c r="D2136" s="236"/>
      <c r="E2136" s="88" t="s">
        <v>1420</v>
      </c>
      <c r="F2136" s="88" t="s">
        <v>12416</v>
      </c>
      <c r="G2136" s="88" t="s">
        <v>12417</v>
      </c>
      <c r="H2136" s="88" t="s">
        <v>12418</v>
      </c>
      <c r="I2136" s="236"/>
      <c r="J2136" s="88" t="s">
        <v>11795</v>
      </c>
      <c r="K2136" s="275"/>
      <c r="L2136" s="88" t="s">
        <v>12401</v>
      </c>
      <c r="M2136" s="237"/>
      <c r="N2136" s="237"/>
      <c r="O2136" s="237"/>
      <c r="P2136" s="237"/>
      <c r="Q2136" s="237"/>
      <c r="R2136" s="237"/>
      <c r="S2136" s="237"/>
      <c r="T2136" s="237"/>
      <c r="U2136" s="237"/>
      <c r="V2136" s="237"/>
      <c r="W2136" s="237"/>
      <c r="X2136" s="237"/>
      <c r="Y2136" s="237"/>
      <c r="Z2136" s="237"/>
      <c r="AA2136" s="237"/>
      <c r="AB2136" s="237"/>
    </row>
    <row r="2137">
      <c r="A2137" s="237"/>
      <c r="B2137" s="275"/>
      <c r="C2137" s="88" t="s">
        <v>12419</v>
      </c>
      <c r="D2137" s="236"/>
      <c r="E2137" s="88" t="s">
        <v>11671</v>
      </c>
      <c r="F2137" s="88" t="s">
        <v>12420</v>
      </c>
      <c r="G2137" s="88" t="s">
        <v>12421</v>
      </c>
      <c r="H2137" s="88" t="s">
        <v>12422</v>
      </c>
      <c r="I2137" s="236"/>
      <c r="J2137" s="88" t="s">
        <v>11795</v>
      </c>
      <c r="K2137" s="275"/>
      <c r="L2137" s="88" t="s">
        <v>12423</v>
      </c>
      <c r="M2137" s="237"/>
      <c r="N2137" s="237"/>
      <c r="O2137" s="237"/>
      <c r="P2137" s="237"/>
      <c r="Q2137" s="237"/>
      <c r="R2137" s="237"/>
      <c r="S2137" s="237"/>
      <c r="T2137" s="237"/>
      <c r="U2137" s="237"/>
      <c r="V2137" s="237"/>
      <c r="W2137" s="237"/>
      <c r="X2137" s="237"/>
      <c r="Y2137" s="237"/>
      <c r="Z2137" s="237"/>
      <c r="AA2137" s="237"/>
      <c r="AB2137" s="237"/>
    </row>
    <row r="2138">
      <c r="A2138" s="237"/>
      <c r="B2138" s="275"/>
      <c r="C2138" s="88" t="s">
        <v>12424</v>
      </c>
      <c r="D2138" s="236"/>
      <c r="E2138" s="88" t="s">
        <v>11671</v>
      </c>
      <c r="F2138" s="88" t="s">
        <v>12425</v>
      </c>
      <c r="G2138" s="236"/>
      <c r="H2138" s="88" t="s">
        <v>12426</v>
      </c>
      <c r="I2138" s="236"/>
      <c r="J2138" s="88" t="s">
        <v>11795</v>
      </c>
      <c r="K2138" s="275"/>
      <c r="L2138" s="88" t="s">
        <v>12423</v>
      </c>
      <c r="M2138" s="237"/>
      <c r="N2138" s="237"/>
      <c r="O2138" s="237"/>
      <c r="P2138" s="237"/>
      <c r="Q2138" s="237"/>
      <c r="R2138" s="237"/>
      <c r="S2138" s="237"/>
      <c r="T2138" s="237"/>
      <c r="U2138" s="237"/>
      <c r="V2138" s="237"/>
      <c r="W2138" s="237"/>
      <c r="X2138" s="237"/>
      <c r="Y2138" s="237"/>
      <c r="Z2138" s="237"/>
      <c r="AA2138" s="237"/>
      <c r="AB2138" s="237"/>
    </row>
    <row r="2139">
      <c r="A2139" s="237"/>
      <c r="B2139" s="275"/>
      <c r="C2139" s="88" t="s">
        <v>12427</v>
      </c>
      <c r="D2139" s="236"/>
      <c r="E2139" s="88" t="s">
        <v>11671</v>
      </c>
      <c r="F2139" s="88" t="s">
        <v>12428</v>
      </c>
      <c r="G2139" s="236"/>
      <c r="H2139" s="88" t="s">
        <v>12429</v>
      </c>
      <c r="I2139" s="236"/>
      <c r="J2139" s="88" t="s">
        <v>11795</v>
      </c>
      <c r="K2139" s="275"/>
      <c r="L2139" s="88" t="s">
        <v>12423</v>
      </c>
      <c r="M2139" s="237"/>
      <c r="N2139" s="237"/>
      <c r="O2139" s="237"/>
      <c r="P2139" s="237"/>
      <c r="Q2139" s="237"/>
      <c r="R2139" s="237"/>
      <c r="S2139" s="237"/>
      <c r="T2139" s="237"/>
      <c r="U2139" s="237"/>
      <c r="V2139" s="237"/>
      <c r="W2139" s="237"/>
      <c r="X2139" s="237"/>
      <c r="Y2139" s="237"/>
      <c r="Z2139" s="237"/>
      <c r="AA2139" s="237"/>
      <c r="AB2139" s="237"/>
    </row>
    <row r="2140">
      <c r="A2140" s="237"/>
      <c r="B2140" s="275"/>
      <c r="C2140" s="88" t="s">
        <v>12430</v>
      </c>
      <c r="D2140" s="236"/>
      <c r="E2140" s="88" t="s">
        <v>1420</v>
      </c>
      <c r="F2140" s="88" t="s">
        <v>12431</v>
      </c>
      <c r="G2140" s="88" t="s">
        <v>12432</v>
      </c>
      <c r="H2140" s="88" t="s">
        <v>12433</v>
      </c>
      <c r="I2140" s="236"/>
      <c r="J2140" s="88" t="s">
        <v>11795</v>
      </c>
      <c r="K2140" s="275"/>
      <c r="L2140" s="88">
        <v>47248.0</v>
      </c>
      <c r="M2140" s="237"/>
      <c r="N2140" s="237"/>
      <c r="O2140" s="237"/>
      <c r="P2140" s="237"/>
      <c r="Q2140" s="237"/>
      <c r="R2140" s="237"/>
      <c r="S2140" s="237"/>
      <c r="T2140" s="237"/>
      <c r="U2140" s="237"/>
      <c r="V2140" s="237"/>
      <c r="W2140" s="237"/>
      <c r="X2140" s="237"/>
      <c r="Y2140" s="237"/>
      <c r="Z2140" s="237"/>
      <c r="AA2140" s="237"/>
      <c r="AB2140" s="237"/>
    </row>
    <row r="2141">
      <c r="A2141" s="237"/>
      <c r="B2141" s="275"/>
      <c r="C2141" s="88" t="s">
        <v>12434</v>
      </c>
      <c r="D2141" s="236"/>
      <c r="E2141" s="88" t="s">
        <v>11671</v>
      </c>
      <c r="F2141" s="88" t="s">
        <v>12435</v>
      </c>
      <c r="G2141" s="88" t="s">
        <v>12436</v>
      </c>
      <c r="H2141" s="88" t="s">
        <v>12437</v>
      </c>
      <c r="I2141" s="236"/>
      <c r="J2141" s="88" t="s">
        <v>11795</v>
      </c>
      <c r="K2141" s="275"/>
      <c r="L2141" s="88" t="s">
        <v>12423</v>
      </c>
      <c r="M2141" s="237"/>
      <c r="N2141" s="237"/>
      <c r="O2141" s="237"/>
      <c r="P2141" s="237"/>
      <c r="Q2141" s="237"/>
      <c r="R2141" s="237"/>
      <c r="S2141" s="237"/>
      <c r="T2141" s="237"/>
      <c r="U2141" s="237"/>
      <c r="V2141" s="237"/>
      <c r="W2141" s="237"/>
      <c r="X2141" s="237"/>
      <c r="Y2141" s="237"/>
      <c r="Z2141" s="237"/>
      <c r="AA2141" s="237"/>
      <c r="AB2141" s="237"/>
    </row>
    <row r="2142">
      <c r="A2142" s="237"/>
      <c r="B2142" s="275"/>
      <c r="C2142" s="236"/>
      <c r="D2142" s="236"/>
      <c r="E2142" s="236"/>
      <c r="F2142" s="88" t="s">
        <v>12438</v>
      </c>
      <c r="G2142" s="88" t="s">
        <v>12439</v>
      </c>
      <c r="H2142" s="236"/>
      <c r="I2142" s="236"/>
      <c r="J2142" s="236"/>
      <c r="K2142" s="275"/>
      <c r="L2142" s="236"/>
      <c r="M2142" s="237"/>
      <c r="N2142" s="237"/>
      <c r="O2142" s="237"/>
      <c r="P2142" s="237"/>
      <c r="Q2142" s="237"/>
      <c r="R2142" s="237"/>
      <c r="S2142" s="237"/>
      <c r="T2142" s="237"/>
      <c r="U2142" s="237"/>
      <c r="V2142" s="237"/>
      <c r="W2142" s="237"/>
      <c r="X2142" s="237"/>
      <c r="Y2142" s="237"/>
      <c r="Z2142" s="237"/>
      <c r="AA2142" s="237"/>
      <c r="AB2142" s="237"/>
    </row>
    <row r="2143">
      <c r="A2143" s="237"/>
      <c r="B2143" s="275"/>
      <c r="C2143" s="88" t="s">
        <v>12440</v>
      </c>
      <c r="D2143" s="236"/>
      <c r="E2143" s="88" t="s">
        <v>12412</v>
      </c>
      <c r="F2143" s="88" t="s">
        <v>12441</v>
      </c>
      <c r="G2143" s="88" t="s">
        <v>12442</v>
      </c>
      <c r="H2143" s="236"/>
      <c r="I2143" s="236"/>
      <c r="J2143" s="236"/>
      <c r="K2143" s="275"/>
      <c r="L2143" s="236"/>
      <c r="M2143" s="237"/>
      <c r="N2143" s="237"/>
      <c r="O2143" s="237"/>
      <c r="P2143" s="237"/>
      <c r="Q2143" s="237"/>
      <c r="R2143" s="237"/>
      <c r="S2143" s="237"/>
      <c r="T2143" s="237"/>
      <c r="U2143" s="237"/>
      <c r="V2143" s="237"/>
      <c r="W2143" s="237"/>
      <c r="X2143" s="237"/>
      <c r="Y2143" s="237"/>
      <c r="Z2143" s="237"/>
      <c r="AA2143" s="237"/>
      <c r="AB2143" s="237"/>
    </row>
    <row r="2144">
      <c r="A2144" s="237"/>
      <c r="B2144" s="275"/>
      <c r="C2144" s="88" t="s">
        <v>12443</v>
      </c>
      <c r="D2144" s="236"/>
      <c r="E2144" s="88" t="s">
        <v>1420</v>
      </c>
      <c r="F2144" s="88" t="s">
        <v>12444</v>
      </c>
      <c r="G2144" s="88" t="s">
        <v>12445</v>
      </c>
      <c r="H2144" s="236"/>
      <c r="I2144" s="236"/>
      <c r="J2144" s="88" t="s">
        <v>11795</v>
      </c>
      <c r="K2144" s="275"/>
      <c r="L2144" s="88" t="s">
        <v>12446</v>
      </c>
      <c r="M2144" s="237"/>
      <c r="N2144" s="237"/>
      <c r="O2144" s="237"/>
      <c r="P2144" s="237"/>
      <c r="Q2144" s="237"/>
      <c r="R2144" s="237"/>
      <c r="S2144" s="237"/>
      <c r="T2144" s="237"/>
      <c r="U2144" s="237"/>
      <c r="V2144" s="237"/>
      <c r="W2144" s="237"/>
      <c r="X2144" s="237"/>
      <c r="Y2144" s="237"/>
      <c r="Z2144" s="237"/>
      <c r="AA2144" s="237"/>
      <c r="AB2144" s="237"/>
    </row>
    <row r="2145">
      <c r="A2145" s="237"/>
      <c r="B2145" s="275"/>
      <c r="C2145" s="88" t="s">
        <v>12447</v>
      </c>
      <c r="D2145" s="236"/>
      <c r="E2145" s="88" t="s">
        <v>1420</v>
      </c>
      <c r="F2145" s="88" t="s">
        <v>12448</v>
      </c>
      <c r="G2145" s="88" t="s">
        <v>12449</v>
      </c>
      <c r="H2145" s="251" t="s">
        <v>12450</v>
      </c>
      <c r="I2145" s="236"/>
      <c r="J2145" s="88" t="s">
        <v>11795</v>
      </c>
      <c r="K2145" s="275"/>
      <c r="L2145" s="88" t="s">
        <v>12446</v>
      </c>
      <c r="M2145" s="237"/>
      <c r="N2145" s="237"/>
      <c r="O2145" s="237"/>
      <c r="P2145" s="237"/>
      <c r="Q2145" s="237"/>
      <c r="R2145" s="237"/>
      <c r="S2145" s="237"/>
      <c r="T2145" s="237"/>
      <c r="U2145" s="237"/>
      <c r="V2145" s="237"/>
      <c r="W2145" s="237"/>
      <c r="X2145" s="237"/>
      <c r="Y2145" s="237"/>
      <c r="Z2145" s="237"/>
      <c r="AA2145" s="237"/>
      <c r="AB2145" s="237"/>
    </row>
    <row r="2146">
      <c r="A2146" s="237"/>
      <c r="B2146" s="280" t="s">
        <v>12451</v>
      </c>
      <c r="C2146" s="236"/>
      <c r="D2146" s="236"/>
      <c r="E2146" s="236"/>
      <c r="F2146" s="88" t="s">
        <v>12452</v>
      </c>
      <c r="G2146" s="236"/>
      <c r="H2146" s="237"/>
      <c r="I2146" s="236"/>
      <c r="J2146" s="236"/>
      <c r="K2146" s="280" t="s">
        <v>12451</v>
      </c>
      <c r="L2146" s="236"/>
      <c r="M2146" s="237"/>
      <c r="N2146" s="237"/>
      <c r="O2146" s="237"/>
      <c r="P2146" s="237"/>
      <c r="Q2146" s="237"/>
      <c r="R2146" s="237"/>
      <c r="S2146" s="237"/>
      <c r="T2146" s="237"/>
      <c r="U2146" s="237"/>
      <c r="V2146" s="237"/>
      <c r="W2146" s="237"/>
      <c r="X2146" s="237"/>
      <c r="Y2146" s="237"/>
      <c r="Z2146" s="237"/>
      <c r="AA2146" s="237"/>
      <c r="AB2146" s="237"/>
    </row>
    <row r="2147">
      <c r="A2147" s="237"/>
      <c r="B2147" s="280" t="s">
        <v>12451</v>
      </c>
      <c r="C2147" s="236"/>
      <c r="D2147" s="236"/>
      <c r="E2147" s="236"/>
      <c r="F2147" s="88" t="s">
        <v>12453</v>
      </c>
      <c r="G2147" s="236"/>
      <c r="H2147" s="236"/>
      <c r="I2147" s="236"/>
      <c r="J2147" s="236"/>
      <c r="K2147" s="280" t="s">
        <v>12451</v>
      </c>
      <c r="L2147" s="236"/>
      <c r="M2147" s="237"/>
      <c r="N2147" s="237"/>
      <c r="O2147" s="237"/>
      <c r="P2147" s="237"/>
      <c r="Q2147" s="237"/>
      <c r="R2147" s="237"/>
      <c r="S2147" s="237"/>
      <c r="T2147" s="237"/>
      <c r="U2147" s="237"/>
      <c r="V2147" s="237"/>
      <c r="W2147" s="237"/>
      <c r="X2147" s="237"/>
      <c r="Y2147" s="237"/>
      <c r="Z2147" s="237"/>
      <c r="AA2147" s="237"/>
      <c r="AB2147" s="237"/>
    </row>
    <row r="2148">
      <c r="A2148" s="237"/>
      <c r="B2148" s="275"/>
      <c r="C2148" s="88" t="s">
        <v>12454</v>
      </c>
      <c r="D2148" s="236"/>
      <c r="E2148" s="88" t="s">
        <v>1420</v>
      </c>
      <c r="F2148" s="88" t="s">
        <v>1721</v>
      </c>
      <c r="G2148" s="236"/>
      <c r="H2148" s="88" t="s">
        <v>12455</v>
      </c>
      <c r="I2148" s="236"/>
      <c r="J2148" s="88" t="s">
        <v>12456</v>
      </c>
      <c r="K2148" s="275"/>
      <c r="L2148" s="88" t="s">
        <v>12457</v>
      </c>
      <c r="M2148" s="237"/>
      <c r="N2148" s="237"/>
      <c r="O2148" s="237"/>
      <c r="P2148" s="237"/>
      <c r="Q2148" s="237"/>
      <c r="R2148" s="237"/>
      <c r="S2148" s="237"/>
      <c r="T2148" s="237"/>
      <c r="U2148" s="237"/>
      <c r="V2148" s="237"/>
      <c r="W2148" s="237"/>
      <c r="X2148" s="237"/>
      <c r="Y2148" s="237"/>
      <c r="Z2148" s="237"/>
      <c r="AA2148" s="237"/>
      <c r="AB2148" s="237"/>
    </row>
    <row r="2149">
      <c r="A2149" s="237"/>
      <c r="B2149" s="275"/>
      <c r="C2149" s="88" t="s">
        <v>12458</v>
      </c>
      <c r="D2149" s="236"/>
      <c r="E2149" s="88" t="s">
        <v>1420</v>
      </c>
      <c r="F2149" s="88" t="s">
        <v>12459</v>
      </c>
      <c r="G2149" s="88" t="s">
        <v>12460</v>
      </c>
      <c r="H2149" s="88" t="s">
        <v>12461</v>
      </c>
      <c r="I2149" s="236"/>
      <c r="J2149" s="88" t="s">
        <v>12456</v>
      </c>
      <c r="K2149" s="275"/>
      <c r="L2149" s="88" t="s">
        <v>12457</v>
      </c>
      <c r="M2149" s="237"/>
      <c r="N2149" s="237"/>
      <c r="O2149" s="237"/>
      <c r="P2149" s="237"/>
      <c r="Q2149" s="237"/>
      <c r="R2149" s="237"/>
      <c r="S2149" s="237"/>
      <c r="T2149" s="237"/>
      <c r="U2149" s="237"/>
      <c r="V2149" s="237"/>
      <c r="W2149" s="237"/>
      <c r="X2149" s="237"/>
      <c r="Y2149" s="237"/>
      <c r="Z2149" s="237"/>
      <c r="AA2149" s="237"/>
      <c r="AB2149" s="237"/>
    </row>
    <row r="2150">
      <c r="A2150" s="237"/>
      <c r="B2150" s="275"/>
      <c r="C2150" s="88" t="s">
        <v>12462</v>
      </c>
      <c r="D2150" s="236"/>
      <c r="E2150" s="88" t="s">
        <v>1420</v>
      </c>
      <c r="F2150" s="88" t="s">
        <v>1719</v>
      </c>
      <c r="G2150" s="88" t="s">
        <v>12463</v>
      </c>
      <c r="H2150" s="88" t="s">
        <v>12464</v>
      </c>
      <c r="I2150" s="236"/>
      <c r="J2150" s="88" t="s">
        <v>12456</v>
      </c>
      <c r="K2150" s="275"/>
      <c r="L2150" s="88" t="s">
        <v>12457</v>
      </c>
      <c r="M2150" s="237"/>
      <c r="N2150" s="237"/>
      <c r="O2150" s="237"/>
      <c r="P2150" s="237"/>
      <c r="Q2150" s="237"/>
      <c r="R2150" s="237"/>
      <c r="S2150" s="237"/>
      <c r="T2150" s="237"/>
      <c r="U2150" s="237"/>
      <c r="V2150" s="237"/>
      <c r="W2150" s="237"/>
      <c r="X2150" s="237"/>
      <c r="Y2150" s="237"/>
      <c r="Z2150" s="237"/>
      <c r="AA2150" s="237"/>
      <c r="AB2150" s="237"/>
    </row>
    <row r="2151">
      <c r="A2151" s="237"/>
      <c r="B2151" s="275"/>
      <c r="C2151" s="88" t="s">
        <v>12465</v>
      </c>
      <c r="D2151" s="236"/>
      <c r="E2151" s="88" t="s">
        <v>1420</v>
      </c>
      <c r="F2151" s="88" t="s">
        <v>1731</v>
      </c>
      <c r="G2151" s="88" t="s">
        <v>12466</v>
      </c>
      <c r="H2151" s="88" t="s">
        <v>12467</v>
      </c>
      <c r="I2151" s="236"/>
      <c r="J2151" s="88" t="s">
        <v>12456</v>
      </c>
      <c r="K2151" s="275"/>
      <c r="L2151" s="88" t="s">
        <v>12457</v>
      </c>
      <c r="M2151" s="237"/>
      <c r="N2151" s="237"/>
      <c r="O2151" s="237"/>
      <c r="P2151" s="237"/>
      <c r="Q2151" s="237"/>
      <c r="R2151" s="237"/>
      <c r="S2151" s="237"/>
      <c r="T2151" s="237"/>
      <c r="U2151" s="237"/>
      <c r="V2151" s="237"/>
      <c r="W2151" s="237"/>
      <c r="X2151" s="237"/>
      <c r="Y2151" s="237"/>
      <c r="Z2151" s="237"/>
      <c r="AA2151" s="237"/>
      <c r="AB2151" s="237"/>
    </row>
    <row r="2152">
      <c r="A2152" s="237"/>
      <c r="B2152" s="275"/>
      <c r="C2152" s="88" t="s">
        <v>12468</v>
      </c>
      <c r="D2152" s="236"/>
      <c r="E2152" s="88" t="s">
        <v>1420</v>
      </c>
      <c r="F2152" s="88" t="s">
        <v>12469</v>
      </c>
      <c r="G2152" s="88" t="s">
        <v>12470</v>
      </c>
      <c r="H2152" s="88" t="s">
        <v>12471</v>
      </c>
      <c r="I2152" s="236"/>
      <c r="J2152" s="88" t="s">
        <v>12456</v>
      </c>
      <c r="K2152" s="275"/>
      <c r="L2152" s="88" t="s">
        <v>12457</v>
      </c>
      <c r="M2152" s="237"/>
      <c r="N2152" s="237"/>
      <c r="O2152" s="237"/>
      <c r="P2152" s="237"/>
      <c r="Q2152" s="237"/>
      <c r="R2152" s="237"/>
      <c r="S2152" s="237"/>
      <c r="T2152" s="237"/>
      <c r="U2152" s="237"/>
      <c r="V2152" s="237"/>
      <c r="W2152" s="237"/>
      <c r="X2152" s="237"/>
      <c r="Y2152" s="237"/>
      <c r="Z2152" s="237"/>
      <c r="AA2152" s="237"/>
      <c r="AB2152" s="237"/>
    </row>
    <row r="2153">
      <c r="A2153" s="237"/>
      <c r="B2153" s="277" t="s">
        <v>12472</v>
      </c>
      <c r="C2153" s="236"/>
      <c r="D2153" s="236"/>
      <c r="E2153" s="88" t="s">
        <v>12412</v>
      </c>
      <c r="F2153" s="88" t="s">
        <v>12473</v>
      </c>
      <c r="G2153" s="88" t="s">
        <v>12474</v>
      </c>
      <c r="H2153" s="236"/>
      <c r="I2153" s="236"/>
      <c r="J2153" s="236"/>
      <c r="K2153" s="277" t="s">
        <v>12472</v>
      </c>
      <c r="L2153" s="236"/>
      <c r="M2153" s="237"/>
      <c r="N2153" s="237"/>
      <c r="O2153" s="237"/>
      <c r="P2153" s="237"/>
      <c r="Q2153" s="237"/>
      <c r="R2153" s="237"/>
      <c r="S2153" s="237"/>
      <c r="T2153" s="237"/>
      <c r="U2153" s="237"/>
      <c r="V2153" s="237"/>
      <c r="W2153" s="237"/>
      <c r="X2153" s="237"/>
      <c r="Y2153" s="237"/>
      <c r="Z2153" s="237"/>
      <c r="AA2153" s="237"/>
      <c r="AB2153" s="237"/>
    </row>
    <row r="2154">
      <c r="A2154" s="237"/>
      <c r="B2154" s="275"/>
      <c r="C2154" s="88" t="s">
        <v>12475</v>
      </c>
      <c r="D2154" s="236"/>
      <c r="E2154" s="88" t="s">
        <v>1420</v>
      </c>
      <c r="F2154" s="88" t="s">
        <v>12476</v>
      </c>
      <c r="G2154" s="256" t="s">
        <v>12477</v>
      </c>
      <c r="H2154" s="88" t="s">
        <v>12478</v>
      </c>
      <c r="I2154" s="236"/>
      <c r="J2154" s="236"/>
      <c r="K2154" s="275"/>
      <c r="L2154" s="236"/>
      <c r="M2154" s="237"/>
      <c r="N2154" s="237"/>
      <c r="O2154" s="237"/>
      <c r="P2154" s="237"/>
      <c r="Q2154" s="237"/>
      <c r="R2154" s="237"/>
      <c r="S2154" s="237"/>
      <c r="T2154" s="237"/>
      <c r="U2154" s="237"/>
      <c r="V2154" s="237"/>
      <c r="W2154" s="237"/>
      <c r="X2154" s="237"/>
      <c r="Y2154" s="237"/>
      <c r="Z2154" s="237"/>
      <c r="AA2154" s="237"/>
      <c r="AB2154" s="237"/>
    </row>
    <row r="2155">
      <c r="A2155" s="237"/>
      <c r="B2155" s="275"/>
      <c r="C2155" s="88" t="s">
        <v>12479</v>
      </c>
      <c r="D2155" s="236"/>
      <c r="E2155" s="88" t="s">
        <v>1420</v>
      </c>
      <c r="F2155" s="88" t="s">
        <v>12480</v>
      </c>
      <c r="G2155" s="88" t="s">
        <v>12477</v>
      </c>
      <c r="H2155" s="88" t="s">
        <v>12481</v>
      </c>
      <c r="I2155" s="236"/>
      <c r="J2155" s="88" t="s">
        <v>12456</v>
      </c>
      <c r="K2155" s="275"/>
      <c r="L2155" s="88" t="s">
        <v>12457</v>
      </c>
      <c r="M2155" s="237"/>
      <c r="N2155" s="237"/>
      <c r="O2155" s="237"/>
      <c r="P2155" s="237"/>
      <c r="Q2155" s="237"/>
      <c r="R2155" s="237"/>
      <c r="S2155" s="237"/>
      <c r="T2155" s="237"/>
      <c r="U2155" s="237"/>
      <c r="V2155" s="237"/>
      <c r="W2155" s="237"/>
      <c r="X2155" s="237"/>
      <c r="Y2155" s="237"/>
      <c r="Z2155" s="237"/>
      <c r="AA2155" s="237"/>
      <c r="AB2155" s="237"/>
    </row>
    <row r="2156">
      <c r="A2156" s="237"/>
      <c r="B2156" s="275"/>
      <c r="C2156" s="88" t="s">
        <v>12482</v>
      </c>
      <c r="D2156" s="236"/>
      <c r="E2156" s="88" t="s">
        <v>1420</v>
      </c>
      <c r="F2156" s="88" t="s">
        <v>1738</v>
      </c>
      <c r="G2156" s="88" t="s">
        <v>12483</v>
      </c>
      <c r="H2156" s="88" t="s">
        <v>12484</v>
      </c>
      <c r="I2156" s="236"/>
      <c r="J2156" s="88" t="s">
        <v>12456</v>
      </c>
      <c r="K2156" s="275"/>
      <c r="L2156" s="88" t="s">
        <v>12457</v>
      </c>
      <c r="M2156" s="237"/>
      <c r="N2156" s="237"/>
      <c r="O2156" s="237"/>
      <c r="P2156" s="237"/>
      <c r="Q2156" s="237"/>
      <c r="R2156" s="237"/>
      <c r="S2156" s="237"/>
      <c r="T2156" s="237"/>
      <c r="U2156" s="237"/>
      <c r="V2156" s="237"/>
      <c r="W2156" s="237"/>
      <c r="X2156" s="237"/>
      <c r="Y2156" s="237"/>
      <c r="Z2156" s="237"/>
      <c r="AA2156" s="237"/>
      <c r="AB2156" s="237"/>
    </row>
    <row r="2157">
      <c r="A2157" s="237"/>
      <c r="B2157" s="275"/>
      <c r="C2157" s="88" t="s">
        <v>12485</v>
      </c>
      <c r="D2157" s="236"/>
      <c r="E2157" s="88" t="s">
        <v>1420</v>
      </c>
      <c r="F2157" s="88" t="s">
        <v>12486</v>
      </c>
      <c r="G2157" s="88" t="s">
        <v>12487</v>
      </c>
      <c r="H2157" s="88" t="s">
        <v>12488</v>
      </c>
      <c r="I2157" s="236"/>
      <c r="J2157" s="88" t="s">
        <v>12456</v>
      </c>
      <c r="K2157" s="275"/>
      <c r="L2157" s="88" t="s">
        <v>12457</v>
      </c>
      <c r="M2157" s="237"/>
      <c r="N2157" s="237"/>
      <c r="O2157" s="237"/>
      <c r="P2157" s="237"/>
      <c r="Q2157" s="237"/>
      <c r="R2157" s="237"/>
      <c r="S2157" s="237"/>
      <c r="T2157" s="237"/>
      <c r="U2157" s="237"/>
      <c r="V2157" s="237"/>
      <c r="W2157" s="237"/>
      <c r="X2157" s="237"/>
      <c r="Y2157" s="237"/>
      <c r="Z2157" s="237"/>
      <c r="AA2157" s="237"/>
      <c r="AB2157" s="237"/>
    </row>
    <row r="2158">
      <c r="A2158" s="237"/>
      <c r="B2158" s="275"/>
      <c r="C2158" s="88" t="s">
        <v>12489</v>
      </c>
      <c r="D2158" s="236"/>
      <c r="E2158" s="88" t="s">
        <v>1420</v>
      </c>
      <c r="F2158" s="88" t="s">
        <v>1739</v>
      </c>
      <c r="G2158" s="88" t="s">
        <v>12490</v>
      </c>
      <c r="H2158" s="88" t="s">
        <v>12491</v>
      </c>
      <c r="I2158" s="236"/>
      <c r="J2158" s="88" t="s">
        <v>12456</v>
      </c>
      <c r="K2158" s="275"/>
      <c r="L2158" s="88" t="s">
        <v>12457</v>
      </c>
      <c r="M2158" s="237"/>
      <c r="N2158" s="237"/>
      <c r="O2158" s="237"/>
      <c r="P2158" s="237"/>
      <c r="Q2158" s="237"/>
      <c r="R2158" s="237"/>
      <c r="S2158" s="237"/>
      <c r="T2158" s="237"/>
      <c r="U2158" s="237"/>
      <c r="V2158" s="237"/>
      <c r="W2158" s="237"/>
      <c r="X2158" s="237"/>
      <c r="Y2158" s="237"/>
      <c r="Z2158" s="237"/>
      <c r="AA2158" s="237"/>
      <c r="AB2158" s="237"/>
    </row>
    <row r="2159">
      <c r="A2159" s="237"/>
      <c r="B2159" s="275"/>
      <c r="C2159" s="88" t="s">
        <v>12492</v>
      </c>
      <c r="D2159" s="236"/>
      <c r="E2159" s="88" t="s">
        <v>1420</v>
      </c>
      <c r="F2159" s="88" t="s">
        <v>12493</v>
      </c>
      <c r="G2159" s="88" t="s">
        <v>12494</v>
      </c>
      <c r="H2159" s="88" t="s">
        <v>12495</v>
      </c>
      <c r="I2159" s="236"/>
      <c r="J2159" s="88" t="s">
        <v>12456</v>
      </c>
      <c r="K2159" s="275"/>
      <c r="L2159" s="88" t="s">
        <v>12457</v>
      </c>
      <c r="M2159" s="237"/>
      <c r="N2159" s="237"/>
      <c r="O2159" s="237"/>
      <c r="P2159" s="237"/>
      <c r="Q2159" s="237"/>
      <c r="R2159" s="237"/>
      <c r="S2159" s="237"/>
      <c r="T2159" s="237"/>
      <c r="U2159" s="237"/>
      <c r="V2159" s="237"/>
      <c r="W2159" s="237"/>
      <c r="X2159" s="237"/>
      <c r="Y2159" s="237"/>
      <c r="Z2159" s="237"/>
      <c r="AA2159" s="237"/>
      <c r="AB2159" s="237"/>
    </row>
    <row r="2160">
      <c r="A2160" s="237"/>
      <c r="B2160" s="275"/>
      <c r="C2160" s="88" t="s">
        <v>12496</v>
      </c>
      <c r="D2160" s="236"/>
      <c r="E2160" s="88" t="s">
        <v>1420</v>
      </c>
      <c r="F2160" s="88" t="s">
        <v>1742</v>
      </c>
      <c r="G2160" s="88" t="s">
        <v>12497</v>
      </c>
      <c r="H2160" s="88" t="s">
        <v>12498</v>
      </c>
      <c r="I2160" s="236"/>
      <c r="J2160" s="88" t="s">
        <v>12456</v>
      </c>
      <c r="K2160" s="275"/>
      <c r="L2160" s="88" t="s">
        <v>12457</v>
      </c>
      <c r="M2160" s="237"/>
      <c r="N2160" s="237"/>
      <c r="O2160" s="237"/>
      <c r="P2160" s="237"/>
      <c r="Q2160" s="237"/>
      <c r="R2160" s="237"/>
      <c r="S2160" s="237"/>
      <c r="T2160" s="237"/>
      <c r="U2160" s="237"/>
      <c r="V2160" s="237"/>
      <c r="W2160" s="237"/>
      <c r="X2160" s="237"/>
      <c r="Y2160" s="237"/>
      <c r="Z2160" s="237"/>
      <c r="AA2160" s="237"/>
      <c r="AB2160" s="237"/>
    </row>
    <row r="2161">
      <c r="A2161" s="237"/>
      <c r="B2161" s="275"/>
      <c r="C2161" s="88" t="s">
        <v>12499</v>
      </c>
      <c r="D2161" s="236"/>
      <c r="E2161" s="88" t="s">
        <v>1420</v>
      </c>
      <c r="F2161" s="88" t="s">
        <v>12500</v>
      </c>
      <c r="G2161" s="88" t="s">
        <v>12501</v>
      </c>
      <c r="H2161" s="88" t="s">
        <v>12502</v>
      </c>
      <c r="I2161" s="236"/>
      <c r="J2161" s="88" t="s">
        <v>12456</v>
      </c>
      <c r="K2161" s="275"/>
      <c r="L2161" s="88" t="s">
        <v>12457</v>
      </c>
      <c r="M2161" s="237"/>
      <c r="N2161" s="237"/>
      <c r="O2161" s="237"/>
      <c r="P2161" s="237"/>
      <c r="Q2161" s="237"/>
      <c r="R2161" s="237"/>
      <c r="S2161" s="237"/>
      <c r="T2161" s="237"/>
      <c r="U2161" s="237"/>
      <c r="V2161" s="237"/>
      <c r="W2161" s="237"/>
      <c r="X2161" s="237"/>
      <c r="Y2161" s="237"/>
      <c r="Z2161" s="237"/>
      <c r="AA2161" s="237"/>
      <c r="AB2161" s="237"/>
    </row>
    <row r="2162">
      <c r="A2162" s="237"/>
      <c r="B2162" s="275"/>
      <c r="C2162" s="88" t="s">
        <v>12503</v>
      </c>
      <c r="D2162" s="236"/>
      <c r="E2162" s="88" t="s">
        <v>1420</v>
      </c>
      <c r="F2162" s="88" t="s">
        <v>1736</v>
      </c>
      <c r="G2162" s="88" t="s">
        <v>12504</v>
      </c>
      <c r="H2162" s="88" t="s">
        <v>12505</v>
      </c>
      <c r="I2162" s="236"/>
      <c r="J2162" s="88" t="s">
        <v>12456</v>
      </c>
      <c r="K2162" s="275"/>
      <c r="L2162" s="236"/>
      <c r="M2162" s="237"/>
      <c r="N2162" s="237"/>
      <c r="O2162" s="237"/>
      <c r="P2162" s="237"/>
      <c r="Q2162" s="237"/>
      <c r="R2162" s="237"/>
      <c r="S2162" s="237"/>
      <c r="T2162" s="237"/>
      <c r="U2162" s="237"/>
      <c r="V2162" s="237"/>
      <c r="W2162" s="237"/>
      <c r="X2162" s="237"/>
      <c r="Y2162" s="237"/>
      <c r="Z2162" s="237"/>
      <c r="AA2162" s="237"/>
      <c r="AB2162" s="237"/>
    </row>
    <row r="2163">
      <c r="A2163" s="237"/>
      <c r="B2163" s="275"/>
      <c r="C2163" s="88" t="s">
        <v>12506</v>
      </c>
      <c r="D2163" s="236"/>
      <c r="E2163" s="88" t="s">
        <v>1420</v>
      </c>
      <c r="F2163" s="88" t="s">
        <v>12507</v>
      </c>
      <c r="G2163" s="88" t="s">
        <v>12508</v>
      </c>
      <c r="H2163" s="88" t="s">
        <v>12509</v>
      </c>
      <c r="I2163" s="236"/>
      <c r="J2163" s="88" t="s">
        <v>12456</v>
      </c>
      <c r="K2163" s="275"/>
      <c r="L2163" s="236"/>
      <c r="M2163" s="237"/>
      <c r="N2163" s="237"/>
      <c r="O2163" s="237"/>
      <c r="P2163" s="237"/>
      <c r="Q2163" s="237"/>
      <c r="R2163" s="237"/>
      <c r="S2163" s="237"/>
      <c r="T2163" s="237"/>
      <c r="U2163" s="237"/>
      <c r="V2163" s="237"/>
      <c r="W2163" s="237"/>
      <c r="X2163" s="237"/>
      <c r="Y2163" s="237"/>
      <c r="Z2163" s="237"/>
      <c r="AA2163" s="237"/>
      <c r="AB2163" s="237"/>
    </row>
    <row r="2164">
      <c r="A2164" s="237"/>
      <c r="B2164" s="275"/>
      <c r="C2164" s="88" t="s">
        <v>12510</v>
      </c>
      <c r="D2164" s="236"/>
      <c r="E2164" s="88" t="s">
        <v>1420</v>
      </c>
      <c r="F2164" s="88" t="s">
        <v>1729</v>
      </c>
      <c r="G2164" s="88" t="s">
        <v>12511</v>
      </c>
      <c r="H2164" s="88" t="s">
        <v>12512</v>
      </c>
      <c r="I2164" s="236"/>
      <c r="J2164" s="88" t="s">
        <v>12456</v>
      </c>
      <c r="K2164" s="275"/>
      <c r="L2164" s="236"/>
      <c r="M2164" s="237"/>
      <c r="N2164" s="237"/>
      <c r="O2164" s="237"/>
      <c r="P2164" s="237"/>
      <c r="Q2164" s="237"/>
      <c r="R2164" s="237"/>
      <c r="S2164" s="237"/>
      <c r="T2164" s="237"/>
      <c r="U2164" s="237"/>
      <c r="V2164" s="237"/>
      <c r="W2164" s="237"/>
      <c r="X2164" s="237"/>
      <c r="Y2164" s="237"/>
      <c r="Z2164" s="237"/>
      <c r="AA2164" s="237"/>
      <c r="AB2164" s="237"/>
    </row>
    <row r="2165">
      <c r="A2165" s="237"/>
      <c r="B2165" s="275"/>
      <c r="C2165" s="88" t="s">
        <v>12513</v>
      </c>
      <c r="D2165" s="236"/>
      <c r="E2165" s="88" t="s">
        <v>1420</v>
      </c>
      <c r="F2165" s="88" t="s">
        <v>12514</v>
      </c>
      <c r="G2165" s="88" t="s">
        <v>12515</v>
      </c>
      <c r="H2165" s="88" t="s">
        <v>12516</v>
      </c>
      <c r="I2165" s="236"/>
      <c r="J2165" s="236"/>
      <c r="K2165" s="275"/>
      <c r="L2165" s="236"/>
      <c r="M2165" s="237"/>
      <c r="N2165" s="237"/>
      <c r="O2165" s="237"/>
      <c r="P2165" s="237"/>
      <c r="Q2165" s="237"/>
      <c r="R2165" s="237"/>
      <c r="S2165" s="237"/>
      <c r="T2165" s="237"/>
      <c r="U2165" s="237"/>
      <c r="V2165" s="237"/>
      <c r="W2165" s="237"/>
      <c r="X2165" s="237"/>
      <c r="Y2165" s="237"/>
      <c r="Z2165" s="237"/>
      <c r="AA2165" s="237"/>
      <c r="AB2165" s="237"/>
    </row>
    <row r="2166">
      <c r="A2166" s="237"/>
      <c r="B2166" s="275"/>
      <c r="C2166" s="88" t="s">
        <v>12517</v>
      </c>
      <c r="D2166" s="236"/>
      <c r="E2166" s="88" t="s">
        <v>1420</v>
      </c>
      <c r="F2166" s="88" t="s">
        <v>1725</v>
      </c>
      <c r="G2166" s="88" t="s">
        <v>12518</v>
      </c>
      <c r="H2166" s="88" t="s">
        <v>12519</v>
      </c>
      <c r="I2166" s="236"/>
      <c r="J2166" s="88" t="s">
        <v>12456</v>
      </c>
      <c r="K2166" s="275"/>
      <c r="L2166" s="236"/>
      <c r="M2166" s="237"/>
      <c r="N2166" s="237"/>
      <c r="O2166" s="237"/>
      <c r="P2166" s="237"/>
      <c r="Q2166" s="237"/>
      <c r="R2166" s="237"/>
      <c r="S2166" s="237"/>
      <c r="T2166" s="237"/>
      <c r="U2166" s="237"/>
      <c r="V2166" s="237"/>
      <c r="W2166" s="237"/>
      <c r="X2166" s="237"/>
      <c r="Y2166" s="237"/>
      <c r="Z2166" s="237"/>
      <c r="AA2166" s="237"/>
      <c r="AB2166" s="237"/>
    </row>
    <row r="2167">
      <c r="A2167" s="237"/>
      <c r="B2167" s="275"/>
      <c r="C2167" s="88" t="s">
        <v>12520</v>
      </c>
      <c r="D2167" s="236"/>
      <c r="E2167" s="88" t="s">
        <v>1420</v>
      </c>
      <c r="F2167" s="88" t="s">
        <v>1718</v>
      </c>
      <c r="G2167" s="88" t="s">
        <v>12521</v>
      </c>
      <c r="H2167" s="88" t="s">
        <v>12522</v>
      </c>
      <c r="I2167" s="236"/>
      <c r="J2167" s="88" t="s">
        <v>12456</v>
      </c>
      <c r="K2167" s="275"/>
      <c r="L2167" s="236"/>
      <c r="M2167" s="237"/>
      <c r="N2167" s="237"/>
      <c r="O2167" s="237"/>
      <c r="P2167" s="237"/>
      <c r="Q2167" s="237"/>
      <c r="R2167" s="237"/>
      <c r="S2167" s="237"/>
      <c r="T2167" s="237"/>
      <c r="U2167" s="237"/>
      <c r="V2167" s="237"/>
      <c r="W2167" s="237"/>
      <c r="X2167" s="237"/>
      <c r="Y2167" s="237"/>
      <c r="Z2167" s="237"/>
      <c r="AA2167" s="237"/>
      <c r="AB2167" s="237"/>
    </row>
    <row r="2168">
      <c r="A2168" s="237"/>
      <c r="B2168" s="275"/>
      <c r="C2168" s="88" t="s">
        <v>12523</v>
      </c>
      <c r="D2168" s="236"/>
      <c r="E2168" s="88" t="s">
        <v>1420</v>
      </c>
      <c r="F2168" s="88" t="s">
        <v>12524</v>
      </c>
      <c r="G2168" s="88" t="s">
        <v>12525</v>
      </c>
      <c r="H2168" s="88" t="s">
        <v>12526</v>
      </c>
      <c r="I2168" s="236"/>
      <c r="J2168" s="88" t="s">
        <v>12456</v>
      </c>
      <c r="K2168" s="275"/>
      <c r="L2168" s="236"/>
      <c r="M2168" s="237"/>
      <c r="N2168" s="237"/>
      <c r="O2168" s="237"/>
      <c r="P2168" s="237"/>
      <c r="Q2168" s="237"/>
      <c r="R2168" s="237"/>
      <c r="S2168" s="237"/>
      <c r="T2168" s="237"/>
      <c r="U2168" s="237"/>
      <c r="V2168" s="237"/>
      <c r="W2168" s="237"/>
      <c r="X2168" s="237"/>
      <c r="Y2168" s="237"/>
      <c r="Z2168" s="237"/>
      <c r="AA2168" s="237"/>
      <c r="AB2168" s="237"/>
    </row>
    <row r="2169">
      <c r="A2169" s="237"/>
      <c r="B2169" s="275"/>
      <c r="C2169" s="88" t="s">
        <v>12527</v>
      </c>
      <c r="D2169" s="236"/>
      <c r="E2169" s="88" t="s">
        <v>1420</v>
      </c>
      <c r="F2169" s="88" t="s">
        <v>1716</v>
      </c>
      <c r="G2169" s="88" t="s">
        <v>12528</v>
      </c>
      <c r="H2169" s="88" t="s">
        <v>12529</v>
      </c>
      <c r="I2169" s="236"/>
      <c r="J2169" s="88" t="s">
        <v>12456</v>
      </c>
      <c r="K2169" s="275"/>
      <c r="L2169" s="236"/>
      <c r="M2169" s="237"/>
      <c r="N2169" s="237"/>
      <c r="O2169" s="237"/>
      <c r="P2169" s="237"/>
      <c r="Q2169" s="237"/>
      <c r="R2169" s="237"/>
      <c r="S2169" s="237"/>
      <c r="T2169" s="237"/>
      <c r="U2169" s="237"/>
      <c r="V2169" s="237"/>
      <c r="W2169" s="237"/>
      <c r="X2169" s="237"/>
      <c r="Y2169" s="237"/>
      <c r="Z2169" s="237"/>
      <c r="AA2169" s="237"/>
      <c r="AB2169" s="237"/>
    </row>
    <row r="2170">
      <c r="A2170" s="237"/>
      <c r="B2170" s="275"/>
      <c r="C2170" s="88" t="s">
        <v>12530</v>
      </c>
      <c r="D2170" s="236"/>
      <c r="E2170" s="88" t="s">
        <v>1420</v>
      </c>
      <c r="F2170" s="88" t="s">
        <v>1727</v>
      </c>
      <c r="G2170" s="88" t="s">
        <v>12531</v>
      </c>
      <c r="H2170" s="88" t="s">
        <v>12532</v>
      </c>
      <c r="I2170" s="236"/>
      <c r="J2170" s="88" t="s">
        <v>12456</v>
      </c>
      <c r="K2170" s="275"/>
      <c r="L2170" s="236"/>
      <c r="M2170" s="237"/>
      <c r="N2170" s="237"/>
      <c r="O2170" s="237"/>
      <c r="P2170" s="237"/>
      <c r="Q2170" s="237"/>
      <c r="R2170" s="237"/>
      <c r="S2170" s="237"/>
      <c r="T2170" s="237"/>
      <c r="U2170" s="237"/>
      <c r="V2170" s="237"/>
      <c r="W2170" s="237"/>
      <c r="X2170" s="237"/>
      <c r="Y2170" s="237"/>
      <c r="Z2170" s="237"/>
      <c r="AA2170" s="237"/>
      <c r="AB2170" s="237"/>
    </row>
    <row r="2171">
      <c r="A2171" s="237"/>
      <c r="B2171" s="275"/>
      <c r="C2171" s="88" t="s">
        <v>12533</v>
      </c>
      <c r="D2171" s="236"/>
      <c r="E2171" s="88" t="s">
        <v>1420</v>
      </c>
      <c r="F2171" s="88" t="s">
        <v>12534</v>
      </c>
      <c r="G2171" s="88" t="s">
        <v>12483</v>
      </c>
      <c r="H2171" s="88" t="s">
        <v>12535</v>
      </c>
      <c r="I2171" s="236"/>
      <c r="J2171" s="88" t="s">
        <v>12456</v>
      </c>
      <c r="K2171" s="275"/>
      <c r="L2171" s="236"/>
      <c r="M2171" s="237"/>
      <c r="N2171" s="237"/>
      <c r="O2171" s="237"/>
      <c r="P2171" s="237"/>
      <c r="Q2171" s="237"/>
      <c r="R2171" s="237"/>
      <c r="S2171" s="237"/>
      <c r="T2171" s="237"/>
      <c r="U2171" s="237"/>
      <c r="V2171" s="237"/>
      <c r="W2171" s="237"/>
      <c r="X2171" s="237"/>
      <c r="Y2171" s="237"/>
      <c r="Z2171" s="237"/>
      <c r="AA2171" s="237"/>
      <c r="AB2171" s="237"/>
    </row>
    <row r="2172">
      <c r="A2172" s="237"/>
      <c r="B2172" s="275"/>
      <c r="C2172" s="88" t="s">
        <v>12536</v>
      </c>
      <c r="D2172" s="236"/>
      <c r="E2172" s="88" t="s">
        <v>1420</v>
      </c>
      <c r="F2172" s="88" t="s">
        <v>1724</v>
      </c>
      <c r="G2172" s="88" t="s">
        <v>12537</v>
      </c>
      <c r="H2172" s="88" t="s">
        <v>12538</v>
      </c>
      <c r="I2172" s="236"/>
      <c r="J2172" s="88" t="s">
        <v>12456</v>
      </c>
      <c r="K2172" s="275"/>
      <c r="L2172" s="236"/>
      <c r="M2172" s="237"/>
      <c r="N2172" s="237"/>
      <c r="O2172" s="237"/>
      <c r="P2172" s="237"/>
      <c r="Q2172" s="237"/>
      <c r="R2172" s="237"/>
      <c r="S2172" s="237"/>
      <c r="T2172" s="237"/>
      <c r="U2172" s="237"/>
      <c r="V2172" s="237"/>
      <c r="W2172" s="237"/>
      <c r="X2172" s="237"/>
      <c r="Y2172" s="237"/>
      <c r="Z2172" s="237"/>
      <c r="AA2172" s="237"/>
      <c r="AB2172" s="237"/>
    </row>
    <row r="2173">
      <c r="A2173" s="237"/>
      <c r="B2173" s="275"/>
      <c r="C2173" s="88" t="s">
        <v>12539</v>
      </c>
      <c r="D2173" s="236"/>
      <c r="E2173" s="88" t="s">
        <v>1420</v>
      </c>
      <c r="F2173" s="88" t="s">
        <v>1733</v>
      </c>
      <c r="G2173" s="88" t="s">
        <v>12540</v>
      </c>
      <c r="H2173" s="88" t="s">
        <v>12541</v>
      </c>
      <c r="I2173" s="236"/>
      <c r="J2173" s="88" t="s">
        <v>12456</v>
      </c>
      <c r="K2173" s="275"/>
      <c r="L2173" s="236"/>
      <c r="M2173" s="237"/>
      <c r="N2173" s="237"/>
      <c r="O2173" s="237"/>
      <c r="P2173" s="237"/>
      <c r="Q2173" s="237"/>
      <c r="R2173" s="237"/>
      <c r="S2173" s="237"/>
      <c r="T2173" s="237"/>
      <c r="U2173" s="237"/>
      <c r="V2173" s="237"/>
      <c r="W2173" s="237"/>
      <c r="X2173" s="237"/>
      <c r="Y2173" s="237"/>
      <c r="Z2173" s="237"/>
      <c r="AA2173" s="237"/>
      <c r="AB2173" s="237"/>
    </row>
    <row r="2174">
      <c r="A2174" s="237"/>
      <c r="B2174" s="275"/>
      <c r="C2174" s="88" t="s">
        <v>12542</v>
      </c>
      <c r="D2174" s="236"/>
      <c r="E2174" s="88" t="s">
        <v>1420</v>
      </c>
      <c r="F2174" s="88" t="s">
        <v>12543</v>
      </c>
      <c r="G2174" s="88" t="s">
        <v>12544</v>
      </c>
      <c r="H2174" s="88" t="s">
        <v>12545</v>
      </c>
      <c r="I2174" s="236"/>
      <c r="J2174" s="88" t="s">
        <v>12456</v>
      </c>
      <c r="K2174" s="275"/>
      <c r="L2174" s="88" t="s">
        <v>12546</v>
      </c>
      <c r="M2174" s="237"/>
      <c r="N2174" s="237"/>
      <c r="O2174" s="237"/>
      <c r="P2174" s="237"/>
      <c r="Q2174" s="237"/>
      <c r="R2174" s="237"/>
      <c r="S2174" s="237"/>
      <c r="T2174" s="237"/>
      <c r="U2174" s="237"/>
      <c r="V2174" s="237"/>
      <c r="W2174" s="237"/>
      <c r="X2174" s="237"/>
      <c r="Y2174" s="237"/>
      <c r="Z2174" s="237"/>
      <c r="AA2174" s="237"/>
      <c r="AB2174" s="237"/>
    </row>
    <row r="2175">
      <c r="A2175" s="237"/>
      <c r="B2175" s="275"/>
      <c r="C2175" s="88" t="s">
        <v>12547</v>
      </c>
      <c r="D2175" s="236"/>
      <c r="E2175" s="88" t="s">
        <v>1420</v>
      </c>
      <c r="F2175" s="88" t="s">
        <v>1754</v>
      </c>
      <c r="G2175" s="88" t="s">
        <v>12548</v>
      </c>
      <c r="H2175" s="88" t="s">
        <v>12549</v>
      </c>
      <c r="I2175" s="236"/>
      <c r="J2175" s="88" t="s">
        <v>12456</v>
      </c>
      <c r="K2175" s="275"/>
      <c r="L2175" s="88" t="s">
        <v>12546</v>
      </c>
      <c r="M2175" s="237"/>
      <c r="N2175" s="237"/>
      <c r="O2175" s="237"/>
      <c r="P2175" s="237"/>
      <c r="Q2175" s="237"/>
      <c r="R2175" s="237"/>
      <c r="S2175" s="237"/>
      <c r="T2175" s="237"/>
      <c r="U2175" s="237"/>
      <c r="V2175" s="237"/>
      <c r="W2175" s="237"/>
      <c r="X2175" s="237"/>
      <c r="Y2175" s="237"/>
      <c r="Z2175" s="237"/>
      <c r="AA2175" s="237"/>
      <c r="AB2175" s="237"/>
    </row>
    <row r="2176">
      <c r="A2176" s="237"/>
      <c r="B2176" s="275"/>
      <c r="C2176" s="88" t="s">
        <v>12550</v>
      </c>
      <c r="D2176" s="236"/>
      <c r="E2176" s="88" t="s">
        <v>1420</v>
      </c>
      <c r="F2176" s="88" t="s">
        <v>1762</v>
      </c>
      <c r="G2176" s="88" t="s">
        <v>12551</v>
      </c>
      <c r="H2176" s="88" t="s">
        <v>12552</v>
      </c>
      <c r="I2176" s="236"/>
      <c r="J2176" s="88" t="s">
        <v>12456</v>
      </c>
      <c r="K2176" s="275"/>
      <c r="L2176" s="88" t="s">
        <v>12546</v>
      </c>
      <c r="M2176" s="237"/>
      <c r="N2176" s="237"/>
      <c r="O2176" s="237"/>
      <c r="P2176" s="237"/>
      <c r="Q2176" s="237"/>
      <c r="R2176" s="237"/>
      <c r="S2176" s="237"/>
      <c r="T2176" s="237"/>
      <c r="U2176" s="237"/>
      <c r="V2176" s="237"/>
      <c r="W2176" s="237"/>
      <c r="X2176" s="237"/>
      <c r="Y2176" s="237"/>
      <c r="Z2176" s="237"/>
      <c r="AA2176" s="237"/>
      <c r="AB2176" s="237"/>
    </row>
    <row r="2177">
      <c r="A2177" s="237"/>
      <c r="B2177" s="275"/>
      <c r="C2177" s="88" t="s">
        <v>12553</v>
      </c>
      <c r="D2177" s="236"/>
      <c r="E2177" s="88" t="s">
        <v>1420</v>
      </c>
      <c r="F2177" s="88" t="s">
        <v>1766</v>
      </c>
      <c r="G2177" s="88" t="s">
        <v>12554</v>
      </c>
      <c r="H2177" s="88" t="s">
        <v>12555</v>
      </c>
      <c r="I2177" s="236"/>
      <c r="J2177" s="236"/>
      <c r="K2177" s="275"/>
      <c r="L2177" s="236"/>
      <c r="M2177" s="237"/>
      <c r="N2177" s="237"/>
      <c r="O2177" s="237"/>
      <c r="P2177" s="237"/>
      <c r="Q2177" s="237"/>
      <c r="R2177" s="237"/>
      <c r="S2177" s="237"/>
      <c r="T2177" s="237"/>
      <c r="U2177" s="237"/>
      <c r="V2177" s="237"/>
      <c r="W2177" s="237"/>
      <c r="X2177" s="237"/>
      <c r="Y2177" s="237"/>
      <c r="Z2177" s="237"/>
      <c r="AA2177" s="237"/>
      <c r="AB2177" s="237"/>
    </row>
    <row r="2178">
      <c r="A2178" s="237"/>
      <c r="B2178" s="275"/>
      <c r="C2178" s="88" t="s">
        <v>12556</v>
      </c>
      <c r="D2178" s="236"/>
      <c r="E2178" s="88" t="s">
        <v>1420</v>
      </c>
      <c r="F2178" s="88" t="s">
        <v>12557</v>
      </c>
      <c r="G2178" s="88" t="s">
        <v>12558</v>
      </c>
      <c r="H2178" s="88" t="s">
        <v>12559</v>
      </c>
      <c r="I2178" s="236"/>
      <c r="J2178" s="88" t="s">
        <v>12560</v>
      </c>
      <c r="K2178" s="275"/>
      <c r="L2178" s="88" t="s">
        <v>12546</v>
      </c>
      <c r="M2178" s="237"/>
      <c r="N2178" s="237"/>
      <c r="O2178" s="237"/>
      <c r="P2178" s="237"/>
      <c r="Q2178" s="237"/>
      <c r="R2178" s="237"/>
      <c r="S2178" s="237"/>
      <c r="T2178" s="237"/>
      <c r="U2178" s="237"/>
      <c r="V2178" s="237"/>
      <c r="W2178" s="237"/>
      <c r="X2178" s="237"/>
      <c r="Y2178" s="237"/>
      <c r="Z2178" s="237"/>
      <c r="AA2178" s="237"/>
      <c r="AB2178" s="237"/>
    </row>
    <row r="2179">
      <c r="A2179" s="237"/>
      <c r="B2179" s="275"/>
      <c r="C2179" s="88" t="s">
        <v>12561</v>
      </c>
      <c r="D2179" s="236"/>
      <c r="E2179" s="88" t="s">
        <v>1420</v>
      </c>
      <c r="F2179" s="88" t="s">
        <v>1760</v>
      </c>
      <c r="G2179" s="88" t="s">
        <v>12562</v>
      </c>
      <c r="H2179" s="88" t="s">
        <v>12563</v>
      </c>
      <c r="I2179" s="236"/>
      <c r="J2179" s="88" t="s">
        <v>12560</v>
      </c>
      <c r="K2179" s="275"/>
      <c r="L2179" s="88" t="s">
        <v>12546</v>
      </c>
      <c r="M2179" s="237"/>
      <c r="N2179" s="237"/>
      <c r="O2179" s="237"/>
      <c r="P2179" s="237"/>
      <c r="Q2179" s="237"/>
      <c r="R2179" s="237"/>
      <c r="S2179" s="237"/>
      <c r="T2179" s="237"/>
      <c r="U2179" s="237"/>
      <c r="V2179" s="237"/>
      <c r="W2179" s="237"/>
      <c r="X2179" s="237"/>
      <c r="Y2179" s="237"/>
      <c r="Z2179" s="237"/>
      <c r="AA2179" s="237"/>
      <c r="AB2179" s="237"/>
    </row>
    <row r="2180">
      <c r="A2180" s="237"/>
      <c r="B2180" s="275"/>
      <c r="C2180" s="88" t="s">
        <v>12564</v>
      </c>
      <c r="D2180" s="236"/>
      <c r="E2180" s="88" t="s">
        <v>1420</v>
      </c>
      <c r="F2180" s="88" t="s">
        <v>1750</v>
      </c>
      <c r="G2180" s="88" t="s">
        <v>12565</v>
      </c>
      <c r="H2180" s="88" t="s">
        <v>12566</v>
      </c>
      <c r="I2180" s="236"/>
      <c r="J2180" s="88" t="s">
        <v>12560</v>
      </c>
      <c r="K2180" s="275"/>
      <c r="L2180" s="88" t="s">
        <v>12546</v>
      </c>
      <c r="M2180" s="237"/>
      <c r="N2180" s="237"/>
      <c r="O2180" s="237"/>
      <c r="P2180" s="237"/>
      <c r="Q2180" s="237"/>
      <c r="R2180" s="237"/>
      <c r="S2180" s="237"/>
      <c r="T2180" s="237"/>
      <c r="U2180" s="237"/>
      <c r="V2180" s="237"/>
      <c r="W2180" s="237"/>
      <c r="X2180" s="237"/>
      <c r="Y2180" s="237"/>
      <c r="Z2180" s="237"/>
      <c r="AA2180" s="237"/>
      <c r="AB2180" s="237"/>
    </row>
    <row r="2181">
      <c r="A2181" s="237"/>
      <c r="B2181" s="275"/>
      <c r="C2181" s="88" t="s">
        <v>12567</v>
      </c>
      <c r="D2181" s="236"/>
      <c r="E2181" s="88" t="s">
        <v>1420</v>
      </c>
      <c r="F2181" s="88" t="s">
        <v>1744</v>
      </c>
      <c r="G2181" s="88" t="s">
        <v>12568</v>
      </c>
      <c r="H2181" s="88" t="s">
        <v>12569</v>
      </c>
      <c r="I2181" s="236"/>
      <c r="J2181" s="88" t="s">
        <v>12560</v>
      </c>
      <c r="K2181" s="275"/>
      <c r="L2181" s="88" t="s">
        <v>12546</v>
      </c>
      <c r="M2181" s="237"/>
      <c r="N2181" s="237"/>
      <c r="O2181" s="237"/>
      <c r="P2181" s="237"/>
      <c r="Q2181" s="237"/>
      <c r="R2181" s="237"/>
      <c r="S2181" s="237"/>
      <c r="T2181" s="237"/>
      <c r="U2181" s="237"/>
      <c r="V2181" s="237"/>
      <c r="W2181" s="237"/>
      <c r="X2181" s="237"/>
      <c r="Y2181" s="237"/>
      <c r="Z2181" s="237"/>
      <c r="AA2181" s="237"/>
      <c r="AB2181" s="237"/>
    </row>
    <row r="2182">
      <c r="A2182" s="237"/>
      <c r="B2182" s="275"/>
      <c r="C2182" s="88" t="s">
        <v>12570</v>
      </c>
      <c r="D2182" s="236"/>
      <c r="E2182" s="88" t="s">
        <v>1420</v>
      </c>
      <c r="F2182" s="88" t="s">
        <v>1745</v>
      </c>
      <c r="G2182" s="88" t="s">
        <v>12571</v>
      </c>
      <c r="H2182" s="88" t="s">
        <v>12572</v>
      </c>
      <c r="I2182" s="236"/>
      <c r="J2182" s="88" t="s">
        <v>12560</v>
      </c>
      <c r="K2182" s="275"/>
      <c r="L2182" s="88" t="s">
        <v>12546</v>
      </c>
      <c r="M2182" s="237"/>
      <c r="N2182" s="237"/>
      <c r="O2182" s="237"/>
      <c r="P2182" s="237"/>
      <c r="Q2182" s="237"/>
      <c r="R2182" s="237"/>
      <c r="S2182" s="237"/>
      <c r="T2182" s="237"/>
      <c r="U2182" s="237"/>
      <c r="V2182" s="237"/>
      <c r="W2182" s="237"/>
      <c r="X2182" s="237"/>
      <c r="Y2182" s="237"/>
      <c r="Z2182" s="237"/>
      <c r="AA2182" s="237"/>
      <c r="AB2182" s="237"/>
    </row>
    <row r="2183">
      <c r="A2183" s="237"/>
      <c r="B2183" s="275"/>
      <c r="C2183" s="88" t="s">
        <v>12573</v>
      </c>
      <c r="D2183" s="236"/>
      <c r="E2183" s="88" t="s">
        <v>1420</v>
      </c>
      <c r="F2183" s="88" t="s">
        <v>1756</v>
      </c>
      <c r="G2183" s="88" t="s">
        <v>12574</v>
      </c>
      <c r="H2183" s="88" t="s">
        <v>12575</v>
      </c>
      <c r="I2183" s="236"/>
      <c r="J2183" s="88" t="s">
        <v>12560</v>
      </c>
      <c r="K2183" s="275"/>
      <c r="L2183" s="88" t="s">
        <v>12546</v>
      </c>
      <c r="M2183" s="237"/>
      <c r="N2183" s="237"/>
      <c r="O2183" s="237"/>
      <c r="P2183" s="237"/>
      <c r="Q2183" s="237"/>
      <c r="R2183" s="237"/>
      <c r="S2183" s="237"/>
      <c r="T2183" s="237"/>
      <c r="U2183" s="237"/>
      <c r="V2183" s="237"/>
      <c r="W2183" s="237"/>
      <c r="X2183" s="237"/>
      <c r="Y2183" s="237"/>
      <c r="Z2183" s="237"/>
      <c r="AA2183" s="237"/>
      <c r="AB2183" s="237"/>
    </row>
    <row r="2184">
      <c r="A2184" s="237"/>
      <c r="B2184" s="275"/>
      <c r="C2184" s="88" t="s">
        <v>12576</v>
      </c>
      <c r="D2184" s="236"/>
      <c r="E2184" s="88" t="s">
        <v>1420</v>
      </c>
      <c r="F2184" s="88" t="s">
        <v>1764</v>
      </c>
      <c r="G2184" s="88" t="s">
        <v>12577</v>
      </c>
      <c r="H2184" s="88" t="s">
        <v>12578</v>
      </c>
      <c r="I2184" s="236"/>
      <c r="J2184" s="88" t="s">
        <v>12560</v>
      </c>
      <c r="K2184" s="275"/>
      <c r="L2184" s="88" t="s">
        <v>12546</v>
      </c>
      <c r="M2184" s="237"/>
      <c r="N2184" s="237"/>
      <c r="O2184" s="237"/>
      <c r="P2184" s="237"/>
      <c r="Q2184" s="237"/>
      <c r="R2184" s="237"/>
      <c r="S2184" s="237"/>
      <c r="T2184" s="237"/>
      <c r="U2184" s="237"/>
      <c r="V2184" s="237"/>
      <c r="W2184" s="237"/>
      <c r="X2184" s="237"/>
      <c r="Y2184" s="237"/>
      <c r="Z2184" s="237"/>
      <c r="AA2184" s="237"/>
      <c r="AB2184" s="237"/>
    </row>
    <row r="2185">
      <c r="A2185" s="237"/>
      <c r="B2185" s="275"/>
      <c r="C2185" s="88" t="s">
        <v>12579</v>
      </c>
      <c r="D2185" s="236"/>
      <c r="E2185" s="88" t="s">
        <v>1420</v>
      </c>
      <c r="F2185" s="88" t="s">
        <v>1752</v>
      </c>
      <c r="G2185" s="88" t="s">
        <v>12580</v>
      </c>
      <c r="H2185" s="88" t="s">
        <v>12581</v>
      </c>
      <c r="I2185" s="236"/>
      <c r="J2185" s="236"/>
      <c r="K2185" s="275"/>
      <c r="L2185" s="236"/>
      <c r="M2185" s="237"/>
      <c r="N2185" s="237"/>
      <c r="O2185" s="237"/>
      <c r="P2185" s="237"/>
      <c r="Q2185" s="237"/>
      <c r="R2185" s="237"/>
      <c r="S2185" s="237"/>
      <c r="T2185" s="237"/>
      <c r="U2185" s="237"/>
      <c r="V2185" s="237"/>
      <c r="W2185" s="237"/>
      <c r="X2185" s="237"/>
      <c r="Y2185" s="237"/>
      <c r="Z2185" s="237"/>
      <c r="AA2185" s="237"/>
      <c r="AB2185" s="237"/>
    </row>
    <row r="2186">
      <c r="A2186" s="237"/>
      <c r="B2186" s="275"/>
      <c r="C2186" s="88" t="s">
        <v>12582</v>
      </c>
      <c r="D2186" s="236"/>
      <c r="E2186" s="88" t="s">
        <v>1420</v>
      </c>
      <c r="F2186" s="88" t="s">
        <v>1747</v>
      </c>
      <c r="G2186" s="88" t="s">
        <v>12583</v>
      </c>
      <c r="H2186" s="88" t="s">
        <v>12584</v>
      </c>
      <c r="I2186" s="236"/>
      <c r="J2186" s="236"/>
      <c r="K2186" s="275"/>
      <c r="L2186" s="236"/>
      <c r="M2186" s="237"/>
      <c r="N2186" s="237"/>
      <c r="O2186" s="237"/>
      <c r="P2186" s="237"/>
      <c r="Q2186" s="237"/>
      <c r="R2186" s="237"/>
      <c r="S2186" s="237"/>
      <c r="T2186" s="237"/>
      <c r="U2186" s="237"/>
      <c r="V2186" s="237"/>
      <c r="W2186" s="237"/>
      <c r="X2186" s="237"/>
      <c r="Y2186" s="237"/>
      <c r="Z2186" s="237"/>
      <c r="AA2186" s="237"/>
      <c r="AB2186" s="237"/>
    </row>
    <row r="2187">
      <c r="A2187" s="237"/>
      <c r="B2187" s="275"/>
      <c r="C2187" s="88" t="s">
        <v>12585</v>
      </c>
      <c r="D2187" s="236"/>
      <c r="E2187" s="88" t="s">
        <v>1420</v>
      </c>
      <c r="F2187" s="88" t="s">
        <v>12586</v>
      </c>
      <c r="G2187" s="88" t="s">
        <v>12587</v>
      </c>
      <c r="H2187" s="88" t="s">
        <v>12588</v>
      </c>
      <c r="I2187" s="236"/>
      <c r="J2187" s="236"/>
      <c r="K2187" s="275"/>
      <c r="L2187" s="236"/>
      <c r="M2187" s="237"/>
      <c r="N2187" s="237"/>
      <c r="O2187" s="237"/>
      <c r="P2187" s="237"/>
      <c r="Q2187" s="237"/>
      <c r="R2187" s="237"/>
      <c r="S2187" s="237"/>
      <c r="T2187" s="237"/>
      <c r="U2187" s="237"/>
      <c r="V2187" s="237"/>
      <c r="W2187" s="237"/>
      <c r="X2187" s="237"/>
      <c r="Y2187" s="237"/>
      <c r="Z2187" s="237"/>
      <c r="AA2187" s="237"/>
      <c r="AB2187" s="237"/>
    </row>
    <row r="2188">
      <c r="A2188" s="237"/>
      <c r="B2188" s="275"/>
      <c r="C2188" s="88" t="s">
        <v>12589</v>
      </c>
      <c r="D2188" s="236"/>
      <c r="E2188" s="88" t="s">
        <v>1420</v>
      </c>
      <c r="F2188" s="88" t="s">
        <v>12590</v>
      </c>
      <c r="G2188" s="88" t="s">
        <v>12591</v>
      </c>
      <c r="H2188" s="88" t="s">
        <v>12592</v>
      </c>
      <c r="I2188" s="236"/>
      <c r="J2188" s="236"/>
      <c r="K2188" s="275"/>
      <c r="L2188" s="236"/>
      <c r="M2188" s="237"/>
      <c r="N2188" s="237"/>
      <c r="O2188" s="237"/>
      <c r="P2188" s="237"/>
      <c r="Q2188" s="237"/>
      <c r="R2188" s="237"/>
      <c r="S2188" s="237"/>
      <c r="T2188" s="237"/>
      <c r="U2188" s="237"/>
      <c r="V2188" s="237"/>
      <c r="W2188" s="237"/>
      <c r="X2188" s="237"/>
      <c r="Y2188" s="237"/>
      <c r="Z2188" s="237"/>
      <c r="AA2188" s="237"/>
      <c r="AB2188" s="237"/>
    </row>
    <row r="2189">
      <c r="A2189" s="237"/>
      <c r="B2189" s="275"/>
      <c r="C2189" s="88" t="s">
        <v>12593</v>
      </c>
      <c r="D2189" s="236"/>
      <c r="E2189" s="88" t="s">
        <v>1420</v>
      </c>
      <c r="F2189" s="88" t="s">
        <v>12594</v>
      </c>
      <c r="G2189" s="88" t="s">
        <v>12595</v>
      </c>
      <c r="H2189" s="88" t="s">
        <v>12596</v>
      </c>
      <c r="I2189" s="236"/>
      <c r="J2189" s="236"/>
      <c r="K2189" s="275"/>
      <c r="L2189" s="236"/>
      <c r="M2189" s="237"/>
      <c r="N2189" s="237"/>
      <c r="O2189" s="237"/>
      <c r="P2189" s="237"/>
      <c r="Q2189" s="237"/>
      <c r="R2189" s="237"/>
      <c r="S2189" s="237"/>
      <c r="T2189" s="237"/>
      <c r="U2189" s="237"/>
      <c r="V2189" s="237"/>
      <c r="W2189" s="237"/>
      <c r="X2189" s="237"/>
      <c r="Y2189" s="237"/>
      <c r="Z2189" s="237"/>
      <c r="AA2189" s="237"/>
      <c r="AB2189" s="237"/>
    </row>
    <row r="2190">
      <c r="A2190" s="237"/>
      <c r="B2190" s="275"/>
      <c r="C2190" s="88" t="s">
        <v>12597</v>
      </c>
      <c r="D2190" s="236"/>
      <c r="E2190" s="88" t="s">
        <v>1420</v>
      </c>
      <c r="F2190" s="88" t="s">
        <v>12598</v>
      </c>
      <c r="G2190" s="88" t="s">
        <v>12599</v>
      </c>
      <c r="H2190" s="88" t="s">
        <v>12600</v>
      </c>
      <c r="I2190" s="236"/>
      <c r="J2190" s="236"/>
      <c r="K2190" s="275"/>
      <c r="L2190" s="236"/>
      <c r="M2190" s="237"/>
      <c r="N2190" s="237"/>
      <c r="O2190" s="237"/>
      <c r="P2190" s="237"/>
      <c r="Q2190" s="237"/>
      <c r="R2190" s="237"/>
      <c r="S2190" s="237"/>
      <c r="T2190" s="237"/>
      <c r="U2190" s="237"/>
      <c r="V2190" s="237"/>
      <c r="W2190" s="237"/>
      <c r="X2190" s="237"/>
      <c r="Y2190" s="237"/>
      <c r="Z2190" s="237"/>
      <c r="AA2190" s="237"/>
      <c r="AB2190" s="237"/>
    </row>
    <row r="2191">
      <c r="A2191" s="237"/>
      <c r="B2191" s="275"/>
      <c r="C2191" s="88" t="s">
        <v>12601</v>
      </c>
      <c r="D2191" s="236"/>
      <c r="E2191" s="88" t="s">
        <v>1420</v>
      </c>
      <c r="F2191" s="88" t="s">
        <v>12602</v>
      </c>
      <c r="G2191" s="88" t="s">
        <v>12603</v>
      </c>
      <c r="H2191" s="88" t="s">
        <v>12604</v>
      </c>
      <c r="I2191" s="236"/>
      <c r="J2191" s="236"/>
      <c r="K2191" s="275"/>
      <c r="L2191" s="236"/>
      <c r="M2191" s="237"/>
      <c r="N2191" s="237"/>
      <c r="O2191" s="237"/>
      <c r="P2191" s="237"/>
      <c r="Q2191" s="237"/>
      <c r="R2191" s="237"/>
      <c r="S2191" s="237"/>
      <c r="T2191" s="237"/>
      <c r="U2191" s="237"/>
      <c r="V2191" s="237"/>
      <c r="W2191" s="237"/>
      <c r="X2191" s="237"/>
      <c r="Y2191" s="237"/>
      <c r="Z2191" s="237"/>
      <c r="AA2191" s="237"/>
      <c r="AB2191" s="237"/>
    </row>
    <row r="2192">
      <c r="A2192" s="237"/>
      <c r="B2192" s="275"/>
      <c r="C2192" s="88" t="s">
        <v>12605</v>
      </c>
      <c r="D2192" s="236"/>
      <c r="E2192" s="88" t="s">
        <v>1420</v>
      </c>
      <c r="F2192" s="88" t="s">
        <v>12606</v>
      </c>
      <c r="G2192" s="88" t="s">
        <v>12607</v>
      </c>
      <c r="H2192" s="88" t="s">
        <v>12608</v>
      </c>
      <c r="I2192" s="236"/>
      <c r="J2192" s="236"/>
      <c r="K2192" s="275"/>
      <c r="L2192" s="236"/>
      <c r="M2192" s="237"/>
      <c r="N2192" s="237"/>
      <c r="O2192" s="237"/>
      <c r="P2192" s="237"/>
      <c r="Q2192" s="237"/>
      <c r="R2192" s="237"/>
      <c r="S2192" s="237"/>
      <c r="T2192" s="237"/>
      <c r="U2192" s="237"/>
      <c r="V2192" s="237"/>
      <c r="W2192" s="237"/>
      <c r="X2192" s="237"/>
      <c r="Y2192" s="237"/>
      <c r="Z2192" s="237"/>
      <c r="AA2192" s="237"/>
      <c r="AB2192" s="237"/>
    </row>
    <row r="2193">
      <c r="A2193" s="237"/>
      <c r="B2193" s="275"/>
      <c r="C2193" s="88" t="s">
        <v>12609</v>
      </c>
      <c r="D2193" s="236"/>
      <c r="E2193" s="88" t="s">
        <v>1420</v>
      </c>
      <c r="F2193" s="88" t="s">
        <v>12610</v>
      </c>
      <c r="G2193" s="88" t="s">
        <v>12611</v>
      </c>
      <c r="H2193" s="88" t="s">
        <v>12612</v>
      </c>
      <c r="I2193" s="236"/>
      <c r="J2193" s="236"/>
      <c r="K2193" s="275"/>
      <c r="L2193" s="236"/>
      <c r="M2193" s="237"/>
      <c r="N2193" s="237"/>
      <c r="O2193" s="237"/>
      <c r="P2193" s="237"/>
      <c r="Q2193" s="237"/>
      <c r="R2193" s="237"/>
      <c r="S2193" s="237"/>
      <c r="T2193" s="237"/>
      <c r="U2193" s="237"/>
      <c r="V2193" s="237"/>
      <c r="W2193" s="237"/>
      <c r="X2193" s="237"/>
      <c r="Y2193" s="237"/>
      <c r="Z2193" s="237"/>
      <c r="AA2193" s="237"/>
      <c r="AB2193" s="237"/>
    </row>
    <row r="2194">
      <c r="A2194" s="237"/>
      <c r="B2194" s="275"/>
      <c r="C2194" s="88" t="s">
        <v>12613</v>
      </c>
      <c r="D2194" s="236"/>
      <c r="E2194" s="88" t="s">
        <v>1420</v>
      </c>
      <c r="F2194" s="88" t="s">
        <v>12614</v>
      </c>
      <c r="G2194" s="88" t="s">
        <v>12615</v>
      </c>
      <c r="H2194" s="88" t="s">
        <v>12616</v>
      </c>
      <c r="I2194" s="236"/>
      <c r="J2194" s="236"/>
      <c r="K2194" s="275"/>
      <c r="L2194" s="236"/>
      <c r="M2194" s="237"/>
      <c r="N2194" s="237"/>
      <c r="O2194" s="237"/>
      <c r="P2194" s="237"/>
      <c r="Q2194" s="237"/>
      <c r="R2194" s="237"/>
      <c r="S2194" s="237"/>
      <c r="T2194" s="237"/>
      <c r="U2194" s="237"/>
      <c r="V2194" s="237"/>
      <c r="W2194" s="237"/>
      <c r="X2194" s="237"/>
      <c r="Y2194" s="237"/>
      <c r="Z2194" s="237"/>
      <c r="AA2194" s="237"/>
      <c r="AB2194" s="237"/>
    </row>
    <row r="2195">
      <c r="A2195" s="237"/>
      <c r="B2195" s="275"/>
      <c r="C2195" s="88" t="s">
        <v>12617</v>
      </c>
      <c r="D2195" s="236"/>
      <c r="E2195" s="88" t="s">
        <v>1420</v>
      </c>
      <c r="F2195" s="88" t="s">
        <v>1307</v>
      </c>
      <c r="G2195" s="88" t="s">
        <v>12618</v>
      </c>
      <c r="H2195" s="88" t="s">
        <v>12619</v>
      </c>
      <c r="I2195" s="236"/>
      <c r="J2195" s="88" t="s">
        <v>12620</v>
      </c>
      <c r="K2195" s="275"/>
      <c r="L2195" s="88" t="s">
        <v>12621</v>
      </c>
      <c r="M2195" s="237"/>
      <c r="N2195" s="237"/>
      <c r="O2195" s="237"/>
      <c r="P2195" s="237"/>
      <c r="Q2195" s="237"/>
      <c r="R2195" s="237"/>
      <c r="S2195" s="237"/>
      <c r="T2195" s="237"/>
      <c r="U2195" s="237"/>
      <c r="V2195" s="237"/>
      <c r="W2195" s="237"/>
      <c r="X2195" s="237"/>
      <c r="Y2195" s="237"/>
      <c r="Z2195" s="237"/>
      <c r="AA2195" s="237"/>
      <c r="AB2195" s="237"/>
    </row>
    <row r="2196">
      <c r="A2196" s="237"/>
      <c r="B2196" s="275"/>
      <c r="C2196" s="88" t="s">
        <v>12622</v>
      </c>
      <c r="D2196" s="236"/>
      <c r="E2196" s="88" t="s">
        <v>1420</v>
      </c>
      <c r="F2196" s="88" t="s">
        <v>1305</v>
      </c>
      <c r="G2196" s="88" t="s">
        <v>12623</v>
      </c>
      <c r="H2196" s="88" t="s">
        <v>12624</v>
      </c>
      <c r="I2196" s="236"/>
      <c r="J2196" s="236"/>
      <c r="K2196" s="275"/>
      <c r="L2196" s="236"/>
      <c r="M2196" s="237"/>
      <c r="N2196" s="237"/>
      <c r="O2196" s="237"/>
      <c r="P2196" s="237"/>
      <c r="Q2196" s="237"/>
      <c r="R2196" s="237"/>
      <c r="S2196" s="237"/>
      <c r="T2196" s="237"/>
      <c r="U2196" s="237"/>
      <c r="V2196" s="237"/>
      <c r="W2196" s="237"/>
      <c r="X2196" s="237"/>
      <c r="Y2196" s="237"/>
      <c r="Z2196" s="237"/>
      <c r="AA2196" s="237"/>
      <c r="AB2196" s="237"/>
    </row>
    <row r="2197">
      <c r="A2197" s="237"/>
      <c r="B2197" s="275"/>
      <c r="C2197" s="88" t="s">
        <v>12625</v>
      </c>
      <c r="D2197" s="236"/>
      <c r="E2197" s="88" t="s">
        <v>1420</v>
      </c>
      <c r="F2197" s="88" t="s">
        <v>1315</v>
      </c>
      <c r="G2197" s="88" t="s">
        <v>12626</v>
      </c>
      <c r="H2197" s="88" t="s">
        <v>12627</v>
      </c>
      <c r="I2197" s="236"/>
      <c r="J2197" s="236"/>
      <c r="K2197" s="275"/>
      <c r="L2197" s="236"/>
      <c r="M2197" s="237"/>
      <c r="N2197" s="237"/>
      <c r="O2197" s="237"/>
      <c r="P2197" s="237"/>
      <c r="Q2197" s="237"/>
      <c r="R2197" s="237"/>
      <c r="S2197" s="237"/>
      <c r="T2197" s="237"/>
      <c r="U2197" s="237"/>
      <c r="V2197" s="237"/>
      <c r="W2197" s="237"/>
      <c r="X2197" s="237"/>
      <c r="Y2197" s="237"/>
      <c r="Z2197" s="237"/>
      <c r="AA2197" s="237"/>
      <c r="AB2197" s="237"/>
    </row>
    <row r="2198">
      <c r="A2198" s="237"/>
      <c r="B2198" s="275"/>
      <c r="C2198" s="88" t="s">
        <v>12628</v>
      </c>
      <c r="D2198" s="236"/>
      <c r="E2198" s="88" t="s">
        <v>1420</v>
      </c>
      <c r="F2198" s="88" t="s">
        <v>1313</v>
      </c>
      <c r="G2198" s="88" t="s">
        <v>12629</v>
      </c>
      <c r="H2198" s="88" t="s">
        <v>12630</v>
      </c>
      <c r="I2198" s="236"/>
      <c r="J2198" s="236"/>
      <c r="K2198" s="275"/>
      <c r="L2198" s="236"/>
      <c r="M2198" s="237"/>
      <c r="N2198" s="237"/>
      <c r="O2198" s="237"/>
      <c r="P2198" s="237"/>
      <c r="Q2198" s="237"/>
      <c r="R2198" s="237"/>
      <c r="S2198" s="237"/>
      <c r="T2198" s="237"/>
      <c r="U2198" s="237"/>
      <c r="V2198" s="237"/>
      <c r="W2198" s="237"/>
      <c r="X2198" s="237"/>
      <c r="Y2198" s="237"/>
      <c r="Z2198" s="237"/>
      <c r="AA2198" s="237"/>
      <c r="AB2198" s="237"/>
    </row>
    <row r="2199">
      <c r="A2199" s="237"/>
      <c r="B2199" s="275"/>
      <c r="C2199" s="88" t="s">
        <v>12631</v>
      </c>
      <c r="D2199" s="236"/>
      <c r="E2199" s="88" t="s">
        <v>1420</v>
      </c>
      <c r="F2199" s="88" t="s">
        <v>1311</v>
      </c>
      <c r="G2199" s="88" t="s">
        <v>12632</v>
      </c>
      <c r="H2199" s="88" t="s">
        <v>12633</v>
      </c>
      <c r="I2199" s="236"/>
      <c r="J2199" s="236"/>
      <c r="K2199" s="275"/>
      <c r="L2199" s="236"/>
      <c r="M2199" s="237"/>
      <c r="N2199" s="237"/>
      <c r="O2199" s="237"/>
      <c r="P2199" s="237"/>
      <c r="Q2199" s="237"/>
      <c r="R2199" s="237"/>
      <c r="S2199" s="237"/>
      <c r="T2199" s="237"/>
      <c r="U2199" s="237"/>
      <c r="V2199" s="237"/>
      <c r="W2199" s="237"/>
      <c r="X2199" s="237"/>
      <c r="Y2199" s="237"/>
      <c r="Z2199" s="237"/>
      <c r="AA2199" s="237"/>
      <c r="AB2199" s="237"/>
    </row>
    <row r="2200">
      <c r="A2200" s="237"/>
      <c r="B2200" s="275"/>
      <c r="C2200" s="88" t="s">
        <v>12634</v>
      </c>
      <c r="D2200" s="236"/>
      <c r="E2200" s="88" t="s">
        <v>1420</v>
      </c>
      <c r="F2200" s="88" t="s">
        <v>1309</v>
      </c>
      <c r="G2200" s="88" t="s">
        <v>12635</v>
      </c>
      <c r="H2200" s="88" t="s">
        <v>12636</v>
      </c>
      <c r="I2200" s="236"/>
      <c r="J2200" s="236"/>
      <c r="K2200" s="275"/>
      <c r="L2200" s="236"/>
      <c r="M2200" s="237"/>
      <c r="N2200" s="237"/>
      <c r="O2200" s="237"/>
      <c r="P2200" s="237"/>
      <c r="Q2200" s="237"/>
      <c r="R2200" s="237"/>
      <c r="S2200" s="237"/>
      <c r="T2200" s="237"/>
      <c r="U2200" s="237"/>
      <c r="V2200" s="237"/>
      <c r="W2200" s="237"/>
      <c r="X2200" s="237"/>
      <c r="Y2200" s="237"/>
      <c r="Z2200" s="237"/>
      <c r="AA2200" s="237"/>
      <c r="AB2200" s="237"/>
    </row>
    <row r="2201">
      <c r="A2201" s="237"/>
      <c r="B2201" s="275"/>
      <c r="C2201" s="88" t="s">
        <v>12637</v>
      </c>
      <c r="D2201" s="236"/>
      <c r="E2201" s="88" t="s">
        <v>1420</v>
      </c>
      <c r="F2201" s="88" t="s">
        <v>1303</v>
      </c>
      <c r="G2201" s="88" t="s">
        <v>12638</v>
      </c>
      <c r="H2201" s="237" t="s">
        <v>12639</v>
      </c>
      <c r="I2201" s="236"/>
      <c r="J2201" s="236"/>
      <c r="K2201" s="275"/>
      <c r="L2201" s="236"/>
      <c r="M2201" s="237"/>
      <c r="N2201" s="237"/>
      <c r="O2201" s="237"/>
      <c r="P2201" s="237"/>
      <c r="Q2201" s="237"/>
      <c r="R2201" s="237"/>
      <c r="S2201" s="237"/>
      <c r="T2201" s="237"/>
      <c r="U2201" s="237"/>
      <c r="V2201" s="237"/>
      <c r="W2201" s="237"/>
      <c r="X2201" s="237"/>
      <c r="Y2201" s="237"/>
      <c r="Z2201" s="237"/>
      <c r="AA2201" s="237"/>
      <c r="AB2201" s="237"/>
    </row>
    <row r="2202">
      <c r="A2202" s="237"/>
      <c r="B2202" s="275"/>
      <c r="C2202" s="88" t="s">
        <v>12640</v>
      </c>
      <c r="D2202" s="236"/>
      <c r="E2202" s="88" t="s">
        <v>1420</v>
      </c>
      <c r="F2202" s="88" t="s">
        <v>1301</v>
      </c>
      <c r="G2202" s="88" t="s">
        <v>12641</v>
      </c>
      <c r="H2202" s="88" t="s">
        <v>12642</v>
      </c>
      <c r="I2202" s="236"/>
      <c r="J2202" s="236"/>
      <c r="K2202" s="275"/>
      <c r="L2202" s="236"/>
      <c r="M2202" s="237"/>
      <c r="N2202" s="237"/>
      <c r="O2202" s="237"/>
      <c r="P2202" s="237"/>
      <c r="Q2202" s="237"/>
      <c r="R2202" s="237"/>
      <c r="S2202" s="237"/>
      <c r="T2202" s="237"/>
      <c r="U2202" s="237"/>
      <c r="V2202" s="237"/>
      <c r="W2202" s="237"/>
      <c r="X2202" s="237"/>
      <c r="Y2202" s="237"/>
      <c r="Z2202" s="237"/>
      <c r="AA2202" s="237"/>
      <c r="AB2202" s="237"/>
    </row>
    <row r="2203">
      <c r="A2203" s="237"/>
      <c r="B2203" s="275"/>
      <c r="C2203" s="88" t="s">
        <v>12643</v>
      </c>
      <c r="D2203" s="236"/>
      <c r="E2203" s="88" t="s">
        <v>11671</v>
      </c>
      <c r="F2203" s="88" t="s">
        <v>1320</v>
      </c>
      <c r="G2203" s="88" t="s">
        <v>12644</v>
      </c>
      <c r="H2203" s="88" t="s">
        <v>12645</v>
      </c>
      <c r="I2203" s="236"/>
      <c r="J2203" s="88" t="s">
        <v>12646</v>
      </c>
      <c r="K2203" s="275"/>
      <c r="L2203" s="88">
        <v>47219.0</v>
      </c>
      <c r="M2203" s="237"/>
      <c r="N2203" s="237"/>
      <c r="O2203" s="237"/>
      <c r="P2203" s="237"/>
      <c r="Q2203" s="237"/>
      <c r="R2203" s="237"/>
      <c r="S2203" s="237"/>
      <c r="T2203" s="237"/>
      <c r="U2203" s="237"/>
      <c r="V2203" s="237"/>
      <c r="W2203" s="237"/>
      <c r="X2203" s="237"/>
      <c r="Y2203" s="237"/>
      <c r="Z2203" s="237"/>
      <c r="AA2203" s="237"/>
      <c r="AB2203" s="237"/>
    </row>
    <row r="2204">
      <c r="A2204" s="237"/>
      <c r="B2204" s="275"/>
      <c r="C2204" s="88" t="s">
        <v>12647</v>
      </c>
      <c r="D2204" s="236"/>
      <c r="E2204" s="88" t="s">
        <v>1420</v>
      </c>
      <c r="F2204" s="88" t="s">
        <v>1321</v>
      </c>
      <c r="G2204" s="88" t="s">
        <v>12648</v>
      </c>
      <c r="H2204" s="88" t="s">
        <v>12649</v>
      </c>
      <c r="I2204" s="236"/>
      <c r="J2204" s="236"/>
      <c r="K2204" s="275"/>
      <c r="L2204" s="236"/>
      <c r="M2204" s="237"/>
      <c r="N2204" s="237"/>
      <c r="O2204" s="237"/>
      <c r="P2204" s="237"/>
      <c r="Q2204" s="237"/>
      <c r="R2204" s="237"/>
      <c r="S2204" s="237"/>
      <c r="T2204" s="237"/>
      <c r="U2204" s="237"/>
      <c r="V2204" s="237"/>
      <c r="W2204" s="237"/>
      <c r="X2204" s="237"/>
      <c r="Y2204" s="237"/>
      <c r="Z2204" s="237"/>
      <c r="AA2204" s="237"/>
      <c r="AB2204" s="237"/>
    </row>
    <row r="2205">
      <c r="A2205" s="237"/>
      <c r="B2205" s="275"/>
      <c r="C2205" s="88" t="s">
        <v>12650</v>
      </c>
      <c r="D2205" s="236"/>
      <c r="E2205" s="88" t="s">
        <v>11671</v>
      </c>
      <c r="F2205" s="88" t="s">
        <v>1322</v>
      </c>
      <c r="G2205" s="88" t="s">
        <v>12651</v>
      </c>
      <c r="H2205" s="88" t="s">
        <v>12652</v>
      </c>
      <c r="I2205" s="236"/>
      <c r="J2205" s="236"/>
      <c r="K2205" s="275"/>
      <c r="L2205" s="236"/>
      <c r="M2205" s="237"/>
      <c r="N2205" s="237"/>
      <c r="O2205" s="237"/>
      <c r="P2205" s="237"/>
      <c r="Q2205" s="237"/>
      <c r="R2205" s="237"/>
      <c r="S2205" s="237"/>
      <c r="T2205" s="237"/>
      <c r="U2205" s="237"/>
      <c r="V2205" s="237"/>
      <c r="W2205" s="237"/>
      <c r="X2205" s="237"/>
      <c r="Y2205" s="237"/>
      <c r="Z2205" s="237"/>
      <c r="AA2205" s="237"/>
      <c r="AB2205" s="237"/>
    </row>
    <row r="2206">
      <c r="A2206" s="237"/>
      <c r="B2206" s="275"/>
      <c r="C2206" s="88" t="s">
        <v>12653</v>
      </c>
      <c r="D2206" s="236"/>
      <c r="E2206" s="88" t="s">
        <v>11671</v>
      </c>
      <c r="F2206" s="88" t="s">
        <v>1323</v>
      </c>
      <c r="G2206" s="88" t="s">
        <v>12654</v>
      </c>
      <c r="H2206" s="88" t="s">
        <v>12655</v>
      </c>
      <c r="I2206" s="236"/>
      <c r="J2206" s="236"/>
      <c r="K2206" s="275"/>
      <c r="L2206" s="236"/>
      <c r="M2206" s="237"/>
      <c r="N2206" s="237"/>
      <c r="O2206" s="237"/>
      <c r="P2206" s="237"/>
      <c r="Q2206" s="237"/>
      <c r="R2206" s="237"/>
      <c r="S2206" s="237"/>
      <c r="T2206" s="237"/>
      <c r="U2206" s="237"/>
      <c r="V2206" s="237"/>
      <c r="W2206" s="237"/>
      <c r="X2206" s="237"/>
      <c r="Y2206" s="237"/>
      <c r="Z2206" s="237"/>
      <c r="AA2206" s="237"/>
      <c r="AB2206" s="237"/>
    </row>
    <row r="2207">
      <c r="A2207" s="237"/>
      <c r="B2207" s="275"/>
      <c r="C2207" s="88" t="s">
        <v>12656</v>
      </c>
      <c r="D2207" s="236"/>
      <c r="E2207" s="88" t="s">
        <v>1420</v>
      </c>
      <c r="F2207" s="88" t="s">
        <v>1324</v>
      </c>
      <c r="G2207" s="88" t="s">
        <v>12657</v>
      </c>
      <c r="H2207" s="88" t="s">
        <v>12658</v>
      </c>
      <c r="I2207" s="236"/>
      <c r="J2207" s="236"/>
      <c r="K2207" s="275"/>
      <c r="L2207" s="236"/>
      <c r="M2207" s="237"/>
      <c r="N2207" s="237"/>
      <c r="O2207" s="237"/>
      <c r="P2207" s="237"/>
      <c r="Q2207" s="237"/>
      <c r="R2207" s="237"/>
      <c r="S2207" s="237"/>
      <c r="T2207" s="237"/>
      <c r="U2207" s="237"/>
      <c r="V2207" s="237"/>
      <c r="W2207" s="237"/>
      <c r="X2207" s="237"/>
      <c r="Y2207" s="237"/>
      <c r="Z2207" s="237"/>
      <c r="AA2207" s="237"/>
      <c r="AB2207" s="237"/>
    </row>
    <row r="2208">
      <c r="A2208" s="237"/>
      <c r="B2208" s="275"/>
      <c r="C2208" s="88" t="s">
        <v>12659</v>
      </c>
      <c r="D2208" s="236"/>
      <c r="E2208" s="88" t="s">
        <v>11671</v>
      </c>
      <c r="F2208" s="88" t="s">
        <v>1325</v>
      </c>
      <c r="G2208" s="88" t="s">
        <v>12660</v>
      </c>
      <c r="H2208" s="236"/>
      <c r="I2208" s="236"/>
      <c r="J2208" s="236"/>
      <c r="K2208" s="275"/>
      <c r="L2208" s="236"/>
      <c r="M2208" s="237"/>
      <c r="N2208" s="237"/>
      <c r="O2208" s="237"/>
      <c r="P2208" s="237"/>
      <c r="Q2208" s="237"/>
      <c r="R2208" s="237"/>
      <c r="S2208" s="237"/>
      <c r="T2208" s="237"/>
      <c r="U2208" s="237"/>
      <c r="V2208" s="237"/>
      <c r="W2208" s="237"/>
      <c r="X2208" s="237"/>
      <c r="Y2208" s="237"/>
      <c r="Z2208" s="237"/>
      <c r="AA2208" s="237"/>
      <c r="AB2208" s="237"/>
    </row>
    <row r="2209">
      <c r="A2209" s="237"/>
      <c r="B2209" s="275"/>
      <c r="C2209" s="88" t="s">
        <v>12661</v>
      </c>
      <c r="D2209" s="236"/>
      <c r="E2209" s="88" t="s">
        <v>11671</v>
      </c>
      <c r="F2209" s="88" t="s">
        <v>1317</v>
      </c>
      <c r="G2209" s="88" t="s">
        <v>12662</v>
      </c>
      <c r="H2209" s="88" t="s">
        <v>12663</v>
      </c>
      <c r="I2209" s="236"/>
      <c r="J2209" s="236"/>
      <c r="K2209" s="275"/>
      <c r="L2209" s="236"/>
      <c r="M2209" s="237"/>
      <c r="N2209" s="237"/>
      <c r="O2209" s="237"/>
      <c r="P2209" s="237"/>
      <c r="Q2209" s="237"/>
      <c r="R2209" s="237"/>
      <c r="S2209" s="237"/>
      <c r="T2209" s="237"/>
      <c r="U2209" s="237"/>
      <c r="V2209" s="237"/>
      <c r="W2209" s="237"/>
      <c r="X2209" s="237"/>
      <c r="Y2209" s="237"/>
      <c r="Z2209" s="237"/>
      <c r="AA2209" s="237"/>
      <c r="AB2209" s="237"/>
    </row>
    <row r="2210">
      <c r="A2210" s="237"/>
      <c r="B2210" s="275"/>
      <c r="C2210" s="88" t="s">
        <v>12664</v>
      </c>
      <c r="D2210" s="236"/>
      <c r="E2210" s="88" t="s">
        <v>11671</v>
      </c>
      <c r="F2210" s="88" t="s">
        <v>1318</v>
      </c>
      <c r="G2210" s="88" t="s">
        <v>12665</v>
      </c>
      <c r="H2210" s="88" t="s">
        <v>12666</v>
      </c>
      <c r="I2210" s="236"/>
      <c r="J2210" s="236"/>
      <c r="K2210" s="275"/>
      <c r="L2210" s="236"/>
      <c r="M2210" s="237"/>
      <c r="N2210" s="237"/>
      <c r="O2210" s="237"/>
      <c r="P2210" s="237"/>
      <c r="Q2210" s="237"/>
      <c r="R2210" s="237"/>
      <c r="S2210" s="237"/>
      <c r="T2210" s="237"/>
      <c r="U2210" s="237"/>
      <c r="V2210" s="237"/>
      <c r="W2210" s="237"/>
      <c r="X2210" s="237"/>
      <c r="Y2210" s="237"/>
      <c r="Z2210" s="237"/>
      <c r="AA2210" s="237"/>
      <c r="AB2210" s="237"/>
    </row>
    <row r="2211">
      <c r="A2211" s="237"/>
      <c r="B2211" s="275"/>
      <c r="C2211" s="88" t="s">
        <v>12667</v>
      </c>
      <c r="D2211" s="236"/>
      <c r="E2211" s="88" t="s">
        <v>11671</v>
      </c>
      <c r="F2211" s="88" t="s">
        <v>1319</v>
      </c>
      <c r="G2211" s="88" t="s">
        <v>12668</v>
      </c>
      <c r="H2211" s="88" t="s">
        <v>12669</v>
      </c>
      <c r="I2211" s="236"/>
      <c r="J2211" s="236"/>
      <c r="K2211" s="275"/>
      <c r="L2211" s="236"/>
      <c r="M2211" s="237"/>
      <c r="N2211" s="237"/>
      <c r="O2211" s="237"/>
      <c r="P2211" s="237"/>
      <c r="Q2211" s="237"/>
      <c r="R2211" s="237"/>
      <c r="S2211" s="237"/>
      <c r="T2211" s="237"/>
      <c r="U2211" s="237"/>
      <c r="V2211" s="237"/>
      <c r="W2211" s="237"/>
      <c r="X2211" s="237"/>
      <c r="Y2211" s="237"/>
      <c r="Z2211" s="237"/>
      <c r="AA2211" s="237"/>
      <c r="AB2211" s="237"/>
    </row>
    <row r="2212">
      <c r="A2212" s="237"/>
      <c r="B2212" s="281" t="s">
        <v>12670</v>
      </c>
      <c r="C2212" s="88" t="s">
        <v>12671</v>
      </c>
      <c r="D2212" s="236"/>
      <c r="E2212" s="88" t="s">
        <v>12390</v>
      </c>
      <c r="F2212" s="88" t="s">
        <v>12672</v>
      </c>
      <c r="G2212" s="88" t="s">
        <v>12673</v>
      </c>
      <c r="H2212" s="237"/>
      <c r="I2212" s="236"/>
      <c r="J2212" s="236"/>
      <c r="K2212" s="281" t="s">
        <v>12670</v>
      </c>
      <c r="L2212" s="236"/>
      <c r="M2212" s="237"/>
      <c r="N2212" s="237"/>
      <c r="O2212" s="237"/>
      <c r="P2212" s="237"/>
      <c r="Q2212" s="237"/>
      <c r="R2212" s="237"/>
      <c r="S2212" s="237"/>
      <c r="T2212" s="237"/>
      <c r="U2212" s="237"/>
      <c r="V2212" s="237"/>
      <c r="W2212" s="237"/>
      <c r="X2212" s="237"/>
      <c r="Y2212" s="237"/>
      <c r="Z2212" s="237"/>
      <c r="AA2212" s="237"/>
      <c r="AB2212" s="237"/>
    </row>
    <row r="2213">
      <c r="A2213" s="237"/>
      <c r="B2213" s="275"/>
      <c r="C2213" s="88" t="s">
        <v>12674</v>
      </c>
      <c r="D2213" s="236"/>
      <c r="E2213" s="88" t="s">
        <v>1420</v>
      </c>
      <c r="F2213" s="88" t="s">
        <v>1326</v>
      </c>
      <c r="G2213" s="88" t="s">
        <v>12675</v>
      </c>
      <c r="H2213" s="88" t="s">
        <v>12676</v>
      </c>
      <c r="I2213" s="236"/>
      <c r="J2213" s="88" t="s">
        <v>8938</v>
      </c>
      <c r="K2213" s="275"/>
      <c r="L2213" s="88" t="s">
        <v>12677</v>
      </c>
      <c r="M2213" s="237"/>
      <c r="N2213" s="237"/>
      <c r="O2213" s="237"/>
      <c r="P2213" s="237"/>
      <c r="Q2213" s="237"/>
      <c r="R2213" s="237"/>
      <c r="S2213" s="237"/>
      <c r="T2213" s="237"/>
      <c r="U2213" s="237"/>
      <c r="V2213" s="237"/>
      <c r="W2213" s="237"/>
      <c r="X2213" s="237"/>
      <c r="Y2213" s="237"/>
      <c r="Z2213" s="237"/>
      <c r="AA2213" s="237"/>
      <c r="AB2213" s="237"/>
    </row>
    <row r="2214">
      <c r="A2214" s="237"/>
      <c r="B2214" s="275"/>
      <c r="C2214" s="88" t="s">
        <v>12678</v>
      </c>
      <c r="D2214" s="236"/>
      <c r="E2214" s="88" t="s">
        <v>1420</v>
      </c>
      <c r="F2214" s="88" t="s">
        <v>12679</v>
      </c>
      <c r="G2214" s="88" t="s">
        <v>12680</v>
      </c>
      <c r="H2214" s="88" t="s">
        <v>12681</v>
      </c>
      <c r="I2214" s="236"/>
      <c r="J2214" s="88" t="s">
        <v>8938</v>
      </c>
      <c r="K2214" s="275"/>
      <c r="L2214" s="88" t="s">
        <v>12677</v>
      </c>
      <c r="M2214" s="237"/>
      <c r="N2214" s="237"/>
      <c r="O2214" s="237"/>
      <c r="P2214" s="237"/>
      <c r="Q2214" s="237"/>
      <c r="R2214" s="237"/>
      <c r="S2214" s="237"/>
      <c r="T2214" s="237"/>
      <c r="U2214" s="237"/>
      <c r="V2214" s="237"/>
      <c r="W2214" s="237"/>
      <c r="X2214" s="237"/>
      <c r="Y2214" s="237"/>
      <c r="Z2214" s="237"/>
      <c r="AA2214" s="237"/>
      <c r="AB2214" s="237"/>
    </row>
    <row r="2215">
      <c r="A2215" s="237"/>
      <c r="B2215" s="275"/>
      <c r="C2215" s="88" t="s">
        <v>12682</v>
      </c>
      <c r="D2215" s="236"/>
      <c r="E2215" s="88" t="s">
        <v>1420</v>
      </c>
      <c r="F2215" s="88" t="s">
        <v>1328</v>
      </c>
      <c r="G2215" s="88" t="s">
        <v>12683</v>
      </c>
      <c r="H2215" s="88" t="s">
        <v>12684</v>
      </c>
      <c r="I2215" s="236"/>
      <c r="J2215" s="88" t="s">
        <v>8938</v>
      </c>
      <c r="K2215" s="275"/>
      <c r="L2215" s="88" t="s">
        <v>12677</v>
      </c>
      <c r="M2215" s="237"/>
      <c r="N2215" s="237"/>
      <c r="O2215" s="237"/>
      <c r="P2215" s="237"/>
      <c r="Q2215" s="237"/>
      <c r="R2215" s="237"/>
      <c r="S2215" s="237"/>
      <c r="T2215" s="237"/>
      <c r="U2215" s="237"/>
      <c r="V2215" s="237"/>
      <c r="W2215" s="237"/>
      <c r="X2215" s="237"/>
      <c r="Y2215" s="237"/>
      <c r="Z2215" s="237"/>
      <c r="AA2215" s="237"/>
      <c r="AB2215" s="237"/>
    </row>
    <row r="2216">
      <c r="A2216" s="237"/>
      <c r="B2216" s="275"/>
      <c r="C2216" s="88" t="s">
        <v>12685</v>
      </c>
      <c r="D2216" s="236"/>
      <c r="E2216" s="88" t="s">
        <v>1420</v>
      </c>
      <c r="F2216" s="88" t="s">
        <v>12686</v>
      </c>
      <c r="G2216" s="88" t="s">
        <v>12687</v>
      </c>
      <c r="H2216" s="88" t="s">
        <v>12688</v>
      </c>
      <c r="I2216" s="236"/>
      <c r="J2216" s="88" t="s">
        <v>8938</v>
      </c>
      <c r="K2216" s="275"/>
      <c r="L2216" s="88" t="s">
        <v>12677</v>
      </c>
      <c r="M2216" s="237"/>
      <c r="N2216" s="237"/>
      <c r="O2216" s="237"/>
      <c r="P2216" s="237"/>
      <c r="Q2216" s="237"/>
      <c r="R2216" s="237"/>
      <c r="S2216" s="237"/>
      <c r="T2216" s="237"/>
      <c r="U2216" s="237"/>
      <c r="V2216" s="237"/>
      <c r="W2216" s="237"/>
      <c r="X2216" s="237"/>
      <c r="Y2216" s="237"/>
      <c r="Z2216" s="237"/>
      <c r="AA2216" s="237"/>
      <c r="AB2216" s="237"/>
    </row>
    <row r="2217">
      <c r="A2217" s="237"/>
      <c r="B2217" s="275"/>
      <c r="C2217" s="88" t="s">
        <v>12689</v>
      </c>
      <c r="D2217" s="236"/>
      <c r="E2217" s="88" t="s">
        <v>1420</v>
      </c>
      <c r="F2217" s="88" t="s">
        <v>1330</v>
      </c>
      <c r="G2217" s="88" t="s">
        <v>12690</v>
      </c>
      <c r="H2217" s="88" t="s">
        <v>12691</v>
      </c>
      <c r="I2217" s="236"/>
      <c r="J2217" s="88" t="s">
        <v>8938</v>
      </c>
      <c r="K2217" s="275"/>
      <c r="L2217" s="88" t="s">
        <v>12677</v>
      </c>
      <c r="M2217" s="237"/>
      <c r="N2217" s="237"/>
      <c r="O2217" s="237"/>
      <c r="P2217" s="237"/>
      <c r="Q2217" s="237"/>
      <c r="R2217" s="237"/>
      <c r="S2217" s="237"/>
      <c r="T2217" s="237"/>
      <c r="U2217" s="237"/>
      <c r="V2217" s="237"/>
      <c r="W2217" s="237"/>
      <c r="X2217" s="237"/>
      <c r="Y2217" s="237"/>
      <c r="Z2217" s="237"/>
      <c r="AA2217" s="237"/>
      <c r="AB2217" s="237"/>
    </row>
    <row r="2218">
      <c r="A2218" s="237"/>
      <c r="B2218" s="275"/>
      <c r="C2218" s="88" t="s">
        <v>12659</v>
      </c>
      <c r="D2218" s="236"/>
      <c r="E2218" s="88" t="s">
        <v>1420</v>
      </c>
      <c r="F2218" s="88" t="s">
        <v>1325</v>
      </c>
      <c r="G2218" s="88" t="s">
        <v>12660</v>
      </c>
      <c r="H2218" s="236"/>
      <c r="I2218" s="236"/>
      <c r="J2218" s="236"/>
      <c r="K2218" s="275"/>
      <c r="L2218" s="236"/>
      <c r="M2218" s="237"/>
      <c r="N2218" s="237"/>
      <c r="O2218" s="237"/>
      <c r="P2218" s="237"/>
      <c r="Q2218" s="237"/>
      <c r="R2218" s="237"/>
      <c r="S2218" s="237"/>
      <c r="T2218" s="237"/>
      <c r="U2218" s="237"/>
      <c r="V2218" s="237"/>
      <c r="W2218" s="237"/>
      <c r="X2218" s="237"/>
      <c r="Y2218" s="237"/>
      <c r="Z2218" s="237"/>
      <c r="AA2218" s="237"/>
      <c r="AB2218" s="237"/>
    </row>
    <row r="2219">
      <c r="A2219" s="237"/>
      <c r="B2219" s="275"/>
      <c r="C2219" s="88" t="s">
        <v>12692</v>
      </c>
      <c r="D2219" s="236"/>
      <c r="E2219" s="88" t="s">
        <v>1420</v>
      </c>
      <c r="F2219" s="88" t="s">
        <v>1333</v>
      </c>
      <c r="G2219" s="88" t="s">
        <v>12693</v>
      </c>
      <c r="H2219" s="88" t="s">
        <v>12694</v>
      </c>
      <c r="I2219" s="236"/>
      <c r="J2219" s="88" t="s">
        <v>12695</v>
      </c>
      <c r="K2219" s="275"/>
      <c r="L2219" s="88" t="s">
        <v>12696</v>
      </c>
      <c r="M2219" s="237"/>
      <c r="N2219" s="237"/>
      <c r="O2219" s="237"/>
      <c r="P2219" s="237"/>
      <c r="Q2219" s="237"/>
      <c r="R2219" s="237"/>
      <c r="S2219" s="237"/>
      <c r="T2219" s="237"/>
      <c r="U2219" s="237"/>
      <c r="V2219" s="237"/>
      <c r="W2219" s="237"/>
      <c r="X2219" s="237"/>
      <c r="Y2219" s="237"/>
      <c r="Z2219" s="237"/>
      <c r="AA2219" s="237"/>
      <c r="AB2219" s="237"/>
    </row>
    <row r="2220">
      <c r="A2220" s="237"/>
      <c r="B2220" s="275"/>
      <c r="C2220" s="88" t="s">
        <v>12697</v>
      </c>
      <c r="D2220" s="236"/>
      <c r="E2220" s="88" t="s">
        <v>1420</v>
      </c>
      <c r="F2220" s="88" t="s">
        <v>1334</v>
      </c>
      <c r="G2220" s="88" t="s">
        <v>12698</v>
      </c>
      <c r="H2220" s="88" t="s">
        <v>12699</v>
      </c>
      <c r="I2220" s="236"/>
      <c r="J2220" s="88" t="s">
        <v>12695</v>
      </c>
      <c r="K2220" s="275"/>
      <c r="L2220" s="88" t="s">
        <v>12696</v>
      </c>
      <c r="M2220" s="237"/>
      <c r="N2220" s="237"/>
      <c r="O2220" s="237"/>
      <c r="P2220" s="237"/>
      <c r="Q2220" s="237"/>
      <c r="R2220" s="237"/>
      <c r="S2220" s="237"/>
      <c r="T2220" s="237"/>
      <c r="U2220" s="237"/>
      <c r="V2220" s="237"/>
      <c r="W2220" s="237"/>
      <c r="X2220" s="237"/>
      <c r="Y2220" s="237"/>
      <c r="Z2220" s="237"/>
      <c r="AA2220" s="237"/>
      <c r="AB2220" s="237"/>
    </row>
    <row r="2221">
      <c r="A2221" s="237"/>
      <c r="B2221" s="275"/>
      <c r="C2221" s="88" t="s">
        <v>12700</v>
      </c>
      <c r="D2221" s="236"/>
      <c r="E2221" s="88" t="s">
        <v>1420</v>
      </c>
      <c r="F2221" s="88" t="s">
        <v>1335</v>
      </c>
      <c r="G2221" s="88" t="s">
        <v>12701</v>
      </c>
      <c r="H2221" s="88" t="s">
        <v>12702</v>
      </c>
      <c r="I2221" s="236"/>
      <c r="J2221" s="88" t="s">
        <v>12695</v>
      </c>
      <c r="K2221" s="275"/>
      <c r="L2221" s="88" t="s">
        <v>12696</v>
      </c>
      <c r="M2221" s="237"/>
      <c r="N2221" s="237"/>
      <c r="O2221" s="237"/>
      <c r="P2221" s="237"/>
      <c r="Q2221" s="237"/>
      <c r="R2221" s="237"/>
      <c r="S2221" s="237"/>
      <c r="T2221" s="237"/>
      <c r="U2221" s="237"/>
      <c r="V2221" s="237"/>
      <c r="W2221" s="237"/>
      <c r="X2221" s="237"/>
      <c r="Y2221" s="237"/>
      <c r="Z2221" s="237"/>
      <c r="AA2221" s="237"/>
      <c r="AB2221" s="237"/>
    </row>
    <row r="2222">
      <c r="A2222" s="237"/>
      <c r="B2222" s="275"/>
      <c r="C2222" s="88" t="s">
        <v>12703</v>
      </c>
      <c r="D2222" s="236"/>
      <c r="E2222" s="88" t="s">
        <v>1420</v>
      </c>
      <c r="F2222" s="88" t="s">
        <v>1336</v>
      </c>
      <c r="G2222" s="88" t="s">
        <v>12704</v>
      </c>
      <c r="H2222" s="88" t="s">
        <v>12705</v>
      </c>
      <c r="I2222" s="236"/>
      <c r="J2222" s="88" t="s">
        <v>12695</v>
      </c>
      <c r="K2222" s="275"/>
      <c r="L2222" s="88" t="s">
        <v>12696</v>
      </c>
      <c r="M2222" s="237"/>
      <c r="N2222" s="237"/>
      <c r="O2222" s="237"/>
      <c r="P2222" s="237"/>
      <c r="Q2222" s="237"/>
      <c r="R2222" s="237"/>
      <c r="S2222" s="237"/>
      <c r="T2222" s="237"/>
      <c r="U2222" s="237"/>
      <c r="V2222" s="237"/>
      <c r="W2222" s="237"/>
      <c r="X2222" s="237"/>
      <c r="Y2222" s="237"/>
      <c r="Z2222" s="237"/>
      <c r="AA2222" s="237"/>
      <c r="AB2222" s="237"/>
    </row>
    <row r="2223">
      <c r="A2223" s="237"/>
      <c r="B2223" s="275"/>
      <c r="C2223" s="88" t="s">
        <v>12706</v>
      </c>
      <c r="D2223" s="236"/>
      <c r="E2223" s="88" t="s">
        <v>1420</v>
      </c>
      <c r="F2223" s="88" t="s">
        <v>1337</v>
      </c>
      <c r="G2223" s="88" t="s">
        <v>12707</v>
      </c>
      <c r="H2223" s="88" t="s">
        <v>12708</v>
      </c>
      <c r="I2223" s="236"/>
      <c r="J2223" s="88" t="s">
        <v>12695</v>
      </c>
      <c r="K2223" s="275"/>
      <c r="L2223" s="88" t="s">
        <v>12709</v>
      </c>
      <c r="M2223" s="237"/>
      <c r="N2223" s="237"/>
      <c r="O2223" s="237"/>
      <c r="P2223" s="237"/>
      <c r="Q2223" s="237"/>
      <c r="R2223" s="237"/>
      <c r="S2223" s="237"/>
      <c r="T2223" s="237"/>
      <c r="U2223" s="237"/>
      <c r="V2223" s="237"/>
      <c r="W2223" s="237"/>
      <c r="X2223" s="237"/>
      <c r="Y2223" s="237"/>
      <c r="Z2223" s="237"/>
      <c r="AA2223" s="237"/>
      <c r="AB2223" s="237"/>
    </row>
    <row r="2224">
      <c r="A2224" s="237"/>
      <c r="B2224" s="275"/>
      <c r="C2224" s="88" t="s">
        <v>12710</v>
      </c>
      <c r="D2224" s="236"/>
      <c r="E2224" s="88" t="s">
        <v>1420</v>
      </c>
      <c r="F2224" s="88" t="s">
        <v>1339</v>
      </c>
      <c r="G2224" s="88" t="s">
        <v>12711</v>
      </c>
      <c r="H2224" s="88" t="s">
        <v>12712</v>
      </c>
      <c r="I2224" s="236"/>
      <c r="J2224" s="88" t="s">
        <v>12695</v>
      </c>
      <c r="K2224" s="275"/>
      <c r="L2224" s="88" t="s">
        <v>12696</v>
      </c>
      <c r="M2224" s="237"/>
      <c r="N2224" s="237"/>
      <c r="O2224" s="237"/>
      <c r="P2224" s="237"/>
      <c r="Q2224" s="237"/>
      <c r="R2224" s="237"/>
      <c r="S2224" s="237"/>
      <c r="T2224" s="237"/>
      <c r="U2224" s="237"/>
      <c r="V2224" s="237"/>
      <c r="W2224" s="237"/>
      <c r="X2224" s="237"/>
      <c r="Y2224" s="237"/>
      <c r="Z2224" s="237"/>
      <c r="AA2224" s="237"/>
      <c r="AB2224" s="237"/>
    </row>
    <row r="2225">
      <c r="A2225" s="237"/>
      <c r="B2225" s="275"/>
      <c r="C2225" s="88" t="s">
        <v>12713</v>
      </c>
      <c r="D2225" s="236"/>
      <c r="E2225" s="88" t="s">
        <v>1420</v>
      </c>
      <c r="F2225" s="88" t="s">
        <v>1340</v>
      </c>
      <c r="G2225" s="88" t="s">
        <v>12714</v>
      </c>
      <c r="H2225" s="88" t="s">
        <v>12715</v>
      </c>
      <c r="I2225" s="236"/>
      <c r="J2225" s="88" t="s">
        <v>12695</v>
      </c>
      <c r="K2225" s="275"/>
      <c r="L2225" s="88" t="s">
        <v>12696</v>
      </c>
      <c r="M2225" s="237"/>
      <c r="N2225" s="237"/>
      <c r="O2225" s="237"/>
      <c r="P2225" s="237"/>
      <c r="Q2225" s="237"/>
      <c r="R2225" s="237"/>
      <c r="S2225" s="237"/>
      <c r="T2225" s="237"/>
      <c r="U2225" s="237"/>
      <c r="V2225" s="237"/>
      <c r="W2225" s="237"/>
      <c r="X2225" s="237"/>
      <c r="Y2225" s="237"/>
      <c r="Z2225" s="237"/>
      <c r="AA2225" s="237"/>
      <c r="AB2225" s="237"/>
    </row>
    <row r="2226">
      <c r="A2226" s="237"/>
      <c r="B2226" s="275"/>
      <c r="C2226" s="88" t="s">
        <v>12716</v>
      </c>
      <c r="D2226" s="236"/>
      <c r="E2226" s="88" t="s">
        <v>1420</v>
      </c>
      <c r="F2226" s="88" t="s">
        <v>1341</v>
      </c>
      <c r="G2226" s="88" t="s">
        <v>12717</v>
      </c>
      <c r="H2226" s="88" t="s">
        <v>12718</v>
      </c>
      <c r="I2226" s="236"/>
      <c r="J2226" s="88" t="s">
        <v>12695</v>
      </c>
      <c r="K2226" s="275"/>
      <c r="L2226" s="88" t="s">
        <v>12696</v>
      </c>
      <c r="M2226" s="237"/>
      <c r="N2226" s="237"/>
      <c r="O2226" s="237"/>
      <c r="P2226" s="237"/>
      <c r="Q2226" s="237"/>
      <c r="R2226" s="237"/>
      <c r="S2226" s="237"/>
      <c r="T2226" s="237"/>
      <c r="U2226" s="237"/>
      <c r="V2226" s="237"/>
      <c r="W2226" s="237"/>
      <c r="X2226" s="237"/>
      <c r="Y2226" s="237"/>
      <c r="Z2226" s="237"/>
      <c r="AA2226" s="237"/>
      <c r="AB2226" s="237"/>
    </row>
    <row r="2227">
      <c r="A2227" s="237"/>
      <c r="B2227" s="275"/>
      <c r="C2227" s="88" t="s">
        <v>12719</v>
      </c>
      <c r="D2227" s="236"/>
      <c r="E2227" s="88" t="s">
        <v>1420</v>
      </c>
      <c r="F2227" s="88" t="s">
        <v>1342</v>
      </c>
      <c r="G2227" s="88" t="s">
        <v>12720</v>
      </c>
      <c r="H2227" s="88" t="s">
        <v>12721</v>
      </c>
      <c r="I2227" s="236"/>
      <c r="J2227" s="88" t="s">
        <v>12695</v>
      </c>
      <c r="K2227" s="275"/>
      <c r="L2227" s="88" t="s">
        <v>12722</v>
      </c>
      <c r="M2227" s="237"/>
      <c r="N2227" s="237"/>
      <c r="O2227" s="237"/>
      <c r="P2227" s="237"/>
      <c r="Q2227" s="237"/>
      <c r="R2227" s="237"/>
      <c r="S2227" s="237"/>
      <c r="T2227" s="237"/>
      <c r="U2227" s="237"/>
      <c r="V2227" s="237"/>
      <c r="W2227" s="237"/>
      <c r="X2227" s="237"/>
      <c r="Y2227" s="237"/>
      <c r="Z2227" s="237"/>
      <c r="AA2227" s="237"/>
      <c r="AB2227" s="237"/>
    </row>
    <row r="2228">
      <c r="A2228" s="237"/>
      <c r="B2228" s="275"/>
      <c r="C2228" s="88" t="s">
        <v>12723</v>
      </c>
      <c r="D2228" s="236"/>
      <c r="E2228" s="88" t="s">
        <v>1420</v>
      </c>
      <c r="F2228" s="88" t="s">
        <v>1343</v>
      </c>
      <c r="G2228" s="88" t="s">
        <v>12724</v>
      </c>
      <c r="H2228" s="88" t="s">
        <v>12725</v>
      </c>
      <c r="I2228" s="236"/>
      <c r="J2228" s="88" t="s">
        <v>12695</v>
      </c>
      <c r="K2228" s="275"/>
      <c r="L2228" s="88" t="s">
        <v>12726</v>
      </c>
      <c r="M2228" s="237"/>
      <c r="N2228" s="237"/>
      <c r="O2228" s="237"/>
      <c r="P2228" s="237"/>
      <c r="Q2228" s="237"/>
      <c r="R2228" s="237"/>
      <c r="S2228" s="237"/>
      <c r="T2228" s="237"/>
      <c r="U2228" s="237"/>
      <c r="V2228" s="237"/>
      <c r="W2228" s="237"/>
      <c r="X2228" s="237"/>
      <c r="Y2228" s="237"/>
      <c r="Z2228" s="237"/>
      <c r="AA2228" s="237"/>
      <c r="AB2228" s="237"/>
    </row>
    <row r="2229">
      <c r="A2229" s="237"/>
      <c r="B2229" s="275"/>
      <c r="C2229" s="88" t="s">
        <v>12727</v>
      </c>
      <c r="D2229" s="236"/>
      <c r="E2229" s="88" t="s">
        <v>1420</v>
      </c>
      <c r="F2229" s="88" t="s">
        <v>1344</v>
      </c>
      <c r="G2229" s="88" t="s">
        <v>12728</v>
      </c>
      <c r="H2229" s="88" t="s">
        <v>12729</v>
      </c>
      <c r="I2229" s="236"/>
      <c r="J2229" s="88" t="s">
        <v>12695</v>
      </c>
      <c r="K2229" s="275"/>
      <c r="L2229" s="88" t="s">
        <v>12730</v>
      </c>
      <c r="M2229" s="237"/>
      <c r="N2229" s="237"/>
      <c r="O2229" s="237"/>
      <c r="P2229" s="237"/>
      <c r="Q2229" s="237"/>
      <c r="R2229" s="237"/>
      <c r="S2229" s="237"/>
      <c r="T2229" s="237"/>
      <c r="U2229" s="237"/>
      <c r="V2229" s="237"/>
      <c r="W2229" s="237"/>
      <c r="X2229" s="237"/>
      <c r="Y2229" s="237"/>
      <c r="Z2229" s="237"/>
      <c r="AA2229" s="237"/>
      <c r="AB2229" s="237"/>
    </row>
    <row r="2230">
      <c r="A2230" s="237"/>
      <c r="B2230" s="275"/>
      <c r="C2230" s="88" t="s">
        <v>12731</v>
      </c>
      <c r="D2230" s="236"/>
      <c r="E2230" s="88" t="s">
        <v>1420</v>
      </c>
      <c r="F2230" s="88" t="s">
        <v>1338</v>
      </c>
      <c r="G2230" s="88" t="s">
        <v>12732</v>
      </c>
      <c r="H2230" s="88" t="s">
        <v>12733</v>
      </c>
      <c r="I2230" s="236"/>
      <c r="J2230" s="88" t="s">
        <v>12695</v>
      </c>
      <c r="K2230" s="275"/>
      <c r="L2230" s="88" t="s">
        <v>12730</v>
      </c>
      <c r="M2230" s="237"/>
      <c r="N2230" s="237"/>
      <c r="O2230" s="237"/>
      <c r="P2230" s="237"/>
      <c r="Q2230" s="237"/>
      <c r="R2230" s="237"/>
      <c r="S2230" s="237"/>
      <c r="T2230" s="237"/>
      <c r="U2230" s="237"/>
      <c r="V2230" s="237"/>
      <c r="W2230" s="237"/>
      <c r="X2230" s="237"/>
      <c r="Y2230" s="237"/>
      <c r="Z2230" s="237"/>
      <c r="AA2230" s="237"/>
      <c r="AB2230" s="237"/>
    </row>
    <row r="2231">
      <c r="A2231" s="237"/>
      <c r="B2231" s="275"/>
      <c r="C2231" s="88" t="s">
        <v>12734</v>
      </c>
      <c r="D2231" s="236"/>
      <c r="E2231" s="88" t="s">
        <v>1420</v>
      </c>
      <c r="F2231" s="88" t="s">
        <v>1345</v>
      </c>
      <c r="G2231" s="88" t="s">
        <v>12735</v>
      </c>
      <c r="H2231" s="88" t="s">
        <v>12736</v>
      </c>
      <c r="I2231" s="236"/>
      <c r="J2231" s="88" t="s">
        <v>12695</v>
      </c>
      <c r="K2231" s="275"/>
      <c r="L2231" s="88" t="s">
        <v>12730</v>
      </c>
      <c r="M2231" s="237"/>
      <c r="N2231" s="237"/>
      <c r="O2231" s="237"/>
      <c r="P2231" s="237"/>
      <c r="Q2231" s="237"/>
      <c r="R2231" s="237"/>
      <c r="S2231" s="237"/>
      <c r="T2231" s="237"/>
      <c r="U2231" s="237"/>
      <c r="V2231" s="237"/>
      <c r="W2231" s="237"/>
      <c r="X2231" s="237"/>
      <c r="Y2231" s="237"/>
      <c r="Z2231" s="237"/>
      <c r="AA2231" s="237"/>
      <c r="AB2231" s="237"/>
    </row>
    <row r="2232">
      <c r="A2232" s="237"/>
      <c r="B2232" s="275"/>
      <c r="C2232" s="88" t="s">
        <v>12737</v>
      </c>
      <c r="D2232" s="236"/>
      <c r="E2232" s="88" t="s">
        <v>1420</v>
      </c>
      <c r="F2232" s="88" t="s">
        <v>1346</v>
      </c>
      <c r="G2232" s="88" t="s">
        <v>12738</v>
      </c>
      <c r="H2232" s="88" t="s">
        <v>12739</v>
      </c>
      <c r="I2232" s="236"/>
      <c r="J2232" s="88" t="s">
        <v>12695</v>
      </c>
      <c r="K2232" s="275"/>
      <c r="L2232" s="88" t="s">
        <v>12730</v>
      </c>
      <c r="M2232" s="237"/>
      <c r="N2232" s="237"/>
      <c r="O2232" s="237"/>
      <c r="P2232" s="237"/>
      <c r="Q2232" s="237"/>
      <c r="R2232" s="237"/>
      <c r="S2232" s="237"/>
      <c r="T2232" s="237"/>
      <c r="U2232" s="237"/>
      <c r="V2232" s="237"/>
      <c r="W2232" s="237"/>
      <c r="X2232" s="237"/>
      <c r="Y2232" s="237"/>
      <c r="Z2232" s="237"/>
      <c r="AA2232" s="237"/>
      <c r="AB2232" s="237"/>
    </row>
    <row r="2233">
      <c r="A2233" s="237"/>
      <c r="B2233" s="275"/>
      <c r="C2233" s="236"/>
      <c r="D2233" s="236"/>
      <c r="E2233" s="88" t="s">
        <v>1420</v>
      </c>
      <c r="F2233" s="88" t="s">
        <v>2199</v>
      </c>
      <c r="G2233" s="88" t="s">
        <v>12740</v>
      </c>
      <c r="H2233" s="88" t="s">
        <v>12741</v>
      </c>
      <c r="I2233" s="236"/>
      <c r="J2233" s="236"/>
      <c r="K2233" s="275"/>
      <c r="L2233" s="236"/>
      <c r="M2233" s="237"/>
      <c r="N2233" s="237"/>
      <c r="O2233" s="237"/>
      <c r="P2233" s="237"/>
      <c r="Q2233" s="237"/>
      <c r="R2233" s="237"/>
      <c r="S2233" s="237"/>
      <c r="T2233" s="237"/>
      <c r="U2233" s="237"/>
      <c r="V2233" s="237"/>
      <c r="W2233" s="237"/>
      <c r="X2233" s="237"/>
      <c r="Y2233" s="237"/>
      <c r="Z2233" s="237"/>
      <c r="AA2233" s="237"/>
      <c r="AB2233" s="237"/>
    </row>
    <row r="2234">
      <c r="A2234" s="237"/>
      <c r="B2234" s="275"/>
      <c r="C2234" s="236"/>
      <c r="D2234" s="236"/>
      <c r="E2234" s="88" t="s">
        <v>1420</v>
      </c>
      <c r="F2234" s="88" t="s">
        <v>12742</v>
      </c>
      <c r="G2234" s="88" t="s">
        <v>12743</v>
      </c>
      <c r="H2234" s="88" t="s">
        <v>12744</v>
      </c>
      <c r="I2234" s="236"/>
      <c r="J2234" s="236"/>
      <c r="K2234" s="275"/>
      <c r="L2234" s="236"/>
      <c r="M2234" s="237"/>
      <c r="N2234" s="237"/>
      <c r="O2234" s="237"/>
      <c r="P2234" s="237"/>
      <c r="Q2234" s="237"/>
      <c r="R2234" s="237"/>
      <c r="S2234" s="237"/>
      <c r="T2234" s="237"/>
      <c r="U2234" s="237"/>
      <c r="V2234" s="237"/>
      <c r="W2234" s="237"/>
      <c r="X2234" s="237"/>
      <c r="Y2234" s="237"/>
      <c r="Z2234" s="237"/>
      <c r="AA2234" s="237"/>
      <c r="AB2234" s="237"/>
    </row>
    <row r="2235">
      <c r="A2235" s="237"/>
      <c r="B2235" s="275"/>
      <c r="C2235" s="282" t="s">
        <v>12745</v>
      </c>
      <c r="D2235" s="236"/>
      <c r="E2235" s="88" t="s">
        <v>11671</v>
      </c>
      <c r="F2235" s="88" t="s">
        <v>1332</v>
      </c>
      <c r="G2235" s="88" t="s">
        <v>12746</v>
      </c>
      <c r="H2235" s="236"/>
      <c r="I2235" s="236"/>
      <c r="J2235" s="236"/>
      <c r="K2235" s="275"/>
      <c r="L2235" s="236"/>
      <c r="M2235" s="237"/>
      <c r="N2235" s="237"/>
      <c r="O2235" s="237"/>
      <c r="P2235" s="237"/>
      <c r="Q2235" s="237"/>
      <c r="R2235" s="237"/>
      <c r="S2235" s="237"/>
      <c r="T2235" s="237"/>
      <c r="U2235" s="237"/>
      <c r="V2235" s="237"/>
      <c r="W2235" s="237"/>
      <c r="X2235" s="237"/>
      <c r="Y2235" s="237"/>
      <c r="Z2235" s="237"/>
      <c r="AA2235" s="237"/>
      <c r="AB2235" s="237"/>
    </row>
    <row r="2236">
      <c r="A2236" s="237"/>
      <c r="B2236" s="275"/>
      <c r="C2236" s="88" t="s">
        <v>12747</v>
      </c>
      <c r="D2236" s="236"/>
      <c r="E2236" s="88" t="s">
        <v>1420</v>
      </c>
      <c r="F2236" s="88" t="s">
        <v>1347</v>
      </c>
      <c r="G2236" s="88" t="s">
        <v>12748</v>
      </c>
      <c r="H2236" s="88" t="s">
        <v>12749</v>
      </c>
      <c r="I2236" s="236"/>
      <c r="J2236" s="88" t="s">
        <v>4100</v>
      </c>
      <c r="K2236" s="275"/>
      <c r="L2236" s="88">
        <v>47130.0</v>
      </c>
      <c r="M2236" s="237"/>
      <c r="N2236" s="237"/>
      <c r="O2236" s="237"/>
      <c r="P2236" s="237"/>
      <c r="Q2236" s="237"/>
      <c r="R2236" s="237"/>
      <c r="S2236" s="237"/>
      <c r="T2236" s="237"/>
      <c r="U2236" s="237"/>
      <c r="V2236" s="237"/>
      <c r="W2236" s="237"/>
      <c r="X2236" s="237"/>
      <c r="Y2236" s="237"/>
      <c r="Z2236" s="237"/>
      <c r="AA2236" s="237"/>
      <c r="AB2236" s="237"/>
    </row>
    <row r="2237">
      <c r="A2237" s="237"/>
      <c r="B2237" s="275"/>
      <c r="C2237" s="88" t="s">
        <v>12750</v>
      </c>
      <c r="D2237" s="236"/>
      <c r="E2237" s="88" t="s">
        <v>1420</v>
      </c>
      <c r="F2237" s="88" t="s">
        <v>1348</v>
      </c>
      <c r="G2237" s="88" t="s">
        <v>12751</v>
      </c>
      <c r="H2237" s="88" t="s">
        <v>12752</v>
      </c>
      <c r="I2237" s="236"/>
      <c r="J2237" s="88" t="s">
        <v>4100</v>
      </c>
      <c r="K2237" s="275"/>
      <c r="L2237" s="88">
        <v>47130.0</v>
      </c>
      <c r="M2237" s="237"/>
      <c r="N2237" s="237"/>
      <c r="O2237" s="237"/>
      <c r="P2237" s="237"/>
      <c r="Q2237" s="237"/>
      <c r="R2237" s="237"/>
      <c r="S2237" s="237"/>
      <c r="T2237" s="237"/>
      <c r="U2237" s="237"/>
      <c r="V2237" s="237"/>
      <c r="W2237" s="237"/>
      <c r="X2237" s="237"/>
      <c r="Y2237" s="237"/>
      <c r="Z2237" s="237"/>
      <c r="AA2237" s="237"/>
      <c r="AB2237" s="237"/>
    </row>
    <row r="2238">
      <c r="A2238" s="237"/>
      <c r="B2238" s="275"/>
      <c r="C2238" s="88" t="s">
        <v>12753</v>
      </c>
      <c r="D2238" s="236"/>
      <c r="E2238" s="88" t="s">
        <v>1420</v>
      </c>
      <c r="F2238" s="88" t="s">
        <v>1349</v>
      </c>
      <c r="G2238" s="88" t="s">
        <v>12754</v>
      </c>
      <c r="H2238" s="88" t="s">
        <v>12755</v>
      </c>
      <c r="I2238" s="236"/>
      <c r="J2238" s="88" t="s">
        <v>4100</v>
      </c>
      <c r="K2238" s="275"/>
      <c r="L2238" s="88">
        <v>47130.0</v>
      </c>
      <c r="M2238" s="237"/>
      <c r="N2238" s="237"/>
      <c r="O2238" s="237"/>
      <c r="P2238" s="237"/>
      <c r="Q2238" s="237"/>
      <c r="R2238" s="237"/>
      <c r="S2238" s="237"/>
      <c r="T2238" s="237"/>
      <c r="U2238" s="237"/>
      <c r="V2238" s="237"/>
      <c r="W2238" s="237"/>
      <c r="X2238" s="237"/>
      <c r="Y2238" s="237"/>
      <c r="Z2238" s="237"/>
      <c r="AA2238" s="237"/>
      <c r="AB2238" s="237"/>
    </row>
    <row r="2239">
      <c r="A2239" s="237"/>
      <c r="B2239" s="275"/>
      <c r="C2239" s="88" t="s">
        <v>12756</v>
      </c>
      <c r="D2239" s="236"/>
      <c r="E2239" s="88" t="s">
        <v>1420</v>
      </c>
      <c r="F2239" s="88" t="s">
        <v>1350</v>
      </c>
      <c r="G2239" s="88" t="s">
        <v>12757</v>
      </c>
      <c r="H2239" s="88" t="s">
        <v>12758</v>
      </c>
      <c r="I2239" s="236"/>
      <c r="J2239" s="88" t="s">
        <v>4100</v>
      </c>
      <c r="K2239" s="275"/>
      <c r="L2239" s="88">
        <v>47130.0</v>
      </c>
      <c r="M2239" s="237"/>
      <c r="N2239" s="237"/>
      <c r="O2239" s="237"/>
      <c r="P2239" s="237"/>
      <c r="Q2239" s="237"/>
      <c r="R2239" s="237"/>
      <c r="S2239" s="237"/>
      <c r="T2239" s="237"/>
      <c r="U2239" s="237"/>
      <c r="V2239" s="237"/>
      <c r="W2239" s="237"/>
      <c r="X2239" s="237"/>
      <c r="Y2239" s="237"/>
      <c r="Z2239" s="237"/>
      <c r="AA2239" s="237"/>
      <c r="AB2239" s="237"/>
    </row>
    <row r="2240">
      <c r="A2240" s="237"/>
      <c r="B2240" s="275"/>
      <c r="C2240" s="88" t="s">
        <v>12759</v>
      </c>
      <c r="D2240" s="236"/>
      <c r="E2240" s="88" t="s">
        <v>1420</v>
      </c>
      <c r="F2240" s="88" t="s">
        <v>1351</v>
      </c>
      <c r="G2240" s="88" t="s">
        <v>12760</v>
      </c>
      <c r="H2240" s="88" t="s">
        <v>12761</v>
      </c>
      <c r="I2240" s="236"/>
      <c r="J2240" s="88" t="s">
        <v>4100</v>
      </c>
      <c r="K2240" s="275"/>
      <c r="L2240" s="88">
        <v>47130.0</v>
      </c>
      <c r="M2240" s="237"/>
      <c r="N2240" s="237"/>
      <c r="O2240" s="237"/>
      <c r="P2240" s="237"/>
      <c r="Q2240" s="237"/>
      <c r="R2240" s="237"/>
      <c r="S2240" s="237"/>
      <c r="T2240" s="237"/>
      <c r="U2240" s="237"/>
      <c r="V2240" s="237"/>
      <c r="W2240" s="237"/>
      <c r="X2240" s="237"/>
      <c r="Y2240" s="237"/>
      <c r="Z2240" s="237"/>
      <c r="AA2240" s="237"/>
      <c r="AB2240" s="237"/>
    </row>
    <row r="2241">
      <c r="A2241" s="237"/>
      <c r="B2241" s="275"/>
      <c r="C2241" s="88" t="s">
        <v>12762</v>
      </c>
      <c r="D2241" s="236"/>
      <c r="E2241" s="88" t="s">
        <v>1420</v>
      </c>
      <c r="F2241" s="88" t="s">
        <v>1352</v>
      </c>
      <c r="G2241" s="88" t="s">
        <v>12763</v>
      </c>
      <c r="H2241" s="88" t="s">
        <v>12764</v>
      </c>
      <c r="I2241" s="236"/>
      <c r="J2241" s="88" t="s">
        <v>4100</v>
      </c>
      <c r="K2241" s="275"/>
      <c r="L2241" s="88">
        <v>47130.0</v>
      </c>
      <c r="M2241" s="237"/>
      <c r="N2241" s="237"/>
      <c r="O2241" s="237"/>
      <c r="P2241" s="237"/>
      <c r="Q2241" s="237"/>
      <c r="R2241" s="237"/>
      <c r="S2241" s="237"/>
      <c r="T2241" s="237"/>
      <c r="U2241" s="237"/>
      <c r="V2241" s="237"/>
      <c r="W2241" s="237"/>
      <c r="X2241" s="237"/>
      <c r="Y2241" s="237"/>
      <c r="Z2241" s="237"/>
      <c r="AA2241" s="237"/>
      <c r="AB2241" s="237"/>
    </row>
    <row r="2242">
      <c r="A2242" s="237"/>
      <c r="B2242" s="275"/>
      <c r="C2242" s="88" t="s">
        <v>12765</v>
      </c>
      <c r="D2242" s="236"/>
      <c r="E2242" s="88" t="s">
        <v>1420</v>
      </c>
      <c r="F2242" s="88" t="s">
        <v>1353</v>
      </c>
      <c r="G2242" s="88" t="s">
        <v>12766</v>
      </c>
      <c r="H2242" s="88" t="s">
        <v>12767</v>
      </c>
      <c r="I2242" s="236"/>
      <c r="J2242" s="88" t="s">
        <v>4100</v>
      </c>
      <c r="K2242" s="275"/>
      <c r="L2242" s="88">
        <v>47130.0</v>
      </c>
      <c r="M2242" s="237"/>
      <c r="N2242" s="237"/>
      <c r="O2242" s="237"/>
      <c r="P2242" s="237"/>
      <c r="Q2242" s="237"/>
      <c r="R2242" s="237"/>
      <c r="S2242" s="237"/>
      <c r="T2242" s="237"/>
      <c r="U2242" s="237"/>
      <c r="V2242" s="237"/>
      <c r="W2242" s="237"/>
      <c r="X2242" s="237"/>
      <c r="Y2242" s="237"/>
      <c r="Z2242" s="237"/>
      <c r="AA2242" s="237"/>
      <c r="AB2242" s="237"/>
    </row>
    <row r="2243">
      <c r="A2243" s="237"/>
      <c r="B2243" s="275"/>
      <c r="C2243" s="88" t="s">
        <v>12768</v>
      </c>
      <c r="D2243" s="236"/>
      <c r="E2243" s="88" t="s">
        <v>1420</v>
      </c>
      <c r="F2243" s="88" t="s">
        <v>1354</v>
      </c>
      <c r="G2243" s="88" t="s">
        <v>12769</v>
      </c>
      <c r="H2243" s="88" t="s">
        <v>12770</v>
      </c>
      <c r="I2243" s="236"/>
      <c r="J2243" s="88" t="s">
        <v>4100</v>
      </c>
      <c r="K2243" s="275"/>
      <c r="L2243" s="88">
        <v>47130.0</v>
      </c>
      <c r="M2243" s="237"/>
      <c r="N2243" s="237"/>
      <c r="O2243" s="237"/>
      <c r="P2243" s="237"/>
      <c r="Q2243" s="237"/>
      <c r="R2243" s="237"/>
      <c r="S2243" s="237"/>
      <c r="T2243" s="237"/>
      <c r="U2243" s="237"/>
      <c r="V2243" s="237"/>
      <c r="W2243" s="237"/>
      <c r="X2243" s="237"/>
      <c r="Y2243" s="237"/>
      <c r="Z2243" s="237"/>
      <c r="AA2243" s="237"/>
      <c r="AB2243" s="237"/>
    </row>
    <row r="2244">
      <c r="A2244" s="237"/>
      <c r="B2244" s="275"/>
      <c r="C2244" s="88" t="s">
        <v>12771</v>
      </c>
      <c r="D2244" s="236"/>
      <c r="E2244" s="88" t="s">
        <v>1420</v>
      </c>
      <c r="F2244" s="88" t="s">
        <v>1355</v>
      </c>
      <c r="G2244" s="88" t="s">
        <v>12772</v>
      </c>
      <c r="H2244" s="88" t="s">
        <v>12773</v>
      </c>
      <c r="I2244" s="236"/>
      <c r="J2244" s="88" t="s">
        <v>4100</v>
      </c>
      <c r="K2244" s="275"/>
      <c r="L2244" s="88">
        <v>47130.0</v>
      </c>
      <c r="M2244" s="237"/>
      <c r="N2244" s="237"/>
      <c r="O2244" s="237"/>
      <c r="P2244" s="237"/>
      <c r="Q2244" s="237"/>
      <c r="R2244" s="237"/>
      <c r="S2244" s="237"/>
      <c r="T2244" s="237"/>
      <c r="U2244" s="237"/>
      <c r="V2244" s="237"/>
      <c r="W2244" s="237"/>
      <c r="X2244" s="237"/>
      <c r="Y2244" s="237"/>
      <c r="Z2244" s="237"/>
      <c r="AA2244" s="237"/>
      <c r="AB2244" s="237"/>
    </row>
    <row r="2245">
      <c r="A2245" s="237"/>
      <c r="B2245" s="275"/>
      <c r="C2245" s="88" t="s">
        <v>12774</v>
      </c>
      <c r="D2245" s="236"/>
      <c r="E2245" s="88" t="s">
        <v>1420</v>
      </c>
      <c r="F2245" s="88" t="s">
        <v>1356</v>
      </c>
      <c r="G2245" s="88" t="s">
        <v>12775</v>
      </c>
      <c r="H2245" s="88" t="s">
        <v>12776</v>
      </c>
      <c r="I2245" s="236"/>
      <c r="J2245" s="88" t="s">
        <v>4100</v>
      </c>
      <c r="K2245" s="275"/>
      <c r="L2245" s="88">
        <v>47130.0</v>
      </c>
      <c r="M2245" s="237"/>
      <c r="N2245" s="237"/>
      <c r="O2245" s="237"/>
      <c r="P2245" s="237"/>
      <c r="Q2245" s="237"/>
      <c r="R2245" s="237"/>
      <c r="S2245" s="237"/>
      <c r="T2245" s="237"/>
      <c r="U2245" s="237"/>
      <c r="V2245" s="237"/>
      <c r="W2245" s="237"/>
      <c r="X2245" s="237"/>
      <c r="Y2245" s="237"/>
      <c r="Z2245" s="237"/>
      <c r="AA2245" s="237"/>
      <c r="AB2245" s="237"/>
    </row>
    <row r="2246">
      <c r="A2246" s="237"/>
      <c r="B2246" s="275"/>
      <c r="C2246" s="88" t="s">
        <v>12777</v>
      </c>
      <c r="D2246" s="236"/>
      <c r="E2246" s="88" t="s">
        <v>11671</v>
      </c>
      <c r="F2246" s="88" t="s">
        <v>1357</v>
      </c>
      <c r="G2246" s="88" t="s">
        <v>12778</v>
      </c>
      <c r="H2246" s="88" t="s">
        <v>12779</v>
      </c>
      <c r="I2246" s="236"/>
      <c r="J2246" s="88" t="s">
        <v>4100</v>
      </c>
      <c r="K2246" s="275"/>
      <c r="L2246" s="88">
        <v>47130.0</v>
      </c>
      <c r="M2246" s="237"/>
      <c r="N2246" s="237"/>
      <c r="O2246" s="237"/>
      <c r="P2246" s="237"/>
      <c r="Q2246" s="237"/>
      <c r="R2246" s="237"/>
      <c r="S2246" s="237"/>
      <c r="T2246" s="237"/>
      <c r="U2246" s="237"/>
      <c r="V2246" s="237"/>
      <c r="W2246" s="237"/>
      <c r="X2246" s="237"/>
      <c r="Y2246" s="237"/>
      <c r="Z2246" s="237"/>
      <c r="AA2246" s="237"/>
      <c r="AB2246" s="237"/>
    </row>
    <row r="2247">
      <c r="A2247" s="237"/>
      <c r="B2247" s="275"/>
      <c r="C2247" s="88" t="s">
        <v>12780</v>
      </c>
      <c r="D2247" s="236"/>
      <c r="E2247" s="88" t="s">
        <v>1420</v>
      </c>
      <c r="F2247" s="88" t="s">
        <v>1358</v>
      </c>
      <c r="G2247" s="88" t="s">
        <v>12781</v>
      </c>
      <c r="H2247" s="88" t="s">
        <v>12782</v>
      </c>
      <c r="I2247" s="236"/>
      <c r="J2247" s="88" t="s">
        <v>4100</v>
      </c>
      <c r="K2247" s="275"/>
      <c r="L2247" s="88">
        <v>47130.0</v>
      </c>
      <c r="M2247" s="237"/>
      <c r="N2247" s="237"/>
      <c r="O2247" s="237"/>
      <c r="P2247" s="237"/>
      <c r="Q2247" s="237"/>
      <c r="R2247" s="237"/>
      <c r="S2247" s="237"/>
      <c r="T2247" s="237"/>
      <c r="U2247" s="237"/>
      <c r="V2247" s="237"/>
      <c r="W2247" s="237"/>
      <c r="X2247" s="237"/>
      <c r="Y2247" s="237"/>
      <c r="Z2247" s="237"/>
      <c r="AA2247" s="237"/>
      <c r="AB2247" s="237"/>
    </row>
    <row r="2248">
      <c r="A2248" s="237"/>
      <c r="B2248" s="275"/>
      <c r="C2248" s="88" t="s">
        <v>12783</v>
      </c>
      <c r="D2248" s="236"/>
      <c r="E2248" s="88" t="s">
        <v>1420</v>
      </c>
      <c r="F2248" s="88" t="s">
        <v>1360</v>
      </c>
      <c r="G2248" s="88" t="s">
        <v>12784</v>
      </c>
      <c r="H2248" s="88" t="s">
        <v>12785</v>
      </c>
      <c r="I2248" s="236"/>
      <c r="J2248" s="88" t="s">
        <v>5848</v>
      </c>
      <c r="K2248" s="275"/>
      <c r="L2248" s="88">
        <v>47189.0</v>
      </c>
      <c r="M2248" s="237"/>
      <c r="N2248" s="237"/>
      <c r="O2248" s="237"/>
      <c r="P2248" s="237"/>
      <c r="Q2248" s="237"/>
      <c r="R2248" s="237"/>
      <c r="S2248" s="237"/>
      <c r="T2248" s="237"/>
      <c r="U2248" s="237"/>
      <c r="V2248" s="237"/>
      <c r="W2248" s="237"/>
      <c r="X2248" s="237"/>
      <c r="Y2248" s="237"/>
      <c r="Z2248" s="237"/>
      <c r="AA2248" s="237"/>
      <c r="AB2248" s="237"/>
    </row>
    <row r="2249">
      <c r="A2249" s="237"/>
      <c r="B2249" s="275"/>
      <c r="C2249" s="88" t="s">
        <v>12786</v>
      </c>
      <c r="D2249" s="236"/>
      <c r="E2249" s="88" t="s">
        <v>1420</v>
      </c>
      <c r="F2249" s="88" t="s">
        <v>1361</v>
      </c>
      <c r="G2249" s="88" t="s">
        <v>12787</v>
      </c>
      <c r="H2249" s="88" t="s">
        <v>12788</v>
      </c>
      <c r="I2249" s="236"/>
      <c r="J2249" s="88" t="s">
        <v>5848</v>
      </c>
      <c r="K2249" s="275"/>
      <c r="L2249" s="88">
        <v>47189.0</v>
      </c>
      <c r="M2249" s="237"/>
      <c r="N2249" s="237"/>
      <c r="O2249" s="237"/>
      <c r="P2249" s="237"/>
      <c r="Q2249" s="237"/>
      <c r="R2249" s="237"/>
      <c r="S2249" s="237"/>
      <c r="T2249" s="237"/>
      <c r="U2249" s="237"/>
      <c r="V2249" s="237"/>
      <c r="W2249" s="237"/>
      <c r="X2249" s="237"/>
      <c r="Y2249" s="237"/>
      <c r="Z2249" s="237"/>
      <c r="AA2249" s="237"/>
      <c r="AB2249" s="237"/>
    </row>
    <row r="2250">
      <c r="A2250" s="237"/>
      <c r="B2250" s="275"/>
      <c r="C2250" s="88" t="s">
        <v>12789</v>
      </c>
      <c r="D2250" s="236"/>
      <c r="E2250" s="88" t="s">
        <v>1420</v>
      </c>
      <c r="F2250" s="88" t="s">
        <v>1362</v>
      </c>
      <c r="G2250" s="88" t="s">
        <v>12790</v>
      </c>
      <c r="H2250" s="88" t="s">
        <v>12791</v>
      </c>
      <c r="I2250" s="236"/>
      <c r="J2250" s="88" t="s">
        <v>5848</v>
      </c>
      <c r="K2250" s="275"/>
      <c r="L2250" s="88">
        <v>47189.0</v>
      </c>
      <c r="M2250" s="237"/>
      <c r="N2250" s="237"/>
      <c r="O2250" s="237"/>
      <c r="P2250" s="237"/>
      <c r="Q2250" s="237"/>
      <c r="R2250" s="237"/>
      <c r="S2250" s="237"/>
      <c r="T2250" s="237"/>
      <c r="U2250" s="237"/>
      <c r="V2250" s="237"/>
      <c r="W2250" s="237"/>
      <c r="X2250" s="237"/>
      <c r="Y2250" s="237"/>
      <c r="Z2250" s="237"/>
      <c r="AA2250" s="237"/>
      <c r="AB2250" s="237"/>
    </row>
    <row r="2251">
      <c r="A2251" s="237"/>
      <c r="B2251" s="275"/>
      <c r="C2251" s="88" t="s">
        <v>12792</v>
      </c>
      <c r="D2251" s="236"/>
      <c r="E2251" s="88" t="s">
        <v>1420</v>
      </c>
      <c r="F2251" s="88" t="s">
        <v>1363</v>
      </c>
      <c r="G2251" s="88" t="s">
        <v>12793</v>
      </c>
      <c r="H2251" s="88" t="s">
        <v>12794</v>
      </c>
      <c r="I2251" s="236"/>
      <c r="J2251" s="88" t="s">
        <v>5848</v>
      </c>
      <c r="K2251" s="275"/>
      <c r="L2251" s="88">
        <v>47189.0</v>
      </c>
      <c r="M2251" s="237"/>
      <c r="N2251" s="237"/>
      <c r="O2251" s="237"/>
      <c r="P2251" s="237"/>
      <c r="Q2251" s="237"/>
      <c r="R2251" s="237"/>
      <c r="S2251" s="237"/>
      <c r="T2251" s="237"/>
      <c r="U2251" s="237"/>
      <c r="V2251" s="237"/>
      <c r="W2251" s="237"/>
      <c r="X2251" s="237"/>
      <c r="Y2251" s="237"/>
      <c r="Z2251" s="237"/>
      <c r="AA2251" s="237"/>
      <c r="AB2251" s="237"/>
    </row>
    <row r="2252">
      <c r="A2252" s="237"/>
      <c r="B2252" s="275"/>
      <c r="C2252" s="88" t="s">
        <v>12795</v>
      </c>
      <c r="D2252" s="236"/>
      <c r="E2252" s="88" t="s">
        <v>1420</v>
      </c>
      <c r="F2252" s="88" t="s">
        <v>1364</v>
      </c>
      <c r="G2252" s="88" t="s">
        <v>12796</v>
      </c>
      <c r="H2252" s="88" t="s">
        <v>12797</v>
      </c>
      <c r="I2252" s="236"/>
      <c r="J2252" s="88" t="s">
        <v>5848</v>
      </c>
      <c r="K2252" s="275"/>
      <c r="L2252" s="236"/>
      <c r="M2252" s="237"/>
      <c r="N2252" s="237"/>
      <c r="O2252" s="237"/>
      <c r="P2252" s="237"/>
      <c r="Q2252" s="237"/>
      <c r="R2252" s="237"/>
      <c r="S2252" s="237"/>
      <c r="T2252" s="237"/>
      <c r="U2252" s="237"/>
      <c r="V2252" s="237"/>
      <c r="W2252" s="237"/>
      <c r="X2252" s="237"/>
      <c r="Y2252" s="237"/>
      <c r="Z2252" s="237"/>
      <c r="AA2252" s="237"/>
      <c r="AB2252" s="237"/>
    </row>
    <row r="2253">
      <c r="A2253" s="237"/>
      <c r="B2253" s="275"/>
      <c r="C2253" s="283" t="s">
        <v>12798</v>
      </c>
      <c r="D2253" s="236"/>
      <c r="E2253" s="88" t="s">
        <v>12412</v>
      </c>
      <c r="F2253" s="88" t="s">
        <v>1365</v>
      </c>
      <c r="G2253" s="88" t="s">
        <v>12799</v>
      </c>
      <c r="H2253" s="236"/>
      <c r="I2253" s="236"/>
      <c r="J2253" s="236"/>
      <c r="K2253" s="275"/>
      <c r="L2253" s="236"/>
      <c r="M2253" s="237"/>
      <c r="N2253" s="237"/>
      <c r="O2253" s="237"/>
      <c r="P2253" s="237"/>
      <c r="Q2253" s="237"/>
      <c r="R2253" s="237"/>
      <c r="S2253" s="237"/>
      <c r="T2253" s="237"/>
      <c r="U2253" s="237"/>
      <c r="V2253" s="237"/>
      <c r="W2253" s="237"/>
      <c r="X2253" s="237"/>
      <c r="Y2253" s="237"/>
      <c r="Z2253" s="237"/>
      <c r="AA2253" s="237"/>
      <c r="AB2253" s="237"/>
    </row>
    <row r="2254">
      <c r="A2254" s="237"/>
      <c r="B2254" s="275"/>
      <c r="C2254" s="88" t="s">
        <v>12800</v>
      </c>
      <c r="D2254" s="236"/>
      <c r="E2254" s="88" t="s">
        <v>1420</v>
      </c>
      <c r="F2254" s="88" t="s">
        <v>1368</v>
      </c>
      <c r="G2254" s="88" t="s">
        <v>12801</v>
      </c>
      <c r="H2254" s="88" t="s">
        <v>12802</v>
      </c>
      <c r="I2254" s="236"/>
      <c r="J2254" s="88" t="s">
        <v>12803</v>
      </c>
      <c r="K2254" s="275"/>
      <c r="L2254" s="88">
        <v>47311.0</v>
      </c>
      <c r="M2254" s="237"/>
      <c r="N2254" s="237"/>
      <c r="O2254" s="237"/>
      <c r="P2254" s="237"/>
      <c r="Q2254" s="237"/>
      <c r="R2254" s="237"/>
      <c r="S2254" s="237"/>
      <c r="T2254" s="237"/>
      <c r="U2254" s="237"/>
      <c r="V2254" s="237"/>
      <c r="W2254" s="237"/>
      <c r="X2254" s="237"/>
      <c r="Y2254" s="237"/>
      <c r="Z2254" s="237"/>
      <c r="AA2254" s="237"/>
      <c r="AB2254" s="237"/>
    </row>
    <row r="2255">
      <c r="A2255" s="237"/>
      <c r="B2255" s="275"/>
      <c r="C2255" s="88" t="s">
        <v>12804</v>
      </c>
      <c r="D2255" s="236"/>
      <c r="E2255" s="88" t="s">
        <v>1420</v>
      </c>
      <c r="F2255" s="88" t="s">
        <v>1370</v>
      </c>
      <c r="G2255" s="88" t="s">
        <v>12805</v>
      </c>
      <c r="H2255" s="236"/>
      <c r="I2255" s="236"/>
      <c r="J2255" s="236"/>
      <c r="K2255" s="275"/>
      <c r="L2255" s="236"/>
      <c r="M2255" s="237"/>
      <c r="N2255" s="237"/>
      <c r="O2255" s="237"/>
      <c r="P2255" s="237"/>
      <c r="Q2255" s="237"/>
      <c r="R2255" s="237"/>
      <c r="S2255" s="237"/>
      <c r="T2255" s="237"/>
      <c r="U2255" s="237"/>
      <c r="V2255" s="237"/>
      <c r="W2255" s="237"/>
      <c r="X2255" s="237"/>
      <c r="Y2255" s="237"/>
      <c r="Z2255" s="237"/>
      <c r="AA2255" s="237"/>
      <c r="AB2255" s="237"/>
    </row>
    <row r="2256">
      <c r="A2256" s="237"/>
      <c r="B2256" s="275"/>
      <c r="C2256" s="88" t="s">
        <v>12806</v>
      </c>
      <c r="D2256" s="236"/>
      <c r="E2256" s="88" t="s">
        <v>1420</v>
      </c>
      <c r="F2256" s="88" t="s">
        <v>1372</v>
      </c>
      <c r="G2256" s="88" t="s">
        <v>12807</v>
      </c>
      <c r="H2256" s="88" t="s">
        <v>12808</v>
      </c>
      <c r="I2256" s="236"/>
      <c r="J2256" s="88" t="s">
        <v>12803</v>
      </c>
      <c r="K2256" s="275"/>
      <c r="L2256" s="88">
        <v>47311.0</v>
      </c>
      <c r="M2256" s="237"/>
      <c r="N2256" s="237"/>
      <c r="O2256" s="237"/>
      <c r="P2256" s="237"/>
      <c r="Q2256" s="237"/>
      <c r="R2256" s="237"/>
      <c r="S2256" s="237"/>
      <c r="T2256" s="237"/>
      <c r="U2256" s="237"/>
      <c r="V2256" s="237"/>
      <c r="W2256" s="237"/>
      <c r="X2256" s="237"/>
      <c r="Y2256" s="237"/>
      <c r="Z2256" s="237"/>
      <c r="AA2256" s="237"/>
      <c r="AB2256" s="237"/>
    </row>
    <row r="2257">
      <c r="A2257" s="237"/>
      <c r="B2257" s="275"/>
      <c r="C2257" s="88" t="s">
        <v>12809</v>
      </c>
      <c r="D2257" s="236"/>
      <c r="E2257" s="88" t="s">
        <v>1420</v>
      </c>
      <c r="F2257" s="88" t="s">
        <v>1374</v>
      </c>
      <c r="G2257" s="88" t="s">
        <v>12810</v>
      </c>
      <c r="H2257" s="88" t="s">
        <v>12811</v>
      </c>
      <c r="I2257" s="236"/>
      <c r="J2257" s="88" t="s">
        <v>12803</v>
      </c>
      <c r="K2257" s="275"/>
      <c r="L2257" s="88">
        <v>47311.0</v>
      </c>
      <c r="M2257" s="237"/>
      <c r="N2257" s="237"/>
      <c r="O2257" s="237"/>
      <c r="P2257" s="237"/>
      <c r="Q2257" s="237"/>
      <c r="R2257" s="237"/>
      <c r="S2257" s="237"/>
      <c r="T2257" s="237"/>
      <c r="U2257" s="237"/>
      <c r="V2257" s="237"/>
      <c r="W2257" s="237"/>
      <c r="X2257" s="237"/>
      <c r="Y2257" s="237"/>
      <c r="Z2257" s="237"/>
      <c r="AA2257" s="237"/>
      <c r="AB2257" s="237"/>
    </row>
    <row r="2258">
      <c r="A2258" s="237"/>
      <c r="B2258" s="275"/>
      <c r="C2258" s="88" t="s">
        <v>12812</v>
      </c>
      <c r="D2258" s="236"/>
      <c r="E2258" s="88" t="s">
        <v>1420</v>
      </c>
      <c r="F2258" s="88" t="s">
        <v>1376</v>
      </c>
      <c r="G2258" s="88" t="s">
        <v>12813</v>
      </c>
      <c r="H2258" s="88" t="s">
        <v>12814</v>
      </c>
      <c r="I2258" s="236"/>
      <c r="J2258" s="88" t="s">
        <v>12803</v>
      </c>
      <c r="K2258" s="275"/>
      <c r="L2258" s="88">
        <v>47311.0</v>
      </c>
      <c r="M2258" s="237"/>
      <c r="N2258" s="237"/>
      <c r="O2258" s="237"/>
      <c r="P2258" s="237"/>
      <c r="Q2258" s="237"/>
      <c r="R2258" s="237"/>
      <c r="S2258" s="237"/>
      <c r="T2258" s="237"/>
      <c r="U2258" s="237"/>
      <c r="V2258" s="237"/>
      <c r="W2258" s="237"/>
      <c r="X2258" s="237"/>
      <c r="Y2258" s="237"/>
      <c r="Z2258" s="237"/>
      <c r="AA2258" s="237"/>
      <c r="AB2258" s="237"/>
    </row>
    <row r="2259">
      <c r="A2259" s="237"/>
      <c r="B2259" s="275"/>
      <c r="C2259" s="88" t="s">
        <v>12815</v>
      </c>
      <c r="D2259" s="236"/>
      <c r="E2259" s="88" t="s">
        <v>1420</v>
      </c>
      <c r="F2259" s="88" t="s">
        <v>1378</v>
      </c>
      <c r="G2259" s="88" t="s">
        <v>12816</v>
      </c>
      <c r="H2259" s="88" t="s">
        <v>12817</v>
      </c>
      <c r="I2259" s="236"/>
      <c r="J2259" s="88" t="s">
        <v>12803</v>
      </c>
      <c r="K2259" s="275"/>
      <c r="L2259" s="88">
        <v>47311.0</v>
      </c>
      <c r="M2259" s="237"/>
      <c r="N2259" s="237"/>
      <c r="O2259" s="237"/>
      <c r="P2259" s="237"/>
      <c r="Q2259" s="237"/>
      <c r="R2259" s="237"/>
      <c r="S2259" s="237"/>
      <c r="T2259" s="237"/>
      <c r="U2259" s="237"/>
      <c r="V2259" s="237"/>
      <c r="W2259" s="237"/>
      <c r="X2259" s="237"/>
      <c r="Y2259" s="237"/>
      <c r="Z2259" s="237"/>
      <c r="AA2259" s="237"/>
      <c r="AB2259" s="237"/>
    </row>
    <row r="2260">
      <c r="A2260" s="237"/>
      <c r="B2260" s="275"/>
      <c r="C2260" s="88" t="s">
        <v>12818</v>
      </c>
      <c r="D2260" s="236"/>
      <c r="E2260" s="88" t="s">
        <v>1420</v>
      </c>
      <c r="F2260" s="88" t="s">
        <v>1380</v>
      </c>
      <c r="G2260" s="88" t="s">
        <v>12819</v>
      </c>
      <c r="H2260" s="88" t="s">
        <v>12820</v>
      </c>
      <c r="I2260" s="236"/>
      <c r="J2260" s="88" t="s">
        <v>12803</v>
      </c>
      <c r="K2260" s="275"/>
      <c r="L2260" s="88">
        <v>47311.0</v>
      </c>
      <c r="M2260" s="237"/>
      <c r="N2260" s="237"/>
      <c r="O2260" s="237"/>
      <c r="P2260" s="237"/>
      <c r="Q2260" s="237"/>
      <c r="R2260" s="237"/>
      <c r="S2260" s="237"/>
      <c r="T2260" s="237"/>
      <c r="U2260" s="237"/>
      <c r="V2260" s="237"/>
      <c r="W2260" s="237"/>
      <c r="X2260" s="237"/>
      <c r="Y2260" s="237"/>
      <c r="Z2260" s="237"/>
      <c r="AA2260" s="237"/>
      <c r="AB2260" s="237"/>
    </row>
    <row r="2261">
      <c r="A2261" s="237"/>
      <c r="B2261" s="275"/>
      <c r="C2261" s="88" t="s">
        <v>12821</v>
      </c>
      <c r="D2261" s="236"/>
      <c r="E2261" s="88" t="s">
        <v>1420</v>
      </c>
      <c r="F2261" s="88" t="s">
        <v>1382</v>
      </c>
      <c r="G2261" s="88" t="s">
        <v>12822</v>
      </c>
      <c r="H2261" s="88" t="s">
        <v>12823</v>
      </c>
      <c r="I2261" s="236"/>
      <c r="J2261" s="88" t="s">
        <v>12803</v>
      </c>
      <c r="K2261" s="275"/>
      <c r="L2261" s="88">
        <v>47311.0</v>
      </c>
      <c r="M2261" s="237"/>
      <c r="N2261" s="237"/>
      <c r="O2261" s="237"/>
      <c r="P2261" s="237"/>
      <c r="Q2261" s="237"/>
      <c r="R2261" s="237"/>
      <c r="S2261" s="237"/>
      <c r="T2261" s="237"/>
      <c r="U2261" s="237"/>
      <c r="V2261" s="237"/>
      <c r="W2261" s="237"/>
      <c r="X2261" s="237"/>
      <c r="Y2261" s="237"/>
      <c r="Z2261" s="237"/>
      <c r="AA2261" s="237"/>
      <c r="AB2261" s="237"/>
    </row>
    <row r="2262">
      <c r="A2262" s="237"/>
      <c r="B2262" s="275"/>
      <c r="C2262" s="88" t="s">
        <v>12824</v>
      </c>
      <c r="D2262" s="236"/>
      <c r="E2262" s="88" t="s">
        <v>1420</v>
      </c>
      <c r="F2262" s="88" t="s">
        <v>1384</v>
      </c>
      <c r="G2262" s="88" t="s">
        <v>12825</v>
      </c>
      <c r="H2262" s="88" t="s">
        <v>12826</v>
      </c>
      <c r="I2262" s="236"/>
      <c r="J2262" s="88" t="s">
        <v>12803</v>
      </c>
      <c r="K2262" s="275"/>
      <c r="L2262" s="88">
        <v>47311.0</v>
      </c>
      <c r="M2262" s="237"/>
      <c r="N2262" s="237"/>
      <c r="O2262" s="237"/>
      <c r="P2262" s="237"/>
      <c r="Q2262" s="237"/>
      <c r="R2262" s="237"/>
      <c r="S2262" s="237"/>
      <c r="T2262" s="237"/>
      <c r="U2262" s="237"/>
      <c r="V2262" s="237"/>
      <c r="W2262" s="237"/>
      <c r="X2262" s="237"/>
      <c r="Y2262" s="237"/>
      <c r="Z2262" s="237"/>
      <c r="AA2262" s="237"/>
      <c r="AB2262" s="237"/>
    </row>
    <row r="2263">
      <c r="A2263" s="237"/>
      <c r="B2263" s="275"/>
      <c r="C2263" s="88" t="s">
        <v>12827</v>
      </c>
      <c r="D2263" s="236"/>
      <c r="E2263" s="88" t="s">
        <v>1420</v>
      </c>
      <c r="F2263" s="88" t="s">
        <v>1386</v>
      </c>
      <c r="G2263" s="88" t="s">
        <v>12828</v>
      </c>
      <c r="H2263" s="88" t="s">
        <v>12829</v>
      </c>
      <c r="I2263" s="236"/>
      <c r="J2263" s="88" t="s">
        <v>12803</v>
      </c>
      <c r="K2263" s="275"/>
      <c r="L2263" s="88">
        <v>47311.0</v>
      </c>
      <c r="M2263" s="237"/>
      <c r="N2263" s="237"/>
      <c r="O2263" s="237"/>
      <c r="P2263" s="237"/>
      <c r="Q2263" s="237"/>
      <c r="R2263" s="237"/>
      <c r="S2263" s="237"/>
      <c r="T2263" s="237"/>
      <c r="U2263" s="237"/>
      <c r="V2263" s="237"/>
      <c r="W2263" s="237"/>
      <c r="X2263" s="237"/>
      <c r="Y2263" s="237"/>
      <c r="Z2263" s="237"/>
      <c r="AA2263" s="237"/>
      <c r="AB2263" s="237"/>
    </row>
    <row r="2264">
      <c r="A2264" s="237"/>
      <c r="B2264" s="275"/>
      <c r="C2264" s="88" t="s">
        <v>12830</v>
      </c>
      <c r="D2264" s="236"/>
      <c r="E2264" s="88" t="s">
        <v>1420</v>
      </c>
      <c r="F2264" s="88" t="s">
        <v>1388</v>
      </c>
      <c r="G2264" s="88" t="s">
        <v>12831</v>
      </c>
      <c r="H2264" s="88" t="s">
        <v>12832</v>
      </c>
      <c r="I2264" s="236"/>
      <c r="J2264" s="88" t="s">
        <v>12803</v>
      </c>
      <c r="K2264" s="275"/>
      <c r="L2264" s="88">
        <v>47311.0</v>
      </c>
      <c r="M2264" s="237"/>
      <c r="N2264" s="237"/>
      <c r="O2264" s="237"/>
      <c r="P2264" s="237"/>
      <c r="Q2264" s="237"/>
      <c r="R2264" s="237"/>
      <c r="S2264" s="237"/>
      <c r="T2264" s="237"/>
      <c r="U2264" s="237"/>
      <c r="V2264" s="237"/>
      <c r="W2264" s="237"/>
      <c r="X2264" s="237"/>
      <c r="Y2264" s="237"/>
      <c r="Z2264" s="237"/>
      <c r="AA2264" s="237"/>
      <c r="AB2264" s="237"/>
    </row>
    <row r="2265">
      <c r="A2265" s="237"/>
      <c r="B2265" s="275"/>
      <c r="C2265" s="88" t="s">
        <v>12833</v>
      </c>
      <c r="D2265" s="236"/>
      <c r="E2265" s="88" t="s">
        <v>1420</v>
      </c>
      <c r="F2265" s="88" t="s">
        <v>1390</v>
      </c>
      <c r="G2265" s="88" t="s">
        <v>12834</v>
      </c>
      <c r="H2265" s="88" t="s">
        <v>12835</v>
      </c>
      <c r="I2265" s="236"/>
      <c r="J2265" s="88" t="s">
        <v>3515</v>
      </c>
      <c r="K2265" s="275"/>
      <c r="L2265" s="88">
        <v>47311.0</v>
      </c>
      <c r="M2265" s="237"/>
      <c r="N2265" s="237"/>
      <c r="O2265" s="237"/>
      <c r="P2265" s="237"/>
      <c r="Q2265" s="237"/>
      <c r="R2265" s="237"/>
      <c r="S2265" s="237"/>
      <c r="T2265" s="237"/>
      <c r="U2265" s="237"/>
      <c r="V2265" s="237"/>
      <c r="W2265" s="237"/>
      <c r="X2265" s="237"/>
      <c r="Y2265" s="237"/>
      <c r="Z2265" s="237"/>
      <c r="AA2265" s="237"/>
      <c r="AB2265" s="237"/>
    </row>
    <row r="2266">
      <c r="A2266" s="237"/>
      <c r="B2266" s="275"/>
      <c r="C2266" s="88" t="s">
        <v>12836</v>
      </c>
      <c r="D2266" s="236"/>
      <c r="E2266" s="88" t="s">
        <v>1420</v>
      </c>
      <c r="F2266" s="88" t="s">
        <v>1391</v>
      </c>
      <c r="G2266" s="88" t="s">
        <v>12837</v>
      </c>
      <c r="H2266" s="88" t="s">
        <v>12838</v>
      </c>
      <c r="I2266" s="236"/>
      <c r="J2266" s="88" t="s">
        <v>3515</v>
      </c>
      <c r="K2266" s="275"/>
      <c r="L2266" s="88">
        <v>47311.0</v>
      </c>
      <c r="M2266" s="237"/>
      <c r="N2266" s="237"/>
      <c r="O2266" s="237"/>
      <c r="P2266" s="237"/>
      <c r="Q2266" s="237"/>
      <c r="R2266" s="237"/>
      <c r="S2266" s="237"/>
      <c r="T2266" s="237"/>
      <c r="U2266" s="237"/>
      <c r="V2266" s="237"/>
      <c r="W2266" s="237"/>
      <c r="X2266" s="237"/>
      <c r="Y2266" s="237"/>
      <c r="Z2266" s="237"/>
      <c r="AA2266" s="237"/>
      <c r="AB2266" s="237"/>
    </row>
    <row r="2267">
      <c r="A2267" s="237"/>
      <c r="B2267" s="275"/>
      <c r="C2267" s="88" t="s">
        <v>12839</v>
      </c>
      <c r="D2267" s="236"/>
      <c r="E2267" s="88" t="s">
        <v>1420</v>
      </c>
      <c r="F2267" s="88" t="s">
        <v>1392</v>
      </c>
      <c r="G2267" s="88" t="s">
        <v>12840</v>
      </c>
      <c r="H2267" s="88" t="s">
        <v>12841</v>
      </c>
      <c r="I2267" s="236"/>
      <c r="J2267" s="88" t="s">
        <v>3515</v>
      </c>
      <c r="K2267" s="275"/>
      <c r="L2267" s="88">
        <v>47311.0</v>
      </c>
      <c r="M2267" s="237"/>
      <c r="N2267" s="237"/>
      <c r="O2267" s="237"/>
      <c r="P2267" s="237"/>
      <c r="Q2267" s="237"/>
      <c r="R2267" s="237"/>
      <c r="S2267" s="237"/>
      <c r="T2267" s="237"/>
      <c r="U2267" s="237"/>
      <c r="V2267" s="237"/>
      <c r="W2267" s="237"/>
      <c r="X2267" s="237"/>
      <c r="Y2267" s="237"/>
      <c r="Z2267" s="237"/>
      <c r="AA2267" s="237"/>
      <c r="AB2267" s="237"/>
    </row>
    <row r="2268">
      <c r="A2268" s="237"/>
      <c r="B2268" s="275"/>
      <c r="C2268" s="88" t="s">
        <v>12842</v>
      </c>
      <c r="D2268" s="236"/>
      <c r="E2268" s="88" t="s">
        <v>1420</v>
      </c>
      <c r="F2268" s="88" t="s">
        <v>1393</v>
      </c>
      <c r="G2268" s="88" t="s">
        <v>12843</v>
      </c>
      <c r="H2268" s="88" t="s">
        <v>12844</v>
      </c>
      <c r="I2268" s="236"/>
      <c r="J2268" s="88" t="s">
        <v>3515</v>
      </c>
      <c r="K2268" s="275"/>
      <c r="L2268" s="88">
        <v>47311.0</v>
      </c>
      <c r="M2268" s="237"/>
      <c r="N2268" s="237"/>
      <c r="O2268" s="237"/>
      <c r="P2268" s="237"/>
      <c r="Q2268" s="237"/>
      <c r="R2268" s="237"/>
      <c r="S2268" s="237"/>
      <c r="T2268" s="237"/>
      <c r="U2268" s="237"/>
      <c r="V2268" s="237"/>
      <c r="W2268" s="237"/>
      <c r="X2268" s="237"/>
      <c r="Y2268" s="237"/>
      <c r="Z2268" s="237"/>
      <c r="AA2268" s="237"/>
      <c r="AB2268" s="237"/>
    </row>
    <row r="2269">
      <c r="A2269" s="237"/>
      <c r="B2269" s="277" t="s">
        <v>12845</v>
      </c>
      <c r="C2269" s="88" t="s">
        <v>12846</v>
      </c>
      <c r="D2269" s="236"/>
      <c r="E2269" s="88" t="s">
        <v>1420</v>
      </c>
      <c r="F2269" s="88" t="s">
        <v>1394</v>
      </c>
      <c r="G2269" s="88" t="s">
        <v>12847</v>
      </c>
      <c r="H2269" s="88" t="s">
        <v>12848</v>
      </c>
      <c r="I2269" s="236"/>
      <c r="J2269" s="236"/>
      <c r="K2269" s="277" t="s">
        <v>12845</v>
      </c>
      <c r="L2269" s="236"/>
      <c r="M2269" s="237"/>
      <c r="N2269" s="237"/>
      <c r="O2269" s="237"/>
      <c r="P2269" s="237"/>
      <c r="Q2269" s="237"/>
      <c r="R2269" s="237"/>
      <c r="S2269" s="237"/>
      <c r="T2269" s="237"/>
      <c r="U2269" s="237"/>
      <c r="V2269" s="237"/>
      <c r="W2269" s="237"/>
      <c r="X2269" s="237"/>
      <c r="Y2269" s="237"/>
      <c r="Z2269" s="237"/>
      <c r="AA2269" s="237"/>
      <c r="AB2269" s="237"/>
    </row>
    <row r="2270">
      <c r="A2270" s="237"/>
      <c r="B2270" s="275"/>
      <c r="C2270" s="88" t="s">
        <v>12849</v>
      </c>
      <c r="D2270" s="236"/>
      <c r="E2270" s="88" t="s">
        <v>11671</v>
      </c>
      <c r="F2270" s="88" t="s">
        <v>1395</v>
      </c>
      <c r="G2270" s="88" t="s">
        <v>12850</v>
      </c>
      <c r="H2270" s="88" t="s">
        <v>12851</v>
      </c>
      <c r="I2270" s="236"/>
      <c r="J2270" s="236"/>
      <c r="K2270" s="275"/>
      <c r="L2270" s="236"/>
      <c r="M2270" s="237"/>
      <c r="N2270" s="237"/>
      <c r="O2270" s="237"/>
      <c r="P2270" s="237"/>
      <c r="Q2270" s="237"/>
      <c r="R2270" s="237"/>
      <c r="S2270" s="237"/>
      <c r="T2270" s="237"/>
      <c r="U2270" s="237"/>
      <c r="V2270" s="237"/>
      <c r="W2270" s="237"/>
      <c r="X2270" s="237"/>
      <c r="Y2270" s="237"/>
      <c r="Z2270" s="237"/>
      <c r="AA2270" s="237"/>
      <c r="AB2270" s="237"/>
    </row>
    <row r="2271">
      <c r="A2271" s="237"/>
      <c r="B2271" s="88" t="s">
        <v>12852</v>
      </c>
      <c r="C2271" s="284" t="s">
        <v>12853</v>
      </c>
      <c r="D2271" s="236"/>
      <c r="E2271" s="88" t="s">
        <v>1420</v>
      </c>
      <c r="F2271" s="88" t="s">
        <v>1396</v>
      </c>
      <c r="G2271" s="88" t="s">
        <v>12854</v>
      </c>
      <c r="H2271" s="88" t="s">
        <v>12855</v>
      </c>
      <c r="I2271" s="236"/>
      <c r="J2271" s="236"/>
      <c r="K2271" s="88" t="s">
        <v>12852</v>
      </c>
      <c r="L2271" s="236"/>
      <c r="M2271" s="237"/>
      <c r="N2271" s="237"/>
      <c r="O2271" s="237"/>
      <c r="P2271" s="237"/>
      <c r="Q2271" s="237"/>
      <c r="R2271" s="237"/>
      <c r="S2271" s="237"/>
      <c r="T2271" s="237"/>
      <c r="U2271" s="237"/>
      <c r="V2271" s="237"/>
      <c r="W2271" s="237"/>
      <c r="X2271" s="237"/>
      <c r="Y2271" s="237"/>
      <c r="Z2271" s="237"/>
      <c r="AA2271" s="237"/>
      <c r="AB2271" s="237"/>
    </row>
    <row r="2272">
      <c r="A2272" s="237"/>
      <c r="B2272" s="275"/>
      <c r="C2272" s="88" t="s">
        <v>12856</v>
      </c>
      <c r="D2272" s="236"/>
      <c r="E2272" s="88" t="s">
        <v>11671</v>
      </c>
      <c r="F2272" s="88" t="s">
        <v>1397</v>
      </c>
      <c r="G2272" s="88" t="s">
        <v>12857</v>
      </c>
      <c r="H2272" s="254" t="s">
        <v>12858</v>
      </c>
      <c r="I2272" s="236"/>
      <c r="J2272" s="236"/>
      <c r="K2272" s="275"/>
      <c r="L2272" s="236"/>
      <c r="M2272" s="237"/>
      <c r="N2272" s="237"/>
      <c r="O2272" s="237"/>
      <c r="P2272" s="237"/>
      <c r="Q2272" s="237"/>
      <c r="R2272" s="237"/>
      <c r="S2272" s="237"/>
      <c r="T2272" s="237"/>
      <c r="U2272" s="237"/>
      <c r="V2272" s="237"/>
      <c r="W2272" s="237"/>
      <c r="X2272" s="237"/>
      <c r="Y2272" s="237"/>
      <c r="Z2272" s="237"/>
      <c r="AA2272" s="237"/>
      <c r="AB2272" s="237"/>
    </row>
    <row r="2273">
      <c r="A2273" s="237"/>
      <c r="B2273" s="88" t="s">
        <v>12852</v>
      </c>
      <c r="C2273" s="285" t="s">
        <v>12859</v>
      </c>
      <c r="D2273" s="236"/>
      <c r="E2273" s="88" t="s">
        <v>1420</v>
      </c>
      <c r="F2273" s="254" t="s">
        <v>1398</v>
      </c>
      <c r="G2273" s="88" t="s">
        <v>12860</v>
      </c>
      <c r="H2273" s="88" t="s">
        <v>12861</v>
      </c>
      <c r="I2273" s="236"/>
      <c r="J2273" s="236"/>
      <c r="K2273" s="88" t="s">
        <v>12852</v>
      </c>
      <c r="L2273" s="236"/>
      <c r="M2273" s="237"/>
      <c r="N2273" s="237"/>
      <c r="O2273" s="237"/>
      <c r="P2273" s="237"/>
      <c r="Q2273" s="237"/>
      <c r="R2273" s="237"/>
      <c r="S2273" s="237"/>
      <c r="T2273" s="237"/>
      <c r="U2273" s="237"/>
      <c r="V2273" s="237"/>
      <c r="W2273" s="237"/>
      <c r="X2273" s="237"/>
      <c r="Y2273" s="237"/>
      <c r="Z2273" s="237"/>
      <c r="AA2273" s="237"/>
      <c r="AB2273" s="237"/>
    </row>
    <row r="2274">
      <c r="A2274" s="237"/>
      <c r="B2274" s="275"/>
      <c r="C2274" s="284" t="s">
        <v>12862</v>
      </c>
      <c r="D2274" s="236"/>
      <c r="E2274" s="88" t="s">
        <v>11671</v>
      </c>
      <c r="F2274" s="88" t="s">
        <v>1399</v>
      </c>
      <c r="G2274" s="88" t="s">
        <v>12863</v>
      </c>
      <c r="H2274" s="88" t="s">
        <v>12864</v>
      </c>
      <c r="I2274" s="236"/>
      <c r="J2274" s="236"/>
      <c r="K2274" s="275"/>
      <c r="L2274" s="236"/>
      <c r="M2274" s="237"/>
      <c r="N2274" s="237"/>
      <c r="O2274" s="237"/>
      <c r="P2274" s="237"/>
      <c r="Q2274" s="237"/>
      <c r="R2274" s="237"/>
      <c r="S2274" s="237"/>
      <c r="T2274" s="237"/>
      <c r="U2274" s="237"/>
      <c r="V2274" s="237"/>
      <c r="W2274" s="237"/>
      <c r="X2274" s="237"/>
      <c r="Y2274" s="237"/>
      <c r="Z2274" s="237"/>
      <c r="AA2274" s="237"/>
      <c r="AB2274" s="237"/>
    </row>
    <row r="2275">
      <c r="A2275" s="237"/>
      <c r="B2275" s="286" t="s">
        <v>12865</v>
      </c>
      <c r="C2275" s="287" t="s">
        <v>12866</v>
      </c>
      <c r="D2275" s="236"/>
      <c r="E2275" s="88" t="s">
        <v>12867</v>
      </c>
      <c r="F2275" s="88" t="s">
        <v>1400</v>
      </c>
      <c r="G2275" s="88" t="s">
        <v>12868</v>
      </c>
      <c r="H2275" s="236"/>
      <c r="I2275" s="236"/>
      <c r="J2275" s="236"/>
      <c r="K2275" s="286" t="s">
        <v>12865</v>
      </c>
      <c r="L2275" s="236"/>
      <c r="M2275" s="237"/>
      <c r="N2275" s="237"/>
      <c r="O2275" s="237"/>
      <c r="P2275" s="237"/>
      <c r="Q2275" s="237"/>
      <c r="R2275" s="237"/>
      <c r="S2275" s="237"/>
      <c r="T2275" s="237"/>
      <c r="U2275" s="237"/>
      <c r="V2275" s="237"/>
      <c r="W2275" s="237"/>
      <c r="X2275" s="237"/>
      <c r="Y2275" s="237"/>
      <c r="Z2275" s="237"/>
      <c r="AA2275" s="237"/>
      <c r="AB2275" s="237"/>
    </row>
    <row r="2276">
      <c r="A2276" s="237"/>
      <c r="B2276" s="275"/>
      <c r="C2276" s="88" t="s">
        <v>12869</v>
      </c>
      <c r="D2276" s="236"/>
      <c r="E2276" s="88" t="s">
        <v>11671</v>
      </c>
      <c r="F2276" s="88" t="s">
        <v>1402</v>
      </c>
      <c r="G2276" s="88" t="s">
        <v>12870</v>
      </c>
      <c r="H2276" s="254" t="s">
        <v>12871</v>
      </c>
      <c r="I2276" s="236"/>
      <c r="J2276" s="236"/>
      <c r="K2276" s="275"/>
      <c r="L2276" s="236"/>
      <c r="M2276" s="237"/>
      <c r="N2276" s="237"/>
      <c r="O2276" s="237"/>
      <c r="P2276" s="237"/>
      <c r="Q2276" s="237"/>
      <c r="R2276" s="237"/>
      <c r="S2276" s="237"/>
      <c r="T2276" s="237"/>
      <c r="U2276" s="237"/>
      <c r="V2276" s="237"/>
      <c r="W2276" s="237"/>
      <c r="X2276" s="237"/>
      <c r="Y2276" s="237"/>
      <c r="Z2276" s="237"/>
      <c r="AA2276" s="237"/>
      <c r="AB2276" s="237"/>
    </row>
    <row r="2277">
      <c r="A2277" s="237"/>
      <c r="B2277" s="275"/>
      <c r="C2277" s="288" t="s">
        <v>12872</v>
      </c>
      <c r="D2277" s="236"/>
      <c r="E2277" s="88" t="s">
        <v>11671</v>
      </c>
      <c r="F2277" s="282" t="s">
        <v>1403</v>
      </c>
      <c r="G2277" s="88" t="s">
        <v>12873</v>
      </c>
      <c r="H2277" s="237" t="s">
        <v>12874</v>
      </c>
      <c r="I2277" s="236"/>
      <c r="J2277" s="262"/>
      <c r="K2277" s="275"/>
      <c r="L2277" s="236"/>
      <c r="M2277" s="237"/>
      <c r="N2277" s="237"/>
      <c r="O2277" s="237"/>
      <c r="P2277" s="237"/>
      <c r="Q2277" s="237"/>
      <c r="R2277" s="237"/>
      <c r="S2277" s="237"/>
      <c r="T2277" s="237"/>
      <c r="U2277" s="237"/>
      <c r="V2277" s="237"/>
      <c r="W2277" s="237"/>
      <c r="X2277" s="237"/>
      <c r="Y2277" s="237"/>
      <c r="Z2277" s="237"/>
      <c r="AA2277" s="237"/>
      <c r="AB2277" s="237"/>
    </row>
    <row r="2278">
      <c r="A2278" s="237"/>
      <c r="B2278" s="275"/>
      <c r="C2278" s="288" t="s">
        <v>12875</v>
      </c>
      <c r="D2278" s="236"/>
      <c r="E2278" s="88" t="s">
        <v>11671</v>
      </c>
      <c r="F2278" s="282" t="s">
        <v>1404</v>
      </c>
      <c r="G2278" s="236"/>
      <c r="H2278" s="237" t="s">
        <v>12876</v>
      </c>
      <c r="I2278" s="236"/>
      <c r="J2278" s="262"/>
      <c r="K2278" s="275"/>
      <c r="L2278" s="236"/>
      <c r="M2278" s="237"/>
      <c r="N2278" s="237"/>
      <c r="O2278" s="237"/>
      <c r="P2278" s="237"/>
      <c r="Q2278" s="237"/>
      <c r="R2278" s="237"/>
      <c r="S2278" s="237"/>
      <c r="T2278" s="237"/>
      <c r="U2278" s="237"/>
      <c r="V2278" s="237"/>
      <c r="W2278" s="237"/>
      <c r="X2278" s="237"/>
      <c r="Y2278" s="237"/>
      <c r="Z2278" s="237"/>
      <c r="AA2278" s="237"/>
      <c r="AB2278" s="237"/>
    </row>
    <row r="2279">
      <c r="A2279" s="237"/>
      <c r="B2279" s="277" t="s">
        <v>0</v>
      </c>
      <c r="C2279" s="287" t="s">
        <v>12877</v>
      </c>
      <c r="D2279" s="236"/>
      <c r="E2279" s="88" t="s">
        <v>11671</v>
      </c>
      <c r="F2279" s="88" t="s">
        <v>1405</v>
      </c>
      <c r="G2279" s="88" t="s">
        <v>12878</v>
      </c>
      <c r="H2279" s="236"/>
      <c r="I2279" s="236"/>
      <c r="J2279" s="262"/>
      <c r="K2279" s="277" t="s">
        <v>0</v>
      </c>
      <c r="L2279" s="236"/>
      <c r="M2279" s="237"/>
      <c r="N2279" s="237"/>
      <c r="O2279" s="237"/>
      <c r="P2279" s="237"/>
      <c r="Q2279" s="237"/>
      <c r="R2279" s="237"/>
      <c r="S2279" s="237"/>
      <c r="T2279" s="237"/>
      <c r="U2279" s="237"/>
      <c r="V2279" s="237"/>
      <c r="W2279" s="237"/>
      <c r="X2279" s="237"/>
      <c r="Y2279" s="237"/>
      <c r="Z2279" s="237"/>
      <c r="AA2279" s="237"/>
      <c r="AB2279" s="237"/>
    </row>
    <row r="2280">
      <c r="A2280" s="237"/>
      <c r="B2280" s="275"/>
      <c r="C2280" s="282" t="s">
        <v>12879</v>
      </c>
      <c r="D2280" s="236"/>
      <c r="E2280" s="88" t="s">
        <v>11671</v>
      </c>
      <c r="F2280" s="282" t="s">
        <v>1406</v>
      </c>
      <c r="G2280" s="236"/>
      <c r="H2280" s="254" t="s">
        <v>12880</v>
      </c>
      <c r="I2280" s="236"/>
      <c r="J2280" s="262"/>
      <c r="K2280" s="275"/>
      <c r="L2280" s="236"/>
      <c r="M2280" s="237"/>
      <c r="N2280" s="237"/>
      <c r="O2280" s="237"/>
      <c r="P2280" s="237"/>
      <c r="Q2280" s="237"/>
      <c r="R2280" s="237"/>
      <c r="S2280" s="237"/>
      <c r="T2280" s="237"/>
      <c r="U2280" s="237"/>
      <c r="V2280" s="237"/>
      <c r="W2280" s="237"/>
      <c r="X2280" s="237"/>
      <c r="Y2280" s="237"/>
      <c r="Z2280" s="237"/>
      <c r="AA2280" s="237"/>
      <c r="AB2280" s="237"/>
    </row>
    <row r="2281">
      <c r="A2281" s="237"/>
      <c r="B2281" s="275"/>
      <c r="C2281" s="88" t="s">
        <v>12881</v>
      </c>
      <c r="D2281" s="236"/>
      <c r="E2281" s="88" t="s">
        <v>11671</v>
      </c>
      <c r="F2281" s="88" t="s">
        <v>1407</v>
      </c>
      <c r="G2281" s="88" t="s">
        <v>12882</v>
      </c>
      <c r="H2281" s="254" t="s">
        <v>12883</v>
      </c>
      <c r="I2281" s="236"/>
      <c r="J2281" s="262"/>
      <c r="K2281" s="275"/>
      <c r="L2281" s="236"/>
      <c r="M2281" s="237"/>
      <c r="N2281" s="237"/>
      <c r="O2281" s="237"/>
      <c r="P2281" s="237"/>
      <c r="Q2281" s="237"/>
      <c r="R2281" s="237"/>
      <c r="S2281" s="237"/>
      <c r="T2281" s="237"/>
      <c r="U2281" s="237"/>
      <c r="V2281" s="237"/>
      <c r="W2281" s="237"/>
      <c r="X2281" s="237"/>
      <c r="Y2281" s="237"/>
      <c r="Z2281" s="237"/>
      <c r="AA2281" s="237"/>
      <c r="AB2281" s="237"/>
    </row>
    <row r="2282">
      <c r="A2282" s="237"/>
      <c r="B2282" s="275"/>
      <c r="C2282" s="88" t="s">
        <v>12884</v>
      </c>
      <c r="D2282" s="236"/>
      <c r="E2282" s="88" t="s">
        <v>11671</v>
      </c>
      <c r="F2282" s="254" t="s">
        <v>1408</v>
      </c>
      <c r="G2282" s="88" t="s">
        <v>12885</v>
      </c>
      <c r="H2282" s="237" t="s">
        <v>12876</v>
      </c>
      <c r="I2282" s="236"/>
      <c r="J2282" s="262"/>
      <c r="K2282" s="275"/>
      <c r="L2282" s="236"/>
      <c r="M2282" s="237"/>
      <c r="N2282" s="237"/>
      <c r="O2282" s="237"/>
      <c r="P2282" s="237"/>
      <c r="Q2282" s="237"/>
      <c r="R2282" s="237"/>
      <c r="S2282" s="237"/>
      <c r="T2282" s="237"/>
      <c r="U2282" s="237"/>
      <c r="V2282" s="237"/>
      <c r="W2282" s="237"/>
      <c r="X2282" s="237"/>
      <c r="Y2282" s="237"/>
      <c r="Z2282" s="237"/>
      <c r="AA2282" s="237"/>
      <c r="AB2282" s="237"/>
    </row>
    <row r="2283">
      <c r="A2283" s="237"/>
      <c r="B2283" s="275"/>
      <c r="C2283" s="88" t="s">
        <v>12886</v>
      </c>
      <c r="D2283" s="236"/>
      <c r="E2283" s="88" t="s">
        <v>11671</v>
      </c>
      <c r="F2283" s="88" t="s">
        <v>1409</v>
      </c>
      <c r="G2283" s="88" t="s">
        <v>12887</v>
      </c>
      <c r="H2283" s="254" t="s">
        <v>12888</v>
      </c>
      <c r="I2283" s="236"/>
      <c r="J2283" s="262"/>
      <c r="K2283" s="275"/>
      <c r="L2283" s="236"/>
      <c r="M2283" s="237"/>
      <c r="N2283" s="237"/>
      <c r="O2283" s="237"/>
      <c r="P2283" s="237"/>
      <c r="Q2283" s="237"/>
      <c r="R2283" s="237"/>
      <c r="S2283" s="237"/>
      <c r="T2283" s="237"/>
      <c r="U2283" s="237"/>
      <c r="V2283" s="237"/>
      <c r="W2283" s="237"/>
      <c r="X2283" s="237"/>
      <c r="Y2283" s="237"/>
      <c r="Z2283" s="237"/>
      <c r="AA2283" s="237"/>
      <c r="AB2283" s="237"/>
    </row>
    <row r="2284">
      <c r="A2284" s="237"/>
      <c r="B2284" s="275"/>
      <c r="C2284" s="88" t="s">
        <v>12889</v>
      </c>
      <c r="D2284" s="236"/>
      <c r="E2284" s="88" t="s">
        <v>11671</v>
      </c>
      <c r="F2284" s="88" t="s">
        <v>1410</v>
      </c>
      <c r="G2284" s="88" t="s">
        <v>12890</v>
      </c>
      <c r="H2284" s="241" t="s">
        <v>12891</v>
      </c>
      <c r="I2284" s="236"/>
      <c r="J2284" s="262"/>
      <c r="K2284" s="275"/>
      <c r="L2284" s="236"/>
      <c r="M2284" s="237"/>
      <c r="N2284" s="237"/>
      <c r="O2284" s="237"/>
      <c r="P2284" s="237"/>
      <c r="Q2284" s="237"/>
      <c r="R2284" s="237"/>
      <c r="S2284" s="237"/>
      <c r="T2284" s="237"/>
      <c r="U2284" s="237"/>
      <c r="V2284" s="237"/>
      <c r="W2284" s="237"/>
      <c r="X2284" s="237"/>
      <c r="Y2284" s="237"/>
      <c r="Z2284" s="237"/>
      <c r="AA2284" s="237"/>
      <c r="AB2284" s="237"/>
    </row>
    <row r="2285">
      <c r="A2285" s="237"/>
      <c r="B2285" s="286" t="s">
        <v>12892</v>
      </c>
      <c r="C2285" s="284" t="s">
        <v>12893</v>
      </c>
      <c r="D2285" s="236"/>
      <c r="E2285" s="88" t="s">
        <v>12867</v>
      </c>
      <c r="F2285" s="88" t="s">
        <v>1411</v>
      </c>
      <c r="G2285" s="88" t="s">
        <v>12894</v>
      </c>
      <c r="H2285" s="236"/>
      <c r="I2285" s="236"/>
      <c r="J2285" s="262"/>
      <c r="K2285" s="286" t="s">
        <v>12892</v>
      </c>
      <c r="L2285" s="236"/>
      <c r="M2285" s="237"/>
      <c r="N2285" s="237"/>
      <c r="O2285" s="237"/>
      <c r="P2285" s="237"/>
      <c r="Q2285" s="237"/>
      <c r="R2285" s="237"/>
      <c r="S2285" s="237"/>
      <c r="T2285" s="237"/>
      <c r="U2285" s="237"/>
      <c r="V2285" s="237"/>
      <c r="W2285" s="237"/>
      <c r="X2285" s="237"/>
      <c r="Y2285" s="237"/>
      <c r="Z2285" s="237"/>
      <c r="AA2285" s="237"/>
      <c r="AB2285" s="237"/>
    </row>
    <row r="2286">
      <c r="A2286" s="237"/>
      <c r="B2286" s="275"/>
      <c r="C2286" s="289" t="s">
        <v>12895</v>
      </c>
      <c r="D2286" s="236"/>
      <c r="E2286" s="88" t="s">
        <v>11671</v>
      </c>
      <c r="F2286" s="88" t="s">
        <v>1413</v>
      </c>
      <c r="G2286" s="88" t="s">
        <v>12896</v>
      </c>
      <c r="H2286" s="241" t="s">
        <v>12897</v>
      </c>
      <c r="I2286" s="236"/>
      <c r="J2286" s="290"/>
      <c r="K2286" s="275"/>
      <c r="L2286" s="237"/>
      <c r="M2286" s="237"/>
      <c r="N2286" s="237"/>
      <c r="O2286" s="237"/>
      <c r="P2286" s="237"/>
      <c r="Q2286" s="237"/>
      <c r="R2286" s="237"/>
      <c r="S2286" s="237"/>
      <c r="T2286" s="237"/>
      <c r="U2286" s="237"/>
      <c r="V2286" s="237"/>
      <c r="W2286" s="237"/>
      <c r="X2286" s="237"/>
      <c r="Y2286" s="237"/>
      <c r="Z2286" s="237"/>
      <c r="AA2286" s="237"/>
      <c r="AB2286" s="237"/>
    </row>
    <row r="2287">
      <c r="A2287" s="237"/>
      <c r="B2287" s="275"/>
      <c r="C2287" s="291"/>
      <c r="D2287" s="236"/>
      <c r="E2287" s="88" t="s">
        <v>11671</v>
      </c>
      <c r="F2287" s="88" t="s">
        <v>1414</v>
      </c>
      <c r="G2287" s="88" t="s">
        <v>12896</v>
      </c>
      <c r="H2287" s="241" t="s">
        <v>12898</v>
      </c>
      <c r="I2287" s="236"/>
      <c r="J2287" s="290"/>
      <c r="K2287" s="275"/>
      <c r="L2287" s="237"/>
      <c r="M2287" s="237"/>
      <c r="N2287" s="237"/>
      <c r="O2287" s="237"/>
      <c r="P2287" s="237"/>
      <c r="Q2287" s="237"/>
      <c r="R2287" s="237"/>
      <c r="S2287" s="237"/>
      <c r="T2287" s="237"/>
      <c r="U2287" s="237"/>
      <c r="V2287" s="237"/>
      <c r="W2287" s="237"/>
      <c r="X2287" s="237"/>
      <c r="Y2287" s="237"/>
      <c r="Z2287" s="237"/>
      <c r="AA2287" s="237"/>
      <c r="AB2287" s="237"/>
    </row>
    <row r="2288">
      <c r="A2288" s="237"/>
      <c r="B2288" s="236"/>
      <c r="C2288" s="289" t="s">
        <v>12899</v>
      </c>
      <c r="D2288" s="236"/>
      <c r="E2288" s="88" t="s">
        <v>11671</v>
      </c>
      <c r="F2288" s="88" t="s">
        <v>1415</v>
      </c>
      <c r="G2288" s="88" t="s">
        <v>12900</v>
      </c>
      <c r="H2288" s="241" t="s">
        <v>12901</v>
      </c>
      <c r="I2288" s="236"/>
      <c r="J2288" s="290"/>
      <c r="K2288" s="236"/>
      <c r="L2288" s="237"/>
      <c r="M2288" s="237"/>
      <c r="N2288" s="237"/>
      <c r="O2288" s="237"/>
      <c r="P2288" s="237"/>
      <c r="Q2288" s="237"/>
      <c r="R2288" s="237"/>
      <c r="S2288" s="237"/>
      <c r="T2288" s="237"/>
      <c r="U2288" s="237"/>
      <c r="V2288" s="237"/>
      <c r="W2288" s="237"/>
      <c r="X2288" s="237"/>
      <c r="Y2288" s="237"/>
      <c r="Z2288" s="237"/>
      <c r="AA2288" s="237"/>
      <c r="AB2288" s="237"/>
    </row>
    <row r="2289">
      <c r="A2289" s="237"/>
      <c r="B2289" s="275"/>
      <c r="C2289" s="291"/>
      <c r="D2289" s="236"/>
      <c r="E2289" s="88" t="s">
        <v>11671</v>
      </c>
      <c r="F2289" s="88" t="s">
        <v>1416</v>
      </c>
      <c r="G2289" s="88" t="s">
        <v>12900</v>
      </c>
      <c r="H2289" s="241" t="s">
        <v>12901</v>
      </c>
      <c r="I2289" s="236"/>
      <c r="J2289" s="290"/>
      <c r="K2289" s="275"/>
      <c r="L2289" s="237"/>
      <c r="M2289" s="237"/>
      <c r="N2289" s="237"/>
      <c r="O2289" s="237"/>
      <c r="P2289" s="237"/>
      <c r="Q2289" s="237"/>
      <c r="R2289" s="237"/>
      <c r="S2289" s="237"/>
      <c r="T2289" s="237"/>
      <c r="U2289" s="237"/>
      <c r="V2289" s="237"/>
      <c r="W2289" s="237"/>
      <c r="X2289" s="237"/>
      <c r="Y2289" s="237"/>
      <c r="Z2289" s="237"/>
      <c r="AA2289" s="237"/>
      <c r="AB2289" s="237"/>
    </row>
    <row r="2290">
      <c r="A2290" s="237"/>
      <c r="B2290" s="275"/>
      <c r="C2290" s="88" t="s">
        <v>12902</v>
      </c>
      <c r="D2290" s="236"/>
      <c r="E2290" s="88" t="s">
        <v>11671</v>
      </c>
      <c r="F2290" s="88" t="s">
        <v>1422</v>
      </c>
      <c r="G2290" s="88" t="s">
        <v>12903</v>
      </c>
      <c r="H2290" s="241" t="s">
        <v>12904</v>
      </c>
      <c r="I2290" s="236"/>
      <c r="J2290" s="290"/>
      <c r="K2290" s="275"/>
      <c r="L2290" s="237"/>
      <c r="M2290" s="237"/>
      <c r="N2290" s="237"/>
      <c r="O2290" s="237"/>
      <c r="P2290" s="237"/>
      <c r="Q2290" s="237"/>
      <c r="R2290" s="237"/>
      <c r="S2290" s="237"/>
      <c r="T2290" s="237"/>
      <c r="U2290" s="237"/>
      <c r="V2290" s="237"/>
      <c r="W2290" s="237"/>
      <c r="X2290" s="237"/>
      <c r="Y2290" s="237"/>
      <c r="Z2290" s="237"/>
      <c r="AA2290" s="237"/>
      <c r="AB2290" s="237"/>
    </row>
    <row r="2291">
      <c r="A2291" s="237"/>
      <c r="B2291" s="275"/>
      <c r="C2291" s="88" t="s">
        <v>12905</v>
      </c>
      <c r="D2291" s="236"/>
      <c r="E2291" s="88" t="s">
        <v>11671</v>
      </c>
      <c r="F2291" s="88" t="s">
        <v>1423</v>
      </c>
      <c r="G2291" s="88" t="s">
        <v>12906</v>
      </c>
      <c r="H2291" s="241" t="s">
        <v>12907</v>
      </c>
      <c r="I2291" s="236"/>
      <c r="J2291" s="290"/>
      <c r="K2291" s="275"/>
      <c r="L2291" s="237"/>
      <c r="M2291" s="237"/>
      <c r="N2291" s="237"/>
      <c r="O2291" s="237"/>
      <c r="P2291" s="237"/>
      <c r="Q2291" s="237"/>
      <c r="R2291" s="237"/>
      <c r="S2291" s="237"/>
      <c r="T2291" s="237"/>
      <c r="U2291" s="237"/>
      <c r="V2291" s="237"/>
      <c r="W2291" s="237"/>
      <c r="X2291" s="237"/>
      <c r="Y2291" s="237"/>
      <c r="Z2291" s="237"/>
      <c r="AA2291" s="237"/>
      <c r="AB2291" s="237"/>
    </row>
    <row r="2292">
      <c r="A2292" s="237"/>
      <c r="B2292" s="275"/>
      <c r="C2292" s="88" t="s">
        <v>12908</v>
      </c>
      <c r="D2292" s="236"/>
      <c r="E2292" s="88" t="s">
        <v>11671</v>
      </c>
      <c r="F2292" s="88" t="s">
        <v>1424</v>
      </c>
      <c r="G2292" s="88" t="s">
        <v>12909</v>
      </c>
      <c r="H2292" s="241" t="s">
        <v>12910</v>
      </c>
      <c r="I2292" s="236"/>
      <c r="J2292" s="290"/>
      <c r="K2292" s="275"/>
      <c r="L2292" s="237"/>
      <c r="M2292" s="237"/>
      <c r="N2292" s="237"/>
      <c r="O2292" s="237"/>
      <c r="P2292" s="237"/>
      <c r="Q2292" s="237"/>
      <c r="R2292" s="237"/>
      <c r="S2292" s="237"/>
      <c r="T2292" s="237"/>
      <c r="U2292" s="237"/>
      <c r="V2292" s="237"/>
      <c r="W2292" s="237"/>
      <c r="X2292" s="237"/>
      <c r="Y2292" s="237"/>
      <c r="Z2292" s="237"/>
      <c r="AA2292" s="237"/>
      <c r="AB2292" s="237"/>
    </row>
    <row r="2293">
      <c r="A2293" s="237"/>
      <c r="B2293" s="275"/>
      <c r="C2293" s="88" t="s">
        <v>12911</v>
      </c>
      <c r="D2293" s="236"/>
      <c r="E2293" s="88" t="s">
        <v>1420</v>
      </c>
      <c r="F2293" s="88" t="s">
        <v>1425</v>
      </c>
      <c r="G2293" s="88" t="s">
        <v>12912</v>
      </c>
      <c r="H2293" s="241" t="s">
        <v>12913</v>
      </c>
      <c r="I2293" s="236"/>
      <c r="J2293" s="290"/>
      <c r="K2293" s="275"/>
      <c r="L2293" s="237"/>
      <c r="M2293" s="237"/>
      <c r="N2293" s="237"/>
      <c r="O2293" s="237"/>
      <c r="P2293" s="237"/>
      <c r="Q2293" s="237"/>
      <c r="R2293" s="237"/>
      <c r="S2293" s="237"/>
      <c r="T2293" s="237"/>
      <c r="U2293" s="237"/>
      <c r="V2293" s="237"/>
      <c r="W2293" s="237"/>
      <c r="X2293" s="237"/>
      <c r="Y2293" s="237"/>
      <c r="Z2293" s="237"/>
      <c r="AA2293" s="237"/>
      <c r="AB2293" s="237"/>
    </row>
    <row r="2294">
      <c r="A2294" s="237"/>
      <c r="B2294" s="275"/>
      <c r="C2294" s="88" t="s">
        <v>12914</v>
      </c>
      <c r="D2294" s="236"/>
      <c r="E2294" s="88" t="s">
        <v>12915</v>
      </c>
      <c r="F2294" s="88" t="s">
        <v>1426</v>
      </c>
      <c r="G2294" s="88" t="s">
        <v>12916</v>
      </c>
      <c r="H2294" s="236"/>
      <c r="I2294" s="236"/>
      <c r="J2294" s="290"/>
      <c r="K2294" s="275"/>
      <c r="L2294" s="237"/>
      <c r="M2294" s="237"/>
      <c r="N2294" s="237"/>
      <c r="O2294" s="237"/>
      <c r="P2294" s="237"/>
      <c r="Q2294" s="237"/>
      <c r="R2294" s="237"/>
      <c r="S2294" s="237"/>
      <c r="T2294" s="237"/>
      <c r="U2294" s="237"/>
      <c r="V2294" s="237"/>
      <c r="W2294" s="237"/>
      <c r="X2294" s="237"/>
      <c r="Y2294" s="237"/>
      <c r="Z2294" s="237"/>
      <c r="AA2294" s="237"/>
      <c r="AB2294" s="237"/>
    </row>
    <row r="2295">
      <c r="A2295" s="237"/>
      <c r="B2295" s="277" t="s">
        <v>12917</v>
      </c>
      <c r="C2295" s="88" t="s">
        <v>12918</v>
      </c>
      <c r="D2295" s="236"/>
      <c r="E2295" s="88" t="s">
        <v>12390</v>
      </c>
      <c r="F2295" s="88" t="s">
        <v>1428</v>
      </c>
      <c r="G2295" s="88" t="s">
        <v>12919</v>
      </c>
      <c r="H2295" s="236"/>
      <c r="I2295" s="236"/>
      <c r="J2295" s="290"/>
      <c r="K2295" s="277" t="s">
        <v>12917</v>
      </c>
      <c r="L2295" s="237"/>
      <c r="M2295" s="237"/>
      <c r="N2295" s="237"/>
      <c r="O2295" s="237"/>
      <c r="P2295" s="237"/>
      <c r="Q2295" s="237"/>
      <c r="R2295" s="237"/>
      <c r="S2295" s="237"/>
      <c r="T2295" s="237"/>
      <c r="U2295" s="237"/>
      <c r="V2295" s="237"/>
      <c r="W2295" s="237"/>
      <c r="X2295" s="237"/>
      <c r="Y2295" s="237"/>
      <c r="Z2295" s="237"/>
      <c r="AA2295" s="237"/>
      <c r="AB2295" s="237"/>
    </row>
    <row r="2296">
      <c r="A2296" s="237"/>
      <c r="B2296" s="275"/>
      <c r="C2296" s="88" t="s">
        <v>12920</v>
      </c>
      <c r="D2296" s="236"/>
      <c r="E2296" s="88" t="s">
        <v>1420</v>
      </c>
      <c r="F2296" s="88" t="s">
        <v>1429</v>
      </c>
      <c r="G2296" s="88" t="s">
        <v>12921</v>
      </c>
      <c r="H2296" s="241" t="s">
        <v>12922</v>
      </c>
      <c r="I2296" s="236"/>
      <c r="J2296" s="290"/>
      <c r="K2296" s="275"/>
      <c r="L2296" s="237"/>
      <c r="M2296" s="237"/>
      <c r="N2296" s="237"/>
      <c r="O2296" s="237"/>
      <c r="P2296" s="237"/>
      <c r="Q2296" s="237"/>
      <c r="R2296" s="237"/>
      <c r="S2296" s="237"/>
      <c r="T2296" s="237"/>
      <c r="U2296" s="237"/>
      <c r="V2296" s="237"/>
      <c r="W2296" s="237"/>
      <c r="X2296" s="237"/>
      <c r="Y2296" s="237"/>
      <c r="Z2296" s="237"/>
      <c r="AA2296" s="237"/>
      <c r="AB2296" s="237"/>
    </row>
    <row r="2297">
      <c r="A2297" s="237"/>
      <c r="B2297" s="275"/>
      <c r="C2297" s="88" t="s">
        <v>12923</v>
      </c>
      <c r="D2297" s="236"/>
      <c r="E2297" s="88" t="s">
        <v>1420</v>
      </c>
      <c r="F2297" s="88" t="s">
        <v>1430</v>
      </c>
      <c r="G2297" s="88" t="s">
        <v>12924</v>
      </c>
      <c r="H2297" s="241" t="s">
        <v>12925</v>
      </c>
      <c r="I2297" s="236"/>
      <c r="J2297" s="290"/>
      <c r="K2297" s="275"/>
      <c r="L2297" s="237"/>
      <c r="M2297" s="237"/>
      <c r="N2297" s="237"/>
      <c r="O2297" s="237"/>
      <c r="P2297" s="237"/>
      <c r="Q2297" s="237"/>
      <c r="R2297" s="237"/>
      <c r="S2297" s="237"/>
      <c r="T2297" s="237"/>
      <c r="U2297" s="237"/>
      <c r="V2297" s="237"/>
      <c r="W2297" s="237"/>
      <c r="X2297" s="237"/>
      <c r="Y2297" s="237"/>
      <c r="Z2297" s="237"/>
      <c r="AA2297" s="237"/>
      <c r="AB2297" s="237"/>
    </row>
    <row r="2298">
      <c r="A2298" s="237"/>
      <c r="B2298" s="275"/>
      <c r="C2298" s="88" t="s">
        <v>12926</v>
      </c>
      <c r="D2298" s="236"/>
      <c r="E2298" s="88" t="s">
        <v>1420</v>
      </c>
      <c r="F2298" s="88" t="s">
        <v>1431</v>
      </c>
      <c r="G2298" s="88" t="s">
        <v>12927</v>
      </c>
      <c r="H2298" s="241" t="s">
        <v>12928</v>
      </c>
      <c r="I2298" s="236"/>
      <c r="J2298" s="290"/>
      <c r="K2298" s="275"/>
      <c r="L2298" s="237"/>
      <c r="M2298" s="237"/>
      <c r="N2298" s="237"/>
      <c r="O2298" s="237"/>
      <c r="P2298" s="237"/>
      <c r="Q2298" s="237"/>
      <c r="R2298" s="237"/>
      <c r="S2298" s="237"/>
      <c r="T2298" s="237"/>
      <c r="U2298" s="237"/>
      <c r="V2298" s="237"/>
      <c r="W2298" s="237"/>
      <c r="X2298" s="237"/>
      <c r="Y2298" s="237"/>
      <c r="Z2298" s="237"/>
      <c r="AA2298" s="237"/>
      <c r="AB2298" s="237"/>
    </row>
    <row r="2299">
      <c r="A2299" s="237"/>
      <c r="B2299" s="275"/>
      <c r="C2299" s="88" t="s">
        <v>12929</v>
      </c>
      <c r="D2299" s="236"/>
      <c r="E2299" s="88" t="s">
        <v>1420</v>
      </c>
      <c r="F2299" s="88" t="s">
        <v>1432</v>
      </c>
      <c r="G2299" s="88" t="s">
        <v>12930</v>
      </c>
      <c r="H2299" s="241" t="s">
        <v>12931</v>
      </c>
      <c r="I2299" s="236"/>
      <c r="J2299" s="290"/>
      <c r="K2299" s="275"/>
      <c r="L2299" s="237"/>
      <c r="M2299" s="237"/>
      <c r="N2299" s="237"/>
      <c r="O2299" s="237"/>
      <c r="P2299" s="237"/>
      <c r="Q2299" s="237"/>
      <c r="R2299" s="237"/>
      <c r="S2299" s="237"/>
      <c r="T2299" s="237"/>
      <c r="U2299" s="237"/>
      <c r="V2299" s="237"/>
      <c r="W2299" s="237"/>
      <c r="X2299" s="237"/>
      <c r="Y2299" s="237"/>
      <c r="Z2299" s="237"/>
      <c r="AA2299" s="237"/>
      <c r="AB2299" s="237"/>
    </row>
    <row r="2300">
      <c r="A2300" s="237"/>
      <c r="B2300" s="275"/>
      <c r="C2300" s="88" t="s">
        <v>12932</v>
      </c>
      <c r="D2300" s="236"/>
      <c r="E2300" s="88" t="s">
        <v>1420</v>
      </c>
      <c r="F2300" s="88" t="s">
        <v>1433</v>
      </c>
      <c r="G2300" s="88" t="s">
        <v>12933</v>
      </c>
      <c r="H2300" s="241" t="s">
        <v>12934</v>
      </c>
      <c r="I2300" s="236"/>
      <c r="J2300" s="290"/>
      <c r="K2300" s="275"/>
      <c r="L2300" s="237"/>
      <c r="M2300" s="237"/>
      <c r="N2300" s="237"/>
      <c r="O2300" s="237"/>
      <c r="P2300" s="237"/>
      <c r="Q2300" s="237"/>
      <c r="R2300" s="237"/>
      <c r="S2300" s="237"/>
      <c r="T2300" s="237"/>
      <c r="U2300" s="237"/>
      <c r="V2300" s="237"/>
      <c r="W2300" s="237"/>
      <c r="X2300" s="237"/>
      <c r="Y2300" s="237"/>
      <c r="Z2300" s="237"/>
      <c r="AA2300" s="237"/>
      <c r="AB2300" s="237"/>
    </row>
    <row r="2301">
      <c r="A2301" s="237"/>
      <c r="B2301" s="275"/>
      <c r="C2301" s="88" t="s">
        <v>12935</v>
      </c>
      <c r="D2301" s="236"/>
      <c r="E2301" s="88" t="s">
        <v>1420</v>
      </c>
      <c r="F2301" s="88" t="s">
        <v>1434</v>
      </c>
      <c r="G2301" s="88" t="s">
        <v>12936</v>
      </c>
      <c r="H2301" s="241" t="s">
        <v>12937</v>
      </c>
      <c r="I2301" s="236"/>
      <c r="J2301" s="290"/>
      <c r="K2301" s="275"/>
      <c r="L2301" s="237"/>
      <c r="M2301" s="237"/>
      <c r="N2301" s="237"/>
      <c r="O2301" s="237"/>
      <c r="P2301" s="237"/>
      <c r="Q2301" s="237"/>
      <c r="R2301" s="237"/>
      <c r="S2301" s="237"/>
      <c r="T2301" s="237"/>
      <c r="U2301" s="237"/>
      <c r="V2301" s="237"/>
      <c r="W2301" s="237"/>
      <c r="X2301" s="237"/>
      <c r="Y2301" s="237"/>
      <c r="Z2301" s="237"/>
      <c r="AA2301" s="237"/>
      <c r="AB2301" s="237"/>
    </row>
    <row r="2302">
      <c r="A2302" s="237"/>
      <c r="B2302" s="275"/>
      <c r="C2302" s="88" t="s">
        <v>12938</v>
      </c>
      <c r="D2302" s="236"/>
      <c r="E2302" s="88" t="s">
        <v>1420</v>
      </c>
      <c r="F2302" s="88" t="s">
        <v>1435</v>
      </c>
      <c r="G2302" s="88" t="s">
        <v>12939</v>
      </c>
      <c r="H2302" s="241" t="s">
        <v>12940</v>
      </c>
      <c r="I2302" s="236"/>
      <c r="J2302" s="290"/>
      <c r="K2302" s="275"/>
      <c r="L2302" s="237"/>
      <c r="M2302" s="237"/>
      <c r="N2302" s="237"/>
      <c r="O2302" s="237"/>
      <c r="P2302" s="237"/>
      <c r="Q2302" s="237"/>
      <c r="R2302" s="237"/>
      <c r="S2302" s="237"/>
      <c r="T2302" s="237"/>
      <c r="U2302" s="237"/>
      <c r="V2302" s="237"/>
      <c r="W2302" s="237"/>
      <c r="X2302" s="237"/>
      <c r="Y2302" s="237"/>
      <c r="Z2302" s="237"/>
      <c r="AA2302" s="237"/>
      <c r="AB2302" s="237"/>
    </row>
    <row r="2303">
      <c r="A2303" s="237"/>
      <c r="B2303" s="275"/>
      <c r="C2303" s="88" t="s">
        <v>12941</v>
      </c>
      <c r="D2303" s="236"/>
      <c r="E2303" s="88" t="s">
        <v>1420</v>
      </c>
      <c r="F2303" s="88" t="s">
        <v>1436</v>
      </c>
      <c r="G2303" s="88" t="s">
        <v>12942</v>
      </c>
      <c r="H2303" s="241" t="s">
        <v>12943</v>
      </c>
      <c r="I2303" s="236"/>
      <c r="J2303" s="290"/>
      <c r="K2303" s="275"/>
      <c r="L2303" s="237"/>
      <c r="M2303" s="237"/>
      <c r="N2303" s="237"/>
      <c r="O2303" s="237"/>
      <c r="P2303" s="237"/>
      <c r="Q2303" s="237"/>
      <c r="R2303" s="237"/>
      <c r="S2303" s="237"/>
      <c r="T2303" s="237"/>
      <c r="U2303" s="237"/>
      <c r="V2303" s="237"/>
      <c r="W2303" s="237"/>
      <c r="X2303" s="237"/>
      <c r="Y2303" s="237"/>
      <c r="Z2303" s="237"/>
      <c r="AA2303" s="237"/>
      <c r="AB2303" s="237"/>
    </row>
    <row r="2304">
      <c r="A2304" s="237"/>
      <c r="B2304" s="275"/>
      <c r="C2304" s="88" t="s">
        <v>12944</v>
      </c>
      <c r="D2304" s="236"/>
      <c r="E2304" s="88" t="s">
        <v>1420</v>
      </c>
      <c r="F2304" s="88" t="s">
        <v>1437</v>
      </c>
      <c r="G2304" s="88" t="s">
        <v>12945</v>
      </c>
      <c r="H2304" s="241" t="s">
        <v>12946</v>
      </c>
      <c r="I2304" s="236"/>
      <c r="J2304" s="290"/>
      <c r="K2304" s="275"/>
      <c r="L2304" s="237"/>
      <c r="M2304" s="237"/>
      <c r="N2304" s="237"/>
      <c r="O2304" s="237"/>
      <c r="P2304" s="237"/>
      <c r="Q2304" s="237"/>
      <c r="R2304" s="237"/>
      <c r="S2304" s="237"/>
      <c r="T2304" s="237"/>
      <c r="U2304" s="237"/>
      <c r="V2304" s="237"/>
      <c r="W2304" s="237"/>
      <c r="X2304" s="237"/>
      <c r="Y2304" s="237"/>
      <c r="Z2304" s="237"/>
      <c r="AA2304" s="237"/>
      <c r="AB2304" s="237"/>
    </row>
    <row r="2305">
      <c r="A2305" s="237"/>
      <c r="B2305" s="275"/>
      <c r="C2305" s="88" t="s">
        <v>12947</v>
      </c>
      <c r="D2305" s="236"/>
      <c r="E2305" s="88" t="s">
        <v>1420</v>
      </c>
      <c r="F2305" s="88" t="s">
        <v>1438</v>
      </c>
      <c r="G2305" s="88" t="s">
        <v>12948</v>
      </c>
      <c r="H2305" s="241" t="s">
        <v>12949</v>
      </c>
      <c r="I2305" s="236"/>
      <c r="J2305" s="290"/>
      <c r="K2305" s="275"/>
      <c r="L2305" s="237"/>
      <c r="M2305" s="237"/>
      <c r="N2305" s="237"/>
      <c r="O2305" s="237"/>
      <c r="P2305" s="237"/>
      <c r="Q2305" s="237"/>
      <c r="R2305" s="237"/>
      <c r="S2305" s="237"/>
      <c r="T2305" s="237"/>
      <c r="U2305" s="237"/>
      <c r="V2305" s="237"/>
      <c r="W2305" s="237"/>
      <c r="X2305" s="237"/>
      <c r="Y2305" s="237"/>
      <c r="Z2305" s="237"/>
      <c r="AA2305" s="237"/>
      <c r="AB2305" s="237"/>
    </row>
    <row r="2306">
      <c r="A2306" s="237"/>
      <c r="B2306" s="275"/>
      <c r="C2306" s="88" t="s">
        <v>12950</v>
      </c>
      <c r="D2306" s="236"/>
      <c r="E2306" s="88" t="s">
        <v>1420</v>
      </c>
      <c r="F2306" s="88" t="s">
        <v>1439</v>
      </c>
      <c r="G2306" s="88" t="s">
        <v>12951</v>
      </c>
      <c r="H2306" s="241" t="s">
        <v>12952</v>
      </c>
      <c r="I2306" s="236"/>
      <c r="J2306" s="290"/>
      <c r="K2306" s="275"/>
      <c r="L2306" s="237"/>
      <c r="M2306" s="237"/>
      <c r="N2306" s="237"/>
      <c r="O2306" s="237"/>
      <c r="P2306" s="237"/>
      <c r="Q2306" s="237"/>
      <c r="R2306" s="237"/>
      <c r="S2306" s="237"/>
      <c r="T2306" s="237"/>
      <c r="U2306" s="237"/>
      <c r="V2306" s="237"/>
      <c r="W2306" s="237"/>
      <c r="X2306" s="237"/>
      <c r="Y2306" s="237"/>
      <c r="Z2306" s="237"/>
      <c r="AA2306" s="237"/>
      <c r="AB2306" s="237"/>
    </row>
    <row r="2307">
      <c r="A2307" s="237"/>
      <c r="B2307" s="275"/>
      <c r="C2307" s="88" t="s">
        <v>12953</v>
      </c>
      <c r="D2307" s="236"/>
      <c r="E2307" s="88" t="s">
        <v>1420</v>
      </c>
      <c r="F2307" s="88" t="s">
        <v>1440</v>
      </c>
      <c r="G2307" s="88" t="s">
        <v>12954</v>
      </c>
      <c r="H2307" s="241" t="s">
        <v>12955</v>
      </c>
      <c r="I2307" s="236"/>
      <c r="J2307" s="290"/>
      <c r="K2307" s="275"/>
      <c r="L2307" s="237"/>
      <c r="M2307" s="237"/>
      <c r="N2307" s="237"/>
      <c r="O2307" s="237"/>
      <c r="P2307" s="237"/>
      <c r="Q2307" s="237"/>
      <c r="R2307" s="237"/>
      <c r="S2307" s="237"/>
      <c r="T2307" s="237"/>
      <c r="U2307" s="237"/>
      <c r="V2307" s="237"/>
      <c r="W2307" s="237"/>
      <c r="X2307" s="237"/>
      <c r="Y2307" s="237"/>
      <c r="Z2307" s="237"/>
      <c r="AA2307" s="237"/>
      <c r="AB2307" s="237"/>
    </row>
    <row r="2308">
      <c r="A2308" s="237"/>
      <c r="B2308" s="275"/>
      <c r="C2308" s="88" t="s">
        <v>12956</v>
      </c>
      <c r="D2308" s="236"/>
      <c r="E2308" s="88" t="s">
        <v>1420</v>
      </c>
      <c r="F2308" s="88" t="s">
        <v>1442</v>
      </c>
      <c r="G2308" s="88" t="s">
        <v>12957</v>
      </c>
      <c r="H2308" s="241" t="s">
        <v>12958</v>
      </c>
      <c r="I2308" s="236"/>
      <c r="J2308" s="290"/>
      <c r="K2308" s="275"/>
      <c r="L2308" s="237"/>
      <c r="M2308" s="237"/>
      <c r="N2308" s="237"/>
      <c r="O2308" s="237"/>
      <c r="P2308" s="237"/>
      <c r="Q2308" s="237"/>
      <c r="R2308" s="237"/>
      <c r="S2308" s="237"/>
      <c r="T2308" s="237"/>
      <c r="U2308" s="237"/>
      <c r="V2308" s="237"/>
      <c r="W2308" s="237"/>
      <c r="X2308" s="237"/>
      <c r="Y2308" s="237"/>
      <c r="Z2308" s="237"/>
      <c r="AA2308" s="237"/>
      <c r="AB2308" s="237"/>
    </row>
    <row r="2309">
      <c r="A2309" s="237"/>
      <c r="B2309" s="275"/>
      <c r="C2309" s="88" t="s">
        <v>12959</v>
      </c>
      <c r="D2309" s="236"/>
      <c r="E2309" s="88" t="s">
        <v>1420</v>
      </c>
      <c r="F2309" s="88" t="s">
        <v>1443</v>
      </c>
      <c r="G2309" s="88" t="s">
        <v>12960</v>
      </c>
      <c r="H2309" s="241" t="s">
        <v>12961</v>
      </c>
      <c r="I2309" s="236"/>
      <c r="J2309" s="290"/>
      <c r="K2309" s="275"/>
      <c r="L2309" s="237"/>
      <c r="M2309" s="237"/>
      <c r="N2309" s="237"/>
      <c r="O2309" s="237"/>
      <c r="P2309" s="237"/>
      <c r="Q2309" s="237"/>
      <c r="R2309" s="237"/>
      <c r="S2309" s="237"/>
      <c r="T2309" s="237"/>
      <c r="U2309" s="237"/>
      <c r="V2309" s="237"/>
      <c r="W2309" s="237"/>
      <c r="X2309" s="237"/>
      <c r="Y2309" s="237"/>
      <c r="Z2309" s="237"/>
      <c r="AA2309" s="237"/>
      <c r="AB2309" s="237"/>
    </row>
    <row r="2310">
      <c r="A2310" s="237"/>
      <c r="B2310" s="275"/>
      <c r="C2310" s="88" t="s">
        <v>12962</v>
      </c>
      <c r="D2310" s="236"/>
      <c r="E2310" s="88" t="s">
        <v>1420</v>
      </c>
      <c r="F2310" s="88" t="s">
        <v>1444</v>
      </c>
      <c r="G2310" s="88" t="s">
        <v>12963</v>
      </c>
      <c r="H2310" s="241" t="s">
        <v>12964</v>
      </c>
      <c r="I2310" s="236"/>
      <c r="J2310" s="290"/>
      <c r="K2310" s="275"/>
      <c r="L2310" s="237"/>
      <c r="M2310" s="237"/>
      <c r="N2310" s="237"/>
      <c r="O2310" s="237"/>
      <c r="P2310" s="237"/>
      <c r="Q2310" s="237"/>
      <c r="R2310" s="237"/>
      <c r="S2310" s="237"/>
      <c r="T2310" s="237"/>
      <c r="U2310" s="237"/>
      <c r="V2310" s="237"/>
      <c r="W2310" s="237"/>
      <c r="X2310" s="237"/>
      <c r="Y2310" s="237"/>
      <c r="Z2310" s="237"/>
      <c r="AA2310" s="237"/>
      <c r="AB2310" s="237"/>
    </row>
    <row r="2311">
      <c r="A2311" s="237"/>
      <c r="B2311" s="275"/>
      <c r="C2311" s="88" t="s">
        <v>12965</v>
      </c>
      <c r="D2311" s="236"/>
      <c r="E2311" s="88" t="s">
        <v>1420</v>
      </c>
      <c r="F2311" s="88" t="s">
        <v>1445</v>
      </c>
      <c r="G2311" s="88" t="s">
        <v>12966</v>
      </c>
      <c r="H2311" s="241" t="s">
        <v>12967</v>
      </c>
      <c r="I2311" s="236"/>
      <c r="J2311" s="290"/>
      <c r="K2311" s="275"/>
      <c r="L2311" s="237"/>
      <c r="M2311" s="237"/>
      <c r="N2311" s="237"/>
      <c r="O2311" s="237"/>
      <c r="P2311" s="237"/>
      <c r="Q2311" s="237"/>
      <c r="R2311" s="237"/>
      <c r="S2311" s="237"/>
      <c r="T2311" s="237"/>
      <c r="U2311" s="237"/>
      <c r="V2311" s="237"/>
      <c r="W2311" s="237"/>
      <c r="X2311" s="237"/>
      <c r="Y2311" s="237"/>
      <c r="Z2311" s="237"/>
      <c r="AA2311" s="237"/>
      <c r="AB2311" s="237"/>
    </row>
    <row r="2312">
      <c r="A2312" s="237"/>
      <c r="B2312" s="275"/>
      <c r="C2312" s="88" t="s">
        <v>12968</v>
      </c>
      <c r="D2312" s="236"/>
      <c r="E2312" s="88" t="s">
        <v>1420</v>
      </c>
      <c r="F2312" s="88" t="s">
        <v>1446</v>
      </c>
      <c r="G2312" s="88" t="s">
        <v>12969</v>
      </c>
      <c r="H2312" s="241" t="s">
        <v>12970</v>
      </c>
      <c r="I2312" s="236"/>
      <c r="J2312" s="290"/>
      <c r="K2312" s="275"/>
      <c r="L2312" s="237"/>
      <c r="M2312" s="237"/>
      <c r="N2312" s="237"/>
      <c r="O2312" s="237"/>
      <c r="P2312" s="237"/>
      <c r="Q2312" s="237"/>
      <c r="R2312" s="237"/>
      <c r="S2312" s="237"/>
      <c r="T2312" s="237"/>
      <c r="U2312" s="237"/>
      <c r="V2312" s="237"/>
      <c r="W2312" s="237"/>
      <c r="X2312" s="237"/>
      <c r="Y2312" s="237"/>
      <c r="Z2312" s="237"/>
      <c r="AA2312" s="237"/>
      <c r="AB2312" s="237"/>
    </row>
    <row r="2313">
      <c r="A2313" s="237"/>
      <c r="B2313" s="275"/>
      <c r="C2313" s="88" t="s">
        <v>12971</v>
      </c>
      <c r="D2313" s="236"/>
      <c r="E2313" s="88" t="s">
        <v>1420</v>
      </c>
      <c r="F2313" s="88" t="s">
        <v>1447</v>
      </c>
      <c r="G2313" s="88" t="s">
        <v>12972</v>
      </c>
      <c r="H2313" s="241" t="s">
        <v>12973</v>
      </c>
      <c r="I2313" s="236"/>
      <c r="J2313" s="290"/>
      <c r="K2313" s="275"/>
      <c r="L2313" s="237"/>
      <c r="M2313" s="237"/>
      <c r="N2313" s="237"/>
      <c r="O2313" s="237"/>
      <c r="P2313" s="237"/>
      <c r="Q2313" s="237"/>
      <c r="R2313" s="237"/>
      <c r="S2313" s="237"/>
      <c r="T2313" s="237"/>
      <c r="U2313" s="237"/>
      <c r="V2313" s="237"/>
      <c r="W2313" s="237"/>
      <c r="X2313" s="237"/>
      <c r="Y2313" s="237"/>
      <c r="Z2313" s="237"/>
      <c r="AA2313" s="237"/>
      <c r="AB2313" s="237"/>
    </row>
    <row r="2314">
      <c r="A2314" s="237"/>
      <c r="B2314" s="275"/>
      <c r="C2314" s="289" t="s">
        <v>12974</v>
      </c>
      <c r="D2314" s="236"/>
      <c r="E2314" s="289" t="s">
        <v>11907</v>
      </c>
      <c r="F2314" s="292" t="s">
        <v>12975</v>
      </c>
      <c r="G2314" s="236"/>
      <c r="H2314" s="236"/>
      <c r="I2314" s="236"/>
      <c r="J2314" s="290"/>
      <c r="K2314" s="275"/>
      <c r="L2314" s="237"/>
      <c r="M2314" s="237"/>
      <c r="N2314" s="237"/>
      <c r="O2314" s="237"/>
      <c r="P2314" s="237"/>
      <c r="Q2314" s="237"/>
      <c r="R2314" s="237"/>
      <c r="S2314" s="237"/>
      <c r="T2314" s="237"/>
      <c r="U2314" s="237"/>
      <c r="V2314" s="237"/>
      <c r="W2314" s="237"/>
      <c r="X2314" s="237"/>
      <c r="Y2314" s="237"/>
      <c r="Z2314" s="237"/>
      <c r="AA2314" s="237"/>
      <c r="AB2314" s="237"/>
    </row>
    <row r="2315">
      <c r="A2315" s="237"/>
      <c r="B2315" s="275"/>
      <c r="C2315" s="291"/>
      <c r="D2315" s="236"/>
      <c r="E2315" s="291"/>
      <c r="F2315" s="292" t="s">
        <v>12976</v>
      </c>
      <c r="G2315" s="236"/>
      <c r="H2315" s="236"/>
      <c r="I2315" s="236"/>
      <c r="J2315" s="290"/>
      <c r="K2315" s="275"/>
      <c r="L2315" s="237"/>
      <c r="M2315" s="237"/>
      <c r="N2315" s="237"/>
      <c r="O2315" s="237"/>
      <c r="P2315" s="237"/>
      <c r="Q2315" s="237"/>
      <c r="R2315" s="237"/>
      <c r="S2315" s="237"/>
      <c r="T2315" s="237"/>
      <c r="U2315" s="237"/>
      <c r="V2315" s="237"/>
      <c r="W2315" s="237"/>
      <c r="X2315" s="237"/>
      <c r="Y2315" s="237"/>
      <c r="Z2315" s="237"/>
      <c r="AA2315" s="237"/>
      <c r="AB2315" s="237"/>
    </row>
    <row r="2316">
      <c r="A2316" s="237"/>
      <c r="B2316" s="275"/>
      <c r="C2316" s="289" t="s">
        <v>12977</v>
      </c>
      <c r="D2316" s="236"/>
      <c r="E2316" s="289" t="s">
        <v>11907</v>
      </c>
      <c r="F2316" s="289" t="s">
        <v>12978</v>
      </c>
      <c r="G2316" s="236"/>
      <c r="H2316" s="236"/>
      <c r="I2316" s="237"/>
      <c r="J2316" s="290"/>
      <c r="K2316" s="275"/>
      <c r="L2316" s="237"/>
      <c r="M2316" s="237"/>
      <c r="N2316" s="237"/>
      <c r="O2316" s="237"/>
      <c r="P2316" s="237"/>
      <c r="Q2316" s="237"/>
      <c r="R2316" s="237"/>
      <c r="S2316" s="237"/>
      <c r="T2316" s="237"/>
      <c r="U2316" s="237"/>
      <c r="V2316" s="237"/>
      <c r="W2316" s="237"/>
      <c r="X2316" s="237"/>
      <c r="Y2316" s="237"/>
      <c r="Z2316" s="237"/>
      <c r="AA2316" s="237"/>
      <c r="AB2316" s="237"/>
    </row>
    <row r="2317">
      <c r="A2317" s="237"/>
      <c r="B2317" s="275"/>
      <c r="C2317" s="293"/>
      <c r="D2317" s="236"/>
      <c r="E2317" s="293"/>
      <c r="F2317" s="293"/>
      <c r="G2317" s="236"/>
      <c r="H2317" s="236"/>
      <c r="I2317" s="237"/>
      <c r="J2317" s="290"/>
      <c r="K2317" s="275"/>
      <c r="L2317" s="237"/>
      <c r="M2317" s="237"/>
      <c r="N2317" s="237"/>
      <c r="O2317" s="237"/>
      <c r="P2317" s="237"/>
      <c r="Q2317" s="237"/>
      <c r="R2317" s="237"/>
      <c r="S2317" s="237"/>
      <c r="T2317" s="237"/>
      <c r="U2317" s="237"/>
      <c r="V2317" s="237"/>
      <c r="W2317" s="237"/>
      <c r="X2317" s="237"/>
      <c r="Y2317" s="237"/>
      <c r="Z2317" s="237"/>
      <c r="AA2317" s="237"/>
      <c r="AB2317" s="237"/>
    </row>
    <row r="2318">
      <c r="A2318" s="237"/>
      <c r="B2318" s="275"/>
      <c r="C2318" s="291"/>
      <c r="D2318" s="236"/>
      <c r="E2318" s="291"/>
      <c r="F2318" s="291"/>
      <c r="G2318" s="236"/>
      <c r="H2318" s="236"/>
      <c r="I2318" s="237"/>
      <c r="J2318" s="290"/>
      <c r="K2318" s="275"/>
      <c r="L2318" s="237"/>
      <c r="M2318" s="237"/>
      <c r="N2318" s="237"/>
      <c r="O2318" s="237"/>
      <c r="P2318" s="237"/>
      <c r="Q2318" s="237"/>
      <c r="R2318" s="237"/>
      <c r="S2318" s="237"/>
      <c r="T2318" s="237"/>
      <c r="U2318" s="237"/>
      <c r="V2318" s="237"/>
      <c r="W2318" s="237"/>
      <c r="X2318" s="237"/>
      <c r="Y2318" s="237"/>
      <c r="Z2318" s="237"/>
      <c r="AA2318" s="237"/>
      <c r="AB2318" s="237"/>
    </row>
    <row r="2319">
      <c r="A2319" s="237"/>
      <c r="B2319" s="275"/>
      <c r="C2319" s="289" t="s">
        <v>12979</v>
      </c>
      <c r="D2319" s="236"/>
      <c r="E2319" s="289" t="s">
        <v>11671</v>
      </c>
      <c r="F2319" s="289" t="s">
        <v>12980</v>
      </c>
      <c r="G2319" s="237"/>
      <c r="H2319" s="237" t="s">
        <v>12981</v>
      </c>
      <c r="I2319" s="237"/>
      <c r="J2319" s="290"/>
      <c r="K2319" s="275"/>
      <c r="L2319" s="237"/>
      <c r="M2319" s="237"/>
      <c r="N2319" s="237"/>
      <c r="O2319" s="237"/>
      <c r="P2319" s="237"/>
      <c r="Q2319" s="237"/>
      <c r="R2319" s="237"/>
      <c r="S2319" s="237"/>
      <c r="T2319" s="237"/>
      <c r="U2319" s="237"/>
      <c r="V2319" s="237"/>
      <c r="W2319" s="237"/>
      <c r="X2319" s="237"/>
      <c r="Y2319" s="237"/>
      <c r="Z2319" s="237"/>
      <c r="AA2319" s="237"/>
      <c r="AB2319" s="237"/>
    </row>
    <row r="2320">
      <c r="A2320" s="237"/>
      <c r="B2320" s="275"/>
      <c r="C2320" s="291"/>
      <c r="D2320" s="236"/>
      <c r="E2320" s="291"/>
      <c r="F2320" s="291"/>
      <c r="G2320" s="237"/>
      <c r="H2320" s="254" t="s">
        <v>12981</v>
      </c>
      <c r="I2320" s="237"/>
      <c r="J2320" s="290"/>
      <c r="K2320" s="275"/>
      <c r="L2320" s="237"/>
      <c r="M2320" s="237"/>
      <c r="N2320" s="237"/>
      <c r="O2320" s="237"/>
      <c r="P2320" s="237"/>
      <c r="Q2320" s="237"/>
      <c r="R2320" s="237"/>
      <c r="S2320" s="237"/>
      <c r="T2320" s="237"/>
      <c r="U2320" s="237"/>
      <c r="V2320" s="237"/>
      <c r="W2320" s="237"/>
      <c r="X2320" s="237"/>
      <c r="Y2320" s="237"/>
      <c r="Z2320" s="237"/>
      <c r="AA2320" s="237"/>
      <c r="AB2320" s="237"/>
    </row>
    <row r="2321">
      <c r="A2321" s="237"/>
      <c r="B2321" s="275"/>
      <c r="C2321" s="289" t="s">
        <v>12982</v>
      </c>
      <c r="D2321" s="236"/>
      <c r="E2321" s="289" t="s">
        <v>11671</v>
      </c>
      <c r="F2321" s="289" t="s">
        <v>1459</v>
      </c>
      <c r="G2321" s="237"/>
      <c r="H2321" s="254" t="s">
        <v>12983</v>
      </c>
      <c r="I2321" s="237"/>
      <c r="J2321" s="290"/>
      <c r="K2321" s="275"/>
      <c r="L2321" s="237"/>
      <c r="M2321" s="237"/>
      <c r="N2321" s="237"/>
      <c r="O2321" s="237"/>
      <c r="P2321" s="237"/>
      <c r="Q2321" s="237"/>
      <c r="R2321" s="237"/>
      <c r="S2321" s="237"/>
      <c r="T2321" s="237"/>
      <c r="U2321" s="237"/>
      <c r="V2321" s="237"/>
      <c r="W2321" s="237"/>
      <c r="X2321" s="237"/>
      <c r="Y2321" s="237"/>
      <c r="Z2321" s="237"/>
      <c r="AA2321" s="237"/>
      <c r="AB2321" s="237"/>
    </row>
    <row r="2322">
      <c r="A2322" s="237"/>
      <c r="B2322" s="275"/>
      <c r="C2322" s="291"/>
      <c r="D2322" s="236"/>
      <c r="E2322" s="291"/>
      <c r="F2322" s="291"/>
      <c r="G2322" s="237"/>
      <c r="H2322" s="254" t="s">
        <v>12983</v>
      </c>
      <c r="I2322" s="237"/>
      <c r="J2322" s="290"/>
      <c r="K2322" s="275"/>
      <c r="L2322" s="237"/>
      <c r="M2322" s="237"/>
      <c r="N2322" s="237"/>
      <c r="O2322" s="237"/>
      <c r="P2322" s="237"/>
      <c r="Q2322" s="237"/>
      <c r="R2322" s="237"/>
      <c r="S2322" s="237"/>
      <c r="T2322" s="237"/>
      <c r="U2322" s="237"/>
      <c r="V2322" s="237"/>
      <c r="W2322" s="237"/>
      <c r="X2322" s="237"/>
      <c r="Y2322" s="237"/>
      <c r="Z2322" s="237"/>
      <c r="AA2322" s="237"/>
      <c r="AB2322" s="237"/>
    </row>
    <row r="2323">
      <c r="A2323" s="237"/>
      <c r="B2323" s="275"/>
      <c r="C2323" s="289" t="s">
        <v>12984</v>
      </c>
      <c r="D2323" s="236"/>
      <c r="E2323" s="289" t="s">
        <v>11671</v>
      </c>
      <c r="F2323" s="289" t="s">
        <v>12985</v>
      </c>
      <c r="G2323" s="237"/>
      <c r="H2323" s="254" t="s">
        <v>12986</v>
      </c>
      <c r="I2323" s="237"/>
      <c r="J2323" s="290"/>
      <c r="K2323" s="275"/>
      <c r="L2323" s="237"/>
      <c r="M2323" s="237"/>
      <c r="N2323" s="237"/>
      <c r="O2323" s="237"/>
      <c r="P2323" s="237"/>
      <c r="Q2323" s="237"/>
      <c r="R2323" s="237"/>
      <c r="S2323" s="237"/>
      <c r="T2323" s="237"/>
      <c r="U2323" s="237"/>
      <c r="V2323" s="237"/>
      <c r="W2323" s="237"/>
      <c r="X2323" s="237"/>
      <c r="Y2323" s="237"/>
      <c r="Z2323" s="237"/>
      <c r="AA2323" s="237"/>
      <c r="AB2323" s="237"/>
    </row>
    <row r="2324">
      <c r="A2324" s="237"/>
      <c r="B2324" s="275"/>
      <c r="C2324" s="291"/>
      <c r="D2324" s="236"/>
      <c r="E2324" s="291"/>
      <c r="F2324" s="291"/>
      <c r="G2324" s="237"/>
      <c r="H2324" s="254" t="s">
        <v>12986</v>
      </c>
      <c r="I2324" s="237"/>
      <c r="J2324" s="290"/>
      <c r="K2324" s="275"/>
      <c r="L2324" s="237"/>
      <c r="M2324" s="237"/>
      <c r="N2324" s="237"/>
      <c r="O2324" s="237"/>
      <c r="P2324" s="237"/>
      <c r="Q2324" s="237"/>
      <c r="R2324" s="237"/>
      <c r="S2324" s="237"/>
      <c r="T2324" s="237"/>
      <c r="U2324" s="237"/>
      <c r="V2324" s="237"/>
      <c r="W2324" s="237"/>
      <c r="X2324" s="237"/>
      <c r="Y2324" s="237"/>
      <c r="Z2324" s="237"/>
      <c r="AA2324" s="237"/>
      <c r="AB2324" s="237"/>
    </row>
    <row r="2325">
      <c r="A2325" s="237"/>
      <c r="B2325" s="275"/>
      <c r="C2325" s="289" t="s">
        <v>12987</v>
      </c>
      <c r="D2325" s="236"/>
      <c r="E2325" s="289" t="s">
        <v>11671</v>
      </c>
      <c r="F2325" s="289" t="s">
        <v>12988</v>
      </c>
      <c r="G2325" s="236"/>
      <c r="H2325" s="236"/>
      <c r="I2325" s="237"/>
      <c r="J2325" s="290"/>
      <c r="K2325" s="275"/>
      <c r="L2325" s="237"/>
      <c r="M2325" s="237"/>
      <c r="N2325" s="237"/>
      <c r="O2325" s="237"/>
      <c r="P2325" s="237"/>
      <c r="Q2325" s="237"/>
      <c r="R2325" s="237"/>
      <c r="S2325" s="237"/>
      <c r="T2325" s="237"/>
      <c r="U2325" s="237"/>
      <c r="V2325" s="237"/>
      <c r="W2325" s="237"/>
      <c r="X2325" s="237"/>
      <c r="Y2325" s="237"/>
      <c r="Z2325" s="237"/>
      <c r="AA2325" s="237"/>
      <c r="AB2325" s="237"/>
    </row>
    <row r="2326">
      <c r="A2326" s="237"/>
      <c r="B2326" s="275"/>
      <c r="C2326" s="291"/>
      <c r="D2326" s="236"/>
      <c r="E2326" s="291"/>
      <c r="F2326" s="291"/>
      <c r="G2326" s="236"/>
      <c r="H2326" s="236"/>
      <c r="I2326" s="237"/>
      <c r="J2326" s="290"/>
      <c r="K2326" s="275"/>
      <c r="L2326" s="237"/>
      <c r="M2326" s="237"/>
      <c r="N2326" s="237"/>
      <c r="O2326" s="237"/>
      <c r="P2326" s="237"/>
      <c r="Q2326" s="237"/>
      <c r="R2326" s="237"/>
      <c r="S2326" s="237"/>
      <c r="T2326" s="237"/>
      <c r="U2326" s="237"/>
      <c r="V2326" s="237"/>
      <c r="W2326" s="237"/>
      <c r="X2326" s="237"/>
      <c r="Y2326" s="237"/>
      <c r="Z2326" s="237"/>
      <c r="AA2326" s="237"/>
      <c r="AB2326" s="237"/>
    </row>
    <row r="2327">
      <c r="A2327" s="237"/>
      <c r="B2327" s="275"/>
      <c r="C2327" s="88" t="s">
        <v>12989</v>
      </c>
      <c r="D2327" s="236"/>
      <c r="E2327" s="241" t="s">
        <v>1420</v>
      </c>
      <c r="F2327" s="88" t="s">
        <v>12990</v>
      </c>
      <c r="G2327" s="236"/>
      <c r="H2327" s="241" t="s">
        <v>12991</v>
      </c>
      <c r="I2327" s="237"/>
      <c r="J2327" s="290"/>
      <c r="K2327" s="275"/>
      <c r="L2327" s="237"/>
      <c r="M2327" s="237"/>
      <c r="N2327" s="237"/>
      <c r="O2327" s="237"/>
      <c r="P2327" s="237"/>
      <c r="Q2327" s="237"/>
      <c r="R2327" s="237"/>
      <c r="S2327" s="237"/>
      <c r="T2327" s="237"/>
      <c r="U2327" s="237"/>
      <c r="V2327" s="237"/>
      <c r="W2327" s="237"/>
      <c r="X2327" s="237"/>
      <c r="Y2327" s="237"/>
      <c r="Z2327" s="237"/>
      <c r="AA2327" s="237"/>
      <c r="AB2327" s="237"/>
    </row>
    <row r="2328">
      <c r="A2328" s="237"/>
      <c r="B2328" s="275"/>
      <c r="C2328" s="88" t="s">
        <v>12992</v>
      </c>
      <c r="D2328" s="236"/>
      <c r="E2328" s="241" t="s">
        <v>11907</v>
      </c>
      <c r="F2328" s="88" t="s">
        <v>12993</v>
      </c>
      <c r="G2328" s="236"/>
      <c r="H2328" s="236"/>
      <c r="I2328" s="237"/>
      <c r="J2328" s="290"/>
      <c r="K2328" s="275"/>
      <c r="L2328" s="237"/>
      <c r="M2328" s="237"/>
      <c r="N2328" s="237"/>
      <c r="O2328" s="237"/>
      <c r="P2328" s="237"/>
      <c r="Q2328" s="237"/>
      <c r="R2328" s="237"/>
      <c r="S2328" s="237"/>
      <c r="T2328" s="237"/>
      <c r="U2328" s="237"/>
      <c r="V2328" s="237"/>
      <c r="W2328" s="237"/>
      <c r="X2328" s="237"/>
      <c r="Y2328" s="237"/>
      <c r="Z2328" s="237"/>
      <c r="AA2328" s="237"/>
      <c r="AB2328" s="237"/>
    </row>
    <row r="2329">
      <c r="A2329" s="237"/>
      <c r="B2329" s="275"/>
      <c r="C2329" s="88" t="s">
        <v>12994</v>
      </c>
      <c r="D2329" s="236"/>
      <c r="E2329" s="241" t="s">
        <v>1420</v>
      </c>
      <c r="F2329" s="88" t="s">
        <v>12995</v>
      </c>
      <c r="G2329" s="236"/>
      <c r="H2329" s="237"/>
      <c r="I2329" s="237"/>
      <c r="J2329" s="290"/>
      <c r="K2329" s="275"/>
      <c r="L2329" s="237"/>
      <c r="M2329" s="237"/>
      <c r="N2329" s="237"/>
      <c r="O2329" s="237"/>
      <c r="P2329" s="237"/>
      <c r="Q2329" s="237"/>
      <c r="R2329" s="237"/>
      <c r="S2329" s="237"/>
      <c r="T2329" s="237"/>
      <c r="U2329" s="237"/>
      <c r="V2329" s="237"/>
      <c r="W2329" s="237"/>
      <c r="X2329" s="237"/>
      <c r="Y2329" s="237"/>
      <c r="Z2329" s="237"/>
      <c r="AA2329" s="237"/>
      <c r="AB2329" s="237"/>
    </row>
    <row r="2330">
      <c r="A2330" s="237"/>
      <c r="B2330" s="275"/>
      <c r="C2330" s="88" t="s">
        <v>12996</v>
      </c>
      <c r="D2330" s="236"/>
      <c r="E2330" s="241" t="s">
        <v>1420</v>
      </c>
      <c r="F2330" s="88" t="s">
        <v>12997</v>
      </c>
      <c r="G2330" s="236"/>
      <c r="H2330" s="237"/>
      <c r="I2330" s="237"/>
      <c r="J2330" s="290"/>
      <c r="K2330" s="275"/>
      <c r="L2330" s="237"/>
      <c r="M2330" s="237"/>
      <c r="N2330" s="237"/>
      <c r="O2330" s="237"/>
      <c r="P2330" s="237"/>
      <c r="Q2330" s="237"/>
      <c r="R2330" s="237"/>
      <c r="S2330" s="237"/>
      <c r="T2330" s="237"/>
      <c r="U2330" s="237"/>
      <c r="V2330" s="237"/>
      <c r="W2330" s="237"/>
      <c r="X2330" s="237"/>
      <c r="Y2330" s="237"/>
      <c r="Z2330" s="237"/>
      <c r="AA2330" s="237"/>
      <c r="AB2330" s="237"/>
    </row>
    <row r="2331">
      <c r="A2331" s="237"/>
      <c r="B2331" s="275"/>
      <c r="C2331" s="88" t="s">
        <v>12998</v>
      </c>
      <c r="D2331" s="236"/>
      <c r="E2331" s="241" t="s">
        <v>1420</v>
      </c>
      <c r="F2331" s="88" t="s">
        <v>12999</v>
      </c>
      <c r="G2331" s="236"/>
      <c r="H2331" s="237"/>
      <c r="I2331" s="237"/>
      <c r="J2331" s="290"/>
      <c r="K2331" s="275"/>
      <c r="L2331" s="237"/>
      <c r="M2331" s="237"/>
      <c r="N2331" s="237"/>
      <c r="O2331" s="237"/>
      <c r="P2331" s="237"/>
      <c r="Q2331" s="237"/>
      <c r="R2331" s="237"/>
      <c r="S2331" s="237"/>
      <c r="T2331" s="237"/>
      <c r="U2331" s="237"/>
      <c r="V2331" s="237"/>
      <c r="W2331" s="237"/>
      <c r="X2331" s="237"/>
      <c r="Y2331" s="237"/>
      <c r="Z2331" s="237"/>
      <c r="AA2331" s="237"/>
      <c r="AB2331" s="237"/>
    </row>
    <row r="2332">
      <c r="A2332" s="237"/>
      <c r="B2332" s="275"/>
      <c r="C2332" s="88" t="s">
        <v>13000</v>
      </c>
      <c r="D2332" s="236"/>
      <c r="E2332" s="241" t="s">
        <v>1420</v>
      </c>
      <c r="F2332" s="88" t="s">
        <v>13001</v>
      </c>
      <c r="G2332" s="236"/>
      <c r="H2332" s="237"/>
      <c r="I2332" s="237"/>
      <c r="J2332" s="290"/>
      <c r="K2332" s="275"/>
      <c r="L2332" s="237"/>
      <c r="M2332" s="237"/>
      <c r="N2332" s="237"/>
      <c r="O2332" s="237"/>
      <c r="P2332" s="237"/>
      <c r="Q2332" s="237"/>
      <c r="R2332" s="237"/>
      <c r="S2332" s="237"/>
      <c r="T2332" s="237"/>
      <c r="U2332" s="237"/>
      <c r="V2332" s="237"/>
      <c r="W2332" s="237"/>
      <c r="X2332" s="237"/>
      <c r="Y2332" s="237"/>
      <c r="Z2332" s="237"/>
      <c r="AA2332" s="237"/>
      <c r="AB2332" s="237"/>
    </row>
    <row r="2333">
      <c r="A2333" s="237"/>
      <c r="B2333" s="275"/>
      <c r="C2333" s="88" t="s">
        <v>13002</v>
      </c>
      <c r="D2333" s="236"/>
      <c r="E2333" s="241" t="s">
        <v>11671</v>
      </c>
      <c r="F2333" s="88" t="s">
        <v>13003</v>
      </c>
      <c r="G2333" s="236"/>
      <c r="H2333" s="254" t="s">
        <v>13004</v>
      </c>
      <c r="I2333" s="237"/>
      <c r="J2333" s="290"/>
      <c r="K2333" s="275"/>
      <c r="L2333" s="237"/>
      <c r="M2333" s="237"/>
      <c r="N2333" s="237"/>
      <c r="O2333" s="237"/>
      <c r="P2333" s="237"/>
      <c r="Q2333" s="237"/>
      <c r="R2333" s="237"/>
      <c r="S2333" s="237"/>
      <c r="T2333" s="237"/>
      <c r="U2333" s="237"/>
      <c r="V2333" s="237"/>
      <c r="W2333" s="237"/>
      <c r="X2333" s="237"/>
      <c r="Y2333" s="237"/>
      <c r="Z2333" s="237"/>
      <c r="AA2333" s="237"/>
      <c r="AB2333" s="237"/>
    </row>
    <row r="2334">
      <c r="A2334" s="237"/>
      <c r="B2334" s="275"/>
      <c r="C2334" s="88" t="s">
        <v>13005</v>
      </c>
      <c r="D2334" s="236"/>
      <c r="E2334" s="241" t="s">
        <v>11671</v>
      </c>
      <c r="F2334" s="88" t="s">
        <v>13006</v>
      </c>
      <c r="G2334" s="236"/>
      <c r="H2334" s="241" t="s">
        <v>13007</v>
      </c>
      <c r="I2334" s="237"/>
      <c r="J2334" s="290"/>
      <c r="K2334" s="275"/>
      <c r="L2334" s="237"/>
      <c r="M2334" s="237"/>
      <c r="N2334" s="237"/>
      <c r="O2334" s="237"/>
      <c r="P2334" s="237"/>
      <c r="Q2334" s="237"/>
      <c r="R2334" s="237"/>
      <c r="S2334" s="237"/>
      <c r="T2334" s="237"/>
      <c r="U2334" s="237"/>
      <c r="V2334" s="237"/>
      <c r="W2334" s="237"/>
      <c r="X2334" s="237"/>
      <c r="Y2334" s="237"/>
      <c r="Z2334" s="237"/>
      <c r="AA2334" s="237"/>
      <c r="AB2334" s="237"/>
    </row>
    <row r="2335">
      <c r="A2335" s="237"/>
      <c r="B2335" s="275"/>
      <c r="C2335" s="88" t="s">
        <v>13008</v>
      </c>
      <c r="D2335" s="236"/>
      <c r="E2335" s="241" t="s">
        <v>11671</v>
      </c>
      <c r="F2335" s="88" t="s">
        <v>13009</v>
      </c>
      <c r="G2335" s="236"/>
      <c r="H2335" s="241" t="s">
        <v>13010</v>
      </c>
      <c r="I2335" s="237"/>
      <c r="J2335" s="290"/>
      <c r="K2335" s="275"/>
      <c r="L2335" s="237"/>
      <c r="M2335" s="237"/>
      <c r="N2335" s="237"/>
      <c r="O2335" s="237"/>
      <c r="P2335" s="237"/>
      <c r="Q2335" s="237"/>
      <c r="R2335" s="237"/>
      <c r="S2335" s="237"/>
      <c r="T2335" s="237"/>
      <c r="U2335" s="237"/>
      <c r="V2335" s="237"/>
      <c r="W2335" s="237"/>
      <c r="X2335" s="237"/>
      <c r="Y2335" s="237"/>
      <c r="Z2335" s="237"/>
      <c r="AA2335" s="237"/>
      <c r="AB2335" s="237"/>
    </row>
    <row r="2336">
      <c r="A2336" s="237"/>
      <c r="B2336" s="275"/>
      <c r="C2336" s="88" t="s">
        <v>13011</v>
      </c>
      <c r="D2336" s="236"/>
      <c r="E2336" s="241" t="s">
        <v>11671</v>
      </c>
      <c r="F2336" s="88" t="s">
        <v>13012</v>
      </c>
      <c r="G2336" s="236"/>
      <c r="H2336" s="254" t="s">
        <v>13013</v>
      </c>
      <c r="I2336" s="237"/>
      <c r="J2336" s="290"/>
      <c r="K2336" s="275"/>
      <c r="L2336" s="237"/>
      <c r="M2336" s="237"/>
      <c r="N2336" s="237"/>
      <c r="O2336" s="237"/>
      <c r="P2336" s="237"/>
      <c r="Q2336" s="237"/>
      <c r="R2336" s="237"/>
      <c r="S2336" s="237"/>
      <c r="T2336" s="237"/>
      <c r="U2336" s="237"/>
      <c r="V2336" s="237"/>
      <c r="W2336" s="237"/>
      <c r="X2336" s="237"/>
      <c r="Y2336" s="237"/>
      <c r="Z2336" s="237"/>
      <c r="AA2336" s="237"/>
      <c r="AB2336" s="237"/>
    </row>
    <row r="2337">
      <c r="A2337" s="237"/>
      <c r="B2337" s="275"/>
      <c r="C2337" s="88" t="s">
        <v>13014</v>
      </c>
      <c r="D2337" s="236"/>
      <c r="E2337" s="241" t="s">
        <v>11671</v>
      </c>
      <c r="F2337" s="88" t="s">
        <v>13015</v>
      </c>
      <c r="G2337" s="236"/>
      <c r="H2337" s="254" t="s">
        <v>13016</v>
      </c>
      <c r="I2337" s="237"/>
      <c r="J2337" s="290"/>
      <c r="K2337" s="275"/>
      <c r="L2337" s="237"/>
      <c r="M2337" s="237"/>
      <c r="N2337" s="237"/>
      <c r="O2337" s="237"/>
      <c r="P2337" s="237"/>
      <c r="Q2337" s="237"/>
      <c r="R2337" s="237"/>
      <c r="S2337" s="237"/>
      <c r="T2337" s="237"/>
      <c r="U2337" s="237"/>
      <c r="V2337" s="237"/>
      <c r="W2337" s="237"/>
      <c r="X2337" s="237"/>
      <c r="Y2337" s="237"/>
      <c r="Z2337" s="237"/>
      <c r="AA2337" s="237"/>
      <c r="AB2337" s="237"/>
    </row>
    <row r="2338">
      <c r="A2338" s="237"/>
      <c r="B2338" s="275"/>
      <c r="C2338" s="88" t="s">
        <v>13017</v>
      </c>
      <c r="D2338" s="236"/>
      <c r="E2338" s="241" t="s">
        <v>1420</v>
      </c>
      <c r="F2338" s="88" t="s">
        <v>1448</v>
      </c>
      <c r="G2338" s="236"/>
      <c r="H2338" s="241" t="s">
        <v>13018</v>
      </c>
      <c r="I2338" s="237"/>
      <c r="J2338" s="290"/>
      <c r="K2338" s="275"/>
      <c r="L2338" s="237"/>
      <c r="M2338" s="237"/>
      <c r="N2338" s="237"/>
      <c r="O2338" s="237"/>
      <c r="P2338" s="237"/>
      <c r="Q2338" s="237"/>
      <c r="R2338" s="237"/>
      <c r="S2338" s="237"/>
      <c r="T2338" s="237"/>
      <c r="U2338" s="237"/>
      <c r="V2338" s="237"/>
      <c r="W2338" s="237"/>
      <c r="X2338" s="237"/>
      <c r="Y2338" s="237"/>
      <c r="Z2338" s="237"/>
      <c r="AA2338" s="237"/>
      <c r="AB2338" s="237"/>
    </row>
    <row r="2339">
      <c r="A2339" s="237"/>
      <c r="B2339" s="275"/>
      <c r="C2339" s="88" t="s">
        <v>13019</v>
      </c>
      <c r="D2339" s="236"/>
      <c r="E2339" s="241" t="s">
        <v>1420</v>
      </c>
      <c r="F2339" s="88" t="s">
        <v>1449</v>
      </c>
      <c r="G2339" s="236"/>
      <c r="H2339" s="241" t="s">
        <v>13020</v>
      </c>
      <c r="I2339" s="237"/>
      <c r="J2339" s="290"/>
      <c r="K2339" s="275"/>
      <c r="L2339" s="237"/>
      <c r="M2339" s="237"/>
      <c r="N2339" s="237"/>
      <c r="O2339" s="237"/>
      <c r="P2339" s="237"/>
      <c r="Q2339" s="237"/>
      <c r="R2339" s="237"/>
      <c r="S2339" s="237"/>
      <c r="T2339" s="237"/>
      <c r="U2339" s="237"/>
      <c r="V2339" s="237"/>
      <c r="W2339" s="237"/>
      <c r="X2339" s="237"/>
      <c r="Y2339" s="237"/>
      <c r="Z2339" s="237"/>
      <c r="AA2339" s="237"/>
      <c r="AB2339" s="237"/>
    </row>
    <row r="2340">
      <c r="A2340" s="237"/>
      <c r="B2340" s="275"/>
      <c r="C2340" s="88" t="s">
        <v>13021</v>
      </c>
      <c r="D2340" s="236"/>
      <c r="E2340" s="241" t="s">
        <v>1420</v>
      </c>
      <c r="F2340" s="88" t="s">
        <v>1451</v>
      </c>
      <c r="G2340" s="236"/>
      <c r="H2340" s="241" t="s">
        <v>13022</v>
      </c>
      <c r="I2340" s="237"/>
      <c r="J2340" s="290"/>
      <c r="K2340" s="275"/>
      <c r="L2340" s="237"/>
      <c r="M2340" s="237"/>
      <c r="N2340" s="237"/>
      <c r="O2340" s="237"/>
      <c r="P2340" s="237"/>
      <c r="Q2340" s="237"/>
      <c r="R2340" s="237"/>
      <c r="S2340" s="237"/>
      <c r="T2340" s="237"/>
      <c r="U2340" s="237"/>
      <c r="V2340" s="237"/>
      <c r="W2340" s="237"/>
      <c r="X2340" s="237"/>
      <c r="Y2340" s="237"/>
      <c r="Z2340" s="237"/>
      <c r="AA2340" s="237"/>
      <c r="AB2340" s="237"/>
    </row>
    <row r="2341">
      <c r="A2341" s="237"/>
      <c r="B2341" s="275"/>
      <c r="C2341" s="88" t="s">
        <v>13023</v>
      </c>
      <c r="D2341" s="236"/>
      <c r="E2341" s="241" t="s">
        <v>1420</v>
      </c>
      <c r="F2341" s="88" t="s">
        <v>13024</v>
      </c>
      <c r="G2341" s="236"/>
      <c r="H2341" s="251" t="s">
        <v>13025</v>
      </c>
      <c r="I2341" s="237"/>
      <c r="J2341" s="290"/>
      <c r="K2341" s="275"/>
      <c r="L2341" s="237"/>
      <c r="M2341" s="237"/>
      <c r="N2341" s="237"/>
      <c r="O2341" s="237"/>
      <c r="P2341" s="237"/>
      <c r="Q2341" s="237"/>
      <c r="R2341" s="237"/>
      <c r="S2341" s="237"/>
      <c r="T2341" s="237"/>
      <c r="U2341" s="237"/>
      <c r="V2341" s="237"/>
      <c r="W2341" s="237"/>
      <c r="X2341" s="237"/>
      <c r="Y2341" s="237"/>
      <c r="Z2341" s="237"/>
      <c r="AA2341" s="237"/>
      <c r="AB2341" s="237"/>
    </row>
    <row r="2342">
      <c r="A2342" s="237"/>
      <c r="B2342" s="275"/>
      <c r="C2342" s="88" t="s">
        <v>13026</v>
      </c>
      <c r="D2342" s="236"/>
      <c r="E2342" s="241" t="s">
        <v>1420</v>
      </c>
      <c r="F2342" s="88" t="s">
        <v>13027</v>
      </c>
      <c r="G2342" s="236"/>
      <c r="H2342" s="255" t="s">
        <v>13028</v>
      </c>
      <c r="I2342" s="237"/>
      <c r="J2342" s="290"/>
      <c r="K2342" s="275"/>
      <c r="L2342" s="237"/>
      <c r="M2342" s="237"/>
      <c r="N2342" s="237"/>
      <c r="O2342" s="237"/>
      <c r="P2342" s="237"/>
      <c r="Q2342" s="237"/>
      <c r="R2342" s="237"/>
      <c r="S2342" s="237"/>
      <c r="T2342" s="237"/>
      <c r="U2342" s="237"/>
      <c r="V2342" s="237"/>
      <c r="W2342" s="237"/>
      <c r="X2342" s="237"/>
      <c r="Y2342" s="237"/>
      <c r="Z2342" s="237"/>
      <c r="AA2342" s="237"/>
      <c r="AB2342" s="237"/>
    </row>
    <row r="2343">
      <c r="A2343" s="237"/>
      <c r="B2343" s="275"/>
      <c r="C2343" s="88" t="s">
        <v>13029</v>
      </c>
      <c r="D2343" s="236"/>
      <c r="E2343" s="241" t="s">
        <v>1420</v>
      </c>
      <c r="F2343" s="88" t="s">
        <v>1458</v>
      </c>
      <c r="G2343" s="236"/>
      <c r="H2343" s="241" t="s">
        <v>13030</v>
      </c>
      <c r="I2343" s="237"/>
      <c r="J2343" s="290"/>
      <c r="K2343" s="275"/>
      <c r="L2343" s="237"/>
      <c r="M2343" s="237"/>
      <c r="N2343" s="237"/>
      <c r="O2343" s="237"/>
      <c r="P2343" s="237"/>
      <c r="Q2343" s="237"/>
      <c r="R2343" s="237"/>
      <c r="S2343" s="237"/>
      <c r="T2343" s="237"/>
      <c r="U2343" s="237"/>
      <c r="V2343" s="237"/>
      <c r="W2343" s="237"/>
      <c r="X2343" s="237"/>
      <c r="Y2343" s="237"/>
      <c r="Z2343" s="237"/>
      <c r="AA2343" s="237"/>
      <c r="AB2343" s="237"/>
    </row>
    <row r="2344">
      <c r="A2344" s="237"/>
      <c r="B2344" s="275"/>
      <c r="C2344" s="88" t="s">
        <v>13031</v>
      </c>
      <c r="D2344" s="236"/>
      <c r="E2344" s="241" t="s">
        <v>1420</v>
      </c>
      <c r="F2344" s="88" t="s">
        <v>1465</v>
      </c>
      <c r="G2344" s="236"/>
      <c r="H2344" s="241" t="s">
        <v>13032</v>
      </c>
      <c r="I2344" s="237"/>
      <c r="J2344" s="290"/>
      <c r="K2344" s="275"/>
      <c r="L2344" s="237"/>
      <c r="M2344" s="237"/>
      <c r="N2344" s="237"/>
      <c r="O2344" s="237"/>
      <c r="P2344" s="237"/>
      <c r="Q2344" s="237"/>
      <c r="R2344" s="237"/>
      <c r="S2344" s="237"/>
      <c r="T2344" s="237"/>
      <c r="U2344" s="237"/>
      <c r="V2344" s="237"/>
      <c r="W2344" s="237"/>
      <c r="X2344" s="237"/>
      <c r="Y2344" s="237"/>
      <c r="Z2344" s="237"/>
      <c r="AA2344" s="237"/>
      <c r="AB2344" s="237"/>
    </row>
    <row r="2345">
      <c r="A2345" s="237"/>
      <c r="B2345" s="275"/>
      <c r="C2345" s="88" t="s">
        <v>13033</v>
      </c>
      <c r="D2345" s="236"/>
      <c r="E2345" s="241" t="s">
        <v>11671</v>
      </c>
      <c r="F2345" s="88" t="s">
        <v>10148</v>
      </c>
      <c r="G2345" s="236"/>
      <c r="H2345" s="240" t="s">
        <v>13034</v>
      </c>
      <c r="I2345" s="237"/>
      <c r="J2345" s="290"/>
      <c r="K2345" s="275"/>
      <c r="L2345" s="237"/>
      <c r="M2345" s="237"/>
      <c r="N2345" s="237"/>
      <c r="O2345" s="237"/>
      <c r="P2345" s="237"/>
      <c r="Q2345" s="237"/>
      <c r="R2345" s="237"/>
      <c r="S2345" s="237"/>
      <c r="T2345" s="237"/>
      <c r="U2345" s="237"/>
      <c r="V2345" s="237"/>
      <c r="W2345" s="237"/>
      <c r="X2345" s="237"/>
      <c r="Y2345" s="237"/>
      <c r="Z2345" s="237"/>
      <c r="AA2345" s="237"/>
      <c r="AB2345" s="237"/>
    </row>
    <row r="2346">
      <c r="A2346" s="237"/>
      <c r="B2346" s="275"/>
      <c r="C2346" s="88" t="s">
        <v>13035</v>
      </c>
      <c r="D2346" s="236"/>
      <c r="E2346" s="241" t="s">
        <v>11671</v>
      </c>
      <c r="F2346" s="88" t="s">
        <v>13036</v>
      </c>
      <c r="G2346" s="236"/>
      <c r="H2346" s="240" t="s">
        <v>13037</v>
      </c>
      <c r="I2346" s="237"/>
      <c r="J2346" s="290"/>
      <c r="K2346" s="275"/>
      <c r="L2346" s="237"/>
      <c r="M2346" s="237"/>
      <c r="N2346" s="237"/>
      <c r="O2346" s="237"/>
      <c r="P2346" s="237"/>
      <c r="Q2346" s="237"/>
      <c r="R2346" s="237"/>
      <c r="S2346" s="237"/>
      <c r="T2346" s="237"/>
      <c r="U2346" s="237"/>
      <c r="V2346" s="237"/>
      <c r="W2346" s="237"/>
      <c r="X2346" s="237"/>
      <c r="Y2346" s="237"/>
      <c r="Z2346" s="237"/>
      <c r="AA2346" s="237"/>
      <c r="AB2346" s="237"/>
    </row>
    <row r="2347">
      <c r="A2347" s="237"/>
      <c r="B2347" s="275"/>
      <c r="C2347" s="88" t="s">
        <v>13038</v>
      </c>
      <c r="D2347" s="236"/>
      <c r="E2347" s="241" t="s">
        <v>11671</v>
      </c>
      <c r="F2347" s="88" t="s">
        <v>13039</v>
      </c>
      <c r="G2347" s="236"/>
      <c r="H2347" s="240" t="s">
        <v>13040</v>
      </c>
      <c r="I2347" s="237"/>
      <c r="J2347" s="290"/>
      <c r="K2347" s="275"/>
      <c r="L2347" s="237"/>
      <c r="M2347" s="237"/>
      <c r="N2347" s="237"/>
      <c r="O2347" s="237"/>
      <c r="P2347" s="237"/>
      <c r="Q2347" s="237"/>
      <c r="R2347" s="237"/>
      <c r="S2347" s="237"/>
      <c r="T2347" s="237"/>
      <c r="U2347" s="237"/>
      <c r="V2347" s="237"/>
      <c r="W2347" s="237"/>
      <c r="X2347" s="237"/>
      <c r="Y2347" s="237"/>
      <c r="Z2347" s="237"/>
      <c r="AA2347" s="237"/>
      <c r="AB2347" s="237"/>
    </row>
    <row r="2348">
      <c r="A2348" s="237"/>
      <c r="B2348" s="275"/>
      <c r="C2348" s="88" t="s">
        <v>13041</v>
      </c>
      <c r="D2348" s="243" t="s">
        <v>13042</v>
      </c>
      <c r="E2348" s="241" t="s">
        <v>11671</v>
      </c>
      <c r="F2348" s="88" t="s">
        <v>1483</v>
      </c>
      <c r="G2348" s="236"/>
      <c r="H2348" s="241" t="s">
        <v>13043</v>
      </c>
      <c r="I2348" s="237"/>
      <c r="J2348" s="290"/>
      <c r="K2348" s="275"/>
      <c r="L2348" s="237"/>
      <c r="M2348" s="237"/>
      <c r="N2348" s="237"/>
      <c r="O2348" s="237"/>
      <c r="P2348" s="237"/>
      <c r="Q2348" s="237"/>
      <c r="R2348" s="237"/>
      <c r="S2348" s="237"/>
      <c r="T2348" s="237"/>
      <c r="U2348" s="237"/>
      <c r="V2348" s="237"/>
      <c r="W2348" s="237"/>
      <c r="X2348" s="237"/>
      <c r="Y2348" s="237"/>
      <c r="Z2348" s="237"/>
      <c r="AA2348" s="237"/>
      <c r="AB2348" s="237"/>
    </row>
    <row r="2349">
      <c r="A2349" s="237"/>
      <c r="B2349" s="275"/>
      <c r="C2349" s="88" t="s">
        <v>13044</v>
      </c>
      <c r="D2349" s="243" t="s">
        <v>13045</v>
      </c>
      <c r="E2349" s="241" t="s">
        <v>11671</v>
      </c>
      <c r="F2349" s="88" t="s">
        <v>1484</v>
      </c>
      <c r="G2349" s="236"/>
      <c r="H2349" s="241" t="s">
        <v>13046</v>
      </c>
      <c r="I2349" s="237"/>
      <c r="J2349" s="290"/>
      <c r="K2349" s="275"/>
      <c r="L2349" s="237"/>
      <c r="M2349" s="237"/>
      <c r="N2349" s="237"/>
      <c r="O2349" s="237"/>
      <c r="P2349" s="237"/>
      <c r="Q2349" s="237"/>
      <c r="R2349" s="237"/>
      <c r="S2349" s="237"/>
      <c r="T2349" s="237"/>
      <c r="U2349" s="237"/>
      <c r="V2349" s="237"/>
      <c r="W2349" s="237"/>
      <c r="X2349" s="237"/>
      <c r="Y2349" s="237"/>
      <c r="Z2349" s="237"/>
      <c r="AA2349" s="237"/>
      <c r="AB2349" s="237"/>
    </row>
    <row r="2350">
      <c r="A2350" s="237"/>
      <c r="B2350" s="275"/>
      <c r="C2350" s="88" t="s">
        <v>13047</v>
      </c>
      <c r="D2350" s="243" t="s">
        <v>13048</v>
      </c>
      <c r="E2350" s="241" t="s">
        <v>1420</v>
      </c>
      <c r="F2350" s="88" t="s">
        <v>1485</v>
      </c>
      <c r="G2350" s="236"/>
      <c r="H2350" s="236"/>
      <c r="I2350" s="237"/>
      <c r="J2350" s="290"/>
      <c r="K2350" s="275"/>
      <c r="L2350" s="237"/>
      <c r="M2350" s="237"/>
      <c r="N2350" s="237"/>
      <c r="O2350" s="237"/>
      <c r="P2350" s="237"/>
      <c r="Q2350" s="237"/>
      <c r="R2350" s="237"/>
      <c r="S2350" s="237"/>
      <c r="T2350" s="237"/>
      <c r="U2350" s="237"/>
      <c r="V2350" s="237"/>
      <c r="W2350" s="237"/>
      <c r="X2350" s="237"/>
      <c r="Y2350" s="237"/>
      <c r="Z2350" s="237"/>
      <c r="AA2350" s="237"/>
      <c r="AB2350" s="237"/>
    </row>
    <row r="2351">
      <c r="A2351" s="237"/>
      <c r="B2351" s="275"/>
      <c r="C2351" s="88" t="s">
        <v>13049</v>
      </c>
      <c r="D2351" s="243" t="s">
        <v>13050</v>
      </c>
      <c r="E2351" s="241" t="s">
        <v>1420</v>
      </c>
      <c r="F2351" s="88" t="s">
        <v>1486</v>
      </c>
      <c r="G2351" s="236"/>
      <c r="H2351" s="236"/>
      <c r="I2351" s="237"/>
      <c r="J2351" s="290"/>
      <c r="K2351" s="275"/>
      <c r="L2351" s="237"/>
      <c r="M2351" s="237"/>
      <c r="N2351" s="237"/>
      <c r="O2351" s="237"/>
      <c r="P2351" s="237"/>
      <c r="Q2351" s="237"/>
      <c r="R2351" s="237"/>
      <c r="S2351" s="237"/>
      <c r="T2351" s="237"/>
      <c r="U2351" s="237"/>
      <c r="V2351" s="237"/>
      <c r="W2351" s="237"/>
      <c r="X2351" s="237"/>
      <c r="Y2351" s="237"/>
      <c r="Z2351" s="237"/>
      <c r="AA2351" s="237"/>
      <c r="AB2351" s="237"/>
    </row>
    <row r="2352">
      <c r="A2352" s="237"/>
      <c r="B2352" s="275"/>
      <c r="C2352" s="88" t="s">
        <v>13051</v>
      </c>
      <c r="D2352" s="243" t="s">
        <v>13052</v>
      </c>
      <c r="E2352" s="241" t="s">
        <v>1420</v>
      </c>
      <c r="F2352" s="88" t="s">
        <v>1487</v>
      </c>
      <c r="G2352" s="236"/>
      <c r="H2352" s="241" t="s">
        <v>13053</v>
      </c>
      <c r="I2352" s="237"/>
      <c r="J2352" s="290"/>
      <c r="K2352" s="275"/>
      <c r="L2352" s="237"/>
      <c r="M2352" s="237"/>
      <c r="N2352" s="237"/>
      <c r="O2352" s="237"/>
      <c r="P2352" s="237"/>
      <c r="Q2352" s="237"/>
      <c r="R2352" s="237"/>
      <c r="S2352" s="237"/>
      <c r="T2352" s="237"/>
      <c r="U2352" s="237"/>
      <c r="V2352" s="237"/>
      <c r="W2352" s="237"/>
      <c r="X2352" s="237"/>
      <c r="Y2352" s="237"/>
      <c r="Z2352" s="237"/>
      <c r="AA2352" s="237"/>
      <c r="AB2352" s="237"/>
    </row>
    <row r="2353">
      <c r="A2353" s="237"/>
      <c r="B2353" s="275"/>
      <c r="C2353" s="88" t="s">
        <v>13054</v>
      </c>
      <c r="D2353" s="243" t="s">
        <v>13055</v>
      </c>
      <c r="E2353" s="241" t="s">
        <v>1420</v>
      </c>
      <c r="F2353" s="88" t="s">
        <v>1488</v>
      </c>
      <c r="G2353" s="236"/>
      <c r="H2353" s="241" t="s">
        <v>13056</v>
      </c>
      <c r="I2353" s="237"/>
      <c r="J2353" s="290"/>
      <c r="K2353" s="275"/>
      <c r="L2353" s="237"/>
      <c r="M2353" s="237"/>
      <c r="N2353" s="237"/>
      <c r="O2353" s="237"/>
      <c r="P2353" s="237"/>
      <c r="Q2353" s="237"/>
      <c r="R2353" s="237"/>
      <c r="S2353" s="237"/>
      <c r="T2353" s="237"/>
      <c r="U2353" s="237"/>
      <c r="V2353" s="237"/>
      <c r="W2353" s="237"/>
      <c r="X2353" s="237"/>
      <c r="Y2353" s="237"/>
      <c r="Z2353" s="237"/>
      <c r="AA2353" s="237"/>
      <c r="AB2353" s="237"/>
    </row>
    <row r="2354">
      <c r="A2354" s="237"/>
      <c r="B2354" s="275"/>
      <c r="C2354" s="236"/>
      <c r="D2354" s="236"/>
      <c r="E2354" s="241" t="s">
        <v>13057</v>
      </c>
      <c r="F2354" s="88" t="s">
        <v>1489</v>
      </c>
      <c r="G2354" s="236"/>
      <c r="H2354" s="236"/>
      <c r="I2354" s="237"/>
      <c r="J2354" s="290"/>
      <c r="K2354" s="275"/>
      <c r="L2354" s="237"/>
      <c r="M2354" s="237"/>
      <c r="N2354" s="237"/>
      <c r="O2354" s="237"/>
      <c r="P2354" s="237"/>
      <c r="Q2354" s="237"/>
      <c r="R2354" s="237"/>
      <c r="S2354" s="237"/>
      <c r="T2354" s="237"/>
      <c r="U2354" s="237"/>
      <c r="V2354" s="237"/>
      <c r="W2354" s="237"/>
      <c r="X2354" s="237"/>
      <c r="Y2354" s="237"/>
      <c r="Z2354" s="237"/>
      <c r="AA2354" s="237"/>
      <c r="AB2354" s="237"/>
    </row>
    <row r="2355">
      <c r="A2355" s="237"/>
      <c r="B2355" s="275"/>
      <c r="C2355" s="236"/>
      <c r="D2355" s="236"/>
      <c r="E2355" s="241" t="s">
        <v>13057</v>
      </c>
      <c r="F2355" s="88" t="s">
        <v>1490</v>
      </c>
      <c r="G2355" s="236"/>
      <c r="H2355" s="236"/>
      <c r="I2355" s="237"/>
      <c r="J2355" s="290"/>
      <c r="K2355" s="275"/>
      <c r="L2355" s="237"/>
      <c r="M2355" s="237"/>
      <c r="N2355" s="237"/>
      <c r="O2355" s="237"/>
      <c r="P2355" s="237"/>
      <c r="Q2355" s="237"/>
      <c r="R2355" s="237"/>
      <c r="S2355" s="237"/>
      <c r="T2355" s="237"/>
      <c r="U2355" s="237"/>
      <c r="V2355" s="237"/>
      <c r="W2355" s="237"/>
      <c r="X2355" s="237"/>
      <c r="Y2355" s="237"/>
      <c r="Z2355" s="237"/>
      <c r="AA2355" s="237"/>
      <c r="AB2355" s="237"/>
    </row>
    <row r="2356">
      <c r="A2356" s="237"/>
      <c r="B2356" s="275"/>
      <c r="C2356" s="236"/>
      <c r="D2356" s="236"/>
      <c r="E2356" s="241" t="s">
        <v>13057</v>
      </c>
      <c r="F2356" s="88" t="s">
        <v>1491</v>
      </c>
      <c r="G2356" s="236"/>
      <c r="H2356" s="236"/>
      <c r="I2356" s="237"/>
      <c r="J2356" s="290"/>
      <c r="K2356" s="275"/>
      <c r="L2356" s="237"/>
      <c r="M2356" s="237"/>
      <c r="N2356" s="237"/>
      <c r="O2356" s="237"/>
      <c r="P2356" s="237"/>
      <c r="Q2356" s="237"/>
      <c r="R2356" s="237"/>
      <c r="S2356" s="237"/>
      <c r="T2356" s="237"/>
      <c r="U2356" s="237"/>
      <c r="V2356" s="237"/>
      <c r="W2356" s="237"/>
      <c r="X2356" s="237"/>
      <c r="Y2356" s="237"/>
      <c r="Z2356" s="237"/>
      <c r="AA2356" s="237"/>
      <c r="AB2356" s="237"/>
    </row>
    <row r="2357">
      <c r="A2357" s="237"/>
      <c r="B2357" s="275"/>
      <c r="C2357" s="237"/>
      <c r="D2357" s="236"/>
      <c r="E2357" s="241" t="s">
        <v>11671</v>
      </c>
      <c r="F2357" s="88" t="s">
        <v>1492</v>
      </c>
      <c r="G2357" s="243" t="s">
        <v>13058</v>
      </c>
      <c r="H2357" s="237"/>
      <c r="I2357" s="237"/>
      <c r="J2357" s="290"/>
      <c r="K2357" s="275"/>
      <c r="L2357" s="237"/>
      <c r="M2357" s="237"/>
      <c r="N2357" s="237"/>
      <c r="O2357" s="237"/>
      <c r="P2357" s="237"/>
      <c r="Q2357" s="237"/>
      <c r="R2357" s="237"/>
      <c r="S2357" s="237"/>
      <c r="T2357" s="237"/>
      <c r="U2357" s="237"/>
      <c r="V2357" s="237"/>
      <c r="W2357" s="237"/>
      <c r="X2357" s="237"/>
      <c r="Y2357" s="237"/>
      <c r="Z2357" s="237"/>
      <c r="AA2357" s="237"/>
      <c r="AB2357" s="237"/>
    </row>
    <row r="2358">
      <c r="A2358" s="237"/>
      <c r="B2358" s="275"/>
      <c r="C2358" s="88" t="s">
        <v>13059</v>
      </c>
      <c r="D2358" s="236"/>
      <c r="E2358" s="241" t="s">
        <v>11671</v>
      </c>
      <c r="F2358" s="88" t="s">
        <v>1493</v>
      </c>
      <c r="G2358" s="243" t="s">
        <v>13060</v>
      </c>
      <c r="H2358" s="241" t="s">
        <v>13061</v>
      </c>
      <c r="I2358" s="237"/>
      <c r="J2358" s="290"/>
      <c r="K2358" s="275"/>
      <c r="L2358" s="237"/>
      <c r="M2358" s="237"/>
      <c r="N2358" s="237"/>
      <c r="O2358" s="237"/>
      <c r="P2358" s="237"/>
      <c r="Q2358" s="237"/>
      <c r="R2358" s="237"/>
      <c r="S2358" s="237"/>
      <c r="T2358" s="237"/>
      <c r="U2358" s="237"/>
      <c r="V2358" s="237"/>
      <c r="W2358" s="237"/>
      <c r="X2358" s="237"/>
      <c r="Y2358" s="237"/>
      <c r="Z2358" s="237"/>
      <c r="AA2358" s="237"/>
      <c r="AB2358" s="237"/>
    </row>
    <row r="2359">
      <c r="A2359" s="237"/>
      <c r="B2359" s="275"/>
      <c r="C2359" s="88" t="s">
        <v>13062</v>
      </c>
      <c r="D2359" s="236"/>
      <c r="E2359" s="241" t="s">
        <v>1420</v>
      </c>
      <c r="F2359" s="88" t="s">
        <v>1494</v>
      </c>
      <c r="G2359" s="240" t="s">
        <v>13063</v>
      </c>
      <c r="H2359" s="241" t="s">
        <v>13064</v>
      </c>
      <c r="I2359" s="237"/>
      <c r="J2359" s="290"/>
      <c r="K2359" s="275"/>
      <c r="L2359" s="237"/>
      <c r="M2359" s="237"/>
      <c r="N2359" s="237"/>
      <c r="O2359" s="237"/>
      <c r="P2359" s="237"/>
      <c r="Q2359" s="237"/>
      <c r="R2359" s="237"/>
      <c r="S2359" s="237"/>
      <c r="T2359" s="237"/>
      <c r="U2359" s="237"/>
      <c r="V2359" s="237"/>
      <c r="W2359" s="237"/>
      <c r="X2359" s="237"/>
      <c r="Y2359" s="237"/>
      <c r="Z2359" s="237"/>
      <c r="AA2359" s="237"/>
      <c r="AB2359" s="237"/>
    </row>
    <row r="2360">
      <c r="A2360" s="237"/>
      <c r="B2360" s="275"/>
      <c r="C2360" s="88" t="s">
        <v>13065</v>
      </c>
      <c r="D2360" s="236"/>
      <c r="E2360" s="241" t="s">
        <v>11671</v>
      </c>
      <c r="F2360" s="88" t="s">
        <v>1495</v>
      </c>
      <c r="G2360" s="241" t="s">
        <v>13066</v>
      </c>
      <c r="H2360" s="241" t="s">
        <v>13067</v>
      </c>
      <c r="I2360" s="237"/>
      <c r="J2360" s="290"/>
      <c r="K2360" s="275"/>
      <c r="L2360" s="237"/>
      <c r="M2360" s="237"/>
      <c r="N2360" s="237"/>
      <c r="O2360" s="237"/>
      <c r="P2360" s="237"/>
      <c r="Q2360" s="237"/>
      <c r="R2360" s="237"/>
      <c r="S2360" s="237"/>
      <c r="T2360" s="237"/>
      <c r="U2360" s="237"/>
      <c r="V2360" s="237"/>
      <c r="W2360" s="237"/>
      <c r="X2360" s="237"/>
      <c r="Y2360" s="237"/>
      <c r="Z2360" s="237"/>
      <c r="AA2360" s="237"/>
      <c r="AB2360" s="237"/>
    </row>
    <row r="2361">
      <c r="A2361" s="237"/>
      <c r="B2361" s="275"/>
      <c r="C2361" s="88" t="s">
        <v>13068</v>
      </c>
      <c r="D2361" s="236"/>
      <c r="E2361" s="241" t="s">
        <v>11671</v>
      </c>
      <c r="F2361" s="88" t="s">
        <v>1496</v>
      </c>
      <c r="G2361" s="240" t="s">
        <v>13069</v>
      </c>
      <c r="H2361" s="241" t="s">
        <v>13070</v>
      </c>
      <c r="I2361" s="237"/>
      <c r="J2361" s="290"/>
      <c r="K2361" s="275"/>
      <c r="L2361" s="237"/>
      <c r="M2361" s="237"/>
      <c r="N2361" s="237"/>
      <c r="O2361" s="237"/>
      <c r="P2361" s="237"/>
      <c r="Q2361" s="237"/>
      <c r="R2361" s="237"/>
      <c r="S2361" s="237"/>
      <c r="T2361" s="237"/>
      <c r="U2361" s="237"/>
      <c r="V2361" s="237"/>
      <c r="W2361" s="237"/>
      <c r="X2361" s="237"/>
      <c r="Y2361" s="237"/>
      <c r="Z2361" s="237"/>
      <c r="AA2361" s="237"/>
      <c r="AB2361" s="237"/>
    </row>
    <row r="2362">
      <c r="A2362" s="237"/>
      <c r="B2362" s="275"/>
      <c r="C2362" s="88" t="s">
        <v>13071</v>
      </c>
      <c r="D2362" s="236"/>
      <c r="E2362" s="241" t="s">
        <v>1420</v>
      </c>
      <c r="F2362" s="88" t="s">
        <v>1497</v>
      </c>
      <c r="G2362" s="236"/>
      <c r="H2362" s="241" t="s">
        <v>13072</v>
      </c>
      <c r="I2362" s="237"/>
      <c r="J2362" s="290"/>
      <c r="K2362" s="275"/>
      <c r="L2362" s="237"/>
      <c r="M2362" s="237"/>
      <c r="N2362" s="237"/>
      <c r="O2362" s="237"/>
      <c r="P2362" s="237"/>
      <c r="Q2362" s="237"/>
      <c r="R2362" s="237"/>
      <c r="S2362" s="237"/>
      <c r="T2362" s="237"/>
      <c r="U2362" s="237"/>
      <c r="V2362" s="237"/>
      <c r="W2362" s="237"/>
      <c r="X2362" s="237"/>
      <c r="Y2362" s="237"/>
      <c r="Z2362" s="237"/>
      <c r="AA2362" s="237"/>
      <c r="AB2362" s="237"/>
    </row>
    <row r="2363">
      <c r="A2363" s="237"/>
      <c r="B2363" s="275"/>
      <c r="C2363" s="88" t="s">
        <v>13073</v>
      </c>
      <c r="D2363" s="236"/>
      <c r="E2363" s="241" t="s">
        <v>1420</v>
      </c>
      <c r="F2363" s="88" t="s">
        <v>1498</v>
      </c>
      <c r="G2363" s="236"/>
      <c r="H2363" s="241" t="s">
        <v>13074</v>
      </c>
      <c r="I2363" s="237"/>
      <c r="J2363" s="290"/>
      <c r="K2363" s="275"/>
      <c r="L2363" s="237"/>
      <c r="M2363" s="237"/>
      <c r="N2363" s="237"/>
      <c r="O2363" s="237"/>
      <c r="P2363" s="237"/>
      <c r="Q2363" s="237"/>
      <c r="R2363" s="237"/>
      <c r="S2363" s="237"/>
      <c r="T2363" s="237"/>
      <c r="U2363" s="237"/>
      <c r="V2363" s="237"/>
      <c r="W2363" s="237"/>
      <c r="X2363" s="237"/>
      <c r="Y2363" s="237"/>
      <c r="Z2363" s="237"/>
      <c r="AA2363" s="237"/>
      <c r="AB2363" s="237"/>
    </row>
    <row r="2364">
      <c r="A2364" s="237"/>
      <c r="B2364" s="275"/>
      <c r="C2364" s="88" t="s">
        <v>13075</v>
      </c>
      <c r="D2364" s="236"/>
      <c r="E2364" s="241" t="s">
        <v>1420</v>
      </c>
      <c r="F2364" s="88" t="s">
        <v>1501</v>
      </c>
      <c r="G2364" s="236"/>
      <c r="H2364" s="241" t="s">
        <v>13076</v>
      </c>
      <c r="I2364" s="237"/>
      <c r="J2364" s="290"/>
      <c r="K2364" s="275"/>
      <c r="L2364" s="237"/>
      <c r="M2364" s="237"/>
      <c r="N2364" s="237"/>
      <c r="O2364" s="237"/>
      <c r="P2364" s="237"/>
      <c r="Q2364" s="237"/>
      <c r="R2364" s="237"/>
      <c r="S2364" s="237"/>
      <c r="T2364" s="237"/>
      <c r="U2364" s="237"/>
      <c r="V2364" s="237"/>
      <c r="W2364" s="237"/>
      <c r="X2364" s="237"/>
      <c r="Y2364" s="237"/>
      <c r="Z2364" s="237"/>
      <c r="AA2364" s="237"/>
      <c r="AB2364" s="237"/>
    </row>
    <row r="2365">
      <c r="A2365" s="237"/>
      <c r="B2365" s="275"/>
      <c r="C2365" s="88" t="s">
        <v>13077</v>
      </c>
      <c r="D2365" s="236"/>
      <c r="E2365" s="241" t="s">
        <v>11671</v>
      </c>
      <c r="F2365" s="88" t="s">
        <v>1502</v>
      </c>
      <c r="G2365" s="236"/>
      <c r="H2365" s="241" t="s">
        <v>13078</v>
      </c>
      <c r="I2365" s="237"/>
      <c r="J2365" s="290"/>
      <c r="K2365" s="275"/>
      <c r="L2365" s="237"/>
      <c r="M2365" s="237"/>
      <c r="N2365" s="237"/>
      <c r="O2365" s="237"/>
      <c r="P2365" s="237"/>
      <c r="Q2365" s="237"/>
      <c r="R2365" s="237"/>
      <c r="S2365" s="237"/>
      <c r="T2365" s="237"/>
      <c r="U2365" s="237"/>
      <c r="V2365" s="237"/>
      <c r="W2365" s="237"/>
      <c r="X2365" s="237"/>
      <c r="Y2365" s="237"/>
      <c r="Z2365" s="237"/>
      <c r="AA2365" s="237"/>
      <c r="AB2365" s="237"/>
    </row>
    <row r="2366">
      <c r="A2366" s="237"/>
      <c r="B2366" s="275"/>
      <c r="C2366" s="289" t="s">
        <v>13079</v>
      </c>
      <c r="D2366" s="236"/>
      <c r="E2366" s="294" t="s">
        <v>1420</v>
      </c>
      <c r="F2366" s="289" t="s">
        <v>1503</v>
      </c>
      <c r="G2366" s="236"/>
      <c r="H2366" s="241" t="s">
        <v>13080</v>
      </c>
      <c r="I2366" s="237"/>
      <c r="J2366" s="290"/>
      <c r="K2366" s="275"/>
      <c r="L2366" s="237"/>
      <c r="M2366" s="237"/>
      <c r="N2366" s="237"/>
      <c r="O2366" s="237"/>
      <c r="P2366" s="237"/>
      <c r="Q2366" s="237"/>
      <c r="R2366" s="237"/>
      <c r="S2366" s="237"/>
      <c r="T2366" s="237"/>
      <c r="U2366" s="237"/>
      <c r="V2366" s="237"/>
      <c r="W2366" s="237"/>
      <c r="X2366" s="237"/>
      <c r="Y2366" s="237"/>
      <c r="Z2366" s="237"/>
      <c r="AA2366" s="237"/>
      <c r="AB2366" s="237"/>
    </row>
    <row r="2367">
      <c r="A2367" s="237"/>
      <c r="B2367" s="275"/>
      <c r="C2367" s="291"/>
      <c r="D2367" s="236"/>
      <c r="E2367" s="291"/>
      <c r="F2367" s="291"/>
      <c r="G2367" s="236"/>
      <c r="H2367" s="241" t="s">
        <v>13081</v>
      </c>
      <c r="I2367" s="237"/>
      <c r="J2367" s="290"/>
      <c r="K2367" s="275"/>
      <c r="L2367" s="237"/>
      <c r="M2367" s="237"/>
      <c r="N2367" s="237"/>
      <c r="O2367" s="237"/>
      <c r="P2367" s="237"/>
      <c r="Q2367" s="237"/>
      <c r="R2367" s="237"/>
      <c r="S2367" s="237"/>
      <c r="T2367" s="237"/>
      <c r="U2367" s="237"/>
      <c r="V2367" s="237"/>
      <c r="W2367" s="237"/>
      <c r="X2367" s="237"/>
      <c r="Y2367" s="237"/>
      <c r="Z2367" s="237"/>
      <c r="AA2367" s="237"/>
      <c r="AB2367" s="237"/>
    </row>
    <row r="2368">
      <c r="A2368" s="237"/>
      <c r="B2368" s="275"/>
      <c r="C2368" s="88" t="s">
        <v>13082</v>
      </c>
      <c r="D2368" s="236"/>
      <c r="E2368" s="241" t="s">
        <v>1420</v>
      </c>
      <c r="F2368" s="88" t="s">
        <v>1504</v>
      </c>
      <c r="G2368" s="236"/>
      <c r="H2368" s="241" t="s">
        <v>13083</v>
      </c>
      <c r="I2368" s="237"/>
      <c r="J2368" s="290"/>
      <c r="K2368" s="275"/>
      <c r="L2368" s="237"/>
      <c r="M2368" s="237"/>
      <c r="N2368" s="237"/>
      <c r="O2368" s="237"/>
      <c r="P2368" s="237"/>
      <c r="Q2368" s="237"/>
      <c r="R2368" s="237"/>
      <c r="S2368" s="237"/>
      <c r="T2368" s="237"/>
      <c r="U2368" s="237"/>
      <c r="V2368" s="237"/>
      <c r="W2368" s="237"/>
      <c r="X2368" s="237"/>
      <c r="Y2368" s="237"/>
      <c r="Z2368" s="237"/>
      <c r="AA2368" s="237"/>
      <c r="AB2368" s="237"/>
    </row>
    <row r="2369">
      <c r="A2369" s="237"/>
      <c r="B2369" s="275"/>
      <c r="C2369" s="88" t="s">
        <v>13084</v>
      </c>
      <c r="D2369" s="236"/>
      <c r="E2369" s="241" t="s">
        <v>1420</v>
      </c>
      <c r="F2369" s="88" t="s">
        <v>1505</v>
      </c>
      <c r="G2369" s="236"/>
      <c r="H2369" s="241" t="s">
        <v>13085</v>
      </c>
      <c r="I2369" s="237"/>
      <c r="J2369" s="290"/>
      <c r="K2369" s="275"/>
      <c r="L2369" s="237"/>
      <c r="M2369" s="237"/>
      <c r="N2369" s="237"/>
      <c r="O2369" s="237"/>
      <c r="P2369" s="237"/>
      <c r="Q2369" s="237"/>
      <c r="R2369" s="237"/>
      <c r="S2369" s="237"/>
      <c r="T2369" s="237"/>
      <c r="U2369" s="237"/>
      <c r="V2369" s="237"/>
      <c r="W2369" s="237"/>
      <c r="X2369" s="237"/>
      <c r="Y2369" s="237"/>
      <c r="Z2369" s="237"/>
      <c r="AA2369" s="237"/>
      <c r="AB2369" s="237"/>
    </row>
    <row r="2370">
      <c r="A2370" s="237"/>
      <c r="B2370" s="275"/>
      <c r="C2370" s="88" t="s">
        <v>13086</v>
      </c>
      <c r="D2370" s="236"/>
      <c r="E2370" s="241" t="s">
        <v>1420</v>
      </c>
      <c r="F2370" s="88" t="s">
        <v>1506</v>
      </c>
      <c r="G2370" s="236"/>
      <c r="H2370" s="241" t="s">
        <v>13087</v>
      </c>
      <c r="I2370" s="237"/>
      <c r="J2370" s="290"/>
      <c r="K2370" s="275"/>
      <c r="L2370" s="237"/>
      <c r="M2370" s="237"/>
      <c r="N2370" s="237"/>
      <c r="O2370" s="237"/>
      <c r="P2370" s="237"/>
      <c r="Q2370" s="237"/>
      <c r="R2370" s="237"/>
      <c r="S2370" s="237"/>
      <c r="T2370" s="237"/>
      <c r="U2370" s="237"/>
      <c r="V2370" s="237"/>
      <c r="W2370" s="237"/>
      <c r="X2370" s="237"/>
      <c r="Y2370" s="237"/>
      <c r="Z2370" s="237"/>
      <c r="AA2370" s="237"/>
      <c r="AB2370" s="237"/>
    </row>
    <row r="2371">
      <c r="A2371" s="237"/>
      <c r="B2371" s="275"/>
      <c r="C2371" s="88" t="s">
        <v>13088</v>
      </c>
      <c r="D2371" s="236"/>
      <c r="E2371" s="241" t="s">
        <v>1420</v>
      </c>
      <c r="F2371" s="88" t="s">
        <v>1507</v>
      </c>
      <c r="G2371" s="236"/>
      <c r="H2371" s="241" t="s">
        <v>13089</v>
      </c>
      <c r="I2371" s="237"/>
      <c r="J2371" s="290"/>
      <c r="K2371" s="275"/>
      <c r="L2371" s="237"/>
      <c r="M2371" s="237"/>
      <c r="N2371" s="237"/>
      <c r="O2371" s="237"/>
      <c r="P2371" s="237"/>
      <c r="Q2371" s="237"/>
      <c r="R2371" s="237"/>
      <c r="S2371" s="237"/>
      <c r="T2371" s="237"/>
      <c r="U2371" s="237"/>
      <c r="V2371" s="237"/>
      <c r="W2371" s="237"/>
      <c r="X2371" s="237"/>
      <c r="Y2371" s="237"/>
      <c r="Z2371" s="237"/>
      <c r="AA2371" s="237"/>
      <c r="AB2371" s="237"/>
    </row>
    <row r="2372">
      <c r="A2372" s="237"/>
      <c r="B2372" s="275"/>
      <c r="C2372" s="295" t="s">
        <v>13090</v>
      </c>
      <c r="D2372" s="236"/>
      <c r="E2372" s="241" t="s">
        <v>1420</v>
      </c>
      <c r="F2372" s="88" t="s">
        <v>13091</v>
      </c>
      <c r="G2372" s="236"/>
      <c r="H2372" s="241" t="s">
        <v>13092</v>
      </c>
      <c r="I2372" s="237"/>
      <c r="J2372" s="290"/>
      <c r="K2372" s="275"/>
      <c r="L2372" s="237"/>
      <c r="M2372" s="237"/>
      <c r="N2372" s="237"/>
      <c r="O2372" s="237"/>
      <c r="P2372" s="237"/>
      <c r="Q2372" s="237"/>
      <c r="R2372" s="237"/>
      <c r="S2372" s="237"/>
      <c r="T2372" s="237"/>
      <c r="U2372" s="237"/>
      <c r="V2372" s="237"/>
      <c r="W2372" s="237"/>
      <c r="X2372" s="237"/>
      <c r="Y2372" s="237"/>
      <c r="Z2372" s="237"/>
      <c r="AA2372" s="237"/>
      <c r="AB2372" s="237"/>
    </row>
    <row r="2373">
      <c r="A2373" s="237"/>
      <c r="B2373" s="275"/>
      <c r="C2373" s="296" t="s">
        <v>13093</v>
      </c>
      <c r="D2373" s="236"/>
      <c r="E2373" s="241" t="s">
        <v>1420</v>
      </c>
      <c r="F2373" s="88" t="s">
        <v>1796</v>
      </c>
      <c r="G2373" s="236"/>
      <c r="H2373" s="241" t="s">
        <v>13094</v>
      </c>
      <c r="I2373" s="237"/>
      <c r="J2373" s="290"/>
      <c r="K2373" s="275"/>
      <c r="L2373" s="237"/>
      <c r="M2373" s="237"/>
      <c r="N2373" s="237"/>
      <c r="O2373" s="237"/>
      <c r="P2373" s="237"/>
      <c r="Q2373" s="237"/>
      <c r="R2373" s="237"/>
      <c r="S2373" s="237"/>
      <c r="T2373" s="237"/>
      <c r="U2373" s="237"/>
      <c r="V2373" s="237"/>
      <c r="W2373" s="237"/>
      <c r="X2373" s="237"/>
      <c r="Y2373" s="237"/>
      <c r="Z2373" s="237"/>
      <c r="AA2373" s="237"/>
      <c r="AB2373" s="237"/>
    </row>
    <row r="2374">
      <c r="A2374" s="237"/>
      <c r="B2374" s="275"/>
      <c r="C2374" s="296" t="s">
        <v>13095</v>
      </c>
      <c r="D2374" s="236"/>
      <c r="E2374" s="241" t="s">
        <v>1420</v>
      </c>
      <c r="F2374" s="88" t="s">
        <v>13096</v>
      </c>
      <c r="G2374" s="236"/>
      <c r="H2374" s="241" t="s">
        <v>13097</v>
      </c>
      <c r="I2374" s="237"/>
      <c r="J2374" s="290"/>
      <c r="K2374" s="275"/>
      <c r="L2374" s="237"/>
      <c r="M2374" s="237"/>
      <c r="N2374" s="237"/>
      <c r="O2374" s="237"/>
      <c r="P2374" s="237"/>
      <c r="Q2374" s="237"/>
      <c r="R2374" s="237"/>
      <c r="S2374" s="237"/>
      <c r="T2374" s="237"/>
      <c r="U2374" s="237"/>
      <c r="V2374" s="237"/>
      <c r="W2374" s="237"/>
      <c r="X2374" s="237"/>
      <c r="Y2374" s="237"/>
      <c r="Z2374" s="237"/>
      <c r="AA2374" s="237"/>
      <c r="AB2374" s="237"/>
    </row>
    <row r="2375">
      <c r="A2375" s="237"/>
      <c r="B2375" s="275"/>
      <c r="C2375" s="236"/>
      <c r="D2375" s="236"/>
      <c r="E2375" s="241" t="s">
        <v>1420</v>
      </c>
      <c r="F2375" s="254" t="s">
        <v>13098</v>
      </c>
      <c r="G2375" s="237"/>
      <c r="H2375" s="254" t="s">
        <v>13099</v>
      </c>
      <c r="I2375" s="237"/>
      <c r="J2375" s="290"/>
      <c r="K2375" s="275"/>
      <c r="L2375" s="237"/>
      <c r="M2375" s="237"/>
      <c r="N2375" s="237"/>
      <c r="O2375" s="237"/>
      <c r="P2375" s="237"/>
      <c r="Q2375" s="237"/>
      <c r="R2375" s="237"/>
      <c r="S2375" s="237"/>
      <c r="T2375" s="237"/>
      <c r="U2375" s="237"/>
      <c r="V2375" s="237"/>
      <c r="W2375" s="237"/>
      <c r="X2375" s="237"/>
      <c r="Y2375" s="237"/>
      <c r="Z2375" s="237"/>
      <c r="AA2375" s="237"/>
      <c r="AB2375" s="237"/>
    </row>
    <row r="2376">
      <c r="A2376" s="237"/>
      <c r="B2376" s="275"/>
      <c r="C2376" s="88" t="s">
        <v>13100</v>
      </c>
      <c r="D2376" s="236"/>
      <c r="E2376" s="241" t="s">
        <v>1420</v>
      </c>
      <c r="F2376" s="88" t="s">
        <v>13101</v>
      </c>
      <c r="G2376" s="240" t="s">
        <v>13102</v>
      </c>
      <c r="H2376" s="241" t="s">
        <v>13103</v>
      </c>
      <c r="I2376" s="237"/>
      <c r="J2376" s="290"/>
      <c r="K2376" s="275"/>
      <c r="L2376" s="237"/>
      <c r="M2376" s="237"/>
      <c r="N2376" s="237"/>
      <c r="O2376" s="237"/>
      <c r="P2376" s="237"/>
      <c r="Q2376" s="237"/>
      <c r="R2376" s="237"/>
      <c r="S2376" s="237"/>
      <c r="T2376" s="237"/>
      <c r="U2376" s="237"/>
      <c r="V2376" s="237"/>
      <c r="W2376" s="237"/>
      <c r="X2376" s="237"/>
      <c r="Y2376" s="237"/>
      <c r="Z2376" s="237"/>
      <c r="AA2376" s="237"/>
      <c r="AB2376" s="237"/>
    </row>
    <row r="2377">
      <c r="A2377" s="237"/>
      <c r="B2377" s="275"/>
      <c r="C2377" s="88" t="s">
        <v>13104</v>
      </c>
      <c r="D2377" s="236"/>
      <c r="E2377" s="241" t="s">
        <v>11671</v>
      </c>
      <c r="F2377" s="88" t="s">
        <v>13105</v>
      </c>
      <c r="G2377" s="240" t="s">
        <v>13106</v>
      </c>
      <c r="H2377" s="241" t="s">
        <v>13107</v>
      </c>
      <c r="I2377" s="237"/>
      <c r="J2377" s="290"/>
      <c r="K2377" s="275"/>
      <c r="L2377" s="237"/>
      <c r="M2377" s="237"/>
      <c r="N2377" s="237"/>
      <c r="O2377" s="237"/>
      <c r="P2377" s="237"/>
      <c r="Q2377" s="237"/>
      <c r="R2377" s="237"/>
      <c r="S2377" s="237"/>
      <c r="T2377" s="237"/>
      <c r="U2377" s="237"/>
      <c r="V2377" s="237"/>
      <c r="W2377" s="237"/>
      <c r="X2377" s="237"/>
      <c r="Y2377" s="237"/>
      <c r="Z2377" s="237"/>
      <c r="AA2377" s="237"/>
      <c r="AB2377" s="237"/>
    </row>
    <row r="2378">
      <c r="A2378" s="237"/>
      <c r="B2378" s="275"/>
      <c r="C2378" s="88" t="s">
        <v>13108</v>
      </c>
      <c r="D2378" s="236"/>
      <c r="E2378" s="241" t="s">
        <v>1420</v>
      </c>
      <c r="F2378" s="88" t="s">
        <v>13109</v>
      </c>
      <c r="G2378" s="240" t="s">
        <v>13110</v>
      </c>
      <c r="H2378" s="241" t="s">
        <v>13111</v>
      </c>
      <c r="I2378" s="237"/>
      <c r="J2378" s="290"/>
      <c r="K2378" s="275"/>
      <c r="L2378" s="237"/>
      <c r="M2378" s="237"/>
      <c r="N2378" s="237"/>
      <c r="O2378" s="237"/>
      <c r="P2378" s="237"/>
      <c r="Q2378" s="237"/>
      <c r="R2378" s="237"/>
      <c r="S2378" s="237"/>
      <c r="T2378" s="237"/>
      <c r="U2378" s="237"/>
      <c r="V2378" s="237"/>
      <c r="W2378" s="237"/>
      <c r="X2378" s="237"/>
      <c r="Y2378" s="237"/>
      <c r="Z2378" s="237"/>
      <c r="AA2378" s="237"/>
      <c r="AB2378" s="237"/>
    </row>
    <row r="2379">
      <c r="A2379" s="237"/>
      <c r="B2379" s="275"/>
      <c r="C2379" s="88" t="s">
        <v>13112</v>
      </c>
      <c r="D2379" s="236"/>
      <c r="E2379" s="241" t="s">
        <v>11671</v>
      </c>
      <c r="F2379" s="88" t="s">
        <v>13113</v>
      </c>
      <c r="G2379" s="240" t="s">
        <v>13114</v>
      </c>
      <c r="H2379" s="241" t="s">
        <v>13115</v>
      </c>
      <c r="I2379" s="237"/>
      <c r="J2379" s="290"/>
      <c r="K2379" s="275"/>
      <c r="L2379" s="237"/>
      <c r="M2379" s="237"/>
      <c r="N2379" s="237"/>
      <c r="O2379" s="237"/>
      <c r="P2379" s="237"/>
      <c r="Q2379" s="237"/>
      <c r="R2379" s="237"/>
      <c r="S2379" s="237"/>
      <c r="T2379" s="237"/>
      <c r="U2379" s="237"/>
      <c r="V2379" s="237"/>
      <c r="W2379" s="237"/>
      <c r="X2379" s="237"/>
      <c r="Y2379" s="237"/>
      <c r="Z2379" s="237"/>
      <c r="AA2379" s="237"/>
      <c r="AB2379" s="237"/>
    </row>
    <row r="2380">
      <c r="A2380" s="237"/>
      <c r="B2380" s="275"/>
      <c r="C2380" s="88" t="s">
        <v>13116</v>
      </c>
      <c r="D2380" s="236"/>
      <c r="E2380" s="241" t="s">
        <v>1420</v>
      </c>
      <c r="F2380" s="88" t="s">
        <v>13117</v>
      </c>
      <c r="G2380" s="240" t="s">
        <v>13118</v>
      </c>
      <c r="H2380" s="241" t="s">
        <v>13119</v>
      </c>
      <c r="I2380" s="237"/>
      <c r="J2380" s="290"/>
      <c r="K2380" s="275"/>
      <c r="L2380" s="237"/>
      <c r="M2380" s="237"/>
      <c r="N2380" s="237"/>
      <c r="O2380" s="237"/>
      <c r="P2380" s="237"/>
      <c r="Q2380" s="237"/>
      <c r="R2380" s="237"/>
      <c r="S2380" s="237"/>
      <c r="T2380" s="237"/>
      <c r="U2380" s="237"/>
      <c r="V2380" s="237"/>
      <c r="W2380" s="237"/>
      <c r="X2380" s="237"/>
      <c r="Y2380" s="237"/>
      <c r="Z2380" s="237"/>
      <c r="AA2380" s="237"/>
      <c r="AB2380" s="237"/>
    </row>
    <row r="2381">
      <c r="A2381" s="237"/>
      <c r="B2381" s="275"/>
      <c r="C2381" s="88" t="s">
        <v>13120</v>
      </c>
      <c r="D2381" s="236"/>
      <c r="E2381" s="241" t="s">
        <v>1420</v>
      </c>
      <c r="F2381" s="88" t="s">
        <v>13121</v>
      </c>
      <c r="G2381" s="240" t="s">
        <v>13122</v>
      </c>
      <c r="H2381" s="241" t="s">
        <v>13123</v>
      </c>
      <c r="I2381" s="237"/>
      <c r="J2381" s="290"/>
      <c r="K2381" s="275"/>
      <c r="L2381" s="237"/>
      <c r="M2381" s="237"/>
      <c r="N2381" s="237"/>
      <c r="O2381" s="237"/>
      <c r="P2381" s="237"/>
      <c r="Q2381" s="237"/>
      <c r="R2381" s="237"/>
      <c r="S2381" s="237"/>
      <c r="T2381" s="237"/>
      <c r="U2381" s="237"/>
      <c r="V2381" s="237"/>
      <c r="W2381" s="237"/>
      <c r="X2381" s="237"/>
      <c r="Y2381" s="237"/>
      <c r="Z2381" s="237"/>
      <c r="AA2381" s="237"/>
      <c r="AB2381" s="237"/>
    </row>
    <row r="2382">
      <c r="A2382" s="237"/>
      <c r="B2382" s="275"/>
      <c r="C2382" s="88" t="s">
        <v>13124</v>
      </c>
      <c r="D2382" s="236"/>
      <c r="E2382" s="241" t="s">
        <v>1420</v>
      </c>
      <c r="F2382" s="88" t="s">
        <v>13125</v>
      </c>
      <c r="G2382" s="240" t="s">
        <v>13126</v>
      </c>
      <c r="H2382" s="241" t="s">
        <v>13127</v>
      </c>
      <c r="I2382" s="237"/>
      <c r="J2382" s="290"/>
      <c r="K2382" s="275"/>
      <c r="L2382" s="237"/>
      <c r="M2382" s="237"/>
      <c r="N2382" s="237"/>
      <c r="O2382" s="237"/>
      <c r="P2382" s="237"/>
      <c r="Q2382" s="237"/>
      <c r="R2382" s="237"/>
      <c r="S2382" s="237"/>
      <c r="T2382" s="237"/>
      <c r="U2382" s="237"/>
      <c r="V2382" s="237"/>
      <c r="W2382" s="237"/>
      <c r="X2382" s="237"/>
      <c r="Y2382" s="237"/>
      <c r="Z2382" s="237"/>
      <c r="AA2382" s="237"/>
      <c r="AB2382" s="237"/>
    </row>
    <row r="2383">
      <c r="A2383" s="237"/>
      <c r="B2383" s="275"/>
      <c r="C2383" s="88" t="s">
        <v>13128</v>
      </c>
      <c r="D2383" s="236"/>
      <c r="E2383" s="236"/>
      <c r="F2383" s="88" t="s">
        <v>13129</v>
      </c>
      <c r="G2383" s="236"/>
      <c r="H2383" s="236"/>
      <c r="I2383" s="237"/>
      <c r="J2383" s="290"/>
      <c r="K2383" s="275"/>
      <c r="L2383" s="237"/>
      <c r="M2383" s="237"/>
      <c r="N2383" s="237"/>
      <c r="O2383" s="237"/>
      <c r="P2383" s="237"/>
      <c r="Q2383" s="237"/>
      <c r="R2383" s="237"/>
      <c r="S2383" s="237"/>
      <c r="T2383" s="237"/>
      <c r="U2383" s="237"/>
      <c r="V2383" s="237"/>
      <c r="W2383" s="237"/>
      <c r="X2383" s="237"/>
      <c r="Y2383" s="237"/>
      <c r="Z2383" s="237"/>
      <c r="AA2383" s="237"/>
      <c r="AB2383" s="237"/>
    </row>
    <row r="2384">
      <c r="A2384" s="237"/>
      <c r="B2384" s="275"/>
      <c r="C2384" s="88" t="s">
        <v>13128</v>
      </c>
      <c r="D2384" s="236"/>
      <c r="E2384" s="236"/>
      <c r="F2384" s="88" t="s">
        <v>13130</v>
      </c>
      <c r="G2384" s="236"/>
      <c r="H2384" s="236"/>
      <c r="I2384" s="237"/>
      <c r="J2384" s="290"/>
      <c r="K2384" s="275"/>
      <c r="L2384" s="237"/>
      <c r="M2384" s="237"/>
      <c r="N2384" s="237"/>
      <c r="O2384" s="237"/>
      <c r="P2384" s="237"/>
      <c r="Q2384" s="237"/>
      <c r="R2384" s="237"/>
      <c r="S2384" s="237"/>
      <c r="T2384" s="237"/>
      <c r="U2384" s="237"/>
      <c r="V2384" s="237"/>
      <c r="W2384" s="237"/>
      <c r="X2384" s="237"/>
      <c r="Y2384" s="237"/>
      <c r="Z2384" s="237"/>
      <c r="AA2384" s="237"/>
      <c r="AB2384" s="237"/>
    </row>
    <row r="2385">
      <c r="A2385" s="237"/>
      <c r="B2385" s="275"/>
      <c r="C2385" s="88" t="s">
        <v>13128</v>
      </c>
      <c r="D2385" s="236"/>
      <c r="E2385" s="236"/>
      <c r="F2385" s="88" t="s">
        <v>13131</v>
      </c>
      <c r="G2385" s="236"/>
      <c r="H2385" s="236"/>
      <c r="I2385" s="237"/>
      <c r="J2385" s="290"/>
      <c r="K2385" s="275"/>
      <c r="L2385" s="237"/>
      <c r="M2385" s="237"/>
      <c r="N2385" s="237"/>
      <c r="O2385" s="237"/>
      <c r="P2385" s="237"/>
      <c r="Q2385" s="237"/>
      <c r="R2385" s="237"/>
      <c r="S2385" s="237"/>
      <c r="T2385" s="237"/>
      <c r="U2385" s="237"/>
      <c r="V2385" s="237"/>
      <c r="W2385" s="237"/>
      <c r="X2385" s="237"/>
      <c r="Y2385" s="237"/>
      <c r="Z2385" s="237"/>
      <c r="AA2385" s="237"/>
      <c r="AB2385" s="237"/>
    </row>
    <row r="2386">
      <c r="A2386" s="237"/>
      <c r="B2386" s="275"/>
      <c r="C2386" s="88" t="s">
        <v>13128</v>
      </c>
      <c r="D2386" s="236"/>
      <c r="E2386" s="236"/>
      <c r="F2386" s="88" t="s">
        <v>13132</v>
      </c>
      <c r="G2386" s="236"/>
      <c r="H2386" s="236"/>
      <c r="I2386" s="237"/>
      <c r="J2386" s="290"/>
      <c r="K2386" s="275"/>
      <c r="L2386" s="237"/>
      <c r="M2386" s="237"/>
      <c r="N2386" s="237"/>
      <c r="O2386" s="237"/>
      <c r="P2386" s="237"/>
      <c r="Q2386" s="237"/>
      <c r="R2386" s="237"/>
      <c r="S2386" s="237"/>
      <c r="T2386" s="237"/>
      <c r="U2386" s="237"/>
      <c r="V2386" s="237"/>
      <c r="W2386" s="237"/>
      <c r="X2386" s="237"/>
      <c r="Y2386" s="237"/>
      <c r="Z2386" s="237"/>
      <c r="AA2386" s="237"/>
      <c r="AB2386" s="237"/>
    </row>
    <row r="2387">
      <c r="A2387" s="237"/>
      <c r="B2387" s="275"/>
      <c r="C2387" s="88" t="s">
        <v>13133</v>
      </c>
      <c r="D2387" s="236"/>
      <c r="E2387" s="241" t="s">
        <v>12390</v>
      </c>
      <c r="F2387" s="297" t="s">
        <v>13134</v>
      </c>
      <c r="G2387" s="243" t="s">
        <v>13135</v>
      </c>
      <c r="H2387" s="236"/>
      <c r="I2387" s="237"/>
      <c r="J2387" s="290"/>
      <c r="K2387" s="275"/>
      <c r="L2387" s="237"/>
      <c r="M2387" s="237"/>
      <c r="N2387" s="237"/>
      <c r="O2387" s="237"/>
      <c r="P2387" s="237"/>
      <c r="Q2387" s="237"/>
      <c r="R2387" s="237"/>
      <c r="S2387" s="237"/>
      <c r="T2387" s="237"/>
      <c r="U2387" s="237"/>
      <c r="V2387" s="237"/>
      <c r="W2387" s="237"/>
      <c r="X2387" s="237"/>
      <c r="Y2387" s="237"/>
      <c r="Z2387" s="237"/>
      <c r="AA2387" s="237"/>
      <c r="AB2387" s="237"/>
    </row>
    <row r="2388">
      <c r="A2388" s="237"/>
      <c r="B2388" s="275"/>
      <c r="C2388" s="88" t="s">
        <v>13136</v>
      </c>
      <c r="D2388" s="236"/>
      <c r="E2388" s="241" t="s">
        <v>1420</v>
      </c>
      <c r="F2388" s="88" t="s">
        <v>13137</v>
      </c>
      <c r="G2388" s="240" t="s">
        <v>13138</v>
      </c>
      <c r="H2388" s="241" t="s">
        <v>13139</v>
      </c>
      <c r="I2388" s="237"/>
      <c r="J2388" s="290"/>
      <c r="K2388" s="275"/>
      <c r="L2388" s="237"/>
      <c r="M2388" s="237"/>
      <c r="N2388" s="237"/>
      <c r="O2388" s="237"/>
      <c r="P2388" s="237"/>
      <c r="Q2388" s="237"/>
      <c r="R2388" s="237"/>
      <c r="S2388" s="237"/>
      <c r="T2388" s="237"/>
      <c r="U2388" s="237"/>
      <c r="V2388" s="237"/>
      <c r="W2388" s="237"/>
      <c r="X2388" s="237"/>
      <c r="Y2388" s="237"/>
      <c r="Z2388" s="237"/>
      <c r="AA2388" s="237"/>
      <c r="AB2388" s="237"/>
    </row>
    <row r="2389">
      <c r="A2389" s="237"/>
      <c r="B2389" s="275"/>
      <c r="C2389" s="88" t="s">
        <v>13140</v>
      </c>
      <c r="D2389" s="236"/>
      <c r="E2389" s="241" t="s">
        <v>1420</v>
      </c>
      <c r="F2389" s="88" t="s">
        <v>13141</v>
      </c>
      <c r="G2389" s="240" t="s">
        <v>13142</v>
      </c>
      <c r="H2389" s="241" t="s">
        <v>13143</v>
      </c>
      <c r="I2389" s="237"/>
      <c r="J2389" s="290"/>
      <c r="K2389" s="275"/>
      <c r="L2389" s="237"/>
      <c r="M2389" s="237"/>
      <c r="N2389" s="237"/>
      <c r="O2389" s="237"/>
      <c r="P2389" s="237"/>
      <c r="Q2389" s="237"/>
      <c r="R2389" s="237"/>
      <c r="S2389" s="237"/>
      <c r="T2389" s="237"/>
      <c r="U2389" s="237"/>
      <c r="V2389" s="237"/>
      <c r="W2389" s="237"/>
      <c r="X2389" s="237"/>
      <c r="Y2389" s="237"/>
      <c r="Z2389" s="237"/>
      <c r="AA2389" s="237"/>
      <c r="AB2389" s="237"/>
    </row>
    <row r="2390">
      <c r="A2390" s="237"/>
      <c r="B2390" s="275"/>
      <c r="C2390" s="88" t="s">
        <v>13144</v>
      </c>
      <c r="D2390" s="236"/>
      <c r="E2390" s="241" t="s">
        <v>1420</v>
      </c>
      <c r="F2390" s="88" t="s">
        <v>1577</v>
      </c>
      <c r="G2390" s="240" t="s">
        <v>13145</v>
      </c>
      <c r="H2390" s="241" t="s">
        <v>13146</v>
      </c>
      <c r="I2390" s="237"/>
      <c r="J2390" s="290"/>
      <c r="K2390" s="275"/>
      <c r="L2390" s="237"/>
      <c r="M2390" s="237"/>
      <c r="N2390" s="237"/>
      <c r="O2390" s="237"/>
      <c r="P2390" s="237"/>
      <c r="Q2390" s="237"/>
      <c r="R2390" s="237"/>
      <c r="S2390" s="237"/>
      <c r="T2390" s="237"/>
      <c r="U2390" s="237"/>
      <c r="V2390" s="237"/>
      <c r="W2390" s="237"/>
      <c r="X2390" s="237"/>
      <c r="Y2390" s="237"/>
      <c r="Z2390" s="237"/>
      <c r="AA2390" s="237"/>
      <c r="AB2390" s="237"/>
    </row>
    <row r="2391">
      <c r="A2391" s="237"/>
      <c r="B2391" s="275"/>
      <c r="C2391" s="88" t="s">
        <v>13128</v>
      </c>
      <c r="D2391" s="236"/>
      <c r="E2391" s="236"/>
      <c r="F2391" s="88" t="s">
        <v>13147</v>
      </c>
      <c r="G2391" s="236"/>
      <c r="H2391" s="236"/>
      <c r="I2391" s="237"/>
      <c r="J2391" s="290"/>
      <c r="K2391" s="275"/>
      <c r="L2391" s="237"/>
      <c r="M2391" s="237"/>
      <c r="N2391" s="237"/>
      <c r="O2391" s="237"/>
      <c r="P2391" s="237"/>
      <c r="Q2391" s="237"/>
      <c r="R2391" s="237"/>
      <c r="S2391" s="237"/>
      <c r="T2391" s="237"/>
      <c r="U2391" s="237"/>
      <c r="V2391" s="237"/>
      <c r="W2391" s="237"/>
      <c r="X2391" s="237"/>
      <c r="Y2391" s="237"/>
      <c r="Z2391" s="237"/>
      <c r="AA2391" s="237"/>
      <c r="AB2391" s="237"/>
    </row>
    <row r="2392">
      <c r="A2392" s="237"/>
      <c r="B2392" s="275"/>
      <c r="C2392" s="88" t="s">
        <v>13148</v>
      </c>
      <c r="D2392" s="236"/>
      <c r="E2392" s="241" t="s">
        <v>1420</v>
      </c>
      <c r="F2392" s="88" t="s">
        <v>13149</v>
      </c>
      <c r="G2392" s="240" t="s">
        <v>13150</v>
      </c>
      <c r="H2392" s="241" t="s">
        <v>13151</v>
      </c>
      <c r="I2392" s="237"/>
      <c r="J2392" s="290"/>
      <c r="K2392" s="275"/>
      <c r="L2392" s="237"/>
      <c r="M2392" s="237"/>
      <c r="N2392" s="237"/>
      <c r="O2392" s="237"/>
      <c r="P2392" s="237"/>
      <c r="Q2392" s="237"/>
      <c r="R2392" s="237"/>
      <c r="S2392" s="237"/>
      <c r="T2392" s="237"/>
      <c r="U2392" s="237"/>
      <c r="V2392" s="237"/>
      <c r="W2392" s="237"/>
      <c r="X2392" s="237"/>
      <c r="Y2392" s="237"/>
      <c r="Z2392" s="237"/>
      <c r="AA2392" s="237"/>
      <c r="AB2392" s="237"/>
    </row>
    <row r="2393">
      <c r="A2393" s="237"/>
      <c r="B2393" s="275"/>
      <c r="C2393" s="88" t="s">
        <v>13152</v>
      </c>
      <c r="D2393" s="236"/>
      <c r="E2393" s="241" t="s">
        <v>1420</v>
      </c>
      <c r="F2393" s="88" t="s">
        <v>1579</v>
      </c>
      <c r="G2393" s="240" t="s">
        <v>13153</v>
      </c>
      <c r="H2393" s="241" t="s">
        <v>13154</v>
      </c>
      <c r="I2393" s="237"/>
      <c r="J2393" s="290"/>
      <c r="K2393" s="275"/>
      <c r="L2393" s="237"/>
      <c r="M2393" s="237"/>
      <c r="N2393" s="237"/>
      <c r="O2393" s="237"/>
      <c r="P2393" s="237"/>
      <c r="Q2393" s="237"/>
      <c r="R2393" s="237"/>
      <c r="S2393" s="237"/>
      <c r="T2393" s="237"/>
      <c r="U2393" s="237"/>
      <c r="V2393" s="237"/>
      <c r="W2393" s="237"/>
      <c r="X2393" s="237"/>
      <c r="Y2393" s="237"/>
      <c r="Z2393" s="237"/>
      <c r="AA2393" s="237"/>
      <c r="AB2393" s="237"/>
    </row>
    <row r="2394">
      <c r="A2394" s="237"/>
      <c r="B2394" s="275"/>
      <c r="C2394" s="88" t="s">
        <v>13155</v>
      </c>
      <c r="D2394" s="236"/>
      <c r="E2394" s="241" t="s">
        <v>1420</v>
      </c>
      <c r="F2394" s="88" t="s">
        <v>13156</v>
      </c>
      <c r="G2394" s="240" t="s">
        <v>13157</v>
      </c>
      <c r="H2394" s="241" t="s">
        <v>13158</v>
      </c>
      <c r="I2394" s="237"/>
      <c r="J2394" s="290"/>
      <c r="K2394" s="275"/>
      <c r="L2394" s="237"/>
      <c r="M2394" s="237"/>
      <c r="N2394" s="237"/>
      <c r="O2394" s="237"/>
      <c r="P2394" s="237"/>
      <c r="Q2394" s="237"/>
      <c r="R2394" s="237"/>
      <c r="S2394" s="237"/>
      <c r="T2394" s="237"/>
      <c r="U2394" s="237"/>
      <c r="V2394" s="237"/>
      <c r="W2394" s="237"/>
      <c r="X2394" s="237"/>
      <c r="Y2394" s="237"/>
      <c r="Z2394" s="237"/>
      <c r="AA2394" s="237"/>
      <c r="AB2394" s="237"/>
    </row>
    <row r="2395">
      <c r="A2395" s="237"/>
      <c r="B2395" s="275"/>
      <c r="C2395" s="88" t="s">
        <v>13159</v>
      </c>
      <c r="D2395" s="236"/>
      <c r="E2395" s="241" t="s">
        <v>1420</v>
      </c>
      <c r="F2395" s="88" t="s">
        <v>1581</v>
      </c>
      <c r="G2395" s="240" t="s">
        <v>13160</v>
      </c>
      <c r="H2395" s="241" t="s">
        <v>13161</v>
      </c>
      <c r="I2395" s="237"/>
      <c r="J2395" s="290"/>
      <c r="K2395" s="275"/>
      <c r="L2395" s="237"/>
      <c r="M2395" s="237"/>
      <c r="N2395" s="237"/>
      <c r="O2395" s="237"/>
      <c r="P2395" s="237"/>
      <c r="Q2395" s="237"/>
      <c r="R2395" s="237"/>
      <c r="S2395" s="237"/>
      <c r="T2395" s="237"/>
      <c r="U2395" s="237"/>
      <c r="V2395" s="237"/>
      <c r="W2395" s="237"/>
      <c r="X2395" s="237"/>
      <c r="Y2395" s="237"/>
      <c r="Z2395" s="237"/>
      <c r="AA2395" s="237"/>
      <c r="AB2395" s="237"/>
    </row>
    <row r="2396">
      <c r="A2396" s="237"/>
      <c r="B2396" s="275"/>
      <c r="C2396" s="88" t="s">
        <v>13162</v>
      </c>
      <c r="D2396" s="236"/>
      <c r="E2396" s="241" t="s">
        <v>1420</v>
      </c>
      <c r="F2396" s="88" t="s">
        <v>13163</v>
      </c>
      <c r="G2396" s="240" t="s">
        <v>13164</v>
      </c>
      <c r="H2396" s="241" t="s">
        <v>13165</v>
      </c>
      <c r="I2396" s="237"/>
      <c r="J2396" s="290"/>
      <c r="K2396" s="275"/>
      <c r="L2396" s="237"/>
      <c r="M2396" s="237"/>
      <c r="N2396" s="237"/>
      <c r="O2396" s="237"/>
      <c r="P2396" s="237"/>
      <c r="Q2396" s="237"/>
      <c r="R2396" s="237"/>
      <c r="S2396" s="237"/>
      <c r="T2396" s="237"/>
      <c r="U2396" s="237"/>
      <c r="V2396" s="237"/>
      <c r="W2396" s="237"/>
      <c r="X2396" s="237"/>
      <c r="Y2396" s="237"/>
      <c r="Z2396" s="237"/>
      <c r="AA2396" s="237"/>
      <c r="AB2396" s="237"/>
    </row>
    <row r="2397">
      <c r="A2397" s="237"/>
      <c r="B2397" s="275"/>
      <c r="C2397" s="88" t="s">
        <v>13166</v>
      </c>
      <c r="D2397" s="236"/>
      <c r="E2397" s="241" t="s">
        <v>1420</v>
      </c>
      <c r="F2397" s="88" t="s">
        <v>13167</v>
      </c>
      <c r="G2397" s="240" t="s">
        <v>13168</v>
      </c>
      <c r="H2397" s="241" t="s">
        <v>13169</v>
      </c>
      <c r="I2397" s="237"/>
      <c r="J2397" s="290"/>
      <c r="K2397" s="275"/>
      <c r="L2397" s="237"/>
      <c r="M2397" s="237"/>
      <c r="N2397" s="237"/>
      <c r="O2397" s="237"/>
      <c r="P2397" s="237"/>
      <c r="Q2397" s="237"/>
      <c r="R2397" s="237"/>
      <c r="S2397" s="237"/>
      <c r="T2397" s="237"/>
      <c r="U2397" s="237"/>
      <c r="V2397" s="237"/>
      <c r="W2397" s="237"/>
      <c r="X2397" s="237"/>
      <c r="Y2397" s="237"/>
      <c r="Z2397" s="237"/>
      <c r="AA2397" s="237"/>
      <c r="AB2397" s="237"/>
    </row>
    <row r="2398">
      <c r="A2398" s="237"/>
      <c r="B2398" s="275"/>
      <c r="C2398" s="88" t="s">
        <v>13170</v>
      </c>
      <c r="D2398" s="236"/>
      <c r="E2398" s="241" t="s">
        <v>1420</v>
      </c>
      <c r="F2398" s="88" t="s">
        <v>1584</v>
      </c>
      <c r="G2398" s="240" t="s">
        <v>13171</v>
      </c>
      <c r="H2398" s="236"/>
      <c r="I2398" s="237"/>
      <c r="J2398" s="290"/>
      <c r="K2398" s="275"/>
      <c r="L2398" s="237"/>
      <c r="M2398" s="237"/>
      <c r="N2398" s="237"/>
      <c r="O2398" s="237"/>
      <c r="P2398" s="237"/>
      <c r="Q2398" s="237"/>
      <c r="R2398" s="237"/>
      <c r="S2398" s="237"/>
      <c r="T2398" s="237"/>
      <c r="U2398" s="237"/>
      <c r="V2398" s="237"/>
      <c r="W2398" s="237"/>
      <c r="X2398" s="237"/>
      <c r="Y2398" s="237"/>
      <c r="Z2398" s="237"/>
      <c r="AA2398" s="237"/>
      <c r="AB2398" s="237"/>
    </row>
    <row r="2399">
      <c r="A2399" s="237"/>
      <c r="B2399" s="275"/>
      <c r="C2399" s="88" t="s">
        <v>13172</v>
      </c>
      <c r="D2399" s="236"/>
      <c r="E2399" s="241" t="s">
        <v>1420</v>
      </c>
      <c r="F2399" s="88" t="s">
        <v>1585</v>
      </c>
      <c r="G2399" s="240" t="s">
        <v>13173</v>
      </c>
      <c r="H2399" s="241" t="s">
        <v>13174</v>
      </c>
      <c r="I2399" s="237"/>
      <c r="J2399" s="290"/>
      <c r="K2399" s="275"/>
      <c r="L2399" s="237"/>
      <c r="M2399" s="237"/>
      <c r="N2399" s="237"/>
      <c r="O2399" s="237"/>
      <c r="P2399" s="237"/>
      <c r="Q2399" s="237"/>
      <c r="R2399" s="237"/>
      <c r="S2399" s="237"/>
      <c r="T2399" s="237"/>
      <c r="U2399" s="237"/>
      <c r="V2399" s="237"/>
      <c r="W2399" s="237"/>
      <c r="X2399" s="237"/>
      <c r="Y2399" s="237"/>
      <c r="Z2399" s="237"/>
      <c r="AA2399" s="237"/>
      <c r="AB2399" s="237"/>
    </row>
    <row r="2400">
      <c r="A2400" s="237"/>
      <c r="B2400" s="275"/>
      <c r="C2400" s="88" t="s">
        <v>13128</v>
      </c>
      <c r="D2400" s="236"/>
      <c r="E2400" s="236"/>
      <c r="F2400" s="88" t="s">
        <v>13175</v>
      </c>
      <c r="G2400" s="236"/>
      <c r="H2400" s="236"/>
      <c r="I2400" s="237"/>
      <c r="J2400" s="290"/>
      <c r="K2400" s="275"/>
      <c r="L2400" s="237"/>
      <c r="M2400" s="237"/>
      <c r="N2400" s="237"/>
      <c r="O2400" s="237"/>
      <c r="P2400" s="237"/>
      <c r="Q2400" s="237"/>
      <c r="R2400" s="237"/>
      <c r="S2400" s="237"/>
      <c r="T2400" s="237"/>
      <c r="U2400" s="237"/>
      <c r="V2400" s="237"/>
      <c r="W2400" s="237"/>
      <c r="X2400" s="237"/>
      <c r="Y2400" s="237"/>
      <c r="Z2400" s="237"/>
      <c r="AA2400" s="237"/>
      <c r="AB2400" s="237"/>
    </row>
    <row r="2401">
      <c r="A2401" s="237"/>
      <c r="B2401" s="275"/>
      <c r="C2401" s="88" t="s">
        <v>13128</v>
      </c>
      <c r="D2401" s="236"/>
      <c r="E2401" s="236"/>
      <c r="F2401" s="88" t="s">
        <v>13176</v>
      </c>
      <c r="G2401" s="236"/>
      <c r="H2401" s="236"/>
      <c r="I2401" s="237"/>
      <c r="J2401" s="290"/>
      <c r="K2401" s="275"/>
      <c r="L2401" s="237"/>
      <c r="M2401" s="237"/>
      <c r="N2401" s="237"/>
      <c r="O2401" s="237"/>
      <c r="P2401" s="237"/>
      <c r="Q2401" s="237"/>
      <c r="R2401" s="237"/>
      <c r="S2401" s="237"/>
      <c r="T2401" s="237"/>
      <c r="U2401" s="237"/>
      <c r="V2401" s="237"/>
      <c r="W2401" s="237"/>
      <c r="X2401" s="237"/>
      <c r="Y2401" s="237"/>
      <c r="Z2401" s="237"/>
      <c r="AA2401" s="237"/>
      <c r="AB2401" s="237"/>
    </row>
    <row r="2402">
      <c r="A2402" s="237"/>
      <c r="B2402" s="275"/>
      <c r="C2402" s="88" t="s">
        <v>13128</v>
      </c>
      <c r="D2402" s="236"/>
      <c r="E2402" s="236"/>
      <c r="F2402" s="88" t="s">
        <v>13177</v>
      </c>
      <c r="G2402" s="236"/>
      <c r="H2402" s="236"/>
      <c r="I2402" s="237"/>
      <c r="J2402" s="290"/>
      <c r="K2402" s="275"/>
      <c r="L2402" s="237"/>
      <c r="M2402" s="237"/>
      <c r="N2402" s="237"/>
      <c r="O2402" s="237"/>
      <c r="P2402" s="237"/>
      <c r="Q2402" s="237"/>
      <c r="R2402" s="237"/>
      <c r="S2402" s="237"/>
      <c r="T2402" s="237"/>
      <c r="U2402" s="237"/>
      <c r="V2402" s="237"/>
      <c r="W2402" s="237"/>
      <c r="X2402" s="237"/>
      <c r="Y2402" s="237"/>
      <c r="Z2402" s="237"/>
      <c r="AA2402" s="237"/>
      <c r="AB2402" s="237"/>
    </row>
    <row r="2403">
      <c r="A2403" s="237"/>
      <c r="B2403" s="275"/>
      <c r="C2403" s="88" t="s">
        <v>13128</v>
      </c>
      <c r="D2403" s="236"/>
      <c r="E2403" s="236"/>
      <c r="F2403" s="88" t="s">
        <v>13178</v>
      </c>
      <c r="G2403" s="236"/>
      <c r="H2403" s="236"/>
      <c r="I2403" s="237"/>
      <c r="J2403" s="290"/>
      <c r="K2403" s="275"/>
      <c r="L2403" s="237"/>
      <c r="M2403" s="237"/>
      <c r="N2403" s="237"/>
      <c r="O2403" s="237"/>
      <c r="P2403" s="237"/>
      <c r="Q2403" s="237"/>
      <c r="R2403" s="237"/>
      <c r="S2403" s="237"/>
      <c r="T2403" s="237"/>
      <c r="U2403" s="237"/>
      <c r="V2403" s="237"/>
      <c r="W2403" s="237"/>
      <c r="X2403" s="237"/>
      <c r="Y2403" s="237"/>
      <c r="Z2403" s="237"/>
      <c r="AA2403" s="237"/>
      <c r="AB2403" s="237"/>
    </row>
    <row r="2404">
      <c r="A2404" s="237"/>
      <c r="B2404" s="275"/>
      <c r="C2404" s="88" t="s">
        <v>13128</v>
      </c>
      <c r="D2404" s="236"/>
      <c r="E2404" s="236"/>
      <c r="F2404" s="88" t="s">
        <v>13179</v>
      </c>
      <c r="G2404" s="236"/>
      <c r="H2404" s="236"/>
      <c r="I2404" s="237"/>
      <c r="J2404" s="290"/>
      <c r="K2404" s="275"/>
      <c r="L2404" s="237"/>
      <c r="M2404" s="237"/>
      <c r="N2404" s="237"/>
      <c r="O2404" s="237"/>
      <c r="P2404" s="237"/>
      <c r="Q2404" s="237"/>
      <c r="R2404" s="237"/>
      <c r="S2404" s="237"/>
      <c r="T2404" s="237"/>
      <c r="U2404" s="237"/>
      <c r="V2404" s="237"/>
      <c r="W2404" s="237"/>
      <c r="X2404" s="237"/>
      <c r="Y2404" s="237"/>
      <c r="Z2404" s="237"/>
      <c r="AA2404" s="237"/>
      <c r="AB2404" s="237"/>
    </row>
    <row r="2405">
      <c r="A2405" s="237"/>
      <c r="B2405" s="275"/>
      <c r="C2405" s="88" t="s">
        <v>13128</v>
      </c>
      <c r="D2405" s="236"/>
      <c r="E2405" s="236"/>
      <c r="F2405" s="88" t="s">
        <v>13180</v>
      </c>
      <c r="G2405" s="236"/>
      <c r="H2405" s="236"/>
      <c r="I2405" s="237"/>
      <c r="J2405" s="290"/>
      <c r="K2405" s="275"/>
      <c r="L2405" s="237"/>
      <c r="M2405" s="237"/>
      <c r="N2405" s="237"/>
      <c r="O2405" s="237"/>
      <c r="P2405" s="237"/>
      <c r="Q2405" s="237"/>
      <c r="R2405" s="237"/>
      <c r="S2405" s="237"/>
      <c r="T2405" s="237"/>
      <c r="U2405" s="237"/>
      <c r="V2405" s="237"/>
      <c r="W2405" s="237"/>
      <c r="X2405" s="237"/>
      <c r="Y2405" s="237"/>
      <c r="Z2405" s="237"/>
      <c r="AA2405" s="237"/>
      <c r="AB2405" s="237"/>
    </row>
    <row r="2406">
      <c r="A2406" s="237"/>
      <c r="B2406" s="275"/>
      <c r="C2406" s="88" t="s">
        <v>13181</v>
      </c>
      <c r="D2406" s="236"/>
      <c r="E2406" s="241" t="s">
        <v>1420</v>
      </c>
      <c r="F2406" s="282" t="s">
        <v>1586</v>
      </c>
      <c r="G2406" s="240" t="s">
        <v>13182</v>
      </c>
      <c r="H2406" s="236"/>
      <c r="I2406" s="237"/>
      <c r="J2406" s="290"/>
      <c r="K2406" s="275"/>
      <c r="L2406" s="237"/>
      <c r="M2406" s="237"/>
      <c r="N2406" s="237"/>
      <c r="O2406" s="237"/>
      <c r="P2406" s="237"/>
      <c r="Q2406" s="237"/>
      <c r="R2406" s="237"/>
      <c r="S2406" s="237"/>
      <c r="T2406" s="237"/>
      <c r="U2406" s="237"/>
      <c r="V2406" s="237"/>
      <c r="W2406" s="237"/>
      <c r="X2406" s="237"/>
      <c r="Y2406" s="237"/>
      <c r="Z2406" s="237"/>
      <c r="AA2406" s="237"/>
      <c r="AB2406" s="237"/>
    </row>
    <row r="2407">
      <c r="A2407" s="237"/>
      <c r="B2407" s="275"/>
      <c r="C2407" s="88" t="s">
        <v>13183</v>
      </c>
      <c r="D2407" s="236"/>
      <c r="E2407" s="236"/>
      <c r="F2407" s="297" t="s">
        <v>13184</v>
      </c>
      <c r="G2407" s="236"/>
      <c r="H2407" s="236"/>
      <c r="I2407" s="237"/>
      <c r="J2407" s="290"/>
      <c r="K2407" s="275"/>
      <c r="L2407" s="237"/>
      <c r="M2407" s="237"/>
      <c r="N2407" s="237"/>
      <c r="O2407" s="237"/>
      <c r="P2407" s="237"/>
      <c r="Q2407" s="237"/>
      <c r="R2407" s="237"/>
      <c r="S2407" s="237"/>
      <c r="T2407" s="237"/>
      <c r="U2407" s="237"/>
      <c r="V2407" s="237"/>
      <c r="W2407" s="237"/>
      <c r="X2407" s="237"/>
      <c r="Y2407" s="237"/>
      <c r="Z2407" s="237"/>
      <c r="AA2407" s="237"/>
      <c r="AB2407" s="237"/>
    </row>
    <row r="2408">
      <c r="A2408" s="237"/>
      <c r="B2408" s="275"/>
      <c r="C2408" s="88" t="s">
        <v>13185</v>
      </c>
      <c r="D2408" s="236"/>
      <c r="E2408" s="241" t="s">
        <v>1420</v>
      </c>
      <c r="F2408" s="88" t="s">
        <v>13186</v>
      </c>
      <c r="G2408" s="240" t="s">
        <v>13187</v>
      </c>
      <c r="H2408" s="241" t="s">
        <v>13188</v>
      </c>
      <c r="I2408" s="237"/>
      <c r="J2408" s="290"/>
      <c r="K2408" s="275"/>
      <c r="L2408" s="237"/>
      <c r="M2408" s="237"/>
      <c r="N2408" s="237"/>
      <c r="O2408" s="237"/>
      <c r="P2408" s="237"/>
      <c r="Q2408" s="237"/>
      <c r="R2408" s="237"/>
      <c r="S2408" s="237"/>
      <c r="T2408" s="237"/>
      <c r="U2408" s="237"/>
      <c r="V2408" s="237"/>
      <c r="W2408" s="237"/>
      <c r="X2408" s="237"/>
      <c r="Y2408" s="237"/>
      <c r="Z2408" s="237"/>
      <c r="AA2408" s="237"/>
      <c r="AB2408" s="237"/>
    </row>
    <row r="2409">
      <c r="A2409" s="237"/>
      <c r="B2409" s="275"/>
      <c r="C2409" s="88" t="s">
        <v>13189</v>
      </c>
      <c r="D2409" s="236"/>
      <c r="E2409" s="241" t="s">
        <v>1427</v>
      </c>
      <c r="F2409" s="297" t="s">
        <v>13190</v>
      </c>
      <c r="G2409" s="243" t="s">
        <v>13191</v>
      </c>
      <c r="H2409" s="236"/>
      <c r="I2409" s="237"/>
      <c r="J2409" s="290"/>
      <c r="K2409" s="275"/>
      <c r="L2409" s="237"/>
      <c r="M2409" s="237"/>
      <c r="N2409" s="237"/>
      <c r="O2409" s="237"/>
      <c r="P2409" s="237"/>
      <c r="Q2409" s="237"/>
      <c r="R2409" s="237"/>
      <c r="S2409" s="237"/>
      <c r="T2409" s="237"/>
      <c r="U2409" s="237"/>
      <c r="V2409" s="237"/>
      <c r="W2409" s="237"/>
      <c r="X2409" s="237"/>
      <c r="Y2409" s="237"/>
      <c r="Z2409" s="237"/>
      <c r="AA2409" s="237"/>
      <c r="AB2409" s="237"/>
    </row>
    <row r="2410">
      <c r="A2410" s="237"/>
      <c r="B2410" s="275"/>
      <c r="C2410" s="88" t="s">
        <v>13183</v>
      </c>
      <c r="D2410" s="236"/>
      <c r="E2410" s="236"/>
      <c r="F2410" s="88" t="s">
        <v>13192</v>
      </c>
      <c r="G2410" s="240" t="s">
        <v>13193</v>
      </c>
      <c r="H2410" s="241" t="s">
        <v>13194</v>
      </c>
      <c r="I2410" s="237"/>
      <c r="J2410" s="290"/>
      <c r="K2410" s="275"/>
      <c r="L2410" s="237"/>
      <c r="M2410" s="237"/>
      <c r="N2410" s="237"/>
      <c r="O2410" s="237"/>
      <c r="P2410" s="237"/>
      <c r="Q2410" s="237"/>
      <c r="R2410" s="237"/>
      <c r="S2410" s="237"/>
      <c r="T2410" s="237"/>
      <c r="U2410" s="237"/>
      <c r="V2410" s="237"/>
      <c r="W2410" s="237"/>
      <c r="X2410" s="237"/>
      <c r="Y2410" s="237"/>
      <c r="Z2410" s="237"/>
      <c r="AA2410" s="237"/>
      <c r="AB2410" s="237"/>
    </row>
    <row r="2411">
      <c r="A2411" s="237"/>
      <c r="B2411" s="275"/>
      <c r="C2411" s="88" t="s">
        <v>13183</v>
      </c>
      <c r="D2411" s="236"/>
      <c r="E2411" s="236"/>
      <c r="F2411" s="88" t="s">
        <v>13195</v>
      </c>
      <c r="G2411" s="240" t="s">
        <v>13196</v>
      </c>
      <c r="H2411" s="236"/>
      <c r="I2411" s="237"/>
      <c r="J2411" s="290"/>
      <c r="K2411" s="275"/>
      <c r="L2411" s="237"/>
      <c r="M2411" s="237"/>
      <c r="N2411" s="237"/>
      <c r="O2411" s="237"/>
      <c r="P2411" s="237"/>
      <c r="Q2411" s="237"/>
      <c r="R2411" s="237"/>
      <c r="S2411" s="237"/>
      <c r="T2411" s="237"/>
      <c r="U2411" s="237"/>
      <c r="V2411" s="237"/>
      <c r="W2411" s="237"/>
      <c r="X2411" s="237"/>
      <c r="Y2411" s="237"/>
      <c r="Z2411" s="237"/>
      <c r="AA2411" s="237"/>
      <c r="AB2411" s="237"/>
    </row>
    <row r="2412">
      <c r="A2412" s="237"/>
      <c r="B2412" s="275"/>
      <c r="C2412" s="88" t="s">
        <v>13183</v>
      </c>
      <c r="D2412" s="236"/>
      <c r="E2412" s="236"/>
      <c r="F2412" s="88" t="s">
        <v>13197</v>
      </c>
      <c r="G2412" s="240" t="s">
        <v>13198</v>
      </c>
      <c r="H2412" s="236"/>
      <c r="I2412" s="237"/>
      <c r="J2412" s="290"/>
      <c r="K2412" s="275"/>
      <c r="L2412" s="237"/>
      <c r="M2412" s="237"/>
      <c r="N2412" s="237"/>
      <c r="O2412" s="237"/>
      <c r="P2412" s="237"/>
      <c r="Q2412" s="237"/>
      <c r="R2412" s="237"/>
      <c r="S2412" s="237"/>
      <c r="T2412" s="237"/>
      <c r="U2412" s="237"/>
      <c r="V2412" s="237"/>
      <c r="W2412" s="237"/>
      <c r="X2412" s="237"/>
      <c r="Y2412" s="237"/>
      <c r="Z2412" s="237"/>
      <c r="AA2412" s="237"/>
      <c r="AB2412" s="237"/>
    </row>
    <row r="2413">
      <c r="A2413" s="237"/>
      <c r="B2413" s="275"/>
      <c r="C2413" s="88" t="s">
        <v>13199</v>
      </c>
      <c r="D2413" s="236"/>
      <c r="E2413" s="241" t="s">
        <v>1420</v>
      </c>
      <c r="F2413" s="88" t="s">
        <v>13200</v>
      </c>
      <c r="G2413" s="240" t="s">
        <v>13201</v>
      </c>
      <c r="H2413" s="241" t="s">
        <v>13202</v>
      </c>
      <c r="I2413" s="237"/>
      <c r="J2413" s="290"/>
      <c r="K2413" s="275"/>
      <c r="L2413" s="237"/>
      <c r="M2413" s="237"/>
      <c r="N2413" s="237"/>
      <c r="O2413" s="237"/>
      <c r="P2413" s="237"/>
      <c r="Q2413" s="237"/>
      <c r="R2413" s="237"/>
      <c r="S2413" s="237"/>
      <c r="T2413" s="237"/>
      <c r="U2413" s="237"/>
      <c r="V2413" s="237"/>
      <c r="W2413" s="237"/>
      <c r="X2413" s="237"/>
      <c r="Y2413" s="237"/>
      <c r="Z2413" s="237"/>
      <c r="AA2413" s="237"/>
      <c r="AB2413" s="237"/>
    </row>
    <row r="2414">
      <c r="A2414" s="237"/>
      <c r="B2414" s="275"/>
      <c r="C2414" s="88" t="s">
        <v>13203</v>
      </c>
      <c r="D2414" s="236"/>
      <c r="E2414" s="241" t="s">
        <v>1420</v>
      </c>
      <c r="F2414" s="88" t="s">
        <v>1592</v>
      </c>
      <c r="G2414" s="240" t="s">
        <v>13204</v>
      </c>
      <c r="H2414" s="241" t="s">
        <v>13194</v>
      </c>
      <c r="I2414" s="237"/>
      <c r="J2414" s="290"/>
      <c r="K2414" s="275"/>
      <c r="L2414" s="237"/>
      <c r="M2414" s="237"/>
      <c r="N2414" s="237"/>
      <c r="O2414" s="237"/>
      <c r="P2414" s="237"/>
      <c r="Q2414" s="237"/>
      <c r="R2414" s="237"/>
      <c r="S2414" s="237"/>
      <c r="T2414" s="237"/>
      <c r="U2414" s="237"/>
      <c r="V2414" s="237"/>
      <c r="W2414" s="237"/>
      <c r="X2414" s="237"/>
      <c r="Y2414" s="237"/>
      <c r="Z2414" s="237"/>
      <c r="AA2414" s="237"/>
      <c r="AB2414" s="237"/>
    </row>
    <row r="2415">
      <c r="A2415" s="237"/>
      <c r="B2415" s="275"/>
      <c r="C2415" s="88" t="s">
        <v>13183</v>
      </c>
      <c r="D2415" s="236"/>
      <c r="E2415" s="236"/>
      <c r="F2415" s="88" t="s">
        <v>13205</v>
      </c>
      <c r="G2415" s="240" t="s">
        <v>13206</v>
      </c>
      <c r="H2415" s="236"/>
      <c r="I2415" s="237"/>
      <c r="J2415" s="290"/>
      <c r="K2415" s="275"/>
      <c r="L2415" s="237"/>
      <c r="M2415" s="237"/>
      <c r="N2415" s="237"/>
      <c r="O2415" s="237"/>
      <c r="P2415" s="237"/>
      <c r="Q2415" s="237"/>
      <c r="R2415" s="237"/>
      <c r="S2415" s="237"/>
      <c r="T2415" s="237"/>
      <c r="U2415" s="237"/>
      <c r="V2415" s="237"/>
      <c r="W2415" s="237"/>
      <c r="X2415" s="237"/>
      <c r="Y2415" s="237"/>
      <c r="Z2415" s="237"/>
      <c r="AA2415" s="237"/>
      <c r="AB2415" s="237"/>
    </row>
    <row r="2416">
      <c r="A2416" s="237"/>
      <c r="B2416" s="275"/>
      <c r="C2416" s="88" t="s">
        <v>13207</v>
      </c>
      <c r="D2416" s="236"/>
      <c r="E2416" s="241" t="s">
        <v>1420</v>
      </c>
      <c r="F2416" s="88" t="s">
        <v>1593</v>
      </c>
      <c r="G2416" s="240" t="s">
        <v>13208</v>
      </c>
      <c r="H2416" s="241" t="s">
        <v>13209</v>
      </c>
      <c r="I2416" s="237"/>
      <c r="J2416" s="290"/>
      <c r="K2416" s="275"/>
      <c r="L2416" s="237"/>
      <c r="M2416" s="237"/>
      <c r="N2416" s="237"/>
      <c r="O2416" s="237"/>
      <c r="P2416" s="237"/>
      <c r="Q2416" s="237"/>
      <c r="R2416" s="237"/>
      <c r="S2416" s="237"/>
      <c r="T2416" s="237"/>
      <c r="U2416" s="237"/>
      <c r="V2416" s="237"/>
      <c r="W2416" s="237"/>
      <c r="X2416" s="237"/>
      <c r="Y2416" s="237"/>
      <c r="Z2416" s="237"/>
      <c r="AA2416" s="237"/>
      <c r="AB2416" s="237"/>
    </row>
    <row r="2417">
      <c r="A2417" s="237"/>
      <c r="B2417" s="275"/>
      <c r="C2417" s="88" t="s">
        <v>13210</v>
      </c>
      <c r="D2417" s="236"/>
      <c r="E2417" s="241" t="s">
        <v>1420</v>
      </c>
      <c r="F2417" s="88" t="s">
        <v>1594</v>
      </c>
      <c r="G2417" s="240" t="s">
        <v>13211</v>
      </c>
      <c r="H2417" s="241" t="s">
        <v>13212</v>
      </c>
      <c r="I2417" s="237"/>
      <c r="J2417" s="290"/>
      <c r="K2417" s="275"/>
      <c r="L2417" s="237"/>
      <c r="M2417" s="237"/>
      <c r="N2417" s="237"/>
      <c r="O2417" s="237"/>
      <c r="P2417" s="237"/>
      <c r="Q2417" s="237"/>
      <c r="R2417" s="237"/>
      <c r="S2417" s="237"/>
      <c r="T2417" s="237"/>
      <c r="U2417" s="237"/>
      <c r="V2417" s="237"/>
      <c r="W2417" s="237"/>
      <c r="X2417" s="237"/>
      <c r="Y2417" s="237"/>
      <c r="Z2417" s="237"/>
      <c r="AA2417" s="237"/>
      <c r="AB2417" s="237"/>
    </row>
    <row r="2418">
      <c r="A2418" s="237"/>
      <c r="B2418" s="275"/>
      <c r="C2418" s="88" t="s">
        <v>13183</v>
      </c>
      <c r="D2418" s="236"/>
      <c r="E2418" s="236"/>
      <c r="F2418" s="88" t="s">
        <v>13213</v>
      </c>
      <c r="G2418" s="240" t="s">
        <v>13214</v>
      </c>
      <c r="H2418" s="236"/>
      <c r="I2418" s="237"/>
      <c r="J2418" s="290"/>
      <c r="K2418" s="275"/>
      <c r="L2418" s="237"/>
      <c r="M2418" s="237"/>
      <c r="N2418" s="237"/>
      <c r="O2418" s="237"/>
      <c r="P2418" s="237"/>
      <c r="Q2418" s="237"/>
      <c r="R2418" s="237"/>
      <c r="S2418" s="237"/>
      <c r="T2418" s="237"/>
      <c r="U2418" s="237"/>
      <c r="V2418" s="237"/>
      <c r="W2418" s="237"/>
      <c r="X2418" s="237"/>
      <c r="Y2418" s="237"/>
      <c r="Z2418" s="237"/>
      <c r="AA2418" s="237"/>
      <c r="AB2418" s="237"/>
    </row>
    <row r="2419">
      <c r="A2419" s="237"/>
      <c r="B2419" s="275"/>
      <c r="C2419" s="88" t="s">
        <v>13183</v>
      </c>
      <c r="D2419" s="236"/>
      <c r="E2419" s="236"/>
      <c r="F2419" s="88" t="s">
        <v>13215</v>
      </c>
      <c r="G2419" s="240" t="s">
        <v>13198</v>
      </c>
      <c r="H2419" s="236"/>
      <c r="I2419" s="237"/>
      <c r="J2419" s="290"/>
      <c r="K2419" s="275"/>
      <c r="L2419" s="237"/>
      <c r="M2419" s="237"/>
      <c r="N2419" s="237"/>
      <c r="O2419" s="237"/>
      <c r="P2419" s="237"/>
      <c r="Q2419" s="237"/>
      <c r="R2419" s="237"/>
      <c r="S2419" s="237"/>
      <c r="T2419" s="237"/>
      <c r="U2419" s="237"/>
      <c r="V2419" s="237"/>
      <c r="W2419" s="237"/>
      <c r="X2419" s="237"/>
      <c r="Y2419" s="237"/>
      <c r="Z2419" s="237"/>
      <c r="AA2419" s="237"/>
      <c r="AB2419" s="237"/>
    </row>
    <row r="2420">
      <c r="A2420" s="237"/>
      <c r="B2420" s="275"/>
      <c r="C2420" s="88" t="s">
        <v>13216</v>
      </c>
      <c r="D2420" s="236"/>
      <c r="E2420" s="241" t="s">
        <v>1420</v>
      </c>
      <c r="F2420" s="88" t="s">
        <v>1595</v>
      </c>
      <c r="G2420" s="240" t="s">
        <v>13217</v>
      </c>
      <c r="H2420" s="241" t="s">
        <v>13218</v>
      </c>
      <c r="I2420" s="237"/>
      <c r="J2420" s="290"/>
      <c r="K2420" s="275"/>
      <c r="L2420" s="237"/>
      <c r="M2420" s="237"/>
      <c r="N2420" s="237"/>
      <c r="O2420" s="237"/>
      <c r="P2420" s="237"/>
      <c r="Q2420" s="237"/>
      <c r="R2420" s="237"/>
      <c r="S2420" s="237"/>
      <c r="T2420" s="237"/>
      <c r="U2420" s="237"/>
      <c r="V2420" s="237"/>
      <c r="W2420" s="237"/>
      <c r="X2420" s="237"/>
      <c r="Y2420" s="237"/>
      <c r="Z2420" s="237"/>
      <c r="AA2420" s="237"/>
      <c r="AB2420" s="237"/>
    </row>
    <row r="2421">
      <c r="A2421" s="237"/>
      <c r="B2421" s="275"/>
      <c r="C2421" s="88" t="s">
        <v>13219</v>
      </c>
      <c r="D2421" s="236"/>
      <c r="E2421" s="241" t="s">
        <v>1420</v>
      </c>
      <c r="F2421" s="88" t="s">
        <v>1596</v>
      </c>
      <c r="G2421" s="240" t="s">
        <v>13220</v>
      </c>
      <c r="H2421" s="241" t="s">
        <v>13221</v>
      </c>
      <c r="I2421" s="237"/>
      <c r="J2421" s="290"/>
      <c r="K2421" s="275"/>
      <c r="L2421" s="237"/>
      <c r="M2421" s="237"/>
      <c r="N2421" s="237"/>
      <c r="O2421" s="237"/>
      <c r="P2421" s="237"/>
      <c r="Q2421" s="237"/>
      <c r="R2421" s="237"/>
      <c r="S2421" s="237"/>
      <c r="T2421" s="237"/>
      <c r="U2421" s="237"/>
      <c r="V2421" s="237"/>
      <c r="W2421" s="237"/>
      <c r="X2421" s="237"/>
      <c r="Y2421" s="237"/>
      <c r="Z2421" s="237"/>
      <c r="AA2421" s="237"/>
      <c r="AB2421" s="237"/>
    </row>
    <row r="2422">
      <c r="A2422" s="237"/>
      <c r="B2422" s="275"/>
      <c r="C2422" s="88" t="s">
        <v>13222</v>
      </c>
      <c r="D2422" s="236"/>
      <c r="E2422" s="241" t="s">
        <v>1420</v>
      </c>
      <c r="F2422" s="88" t="s">
        <v>1597</v>
      </c>
      <c r="G2422" s="240" t="s">
        <v>13223</v>
      </c>
      <c r="H2422" s="241" t="s">
        <v>13224</v>
      </c>
      <c r="I2422" s="237"/>
      <c r="J2422" s="290"/>
      <c r="K2422" s="275"/>
      <c r="L2422" s="237"/>
      <c r="M2422" s="237"/>
      <c r="N2422" s="237"/>
      <c r="O2422" s="237"/>
      <c r="P2422" s="237"/>
      <c r="Q2422" s="237"/>
      <c r="R2422" s="237"/>
      <c r="S2422" s="237"/>
      <c r="T2422" s="237"/>
      <c r="U2422" s="237"/>
      <c r="V2422" s="237"/>
      <c r="W2422" s="237"/>
      <c r="X2422" s="237"/>
      <c r="Y2422" s="237"/>
      <c r="Z2422" s="237"/>
      <c r="AA2422" s="237"/>
      <c r="AB2422" s="237"/>
    </row>
    <row r="2423">
      <c r="A2423" s="237"/>
      <c r="B2423" s="275"/>
      <c r="C2423" s="88" t="s">
        <v>13225</v>
      </c>
      <c r="D2423" s="236"/>
      <c r="E2423" s="241" t="s">
        <v>1420</v>
      </c>
      <c r="F2423" s="88" t="s">
        <v>1598</v>
      </c>
      <c r="G2423" s="240" t="s">
        <v>13226</v>
      </c>
      <c r="H2423" s="241" t="s">
        <v>13227</v>
      </c>
      <c r="I2423" s="237"/>
      <c r="J2423" s="290"/>
      <c r="K2423" s="275"/>
      <c r="L2423" s="237"/>
      <c r="M2423" s="237"/>
      <c r="N2423" s="237"/>
      <c r="O2423" s="237"/>
      <c r="P2423" s="237"/>
      <c r="Q2423" s="237"/>
      <c r="R2423" s="237"/>
      <c r="S2423" s="237"/>
      <c r="T2423" s="237"/>
      <c r="U2423" s="237"/>
      <c r="V2423" s="237"/>
      <c r="W2423" s="237"/>
      <c r="X2423" s="237"/>
      <c r="Y2423" s="237"/>
      <c r="Z2423" s="237"/>
      <c r="AA2423" s="237"/>
      <c r="AB2423" s="237"/>
    </row>
    <row r="2424">
      <c r="A2424" s="237"/>
      <c r="B2424" s="275"/>
      <c r="C2424" s="88" t="s">
        <v>13228</v>
      </c>
      <c r="D2424" s="236"/>
      <c r="E2424" s="241" t="s">
        <v>1420</v>
      </c>
      <c r="F2424" s="88" t="s">
        <v>1599</v>
      </c>
      <c r="G2424" s="240" t="s">
        <v>13229</v>
      </c>
      <c r="H2424" s="241" t="s">
        <v>13230</v>
      </c>
      <c r="I2424" s="237"/>
      <c r="J2424" s="290"/>
      <c r="K2424" s="275"/>
      <c r="L2424" s="237"/>
      <c r="M2424" s="237"/>
      <c r="N2424" s="237"/>
      <c r="O2424" s="237"/>
      <c r="P2424" s="237"/>
      <c r="Q2424" s="237"/>
      <c r="R2424" s="237"/>
      <c r="S2424" s="237"/>
      <c r="T2424" s="237"/>
      <c r="U2424" s="237"/>
      <c r="V2424" s="237"/>
      <c r="W2424" s="237"/>
      <c r="X2424" s="237"/>
      <c r="Y2424" s="237"/>
      <c r="Z2424" s="237"/>
      <c r="AA2424" s="237"/>
      <c r="AB2424" s="237"/>
    </row>
    <row r="2425">
      <c r="A2425" s="237"/>
      <c r="B2425" s="275"/>
      <c r="C2425" s="88" t="s">
        <v>13231</v>
      </c>
      <c r="D2425" s="236"/>
      <c r="E2425" s="241" t="s">
        <v>1420</v>
      </c>
      <c r="F2425" s="88" t="s">
        <v>1600</v>
      </c>
      <c r="G2425" s="240" t="s">
        <v>13232</v>
      </c>
      <c r="H2425" s="241" t="s">
        <v>13233</v>
      </c>
      <c r="I2425" s="237"/>
      <c r="J2425" s="290"/>
      <c r="K2425" s="275"/>
      <c r="L2425" s="237"/>
      <c r="M2425" s="237"/>
      <c r="N2425" s="237"/>
      <c r="O2425" s="237"/>
      <c r="P2425" s="237"/>
      <c r="Q2425" s="237"/>
      <c r="R2425" s="237"/>
      <c r="S2425" s="237"/>
      <c r="T2425" s="237"/>
      <c r="U2425" s="237"/>
      <c r="V2425" s="237"/>
      <c r="W2425" s="237"/>
      <c r="X2425" s="237"/>
      <c r="Y2425" s="237"/>
      <c r="Z2425" s="237"/>
      <c r="AA2425" s="237"/>
      <c r="AB2425" s="237"/>
    </row>
    <row r="2426">
      <c r="A2426" s="237"/>
      <c r="B2426" s="275"/>
      <c r="C2426" s="88" t="s">
        <v>13234</v>
      </c>
      <c r="D2426" s="236"/>
      <c r="E2426" s="241" t="s">
        <v>1420</v>
      </c>
      <c r="F2426" s="88" t="s">
        <v>1601</v>
      </c>
      <c r="G2426" s="240" t="s">
        <v>13235</v>
      </c>
      <c r="H2426" s="241" t="s">
        <v>13236</v>
      </c>
      <c r="I2426" s="237"/>
      <c r="J2426" s="290"/>
      <c r="K2426" s="275"/>
      <c r="L2426" s="237"/>
      <c r="M2426" s="237"/>
      <c r="N2426" s="237"/>
      <c r="O2426" s="237"/>
      <c r="P2426" s="237"/>
      <c r="Q2426" s="237"/>
      <c r="R2426" s="237"/>
      <c r="S2426" s="237"/>
      <c r="T2426" s="237"/>
      <c r="U2426" s="237"/>
      <c r="V2426" s="237"/>
      <c r="W2426" s="237"/>
      <c r="X2426" s="237"/>
      <c r="Y2426" s="237"/>
      <c r="Z2426" s="237"/>
      <c r="AA2426" s="237"/>
      <c r="AB2426" s="237"/>
    </row>
    <row r="2427">
      <c r="A2427" s="237"/>
      <c r="B2427" s="275"/>
      <c r="C2427" s="88" t="s">
        <v>13237</v>
      </c>
      <c r="D2427" s="236"/>
      <c r="E2427" s="241" t="s">
        <v>1420</v>
      </c>
      <c r="F2427" s="88" t="s">
        <v>1602</v>
      </c>
      <c r="G2427" s="240" t="s">
        <v>13238</v>
      </c>
      <c r="H2427" s="241" t="s">
        <v>13239</v>
      </c>
      <c r="I2427" s="237"/>
      <c r="J2427" s="290"/>
      <c r="K2427" s="275"/>
      <c r="L2427" s="237"/>
      <c r="M2427" s="237"/>
      <c r="N2427" s="237"/>
      <c r="O2427" s="237"/>
      <c r="P2427" s="237"/>
      <c r="Q2427" s="237"/>
      <c r="R2427" s="237"/>
      <c r="S2427" s="237"/>
      <c r="T2427" s="237"/>
      <c r="U2427" s="237"/>
      <c r="V2427" s="237"/>
      <c r="W2427" s="237"/>
      <c r="X2427" s="237"/>
      <c r="Y2427" s="237"/>
      <c r="Z2427" s="237"/>
      <c r="AA2427" s="237"/>
      <c r="AB2427" s="237"/>
    </row>
    <row r="2428">
      <c r="A2428" s="237"/>
      <c r="B2428" s="275"/>
      <c r="C2428" s="88" t="s">
        <v>13240</v>
      </c>
      <c r="D2428" s="236"/>
      <c r="E2428" s="241" t="s">
        <v>1420</v>
      </c>
      <c r="F2428" s="88" t="s">
        <v>1603</v>
      </c>
      <c r="G2428" s="240" t="s">
        <v>13241</v>
      </c>
      <c r="H2428" s="241" t="s">
        <v>13242</v>
      </c>
      <c r="I2428" s="237"/>
      <c r="J2428" s="290"/>
      <c r="K2428" s="275"/>
      <c r="L2428" s="237"/>
      <c r="M2428" s="237"/>
      <c r="N2428" s="237"/>
      <c r="O2428" s="237"/>
      <c r="P2428" s="237"/>
      <c r="Q2428" s="237"/>
      <c r="R2428" s="237"/>
      <c r="S2428" s="237"/>
      <c r="T2428" s="237"/>
      <c r="U2428" s="237"/>
      <c r="V2428" s="237"/>
      <c r="W2428" s="237"/>
      <c r="X2428" s="237"/>
      <c r="Y2428" s="237"/>
      <c r="Z2428" s="237"/>
      <c r="AA2428" s="237"/>
      <c r="AB2428" s="237"/>
    </row>
    <row r="2429">
      <c r="A2429" s="237"/>
      <c r="B2429" s="275"/>
      <c r="C2429" s="88" t="s">
        <v>13243</v>
      </c>
      <c r="D2429" s="236"/>
      <c r="E2429" s="241" t="s">
        <v>1420</v>
      </c>
      <c r="F2429" s="88" t="s">
        <v>1604</v>
      </c>
      <c r="G2429" s="240" t="s">
        <v>13244</v>
      </c>
      <c r="H2429" s="241" t="s">
        <v>13245</v>
      </c>
      <c r="I2429" s="237"/>
      <c r="J2429" s="290"/>
      <c r="K2429" s="275"/>
      <c r="L2429" s="237"/>
      <c r="M2429" s="237"/>
      <c r="N2429" s="237"/>
      <c r="O2429" s="237"/>
      <c r="P2429" s="237"/>
      <c r="Q2429" s="237"/>
      <c r="R2429" s="237"/>
      <c r="S2429" s="237"/>
      <c r="T2429" s="237"/>
      <c r="U2429" s="237"/>
      <c r="V2429" s="237"/>
      <c r="W2429" s="237"/>
      <c r="X2429" s="237"/>
      <c r="Y2429" s="237"/>
      <c r="Z2429" s="237"/>
      <c r="AA2429" s="237"/>
      <c r="AB2429" s="237"/>
    </row>
    <row r="2430">
      <c r="A2430" s="237"/>
      <c r="B2430" s="275"/>
      <c r="C2430" s="88" t="s">
        <v>13246</v>
      </c>
      <c r="D2430" s="236"/>
      <c r="E2430" s="241" t="s">
        <v>1420</v>
      </c>
      <c r="F2430" s="88" t="s">
        <v>1605</v>
      </c>
      <c r="G2430" s="240" t="s">
        <v>13247</v>
      </c>
      <c r="H2430" s="241" t="s">
        <v>13248</v>
      </c>
      <c r="I2430" s="237"/>
      <c r="J2430" s="290"/>
      <c r="K2430" s="275"/>
      <c r="L2430" s="237"/>
      <c r="M2430" s="237"/>
      <c r="N2430" s="237"/>
      <c r="O2430" s="237"/>
      <c r="P2430" s="237"/>
      <c r="Q2430" s="237"/>
      <c r="R2430" s="237"/>
      <c r="S2430" s="237"/>
      <c r="T2430" s="237"/>
      <c r="U2430" s="237"/>
      <c r="V2430" s="237"/>
      <c r="W2430" s="237"/>
      <c r="X2430" s="237"/>
      <c r="Y2430" s="237"/>
      <c r="Z2430" s="237"/>
      <c r="AA2430" s="237"/>
      <c r="AB2430" s="237"/>
    </row>
    <row r="2431">
      <c r="A2431" s="237"/>
      <c r="B2431" s="275"/>
      <c r="C2431" s="88" t="s">
        <v>13249</v>
      </c>
      <c r="D2431" s="236"/>
      <c r="E2431" s="241" t="s">
        <v>1420</v>
      </c>
      <c r="F2431" s="88" t="s">
        <v>1606</v>
      </c>
      <c r="G2431" s="240" t="s">
        <v>13250</v>
      </c>
      <c r="H2431" s="241" t="s">
        <v>13251</v>
      </c>
      <c r="I2431" s="237"/>
      <c r="J2431" s="290"/>
      <c r="K2431" s="275"/>
      <c r="L2431" s="237"/>
      <c r="M2431" s="237"/>
      <c r="N2431" s="237"/>
      <c r="O2431" s="237"/>
      <c r="P2431" s="237"/>
      <c r="Q2431" s="237"/>
      <c r="R2431" s="237"/>
      <c r="S2431" s="237"/>
      <c r="T2431" s="237"/>
      <c r="U2431" s="237"/>
      <c r="V2431" s="237"/>
      <c r="W2431" s="237"/>
      <c r="X2431" s="237"/>
      <c r="Y2431" s="237"/>
      <c r="Z2431" s="237"/>
      <c r="AA2431" s="237"/>
      <c r="AB2431" s="237"/>
    </row>
    <row r="2432">
      <c r="A2432" s="237"/>
      <c r="B2432" s="275"/>
      <c r="C2432" s="88" t="s">
        <v>13252</v>
      </c>
      <c r="D2432" s="236"/>
      <c r="E2432" s="241" t="s">
        <v>1420</v>
      </c>
      <c r="F2432" s="88" t="s">
        <v>1607</v>
      </c>
      <c r="G2432" s="240" t="s">
        <v>13253</v>
      </c>
      <c r="H2432" s="241" t="s">
        <v>13254</v>
      </c>
      <c r="I2432" s="237"/>
      <c r="J2432" s="290"/>
      <c r="K2432" s="275"/>
      <c r="L2432" s="237"/>
      <c r="M2432" s="237"/>
      <c r="N2432" s="237"/>
      <c r="O2432" s="237"/>
      <c r="P2432" s="237"/>
      <c r="Q2432" s="237"/>
      <c r="R2432" s="237"/>
      <c r="S2432" s="237"/>
      <c r="T2432" s="237"/>
      <c r="U2432" s="237"/>
      <c r="V2432" s="237"/>
      <c r="W2432" s="237"/>
      <c r="X2432" s="237"/>
      <c r="Y2432" s="237"/>
      <c r="Z2432" s="237"/>
      <c r="AA2432" s="237"/>
      <c r="AB2432" s="237"/>
    </row>
    <row r="2433">
      <c r="A2433" s="237"/>
      <c r="B2433" s="275"/>
      <c r="C2433" s="88" t="s">
        <v>13255</v>
      </c>
      <c r="D2433" s="236"/>
      <c r="E2433" s="241" t="s">
        <v>1420</v>
      </c>
      <c r="F2433" s="88" t="s">
        <v>1608</v>
      </c>
      <c r="G2433" s="240" t="s">
        <v>13256</v>
      </c>
      <c r="H2433" s="241" t="s">
        <v>13257</v>
      </c>
      <c r="I2433" s="237"/>
      <c r="J2433" s="290"/>
      <c r="K2433" s="275"/>
      <c r="L2433" s="237"/>
      <c r="M2433" s="237"/>
      <c r="N2433" s="237"/>
      <c r="O2433" s="237"/>
      <c r="P2433" s="237"/>
      <c r="Q2433" s="237"/>
      <c r="R2433" s="237"/>
      <c r="S2433" s="237"/>
      <c r="T2433" s="237"/>
      <c r="U2433" s="237"/>
      <c r="V2433" s="237"/>
      <c r="W2433" s="237"/>
      <c r="X2433" s="237"/>
      <c r="Y2433" s="237"/>
      <c r="Z2433" s="237"/>
      <c r="AA2433" s="237"/>
      <c r="AB2433" s="237"/>
    </row>
    <row r="2434">
      <c r="A2434" s="237"/>
      <c r="B2434" s="275"/>
      <c r="C2434" s="88" t="s">
        <v>13258</v>
      </c>
      <c r="D2434" s="236"/>
      <c r="E2434" s="241" t="s">
        <v>1420</v>
      </c>
      <c r="F2434" s="88" t="s">
        <v>1609</v>
      </c>
      <c r="G2434" s="240" t="s">
        <v>13259</v>
      </c>
      <c r="H2434" s="241" t="s">
        <v>13260</v>
      </c>
      <c r="I2434" s="237"/>
      <c r="J2434" s="290"/>
      <c r="K2434" s="275"/>
      <c r="L2434" s="237"/>
      <c r="M2434" s="237"/>
      <c r="N2434" s="237"/>
      <c r="O2434" s="237"/>
      <c r="P2434" s="237"/>
      <c r="Q2434" s="237"/>
      <c r="R2434" s="237"/>
      <c r="S2434" s="237"/>
      <c r="T2434" s="237"/>
      <c r="U2434" s="237"/>
      <c r="V2434" s="237"/>
      <c r="W2434" s="237"/>
      <c r="X2434" s="237"/>
      <c r="Y2434" s="237"/>
      <c r="Z2434" s="237"/>
      <c r="AA2434" s="237"/>
      <c r="AB2434" s="237"/>
    </row>
    <row r="2435">
      <c r="A2435" s="237"/>
      <c r="B2435" s="275"/>
      <c r="C2435" s="88" t="s">
        <v>13261</v>
      </c>
      <c r="D2435" s="236"/>
      <c r="E2435" s="241" t="s">
        <v>1420</v>
      </c>
      <c r="F2435" s="88" t="s">
        <v>1610</v>
      </c>
      <c r="G2435" s="240" t="s">
        <v>13262</v>
      </c>
      <c r="H2435" s="241" t="s">
        <v>13263</v>
      </c>
      <c r="I2435" s="237"/>
      <c r="J2435" s="290"/>
      <c r="K2435" s="275"/>
      <c r="L2435" s="237"/>
      <c r="M2435" s="237"/>
      <c r="N2435" s="237"/>
      <c r="O2435" s="237"/>
      <c r="P2435" s="237"/>
      <c r="Q2435" s="237"/>
      <c r="R2435" s="237"/>
      <c r="S2435" s="237"/>
      <c r="T2435" s="237"/>
      <c r="U2435" s="237"/>
      <c r="V2435" s="237"/>
      <c r="W2435" s="237"/>
      <c r="X2435" s="237"/>
      <c r="Y2435" s="237"/>
      <c r="Z2435" s="237"/>
      <c r="AA2435" s="237"/>
      <c r="AB2435" s="237"/>
    </row>
    <row r="2436">
      <c r="A2436" s="237"/>
      <c r="B2436" s="275"/>
      <c r="C2436" s="88" t="s">
        <v>13264</v>
      </c>
      <c r="D2436" s="236"/>
      <c r="E2436" s="241" t="s">
        <v>1420</v>
      </c>
      <c r="F2436" s="88" t="s">
        <v>1611</v>
      </c>
      <c r="G2436" s="240" t="s">
        <v>13265</v>
      </c>
      <c r="H2436" s="241" t="s">
        <v>13266</v>
      </c>
      <c r="I2436" s="237"/>
      <c r="J2436" s="290"/>
      <c r="K2436" s="275"/>
      <c r="L2436" s="237"/>
      <c r="M2436" s="237"/>
      <c r="N2436" s="237"/>
      <c r="O2436" s="237"/>
      <c r="P2436" s="237"/>
      <c r="Q2436" s="237"/>
      <c r="R2436" s="237"/>
      <c r="S2436" s="237"/>
      <c r="T2436" s="237"/>
      <c r="U2436" s="237"/>
      <c r="V2436" s="237"/>
      <c r="W2436" s="237"/>
      <c r="X2436" s="237"/>
      <c r="Y2436" s="237"/>
      <c r="Z2436" s="237"/>
      <c r="AA2436" s="237"/>
      <c r="AB2436" s="237"/>
    </row>
    <row r="2437">
      <c r="A2437" s="237"/>
      <c r="B2437" s="275"/>
      <c r="C2437" s="88" t="s">
        <v>13267</v>
      </c>
      <c r="D2437" s="236"/>
      <c r="E2437" s="241" t="s">
        <v>1420</v>
      </c>
      <c r="F2437" s="88" t="s">
        <v>1512</v>
      </c>
      <c r="G2437" s="88" t="s">
        <v>13268</v>
      </c>
      <c r="H2437" s="241" t="s">
        <v>13269</v>
      </c>
      <c r="I2437" s="237"/>
      <c r="J2437" s="290"/>
      <c r="K2437" s="275"/>
      <c r="L2437" s="237"/>
      <c r="M2437" s="237"/>
      <c r="N2437" s="237"/>
      <c r="O2437" s="237"/>
      <c r="P2437" s="237"/>
      <c r="Q2437" s="237"/>
      <c r="R2437" s="237"/>
      <c r="S2437" s="237"/>
      <c r="T2437" s="237"/>
      <c r="U2437" s="237"/>
      <c r="V2437" s="237"/>
      <c r="W2437" s="237"/>
      <c r="X2437" s="237"/>
      <c r="Y2437" s="237"/>
      <c r="Z2437" s="237"/>
      <c r="AA2437" s="237"/>
      <c r="AB2437" s="237"/>
    </row>
    <row r="2438">
      <c r="A2438" s="237"/>
      <c r="B2438" s="275"/>
      <c r="C2438" s="88" t="s">
        <v>13270</v>
      </c>
      <c r="D2438" s="236"/>
      <c r="E2438" s="241" t="s">
        <v>1420</v>
      </c>
      <c r="F2438" s="88" t="s">
        <v>1514</v>
      </c>
      <c r="G2438" s="88" t="s">
        <v>13271</v>
      </c>
      <c r="H2438" s="241" t="s">
        <v>13272</v>
      </c>
      <c r="I2438" s="237"/>
      <c r="J2438" s="290"/>
      <c r="K2438" s="275"/>
      <c r="L2438" s="237"/>
      <c r="M2438" s="237"/>
      <c r="N2438" s="237"/>
      <c r="O2438" s="237"/>
      <c r="P2438" s="237"/>
      <c r="Q2438" s="237"/>
      <c r="R2438" s="237"/>
      <c r="S2438" s="237"/>
      <c r="T2438" s="237"/>
      <c r="U2438" s="237"/>
      <c r="V2438" s="237"/>
      <c r="W2438" s="237"/>
      <c r="X2438" s="237"/>
      <c r="Y2438" s="237"/>
      <c r="Z2438" s="237"/>
      <c r="AA2438" s="237"/>
      <c r="AB2438" s="237"/>
    </row>
    <row r="2439">
      <c r="A2439" s="237"/>
      <c r="B2439" s="275"/>
      <c r="C2439" s="88" t="s">
        <v>13273</v>
      </c>
      <c r="D2439" s="236"/>
      <c r="E2439" s="241" t="s">
        <v>1420</v>
      </c>
      <c r="F2439" s="88" t="s">
        <v>1516</v>
      </c>
      <c r="G2439" s="88" t="s">
        <v>13274</v>
      </c>
      <c r="H2439" s="241" t="s">
        <v>13275</v>
      </c>
      <c r="I2439" s="237"/>
      <c r="J2439" s="290"/>
      <c r="K2439" s="275"/>
      <c r="L2439" s="237"/>
      <c r="M2439" s="237"/>
      <c r="N2439" s="237"/>
      <c r="O2439" s="237"/>
      <c r="P2439" s="237"/>
      <c r="Q2439" s="237"/>
      <c r="R2439" s="237"/>
      <c r="S2439" s="237"/>
      <c r="T2439" s="237"/>
      <c r="U2439" s="237"/>
      <c r="V2439" s="237"/>
      <c r="W2439" s="237"/>
      <c r="X2439" s="237"/>
      <c r="Y2439" s="237"/>
      <c r="Z2439" s="237"/>
      <c r="AA2439" s="237"/>
      <c r="AB2439" s="237"/>
    </row>
    <row r="2440">
      <c r="A2440" s="237"/>
      <c r="B2440" s="275"/>
      <c r="C2440" s="88" t="s">
        <v>13276</v>
      </c>
      <c r="D2440" s="236"/>
      <c r="E2440" s="241" t="s">
        <v>11671</v>
      </c>
      <c r="F2440" s="88" t="s">
        <v>1518</v>
      </c>
      <c r="G2440" s="88" t="s">
        <v>13277</v>
      </c>
      <c r="H2440" s="251" t="s">
        <v>13278</v>
      </c>
      <c r="I2440" s="237"/>
      <c r="J2440" s="290"/>
      <c r="K2440" s="275"/>
      <c r="L2440" s="237"/>
      <c r="M2440" s="237"/>
      <c r="N2440" s="237"/>
      <c r="O2440" s="237"/>
      <c r="P2440" s="237"/>
      <c r="Q2440" s="237"/>
      <c r="R2440" s="237"/>
      <c r="S2440" s="237"/>
      <c r="T2440" s="237"/>
      <c r="U2440" s="237"/>
      <c r="V2440" s="237"/>
      <c r="W2440" s="237"/>
      <c r="X2440" s="237"/>
      <c r="Y2440" s="237"/>
      <c r="Z2440" s="237"/>
      <c r="AA2440" s="237"/>
      <c r="AB2440" s="237"/>
    </row>
    <row r="2441">
      <c r="A2441" s="237"/>
      <c r="B2441" s="275"/>
      <c r="C2441" s="88" t="s">
        <v>13279</v>
      </c>
      <c r="D2441" s="236"/>
      <c r="E2441" s="241" t="s">
        <v>11671</v>
      </c>
      <c r="F2441" s="88" t="s">
        <v>1520</v>
      </c>
      <c r="G2441" s="88" t="s">
        <v>13280</v>
      </c>
      <c r="H2441" s="255" t="s">
        <v>13281</v>
      </c>
      <c r="I2441" s="237"/>
      <c r="J2441" s="290"/>
      <c r="K2441" s="275"/>
      <c r="L2441" s="237"/>
      <c r="M2441" s="237"/>
      <c r="N2441" s="237"/>
      <c r="O2441" s="237"/>
      <c r="P2441" s="237"/>
      <c r="Q2441" s="237"/>
      <c r="R2441" s="237"/>
      <c r="S2441" s="237"/>
      <c r="T2441" s="237"/>
      <c r="U2441" s="237"/>
      <c r="V2441" s="237"/>
      <c r="W2441" s="237"/>
      <c r="X2441" s="237"/>
      <c r="Y2441" s="237"/>
      <c r="Z2441" s="237"/>
      <c r="AA2441" s="237"/>
      <c r="AB2441" s="237"/>
    </row>
    <row r="2442">
      <c r="A2442" s="237"/>
      <c r="B2442" s="275"/>
      <c r="C2442" s="88" t="s">
        <v>13282</v>
      </c>
      <c r="D2442" s="236"/>
      <c r="E2442" s="241" t="s">
        <v>1420</v>
      </c>
      <c r="F2442" s="88" t="s">
        <v>1522</v>
      </c>
      <c r="G2442" s="88" t="s">
        <v>13283</v>
      </c>
      <c r="H2442" s="241" t="s">
        <v>13284</v>
      </c>
      <c r="I2442" s="237"/>
      <c r="J2442" s="290"/>
      <c r="K2442" s="275"/>
      <c r="L2442" s="237"/>
      <c r="M2442" s="237"/>
      <c r="N2442" s="237"/>
      <c r="O2442" s="237"/>
      <c r="P2442" s="237"/>
      <c r="Q2442" s="237"/>
      <c r="R2442" s="237"/>
      <c r="S2442" s="237"/>
      <c r="T2442" s="237"/>
      <c r="U2442" s="237"/>
      <c r="V2442" s="237"/>
      <c r="W2442" s="237"/>
      <c r="X2442" s="237"/>
      <c r="Y2442" s="237"/>
      <c r="Z2442" s="237"/>
      <c r="AA2442" s="237"/>
      <c r="AB2442" s="237"/>
    </row>
    <row r="2443">
      <c r="A2443" s="237"/>
      <c r="B2443" s="275"/>
      <c r="C2443" s="88" t="s">
        <v>13285</v>
      </c>
      <c r="D2443" s="236"/>
      <c r="E2443" s="241" t="s">
        <v>13286</v>
      </c>
      <c r="F2443" s="88" t="s">
        <v>1613</v>
      </c>
      <c r="G2443" s="88" t="s">
        <v>13287</v>
      </c>
      <c r="H2443" s="241" t="s">
        <v>13288</v>
      </c>
      <c r="I2443" s="237"/>
      <c r="J2443" s="290"/>
      <c r="K2443" s="275"/>
      <c r="L2443" s="237"/>
      <c r="M2443" s="237"/>
      <c r="N2443" s="237"/>
      <c r="O2443" s="237"/>
      <c r="P2443" s="237"/>
      <c r="Q2443" s="237"/>
      <c r="R2443" s="237"/>
      <c r="S2443" s="237"/>
      <c r="T2443" s="237"/>
      <c r="U2443" s="237"/>
      <c r="V2443" s="237"/>
      <c r="W2443" s="237"/>
      <c r="X2443" s="237"/>
      <c r="Y2443" s="237"/>
      <c r="Z2443" s="237"/>
      <c r="AA2443" s="237"/>
      <c r="AB2443" s="237"/>
    </row>
    <row r="2444">
      <c r="A2444" s="237"/>
      <c r="B2444" s="275"/>
      <c r="C2444" s="88" t="s">
        <v>13289</v>
      </c>
      <c r="D2444" s="236"/>
      <c r="E2444" s="241" t="s">
        <v>1420</v>
      </c>
      <c r="F2444" s="88" t="s">
        <v>1614</v>
      </c>
      <c r="G2444" s="88" t="s">
        <v>13290</v>
      </c>
      <c r="H2444" s="241" t="s">
        <v>13291</v>
      </c>
      <c r="I2444" s="237"/>
      <c r="J2444" s="290"/>
      <c r="K2444" s="275"/>
      <c r="L2444" s="237"/>
      <c r="M2444" s="237"/>
      <c r="N2444" s="237"/>
      <c r="O2444" s="237"/>
      <c r="P2444" s="237"/>
      <c r="Q2444" s="237"/>
      <c r="R2444" s="237"/>
      <c r="S2444" s="237"/>
      <c r="T2444" s="237"/>
      <c r="U2444" s="237"/>
      <c r="V2444" s="237"/>
      <c r="W2444" s="237"/>
      <c r="X2444" s="237"/>
      <c r="Y2444" s="237"/>
      <c r="Z2444" s="237"/>
      <c r="AA2444" s="237"/>
      <c r="AB2444" s="237"/>
    </row>
    <row r="2445">
      <c r="A2445" s="237"/>
      <c r="B2445" s="275"/>
      <c r="C2445" s="88" t="s">
        <v>13292</v>
      </c>
      <c r="D2445" s="236"/>
      <c r="E2445" s="241" t="s">
        <v>13286</v>
      </c>
      <c r="F2445" s="88" t="s">
        <v>1615</v>
      </c>
      <c r="G2445" s="88" t="s">
        <v>13293</v>
      </c>
      <c r="H2445" s="241" t="s">
        <v>13294</v>
      </c>
      <c r="I2445" s="237"/>
      <c r="J2445" s="290"/>
      <c r="K2445" s="275"/>
      <c r="L2445" s="237"/>
      <c r="M2445" s="237"/>
      <c r="N2445" s="237"/>
      <c r="O2445" s="237"/>
      <c r="P2445" s="237"/>
      <c r="Q2445" s="237"/>
      <c r="R2445" s="237"/>
      <c r="S2445" s="237"/>
      <c r="T2445" s="237"/>
      <c r="U2445" s="237"/>
      <c r="V2445" s="237"/>
      <c r="W2445" s="237"/>
      <c r="X2445" s="237"/>
      <c r="Y2445" s="237"/>
      <c r="Z2445" s="237"/>
      <c r="AA2445" s="237"/>
      <c r="AB2445" s="237"/>
    </row>
    <row r="2446">
      <c r="A2446" s="237"/>
      <c r="B2446" s="275"/>
      <c r="C2446" s="88" t="s">
        <v>13295</v>
      </c>
      <c r="D2446" s="236"/>
      <c r="E2446" s="241" t="s">
        <v>11671</v>
      </c>
      <c r="F2446" s="88" t="s">
        <v>1616</v>
      </c>
      <c r="G2446" s="88" t="s">
        <v>13296</v>
      </c>
      <c r="H2446" s="241" t="s">
        <v>13297</v>
      </c>
      <c r="I2446" s="237"/>
      <c r="J2446" s="290"/>
      <c r="K2446" s="275"/>
      <c r="L2446" s="237"/>
      <c r="M2446" s="237"/>
      <c r="N2446" s="237"/>
      <c r="O2446" s="237"/>
      <c r="P2446" s="237"/>
      <c r="Q2446" s="237"/>
      <c r="R2446" s="237"/>
      <c r="S2446" s="237"/>
      <c r="T2446" s="237"/>
      <c r="U2446" s="237"/>
      <c r="V2446" s="237"/>
      <c r="W2446" s="237"/>
      <c r="X2446" s="237"/>
      <c r="Y2446" s="237"/>
      <c r="Z2446" s="237"/>
      <c r="AA2446" s="237"/>
      <c r="AB2446" s="237"/>
    </row>
    <row r="2447">
      <c r="A2447" s="237"/>
      <c r="B2447" s="275"/>
      <c r="C2447" s="88" t="s">
        <v>13298</v>
      </c>
      <c r="D2447" s="236"/>
      <c r="E2447" s="241" t="s">
        <v>11671</v>
      </c>
      <c r="F2447" s="88" t="s">
        <v>1617</v>
      </c>
      <c r="G2447" s="88" t="s">
        <v>13299</v>
      </c>
      <c r="H2447" s="241" t="s">
        <v>13300</v>
      </c>
      <c r="I2447" s="237"/>
      <c r="J2447" s="290"/>
      <c r="K2447" s="275"/>
      <c r="L2447" s="237"/>
      <c r="M2447" s="237"/>
      <c r="N2447" s="237"/>
      <c r="O2447" s="237"/>
      <c r="P2447" s="237"/>
      <c r="Q2447" s="237"/>
      <c r="R2447" s="237"/>
      <c r="S2447" s="237"/>
      <c r="T2447" s="237"/>
      <c r="U2447" s="237"/>
      <c r="V2447" s="237"/>
      <c r="W2447" s="237"/>
      <c r="X2447" s="237"/>
      <c r="Y2447" s="237"/>
      <c r="Z2447" s="237"/>
      <c r="AA2447" s="237"/>
      <c r="AB2447" s="237"/>
    </row>
    <row r="2448">
      <c r="A2448" s="237"/>
      <c r="B2448" s="275"/>
      <c r="C2448" s="88" t="s">
        <v>13301</v>
      </c>
      <c r="D2448" s="236"/>
      <c r="E2448" s="241" t="s">
        <v>11671</v>
      </c>
      <c r="F2448" s="88" t="s">
        <v>13302</v>
      </c>
      <c r="G2448" s="88" t="s">
        <v>13303</v>
      </c>
      <c r="H2448" s="241" t="s">
        <v>13304</v>
      </c>
      <c r="I2448" s="237"/>
      <c r="J2448" s="290"/>
      <c r="K2448" s="275"/>
      <c r="L2448" s="237"/>
      <c r="M2448" s="237"/>
      <c r="N2448" s="237"/>
      <c r="O2448" s="237"/>
      <c r="P2448" s="237"/>
      <c r="Q2448" s="237"/>
      <c r="R2448" s="237"/>
      <c r="S2448" s="237"/>
      <c r="T2448" s="237"/>
      <c r="U2448" s="237"/>
      <c r="V2448" s="237"/>
      <c r="W2448" s="237"/>
      <c r="X2448" s="237"/>
      <c r="Y2448" s="237"/>
      <c r="Z2448" s="237"/>
      <c r="AA2448" s="237"/>
      <c r="AB2448" s="237"/>
    </row>
    <row r="2449">
      <c r="A2449" s="237"/>
      <c r="B2449" s="275"/>
      <c r="C2449" s="88" t="s">
        <v>13305</v>
      </c>
      <c r="D2449" s="236"/>
      <c r="E2449" s="241" t="s">
        <v>11671</v>
      </c>
      <c r="F2449" s="88" t="s">
        <v>1619</v>
      </c>
      <c r="G2449" s="88" t="s">
        <v>13306</v>
      </c>
      <c r="H2449" s="241" t="s">
        <v>13307</v>
      </c>
      <c r="I2449" s="237"/>
      <c r="J2449" s="290"/>
      <c r="K2449" s="275"/>
      <c r="L2449" s="237"/>
      <c r="M2449" s="237"/>
      <c r="N2449" s="237"/>
      <c r="O2449" s="237"/>
      <c r="P2449" s="237"/>
      <c r="Q2449" s="237"/>
      <c r="R2449" s="237"/>
      <c r="S2449" s="237"/>
      <c r="T2449" s="237"/>
      <c r="U2449" s="237"/>
      <c r="V2449" s="237"/>
      <c r="W2449" s="237"/>
      <c r="X2449" s="237"/>
      <c r="Y2449" s="237"/>
      <c r="Z2449" s="237"/>
      <c r="AA2449" s="237"/>
      <c r="AB2449" s="237"/>
    </row>
    <row r="2450">
      <c r="A2450" s="237"/>
      <c r="B2450" s="275"/>
      <c r="C2450" s="88" t="s">
        <v>13308</v>
      </c>
      <c r="D2450" s="236"/>
      <c r="E2450" s="241" t="s">
        <v>11671</v>
      </c>
      <c r="F2450" s="88" t="s">
        <v>1620</v>
      </c>
      <c r="G2450" s="88" t="s">
        <v>13309</v>
      </c>
      <c r="H2450" s="241" t="s">
        <v>13310</v>
      </c>
      <c r="I2450" s="237"/>
      <c r="J2450" s="290"/>
      <c r="K2450" s="275"/>
      <c r="L2450" s="237"/>
      <c r="M2450" s="237"/>
      <c r="N2450" s="237"/>
      <c r="O2450" s="237"/>
      <c r="P2450" s="237"/>
      <c r="Q2450" s="237"/>
      <c r="R2450" s="237"/>
      <c r="S2450" s="237"/>
      <c r="T2450" s="237"/>
      <c r="U2450" s="237"/>
      <c r="V2450" s="237"/>
      <c r="W2450" s="237"/>
      <c r="X2450" s="237"/>
      <c r="Y2450" s="237"/>
      <c r="Z2450" s="237"/>
      <c r="AA2450" s="237"/>
      <c r="AB2450" s="237"/>
    </row>
    <row r="2451">
      <c r="A2451" s="237"/>
      <c r="B2451" s="275"/>
      <c r="C2451" s="289" t="s">
        <v>13311</v>
      </c>
      <c r="D2451" s="236"/>
      <c r="E2451" s="241" t="s">
        <v>11671</v>
      </c>
      <c r="F2451" s="289" t="s">
        <v>13312</v>
      </c>
      <c r="G2451" s="289" t="s">
        <v>13313</v>
      </c>
      <c r="H2451" s="236"/>
      <c r="I2451" s="237"/>
      <c r="J2451" s="290"/>
      <c r="K2451" s="275"/>
      <c r="L2451" s="237"/>
      <c r="M2451" s="237"/>
      <c r="N2451" s="237"/>
      <c r="O2451" s="237"/>
      <c r="P2451" s="237"/>
      <c r="Q2451" s="237"/>
      <c r="R2451" s="237"/>
      <c r="S2451" s="237"/>
      <c r="T2451" s="237"/>
      <c r="U2451" s="237"/>
      <c r="V2451" s="237"/>
      <c r="W2451" s="237"/>
      <c r="X2451" s="237"/>
      <c r="Y2451" s="237"/>
      <c r="Z2451" s="237"/>
      <c r="AA2451" s="237"/>
      <c r="AB2451" s="237"/>
    </row>
    <row r="2452">
      <c r="A2452" s="237"/>
      <c r="B2452" s="275"/>
      <c r="C2452" s="293"/>
      <c r="D2452" s="236"/>
      <c r="E2452" s="241" t="s">
        <v>11671</v>
      </c>
      <c r="F2452" s="293"/>
      <c r="G2452" s="293"/>
      <c r="H2452" s="241" t="s">
        <v>13314</v>
      </c>
      <c r="I2452" s="237"/>
      <c r="J2452" s="290"/>
      <c r="K2452" s="275"/>
      <c r="L2452" s="237"/>
      <c r="M2452" s="237"/>
      <c r="N2452" s="237"/>
      <c r="O2452" s="237"/>
      <c r="P2452" s="237"/>
      <c r="Q2452" s="237"/>
      <c r="R2452" s="237"/>
      <c r="S2452" s="237"/>
      <c r="T2452" s="237"/>
      <c r="U2452" s="237"/>
      <c r="V2452" s="237"/>
      <c r="W2452" s="237"/>
      <c r="X2452" s="237"/>
      <c r="Y2452" s="237"/>
      <c r="Z2452" s="237"/>
      <c r="AA2452" s="237"/>
      <c r="AB2452" s="237"/>
    </row>
    <row r="2453">
      <c r="A2453" s="237"/>
      <c r="B2453" s="275"/>
      <c r="C2453" s="291"/>
      <c r="D2453" s="236"/>
      <c r="E2453" s="241" t="s">
        <v>11671</v>
      </c>
      <c r="F2453" s="291"/>
      <c r="G2453" s="291"/>
      <c r="H2453" s="236"/>
      <c r="I2453" s="237"/>
      <c r="J2453" s="290"/>
      <c r="K2453" s="275"/>
      <c r="L2453" s="237"/>
      <c r="M2453" s="237"/>
      <c r="N2453" s="237"/>
      <c r="O2453" s="237"/>
      <c r="P2453" s="237"/>
      <c r="Q2453" s="237"/>
      <c r="R2453" s="237"/>
      <c r="S2453" s="237"/>
      <c r="T2453" s="237"/>
      <c r="U2453" s="237"/>
      <c r="V2453" s="237"/>
      <c r="W2453" s="237"/>
      <c r="X2453" s="237"/>
      <c r="Y2453" s="237"/>
      <c r="Z2453" s="237"/>
      <c r="AA2453" s="237"/>
      <c r="AB2453" s="237"/>
    </row>
    <row r="2454">
      <c r="A2454" s="237"/>
      <c r="B2454" s="275"/>
      <c r="C2454" s="289" t="s">
        <v>13315</v>
      </c>
      <c r="D2454" s="236"/>
      <c r="E2454" s="237" t="s">
        <v>1420</v>
      </c>
      <c r="F2454" s="289" t="s">
        <v>1621</v>
      </c>
      <c r="G2454" s="289" t="s">
        <v>13316</v>
      </c>
      <c r="H2454" s="236"/>
      <c r="I2454" s="237"/>
      <c r="J2454" s="290"/>
      <c r="K2454" s="275"/>
      <c r="L2454" s="237"/>
      <c r="M2454" s="237"/>
      <c r="N2454" s="237"/>
      <c r="O2454" s="237"/>
      <c r="P2454" s="237"/>
      <c r="Q2454" s="237"/>
      <c r="R2454" s="237"/>
      <c r="S2454" s="237"/>
      <c r="T2454" s="237"/>
      <c r="U2454" s="237"/>
      <c r="V2454" s="237"/>
      <c r="W2454" s="237"/>
      <c r="X2454" s="237"/>
      <c r="Y2454" s="237"/>
      <c r="Z2454" s="237"/>
      <c r="AA2454" s="237"/>
      <c r="AB2454" s="237"/>
    </row>
    <row r="2455">
      <c r="A2455" s="237"/>
      <c r="B2455" s="275"/>
      <c r="C2455" s="291"/>
      <c r="D2455" s="236"/>
      <c r="F2455" s="291"/>
      <c r="G2455" s="291"/>
      <c r="H2455" s="241" t="s">
        <v>13317</v>
      </c>
      <c r="I2455" s="237"/>
      <c r="J2455" s="290"/>
      <c r="K2455" s="275"/>
      <c r="L2455" s="237"/>
      <c r="M2455" s="237"/>
      <c r="N2455" s="237"/>
      <c r="O2455" s="237"/>
      <c r="P2455" s="237"/>
      <c r="Q2455" s="237"/>
      <c r="R2455" s="237"/>
      <c r="S2455" s="237"/>
      <c r="T2455" s="237"/>
      <c r="U2455" s="237"/>
      <c r="V2455" s="237"/>
      <c r="W2455" s="237"/>
      <c r="X2455" s="237"/>
      <c r="Y2455" s="237"/>
      <c r="Z2455" s="237"/>
      <c r="AA2455" s="237"/>
      <c r="AB2455" s="237"/>
    </row>
    <row r="2456">
      <c r="A2456" s="237"/>
      <c r="B2456" s="275"/>
      <c r="C2456" s="289" t="s">
        <v>13318</v>
      </c>
      <c r="D2456" s="236"/>
      <c r="E2456" s="298" t="s">
        <v>1420</v>
      </c>
      <c r="F2456" s="289" t="s">
        <v>1622</v>
      </c>
      <c r="G2456" s="289" t="s">
        <v>13319</v>
      </c>
      <c r="H2456" s="241" t="s">
        <v>13320</v>
      </c>
      <c r="I2456" s="237"/>
      <c r="J2456" s="290"/>
      <c r="K2456" s="275"/>
      <c r="L2456" s="237"/>
      <c r="M2456" s="237"/>
      <c r="N2456" s="237"/>
      <c r="O2456" s="237"/>
      <c r="P2456" s="237"/>
      <c r="Q2456" s="237"/>
      <c r="R2456" s="237"/>
      <c r="S2456" s="237"/>
      <c r="T2456" s="237"/>
      <c r="U2456" s="237"/>
      <c r="V2456" s="237"/>
      <c r="W2456" s="237"/>
      <c r="X2456" s="237"/>
      <c r="Y2456" s="237"/>
      <c r="Z2456" s="237"/>
      <c r="AA2456" s="237"/>
      <c r="AB2456" s="237"/>
    </row>
    <row r="2457">
      <c r="A2457" s="237"/>
      <c r="B2457" s="275"/>
      <c r="C2457" s="291"/>
      <c r="D2457" s="236"/>
      <c r="E2457" s="291"/>
      <c r="F2457" s="291"/>
      <c r="G2457" s="291"/>
      <c r="H2457" s="236"/>
      <c r="I2457" s="237"/>
      <c r="J2457" s="290"/>
      <c r="K2457" s="275"/>
      <c r="L2457" s="237"/>
      <c r="M2457" s="237"/>
      <c r="N2457" s="237"/>
      <c r="O2457" s="237"/>
      <c r="P2457" s="237"/>
      <c r="Q2457" s="237"/>
      <c r="R2457" s="237"/>
      <c r="S2457" s="237"/>
      <c r="T2457" s="237"/>
      <c r="U2457" s="237"/>
      <c r="V2457" s="237"/>
      <c r="W2457" s="237"/>
      <c r="X2457" s="237"/>
      <c r="Y2457" s="237"/>
      <c r="Z2457" s="237"/>
      <c r="AA2457" s="237"/>
      <c r="AB2457" s="237"/>
    </row>
    <row r="2458">
      <c r="A2458" s="237"/>
      <c r="B2458" s="275"/>
      <c r="C2458" s="289" t="s">
        <v>13321</v>
      </c>
      <c r="D2458" s="236"/>
      <c r="E2458" s="241" t="s">
        <v>1420</v>
      </c>
      <c r="F2458" s="289" t="s">
        <v>1623</v>
      </c>
      <c r="G2458" s="289" t="s">
        <v>13322</v>
      </c>
      <c r="H2458" s="236"/>
      <c r="I2458" s="237"/>
      <c r="J2458" s="290"/>
      <c r="K2458" s="275"/>
      <c r="L2458" s="237"/>
      <c r="M2458" s="237"/>
      <c r="N2458" s="237"/>
      <c r="O2458" s="237"/>
      <c r="P2458" s="237"/>
      <c r="Q2458" s="237"/>
      <c r="R2458" s="237"/>
      <c r="S2458" s="237"/>
      <c r="T2458" s="237"/>
      <c r="U2458" s="237"/>
      <c r="V2458" s="237"/>
      <c r="W2458" s="237"/>
      <c r="X2458" s="237"/>
      <c r="Y2458" s="237"/>
      <c r="Z2458" s="237"/>
      <c r="AA2458" s="237"/>
      <c r="AB2458" s="237"/>
    </row>
    <row r="2459">
      <c r="A2459" s="237"/>
      <c r="B2459" s="275"/>
      <c r="C2459" s="291"/>
      <c r="D2459" s="236"/>
      <c r="E2459" s="241" t="s">
        <v>1420</v>
      </c>
      <c r="F2459" s="291"/>
      <c r="G2459" s="291"/>
      <c r="H2459" s="241" t="s">
        <v>13323</v>
      </c>
      <c r="I2459" s="237"/>
      <c r="J2459" s="290"/>
      <c r="K2459" s="275"/>
      <c r="L2459" s="237"/>
      <c r="M2459" s="237"/>
      <c r="N2459" s="237"/>
      <c r="O2459" s="237"/>
      <c r="P2459" s="237"/>
      <c r="Q2459" s="237"/>
      <c r="R2459" s="237"/>
      <c r="S2459" s="237"/>
      <c r="T2459" s="237"/>
      <c r="U2459" s="237"/>
      <c r="V2459" s="237"/>
      <c r="W2459" s="237"/>
      <c r="X2459" s="237"/>
      <c r="Y2459" s="237"/>
      <c r="Z2459" s="237"/>
      <c r="AA2459" s="237"/>
      <c r="AB2459" s="237"/>
    </row>
    <row r="2460">
      <c r="A2460" s="237"/>
      <c r="B2460" s="275"/>
      <c r="C2460" s="88" t="s">
        <v>13324</v>
      </c>
      <c r="D2460" s="236"/>
      <c r="E2460" s="241" t="s">
        <v>1420</v>
      </c>
      <c r="F2460" s="88" t="s">
        <v>1680</v>
      </c>
      <c r="G2460" s="88" t="s">
        <v>13325</v>
      </c>
      <c r="H2460" s="241" t="s">
        <v>13326</v>
      </c>
      <c r="I2460" s="237"/>
      <c r="J2460" s="290"/>
      <c r="K2460" s="275"/>
      <c r="L2460" s="237"/>
      <c r="M2460" s="237"/>
      <c r="N2460" s="237"/>
      <c r="O2460" s="237"/>
      <c r="P2460" s="237"/>
      <c r="Q2460" s="237"/>
      <c r="R2460" s="237"/>
      <c r="S2460" s="237"/>
      <c r="T2460" s="237"/>
      <c r="U2460" s="237"/>
      <c r="V2460" s="237"/>
      <c r="W2460" s="237"/>
      <c r="X2460" s="237"/>
      <c r="Y2460" s="237"/>
      <c r="Z2460" s="237"/>
      <c r="AA2460" s="237"/>
      <c r="AB2460" s="237"/>
    </row>
    <row r="2461">
      <c r="A2461" s="237"/>
      <c r="B2461" s="275"/>
      <c r="C2461" s="88" t="s">
        <v>13327</v>
      </c>
      <c r="D2461" s="236"/>
      <c r="E2461" s="241" t="s">
        <v>1420</v>
      </c>
      <c r="F2461" s="88" t="s">
        <v>1681</v>
      </c>
      <c r="G2461" s="88" t="s">
        <v>13328</v>
      </c>
      <c r="H2461" s="241" t="s">
        <v>13329</v>
      </c>
      <c r="I2461" s="237"/>
      <c r="J2461" s="290"/>
      <c r="K2461" s="275"/>
      <c r="L2461" s="237"/>
      <c r="M2461" s="237"/>
      <c r="N2461" s="237"/>
      <c r="O2461" s="237"/>
      <c r="P2461" s="237"/>
      <c r="Q2461" s="237"/>
      <c r="R2461" s="237"/>
      <c r="S2461" s="237"/>
      <c r="T2461" s="237"/>
      <c r="U2461" s="237"/>
      <c r="V2461" s="237"/>
      <c r="W2461" s="237"/>
      <c r="X2461" s="237"/>
      <c r="Y2461" s="237"/>
      <c r="Z2461" s="237"/>
      <c r="AA2461" s="237"/>
      <c r="AB2461" s="237"/>
    </row>
    <row r="2462">
      <c r="A2462" s="237"/>
      <c r="B2462" s="275"/>
      <c r="C2462" s="88" t="s">
        <v>13330</v>
      </c>
      <c r="D2462" s="236"/>
      <c r="E2462" s="241" t="s">
        <v>1420</v>
      </c>
      <c r="F2462" s="88" t="s">
        <v>1682</v>
      </c>
      <c r="G2462" s="88" t="s">
        <v>13331</v>
      </c>
      <c r="H2462" s="241" t="s">
        <v>13332</v>
      </c>
      <c r="I2462" s="237"/>
      <c r="J2462" s="290"/>
      <c r="K2462" s="275"/>
      <c r="L2462" s="237"/>
      <c r="M2462" s="237"/>
      <c r="N2462" s="237"/>
      <c r="O2462" s="237"/>
      <c r="P2462" s="237"/>
      <c r="Q2462" s="237"/>
      <c r="R2462" s="237"/>
      <c r="S2462" s="237"/>
      <c r="T2462" s="237"/>
      <c r="U2462" s="237"/>
      <c r="V2462" s="237"/>
      <c r="W2462" s="237"/>
      <c r="X2462" s="237"/>
      <c r="Y2462" s="237"/>
      <c r="Z2462" s="237"/>
      <c r="AA2462" s="237"/>
      <c r="AB2462" s="237"/>
    </row>
    <row r="2463">
      <c r="A2463" s="237"/>
      <c r="B2463" s="275"/>
      <c r="C2463" s="88" t="s">
        <v>13333</v>
      </c>
      <c r="D2463" s="236"/>
      <c r="E2463" s="241" t="s">
        <v>1420</v>
      </c>
      <c r="F2463" s="88" t="s">
        <v>1683</v>
      </c>
      <c r="G2463" s="88" t="s">
        <v>13334</v>
      </c>
      <c r="H2463" s="241" t="s">
        <v>13335</v>
      </c>
      <c r="I2463" s="237"/>
      <c r="J2463" s="290"/>
      <c r="K2463" s="275"/>
      <c r="L2463" s="237"/>
      <c r="M2463" s="237"/>
      <c r="N2463" s="237"/>
      <c r="O2463" s="237"/>
      <c r="P2463" s="237"/>
      <c r="Q2463" s="237"/>
      <c r="R2463" s="237"/>
      <c r="S2463" s="237"/>
      <c r="T2463" s="237"/>
      <c r="U2463" s="237"/>
      <c r="V2463" s="237"/>
      <c r="W2463" s="237"/>
      <c r="X2463" s="237"/>
      <c r="Y2463" s="237"/>
      <c r="Z2463" s="237"/>
      <c r="AA2463" s="237"/>
      <c r="AB2463" s="237"/>
    </row>
    <row r="2464">
      <c r="A2464" s="237"/>
      <c r="B2464" s="275"/>
      <c r="C2464" s="88" t="s">
        <v>13336</v>
      </c>
      <c r="D2464" s="236"/>
      <c r="E2464" s="241" t="s">
        <v>1420</v>
      </c>
      <c r="F2464" s="88" t="s">
        <v>1684</v>
      </c>
      <c r="G2464" s="88" t="s">
        <v>13337</v>
      </c>
      <c r="H2464" s="241" t="s">
        <v>13338</v>
      </c>
      <c r="I2464" s="237"/>
      <c r="J2464" s="290"/>
      <c r="K2464" s="275"/>
      <c r="L2464" s="237"/>
      <c r="M2464" s="237"/>
      <c r="N2464" s="237"/>
      <c r="O2464" s="237"/>
      <c r="P2464" s="237"/>
      <c r="Q2464" s="237"/>
      <c r="R2464" s="237"/>
      <c r="S2464" s="237"/>
      <c r="T2464" s="237"/>
      <c r="U2464" s="237"/>
      <c r="V2464" s="237"/>
      <c r="W2464" s="237"/>
      <c r="X2464" s="237"/>
      <c r="Y2464" s="237"/>
      <c r="Z2464" s="237"/>
      <c r="AA2464" s="237"/>
      <c r="AB2464" s="237"/>
    </row>
    <row r="2465">
      <c r="A2465" s="237"/>
      <c r="B2465" s="275"/>
      <c r="C2465" s="88" t="s">
        <v>13339</v>
      </c>
      <c r="D2465" s="236"/>
      <c r="E2465" s="241" t="s">
        <v>1420</v>
      </c>
      <c r="F2465" s="88" t="s">
        <v>1686</v>
      </c>
      <c r="G2465" s="88" t="s">
        <v>13340</v>
      </c>
      <c r="H2465" s="241" t="s">
        <v>13341</v>
      </c>
      <c r="I2465" s="237"/>
      <c r="J2465" s="290"/>
      <c r="K2465" s="275"/>
      <c r="L2465" s="237"/>
      <c r="M2465" s="237"/>
      <c r="N2465" s="237"/>
      <c r="O2465" s="237"/>
      <c r="P2465" s="237"/>
      <c r="Q2465" s="237"/>
      <c r="R2465" s="237"/>
      <c r="S2465" s="237"/>
      <c r="T2465" s="237"/>
      <c r="U2465" s="237"/>
      <c r="V2465" s="237"/>
      <c r="W2465" s="237"/>
      <c r="X2465" s="237"/>
      <c r="Y2465" s="237"/>
      <c r="Z2465" s="237"/>
      <c r="AA2465" s="237"/>
      <c r="AB2465" s="237"/>
    </row>
    <row r="2466">
      <c r="A2466" s="237"/>
      <c r="B2466" s="275"/>
      <c r="C2466" s="88" t="s">
        <v>13342</v>
      </c>
      <c r="D2466" s="236"/>
      <c r="E2466" s="241" t="s">
        <v>1420</v>
      </c>
      <c r="F2466" s="88" t="s">
        <v>1685</v>
      </c>
      <c r="G2466" s="88" t="s">
        <v>13343</v>
      </c>
      <c r="H2466" s="241" t="s">
        <v>13344</v>
      </c>
      <c r="I2466" s="237"/>
      <c r="J2466" s="290"/>
      <c r="K2466" s="275"/>
      <c r="L2466" s="237"/>
      <c r="M2466" s="237"/>
      <c r="N2466" s="237"/>
      <c r="O2466" s="237"/>
      <c r="P2466" s="237"/>
      <c r="Q2466" s="237"/>
      <c r="R2466" s="237"/>
      <c r="S2466" s="237"/>
      <c r="T2466" s="237"/>
      <c r="U2466" s="237"/>
      <c r="V2466" s="237"/>
      <c r="W2466" s="237"/>
      <c r="X2466" s="237"/>
      <c r="Y2466" s="237"/>
      <c r="Z2466" s="237"/>
      <c r="AA2466" s="237"/>
      <c r="AB2466" s="237"/>
    </row>
    <row r="2467">
      <c r="A2467" s="237"/>
      <c r="B2467" s="275"/>
      <c r="C2467" s="88" t="s">
        <v>13345</v>
      </c>
      <c r="D2467" s="236"/>
      <c r="E2467" s="241" t="s">
        <v>1420</v>
      </c>
      <c r="F2467" s="88" t="s">
        <v>1626</v>
      </c>
      <c r="G2467" s="88" t="s">
        <v>13346</v>
      </c>
      <c r="H2467" s="241" t="s">
        <v>13347</v>
      </c>
      <c r="I2467" s="237"/>
      <c r="J2467" s="290"/>
      <c r="K2467" s="275"/>
      <c r="L2467" s="237"/>
      <c r="M2467" s="237"/>
      <c r="N2467" s="237"/>
      <c r="O2467" s="237"/>
      <c r="P2467" s="237"/>
      <c r="Q2467" s="237"/>
      <c r="R2467" s="237"/>
      <c r="S2467" s="237"/>
      <c r="T2467" s="237"/>
      <c r="U2467" s="237"/>
      <c r="V2467" s="237"/>
      <c r="W2467" s="237"/>
      <c r="X2467" s="237"/>
      <c r="Y2467" s="237"/>
      <c r="Z2467" s="237"/>
      <c r="AA2467" s="237"/>
      <c r="AB2467" s="237"/>
    </row>
    <row r="2468">
      <c r="A2468" s="237"/>
      <c r="B2468" s="275"/>
      <c r="C2468" s="88" t="s">
        <v>13348</v>
      </c>
      <c r="D2468" s="236"/>
      <c r="E2468" s="241" t="s">
        <v>1420</v>
      </c>
      <c r="F2468" s="88" t="s">
        <v>1628</v>
      </c>
      <c r="G2468" s="88" t="s">
        <v>13349</v>
      </c>
      <c r="H2468" s="241" t="s">
        <v>13350</v>
      </c>
      <c r="I2468" s="237"/>
      <c r="J2468" s="290"/>
      <c r="K2468" s="275"/>
      <c r="L2468" s="237"/>
      <c r="M2468" s="237"/>
      <c r="N2468" s="237"/>
      <c r="O2468" s="237"/>
      <c r="P2468" s="237"/>
      <c r="Q2468" s="237"/>
      <c r="R2468" s="237"/>
      <c r="S2468" s="237"/>
      <c r="T2468" s="237"/>
      <c r="U2468" s="237"/>
      <c r="V2468" s="237"/>
      <c r="W2468" s="237"/>
      <c r="X2468" s="237"/>
      <c r="Y2468" s="237"/>
      <c r="Z2468" s="237"/>
      <c r="AA2468" s="237"/>
      <c r="AB2468" s="237"/>
    </row>
    <row r="2469">
      <c r="A2469" s="237"/>
      <c r="B2469" s="275"/>
      <c r="C2469" s="88" t="s">
        <v>13351</v>
      </c>
      <c r="D2469" s="236"/>
      <c r="E2469" s="241" t="s">
        <v>1420</v>
      </c>
      <c r="F2469" s="88" t="s">
        <v>1630</v>
      </c>
      <c r="G2469" s="88" t="s">
        <v>13352</v>
      </c>
      <c r="H2469" s="241" t="s">
        <v>13353</v>
      </c>
      <c r="I2469" s="237"/>
      <c r="J2469" s="290"/>
      <c r="K2469" s="275"/>
      <c r="L2469" s="237"/>
      <c r="M2469" s="237"/>
      <c r="N2469" s="237"/>
      <c r="O2469" s="237"/>
      <c r="P2469" s="237"/>
      <c r="Q2469" s="237"/>
      <c r="R2469" s="237"/>
      <c r="S2469" s="237"/>
      <c r="T2469" s="237"/>
      <c r="U2469" s="237"/>
      <c r="V2469" s="237"/>
      <c r="W2469" s="237"/>
      <c r="X2469" s="237"/>
      <c r="Y2469" s="237"/>
      <c r="Z2469" s="237"/>
      <c r="AA2469" s="237"/>
      <c r="AB2469" s="237"/>
    </row>
    <row r="2470">
      <c r="A2470" s="237"/>
      <c r="B2470" s="275"/>
      <c r="C2470" s="88" t="s">
        <v>13354</v>
      </c>
      <c r="D2470" s="236"/>
      <c r="E2470" s="241" t="s">
        <v>1420</v>
      </c>
      <c r="F2470" s="88" t="s">
        <v>1632</v>
      </c>
      <c r="G2470" s="88" t="s">
        <v>13355</v>
      </c>
      <c r="H2470" s="241" t="s">
        <v>13356</v>
      </c>
      <c r="I2470" s="237"/>
      <c r="J2470" s="290"/>
      <c r="K2470" s="275"/>
      <c r="L2470" s="237"/>
      <c r="M2470" s="237"/>
      <c r="N2470" s="237"/>
      <c r="O2470" s="237"/>
      <c r="P2470" s="237"/>
      <c r="Q2470" s="237"/>
      <c r="R2470" s="237"/>
      <c r="S2470" s="237"/>
      <c r="T2470" s="237"/>
      <c r="U2470" s="237"/>
      <c r="V2470" s="237"/>
      <c r="W2470" s="237"/>
      <c r="X2470" s="237"/>
      <c r="Y2470" s="237"/>
      <c r="Z2470" s="237"/>
      <c r="AA2470" s="237"/>
      <c r="AB2470" s="237"/>
    </row>
    <row r="2471">
      <c r="A2471" s="237"/>
      <c r="B2471" s="275"/>
      <c r="C2471" s="88" t="s">
        <v>13357</v>
      </c>
      <c r="D2471" s="236"/>
      <c r="E2471" s="241" t="s">
        <v>1420</v>
      </c>
      <c r="F2471" s="88" t="s">
        <v>1634</v>
      </c>
      <c r="G2471" s="88" t="s">
        <v>13358</v>
      </c>
      <c r="H2471" s="241" t="s">
        <v>13359</v>
      </c>
      <c r="I2471" s="237"/>
      <c r="J2471" s="290"/>
      <c r="K2471" s="275"/>
      <c r="L2471" s="237"/>
      <c r="M2471" s="237"/>
      <c r="N2471" s="237"/>
      <c r="O2471" s="237"/>
      <c r="P2471" s="237"/>
      <c r="Q2471" s="237"/>
      <c r="R2471" s="237"/>
      <c r="S2471" s="237"/>
      <c r="T2471" s="237"/>
      <c r="U2471" s="237"/>
      <c r="V2471" s="237"/>
      <c r="W2471" s="237"/>
      <c r="X2471" s="237"/>
      <c r="Y2471" s="237"/>
      <c r="Z2471" s="237"/>
      <c r="AA2471" s="237"/>
      <c r="AB2471" s="237"/>
    </row>
    <row r="2472">
      <c r="A2472" s="237"/>
      <c r="B2472" s="275"/>
      <c r="C2472" s="88" t="s">
        <v>13360</v>
      </c>
      <c r="D2472" s="236"/>
      <c r="E2472" s="241" t="s">
        <v>1420</v>
      </c>
      <c r="F2472" s="88" t="s">
        <v>1636</v>
      </c>
      <c r="G2472" s="88" t="s">
        <v>13361</v>
      </c>
      <c r="H2472" s="241" t="s">
        <v>13362</v>
      </c>
      <c r="I2472" s="237"/>
      <c r="J2472" s="290"/>
      <c r="K2472" s="275"/>
      <c r="L2472" s="237"/>
      <c r="M2472" s="237"/>
      <c r="N2472" s="237"/>
      <c r="O2472" s="237"/>
      <c r="P2472" s="237"/>
      <c r="Q2472" s="237"/>
      <c r="R2472" s="237"/>
      <c r="S2472" s="237"/>
      <c r="T2472" s="237"/>
      <c r="U2472" s="237"/>
      <c r="V2472" s="237"/>
      <c r="W2472" s="237"/>
      <c r="X2472" s="237"/>
      <c r="Y2472" s="237"/>
      <c r="Z2472" s="237"/>
      <c r="AA2472" s="237"/>
      <c r="AB2472" s="237"/>
    </row>
    <row r="2473">
      <c r="A2473" s="237"/>
      <c r="B2473" s="275"/>
      <c r="C2473" s="88" t="s">
        <v>13363</v>
      </c>
      <c r="D2473" s="236"/>
      <c r="E2473" s="241" t="s">
        <v>1420</v>
      </c>
      <c r="F2473" s="88" t="s">
        <v>1638</v>
      </c>
      <c r="G2473" s="88" t="s">
        <v>13364</v>
      </c>
      <c r="H2473" s="241" t="s">
        <v>13365</v>
      </c>
      <c r="I2473" s="237"/>
      <c r="J2473" s="290"/>
      <c r="K2473" s="275"/>
      <c r="L2473" s="237"/>
      <c r="M2473" s="237"/>
      <c r="N2473" s="237"/>
      <c r="O2473" s="237"/>
      <c r="P2473" s="237"/>
      <c r="Q2473" s="237"/>
      <c r="R2473" s="237"/>
      <c r="S2473" s="237"/>
      <c r="T2473" s="237"/>
      <c r="U2473" s="237"/>
      <c r="V2473" s="237"/>
      <c r="W2473" s="237"/>
      <c r="X2473" s="237"/>
      <c r="Y2473" s="237"/>
      <c r="Z2473" s="237"/>
      <c r="AA2473" s="237"/>
      <c r="AB2473" s="237"/>
    </row>
    <row r="2474">
      <c r="A2474" s="237"/>
      <c r="B2474" s="275"/>
      <c r="C2474" s="88" t="s">
        <v>13366</v>
      </c>
      <c r="D2474" s="236"/>
      <c r="E2474" s="241" t="s">
        <v>1420</v>
      </c>
      <c r="F2474" s="88" t="s">
        <v>1640</v>
      </c>
      <c r="G2474" s="88" t="s">
        <v>13367</v>
      </c>
      <c r="H2474" s="241" t="s">
        <v>13368</v>
      </c>
      <c r="I2474" s="237"/>
      <c r="J2474" s="290"/>
      <c r="K2474" s="275"/>
      <c r="L2474" s="237"/>
      <c r="M2474" s="237"/>
      <c r="N2474" s="237"/>
      <c r="O2474" s="237"/>
      <c r="P2474" s="237"/>
      <c r="Q2474" s="237"/>
      <c r="R2474" s="237"/>
      <c r="S2474" s="237"/>
      <c r="T2474" s="237"/>
      <c r="U2474" s="237"/>
      <c r="V2474" s="237"/>
      <c r="W2474" s="237"/>
      <c r="X2474" s="237"/>
      <c r="Y2474" s="237"/>
      <c r="Z2474" s="237"/>
      <c r="AA2474" s="237"/>
      <c r="AB2474" s="237"/>
    </row>
    <row r="2475">
      <c r="A2475" s="237"/>
      <c r="B2475" s="275"/>
      <c r="C2475" s="88" t="s">
        <v>13369</v>
      </c>
      <c r="D2475" s="236"/>
      <c r="E2475" s="241" t="s">
        <v>1420</v>
      </c>
      <c r="F2475" s="88" t="s">
        <v>1642</v>
      </c>
      <c r="G2475" s="88" t="s">
        <v>13370</v>
      </c>
      <c r="H2475" s="241" t="s">
        <v>13371</v>
      </c>
      <c r="I2475" s="237"/>
      <c r="J2475" s="290"/>
      <c r="K2475" s="275"/>
      <c r="L2475" s="237"/>
      <c r="M2475" s="237"/>
      <c r="N2475" s="237"/>
      <c r="O2475" s="237"/>
      <c r="P2475" s="237"/>
      <c r="Q2475" s="237"/>
      <c r="R2475" s="237"/>
      <c r="S2475" s="237"/>
      <c r="T2475" s="237"/>
      <c r="U2475" s="237"/>
      <c r="V2475" s="237"/>
      <c r="W2475" s="237"/>
      <c r="X2475" s="237"/>
      <c r="Y2475" s="237"/>
      <c r="Z2475" s="237"/>
      <c r="AA2475" s="237"/>
      <c r="AB2475" s="237"/>
    </row>
    <row r="2476">
      <c r="A2476" s="237"/>
      <c r="B2476" s="275"/>
      <c r="C2476" s="88" t="s">
        <v>12496</v>
      </c>
      <c r="D2476" s="236"/>
      <c r="E2476" s="241" t="s">
        <v>1420</v>
      </c>
      <c r="F2476" s="88" t="s">
        <v>1643</v>
      </c>
      <c r="G2476" s="236"/>
      <c r="H2476" s="241" t="s">
        <v>13372</v>
      </c>
      <c r="I2476" s="237"/>
      <c r="J2476" s="290"/>
      <c r="K2476" s="275"/>
      <c r="L2476" s="237"/>
      <c r="M2476" s="237"/>
      <c r="N2476" s="237"/>
      <c r="O2476" s="237"/>
      <c r="P2476" s="237"/>
      <c r="Q2476" s="237"/>
      <c r="R2476" s="237"/>
      <c r="S2476" s="237"/>
      <c r="T2476" s="237"/>
      <c r="U2476" s="237"/>
      <c r="V2476" s="237"/>
      <c r="W2476" s="237"/>
      <c r="X2476" s="237"/>
      <c r="Y2476" s="237"/>
      <c r="Z2476" s="237"/>
      <c r="AA2476" s="237"/>
      <c r="AB2476" s="237"/>
    </row>
    <row r="2477">
      <c r="A2477" s="237"/>
      <c r="B2477" s="275"/>
      <c r="C2477" s="88" t="s">
        <v>12506</v>
      </c>
      <c r="D2477" s="236"/>
      <c r="E2477" s="241" t="s">
        <v>1420</v>
      </c>
      <c r="F2477" s="88" t="s">
        <v>1644</v>
      </c>
      <c r="G2477" s="236"/>
      <c r="H2477" s="241" t="s">
        <v>13373</v>
      </c>
      <c r="I2477" s="237"/>
      <c r="J2477" s="290"/>
      <c r="K2477" s="275"/>
      <c r="L2477" s="237"/>
      <c r="M2477" s="237"/>
      <c r="N2477" s="237"/>
      <c r="O2477" s="237"/>
      <c r="P2477" s="237"/>
      <c r="Q2477" s="237"/>
      <c r="R2477" s="237"/>
      <c r="S2477" s="237"/>
      <c r="T2477" s="237"/>
      <c r="U2477" s="237"/>
      <c r="V2477" s="237"/>
      <c r="W2477" s="237"/>
      <c r="X2477" s="237"/>
      <c r="Y2477" s="237"/>
      <c r="Z2477" s="237"/>
      <c r="AA2477" s="237"/>
      <c r="AB2477" s="237"/>
    </row>
    <row r="2478">
      <c r="A2478" s="237"/>
      <c r="B2478" s="275"/>
      <c r="C2478" s="88" t="s">
        <v>12485</v>
      </c>
      <c r="D2478" s="236"/>
      <c r="E2478" s="241" t="s">
        <v>1420</v>
      </c>
      <c r="F2478" s="88" t="s">
        <v>1645</v>
      </c>
      <c r="G2478" s="236"/>
      <c r="H2478" s="241" t="s">
        <v>13374</v>
      </c>
      <c r="I2478" s="237"/>
      <c r="J2478" s="290"/>
      <c r="K2478" s="275"/>
      <c r="L2478" s="237"/>
      <c r="M2478" s="237"/>
      <c r="N2478" s="237"/>
      <c r="O2478" s="237"/>
      <c r="P2478" s="237"/>
      <c r="Q2478" s="237"/>
      <c r="R2478" s="237"/>
      <c r="S2478" s="237"/>
      <c r="T2478" s="237"/>
      <c r="U2478" s="237"/>
      <c r="V2478" s="237"/>
      <c r="W2478" s="237"/>
      <c r="X2478" s="237"/>
      <c r="Y2478" s="237"/>
      <c r="Z2478" s="237"/>
      <c r="AA2478" s="237"/>
      <c r="AB2478" s="237"/>
    </row>
    <row r="2479">
      <c r="A2479" s="237"/>
      <c r="B2479" s="275"/>
      <c r="C2479" s="88" t="s">
        <v>13375</v>
      </c>
      <c r="D2479" s="241" t="s">
        <v>13376</v>
      </c>
      <c r="E2479" s="241" t="s">
        <v>1420</v>
      </c>
      <c r="F2479" s="88" t="s">
        <v>1704</v>
      </c>
      <c r="G2479" s="88" t="s">
        <v>13377</v>
      </c>
      <c r="H2479" s="241" t="s">
        <v>13378</v>
      </c>
      <c r="I2479" s="237"/>
      <c r="J2479" s="290"/>
      <c r="K2479" s="275"/>
      <c r="L2479" s="237"/>
      <c r="M2479" s="237"/>
      <c r="N2479" s="237"/>
      <c r="O2479" s="237"/>
      <c r="P2479" s="237"/>
      <c r="Q2479" s="237"/>
      <c r="R2479" s="237"/>
      <c r="S2479" s="237"/>
      <c r="T2479" s="237"/>
      <c r="U2479" s="237"/>
      <c r="V2479" s="237"/>
      <c r="W2479" s="237"/>
      <c r="X2479" s="237"/>
      <c r="Y2479" s="237"/>
      <c r="Z2479" s="237"/>
      <c r="AA2479" s="237"/>
      <c r="AB2479" s="237"/>
    </row>
    <row r="2480">
      <c r="A2480" s="237"/>
      <c r="B2480" s="275"/>
      <c r="C2480" s="88" t="s">
        <v>13379</v>
      </c>
      <c r="D2480" s="241" t="s">
        <v>13380</v>
      </c>
      <c r="E2480" s="241" t="s">
        <v>1420</v>
      </c>
      <c r="F2480" s="88" t="s">
        <v>1706</v>
      </c>
      <c r="G2480" s="88" t="s">
        <v>13381</v>
      </c>
      <c r="H2480" s="241" t="s">
        <v>13382</v>
      </c>
      <c r="I2480" s="237"/>
      <c r="J2480" s="290"/>
      <c r="K2480" s="275"/>
      <c r="L2480" s="237"/>
      <c r="M2480" s="237"/>
      <c r="N2480" s="237"/>
      <c r="O2480" s="237"/>
      <c r="P2480" s="237"/>
      <c r="Q2480" s="237"/>
      <c r="R2480" s="237"/>
      <c r="S2480" s="237"/>
      <c r="T2480" s="237"/>
      <c r="U2480" s="237"/>
      <c r="V2480" s="237"/>
      <c r="W2480" s="237"/>
      <c r="X2480" s="237"/>
      <c r="Y2480" s="237"/>
      <c r="Z2480" s="237"/>
      <c r="AA2480" s="237"/>
      <c r="AB2480" s="237"/>
    </row>
    <row r="2481">
      <c r="A2481" s="237"/>
      <c r="B2481" s="275"/>
      <c r="C2481" s="236"/>
      <c r="D2481" s="236"/>
      <c r="E2481" s="241" t="s">
        <v>1420</v>
      </c>
      <c r="F2481" s="88" t="s">
        <v>1528</v>
      </c>
      <c r="G2481" s="88" t="s">
        <v>13383</v>
      </c>
      <c r="H2481" s="240" t="s">
        <v>13384</v>
      </c>
      <c r="I2481" s="237"/>
      <c r="J2481" s="290"/>
      <c r="K2481" s="275"/>
      <c r="L2481" s="237"/>
      <c r="M2481" s="237"/>
      <c r="N2481" s="237"/>
      <c r="O2481" s="237"/>
      <c r="P2481" s="237"/>
      <c r="Q2481" s="237"/>
      <c r="R2481" s="237"/>
      <c r="S2481" s="237"/>
      <c r="T2481" s="237"/>
      <c r="U2481" s="237"/>
      <c r="V2481" s="237"/>
      <c r="W2481" s="237"/>
      <c r="X2481" s="237"/>
      <c r="Y2481" s="237"/>
      <c r="Z2481" s="237"/>
      <c r="AA2481" s="237"/>
      <c r="AB2481" s="237"/>
    </row>
    <row r="2482">
      <c r="A2482" s="237"/>
      <c r="B2482" s="275"/>
      <c r="C2482" s="236"/>
      <c r="D2482" s="236"/>
      <c r="E2482" s="241" t="s">
        <v>1420</v>
      </c>
      <c r="F2482" s="88" t="s">
        <v>1527</v>
      </c>
      <c r="G2482" s="88" t="s">
        <v>13385</v>
      </c>
      <c r="H2482" s="240" t="s">
        <v>13386</v>
      </c>
      <c r="I2482" s="237"/>
      <c r="J2482" s="290"/>
      <c r="K2482" s="275"/>
      <c r="L2482" s="237"/>
      <c r="M2482" s="237"/>
      <c r="N2482" s="237"/>
      <c r="O2482" s="237"/>
      <c r="P2482" s="237"/>
      <c r="Q2482" s="237"/>
      <c r="R2482" s="237"/>
      <c r="S2482" s="237"/>
      <c r="T2482" s="237"/>
      <c r="U2482" s="237"/>
      <c r="V2482" s="237"/>
      <c r="W2482" s="237"/>
      <c r="X2482" s="237"/>
      <c r="Y2482" s="237"/>
      <c r="Z2482" s="237"/>
      <c r="AA2482" s="237"/>
      <c r="AB2482" s="237"/>
    </row>
    <row r="2483">
      <c r="A2483" s="237"/>
      <c r="B2483" s="275"/>
      <c r="C2483" s="236"/>
      <c r="D2483" s="236"/>
      <c r="E2483" s="241" t="s">
        <v>1420</v>
      </c>
      <c r="F2483" s="88" t="s">
        <v>1526</v>
      </c>
      <c r="G2483" s="88" t="s">
        <v>13387</v>
      </c>
      <c r="H2483" s="240" t="s">
        <v>13388</v>
      </c>
      <c r="I2483" s="237"/>
      <c r="J2483" s="290"/>
      <c r="K2483" s="275"/>
      <c r="L2483" s="237"/>
      <c r="M2483" s="237"/>
      <c r="N2483" s="237"/>
      <c r="O2483" s="237"/>
      <c r="P2483" s="237"/>
      <c r="Q2483" s="237"/>
      <c r="R2483" s="237"/>
      <c r="S2483" s="237"/>
      <c r="T2483" s="237"/>
      <c r="U2483" s="237"/>
      <c r="V2483" s="237"/>
      <c r="W2483" s="237"/>
      <c r="X2483" s="237"/>
      <c r="Y2483" s="237"/>
      <c r="Z2483" s="237"/>
      <c r="AA2483" s="237"/>
      <c r="AB2483" s="237"/>
    </row>
    <row r="2484">
      <c r="A2484" s="237"/>
      <c r="B2484" s="275"/>
      <c r="C2484" s="236"/>
      <c r="D2484" s="236"/>
      <c r="E2484" s="241" t="s">
        <v>1420</v>
      </c>
      <c r="F2484" s="88" t="s">
        <v>1524</v>
      </c>
      <c r="G2484" s="88" t="s">
        <v>13389</v>
      </c>
      <c r="H2484" s="241" t="s">
        <v>12387</v>
      </c>
      <c r="I2484" s="237"/>
      <c r="J2484" s="290"/>
      <c r="K2484" s="275"/>
      <c r="L2484" s="237"/>
      <c r="M2484" s="237"/>
      <c r="N2484" s="237"/>
      <c r="O2484" s="237"/>
      <c r="P2484" s="237"/>
      <c r="Q2484" s="237"/>
      <c r="R2484" s="237"/>
      <c r="S2484" s="237"/>
      <c r="T2484" s="237"/>
      <c r="U2484" s="237"/>
      <c r="V2484" s="237"/>
      <c r="W2484" s="237"/>
      <c r="X2484" s="237"/>
      <c r="Y2484" s="237"/>
      <c r="Z2484" s="237"/>
      <c r="AA2484" s="237"/>
      <c r="AB2484" s="237"/>
    </row>
    <row r="2485">
      <c r="A2485" s="237"/>
      <c r="B2485" s="275"/>
      <c r="C2485" s="236"/>
      <c r="D2485" s="236"/>
      <c r="E2485" s="241" t="s">
        <v>1420</v>
      </c>
      <c r="F2485" s="88" t="s">
        <v>1525</v>
      </c>
      <c r="G2485" s="88" t="s">
        <v>13390</v>
      </c>
      <c r="H2485" s="240" t="s">
        <v>13391</v>
      </c>
      <c r="I2485" s="237"/>
      <c r="J2485" s="290"/>
      <c r="K2485" s="275"/>
      <c r="L2485" s="237"/>
      <c r="M2485" s="237"/>
      <c r="N2485" s="237"/>
      <c r="O2485" s="237"/>
      <c r="P2485" s="237"/>
      <c r="Q2485" s="237"/>
      <c r="R2485" s="237"/>
      <c r="S2485" s="237"/>
      <c r="T2485" s="237"/>
      <c r="U2485" s="237"/>
      <c r="V2485" s="237"/>
      <c r="W2485" s="237"/>
      <c r="X2485" s="237"/>
      <c r="Y2485" s="237"/>
      <c r="Z2485" s="237"/>
      <c r="AA2485" s="237"/>
      <c r="AB2485" s="237"/>
    </row>
    <row r="2486">
      <c r="A2486" s="237"/>
      <c r="B2486" s="275"/>
      <c r="C2486" s="236"/>
      <c r="D2486" s="236"/>
      <c r="E2486" s="241" t="s">
        <v>1420</v>
      </c>
      <c r="F2486" s="88" t="s">
        <v>1532</v>
      </c>
      <c r="G2486" s="88" t="s">
        <v>13392</v>
      </c>
      <c r="H2486" s="240" t="s">
        <v>13393</v>
      </c>
      <c r="I2486" s="237"/>
      <c r="J2486" s="290"/>
      <c r="K2486" s="275"/>
      <c r="L2486" s="237"/>
      <c r="M2486" s="237"/>
      <c r="N2486" s="237"/>
      <c r="O2486" s="237"/>
      <c r="P2486" s="237"/>
      <c r="Q2486" s="237"/>
      <c r="R2486" s="237"/>
      <c r="S2486" s="237"/>
      <c r="T2486" s="237"/>
      <c r="U2486" s="237"/>
      <c r="V2486" s="237"/>
      <c r="W2486" s="237"/>
      <c r="X2486" s="237"/>
      <c r="Y2486" s="237"/>
      <c r="Z2486" s="237"/>
      <c r="AA2486" s="237"/>
      <c r="AB2486" s="237"/>
    </row>
    <row r="2487">
      <c r="A2487" s="237"/>
      <c r="B2487" s="275"/>
      <c r="C2487" s="236"/>
      <c r="D2487" s="236"/>
      <c r="E2487" s="241" t="s">
        <v>1420</v>
      </c>
      <c r="F2487" s="88" t="s">
        <v>1552</v>
      </c>
      <c r="G2487" s="88" t="s">
        <v>13394</v>
      </c>
      <c r="H2487" s="240" t="s">
        <v>13395</v>
      </c>
      <c r="I2487" s="237"/>
      <c r="J2487" s="290"/>
      <c r="K2487" s="275"/>
      <c r="L2487" s="237"/>
      <c r="M2487" s="237"/>
      <c r="N2487" s="237"/>
      <c r="O2487" s="237"/>
      <c r="P2487" s="237"/>
      <c r="Q2487" s="237"/>
      <c r="R2487" s="237"/>
      <c r="S2487" s="237"/>
      <c r="T2487" s="237"/>
      <c r="U2487" s="237"/>
      <c r="V2487" s="237"/>
      <c r="W2487" s="237"/>
      <c r="X2487" s="237"/>
      <c r="Y2487" s="237"/>
      <c r="Z2487" s="237"/>
      <c r="AA2487" s="237"/>
      <c r="AB2487" s="237"/>
    </row>
    <row r="2488">
      <c r="A2488" s="237"/>
      <c r="B2488" s="275"/>
      <c r="C2488" s="236"/>
      <c r="D2488" s="236"/>
      <c r="E2488" s="241" t="s">
        <v>1420</v>
      </c>
      <c r="F2488" s="88" t="s">
        <v>13396</v>
      </c>
      <c r="G2488" s="88" t="s">
        <v>13397</v>
      </c>
      <c r="H2488" s="240" t="s">
        <v>13398</v>
      </c>
      <c r="I2488" s="237"/>
      <c r="J2488" s="290"/>
      <c r="K2488" s="275"/>
      <c r="L2488" s="237"/>
      <c r="M2488" s="237"/>
      <c r="N2488" s="237"/>
      <c r="O2488" s="237"/>
      <c r="P2488" s="237"/>
      <c r="Q2488" s="237"/>
      <c r="R2488" s="237"/>
      <c r="S2488" s="237"/>
      <c r="T2488" s="237"/>
      <c r="U2488" s="237"/>
      <c r="V2488" s="237"/>
      <c r="W2488" s="237"/>
      <c r="X2488" s="237"/>
      <c r="Y2488" s="237"/>
      <c r="Z2488" s="237"/>
      <c r="AA2488" s="237"/>
      <c r="AB2488" s="237"/>
    </row>
    <row r="2489">
      <c r="A2489" s="237"/>
      <c r="B2489" s="275"/>
      <c r="C2489" s="236"/>
      <c r="D2489" s="236"/>
      <c r="E2489" s="241" t="s">
        <v>1420</v>
      </c>
      <c r="F2489" s="88" t="s">
        <v>13399</v>
      </c>
      <c r="G2489" s="88" t="s">
        <v>13385</v>
      </c>
      <c r="H2489" s="241" t="s">
        <v>13400</v>
      </c>
      <c r="I2489" s="237"/>
      <c r="J2489" s="290"/>
      <c r="K2489" s="275"/>
      <c r="L2489" s="237"/>
      <c r="M2489" s="237"/>
      <c r="N2489" s="237"/>
      <c r="O2489" s="237"/>
      <c r="P2489" s="237"/>
      <c r="Q2489" s="237"/>
      <c r="R2489" s="237"/>
      <c r="S2489" s="237"/>
      <c r="T2489" s="237"/>
      <c r="U2489" s="237"/>
      <c r="V2489" s="237"/>
      <c r="W2489" s="237"/>
      <c r="X2489" s="237"/>
      <c r="Y2489" s="237"/>
      <c r="Z2489" s="237"/>
      <c r="AA2489" s="237"/>
      <c r="AB2489" s="237"/>
    </row>
    <row r="2490">
      <c r="A2490" s="237"/>
      <c r="B2490" s="275"/>
      <c r="C2490" s="236"/>
      <c r="D2490" s="236"/>
      <c r="E2490" s="241" t="s">
        <v>1420</v>
      </c>
      <c r="F2490" s="88" t="s">
        <v>13401</v>
      </c>
      <c r="G2490" s="88" t="s">
        <v>13383</v>
      </c>
      <c r="H2490" s="240" t="s">
        <v>13402</v>
      </c>
      <c r="I2490" s="237"/>
      <c r="J2490" s="290"/>
      <c r="K2490" s="275"/>
      <c r="L2490" s="237"/>
      <c r="M2490" s="237"/>
      <c r="N2490" s="237"/>
      <c r="O2490" s="237"/>
      <c r="P2490" s="237"/>
      <c r="Q2490" s="237"/>
      <c r="R2490" s="237"/>
      <c r="S2490" s="237"/>
      <c r="T2490" s="237"/>
      <c r="U2490" s="237"/>
      <c r="V2490" s="237"/>
      <c r="W2490" s="237"/>
      <c r="X2490" s="237"/>
      <c r="Y2490" s="237"/>
      <c r="Z2490" s="237"/>
      <c r="AA2490" s="237"/>
      <c r="AB2490" s="237"/>
    </row>
    <row r="2491">
      <c r="A2491" s="237"/>
      <c r="B2491" s="275"/>
      <c r="C2491" s="236"/>
      <c r="D2491" s="236"/>
      <c r="E2491" s="241" t="s">
        <v>1420</v>
      </c>
      <c r="F2491" s="88" t="s">
        <v>1529</v>
      </c>
      <c r="G2491" s="88" t="s">
        <v>13403</v>
      </c>
      <c r="H2491" s="240" t="s">
        <v>13404</v>
      </c>
      <c r="I2491" s="237"/>
      <c r="J2491" s="290"/>
      <c r="K2491" s="275"/>
      <c r="L2491" s="237"/>
      <c r="M2491" s="237"/>
      <c r="N2491" s="237"/>
      <c r="O2491" s="237"/>
      <c r="P2491" s="237"/>
      <c r="Q2491" s="237"/>
      <c r="R2491" s="237"/>
      <c r="S2491" s="237"/>
      <c r="T2491" s="237"/>
      <c r="U2491" s="237"/>
      <c r="V2491" s="237"/>
      <c r="W2491" s="237"/>
      <c r="X2491" s="237"/>
      <c r="Y2491" s="237"/>
      <c r="Z2491" s="237"/>
      <c r="AA2491" s="237"/>
      <c r="AB2491" s="237"/>
    </row>
    <row r="2492">
      <c r="A2492" s="237"/>
      <c r="B2492" s="275"/>
      <c r="C2492" s="236"/>
      <c r="D2492" s="236"/>
      <c r="E2492" s="241" t="s">
        <v>1420</v>
      </c>
      <c r="F2492" s="88" t="s">
        <v>1545</v>
      </c>
      <c r="G2492" s="88" t="s">
        <v>13405</v>
      </c>
      <c r="H2492" s="240" t="s">
        <v>13406</v>
      </c>
      <c r="I2492" s="237"/>
      <c r="J2492" s="290"/>
      <c r="K2492" s="275"/>
      <c r="L2492" s="237"/>
      <c r="M2492" s="237"/>
      <c r="N2492" s="237"/>
      <c r="O2492" s="237"/>
      <c r="P2492" s="237"/>
      <c r="Q2492" s="237"/>
      <c r="R2492" s="237"/>
      <c r="S2492" s="237"/>
      <c r="T2492" s="237"/>
      <c r="U2492" s="237"/>
      <c r="V2492" s="237"/>
      <c r="W2492" s="237"/>
      <c r="X2492" s="237"/>
      <c r="Y2492" s="237"/>
      <c r="Z2492" s="237"/>
      <c r="AA2492" s="237"/>
      <c r="AB2492" s="237"/>
    </row>
    <row r="2493">
      <c r="A2493" s="237"/>
      <c r="B2493" s="275"/>
      <c r="C2493" s="236"/>
      <c r="D2493" s="236"/>
      <c r="E2493" s="241" t="s">
        <v>1420</v>
      </c>
      <c r="F2493" s="88" t="s">
        <v>1556</v>
      </c>
      <c r="G2493" s="88" t="s">
        <v>13407</v>
      </c>
      <c r="H2493" s="241" t="s">
        <v>13408</v>
      </c>
      <c r="I2493" s="237"/>
      <c r="J2493" s="290"/>
      <c r="K2493" s="275"/>
      <c r="L2493" s="237"/>
      <c r="M2493" s="237"/>
      <c r="N2493" s="237"/>
      <c r="O2493" s="237"/>
      <c r="P2493" s="237"/>
      <c r="Q2493" s="237"/>
      <c r="R2493" s="237"/>
      <c r="S2493" s="237"/>
      <c r="T2493" s="237"/>
      <c r="U2493" s="237"/>
      <c r="V2493" s="237"/>
      <c r="W2493" s="237"/>
      <c r="X2493" s="237"/>
      <c r="Y2493" s="237"/>
      <c r="Z2493" s="237"/>
      <c r="AA2493" s="237"/>
      <c r="AB2493" s="237"/>
    </row>
    <row r="2494">
      <c r="A2494" s="237"/>
      <c r="B2494" s="275"/>
      <c r="C2494" s="236"/>
      <c r="D2494" s="236"/>
      <c r="E2494" s="241" t="s">
        <v>1420</v>
      </c>
      <c r="F2494" s="88" t="s">
        <v>1553</v>
      </c>
      <c r="G2494" s="88" t="s">
        <v>13409</v>
      </c>
      <c r="H2494" s="241" t="s">
        <v>13410</v>
      </c>
      <c r="I2494" s="237"/>
      <c r="J2494" s="290"/>
      <c r="K2494" s="275"/>
      <c r="L2494" s="237"/>
      <c r="M2494" s="237"/>
      <c r="N2494" s="237"/>
      <c r="O2494" s="237"/>
      <c r="P2494" s="237"/>
      <c r="Q2494" s="237"/>
      <c r="R2494" s="237"/>
      <c r="S2494" s="237"/>
      <c r="T2494" s="237"/>
      <c r="U2494" s="237"/>
      <c r="V2494" s="237"/>
      <c r="W2494" s="237"/>
      <c r="X2494" s="237"/>
      <c r="Y2494" s="237"/>
      <c r="Z2494" s="237"/>
      <c r="AA2494" s="237"/>
      <c r="AB2494" s="237"/>
    </row>
    <row r="2495">
      <c r="A2495" s="237"/>
      <c r="B2495" s="275"/>
      <c r="C2495" s="236"/>
      <c r="D2495" s="236"/>
      <c r="E2495" s="241" t="s">
        <v>1420</v>
      </c>
      <c r="F2495" s="88" t="s">
        <v>1557</v>
      </c>
      <c r="G2495" s="88" t="s">
        <v>13411</v>
      </c>
      <c r="H2495" s="241" t="s">
        <v>13412</v>
      </c>
      <c r="I2495" s="237"/>
      <c r="J2495" s="290"/>
      <c r="K2495" s="275"/>
      <c r="L2495" s="237"/>
      <c r="M2495" s="237"/>
      <c r="N2495" s="237"/>
      <c r="O2495" s="237"/>
      <c r="P2495" s="237"/>
      <c r="Q2495" s="237"/>
      <c r="R2495" s="237"/>
      <c r="S2495" s="237"/>
      <c r="T2495" s="237"/>
      <c r="U2495" s="237"/>
      <c r="V2495" s="237"/>
      <c r="W2495" s="237"/>
      <c r="X2495" s="237"/>
      <c r="Y2495" s="237"/>
      <c r="Z2495" s="237"/>
      <c r="AA2495" s="237"/>
      <c r="AB2495" s="237"/>
    </row>
    <row r="2496">
      <c r="A2496" s="237"/>
      <c r="B2496" s="275"/>
      <c r="C2496" s="236"/>
      <c r="D2496" s="236"/>
      <c r="E2496" s="241" t="s">
        <v>1420</v>
      </c>
      <c r="F2496" s="88" t="s">
        <v>1546</v>
      </c>
      <c r="G2496" s="88" t="s">
        <v>13413</v>
      </c>
      <c r="H2496" s="240" t="s">
        <v>13414</v>
      </c>
      <c r="I2496" s="237"/>
      <c r="J2496" s="290"/>
      <c r="K2496" s="275"/>
      <c r="L2496" s="237"/>
      <c r="M2496" s="237"/>
      <c r="N2496" s="237"/>
      <c r="O2496" s="237"/>
      <c r="P2496" s="237"/>
      <c r="Q2496" s="237"/>
      <c r="R2496" s="237"/>
      <c r="S2496" s="237"/>
      <c r="T2496" s="237"/>
      <c r="U2496" s="237"/>
      <c r="V2496" s="237"/>
      <c r="W2496" s="237"/>
      <c r="X2496" s="237"/>
      <c r="Y2496" s="237"/>
      <c r="Z2496" s="237"/>
      <c r="AA2496" s="237"/>
      <c r="AB2496" s="237"/>
    </row>
    <row r="2497">
      <c r="A2497" s="237"/>
      <c r="B2497" s="275"/>
      <c r="C2497" s="236"/>
      <c r="D2497" s="236"/>
      <c r="E2497" s="241" t="s">
        <v>1420</v>
      </c>
      <c r="F2497" s="88" t="s">
        <v>1547</v>
      </c>
      <c r="G2497" s="88" t="s">
        <v>13415</v>
      </c>
      <c r="H2497" s="240" t="s">
        <v>13416</v>
      </c>
      <c r="I2497" s="237"/>
      <c r="J2497" s="290"/>
      <c r="K2497" s="275"/>
      <c r="L2497" s="237"/>
      <c r="M2497" s="237"/>
      <c r="N2497" s="237"/>
      <c r="O2497" s="237"/>
      <c r="P2497" s="237"/>
      <c r="Q2497" s="237"/>
      <c r="R2497" s="237"/>
      <c r="S2497" s="237"/>
      <c r="T2497" s="237"/>
      <c r="U2497" s="237"/>
      <c r="V2497" s="237"/>
      <c r="W2497" s="237"/>
      <c r="X2497" s="237"/>
      <c r="Y2497" s="237"/>
      <c r="Z2497" s="237"/>
      <c r="AA2497" s="237"/>
      <c r="AB2497" s="237"/>
    </row>
    <row r="2498">
      <c r="A2498" s="237"/>
      <c r="B2498" s="275"/>
      <c r="C2498" s="236"/>
      <c r="D2498" s="236"/>
      <c r="E2498" s="241" t="s">
        <v>1420</v>
      </c>
      <c r="F2498" s="88" t="s">
        <v>1548</v>
      </c>
      <c r="G2498" s="88" t="s">
        <v>13417</v>
      </c>
      <c r="H2498" s="240" t="s">
        <v>13418</v>
      </c>
      <c r="I2498" s="237"/>
      <c r="J2498" s="290"/>
      <c r="K2498" s="275"/>
      <c r="L2498" s="237"/>
      <c r="M2498" s="237"/>
      <c r="N2498" s="237"/>
      <c r="O2498" s="237"/>
      <c r="P2498" s="237"/>
      <c r="Q2498" s="237"/>
      <c r="R2498" s="237"/>
      <c r="S2498" s="237"/>
      <c r="T2498" s="237"/>
      <c r="U2498" s="237"/>
      <c r="V2498" s="237"/>
      <c r="W2498" s="237"/>
      <c r="X2498" s="237"/>
      <c r="Y2498" s="237"/>
      <c r="Z2498" s="237"/>
      <c r="AA2498" s="237"/>
      <c r="AB2498" s="237"/>
    </row>
    <row r="2499">
      <c r="A2499" s="237"/>
      <c r="B2499" s="275"/>
      <c r="C2499" s="88" t="s">
        <v>13419</v>
      </c>
      <c r="D2499" s="236"/>
      <c r="E2499" s="241" t="s">
        <v>1420</v>
      </c>
      <c r="F2499" s="88" t="s">
        <v>1655</v>
      </c>
      <c r="G2499" s="236"/>
      <c r="H2499" s="241" t="s">
        <v>13420</v>
      </c>
      <c r="I2499" s="237"/>
      <c r="J2499" s="290"/>
      <c r="K2499" s="275"/>
      <c r="L2499" s="237"/>
      <c r="M2499" s="237"/>
      <c r="N2499" s="237"/>
      <c r="O2499" s="237"/>
      <c r="P2499" s="237"/>
      <c r="Q2499" s="237"/>
      <c r="R2499" s="237"/>
      <c r="S2499" s="237"/>
      <c r="T2499" s="237"/>
      <c r="U2499" s="237"/>
      <c r="V2499" s="237"/>
      <c r="W2499" s="237"/>
      <c r="X2499" s="237"/>
      <c r="Y2499" s="237"/>
      <c r="Z2499" s="237"/>
      <c r="AA2499" s="237"/>
      <c r="AB2499" s="237"/>
    </row>
    <row r="2500">
      <c r="A2500" s="237"/>
      <c r="B2500" s="275"/>
      <c r="C2500" s="88" t="s">
        <v>13421</v>
      </c>
      <c r="D2500" s="236"/>
      <c r="E2500" s="241" t="s">
        <v>1420</v>
      </c>
      <c r="F2500" s="88" t="s">
        <v>1654</v>
      </c>
      <c r="G2500" s="236"/>
      <c r="H2500" s="241" t="s">
        <v>13422</v>
      </c>
      <c r="I2500" s="237"/>
      <c r="J2500" s="290"/>
      <c r="K2500" s="275"/>
      <c r="L2500" s="237"/>
      <c r="M2500" s="237"/>
      <c r="N2500" s="237"/>
      <c r="O2500" s="237"/>
      <c r="P2500" s="237"/>
      <c r="Q2500" s="237"/>
      <c r="R2500" s="237"/>
      <c r="S2500" s="237"/>
      <c r="T2500" s="237"/>
      <c r="U2500" s="237"/>
      <c r="V2500" s="237"/>
      <c r="W2500" s="237"/>
      <c r="X2500" s="237"/>
      <c r="Y2500" s="237"/>
      <c r="Z2500" s="237"/>
      <c r="AA2500" s="237"/>
      <c r="AB2500" s="237"/>
    </row>
    <row r="2501">
      <c r="A2501" s="237"/>
      <c r="B2501" s="275"/>
      <c r="C2501" s="88" t="s">
        <v>13423</v>
      </c>
      <c r="D2501" s="236"/>
      <c r="E2501" s="241" t="s">
        <v>1420</v>
      </c>
      <c r="F2501" s="88" t="s">
        <v>1656</v>
      </c>
      <c r="G2501" s="236"/>
      <c r="H2501" s="241" t="s">
        <v>13424</v>
      </c>
      <c r="I2501" s="237"/>
      <c r="J2501" s="290"/>
      <c r="K2501" s="275"/>
      <c r="L2501" s="237"/>
      <c r="M2501" s="237"/>
      <c r="N2501" s="237"/>
      <c r="O2501" s="237"/>
      <c r="P2501" s="237"/>
      <c r="Q2501" s="237"/>
      <c r="R2501" s="237"/>
      <c r="S2501" s="237"/>
      <c r="T2501" s="237"/>
      <c r="U2501" s="237"/>
      <c r="V2501" s="237"/>
      <c r="W2501" s="237"/>
      <c r="X2501" s="237"/>
      <c r="Y2501" s="237"/>
      <c r="Z2501" s="237"/>
      <c r="AA2501" s="237"/>
      <c r="AB2501" s="237"/>
    </row>
    <row r="2502">
      <c r="A2502" s="237"/>
      <c r="B2502" s="275"/>
      <c r="C2502" s="88" t="s">
        <v>13425</v>
      </c>
      <c r="D2502" s="236"/>
      <c r="E2502" s="241" t="s">
        <v>11671</v>
      </c>
      <c r="F2502" s="88" t="s">
        <v>1657</v>
      </c>
      <c r="G2502" s="236"/>
      <c r="H2502" s="241" t="s">
        <v>13426</v>
      </c>
      <c r="I2502" s="237"/>
      <c r="J2502" s="290"/>
      <c r="K2502" s="275"/>
      <c r="L2502" s="237"/>
      <c r="M2502" s="237"/>
      <c r="N2502" s="237"/>
      <c r="O2502" s="237"/>
      <c r="P2502" s="237"/>
      <c r="Q2502" s="237"/>
      <c r="R2502" s="237"/>
      <c r="S2502" s="237"/>
      <c r="T2502" s="237"/>
      <c r="U2502" s="237"/>
      <c r="V2502" s="237"/>
      <c r="W2502" s="237"/>
      <c r="X2502" s="237"/>
      <c r="Y2502" s="237"/>
      <c r="Z2502" s="237"/>
      <c r="AA2502" s="237"/>
      <c r="AB2502" s="237"/>
    </row>
    <row r="2503">
      <c r="A2503" s="237"/>
      <c r="B2503" s="275"/>
      <c r="C2503" s="88" t="s">
        <v>13427</v>
      </c>
      <c r="D2503" s="236"/>
      <c r="E2503" s="241" t="s">
        <v>11671</v>
      </c>
      <c r="F2503" s="88" t="s">
        <v>1658</v>
      </c>
      <c r="G2503" s="236"/>
      <c r="H2503" s="241" t="s">
        <v>13428</v>
      </c>
      <c r="I2503" s="237"/>
      <c r="J2503" s="290"/>
      <c r="K2503" s="275"/>
      <c r="L2503" s="237"/>
      <c r="M2503" s="237"/>
      <c r="N2503" s="237"/>
      <c r="O2503" s="237"/>
      <c r="P2503" s="237"/>
      <c r="Q2503" s="237"/>
      <c r="R2503" s="237"/>
      <c r="S2503" s="237"/>
      <c r="T2503" s="237"/>
      <c r="U2503" s="237"/>
      <c r="V2503" s="237"/>
      <c r="W2503" s="237"/>
      <c r="X2503" s="237"/>
      <c r="Y2503" s="237"/>
      <c r="Z2503" s="237"/>
      <c r="AA2503" s="237"/>
      <c r="AB2503" s="237"/>
    </row>
    <row r="2504">
      <c r="A2504" s="237"/>
      <c r="B2504" s="275"/>
      <c r="C2504" s="88" t="s">
        <v>13429</v>
      </c>
      <c r="D2504" s="236"/>
      <c r="E2504" s="241" t="s">
        <v>1420</v>
      </c>
      <c r="F2504" s="88" t="s">
        <v>1659</v>
      </c>
      <c r="G2504" s="236"/>
      <c r="H2504" s="241" t="s">
        <v>13430</v>
      </c>
      <c r="I2504" s="237"/>
      <c r="J2504" s="290"/>
      <c r="K2504" s="275"/>
      <c r="L2504" s="237"/>
      <c r="M2504" s="237"/>
      <c r="N2504" s="237"/>
      <c r="O2504" s="237"/>
      <c r="P2504" s="237"/>
      <c r="Q2504" s="237"/>
      <c r="R2504" s="237"/>
      <c r="S2504" s="237"/>
      <c r="T2504" s="237"/>
      <c r="U2504" s="237"/>
      <c r="V2504" s="237"/>
      <c r="W2504" s="237"/>
      <c r="X2504" s="237"/>
      <c r="Y2504" s="237"/>
      <c r="Z2504" s="237"/>
      <c r="AA2504" s="237"/>
      <c r="AB2504" s="237"/>
    </row>
    <row r="2505">
      <c r="A2505" s="237"/>
      <c r="B2505" s="275"/>
      <c r="C2505" s="88" t="s">
        <v>13431</v>
      </c>
      <c r="D2505" s="236"/>
      <c r="E2505" s="241" t="s">
        <v>1420</v>
      </c>
      <c r="F2505" s="88" t="s">
        <v>1660</v>
      </c>
      <c r="G2505" s="236"/>
      <c r="H2505" s="241" t="s">
        <v>13432</v>
      </c>
      <c r="I2505" s="237"/>
      <c r="J2505" s="290"/>
      <c r="K2505" s="275"/>
      <c r="L2505" s="237"/>
      <c r="M2505" s="237"/>
      <c r="N2505" s="237"/>
      <c r="O2505" s="237"/>
      <c r="P2505" s="237"/>
      <c r="Q2505" s="237"/>
      <c r="R2505" s="237"/>
      <c r="S2505" s="237"/>
      <c r="T2505" s="237"/>
      <c r="U2505" s="237"/>
      <c r="V2505" s="237"/>
      <c r="W2505" s="237"/>
      <c r="X2505" s="237"/>
      <c r="Y2505" s="237"/>
      <c r="Z2505" s="237"/>
      <c r="AA2505" s="237"/>
      <c r="AB2505" s="237"/>
    </row>
    <row r="2506">
      <c r="A2506" s="237"/>
      <c r="B2506" s="275"/>
      <c r="C2506" s="88" t="s">
        <v>13433</v>
      </c>
      <c r="D2506" s="236"/>
      <c r="E2506" s="241" t="s">
        <v>1420</v>
      </c>
      <c r="F2506" s="88" t="s">
        <v>1661</v>
      </c>
      <c r="G2506" s="236"/>
      <c r="H2506" s="241" t="s">
        <v>13434</v>
      </c>
      <c r="I2506" s="237"/>
      <c r="J2506" s="290"/>
      <c r="K2506" s="275"/>
      <c r="L2506" s="237"/>
      <c r="M2506" s="237"/>
      <c r="N2506" s="237"/>
      <c r="O2506" s="237"/>
      <c r="P2506" s="237"/>
      <c r="Q2506" s="237"/>
      <c r="R2506" s="237"/>
      <c r="S2506" s="237"/>
      <c r="T2506" s="237"/>
      <c r="U2506" s="237"/>
      <c r="V2506" s="237"/>
      <c r="W2506" s="237"/>
      <c r="X2506" s="237"/>
      <c r="Y2506" s="237"/>
      <c r="Z2506" s="237"/>
      <c r="AA2506" s="237"/>
      <c r="AB2506" s="237"/>
    </row>
    <row r="2507">
      <c r="A2507" s="237"/>
      <c r="B2507" s="275"/>
      <c r="C2507" s="88" t="s">
        <v>13435</v>
      </c>
      <c r="D2507" s="236"/>
      <c r="E2507" s="241" t="s">
        <v>1420</v>
      </c>
      <c r="F2507" s="88" t="s">
        <v>1662</v>
      </c>
      <c r="G2507" s="236"/>
      <c r="H2507" s="241" t="s">
        <v>13436</v>
      </c>
      <c r="I2507" s="237"/>
      <c r="J2507" s="290"/>
      <c r="K2507" s="275"/>
      <c r="L2507" s="237"/>
      <c r="M2507" s="237"/>
      <c r="N2507" s="237"/>
      <c r="O2507" s="237"/>
      <c r="P2507" s="237"/>
      <c r="Q2507" s="237"/>
      <c r="R2507" s="237"/>
      <c r="S2507" s="237"/>
      <c r="T2507" s="237"/>
      <c r="U2507" s="237"/>
      <c r="V2507" s="237"/>
      <c r="W2507" s="237"/>
      <c r="X2507" s="237"/>
      <c r="Y2507" s="237"/>
      <c r="Z2507" s="237"/>
      <c r="AA2507" s="237"/>
      <c r="AB2507" s="237"/>
    </row>
    <row r="2508">
      <c r="A2508" s="237"/>
      <c r="B2508" s="275"/>
      <c r="C2508" s="88" t="s">
        <v>13437</v>
      </c>
      <c r="D2508" s="236"/>
      <c r="E2508" s="241" t="s">
        <v>1420</v>
      </c>
      <c r="F2508" s="88" t="s">
        <v>1663</v>
      </c>
      <c r="G2508" s="236"/>
      <c r="H2508" s="241" t="s">
        <v>13438</v>
      </c>
      <c r="I2508" s="237"/>
      <c r="J2508" s="290"/>
      <c r="K2508" s="275"/>
      <c r="L2508" s="237"/>
      <c r="M2508" s="237"/>
      <c r="N2508" s="237"/>
      <c r="O2508" s="237"/>
      <c r="P2508" s="237"/>
      <c r="Q2508" s="237"/>
      <c r="R2508" s="237"/>
      <c r="S2508" s="237"/>
      <c r="T2508" s="237"/>
      <c r="U2508" s="237"/>
      <c r="V2508" s="237"/>
      <c r="W2508" s="237"/>
      <c r="X2508" s="237"/>
      <c r="Y2508" s="237"/>
      <c r="Z2508" s="237"/>
      <c r="AA2508" s="237"/>
      <c r="AB2508" s="237"/>
    </row>
    <row r="2509">
      <c r="A2509" s="237"/>
      <c r="B2509" s="275"/>
      <c r="C2509" s="88" t="s">
        <v>13439</v>
      </c>
      <c r="D2509" s="236"/>
      <c r="E2509" s="241" t="s">
        <v>1420</v>
      </c>
      <c r="F2509" s="88" t="s">
        <v>1664</v>
      </c>
      <c r="G2509" s="236"/>
      <c r="H2509" s="241" t="s">
        <v>13440</v>
      </c>
      <c r="I2509" s="237"/>
      <c r="J2509" s="290"/>
      <c r="K2509" s="275"/>
      <c r="L2509" s="237"/>
      <c r="M2509" s="237"/>
      <c r="N2509" s="237"/>
      <c r="O2509" s="237"/>
      <c r="P2509" s="237"/>
      <c r="Q2509" s="237"/>
      <c r="R2509" s="237"/>
      <c r="S2509" s="237"/>
      <c r="T2509" s="237"/>
      <c r="U2509" s="237"/>
      <c r="V2509" s="237"/>
      <c r="W2509" s="237"/>
      <c r="X2509" s="237"/>
      <c r="Y2509" s="237"/>
      <c r="Z2509" s="237"/>
      <c r="AA2509" s="237"/>
      <c r="AB2509" s="237"/>
    </row>
    <row r="2510">
      <c r="A2510" s="237"/>
      <c r="B2510" s="275"/>
      <c r="C2510" s="88" t="s">
        <v>13441</v>
      </c>
      <c r="D2510" s="236"/>
      <c r="E2510" s="241" t="s">
        <v>1420</v>
      </c>
      <c r="F2510" s="88" t="s">
        <v>1665</v>
      </c>
      <c r="G2510" s="236"/>
      <c r="H2510" s="241" t="s">
        <v>13442</v>
      </c>
      <c r="I2510" s="237"/>
      <c r="J2510" s="290"/>
      <c r="K2510" s="275"/>
      <c r="L2510" s="237"/>
      <c r="M2510" s="237"/>
      <c r="N2510" s="237"/>
      <c r="O2510" s="237"/>
      <c r="P2510" s="237"/>
      <c r="Q2510" s="237"/>
      <c r="R2510" s="237"/>
      <c r="S2510" s="237"/>
      <c r="T2510" s="237"/>
      <c r="U2510" s="237"/>
      <c r="V2510" s="237"/>
      <c r="W2510" s="237"/>
      <c r="X2510" s="237"/>
      <c r="Y2510" s="237"/>
      <c r="Z2510" s="237"/>
      <c r="AA2510" s="237"/>
      <c r="AB2510" s="237"/>
    </row>
    <row r="2511">
      <c r="A2511" s="237"/>
      <c r="B2511" s="275"/>
      <c r="C2511" s="88" t="s">
        <v>13443</v>
      </c>
      <c r="D2511" s="236"/>
      <c r="E2511" s="241" t="s">
        <v>1420</v>
      </c>
      <c r="F2511" s="88" t="s">
        <v>1666</v>
      </c>
      <c r="G2511" s="236"/>
      <c r="H2511" s="241" t="s">
        <v>13444</v>
      </c>
      <c r="I2511" s="237"/>
      <c r="J2511" s="290"/>
      <c r="K2511" s="275"/>
      <c r="L2511" s="237"/>
      <c r="M2511" s="237"/>
      <c r="N2511" s="237"/>
      <c r="O2511" s="237"/>
      <c r="P2511" s="237"/>
      <c r="Q2511" s="237"/>
      <c r="R2511" s="237"/>
      <c r="S2511" s="237"/>
      <c r="T2511" s="237"/>
      <c r="U2511" s="237"/>
      <c r="V2511" s="237"/>
      <c r="W2511" s="237"/>
      <c r="X2511" s="237"/>
      <c r="Y2511" s="237"/>
      <c r="Z2511" s="237"/>
      <c r="AA2511" s="237"/>
      <c r="AB2511" s="237"/>
    </row>
    <row r="2512">
      <c r="A2512" s="237"/>
      <c r="B2512" s="275"/>
      <c r="C2512" s="88" t="s">
        <v>13445</v>
      </c>
      <c r="D2512" s="236"/>
      <c r="E2512" s="241" t="s">
        <v>1420</v>
      </c>
      <c r="F2512" s="88" t="s">
        <v>1667</v>
      </c>
      <c r="G2512" s="236"/>
      <c r="H2512" s="241" t="s">
        <v>13446</v>
      </c>
      <c r="I2512" s="237"/>
      <c r="J2512" s="290"/>
      <c r="K2512" s="275"/>
      <c r="L2512" s="237"/>
      <c r="M2512" s="237"/>
      <c r="N2512" s="237"/>
      <c r="O2512" s="237"/>
      <c r="P2512" s="237"/>
      <c r="Q2512" s="237"/>
      <c r="R2512" s="237"/>
      <c r="S2512" s="237"/>
      <c r="T2512" s="237"/>
      <c r="U2512" s="237"/>
      <c r="V2512" s="237"/>
      <c r="W2512" s="237"/>
      <c r="X2512" s="237"/>
      <c r="Y2512" s="237"/>
      <c r="Z2512" s="237"/>
      <c r="AA2512" s="237"/>
      <c r="AB2512" s="237"/>
    </row>
    <row r="2513">
      <c r="A2513" s="237"/>
      <c r="B2513" s="275"/>
      <c r="C2513" s="88" t="s">
        <v>13447</v>
      </c>
      <c r="D2513" s="236"/>
      <c r="E2513" s="241" t="s">
        <v>1420</v>
      </c>
      <c r="F2513" s="88" t="s">
        <v>1668</v>
      </c>
      <c r="G2513" s="236"/>
      <c r="H2513" s="241" t="s">
        <v>13448</v>
      </c>
      <c r="I2513" s="237"/>
      <c r="J2513" s="290"/>
      <c r="K2513" s="275"/>
      <c r="L2513" s="237"/>
      <c r="M2513" s="237"/>
      <c r="N2513" s="237"/>
      <c r="O2513" s="237"/>
      <c r="P2513" s="237"/>
      <c r="Q2513" s="237"/>
      <c r="R2513" s="237"/>
      <c r="S2513" s="237"/>
      <c r="T2513" s="237"/>
      <c r="U2513" s="237"/>
      <c r="V2513" s="237"/>
      <c r="W2513" s="237"/>
      <c r="X2513" s="237"/>
      <c r="Y2513" s="237"/>
      <c r="Z2513" s="237"/>
      <c r="AA2513" s="237"/>
      <c r="AB2513" s="237"/>
    </row>
    <row r="2514">
      <c r="A2514" s="237"/>
      <c r="B2514" s="275"/>
      <c r="C2514" s="88" t="s">
        <v>13449</v>
      </c>
      <c r="D2514" s="236"/>
      <c r="E2514" s="241" t="s">
        <v>1420</v>
      </c>
      <c r="F2514" s="88" t="s">
        <v>1669</v>
      </c>
      <c r="G2514" s="236"/>
      <c r="H2514" s="241" t="s">
        <v>13450</v>
      </c>
      <c r="I2514" s="237"/>
      <c r="J2514" s="290"/>
      <c r="K2514" s="275"/>
      <c r="L2514" s="237"/>
      <c r="M2514" s="237"/>
      <c r="N2514" s="237"/>
      <c r="O2514" s="237"/>
      <c r="P2514" s="237"/>
      <c r="Q2514" s="237"/>
      <c r="R2514" s="237"/>
      <c r="S2514" s="237"/>
      <c r="T2514" s="237"/>
      <c r="U2514" s="237"/>
      <c r="V2514" s="237"/>
      <c r="W2514" s="237"/>
      <c r="X2514" s="237"/>
      <c r="Y2514" s="237"/>
      <c r="Z2514" s="237"/>
      <c r="AA2514" s="237"/>
      <c r="AB2514" s="237"/>
    </row>
    <row r="2515">
      <c r="A2515" s="237"/>
      <c r="B2515" s="275"/>
      <c r="C2515" s="88" t="s">
        <v>13451</v>
      </c>
      <c r="D2515" s="236"/>
      <c r="E2515" s="241" t="s">
        <v>13452</v>
      </c>
      <c r="F2515" s="88" t="s">
        <v>1670</v>
      </c>
      <c r="G2515" s="236"/>
      <c r="H2515" s="236"/>
      <c r="I2515" s="237"/>
      <c r="J2515" s="290"/>
      <c r="K2515" s="275"/>
      <c r="L2515" s="237"/>
      <c r="M2515" s="237"/>
      <c r="N2515" s="237"/>
      <c r="O2515" s="237"/>
      <c r="P2515" s="237"/>
      <c r="Q2515" s="237"/>
      <c r="R2515" s="237"/>
      <c r="S2515" s="237"/>
      <c r="T2515" s="237"/>
      <c r="U2515" s="237"/>
      <c r="V2515" s="237"/>
      <c r="W2515" s="237"/>
      <c r="X2515" s="237"/>
      <c r="Y2515" s="237"/>
      <c r="Z2515" s="237"/>
      <c r="AA2515" s="237"/>
      <c r="AB2515" s="237"/>
    </row>
    <row r="2516">
      <c r="A2516" s="237"/>
      <c r="B2516" s="275"/>
      <c r="C2516" s="88" t="s">
        <v>13453</v>
      </c>
      <c r="D2516" s="236"/>
      <c r="E2516" s="241" t="s">
        <v>1420</v>
      </c>
      <c r="F2516" s="88" t="s">
        <v>1671</v>
      </c>
      <c r="G2516" s="236"/>
      <c r="H2516" s="241" t="s">
        <v>13454</v>
      </c>
      <c r="I2516" s="237"/>
      <c r="J2516" s="290"/>
      <c r="K2516" s="275"/>
      <c r="L2516" s="237"/>
      <c r="M2516" s="237"/>
      <c r="N2516" s="237"/>
      <c r="O2516" s="237"/>
      <c r="P2516" s="237"/>
      <c r="Q2516" s="237"/>
      <c r="R2516" s="237"/>
      <c r="S2516" s="237"/>
      <c r="T2516" s="237"/>
      <c r="U2516" s="237"/>
      <c r="V2516" s="237"/>
      <c r="W2516" s="237"/>
      <c r="X2516" s="237"/>
      <c r="Y2516" s="237"/>
      <c r="Z2516" s="237"/>
      <c r="AA2516" s="237"/>
      <c r="AB2516" s="237"/>
    </row>
    <row r="2517">
      <c r="A2517" s="237"/>
      <c r="B2517" s="275"/>
      <c r="C2517" s="88" t="s">
        <v>13455</v>
      </c>
      <c r="D2517" s="236"/>
      <c r="E2517" s="241" t="s">
        <v>1420</v>
      </c>
      <c r="F2517" s="88" t="s">
        <v>1672</v>
      </c>
      <c r="G2517" s="236"/>
      <c r="H2517" s="241" t="s">
        <v>13456</v>
      </c>
      <c r="I2517" s="237"/>
      <c r="J2517" s="290"/>
      <c r="K2517" s="275"/>
      <c r="L2517" s="237"/>
      <c r="M2517" s="237"/>
      <c r="N2517" s="237"/>
      <c r="O2517" s="237"/>
      <c r="P2517" s="237"/>
      <c r="Q2517" s="237"/>
      <c r="R2517" s="237"/>
      <c r="S2517" s="237"/>
      <c r="T2517" s="237"/>
      <c r="U2517" s="237"/>
      <c r="V2517" s="237"/>
      <c r="W2517" s="237"/>
      <c r="X2517" s="237"/>
      <c r="Y2517" s="237"/>
      <c r="Z2517" s="237"/>
      <c r="AA2517" s="237"/>
      <c r="AB2517" s="237"/>
    </row>
    <row r="2518">
      <c r="A2518" s="237"/>
      <c r="B2518" s="275"/>
      <c r="C2518" s="88" t="s">
        <v>13457</v>
      </c>
      <c r="D2518" s="236"/>
      <c r="E2518" s="241" t="s">
        <v>1420</v>
      </c>
      <c r="F2518" s="88" t="s">
        <v>1673</v>
      </c>
      <c r="G2518" s="236"/>
      <c r="H2518" s="241" t="s">
        <v>13458</v>
      </c>
      <c r="I2518" s="237"/>
      <c r="J2518" s="290"/>
      <c r="K2518" s="275"/>
      <c r="L2518" s="237"/>
      <c r="M2518" s="237"/>
      <c r="N2518" s="237"/>
      <c r="O2518" s="237"/>
      <c r="P2518" s="237"/>
      <c r="Q2518" s="237"/>
      <c r="R2518" s="237"/>
      <c r="S2518" s="237"/>
      <c r="T2518" s="237"/>
      <c r="U2518" s="237"/>
      <c r="V2518" s="237"/>
      <c r="W2518" s="237"/>
      <c r="X2518" s="237"/>
      <c r="Y2518" s="237"/>
      <c r="Z2518" s="237"/>
      <c r="AA2518" s="237"/>
      <c r="AB2518" s="237"/>
    </row>
    <row r="2519">
      <c r="A2519" s="237"/>
      <c r="B2519" s="275"/>
      <c r="C2519" s="88" t="s">
        <v>13459</v>
      </c>
      <c r="D2519" s="236"/>
      <c r="E2519" s="241" t="s">
        <v>1420</v>
      </c>
      <c r="F2519" s="88" t="s">
        <v>1674</v>
      </c>
      <c r="G2519" s="236"/>
      <c r="H2519" s="241" t="s">
        <v>13460</v>
      </c>
      <c r="I2519" s="237"/>
      <c r="J2519" s="290"/>
      <c r="K2519" s="275"/>
      <c r="L2519" s="237"/>
      <c r="M2519" s="237"/>
      <c r="N2519" s="237"/>
      <c r="O2519" s="237"/>
      <c r="P2519" s="237"/>
      <c r="Q2519" s="237"/>
      <c r="R2519" s="237"/>
      <c r="S2519" s="237"/>
      <c r="T2519" s="237"/>
      <c r="U2519" s="237"/>
      <c r="V2519" s="237"/>
      <c r="W2519" s="237"/>
      <c r="X2519" s="237"/>
      <c r="Y2519" s="237"/>
      <c r="Z2519" s="237"/>
      <c r="AA2519" s="237"/>
      <c r="AB2519" s="237"/>
    </row>
    <row r="2520">
      <c r="A2520" s="237"/>
      <c r="B2520" s="275"/>
      <c r="C2520" s="88" t="s">
        <v>13461</v>
      </c>
      <c r="D2520" s="236"/>
      <c r="E2520" s="241" t="s">
        <v>1420</v>
      </c>
      <c r="F2520" s="88" t="s">
        <v>1675</v>
      </c>
      <c r="G2520" s="236"/>
      <c r="H2520" s="241" t="s">
        <v>13462</v>
      </c>
      <c r="I2520" s="237"/>
      <c r="J2520" s="290"/>
      <c r="K2520" s="275"/>
      <c r="L2520" s="237"/>
      <c r="M2520" s="237"/>
      <c r="N2520" s="237"/>
      <c r="O2520" s="237"/>
      <c r="P2520" s="237"/>
      <c r="Q2520" s="237"/>
      <c r="R2520" s="237"/>
      <c r="S2520" s="237"/>
      <c r="T2520" s="237"/>
      <c r="U2520" s="237"/>
      <c r="V2520" s="237"/>
      <c r="W2520" s="237"/>
      <c r="X2520" s="237"/>
      <c r="Y2520" s="237"/>
      <c r="Z2520" s="237"/>
      <c r="AA2520" s="237"/>
      <c r="AB2520" s="237"/>
    </row>
    <row r="2521">
      <c r="A2521" s="237"/>
      <c r="B2521" s="275"/>
      <c r="C2521" s="88" t="s">
        <v>13463</v>
      </c>
      <c r="D2521" s="236"/>
      <c r="E2521" s="241" t="s">
        <v>1420</v>
      </c>
      <c r="F2521" s="88" t="s">
        <v>1676</v>
      </c>
      <c r="G2521" s="236"/>
      <c r="H2521" s="241" t="s">
        <v>13464</v>
      </c>
      <c r="I2521" s="237"/>
      <c r="J2521" s="290"/>
      <c r="K2521" s="275"/>
      <c r="L2521" s="237"/>
      <c r="M2521" s="237"/>
      <c r="N2521" s="237"/>
      <c r="O2521" s="237"/>
      <c r="P2521" s="237"/>
      <c r="Q2521" s="237"/>
      <c r="R2521" s="237"/>
      <c r="S2521" s="237"/>
      <c r="T2521" s="237"/>
      <c r="U2521" s="237"/>
      <c r="V2521" s="237"/>
      <c r="W2521" s="237"/>
      <c r="X2521" s="237"/>
      <c r="Y2521" s="237"/>
      <c r="Z2521" s="237"/>
      <c r="AA2521" s="237"/>
      <c r="AB2521" s="237"/>
    </row>
    <row r="2522">
      <c r="A2522" s="237"/>
      <c r="B2522" s="275"/>
      <c r="C2522" s="88" t="s">
        <v>13465</v>
      </c>
      <c r="D2522" s="236"/>
      <c r="E2522" s="241" t="s">
        <v>1420</v>
      </c>
      <c r="F2522" s="88" t="s">
        <v>1677</v>
      </c>
      <c r="G2522" s="236"/>
      <c r="H2522" s="241" t="s">
        <v>13466</v>
      </c>
      <c r="I2522" s="237"/>
      <c r="J2522" s="290"/>
      <c r="K2522" s="275"/>
      <c r="L2522" s="237"/>
      <c r="M2522" s="237"/>
      <c r="N2522" s="237"/>
      <c r="O2522" s="237"/>
      <c r="P2522" s="237"/>
      <c r="Q2522" s="237"/>
      <c r="R2522" s="237"/>
      <c r="S2522" s="237"/>
      <c r="T2522" s="237"/>
      <c r="U2522" s="237"/>
      <c r="V2522" s="237"/>
      <c r="W2522" s="237"/>
      <c r="X2522" s="237"/>
      <c r="Y2522" s="237"/>
      <c r="Z2522" s="237"/>
      <c r="AA2522" s="237"/>
      <c r="AB2522" s="237"/>
    </row>
    <row r="2523">
      <c r="A2523" s="237"/>
      <c r="B2523" s="275"/>
      <c r="C2523" s="88" t="s">
        <v>13467</v>
      </c>
      <c r="D2523" s="236"/>
      <c r="E2523" s="241" t="s">
        <v>1420</v>
      </c>
      <c r="F2523" s="88" t="s">
        <v>1678</v>
      </c>
      <c r="G2523" s="236"/>
      <c r="H2523" s="241" t="s">
        <v>13468</v>
      </c>
      <c r="I2523" s="237"/>
      <c r="J2523" s="290"/>
      <c r="K2523" s="275"/>
      <c r="L2523" s="237"/>
      <c r="M2523" s="237"/>
      <c r="N2523" s="237"/>
      <c r="O2523" s="237"/>
      <c r="P2523" s="237"/>
      <c r="Q2523" s="237"/>
      <c r="R2523" s="237"/>
      <c r="S2523" s="237"/>
      <c r="T2523" s="237"/>
      <c r="U2523" s="237"/>
      <c r="V2523" s="237"/>
      <c r="W2523" s="237"/>
      <c r="X2523" s="237"/>
      <c r="Y2523" s="237"/>
      <c r="Z2523" s="237"/>
      <c r="AA2523" s="237"/>
      <c r="AB2523" s="237"/>
    </row>
    <row r="2524">
      <c r="A2524" s="237"/>
      <c r="B2524" s="275"/>
      <c r="C2524" s="88" t="s">
        <v>13469</v>
      </c>
      <c r="D2524" s="236"/>
      <c r="E2524" s="241" t="s">
        <v>1420</v>
      </c>
      <c r="F2524" s="88" t="s">
        <v>1549</v>
      </c>
      <c r="G2524" s="88" t="s">
        <v>13470</v>
      </c>
      <c r="H2524" s="299" t="s">
        <v>13471</v>
      </c>
      <c r="I2524" s="237"/>
      <c r="J2524" s="290"/>
      <c r="K2524" s="275"/>
      <c r="L2524" s="237"/>
      <c r="M2524" s="237"/>
      <c r="N2524" s="237"/>
      <c r="O2524" s="237"/>
      <c r="P2524" s="237"/>
      <c r="Q2524" s="237"/>
      <c r="R2524" s="237"/>
      <c r="S2524" s="237"/>
      <c r="T2524" s="237"/>
      <c r="U2524" s="237"/>
      <c r="V2524" s="237"/>
      <c r="W2524" s="237"/>
      <c r="X2524" s="237"/>
      <c r="Y2524" s="237"/>
      <c r="Z2524" s="237"/>
      <c r="AA2524" s="237"/>
      <c r="AB2524" s="237"/>
    </row>
    <row r="2525">
      <c r="A2525" s="237"/>
      <c r="B2525" s="275"/>
      <c r="C2525" s="88" t="s">
        <v>13472</v>
      </c>
      <c r="D2525" s="236"/>
      <c r="E2525" s="241" t="s">
        <v>1420</v>
      </c>
      <c r="F2525" s="88" t="s">
        <v>1550</v>
      </c>
      <c r="G2525" s="88" t="s">
        <v>13473</v>
      </c>
      <c r="H2525" s="241" t="s">
        <v>13474</v>
      </c>
      <c r="I2525" s="237"/>
      <c r="J2525" s="290"/>
      <c r="K2525" s="275"/>
      <c r="L2525" s="237"/>
      <c r="M2525" s="237"/>
      <c r="N2525" s="237"/>
      <c r="O2525" s="237"/>
      <c r="P2525" s="237"/>
      <c r="Q2525" s="237"/>
      <c r="R2525" s="237"/>
      <c r="S2525" s="237"/>
      <c r="T2525" s="237"/>
      <c r="U2525" s="237"/>
      <c r="V2525" s="237"/>
      <c r="W2525" s="237"/>
      <c r="X2525" s="237"/>
      <c r="Y2525" s="237"/>
      <c r="Z2525" s="237"/>
      <c r="AA2525" s="237"/>
      <c r="AB2525" s="237"/>
    </row>
    <row r="2526">
      <c r="A2526" s="237"/>
      <c r="B2526" s="275"/>
      <c r="C2526" s="88" t="s">
        <v>13475</v>
      </c>
      <c r="D2526" s="236"/>
      <c r="E2526" s="241" t="s">
        <v>1420</v>
      </c>
      <c r="F2526" s="88" t="s">
        <v>1551</v>
      </c>
      <c r="G2526" s="88" t="s">
        <v>13476</v>
      </c>
      <c r="H2526" s="241" t="s">
        <v>13477</v>
      </c>
      <c r="I2526" s="237"/>
      <c r="J2526" s="290"/>
      <c r="K2526" s="275"/>
      <c r="L2526" s="237"/>
      <c r="M2526" s="237"/>
      <c r="N2526" s="237"/>
      <c r="O2526" s="237"/>
      <c r="P2526" s="237"/>
      <c r="Q2526" s="237"/>
      <c r="R2526" s="237"/>
      <c r="S2526" s="237"/>
      <c r="T2526" s="237"/>
      <c r="U2526" s="237"/>
      <c r="V2526" s="237"/>
      <c r="W2526" s="237"/>
      <c r="X2526" s="237"/>
      <c r="Y2526" s="237"/>
      <c r="Z2526" s="237"/>
      <c r="AA2526" s="237"/>
      <c r="AB2526" s="237"/>
    </row>
    <row r="2527">
      <c r="A2527" s="237"/>
      <c r="B2527" s="275"/>
      <c r="C2527" s="88" t="s">
        <v>13478</v>
      </c>
      <c r="D2527" s="236"/>
      <c r="E2527" s="241" t="s">
        <v>1420</v>
      </c>
      <c r="F2527" s="88" t="s">
        <v>1537</v>
      </c>
      <c r="G2527" s="88" t="s">
        <v>13479</v>
      </c>
      <c r="H2527" s="241" t="s">
        <v>13480</v>
      </c>
      <c r="I2527" s="237"/>
      <c r="J2527" s="290"/>
      <c r="K2527" s="275"/>
      <c r="L2527" s="237"/>
      <c r="M2527" s="237"/>
      <c r="N2527" s="237"/>
      <c r="O2527" s="237"/>
      <c r="P2527" s="237"/>
      <c r="Q2527" s="237"/>
      <c r="R2527" s="237"/>
      <c r="S2527" s="237"/>
      <c r="T2527" s="237"/>
      <c r="U2527" s="237"/>
      <c r="V2527" s="237"/>
      <c r="W2527" s="237"/>
      <c r="X2527" s="237"/>
      <c r="Y2527" s="237"/>
      <c r="Z2527" s="237"/>
      <c r="AA2527" s="237"/>
      <c r="AB2527" s="237"/>
    </row>
    <row r="2528">
      <c r="A2528" s="237"/>
      <c r="B2528" s="275"/>
      <c r="C2528" s="88" t="s">
        <v>13481</v>
      </c>
      <c r="D2528" s="237"/>
      <c r="E2528" s="241" t="s">
        <v>1420</v>
      </c>
      <c r="F2528" s="88" t="s">
        <v>13482</v>
      </c>
      <c r="G2528" s="88" t="s">
        <v>13392</v>
      </c>
      <c r="H2528" s="241" t="s">
        <v>13483</v>
      </c>
      <c r="I2528" s="237"/>
      <c r="J2528" s="290"/>
      <c r="K2528" s="275"/>
      <c r="L2528" s="237"/>
      <c r="M2528" s="237"/>
      <c r="N2528" s="237"/>
      <c r="O2528" s="237"/>
      <c r="P2528" s="237"/>
      <c r="Q2528" s="237"/>
      <c r="R2528" s="237"/>
      <c r="S2528" s="237"/>
      <c r="T2528" s="237"/>
      <c r="U2528" s="237"/>
      <c r="V2528" s="237"/>
      <c r="W2528" s="237"/>
      <c r="X2528" s="237"/>
      <c r="Y2528" s="237"/>
      <c r="Z2528" s="237"/>
      <c r="AA2528" s="237"/>
      <c r="AB2528" s="237"/>
    </row>
    <row r="2529">
      <c r="A2529" s="237"/>
      <c r="B2529" s="275"/>
      <c r="C2529" s="88" t="s">
        <v>13484</v>
      </c>
      <c r="D2529" s="237"/>
      <c r="E2529" s="241" t="s">
        <v>1420</v>
      </c>
      <c r="F2529" s="88" t="s">
        <v>13485</v>
      </c>
      <c r="G2529" s="88" t="s">
        <v>13486</v>
      </c>
      <c r="H2529" s="241" t="s">
        <v>13487</v>
      </c>
      <c r="I2529" s="237"/>
      <c r="J2529" s="290"/>
      <c r="K2529" s="275"/>
      <c r="L2529" s="237"/>
      <c r="M2529" s="237"/>
      <c r="N2529" s="237"/>
      <c r="O2529" s="237"/>
      <c r="P2529" s="237"/>
      <c r="Q2529" s="237"/>
      <c r="R2529" s="237"/>
      <c r="S2529" s="237"/>
      <c r="T2529" s="237"/>
      <c r="U2529" s="237"/>
      <c r="V2529" s="237"/>
      <c r="W2529" s="237"/>
      <c r="X2529" s="237"/>
      <c r="Y2529" s="237"/>
      <c r="Z2529" s="237"/>
      <c r="AA2529" s="237"/>
      <c r="AB2529" s="237"/>
    </row>
    <row r="2530">
      <c r="A2530" s="237"/>
      <c r="B2530" s="275"/>
      <c r="C2530" s="88" t="s">
        <v>13488</v>
      </c>
      <c r="D2530" s="236"/>
      <c r="E2530" s="241" t="s">
        <v>1420</v>
      </c>
      <c r="F2530" s="88" t="s">
        <v>1536</v>
      </c>
      <c r="G2530" s="88" t="s">
        <v>13489</v>
      </c>
      <c r="H2530" s="241" t="s">
        <v>13490</v>
      </c>
      <c r="I2530" s="237"/>
      <c r="J2530" s="290"/>
      <c r="K2530" s="275"/>
      <c r="L2530" s="237"/>
      <c r="M2530" s="237"/>
      <c r="N2530" s="237"/>
      <c r="O2530" s="237"/>
      <c r="P2530" s="237"/>
      <c r="Q2530" s="237"/>
      <c r="R2530" s="237"/>
      <c r="S2530" s="237"/>
      <c r="T2530" s="237"/>
      <c r="U2530" s="237"/>
      <c r="V2530" s="237"/>
      <c r="W2530" s="237"/>
      <c r="X2530" s="237"/>
      <c r="Y2530" s="237"/>
      <c r="Z2530" s="237"/>
      <c r="AA2530" s="237"/>
      <c r="AB2530" s="237"/>
    </row>
    <row r="2531">
      <c r="A2531" s="237"/>
      <c r="B2531" s="275"/>
      <c r="C2531" s="88" t="s">
        <v>13491</v>
      </c>
      <c r="D2531" s="236"/>
      <c r="E2531" s="241" t="s">
        <v>1420</v>
      </c>
      <c r="F2531" s="88" t="s">
        <v>13492</v>
      </c>
      <c r="G2531" s="88" t="s">
        <v>13389</v>
      </c>
      <c r="H2531" s="241" t="s">
        <v>13493</v>
      </c>
      <c r="I2531" s="237"/>
      <c r="J2531" s="290"/>
      <c r="K2531" s="275"/>
      <c r="L2531" s="237"/>
      <c r="M2531" s="237"/>
      <c r="N2531" s="237"/>
      <c r="O2531" s="237"/>
      <c r="P2531" s="237"/>
      <c r="Q2531" s="237"/>
      <c r="R2531" s="237"/>
      <c r="S2531" s="237"/>
      <c r="T2531" s="237"/>
      <c r="U2531" s="237"/>
      <c r="V2531" s="237"/>
      <c r="W2531" s="237"/>
      <c r="X2531" s="237"/>
      <c r="Y2531" s="237"/>
      <c r="Z2531" s="237"/>
      <c r="AA2531" s="237"/>
      <c r="AB2531" s="237"/>
    </row>
    <row r="2532">
      <c r="A2532" s="237"/>
      <c r="B2532" s="275"/>
      <c r="C2532" s="88" t="s">
        <v>13494</v>
      </c>
      <c r="D2532" s="236"/>
      <c r="E2532" s="241" t="s">
        <v>1420</v>
      </c>
      <c r="F2532" s="88" t="s">
        <v>13495</v>
      </c>
      <c r="G2532" s="88" t="s">
        <v>13390</v>
      </c>
      <c r="H2532" s="241" t="s">
        <v>13496</v>
      </c>
      <c r="I2532" s="237"/>
      <c r="J2532" s="290"/>
      <c r="K2532" s="275"/>
      <c r="L2532" s="237"/>
      <c r="M2532" s="237"/>
      <c r="N2532" s="237"/>
      <c r="O2532" s="237"/>
      <c r="P2532" s="237"/>
      <c r="Q2532" s="237"/>
      <c r="R2532" s="237"/>
      <c r="S2532" s="237"/>
      <c r="T2532" s="237"/>
      <c r="U2532" s="237"/>
      <c r="V2532" s="237"/>
      <c r="W2532" s="237"/>
      <c r="X2532" s="237"/>
      <c r="Y2532" s="237"/>
      <c r="Z2532" s="237"/>
      <c r="AA2532" s="237"/>
      <c r="AB2532" s="237"/>
    </row>
    <row r="2533">
      <c r="A2533" s="237"/>
      <c r="B2533" s="275"/>
      <c r="C2533" s="88" t="s">
        <v>13497</v>
      </c>
      <c r="D2533" s="236"/>
      <c r="E2533" s="241" t="s">
        <v>1420</v>
      </c>
      <c r="F2533" s="88" t="s">
        <v>13498</v>
      </c>
      <c r="G2533" s="88" t="s">
        <v>13499</v>
      </c>
      <c r="H2533" s="241" t="s">
        <v>13500</v>
      </c>
      <c r="I2533" s="237"/>
      <c r="J2533" s="290"/>
      <c r="K2533" s="275"/>
      <c r="L2533" s="237"/>
      <c r="M2533" s="237"/>
      <c r="N2533" s="237"/>
      <c r="O2533" s="237"/>
      <c r="P2533" s="237"/>
      <c r="Q2533" s="237"/>
      <c r="R2533" s="237"/>
      <c r="S2533" s="237"/>
      <c r="T2533" s="237"/>
      <c r="U2533" s="237"/>
      <c r="V2533" s="237"/>
      <c r="W2533" s="237"/>
      <c r="X2533" s="237"/>
      <c r="Y2533" s="237"/>
      <c r="Z2533" s="237"/>
      <c r="AA2533" s="237"/>
      <c r="AB2533" s="237"/>
    </row>
    <row r="2534">
      <c r="A2534" s="237"/>
      <c r="B2534" s="275"/>
      <c r="C2534" s="88" t="s">
        <v>13501</v>
      </c>
      <c r="D2534" s="236"/>
      <c r="E2534" s="241" t="s">
        <v>1420</v>
      </c>
      <c r="F2534" s="88" t="s">
        <v>13502</v>
      </c>
      <c r="G2534" s="88" t="s">
        <v>13503</v>
      </c>
      <c r="H2534" s="241" t="s">
        <v>13504</v>
      </c>
      <c r="I2534" s="237"/>
      <c r="J2534" s="290"/>
      <c r="K2534" s="275"/>
      <c r="L2534" s="237"/>
      <c r="M2534" s="237"/>
      <c r="N2534" s="237"/>
      <c r="O2534" s="237"/>
      <c r="P2534" s="237"/>
      <c r="Q2534" s="237"/>
      <c r="R2534" s="237"/>
      <c r="S2534" s="237"/>
      <c r="T2534" s="237"/>
      <c r="U2534" s="237"/>
      <c r="V2534" s="237"/>
      <c r="W2534" s="237"/>
      <c r="X2534" s="237"/>
      <c r="Y2534" s="237"/>
      <c r="Z2534" s="237"/>
      <c r="AA2534" s="237"/>
      <c r="AB2534" s="237"/>
    </row>
    <row r="2535">
      <c r="A2535" s="237"/>
      <c r="B2535" s="275"/>
      <c r="C2535" s="88" t="s">
        <v>13505</v>
      </c>
      <c r="D2535" s="236"/>
      <c r="E2535" s="241" t="s">
        <v>1420</v>
      </c>
      <c r="F2535" s="88" t="s">
        <v>1557</v>
      </c>
      <c r="G2535" s="88" t="s">
        <v>13411</v>
      </c>
      <c r="H2535" s="241" t="s">
        <v>13506</v>
      </c>
      <c r="I2535" s="237"/>
      <c r="J2535" s="290"/>
      <c r="K2535" s="275"/>
      <c r="L2535" s="237"/>
      <c r="M2535" s="237"/>
      <c r="N2535" s="237"/>
      <c r="O2535" s="237"/>
      <c r="P2535" s="237"/>
      <c r="Q2535" s="237"/>
      <c r="R2535" s="237"/>
      <c r="S2535" s="237"/>
      <c r="T2535" s="237"/>
      <c r="U2535" s="237"/>
      <c r="V2535" s="237"/>
      <c r="W2535" s="237"/>
      <c r="X2535" s="237"/>
      <c r="Y2535" s="237"/>
      <c r="Z2535" s="237"/>
      <c r="AA2535" s="237"/>
      <c r="AB2535" s="237"/>
    </row>
    <row r="2536">
      <c r="A2536" s="237"/>
      <c r="B2536" s="275"/>
      <c r="C2536" s="88" t="s">
        <v>13507</v>
      </c>
      <c r="D2536" s="236"/>
      <c r="E2536" s="241" t="s">
        <v>1420</v>
      </c>
      <c r="F2536" s="88" t="s">
        <v>1542</v>
      </c>
      <c r="G2536" s="88" t="s">
        <v>13508</v>
      </c>
      <c r="H2536" s="241" t="s">
        <v>13509</v>
      </c>
      <c r="I2536" s="237"/>
      <c r="J2536" s="290"/>
      <c r="K2536" s="275"/>
      <c r="L2536" s="237"/>
      <c r="M2536" s="237"/>
      <c r="N2536" s="237"/>
      <c r="O2536" s="237"/>
      <c r="P2536" s="237"/>
      <c r="Q2536" s="237"/>
      <c r="R2536" s="237"/>
      <c r="S2536" s="237"/>
      <c r="T2536" s="237"/>
      <c r="U2536" s="237"/>
      <c r="V2536" s="237"/>
      <c r="W2536" s="237"/>
      <c r="X2536" s="237"/>
      <c r="Y2536" s="237"/>
      <c r="Z2536" s="237"/>
      <c r="AA2536" s="237"/>
      <c r="AB2536" s="237"/>
    </row>
    <row r="2537">
      <c r="A2537" s="237"/>
      <c r="B2537" s="275"/>
      <c r="C2537" s="88" t="s">
        <v>13510</v>
      </c>
      <c r="D2537" s="236"/>
      <c r="E2537" s="241" t="s">
        <v>1420</v>
      </c>
      <c r="F2537" s="88" t="s">
        <v>1538</v>
      </c>
      <c r="G2537" s="88" t="s">
        <v>13511</v>
      </c>
      <c r="H2537" s="241" t="s">
        <v>13512</v>
      </c>
      <c r="I2537" s="237"/>
      <c r="J2537" s="290"/>
      <c r="K2537" s="275"/>
      <c r="L2537" s="237"/>
      <c r="M2537" s="237"/>
      <c r="N2537" s="237"/>
      <c r="O2537" s="237"/>
      <c r="P2537" s="237"/>
      <c r="Q2537" s="237"/>
      <c r="R2537" s="237"/>
      <c r="S2537" s="237"/>
      <c r="T2537" s="237"/>
      <c r="U2537" s="237"/>
      <c r="V2537" s="237"/>
      <c r="W2537" s="237"/>
      <c r="X2537" s="237"/>
      <c r="Y2537" s="237"/>
      <c r="Z2537" s="237"/>
      <c r="AA2537" s="237"/>
      <c r="AB2537" s="237"/>
    </row>
    <row r="2538">
      <c r="A2538" s="237"/>
      <c r="B2538" s="275"/>
      <c r="C2538" s="88" t="s">
        <v>13513</v>
      </c>
      <c r="D2538" s="236"/>
      <c r="E2538" s="241" t="s">
        <v>1420</v>
      </c>
      <c r="F2538" s="88" t="s">
        <v>1535</v>
      </c>
      <c r="G2538" s="88" t="s">
        <v>13514</v>
      </c>
      <c r="H2538" s="241" t="s">
        <v>13515</v>
      </c>
      <c r="I2538" s="237"/>
      <c r="J2538" s="290"/>
      <c r="K2538" s="275"/>
      <c r="L2538" s="237"/>
      <c r="M2538" s="237"/>
      <c r="N2538" s="237"/>
      <c r="O2538" s="237"/>
      <c r="P2538" s="237"/>
      <c r="Q2538" s="237"/>
      <c r="R2538" s="237"/>
      <c r="S2538" s="237"/>
      <c r="T2538" s="237"/>
      <c r="U2538" s="237"/>
      <c r="V2538" s="237"/>
      <c r="W2538" s="237"/>
      <c r="X2538" s="237"/>
      <c r="Y2538" s="237"/>
      <c r="Z2538" s="237"/>
      <c r="AA2538" s="237"/>
      <c r="AB2538" s="237"/>
    </row>
    <row r="2539">
      <c r="A2539" s="237"/>
      <c r="B2539" s="275"/>
      <c r="C2539" s="88" t="s">
        <v>13516</v>
      </c>
      <c r="D2539" s="236"/>
      <c r="E2539" s="241" t="s">
        <v>1420</v>
      </c>
      <c r="F2539" s="88" t="s">
        <v>1559</v>
      </c>
      <c r="G2539" s="88" t="s">
        <v>13517</v>
      </c>
      <c r="H2539" s="241" t="s">
        <v>13518</v>
      </c>
      <c r="I2539" s="237"/>
      <c r="J2539" s="290"/>
      <c r="K2539" s="275"/>
      <c r="L2539" s="237"/>
      <c r="M2539" s="237"/>
      <c r="N2539" s="237"/>
      <c r="O2539" s="237"/>
      <c r="P2539" s="237"/>
      <c r="Q2539" s="237"/>
      <c r="R2539" s="237"/>
      <c r="S2539" s="237"/>
      <c r="T2539" s="237"/>
      <c r="U2539" s="237"/>
      <c r="V2539" s="237"/>
      <c r="W2539" s="237"/>
      <c r="X2539" s="237"/>
      <c r="Y2539" s="237"/>
      <c r="Z2539" s="237"/>
      <c r="AA2539" s="237"/>
      <c r="AB2539" s="237"/>
    </row>
    <row r="2540">
      <c r="A2540" s="237"/>
      <c r="B2540" s="275"/>
      <c r="C2540" s="88" t="s">
        <v>13519</v>
      </c>
      <c r="D2540" s="236"/>
      <c r="E2540" s="241" t="s">
        <v>1420</v>
      </c>
      <c r="F2540" s="88" t="s">
        <v>1534</v>
      </c>
      <c r="G2540" s="88" t="s">
        <v>13520</v>
      </c>
      <c r="H2540" s="241" t="s">
        <v>13521</v>
      </c>
      <c r="I2540" s="237"/>
      <c r="J2540" s="290"/>
      <c r="K2540" s="275"/>
      <c r="L2540" s="237"/>
      <c r="M2540" s="237"/>
      <c r="N2540" s="237"/>
      <c r="O2540" s="237"/>
      <c r="P2540" s="237"/>
      <c r="Q2540" s="237"/>
      <c r="R2540" s="237"/>
      <c r="S2540" s="237"/>
      <c r="T2540" s="237"/>
      <c r="U2540" s="237"/>
      <c r="V2540" s="237"/>
      <c r="W2540" s="237"/>
      <c r="X2540" s="237"/>
      <c r="Y2540" s="237"/>
      <c r="Z2540" s="237"/>
      <c r="AA2540" s="237"/>
      <c r="AB2540" s="237"/>
    </row>
    <row r="2541">
      <c r="A2541" s="237"/>
      <c r="B2541" s="275"/>
      <c r="C2541" s="88" t="s">
        <v>13522</v>
      </c>
      <c r="D2541" s="236"/>
      <c r="E2541" s="241" t="s">
        <v>1420</v>
      </c>
      <c r="F2541" s="88" t="s">
        <v>1543</v>
      </c>
      <c r="G2541" s="88" t="s">
        <v>13523</v>
      </c>
      <c r="H2541" s="241" t="s">
        <v>13524</v>
      </c>
      <c r="I2541" s="237"/>
      <c r="J2541" s="290"/>
      <c r="K2541" s="275"/>
      <c r="L2541" s="237"/>
      <c r="M2541" s="237"/>
      <c r="N2541" s="237"/>
      <c r="O2541" s="237"/>
      <c r="P2541" s="237"/>
      <c r="Q2541" s="237"/>
      <c r="R2541" s="237"/>
      <c r="S2541" s="237"/>
      <c r="T2541" s="237"/>
      <c r="U2541" s="237"/>
      <c r="V2541" s="237"/>
      <c r="W2541" s="237"/>
      <c r="X2541" s="237"/>
      <c r="Y2541" s="237"/>
      <c r="Z2541" s="237"/>
      <c r="AA2541" s="237"/>
      <c r="AB2541" s="237"/>
    </row>
    <row r="2542">
      <c r="A2542" s="237"/>
      <c r="B2542" s="275"/>
      <c r="C2542" s="88" t="s">
        <v>13525</v>
      </c>
      <c r="D2542" s="236"/>
      <c r="E2542" s="241" t="s">
        <v>1420</v>
      </c>
      <c r="F2542" s="88" t="s">
        <v>1539</v>
      </c>
      <c r="G2542" s="88" t="s">
        <v>13526</v>
      </c>
      <c r="H2542" s="241" t="s">
        <v>13527</v>
      </c>
      <c r="I2542" s="237"/>
      <c r="J2542" s="290"/>
      <c r="K2542" s="275"/>
      <c r="L2542" s="237"/>
      <c r="M2542" s="237"/>
      <c r="N2542" s="237"/>
      <c r="O2542" s="237"/>
      <c r="P2542" s="237"/>
      <c r="Q2542" s="237"/>
      <c r="R2542" s="237"/>
      <c r="S2542" s="237"/>
      <c r="T2542" s="237"/>
      <c r="U2542" s="237"/>
      <c r="V2542" s="237"/>
      <c r="W2542" s="237"/>
      <c r="X2542" s="237"/>
      <c r="Y2542" s="237"/>
      <c r="Z2542" s="237"/>
      <c r="AA2542" s="237"/>
      <c r="AB2542" s="237"/>
    </row>
    <row r="2543">
      <c r="A2543" s="237"/>
      <c r="B2543" s="275"/>
      <c r="C2543" s="88" t="s">
        <v>13528</v>
      </c>
      <c r="D2543" s="236"/>
      <c r="E2543" s="241" t="s">
        <v>1420</v>
      </c>
      <c r="F2543" s="88" t="s">
        <v>1544</v>
      </c>
      <c r="G2543" s="88" t="s">
        <v>13529</v>
      </c>
      <c r="H2543" s="241" t="s">
        <v>13530</v>
      </c>
      <c r="I2543" s="237"/>
      <c r="J2543" s="290"/>
      <c r="K2543" s="275"/>
      <c r="L2543" s="237"/>
      <c r="M2543" s="237"/>
      <c r="N2543" s="237"/>
      <c r="O2543" s="237"/>
      <c r="P2543" s="237"/>
      <c r="Q2543" s="237"/>
      <c r="R2543" s="237"/>
      <c r="S2543" s="237"/>
      <c r="T2543" s="237"/>
      <c r="U2543" s="237"/>
      <c r="V2543" s="237"/>
      <c r="W2543" s="237"/>
      <c r="X2543" s="237"/>
      <c r="Y2543" s="237"/>
      <c r="Z2543" s="237"/>
      <c r="AA2543" s="237"/>
      <c r="AB2543" s="237"/>
    </row>
    <row r="2544">
      <c r="A2544" s="237"/>
      <c r="B2544" s="275"/>
      <c r="C2544" s="88" t="s">
        <v>13531</v>
      </c>
      <c r="D2544" s="236"/>
      <c r="E2544" s="241" t="s">
        <v>1420</v>
      </c>
      <c r="F2544" s="88" t="s">
        <v>1566</v>
      </c>
      <c r="G2544" s="88" t="s">
        <v>13532</v>
      </c>
      <c r="H2544" s="241" t="s">
        <v>13533</v>
      </c>
      <c r="I2544" s="237"/>
      <c r="J2544" s="290"/>
      <c r="K2544" s="275"/>
      <c r="L2544" s="237"/>
      <c r="M2544" s="237"/>
      <c r="N2544" s="237"/>
      <c r="O2544" s="237"/>
      <c r="P2544" s="237"/>
      <c r="Q2544" s="237"/>
      <c r="R2544" s="237"/>
      <c r="S2544" s="237"/>
      <c r="T2544" s="237"/>
      <c r="U2544" s="237"/>
      <c r="V2544" s="237"/>
      <c r="W2544" s="237"/>
      <c r="X2544" s="237"/>
      <c r="Y2544" s="237"/>
      <c r="Z2544" s="237"/>
      <c r="AA2544" s="237"/>
      <c r="AB2544" s="237"/>
    </row>
    <row r="2545">
      <c r="A2545" s="237"/>
      <c r="B2545" s="275"/>
      <c r="C2545" s="88" t="s">
        <v>13534</v>
      </c>
      <c r="D2545" s="236"/>
      <c r="E2545" s="241" t="s">
        <v>1420</v>
      </c>
      <c r="F2545" s="88" t="s">
        <v>1530</v>
      </c>
      <c r="G2545" s="88" t="s">
        <v>13535</v>
      </c>
      <c r="H2545" s="241" t="s">
        <v>13536</v>
      </c>
      <c r="I2545" s="237"/>
      <c r="J2545" s="290"/>
      <c r="K2545" s="275"/>
      <c r="L2545" s="237"/>
      <c r="M2545" s="237"/>
      <c r="N2545" s="237"/>
      <c r="O2545" s="237"/>
      <c r="P2545" s="237"/>
      <c r="Q2545" s="237"/>
      <c r="R2545" s="237"/>
      <c r="S2545" s="237"/>
      <c r="T2545" s="237"/>
      <c r="U2545" s="237"/>
      <c r="V2545" s="237"/>
      <c r="W2545" s="237"/>
      <c r="X2545" s="237"/>
      <c r="Y2545" s="237"/>
      <c r="Z2545" s="237"/>
      <c r="AA2545" s="237"/>
      <c r="AB2545" s="237"/>
    </row>
    <row r="2546">
      <c r="A2546" s="237"/>
      <c r="B2546" s="275"/>
      <c r="C2546" s="88" t="s">
        <v>13537</v>
      </c>
      <c r="D2546" s="236"/>
      <c r="E2546" s="241" t="s">
        <v>1420</v>
      </c>
      <c r="F2546" s="88" t="s">
        <v>1555</v>
      </c>
      <c r="G2546" s="88" t="s">
        <v>13538</v>
      </c>
      <c r="H2546" s="241" t="s">
        <v>13539</v>
      </c>
      <c r="I2546" s="237"/>
      <c r="J2546" s="290"/>
      <c r="K2546" s="275"/>
      <c r="L2546" s="237"/>
      <c r="M2546" s="237"/>
      <c r="N2546" s="237"/>
      <c r="O2546" s="237"/>
      <c r="P2546" s="237"/>
      <c r="Q2546" s="237"/>
      <c r="R2546" s="237"/>
      <c r="S2546" s="237"/>
      <c r="T2546" s="237"/>
      <c r="U2546" s="237"/>
      <c r="V2546" s="237"/>
      <c r="W2546" s="237"/>
      <c r="X2546" s="237"/>
      <c r="Y2546" s="237"/>
      <c r="Z2546" s="237"/>
      <c r="AA2546" s="237"/>
      <c r="AB2546" s="237"/>
    </row>
    <row r="2547">
      <c r="A2547" s="237"/>
      <c r="B2547" s="275"/>
      <c r="C2547" s="88" t="s">
        <v>13540</v>
      </c>
      <c r="D2547" s="236"/>
      <c r="E2547" s="241" t="s">
        <v>1420</v>
      </c>
      <c r="F2547" s="88" t="s">
        <v>13541</v>
      </c>
      <c r="G2547" s="88" t="s">
        <v>13542</v>
      </c>
      <c r="H2547" s="241" t="s">
        <v>13543</v>
      </c>
      <c r="I2547" s="237"/>
      <c r="J2547" s="290"/>
      <c r="K2547" s="275"/>
      <c r="L2547" s="237"/>
      <c r="M2547" s="237"/>
      <c r="N2547" s="237"/>
      <c r="O2547" s="237"/>
      <c r="P2547" s="237"/>
      <c r="Q2547" s="237"/>
      <c r="R2547" s="237"/>
      <c r="S2547" s="237"/>
      <c r="T2547" s="237"/>
      <c r="U2547" s="237"/>
      <c r="V2547" s="237"/>
      <c r="W2547" s="237"/>
      <c r="X2547" s="237"/>
      <c r="Y2547" s="237"/>
      <c r="Z2547" s="237"/>
      <c r="AA2547" s="237"/>
      <c r="AB2547" s="237"/>
    </row>
    <row r="2548">
      <c r="A2548" s="237"/>
      <c r="B2548" s="275"/>
      <c r="C2548" s="88" t="s">
        <v>13544</v>
      </c>
      <c r="D2548" s="236"/>
      <c r="E2548" s="241" t="s">
        <v>1420</v>
      </c>
      <c r="F2548" s="88" t="s">
        <v>13545</v>
      </c>
      <c r="G2548" s="88" t="s">
        <v>13546</v>
      </c>
      <c r="H2548" s="241" t="s">
        <v>13547</v>
      </c>
      <c r="I2548" s="237"/>
      <c r="J2548" s="290"/>
      <c r="K2548" s="275"/>
      <c r="L2548" s="237"/>
      <c r="M2548" s="237"/>
      <c r="N2548" s="237"/>
      <c r="O2548" s="237"/>
      <c r="P2548" s="237"/>
      <c r="Q2548" s="237"/>
      <c r="R2548" s="237"/>
      <c r="S2548" s="237"/>
      <c r="T2548" s="237"/>
      <c r="U2548" s="237"/>
      <c r="V2548" s="237"/>
      <c r="W2548" s="237"/>
      <c r="X2548" s="237"/>
      <c r="Y2548" s="237"/>
      <c r="Z2548" s="237"/>
      <c r="AA2548" s="237"/>
      <c r="AB2548" s="237"/>
    </row>
    <row r="2549">
      <c r="A2549" s="237"/>
      <c r="B2549" s="275"/>
      <c r="C2549" s="88" t="s">
        <v>13548</v>
      </c>
      <c r="D2549" s="236"/>
      <c r="E2549" s="241" t="s">
        <v>1420</v>
      </c>
      <c r="F2549" s="88" t="s">
        <v>1531</v>
      </c>
      <c r="G2549" s="88" t="s">
        <v>13532</v>
      </c>
      <c r="H2549" s="241" t="s">
        <v>13549</v>
      </c>
      <c r="I2549" s="237"/>
      <c r="J2549" s="290"/>
      <c r="K2549" s="275"/>
      <c r="L2549" s="237"/>
      <c r="M2549" s="237"/>
      <c r="N2549" s="237"/>
      <c r="O2549" s="237"/>
      <c r="P2549" s="237"/>
      <c r="Q2549" s="237"/>
      <c r="R2549" s="237"/>
      <c r="S2549" s="237"/>
      <c r="T2549" s="237"/>
      <c r="U2549" s="237"/>
      <c r="V2549" s="237"/>
      <c r="W2549" s="237"/>
      <c r="X2549" s="237"/>
      <c r="Y2549" s="237"/>
      <c r="Z2549" s="237"/>
      <c r="AA2549" s="237"/>
      <c r="AB2549" s="237"/>
    </row>
    <row r="2550">
      <c r="A2550" s="237"/>
      <c r="B2550" s="275"/>
      <c r="C2550" s="88" t="s">
        <v>13550</v>
      </c>
      <c r="D2550" s="236"/>
      <c r="E2550" s="241" t="s">
        <v>1420</v>
      </c>
      <c r="F2550" s="88" t="s">
        <v>1535</v>
      </c>
      <c r="G2550" s="88" t="s">
        <v>13551</v>
      </c>
      <c r="H2550" s="241" t="s">
        <v>13552</v>
      </c>
      <c r="I2550" s="237"/>
      <c r="J2550" s="290"/>
      <c r="K2550" s="275"/>
      <c r="L2550" s="237"/>
      <c r="M2550" s="237"/>
      <c r="N2550" s="237"/>
      <c r="O2550" s="237"/>
      <c r="P2550" s="237"/>
      <c r="Q2550" s="237"/>
      <c r="R2550" s="237"/>
      <c r="S2550" s="237"/>
      <c r="T2550" s="237"/>
      <c r="U2550" s="237"/>
      <c r="V2550" s="237"/>
      <c r="W2550" s="237"/>
      <c r="X2550" s="237"/>
      <c r="Y2550" s="237"/>
      <c r="Z2550" s="237"/>
      <c r="AA2550" s="237"/>
      <c r="AB2550" s="237"/>
    </row>
    <row r="2551">
      <c r="A2551" s="237"/>
      <c r="B2551" s="275"/>
      <c r="C2551" s="88" t="s">
        <v>13553</v>
      </c>
      <c r="D2551" s="236"/>
      <c r="E2551" s="241" t="s">
        <v>1420</v>
      </c>
      <c r="F2551" s="88" t="s">
        <v>1534</v>
      </c>
      <c r="G2551" s="88" t="s">
        <v>13554</v>
      </c>
      <c r="H2551" s="241" t="s">
        <v>13555</v>
      </c>
      <c r="I2551" s="237"/>
      <c r="J2551" s="290"/>
      <c r="K2551" s="275"/>
      <c r="L2551" s="237"/>
      <c r="M2551" s="237"/>
      <c r="N2551" s="237"/>
      <c r="O2551" s="237"/>
      <c r="P2551" s="237"/>
      <c r="Q2551" s="237"/>
      <c r="R2551" s="237"/>
      <c r="S2551" s="237"/>
      <c r="T2551" s="237"/>
      <c r="U2551" s="237"/>
      <c r="V2551" s="237"/>
      <c r="W2551" s="237"/>
      <c r="X2551" s="237"/>
      <c r="Y2551" s="237"/>
      <c r="Z2551" s="237"/>
      <c r="AA2551" s="237"/>
      <c r="AB2551" s="237"/>
    </row>
    <row r="2552">
      <c r="A2552" s="237"/>
      <c r="B2552" s="275"/>
      <c r="C2552" s="88" t="s">
        <v>13556</v>
      </c>
      <c r="D2552" s="236"/>
      <c r="E2552" s="241" t="s">
        <v>1420</v>
      </c>
      <c r="F2552" s="88" t="s">
        <v>1540</v>
      </c>
      <c r="G2552" s="88" t="s">
        <v>13557</v>
      </c>
      <c r="H2552" s="241" t="s">
        <v>13558</v>
      </c>
      <c r="I2552" s="237"/>
      <c r="J2552" s="290"/>
      <c r="K2552" s="275"/>
      <c r="L2552" s="237"/>
      <c r="M2552" s="237"/>
      <c r="N2552" s="237"/>
      <c r="O2552" s="237"/>
      <c r="P2552" s="237"/>
      <c r="Q2552" s="237"/>
      <c r="R2552" s="237"/>
      <c r="S2552" s="237"/>
      <c r="T2552" s="237"/>
      <c r="U2552" s="237"/>
      <c r="V2552" s="237"/>
      <c r="W2552" s="237"/>
      <c r="X2552" s="237"/>
      <c r="Y2552" s="237"/>
      <c r="Z2552" s="237"/>
      <c r="AA2552" s="237"/>
      <c r="AB2552" s="237"/>
    </row>
    <row r="2553">
      <c r="A2553" s="237"/>
      <c r="B2553" s="275"/>
      <c r="C2553" s="88" t="s">
        <v>13559</v>
      </c>
      <c r="D2553" s="236"/>
      <c r="E2553" s="241" t="s">
        <v>1420</v>
      </c>
      <c r="F2553" s="88" t="s">
        <v>1558</v>
      </c>
      <c r="G2553" s="88" t="s">
        <v>13560</v>
      </c>
      <c r="H2553" s="241" t="s">
        <v>13561</v>
      </c>
      <c r="I2553" s="237"/>
      <c r="J2553" s="290"/>
      <c r="K2553" s="275"/>
      <c r="L2553" s="237"/>
      <c r="M2553" s="237"/>
      <c r="N2553" s="237"/>
      <c r="O2553" s="237"/>
      <c r="P2553" s="237"/>
      <c r="Q2553" s="237"/>
      <c r="R2553" s="237"/>
      <c r="S2553" s="237"/>
      <c r="T2553" s="237"/>
      <c r="U2553" s="237"/>
      <c r="V2553" s="237"/>
      <c r="W2553" s="237"/>
      <c r="X2553" s="237"/>
      <c r="Y2553" s="237"/>
      <c r="Z2553" s="237"/>
      <c r="AA2553" s="237"/>
      <c r="AB2553" s="237"/>
    </row>
    <row r="2554">
      <c r="A2554" s="237"/>
      <c r="B2554" s="275"/>
      <c r="C2554" s="88" t="s">
        <v>13562</v>
      </c>
      <c r="D2554" s="236"/>
      <c r="E2554" s="241" t="s">
        <v>1420</v>
      </c>
      <c r="F2554" s="88" t="s">
        <v>1561</v>
      </c>
      <c r="G2554" s="88" t="s">
        <v>13563</v>
      </c>
      <c r="H2554" s="241" t="s">
        <v>13564</v>
      </c>
      <c r="I2554" s="237"/>
      <c r="J2554" s="290"/>
      <c r="K2554" s="275"/>
      <c r="L2554" s="237"/>
      <c r="M2554" s="237"/>
      <c r="N2554" s="237"/>
      <c r="O2554" s="237"/>
      <c r="P2554" s="237"/>
      <c r="Q2554" s="237"/>
      <c r="R2554" s="237"/>
      <c r="S2554" s="237"/>
      <c r="T2554" s="237"/>
      <c r="U2554" s="237"/>
      <c r="V2554" s="237"/>
      <c r="W2554" s="237"/>
      <c r="X2554" s="237"/>
      <c r="Y2554" s="237"/>
      <c r="Z2554" s="237"/>
      <c r="AA2554" s="237"/>
      <c r="AB2554" s="237"/>
    </row>
    <row r="2555">
      <c r="A2555" s="237"/>
      <c r="B2555" s="275"/>
      <c r="C2555" s="88" t="s">
        <v>13565</v>
      </c>
      <c r="D2555" s="236"/>
      <c r="E2555" s="241" t="s">
        <v>1420</v>
      </c>
      <c r="F2555" s="88" t="s">
        <v>1560</v>
      </c>
      <c r="G2555" s="88" t="s">
        <v>13566</v>
      </c>
      <c r="H2555" s="241" t="s">
        <v>13567</v>
      </c>
      <c r="I2555" s="237"/>
      <c r="J2555" s="290"/>
      <c r="K2555" s="275"/>
      <c r="L2555" s="237"/>
      <c r="M2555" s="237"/>
      <c r="N2555" s="237"/>
      <c r="O2555" s="237"/>
      <c r="P2555" s="237"/>
      <c r="Q2555" s="237"/>
      <c r="R2555" s="237"/>
      <c r="S2555" s="237"/>
      <c r="T2555" s="237"/>
      <c r="U2555" s="237"/>
      <c r="V2555" s="237"/>
      <c r="W2555" s="237"/>
      <c r="X2555" s="237"/>
      <c r="Y2555" s="237"/>
      <c r="Z2555" s="237"/>
      <c r="AA2555" s="237"/>
      <c r="AB2555" s="237"/>
    </row>
    <row r="2556">
      <c r="A2556" s="237"/>
      <c r="B2556" s="275"/>
      <c r="C2556" s="88" t="s">
        <v>13568</v>
      </c>
      <c r="D2556" s="236"/>
      <c r="E2556" s="241" t="s">
        <v>1420</v>
      </c>
      <c r="F2556" s="88" t="s">
        <v>1541</v>
      </c>
      <c r="G2556" s="88" t="s">
        <v>13569</v>
      </c>
      <c r="H2556" s="241" t="s">
        <v>13570</v>
      </c>
      <c r="I2556" s="237"/>
      <c r="J2556" s="290"/>
      <c r="K2556" s="275"/>
      <c r="L2556" s="237"/>
      <c r="M2556" s="237"/>
      <c r="N2556" s="237"/>
      <c r="O2556" s="237"/>
      <c r="P2556" s="237"/>
      <c r="Q2556" s="237"/>
      <c r="R2556" s="237"/>
      <c r="S2556" s="237"/>
      <c r="T2556" s="237"/>
      <c r="U2556" s="237"/>
      <c r="V2556" s="237"/>
      <c r="W2556" s="237"/>
      <c r="X2556" s="237"/>
      <c r="Y2556" s="237"/>
      <c r="Z2556" s="237"/>
      <c r="AA2556" s="237"/>
      <c r="AB2556" s="237"/>
    </row>
    <row r="2557">
      <c r="A2557" s="237"/>
      <c r="B2557" s="275"/>
      <c r="C2557" s="88" t="s">
        <v>13571</v>
      </c>
      <c r="D2557" s="236"/>
      <c r="E2557" s="241" t="s">
        <v>1420</v>
      </c>
      <c r="F2557" s="88" t="s">
        <v>1562</v>
      </c>
      <c r="G2557" s="88" t="s">
        <v>13517</v>
      </c>
      <c r="H2557" s="241" t="s">
        <v>13572</v>
      </c>
      <c r="I2557" s="237"/>
      <c r="J2557" s="290"/>
      <c r="K2557" s="275"/>
      <c r="L2557" s="237"/>
      <c r="M2557" s="237"/>
      <c r="N2557" s="237"/>
      <c r="O2557" s="237"/>
      <c r="P2557" s="237"/>
      <c r="Q2557" s="237"/>
      <c r="R2557" s="237"/>
      <c r="S2557" s="237"/>
      <c r="T2557" s="237"/>
      <c r="U2557" s="237"/>
      <c r="V2557" s="237"/>
      <c r="W2557" s="237"/>
      <c r="X2557" s="237"/>
      <c r="Y2557" s="237"/>
      <c r="Z2557" s="237"/>
      <c r="AA2557" s="237"/>
      <c r="AB2557" s="237"/>
    </row>
    <row r="2558">
      <c r="A2558" s="237"/>
      <c r="B2558" s="275"/>
      <c r="C2558" s="88" t="s">
        <v>13573</v>
      </c>
      <c r="D2558" s="236"/>
      <c r="E2558" s="241" t="s">
        <v>1420</v>
      </c>
      <c r="F2558" s="88" t="s">
        <v>1564</v>
      </c>
      <c r="G2558" s="88" t="s">
        <v>13574</v>
      </c>
      <c r="H2558" s="241" t="s">
        <v>13575</v>
      </c>
      <c r="I2558" s="237"/>
      <c r="J2558" s="290"/>
      <c r="K2558" s="275"/>
      <c r="L2558" s="237"/>
      <c r="M2558" s="237"/>
      <c r="N2558" s="237"/>
      <c r="O2558" s="237"/>
      <c r="P2558" s="237"/>
      <c r="Q2558" s="237"/>
      <c r="R2558" s="237"/>
      <c r="S2558" s="237"/>
      <c r="T2558" s="237"/>
      <c r="U2558" s="237"/>
      <c r="V2558" s="237"/>
      <c r="W2558" s="237"/>
      <c r="X2558" s="237"/>
      <c r="Y2558" s="237"/>
      <c r="Z2558" s="237"/>
      <c r="AA2558" s="237"/>
      <c r="AB2558" s="237"/>
    </row>
    <row r="2559">
      <c r="A2559" s="237"/>
      <c r="B2559" s="275"/>
      <c r="C2559" s="88" t="s">
        <v>13576</v>
      </c>
      <c r="D2559" s="236"/>
      <c r="E2559" s="241" t="s">
        <v>1420</v>
      </c>
      <c r="F2559" s="88" t="s">
        <v>1563</v>
      </c>
      <c r="G2559" s="88" t="s">
        <v>13577</v>
      </c>
      <c r="H2559" s="241" t="s">
        <v>13578</v>
      </c>
      <c r="I2559" s="237"/>
      <c r="J2559" s="290"/>
      <c r="K2559" s="275"/>
      <c r="L2559" s="237"/>
      <c r="M2559" s="237"/>
      <c r="N2559" s="237"/>
      <c r="O2559" s="237"/>
      <c r="P2559" s="237"/>
      <c r="Q2559" s="237"/>
      <c r="R2559" s="237"/>
      <c r="S2559" s="237"/>
      <c r="T2559" s="237"/>
      <c r="U2559" s="237"/>
      <c r="V2559" s="237"/>
      <c r="W2559" s="237"/>
      <c r="X2559" s="237"/>
      <c r="Y2559" s="237"/>
      <c r="Z2559" s="237"/>
      <c r="AA2559" s="237"/>
      <c r="AB2559" s="237"/>
    </row>
    <row r="2560">
      <c r="A2560" s="237"/>
      <c r="B2560" s="275"/>
      <c r="C2560" s="88" t="s">
        <v>13579</v>
      </c>
      <c r="D2560" s="236"/>
      <c r="E2560" s="241" t="s">
        <v>1420</v>
      </c>
      <c r="F2560" s="88" t="s">
        <v>1565</v>
      </c>
      <c r="G2560" s="88" t="s">
        <v>13580</v>
      </c>
      <c r="H2560" s="241" t="s">
        <v>13581</v>
      </c>
      <c r="I2560" s="237"/>
      <c r="J2560" s="290"/>
      <c r="K2560" s="275"/>
      <c r="L2560" s="237"/>
      <c r="M2560" s="237"/>
      <c r="N2560" s="237"/>
      <c r="O2560" s="237"/>
      <c r="P2560" s="237"/>
      <c r="Q2560" s="237"/>
      <c r="R2560" s="237"/>
      <c r="S2560" s="237"/>
      <c r="T2560" s="237"/>
      <c r="U2560" s="237"/>
      <c r="V2560" s="237"/>
      <c r="W2560" s="237"/>
      <c r="X2560" s="237"/>
      <c r="Y2560" s="237"/>
      <c r="Z2560" s="237"/>
      <c r="AA2560" s="237"/>
      <c r="AB2560" s="237"/>
    </row>
    <row r="2561">
      <c r="A2561" s="237"/>
      <c r="B2561" s="275"/>
      <c r="C2561" s="88" t="s">
        <v>13582</v>
      </c>
      <c r="D2561" s="236"/>
      <c r="E2561" s="241" t="s">
        <v>1420</v>
      </c>
      <c r="F2561" s="88" t="s">
        <v>1567</v>
      </c>
      <c r="G2561" s="88" t="s">
        <v>13583</v>
      </c>
      <c r="H2561" s="241" t="s">
        <v>13584</v>
      </c>
      <c r="I2561" s="237"/>
      <c r="J2561" s="290"/>
      <c r="K2561" s="275"/>
      <c r="L2561" s="237"/>
      <c r="M2561" s="237"/>
      <c r="N2561" s="237"/>
      <c r="O2561" s="237"/>
      <c r="P2561" s="237"/>
      <c r="Q2561" s="237"/>
      <c r="R2561" s="237"/>
      <c r="S2561" s="237"/>
      <c r="T2561" s="237"/>
      <c r="U2561" s="237"/>
      <c r="V2561" s="237"/>
      <c r="W2561" s="237"/>
      <c r="X2561" s="237"/>
      <c r="Y2561" s="237"/>
      <c r="Z2561" s="237"/>
      <c r="AA2561" s="237"/>
      <c r="AB2561" s="237"/>
    </row>
    <row r="2562">
      <c r="A2562" s="237"/>
      <c r="B2562" s="275"/>
      <c r="C2562" s="88" t="s">
        <v>13585</v>
      </c>
      <c r="D2562" s="236"/>
      <c r="E2562" s="241" t="s">
        <v>1420</v>
      </c>
      <c r="F2562" s="88" t="s">
        <v>13586</v>
      </c>
      <c r="G2562" s="88" t="s">
        <v>13587</v>
      </c>
      <c r="H2562" s="241" t="s">
        <v>13588</v>
      </c>
      <c r="I2562" s="237"/>
      <c r="J2562" s="290"/>
      <c r="K2562" s="275"/>
      <c r="L2562" s="237"/>
      <c r="M2562" s="237"/>
      <c r="N2562" s="237"/>
      <c r="O2562" s="237"/>
      <c r="P2562" s="237"/>
      <c r="Q2562" s="237"/>
      <c r="R2562" s="237"/>
      <c r="S2562" s="237"/>
      <c r="T2562" s="237"/>
      <c r="U2562" s="237"/>
      <c r="V2562" s="237"/>
      <c r="W2562" s="237"/>
      <c r="X2562" s="237"/>
      <c r="Y2562" s="237"/>
      <c r="Z2562" s="237"/>
      <c r="AA2562" s="237"/>
      <c r="AB2562" s="237"/>
    </row>
    <row r="2563">
      <c r="A2563" s="237"/>
      <c r="B2563" s="275"/>
      <c r="C2563" s="88" t="s">
        <v>13589</v>
      </c>
      <c r="D2563" s="236"/>
      <c r="E2563" s="241" t="s">
        <v>1420</v>
      </c>
      <c r="F2563" s="88" t="s">
        <v>13590</v>
      </c>
      <c r="G2563" s="88" t="s">
        <v>13591</v>
      </c>
      <c r="H2563" s="241" t="s">
        <v>13592</v>
      </c>
      <c r="I2563" s="237"/>
      <c r="J2563" s="290"/>
      <c r="K2563" s="275"/>
      <c r="L2563" s="237"/>
      <c r="M2563" s="237"/>
      <c r="N2563" s="237"/>
      <c r="O2563" s="237"/>
      <c r="P2563" s="237"/>
      <c r="Q2563" s="237"/>
      <c r="R2563" s="237"/>
      <c r="S2563" s="237"/>
      <c r="T2563" s="237"/>
      <c r="U2563" s="237"/>
      <c r="V2563" s="237"/>
      <c r="W2563" s="237"/>
      <c r="X2563" s="237"/>
      <c r="Y2563" s="237"/>
      <c r="Z2563" s="237"/>
      <c r="AA2563" s="237"/>
      <c r="AB2563" s="237"/>
    </row>
    <row r="2564">
      <c r="A2564" s="237"/>
      <c r="B2564" s="275"/>
      <c r="C2564" s="88" t="s">
        <v>13593</v>
      </c>
      <c r="D2564" s="236"/>
      <c r="E2564" s="241" t="s">
        <v>1420</v>
      </c>
      <c r="F2564" s="88" t="s">
        <v>13594</v>
      </c>
      <c r="G2564" s="88" t="s">
        <v>13595</v>
      </c>
      <c r="H2564" s="241" t="s">
        <v>13596</v>
      </c>
      <c r="I2564" s="237"/>
      <c r="J2564" s="290"/>
      <c r="K2564" s="275"/>
      <c r="L2564" s="237"/>
      <c r="M2564" s="237"/>
      <c r="N2564" s="237"/>
      <c r="O2564" s="237"/>
      <c r="P2564" s="237"/>
      <c r="Q2564" s="237"/>
      <c r="R2564" s="237"/>
      <c r="S2564" s="237"/>
      <c r="T2564" s="237"/>
      <c r="U2564" s="237"/>
      <c r="V2564" s="237"/>
      <c r="W2564" s="237"/>
      <c r="X2564" s="237"/>
      <c r="Y2564" s="237"/>
      <c r="Z2564" s="237"/>
      <c r="AA2564" s="237"/>
      <c r="AB2564" s="237"/>
    </row>
    <row r="2565">
      <c r="A2565" s="237"/>
      <c r="B2565" s="275"/>
      <c r="C2565" s="88" t="s">
        <v>13597</v>
      </c>
      <c r="D2565" s="236"/>
      <c r="E2565" s="241" t="s">
        <v>11671</v>
      </c>
      <c r="F2565" s="88" t="s">
        <v>1499</v>
      </c>
      <c r="G2565" s="236"/>
      <c r="H2565" s="241" t="s">
        <v>13598</v>
      </c>
      <c r="I2565" s="237"/>
      <c r="J2565" s="290"/>
      <c r="K2565" s="275"/>
      <c r="L2565" s="237"/>
      <c r="M2565" s="237"/>
      <c r="N2565" s="237"/>
      <c r="O2565" s="237"/>
      <c r="P2565" s="237"/>
      <c r="Q2565" s="237"/>
      <c r="R2565" s="237"/>
      <c r="S2565" s="237"/>
      <c r="T2565" s="237"/>
      <c r="U2565" s="237"/>
      <c r="V2565" s="237"/>
      <c r="W2565" s="237"/>
      <c r="X2565" s="237"/>
      <c r="Y2565" s="237"/>
      <c r="Z2565" s="237"/>
      <c r="AA2565" s="237"/>
      <c r="AB2565" s="237"/>
    </row>
    <row r="2566">
      <c r="A2566" s="237"/>
      <c r="B2566" s="275"/>
      <c r="C2566" s="88" t="s">
        <v>13599</v>
      </c>
      <c r="D2566" s="236"/>
      <c r="E2566" s="241" t="s">
        <v>11671</v>
      </c>
      <c r="F2566" s="88" t="s">
        <v>1509</v>
      </c>
      <c r="G2566" s="236"/>
      <c r="H2566" s="241" t="s">
        <v>13600</v>
      </c>
      <c r="I2566" s="237"/>
      <c r="J2566" s="290"/>
      <c r="K2566" s="275"/>
      <c r="L2566" s="237"/>
      <c r="M2566" s="237"/>
      <c r="N2566" s="237"/>
      <c r="O2566" s="237"/>
      <c r="P2566" s="237"/>
      <c r="Q2566" s="237"/>
      <c r="R2566" s="237"/>
      <c r="S2566" s="237"/>
      <c r="T2566" s="237"/>
      <c r="U2566" s="237"/>
      <c r="V2566" s="237"/>
      <c r="W2566" s="237"/>
      <c r="X2566" s="237"/>
      <c r="Y2566" s="237"/>
      <c r="Z2566" s="237"/>
      <c r="AA2566" s="237"/>
      <c r="AB2566" s="237"/>
    </row>
    <row r="2567">
      <c r="A2567" s="237"/>
      <c r="B2567" s="275"/>
      <c r="C2567" s="236"/>
      <c r="D2567" s="236"/>
      <c r="E2567" s="241" t="s">
        <v>1420</v>
      </c>
      <c r="F2567" s="88" t="s">
        <v>8850</v>
      </c>
      <c r="G2567" s="88" t="s">
        <v>13601</v>
      </c>
      <c r="H2567" s="241" t="s">
        <v>13602</v>
      </c>
      <c r="I2567" s="237"/>
      <c r="J2567" s="290"/>
      <c r="K2567" s="275"/>
      <c r="L2567" s="237"/>
      <c r="M2567" s="237"/>
      <c r="N2567" s="237"/>
      <c r="O2567" s="237"/>
      <c r="P2567" s="237"/>
      <c r="Q2567" s="237"/>
      <c r="R2567" s="237"/>
      <c r="S2567" s="237"/>
      <c r="T2567" s="237"/>
      <c r="U2567" s="237"/>
      <c r="V2567" s="237"/>
      <c r="W2567" s="237"/>
      <c r="X2567" s="237"/>
      <c r="Y2567" s="237"/>
      <c r="Z2567" s="237"/>
      <c r="AA2567" s="237"/>
      <c r="AB2567" s="237"/>
    </row>
    <row r="2568">
      <c r="A2568" s="237"/>
      <c r="B2568" s="275"/>
      <c r="C2568" s="88" t="s">
        <v>13603</v>
      </c>
      <c r="D2568" s="236"/>
      <c r="E2568" s="241" t="s">
        <v>12915</v>
      </c>
      <c r="F2568" s="88" t="s">
        <v>1687</v>
      </c>
      <c r="G2568" s="88" t="s">
        <v>13604</v>
      </c>
      <c r="H2568" s="236"/>
      <c r="I2568" s="237"/>
      <c r="J2568" s="290"/>
      <c r="K2568" s="275"/>
      <c r="L2568" s="237"/>
      <c r="M2568" s="237"/>
      <c r="N2568" s="237"/>
      <c r="O2568" s="237"/>
      <c r="P2568" s="237"/>
      <c r="Q2568" s="237"/>
      <c r="R2568" s="237"/>
      <c r="S2568" s="237"/>
      <c r="T2568" s="237"/>
      <c r="U2568" s="237"/>
      <c r="V2568" s="237"/>
      <c r="W2568" s="237"/>
      <c r="X2568" s="237"/>
      <c r="Y2568" s="237"/>
      <c r="Z2568" s="237"/>
      <c r="AA2568" s="237"/>
      <c r="AB2568" s="237"/>
    </row>
    <row r="2569">
      <c r="A2569" s="237"/>
      <c r="B2569" s="275"/>
      <c r="C2569" s="88" t="s">
        <v>13605</v>
      </c>
      <c r="D2569" s="236"/>
      <c r="E2569" s="241" t="s">
        <v>12915</v>
      </c>
      <c r="F2569" s="88" t="s">
        <v>1688</v>
      </c>
      <c r="G2569" s="88" t="s">
        <v>13606</v>
      </c>
      <c r="H2569" s="236"/>
      <c r="I2569" s="237"/>
      <c r="J2569" s="290"/>
      <c r="K2569" s="275"/>
      <c r="L2569" s="237"/>
      <c r="M2569" s="237"/>
      <c r="N2569" s="237"/>
      <c r="O2569" s="237"/>
      <c r="P2569" s="237"/>
      <c r="Q2569" s="237"/>
      <c r="R2569" s="237"/>
      <c r="S2569" s="237"/>
      <c r="T2569" s="237"/>
      <c r="U2569" s="237"/>
      <c r="V2569" s="237"/>
      <c r="W2569" s="237"/>
      <c r="X2569" s="237"/>
      <c r="Y2569" s="237"/>
      <c r="Z2569" s="237"/>
      <c r="AA2569" s="237"/>
      <c r="AB2569" s="237"/>
    </row>
    <row r="2570">
      <c r="A2570" s="237"/>
      <c r="B2570" s="275"/>
      <c r="C2570" s="88" t="s">
        <v>13607</v>
      </c>
      <c r="D2570" s="236"/>
      <c r="E2570" s="241" t="s">
        <v>11671</v>
      </c>
      <c r="F2570" s="88" t="s">
        <v>1689</v>
      </c>
      <c r="G2570" s="88" t="s">
        <v>13608</v>
      </c>
      <c r="H2570" s="241" t="s">
        <v>13609</v>
      </c>
      <c r="I2570" s="237"/>
      <c r="J2570" s="290"/>
      <c r="K2570" s="275"/>
      <c r="L2570" s="237"/>
      <c r="M2570" s="237"/>
      <c r="N2570" s="237"/>
      <c r="O2570" s="237"/>
      <c r="P2570" s="237"/>
      <c r="Q2570" s="237"/>
      <c r="R2570" s="237"/>
      <c r="S2570" s="237"/>
      <c r="T2570" s="237"/>
      <c r="U2570" s="237"/>
      <c r="V2570" s="237"/>
      <c r="W2570" s="237"/>
      <c r="X2570" s="237"/>
      <c r="Y2570" s="237"/>
      <c r="Z2570" s="237"/>
      <c r="AA2570" s="237"/>
      <c r="AB2570" s="237"/>
    </row>
    <row r="2571">
      <c r="A2571" s="237"/>
      <c r="B2571" s="275"/>
      <c r="C2571" s="88" t="s">
        <v>13610</v>
      </c>
      <c r="D2571" s="236"/>
      <c r="E2571" s="241" t="s">
        <v>11671</v>
      </c>
      <c r="F2571" s="88" t="s">
        <v>1690</v>
      </c>
      <c r="G2571" s="88" t="s">
        <v>13611</v>
      </c>
      <c r="H2571" s="241" t="s">
        <v>13612</v>
      </c>
      <c r="I2571" s="237"/>
      <c r="J2571" s="290"/>
      <c r="K2571" s="275"/>
      <c r="L2571" s="237"/>
      <c r="M2571" s="237"/>
      <c r="N2571" s="237"/>
      <c r="O2571" s="237"/>
      <c r="P2571" s="237"/>
      <c r="Q2571" s="237"/>
      <c r="R2571" s="237"/>
      <c r="S2571" s="237"/>
      <c r="T2571" s="237"/>
      <c r="U2571" s="237"/>
      <c r="V2571" s="237"/>
      <c r="W2571" s="237"/>
      <c r="X2571" s="237"/>
      <c r="Y2571" s="237"/>
      <c r="Z2571" s="237"/>
      <c r="AA2571" s="237"/>
      <c r="AB2571" s="237"/>
    </row>
    <row r="2572">
      <c r="A2572" s="237"/>
      <c r="B2572" s="275"/>
      <c r="C2572" s="88" t="s">
        <v>13613</v>
      </c>
      <c r="D2572" s="236"/>
      <c r="E2572" s="241" t="s">
        <v>11671</v>
      </c>
      <c r="F2572" s="88" t="s">
        <v>1691</v>
      </c>
      <c r="G2572" s="88" t="s">
        <v>13614</v>
      </c>
      <c r="H2572" s="241" t="s">
        <v>13615</v>
      </c>
      <c r="I2572" s="237"/>
      <c r="J2572" s="290"/>
      <c r="K2572" s="275"/>
      <c r="L2572" s="237"/>
      <c r="M2572" s="237"/>
      <c r="N2572" s="237"/>
      <c r="O2572" s="237"/>
      <c r="P2572" s="237"/>
      <c r="Q2572" s="237"/>
      <c r="R2572" s="237"/>
      <c r="S2572" s="237"/>
      <c r="T2572" s="237"/>
      <c r="U2572" s="237"/>
      <c r="V2572" s="237"/>
      <c r="W2572" s="237"/>
      <c r="X2572" s="237"/>
      <c r="Y2572" s="237"/>
      <c r="Z2572" s="237"/>
      <c r="AA2572" s="237"/>
      <c r="AB2572" s="237"/>
    </row>
    <row r="2573">
      <c r="A2573" s="237"/>
      <c r="B2573" s="275"/>
      <c r="C2573" s="88" t="s">
        <v>13616</v>
      </c>
      <c r="D2573" s="236"/>
      <c r="E2573" s="241" t="s">
        <v>11671</v>
      </c>
      <c r="F2573" s="88" t="s">
        <v>1692</v>
      </c>
      <c r="G2573" s="88" t="s">
        <v>13617</v>
      </c>
      <c r="H2573" s="241" t="s">
        <v>13618</v>
      </c>
      <c r="I2573" s="237"/>
      <c r="J2573" s="290"/>
      <c r="K2573" s="275"/>
      <c r="L2573" s="237"/>
      <c r="M2573" s="237"/>
      <c r="N2573" s="237"/>
      <c r="O2573" s="237"/>
      <c r="P2573" s="237"/>
      <c r="Q2573" s="237"/>
      <c r="R2573" s="237"/>
      <c r="S2573" s="237"/>
      <c r="T2573" s="237"/>
      <c r="U2573" s="237"/>
      <c r="V2573" s="237"/>
      <c r="W2573" s="237"/>
      <c r="X2573" s="237"/>
      <c r="Y2573" s="237"/>
      <c r="Z2573" s="237"/>
      <c r="AA2573" s="237"/>
      <c r="AB2573" s="237"/>
    </row>
    <row r="2574">
      <c r="A2574" s="237"/>
      <c r="B2574" s="275"/>
      <c r="C2574" s="88" t="s">
        <v>13619</v>
      </c>
      <c r="D2574" s="236"/>
      <c r="E2574" s="241" t="s">
        <v>11671</v>
      </c>
      <c r="F2574" s="88" t="s">
        <v>1693</v>
      </c>
      <c r="G2574" s="88" t="s">
        <v>13620</v>
      </c>
      <c r="H2574" s="241" t="s">
        <v>13621</v>
      </c>
      <c r="I2574" s="237"/>
      <c r="J2574" s="290"/>
      <c r="K2574" s="275"/>
      <c r="L2574" s="237"/>
      <c r="M2574" s="237"/>
      <c r="N2574" s="237"/>
      <c r="O2574" s="237"/>
      <c r="P2574" s="237"/>
      <c r="Q2574" s="237"/>
      <c r="R2574" s="237"/>
      <c r="S2574" s="237"/>
      <c r="T2574" s="237"/>
      <c r="U2574" s="237"/>
      <c r="V2574" s="237"/>
      <c r="W2574" s="237"/>
      <c r="X2574" s="237"/>
      <c r="Y2574" s="237"/>
      <c r="Z2574" s="237"/>
      <c r="AA2574" s="237"/>
      <c r="AB2574" s="237"/>
    </row>
    <row r="2575">
      <c r="A2575" s="237"/>
      <c r="B2575" s="275"/>
      <c r="C2575" s="88" t="s">
        <v>13622</v>
      </c>
      <c r="D2575" s="236"/>
      <c r="E2575" s="241" t="s">
        <v>11671</v>
      </c>
      <c r="F2575" s="88" t="s">
        <v>1694</v>
      </c>
      <c r="G2575" s="88" t="s">
        <v>13623</v>
      </c>
      <c r="H2575" s="241" t="s">
        <v>13624</v>
      </c>
      <c r="I2575" s="237"/>
      <c r="J2575" s="290"/>
      <c r="K2575" s="275"/>
      <c r="L2575" s="237"/>
      <c r="M2575" s="237"/>
      <c r="N2575" s="237"/>
      <c r="O2575" s="237"/>
      <c r="P2575" s="237"/>
      <c r="Q2575" s="237"/>
      <c r="R2575" s="237"/>
      <c r="S2575" s="237"/>
      <c r="T2575" s="237"/>
      <c r="U2575" s="237"/>
      <c r="V2575" s="237"/>
      <c r="W2575" s="237"/>
      <c r="X2575" s="237"/>
      <c r="Y2575" s="237"/>
      <c r="Z2575" s="237"/>
      <c r="AA2575" s="237"/>
      <c r="AB2575" s="237"/>
    </row>
    <row r="2576">
      <c r="A2576" s="237"/>
      <c r="B2576" s="275"/>
      <c r="C2576" s="88" t="s">
        <v>13625</v>
      </c>
      <c r="D2576" s="236"/>
      <c r="E2576" s="241" t="s">
        <v>11671</v>
      </c>
      <c r="F2576" s="88" t="s">
        <v>1695</v>
      </c>
      <c r="G2576" s="88" t="s">
        <v>13626</v>
      </c>
      <c r="H2576" s="241" t="s">
        <v>13627</v>
      </c>
      <c r="I2576" s="237"/>
      <c r="J2576" s="290"/>
      <c r="K2576" s="275"/>
      <c r="L2576" s="237"/>
      <c r="M2576" s="237"/>
      <c r="N2576" s="237"/>
      <c r="O2576" s="237"/>
      <c r="P2576" s="237"/>
      <c r="Q2576" s="237"/>
      <c r="R2576" s="237"/>
      <c r="S2576" s="237"/>
      <c r="T2576" s="237"/>
      <c r="U2576" s="237"/>
      <c r="V2576" s="237"/>
      <c r="W2576" s="237"/>
      <c r="X2576" s="237"/>
      <c r="Y2576" s="237"/>
      <c r="Z2576" s="237"/>
      <c r="AA2576" s="237"/>
      <c r="AB2576" s="237"/>
    </row>
    <row r="2577">
      <c r="A2577" s="237"/>
      <c r="B2577" s="275"/>
      <c r="C2577" s="88" t="s">
        <v>13628</v>
      </c>
      <c r="D2577" s="236"/>
      <c r="E2577" s="241" t="s">
        <v>11671</v>
      </c>
      <c r="F2577" s="88" t="s">
        <v>1696</v>
      </c>
      <c r="G2577" s="88" t="s">
        <v>13629</v>
      </c>
      <c r="H2577" s="241" t="s">
        <v>13630</v>
      </c>
      <c r="I2577" s="237"/>
      <c r="J2577" s="290"/>
      <c r="K2577" s="275"/>
      <c r="L2577" s="237"/>
      <c r="M2577" s="237"/>
      <c r="N2577" s="237"/>
      <c r="O2577" s="237"/>
      <c r="P2577" s="237"/>
      <c r="Q2577" s="237"/>
      <c r="R2577" s="237"/>
      <c r="S2577" s="237"/>
      <c r="T2577" s="237"/>
      <c r="U2577" s="237"/>
      <c r="V2577" s="237"/>
      <c r="W2577" s="237"/>
      <c r="X2577" s="237"/>
      <c r="Y2577" s="237"/>
      <c r="Z2577" s="237"/>
      <c r="AA2577" s="237"/>
      <c r="AB2577" s="237"/>
    </row>
    <row r="2578">
      <c r="A2578" s="237"/>
      <c r="B2578" s="275"/>
      <c r="C2578" s="88" t="s">
        <v>13631</v>
      </c>
      <c r="D2578" s="236"/>
      <c r="E2578" s="241" t="s">
        <v>11671</v>
      </c>
      <c r="F2578" s="88" t="s">
        <v>1697</v>
      </c>
      <c r="G2578" s="88" t="s">
        <v>13632</v>
      </c>
      <c r="H2578" s="241" t="s">
        <v>13633</v>
      </c>
      <c r="I2578" s="237"/>
      <c r="J2578" s="290"/>
      <c r="K2578" s="275"/>
      <c r="L2578" s="237"/>
      <c r="M2578" s="237"/>
      <c r="N2578" s="237"/>
      <c r="O2578" s="237"/>
      <c r="P2578" s="237"/>
      <c r="Q2578" s="237"/>
      <c r="R2578" s="237"/>
      <c r="S2578" s="237"/>
      <c r="T2578" s="237"/>
      <c r="U2578" s="237"/>
      <c r="V2578" s="237"/>
      <c r="W2578" s="237"/>
      <c r="X2578" s="237"/>
      <c r="Y2578" s="237"/>
      <c r="Z2578" s="237"/>
      <c r="AA2578" s="237"/>
      <c r="AB2578" s="237"/>
    </row>
    <row r="2579">
      <c r="A2579" s="237"/>
      <c r="B2579" s="275"/>
      <c r="C2579" s="88" t="s">
        <v>13634</v>
      </c>
      <c r="D2579" s="236"/>
      <c r="E2579" s="241" t="s">
        <v>11671</v>
      </c>
      <c r="F2579" s="88" t="s">
        <v>1698</v>
      </c>
      <c r="G2579" s="88" t="s">
        <v>13635</v>
      </c>
      <c r="H2579" s="241" t="s">
        <v>13636</v>
      </c>
      <c r="I2579" s="237"/>
      <c r="J2579" s="290"/>
      <c r="K2579" s="275"/>
      <c r="L2579" s="237"/>
      <c r="M2579" s="237"/>
      <c r="N2579" s="237"/>
      <c r="O2579" s="237"/>
      <c r="P2579" s="237"/>
      <c r="Q2579" s="237"/>
      <c r="R2579" s="237"/>
      <c r="S2579" s="237"/>
      <c r="T2579" s="237"/>
      <c r="U2579" s="237"/>
      <c r="V2579" s="237"/>
      <c r="W2579" s="237"/>
      <c r="X2579" s="237"/>
      <c r="Y2579" s="237"/>
      <c r="Z2579" s="237"/>
      <c r="AA2579" s="237"/>
      <c r="AB2579" s="237"/>
    </row>
    <row r="2580">
      <c r="A2580" s="237"/>
      <c r="B2580" s="275"/>
      <c r="C2580" s="88" t="s">
        <v>13637</v>
      </c>
      <c r="D2580" s="236"/>
      <c r="E2580" s="241" t="s">
        <v>11671</v>
      </c>
      <c r="F2580" s="88" t="s">
        <v>1699</v>
      </c>
      <c r="G2580" s="88" t="s">
        <v>13638</v>
      </c>
      <c r="H2580" s="241" t="s">
        <v>13639</v>
      </c>
      <c r="I2580" s="237"/>
      <c r="J2580" s="290"/>
      <c r="K2580" s="275"/>
      <c r="L2580" s="237"/>
      <c r="M2580" s="237"/>
      <c r="N2580" s="237"/>
      <c r="O2580" s="237"/>
      <c r="P2580" s="237"/>
      <c r="Q2580" s="237"/>
      <c r="R2580" s="237"/>
      <c r="S2580" s="237"/>
      <c r="T2580" s="237"/>
      <c r="U2580" s="237"/>
      <c r="V2580" s="237"/>
      <c r="W2580" s="237"/>
      <c r="X2580" s="237"/>
      <c r="Y2580" s="237"/>
      <c r="Z2580" s="237"/>
      <c r="AA2580" s="237"/>
      <c r="AB2580" s="237"/>
    </row>
    <row r="2581">
      <c r="A2581" s="300"/>
      <c r="B2581" s="301"/>
      <c r="C2581" s="297" t="s">
        <v>13640</v>
      </c>
      <c r="D2581" s="302"/>
      <c r="E2581" s="241" t="s">
        <v>1427</v>
      </c>
      <c r="F2581" s="297" t="s">
        <v>1700</v>
      </c>
      <c r="G2581" s="297" t="s">
        <v>13641</v>
      </c>
      <c r="H2581" s="302"/>
      <c r="I2581" s="300"/>
      <c r="J2581" s="300"/>
      <c r="K2581" s="301"/>
      <c r="L2581" s="300"/>
      <c r="M2581" s="300"/>
      <c r="N2581" s="300"/>
      <c r="O2581" s="300"/>
      <c r="P2581" s="300"/>
      <c r="Q2581" s="300"/>
      <c r="R2581" s="300"/>
      <c r="S2581" s="300"/>
      <c r="T2581" s="300"/>
      <c r="U2581" s="300"/>
      <c r="V2581" s="300"/>
      <c r="W2581" s="300"/>
      <c r="X2581" s="300"/>
      <c r="Y2581" s="300"/>
      <c r="Z2581" s="300"/>
      <c r="AA2581" s="300"/>
      <c r="AB2581" s="300"/>
    </row>
    <row r="2582">
      <c r="A2582" s="300"/>
      <c r="B2582" s="301"/>
      <c r="C2582" s="297" t="s">
        <v>13642</v>
      </c>
      <c r="D2582" s="302"/>
      <c r="E2582" s="241" t="s">
        <v>1427</v>
      </c>
      <c r="F2582" s="297" t="s">
        <v>1701</v>
      </c>
      <c r="G2582" s="297" t="s">
        <v>13643</v>
      </c>
      <c r="H2582" s="302"/>
      <c r="I2582" s="300"/>
      <c r="J2582" s="300"/>
      <c r="K2582" s="301"/>
      <c r="L2582" s="300"/>
      <c r="M2582" s="300"/>
      <c r="N2582" s="300"/>
      <c r="O2582" s="300"/>
      <c r="P2582" s="300"/>
      <c r="Q2582" s="300"/>
      <c r="R2582" s="300"/>
      <c r="S2582" s="300"/>
      <c r="T2582" s="300"/>
      <c r="U2582" s="300"/>
      <c r="V2582" s="300"/>
      <c r="W2582" s="300"/>
      <c r="X2582" s="300"/>
      <c r="Y2582" s="300"/>
      <c r="Z2582" s="300"/>
      <c r="AA2582" s="300"/>
      <c r="AB2582" s="300"/>
    </row>
    <row r="2583">
      <c r="A2583" s="237"/>
      <c r="B2583" s="275"/>
      <c r="C2583" s="88" t="s">
        <v>13644</v>
      </c>
      <c r="D2583" s="236"/>
      <c r="E2583" s="241" t="s">
        <v>11671</v>
      </c>
      <c r="F2583" s="88" t="s">
        <v>1702</v>
      </c>
      <c r="G2583" s="88" t="s">
        <v>13645</v>
      </c>
      <c r="H2583" s="241" t="s">
        <v>13646</v>
      </c>
      <c r="I2583" s="237"/>
      <c r="J2583" s="290"/>
      <c r="K2583" s="275"/>
      <c r="L2583" s="237"/>
      <c r="M2583" s="237"/>
      <c r="N2583" s="237"/>
      <c r="O2583" s="237"/>
      <c r="P2583" s="237"/>
      <c r="Q2583" s="237"/>
      <c r="R2583" s="237"/>
      <c r="S2583" s="237"/>
      <c r="T2583" s="237"/>
      <c r="U2583" s="237"/>
      <c r="V2583" s="237"/>
      <c r="W2583" s="237"/>
      <c r="X2583" s="237"/>
      <c r="Y2583" s="237"/>
      <c r="Z2583" s="237"/>
      <c r="AA2583" s="237"/>
      <c r="AB2583" s="237"/>
    </row>
    <row r="2584">
      <c r="A2584" s="237"/>
      <c r="B2584" s="275"/>
      <c r="C2584" s="88" t="s">
        <v>13647</v>
      </c>
      <c r="D2584" s="236"/>
      <c r="E2584" s="241" t="s">
        <v>11671</v>
      </c>
      <c r="F2584" s="88" t="s">
        <v>13648</v>
      </c>
      <c r="G2584" s="236"/>
      <c r="H2584" s="241" t="s">
        <v>13649</v>
      </c>
      <c r="I2584" s="237"/>
      <c r="J2584" s="290"/>
      <c r="K2584" s="275"/>
      <c r="L2584" s="237"/>
      <c r="M2584" s="237"/>
      <c r="N2584" s="237"/>
      <c r="O2584" s="237"/>
      <c r="P2584" s="237"/>
      <c r="Q2584" s="237"/>
      <c r="R2584" s="237"/>
      <c r="S2584" s="237"/>
      <c r="T2584" s="237"/>
      <c r="U2584" s="237"/>
      <c r="V2584" s="237"/>
      <c r="W2584" s="237"/>
      <c r="X2584" s="237"/>
      <c r="Y2584" s="237"/>
      <c r="Z2584" s="237"/>
      <c r="AA2584" s="237"/>
      <c r="AB2584" s="237"/>
    </row>
    <row r="2585">
      <c r="A2585" s="237"/>
      <c r="B2585" s="275"/>
      <c r="C2585" s="88" t="s">
        <v>13650</v>
      </c>
      <c r="D2585" s="236"/>
      <c r="E2585" s="241" t="s">
        <v>11671</v>
      </c>
      <c r="F2585" s="88" t="s">
        <v>1720</v>
      </c>
      <c r="G2585" s="236"/>
      <c r="H2585" s="241" t="s">
        <v>13651</v>
      </c>
      <c r="I2585" s="237"/>
      <c r="J2585" s="290"/>
      <c r="K2585" s="275"/>
      <c r="L2585" s="237"/>
      <c r="M2585" s="237"/>
      <c r="N2585" s="237"/>
      <c r="O2585" s="237"/>
      <c r="P2585" s="237"/>
      <c r="Q2585" s="237"/>
      <c r="R2585" s="237"/>
      <c r="S2585" s="237"/>
      <c r="T2585" s="237"/>
      <c r="U2585" s="237"/>
      <c r="V2585" s="237"/>
      <c r="W2585" s="237"/>
      <c r="X2585" s="237"/>
      <c r="Y2585" s="237"/>
      <c r="Z2585" s="237"/>
      <c r="AA2585" s="237"/>
      <c r="AB2585" s="237"/>
    </row>
    <row r="2586">
      <c r="A2586" s="237"/>
      <c r="B2586" s="275"/>
      <c r="C2586" s="88" t="s">
        <v>13652</v>
      </c>
      <c r="D2586" s="236"/>
      <c r="E2586" s="241" t="s">
        <v>11671</v>
      </c>
      <c r="F2586" s="88" t="s">
        <v>1726</v>
      </c>
      <c r="G2586" s="236"/>
      <c r="H2586" s="241" t="s">
        <v>13653</v>
      </c>
      <c r="I2586" s="237"/>
      <c r="J2586" s="290"/>
      <c r="K2586" s="275"/>
      <c r="L2586" s="237"/>
      <c r="M2586" s="237"/>
      <c r="N2586" s="237"/>
      <c r="O2586" s="237"/>
      <c r="P2586" s="237"/>
      <c r="Q2586" s="237"/>
      <c r="R2586" s="237"/>
      <c r="S2586" s="237"/>
      <c r="T2586" s="237"/>
      <c r="U2586" s="237"/>
      <c r="V2586" s="237"/>
      <c r="W2586" s="237"/>
      <c r="X2586" s="237"/>
      <c r="Y2586" s="237"/>
      <c r="Z2586" s="237"/>
      <c r="AA2586" s="237"/>
      <c r="AB2586" s="237"/>
    </row>
    <row r="2587">
      <c r="A2587" s="237"/>
      <c r="B2587" s="275"/>
      <c r="C2587" s="88" t="s">
        <v>13654</v>
      </c>
      <c r="D2587" s="236"/>
      <c r="E2587" s="241" t="s">
        <v>11671</v>
      </c>
      <c r="F2587" s="88" t="s">
        <v>1717</v>
      </c>
      <c r="G2587" s="236"/>
      <c r="H2587" s="241" t="s">
        <v>13655</v>
      </c>
      <c r="I2587" s="237"/>
      <c r="J2587" s="290"/>
      <c r="K2587" s="275"/>
      <c r="L2587" s="237"/>
      <c r="M2587" s="237"/>
      <c r="N2587" s="237"/>
      <c r="O2587" s="237"/>
      <c r="P2587" s="237"/>
      <c r="Q2587" s="237"/>
      <c r="R2587" s="237"/>
      <c r="S2587" s="237"/>
      <c r="T2587" s="237"/>
      <c r="U2587" s="237"/>
      <c r="V2587" s="237"/>
      <c r="W2587" s="237"/>
      <c r="X2587" s="237"/>
      <c r="Y2587" s="237"/>
      <c r="Z2587" s="237"/>
      <c r="AA2587" s="237"/>
      <c r="AB2587" s="237"/>
    </row>
    <row r="2588">
      <c r="A2588" s="237"/>
      <c r="B2588" s="275"/>
      <c r="C2588" s="88" t="s">
        <v>13656</v>
      </c>
      <c r="D2588" s="236"/>
      <c r="E2588" s="241" t="s">
        <v>11671</v>
      </c>
      <c r="F2588" s="88" t="s">
        <v>1715</v>
      </c>
      <c r="G2588" s="236"/>
      <c r="H2588" s="241" t="s">
        <v>13657</v>
      </c>
      <c r="I2588" s="237"/>
      <c r="J2588" s="290"/>
      <c r="K2588" s="275"/>
      <c r="L2588" s="237"/>
      <c r="M2588" s="237"/>
      <c r="N2588" s="237"/>
      <c r="O2588" s="237"/>
      <c r="P2588" s="237"/>
      <c r="Q2588" s="237"/>
      <c r="R2588" s="237"/>
      <c r="S2588" s="237"/>
      <c r="T2588" s="237"/>
      <c r="U2588" s="237"/>
      <c r="V2588" s="237"/>
      <c r="W2588" s="237"/>
      <c r="X2588" s="237"/>
      <c r="Y2588" s="237"/>
      <c r="Z2588" s="237"/>
      <c r="AA2588" s="237"/>
      <c r="AB2588" s="237"/>
    </row>
    <row r="2589">
      <c r="A2589" s="237"/>
      <c r="B2589" s="275"/>
      <c r="C2589" s="88" t="s">
        <v>13658</v>
      </c>
      <c r="D2589" s="236"/>
      <c r="E2589" s="241" t="s">
        <v>11671</v>
      </c>
      <c r="F2589" s="88" t="s">
        <v>1728</v>
      </c>
      <c r="G2589" s="236"/>
      <c r="H2589" s="241" t="s">
        <v>13659</v>
      </c>
      <c r="I2589" s="237"/>
      <c r="J2589" s="290"/>
      <c r="K2589" s="275"/>
      <c r="L2589" s="237"/>
      <c r="M2589" s="237"/>
      <c r="N2589" s="237"/>
      <c r="O2589" s="237"/>
      <c r="P2589" s="237"/>
      <c r="Q2589" s="237"/>
      <c r="R2589" s="237"/>
      <c r="S2589" s="237"/>
      <c r="T2589" s="237"/>
      <c r="U2589" s="237"/>
      <c r="V2589" s="237"/>
      <c r="W2589" s="237"/>
      <c r="X2589" s="237"/>
      <c r="Y2589" s="237"/>
      <c r="Z2589" s="237"/>
      <c r="AA2589" s="237"/>
      <c r="AB2589" s="237"/>
    </row>
    <row r="2590">
      <c r="A2590" s="237"/>
      <c r="B2590" s="275"/>
      <c r="C2590" s="88" t="s">
        <v>12513</v>
      </c>
      <c r="D2590" s="236"/>
      <c r="E2590" s="241" t="s">
        <v>11671</v>
      </c>
      <c r="F2590" s="88" t="s">
        <v>1767</v>
      </c>
      <c r="G2590" s="236"/>
      <c r="H2590" s="241" t="s">
        <v>13660</v>
      </c>
      <c r="I2590" s="237"/>
      <c r="J2590" s="290"/>
      <c r="K2590" s="275"/>
      <c r="L2590" s="237"/>
      <c r="M2590" s="237"/>
      <c r="N2590" s="237"/>
      <c r="O2590" s="237"/>
      <c r="P2590" s="237"/>
      <c r="Q2590" s="237"/>
      <c r="R2590" s="237"/>
      <c r="S2590" s="237"/>
      <c r="T2590" s="237"/>
      <c r="U2590" s="237"/>
      <c r="V2590" s="237"/>
      <c r="W2590" s="237"/>
      <c r="X2590" s="237"/>
      <c r="Y2590" s="237"/>
      <c r="Z2590" s="237"/>
      <c r="AA2590" s="237"/>
      <c r="AB2590" s="237"/>
    </row>
    <row r="2591">
      <c r="A2591" s="237"/>
      <c r="B2591" s="275"/>
      <c r="C2591" s="88" t="s">
        <v>13661</v>
      </c>
      <c r="D2591" s="236"/>
      <c r="E2591" s="241" t="s">
        <v>11671</v>
      </c>
      <c r="F2591" s="88" t="s">
        <v>1768</v>
      </c>
      <c r="G2591" s="236"/>
      <c r="H2591" s="236"/>
      <c r="I2591" s="237"/>
      <c r="J2591" s="290"/>
      <c r="K2591" s="275"/>
      <c r="L2591" s="237"/>
      <c r="M2591" s="237"/>
      <c r="N2591" s="237"/>
      <c r="O2591" s="237"/>
      <c r="P2591" s="237"/>
      <c r="Q2591" s="237"/>
      <c r="R2591" s="237"/>
      <c r="S2591" s="237"/>
      <c r="T2591" s="237"/>
      <c r="U2591" s="237"/>
      <c r="V2591" s="237"/>
      <c r="W2591" s="237"/>
      <c r="X2591" s="237"/>
      <c r="Y2591" s="237"/>
      <c r="Z2591" s="237"/>
      <c r="AA2591" s="237"/>
      <c r="AB2591" s="237"/>
    </row>
    <row r="2592">
      <c r="A2592" s="237"/>
      <c r="B2592" s="275"/>
      <c r="C2592" s="88" t="s">
        <v>13662</v>
      </c>
      <c r="D2592" s="236"/>
      <c r="E2592" s="241" t="s">
        <v>11671</v>
      </c>
      <c r="F2592" s="88" t="s">
        <v>1737</v>
      </c>
      <c r="G2592" s="236"/>
      <c r="H2592" s="241" t="s">
        <v>13663</v>
      </c>
      <c r="I2592" s="237"/>
      <c r="J2592" s="290"/>
      <c r="K2592" s="275"/>
      <c r="L2592" s="237"/>
      <c r="M2592" s="237"/>
      <c r="N2592" s="237"/>
      <c r="O2592" s="237"/>
      <c r="P2592" s="237"/>
      <c r="Q2592" s="237"/>
      <c r="R2592" s="237"/>
      <c r="S2592" s="237"/>
      <c r="T2592" s="237"/>
      <c r="U2592" s="237"/>
      <c r="V2592" s="237"/>
      <c r="W2592" s="237"/>
      <c r="X2592" s="237"/>
      <c r="Y2592" s="237"/>
      <c r="Z2592" s="237"/>
      <c r="AA2592" s="237"/>
      <c r="AB2592" s="237"/>
    </row>
    <row r="2593">
      <c r="A2593" s="237"/>
      <c r="B2593" s="275"/>
      <c r="C2593" s="88" t="s">
        <v>13664</v>
      </c>
      <c r="D2593" s="236"/>
      <c r="E2593" s="241" t="s">
        <v>11671</v>
      </c>
      <c r="F2593" s="88" t="s">
        <v>1740</v>
      </c>
      <c r="G2593" s="236"/>
      <c r="H2593" s="241" t="s">
        <v>13665</v>
      </c>
      <c r="I2593" s="237"/>
      <c r="J2593" s="290"/>
      <c r="K2593" s="275"/>
      <c r="L2593" s="237"/>
      <c r="M2593" s="237"/>
      <c r="N2593" s="237"/>
      <c r="O2593" s="237"/>
      <c r="P2593" s="237"/>
      <c r="Q2593" s="237"/>
      <c r="R2593" s="237"/>
      <c r="S2593" s="237"/>
      <c r="T2593" s="237"/>
      <c r="U2593" s="237"/>
      <c r="V2593" s="237"/>
      <c r="W2593" s="237"/>
      <c r="X2593" s="237"/>
      <c r="Y2593" s="237"/>
      <c r="Z2593" s="237"/>
      <c r="AA2593" s="237"/>
      <c r="AB2593" s="237"/>
    </row>
    <row r="2594">
      <c r="A2594" s="237"/>
      <c r="B2594" s="275"/>
      <c r="C2594" s="88" t="s">
        <v>13666</v>
      </c>
      <c r="D2594" s="236"/>
      <c r="E2594" s="241" t="s">
        <v>11671</v>
      </c>
      <c r="F2594" s="88" t="s">
        <v>1741</v>
      </c>
      <c r="G2594" s="236"/>
      <c r="H2594" s="241" t="s">
        <v>13667</v>
      </c>
      <c r="I2594" s="237"/>
      <c r="J2594" s="290"/>
      <c r="K2594" s="275"/>
      <c r="L2594" s="237"/>
      <c r="M2594" s="237"/>
      <c r="N2594" s="237"/>
      <c r="O2594" s="237"/>
      <c r="P2594" s="237"/>
      <c r="Q2594" s="237"/>
      <c r="R2594" s="237"/>
      <c r="S2594" s="237"/>
      <c r="T2594" s="237"/>
      <c r="U2594" s="237"/>
      <c r="V2594" s="237"/>
      <c r="W2594" s="237"/>
      <c r="X2594" s="237"/>
      <c r="Y2594" s="237"/>
      <c r="Z2594" s="237"/>
      <c r="AA2594" s="237"/>
      <c r="AB2594" s="237"/>
    </row>
    <row r="2595">
      <c r="A2595" s="237"/>
      <c r="B2595" s="275"/>
      <c r="C2595" s="88" t="s">
        <v>13668</v>
      </c>
      <c r="D2595" s="236"/>
      <c r="E2595" s="241" t="s">
        <v>11671</v>
      </c>
      <c r="F2595" s="88" t="s">
        <v>1735</v>
      </c>
      <c r="G2595" s="236"/>
      <c r="H2595" s="241" t="s">
        <v>13669</v>
      </c>
      <c r="I2595" s="237"/>
      <c r="J2595" s="290"/>
      <c r="K2595" s="275"/>
      <c r="L2595" s="237"/>
      <c r="M2595" s="237"/>
      <c r="N2595" s="237"/>
      <c r="O2595" s="237"/>
      <c r="P2595" s="237"/>
      <c r="Q2595" s="237"/>
      <c r="R2595" s="237"/>
      <c r="S2595" s="237"/>
      <c r="T2595" s="237"/>
      <c r="U2595" s="237"/>
      <c r="V2595" s="237"/>
      <c r="W2595" s="237"/>
      <c r="X2595" s="237"/>
      <c r="Y2595" s="237"/>
      <c r="Z2595" s="237"/>
      <c r="AA2595" s="237"/>
      <c r="AB2595" s="237"/>
    </row>
    <row r="2596">
      <c r="A2596" s="237"/>
      <c r="B2596" s="275"/>
      <c r="C2596" s="88" t="s">
        <v>13670</v>
      </c>
      <c r="D2596" s="236"/>
      <c r="E2596" s="241" t="s">
        <v>11671</v>
      </c>
      <c r="F2596" s="88" t="s">
        <v>1732</v>
      </c>
      <c r="G2596" s="236"/>
      <c r="H2596" s="241" t="s">
        <v>13671</v>
      </c>
      <c r="I2596" s="237"/>
      <c r="J2596" s="290"/>
      <c r="K2596" s="275"/>
      <c r="L2596" s="237"/>
      <c r="M2596" s="237"/>
      <c r="N2596" s="237"/>
      <c r="O2596" s="237"/>
      <c r="P2596" s="237"/>
      <c r="Q2596" s="237"/>
      <c r="R2596" s="237"/>
      <c r="S2596" s="237"/>
      <c r="T2596" s="237"/>
      <c r="U2596" s="237"/>
      <c r="V2596" s="237"/>
      <c r="W2596" s="237"/>
      <c r="X2596" s="237"/>
      <c r="Y2596" s="237"/>
      <c r="Z2596" s="237"/>
      <c r="AA2596" s="237"/>
      <c r="AB2596" s="237"/>
    </row>
    <row r="2597">
      <c r="A2597" s="237"/>
      <c r="B2597" s="275"/>
      <c r="C2597" s="88" t="s">
        <v>13672</v>
      </c>
      <c r="D2597" s="236"/>
      <c r="E2597" s="241" t="s">
        <v>11671</v>
      </c>
      <c r="F2597" s="88" t="s">
        <v>1730</v>
      </c>
      <c r="G2597" s="236"/>
      <c r="H2597" s="241" t="s">
        <v>13673</v>
      </c>
      <c r="I2597" s="237"/>
      <c r="J2597" s="290"/>
      <c r="K2597" s="275"/>
      <c r="L2597" s="237"/>
      <c r="M2597" s="237"/>
      <c r="N2597" s="237"/>
      <c r="O2597" s="237"/>
      <c r="P2597" s="237"/>
      <c r="Q2597" s="237"/>
      <c r="R2597" s="237"/>
      <c r="S2597" s="237"/>
      <c r="T2597" s="237"/>
      <c r="U2597" s="237"/>
      <c r="V2597" s="237"/>
      <c r="W2597" s="237"/>
      <c r="X2597" s="237"/>
      <c r="Y2597" s="237"/>
      <c r="Z2597" s="237"/>
      <c r="AA2597" s="237"/>
      <c r="AB2597" s="237"/>
    </row>
    <row r="2598">
      <c r="A2598" s="237"/>
      <c r="B2598" s="275"/>
      <c r="C2598" s="88" t="s">
        <v>13674</v>
      </c>
      <c r="D2598" s="236"/>
      <c r="E2598" s="241" t="s">
        <v>11671</v>
      </c>
      <c r="F2598" s="88" t="s">
        <v>1734</v>
      </c>
      <c r="G2598" s="236"/>
      <c r="H2598" s="241" t="s">
        <v>13675</v>
      </c>
      <c r="I2598" s="237"/>
      <c r="J2598" s="290"/>
      <c r="K2598" s="275"/>
      <c r="L2598" s="237"/>
      <c r="M2598" s="237"/>
      <c r="N2598" s="237"/>
      <c r="O2598" s="237"/>
      <c r="P2598" s="237"/>
      <c r="Q2598" s="237"/>
      <c r="R2598" s="237"/>
      <c r="S2598" s="237"/>
      <c r="T2598" s="237"/>
      <c r="U2598" s="237"/>
      <c r="V2598" s="237"/>
      <c r="W2598" s="237"/>
      <c r="X2598" s="237"/>
      <c r="Y2598" s="237"/>
      <c r="Z2598" s="237"/>
      <c r="AA2598" s="237"/>
      <c r="AB2598" s="237"/>
    </row>
    <row r="2599">
      <c r="A2599" s="237"/>
      <c r="B2599" s="275"/>
      <c r="C2599" s="88" t="s">
        <v>13676</v>
      </c>
      <c r="D2599" s="236"/>
      <c r="E2599" s="241" t="s">
        <v>11671</v>
      </c>
      <c r="F2599" s="88" t="s">
        <v>1755</v>
      </c>
      <c r="G2599" s="236"/>
      <c r="H2599" s="241" t="s">
        <v>13677</v>
      </c>
      <c r="I2599" s="237"/>
      <c r="J2599" s="290"/>
      <c r="K2599" s="275"/>
      <c r="L2599" s="237"/>
      <c r="M2599" s="237"/>
      <c r="N2599" s="237"/>
      <c r="O2599" s="237"/>
      <c r="P2599" s="237"/>
      <c r="Q2599" s="237"/>
      <c r="R2599" s="237"/>
      <c r="S2599" s="237"/>
      <c r="T2599" s="237"/>
      <c r="U2599" s="237"/>
      <c r="V2599" s="237"/>
      <c r="W2599" s="237"/>
      <c r="X2599" s="237"/>
      <c r="Y2599" s="237"/>
      <c r="Z2599" s="237"/>
      <c r="AA2599" s="237"/>
      <c r="AB2599" s="237"/>
    </row>
    <row r="2600">
      <c r="A2600" s="237"/>
      <c r="B2600" s="275"/>
      <c r="C2600" s="88" t="s">
        <v>13678</v>
      </c>
      <c r="D2600" s="236"/>
      <c r="E2600" s="241" t="s">
        <v>11671</v>
      </c>
      <c r="F2600" s="88" t="s">
        <v>1761</v>
      </c>
      <c r="G2600" s="236"/>
      <c r="H2600" s="236"/>
      <c r="I2600" s="237"/>
      <c r="J2600" s="290"/>
      <c r="K2600" s="275"/>
      <c r="L2600" s="237"/>
      <c r="M2600" s="237"/>
      <c r="N2600" s="237"/>
      <c r="O2600" s="237"/>
      <c r="P2600" s="237"/>
      <c r="Q2600" s="237"/>
      <c r="R2600" s="237"/>
      <c r="S2600" s="237"/>
      <c r="T2600" s="237"/>
      <c r="U2600" s="237"/>
      <c r="V2600" s="237"/>
      <c r="W2600" s="237"/>
      <c r="X2600" s="237"/>
      <c r="Y2600" s="237"/>
      <c r="Z2600" s="237"/>
      <c r="AA2600" s="237"/>
      <c r="AB2600" s="237"/>
    </row>
    <row r="2601">
      <c r="A2601" s="237"/>
      <c r="B2601" s="275"/>
      <c r="C2601" s="88" t="s">
        <v>13679</v>
      </c>
      <c r="D2601" s="236"/>
      <c r="E2601" s="241" t="s">
        <v>11671</v>
      </c>
      <c r="F2601" s="88" t="s">
        <v>1765</v>
      </c>
      <c r="G2601" s="236"/>
      <c r="H2601" s="241" t="s">
        <v>13680</v>
      </c>
      <c r="I2601" s="237"/>
      <c r="J2601" s="290"/>
      <c r="K2601" s="275"/>
      <c r="L2601" s="237"/>
      <c r="M2601" s="237"/>
      <c r="N2601" s="237"/>
      <c r="O2601" s="237"/>
      <c r="P2601" s="237"/>
      <c r="Q2601" s="237"/>
      <c r="R2601" s="237"/>
      <c r="S2601" s="237"/>
      <c r="T2601" s="237"/>
      <c r="U2601" s="237"/>
      <c r="V2601" s="237"/>
      <c r="W2601" s="237"/>
      <c r="X2601" s="237"/>
      <c r="Y2601" s="237"/>
      <c r="Z2601" s="237"/>
      <c r="AA2601" s="237"/>
      <c r="AB2601" s="237"/>
    </row>
    <row r="2602">
      <c r="A2602" s="237"/>
      <c r="B2602" s="275"/>
      <c r="C2602" s="88" t="s">
        <v>13681</v>
      </c>
      <c r="D2602" s="236"/>
      <c r="E2602" s="241" t="s">
        <v>11671</v>
      </c>
      <c r="F2602" s="88" t="s">
        <v>1759</v>
      </c>
      <c r="G2602" s="236"/>
      <c r="H2602" s="241" t="s">
        <v>13682</v>
      </c>
      <c r="I2602" s="237"/>
      <c r="J2602" s="290"/>
      <c r="K2602" s="275"/>
      <c r="L2602" s="237"/>
      <c r="M2602" s="237"/>
      <c r="N2602" s="237"/>
      <c r="O2602" s="237"/>
      <c r="P2602" s="237"/>
      <c r="Q2602" s="237"/>
      <c r="R2602" s="237"/>
      <c r="S2602" s="237"/>
      <c r="T2602" s="237"/>
      <c r="U2602" s="237"/>
      <c r="V2602" s="237"/>
      <c r="W2602" s="237"/>
      <c r="X2602" s="237"/>
      <c r="Y2602" s="237"/>
      <c r="Z2602" s="237"/>
      <c r="AA2602" s="237"/>
      <c r="AB2602" s="237"/>
    </row>
    <row r="2603">
      <c r="A2603" s="237"/>
      <c r="B2603" s="275"/>
      <c r="C2603" s="88" t="s">
        <v>13683</v>
      </c>
      <c r="D2603" s="236"/>
      <c r="E2603" s="241" t="s">
        <v>11671</v>
      </c>
      <c r="F2603" s="88" t="s">
        <v>1751</v>
      </c>
      <c r="G2603" s="236"/>
      <c r="H2603" s="241" t="s">
        <v>13684</v>
      </c>
      <c r="I2603" s="237"/>
      <c r="J2603" s="290"/>
      <c r="K2603" s="275"/>
      <c r="L2603" s="237"/>
      <c r="M2603" s="237"/>
      <c r="N2603" s="237"/>
      <c r="O2603" s="237"/>
      <c r="P2603" s="237"/>
      <c r="Q2603" s="237"/>
      <c r="R2603" s="237"/>
      <c r="S2603" s="237"/>
      <c r="T2603" s="237"/>
      <c r="U2603" s="237"/>
      <c r="V2603" s="237"/>
      <c r="W2603" s="237"/>
      <c r="X2603" s="237"/>
      <c r="Y2603" s="237"/>
      <c r="Z2603" s="237"/>
      <c r="AA2603" s="237"/>
      <c r="AB2603" s="237"/>
    </row>
    <row r="2604">
      <c r="A2604" s="237"/>
      <c r="B2604" s="275"/>
      <c r="C2604" s="88" t="s">
        <v>13685</v>
      </c>
      <c r="D2604" s="236"/>
      <c r="E2604" s="241" t="s">
        <v>11671</v>
      </c>
      <c r="F2604" s="88" t="s">
        <v>1746</v>
      </c>
      <c r="G2604" s="236"/>
      <c r="H2604" s="241" t="s">
        <v>13686</v>
      </c>
      <c r="I2604" s="237"/>
      <c r="J2604" s="290"/>
      <c r="K2604" s="275"/>
      <c r="L2604" s="237"/>
      <c r="M2604" s="237"/>
      <c r="N2604" s="237"/>
      <c r="O2604" s="237"/>
      <c r="P2604" s="237"/>
      <c r="Q2604" s="237"/>
      <c r="R2604" s="237"/>
      <c r="S2604" s="237"/>
      <c r="T2604" s="237"/>
      <c r="U2604" s="237"/>
      <c r="V2604" s="237"/>
      <c r="W2604" s="237"/>
      <c r="X2604" s="237"/>
      <c r="Y2604" s="237"/>
      <c r="Z2604" s="237"/>
      <c r="AA2604" s="237"/>
      <c r="AB2604" s="237"/>
    </row>
    <row r="2605">
      <c r="A2605" s="237"/>
      <c r="B2605" s="275"/>
      <c r="C2605" s="88" t="s">
        <v>13687</v>
      </c>
      <c r="D2605" s="236"/>
      <c r="E2605" s="241" t="s">
        <v>11671</v>
      </c>
      <c r="F2605" s="88" t="s">
        <v>1757</v>
      </c>
      <c r="G2605" s="236"/>
      <c r="H2605" s="241" t="s">
        <v>13688</v>
      </c>
      <c r="I2605" s="237"/>
      <c r="J2605" s="290"/>
      <c r="K2605" s="275"/>
      <c r="L2605" s="237"/>
      <c r="M2605" s="237"/>
      <c r="N2605" s="237"/>
      <c r="O2605" s="237"/>
      <c r="P2605" s="237"/>
      <c r="Q2605" s="237"/>
      <c r="R2605" s="237"/>
      <c r="S2605" s="237"/>
      <c r="T2605" s="237"/>
      <c r="U2605" s="237"/>
      <c r="V2605" s="237"/>
      <c r="W2605" s="237"/>
      <c r="X2605" s="237"/>
      <c r="Y2605" s="237"/>
      <c r="Z2605" s="237"/>
      <c r="AA2605" s="237"/>
      <c r="AB2605" s="237"/>
    </row>
    <row r="2606">
      <c r="A2606" s="237"/>
      <c r="B2606" s="275"/>
      <c r="C2606" s="88" t="s">
        <v>13689</v>
      </c>
      <c r="D2606" s="236"/>
      <c r="E2606" s="241" t="s">
        <v>11671</v>
      </c>
      <c r="F2606" s="88" t="s">
        <v>1763</v>
      </c>
      <c r="G2606" s="236"/>
      <c r="H2606" s="241" t="s">
        <v>13690</v>
      </c>
      <c r="I2606" s="237"/>
      <c r="J2606" s="290"/>
      <c r="K2606" s="275"/>
      <c r="L2606" s="237"/>
      <c r="M2606" s="237"/>
      <c r="N2606" s="237"/>
      <c r="O2606" s="237"/>
      <c r="P2606" s="237"/>
      <c r="Q2606" s="237"/>
      <c r="R2606" s="237"/>
      <c r="S2606" s="237"/>
      <c r="T2606" s="237"/>
      <c r="U2606" s="237"/>
      <c r="V2606" s="237"/>
      <c r="W2606" s="237"/>
      <c r="X2606" s="237"/>
      <c r="Y2606" s="237"/>
      <c r="Z2606" s="237"/>
      <c r="AA2606" s="237"/>
      <c r="AB2606" s="237"/>
    </row>
    <row r="2607">
      <c r="A2607" s="237"/>
      <c r="B2607" s="275"/>
      <c r="C2607" s="88" t="s">
        <v>13691</v>
      </c>
      <c r="D2607" s="236"/>
      <c r="E2607" s="241" t="s">
        <v>11671</v>
      </c>
      <c r="F2607" s="88" t="s">
        <v>1753</v>
      </c>
      <c r="G2607" s="236"/>
      <c r="H2607" s="241" t="s">
        <v>13692</v>
      </c>
      <c r="I2607" s="237"/>
      <c r="J2607" s="290"/>
      <c r="K2607" s="275"/>
      <c r="L2607" s="237"/>
      <c r="M2607" s="237"/>
      <c r="N2607" s="237"/>
      <c r="O2607" s="237"/>
      <c r="P2607" s="237"/>
      <c r="Q2607" s="237"/>
      <c r="R2607" s="237"/>
      <c r="S2607" s="237"/>
      <c r="T2607" s="237"/>
      <c r="U2607" s="237"/>
      <c r="V2607" s="237"/>
      <c r="W2607" s="237"/>
      <c r="X2607" s="237"/>
      <c r="Y2607" s="237"/>
      <c r="Z2607" s="237"/>
      <c r="AA2607" s="237"/>
      <c r="AB2607" s="237"/>
    </row>
    <row r="2608">
      <c r="A2608" s="237"/>
      <c r="B2608" s="275"/>
      <c r="C2608" s="88" t="s">
        <v>13693</v>
      </c>
      <c r="D2608" s="236"/>
      <c r="E2608" s="241" t="s">
        <v>11671</v>
      </c>
      <c r="F2608" s="88" t="s">
        <v>1749</v>
      </c>
      <c r="G2608" s="236"/>
      <c r="H2608" s="241" t="s">
        <v>13694</v>
      </c>
      <c r="I2608" s="237"/>
      <c r="J2608" s="290"/>
      <c r="K2608" s="275"/>
      <c r="L2608" s="237"/>
      <c r="M2608" s="237"/>
      <c r="N2608" s="237"/>
      <c r="O2608" s="237"/>
      <c r="P2608" s="237"/>
      <c r="Q2608" s="237"/>
      <c r="R2608" s="237"/>
      <c r="S2608" s="237"/>
      <c r="T2608" s="237"/>
      <c r="U2608" s="237"/>
      <c r="V2608" s="237"/>
      <c r="W2608" s="237"/>
      <c r="X2608" s="237"/>
      <c r="Y2608" s="237"/>
      <c r="Z2608" s="237"/>
      <c r="AA2608" s="237"/>
      <c r="AB2608" s="237"/>
    </row>
    <row r="2609">
      <c r="A2609" s="237"/>
      <c r="B2609" s="275"/>
      <c r="C2609" s="88" t="s">
        <v>13695</v>
      </c>
      <c r="D2609" s="236"/>
      <c r="E2609" s="241" t="s">
        <v>11671</v>
      </c>
      <c r="F2609" s="88" t="s">
        <v>1770</v>
      </c>
      <c r="G2609" s="236"/>
      <c r="H2609" s="241" t="s">
        <v>13696</v>
      </c>
      <c r="I2609" s="237"/>
      <c r="J2609" s="290"/>
      <c r="K2609" s="275"/>
      <c r="L2609" s="237"/>
      <c r="M2609" s="237"/>
      <c r="N2609" s="237"/>
      <c r="O2609" s="237"/>
      <c r="P2609" s="237"/>
      <c r="Q2609" s="237"/>
      <c r="R2609" s="237"/>
      <c r="S2609" s="237"/>
      <c r="T2609" s="237"/>
      <c r="U2609" s="237"/>
      <c r="V2609" s="237"/>
      <c r="W2609" s="237"/>
      <c r="X2609" s="237"/>
      <c r="Y2609" s="237"/>
      <c r="Z2609" s="237"/>
      <c r="AA2609" s="237"/>
      <c r="AB2609" s="237"/>
    </row>
    <row r="2610">
      <c r="A2610" s="237"/>
      <c r="B2610" s="275"/>
      <c r="C2610" s="88" t="s">
        <v>13697</v>
      </c>
      <c r="D2610" s="236"/>
      <c r="E2610" s="241" t="s">
        <v>11671</v>
      </c>
      <c r="F2610" s="88" t="s">
        <v>1772</v>
      </c>
      <c r="G2610" s="236"/>
      <c r="H2610" s="241" t="s">
        <v>13698</v>
      </c>
      <c r="I2610" s="237"/>
      <c r="J2610" s="290"/>
      <c r="K2610" s="275"/>
      <c r="L2610" s="237"/>
      <c r="M2610" s="237"/>
      <c r="N2610" s="237"/>
      <c r="O2610" s="237"/>
      <c r="P2610" s="237"/>
      <c r="Q2610" s="237"/>
      <c r="R2610" s="237"/>
      <c r="S2610" s="237"/>
      <c r="T2610" s="237"/>
      <c r="U2610" s="237"/>
      <c r="V2610" s="237"/>
      <c r="W2610" s="237"/>
      <c r="X2610" s="237"/>
      <c r="Y2610" s="237"/>
      <c r="Z2610" s="237"/>
      <c r="AA2610" s="237"/>
      <c r="AB2610" s="237"/>
    </row>
    <row r="2611">
      <c r="A2611" s="237"/>
      <c r="B2611" s="275"/>
      <c r="C2611" s="88" t="s">
        <v>13699</v>
      </c>
      <c r="D2611" s="236"/>
      <c r="E2611" s="241" t="s">
        <v>11671</v>
      </c>
      <c r="F2611" s="88" t="s">
        <v>1773</v>
      </c>
      <c r="G2611" s="236"/>
      <c r="H2611" s="241" t="s">
        <v>13700</v>
      </c>
      <c r="I2611" s="237"/>
      <c r="J2611" s="290"/>
      <c r="K2611" s="275"/>
      <c r="L2611" s="237"/>
      <c r="M2611" s="237"/>
      <c r="N2611" s="237"/>
      <c r="O2611" s="237"/>
      <c r="P2611" s="237"/>
      <c r="Q2611" s="237"/>
      <c r="R2611" s="237"/>
      <c r="S2611" s="237"/>
      <c r="T2611" s="237"/>
      <c r="U2611" s="237"/>
      <c r="V2611" s="237"/>
      <c r="W2611" s="237"/>
      <c r="X2611" s="237"/>
      <c r="Y2611" s="237"/>
      <c r="Z2611" s="237"/>
      <c r="AA2611" s="237"/>
      <c r="AB2611" s="237"/>
    </row>
    <row r="2612">
      <c r="A2612" s="237"/>
      <c r="B2612" s="275"/>
      <c r="C2612" s="88" t="s">
        <v>13701</v>
      </c>
      <c r="D2612" s="236"/>
      <c r="E2612" s="241" t="s">
        <v>11671</v>
      </c>
      <c r="F2612" s="88" t="s">
        <v>1774</v>
      </c>
      <c r="G2612" s="236"/>
      <c r="H2612" s="241" t="s">
        <v>13702</v>
      </c>
      <c r="I2612" s="237"/>
      <c r="J2612" s="290"/>
      <c r="K2612" s="275"/>
      <c r="L2612" s="237"/>
      <c r="M2612" s="237"/>
      <c r="N2612" s="237"/>
      <c r="O2612" s="237"/>
      <c r="P2612" s="237"/>
      <c r="Q2612" s="237"/>
      <c r="R2612" s="237"/>
      <c r="S2612" s="237"/>
      <c r="T2612" s="237"/>
      <c r="U2612" s="237"/>
      <c r="V2612" s="237"/>
      <c r="W2612" s="237"/>
      <c r="X2612" s="237"/>
      <c r="Y2612" s="237"/>
      <c r="Z2612" s="237"/>
      <c r="AA2612" s="237"/>
      <c r="AB2612" s="237"/>
    </row>
    <row r="2613">
      <c r="A2613" s="237"/>
      <c r="B2613" s="275"/>
      <c r="C2613" s="88" t="s">
        <v>13703</v>
      </c>
      <c r="D2613" s="236"/>
      <c r="E2613" s="241" t="s">
        <v>11671</v>
      </c>
      <c r="F2613" s="88" t="s">
        <v>1775</v>
      </c>
      <c r="G2613" s="236"/>
      <c r="H2613" s="241" t="s">
        <v>13704</v>
      </c>
      <c r="I2613" s="237"/>
      <c r="J2613" s="290"/>
      <c r="K2613" s="275"/>
      <c r="L2613" s="237"/>
      <c r="M2613" s="237"/>
      <c r="N2613" s="237"/>
      <c r="O2613" s="237"/>
      <c r="P2613" s="237"/>
      <c r="Q2613" s="237"/>
      <c r="R2613" s="237"/>
      <c r="S2613" s="237"/>
      <c r="T2613" s="237"/>
      <c r="U2613" s="237"/>
      <c r="V2613" s="237"/>
      <c r="W2613" s="237"/>
      <c r="X2613" s="237"/>
      <c r="Y2613" s="237"/>
      <c r="Z2613" s="237"/>
      <c r="AA2613" s="237"/>
      <c r="AB2613" s="237"/>
    </row>
    <row r="2614">
      <c r="A2614" s="237"/>
      <c r="B2614" s="275"/>
      <c r="C2614" s="88" t="s">
        <v>13705</v>
      </c>
      <c r="D2614" s="236"/>
      <c r="E2614" s="241" t="s">
        <v>11671</v>
      </c>
      <c r="F2614" s="88" t="s">
        <v>1776</v>
      </c>
      <c r="G2614" s="236"/>
      <c r="H2614" s="241" t="s">
        <v>13706</v>
      </c>
      <c r="I2614" s="237"/>
      <c r="J2614" s="290"/>
      <c r="K2614" s="275"/>
      <c r="L2614" s="237"/>
      <c r="M2614" s="237"/>
      <c r="N2614" s="237"/>
      <c r="O2614" s="237"/>
      <c r="P2614" s="237"/>
      <c r="Q2614" s="237"/>
      <c r="R2614" s="237"/>
      <c r="S2614" s="237"/>
      <c r="T2614" s="237"/>
      <c r="U2614" s="237"/>
      <c r="V2614" s="237"/>
      <c r="W2614" s="237"/>
      <c r="X2614" s="237"/>
      <c r="Y2614" s="237"/>
      <c r="Z2614" s="237"/>
      <c r="AA2614" s="237"/>
      <c r="AB2614" s="237"/>
    </row>
    <row r="2615">
      <c r="A2615" s="237"/>
      <c r="B2615" s="275"/>
      <c r="C2615" s="88" t="s">
        <v>13707</v>
      </c>
      <c r="D2615" s="236"/>
      <c r="E2615" s="241" t="s">
        <v>11671</v>
      </c>
      <c r="F2615" s="88" t="s">
        <v>1777</v>
      </c>
      <c r="G2615" s="236"/>
      <c r="H2615" s="241" t="s">
        <v>13708</v>
      </c>
      <c r="I2615" s="237"/>
      <c r="J2615" s="290"/>
      <c r="K2615" s="275"/>
      <c r="L2615" s="237"/>
      <c r="M2615" s="237"/>
      <c r="N2615" s="237"/>
      <c r="O2615" s="237"/>
      <c r="P2615" s="237"/>
      <c r="Q2615" s="237"/>
      <c r="R2615" s="237"/>
      <c r="S2615" s="237"/>
      <c r="T2615" s="237"/>
      <c r="U2615" s="237"/>
      <c r="V2615" s="237"/>
      <c r="W2615" s="237"/>
      <c r="X2615" s="237"/>
      <c r="Y2615" s="237"/>
      <c r="Z2615" s="237"/>
      <c r="AA2615" s="237"/>
      <c r="AB2615" s="237"/>
    </row>
    <row r="2616">
      <c r="A2616" s="237"/>
      <c r="B2616" s="275"/>
      <c r="C2616" s="88" t="s">
        <v>13709</v>
      </c>
      <c r="D2616" s="236"/>
      <c r="E2616" s="241" t="s">
        <v>11671</v>
      </c>
      <c r="F2616" s="88" t="s">
        <v>1778</v>
      </c>
      <c r="G2616" s="236"/>
      <c r="H2616" s="241" t="s">
        <v>13710</v>
      </c>
      <c r="I2616" s="237"/>
      <c r="J2616" s="290"/>
      <c r="K2616" s="275"/>
      <c r="L2616" s="237"/>
      <c r="M2616" s="237"/>
      <c r="N2616" s="237"/>
      <c r="O2616" s="237"/>
      <c r="P2616" s="237"/>
      <c r="Q2616" s="237"/>
      <c r="R2616" s="237"/>
      <c r="S2616" s="237"/>
      <c r="T2616" s="237"/>
      <c r="U2616" s="237"/>
      <c r="V2616" s="237"/>
      <c r="W2616" s="237"/>
      <c r="X2616" s="237"/>
      <c r="Y2616" s="237"/>
      <c r="Z2616" s="237"/>
      <c r="AA2616" s="237"/>
      <c r="AB2616" s="237"/>
    </row>
    <row r="2617">
      <c r="A2617" s="237"/>
      <c r="B2617" s="275"/>
      <c r="C2617" s="88" t="s">
        <v>13711</v>
      </c>
      <c r="D2617" s="236"/>
      <c r="E2617" s="241" t="s">
        <v>11671</v>
      </c>
      <c r="F2617" s="88" t="s">
        <v>1779</v>
      </c>
      <c r="G2617" s="236"/>
      <c r="H2617" s="241" t="s">
        <v>13712</v>
      </c>
      <c r="I2617" s="237"/>
      <c r="J2617" s="290"/>
      <c r="K2617" s="275"/>
      <c r="L2617" s="237"/>
      <c r="M2617" s="237"/>
      <c r="N2617" s="237"/>
      <c r="O2617" s="237"/>
      <c r="P2617" s="237"/>
      <c r="Q2617" s="237"/>
      <c r="R2617" s="237"/>
      <c r="S2617" s="237"/>
      <c r="T2617" s="237"/>
      <c r="U2617" s="237"/>
      <c r="V2617" s="237"/>
      <c r="W2617" s="237"/>
      <c r="X2617" s="237"/>
      <c r="Y2617" s="237"/>
      <c r="Z2617" s="237"/>
      <c r="AA2617" s="237"/>
      <c r="AB2617" s="237"/>
    </row>
    <row r="2618">
      <c r="A2618" s="237"/>
      <c r="B2618" s="275"/>
      <c r="C2618" s="88" t="s">
        <v>13713</v>
      </c>
      <c r="D2618" s="236"/>
      <c r="E2618" s="241" t="s">
        <v>11671</v>
      </c>
      <c r="F2618" s="88" t="s">
        <v>1780</v>
      </c>
      <c r="G2618" s="236"/>
      <c r="H2618" s="241" t="s">
        <v>13714</v>
      </c>
      <c r="I2618" s="237"/>
      <c r="J2618" s="290"/>
      <c r="K2618" s="275"/>
      <c r="L2618" s="237"/>
      <c r="M2618" s="237"/>
      <c r="N2618" s="237"/>
      <c r="O2618" s="237"/>
      <c r="P2618" s="237"/>
      <c r="Q2618" s="237"/>
      <c r="R2618" s="237"/>
      <c r="S2618" s="237"/>
      <c r="T2618" s="237"/>
      <c r="U2618" s="237"/>
      <c r="V2618" s="237"/>
      <c r="W2618" s="237"/>
      <c r="X2618" s="237"/>
      <c r="Y2618" s="237"/>
      <c r="Z2618" s="237"/>
      <c r="AA2618" s="237"/>
      <c r="AB2618" s="237"/>
    </row>
    <row r="2619">
      <c r="A2619" s="237"/>
      <c r="B2619" s="275"/>
      <c r="C2619" s="88" t="s">
        <v>13715</v>
      </c>
      <c r="D2619" s="236"/>
      <c r="E2619" s="241" t="s">
        <v>11671</v>
      </c>
      <c r="F2619" s="88" t="s">
        <v>1781</v>
      </c>
      <c r="G2619" s="236"/>
      <c r="H2619" s="241" t="s">
        <v>13716</v>
      </c>
      <c r="I2619" s="237"/>
      <c r="J2619" s="290"/>
      <c r="K2619" s="275"/>
      <c r="L2619" s="237"/>
      <c r="M2619" s="237"/>
      <c r="N2619" s="237"/>
      <c r="O2619" s="237"/>
      <c r="P2619" s="237"/>
      <c r="Q2619" s="237"/>
      <c r="R2619" s="237"/>
      <c r="S2619" s="237"/>
      <c r="T2619" s="237"/>
      <c r="U2619" s="237"/>
      <c r="V2619" s="237"/>
      <c r="W2619" s="237"/>
      <c r="X2619" s="237"/>
      <c r="Y2619" s="237"/>
      <c r="Z2619" s="237"/>
      <c r="AA2619" s="237"/>
      <c r="AB2619" s="237"/>
    </row>
    <row r="2620">
      <c r="A2620" s="237"/>
      <c r="B2620" s="275"/>
      <c r="C2620" s="88" t="s">
        <v>13717</v>
      </c>
      <c r="D2620" s="236"/>
      <c r="E2620" s="241" t="s">
        <v>11671</v>
      </c>
      <c r="F2620" s="88" t="s">
        <v>1782</v>
      </c>
      <c r="G2620" s="236"/>
      <c r="H2620" s="241" t="s">
        <v>13718</v>
      </c>
      <c r="I2620" s="237"/>
      <c r="J2620" s="290"/>
      <c r="K2620" s="275"/>
      <c r="L2620" s="237"/>
      <c r="M2620" s="237"/>
      <c r="N2620" s="237"/>
      <c r="O2620" s="237"/>
      <c r="P2620" s="237"/>
      <c r="Q2620" s="237"/>
      <c r="R2620" s="237"/>
      <c r="S2620" s="237"/>
      <c r="T2620" s="237"/>
      <c r="U2620" s="237"/>
      <c r="V2620" s="237"/>
      <c r="W2620" s="237"/>
      <c r="X2620" s="237"/>
      <c r="Y2620" s="237"/>
      <c r="Z2620" s="237"/>
      <c r="AA2620" s="237"/>
      <c r="AB2620" s="237"/>
    </row>
    <row r="2621">
      <c r="A2621" s="237"/>
      <c r="B2621" s="275"/>
      <c r="C2621" s="88" t="s">
        <v>13719</v>
      </c>
      <c r="D2621" s="236"/>
      <c r="E2621" s="241" t="s">
        <v>11671</v>
      </c>
      <c r="F2621" s="88" t="s">
        <v>1783</v>
      </c>
      <c r="G2621" s="236"/>
      <c r="H2621" s="241" t="s">
        <v>13720</v>
      </c>
      <c r="I2621" s="237"/>
      <c r="J2621" s="290"/>
      <c r="K2621" s="275"/>
      <c r="L2621" s="237"/>
      <c r="M2621" s="237"/>
      <c r="N2621" s="237"/>
      <c r="O2621" s="237"/>
      <c r="P2621" s="237"/>
      <c r="Q2621" s="237"/>
      <c r="R2621" s="237"/>
      <c r="S2621" s="237"/>
      <c r="T2621" s="237"/>
      <c r="U2621" s="237"/>
      <c r="V2621" s="237"/>
      <c r="W2621" s="237"/>
      <c r="X2621" s="237"/>
      <c r="Y2621" s="237"/>
      <c r="Z2621" s="237"/>
      <c r="AA2621" s="237"/>
      <c r="AB2621" s="237"/>
    </row>
    <row r="2622">
      <c r="A2622" s="237"/>
      <c r="B2622" s="275"/>
      <c r="C2622" s="88" t="s">
        <v>13721</v>
      </c>
      <c r="D2622" s="236"/>
      <c r="E2622" s="241" t="s">
        <v>11671</v>
      </c>
      <c r="F2622" s="88" t="s">
        <v>1784</v>
      </c>
      <c r="G2622" s="236"/>
      <c r="H2622" s="237" t="s">
        <v>13722</v>
      </c>
      <c r="I2622" s="237"/>
      <c r="J2622" s="290"/>
      <c r="K2622" s="275"/>
      <c r="L2622" s="237"/>
      <c r="M2622" s="237"/>
      <c r="N2622" s="237"/>
      <c r="O2622" s="237"/>
      <c r="P2622" s="237"/>
      <c r="Q2622" s="237"/>
      <c r="R2622" s="237"/>
      <c r="S2622" s="237"/>
      <c r="T2622" s="237"/>
      <c r="U2622" s="237"/>
      <c r="V2622" s="237"/>
      <c r="W2622" s="237"/>
      <c r="X2622" s="237"/>
      <c r="Y2622" s="237"/>
      <c r="Z2622" s="237"/>
      <c r="AA2622" s="237"/>
      <c r="AB2622" s="237"/>
    </row>
    <row r="2623">
      <c r="A2623" s="237"/>
      <c r="B2623" s="275"/>
      <c r="C2623" s="88" t="s">
        <v>13723</v>
      </c>
      <c r="D2623" s="241" t="s">
        <v>13724</v>
      </c>
      <c r="E2623" s="241" t="s">
        <v>11671</v>
      </c>
      <c r="F2623" s="88" t="s">
        <v>1785</v>
      </c>
      <c r="G2623" s="236"/>
      <c r="H2623" s="236"/>
      <c r="I2623" s="237"/>
      <c r="J2623" s="290"/>
      <c r="K2623" s="275"/>
      <c r="L2623" s="237"/>
      <c r="M2623" s="237"/>
      <c r="N2623" s="237"/>
      <c r="O2623" s="237"/>
      <c r="P2623" s="237"/>
      <c r="Q2623" s="237"/>
      <c r="R2623" s="237"/>
      <c r="S2623" s="237"/>
      <c r="T2623" s="237"/>
      <c r="U2623" s="237"/>
      <c r="V2623" s="237"/>
      <c r="W2623" s="237"/>
      <c r="X2623" s="237"/>
      <c r="Y2623" s="237"/>
      <c r="Z2623" s="237"/>
      <c r="AA2623" s="237"/>
      <c r="AB2623" s="237"/>
    </row>
    <row r="2624">
      <c r="A2624" s="237"/>
      <c r="B2624" s="275"/>
      <c r="C2624" s="88" t="s">
        <v>13725</v>
      </c>
      <c r="D2624" s="241" t="s">
        <v>13726</v>
      </c>
      <c r="E2624" s="241" t="s">
        <v>11671</v>
      </c>
      <c r="F2624" s="88" t="s">
        <v>1786</v>
      </c>
      <c r="G2624" s="236"/>
      <c r="H2624" s="236"/>
      <c r="I2624" s="237"/>
      <c r="J2624" s="290"/>
      <c r="K2624" s="275"/>
      <c r="L2624" s="237"/>
      <c r="M2624" s="237"/>
      <c r="N2624" s="237"/>
      <c r="O2624" s="237"/>
      <c r="P2624" s="237"/>
      <c r="Q2624" s="237"/>
      <c r="R2624" s="237"/>
      <c r="S2624" s="237"/>
      <c r="T2624" s="237"/>
      <c r="U2624" s="237"/>
      <c r="V2624" s="237"/>
      <c r="W2624" s="237"/>
      <c r="X2624" s="237"/>
      <c r="Y2624" s="237"/>
      <c r="Z2624" s="237"/>
      <c r="AA2624" s="237"/>
      <c r="AB2624" s="237"/>
    </row>
    <row r="2625">
      <c r="A2625" s="237"/>
      <c r="B2625" s="277" t="s">
        <v>13727</v>
      </c>
      <c r="C2625" s="88" t="s">
        <v>13728</v>
      </c>
      <c r="D2625" s="241" t="s">
        <v>13729</v>
      </c>
      <c r="E2625" s="241" t="s">
        <v>11671</v>
      </c>
      <c r="F2625" s="88" t="s">
        <v>1787</v>
      </c>
      <c r="G2625" s="236"/>
      <c r="H2625" s="236"/>
      <c r="I2625" s="237"/>
      <c r="J2625" s="290"/>
      <c r="K2625" s="277" t="s">
        <v>13727</v>
      </c>
      <c r="L2625" s="237"/>
      <c r="M2625" s="237"/>
      <c r="N2625" s="237"/>
      <c r="O2625" s="237"/>
      <c r="P2625" s="237"/>
      <c r="Q2625" s="237"/>
      <c r="R2625" s="237"/>
      <c r="S2625" s="237"/>
      <c r="T2625" s="237"/>
      <c r="U2625" s="237"/>
      <c r="V2625" s="237"/>
      <c r="W2625" s="237"/>
      <c r="X2625" s="237"/>
      <c r="Y2625" s="237"/>
      <c r="Z2625" s="237"/>
      <c r="AA2625" s="237"/>
      <c r="AB2625" s="237"/>
    </row>
    <row r="2626">
      <c r="A2626" s="237"/>
      <c r="B2626" s="277" t="s">
        <v>13730</v>
      </c>
      <c r="C2626" s="88" t="s">
        <v>13731</v>
      </c>
      <c r="D2626" s="236"/>
      <c r="E2626" s="241" t="s">
        <v>12412</v>
      </c>
      <c r="F2626" s="88" t="s">
        <v>1788</v>
      </c>
      <c r="G2626" s="236"/>
      <c r="H2626" s="236"/>
      <c r="I2626" s="237"/>
      <c r="J2626" s="290"/>
      <c r="K2626" s="277" t="s">
        <v>13730</v>
      </c>
      <c r="L2626" s="237"/>
      <c r="M2626" s="237"/>
      <c r="N2626" s="237"/>
      <c r="O2626" s="237"/>
      <c r="P2626" s="237"/>
      <c r="Q2626" s="237"/>
      <c r="R2626" s="237"/>
      <c r="S2626" s="237"/>
      <c r="T2626" s="237"/>
      <c r="U2626" s="237"/>
      <c r="V2626" s="237"/>
      <c r="W2626" s="237"/>
      <c r="X2626" s="237"/>
      <c r="Y2626" s="237"/>
      <c r="Z2626" s="237"/>
      <c r="AA2626" s="237"/>
      <c r="AB2626" s="237"/>
    </row>
    <row r="2627">
      <c r="A2627" s="237"/>
      <c r="B2627" s="275"/>
      <c r="C2627" s="88" t="s">
        <v>13732</v>
      </c>
      <c r="D2627" s="236"/>
      <c r="E2627" s="241" t="s">
        <v>11671</v>
      </c>
      <c r="F2627" s="88" t="s">
        <v>1789</v>
      </c>
      <c r="G2627" s="236"/>
      <c r="H2627" s="236"/>
      <c r="I2627" s="237"/>
      <c r="J2627" s="290"/>
      <c r="K2627" s="275"/>
      <c r="L2627" s="237"/>
      <c r="M2627" s="237"/>
      <c r="N2627" s="237"/>
      <c r="O2627" s="237"/>
      <c r="P2627" s="237"/>
      <c r="Q2627" s="237"/>
      <c r="R2627" s="237"/>
      <c r="S2627" s="237"/>
      <c r="T2627" s="237"/>
      <c r="U2627" s="237"/>
      <c r="V2627" s="237"/>
      <c r="W2627" s="237"/>
      <c r="X2627" s="237"/>
      <c r="Y2627" s="237"/>
      <c r="Z2627" s="237"/>
      <c r="AA2627" s="237"/>
      <c r="AB2627" s="237"/>
    </row>
    <row r="2628">
      <c r="A2628" s="237"/>
      <c r="B2628" s="275"/>
      <c r="C2628" s="88" t="s">
        <v>13733</v>
      </c>
      <c r="D2628" s="236"/>
      <c r="E2628" s="241" t="s">
        <v>11671</v>
      </c>
      <c r="F2628" s="88" t="s">
        <v>1791</v>
      </c>
      <c r="G2628" s="236"/>
      <c r="H2628" s="236"/>
      <c r="I2628" s="237"/>
      <c r="J2628" s="290"/>
      <c r="K2628" s="275"/>
      <c r="L2628" s="237"/>
      <c r="M2628" s="237"/>
      <c r="N2628" s="237"/>
      <c r="O2628" s="237"/>
      <c r="P2628" s="237"/>
      <c r="Q2628" s="237"/>
      <c r="R2628" s="237"/>
      <c r="S2628" s="237"/>
      <c r="T2628" s="237"/>
      <c r="U2628" s="237"/>
      <c r="V2628" s="237"/>
      <c r="W2628" s="237"/>
      <c r="X2628" s="237"/>
      <c r="Y2628" s="237"/>
      <c r="Z2628" s="237"/>
      <c r="AA2628" s="237"/>
      <c r="AB2628" s="237"/>
    </row>
    <row r="2629">
      <c r="A2629" s="237"/>
      <c r="B2629" s="275"/>
      <c r="C2629" s="88" t="s">
        <v>13734</v>
      </c>
      <c r="D2629" s="236"/>
      <c r="E2629" s="241" t="s">
        <v>12412</v>
      </c>
      <c r="F2629" s="88" t="s">
        <v>1793</v>
      </c>
      <c r="G2629" s="236"/>
      <c r="H2629" s="236"/>
      <c r="I2629" s="237"/>
      <c r="J2629" s="290"/>
      <c r="K2629" s="275"/>
      <c r="L2629" s="237"/>
      <c r="M2629" s="237"/>
      <c r="N2629" s="237"/>
      <c r="O2629" s="237"/>
      <c r="P2629" s="237"/>
      <c r="Q2629" s="237"/>
      <c r="R2629" s="237"/>
      <c r="S2629" s="237"/>
      <c r="T2629" s="237"/>
      <c r="U2629" s="237"/>
      <c r="V2629" s="237"/>
      <c r="W2629" s="237"/>
      <c r="X2629" s="237"/>
      <c r="Y2629" s="237"/>
      <c r="Z2629" s="237"/>
      <c r="AA2629" s="237"/>
      <c r="AB2629" s="237"/>
    </row>
    <row r="2630">
      <c r="A2630" s="237"/>
      <c r="B2630" s="275"/>
      <c r="C2630" s="88" t="s">
        <v>13735</v>
      </c>
      <c r="D2630" s="236"/>
      <c r="E2630" s="241" t="s">
        <v>12412</v>
      </c>
      <c r="F2630" s="88" t="s">
        <v>1794</v>
      </c>
      <c r="G2630" s="236"/>
      <c r="H2630" s="236"/>
      <c r="I2630" s="237"/>
      <c r="J2630" s="290"/>
      <c r="K2630" s="275"/>
      <c r="L2630" s="237"/>
      <c r="M2630" s="237"/>
      <c r="N2630" s="237"/>
      <c r="O2630" s="237"/>
      <c r="P2630" s="237"/>
      <c r="Q2630" s="237"/>
      <c r="R2630" s="237"/>
      <c r="S2630" s="237"/>
      <c r="T2630" s="237"/>
      <c r="U2630" s="237"/>
      <c r="V2630" s="237"/>
      <c r="W2630" s="237"/>
      <c r="X2630" s="237"/>
      <c r="Y2630" s="237"/>
      <c r="Z2630" s="237"/>
      <c r="AA2630" s="237"/>
      <c r="AB2630" s="237"/>
    </row>
    <row r="2631">
      <c r="A2631" s="237"/>
      <c r="B2631" s="275"/>
      <c r="C2631" s="88" t="s">
        <v>13736</v>
      </c>
      <c r="D2631" s="236"/>
      <c r="E2631" s="241" t="s">
        <v>12412</v>
      </c>
      <c r="F2631" s="88" t="s">
        <v>1795</v>
      </c>
      <c r="G2631" s="236"/>
      <c r="H2631" s="236"/>
      <c r="I2631" s="237"/>
      <c r="J2631" s="290"/>
      <c r="K2631" s="275"/>
      <c r="L2631" s="237"/>
      <c r="M2631" s="237"/>
      <c r="N2631" s="237"/>
      <c r="O2631" s="237"/>
      <c r="P2631" s="237"/>
      <c r="Q2631" s="237"/>
      <c r="R2631" s="237"/>
      <c r="S2631" s="237"/>
      <c r="T2631" s="237"/>
      <c r="U2631" s="237"/>
      <c r="V2631" s="237"/>
      <c r="W2631" s="237"/>
      <c r="X2631" s="237"/>
      <c r="Y2631" s="237"/>
      <c r="Z2631" s="237"/>
      <c r="AA2631" s="237"/>
      <c r="AB2631" s="237"/>
    </row>
    <row r="2632">
      <c r="A2632" s="237"/>
      <c r="B2632" s="275"/>
      <c r="C2632" s="88" t="s">
        <v>13093</v>
      </c>
      <c r="D2632" s="236"/>
      <c r="E2632" s="241" t="s">
        <v>12412</v>
      </c>
      <c r="F2632" s="88" t="s">
        <v>1796</v>
      </c>
      <c r="G2632" s="236"/>
      <c r="H2632" s="236"/>
      <c r="I2632" s="237"/>
      <c r="J2632" s="290"/>
      <c r="K2632" s="275"/>
      <c r="L2632" s="237"/>
      <c r="M2632" s="237"/>
      <c r="N2632" s="237"/>
      <c r="O2632" s="237"/>
      <c r="P2632" s="237"/>
      <c r="Q2632" s="237"/>
      <c r="R2632" s="237"/>
      <c r="S2632" s="237"/>
      <c r="T2632" s="237"/>
      <c r="U2632" s="237"/>
      <c r="V2632" s="237"/>
      <c r="W2632" s="237"/>
      <c r="X2632" s="237"/>
      <c r="Y2632" s="237"/>
      <c r="Z2632" s="237"/>
      <c r="AA2632" s="237"/>
      <c r="AB2632" s="237"/>
    </row>
    <row r="2633">
      <c r="A2633" s="237"/>
      <c r="B2633" s="275"/>
      <c r="C2633" s="88" t="s">
        <v>13737</v>
      </c>
      <c r="D2633" s="236"/>
      <c r="E2633" s="241" t="s">
        <v>12412</v>
      </c>
      <c r="F2633" s="88" t="s">
        <v>1797</v>
      </c>
      <c r="G2633" s="236"/>
      <c r="H2633" s="236"/>
      <c r="I2633" s="237"/>
      <c r="J2633" s="290"/>
      <c r="K2633" s="275"/>
      <c r="L2633" s="237"/>
      <c r="M2633" s="237"/>
      <c r="N2633" s="237"/>
      <c r="O2633" s="237"/>
      <c r="P2633" s="237"/>
      <c r="Q2633" s="237"/>
      <c r="R2633" s="237"/>
      <c r="S2633" s="237"/>
      <c r="T2633" s="237"/>
      <c r="U2633" s="237"/>
      <c r="V2633" s="237"/>
      <c r="W2633" s="237"/>
      <c r="X2633" s="237"/>
      <c r="Y2633" s="237"/>
      <c r="Z2633" s="237"/>
      <c r="AA2633" s="237"/>
      <c r="AB2633" s="237"/>
    </row>
    <row r="2634">
      <c r="A2634" s="237"/>
      <c r="B2634" s="275"/>
      <c r="C2634" s="88" t="s">
        <v>13738</v>
      </c>
      <c r="D2634" s="236"/>
      <c r="E2634" s="241" t="s">
        <v>12412</v>
      </c>
      <c r="F2634" s="88" t="s">
        <v>1798</v>
      </c>
      <c r="G2634" s="236"/>
      <c r="H2634" s="236"/>
      <c r="I2634" s="237"/>
      <c r="J2634" s="290"/>
      <c r="K2634" s="275"/>
      <c r="L2634" s="237"/>
      <c r="M2634" s="237"/>
      <c r="N2634" s="237"/>
      <c r="O2634" s="237"/>
      <c r="P2634" s="237"/>
      <c r="Q2634" s="237"/>
      <c r="R2634" s="237"/>
      <c r="S2634" s="237"/>
      <c r="T2634" s="237"/>
      <c r="U2634" s="237"/>
      <c r="V2634" s="237"/>
      <c r="W2634" s="237"/>
      <c r="X2634" s="237"/>
      <c r="Y2634" s="237"/>
      <c r="Z2634" s="237"/>
      <c r="AA2634" s="237"/>
      <c r="AB2634" s="237"/>
    </row>
    <row r="2635">
      <c r="A2635" s="237"/>
      <c r="B2635" s="275"/>
      <c r="C2635" s="88" t="s">
        <v>13739</v>
      </c>
      <c r="D2635" s="236"/>
      <c r="E2635" s="241" t="s">
        <v>12412</v>
      </c>
      <c r="F2635" s="88" t="s">
        <v>1799</v>
      </c>
      <c r="G2635" s="236"/>
      <c r="H2635" s="236"/>
      <c r="I2635" s="237"/>
      <c r="J2635" s="290"/>
      <c r="K2635" s="275"/>
      <c r="L2635" s="237"/>
      <c r="M2635" s="237"/>
      <c r="N2635" s="237"/>
      <c r="O2635" s="237"/>
      <c r="P2635" s="237"/>
      <c r="Q2635" s="237"/>
      <c r="R2635" s="237"/>
      <c r="S2635" s="237"/>
      <c r="T2635" s="237"/>
      <c r="U2635" s="237"/>
      <c r="V2635" s="237"/>
      <c r="W2635" s="237"/>
      <c r="X2635" s="237"/>
      <c r="Y2635" s="237"/>
      <c r="Z2635" s="237"/>
      <c r="AA2635" s="237"/>
      <c r="AB2635" s="237"/>
    </row>
    <row r="2636">
      <c r="A2636" s="237"/>
      <c r="B2636" s="275"/>
      <c r="C2636" s="88" t="s">
        <v>13740</v>
      </c>
      <c r="D2636" s="236"/>
      <c r="E2636" s="241" t="s">
        <v>12412</v>
      </c>
      <c r="F2636" s="88" t="s">
        <v>1800</v>
      </c>
      <c r="G2636" s="236"/>
      <c r="H2636" s="236"/>
      <c r="I2636" s="237"/>
      <c r="J2636" s="290"/>
      <c r="K2636" s="275"/>
      <c r="L2636" s="237"/>
      <c r="M2636" s="237"/>
      <c r="N2636" s="237"/>
      <c r="O2636" s="237"/>
      <c r="P2636" s="237"/>
      <c r="Q2636" s="237"/>
      <c r="R2636" s="237"/>
      <c r="S2636" s="237"/>
      <c r="T2636" s="237"/>
      <c r="U2636" s="237"/>
      <c r="V2636" s="237"/>
      <c r="W2636" s="237"/>
      <c r="X2636" s="237"/>
      <c r="Y2636" s="237"/>
      <c r="Z2636" s="237"/>
      <c r="AA2636" s="237"/>
      <c r="AB2636" s="237"/>
    </row>
    <row r="2637">
      <c r="A2637" s="237"/>
      <c r="B2637" s="275"/>
      <c r="C2637" s="88" t="s">
        <v>13741</v>
      </c>
      <c r="D2637" s="236"/>
      <c r="E2637" s="241" t="s">
        <v>12412</v>
      </c>
      <c r="F2637" s="88" t="s">
        <v>1801</v>
      </c>
      <c r="G2637" s="236"/>
      <c r="H2637" s="236"/>
      <c r="I2637" s="237"/>
      <c r="J2637" s="290"/>
      <c r="K2637" s="275"/>
      <c r="L2637" s="237"/>
      <c r="M2637" s="237"/>
      <c r="N2637" s="237"/>
      <c r="O2637" s="237"/>
      <c r="P2637" s="237"/>
      <c r="Q2637" s="237"/>
      <c r="R2637" s="237"/>
      <c r="S2637" s="237"/>
      <c r="T2637" s="237"/>
      <c r="U2637" s="237"/>
      <c r="V2637" s="237"/>
      <c r="W2637" s="237"/>
      <c r="X2637" s="237"/>
      <c r="Y2637" s="237"/>
      <c r="Z2637" s="237"/>
      <c r="AA2637" s="237"/>
      <c r="AB2637" s="237"/>
    </row>
    <row r="2638">
      <c r="A2638" s="237"/>
      <c r="B2638" s="275"/>
      <c r="C2638" s="88" t="s">
        <v>13742</v>
      </c>
      <c r="D2638" s="236"/>
      <c r="E2638" s="241" t="s">
        <v>12412</v>
      </c>
      <c r="F2638" s="88" t="s">
        <v>1802</v>
      </c>
      <c r="G2638" s="236"/>
      <c r="H2638" s="236"/>
      <c r="I2638" s="237"/>
      <c r="J2638" s="290"/>
      <c r="K2638" s="275"/>
      <c r="L2638" s="237"/>
      <c r="M2638" s="237"/>
      <c r="N2638" s="237"/>
      <c r="O2638" s="237"/>
      <c r="P2638" s="237"/>
      <c r="Q2638" s="237"/>
      <c r="R2638" s="237"/>
      <c r="S2638" s="237"/>
      <c r="T2638" s="237"/>
      <c r="U2638" s="237"/>
      <c r="V2638" s="237"/>
      <c r="W2638" s="237"/>
      <c r="X2638" s="237"/>
      <c r="Y2638" s="237"/>
      <c r="Z2638" s="237"/>
      <c r="AA2638" s="237"/>
      <c r="AB2638" s="237"/>
    </row>
    <row r="2639">
      <c r="A2639" s="237"/>
      <c r="B2639" s="275"/>
      <c r="C2639" s="88" t="s">
        <v>13743</v>
      </c>
      <c r="D2639" s="236"/>
      <c r="E2639" s="241" t="s">
        <v>12412</v>
      </c>
      <c r="F2639" s="88" t="s">
        <v>1803</v>
      </c>
      <c r="G2639" s="236"/>
      <c r="H2639" s="236"/>
      <c r="I2639" s="237"/>
      <c r="J2639" s="290"/>
      <c r="K2639" s="275"/>
      <c r="L2639" s="237"/>
      <c r="M2639" s="237"/>
      <c r="N2639" s="237"/>
      <c r="O2639" s="237"/>
      <c r="P2639" s="237"/>
      <c r="Q2639" s="237"/>
      <c r="R2639" s="237"/>
      <c r="S2639" s="237"/>
      <c r="T2639" s="237"/>
      <c r="U2639" s="237"/>
      <c r="V2639" s="237"/>
      <c r="W2639" s="237"/>
      <c r="X2639" s="237"/>
      <c r="Y2639" s="237"/>
      <c r="Z2639" s="237"/>
      <c r="AA2639" s="237"/>
      <c r="AB2639" s="237"/>
    </row>
    <row r="2640">
      <c r="A2640" s="237"/>
      <c r="B2640" s="275"/>
      <c r="C2640" s="88" t="s">
        <v>13744</v>
      </c>
      <c r="D2640" s="236"/>
      <c r="E2640" s="241" t="s">
        <v>12412</v>
      </c>
      <c r="F2640" s="88" t="s">
        <v>1804</v>
      </c>
      <c r="G2640" s="236"/>
      <c r="H2640" s="236"/>
      <c r="I2640" s="237"/>
      <c r="J2640" s="290"/>
      <c r="K2640" s="275"/>
      <c r="L2640" s="237"/>
      <c r="M2640" s="237"/>
      <c r="N2640" s="237"/>
      <c r="O2640" s="237"/>
      <c r="P2640" s="237"/>
      <c r="Q2640" s="237"/>
      <c r="R2640" s="237"/>
      <c r="S2640" s="237"/>
      <c r="T2640" s="237"/>
      <c r="U2640" s="237"/>
      <c r="V2640" s="237"/>
      <c r="W2640" s="237"/>
      <c r="X2640" s="237"/>
      <c r="Y2640" s="237"/>
      <c r="Z2640" s="237"/>
      <c r="AA2640" s="237"/>
      <c r="AB2640" s="237"/>
    </row>
    <row r="2641">
      <c r="A2641" s="237"/>
      <c r="B2641" s="275"/>
      <c r="C2641" s="88" t="s">
        <v>13745</v>
      </c>
      <c r="D2641" s="236"/>
      <c r="E2641" s="241" t="s">
        <v>12412</v>
      </c>
      <c r="F2641" s="88" t="s">
        <v>1805</v>
      </c>
      <c r="G2641" s="236"/>
      <c r="H2641" s="236"/>
      <c r="I2641" s="237"/>
      <c r="J2641" s="290"/>
      <c r="K2641" s="275"/>
      <c r="L2641" s="237"/>
      <c r="M2641" s="237"/>
      <c r="N2641" s="237"/>
      <c r="O2641" s="237"/>
      <c r="P2641" s="237"/>
      <c r="Q2641" s="237"/>
      <c r="R2641" s="237"/>
      <c r="S2641" s="237"/>
      <c r="T2641" s="237"/>
      <c r="U2641" s="237"/>
      <c r="V2641" s="237"/>
      <c r="W2641" s="237"/>
      <c r="X2641" s="237"/>
      <c r="Y2641" s="237"/>
      <c r="Z2641" s="237"/>
      <c r="AA2641" s="237"/>
      <c r="AB2641" s="237"/>
    </row>
    <row r="2642">
      <c r="A2642" s="237"/>
      <c r="B2642" s="275"/>
      <c r="C2642" s="88" t="s">
        <v>13746</v>
      </c>
      <c r="D2642" s="236"/>
      <c r="E2642" s="241" t="s">
        <v>11671</v>
      </c>
      <c r="F2642" s="88" t="s">
        <v>1840</v>
      </c>
      <c r="G2642" s="88" t="s">
        <v>13747</v>
      </c>
      <c r="H2642" s="236"/>
      <c r="I2642" s="237"/>
      <c r="J2642" s="290"/>
      <c r="K2642" s="275"/>
      <c r="L2642" s="237"/>
      <c r="M2642" s="237"/>
      <c r="N2642" s="237"/>
      <c r="O2642" s="237"/>
      <c r="P2642" s="237"/>
      <c r="Q2642" s="237"/>
      <c r="R2642" s="237"/>
      <c r="S2642" s="237"/>
      <c r="T2642" s="237"/>
      <c r="U2642" s="237"/>
      <c r="V2642" s="237"/>
      <c r="W2642" s="237"/>
      <c r="X2642" s="237"/>
      <c r="Y2642" s="237"/>
      <c r="Z2642" s="237"/>
      <c r="AA2642" s="237"/>
      <c r="AB2642" s="237"/>
    </row>
    <row r="2643">
      <c r="A2643" s="237"/>
      <c r="B2643" s="275"/>
      <c r="C2643" s="88" t="s">
        <v>13748</v>
      </c>
      <c r="D2643" s="236"/>
      <c r="E2643" s="241" t="s">
        <v>11671</v>
      </c>
      <c r="F2643" s="88" t="s">
        <v>1841</v>
      </c>
      <c r="G2643" s="88" t="s">
        <v>13749</v>
      </c>
      <c r="H2643" s="236"/>
      <c r="I2643" s="237"/>
      <c r="J2643" s="290"/>
      <c r="K2643" s="275"/>
      <c r="L2643" s="237"/>
      <c r="M2643" s="237"/>
      <c r="N2643" s="237"/>
      <c r="O2643" s="237"/>
      <c r="P2643" s="237"/>
      <c r="Q2643" s="237"/>
      <c r="R2643" s="237"/>
      <c r="S2643" s="237"/>
      <c r="T2643" s="237"/>
      <c r="U2643" s="237"/>
      <c r="V2643" s="237"/>
      <c r="W2643" s="237"/>
      <c r="X2643" s="237"/>
      <c r="Y2643" s="237"/>
      <c r="Z2643" s="237"/>
      <c r="AA2643" s="237"/>
      <c r="AB2643" s="237"/>
    </row>
    <row r="2644">
      <c r="A2644" s="237"/>
      <c r="B2644" s="275"/>
      <c r="C2644" s="88" t="s">
        <v>13750</v>
      </c>
      <c r="D2644" s="236"/>
      <c r="E2644" s="241" t="s">
        <v>11671</v>
      </c>
      <c r="F2644" s="88" t="s">
        <v>1842</v>
      </c>
      <c r="G2644" s="88" t="s">
        <v>13751</v>
      </c>
      <c r="H2644" s="236"/>
      <c r="I2644" s="237"/>
      <c r="J2644" s="290"/>
      <c r="K2644" s="275"/>
      <c r="L2644" s="237"/>
      <c r="M2644" s="237"/>
      <c r="N2644" s="237"/>
      <c r="O2644" s="237"/>
      <c r="P2644" s="237"/>
      <c r="Q2644" s="237"/>
      <c r="R2644" s="237"/>
      <c r="S2644" s="237"/>
      <c r="T2644" s="237"/>
      <c r="U2644" s="237"/>
      <c r="V2644" s="237"/>
      <c r="W2644" s="237"/>
      <c r="X2644" s="237"/>
      <c r="Y2644" s="237"/>
      <c r="Z2644" s="237"/>
      <c r="AA2644" s="237"/>
      <c r="AB2644" s="237"/>
    </row>
    <row r="2645">
      <c r="A2645" s="237"/>
      <c r="B2645" s="275"/>
      <c r="C2645" s="88" t="s">
        <v>13752</v>
      </c>
      <c r="D2645" s="236"/>
      <c r="E2645" s="241" t="s">
        <v>11671</v>
      </c>
      <c r="F2645" s="88" t="s">
        <v>1843</v>
      </c>
      <c r="G2645" s="88" t="s">
        <v>13753</v>
      </c>
      <c r="H2645" s="236"/>
      <c r="I2645" s="237"/>
      <c r="J2645" s="290"/>
      <c r="K2645" s="275"/>
      <c r="L2645" s="237"/>
      <c r="M2645" s="237"/>
      <c r="N2645" s="237"/>
      <c r="O2645" s="237"/>
      <c r="P2645" s="237"/>
      <c r="Q2645" s="237"/>
      <c r="R2645" s="237"/>
      <c r="S2645" s="237"/>
      <c r="T2645" s="237"/>
      <c r="U2645" s="237"/>
      <c r="V2645" s="237"/>
      <c r="W2645" s="237"/>
      <c r="X2645" s="237"/>
      <c r="Y2645" s="237"/>
      <c r="Z2645" s="237"/>
      <c r="AA2645" s="237"/>
      <c r="AB2645" s="237"/>
    </row>
    <row r="2646">
      <c r="A2646" s="237"/>
      <c r="B2646" s="275"/>
      <c r="C2646" s="88" t="s">
        <v>13754</v>
      </c>
      <c r="D2646" s="236"/>
      <c r="E2646" s="241" t="s">
        <v>11671</v>
      </c>
      <c r="F2646" s="88" t="s">
        <v>1844</v>
      </c>
      <c r="G2646" s="88" t="s">
        <v>13755</v>
      </c>
      <c r="H2646" s="236"/>
      <c r="I2646" s="237"/>
      <c r="J2646" s="290"/>
      <c r="K2646" s="275"/>
      <c r="L2646" s="237"/>
      <c r="M2646" s="237"/>
      <c r="N2646" s="237"/>
      <c r="O2646" s="237"/>
      <c r="P2646" s="237"/>
      <c r="Q2646" s="237"/>
      <c r="R2646" s="237"/>
      <c r="S2646" s="237"/>
      <c r="T2646" s="237"/>
      <c r="U2646" s="237"/>
      <c r="V2646" s="237"/>
      <c r="W2646" s="237"/>
      <c r="X2646" s="237"/>
      <c r="Y2646" s="237"/>
      <c r="Z2646" s="237"/>
      <c r="AA2646" s="237"/>
      <c r="AB2646" s="237"/>
    </row>
    <row r="2647">
      <c r="A2647" s="237"/>
      <c r="B2647" s="275"/>
      <c r="C2647" s="88" t="s">
        <v>13756</v>
      </c>
      <c r="D2647" s="236"/>
      <c r="E2647" s="241" t="s">
        <v>11671</v>
      </c>
      <c r="F2647" s="88" t="s">
        <v>1845</v>
      </c>
      <c r="G2647" s="88" t="s">
        <v>13757</v>
      </c>
      <c r="H2647" s="236"/>
      <c r="I2647" s="237"/>
      <c r="J2647" s="290"/>
      <c r="K2647" s="275"/>
      <c r="L2647" s="237"/>
      <c r="M2647" s="237"/>
      <c r="N2647" s="237"/>
      <c r="O2647" s="237"/>
      <c r="P2647" s="237"/>
      <c r="Q2647" s="237"/>
      <c r="R2647" s="237"/>
      <c r="S2647" s="237"/>
      <c r="T2647" s="237"/>
      <c r="U2647" s="237"/>
      <c r="V2647" s="237"/>
      <c r="W2647" s="237"/>
      <c r="X2647" s="237"/>
      <c r="Y2647" s="237"/>
      <c r="Z2647" s="237"/>
      <c r="AA2647" s="237"/>
      <c r="AB2647" s="237"/>
    </row>
    <row r="2648">
      <c r="A2648" s="237"/>
      <c r="B2648" s="275"/>
      <c r="C2648" s="88" t="s">
        <v>13758</v>
      </c>
      <c r="D2648" s="236"/>
      <c r="E2648" s="241" t="s">
        <v>12412</v>
      </c>
      <c r="F2648" s="88" t="s">
        <v>1865</v>
      </c>
      <c r="G2648" s="88" t="s">
        <v>13759</v>
      </c>
      <c r="H2648" s="236"/>
      <c r="I2648" s="237"/>
      <c r="J2648" s="290"/>
      <c r="K2648" s="275"/>
      <c r="L2648" s="237"/>
      <c r="M2648" s="237"/>
      <c r="N2648" s="237"/>
      <c r="O2648" s="237"/>
      <c r="P2648" s="237"/>
      <c r="Q2648" s="237"/>
      <c r="R2648" s="237"/>
      <c r="S2648" s="237"/>
      <c r="T2648" s="237"/>
      <c r="U2648" s="237"/>
      <c r="V2648" s="237"/>
      <c r="W2648" s="237"/>
      <c r="X2648" s="237"/>
      <c r="Y2648" s="237"/>
      <c r="Z2648" s="237"/>
      <c r="AA2648" s="237"/>
      <c r="AB2648" s="237"/>
    </row>
    <row r="2649">
      <c r="A2649" s="237"/>
      <c r="B2649" s="275"/>
      <c r="C2649" s="88" t="s">
        <v>13760</v>
      </c>
      <c r="D2649" s="236"/>
      <c r="E2649" s="241" t="s">
        <v>11671</v>
      </c>
      <c r="F2649" s="88" t="s">
        <v>1869</v>
      </c>
      <c r="G2649" s="88" t="s">
        <v>13761</v>
      </c>
      <c r="H2649" s="236"/>
      <c r="I2649" s="237"/>
      <c r="J2649" s="290"/>
      <c r="K2649" s="275"/>
      <c r="L2649" s="237"/>
      <c r="M2649" s="237"/>
      <c r="N2649" s="237"/>
      <c r="O2649" s="237"/>
      <c r="P2649" s="237"/>
      <c r="Q2649" s="237"/>
      <c r="R2649" s="237"/>
      <c r="S2649" s="237"/>
      <c r="T2649" s="237"/>
      <c r="U2649" s="237"/>
      <c r="V2649" s="237"/>
      <c r="W2649" s="237"/>
      <c r="X2649" s="237"/>
      <c r="Y2649" s="237"/>
      <c r="Z2649" s="237"/>
      <c r="AA2649" s="237"/>
      <c r="AB2649" s="237"/>
    </row>
    <row r="2650">
      <c r="A2650" s="237"/>
      <c r="B2650" s="275"/>
      <c r="C2650" s="88" t="s">
        <v>13762</v>
      </c>
      <c r="D2650" s="236"/>
      <c r="E2650" s="241" t="s">
        <v>11671</v>
      </c>
      <c r="F2650" s="88" t="s">
        <v>1870</v>
      </c>
      <c r="G2650" s="88" t="s">
        <v>13763</v>
      </c>
      <c r="H2650" s="236"/>
      <c r="I2650" s="237"/>
      <c r="J2650" s="290"/>
      <c r="K2650" s="275"/>
      <c r="L2650" s="237"/>
      <c r="M2650" s="237"/>
      <c r="N2650" s="237"/>
      <c r="O2650" s="237"/>
      <c r="P2650" s="237"/>
      <c r="Q2650" s="237"/>
      <c r="R2650" s="237"/>
      <c r="S2650" s="237"/>
      <c r="T2650" s="237"/>
      <c r="U2650" s="237"/>
      <c r="V2650" s="237"/>
      <c r="W2650" s="237"/>
      <c r="X2650" s="237"/>
      <c r="Y2650" s="237"/>
      <c r="Z2650" s="237"/>
      <c r="AA2650" s="237"/>
      <c r="AB2650" s="237"/>
    </row>
    <row r="2651">
      <c r="A2651" s="237"/>
      <c r="B2651" s="275"/>
      <c r="C2651" s="88" t="s">
        <v>13764</v>
      </c>
      <c r="D2651" s="236"/>
      <c r="E2651" s="241" t="s">
        <v>11671</v>
      </c>
      <c r="F2651" s="88" t="s">
        <v>1868</v>
      </c>
      <c r="G2651" s="88" t="s">
        <v>13765</v>
      </c>
      <c r="H2651" s="236"/>
      <c r="I2651" s="237"/>
      <c r="J2651" s="290"/>
      <c r="K2651" s="275"/>
      <c r="L2651" s="237"/>
      <c r="M2651" s="237"/>
      <c r="N2651" s="237"/>
      <c r="O2651" s="237"/>
      <c r="P2651" s="237"/>
      <c r="Q2651" s="237"/>
      <c r="R2651" s="237"/>
      <c r="S2651" s="237"/>
      <c r="T2651" s="237"/>
      <c r="U2651" s="237"/>
      <c r="V2651" s="237"/>
      <c r="W2651" s="237"/>
      <c r="X2651" s="237"/>
      <c r="Y2651" s="237"/>
      <c r="Z2651" s="237"/>
      <c r="AA2651" s="237"/>
      <c r="AB2651" s="237"/>
    </row>
    <row r="2652">
      <c r="A2652" s="237"/>
      <c r="B2652" s="275"/>
      <c r="C2652" s="88" t="s">
        <v>13766</v>
      </c>
      <c r="D2652" s="236"/>
      <c r="E2652" s="241" t="s">
        <v>11671</v>
      </c>
      <c r="F2652" s="88" t="s">
        <v>1872</v>
      </c>
      <c r="G2652" s="88" t="s">
        <v>13767</v>
      </c>
      <c r="H2652" s="236"/>
      <c r="I2652" s="237"/>
      <c r="J2652" s="290"/>
      <c r="K2652" s="275"/>
      <c r="L2652" s="237"/>
      <c r="M2652" s="237"/>
      <c r="N2652" s="237"/>
      <c r="O2652" s="237"/>
      <c r="P2652" s="237"/>
      <c r="Q2652" s="237"/>
      <c r="R2652" s="237"/>
      <c r="S2652" s="237"/>
      <c r="T2652" s="237"/>
      <c r="U2652" s="237"/>
      <c r="V2652" s="237"/>
      <c r="W2652" s="237"/>
      <c r="X2652" s="237"/>
      <c r="Y2652" s="237"/>
      <c r="Z2652" s="237"/>
      <c r="AA2652" s="237"/>
      <c r="AB2652" s="237"/>
    </row>
    <row r="2653">
      <c r="A2653" s="237"/>
      <c r="B2653" s="275"/>
      <c r="C2653" s="88" t="s">
        <v>13768</v>
      </c>
      <c r="D2653" s="236"/>
      <c r="E2653" s="241" t="s">
        <v>11671</v>
      </c>
      <c r="F2653" s="88" t="s">
        <v>1864</v>
      </c>
      <c r="G2653" s="88" t="s">
        <v>13769</v>
      </c>
      <c r="H2653" s="236"/>
      <c r="I2653" s="237"/>
      <c r="J2653" s="290"/>
      <c r="K2653" s="275"/>
      <c r="L2653" s="237"/>
      <c r="M2653" s="237"/>
      <c r="N2653" s="237"/>
      <c r="O2653" s="237"/>
      <c r="P2653" s="237"/>
      <c r="Q2653" s="237"/>
      <c r="R2653" s="237"/>
      <c r="S2653" s="237"/>
      <c r="T2653" s="237"/>
      <c r="U2653" s="237"/>
      <c r="V2653" s="237"/>
      <c r="W2653" s="237"/>
      <c r="X2653" s="237"/>
      <c r="Y2653" s="237"/>
      <c r="Z2653" s="237"/>
      <c r="AA2653" s="237"/>
      <c r="AB2653" s="237"/>
    </row>
    <row r="2654">
      <c r="A2654" s="237"/>
      <c r="B2654" s="275"/>
      <c r="C2654" s="88" t="s">
        <v>13770</v>
      </c>
      <c r="D2654" s="236"/>
      <c r="E2654" s="241" t="s">
        <v>11671</v>
      </c>
      <c r="F2654" s="88" t="s">
        <v>1867</v>
      </c>
      <c r="G2654" s="88" t="s">
        <v>13771</v>
      </c>
      <c r="H2654" s="236"/>
      <c r="I2654" s="237"/>
      <c r="J2654" s="290"/>
      <c r="K2654" s="275"/>
      <c r="L2654" s="237"/>
      <c r="M2654" s="237"/>
      <c r="N2654" s="237"/>
      <c r="O2654" s="237"/>
      <c r="P2654" s="237"/>
      <c r="Q2654" s="237"/>
      <c r="R2654" s="237"/>
      <c r="S2654" s="237"/>
      <c r="T2654" s="237"/>
      <c r="U2654" s="237"/>
      <c r="V2654" s="237"/>
      <c r="W2654" s="237"/>
      <c r="X2654" s="237"/>
      <c r="Y2654" s="237"/>
      <c r="Z2654" s="237"/>
      <c r="AA2654" s="237"/>
      <c r="AB2654" s="237"/>
    </row>
    <row r="2655">
      <c r="A2655" s="237"/>
      <c r="B2655" s="275"/>
      <c r="C2655" s="88" t="s">
        <v>13772</v>
      </c>
      <c r="D2655" s="236"/>
      <c r="E2655" s="241" t="s">
        <v>11671</v>
      </c>
      <c r="F2655" s="88" t="s">
        <v>1866</v>
      </c>
      <c r="G2655" s="88" t="s">
        <v>13773</v>
      </c>
      <c r="H2655" s="236"/>
      <c r="I2655" s="237"/>
      <c r="J2655" s="290"/>
      <c r="K2655" s="275"/>
      <c r="L2655" s="237"/>
      <c r="M2655" s="237"/>
      <c r="N2655" s="237"/>
      <c r="O2655" s="237"/>
      <c r="P2655" s="237"/>
      <c r="Q2655" s="237"/>
      <c r="R2655" s="237"/>
      <c r="S2655" s="237"/>
      <c r="T2655" s="237"/>
      <c r="U2655" s="237"/>
      <c r="V2655" s="237"/>
      <c r="W2655" s="237"/>
      <c r="X2655" s="237"/>
      <c r="Y2655" s="237"/>
      <c r="Z2655" s="237"/>
      <c r="AA2655" s="237"/>
      <c r="AB2655" s="237"/>
    </row>
    <row r="2656">
      <c r="A2656" s="237"/>
      <c r="B2656" s="275"/>
      <c r="C2656" s="88" t="s">
        <v>13774</v>
      </c>
      <c r="D2656" s="236"/>
      <c r="E2656" s="241" t="s">
        <v>12412</v>
      </c>
      <c r="F2656" s="88" t="s">
        <v>1871</v>
      </c>
      <c r="G2656" s="88" t="s">
        <v>13775</v>
      </c>
      <c r="H2656" s="236"/>
      <c r="I2656" s="237"/>
      <c r="J2656" s="290"/>
      <c r="K2656" s="275"/>
      <c r="L2656" s="237"/>
      <c r="M2656" s="237"/>
      <c r="N2656" s="237"/>
      <c r="O2656" s="237"/>
      <c r="P2656" s="237"/>
      <c r="Q2656" s="237"/>
      <c r="R2656" s="237"/>
      <c r="S2656" s="237"/>
      <c r="T2656" s="237"/>
      <c r="U2656" s="237"/>
      <c r="V2656" s="237"/>
      <c r="W2656" s="237"/>
      <c r="X2656" s="237"/>
      <c r="Y2656" s="237"/>
      <c r="Z2656" s="237"/>
      <c r="AA2656" s="237"/>
      <c r="AB2656" s="237"/>
    </row>
    <row r="2657">
      <c r="A2657" s="237"/>
      <c r="B2657" s="277" t="s">
        <v>13776</v>
      </c>
      <c r="C2657" s="88" t="s">
        <v>13777</v>
      </c>
      <c r="D2657" s="236"/>
      <c r="E2657" s="241" t="s">
        <v>12867</v>
      </c>
      <c r="F2657" s="88" t="s">
        <v>1846</v>
      </c>
      <c r="G2657" s="88" t="s">
        <v>13778</v>
      </c>
      <c r="H2657" s="236"/>
      <c r="I2657" s="237"/>
      <c r="J2657" s="290"/>
      <c r="K2657" s="277" t="s">
        <v>13776</v>
      </c>
      <c r="L2657" s="237"/>
      <c r="M2657" s="237"/>
      <c r="N2657" s="237"/>
      <c r="O2657" s="237"/>
      <c r="P2657" s="237"/>
      <c r="Q2657" s="237"/>
      <c r="R2657" s="237"/>
      <c r="S2657" s="237"/>
      <c r="T2657" s="237"/>
      <c r="U2657" s="237"/>
      <c r="V2657" s="237"/>
      <c r="W2657" s="237"/>
      <c r="X2657" s="237"/>
      <c r="Y2657" s="237"/>
      <c r="Z2657" s="237"/>
      <c r="AA2657" s="237"/>
      <c r="AB2657" s="237"/>
    </row>
    <row r="2658">
      <c r="A2658" s="237"/>
      <c r="B2658" s="277" t="s">
        <v>13779</v>
      </c>
      <c r="C2658" s="88" t="s">
        <v>13780</v>
      </c>
      <c r="D2658" s="236"/>
      <c r="E2658" s="241" t="s">
        <v>12412</v>
      </c>
      <c r="F2658" s="88" t="s">
        <v>1847</v>
      </c>
      <c r="G2658" s="88" t="s">
        <v>13781</v>
      </c>
      <c r="H2658" s="236"/>
      <c r="I2658" s="237"/>
      <c r="J2658" s="290"/>
      <c r="K2658" s="277" t="s">
        <v>13779</v>
      </c>
      <c r="L2658" s="237"/>
      <c r="M2658" s="237"/>
      <c r="N2658" s="237"/>
      <c r="O2658" s="237"/>
      <c r="P2658" s="237"/>
      <c r="Q2658" s="237"/>
      <c r="R2658" s="237"/>
      <c r="S2658" s="237"/>
      <c r="T2658" s="237"/>
      <c r="U2658" s="237"/>
      <c r="V2658" s="237"/>
      <c r="W2658" s="237"/>
      <c r="X2658" s="237"/>
      <c r="Y2658" s="237"/>
      <c r="Z2658" s="237"/>
      <c r="AA2658" s="237"/>
      <c r="AB2658" s="237"/>
    </row>
    <row r="2659">
      <c r="A2659" s="237"/>
      <c r="B2659" s="277" t="s">
        <v>13779</v>
      </c>
      <c r="C2659" s="88" t="s">
        <v>13782</v>
      </c>
      <c r="D2659" s="236"/>
      <c r="E2659" s="241" t="s">
        <v>12412</v>
      </c>
      <c r="F2659" s="88" t="s">
        <v>1848</v>
      </c>
      <c r="G2659" s="88" t="s">
        <v>13783</v>
      </c>
      <c r="H2659" s="236"/>
      <c r="I2659" s="237"/>
      <c r="J2659" s="290"/>
      <c r="K2659" s="277" t="s">
        <v>13779</v>
      </c>
      <c r="L2659" s="237"/>
      <c r="M2659" s="237"/>
      <c r="N2659" s="237"/>
      <c r="O2659" s="237"/>
      <c r="P2659" s="237"/>
      <c r="Q2659" s="237"/>
      <c r="R2659" s="237"/>
      <c r="S2659" s="237"/>
      <c r="T2659" s="237"/>
      <c r="U2659" s="237"/>
      <c r="V2659" s="237"/>
      <c r="W2659" s="237"/>
      <c r="X2659" s="237"/>
      <c r="Y2659" s="237"/>
      <c r="Z2659" s="237"/>
      <c r="AA2659" s="237"/>
      <c r="AB2659" s="237"/>
    </row>
    <row r="2660">
      <c r="A2660" s="237"/>
      <c r="B2660" s="277" t="s">
        <v>13779</v>
      </c>
      <c r="C2660" s="88" t="s">
        <v>13784</v>
      </c>
      <c r="D2660" s="236"/>
      <c r="E2660" s="241" t="s">
        <v>12412</v>
      </c>
      <c r="F2660" s="88" t="s">
        <v>1849</v>
      </c>
      <c r="G2660" s="88" t="s">
        <v>13785</v>
      </c>
      <c r="H2660" s="236"/>
      <c r="I2660" s="237"/>
      <c r="J2660" s="290"/>
      <c r="K2660" s="277" t="s">
        <v>13779</v>
      </c>
      <c r="L2660" s="237"/>
      <c r="M2660" s="237"/>
      <c r="N2660" s="237"/>
      <c r="O2660" s="237"/>
      <c r="P2660" s="237"/>
      <c r="Q2660" s="237"/>
      <c r="R2660" s="237"/>
      <c r="S2660" s="237"/>
      <c r="T2660" s="237"/>
      <c r="U2660" s="237"/>
      <c r="V2660" s="237"/>
      <c r="W2660" s="237"/>
      <c r="X2660" s="237"/>
      <c r="Y2660" s="237"/>
      <c r="Z2660" s="237"/>
      <c r="AA2660" s="237"/>
      <c r="AB2660" s="237"/>
    </row>
    <row r="2661">
      <c r="A2661" s="237"/>
      <c r="B2661" s="277" t="s">
        <v>13786</v>
      </c>
      <c r="C2661" s="88" t="s">
        <v>13787</v>
      </c>
      <c r="D2661" s="236"/>
      <c r="E2661" s="241" t="s">
        <v>12412</v>
      </c>
      <c r="F2661" s="88" t="s">
        <v>1850</v>
      </c>
      <c r="G2661" s="88" t="s">
        <v>13788</v>
      </c>
      <c r="H2661" s="236"/>
      <c r="I2661" s="237"/>
      <c r="J2661" s="290"/>
      <c r="K2661" s="277" t="s">
        <v>13786</v>
      </c>
      <c r="L2661" s="237"/>
      <c r="M2661" s="237"/>
      <c r="N2661" s="237"/>
      <c r="O2661" s="237"/>
      <c r="P2661" s="237"/>
      <c r="Q2661" s="237"/>
      <c r="R2661" s="237"/>
      <c r="S2661" s="237"/>
      <c r="T2661" s="237"/>
      <c r="U2661" s="237"/>
      <c r="V2661" s="237"/>
      <c r="W2661" s="237"/>
      <c r="X2661" s="237"/>
      <c r="Y2661" s="237"/>
      <c r="Z2661" s="237"/>
      <c r="AA2661" s="237"/>
      <c r="AB2661" s="237"/>
    </row>
    <row r="2662">
      <c r="A2662" s="237"/>
      <c r="B2662" s="277" t="s">
        <v>13786</v>
      </c>
      <c r="C2662" s="88" t="s">
        <v>13789</v>
      </c>
      <c r="D2662" s="236"/>
      <c r="E2662" s="241" t="s">
        <v>12412</v>
      </c>
      <c r="F2662" s="88" t="s">
        <v>1851</v>
      </c>
      <c r="G2662" s="88" t="s">
        <v>13790</v>
      </c>
      <c r="H2662" s="236"/>
      <c r="I2662" s="237"/>
      <c r="J2662" s="290"/>
      <c r="K2662" s="277" t="s">
        <v>13786</v>
      </c>
      <c r="L2662" s="237"/>
      <c r="M2662" s="237"/>
      <c r="N2662" s="237"/>
      <c r="O2662" s="237"/>
      <c r="P2662" s="237"/>
      <c r="Q2662" s="237"/>
      <c r="R2662" s="237"/>
      <c r="S2662" s="237"/>
      <c r="T2662" s="237"/>
      <c r="U2662" s="237"/>
      <c r="V2662" s="237"/>
      <c r="W2662" s="237"/>
      <c r="X2662" s="237"/>
      <c r="Y2662" s="237"/>
      <c r="Z2662" s="237"/>
      <c r="AA2662" s="237"/>
      <c r="AB2662" s="237"/>
    </row>
    <row r="2663">
      <c r="A2663" s="237"/>
      <c r="B2663" s="275"/>
      <c r="C2663" s="88" t="s">
        <v>13791</v>
      </c>
      <c r="D2663" s="236"/>
      <c r="E2663" s="241" t="s">
        <v>12412</v>
      </c>
      <c r="F2663" s="88" t="s">
        <v>1852</v>
      </c>
      <c r="G2663" s="88" t="s">
        <v>13792</v>
      </c>
      <c r="H2663" s="236"/>
      <c r="I2663" s="237"/>
      <c r="J2663" s="290"/>
      <c r="K2663" s="275"/>
      <c r="L2663" s="237"/>
      <c r="M2663" s="237"/>
      <c r="N2663" s="237"/>
      <c r="O2663" s="237"/>
      <c r="P2663" s="237"/>
      <c r="Q2663" s="237"/>
      <c r="R2663" s="237"/>
      <c r="S2663" s="237"/>
      <c r="T2663" s="237"/>
      <c r="U2663" s="237"/>
      <c r="V2663" s="237"/>
      <c r="W2663" s="237"/>
      <c r="X2663" s="237"/>
      <c r="Y2663" s="237"/>
      <c r="Z2663" s="237"/>
      <c r="AA2663" s="237"/>
      <c r="AB2663" s="237"/>
    </row>
    <row r="2664">
      <c r="A2664" s="237"/>
      <c r="B2664" s="275"/>
      <c r="C2664" s="88" t="s">
        <v>13793</v>
      </c>
      <c r="D2664" s="236"/>
      <c r="E2664" s="241" t="s">
        <v>12412</v>
      </c>
      <c r="F2664" s="88" t="s">
        <v>1853</v>
      </c>
      <c r="G2664" s="88" t="s">
        <v>13794</v>
      </c>
      <c r="H2664" s="236"/>
      <c r="I2664" s="237"/>
      <c r="J2664" s="290"/>
      <c r="K2664" s="275"/>
      <c r="L2664" s="237"/>
      <c r="M2664" s="237"/>
      <c r="N2664" s="237"/>
      <c r="O2664" s="237"/>
      <c r="P2664" s="237"/>
      <c r="Q2664" s="237"/>
      <c r="R2664" s="237"/>
      <c r="S2664" s="237"/>
      <c r="T2664" s="237"/>
      <c r="U2664" s="237"/>
      <c r="V2664" s="237"/>
      <c r="W2664" s="237"/>
      <c r="X2664" s="237"/>
      <c r="Y2664" s="237"/>
      <c r="Z2664" s="237"/>
      <c r="AA2664" s="237"/>
      <c r="AB2664" s="237"/>
    </row>
    <row r="2665">
      <c r="A2665" s="237"/>
      <c r="B2665" s="275"/>
      <c r="C2665" s="88" t="s">
        <v>13795</v>
      </c>
      <c r="D2665" s="236"/>
      <c r="E2665" s="241" t="s">
        <v>1420</v>
      </c>
      <c r="F2665" s="88" t="s">
        <v>1854</v>
      </c>
      <c r="G2665" s="88" t="s">
        <v>13796</v>
      </c>
      <c r="H2665" s="236"/>
      <c r="I2665" s="237"/>
      <c r="J2665" s="290"/>
      <c r="K2665" s="275"/>
      <c r="L2665" s="237"/>
      <c r="M2665" s="237"/>
      <c r="N2665" s="237"/>
      <c r="O2665" s="237"/>
      <c r="P2665" s="237"/>
      <c r="Q2665" s="237"/>
      <c r="R2665" s="237"/>
      <c r="S2665" s="237"/>
      <c r="T2665" s="237"/>
      <c r="U2665" s="237"/>
      <c r="V2665" s="237"/>
      <c r="W2665" s="237"/>
      <c r="X2665" s="237"/>
      <c r="Y2665" s="237"/>
      <c r="Z2665" s="237"/>
      <c r="AA2665" s="237"/>
      <c r="AB2665" s="237"/>
    </row>
    <row r="2666">
      <c r="A2666" s="237"/>
      <c r="B2666" s="275"/>
      <c r="C2666" s="88" t="s">
        <v>13797</v>
      </c>
      <c r="D2666" s="236"/>
      <c r="E2666" s="241" t="s">
        <v>12412</v>
      </c>
      <c r="F2666" s="88" t="s">
        <v>1855</v>
      </c>
      <c r="G2666" s="88" t="s">
        <v>13798</v>
      </c>
      <c r="H2666" s="236"/>
      <c r="I2666" s="237"/>
      <c r="J2666" s="290"/>
      <c r="K2666" s="275"/>
      <c r="L2666" s="237"/>
      <c r="M2666" s="237"/>
      <c r="N2666" s="237"/>
      <c r="O2666" s="237"/>
      <c r="P2666" s="237"/>
      <c r="Q2666" s="237"/>
      <c r="R2666" s="237"/>
      <c r="S2666" s="237"/>
      <c r="T2666" s="237"/>
      <c r="U2666" s="237"/>
      <c r="V2666" s="237"/>
      <c r="W2666" s="237"/>
      <c r="X2666" s="237"/>
      <c r="Y2666" s="237"/>
      <c r="Z2666" s="237"/>
      <c r="AA2666" s="237"/>
      <c r="AB2666" s="237"/>
    </row>
    <row r="2667">
      <c r="A2667" s="237"/>
      <c r="B2667" s="275"/>
      <c r="C2667" s="88" t="s">
        <v>13799</v>
      </c>
      <c r="D2667" s="236"/>
      <c r="E2667" s="241" t="s">
        <v>1420</v>
      </c>
      <c r="F2667" s="88" t="s">
        <v>1856</v>
      </c>
      <c r="G2667" s="88" t="s">
        <v>13800</v>
      </c>
      <c r="H2667" s="236"/>
      <c r="I2667" s="237"/>
      <c r="J2667" s="290"/>
      <c r="K2667" s="275"/>
      <c r="L2667" s="237"/>
      <c r="M2667" s="237"/>
      <c r="N2667" s="237"/>
      <c r="O2667" s="237"/>
      <c r="P2667" s="237"/>
      <c r="Q2667" s="237"/>
      <c r="R2667" s="237"/>
      <c r="S2667" s="237"/>
      <c r="T2667" s="237"/>
      <c r="U2667" s="237"/>
      <c r="V2667" s="237"/>
      <c r="W2667" s="237"/>
      <c r="X2667" s="237"/>
      <c r="Y2667" s="237"/>
      <c r="Z2667" s="237"/>
      <c r="AA2667" s="237"/>
      <c r="AB2667" s="237"/>
    </row>
    <row r="2668">
      <c r="A2668" s="237"/>
      <c r="B2668" s="275"/>
      <c r="C2668" s="88" t="s">
        <v>13801</v>
      </c>
      <c r="D2668" s="236"/>
      <c r="E2668" s="241" t="s">
        <v>12412</v>
      </c>
      <c r="F2668" s="88" t="s">
        <v>1857</v>
      </c>
      <c r="G2668" s="88" t="s">
        <v>13802</v>
      </c>
      <c r="H2668" s="236"/>
      <c r="I2668" s="237"/>
      <c r="J2668" s="290"/>
      <c r="K2668" s="275"/>
      <c r="L2668" s="237"/>
      <c r="M2668" s="237"/>
      <c r="N2668" s="237"/>
      <c r="O2668" s="237"/>
      <c r="P2668" s="237"/>
      <c r="Q2668" s="237"/>
      <c r="R2668" s="237"/>
      <c r="S2668" s="237"/>
      <c r="T2668" s="237"/>
      <c r="U2668" s="237"/>
      <c r="V2668" s="237"/>
      <c r="W2668" s="237"/>
      <c r="X2668" s="237"/>
      <c r="Y2668" s="237"/>
      <c r="Z2668" s="237"/>
      <c r="AA2668" s="237"/>
      <c r="AB2668" s="237"/>
    </row>
    <row r="2669">
      <c r="A2669" s="237"/>
      <c r="B2669" s="275"/>
      <c r="C2669" s="88" t="s">
        <v>13803</v>
      </c>
      <c r="D2669" s="236"/>
      <c r="E2669" s="241" t="s">
        <v>1420</v>
      </c>
      <c r="F2669" s="88" t="s">
        <v>13804</v>
      </c>
      <c r="G2669" s="236"/>
      <c r="H2669" s="241" t="s">
        <v>13805</v>
      </c>
      <c r="I2669" s="237"/>
      <c r="J2669" s="290"/>
      <c r="K2669" s="275"/>
      <c r="L2669" s="237"/>
      <c r="M2669" s="237"/>
      <c r="N2669" s="237"/>
      <c r="O2669" s="237"/>
      <c r="P2669" s="237"/>
      <c r="Q2669" s="237"/>
      <c r="R2669" s="237"/>
      <c r="S2669" s="237"/>
      <c r="T2669" s="237"/>
      <c r="U2669" s="237"/>
      <c r="V2669" s="237"/>
      <c r="W2669" s="237"/>
      <c r="X2669" s="237"/>
      <c r="Y2669" s="237"/>
      <c r="Z2669" s="237"/>
      <c r="AA2669" s="237"/>
      <c r="AB2669" s="237"/>
    </row>
    <row r="2670">
      <c r="A2670" s="237"/>
      <c r="B2670" s="275"/>
      <c r="C2670" s="88" t="s">
        <v>13806</v>
      </c>
      <c r="D2670" s="236"/>
      <c r="E2670" s="241" t="s">
        <v>1420</v>
      </c>
      <c r="F2670" s="88" t="s">
        <v>13807</v>
      </c>
      <c r="G2670" s="236"/>
      <c r="H2670" s="241" t="s">
        <v>13808</v>
      </c>
      <c r="I2670" s="237"/>
      <c r="J2670" s="290"/>
      <c r="K2670" s="275"/>
      <c r="L2670" s="237"/>
      <c r="M2670" s="237"/>
      <c r="N2670" s="237"/>
      <c r="O2670" s="237"/>
      <c r="P2670" s="237"/>
      <c r="Q2670" s="237"/>
      <c r="R2670" s="237"/>
      <c r="S2670" s="237"/>
      <c r="T2670" s="237"/>
      <c r="U2670" s="237"/>
      <c r="V2670" s="237"/>
      <c r="W2670" s="237"/>
      <c r="X2670" s="237"/>
      <c r="Y2670" s="237"/>
      <c r="Z2670" s="237"/>
      <c r="AA2670" s="237"/>
      <c r="AB2670" s="237"/>
    </row>
    <row r="2671">
      <c r="A2671" s="237"/>
      <c r="B2671" s="275"/>
      <c r="C2671" s="88" t="s">
        <v>13809</v>
      </c>
      <c r="D2671" s="236"/>
      <c r="E2671" s="241" t="s">
        <v>1420</v>
      </c>
      <c r="F2671" s="88" t="s">
        <v>1899</v>
      </c>
      <c r="G2671" s="236"/>
      <c r="H2671" s="241" t="s">
        <v>13810</v>
      </c>
      <c r="I2671" s="237"/>
      <c r="J2671" s="290"/>
      <c r="K2671" s="275"/>
      <c r="L2671" s="237"/>
      <c r="M2671" s="237"/>
      <c r="N2671" s="237"/>
      <c r="O2671" s="237"/>
      <c r="P2671" s="237"/>
      <c r="Q2671" s="237"/>
      <c r="R2671" s="237"/>
      <c r="S2671" s="237"/>
      <c r="T2671" s="237"/>
      <c r="U2671" s="237"/>
      <c r="V2671" s="237"/>
      <c r="W2671" s="237"/>
      <c r="X2671" s="237"/>
      <c r="Y2671" s="237"/>
      <c r="Z2671" s="237"/>
      <c r="AA2671" s="237"/>
      <c r="AB2671" s="237"/>
    </row>
    <row r="2672">
      <c r="A2672" s="237"/>
      <c r="B2672" s="275"/>
      <c r="C2672" s="88" t="s">
        <v>13811</v>
      </c>
      <c r="D2672" s="236"/>
      <c r="E2672" s="241" t="s">
        <v>1420</v>
      </c>
      <c r="F2672" s="88" t="s">
        <v>1900</v>
      </c>
      <c r="G2672" s="236"/>
      <c r="H2672" s="241" t="s">
        <v>13812</v>
      </c>
      <c r="I2672" s="237"/>
      <c r="J2672" s="290"/>
      <c r="K2672" s="275"/>
      <c r="L2672" s="237"/>
      <c r="M2672" s="237"/>
      <c r="N2672" s="237"/>
      <c r="O2672" s="237"/>
      <c r="P2672" s="237"/>
      <c r="Q2672" s="237"/>
      <c r="R2672" s="237"/>
      <c r="S2672" s="237"/>
      <c r="T2672" s="237"/>
      <c r="U2672" s="237"/>
      <c r="V2672" s="237"/>
      <c r="W2672" s="237"/>
      <c r="X2672" s="237"/>
      <c r="Y2672" s="237"/>
      <c r="Z2672" s="237"/>
      <c r="AA2672" s="237"/>
      <c r="AB2672" s="237"/>
    </row>
    <row r="2673">
      <c r="A2673" s="237"/>
      <c r="B2673" s="275"/>
      <c r="C2673" s="88" t="s">
        <v>13813</v>
      </c>
      <c r="D2673" s="236"/>
      <c r="E2673" s="241" t="s">
        <v>1420</v>
      </c>
      <c r="F2673" s="88" t="s">
        <v>1901</v>
      </c>
      <c r="G2673" s="236"/>
      <c r="H2673" s="241" t="s">
        <v>13814</v>
      </c>
      <c r="I2673" s="237"/>
      <c r="J2673" s="290"/>
      <c r="K2673" s="275"/>
      <c r="L2673" s="237"/>
      <c r="M2673" s="237"/>
      <c r="N2673" s="237"/>
      <c r="O2673" s="237"/>
      <c r="P2673" s="237"/>
      <c r="Q2673" s="237"/>
      <c r="R2673" s="237"/>
      <c r="S2673" s="237"/>
      <c r="T2673" s="237"/>
      <c r="U2673" s="237"/>
      <c r="V2673" s="237"/>
      <c r="W2673" s="237"/>
      <c r="X2673" s="237"/>
      <c r="Y2673" s="237"/>
      <c r="Z2673" s="237"/>
      <c r="AA2673" s="237"/>
      <c r="AB2673" s="237"/>
    </row>
    <row r="2674">
      <c r="A2674" s="237"/>
      <c r="B2674" s="275"/>
      <c r="C2674" s="88" t="s">
        <v>13815</v>
      </c>
      <c r="D2674" s="236"/>
      <c r="E2674" s="241" t="s">
        <v>1420</v>
      </c>
      <c r="F2674" s="88" t="s">
        <v>1902</v>
      </c>
      <c r="G2674" s="236"/>
      <c r="H2674" s="241" t="s">
        <v>13816</v>
      </c>
      <c r="I2674" s="237"/>
      <c r="J2674" s="290"/>
      <c r="K2674" s="275"/>
      <c r="L2674" s="237"/>
      <c r="M2674" s="237"/>
      <c r="N2674" s="237"/>
      <c r="O2674" s="237"/>
      <c r="P2674" s="237"/>
      <c r="Q2674" s="237"/>
      <c r="R2674" s="237"/>
      <c r="S2674" s="237"/>
      <c r="T2674" s="237"/>
      <c r="U2674" s="237"/>
      <c r="V2674" s="237"/>
      <c r="W2674" s="237"/>
      <c r="X2674" s="237"/>
      <c r="Y2674" s="237"/>
      <c r="Z2674" s="237"/>
      <c r="AA2674" s="237"/>
      <c r="AB2674" s="237"/>
    </row>
    <row r="2675">
      <c r="A2675" s="237"/>
      <c r="B2675" s="275"/>
      <c r="C2675" s="262" t="s">
        <v>13817</v>
      </c>
      <c r="D2675" s="236"/>
      <c r="E2675" s="241" t="s">
        <v>1420</v>
      </c>
      <c r="F2675" s="262" t="s">
        <v>1903</v>
      </c>
      <c r="G2675" s="236"/>
      <c r="H2675" s="237" t="s">
        <v>13818</v>
      </c>
      <c r="I2675" s="237"/>
      <c r="J2675" s="290"/>
      <c r="K2675" s="275"/>
      <c r="L2675" s="237"/>
      <c r="M2675" s="237"/>
      <c r="N2675" s="237"/>
      <c r="O2675" s="237"/>
      <c r="P2675" s="237"/>
      <c r="Q2675" s="237"/>
      <c r="R2675" s="237"/>
      <c r="S2675" s="237"/>
      <c r="T2675" s="237"/>
      <c r="U2675" s="237"/>
      <c r="V2675" s="237"/>
      <c r="W2675" s="237"/>
      <c r="X2675" s="237"/>
      <c r="Y2675" s="237"/>
      <c r="Z2675" s="237"/>
      <c r="AA2675" s="237"/>
      <c r="AB2675" s="237"/>
    </row>
    <row r="2676">
      <c r="A2676" s="237"/>
      <c r="B2676" s="275"/>
      <c r="C2676" s="262" t="s">
        <v>13819</v>
      </c>
      <c r="D2676" s="236"/>
      <c r="E2676" s="241" t="s">
        <v>1420</v>
      </c>
      <c r="F2676" s="303" t="s">
        <v>1904</v>
      </c>
      <c r="G2676" s="236"/>
      <c r="H2676" s="236"/>
      <c r="I2676" s="237"/>
      <c r="J2676" s="290"/>
      <c r="K2676" s="275"/>
      <c r="L2676" s="237"/>
      <c r="M2676" s="237"/>
      <c r="N2676" s="237"/>
      <c r="O2676" s="237"/>
      <c r="P2676" s="237"/>
      <c r="Q2676" s="237"/>
      <c r="R2676" s="237"/>
      <c r="S2676" s="237"/>
      <c r="T2676" s="237"/>
      <c r="U2676" s="237"/>
      <c r="V2676" s="237"/>
      <c r="W2676" s="237"/>
      <c r="X2676" s="237"/>
      <c r="Y2676" s="237"/>
      <c r="Z2676" s="237"/>
      <c r="AA2676" s="237"/>
      <c r="AB2676" s="237"/>
    </row>
    <row r="2677">
      <c r="A2677" s="237"/>
      <c r="B2677" s="275"/>
      <c r="C2677" s="262" t="s">
        <v>13820</v>
      </c>
      <c r="D2677" s="236"/>
      <c r="E2677" s="241" t="s">
        <v>12412</v>
      </c>
      <c r="F2677" s="262" t="s">
        <v>1905</v>
      </c>
      <c r="G2677" s="236"/>
      <c r="H2677" s="236"/>
      <c r="I2677" s="237"/>
      <c r="J2677" s="290"/>
      <c r="K2677" s="275"/>
      <c r="L2677" s="237"/>
      <c r="M2677" s="237"/>
      <c r="N2677" s="237"/>
      <c r="O2677" s="237"/>
      <c r="P2677" s="237"/>
      <c r="Q2677" s="237"/>
      <c r="R2677" s="237"/>
      <c r="S2677" s="237"/>
      <c r="T2677" s="237"/>
      <c r="U2677" s="237"/>
      <c r="V2677" s="237"/>
      <c r="W2677" s="237"/>
      <c r="X2677" s="237"/>
      <c r="Y2677" s="237"/>
      <c r="Z2677" s="237"/>
      <c r="AA2677" s="237"/>
      <c r="AB2677" s="237"/>
    </row>
    <row r="2678">
      <c r="A2678" s="237"/>
      <c r="B2678" s="275"/>
      <c r="C2678" s="262" t="s">
        <v>13821</v>
      </c>
      <c r="D2678" s="236"/>
      <c r="E2678" s="241" t="s">
        <v>11671</v>
      </c>
      <c r="F2678" s="262" t="s">
        <v>1906</v>
      </c>
      <c r="G2678" s="236"/>
      <c r="H2678" s="241" t="s">
        <v>13822</v>
      </c>
      <c r="I2678" s="237"/>
      <c r="J2678" s="290"/>
      <c r="K2678" s="275"/>
      <c r="L2678" s="237"/>
      <c r="M2678" s="237"/>
      <c r="N2678" s="237"/>
      <c r="O2678" s="237"/>
      <c r="P2678" s="237"/>
      <c r="Q2678" s="237"/>
      <c r="R2678" s="237"/>
      <c r="S2678" s="237"/>
      <c r="T2678" s="237"/>
      <c r="U2678" s="237"/>
      <c r="V2678" s="237"/>
      <c r="W2678" s="237"/>
      <c r="X2678" s="237"/>
      <c r="Y2678" s="237"/>
      <c r="Z2678" s="237"/>
      <c r="AA2678" s="237"/>
      <c r="AB2678" s="237"/>
    </row>
    <row r="2679">
      <c r="A2679" s="237"/>
      <c r="B2679" s="275"/>
      <c r="C2679" s="262" t="s">
        <v>13821</v>
      </c>
      <c r="D2679" s="236"/>
      <c r="E2679" s="241" t="s">
        <v>11671</v>
      </c>
      <c r="F2679" s="262" t="s">
        <v>1907</v>
      </c>
      <c r="G2679" s="236"/>
      <c r="H2679" s="241" t="s">
        <v>13822</v>
      </c>
      <c r="I2679" s="237"/>
      <c r="J2679" s="290"/>
      <c r="K2679" s="275"/>
      <c r="L2679" s="237"/>
      <c r="M2679" s="237"/>
      <c r="N2679" s="237"/>
      <c r="O2679" s="237"/>
      <c r="P2679" s="237"/>
      <c r="Q2679" s="237"/>
      <c r="R2679" s="237"/>
      <c r="S2679" s="237"/>
      <c r="T2679" s="237"/>
      <c r="U2679" s="237"/>
      <c r="V2679" s="237"/>
      <c r="W2679" s="237"/>
      <c r="X2679" s="237"/>
      <c r="Y2679" s="237"/>
      <c r="Z2679" s="237"/>
      <c r="AA2679" s="237"/>
      <c r="AB2679" s="237"/>
    </row>
    <row r="2680">
      <c r="A2680" s="237"/>
      <c r="B2680" s="275"/>
      <c r="C2680" s="262" t="s">
        <v>13823</v>
      </c>
      <c r="D2680" s="236"/>
      <c r="E2680" s="241" t="s">
        <v>11671</v>
      </c>
      <c r="F2680" s="262" t="s">
        <v>1908</v>
      </c>
      <c r="G2680" s="236"/>
      <c r="H2680" s="241" t="s">
        <v>13824</v>
      </c>
      <c r="I2680" s="237"/>
      <c r="J2680" s="290"/>
      <c r="K2680" s="275"/>
      <c r="L2680" s="237"/>
      <c r="M2680" s="237"/>
      <c r="N2680" s="237"/>
      <c r="O2680" s="237"/>
      <c r="P2680" s="237"/>
      <c r="Q2680" s="237"/>
      <c r="R2680" s="237"/>
      <c r="S2680" s="237"/>
      <c r="T2680" s="237"/>
      <c r="U2680" s="237"/>
      <c r="V2680" s="237"/>
      <c r="W2680" s="237"/>
      <c r="X2680" s="237"/>
      <c r="Y2680" s="237"/>
      <c r="Z2680" s="237"/>
      <c r="AA2680" s="237"/>
      <c r="AB2680" s="237"/>
    </row>
    <row r="2681">
      <c r="A2681" s="237"/>
      <c r="B2681" s="275"/>
      <c r="C2681" s="262" t="s">
        <v>13823</v>
      </c>
      <c r="D2681" s="236"/>
      <c r="E2681" s="241" t="s">
        <v>11671</v>
      </c>
      <c r="F2681" s="262" t="s">
        <v>1909</v>
      </c>
      <c r="G2681" s="236"/>
      <c r="H2681" s="241" t="s">
        <v>13824</v>
      </c>
      <c r="I2681" s="237"/>
      <c r="J2681" s="290"/>
      <c r="K2681" s="275"/>
      <c r="L2681" s="237"/>
      <c r="M2681" s="237"/>
      <c r="N2681" s="237"/>
      <c r="O2681" s="237"/>
      <c r="P2681" s="237"/>
      <c r="Q2681" s="237"/>
      <c r="R2681" s="237"/>
      <c r="S2681" s="237"/>
      <c r="T2681" s="237"/>
      <c r="U2681" s="237"/>
      <c r="V2681" s="237"/>
      <c r="W2681" s="237"/>
      <c r="X2681" s="237"/>
      <c r="Y2681" s="237"/>
      <c r="Z2681" s="237"/>
      <c r="AA2681" s="237"/>
      <c r="AB2681" s="237"/>
    </row>
    <row r="2682">
      <c r="A2682" s="237"/>
      <c r="B2682" s="275"/>
      <c r="C2682" s="262" t="s">
        <v>13825</v>
      </c>
      <c r="D2682" s="236"/>
      <c r="E2682" s="241" t="s">
        <v>11671</v>
      </c>
      <c r="F2682" s="262" t="s">
        <v>1910</v>
      </c>
      <c r="G2682" s="236"/>
      <c r="H2682" s="241" t="s">
        <v>13826</v>
      </c>
      <c r="I2682" s="237"/>
      <c r="J2682" s="290"/>
      <c r="K2682" s="275"/>
      <c r="L2682" s="237"/>
      <c r="M2682" s="237"/>
      <c r="N2682" s="237"/>
      <c r="O2682" s="237"/>
      <c r="P2682" s="237"/>
      <c r="Q2682" s="237"/>
      <c r="R2682" s="237"/>
      <c r="S2682" s="237"/>
      <c r="T2682" s="237"/>
      <c r="U2682" s="237"/>
      <c r="V2682" s="237"/>
      <c r="W2682" s="237"/>
      <c r="X2682" s="237"/>
      <c r="Y2682" s="237"/>
      <c r="Z2682" s="237"/>
      <c r="AA2682" s="237"/>
      <c r="AB2682" s="237"/>
    </row>
    <row r="2683">
      <c r="A2683" s="237"/>
      <c r="B2683" s="275"/>
      <c r="C2683" s="262" t="s">
        <v>13825</v>
      </c>
      <c r="D2683" s="236"/>
      <c r="E2683" s="241" t="s">
        <v>11671</v>
      </c>
      <c r="F2683" s="262" t="s">
        <v>1911</v>
      </c>
      <c r="G2683" s="236"/>
      <c r="H2683" s="241" t="s">
        <v>13826</v>
      </c>
      <c r="I2683" s="237"/>
      <c r="J2683" s="290"/>
      <c r="K2683" s="275"/>
      <c r="L2683" s="237"/>
      <c r="M2683" s="237"/>
      <c r="N2683" s="237"/>
      <c r="O2683" s="237"/>
      <c r="P2683" s="237"/>
      <c r="Q2683" s="237"/>
      <c r="R2683" s="237"/>
      <c r="S2683" s="237"/>
      <c r="T2683" s="237"/>
      <c r="U2683" s="237"/>
      <c r="V2683" s="237"/>
      <c r="W2683" s="237"/>
      <c r="X2683" s="237"/>
      <c r="Y2683" s="237"/>
      <c r="Z2683" s="237"/>
      <c r="AA2683" s="237"/>
      <c r="AB2683" s="237"/>
    </row>
    <row r="2684">
      <c r="A2684" s="237"/>
      <c r="B2684" s="275"/>
      <c r="C2684" s="262" t="s">
        <v>13827</v>
      </c>
      <c r="D2684" s="236"/>
      <c r="E2684" s="241" t="s">
        <v>12412</v>
      </c>
      <c r="F2684" s="262" t="s">
        <v>1912</v>
      </c>
      <c r="G2684" s="236"/>
      <c r="H2684" s="236"/>
      <c r="I2684" s="237"/>
      <c r="J2684" s="290"/>
      <c r="K2684" s="275"/>
      <c r="L2684" s="237"/>
      <c r="M2684" s="237"/>
      <c r="N2684" s="237"/>
      <c r="O2684" s="237"/>
      <c r="P2684" s="237"/>
      <c r="Q2684" s="237"/>
      <c r="R2684" s="237"/>
      <c r="S2684" s="237"/>
      <c r="T2684" s="237"/>
      <c r="U2684" s="237"/>
      <c r="V2684" s="237"/>
      <c r="W2684" s="237"/>
      <c r="X2684" s="237"/>
      <c r="Y2684" s="237"/>
      <c r="Z2684" s="237"/>
      <c r="AA2684" s="237"/>
      <c r="AB2684" s="237"/>
    </row>
    <row r="2685">
      <c r="A2685" s="237"/>
      <c r="B2685" s="275"/>
      <c r="C2685" s="262" t="s">
        <v>13828</v>
      </c>
      <c r="D2685" s="236"/>
      <c r="E2685" s="241" t="s">
        <v>12412</v>
      </c>
      <c r="F2685" s="262" t="s">
        <v>1913</v>
      </c>
      <c r="G2685" s="236"/>
      <c r="H2685" s="236"/>
      <c r="I2685" s="237"/>
      <c r="J2685" s="290"/>
      <c r="K2685" s="275"/>
      <c r="L2685" s="237"/>
      <c r="M2685" s="237"/>
      <c r="N2685" s="237"/>
      <c r="O2685" s="237"/>
      <c r="P2685" s="237"/>
      <c r="Q2685" s="237"/>
      <c r="R2685" s="237"/>
      <c r="S2685" s="237"/>
      <c r="T2685" s="237"/>
      <c r="U2685" s="237"/>
      <c r="V2685" s="237"/>
      <c r="W2685" s="237"/>
      <c r="X2685" s="237"/>
      <c r="Y2685" s="237"/>
      <c r="Z2685" s="237"/>
      <c r="AA2685" s="237"/>
      <c r="AB2685" s="237"/>
    </row>
    <row r="2686">
      <c r="A2686" s="237"/>
      <c r="B2686" s="275"/>
      <c r="C2686" s="262" t="s">
        <v>13828</v>
      </c>
      <c r="D2686" s="236"/>
      <c r="E2686" s="241" t="s">
        <v>12412</v>
      </c>
      <c r="F2686" s="262" t="s">
        <v>1914</v>
      </c>
      <c r="G2686" s="236"/>
      <c r="H2686" s="236"/>
      <c r="I2686" s="237"/>
      <c r="J2686" s="290"/>
      <c r="K2686" s="275"/>
      <c r="L2686" s="237"/>
      <c r="M2686" s="237"/>
      <c r="N2686" s="237"/>
      <c r="O2686" s="237"/>
      <c r="P2686" s="237"/>
      <c r="Q2686" s="237"/>
      <c r="R2686" s="237"/>
      <c r="S2686" s="237"/>
      <c r="T2686" s="237"/>
      <c r="U2686" s="237"/>
      <c r="V2686" s="237"/>
      <c r="W2686" s="237"/>
      <c r="X2686" s="237"/>
      <c r="Y2686" s="237"/>
      <c r="Z2686" s="237"/>
      <c r="AA2686" s="237"/>
      <c r="AB2686" s="237"/>
    </row>
    <row r="2687">
      <c r="A2687" s="237"/>
      <c r="B2687" s="275"/>
      <c r="C2687" s="262" t="s">
        <v>13829</v>
      </c>
      <c r="D2687" s="236"/>
      <c r="E2687" s="241" t="s">
        <v>11671</v>
      </c>
      <c r="F2687" s="303" t="s">
        <v>1915</v>
      </c>
      <c r="G2687" s="236"/>
      <c r="H2687" s="88" t="s">
        <v>13830</v>
      </c>
      <c r="I2687" s="237"/>
      <c r="J2687" s="290"/>
      <c r="K2687" s="275"/>
      <c r="L2687" s="237"/>
      <c r="M2687" s="237"/>
      <c r="N2687" s="237"/>
      <c r="O2687" s="237"/>
      <c r="P2687" s="237"/>
      <c r="Q2687" s="237"/>
      <c r="R2687" s="237"/>
      <c r="S2687" s="237"/>
      <c r="T2687" s="237"/>
      <c r="U2687" s="237"/>
      <c r="V2687" s="237"/>
      <c r="W2687" s="237"/>
      <c r="X2687" s="237"/>
      <c r="Y2687" s="237"/>
      <c r="Z2687" s="237"/>
      <c r="AA2687" s="237"/>
      <c r="AB2687" s="237"/>
    </row>
    <row r="2688">
      <c r="A2688" s="237"/>
      <c r="B2688" s="275"/>
      <c r="C2688" s="262" t="s">
        <v>13831</v>
      </c>
      <c r="D2688" s="236"/>
      <c r="E2688" s="241" t="s">
        <v>12412</v>
      </c>
      <c r="F2688" s="262" t="s">
        <v>1916</v>
      </c>
      <c r="G2688" s="236"/>
      <c r="H2688" s="236"/>
      <c r="I2688" s="237"/>
      <c r="J2688" s="290"/>
      <c r="K2688" s="275"/>
      <c r="L2688" s="237"/>
      <c r="M2688" s="237"/>
      <c r="N2688" s="237"/>
      <c r="O2688" s="237"/>
      <c r="P2688" s="237"/>
      <c r="Q2688" s="237"/>
      <c r="R2688" s="237"/>
      <c r="S2688" s="237"/>
      <c r="T2688" s="237"/>
      <c r="U2688" s="237"/>
      <c r="V2688" s="237"/>
      <c r="W2688" s="237"/>
      <c r="X2688" s="237"/>
      <c r="Y2688" s="237"/>
      <c r="Z2688" s="237"/>
      <c r="AA2688" s="237"/>
      <c r="AB2688" s="237"/>
    </row>
    <row r="2689">
      <c r="A2689" s="237"/>
      <c r="B2689" s="275"/>
      <c r="C2689" s="262" t="s">
        <v>13832</v>
      </c>
      <c r="D2689" s="236"/>
      <c r="E2689" s="241" t="s">
        <v>11671</v>
      </c>
      <c r="F2689" s="262" t="s">
        <v>1917</v>
      </c>
      <c r="G2689" s="236"/>
      <c r="H2689" s="88" t="s">
        <v>13833</v>
      </c>
      <c r="I2689" s="237"/>
      <c r="J2689" s="290"/>
      <c r="K2689" s="275"/>
      <c r="L2689" s="237"/>
      <c r="M2689" s="237"/>
      <c r="N2689" s="237"/>
      <c r="O2689" s="237"/>
      <c r="P2689" s="237"/>
      <c r="Q2689" s="237"/>
      <c r="R2689" s="237"/>
      <c r="S2689" s="237"/>
      <c r="T2689" s="237"/>
      <c r="U2689" s="237"/>
      <c r="V2689" s="237"/>
      <c r="W2689" s="237"/>
      <c r="X2689" s="237"/>
      <c r="Y2689" s="237"/>
      <c r="Z2689" s="237"/>
      <c r="AA2689" s="237"/>
      <c r="AB2689" s="237"/>
    </row>
    <row r="2690">
      <c r="A2690" s="237"/>
      <c r="B2690" s="275"/>
      <c r="C2690" s="262" t="s">
        <v>13834</v>
      </c>
      <c r="D2690" s="236"/>
      <c r="E2690" s="241" t="s">
        <v>11671</v>
      </c>
      <c r="F2690" s="262" t="s">
        <v>1918</v>
      </c>
      <c r="G2690" s="236"/>
      <c r="H2690" s="88" t="s">
        <v>13835</v>
      </c>
      <c r="I2690" s="237"/>
      <c r="J2690" s="290"/>
      <c r="K2690" s="275"/>
      <c r="L2690" s="237"/>
      <c r="M2690" s="237"/>
      <c r="N2690" s="237"/>
      <c r="O2690" s="237"/>
      <c r="P2690" s="237"/>
      <c r="Q2690" s="237"/>
      <c r="R2690" s="237"/>
      <c r="S2690" s="237"/>
      <c r="T2690" s="237"/>
      <c r="U2690" s="237"/>
      <c r="V2690" s="237"/>
      <c r="W2690" s="237"/>
      <c r="X2690" s="237"/>
      <c r="Y2690" s="237"/>
      <c r="Z2690" s="237"/>
      <c r="AA2690" s="237"/>
      <c r="AB2690" s="237"/>
    </row>
    <row r="2691">
      <c r="A2691" s="237"/>
      <c r="B2691" s="275"/>
      <c r="C2691" s="262" t="s">
        <v>13836</v>
      </c>
      <c r="D2691" s="236"/>
      <c r="E2691" s="241" t="s">
        <v>11671</v>
      </c>
      <c r="F2691" s="262" t="s">
        <v>1919</v>
      </c>
      <c r="G2691" s="236"/>
      <c r="H2691" s="88" t="s">
        <v>13837</v>
      </c>
      <c r="I2691" s="237"/>
      <c r="J2691" s="290"/>
      <c r="K2691" s="275"/>
      <c r="L2691" s="237"/>
      <c r="M2691" s="237"/>
      <c r="N2691" s="237"/>
      <c r="O2691" s="237"/>
      <c r="P2691" s="237"/>
      <c r="Q2691" s="237"/>
      <c r="R2691" s="237"/>
      <c r="S2691" s="237"/>
      <c r="T2691" s="237"/>
      <c r="U2691" s="237"/>
      <c r="V2691" s="237"/>
      <c r="W2691" s="237"/>
      <c r="X2691" s="237"/>
      <c r="Y2691" s="237"/>
      <c r="Z2691" s="237"/>
      <c r="AA2691" s="237"/>
      <c r="AB2691" s="237"/>
    </row>
    <row r="2692">
      <c r="A2692" s="237"/>
      <c r="B2692" s="275"/>
      <c r="C2692" s="262" t="s">
        <v>13838</v>
      </c>
      <c r="D2692" s="236"/>
      <c r="E2692" s="241" t="s">
        <v>11671</v>
      </c>
      <c r="F2692" s="262" t="s">
        <v>1920</v>
      </c>
      <c r="G2692" s="236"/>
      <c r="H2692" s="88" t="s">
        <v>13839</v>
      </c>
      <c r="I2692" s="237"/>
      <c r="J2692" s="290"/>
      <c r="K2692" s="275"/>
      <c r="L2692" s="237"/>
      <c r="M2692" s="237"/>
      <c r="N2692" s="237"/>
      <c r="O2692" s="237"/>
      <c r="P2692" s="237"/>
      <c r="Q2692" s="237"/>
      <c r="R2692" s="237"/>
      <c r="S2692" s="237"/>
      <c r="T2692" s="237"/>
      <c r="U2692" s="237"/>
      <c r="V2692" s="237"/>
      <c r="W2692" s="237"/>
      <c r="X2692" s="237"/>
      <c r="Y2692" s="237"/>
      <c r="Z2692" s="237"/>
      <c r="AA2692" s="237"/>
      <c r="AB2692" s="237"/>
    </row>
    <row r="2693">
      <c r="A2693" s="237"/>
      <c r="B2693" s="275"/>
      <c r="C2693" s="262" t="s">
        <v>13840</v>
      </c>
      <c r="D2693" s="236"/>
      <c r="E2693" s="241" t="s">
        <v>11671</v>
      </c>
      <c r="F2693" s="262" t="s">
        <v>1921</v>
      </c>
      <c r="G2693" s="236"/>
      <c r="H2693" s="88" t="s">
        <v>13841</v>
      </c>
      <c r="I2693" s="237"/>
      <c r="J2693" s="290"/>
      <c r="K2693" s="275"/>
      <c r="L2693" s="237"/>
      <c r="M2693" s="237"/>
      <c r="N2693" s="237"/>
      <c r="O2693" s="237"/>
      <c r="P2693" s="237"/>
      <c r="Q2693" s="237"/>
      <c r="R2693" s="237"/>
      <c r="S2693" s="237"/>
      <c r="T2693" s="237"/>
      <c r="U2693" s="237"/>
      <c r="V2693" s="237"/>
      <c r="W2693" s="237"/>
      <c r="X2693" s="237"/>
      <c r="Y2693" s="237"/>
      <c r="Z2693" s="237"/>
      <c r="AA2693" s="237"/>
      <c r="AB2693" s="237"/>
    </row>
    <row r="2694">
      <c r="A2694" s="237"/>
      <c r="B2694" s="275"/>
      <c r="C2694" s="262" t="s">
        <v>13842</v>
      </c>
      <c r="D2694" s="236"/>
      <c r="E2694" s="241" t="s">
        <v>11671</v>
      </c>
      <c r="F2694" s="262" t="s">
        <v>1922</v>
      </c>
      <c r="G2694" s="236"/>
      <c r="H2694" s="88" t="s">
        <v>13843</v>
      </c>
      <c r="I2694" s="237"/>
      <c r="J2694" s="290"/>
      <c r="K2694" s="275"/>
      <c r="L2694" s="237"/>
      <c r="M2694" s="237"/>
      <c r="N2694" s="237"/>
      <c r="O2694" s="237"/>
      <c r="P2694" s="237"/>
      <c r="Q2694" s="237"/>
      <c r="R2694" s="237"/>
      <c r="S2694" s="237"/>
      <c r="T2694" s="237"/>
      <c r="U2694" s="237"/>
      <c r="V2694" s="237"/>
      <c r="W2694" s="237"/>
      <c r="X2694" s="237"/>
      <c r="Y2694" s="237"/>
      <c r="Z2694" s="237"/>
      <c r="AA2694" s="237"/>
      <c r="AB2694" s="237"/>
    </row>
    <row r="2695">
      <c r="A2695" s="237"/>
      <c r="B2695" s="275"/>
      <c r="C2695" s="262" t="s">
        <v>13844</v>
      </c>
      <c r="D2695" s="236"/>
      <c r="E2695" s="241" t="s">
        <v>11671</v>
      </c>
      <c r="F2695" s="262" t="s">
        <v>1923</v>
      </c>
      <c r="G2695" s="236"/>
      <c r="H2695" s="88" t="s">
        <v>13845</v>
      </c>
      <c r="I2695" s="237"/>
      <c r="J2695" s="290"/>
      <c r="K2695" s="275"/>
      <c r="L2695" s="237"/>
      <c r="M2695" s="237"/>
      <c r="N2695" s="237"/>
      <c r="O2695" s="237"/>
      <c r="P2695" s="237"/>
      <c r="Q2695" s="237"/>
      <c r="R2695" s="237"/>
      <c r="S2695" s="237"/>
      <c r="T2695" s="237"/>
      <c r="U2695" s="237"/>
      <c r="V2695" s="237"/>
      <c r="W2695" s="237"/>
      <c r="X2695" s="237"/>
      <c r="Y2695" s="237"/>
      <c r="Z2695" s="237"/>
      <c r="AA2695" s="237"/>
      <c r="AB2695" s="237"/>
    </row>
    <row r="2696">
      <c r="A2696" s="237"/>
      <c r="B2696" s="277" t="s">
        <v>13846</v>
      </c>
      <c r="C2696" s="262" t="s">
        <v>13847</v>
      </c>
      <c r="D2696" s="236"/>
      <c r="E2696" s="241" t="s">
        <v>12390</v>
      </c>
      <c r="F2696" s="262" t="s">
        <v>1924</v>
      </c>
      <c r="G2696" s="236"/>
      <c r="H2696" s="236"/>
      <c r="I2696" s="237"/>
      <c r="J2696" s="290"/>
      <c r="K2696" s="277" t="s">
        <v>13846</v>
      </c>
      <c r="L2696" s="237"/>
      <c r="M2696" s="237"/>
      <c r="N2696" s="237"/>
      <c r="O2696" s="237"/>
      <c r="P2696" s="237"/>
      <c r="Q2696" s="237"/>
      <c r="R2696" s="237"/>
      <c r="S2696" s="237"/>
      <c r="T2696" s="237"/>
      <c r="U2696" s="237"/>
      <c r="V2696" s="237"/>
      <c r="W2696" s="237"/>
      <c r="X2696" s="237"/>
      <c r="Y2696" s="237"/>
      <c r="Z2696" s="237"/>
      <c r="AA2696" s="237"/>
      <c r="AB2696" s="237"/>
    </row>
    <row r="2697">
      <c r="A2697" s="237"/>
      <c r="B2697" s="275"/>
      <c r="C2697" s="262" t="s">
        <v>13848</v>
      </c>
      <c r="D2697" s="236"/>
      <c r="E2697" s="241" t="s">
        <v>12412</v>
      </c>
      <c r="F2697" s="262" t="s">
        <v>1925</v>
      </c>
      <c r="G2697" s="236"/>
      <c r="H2697" s="236"/>
      <c r="I2697" s="237"/>
      <c r="J2697" s="290"/>
      <c r="K2697" s="275"/>
      <c r="L2697" s="237"/>
      <c r="M2697" s="237"/>
      <c r="N2697" s="237"/>
      <c r="O2697" s="237"/>
      <c r="P2697" s="237"/>
      <c r="Q2697" s="237"/>
      <c r="R2697" s="237"/>
      <c r="S2697" s="237"/>
      <c r="T2697" s="237"/>
      <c r="U2697" s="237"/>
      <c r="V2697" s="237"/>
      <c r="W2697" s="237"/>
      <c r="X2697" s="237"/>
      <c r="Y2697" s="237"/>
      <c r="Z2697" s="237"/>
      <c r="AA2697" s="237"/>
      <c r="AB2697" s="237"/>
    </row>
    <row r="2698">
      <c r="A2698" s="237"/>
      <c r="B2698" s="275"/>
      <c r="C2698" s="262" t="s">
        <v>13848</v>
      </c>
      <c r="D2698" s="236"/>
      <c r="E2698" s="241" t="s">
        <v>12412</v>
      </c>
      <c r="F2698" s="262" t="s">
        <v>1926</v>
      </c>
      <c r="G2698" s="236"/>
      <c r="H2698" s="236"/>
      <c r="I2698" s="237"/>
      <c r="J2698" s="290"/>
      <c r="K2698" s="275"/>
      <c r="L2698" s="237"/>
      <c r="M2698" s="237"/>
      <c r="N2698" s="237"/>
      <c r="O2698" s="237"/>
      <c r="P2698" s="237"/>
      <c r="Q2698" s="237"/>
      <c r="R2698" s="237"/>
      <c r="S2698" s="237"/>
      <c r="T2698" s="237"/>
      <c r="U2698" s="237"/>
      <c r="V2698" s="237"/>
      <c r="W2698" s="237"/>
      <c r="X2698" s="237"/>
      <c r="Y2698" s="237"/>
      <c r="Z2698" s="237"/>
      <c r="AA2698" s="237"/>
      <c r="AB2698" s="237"/>
    </row>
    <row r="2699">
      <c r="A2699" s="237"/>
      <c r="B2699" s="275"/>
      <c r="C2699" s="262" t="s">
        <v>13849</v>
      </c>
      <c r="D2699" s="236"/>
      <c r="E2699" s="241" t="s">
        <v>11671</v>
      </c>
      <c r="F2699" s="262" t="s">
        <v>1927</v>
      </c>
      <c r="G2699" s="236"/>
      <c r="H2699" s="88" t="s">
        <v>13850</v>
      </c>
      <c r="I2699" s="237"/>
      <c r="J2699" s="290"/>
      <c r="K2699" s="275"/>
      <c r="L2699" s="237"/>
      <c r="M2699" s="237"/>
      <c r="N2699" s="237"/>
      <c r="O2699" s="237"/>
      <c r="P2699" s="237"/>
      <c r="Q2699" s="237"/>
      <c r="R2699" s="237"/>
      <c r="S2699" s="237"/>
      <c r="T2699" s="237"/>
      <c r="U2699" s="237"/>
      <c r="V2699" s="237"/>
      <c r="W2699" s="237"/>
      <c r="X2699" s="237"/>
      <c r="Y2699" s="237"/>
      <c r="Z2699" s="237"/>
      <c r="AA2699" s="237"/>
      <c r="AB2699" s="237"/>
    </row>
    <row r="2700">
      <c r="A2700" s="237"/>
      <c r="B2700" s="275"/>
      <c r="C2700" s="262" t="s">
        <v>13851</v>
      </c>
      <c r="D2700" s="236"/>
      <c r="E2700" s="241" t="s">
        <v>11671</v>
      </c>
      <c r="F2700" s="262" t="s">
        <v>1928</v>
      </c>
      <c r="G2700" s="236"/>
      <c r="H2700" s="88" t="s">
        <v>13852</v>
      </c>
      <c r="I2700" s="237"/>
      <c r="J2700" s="290"/>
      <c r="K2700" s="275"/>
      <c r="L2700" s="237"/>
      <c r="M2700" s="237"/>
      <c r="N2700" s="237"/>
      <c r="O2700" s="237"/>
      <c r="P2700" s="237"/>
      <c r="Q2700" s="237"/>
      <c r="R2700" s="237"/>
      <c r="S2700" s="237"/>
      <c r="T2700" s="237"/>
      <c r="U2700" s="237"/>
      <c r="V2700" s="237"/>
      <c r="W2700" s="237"/>
      <c r="X2700" s="237"/>
      <c r="Y2700" s="237"/>
      <c r="Z2700" s="237"/>
      <c r="AA2700" s="237"/>
      <c r="AB2700" s="237"/>
    </row>
    <row r="2701">
      <c r="A2701" s="237"/>
      <c r="B2701" s="275"/>
      <c r="C2701" s="262" t="s">
        <v>13853</v>
      </c>
      <c r="D2701" s="236"/>
      <c r="E2701" s="241" t="s">
        <v>11671</v>
      </c>
      <c r="F2701" s="262" t="s">
        <v>1929</v>
      </c>
      <c r="G2701" s="236"/>
      <c r="H2701" s="88" t="s">
        <v>13854</v>
      </c>
      <c r="I2701" s="237"/>
      <c r="J2701" s="290"/>
      <c r="K2701" s="275"/>
      <c r="L2701" s="237"/>
      <c r="M2701" s="237"/>
      <c r="N2701" s="237"/>
      <c r="O2701" s="237"/>
      <c r="P2701" s="237"/>
      <c r="Q2701" s="237"/>
      <c r="R2701" s="237"/>
      <c r="S2701" s="237"/>
      <c r="T2701" s="237"/>
      <c r="U2701" s="237"/>
      <c r="V2701" s="237"/>
      <c r="W2701" s="237"/>
      <c r="X2701" s="237"/>
      <c r="Y2701" s="237"/>
      <c r="Z2701" s="237"/>
      <c r="AA2701" s="237"/>
      <c r="AB2701" s="237"/>
    </row>
    <row r="2702">
      <c r="A2702" s="237"/>
      <c r="B2702" s="275"/>
      <c r="C2702" s="262" t="s">
        <v>13855</v>
      </c>
      <c r="D2702" s="236"/>
      <c r="E2702" s="241" t="s">
        <v>11671</v>
      </c>
      <c r="F2702" s="262" t="s">
        <v>1930</v>
      </c>
      <c r="G2702" s="236"/>
      <c r="H2702" s="88" t="s">
        <v>13856</v>
      </c>
      <c r="I2702" s="237"/>
      <c r="J2702" s="290"/>
      <c r="K2702" s="275"/>
      <c r="L2702" s="237"/>
      <c r="M2702" s="237"/>
      <c r="N2702" s="237"/>
      <c r="O2702" s="237"/>
      <c r="P2702" s="237"/>
      <c r="Q2702" s="237"/>
      <c r="R2702" s="237"/>
      <c r="S2702" s="237"/>
      <c r="T2702" s="237"/>
      <c r="U2702" s="237"/>
      <c r="V2702" s="237"/>
      <c r="W2702" s="237"/>
      <c r="X2702" s="237"/>
      <c r="Y2702" s="237"/>
      <c r="Z2702" s="237"/>
      <c r="AA2702" s="237"/>
      <c r="AB2702" s="237"/>
    </row>
    <row r="2703">
      <c r="A2703" s="237"/>
      <c r="B2703" s="275"/>
      <c r="C2703" s="262" t="s">
        <v>13857</v>
      </c>
      <c r="D2703" s="236"/>
      <c r="E2703" s="241" t="s">
        <v>11671</v>
      </c>
      <c r="F2703" s="303" t="s">
        <v>1931</v>
      </c>
      <c r="G2703" s="236"/>
      <c r="H2703" s="88" t="s">
        <v>13858</v>
      </c>
      <c r="I2703" s="237"/>
      <c r="J2703" s="290"/>
      <c r="K2703" s="275"/>
      <c r="L2703" s="237"/>
      <c r="M2703" s="237"/>
      <c r="N2703" s="237"/>
      <c r="O2703" s="237"/>
      <c r="P2703" s="237"/>
      <c r="Q2703" s="237"/>
      <c r="R2703" s="237"/>
      <c r="S2703" s="237"/>
      <c r="T2703" s="237"/>
      <c r="U2703" s="237"/>
      <c r="V2703" s="237"/>
      <c r="W2703" s="237"/>
      <c r="X2703" s="237"/>
      <c r="Y2703" s="237"/>
      <c r="Z2703" s="237"/>
      <c r="AA2703" s="237"/>
      <c r="AB2703" s="237"/>
    </row>
    <row r="2704">
      <c r="A2704" s="237"/>
      <c r="B2704" s="275"/>
      <c r="C2704" s="262" t="s">
        <v>13857</v>
      </c>
      <c r="D2704" s="236"/>
      <c r="E2704" s="241" t="s">
        <v>11671</v>
      </c>
      <c r="F2704" s="262" t="s">
        <v>1932</v>
      </c>
      <c r="G2704" s="236"/>
      <c r="H2704" s="88" t="s">
        <v>13858</v>
      </c>
      <c r="I2704" s="237"/>
      <c r="J2704" s="290"/>
      <c r="K2704" s="275"/>
      <c r="L2704" s="237"/>
      <c r="M2704" s="237"/>
      <c r="N2704" s="237"/>
      <c r="O2704" s="237"/>
      <c r="P2704" s="237"/>
      <c r="Q2704" s="237"/>
      <c r="R2704" s="237"/>
      <c r="S2704" s="237"/>
      <c r="T2704" s="237"/>
      <c r="U2704" s="237"/>
      <c r="V2704" s="237"/>
      <c r="W2704" s="237"/>
      <c r="X2704" s="237"/>
      <c r="Y2704" s="237"/>
      <c r="Z2704" s="237"/>
      <c r="AA2704" s="237"/>
      <c r="AB2704" s="237"/>
    </row>
    <row r="2705">
      <c r="A2705" s="237"/>
      <c r="B2705" s="275"/>
      <c r="C2705" s="262" t="s">
        <v>13859</v>
      </c>
      <c r="D2705" s="236"/>
      <c r="E2705" s="241" t="s">
        <v>11671</v>
      </c>
      <c r="F2705" s="303" t="s">
        <v>1933</v>
      </c>
      <c r="G2705" s="236"/>
      <c r="H2705" s="88" t="s">
        <v>13860</v>
      </c>
      <c r="I2705" s="237"/>
      <c r="J2705" s="290"/>
      <c r="K2705" s="275"/>
      <c r="L2705" s="237"/>
      <c r="M2705" s="237"/>
      <c r="N2705" s="237"/>
      <c r="O2705" s="237"/>
      <c r="P2705" s="237"/>
      <c r="Q2705" s="237"/>
      <c r="R2705" s="237"/>
      <c r="S2705" s="237"/>
      <c r="T2705" s="237"/>
      <c r="U2705" s="237"/>
      <c r="V2705" s="237"/>
      <c r="W2705" s="237"/>
      <c r="X2705" s="237"/>
      <c r="Y2705" s="237"/>
      <c r="Z2705" s="237"/>
      <c r="AA2705" s="237"/>
      <c r="AB2705" s="237"/>
    </row>
    <row r="2706">
      <c r="A2706" s="237"/>
      <c r="B2706" s="275"/>
      <c r="C2706" s="262" t="s">
        <v>13861</v>
      </c>
      <c r="D2706" s="236"/>
      <c r="E2706" s="241" t="s">
        <v>12412</v>
      </c>
      <c r="F2706" s="262" t="s">
        <v>1934</v>
      </c>
      <c r="G2706" s="236"/>
      <c r="H2706" s="236"/>
      <c r="I2706" s="237"/>
      <c r="J2706" s="290"/>
      <c r="K2706" s="275"/>
      <c r="L2706" s="237"/>
      <c r="M2706" s="237"/>
      <c r="N2706" s="237"/>
      <c r="O2706" s="237"/>
      <c r="P2706" s="237"/>
      <c r="Q2706" s="237"/>
      <c r="R2706" s="237"/>
      <c r="S2706" s="237"/>
      <c r="T2706" s="237"/>
      <c r="U2706" s="237"/>
      <c r="V2706" s="237"/>
      <c r="W2706" s="237"/>
      <c r="X2706" s="237"/>
      <c r="Y2706" s="237"/>
      <c r="Z2706" s="237"/>
      <c r="AA2706" s="237"/>
      <c r="AB2706" s="237"/>
    </row>
    <row r="2707">
      <c r="A2707" s="237"/>
      <c r="B2707" s="275"/>
      <c r="C2707" s="262" t="s">
        <v>13862</v>
      </c>
      <c r="D2707" s="236"/>
      <c r="E2707" s="241" t="s">
        <v>12412</v>
      </c>
      <c r="F2707" s="262" t="s">
        <v>1936</v>
      </c>
      <c r="G2707" s="236"/>
      <c r="H2707" s="236"/>
      <c r="I2707" s="237"/>
      <c r="J2707" s="290"/>
      <c r="K2707" s="275"/>
      <c r="L2707" s="237"/>
      <c r="M2707" s="237"/>
      <c r="N2707" s="237"/>
      <c r="O2707" s="237"/>
      <c r="P2707" s="237"/>
      <c r="Q2707" s="237"/>
      <c r="R2707" s="237"/>
      <c r="S2707" s="237"/>
      <c r="T2707" s="237"/>
      <c r="U2707" s="237"/>
      <c r="V2707" s="237"/>
      <c r="W2707" s="237"/>
      <c r="X2707" s="237"/>
      <c r="Y2707" s="237"/>
      <c r="Z2707" s="237"/>
      <c r="AA2707" s="237"/>
      <c r="AB2707" s="237"/>
    </row>
    <row r="2708">
      <c r="A2708" s="237"/>
      <c r="B2708" s="275"/>
      <c r="C2708" s="262" t="s">
        <v>13863</v>
      </c>
      <c r="D2708" s="236"/>
      <c r="E2708" s="241" t="s">
        <v>12412</v>
      </c>
      <c r="F2708" s="262" t="s">
        <v>1937</v>
      </c>
      <c r="G2708" s="236"/>
      <c r="H2708" s="236"/>
      <c r="I2708" s="237"/>
      <c r="J2708" s="290"/>
      <c r="K2708" s="275"/>
      <c r="L2708" s="237"/>
      <c r="M2708" s="237"/>
      <c r="N2708" s="237"/>
      <c r="O2708" s="237"/>
      <c r="P2708" s="237"/>
      <c r="Q2708" s="237"/>
      <c r="R2708" s="237"/>
      <c r="S2708" s="237"/>
      <c r="T2708" s="237"/>
      <c r="U2708" s="237"/>
      <c r="V2708" s="237"/>
      <c r="W2708" s="237"/>
      <c r="X2708" s="237"/>
      <c r="Y2708" s="237"/>
      <c r="Z2708" s="237"/>
      <c r="AA2708" s="237"/>
      <c r="AB2708" s="237"/>
    </row>
    <row r="2709">
      <c r="A2709" s="237"/>
      <c r="B2709" s="275"/>
      <c r="C2709" s="262" t="s">
        <v>13864</v>
      </c>
      <c r="D2709" s="236"/>
      <c r="E2709" s="241" t="s">
        <v>12412</v>
      </c>
      <c r="F2709" s="262" t="s">
        <v>1938</v>
      </c>
      <c r="G2709" s="236"/>
      <c r="H2709" s="236"/>
      <c r="I2709" s="237"/>
      <c r="J2709" s="290"/>
      <c r="K2709" s="275"/>
      <c r="L2709" s="237"/>
      <c r="M2709" s="237"/>
      <c r="N2709" s="237"/>
      <c r="O2709" s="237"/>
      <c r="P2709" s="237"/>
      <c r="Q2709" s="237"/>
      <c r="R2709" s="237"/>
      <c r="S2709" s="237"/>
      <c r="T2709" s="237"/>
      <c r="U2709" s="237"/>
      <c r="V2709" s="237"/>
      <c r="W2709" s="237"/>
      <c r="X2709" s="237"/>
      <c r="Y2709" s="237"/>
      <c r="Z2709" s="237"/>
      <c r="AA2709" s="237"/>
      <c r="AB2709" s="237"/>
    </row>
    <row r="2710">
      <c r="A2710" s="237"/>
      <c r="B2710" s="275"/>
      <c r="C2710" s="262" t="s">
        <v>13865</v>
      </c>
      <c r="D2710" s="236"/>
      <c r="E2710" s="241" t="s">
        <v>12412</v>
      </c>
      <c r="F2710" s="262" t="s">
        <v>1939</v>
      </c>
      <c r="G2710" s="236"/>
      <c r="H2710" s="236"/>
      <c r="I2710" s="237"/>
      <c r="J2710" s="290"/>
      <c r="K2710" s="275"/>
      <c r="L2710" s="237"/>
      <c r="M2710" s="237"/>
      <c r="N2710" s="237"/>
      <c r="O2710" s="237"/>
      <c r="P2710" s="237"/>
      <c r="Q2710" s="237"/>
      <c r="R2710" s="237"/>
      <c r="S2710" s="237"/>
      <c r="T2710" s="237"/>
      <c r="U2710" s="237"/>
      <c r="V2710" s="237"/>
      <c r="W2710" s="237"/>
      <c r="X2710" s="237"/>
      <c r="Y2710" s="237"/>
      <c r="Z2710" s="237"/>
      <c r="AA2710" s="237"/>
      <c r="AB2710" s="237"/>
    </row>
    <row r="2711">
      <c r="A2711" s="237"/>
      <c r="B2711" s="275"/>
      <c r="C2711" s="262" t="s">
        <v>13866</v>
      </c>
      <c r="D2711" s="236"/>
      <c r="E2711" s="241" t="s">
        <v>12412</v>
      </c>
      <c r="F2711" s="262" t="s">
        <v>1940</v>
      </c>
      <c r="G2711" s="236"/>
      <c r="H2711" s="236"/>
      <c r="I2711" s="237"/>
      <c r="J2711" s="290"/>
      <c r="K2711" s="275"/>
      <c r="L2711" s="237"/>
      <c r="M2711" s="237"/>
      <c r="N2711" s="237"/>
      <c r="O2711" s="237"/>
      <c r="P2711" s="237"/>
      <c r="Q2711" s="237"/>
      <c r="R2711" s="237"/>
      <c r="S2711" s="237"/>
      <c r="T2711" s="237"/>
      <c r="U2711" s="237"/>
      <c r="V2711" s="237"/>
      <c r="W2711" s="237"/>
      <c r="X2711" s="237"/>
      <c r="Y2711" s="237"/>
      <c r="Z2711" s="237"/>
      <c r="AA2711" s="237"/>
      <c r="AB2711" s="237"/>
    </row>
    <row r="2712">
      <c r="A2712" s="237"/>
      <c r="B2712" s="275"/>
      <c r="C2712" s="262" t="s">
        <v>13867</v>
      </c>
      <c r="D2712" s="236"/>
      <c r="E2712" s="241" t="s">
        <v>12412</v>
      </c>
      <c r="F2712" s="262" t="s">
        <v>1941</v>
      </c>
      <c r="G2712" s="236"/>
      <c r="H2712" s="236"/>
      <c r="I2712" s="237"/>
      <c r="J2712" s="290"/>
      <c r="K2712" s="275"/>
      <c r="L2712" s="237"/>
      <c r="M2712" s="237"/>
      <c r="N2712" s="237"/>
      <c r="O2712" s="237"/>
      <c r="P2712" s="237"/>
      <c r="Q2712" s="237"/>
      <c r="R2712" s="237"/>
      <c r="S2712" s="237"/>
      <c r="T2712" s="237"/>
      <c r="U2712" s="237"/>
      <c r="V2712" s="237"/>
      <c r="W2712" s="237"/>
      <c r="X2712" s="237"/>
      <c r="Y2712" s="237"/>
      <c r="Z2712" s="237"/>
      <c r="AA2712" s="237"/>
      <c r="AB2712" s="237"/>
    </row>
    <row r="2713">
      <c r="A2713" s="237"/>
      <c r="B2713" s="275"/>
      <c r="C2713" s="262" t="s">
        <v>13868</v>
      </c>
      <c r="D2713" s="236"/>
      <c r="E2713" s="241" t="s">
        <v>12412</v>
      </c>
      <c r="F2713" s="262" t="s">
        <v>1942</v>
      </c>
      <c r="G2713" s="236"/>
      <c r="H2713" s="236"/>
      <c r="I2713" s="237"/>
      <c r="J2713" s="290"/>
      <c r="K2713" s="275"/>
      <c r="L2713" s="237"/>
      <c r="M2713" s="237"/>
      <c r="N2713" s="237"/>
      <c r="O2713" s="237"/>
      <c r="P2713" s="237"/>
      <c r="Q2713" s="237"/>
      <c r="R2713" s="237"/>
      <c r="S2713" s="237"/>
      <c r="T2713" s="237"/>
      <c r="U2713" s="237"/>
      <c r="V2713" s="237"/>
      <c r="W2713" s="237"/>
      <c r="X2713" s="237"/>
      <c r="Y2713" s="237"/>
      <c r="Z2713" s="237"/>
      <c r="AA2713" s="237"/>
      <c r="AB2713" s="237"/>
    </row>
    <row r="2714">
      <c r="A2714" s="237"/>
      <c r="B2714" s="275"/>
      <c r="C2714" s="262" t="s">
        <v>13869</v>
      </c>
      <c r="D2714" s="236"/>
      <c r="E2714" s="241" t="s">
        <v>12412</v>
      </c>
      <c r="F2714" s="262" t="s">
        <v>1944</v>
      </c>
      <c r="G2714" s="236"/>
      <c r="H2714" s="236"/>
      <c r="I2714" s="237"/>
      <c r="J2714" s="290"/>
      <c r="K2714" s="275"/>
      <c r="L2714" s="237"/>
      <c r="M2714" s="237"/>
      <c r="N2714" s="237"/>
      <c r="O2714" s="237"/>
      <c r="P2714" s="237"/>
      <c r="Q2714" s="237"/>
      <c r="R2714" s="237"/>
      <c r="S2714" s="237"/>
      <c r="T2714" s="237"/>
      <c r="U2714" s="237"/>
      <c r="V2714" s="237"/>
      <c r="W2714" s="237"/>
      <c r="X2714" s="237"/>
      <c r="Y2714" s="237"/>
      <c r="Z2714" s="237"/>
      <c r="AA2714" s="237"/>
      <c r="AB2714" s="237"/>
    </row>
    <row r="2715">
      <c r="A2715" s="237"/>
      <c r="B2715" s="275"/>
      <c r="C2715" s="262" t="s">
        <v>13870</v>
      </c>
      <c r="D2715" s="236"/>
      <c r="E2715" s="241" t="s">
        <v>12412</v>
      </c>
      <c r="F2715" s="262" t="s">
        <v>1945</v>
      </c>
      <c r="G2715" s="236"/>
      <c r="H2715" s="236"/>
      <c r="I2715" s="237"/>
      <c r="J2715" s="290"/>
      <c r="K2715" s="275"/>
      <c r="L2715" s="237"/>
      <c r="M2715" s="237"/>
      <c r="N2715" s="237"/>
      <c r="O2715" s="237"/>
      <c r="P2715" s="237"/>
      <c r="Q2715" s="237"/>
      <c r="R2715" s="237"/>
      <c r="S2715" s="237"/>
      <c r="T2715" s="237"/>
      <c r="U2715" s="237"/>
      <c r="V2715" s="237"/>
      <c r="W2715" s="237"/>
      <c r="X2715" s="237"/>
      <c r="Y2715" s="237"/>
      <c r="Z2715" s="237"/>
      <c r="AA2715" s="237"/>
      <c r="AB2715" s="237"/>
    </row>
    <row r="2716">
      <c r="A2716" s="237"/>
      <c r="B2716" s="275"/>
      <c r="C2716" s="262" t="s">
        <v>13871</v>
      </c>
      <c r="D2716" s="236"/>
      <c r="E2716" s="241" t="s">
        <v>12412</v>
      </c>
      <c r="F2716" s="262" t="s">
        <v>1946</v>
      </c>
      <c r="G2716" s="236"/>
      <c r="H2716" s="236"/>
      <c r="I2716" s="237"/>
      <c r="J2716" s="290"/>
      <c r="K2716" s="275"/>
      <c r="L2716" s="237"/>
      <c r="M2716" s="237"/>
      <c r="N2716" s="237"/>
      <c r="O2716" s="237"/>
      <c r="P2716" s="237"/>
      <c r="Q2716" s="237"/>
      <c r="R2716" s="237"/>
      <c r="S2716" s="237"/>
      <c r="T2716" s="237"/>
      <c r="U2716" s="237"/>
      <c r="V2716" s="237"/>
      <c r="W2716" s="237"/>
      <c r="X2716" s="237"/>
      <c r="Y2716" s="237"/>
      <c r="Z2716" s="237"/>
      <c r="AA2716" s="237"/>
      <c r="AB2716" s="237"/>
    </row>
    <row r="2717">
      <c r="A2717" s="237"/>
      <c r="B2717" s="275"/>
      <c r="C2717" s="262" t="s">
        <v>13872</v>
      </c>
      <c r="D2717" s="236"/>
      <c r="E2717" s="241" t="s">
        <v>12412</v>
      </c>
      <c r="F2717" s="262" t="s">
        <v>1947</v>
      </c>
      <c r="G2717" s="236"/>
      <c r="H2717" s="236"/>
      <c r="I2717" s="237"/>
      <c r="J2717" s="290"/>
      <c r="K2717" s="275"/>
      <c r="L2717" s="237"/>
      <c r="M2717" s="237"/>
      <c r="N2717" s="237"/>
      <c r="O2717" s="237"/>
      <c r="P2717" s="237"/>
      <c r="Q2717" s="237"/>
      <c r="R2717" s="237"/>
      <c r="S2717" s="237"/>
      <c r="T2717" s="237"/>
      <c r="U2717" s="237"/>
      <c r="V2717" s="237"/>
      <c r="W2717" s="237"/>
      <c r="X2717" s="237"/>
      <c r="Y2717" s="237"/>
      <c r="Z2717" s="237"/>
      <c r="AA2717" s="237"/>
      <c r="AB2717" s="237"/>
    </row>
    <row r="2718">
      <c r="A2718" s="237"/>
      <c r="B2718" s="275"/>
      <c r="C2718" s="262" t="s">
        <v>13873</v>
      </c>
      <c r="D2718" s="236"/>
      <c r="E2718" s="241" t="s">
        <v>12412</v>
      </c>
      <c r="F2718" s="262" t="s">
        <v>1948</v>
      </c>
      <c r="G2718" s="236"/>
      <c r="H2718" s="236"/>
      <c r="I2718" s="237"/>
      <c r="J2718" s="290"/>
      <c r="K2718" s="275"/>
      <c r="L2718" s="237"/>
      <c r="M2718" s="237"/>
      <c r="N2718" s="237"/>
      <c r="O2718" s="237"/>
      <c r="P2718" s="237"/>
      <c r="Q2718" s="237"/>
      <c r="R2718" s="237"/>
      <c r="S2718" s="237"/>
      <c r="T2718" s="237"/>
      <c r="U2718" s="237"/>
      <c r="V2718" s="237"/>
      <c r="W2718" s="237"/>
      <c r="X2718" s="237"/>
      <c r="Y2718" s="237"/>
      <c r="Z2718" s="237"/>
      <c r="AA2718" s="237"/>
      <c r="AB2718" s="237"/>
    </row>
    <row r="2719">
      <c r="A2719" s="237"/>
      <c r="B2719" s="275"/>
      <c r="C2719" s="262" t="s">
        <v>13874</v>
      </c>
      <c r="D2719" s="236"/>
      <c r="E2719" s="241" t="s">
        <v>12412</v>
      </c>
      <c r="F2719" s="262" t="s">
        <v>1949</v>
      </c>
      <c r="G2719" s="236"/>
      <c r="H2719" s="236"/>
      <c r="I2719" s="237"/>
      <c r="J2719" s="290"/>
      <c r="K2719" s="275"/>
      <c r="L2719" s="237"/>
      <c r="M2719" s="237"/>
      <c r="N2719" s="237"/>
      <c r="O2719" s="237"/>
      <c r="P2719" s="237"/>
      <c r="Q2719" s="237"/>
      <c r="R2719" s="237"/>
      <c r="S2719" s="237"/>
      <c r="T2719" s="237"/>
      <c r="U2719" s="237"/>
      <c r="V2719" s="237"/>
      <c r="W2719" s="237"/>
      <c r="X2719" s="237"/>
      <c r="Y2719" s="237"/>
      <c r="Z2719" s="237"/>
      <c r="AA2719" s="237"/>
      <c r="AB2719" s="237"/>
    </row>
    <row r="2720">
      <c r="A2720" s="237"/>
      <c r="B2720" s="275"/>
      <c r="C2720" s="262" t="s">
        <v>13875</v>
      </c>
      <c r="D2720" s="236"/>
      <c r="E2720" s="241" t="s">
        <v>12412</v>
      </c>
      <c r="F2720" s="262" t="s">
        <v>1950</v>
      </c>
      <c r="G2720" s="236"/>
      <c r="H2720" s="236"/>
      <c r="I2720" s="237"/>
      <c r="J2720" s="290"/>
      <c r="K2720" s="275"/>
      <c r="L2720" s="237"/>
      <c r="M2720" s="237"/>
      <c r="N2720" s="237"/>
      <c r="O2720" s="237"/>
      <c r="P2720" s="237"/>
      <c r="Q2720" s="237"/>
      <c r="R2720" s="237"/>
      <c r="S2720" s="237"/>
      <c r="T2720" s="237"/>
      <c r="U2720" s="237"/>
      <c r="V2720" s="237"/>
      <c r="W2720" s="237"/>
      <c r="X2720" s="237"/>
      <c r="Y2720" s="237"/>
      <c r="Z2720" s="237"/>
      <c r="AA2720" s="237"/>
      <c r="AB2720" s="237"/>
    </row>
    <row r="2721">
      <c r="A2721" s="237"/>
      <c r="B2721" s="275"/>
      <c r="C2721" s="262" t="s">
        <v>13876</v>
      </c>
      <c r="D2721" s="236"/>
      <c r="E2721" s="241" t="s">
        <v>12412</v>
      </c>
      <c r="F2721" s="262" t="s">
        <v>1652</v>
      </c>
      <c r="G2721" s="236"/>
      <c r="H2721" s="236"/>
      <c r="I2721" s="237"/>
      <c r="J2721" s="290"/>
      <c r="K2721" s="275"/>
      <c r="L2721" s="237"/>
      <c r="M2721" s="237"/>
      <c r="N2721" s="237"/>
      <c r="O2721" s="237"/>
      <c r="P2721" s="237"/>
      <c r="Q2721" s="237"/>
      <c r="R2721" s="237"/>
      <c r="S2721" s="237"/>
      <c r="T2721" s="237"/>
      <c r="U2721" s="237"/>
      <c r="V2721" s="237"/>
      <c r="W2721" s="237"/>
      <c r="X2721" s="237"/>
      <c r="Y2721" s="237"/>
      <c r="Z2721" s="237"/>
      <c r="AA2721" s="237"/>
      <c r="AB2721" s="237"/>
    </row>
    <row r="2722">
      <c r="A2722" s="237"/>
      <c r="B2722" s="275"/>
      <c r="C2722" s="262" t="s">
        <v>13877</v>
      </c>
      <c r="D2722" s="236"/>
      <c r="E2722" s="241" t="s">
        <v>12412</v>
      </c>
      <c r="F2722" s="262" t="s">
        <v>1951</v>
      </c>
      <c r="G2722" s="236"/>
      <c r="H2722" s="236"/>
      <c r="I2722" s="237"/>
      <c r="J2722" s="290"/>
      <c r="K2722" s="275"/>
      <c r="L2722" s="237"/>
      <c r="M2722" s="237"/>
      <c r="N2722" s="237"/>
      <c r="O2722" s="237"/>
      <c r="P2722" s="237"/>
      <c r="Q2722" s="237"/>
      <c r="R2722" s="237"/>
      <c r="S2722" s="237"/>
      <c r="T2722" s="237"/>
      <c r="U2722" s="237"/>
      <c r="V2722" s="237"/>
      <c r="W2722" s="237"/>
      <c r="X2722" s="237"/>
      <c r="Y2722" s="237"/>
      <c r="Z2722" s="237"/>
      <c r="AA2722" s="237"/>
      <c r="AB2722" s="237"/>
    </row>
    <row r="2723">
      <c r="A2723" s="237"/>
      <c r="B2723" s="275"/>
      <c r="C2723" s="262" t="s">
        <v>13878</v>
      </c>
      <c r="D2723" s="236"/>
      <c r="E2723" s="241" t="s">
        <v>12412</v>
      </c>
      <c r="F2723" s="262" t="s">
        <v>1952</v>
      </c>
      <c r="G2723" s="236"/>
      <c r="H2723" s="236"/>
      <c r="I2723" s="237"/>
      <c r="J2723" s="290"/>
      <c r="K2723" s="275"/>
      <c r="L2723" s="237"/>
      <c r="M2723" s="237"/>
      <c r="N2723" s="237"/>
      <c r="O2723" s="237"/>
      <c r="P2723" s="237"/>
      <c r="Q2723" s="237"/>
      <c r="R2723" s="237"/>
      <c r="S2723" s="237"/>
      <c r="T2723" s="237"/>
      <c r="U2723" s="237"/>
      <c r="V2723" s="237"/>
      <c r="W2723" s="237"/>
      <c r="X2723" s="237"/>
      <c r="Y2723" s="237"/>
      <c r="Z2723" s="237"/>
      <c r="AA2723" s="237"/>
      <c r="AB2723" s="237"/>
    </row>
    <row r="2724">
      <c r="A2724" s="237"/>
      <c r="B2724" s="275"/>
      <c r="C2724" s="262" t="s">
        <v>13879</v>
      </c>
      <c r="D2724" s="236"/>
      <c r="E2724" s="241" t="s">
        <v>12412</v>
      </c>
      <c r="F2724" s="262" t="s">
        <v>1953</v>
      </c>
      <c r="G2724" s="236"/>
      <c r="H2724" s="236"/>
      <c r="I2724" s="237"/>
      <c r="J2724" s="290"/>
      <c r="K2724" s="275"/>
      <c r="L2724" s="237"/>
      <c r="M2724" s="237"/>
      <c r="N2724" s="237"/>
      <c r="O2724" s="237"/>
      <c r="P2724" s="237"/>
      <c r="Q2724" s="237"/>
      <c r="R2724" s="237"/>
      <c r="S2724" s="237"/>
      <c r="T2724" s="237"/>
      <c r="U2724" s="237"/>
      <c r="V2724" s="237"/>
      <c r="W2724" s="237"/>
      <c r="X2724" s="237"/>
      <c r="Y2724" s="237"/>
      <c r="Z2724" s="237"/>
      <c r="AA2724" s="237"/>
      <c r="AB2724" s="237"/>
    </row>
    <row r="2725">
      <c r="A2725" s="237"/>
      <c r="B2725" s="275"/>
      <c r="C2725" s="262" t="s">
        <v>13880</v>
      </c>
      <c r="D2725" s="241" t="s">
        <v>1954</v>
      </c>
      <c r="E2725" s="241" t="s">
        <v>12412</v>
      </c>
      <c r="F2725" s="262" t="s">
        <v>1955</v>
      </c>
      <c r="G2725" s="236"/>
      <c r="H2725" s="236"/>
      <c r="I2725" s="237"/>
      <c r="J2725" s="290"/>
      <c r="K2725" s="275"/>
      <c r="L2725" s="237"/>
      <c r="M2725" s="237"/>
      <c r="N2725" s="237"/>
      <c r="O2725" s="237"/>
      <c r="P2725" s="237"/>
      <c r="Q2725" s="237"/>
      <c r="R2725" s="237"/>
      <c r="S2725" s="237"/>
      <c r="T2725" s="237"/>
      <c r="U2725" s="237"/>
      <c r="V2725" s="237"/>
      <c r="W2725" s="237"/>
      <c r="X2725" s="237"/>
      <c r="Y2725" s="237"/>
      <c r="Z2725" s="237"/>
      <c r="AA2725" s="237"/>
      <c r="AB2725" s="237"/>
    </row>
    <row r="2726">
      <c r="A2726" s="237"/>
      <c r="B2726" s="275"/>
      <c r="C2726" s="262" t="s">
        <v>13881</v>
      </c>
      <c r="D2726" s="241" t="s">
        <v>1956</v>
      </c>
      <c r="E2726" s="241" t="s">
        <v>12412</v>
      </c>
      <c r="F2726" s="262" t="s">
        <v>1892</v>
      </c>
      <c r="G2726" s="236"/>
      <c r="H2726" s="236"/>
      <c r="I2726" s="237"/>
      <c r="J2726" s="290"/>
      <c r="K2726" s="275"/>
      <c r="L2726" s="237"/>
      <c r="M2726" s="237"/>
      <c r="N2726" s="237"/>
      <c r="O2726" s="237"/>
      <c r="P2726" s="237"/>
      <c r="Q2726" s="237"/>
      <c r="R2726" s="237"/>
      <c r="S2726" s="237"/>
      <c r="T2726" s="237"/>
      <c r="U2726" s="237"/>
      <c r="V2726" s="237"/>
      <c r="W2726" s="237"/>
      <c r="X2726" s="237"/>
      <c r="Y2726" s="237"/>
      <c r="Z2726" s="237"/>
      <c r="AA2726" s="237"/>
      <c r="AB2726" s="237"/>
    </row>
    <row r="2727">
      <c r="A2727" s="237"/>
      <c r="B2727" s="275"/>
      <c r="C2727" s="262" t="s">
        <v>13882</v>
      </c>
      <c r="D2727" s="241" t="s">
        <v>1957</v>
      </c>
      <c r="E2727" s="241" t="s">
        <v>12412</v>
      </c>
      <c r="F2727" s="262" t="s">
        <v>1958</v>
      </c>
      <c r="G2727" s="236"/>
      <c r="H2727" s="236"/>
      <c r="I2727" s="237"/>
      <c r="J2727" s="290"/>
      <c r="K2727" s="275"/>
      <c r="L2727" s="237"/>
      <c r="M2727" s="237"/>
      <c r="N2727" s="237"/>
      <c r="O2727" s="237"/>
      <c r="P2727" s="237"/>
      <c r="Q2727" s="237"/>
      <c r="R2727" s="237"/>
      <c r="S2727" s="237"/>
      <c r="T2727" s="237"/>
      <c r="U2727" s="237"/>
      <c r="V2727" s="237"/>
      <c r="W2727" s="237"/>
      <c r="X2727" s="237"/>
      <c r="Y2727" s="237"/>
      <c r="Z2727" s="237"/>
      <c r="AA2727" s="237"/>
      <c r="AB2727" s="237"/>
    </row>
    <row r="2728">
      <c r="A2728" s="237"/>
      <c r="B2728" s="275"/>
      <c r="C2728" s="262" t="s">
        <v>13883</v>
      </c>
      <c r="D2728" s="241" t="s">
        <v>1959</v>
      </c>
      <c r="E2728" s="241" t="s">
        <v>12412</v>
      </c>
      <c r="F2728" s="262" t="s">
        <v>1894</v>
      </c>
      <c r="G2728" s="236"/>
      <c r="H2728" s="236"/>
      <c r="I2728" s="237"/>
      <c r="J2728" s="290"/>
      <c r="K2728" s="275"/>
      <c r="L2728" s="237"/>
      <c r="M2728" s="237"/>
      <c r="N2728" s="237"/>
      <c r="O2728" s="237"/>
      <c r="P2728" s="237"/>
      <c r="Q2728" s="237"/>
      <c r="R2728" s="237"/>
      <c r="S2728" s="237"/>
      <c r="T2728" s="237"/>
      <c r="U2728" s="237"/>
      <c r="V2728" s="237"/>
      <c r="W2728" s="237"/>
      <c r="X2728" s="237"/>
      <c r="Y2728" s="237"/>
      <c r="Z2728" s="237"/>
      <c r="AA2728" s="237"/>
      <c r="AB2728" s="237"/>
    </row>
    <row r="2729">
      <c r="A2729" s="237"/>
      <c r="B2729" s="275"/>
      <c r="C2729" s="262" t="s">
        <v>13884</v>
      </c>
      <c r="D2729" s="241" t="s">
        <v>1960</v>
      </c>
      <c r="E2729" s="241" t="s">
        <v>12412</v>
      </c>
      <c r="F2729" s="262" t="s">
        <v>1961</v>
      </c>
      <c r="G2729" s="236"/>
      <c r="H2729" s="236"/>
      <c r="I2729" s="237"/>
      <c r="J2729" s="290"/>
      <c r="K2729" s="275"/>
      <c r="L2729" s="237"/>
      <c r="M2729" s="237"/>
      <c r="N2729" s="237"/>
      <c r="O2729" s="237"/>
      <c r="P2729" s="237"/>
      <c r="Q2729" s="237"/>
      <c r="R2729" s="237"/>
      <c r="S2729" s="237"/>
      <c r="T2729" s="237"/>
      <c r="U2729" s="237"/>
      <c r="V2729" s="237"/>
      <c r="W2729" s="237"/>
      <c r="X2729" s="237"/>
      <c r="Y2729" s="237"/>
      <c r="Z2729" s="237"/>
      <c r="AA2729" s="237"/>
      <c r="AB2729" s="237"/>
    </row>
    <row r="2730">
      <c r="A2730" s="237"/>
      <c r="B2730" s="275"/>
      <c r="C2730" s="262" t="s">
        <v>13885</v>
      </c>
      <c r="D2730" s="241" t="s">
        <v>1962</v>
      </c>
      <c r="E2730" s="241" t="s">
        <v>12412</v>
      </c>
      <c r="F2730" s="262" t="s">
        <v>1963</v>
      </c>
      <c r="G2730" s="236"/>
      <c r="H2730" s="236"/>
      <c r="I2730" s="237"/>
      <c r="J2730" s="290"/>
      <c r="K2730" s="275"/>
      <c r="L2730" s="237"/>
      <c r="M2730" s="237"/>
      <c r="N2730" s="237"/>
      <c r="O2730" s="237"/>
      <c r="P2730" s="237"/>
      <c r="Q2730" s="237"/>
      <c r="R2730" s="237"/>
      <c r="S2730" s="237"/>
      <c r="T2730" s="237"/>
      <c r="U2730" s="237"/>
      <c r="V2730" s="237"/>
      <c r="W2730" s="237"/>
      <c r="X2730" s="237"/>
      <c r="Y2730" s="237"/>
      <c r="Z2730" s="237"/>
      <c r="AA2730" s="237"/>
      <c r="AB2730" s="237"/>
    </row>
    <row r="2731">
      <c r="A2731" s="237"/>
      <c r="B2731" s="275"/>
      <c r="C2731" s="262" t="s">
        <v>13886</v>
      </c>
      <c r="D2731" s="241" t="s">
        <v>1964</v>
      </c>
      <c r="E2731" s="241" t="s">
        <v>12412</v>
      </c>
      <c r="F2731" s="262" t="s">
        <v>1965</v>
      </c>
      <c r="G2731" s="236"/>
      <c r="H2731" s="236"/>
      <c r="I2731" s="237"/>
      <c r="J2731" s="290"/>
      <c r="K2731" s="275"/>
      <c r="L2731" s="237"/>
      <c r="M2731" s="237"/>
      <c r="N2731" s="237"/>
      <c r="O2731" s="237"/>
      <c r="P2731" s="237"/>
      <c r="Q2731" s="237"/>
      <c r="R2731" s="237"/>
      <c r="S2731" s="237"/>
      <c r="T2731" s="237"/>
      <c r="U2731" s="237"/>
      <c r="V2731" s="237"/>
      <c r="W2731" s="237"/>
      <c r="X2731" s="237"/>
      <c r="Y2731" s="237"/>
      <c r="Z2731" s="237"/>
      <c r="AA2731" s="237"/>
      <c r="AB2731" s="237"/>
    </row>
    <row r="2732">
      <c r="A2732" s="237"/>
      <c r="B2732" s="275"/>
      <c r="C2732" s="262" t="s">
        <v>13887</v>
      </c>
      <c r="D2732" s="241" t="s">
        <v>1966</v>
      </c>
      <c r="E2732" s="241" t="s">
        <v>12412</v>
      </c>
      <c r="F2732" s="262" t="s">
        <v>1967</v>
      </c>
      <c r="G2732" s="236"/>
      <c r="H2732" s="236"/>
      <c r="I2732" s="237"/>
      <c r="J2732" s="290"/>
      <c r="K2732" s="275"/>
      <c r="L2732" s="237"/>
      <c r="M2732" s="237"/>
      <c r="N2732" s="237"/>
      <c r="O2732" s="237"/>
      <c r="P2732" s="237"/>
      <c r="Q2732" s="237"/>
      <c r="R2732" s="237"/>
      <c r="S2732" s="237"/>
      <c r="T2732" s="237"/>
      <c r="U2732" s="237"/>
      <c r="V2732" s="237"/>
      <c r="W2732" s="237"/>
      <c r="X2732" s="237"/>
      <c r="Y2732" s="237"/>
      <c r="Z2732" s="237"/>
      <c r="AA2732" s="237"/>
      <c r="AB2732" s="237"/>
    </row>
    <row r="2733">
      <c r="A2733" s="237"/>
      <c r="B2733" s="275"/>
      <c r="C2733" s="262" t="s">
        <v>13888</v>
      </c>
      <c r="D2733" s="241" t="s">
        <v>1968</v>
      </c>
      <c r="E2733" s="241" t="s">
        <v>12412</v>
      </c>
      <c r="F2733" s="262" t="s">
        <v>1969</v>
      </c>
      <c r="G2733" s="236"/>
      <c r="H2733" s="236"/>
      <c r="I2733" s="237"/>
      <c r="J2733" s="290"/>
      <c r="K2733" s="275"/>
      <c r="L2733" s="237"/>
      <c r="M2733" s="237"/>
      <c r="N2733" s="237"/>
      <c r="O2733" s="237"/>
      <c r="P2733" s="237"/>
      <c r="Q2733" s="237"/>
      <c r="R2733" s="237"/>
      <c r="S2733" s="237"/>
      <c r="T2733" s="237"/>
      <c r="U2733" s="237"/>
      <c r="V2733" s="237"/>
      <c r="W2733" s="237"/>
      <c r="X2733" s="237"/>
      <c r="Y2733" s="237"/>
      <c r="Z2733" s="237"/>
      <c r="AA2733" s="237"/>
      <c r="AB2733" s="237"/>
    </row>
    <row r="2734">
      <c r="A2734" s="237"/>
      <c r="B2734" s="275"/>
      <c r="C2734" s="290"/>
      <c r="D2734" s="237"/>
      <c r="E2734" s="237"/>
      <c r="F2734" s="290"/>
      <c r="G2734" s="237"/>
      <c r="H2734" s="237"/>
      <c r="I2734" s="237"/>
      <c r="J2734" s="290"/>
      <c r="K2734" s="275"/>
      <c r="L2734" s="237"/>
      <c r="M2734" s="237"/>
      <c r="N2734" s="237"/>
      <c r="O2734" s="237"/>
      <c r="P2734" s="237"/>
      <c r="Q2734" s="237"/>
      <c r="R2734" s="237"/>
      <c r="S2734" s="237"/>
      <c r="T2734" s="237"/>
      <c r="U2734" s="237"/>
      <c r="V2734" s="237"/>
      <c r="W2734" s="237"/>
      <c r="X2734" s="237"/>
      <c r="Y2734" s="237"/>
      <c r="Z2734" s="237"/>
      <c r="AA2734" s="237"/>
      <c r="AB2734" s="237"/>
    </row>
    <row r="2735">
      <c r="A2735" s="237"/>
      <c r="B2735" s="275"/>
      <c r="C2735" s="290"/>
      <c r="D2735" s="237"/>
      <c r="E2735" s="237"/>
      <c r="F2735" s="290"/>
      <c r="G2735" s="237"/>
      <c r="H2735" s="237"/>
      <c r="I2735" s="237"/>
      <c r="J2735" s="290"/>
      <c r="K2735" s="275"/>
      <c r="L2735" s="237"/>
      <c r="M2735" s="237"/>
      <c r="N2735" s="237"/>
      <c r="O2735" s="237"/>
      <c r="P2735" s="237"/>
      <c r="Q2735" s="237"/>
      <c r="R2735" s="237"/>
      <c r="S2735" s="237"/>
      <c r="T2735" s="237"/>
      <c r="U2735" s="237"/>
      <c r="V2735" s="237"/>
      <c r="W2735" s="237"/>
      <c r="X2735" s="237"/>
      <c r="Y2735" s="237"/>
      <c r="Z2735" s="237"/>
      <c r="AA2735" s="237"/>
      <c r="AB2735" s="237"/>
    </row>
    <row r="2736">
      <c r="A2736" s="237"/>
      <c r="B2736" s="275"/>
      <c r="C2736" s="290"/>
      <c r="D2736" s="237"/>
      <c r="E2736" s="237"/>
      <c r="F2736" s="290"/>
      <c r="G2736" s="237"/>
      <c r="H2736" s="237"/>
      <c r="I2736" s="237"/>
      <c r="J2736" s="290"/>
      <c r="K2736" s="275"/>
      <c r="L2736" s="237"/>
      <c r="M2736" s="237"/>
      <c r="N2736" s="237"/>
      <c r="O2736" s="237"/>
      <c r="P2736" s="237"/>
      <c r="Q2736" s="237"/>
      <c r="R2736" s="237"/>
      <c r="S2736" s="237"/>
      <c r="T2736" s="237"/>
      <c r="U2736" s="237"/>
      <c r="V2736" s="237"/>
      <c r="W2736" s="237"/>
      <c r="X2736" s="237"/>
      <c r="Y2736" s="237"/>
      <c r="Z2736" s="237"/>
      <c r="AA2736" s="237"/>
      <c r="AB2736" s="237"/>
    </row>
    <row r="2737">
      <c r="A2737" s="237"/>
      <c r="B2737" s="275"/>
      <c r="C2737" s="290"/>
      <c r="D2737" s="237"/>
      <c r="E2737" s="237"/>
      <c r="F2737" s="290"/>
      <c r="G2737" s="237"/>
      <c r="H2737" s="237"/>
      <c r="I2737" s="237"/>
      <c r="J2737" s="290"/>
      <c r="K2737" s="275"/>
      <c r="L2737" s="237"/>
      <c r="M2737" s="237"/>
      <c r="N2737" s="237"/>
      <c r="O2737" s="237"/>
      <c r="P2737" s="237"/>
      <c r="Q2737" s="237"/>
      <c r="R2737" s="237"/>
      <c r="S2737" s="237"/>
      <c r="T2737" s="237"/>
      <c r="U2737" s="237"/>
      <c r="V2737" s="237"/>
      <c r="W2737" s="237"/>
      <c r="X2737" s="237"/>
      <c r="Y2737" s="237"/>
      <c r="Z2737" s="237"/>
      <c r="AA2737" s="237"/>
      <c r="AB2737" s="237"/>
    </row>
    <row r="2738">
      <c r="A2738" s="237"/>
      <c r="B2738" s="275"/>
      <c r="C2738" s="290"/>
      <c r="D2738" s="237"/>
      <c r="E2738" s="237"/>
      <c r="F2738" s="290"/>
      <c r="G2738" s="237"/>
      <c r="H2738" s="237"/>
      <c r="I2738" s="237"/>
      <c r="J2738" s="290"/>
      <c r="K2738" s="275"/>
      <c r="L2738" s="237"/>
      <c r="M2738" s="237"/>
      <c r="N2738" s="237"/>
      <c r="O2738" s="237"/>
      <c r="P2738" s="237"/>
      <c r="Q2738" s="237"/>
      <c r="R2738" s="237"/>
      <c r="S2738" s="237"/>
      <c r="T2738" s="237"/>
      <c r="U2738" s="237"/>
      <c r="V2738" s="237"/>
      <c r="W2738" s="237"/>
      <c r="X2738" s="237"/>
      <c r="Y2738" s="237"/>
      <c r="Z2738" s="237"/>
      <c r="AA2738" s="237"/>
      <c r="AB2738" s="237"/>
    </row>
    <row r="2739">
      <c r="A2739" s="237"/>
      <c r="B2739" s="275"/>
      <c r="C2739" s="290"/>
      <c r="D2739" s="237"/>
      <c r="E2739" s="237"/>
      <c r="F2739" s="290"/>
      <c r="G2739" s="237"/>
      <c r="H2739" s="237"/>
      <c r="I2739" s="237"/>
      <c r="J2739" s="290"/>
      <c r="K2739" s="275"/>
      <c r="L2739" s="237"/>
      <c r="M2739" s="237"/>
      <c r="N2739" s="237"/>
      <c r="O2739" s="237"/>
      <c r="P2739" s="237"/>
      <c r="Q2739" s="237"/>
      <c r="R2739" s="237"/>
      <c r="S2739" s="237"/>
      <c r="T2739" s="237"/>
      <c r="U2739" s="237"/>
      <c r="V2739" s="237"/>
      <c r="W2739" s="237"/>
      <c r="X2739" s="237"/>
      <c r="Y2739" s="237"/>
      <c r="Z2739" s="237"/>
      <c r="AA2739" s="237"/>
      <c r="AB2739" s="237"/>
    </row>
    <row r="2740">
      <c r="A2740" s="237"/>
      <c r="B2740" s="275"/>
      <c r="C2740" s="290"/>
      <c r="D2740" s="237"/>
      <c r="E2740" s="237"/>
      <c r="F2740" s="290"/>
      <c r="G2740" s="237"/>
      <c r="H2740" s="237"/>
      <c r="I2740" s="237"/>
      <c r="J2740" s="290"/>
      <c r="K2740" s="275"/>
      <c r="L2740" s="237"/>
      <c r="M2740" s="237"/>
      <c r="N2740" s="237"/>
      <c r="O2740" s="237"/>
      <c r="P2740" s="237"/>
      <c r="Q2740" s="237"/>
      <c r="R2740" s="237"/>
      <c r="S2740" s="237"/>
      <c r="T2740" s="237"/>
      <c r="U2740" s="237"/>
      <c r="V2740" s="237"/>
      <c r="W2740" s="237"/>
      <c r="X2740" s="237"/>
      <c r="Y2740" s="237"/>
      <c r="Z2740" s="237"/>
      <c r="AA2740" s="237"/>
      <c r="AB2740" s="237"/>
    </row>
    <row r="2741">
      <c r="A2741" s="237"/>
      <c r="B2741" s="275"/>
      <c r="C2741" s="290"/>
      <c r="D2741" s="237"/>
      <c r="E2741" s="237"/>
      <c r="F2741" s="290"/>
      <c r="G2741" s="237"/>
      <c r="H2741" s="237"/>
      <c r="I2741" s="237"/>
      <c r="J2741" s="290"/>
      <c r="K2741" s="275"/>
      <c r="L2741" s="237"/>
      <c r="M2741" s="237"/>
      <c r="N2741" s="237"/>
      <c r="O2741" s="237"/>
      <c r="P2741" s="237"/>
      <c r="Q2741" s="237"/>
      <c r="R2741" s="237"/>
      <c r="S2741" s="237"/>
      <c r="T2741" s="237"/>
      <c r="U2741" s="237"/>
      <c r="V2741" s="237"/>
      <c r="W2741" s="237"/>
      <c r="X2741" s="237"/>
      <c r="Y2741" s="237"/>
      <c r="Z2741" s="237"/>
      <c r="AA2741" s="237"/>
      <c r="AB2741" s="237"/>
    </row>
    <row r="2742">
      <c r="A2742" s="237"/>
      <c r="B2742" s="275"/>
      <c r="C2742" s="290"/>
      <c r="D2742" s="237"/>
      <c r="E2742" s="237"/>
      <c r="F2742" s="290"/>
      <c r="G2742" s="237"/>
      <c r="H2742" s="237"/>
      <c r="I2742" s="237"/>
      <c r="J2742" s="290"/>
      <c r="K2742" s="275"/>
      <c r="L2742" s="237"/>
      <c r="M2742" s="237"/>
      <c r="N2742" s="237"/>
      <c r="O2742" s="237"/>
      <c r="P2742" s="237"/>
      <c r="Q2742" s="237"/>
      <c r="R2742" s="237"/>
      <c r="S2742" s="237"/>
      <c r="T2742" s="237"/>
      <c r="U2742" s="237"/>
      <c r="V2742" s="237"/>
      <c r="W2742" s="237"/>
      <c r="X2742" s="237"/>
      <c r="Y2742" s="237"/>
      <c r="Z2742" s="237"/>
      <c r="AA2742" s="237"/>
      <c r="AB2742" s="237"/>
    </row>
    <row r="2743">
      <c r="A2743" s="237"/>
      <c r="B2743" s="275"/>
      <c r="C2743" s="290"/>
      <c r="D2743" s="237"/>
      <c r="E2743" s="237"/>
      <c r="F2743" s="290"/>
      <c r="G2743" s="237"/>
      <c r="H2743" s="237"/>
      <c r="I2743" s="237"/>
      <c r="J2743" s="290"/>
      <c r="K2743" s="275"/>
      <c r="L2743" s="237"/>
      <c r="M2743" s="237"/>
      <c r="N2743" s="237"/>
      <c r="O2743" s="237"/>
      <c r="P2743" s="237"/>
      <c r="Q2743" s="237"/>
      <c r="R2743" s="237"/>
      <c r="S2743" s="237"/>
      <c r="T2743" s="237"/>
      <c r="U2743" s="237"/>
      <c r="V2743" s="237"/>
      <c r="W2743" s="237"/>
      <c r="X2743" s="237"/>
      <c r="Y2743" s="237"/>
      <c r="Z2743" s="237"/>
      <c r="AA2743" s="237"/>
      <c r="AB2743" s="237"/>
    </row>
    <row r="2744">
      <c r="A2744" s="237"/>
      <c r="B2744" s="275"/>
      <c r="C2744" s="290"/>
      <c r="D2744" s="237"/>
      <c r="E2744" s="237"/>
      <c r="F2744" s="290"/>
      <c r="G2744" s="237"/>
      <c r="H2744" s="237"/>
      <c r="I2744" s="237"/>
      <c r="J2744" s="290"/>
      <c r="K2744" s="275"/>
      <c r="L2744" s="237"/>
      <c r="M2744" s="237"/>
      <c r="N2744" s="237"/>
      <c r="O2744" s="237"/>
      <c r="P2744" s="237"/>
      <c r="Q2744" s="237"/>
      <c r="R2744" s="237"/>
      <c r="S2744" s="237"/>
      <c r="T2744" s="237"/>
      <c r="U2744" s="237"/>
      <c r="V2744" s="237"/>
      <c r="W2744" s="237"/>
      <c r="X2744" s="237"/>
      <c r="Y2744" s="237"/>
      <c r="Z2744" s="237"/>
      <c r="AA2744" s="237"/>
      <c r="AB2744" s="237"/>
    </row>
    <row r="2745">
      <c r="A2745" s="237"/>
      <c r="B2745" s="275"/>
      <c r="C2745" s="290"/>
      <c r="D2745" s="237"/>
      <c r="E2745" s="237"/>
      <c r="F2745" s="290"/>
      <c r="G2745" s="237"/>
      <c r="H2745" s="237"/>
      <c r="I2745" s="237"/>
      <c r="J2745" s="290"/>
      <c r="K2745" s="275"/>
      <c r="L2745" s="237"/>
      <c r="M2745" s="237"/>
      <c r="N2745" s="237"/>
      <c r="O2745" s="237"/>
      <c r="P2745" s="237"/>
      <c r="Q2745" s="237"/>
      <c r="R2745" s="237"/>
      <c r="S2745" s="237"/>
      <c r="T2745" s="237"/>
      <c r="U2745" s="237"/>
      <c r="V2745" s="237"/>
      <c r="W2745" s="237"/>
      <c r="X2745" s="237"/>
      <c r="Y2745" s="237"/>
      <c r="Z2745" s="237"/>
      <c r="AA2745" s="237"/>
      <c r="AB2745" s="237"/>
    </row>
    <row r="2746">
      <c r="A2746" s="237"/>
      <c r="B2746" s="275"/>
      <c r="C2746" s="290"/>
      <c r="D2746" s="237"/>
      <c r="E2746" s="237"/>
      <c r="F2746" s="290"/>
      <c r="G2746" s="237"/>
      <c r="H2746" s="237"/>
      <c r="I2746" s="237"/>
      <c r="J2746" s="290"/>
      <c r="K2746" s="275"/>
      <c r="L2746" s="237"/>
      <c r="M2746" s="237"/>
      <c r="N2746" s="237"/>
      <c r="O2746" s="237"/>
      <c r="P2746" s="237"/>
      <c r="Q2746" s="237"/>
      <c r="R2746" s="237"/>
      <c r="S2746" s="237"/>
      <c r="T2746" s="237"/>
      <c r="U2746" s="237"/>
      <c r="V2746" s="237"/>
      <c r="W2746" s="237"/>
      <c r="X2746" s="237"/>
      <c r="Y2746" s="237"/>
      <c r="Z2746" s="237"/>
      <c r="AA2746" s="237"/>
      <c r="AB2746" s="237"/>
    </row>
    <row r="2747">
      <c r="A2747" s="237"/>
      <c r="B2747" s="275"/>
      <c r="C2747" s="290"/>
      <c r="D2747" s="237"/>
      <c r="E2747" s="237"/>
      <c r="F2747" s="290"/>
      <c r="G2747" s="237"/>
      <c r="H2747" s="237"/>
      <c r="I2747" s="237"/>
      <c r="J2747" s="290"/>
      <c r="K2747" s="275"/>
      <c r="L2747" s="237"/>
      <c r="M2747" s="237"/>
      <c r="N2747" s="237"/>
      <c r="O2747" s="237"/>
      <c r="P2747" s="237"/>
      <c r="Q2747" s="237"/>
      <c r="R2747" s="237"/>
      <c r="S2747" s="237"/>
      <c r="T2747" s="237"/>
      <c r="U2747" s="237"/>
      <c r="V2747" s="237"/>
      <c r="W2747" s="237"/>
      <c r="X2747" s="237"/>
      <c r="Y2747" s="237"/>
      <c r="Z2747" s="237"/>
      <c r="AA2747" s="237"/>
      <c r="AB2747" s="237"/>
    </row>
    <row r="2748">
      <c r="A2748" s="237"/>
      <c r="B2748" s="275"/>
      <c r="C2748" s="290"/>
      <c r="D2748" s="237"/>
      <c r="E2748" s="237"/>
      <c r="F2748" s="290"/>
      <c r="G2748" s="237"/>
      <c r="H2748" s="237"/>
      <c r="I2748" s="237"/>
      <c r="J2748" s="290"/>
      <c r="K2748" s="275"/>
      <c r="L2748" s="237"/>
      <c r="M2748" s="237"/>
      <c r="N2748" s="237"/>
      <c r="O2748" s="237"/>
      <c r="P2748" s="237"/>
      <c r="Q2748" s="237"/>
      <c r="R2748" s="237"/>
      <c r="S2748" s="237"/>
      <c r="T2748" s="237"/>
      <c r="U2748" s="237"/>
      <c r="V2748" s="237"/>
      <c r="W2748" s="237"/>
      <c r="X2748" s="237"/>
      <c r="Y2748" s="237"/>
      <c r="Z2748" s="237"/>
      <c r="AA2748" s="237"/>
      <c r="AB2748" s="237"/>
    </row>
    <row r="2749">
      <c r="A2749" s="237"/>
      <c r="B2749" s="275"/>
      <c r="C2749" s="290"/>
      <c r="D2749" s="237"/>
      <c r="E2749" s="237"/>
      <c r="F2749" s="290"/>
      <c r="G2749" s="237"/>
      <c r="H2749" s="237"/>
      <c r="I2749" s="237"/>
      <c r="J2749" s="290"/>
      <c r="K2749" s="275"/>
      <c r="L2749" s="237"/>
      <c r="M2749" s="237"/>
      <c r="N2749" s="237"/>
      <c r="O2749" s="237"/>
      <c r="P2749" s="237"/>
      <c r="Q2749" s="237"/>
      <c r="R2749" s="237"/>
      <c r="S2749" s="237"/>
      <c r="T2749" s="237"/>
      <c r="U2749" s="237"/>
      <c r="V2749" s="237"/>
      <c r="W2749" s="237"/>
      <c r="X2749" s="237"/>
      <c r="Y2749" s="237"/>
      <c r="Z2749" s="237"/>
      <c r="AA2749" s="237"/>
      <c r="AB2749" s="237"/>
    </row>
    <row r="2750">
      <c r="A2750" s="237"/>
      <c r="B2750" s="275"/>
      <c r="C2750" s="290"/>
      <c r="D2750" s="237"/>
      <c r="E2750" s="237"/>
      <c r="F2750" s="290"/>
      <c r="G2750" s="237"/>
      <c r="H2750" s="237"/>
      <c r="I2750" s="237"/>
      <c r="J2750" s="290"/>
      <c r="K2750" s="275"/>
      <c r="L2750" s="237"/>
      <c r="M2750" s="237"/>
      <c r="N2750" s="237"/>
      <c r="O2750" s="237"/>
      <c r="P2750" s="237"/>
      <c r="Q2750" s="237"/>
      <c r="R2750" s="237"/>
      <c r="S2750" s="237"/>
      <c r="T2750" s="237"/>
      <c r="U2750" s="237"/>
      <c r="V2750" s="237"/>
      <c r="W2750" s="237"/>
      <c r="X2750" s="237"/>
      <c r="Y2750" s="237"/>
      <c r="Z2750" s="237"/>
      <c r="AA2750" s="237"/>
      <c r="AB2750" s="237"/>
    </row>
    <row r="2751">
      <c r="A2751" s="237"/>
      <c r="B2751" s="275"/>
      <c r="C2751" s="290"/>
      <c r="D2751" s="237"/>
      <c r="E2751" s="237"/>
      <c r="F2751" s="290"/>
      <c r="G2751" s="237"/>
      <c r="H2751" s="237"/>
      <c r="I2751" s="237"/>
      <c r="J2751" s="290"/>
      <c r="K2751" s="275"/>
      <c r="L2751" s="237"/>
      <c r="M2751" s="237"/>
      <c r="N2751" s="237"/>
      <c r="O2751" s="237"/>
      <c r="P2751" s="237"/>
      <c r="Q2751" s="237"/>
      <c r="R2751" s="237"/>
      <c r="S2751" s="237"/>
      <c r="T2751" s="237"/>
      <c r="U2751" s="237"/>
      <c r="V2751" s="237"/>
      <c r="W2751" s="237"/>
      <c r="X2751" s="237"/>
      <c r="Y2751" s="237"/>
      <c r="Z2751" s="237"/>
      <c r="AA2751" s="237"/>
      <c r="AB2751" s="237"/>
    </row>
    <row r="2752">
      <c r="A2752" s="237"/>
      <c r="B2752" s="275"/>
      <c r="C2752" s="290"/>
      <c r="D2752" s="237"/>
      <c r="E2752" s="237"/>
      <c r="F2752" s="290"/>
      <c r="G2752" s="237"/>
      <c r="H2752" s="237"/>
      <c r="I2752" s="237"/>
      <c r="J2752" s="290"/>
      <c r="K2752" s="275"/>
      <c r="L2752" s="237"/>
      <c r="M2752" s="237"/>
      <c r="N2752" s="237"/>
      <c r="O2752" s="237"/>
      <c r="P2752" s="237"/>
      <c r="Q2752" s="237"/>
      <c r="R2752" s="237"/>
      <c r="S2752" s="237"/>
      <c r="T2752" s="237"/>
      <c r="U2752" s="237"/>
      <c r="V2752" s="237"/>
      <c r="W2752" s="237"/>
      <c r="X2752" s="237"/>
      <c r="Y2752" s="237"/>
      <c r="Z2752" s="237"/>
      <c r="AA2752" s="237"/>
      <c r="AB2752" s="237"/>
    </row>
    <row r="2753">
      <c r="A2753" s="237"/>
      <c r="B2753" s="275"/>
      <c r="C2753" s="290"/>
      <c r="D2753" s="237"/>
      <c r="E2753" s="237"/>
      <c r="F2753" s="290"/>
      <c r="G2753" s="237"/>
      <c r="H2753" s="237"/>
      <c r="I2753" s="237"/>
      <c r="J2753" s="290"/>
      <c r="K2753" s="275"/>
      <c r="L2753" s="237"/>
      <c r="M2753" s="237"/>
      <c r="N2753" s="237"/>
      <c r="O2753" s="237"/>
      <c r="P2753" s="237"/>
      <c r="Q2753" s="237"/>
      <c r="R2753" s="237"/>
      <c r="S2753" s="237"/>
      <c r="T2753" s="237"/>
      <c r="U2753" s="237"/>
      <c r="V2753" s="237"/>
      <c r="W2753" s="237"/>
      <c r="X2753" s="237"/>
      <c r="Y2753" s="237"/>
      <c r="Z2753" s="237"/>
      <c r="AA2753" s="237"/>
      <c r="AB2753" s="237"/>
    </row>
    <row r="2754">
      <c r="A2754" s="237"/>
      <c r="B2754" s="275"/>
      <c r="C2754" s="290"/>
      <c r="D2754" s="237"/>
      <c r="E2754" s="237"/>
      <c r="F2754" s="290"/>
      <c r="G2754" s="237"/>
      <c r="H2754" s="237"/>
      <c r="I2754" s="237"/>
      <c r="J2754" s="290"/>
      <c r="K2754" s="275"/>
      <c r="L2754" s="237"/>
      <c r="M2754" s="237"/>
      <c r="N2754" s="237"/>
      <c r="O2754" s="237"/>
      <c r="P2754" s="237"/>
      <c r="Q2754" s="237"/>
      <c r="R2754" s="237"/>
      <c r="S2754" s="237"/>
      <c r="T2754" s="237"/>
      <c r="U2754" s="237"/>
      <c r="V2754" s="237"/>
      <c r="W2754" s="237"/>
      <c r="X2754" s="237"/>
      <c r="Y2754" s="237"/>
      <c r="Z2754" s="237"/>
      <c r="AA2754" s="237"/>
      <c r="AB2754" s="237"/>
    </row>
    <row r="2755">
      <c r="A2755" s="237"/>
      <c r="B2755" s="275"/>
      <c r="C2755" s="290"/>
      <c r="D2755" s="237"/>
      <c r="E2755" s="237"/>
      <c r="F2755" s="290"/>
      <c r="G2755" s="237"/>
      <c r="H2755" s="237"/>
      <c r="I2755" s="237"/>
      <c r="J2755" s="290"/>
      <c r="K2755" s="275"/>
      <c r="L2755" s="237"/>
      <c r="M2755" s="237"/>
      <c r="N2755" s="237"/>
      <c r="O2755" s="237"/>
      <c r="P2755" s="237"/>
      <c r="Q2755" s="237"/>
      <c r="R2755" s="237"/>
      <c r="S2755" s="237"/>
      <c r="T2755" s="237"/>
      <c r="U2755" s="237"/>
      <c r="V2755" s="237"/>
      <c r="W2755" s="237"/>
      <c r="X2755" s="237"/>
      <c r="Y2755" s="237"/>
      <c r="Z2755" s="237"/>
      <c r="AA2755" s="237"/>
      <c r="AB2755" s="237"/>
    </row>
    <row r="2756">
      <c r="A2756" s="237"/>
      <c r="B2756" s="275"/>
      <c r="C2756" s="290"/>
      <c r="D2756" s="237"/>
      <c r="E2756" s="237"/>
      <c r="F2756" s="290"/>
      <c r="G2756" s="237"/>
      <c r="H2756" s="237"/>
      <c r="I2756" s="237"/>
      <c r="J2756" s="290"/>
      <c r="K2756" s="275"/>
      <c r="L2756" s="237"/>
      <c r="M2756" s="237"/>
      <c r="N2756" s="237"/>
      <c r="O2756" s="237"/>
      <c r="P2756" s="237"/>
      <c r="Q2756" s="237"/>
      <c r="R2756" s="237"/>
      <c r="S2756" s="237"/>
      <c r="T2756" s="237"/>
      <c r="U2756" s="237"/>
      <c r="V2756" s="237"/>
      <c r="W2756" s="237"/>
      <c r="X2756" s="237"/>
      <c r="Y2756" s="237"/>
      <c r="Z2756" s="237"/>
      <c r="AA2756" s="237"/>
      <c r="AB2756" s="237"/>
    </row>
    <row r="2757">
      <c r="A2757" s="237"/>
      <c r="B2757" s="275"/>
      <c r="C2757" s="290"/>
      <c r="D2757" s="237"/>
      <c r="E2757" s="237"/>
      <c r="F2757" s="290"/>
      <c r="G2757" s="237"/>
      <c r="H2757" s="237"/>
      <c r="I2757" s="237"/>
      <c r="J2757" s="290"/>
      <c r="K2757" s="275"/>
      <c r="L2757" s="237"/>
      <c r="M2757" s="237"/>
      <c r="N2757" s="237"/>
      <c r="O2757" s="237"/>
      <c r="P2757" s="237"/>
      <c r="Q2757" s="237"/>
      <c r="R2757" s="237"/>
      <c r="S2757" s="237"/>
      <c r="T2757" s="237"/>
      <c r="U2757" s="237"/>
      <c r="V2757" s="237"/>
      <c r="W2757" s="237"/>
      <c r="X2757" s="237"/>
      <c r="Y2757" s="237"/>
      <c r="Z2757" s="237"/>
      <c r="AA2757" s="237"/>
      <c r="AB2757" s="237"/>
    </row>
    <row r="2758">
      <c r="A2758" s="237"/>
      <c r="B2758" s="275"/>
      <c r="C2758" s="290"/>
      <c r="D2758" s="237"/>
      <c r="E2758" s="237"/>
      <c r="F2758" s="290"/>
      <c r="G2758" s="237"/>
      <c r="H2758" s="237"/>
      <c r="I2758" s="237"/>
      <c r="J2758" s="290"/>
      <c r="K2758" s="275"/>
      <c r="L2758" s="237"/>
      <c r="M2758" s="237"/>
      <c r="N2758" s="237"/>
      <c r="O2758" s="237"/>
      <c r="P2758" s="237"/>
      <c r="Q2758" s="237"/>
      <c r="R2758" s="237"/>
      <c r="S2758" s="237"/>
      <c r="T2758" s="237"/>
      <c r="U2758" s="237"/>
      <c r="V2758" s="237"/>
      <c r="W2758" s="237"/>
      <c r="X2758" s="237"/>
      <c r="Y2758" s="237"/>
      <c r="Z2758" s="237"/>
      <c r="AA2758" s="237"/>
      <c r="AB2758" s="237"/>
    </row>
    <row r="2759">
      <c r="A2759" s="237"/>
      <c r="B2759" s="275"/>
      <c r="C2759" s="290"/>
      <c r="D2759" s="237"/>
      <c r="E2759" s="237"/>
      <c r="F2759" s="290"/>
      <c r="G2759" s="237"/>
      <c r="H2759" s="237"/>
      <c r="I2759" s="237"/>
      <c r="J2759" s="290"/>
      <c r="K2759" s="275"/>
      <c r="L2759" s="237"/>
      <c r="M2759" s="237"/>
      <c r="N2759" s="237"/>
      <c r="O2759" s="237"/>
      <c r="P2759" s="237"/>
      <c r="Q2759" s="237"/>
      <c r="R2759" s="237"/>
      <c r="S2759" s="237"/>
      <c r="T2759" s="237"/>
      <c r="U2759" s="237"/>
      <c r="V2759" s="237"/>
      <c r="W2759" s="237"/>
      <c r="X2759" s="237"/>
      <c r="Y2759" s="237"/>
      <c r="Z2759" s="237"/>
      <c r="AA2759" s="237"/>
      <c r="AB2759" s="237"/>
    </row>
    <row r="2760">
      <c r="A2760" s="237"/>
      <c r="B2760" s="275"/>
      <c r="C2760" s="290"/>
      <c r="D2760" s="237"/>
      <c r="E2760" s="237"/>
      <c r="F2760" s="290"/>
      <c r="G2760" s="237"/>
      <c r="H2760" s="237"/>
      <c r="I2760" s="237"/>
      <c r="J2760" s="290"/>
      <c r="K2760" s="275"/>
      <c r="L2760" s="237"/>
      <c r="M2760" s="237"/>
      <c r="N2760" s="237"/>
      <c r="O2760" s="237"/>
      <c r="P2760" s="237"/>
      <c r="Q2760" s="237"/>
      <c r="R2760" s="237"/>
      <c r="S2760" s="237"/>
      <c r="T2760" s="237"/>
      <c r="U2760" s="237"/>
      <c r="V2760" s="237"/>
      <c r="W2760" s="237"/>
      <c r="X2760" s="237"/>
      <c r="Y2760" s="237"/>
      <c r="Z2760" s="237"/>
      <c r="AA2760" s="237"/>
      <c r="AB2760" s="237"/>
    </row>
    <row r="2761">
      <c r="A2761" s="237"/>
      <c r="B2761" s="275"/>
      <c r="C2761" s="290"/>
      <c r="D2761" s="237"/>
      <c r="E2761" s="237"/>
      <c r="F2761" s="290"/>
      <c r="G2761" s="237"/>
      <c r="H2761" s="237"/>
      <c r="I2761" s="237"/>
      <c r="J2761" s="290"/>
      <c r="K2761" s="275"/>
      <c r="L2761" s="237"/>
      <c r="M2761" s="237"/>
      <c r="N2761" s="237"/>
      <c r="O2761" s="237"/>
      <c r="P2761" s="237"/>
      <c r="Q2761" s="237"/>
      <c r="R2761" s="237"/>
      <c r="S2761" s="237"/>
      <c r="T2761" s="237"/>
      <c r="U2761" s="237"/>
      <c r="V2761" s="237"/>
      <c r="W2761" s="237"/>
      <c r="X2761" s="237"/>
      <c r="Y2761" s="237"/>
      <c r="Z2761" s="237"/>
      <c r="AA2761" s="237"/>
      <c r="AB2761" s="237"/>
    </row>
    <row r="2762">
      <c r="A2762" s="237"/>
      <c r="B2762" s="275"/>
      <c r="C2762" s="290"/>
      <c r="D2762" s="237"/>
      <c r="E2762" s="237"/>
      <c r="F2762" s="290"/>
      <c r="G2762" s="237"/>
      <c r="H2762" s="237"/>
      <c r="I2762" s="237"/>
      <c r="J2762" s="290"/>
      <c r="K2762" s="275"/>
      <c r="L2762" s="237"/>
      <c r="M2762" s="237"/>
      <c r="N2762" s="237"/>
      <c r="O2762" s="237"/>
      <c r="P2762" s="237"/>
      <c r="Q2762" s="237"/>
      <c r="R2762" s="237"/>
      <c r="S2762" s="237"/>
      <c r="T2762" s="237"/>
      <c r="U2762" s="237"/>
      <c r="V2762" s="237"/>
      <c r="W2762" s="237"/>
      <c r="X2762" s="237"/>
      <c r="Y2762" s="237"/>
      <c r="Z2762" s="237"/>
      <c r="AA2762" s="237"/>
      <c r="AB2762" s="237"/>
    </row>
    <row r="2763">
      <c r="A2763" s="237"/>
      <c r="B2763" s="275"/>
      <c r="C2763" s="290"/>
      <c r="D2763" s="237"/>
      <c r="E2763" s="237"/>
      <c r="F2763" s="290"/>
      <c r="G2763" s="237"/>
      <c r="H2763" s="237"/>
      <c r="I2763" s="237"/>
      <c r="J2763" s="290"/>
      <c r="K2763" s="275"/>
      <c r="L2763" s="237"/>
      <c r="M2763" s="237"/>
      <c r="N2763" s="237"/>
      <c r="O2763" s="237"/>
      <c r="P2763" s="237"/>
      <c r="Q2763" s="237"/>
      <c r="R2763" s="237"/>
      <c r="S2763" s="237"/>
      <c r="T2763" s="237"/>
      <c r="U2763" s="237"/>
      <c r="V2763" s="237"/>
      <c r="W2763" s="237"/>
      <c r="X2763" s="237"/>
      <c r="Y2763" s="237"/>
      <c r="Z2763" s="237"/>
      <c r="AA2763" s="237"/>
      <c r="AB2763" s="237"/>
    </row>
    <row r="2764">
      <c r="A2764" s="237"/>
      <c r="B2764" s="275"/>
      <c r="C2764" s="290"/>
      <c r="D2764" s="237"/>
      <c r="E2764" s="237"/>
      <c r="F2764" s="290"/>
      <c r="G2764" s="237"/>
      <c r="H2764" s="237"/>
      <c r="I2764" s="237"/>
      <c r="J2764" s="290"/>
      <c r="K2764" s="275"/>
      <c r="L2764" s="237"/>
      <c r="M2764" s="237"/>
      <c r="N2764" s="237"/>
      <c r="O2764" s="237"/>
      <c r="P2764" s="237"/>
      <c r="Q2764" s="237"/>
      <c r="R2764" s="237"/>
      <c r="S2764" s="237"/>
      <c r="T2764" s="237"/>
      <c r="U2764" s="237"/>
      <c r="V2764" s="237"/>
      <c r="W2764" s="237"/>
      <c r="X2764" s="237"/>
      <c r="Y2764" s="237"/>
      <c r="Z2764" s="237"/>
      <c r="AA2764" s="237"/>
      <c r="AB2764" s="237"/>
    </row>
    <row r="2765">
      <c r="A2765" s="237"/>
      <c r="B2765" s="275"/>
      <c r="C2765" s="290"/>
      <c r="D2765" s="237"/>
      <c r="E2765" s="237"/>
      <c r="F2765" s="290"/>
      <c r="G2765" s="237"/>
      <c r="H2765" s="237"/>
      <c r="I2765" s="237"/>
      <c r="J2765" s="290"/>
      <c r="K2765" s="275"/>
      <c r="L2765" s="237"/>
      <c r="M2765" s="237"/>
      <c r="N2765" s="237"/>
      <c r="O2765" s="237"/>
      <c r="P2765" s="237"/>
      <c r="Q2765" s="237"/>
      <c r="R2765" s="237"/>
      <c r="S2765" s="237"/>
      <c r="T2765" s="237"/>
      <c r="U2765" s="237"/>
      <c r="V2765" s="237"/>
      <c r="W2765" s="237"/>
      <c r="X2765" s="237"/>
      <c r="Y2765" s="237"/>
      <c r="Z2765" s="237"/>
      <c r="AA2765" s="237"/>
      <c r="AB2765" s="237"/>
    </row>
    <row r="2766">
      <c r="A2766" s="237"/>
      <c r="B2766" s="275"/>
      <c r="C2766" s="290"/>
      <c r="D2766" s="237"/>
      <c r="E2766" s="237"/>
      <c r="F2766" s="290"/>
      <c r="G2766" s="237"/>
      <c r="H2766" s="237"/>
      <c r="I2766" s="237"/>
      <c r="J2766" s="290"/>
      <c r="K2766" s="275"/>
      <c r="L2766" s="237"/>
      <c r="M2766" s="237"/>
      <c r="N2766" s="237"/>
      <c r="O2766" s="237"/>
      <c r="P2766" s="237"/>
      <c r="Q2766" s="237"/>
      <c r="R2766" s="237"/>
      <c r="S2766" s="237"/>
      <c r="T2766" s="237"/>
      <c r="U2766" s="237"/>
      <c r="V2766" s="237"/>
      <c r="W2766" s="237"/>
      <c r="X2766" s="237"/>
      <c r="Y2766" s="237"/>
      <c r="Z2766" s="237"/>
      <c r="AA2766" s="237"/>
      <c r="AB2766" s="237"/>
    </row>
    <row r="2767">
      <c r="A2767" s="237"/>
      <c r="B2767" s="275"/>
      <c r="C2767" s="290"/>
      <c r="D2767" s="237"/>
      <c r="E2767" s="237"/>
      <c r="F2767" s="290"/>
      <c r="G2767" s="237"/>
      <c r="H2767" s="237"/>
      <c r="I2767" s="237"/>
      <c r="J2767" s="290"/>
      <c r="K2767" s="275"/>
      <c r="L2767" s="237"/>
      <c r="M2767" s="237"/>
      <c r="N2767" s="237"/>
      <c r="O2767" s="237"/>
      <c r="P2767" s="237"/>
      <c r="Q2767" s="237"/>
      <c r="R2767" s="237"/>
      <c r="S2767" s="237"/>
      <c r="T2767" s="237"/>
      <c r="U2767" s="237"/>
      <c r="V2767" s="237"/>
      <c r="W2767" s="237"/>
      <c r="X2767" s="237"/>
      <c r="Y2767" s="237"/>
      <c r="Z2767" s="237"/>
      <c r="AA2767" s="237"/>
      <c r="AB2767" s="237"/>
    </row>
    <row r="2768">
      <c r="A2768" s="237"/>
      <c r="B2768" s="275"/>
      <c r="C2768" s="290"/>
      <c r="D2768" s="237"/>
      <c r="E2768" s="237"/>
      <c r="F2768" s="290"/>
      <c r="G2768" s="237"/>
      <c r="H2768" s="237"/>
      <c r="I2768" s="237"/>
      <c r="J2768" s="290"/>
      <c r="K2768" s="275"/>
      <c r="L2768" s="237"/>
      <c r="M2768" s="237"/>
      <c r="N2768" s="237"/>
      <c r="O2768" s="237"/>
      <c r="P2768" s="237"/>
      <c r="Q2768" s="237"/>
      <c r="R2768" s="237"/>
      <c r="S2768" s="237"/>
      <c r="T2768" s="237"/>
      <c r="U2768" s="237"/>
      <c r="V2768" s="237"/>
      <c r="W2768" s="237"/>
      <c r="X2768" s="237"/>
      <c r="Y2768" s="237"/>
      <c r="Z2768" s="237"/>
      <c r="AA2768" s="237"/>
      <c r="AB2768" s="237"/>
    </row>
    <row r="2769">
      <c r="A2769" s="237"/>
      <c r="B2769" s="275"/>
      <c r="C2769" s="290"/>
      <c r="D2769" s="237"/>
      <c r="E2769" s="237"/>
      <c r="F2769" s="290"/>
      <c r="G2769" s="237"/>
      <c r="H2769" s="237"/>
      <c r="I2769" s="237"/>
      <c r="J2769" s="290"/>
      <c r="K2769" s="275"/>
      <c r="L2769" s="237"/>
      <c r="M2769" s="237"/>
      <c r="N2769" s="237"/>
      <c r="O2769" s="237"/>
      <c r="P2769" s="237"/>
      <c r="Q2769" s="237"/>
      <c r="R2769" s="237"/>
      <c r="S2769" s="237"/>
      <c r="T2769" s="237"/>
      <c r="U2769" s="237"/>
      <c r="V2769" s="237"/>
      <c r="W2769" s="237"/>
      <c r="X2769" s="237"/>
      <c r="Y2769" s="237"/>
      <c r="Z2769" s="237"/>
      <c r="AA2769" s="237"/>
      <c r="AB2769" s="237"/>
    </row>
    <row r="2770">
      <c r="A2770" s="237"/>
      <c r="B2770" s="275"/>
      <c r="C2770" s="290"/>
      <c r="D2770" s="237"/>
      <c r="E2770" s="237"/>
      <c r="F2770" s="290"/>
      <c r="G2770" s="237"/>
      <c r="H2770" s="237"/>
      <c r="I2770" s="237"/>
      <c r="J2770" s="290"/>
      <c r="K2770" s="275"/>
      <c r="L2770" s="237"/>
      <c r="M2770" s="237"/>
      <c r="N2770" s="237"/>
      <c r="O2770" s="237"/>
      <c r="P2770" s="237"/>
      <c r="Q2770" s="237"/>
      <c r="R2770" s="237"/>
      <c r="S2770" s="237"/>
      <c r="T2770" s="237"/>
      <c r="U2770" s="237"/>
      <c r="V2770" s="237"/>
      <c r="W2770" s="237"/>
      <c r="X2770" s="237"/>
      <c r="Y2770" s="237"/>
      <c r="Z2770" s="237"/>
      <c r="AA2770" s="237"/>
      <c r="AB2770" s="237"/>
    </row>
    <row r="2771">
      <c r="A2771" s="237"/>
      <c r="B2771" s="275"/>
      <c r="C2771" s="290"/>
      <c r="D2771" s="237"/>
      <c r="E2771" s="237"/>
      <c r="F2771" s="290"/>
      <c r="G2771" s="237"/>
      <c r="H2771" s="237"/>
      <c r="I2771" s="237"/>
      <c r="J2771" s="290"/>
      <c r="K2771" s="275"/>
      <c r="L2771" s="237"/>
      <c r="M2771" s="237"/>
      <c r="N2771" s="237"/>
      <c r="O2771" s="237"/>
      <c r="P2771" s="237"/>
      <c r="Q2771" s="237"/>
      <c r="R2771" s="237"/>
      <c r="S2771" s="237"/>
      <c r="T2771" s="237"/>
      <c r="U2771" s="237"/>
      <c r="V2771" s="237"/>
      <c r="W2771" s="237"/>
      <c r="X2771" s="237"/>
      <c r="Y2771" s="237"/>
      <c r="Z2771" s="237"/>
      <c r="AA2771" s="237"/>
      <c r="AB2771" s="237"/>
    </row>
    <row r="2772">
      <c r="A2772" s="237"/>
      <c r="B2772" s="275"/>
      <c r="C2772" s="290"/>
      <c r="D2772" s="237"/>
      <c r="E2772" s="237"/>
      <c r="F2772" s="290"/>
      <c r="G2772" s="237"/>
      <c r="H2772" s="237"/>
      <c r="I2772" s="237"/>
      <c r="J2772" s="290"/>
      <c r="K2772" s="275"/>
      <c r="L2772" s="237"/>
      <c r="M2772" s="237"/>
      <c r="N2772" s="237"/>
      <c r="O2772" s="237"/>
      <c r="P2772" s="237"/>
      <c r="Q2772" s="237"/>
      <c r="R2772" s="237"/>
      <c r="S2772" s="237"/>
      <c r="T2772" s="237"/>
      <c r="U2772" s="237"/>
      <c r="V2772" s="237"/>
      <c r="W2772" s="237"/>
      <c r="X2772" s="237"/>
      <c r="Y2772" s="237"/>
      <c r="Z2772" s="237"/>
      <c r="AA2772" s="237"/>
      <c r="AB2772" s="237"/>
    </row>
    <row r="2773">
      <c r="A2773" s="237"/>
      <c r="B2773" s="275"/>
      <c r="C2773" s="290"/>
      <c r="D2773" s="237"/>
      <c r="E2773" s="237"/>
      <c r="F2773" s="290"/>
      <c r="G2773" s="237"/>
      <c r="H2773" s="237"/>
      <c r="I2773" s="237"/>
      <c r="J2773" s="290"/>
      <c r="K2773" s="275"/>
      <c r="L2773" s="237"/>
      <c r="M2773" s="237"/>
      <c r="N2773" s="237"/>
      <c r="O2773" s="237"/>
      <c r="P2773" s="237"/>
      <c r="Q2773" s="237"/>
      <c r="R2773" s="237"/>
      <c r="S2773" s="237"/>
      <c r="T2773" s="237"/>
      <c r="U2773" s="237"/>
      <c r="V2773" s="237"/>
      <c r="W2773" s="237"/>
      <c r="X2773" s="237"/>
      <c r="Y2773" s="237"/>
      <c r="Z2773" s="237"/>
      <c r="AA2773" s="237"/>
      <c r="AB2773" s="237"/>
    </row>
    <row r="2774">
      <c r="A2774" s="237"/>
      <c r="B2774" s="275"/>
      <c r="C2774" s="290"/>
      <c r="D2774" s="237"/>
      <c r="E2774" s="237"/>
      <c r="F2774" s="290"/>
      <c r="G2774" s="237"/>
      <c r="H2774" s="237"/>
      <c r="I2774" s="237"/>
      <c r="J2774" s="290"/>
      <c r="K2774" s="275"/>
      <c r="L2774" s="237"/>
      <c r="M2774" s="237"/>
      <c r="N2774" s="237"/>
      <c r="O2774" s="237"/>
      <c r="P2774" s="237"/>
      <c r="Q2774" s="237"/>
      <c r="R2774" s="237"/>
      <c r="S2774" s="237"/>
      <c r="T2774" s="237"/>
      <c r="U2774" s="237"/>
      <c r="V2774" s="237"/>
      <c r="W2774" s="237"/>
      <c r="X2774" s="237"/>
      <c r="Y2774" s="237"/>
      <c r="Z2774" s="237"/>
      <c r="AA2774" s="237"/>
      <c r="AB2774" s="237"/>
    </row>
    <row r="2775">
      <c r="A2775" s="237"/>
      <c r="B2775" s="275"/>
      <c r="C2775" s="290"/>
      <c r="D2775" s="237"/>
      <c r="E2775" s="237"/>
      <c r="F2775" s="290"/>
      <c r="G2775" s="237"/>
      <c r="H2775" s="237"/>
      <c r="I2775" s="237"/>
      <c r="J2775" s="290"/>
      <c r="K2775" s="275"/>
      <c r="L2775" s="237"/>
      <c r="M2775" s="237"/>
      <c r="N2775" s="237"/>
      <c r="O2775" s="237"/>
      <c r="P2775" s="237"/>
      <c r="Q2775" s="237"/>
      <c r="R2775" s="237"/>
      <c r="S2775" s="237"/>
      <c r="T2775" s="237"/>
      <c r="U2775" s="237"/>
      <c r="V2775" s="237"/>
      <c r="W2775" s="237"/>
      <c r="X2775" s="237"/>
      <c r="Y2775" s="237"/>
      <c r="Z2775" s="237"/>
      <c r="AA2775" s="237"/>
      <c r="AB2775" s="237"/>
    </row>
    <row r="2776">
      <c r="A2776" s="237"/>
      <c r="B2776" s="275"/>
      <c r="C2776" s="290"/>
      <c r="D2776" s="237"/>
      <c r="E2776" s="237"/>
      <c r="F2776" s="290"/>
      <c r="G2776" s="237"/>
      <c r="H2776" s="237"/>
      <c r="I2776" s="237"/>
      <c r="J2776" s="290"/>
      <c r="K2776" s="275"/>
      <c r="L2776" s="237"/>
      <c r="M2776" s="237"/>
      <c r="N2776" s="237"/>
      <c r="O2776" s="237"/>
      <c r="P2776" s="237"/>
      <c r="Q2776" s="237"/>
      <c r="R2776" s="237"/>
      <c r="S2776" s="237"/>
      <c r="T2776" s="237"/>
      <c r="U2776" s="237"/>
      <c r="V2776" s="237"/>
      <c r="W2776" s="237"/>
      <c r="X2776" s="237"/>
      <c r="Y2776" s="237"/>
      <c r="Z2776" s="237"/>
      <c r="AA2776" s="237"/>
      <c r="AB2776" s="237"/>
    </row>
    <row r="2777">
      <c r="A2777" s="237"/>
      <c r="B2777" s="275"/>
      <c r="C2777" s="290"/>
      <c r="D2777" s="237"/>
      <c r="E2777" s="237"/>
      <c r="F2777" s="290"/>
      <c r="G2777" s="237"/>
      <c r="H2777" s="237"/>
      <c r="I2777" s="237"/>
      <c r="J2777" s="290"/>
      <c r="K2777" s="275"/>
      <c r="L2777" s="237"/>
      <c r="M2777" s="237"/>
      <c r="N2777" s="237"/>
      <c r="O2777" s="237"/>
      <c r="P2777" s="237"/>
      <c r="Q2777" s="237"/>
      <c r="R2777" s="237"/>
      <c r="S2777" s="237"/>
      <c r="T2777" s="237"/>
      <c r="U2777" s="237"/>
      <c r="V2777" s="237"/>
      <c r="W2777" s="237"/>
      <c r="X2777" s="237"/>
      <c r="Y2777" s="237"/>
      <c r="Z2777" s="237"/>
      <c r="AA2777" s="237"/>
      <c r="AB2777" s="237"/>
    </row>
    <row r="2778">
      <c r="A2778" s="237"/>
      <c r="B2778" s="275"/>
      <c r="C2778" s="290"/>
      <c r="D2778" s="237"/>
      <c r="E2778" s="237"/>
      <c r="F2778" s="290"/>
      <c r="G2778" s="237"/>
      <c r="H2778" s="237"/>
      <c r="I2778" s="237"/>
      <c r="J2778" s="290"/>
      <c r="K2778" s="275"/>
      <c r="L2778" s="237"/>
      <c r="M2778" s="237"/>
      <c r="N2778" s="237"/>
      <c r="O2778" s="237"/>
      <c r="P2778" s="237"/>
      <c r="Q2778" s="237"/>
      <c r="R2778" s="237"/>
      <c r="S2778" s="237"/>
      <c r="T2778" s="237"/>
      <c r="U2778" s="237"/>
      <c r="V2778" s="237"/>
      <c r="W2778" s="237"/>
      <c r="X2778" s="237"/>
      <c r="Y2778" s="237"/>
      <c r="Z2778" s="237"/>
      <c r="AA2778" s="237"/>
      <c r="AB2778" s="237"/>
    </row>
    <row r="2779">
      <c r="A2779" s="237"/>
      <c r="B2779" s="275"/>
      <c r="C2779" s="290"/>
      <c r="D2779" s="237"/>
      <c r="E2779" s="237"/>
      <c r="F2779" s="290"/>
      <c r="G2779" s="237"/>
      <c r="H2779" s="237"/>
      <c r="I2779" s="237"/>
      <c r="J2779" s="290"/>
      <c r="K2779" s="275"/>
      <c r="L2779" s="237"/>
      <c r="M2779" s="237"/>
      <c r="N2779" s="237"/>
      <c r="O2779" s="237"/>
      <c r="P2779" s="237"/>
      <c r="Q2779" s="237"/>
      <c r="R2779" s="237"/>
      <c r="S2779" s="237"/>
      <c r="T2779" s="237"/>
      <c r="U2779" s="237"/>
      <c r="V2779" s="237"/>
      <c r="W2779" s="237"/>
      <c r="X2779" s="237"/>
      <c r="Y2779" s="237"/>
      <c r="Z2779" s="237"/>
      <c r="AA2779" s="237"/>
      <c r="AB2779" s="237"/>
    </row>
    <row r="2780">
      <c r="A2780" s="237"/>
      <c r="B2780" s="275"/>
      <c r="C2780" s="290"/>
      <c r="D2780" s="237"/>
      <c r="E2780" s="237"/>
      <c r="F2780" s="290"/>
      <c r="G2780" s="237"/>
      <c r="H2780" s="237"/>
      <c r="I2780" s="237"/>
      <c r="J2780" s="290"/>
      <c r="K2780" s="275"/>
      <c r="L2780" s="237"/>
      <c r="M2780" s="237"/>
      <c r="N2780" s="237"/>
      <c r="O2780" s="237"/>
      <c r="P2780" s="237"/>
      <c r="Q2780" s="237"/>
      <c r="R2780" s="237"/>
      <c r="S2780" s="237"/>
      <c r="T2780" s="237"/>
      <c r="U2780" s="237"/>
      <c r="V2780" s="237"/>
      <c r="W2780" s="237"/>
      <c r="X2780" s="237"/>
      <c r="Y2780" s="237"/>
      <c r="Z2780" s="237"/>
      <c r="AA2780" s="237"/>
      <c r="AB2780" s="237"/>
    </row>
    <row r="2781">
      <c r="A2781" s="237"/>
      <c r="B2781" s="275"/>
      <c r="C2781" s="290"/>
      <c r="D2781" s="237"/>
      <c r="E2781" s="237"/>
      <c r="F2781" s="290"/>
      <c r="G2781" s="237"/>
      <c r="H2781" s="237"/>
      <c r="I2781" s="237"/>
      <c r="J2781" s="290"/>
      <c r="K2781" s="275"/>
      <c r="L2781" s="237"/>
      <c r="M2781" s="237"/>
      <c r="N2781" s="237"/>
      <c r="O2781" s="237"/>
      <c r="P2781" s="237"/>
      <c r="Q2781" s="237"/>
      <c r="R2781" s="237"/>
      <c r="S2781" s="237"/>
      <c r="T2781" s="237"/>
      <c r="U2781" s="237"/>
      <c r="V2781" s="237"/>
      <c r="W2781" s="237"/>
      <c r="X2781" s="237"/>
      <c r="Y2781" s="237"/>
      <c r="Z2781" s="237"/>
      <c r="AA2781" s="237"/>
      <c r="AB2781" s="237"/>
    </row>
    <row r="2782">
      <c r="A2782" s="237"/>
      <c r="B2782" s="275"/>
      <c r="C2782" s="290"/>
      <c r="D2782" s="237"/>
      <c r="E2782" s="237"/>
      <c r="F2782" s="290"/>
      <c r="G2782" s="237"/>
      <c r="H2782" s="237"/>
      <c r="I2782" s="237"/>
      <c r="J2782" s="290"/>
      <c r="K2782" s="275"/>
      <c r="L2782" s="237"/>
      <c r="M2782" s="237"/>
      <c r="N2782" s="237"/>
      <c r="O2782" s="237"/>
      <c r="P2782" s="237"/>
      <c r="Q2782" s="237"/>
      <c r="R2782" s="237"/>
      <c r="S2782" s="237"/>
      <c r="T2782" s="237"/>
      <c r="U2782" s="237"/>
      <c r="V2782" s="237"/>
      <c r="W2782" s="237"/>
      <c r="X2782" s="237"/>
      <c r="Y2782" s="237"/>
      <c r="Z2782" s="237"/>
      <c r="AA2782" s="237"/>
      <c r="AB2782" s="237"/>
    </row>
    <row r="2783">
      <c r="A2783" s="237"/>
      <c r="B2783" s="275"/>
      <c r="C2783" s="290"/>
      <c r="D2783" s="237"/>
      <c r="E2783" s="237"/>
      <c r="F2783" s="290"/>
      <c r="G2783" s="237"/>
      <c r="H2783" s="237"/>
      <c r="I2783" s="237"/>
      <c r="J2783" s="290"/>
      <c r="K2783" s="275"/>
      <c r="L2783" s="237"/>
      <c r="M2783" s="237"/>
      <c r="N2783" s="237"/>
      <c r="O2783" s="237"/>
      <c r="P2783" s="237"/>
      <c r="Q2783" s="237"/>
      <c r="R2783" s="237"/>
      <c r="S2783" s="237"/>
      <c r="T2783" s="237"/>
      <c r="U2783" s="237"/>
      <c r="V2783" s="237"/>
      <c r="W2783" s="237"/>
      <c r="X2783" s="237"/>
      <c r="Y2783" s="237"/>
      <c r="Z2783" s="237"/>
      <c r="AA2783" s="237"/>
      <c r="AB2783" s="237"/>
    </row>
    <row r="2784">
      <c r="A2784" s="237"/>
      <c r="B2784" s="275"/>
      <c r="C2784" s="290"/>
      <c r="D2784" s="237"/>
      <c r="E2784" s="237"/>
      <c r="F2784" s="290"/>
      <c r="G2784" s="237"/>
      <c r="H2784" s="237"/>
      <c r="I2784" s="237"/>
      <c r="J2784" s="290"/>
      <c r="K2784" s="275"/>
      <c r="L2784" s="237"/>
      <c r="M2784" s="237"/>
      <c r="N2784" s="237"/>
      <c r="O2784" s="237"/>
      <c r="P2784" s="237"/>
      <c r="Q2784" s="237"/>
      <c r="R2784" s="237"/>
      <c r="S2784" s="237"/>
      <c r="T2784" s="237"/>
      <c r="U2784" s="237"/>
      <c r="V2784" s="237"/>
      <c r="W2784" s="237"/>
      <c r="X2784" s="237"/>
      <c r="Y2784" s="237"/>
      <c r="Z2784" s="237"/>
      <c r="AA2784" s="237"/>
      <c r="AB2784" s="237"/>
    </row>
    <row r="2785">
      <c r="A2785" s="237"/>
      <c r="B2785" s="275"/>
      <c r="C2785" s="290"/>
      <c r="D2785" s="237"/>
      <c r="E2785" s="237"/>
      <c r="F2785" s="290"/>
      <c r="G2785" s="237"/>
      <c r="H2785" s="237"/>
      <c r="I2785" s="237"/>
      <c r="J2785" s="290"/>
      <c r="K2785" s="275"/>
      <c r="L2785" s="237"/>
      <c r="M2785" s="237"/>
      <c r="N2785" s="237"/>
      <c r="O2785" s="237"/>
      <c r="P2785" s="237"/>
      <c r="Q2785" s="237"/>
      <c r="R2785" s="237"/>
      <c r="S2785" s="237"/>
      <c r="T2785" s="237"/>
      <c r="U2785" s="237"/>
      <c r="V2785" s="237"/>
      <c r="W2785" s="237"/>
      <c r="X2785" s="237"/>
      <c r="Y2785" s="237"/>
      <c r="Z2785" s="237"/>
      <c r="AA2785" s="237"/>
      <c r="AB2785" s="237"/>
    </row>
    <row r="2786">
      <c r="A2786" s="237"/>
      <c r="B2786" s="275"/>
      <c r="C2786" s="290"/>
      <c r="D2786" s="237"/>
      <c r="E2786" s="237"/>
      <c r="F2786" s="290"/>
      <c r="G2786" s="237"/>
      <c r="H2786" s="237"/>
      <c r="I2786" s="237"/>
      <c r="J2786" s="290"/>
      <c r="K2786" s="275"/>
      <c r="L2786" s="237"/>
      <c r="M2786" s="237"/>
      <c r="N2786" s="237"/>
      <c r="O2786" s="237"/>
      <c r="P2786" s="237"/>
      <c r="Q2786" s="237"/>
      <c r="R2786" s="237"/>
      <c r="S2786" s="237"/>
      <c r="T2786" s="237"/>
      <c r="U2786" s="237"/>
      <c r="V2786" s="237"/>
      <c r="W2786" s="237"/>
      <c r="X2786" s="237"/>
      <c r="Y2786" s="237"/>
      <c r="Z2786" s="237"/>
      <c r="AA2786" s="237"/>
      <c r="AB2786" s="237"/>
    </row>
    <row r="2787">
      <c r="A2787" s="237"/>
      <c r="B2787" s="275"/>
      <c r="C2787" s="290"/>
      <c r="D2787" s="237"/>
      <c r="E2787" s="237"/>
      <c r="F2787" s="290"/>
      <c r="G2787" s="237"/>
      <c r="H2787" s="237"/>
      <c r="I2787" s="237"/>
      <c r="J2787" s="290"/>
      <c r="K2787" s="275"/>
      <c r="L2787" s="237"/>
      <c r="M2787" s="237"/>
      <c r="N2787" s="237"/>
      <c r="O2787" s="237"/>
      <c r="P2787" s="237"/>
      <c r="Q2787" s="237"/>
      <c r="R2787" s="237"/>
      <c r="S2787" s="237"/>
      <c r="T2787" s="237"/>
      <c r="U2787" s="237"/>
      <c r="V2787" s="237"/>
      <c r="W2787" s="237"/>
      <c r="X2787" s="237"/>
      <c r="Y2787" s="237"/>
      <c r="Z2787" s="237"/>
      <c r="AA2787" s="237"/>
      <c r="AB2787" s="237"/>
    </row>
    <row r="2788">
      <c r="A2788" s="237"/>
      <c r="B2788" s="275"/>
      <c r="C2788" s="290"/>
      <c r="D2788" s="237"/>
      <c r="E2788" s="237"/>
      <c r="F2788" s="290"/>
      <c r="G2788" s="237"/>
      <c r="H2788" s="237"/>
      <c r="I2788" s="237"/>
      <c r="J2788" s="290"/>
      <c r="K2788" s="275"/>
      <c r="L2788" s="237"/>
      <c r="M2788" s="237"/>
      <c r="N2788" s="237"/>
      <c r="O2788" s="237"/>
      <c r="P2788" s="237"/>
      <c r="Q2788" s="237"/>
      <c r="R2788" s="237"/>
      <c r="S2788" s="237"/>
      <c r="T2788" s="237"/>
      <c r="U2788" s="237"/>
      <c r="V2788" s="237"/>
      <c r="W2788" s="237"/>
      <c r="X2788" s="237"/>
      <c r="Y2788" s="237"/>
      <c r="Z2788" s="237"/>
      <c r="AA2788" s="237"/>
      <c r="AB2788" s="237"/>
    </row>
    <row r="2789">
      <c r="A2789" s="237"/>
      <c r="B2789" s="275"/>
      <c r="C2789" s="290"/>
      <c r="D2789" s="237"/>
      <c r="E2789" s="237"/>
      <c r="F2789" s="290"/>
      <c r="G2789" s="237"/>
      <c r="H2789" s="237"/>
      <c r="I2789" s="237"/>
      <c r="J2789" s="290"/>
      <c r="K2789" s="275"/>
      <c r="L2789" s="237"/>
      <c r="M2789" s="237"/>
      <c r="N2789" s="237"/>
      <c r="O2789" s="237"/>
      <c r="P2789" s="237"/>
      <c r="Q2789" s="237"/>
      <c r="R2789" s="237"/>
      <c r="S2789" s="237"/>
      <c r="T2789" s="237"/>
      <c r="U2789" s="237"/>
      <c r="V2789" s="237"/>
      <c r="W2789" s="237"/>
      <c r="X2789" s="237"/>
      <c r="Y2789" s="237"/>
      <c r="Z2789" s="237"/>
      <c r="AA2789" s="237"/>
      <c r="AB2789" s="237"/>
    </row>
    <row r="2790">
      <c r="A2790" s="237"/>
      <c r="B2790" s="275"/>
      <c r="C2790" s="290"/>
      <c r="D2790" s="237"/>
      <c r="E2790" s="237"/>
      <c r="F2790" s="290"/>
      <c r="G2790" s="237"/>
      <c r="H2790" s="237"/>
      <c r="I2790" s="237"/>
      <c r="J2790" s="290"/>
      <c r="K2790" s="275"/>
      <c r="L2790" s="237"/>
      <c r="M2790" s="237"/>
      <c r="N2790" s="237"/>
      <c r="O2790" s="237"/>
      <c r="P2790" s="237"/>
      <c r="Q2790" s="237"/>
      <c r="R2790" s="237"/>
      <c r="S2790" s="237"/>
      <c r="T2790" s="237"/>
      <c r="U2790" s="237"/>
      <c r="V2790" s="237"/>
      <c r="W2790" s="237"/>
      <c r="X2790" s="237"/>
      <c r="Y2790" s="237"/>
      <c r="Z2790" s="237"/>
      <c r="AA2790" s="237"/>
      <c r="AB2790" s="237"/>
    </row>
    <row r="2791">
      <c r="A2791" s="237"/>
      <c r="B2791" s="275"/>
      <c r="C2791" s="290"/>
      <c r="D2791" s="237"/>
      <c r="E2791" s="237"/>
      <c r="F2791" s="290"/>
      <c r="G2791" s="237"/>
      <c r="H2791" s="237"/>
      <c r="I2791" s="237"/>
      <c r="J2791" s="290"/>
      <c r="K2791" s="275"/>
      <c r="L2791" s="237"/>
      <c r="M2791" s="237"/>
      <c r="N2791" s="237"/>
      <c r="O2791" s="237"/>
      <c r="P2791" s="237"/>
      <c r="Q2791" s="237"/>
      <c r="R2791" s="237"/>
      <c r="S2791" s="237"/>
      <c r="T2791" s="237"/>
      <c r="U2791" s="237"/>
      <c r="V2791" s="237"/>
      <c r="W2791" s="237"/>
      <c r="X2791" s="237"/>
      <c r="Y2791" s="237"/>
      <c r="Z2791" s="237"/>
      <c r="AA2791" s="237"/>
      <c r="AB2791" s="237"/>
    </row>
    <row r="2792">
      <c r="A2792" s="237"/>
      <c r="B2792" s="275"/>
      <c r="C2792" s="290"/>
      <c r="D2792" s="237"/>
      <c r="E2792" s="237"/>
      <c r="F2792" s="290"/>
      <c r="G2792" s="237"/>
      <c r="H2792" s="237"/>
      <c r="I2792" s="237"/>
      <c r="J2792" s="290"/>
      <c r="K2792" s="275"/>
      <c r="L2792" s="237"/>
      <c r="M2792" s="237"/>
      <c r="N2792" s="237"/>
      <c r="O2792" s="237"/>
      <c r="P2792" s="237"/>
      <c r="Q2792" s="237"/>
      <c r="R2792" s="237"/>
      <c r="S2792" s="237"/>
      <c r="T2792" s="237"/>
      <c r="U2792" s="237"/>
      <c r="V2792" s="237"/>
      <c r="W2792" s="237"/>
      <c r="X2792" s="237"/>
      <c r="Y2792" s="237"/>
      <c r="Z2792" s="237"/>
      <c r="AA2792" s="237"/>
      <c r="AB2792" s="237"/>
    </row>
    <row r="2793">
      <c r="A2793" s="237"/>
      <c r="B2793" s="275"/>
      <c r="C2793" s="290"/>
      <c r="D2793" s="237"/>
      <c r="E2793" s="237"/>
      <c r="F2793" s="290"/>
      <c r="G2793" s="237"/>
      <c r="H2793" s="237"/>
      <c r="I2793" s="237"/>
      <c r="J2793" s="290"/>
      <c r="K2793" s="275"/>
      <c r="L2793" s="237"/>
      <c r="M2793" s="237"/>
      <c r="N2793" s="237"/>
      <c r="O2793" s="237"/>
      <c r="P2793" s="237"/>
      <c r="Q2793" s="237"/>
      <c r="R2793" s="237"/>
      <c r="S2793" s="237"/>
      <c r="T2793" s="237"/>
      <c r="U2793" s="237"/>
      <c r="V2793" s="237"/>
      <c r="W2793" s="237"/>
      <c r="X2793" s="237"/>
      <c r="Y2793" s="237"/>
      <c r="Z2793" s="237"/>
      <c r="AA2793" s="237"/>
      <c r="AB2793" s="237"/>
    </row>
    <row r="2794">
      <c r="A2794" s="237"/>
      <c r="B2794" s="275"/>
      <c r="C2794" s="290"/>
      <c r="D2794" s="237"/>
      <c r="E2794" s="237"/>
      <c r="F2794" s="290"/>
      <c r="G2794" s="237"/>
      <c r="H2794" s="237"/>
      <c r="I2794" s="237"/>
      <c r="J2794" s="290"/>
      <c r="K2794" s="275"/>
      <c r="L2794" s="237"/>
      <c r="M2794" s="237"/>
      <c r="N2794" s="237"/>
      <c r="O2794" s="237"/>
      <c r="P2794" s="237"/>
      <c r="Q2794" s="237"/>
      <c r="R2794" s="237"/>
      <c r="S2794" s="237"/>
      <c r="T2794" s="237"/>
      <c r="U2794" s="237"/>
      <c r="V2794" s="237"/>
      <c r="W2794" s="237"/>
      <c r="X2794" s="237"/>
      <c r="Y2794" s="237"/>
      <c r="Z2794" s="237"/>
      <c r="AA2794" s="237"/>
      <c r="AB2794" s="237"/>
    </row>
    <row r="2795">
      <c r="A2795" s="237"/>
      <c r="B2795" s="275"/>
      <c r="C2795" s="290"/>
      <c r="D2795" s="237"/>
      <c r="E2795" s="237"/>
      <c r="F2795" s="290"/>
      <c r="G2795" s="237"/>
      <c r="H2795" s="237"/>
      <c r="I2795" s="237"/>
      <c r="J2795" s="290"/>
      <c r="K2795" s="275"/>
      <c r="L2795" s="237"/>
      <c r="M2795" s="237"/>
      <c r="N2795" s="237"/>
      <c r="O2795" s="237"/>
      <c r="P2795" s="237"/>
      <c r="Q2795" s="237"/>
      <c r="R2795" s="237"/>
      <c r="S2795" s="237"/>
      <c r="T2795" s="237"/>
      <c r="U2795" s="237"/>
      <c r="V2795" s="237"/>
      <c r="W2795" s="237"/>
      <c r="X2795" s="237"/>
      <c r="Y2795" s="237"/>
      <c r="Z2795" s="237"/>
      <c r="AA2795" s="237"/>
      <c r="AB2795" s="237"/>
    </row>
    <row r="2796">
      <c r="A2796" s="237"/>
      <c r="B2796" s="275"/>
      <c r="C2796" s="290"/>
      <c r="D2796" s="237"/>
      <c r="E2796" s="237"/>
      <c r="F2796" s="290"/>
      <c r="G2796" s="237"/>
      <c r="H2796" s="237"/>
      <c r="I2796" s="237"/>
      <c r="J2796" s="290"/>
      <c r="K2796" s="275"/>
      <c r="L2796" s="237"/>
      <c r="M2796" s="237"/>
      <c r="N2796" s="237"/>
      <c r="O2796" s="237"/>
      <c r="P2796" s="237"/>
      <c r="Q2796" s="237"/>
      <c r="R2796" s="237"/>
      <c r="S2796" s="237"/>
      <c r="T2796" s="237"/>
      <c r="U2796" s="237"/>
      <c r="V2796" s="237"/>
      <c r="W2796" s="237"/>
      <c r="X2796" s="237"/>
      <c r="Y2796" s="237"/>
      <c r="Z2796" s="237"/>
      <c r="AA2796" s="237"/>
      <c r="AB2796" s="237"/>
    </row>
    <row r="2797">
      <c r="A2797" s="237"/>
      <c r="B2797" s="275"/>
      <c r="C2797" s="290"/>
      <c r="D2797" s="237"/>
      <c r="E2797" s="237"/>
      <c r="F2797" s="290"/>
      <c r="G2797" s="237"/>
      <c r="H2797" s="237"/>
      <c r="I2797" s="237"/>
      <c r="J2797" s="290"/>
      <c r="K2797" s="275"/>
      <c r="L2797" s="237"/>
      <c r="M2797" s="237"/>
      <c r="N2797" s="237"/>
      <c r="O2797" s="237"/>
      <c r="P2797" s="237"/>
      <c r="Q2797" s="237"/>
      <c r="R2797" s="237"/>
      <c r="S2797" s="237"/>
      <c r="T2797" s="237"/>
      <c r="U2797" s="237"/>
      <c r="V2797" s="237"/>
      <c r="W2797" s="237"/>
      <c r="X2797" s="237"/>
      <c r="Y2797" s="237"/>
      <c r="Z2797" s="237"/>
      <c r="AA2797" s="237"/>
      <c r="AB2797" s="237"/>
    </row>
    <row r="2798">
      <c r="A2798" s="237"/>
      <c r="B2798" s="275"/>
      <c r="C2798" s="290"/>
      <c r="D2798" s="237"/>
      <c r="E2798" s="237"/>
      <c r="F2798" s="290"/>
      <c r="G2798" s="237"/>
      <c r="H2798" s="237"/>
      <c r="I2798" s="237"/>
      <c r="J2798" s="290"/>
      <c r="K2798" s="275"/>
      <c r="L2798" s="237"/>
      <c r="M2798" s="237"/>
      <c r="N2798" s="237"/>
      <c r="O2798" s="237"/>
      <c r="P2798" s="237"/>
      <c r="Q2798" s="237"/>
      <c r="R2798" s="237"/>
      <c r="S2798" s="237"/>
      <c r="T2798" s="237"/>
      <c r="U2798" s="237"/>
      <c r="V2798" s="237"/>
      <c r="W2798" s="237"/>
      <c r="X2798" s="237"/>
      <c r="Y2798" s="237"/>
      <c r="Z2798" s="237"/>
      <c r="AA2798" s="237"/>
      <c r="AB2798" s="237"/>
    </row>
    <row r="2799">
      <c r="A2799" s="237"/>
      <c r="B2799" s="275"/>
      <c r="C2799" s="290"/>
      <c r="D2799" s="237"/>
      <c r="E2799" s="237"/>
      <c r="F2799" s="290"/>
      <c r="G2799" s="237"/>
      <c r="H2799" s="237"/>
      <c r="I2799" s="237"/>
      <c r="J2799" s="290"/>
      <c r="K2799" s="275"/>
      <c r="L2799" s="237"/>
      <c r="M2799" s="237"/>
      <c r="N2799" s="237"/>
      <c r="O2799" s="237"/>
      <c r="P2799" s="237"/>
      <c r="Q2799" s="237"/>
      <c r="R2799" s="237"/>
      <c r="S2799" s="237"/>
      <c r="T2799" s="237"/>
      <c r="U2799" s="237"/>
      <c r="V2799" s="237"/>
      <c r="W2799" s="237"/>
      <c r="X2799" s="237"/>
      <c r="Y2799" s="237"/>
      <c r="Z2799" s="237"/>
      <c r="AA2799" s="237"/>
      <c r="AB2799" s="237"/>
    </row>
    <row r="2800">
      <c r="A2800" s="237"/>
      <c r="B2800" s="275"/>
      <c r="C2800" s="290"/>
      <c r="D2800" s="237"/>
      <c r="E2800" s="237"/>
      <c r="F2800" s="290"/>
      <c r="G2800" s="237"/>
      <c r="H2800" s="237"/>
      <c r="I2800" s="237"/>
      <c r="J2800" s="290"/>
      <c r="K2800" s="275"/>
      <c r="L2800" s="237"/>
      <c r="M2800" s="237"/>
      <c r="N2800" s="237"/>
      <c r="O2800" s="237"/>
      <c r="P2800" s="237"/>
      <c r="Q2800" s="237"/>
      <c r="R2800" s="237"/>
      <c r="S2800" s="237"/>
      <c r="T2800" s="237"/>
      <c r="U2800" s="237"/>
      <c r="V2800" s="237"/>
      <c r="W2800" s="237"/>
      <c r="X2800" s="237"/>
      <c r="Y2800" s="237"/>
      <c r="Z2800" s="237"/>
      <c r="AA2800" s="237"/>
      <c r="AB2800" s="237"/>
    </row>
    <row r="2801">
      <c r="A2801" s="237"/>
      <c r="B2801" s="275"/>
      <c r="C2801" s="290"/>
      <c r="D2801" s="237"/>
      <c r="E2801" s="237"/>
      <c r="F2801" s="290"/>
      <c r="G2801" s="237"/>
      <c r="H2801" s="237"/>
      <c r="I2801" s="237"/>
      <c r="J2801" s="290"/>
      <c r="K2801" s="275"/>
      <c r="L2801" s="237"/>
      <c r="M2801" s="237"/>
      <c r="N2801" s="237"/>
      <c r="O2801" s="237"/>
      <c r="P2801" s="237"/>
      <c r="Q2801" s="237"/>
      <c r="R2801" s="237"/>
      <c r="S2801" s="237"/>
      <c r="T2801" s="237"/>
      <c r="U2801" s="237"/>
      <c r="V2801" s="237"/>
      <c r="W2801" s="237"/>
      <c r="X2801" s="237"/>
      <c r="Y2801" s="237"/>
      <c r="Z2801" s="237"/>
      <c r="AA2801" s="237"/>
      <c r="AB2801" s="237"/>
    </row>
    <row r="2802">
      <c r="A2802" s="237"/>
      <c r="B2802" s="275"/>
      <c r="C2802" s="290"/>
      <c r="D2802" s="237"/>
      <c r="E2802" s="237"/>
      <c r="F2802" s="290"/>
      <c r="G2802" s="237"/>
      <c r="H2802" s="237"/>
      <c r="I2802" s="237"/>
      <c r="J2802" s="290"/>
      <c r="K2802" s="275"/>
      <c r="L2802" s="237"/>
      <c r="M2802" s="237"/>
      <c r="N2802" s="237"/>
      <c r="O2802" s="237"/>
      <c r="P2802" s="237"/>
      <c r="Q2802" s="237"/>
      <c r="R2802" s="237"/>
      <c r="S2802" s="237"/>
      <c r="T2802" s="237"/>
      <c r="U2802" s="237"/>
      <c r="V2802" s="237"/>
      <c r="W2802" s="237"/>
      <c r="X2802" s="237"/>
      <c r="Y2802" s="237"/>
      <c r="Z2802" s="237"/>
      <c r="AA2802" s="237"/>
      <c r="AB2802" s="237"/>
    </row>
    <row r="2803">
      <c r="A2803" s="237"/>
      <c r="B2803" s="275"/>
      <c r="C2803" s="290"/>
      <c r="D2803" s="237"/>
      <c r="E2803" s="237"/>
      <c r="F2803" s="290"/>
      <c r="G2803" s="237"/>
      <c r="H2803" s="237"/>
      <c r="I2803" s="237"/>
      <c r="J2803" s="290"/>
      <c r="K2803" s="275"/>
      <c r="L2803" s="237"/>
      <c r="M2803" s="237"/>
      <c r="N2803" s="237"/>
      <c r="O2803" s="237"/>
      <c r="P2803" s="237"/>
      <c r="Q2803" s="237"/>
      <c r="R2803" s="237"/>
      <c r="S2803" s="237"/>
      <c r="T2803" s="237"/>
      <c r="U2803" s="237"/>
      <c r="V2803" s="237"/>
      <c r="W2803" s="237"/>
      <c r="X2803" s="237"/>
      <c r="Y2803" s="237"/>
      <c r="Z2803" s="237"/>
      <c r="AA2803" s="237"/>
      <c r="AB2803" s="237"/>
    </row>
    <row r="2804">
      <c r="A2804" s="237"/>
      <c r="B2804" s="275"/>
      <c r="C2804" s="290"/>
      <c r="D2804" s="237"/>
      <c r="E2804" s="237"/>
      <c r="F2804" s="290"/>
      <c r="G2804" s="237"/>
      <c r="H2804" s="237"/>
      <c r="I2804" s="237"/>
      <c r="J2804" s="290"/>
      <c r="K2804" s="275"/>
      <c r="L2804" s="237"/>
      <c r="M2804" s="237"/>
      <c r="N2804" s="237"/>
      <c r="O2804" s="237"/>
      <c r="P2804" s="237"/>
      <c r="Q2804" s="237"/>
      <c r="R2804" s="237"/>
      <c r="S2804" s="237"/>
      <c r="T2804" s="237"/>
      <c r="U2804" s="237"/>
      <c r="V2804" s="237"/>
      <c r="W2804" s="237"/>
      <c r="X2804" s="237"/>
      <c r="Y2804" s="237"/>
      <c r="Z2804" s="237"/>
      <c r="AA2804" s="237"/>
      <c r="AB2804" s="237"/>
    </row>
    <row r="2805">
      <c r="A2805" s="237"/>
      <c r="B2805" s="275"/>
      <c r="C2805" s="290"/>
      <c r="D2805" s="237"/>
      <c r="E2805" s="237"/>
      <c r="F2805" s="290"/>
      <c r="G2805" s="237"/>
      <c r="H2805" s="237"/>
      <c r="I2805" s="237"/>
      <c r="J2805" s="290"/>
      <c r="K2805" s="275"/>
      <c r="L2805" s="237"/>
      <c r="M2805" s="237"/>
      <c r="N2805" s="237"/>
      <c r="O2805" s="237"/>
      <c r="P2805" s="237"/>
      <c r="Q2805" s="237"/>
      <c r="R2805" s="237"/>
      <c r="S2805" s="237"/>
      <c r="T2805" s="237"/>
      <c r="U2805" s="237"/>
      <c r="V2805" s="237"/>
      <c r="W2805" s="237"/>
      <c r="X2805" s="237"/>
      <c r="Y2805" s="237"/>
      <c r="Z2805" s="237"/>
      <c r="AA2805" s="237"/>
      <c r="AB2805" s="237"/>
    </row>
    <row r="2806">
      <c r="A2806" s="237"/>
      <c r="B2806" s="275"/>
      <c r="C2806" s="290"/>
      <c r="D2806" s="237"/>
      <c r="E2806" s="237"/>
      <c r="F2806" s="290"/>
      <c r="G2806" s="237"/>
      <c r="H2806" s="237"/>
      <c r="I2806" s="237"/>
      <c r="J2806" s="290"/>
      <c r="K2806" s="275"/>
      <c r="L2806" s="237"/>
      <c r="M2806" s="237"/>
      <c r="N2806" s="237"/>
      <c r="O2806" s="237"/>
      <c r="P2806" s="237"/>
      <c r="Q2806" s="237"/>
      <c r="R2806" s="237"/>
      <c r="S2806" s="237"/>
      <c r="T2806" s="237"/>
      <c r="U2806" s="237"/>
      <c r="V2806" s="237"/>
      <c r="W2806" s="237"/>
      <c r="X2806" s="237"/>
      <c r="Y2806" s="237"/>
      <c r="Z2806" s="237"/>
      <c r="AA2806" s="237"/>
      <c r="AB2806" s="237"/>
    </row>
    <row r="2807">
      <c r="A2807" s="237"/>
      <c r="B2807" s="275"/>
      <c r="C2807" s="290"/>
      <c r="D2807" s="237"/>
      <c r="E2807" s="237"/>
      <c r="F2807" s="290"/>
      <c r="G2807" s="237"/>
      <c r="H2807" s="237"/>
      <c r="I2807" s="237"/>
      <c r="J2807" s="290"/>
      <c r="K2807" s="275"/>
      <c r="L2807" s="237"/>
      <c r="M2807" s="237"/>
      <c r="N2807" s="237"/>
      <c r="O2807" s="237"/>
      <c r="P2807" s="237"/>
      <c r="Q2807" s="237"/>
      <c r="R2807" s="237"/>
      <c r="S2807" s="237"/>
      <c r="T2807" s="237"/>
      <c r="U2807" s="237"/>
      <c r="V2807" s="237"/>
      <c r="W2807" s="237"/>
      <c r="X2807" s="237"/>
      <c r="Y2807" s="237"/>
      <c r="Z2807" s="237"/>
      <c r="AA2807" s="237"/>
      <c r="AB2807" s="237"/>
    </row>
    <row r="2808">
      <c r="A2808" s="237"/>
      <c r="B2808" s="275"/>
      <c r="C2808" s="290"/>
      <c r="D2808" s="237"/>
      <c r="E2808" s="237"/>
      <c r="F2808" s="290"/>
      <c r="G2808" s="237"/>
      <c r="H2808" s="237"/>
      <c r="I2808" s="237"/>
      <c r="J2808" s="290"/>
      <c r="K2808" s="275"/>
      <c r="L2808" s="237"/>
      <c r="M2808" s="237"/>
      <c r="N2808" s="237"/>
      <c r="O2808" s="237"/>
      <c r="P2808" s="237"/>
      <c r="Q2808" s="237"/>
      <c r="R2808" s="237"/>
      <c r="S2808" s="237"/>
      <c r="T2808" s="237"/>
      <c r="U2808" s="237"/>
      <c r="V2808" s="237"/>
      <c r="W2808" s="237"/>
      <c r="X2808" s="237"/>
      <c r="Y2808" s="237"/>
      <c r="Z2808" s="237"/>
      <c r="AA2808" s="237"/>
      <c r="AB2808" s="237"/>
    </row>
    <row r="2809">
      <c r="A2809" s="237"/>
      <c r="B2809" s="275"/>
      <c r="C2809" s="290"/>
      <c r="D2809" s="237"/>
      <c r="E2809" s="237"/>
      <c r="F2809" s="290"/>
      <c r="G2809" s="237"/>
      <c r="H2809" s="237"/>
      <c r="I2809" s="237"/>
      <c r="J2809" s="290"/>
      <c r="K2809" s="275"/>
      <c r="L2809" s="237"/>
      <c r="M2809" s="237"/>
      <c r="N2809" s="237"/>
      <c r="O2809" s="237"/>
      <c r="P2809" s="237"/>
      <c r="Q2809" s="237"/>
      <c r="R2809" s="237"/>
      <c r="S2809" s="237"/>
      <c r="T2809" s="237"/>
      <c r="U2809" s="237"/>
      <c r="V2809" s="237"/>
      <c r="W2809" s="237"/>
      <c r="X2809" s="237"/>
      <c r="Y2809" s="237"/>
      <c r="Z2809" s="237"/>
      <c r="AA2809" s="237"/>
      <c r="AB2809" s="237"/>
    </row>
    <row r="2810">
      <c r="A2810" s="237"/>
      <c r="B2810" s="275"/>
      <c r="C2810" s="290"/>
      <c r="D2810" s="237"/>
      <c r="E2810" s="237"/>
      <c r="F2810" s="290"/>
      <c r="G2810" s="237"/>
      <c r="H2810" s="237"/>
      <c r="I2810" s="237"/>
      <c r="J2810" s="290"/>
      <c r="K2810" s="275"/>
      <c r="L2810" s="237"/>
      <c r="M2810" s="237"/>
      <c r="N2810" s="237"/>
      <c r="O2810" s="237"/>
      <c r="P2810" s="237"/>
      <c r="Q2810" s="237"/>
      <c r="R2810" s="237"/>
      <c r="S2810" s="237"/>
      <c r="T2810" s="237"/>
      <c r="U2810" s="237"/>
      <c r="V2810" s="237"/>
      <c r="W2810" s="237"/>
      <c r="X2810" s="237"/>
      <c r="Y2810" s="237"/>
      <c r="Z2810" s="237"/>
      <c r="AA2810" s="237"/>
      <c r="AB2810" s="237"/>
    </row>
    <row r="2811">
      <c r="A2811" s="237"/>
      <c r="B2811" s="275"/>
      <c r="C2811" s="290"/>
      <c r="D2811" s="237"/>
      <c r="E2811" s="237"/>
      <c r="F2811" s="290"/>
      <c r="G2811" s="237"/>
      <c r="H2811" s="237"/>
      <c r="I2811" s="237"/>
      <c r="J2811" s="290"/>
      <c r="K2811" s="275"/>
      <c r="L2811" s="237"/>
      <c r="M2811" s="237"/>
      <c r="N2811" s="237"/>
      <c r="O2811" s="237"/>
      <c r="P2811" s="237"/>
      <c r="Q2811" s="237"/>
      <c r="R2811" s="237"/>
      <c r="S2811" s="237"/>
      <c r="T2811" s="237"/>
      <c r="U2811" s="237"/>
      <c r="V2811" s="237"/>
      <c r="W2811" s="237"/>
      <c r="X2811" s="237"/>
      <c r="Y2811" s="237"/>
      <c r="Z2811" s="237"/>
      <c r="AA2811" s="237"/>
      <c r="AB2811" s="237"/>
    </row>
    <row r="2812">
      <c r="A2812" s="237"/>
      <c r="B2812" s="275"/>
      <c r="C2812" s="290"/>
      <c r="D2812" s="237"/>
      <c r="E2812" s="237"/>
      <c r="F2812" s="290"/>
      <c r="G2812" s="237"/>
      <c r="H2812" s="237"/>
      <c r="I2812" s="237"/>
      <c r="J2812" s="290"/>
      <c r="K2812" s="275"/>
      <c r="L2812" s="237"/>
      <c r="M2812" s="237"/>
      <c r="N2812" s="237"/>
      <c r="O2812" s="237"/>
      <c r="P2812" s="237"/>
      <c r="Q2812" s="237"/>
      <c r="R2812" s="237"/>
      <c r="S2812" s="237"/>
      <c r="T2812" s="237"/>
      <c r="U2812" s="237"/>
      <c r="V2812" s="237"/>
      <c r="W2812" s="237"/>
      <c r="X2812" s="237"/>
      <c r="Y2812" s="237"/>
      <c r="Z2812" s="237"/>
      <c r="AA2812" s="237"/>
      <c r="AB2812" s="237"/>
    </row>
    <row r="2813">
      <c r="A2813" s="237"/>
      <c r="B2813" s="275"/>
      <c r="C2813" s="290"/>
      <c r="D2813" s="237"/>
      <c r="E2813" s="237"/>
      <c r="F2813" s="290"/>
      <c r="G2813" s="237"/>
      <c r="H2813" s="237"/>
      <c r="I2813" s="237"/>
      <c r="J2813" s="290"/>
      <c r="K2813" s="275"/>
      <c r="L2813" s="237"/>
      <c r="M2813" s="237"/>
      <c r="N2813" s="237"/>
      <c r="O2813" s="237"/>
      <c r="P2813" s="237"/>
      <c r="Q2813" s="237"/>
      <c r="R2813" s="237"/>
      <c r="S2813" s="237"/>
      <c r="T2813" s="237"/>
      <c r="U2813" s="237"/>
      <c r="V2813" s="237"/>
      <c r="W2813" s="237"/>
      <c r="X2813" s="237"/>
      <c r="Y2813" s="237"/>
      <c r="Z2813" s="237"/>
      <c r="AA2813" s="237"/>
      <c r="AB2813" s="237"/>
    </row>
    <row r="2814">
      <c r="A2814" s="237"/>
      <c r="B2814" s="275"/>
      <c r="C2814" s="290"/>
      <c r="D2814" s="237"/>
      <c r="E2814" s="237"/>
      <c r="F2814" s="290"/>
      <c r="G2814" s="237"/>
      <c r="H2814" s="237"/>
      <c r="I2814" s="237"/>
      <c r="J2814" s="290"/>
      <c r="K2814" s="275"/>
      <c r="L2814" s="237"/>
      <c r="M2814" s="237"/>
      <c r="N2814" s="237"/>
      <c r="O2814" s="237"/>
      <c r="P2814" s="237"/>
      <c r="Q2814" s="237"/>
      <c r="R2814" s="237"/>
      <c r="S2814" s="237"/>
      <c r="T2814" s="237"/>
      <c r="U2814" s="237"/>
      <c r="V2814" s="237"/>
      <c r="W2814" s="237"/>
      <c r="X2814" s="237"/>
      <c r="Y2814" s="237"/>
      <c r="Z2814" s="237"/>
      <c r="AA2814" s="237"/>
      <c r="AB2814" s="237"/>
    </row>
    <row r="2815">
      <c r="A2815" s="237"/>
      <c r="B2815" s="275"/>
      <c r="C2815" s="290"/>
      <c r="D2815" s="237"/>
      <c r="E2815" s="237"/>
      <c r="F2815" s="290"/>
      <c r="G2815" s="237"/>
      <c r="H2815" s="237"/>
      <c r="I2815" s="237"/>
      <c r="J2815" s="290"/>
      <c r="K2815" s="275"/>
      <c r="L2815" s="237"/>
      <c r="M2815" s="237"/>
      <c r="N2815" s="237"/>
      <c r="O2815" s="237"/>
      <c r="P2815" s="237"/>
      <c r="Q2815" s="237"/>
      <c r="R2815" s="237"/>
      <c r="S2815" s="237"/>
      <c r="T2815" s="237"/>
      <c r="U2815" s="237"/>
      <c r="V2815" s="237"/>
      <c r="W2815" s="237"/>
      <c r="X2815" s="237"/>
      <c r="Y2815" s="237"/>
      <c r="Z2815" s="237"/>
      <c r="AA2815" s="237"/>
      <c r="AB2815" s="237"/>
    </row>
    <row r="2816">
      <c r="A2816" s="237"/>
      <c r="B2816" s="275"/>
      <c r="C2816" s="290"/>
      <c r="D2816" s="237"/>
      <c r="E2816" s="237"/>
      <c r="F2816" s="290"/>
      <c r="G2816" s="237"/>
      <c r="H2816" s="237"/>
      <c r="I2816" s="237"/>
      <c r="J2816" s="290"/>
      <c r="K2816" s="275"/>
      <c r="L2816" s="237"/>
      <c r="M2816" s="237"/>
      <c r="N2816" s="237"/>
      <c r="O2816" s="237"/>
      <c r="P2816" s="237"/>
      <c r="Q2816" s="237"/>
      <c r="R2816" s="237"/>
      <c r="S2816" s="237"/>
      <c r="T2816" s="237"/>
      <c r="U2816" s="237"/>
      <c r="V2816" s="237"/>
      <c r="W2816" s="237"/>
      <c r="X2816" s="237"/>
      <c r="Y2816" s="237"/>
      <c r="Z2816" s="237"/>
      <c r="AA2816" s="237"/>
      <c r="AB2816" s="237"/>
    </row>
    <row r="2817">
      <c r="A2817" s="237"/>
      <c r="B2817" s="275"/>
      <c r="C2817" s="290"/>
      <c r="D2817" s="237"/>
      <c r="E2817" s="237"/>
      <c r="F2817" s="290"/>
      <c r="G2817" s="237"/>
      <c r="H2817" s="237"/>
      <c r="I2817" s="237"/>
      <c r="J2817" s="290"/>
      <c r="K2817" s="275"/>
      <c r="L2817" s="237"/>
      <c r="M2817" s="237"/>
      <c r="N2817" s="237"/>
      <c r="O2817" s="237"/>
      <c r="P2817" s="237"/>
      <c r="Q2817" s="237"/>
      <c r="R2817" s="237"/>
      <c r="S2817" s="237"/>
      <c r="T2817" s="237"/>
      <c r="U2817" s="237"/>
      <c r="V2817" s="237"/>
      <c r="W2817" s="237"/>
      <c r="X2817" s="237"/>
      <c r="Y2817" s="237"/>
      <c r="Z2817" s="237"/>
      <c r="AA2817" s="237"/>
      <c r="AB2817" s="237"/>
    </row>
    <row r="2818">
      <c r="A2818" s="237"/>
      <c r="B2818" s="275"/>
      <c r="C2818" s="290"/>
      <c r="D2818" s="237"/>
      <c r="E2818" s="237"/>
      <c r="F2818" s="290"/>
      <c r="G2818" s="237"/>
      <c r="H2818" s="237"/>
      <c r="I2818" s="237"/>
      <c r="J2818" s="290"/>
      <c r="K2818" s="275"/>
      <c r="L2818" s="237"/>
      <c r="M2818" s="237"/>
      <c r="N2818" s="237"/>
      <c r="O2818" s="237"/>
      <c r="P2818" s="237"/>
      <c r="Q2818" s="237"/>
      <c r="R2818" s="237"/>
      <c r="S2818" s="237"/>
      <c r="T2818" s="237"/>
      <c r="U2818" s="237"/>
      <c r="V2818" s="237"/>
      <c r="W2818" s="237"/>
      <c r="X2818" s="237"/>
      <c r="Y2818" s="237"/>
      <c r="Z2818" s="237"/>
      <c r="AA2818" s="237"/>
      <c r="AB2818" s="237"/>
    </row>
    <row r="2819">
      <c r="A2819" s="237"/>
      <c r="B2819" s="275"/>
      <c r="C2819" s="290"/>
      <c r="D2819" s="237"/>
      <c r="E2819" s="237"/>
      <c r="F2819" s="290"/>
      <c r="G2819" s="237"/>
      <c r="H2819" s="237"/>
      <c r="I2819" s="237"/>
      <c r="J2819" s="290"/>
      <c r="K2819" s="275"/>
      <c r="L2819" s="237"/>
      <c r="M2819" s="237"/>
      <c r="N2819" s="237"/>
      <c r="O2819" s="237"/>
      <c r="P2819" s="237"/>
      <c r="Q2819" s="237"/>
      <c r="R2819" s="237"/>
      <c r="S2819" s="237"/>
      <c r="T2819" s="237"/>
      <c r="U2819" s="237"/>
      <c r="V2819" s="237"/>
      <c r="W2819" s="237"/>
      <c r="X2819" s="237"/>
      <c r="Y2819" s="237"/>
      <c r="Z2819" s="237"/>
      <c r="AA2819" s="237"/>
      <c r="AB2819" s="237"/>
    </row>
    <row r="2820">
      <c r="A2820" s="237"/>
      <c r="B2820" s="275"/>
      <c r="C2820" s="290"/>
      <c r="D2820" s="237"/>
      <c r="E2820" s="237"/>
      <c r="F2820" s="290"/>
      <c r="G2820" s="237"/>
      <c r="H2820" s="237"/>
      <c r="I2820" s="237"/>
      <c r="J2820" s="290"/>
      <c r="K2820" s="275"/>
      <c r="L2820" s="237"/>
      <c r="M2820" s="237"/>
      <c r="N2820" s="237"/>
      <c r="O2820" s="237"/>
      <c r="P2820" s="237"/>
      <c r="Q2820" s="237"/>
      <c r="R2820" s="237"/>
      <c r="S2820" s="237"/>
      <c r="T2820" s="237"/>
      <c r="U2820" s="237"/>
      <c r="V2820" s="237"/>
      <c r="W2820" s="237"/>
      <c r="X2820" s="237"/>
      <c r="Y2820" s="237"/>
      <c r="Z2820" s="237"/>
      <c r="AA2820" s="237"/>
      <c r="AB2820" s="237"/>
    </row>
    <row r="2821">
      <c r="A2821" s="237"/>
      <c r="B2821" s="275"/>
      <c r="C2821" s="290"/>
      <c r="D2821" s="237"/>
      <c r="E2821" s="237"/>
      <c r="F2821" s="290"/>
      <c r="G2821" s="237"/>
      <c r="H2821" s="237"/>
      <c r="I2821" s="237"/>
      <c r="J2821" s="290"/>
      <c r="K2821" s="275"/>
      <c r="L2821" s="237"/>
      <c r="M2821" s="237"/>
      <c r="N2821" s="237"/>
      <c r="O2821" s="237"/>
      <c r="P2821" s="237"/>
      <c r="Q2821" s="237"/>
      <c r="R2821" s="237"/>
      <c r="S2821" s="237"/>
      <c r="T2821" s="237"/>
      <c r="U2821" s="237"/>
      <c r="V2821" s="237"/>
      <c r="W2821" s="237"/>
      <c r="X2821" s="237"/>
      <c r="Y2821" s="237"/>
      <c r="Z2821" s="237"/>
      <c r="AA2821" s="237"/>
      <c r="AB2821" s="237"/>
    </row>
    <row r="2822">
      <c r="A2822" s="237"/>
      <c r="B2822" s="275"/>
      <c r="C2822" s="290"/>
      <c r="D2822" s="237"/>
      <c r="E2822" s="237"/>
      <c r="F2822" s="290"/>
      <c r="G2822" s="237"/>
      <c r="H2822" s="237"/>
      <c r="I2822" s="237"/>
      <c r="J2822" s="290"/>
      <c r="K2822" s="275"/>
      <c r="L2822" s="237"/>
      <c r="M2822" s="237"/>
      <c r="N2822" s="237"/>
      <c r="O2822" s="237"/>
      <c r="P2822" s="237"/>
      <c r="Q2822" s="237"/>
      <c r="R2822" s="237"/>
      <c r="S2822" s="237"/>
      <c r="T2822" s="237"/>
      <c r="U2822" s="237"/>
      <c r="V2822" s="237"/>
      <c r="W2822" s="237"/>
      <c r="X2822" s="237"/>
      <c r="Y2822" s="237"/>
      <c r="Z2822" s="237"/>
      <c r="AA2822" s="237"/>
      <c r="AB2822" s="237"/>
    </row>
    <row r="2823">
      <c r="A2823" s="237"/>
      <c r="B2823" s="275"/>
      <c r="C2823" s="290"/>
      <c r="D2823" s="237"/>
      <c r="E2823" s="237"/>
      <c r="F2823" s="290"/>
      <c r="G2823" s="237"/>
      <c r="H2823" s="237"/>
      <c r="I2823" s="237"/>
      <c r="J2823" s="290"/>
      <c r="K2823" s="275"/>
      <c r="L2823" s="237"/>
      <c r="M2823" s="237"/>
      <c r="N2823" s="237"/>
      <c r="O2823" s="237"/>
      <c r="P2823" s="237"/>
      <c r="Q2823" s="237"/>
      <c r="R2823" s="237"/>
      <c r="S2823" s="237"/>
      <c r="T2823" s="237"/>
      <c r="U2823" s="237"/>
      <c r="V2823" s="237"/>
      <c r="W2823" s="237"/>
      <c r="X2823" s="237"/>
      <c r="Y2823" s="237"/>
      <c r="Z2823" s="237"/>
      <c r="AA2823" s="237"/>
      <c r="AB2823" s="237"/>
    </row>
    <row r="2824">
      <c r="A2824" s="237"/>
      <c r="B2824" s="275"/>
      <c r="C2824" s="290"/>
      <c r="D2824" s="237"/>
      <c r="E2824" s="237"/>
      <c r="F2824" s="290"/>
      <c r="G2824" s="237"/>
      <c r="H2824" s="237"/>
      <c r="I2824" s="237"/>
      <c r="J2824" s="290"/>
      <c r="K2824" s="275"/>
      <c r="L2824" s="237"/>
      <c r="M2824" s="237"/>
      <c r="N2824" s="237"/>
      <c r="O2824" s="237"/>
      <c r="P2824" s="237"/>
      <c r="Q2824" s="237"/>
      <c r="R2824" s="237"/>
      <c r="S2824" s="237"/>
      <c r="T2824" s="237"/>
      <c r="U2824" s="237"/>
      <c r="V2824" s="237"/>
      <c r="W2824" s="237"/>
      <c r="X2824" s="237"/>
      <c r="Y2824" s="237"/>
      <c r="Z2824" s="237"/>
      <c r="AA2824" s="237"/>
      <c r="AB2824" s="237"/>
    </row>
    <row r="2825">
      <c r="A2825" s="237"/>
      <c r="B2825" s="275"/>
      <c r="C2825" s="290"/>
      <c r="D2825" s="237"/>
      <c r="E2825" s="237"/>
      <c r="F2825" s="290"/>
      <c r="G2825" s="237"/>
      <c r="H2825" s="237"/>
      <c r="I2825" s="237"/>
      <c r="J2825" s="290"/>
      <c r="K2825" s="275"/>
      <c r="L2825" s="237"/>
      <c r="M2825" s="237"/>
      <c r="N2825" s="237"/>
      <c r="O2825" s="237"/>
      <c r="P2825" s="237"/>
      <c r="Q2825" s="237"/>
      <c r="R2825" s="237"/>
      <c r="S2825" s="237"/>
      <c r="T2825" s="237"/>
      <c r="U2825" s="237"/>
      <c r="V2825" s="237"/>
      <c r="W2825" s="237"/>
      <c r="X2825" s="237"/>
      <c r="Y2825" s="237"/>
      <c r="Z2825" s="237"/>
      <c r="AA2825" s="237"/>
      <c r="AB2825" s="237"/>
    </row>
    <row r="2826">
      <c r="A2826" s="237"/>
      <c r="B2826" s="275"/>
      <c r="C2826" s="290"/>
      <c r="D2826" s="237"/>
      <c r="E2826" s="237"/>
      <c r="F2826" s="290"/>
      <c r="G2826" s="237"/>
      <c r="H2826" s="237"/>
      <c r="I2826" s="237"/>
      <c r="J2826" s="290"/>
      <c r="K2826" s="275"/>
      <c r="L2826" s="237"/>
      <c r="M2826" s="237"/>
      <c r="N2826" s="237"/>
      <c r="O2826" s="237"/>
      <c r="P2826" s="237"/>
      <c r="Q2826" s="237"/>
      <c r="R2826" s="237"/>
      <c r="S2826" s="237"/>
      <c r="T2826" s="237"/>
      <c r="U2826" s="237"/>
      <c r="V2826" s="237"/>
      <c r="W2826" s="237"/>
      <c r="X2826" s="237"/>
      <c r="Y2826" s="237"/>
      <c r="Z2826" s="237"/>
      <c r="AA2826" s="237"/>
      <c r="AB2826" s="237"/>
    </row>
    <row r="2827">
      <c r="A2827" s="237"/>
      <c r="B2827" s="275"/>
      <c r="C2827" s="290"/>
      <c r="D2827" s="237"/>
      <c r="E2827" s="237"/>
      <c r="F2827" s="290"/>
      <c r="G2827" s="237"/>
      <c r="H2827" s="237"/>
      <c r="I2827" s="237"/>
      <c r="J2827" s="290"/>
      <c r="K2827" s="275"/>
      <c r="L2827" s="237"/>
      <c r="M2827" s="237"/>
      <c r="N2827" s="237"/>
      <c r="O2827" s="237"/>
      <c r="P2827" s="237"/>
      <c r="Q2827" s="237"/>
      <c r="R2827" s="237"/>
      <c r="S2827" s="237"/>
      <c r="T2827" s="237"/>
      <c r="U2827" s="237"/>
      <c r="V2827" s="237"/>
      <c r="W2827" s="237"/>
      <c r="X2827" s="237"/>
      <c r="Y2827" s="237"/>
      <c r="Z2827" s="237"/>
      <c r="AA2827" s="237"/>
      <c r="AB2827" s="237"/>
    </row>
    <row r="2828">
      <c r="A2828" s="237"/>
      <c r="B2828" s="275"/>
      <c r="C2828" s="290"/>
      <c r="D2828" s="237"/>
      <c r="E2828" s="237"/>
      <c r="F2828" s="290"/>
      <c r="G2828" s="237"/>
      <c r="H2828" s="237"/>
      <c r="I2828" s="237"/>
      <c r="J2828" s="290"/>
      <c r="K2828" s="275"/>
      <c r="L2828" s="237"/>
      <c r="M2828" s="237"/>
      <c r="N2828" s="237"/>
      <c r="O2828" s="237"/>
      <c r="P2828" s="237"/>
      <c r="Q2828" s="237"/>
      <c r="R2828" s="237"/>
      <c r="S2828" s="237"/>
      <c r="T2828" s="237"/>
      <c r="U2828" s="237"/>
      <c r="V2828" s="237"/>
      <c r="W2828" s="237"/>
      <c r="X2828" s="237"/>
      <c r="Y2828" s="237"/>
      <c r="Z2828" s="237"/>
      <c r="AA2828" s="237"/>
      <c r="AB2828" s="237"/>
    </row>
    <row r="2829">
      <c r="A2829" s="237"/>
      <c r="B2829" s="275"/>
      <c r="C2829" s="290"/>
      <c r="D2829" s="237"/>
      <c r="E2829" s="237"/>
      <c r="F2829" s="290"/>
      <c r="G2829" s="237"/>
      <c r="H2829" s="237"/>
      <c r="I2829" s="237"/>
      <c r="J2829" s="290"/>
      <c r="K2829" s="275"/>
      <c r="L2829" s="237"/>
      <c r="M2829" s="237"/>
      <c r="N2829" s="237"/>
      <c r="O2829" s="237"/>
      <c r="P2829" s="237"/>
      <c r="Q2829" s="237"/>
      <c r="R2829" s="237"/>
      <c r="S2829" s="237"/>
      <c r="T2829" s="237"/>
      <c r="U2829" s="237"/>
      <c r="V2829" s="237"/>
      <c r="W2829" s="237"/>
      <c r="X2829" s="237"/>
      <c r="Y2829" s="237"/>
      <c r="Z2829" s="237"/>
      <c r="AA2829" s="237"/>
      <c r="AB2829" s="237"/>
    </row>
    <row r="2830">
      <c r="A2830" s="237"/>
      <c r="B2830" s="275"/>
      <c r="C2830" s="290"/>
      <c r="D2830" s="237"/>
      <c r="E2830" s="237"/>
      <c r="F2830" s="290"/>
      <c r="G2830" s="237"/>
      <c r="H2830" s="237"/>
      <c r="I2830" s="237"/>
      <c r="J2830" s="290"/>
      <c r="K2830" s="275"/>
      <c r="L2830" s="237"/>
      <c r="M2830" s="237"/>
      <c r="N2830" s="237"/>
      <c r="O2830" s="237"/>
      <c r="P2830" s="237"/>
      <c r="Q2830" s="237"/>
      <c r="R2830" s="237"/>
      <c r="S2830" s="237"/>
      <c r="T2830" s="237"/>
      <c r="U2830" s="237"/>
      <c r="V2830" s="237"/>
      <c r="W2830" s="237"/>
      <c r="X2830" s="237"/>
      <c r="Y2830" s="237"/>
      <c r="Z2830" s="237"/>
      <c r="AA2830" s="237"/>
      <c r="AB2830" s="237"/>
    </row>
    <row r="2831">
      <c r="A2831" s="237"/>
      <c r="B2831" s="275"/>
      <c r="C2831" s="290"/>
      <c r="D2831" s="237"/>
      <c r="E2831" s="237"/>
      <c r="F2831" s="290"/>
      <c r="G2831" s="237"/>
      <c r="H2831" s="237"/>
      <c r="I2831" s="237"/>
      <c r="J2831" s="290"/>
      <c r="K2831" s="275"/>
      <c r="L2831" s="237"/>
      <c r="M2831" s="237"/>
      <c r="N2831" s="237"/>
      <c r="O2831" s="237"/>
      <c r="P2831" s="237"/>
      <c r="Q2831" s="237"/>
      <c r="R2831" s="237"/>
      <c r="S2831" s="237"/>
      <c r="T2831" s="237"/>
      <c r="U2831" s="237"/>
      <c r="V2831" s="237"/>
      <c r="W2831" s="237"/>
      <c r="X2831" s="237"/>
      <c r="Y2831" s="237"/>
      <c r="Z2831" s="237"/>
      <c r="AA2831" s="237"/>
      <c r="AB2831" s="237"/>
    </row>
    <row r="2832">
      <c r="A2832" s="237"/>
      <c r="B2832" s="275"/>
      <c r="C2832" s="290"/>
      <c r="D2832" s="237"/>
      <c r="E2832" s="237"/>
      <c r="F2832" s="290"/>
      <c r="G2832" s="237"/>
      <c r="H2832" s="237"/>
      <c r="I2832" s="237"/>
      <c r="J2832" s="290"/>
      <c r="K2832" s="275"/>
      <c r="L2832" s="237"/>
      <c r="M2832" s="237"/>
      <c r="N2832" s="237"/>
      <c r="O2832" s="237"/>
      <c r="P2832" s="237"/>
      <c r="Q2832" s="237"/>
      <c r="R2832" s="237"/>
      <c r="S2832" s="237"/>
      <c r="T2832" s="237"/>
      <c r="U2832" s="237"/>
      <c r="V2832" s="237"/>
      <c r="W2832" s="237"/>
      <c r="X2832" s="237"/>
      <c r="Y2832" s="237"/>
      <c r="Z2832" s="237"/>
      <c r="AA2832" s="237"/>
      <c r="AB2832" s="237"/>
    </row>
    <row r="2833">
      <c r="A2833" s="237"/>
      <c r="B2833" s="275"/>
      <c r="C2833" s="290"/>
      <c r="D2833" s="237"/>
      <c r="E2833" s="237"/>
      <c r="F2833" s="290"/>
      <c r="G2833" s="237"/>
      <c r="H2833" s="237"/>
      <c r="I2833" s="237"/>
      <c r="J2833" s="290"/>
      <c r="K2833" s="275"/>
      <c r="L2833" s="237"/>
      <c r="M2833" s="237"/>
      <c r="N2833" s="237"/>
      <c r="O2833" s="237"/>
      <c r="P2833" s="237"/>
      <c r="Q2833" s="237"/>
      <c r="R2833" s="237"/>
      <c r="S2833" s="237"/>
      <c r="T2833" s="237"/>
      <c r="U2833" s="237"/>
      <c r="V2833" s="237"/>
      <c r="W2833" s="237"/>
      <c r="X2833" s="237"/>
      <c r="Y2833" s="237"/>
      <c r="Z2833" s="237"/>
      <c r="AA2833" s="237"/>
      <c r="AB2833" s="237"/>
    </row>
    <row r="2834">
      <c r="A2834" s="237"/>
      <c r="B2834" s="275"/>
      <c r="C2834" s="290"/>
      <c r="D2834" s="237"/>
      <c r="E2834" s="237"/>
      <c r="F2834" s="290"/>
      <c r="G2834" s="237"/>
      <c r="H2834" s="237"/>
      <c r="I2834" s="237"/>
      <c r="J2834" s="290"/>
      <c r="K2834" s="275"/>
      <c r="L2834" s="237"/>
      <c r="M2834" s="237"/>
      <c r="N2834" s="237"/>
      <c r="O2834" s="237"/>
      <c r="P2834" s="237"/>
      <c r="Q2834" s="237"/>
      <c r="R2834" s="237"/>
      <c r="S2834" s="237"/>
      <c r="T2834" s="237"/>
      <c r="U2834" s="237"/>
      <c r="V2834" s="237"/>
      <c r="W2834" s="237"/>
      <c r="X2834" s="237"/>
      <c r="Y2834" s="237"/>
      <c r="Z2834" s="237"/>
      <c r="AA2834" s="237"/>
      <c r="AB2834" s="237"/>
    </row>
    <row r="2835">
      <c r="A2835" s="237"/>
      <c r="B2835" s="275"/>
      <c r="C2835" s="290"/>
      <c r="D2835" s="237"/>
      <c r="E2835" s="237"/>
      <c r="F2835" s="290"/>
      <c r="G2835" s="237"/>
      <c r="H2835" s="237"/>
      <c r="I2835" s="237"/>
      <c r="J2835" s="290"/>
      <c r="K2835" s="275"/>
      <c r="L2835" s="237"/>
      <c r="M2835" s="237"/>
      <c r="N2835" s="237"/>
      <c r="O2835" s="237"/>
      <c r="P2835" s="237"/>
      <c r="Q2835" s="237"/>
      <c r="R2835" s="237"/>
      <c r="S2835" s="237"/>
      <c r="T2835" s="237"/>
      <c r="U2835" s="237"/>
      <c r="V2835" s="237"/>
      <c r="W2835" s="237"/>
      <c r="X2835" s="237"/>
      <c r="Y2835" s="237"/>
      <c r="Z2835" s="237"/>
      <c r="AA2835" s="237"/>
      <c r="AB2835" s="237"/>
    </row>
    <row r="2836">
      <c r="A2836" s="237"/>
      <c r="B2836" s="275"/>
      <c r="C2836" s="290"/>
      <c r="D2836" s="237"/>
      <c r="E2836" s="237"/>
      <c r="F2836" s="290"/>
      <c r="G2836" s="237"/>
      <c r="H2836" s="237"/>
      <c r="I2836" s="237"/>
      <c r="J2836" s="290"/>
      <c r="K2836" s="275"/>
      <c r="L2836" s="237"/>
      <c r="M2836" s="237"/>
      <c r="N2836" s="237"/>
      <c r="O2836" s="237"/>
      <c r="P2836" s="237"/>
      <c r="Q2836" s="237"/>
      <c r="R2836" s="237"/>
      <c r="S2836" s="237"/>
      <c r="T2836" s="237"/>
      <c r="U2836" s="237"/>
      <c r="V2836" s="237"/>
      <c r="W2836" s="237"/>
      <c r="X2836" s="237"/>
      <c r="Y2836" s="237"/>
      <c r="Z2836" s="237"/>
      <c r="AA2836" s="237"/>
      <c r="AB2836" s="237"/>
    </row>
    <row r="2837">
      <c r="A2837" s="237"/>
      <c r="B2837" s="275"/>
      <c r="C2837" s="290"/>
      <c r="D2837" s="237"/>
      <c r="E2837" s="237"/>
      <c r="F2837" s="290"/>
      <c r="G2837" s="237"/>
      <c r="H2837" s="237"/>
      <c r="I2837" s="237"/>
      <c r="J2837" s="290"/>
      <c r="K2837" s="275"/>
      <c r="L2837" s="237"/>
      <c r="M2837" s="237"/>
      <c r="N2837" s="237"/>
      <c r="O2837" s="237"/>
      <c r="P2837" s="237"/>
      <c r="Q2837" s="237"/>
      <c r="R2837" s="237"/>
      <c r="S2837" s="237"/>
      <c r="T2837" s="237"/>
      <c r="U2837" s="237"/>
      <c r="V2837" s="237"/>
      <c r="W2837" s="237"/>
      <c r="X2837" s="237"/>
      <c r="Y2837" s="237"/>
      <c r="Z2837" s="237"/>
      <c r="AA2837" s="237"/>
      <c r="AB2837" s="237"/>
    </row>
    <row r="2838">
      <c r="A2838" s="237"/>
      <c r="B2838" s="275"/>
      <c r="C2838" s="290"/>
      <c r="D2838" s="237"/>
      <c r="E2838" s="237"/>
      <c r="F2838" s="290"/>
      <c r="G2838" s="237"/>
      <c r="H2838" s="237"/>
      <c r="I2838" s="237"/>
      <c r="J2838" s="290"/>
      <c r="K2838" s="275"/>
      <c r="L2838" s="237"/>
      <c r="M2838" s="237"/>
      <c r="N2838" s="237"/>
      <c r="O2838" s="237"/>
      <c r="P2838" s="237"/>
      <c r="Q2838" s="237"/>
      <c r="R2838" s="237"/>
      <c r="S2838" s="237"/>
      <c r="T2838" s="237"/>
      <c r="U2838" s="237"/>
      <c r="V2838" s="237"/>
      <c r="W2838" s="237"/>
      <c r="X2838" s="237"/>
      <c r="Y2838" s="237"/>
      <c r="Z2838" s="237"/>
      <c r="AA2838" s="237"/>
      <c r="AB2838" s="237"/>
    </row>
    <row r="2839">
      <c r="A2839" s="237"/>
      <c r="B2839" s="275"/>
      <c r="C2839" s="290"/>
      <c r="D2839" s="237"/>
      <c r="E2839" s="237"/>
      <c r="F2839" s="290"/>
      <c r="G2839" s="237"/>
      <c r="H2839" s="237"/>
      <c r="I2839" s="237"/>
      <c r="J2839" s="290"/>
      <c r="K2839" s="275"/>
      <c r="L2839" s="237"/>
      <c r="M2839" s="237"/>
      <c r="N2839" s="237"/>
      <c r="O2839" s="237"/>
      <c r="P2839" s="237"/>
      <c r="Q2839" s="237"/>
      <c r="R2839" s="237"/>
      <c r="S2839" s="237"/>
      <c r="T2839" s="237"/>
      <c r="U2839" s="237"/>
      <c r="V2839" s="237"/>
      <c r="W2839" s="237"/>
      <c r="X2839" s="237"/>
      <c r="Y2839" s="237"/>
      <c r="Z2839" s="237"/>
      <c r="AA2839" s="237"/>
      <c r="AB2839" s="237"/>
    </row>
    <row r="2840">
      <c r="A2840" s="237"/>
      <c r="B2840" s="275"/>
      <c r="C2840" s="290"/>
      <c r="D2840" s="237"/>
      <c r="E2840" s="237"/>
      <c r="F2840" s="290"/>
      <c r="G2840" s="237"/>
      <c r="H2840" s="237"/>
      <c r="I2840" s="237"/>
      <c r="J2840" s="290"/>
      <c r="K2840" s="275"/>
      <c r="L2840" s="237"/>
      <c r="M2840" s="237"/>
      <c r="N2840" s="237"/>
      <c r="O2840" s="237"/>
      <c r="P2840" s="237"/>
      <c r="Q2840" s="237"/>
      <c r="R2840" s="237"/>
      <c r="S2840" s="237"/>
      <c r="T2840" s="237"/>
      <c r="U2840" s="237"/>
      <c r="V2840" s="237"/>
      <c r="W2840" s="237"/>
      <c r="X2840" s="237"/>
      <c r="Y2840" s="237"/>
      <c r="Z2840" s="237"/>
      <c r="AA2840" s="237"/>
      <c r="AB2840" s="237"/>
    </row>
    <row r="2841">
      <c r="A2841" s="237"/>
      <c r="B2841" s="275"/>
      <c r="C2841" s="290"/>
      <c r="D2841" s="237"/>
      <c r="E2841" s="237"/>
      <c r="F2841" s="290"/>
      <c r="G2841" s="237"/>
      <c r="H2841" s="237"/>
      <c r="I2841" s="237"/>
      <c r="J2841" s="290"/>
      <c r="K2841" s="275"/>
      <c r="L2841" s="237"/>
      <c r="M2841" s="237"/>
      <c r="N2841" s="237"/>
      <c r="O2841" s="237"/>
      <c r="P2841" s="237"/>
      <c r="Q2841" s="237"/>
      <c r="R2841" s="237"/>
      <c r="S2841" s="237"/>
      <c r="T2841" s="237"/>
      <c r="U2841" s="237"/>
      <c r="V2841" s="237"/>
      <c r="W2841" s="237"/>
      <c r="X2841" s="237"/>
      <c r="Y2841" s="237"/>
      <c r="Z2841" s="237"/>
      <c r="AA2841" s="237"/>
      <c r="AB2841" s="237"/>
    </row>
    <row r="2842">
      <c r="A2842" s="237"/>
      <c r="B2842" s="275"/>
      <c r="C2842" s="290"/>
      <c r="D2842" s="237"/>
      <c r="E2842" s="237"/>
      <c r="F2842" s="290"/>
      <c r="G2842" s="237"/>
      <c r="H2842" s="237"/>
      <c r="I2842" s="237"/>
      <c r="J2842" s="290"/>
      <c r="K2842" s="275"/>
      <c r="L2842" s="237"/>
      <c r="M2842" s="237"/>
      <c r="N2842" s="237"/>
      <c r="O2842" s="237"/>
      <c r="P2842" s="237"/>
      <c r="Q2842" s="237"/>
      <c r="R2842" s="237"/>
      <c r="S2842" s="237"/>
      <c r="T2842" s="237"/>
      <c r="U2842" s="237"/>
      <c r="V2842" s="237"/>
      <c r="W2842" s="237"/>
      <c r="X2842" s="237"/>
      <c r="Y2842" s="237"/>
      <c r="Z2842" s="237"/>
      <c r="AA2842" s="237"/>
      <c r="AB2842" s="237"/>
    </row>
    <row r="2843">
      <c r="A2843" s="237"/>
      <c r="B2843" s="275"/>
      <c r="C2843" s="290"/>
      <c r="D2843" s="237"/>
      <c r="E2843" s="237"/>
      <c r="F2843" s="290"/>
      <c r="G2843" s="237"/>
      <c r="H2843" s="237"/>
      <c r="I2843" s="237"/>
      <c r="J2843" s="290"/>
      <c r="K2843" s="275"/>
      <c r="L2843" s="237"/>
      <c r="M2843" s="237"/>
      <c r="N2843" s="237"/>
      <c r="O2843" s="237"/>
      <c r="P2843" s="237"/>
      <c r="Q2843" s="237"/>
      <c r="R2843" s="237"/>
      <c r="S2843" s="237"/>
      <c r="T2843" s="237"/>
      <c r="U2843" s="237"/>
      <c r="V2843" s="237"/>
      <c r="W2843" s="237"/>
      <c r="X2843" s="237"/>
      <c r="Y2843" s="237"/>
      <c r="Z2843" s="237"/>
      <c r="AA2843" s="237"/>
      <c r="AB2843" s="237"/>
    </row>
    <row r="2844">
      <c r="A2844" s="237"/>
      <c r="B2844" s="275"/>
      <c r="C2844" s="290"/>
      <c r="D2844" s="237"/>
      <c r="E2844" s="237"/>
      <c r="F2844" s="290"/>
      <c r="G2844" s="237"/>
      <c r="H2844" s="237"/>
      <c r="I2844" s="237"/>
      <c r="J2844" s="290"/>
      <c r="K2844" s="275"/>
      <c r="L2844" s="237"/>
      <c r="M2844" s="237"/>
      <c r="N2844" s="237"/>
      <c r="O2844" s="237"/>
      <c r="P2844" s="237"/>
      <c r="Q2844" s="237"/>
      <c r="R2844" s="237"/>
      <c r="S2844" s="237"/>
      <c r="T2844" s="237"/>
      <c r="U2844" s="237"/>
      <c r="V2844" s="237"/>
      <c r="W2844" s="237"/>
      <c r="X2844" s="237"/>
      <c r="Y2844" s="237"/>
      <c r="Z2844" s="237"/>
      <c r="AA2844" s="237"/>
      <c r="AB2844" s="237"/>
    </row>
    <row r="2845">
      <c r="A2845" s="237"/>
      <c r="B2845" s="275"/>
      <c r="C2845" s="290"/>
      <c r="D2845" s="237"/>
      <c r="E2845" s="237"/>
      <c r="F2845" s="290"/>
      <c r="G2845" s="237"/>
      <c r="H2845" s="237"/>
      <c r="I2845" s="237"/>
      <c r="J2845" s="290"/>
      <c r="K2845" s="275"/>
      <c r="L2845" s="237"/>
      <c r="M2845" s="237"/>
      <c r="N2845" s="237"/>
      <c r="O2845" s="237"/>
      <c r="P2845" s="237"/>
      <c r="Q2845" s="237"/>
      <c r="R2845" s="237"/>
      <c r="S2845" s="237"/>
      <c r="T2845" s="237"/>
      <c r="U2845" s="237"/>
      <c r="V2845" s="237"/>
      <c r="W2845" s="237"/>
      <c r="X2845" s="237"/>
      <c r="Y2845" s="237"/>
      <c r="Z2845" s="237"/>
      <c r="AA2845" s="237"/>
      <c r="AB2845" s="237"/>
    </row>
    <row r="2846">
      <c r="A2846" s="237"/>
      <c r="B2846" s="275"/>
      <c r="C2846" s="290"/>
      <c r="D2846" s="237"/>
      <c r="E2846" s="237"/>
      <c r="F2846" s="290"/>
      <c r="G2846" s="237"/>
      <c r="H2846" s="237"/>
      <c r="I2846" s="237"/>
      <c r="J2846" s="290"/>
      <c r="K2846" s="275"/>
      <c r="L2846" s="237"/>
      <c r="M2846" s="237"/>
      <c r="N2846" s="237"/>
      <c r="O2846" s="237"/>
      <c r="P2846" s="237"/>
      <c r="Q2846" s="237"/>
      <c r="R2846" s="237"/>
      <c r="S2846" s="237"/>
      <c r="T2846" s="237"/>
      <c r="U2846" s="237"/>
      <c r="V2846" s="237"/>
      <c r="W2846" s="237"/>
      <c r="X2846" s="237"/>
      <c r="Y2846" s="237"/>
      <c r="Z2846" s="237"/>
      <c r="AA2846" s="237"/>
      <c r="AB2846" s="237"/>
    </row>
    <row r="2847">
      <c r="A2847" s="237"/>
      <c r="B2847" s="275"/>
      <c r="C2847" s="290"/>
      <c r="D2847" s="237"/>
      <c r="E2847" s="237"/>
      <c r="F2847" s="290"/>
      <c r="G2847" s="237"/>
      <c r="H2847" s="237"/>
      <c r="I2847" s="237"/>
      <c r="J2847" s="290"/>
      <c r="K2847" s="275"/>
      <c r="L2847" s="237"/>
      <c r="M2847" s="237"/>
      <c r="N2847" s="237"/>
      <c r="O2847" s="237"/>
      <c r="P2847" s="237"/>
      <c r="Q2847" s="237"/>
      <c r="R2847" s="237"/>
      <c r="S2847" s="237"/>
      <c r="T2847" s="237"/>
      <c r="U2847" s="237"/>
      <c r="V2847" s="237"/>
      <c r="W2847" s="237"/>
      <c r="X2847" s="237"/>
      <c r="Y2847" s="237"/>
      <c r="Z2847" s="237"/>
      <c r="AA2847" s="237"/>
      <c r="AB2847" s="237"/>
    </row>
    <row r="2848">
      <c r="A2848" s="237"/>
      <c r="B2848" s="275"/>
      <c r="C2848" s="290"/>
      <c r="D2848" s="237"/>
      <c r="E2848" s="237"/>
      <c r="F2848" s="290"/>
      <c r="G2848" s="237"/>
      <c r="H2848" s="237"/>
      <c r="I2848" s="237"/>
      <c r="J2848" s="290"/>
      <c r="K2848" s="275"/>
      <c r="L2848" s="237"/>
      <c r="M2848" s="237"/>
      <c r="N2848" s="237"/>
      <c r="O2848" s="237"/>
      <c r="P2848" s="237"/>
      <c r="Q2848" s="237"/>
      <c r="R2848" s="237"/>
      <c r="S2848" s="237"/>
      <c r="T2848" s="237"/>
      <c r="U2848" s="237"/>
      <c r="V2848" s="237"/>
      <c r="W2848" s="237"/>
      <c r="X2848" s="237"/>
      <c r="Y2848" s="237"/>
      <c r="Z2848" s="237"/>
      <c r="AA2848" s="237"/>
      <c r="AB2848" s="237"/>
    </row>
    <row r="2849">
      <c r="A2849" s="237"/>
      <c r="B2849" s="275"/>
      <c r="C2849" s="290"/>
      <c r="D2849" s="237"/>
      <c r="E2849" s="237"/>
      <c r="F2849" s="290"/>
      <c r="G2849" s="237"/>
      <c r="H2849" s="237"/>
      <c r="I2849" s="237"/>
      <c r="J2849" s="290"/>
      <c r="K2849" s="275"/>
      <c r="L2849" s="237"/>
      <c r="M2849" s="237"/>
      <c r="N2849" s="237"/>
      <c r="O2849" s="237"/>
      <c r="P2849" s="237"/>
      <c r="Q2849" s="237"/>
      <c r="R2849" s="237"/>
      <c r="S2849" s="237"/>
      <c r="T2849" s="237"/>
      <c r="U2849" s="237"/>
      <c r="V2849" s="237"/>
      <c r="W2849" s="237"/>
      <c r="X2849" s="237"/>
      <c r="Y2849" s="237"/>
      <c r="Z2849" s="237"/>
      <c r="AA2849" s="237"/>
      <c r="AB2849" s="237"/>
    </row>
    <row r="2850">
      <c r="A2850" s="237"/>
      <c r="B2850" s="275"/>
      <c r="C2850" s="290"/>
      <c r="D2850" s="237"/>
      <c r="E2850" s="237"/>
      <c r="F2850" s="290"/>
      <c r="G2850" s="237"/>
      <c r="H2850" s="237"/>
      <c r="I2850" s="237"/>
      <c r="J2850" s="290"/>
      <c r="K2850" s="275"/>
      <c r="L2850" s="237"/>
      <c r="M2850" s="237"/>
      <c r="N2850" s="237"/>
      <c r="O2850" s="237"/>
      <c r="P2850" s="237"/>
      <c r="Q2850" s="237"/>
      <c r="R2850" s="237"/>
      <c r="S2850" s="237"/>
      <c r="T2850" s="237"/>
      <c r="U2850" s="237"/>
      <c r="V2850" s="237"/>
      <c r="W2850" s="237"/>
      <c r="X2850" s="237"/>
      <c r="Y2850" s="237"/>
      <c r="Z2850" s="237"/>
      <c r="AA2850" s="237"/>
      <c r="AB2850" s="237"/>
    </row>
    <row r="2851">
      <c r="A2851" s="237"/>
      <c r="B2851" s="275"/>
      <c r="C2851" s="290"/>
      <c r="D2851" s="237"/>
      <c r="E2851" s="237"/>
      <c r="F2851" s="290"/>
      <c r="G2851" s="237"/>
      <c r="H2851" s="237"/>
      <c r="I2851" s="237"/>
      <c r="J2851" s="290"/>
      <c r="K2851" s="275"/>
      <c r="L2851" s="237"/>
      <c r="M2851" s="237"/>
      <c r="N2851" s="237"/>
      <c r="O2851" s="237"/>
      <c r="P2851" s="237"/>
      <c r="Q2851" s="237"/>
      <c r="R2851" s="237"/>
      <c r="S2851" s="237"/>
      <c r="T2851" s="237"/>
      <c r="U2851" s="237"/>
      <c r="V2851" s="237"/>
      <c r="W2851" s="237"/>
      <c r="X2851" s="237"/>
      <c r="Y2851" s="237"/>
      <c r="Z2851" s="237"/>
      <c r="AA2851" s="237"/>
      <c r="AB2851" s="237"/>
    </row>
    <row r="2852">
      <c r="A2852" s="237"/>
      <c r="B2852" s="275"/>
      <c r="C2852" s="290"/>
      <c r="D2852" s="237"/>
      <c r="E2852" s="237"/>
      <c r="F2852" s="290"/>
      <c r="G2852" s="237"/>
      <c r="H2852" s="237"/>
      <c r="I2852" s="237"/>
      <c r="J2852" s="290"/>
      <c r="K2852" s="275"/>
      <c r="L2852" s="237"/>
      <c r="M2852" s="237"/>
      <c r="N2852" s="237"/>
      <c r="O2852" s="237"/>
      <c r="P2852" s="237"/>
      <c r="Q2852" s="237"/>
      <c r="R2852" s="237"/>
      <c r="S2852" s="237"/>
      <c r="T2852" s="237"/>
      <c r="U2852" s="237"/>
      <c r="V2852" s="237"/>
      <c r="W2852" s="237"/>
      <c r="X2852" s="237"/>
      <c r="Y2852" s="237"/>
      <c r="Z2852" s="237"/>
      <c r="AA2852" s="237"/>
      <c r="AB2852" s="237"/>
    </row>
    <row r="2853">
      <c r="A2853" s="237"/>
      <c r="B2853" s="275"/>
      <c r="C2853" s="290"/>
      <c r="D2853" s="237"/>
      <c r="E2853" s="237"/>
      <c r="F2853" s="290"/>
      <c r="G2853" s="237"/>
      <c r="H2853" s="237"/>
      <c r="I2853" s="237"/>
      <c r="J2853" s="290"/>
      <c r="K2853" s="275"/>
      <c r="L2853" s="237"/>
      <c r="M2853" s="237"/>
      <c r="N2853" s="237"/>
      <c r="O2853" s="237"/>
      <c r="P2853" s="237"/>
      <c r="Q2853" s="237"/>
      <c r="R2853" s="237"/>
      <c r="S2853" s="237"/>
      <c r="T2853" s="237"/>
      <c r="U2853" s="237"/>
      <c r="V2853" s="237"/>
      <c r="W2853" s="237"/>
      <c r="X2853" s="237"/>
      <c r="Y2853" s="237"/>
      <c r="Z2853" s="237"/>
      <c r="AA2853" s="237"/>
      <c r="AB2853" s="237"/>
    </row>
    <row r="2854">
      <c r="A2854" s="237"/>
      <c r="B2854" s="275"/>
      <c r="C2854" s="290"/>
      <c r="D2854" s="237"/>
      <c r="E2854" s="237"/>
      <c r="F2854" s="290"/>
      <c r="G2854" s="237"/>
      <c r="H2854" s="237"/>
      <c r="I2854" s="237"/>
      <c r="J2854" s="290"/>
      <c r="K2854" s="275"/>
      <c r="L2854" s="237"/>
      <c r="M2854" s="237"/>
      <c r="N2854" s="237"/>
      <c r="O2854" s="237"/>
      <c r="P2854" s="237"/>
      <c r="Q2854" s="237"/>
      <c r="R2854" s="237"/>
      <c r="S2854" s="237"/>
      <c r="T2854" s="237"/>
      <c r="U2854" s="237"/>
      <c r="V2854" s="237"/>
      <c r="W2854" s="237"/>
      <c r="X2854" s="237"/>
      <c r="Y2854" s="237"/>
      <c r="Z2854" s="237"/>
      <c r="AA2854" s="237"/>
      <c r="AB2854" s="237"/>
    </row>
    <row r="2855">
      <c r="A2855" s="237"/>
      <c r="B2855" s="275"/>
      <c r="C2855" s="290"/>
      <c r="D2855" s="237"/>
      <c r="E2855" s="237"/>
      <c r="F2855" s="290"/>
      <c r="G2855" s="237"/>
      <c r="H2855" s="237"/>
      <c r="I2855" s="237"/>
      <c r="J2855" s="290"/>
      <c r="K2855" s="275"/>
      <c r="L2855" s="237"/>
      <c r="M2855" s="237"/>
      <c r="N2855" s="237"/>
      <c r="O2855" s="237"/>
      <c r="P2855" s="237"/>
      <c r="Q2855" s="237"/>
      <c r="R2855" s="237"/>
      <c r="S2855" s="237"/>
      <c r="T2855" s="237"/>
      <c r="U2855" s="237"/>
      <c r="V2855" s="237"/>
      <c r="W2855" s="237"/>
      <c r="X2855" s="237"/>
      <c r="Y2855" s="237"/>
      <c r="Z2855" s="237"/>
      <c r="AA2855" s="237"/>
      <c r="AB2855" s="237"/>
    </row>
    <row r="2856">
      <c r="A2856" s="237"/>
      <c r="B2856" s="275"/>
      <c r="C2856" s="290"/>
      <c r="D2856" s="237"/>
      <c r="E2856" s="237"/>
      <c r="F2856" s="290"/>
      <c r="G2856" s="237"/>
      <c r="H2856" s="237"/>
      <c r="I2856" s="237"/>
      <c r="J2856" s="290"/>
      <c r="K2856" s="275"/>
      <c r="L2856" s="237"/>
      <c r="M2856" s="237"/>
      <c r="N2856" s="237"/>
      <c r="O2856" s="237"/>
      <c r="P2856" s="237"/>
      <c r="Q2856" s="237"/>
      <c r="R2856" s="237"/>
      <c r="S2856" s="237"/>
      <c r="T2856" s="237"/>
      <c r="U2856" s="237"/>
      <c r="V2856" s="237"/>
      <c r="W2856" s="237"/>
      <c r="X2856" s="237"/>
      <c r="Y2856" s="237"/>
      <c r="Z2856" s="237"/>
      <c r="AA2856" s="237"/>
      <c r="AB2856" s="237"/>
    </row>
    <row r="2857">
      <c r="A2857" s="237"/>
      <c r="B2857" s="275"/>
      <c r="C2857" s="290"/>
      <c r="D2857" s="237"/>
      <c r="E2857" s="237"/>
      <c r="F2857" s="290"/>
      <c r="G2857" s="237"/>
      <c r="H2857" s="237"/>
      <c r="I2857" s="237"/>
      <c r="J2857" s="290"/>
      <c r="K2857" s="275"/>
      <c r="L2857" s="237"/>
      <c r="M2857" s="237"/>
      <c r="N2857" s="237"/>
      <c r="O2857" s="237"/>
      <c r="P2857" s="237"/>
      <c r="Q2857" s="237"/>
      <c r="R2857" s="237"/>
      <c r="S2857" s="237"/>
      <c r="T2857" s="237"/>
      <c r="U2857" s="237"/>
      <c r="V2857" s="237"/>
      <c r="W2857" s="237"/>
      <c r="X2857" s="237"/>
      <c r="Y2857" s="237"/>
      <c r="Z2857" s="237"/>
      <c r="AA2857" s="237"/>
      <c r="AB2857" s="237"/>
    </row>
    <row r="2858">
      <c r="A2858" s="237"/>
      <c r="B2858" s="275"/>
      <c r="C2858" s="290"/>
      <c r="D2858" s="237"/>
      <c r="E2858" s="237"/>
      <c r="F2858" s="290"/>
      <c r="G2858" s="237"/>
      <c r="H2858" s="237"/>
      <c r="I2858" s="237"/>
      <c r="J2858" s="290"/>
      <c r="K2858" s="275"/>
      <c r="L2858" s="237"/>
      <c r="M2858" s="237"/>
      <c r="N2858" s="237"/>
      <c r="O2858" s="237"/>
      <c r="P2858" s="237"/>
      <c r="Q2858" s="237"/>
      <c r="R2858" s="237"/>
      <c r="S2858" s="237"/>
      <c r="T2858" s="237"/>
      <c r="U2858" s="237"/>
      <c r="V2858" s="237"/>
      <c r="W2858" s="237"/>
      <c r="X2858" s="237"/>
      <c r="Y2858" s="237"/>
      <c r="Z2858" s="237"/>
      <c r="AA2858" s="237"/>
      <c r="AB2858" s="237"/>
    </row>
    <row r="2859">
      <c r="A2859" s="237"/>
      <c r="B2859" s="275"/>
      <c r="C2859" s="290"/>
      <c r="D2859" s="237"/>
      <c r="E2859" s="237"/>
      <c r="F2859" s="290"/>
      <c r="G2859" s="237"/>
      <c r="H2859" s="237"/>
      <c r="I2859" s="237"/>
      <c r="J2859" s="290"/>
      <c r="K2859" s="275"/>
      <c r="L2859" s="237"/>
      <c r="M2859" s="237"/>
      <c r="N2859" s="237"/>
      <c r="O2859" s="237"/>
      <c r="P2859" s="237"/>
      <c r="Q2859" s="237"/>
      <c r="R2859" s="237"/>
      <c r="S2859" s="237"/>
      <c r="T2859" s="237"/>
      <c r="U2859" s="237"/>
      <c r="V2859" s="237"/>
      <c r="W2859" s="237"/>
      <c r="X2859" s="237"/>
      <c r="Y2859" s="237"/>
      <c r="Z2859" s="237"/>
      <c r="AA2859" s="237"/>
      <c r="AB2859" s="237"/>
    </row>
    <row r="2860">
      <c r="A2860" s="237"/>
      <c r="B2860" s="275"/>
      <c r="C2860" s="290"/>
      <c r="D2860" s="237"/>
      <c r="E2860" s="237"/>
      <c r="F2860" s="290"/>
      <c r="G2860" s="237"/>
      <c r="H2860" s="237"/>
      <c r="I2860" s="237"/>
      <c r="J2860" s="290"/>
      <c r="K2860" s="275"/>
      <c r="L2860" s="237"/>
      <c r="M2860" s="237"/>
      <c r="N2860" s="237"/>
      <c r="O2860" s="237"/>
      <c r="P2860" s="237"/>
      <c r="Q2860" s="237"/>
      <c r="R2860" s="237"/>
      <c r="S2860" s="237"/>
      <c r="T2860" s="237"/>
      <c r="U2860" s="237"/>
      <c r="V2860" s="237"/>
      <c r="W2860" s="237"/>
      <c r="X2860" s="237"/>
      <c r="Y2860" s="237"/>
      <c r="Z2860" s="237"/>
      <c r="AA2860" s="237"/>
      <c r="AB2860" s="237"/>
    </row>
    <row r="2861">
      <c r="A2861" s="237"/>
      <c r="B2861" s="275"/>
      <c r="C2861" s="290"/>
      <c r="D2861" s="237"/>
      <c r="E2861" s="237"/>
      <c r="F2861" s="290"/>
      <c r="G2861" s="237"/>
      <c r="H2861" s="237"/>
      <c r="I2861" s="237"/>
      <c r="J2861" s="290"/>
      <c r="K2861" s="275"/>
      <c r="L2861" s="237"/>
      <c r="M2861" s="237"/>
      <c r="N2861" s="237"/>
      <c r="O2861" s="237"/>
      <c r="P2861" s="237"/>
      <c r="Q2861" s="237"/>
      <c r="R2861" s="237"/>
      <c r="S2861" s="237"/>
      <c r="T2861" s="237"/>
      <c r="U2861" s="237"/>
      <c r="V2861" s="237"/>
      <c r="W2861" s="237"/>
      <c r="X2861" s="237"/>
      <c r="Y2861" s="237"/>
      <c r="Z2861" s="237"/>
      <c r="AA2861" s="237"/>
      <c r="AB2861" s="237"/>
    </row>
    <row r="2862">
      <c r="A2862" s="237"/>
      <c r="B2862" s="275"/>
      <c r="C2862" s="290"/>
      <c r="D2862" s="237"/>
      <c r="E2862" s="237"/>
      <c r="F2862" s="290"/>
      <c r="G2862" s="237"/>
      <c r="H2862" s="237"/>
      <c r="I2862" s="237"/>
      <c r="J2862" s="290"/>
      <c r="K2862" s="275"/>
      <c r="L2862" s="237"/>
      <c r="M2862" s="237"/>
      <c r="N2862" s="237"/>
      <c r="O2862" s="237"/>
      <c r="P2862" s="237"/>
      <c r="Q2862" s="237"/>
      <c r="R2862" s="237"/>
      <c r="S2862" s="237"/>
      <c r="T2862" s="237"/>
      <c r="U2862" s="237"/>
      <c r="V2862" s="237"/>
      <c r="W2862" s="237"/>
      <c r="X2862" s="237"/>
      <c r="Y2862" s="237"/>
      <c r="Z2862" s="237"/>
      <c r="AA2862" s="237"/>
      <c r="AB2862" s="237"/>
    </row>
    <row r="2863">
      <c r="A2863" s="237"/>
      <c r="B2863" s="275"/>
      <c r="C2863" s="290"/>
      <c r="D2863" s="237"/>
      <c r="E2863" s="237"/>
      <c r="F2863" s="290"/>
      <c r="G2863" s="237"/>
      <c r="H2863" s="237"/>
      <c r="I2863" s="237"/>
      <c r="J2863" s="290"/>
      <c r="K2863" s="275"/>
      <c r="L2863" s="237"/>
      <c r="M2863" s="237"/>
      <c r="N2863" s="237"/>
      <c r="O2863" s="237"/>
      <c r="P2863" s="237"/>
      <c r="Q2863" s="237"/>
      <c r="R2863" s="237"/>
      <c r="S2863" s="237"/>
      <c r="T2863" s="237"/>
      <c r="U2863" s="237"/>
      <c r="V2863" s="237"/>
      <c r="W2863" s="237"/>
      <c r="X2863" s="237"/>
      <c r="Y2863" s="237"/>
      <c r="Z2863" s="237"/>
      <c r="AA2863" s="237"/>
      <c r="AB2863" s="237"/>
    </row>
    <row r="2864">
      <c r="A2864" s="237"/>
      <c r="B2864" s="275"/>
      <c r="C2864" s="290"/>
      <c r="D2864" s="237"/>
      <c r="E2864" s="237"/>
      <c r="F2864" s="290"/>
      <c r="G2864" s="237"/>
      <c r="H2864" s="237"/>
      <c r="I2864" s="237"/>
      <c r="J2864" s="290"/>
      <c r="K2864" s="275"/>
      <c r="L2864" s="237"/>
      <c r="M2864" s="237"/>
      <c r="N2864" s="237"/>
      <c r="O2864" s="237"/>
      <c r="P2864" s="237"/>
      <c r="Q2864" s="237"/>
      <c r="R2864" s="237"/>
      <c r="S2864" s="237"/>
      <c r="T2864" s="237"/>
      <c r="U2864" s="237"/>
      <c r="V2864" s="237"/>
      <c r="W2864" s="237"/>
      <c r="X2864" s="237"/>
      <c r="Y2864" s="237"/>
      <c r="Z2864" s="237"/>
      <c r="AA2864" s="237"/>
      <c r="AB2864" s="237"/>
    </row>
    <row r="2865">
      <c r="A2865" s="237"/>
      <c r="B2865" s="275"/>
      <c r="C2865" s="290"/>
      <c r="D2865" s="237"/>
      <c r="E2865" s="237"/>
      <c r="F2865" s="290"/>
      <c r="G2865" s="237"/>
      <c r="H2865" s="237"/>
      <c r="I2865" s="237"/>
      <c r="J2865" s="290"/>
      <c r="K2865" s="275"/>
      <c r="L2865" s="237"/>
      <c r="M2865" s="237"/>
      <c r="N2865" s="237"/>
      <c r="O2865" s="237"/>
      <c r="P2865" s="237"/>
      <c r="Q2865" s="237"/>
      <c r="R2865" s="237"/>
      <c r="S2865" s="237"/>
      <c r="T2865" s="237"/>
      <c r="U2865" s="237"/>
      <c r="V2865" s="237"/>
      <c r="W2865" s="237"/>
      <c r="X2865" s="237"/>
      <c r="Y2865" s="237"/>
      <c r="Z2865" s="237"/>
      <c r="AA2865" s="237"/>
      <c r="AB2865" s="237"/>
    </row>
    <row r="2866">
      <c r="A2866" s="237"/>
      <c r="B2866" s="275"/>
      <c r="C2866" s="290"/>
      <c r="D2866" s="237"/>
      <c r="E2866" s="237"/>
      <c r="F2866" s="290"/>
      <c r="G2866" s="237"/>
      <c r="H2866" s="237"/>
      <c r="I2866" s="237"/>
      <c r="J2866" s="290"/>
      <c r="K2866" s="275"/>
      <c r="L2866" s="237"/>
      <c r="M2866" s="237"/>
      <c r="N2866" s="237"/>
      <c r="O2866" s="237"/>
      <c r="P2866" s="237"/>
      <c r="Q2866" s="237"/>
      <c r="R2866" s="237"/>
      <c r="S2866" s="237"/>
      <c r="T2866" s="237"/>
      <c r="U2866" s="237"/>
      <c r="V2866" s="237"/>
      <c r="W2866" s="237"/>
      <c r="X2866" s="237"/>
      <c r="Y2866" s="237"/>
      <c r="Z2866" s="237"/>
      <c r="AA2866" s="237"/>
      <c r="AB2866" s="237"/>
    </row>
    <row r="2867">
      <c r="A2867" s="237"/>
      <c r="B2867" s="275"/>
      <c r="C2867" s="290"/>
      <c r="D2867" s="237"/>
      <c r="E2867" s="237"/>
      <c r="F2867" s="290"/>
      <c r="G2867" s="237"/>
      <c r="H2867" s="237"/>
      <c r="I2867" s="237"/>
      <c r="J2867" s="290"/>
      <c r="K2867" s="275"/>
      <c r="L2867" s="237"/>
      <c r="M2867" s="237"/>
      <c r="N2867" s="237"/>
      <c r="O2867" s="237"/>
      <c r="P2867" s="237"/>
      <c r="Q2867" s="237"/>
      <c r="R2867" s="237"/>
      <c r="S2867" s="237"/>
      <c r="T2867" s="237"/>
      <c r="U2867" s="237"/>
      <c r="V2867" s="237"/>
      <c r="W2867" s="237"/>
      <c r="X2867" s="237"/>
      <c r="Y2867" s="237"/>
      <c r="Z2867" s="237"/>
      <c r="AA2867" s="237"/>
      <c r="AB2867" s="237"/>
    </row>
    <row r="2868">
      <c r="A2868" s="237"/>
      <c r="B2868" s="275"/>
      <c r="C2868" s="290"/>
      <c r="D2868" s="237"/>
      <c r="E2868" s="237"/>
      <c r="F2868" s="290"/>
      <c r="G2868" s="237"/>
      <c r="H2868" s="237"/>
      <c r="I2868" s="237"/>
      <c r="J2868" s="290"/>
      <c r="K2868" s="275"/>
      <c r="L2868" s="237"/>
      <c r="M2868" s="237"/>
      <c r="N2868" s="237"/>
      <c r="O2868" s="237"/>
      <c r="P2868" s="237"/>
      <c r="Q2868" s="237"/>
      <c r="R2868" s="237"/>
      <c r="S2868" s="237"/>
      <c r="T2868" s="237"/>
      <c r="U2868" s="237"/>
      <c r="V2868" s="237"/>
      <c r="W2868" s="237"/>
      <c r="X2868" s="237"/>
      <c r="Y2868" s="237"/>
      <c r="Z2868" s="237"/>
      <c r="AA2868" s="237"/>
      <c r="AB2868" s="237"/>
    </row>
    <row r="2869">
      <c r="A2869" s="237"/>
      <c r="B2869" s="275"/>
      <c r="C2869" s="290"/>
      <c r="D2869" s="237"/>
      <c r="E2869" s="237"/>
      <c r="F2869" s="290"/>
      <c r="G2869" s="237"/>
      <c r="H2869" s="237"/>
      <c r="I2869" s="237"/>
      <c r="J2869" s="290"/>
      <c r="K2869" s="275"/>
      <c r="L2869" s="237"/>
      <c r="M2869" s="237"/>
      <c r="N2869" s="237"/>
      <c r="O2869" s="237"/>
      <c r="P2869" s="237"/>
      <c r="Q2869" s="237"/>
      <c r="R2869" s="237"/>
      <c r="S2869" s="237"/>
      <c r="T2869" s="237"/>
      <c r="U2869" s="237"/>
      <c r="V2869" s="237"/>
      <c r="W2869" s="237"/>
      <c r="X2869" s="237"/>
      <c r="Y2869" s="237"/>
      <c r="Z2869" s="237"/>
      <c r="AA2869" s="237"/>
      <c r="AB2869" s="237"/>
    </row>
    <row r="2870">
      <c r="A2870" s="237"/>
      <c r="B2870" s="275"/>
      <c r="C2870" s="290"/>
      <c r="D2870" s="237"/>
      <c r="E2870" s="237"/>
      <c r="F2870" s="290"/>
      <c r="G2870" s="237"/>
      <c r="H2870" s="237"/>
      <c r="I2870" s="237"/>
      <c r="J2870" s="290"/>
      <c r="K2870" s="275"/>
      <c r="L2870" s="237"/>
      <c r="M2870" s="237"/>
      <c r="N2870" s="237"/>
      <c r="O2870" s="237"/>
      <c r="P2870" s="237"/>
      <c r="Q2870" s="237"/>
      <c r="R2870" s="237"/>
      <c r="S2870" s="237"/>
      <c r="T2870" s="237"/>
      <c r="U2870" s="237"/>
      <c r="V2870" s="237"/>
      <c r="W2870" s="237"/>
      <c r="X2870" s="237"/>
      <c r="Y2870" s="237"/>
      <c r="Z2870" s="237"/>
      <c r="AA2870" s="237"/>
      <c r="AB2870" s="237"/>
    </row>
    <row r="2871">
      <c r="A2871" s="237"/>
      <c r="B2871" s="275"/>
      <c r="C2871" s="290"/>
      <c r="D2871" s="237"/>
      <c r="E2871" s="237"/>
      <c r="F2871" s="290"/>
      <c r="G2871" s="237"/>
      <c r="H2871" s="237"/>
      <c r="I2871" s="237"/>
      <c r="J2871" s="290"/>
      <c r="K2871" s="275"/>
      <c r="L2871" s="237"/>
      <c r="M2871" s="237"/>
      <c r="N2871" s="237"/>
      <c r="O2871" s="237"/>
      <c r="P2871" s="237"/>
      <c r="Q2871" s="237"/>
      <c r="R2871" s="237"/>
      <c r="S2871" s="237"/>
      <c r="T2871" s="237"/>
      <c r="U2871" s="237"/>
      <c r="V2871" s="237"/>
      <c r="W2871" s="237"/>
      <c r="X2871" s="237"/>
      <c r="Y2871" s="237"/>
      <c r="Z2871" s="237"/>
      <c r="AA2871" s="237"/>
      <c r="AB2871" s="237"/>
    </row>
    <row r="2872">
      <c r="A2872" s="237"/>
      <c r="B2872" s="275"/>
      <c r="C2872" s="290"/>
      <c r="D2872" s="237"/>
      <c r="E2872" s="237"/>
      <c r="F2872" s="290"/>
      <c r="G2872" s="237"/>
      <c r="H2872" s="237"/>
      <c r="I2872" s="237"/>
      <c r="J2872" s="290"/>
      <c r="K2872" s="275"/>
      <c r="L2872" s="237"/>
      <c r="M2872" s="237"/>
      <c r="N2872" s="237"/>
      <c r="O2872" s="237"/>
      <c r="P2872" s="237"/>
      <c r="Q2872" s="237"/>
      <c r="R2872" s="237"/>
      <c r="S2872" s="237"/>
      <c r="T2872" s="237"/>
      <c r="U2872" s="237"/>
      <c r="V2872" s="237"/>
      <c r="W2872" s="237"/>
      <c r="X2872" s="237"/>
      <c r="Y2872" s="237"/>
      <c r="Z2872" s="237"/>
      <c r="AA2872" s="237"/>
      <c r="AB2872" s="237"/>
    </row>
    <row r="2873">
      <c r="A2873" s="237"/>
      <c r="B2873" s="275"/>
      <c r="C2873" s="290"/>
      <c r="D2873" s="237"/>
      <c r="E2873" s="237"/>
      <c r="F2873" s="290"/>
      <c r="G2873" s="237"/>
      <c r="H2873" s="237"/>
      <c r="I2873" s="237"/>
      <c r="J2873" s="290"/>
      <c r="K2873" s="275"/>
      <c r="L2873" s="237"/>
      <c r="M2873" s="237"/>
      <c r="N2873" s="237"/>
      <c r="O2873" s="237"/>
      <c r="P2873" s="237"/>
      <c r="Q2873" s="237"/>
      <c r="R2873" s="237"/>
      <c r="S2873" s="237"/>
      <c r="T2873" s="237"/>
      <c r="U2873" s="237"/>
      <c r="V2873" s="237"/>
      <c r="W2873" s="237"/>
      <c r="X2873" s="237"/>
      <c r="Y2873" s="237"/>
      <c r="Z2873" s="237"/>
      <c r="AA2873" s="237"/>
      <c r="AB2873" s="237"/>
    </row>
    <row r="2874">
      <c r="A2874" s="237"/>
      <c r="B2874" s="275"/>
      <c r="C2874" s="290"/>
      <c r="D2874" s="237"/>
      <c r="E2874" s="237"/>
      <c r="F2874" s="290"/>
      <c r="G2874" s="237"/>
      <c r="H2874" s="237"/>
      <c r="I2874" s="237"/>
      <c r="J2874" s="290"/>
      <c r="K2874" s="275"/>
      <c r="L2874" s="237"/>
      <c r="M2874" s="237"/>
      <c r="N2874" s="237"/>
      <c r="O2874" s="237"/>
      <c r="P2874" s="237"/>
      <c r="Q2874" s="237"/>
      <c r="R2874" s="237"/>
      <c r="S2874" s="237"/>
      <c r="T2874" s="237"/>
      <c r="U2874" s="237"/>
      <c r="V2874" s="237"/>
      <c r="W2874" s="237"/>
      <c r="X2874" s="237"/>
      <c r="Y2874" s="237"/>
      <c r="Z2874" s="237"/>
      <c r="AA2874" s="237"/>
      <c r="AB2874" s="237"/>
    </row>
    <row r="2875">
      <c r="A2875" s="237"/>
      <c r="B2875" s="275"/>
      <c r="C2875" s="290"/>
      <c r="D2875" s="237"/>
      <c r="E2875" s="237"/>
      <c r="F2875" s="290"/>
      <c r="G2875" s="237"/>
      <c r="H2875" s="237"/>
      <c r="I2875" s="237"/>
      <c r="J2875" s="290"/>
      <c r="K2875" s="275"/>
      <c r="L2875" s="237"/>
      <c r="M2875" s="237"/>
      <c r="N2875" s="237"/>
      <c r="O2875" s="237"/>
      <c r="P2875" s="237"/>
      <c r="Q2875" s="237"/>
      <c r="R2875" s="237"/>
      <c r="S2875" s="237"/>
      <c r="T2875" s="237"/>
      <c r="U2875" s="237"/>
      <c r="V2875" s="237"/>
      <c r="W2875" s="237"/>
      <c r="X2875" s="237"/>
      <c r="Y2875" s="237"/>
      <c r="Z2875" s="237"/>
      <c r="AA2875" s="237"/>
      <c r="AB2875" s="237"/>
    </row>
    <row r="2876">
      <c r="A2876" s="237"/>
      <c r="B2876" s="275"/>
      <c r="C2876" s="290"/>
      <c r="D2876" s="237"/>
      <c r="E2876" s="237"/>
      <c r="F2876" s="290"/>
      <c r="G2876" s="237"/>
      <c r="H2876" s="237"/>
      <c r="I2876" s="237"/>
      <c r="J2876" s="290"/>
      <c r="K2876" s="275"/>
      <c r="L2876" s="237"/>
      <c r="M2876" s="237"/>
      <c r="N2876" s="237"/>
      <c r="O2876" s="237"/>
      <c r="P2876" s="237"/>
      <c r="Q2876" s="237"/>
      <c r="R2876" s="237"/>
      <c r="S2876" s="237"/>
      <c r="T2876" s="237"/>
      <c r="U2876" s="237"/>
      <c r="V2876" s="237"/>
      <c r="W2876" s="237"/>
      <c r="X2876" s="237"/>
      <c r="Y2876" s="237"/>
      <c r="Z2876" s="237"/>
      <c r="AA2876" s="237"/>
      <c r="AB2876" s="237"/>
    </row>
    <row r="2877">
      <c r="A2877" s="237"/>
      <c r="B2877" s="275"/>
      <c r="C2877" s="290"/>
      <c r="D2877" s="237"/>
      <c r="E2877" s="237"/>
      <c r="F2877" s="290"/>
      <c r="G2877" s="237"/>
      <c r="H2877" s="237"/>
      <c r="I2877" s="237"/>
      <c r="J2877" s="290"/>
      <c r="K2877" s="275"/>
      <c r="L2877" s="237"/>
      <c r="M2877" s="237"/>
      <c r="N2877" s="237"/>
      <c r="O2877" s="237"/>
      <c r="P2877" s="237"/>
      <c r="Q2877" s="237"/>
      <c r="R2877" s="237"/>
      <c r="S2877" s="237"/>
      <c r="T2877" s="237"/>
      <c r="U2877" s="237"/>
      <c r="V2877" s="237"/>
      <c r="W2877" s="237"/>
      <c r="X2877" s="237"/>
      <c r="Y2877" s="237"/>
      <c r="Z2877" s="237"/>
      <c r="AA2877" s="237"/>
      <c r="AB2877" s="237"/>
    </row>
    <row r="2878">
      <c r="A2878" s="237"/>
      <c r="B2878" s="275"/>
      <c r="C2878" s="290"/>
      <c r="D2878" s="237"/>
      <c r="E2878" s="237"/>
      <c r="F2878" s="290"/>
      <c r="G2878" s="237"/>
      <c r="H2878" s="237"/>
      <c r="I2878" s="237"/>
      <c r="J2878" s="290"/>
      <c r="K2878" s="275"/>
      <c r="L2878" s="237"/>
      <c r="M2878" s="237"/>
      <c r="N2878" s="237"/>
      <c r="O2878" s="237"/>
      <c r="P2878" s="237"/>
      <c r="Q2878" s="237"/>
      <c r="R2878" s="237"/>
      <c r="S2878" s="237"/>
      <c r="T2878" s="237"/>
      <c r="U2878" s="237"/>
      <c r="V2878" s="237"/>
      <c r="W2878" s="237"/>
      <c r="X2878" s="237"/>
      <c r="Y2878" s="237"/>
      <c r="Z2878" s="237"/>
      <c r="AA2878" s="237"/>
      <c r="AB2878" s="237"/>
    </row>
    <row r="2879">
      <c r="A2879" s="237"/>
      <c r="B2879" s="275"/>
      <c r="C2879" s="290"/>
      <c r="D2879" s="237"/>
      <c r="E2879" s="237"/>
      <c r="F2879" s="290"/>
      <c r="G2879" s="237"/>
      <c r="H2879" s="237"/>
      <c r="I2879" s="237"/>
      <c r="J2879" s="290"/>
      <c r="K2879" s="275"/>
      <c r="L2879" s="237"/>
      <c r="M2879" s="237"/>
      <c r="N2879" s="237"/>
      <c r="O2879" s="237"/>
      <c r="P2879" s="237"/>
      <c r="Q2879" s="237"/>
      <c r="R2879" s="237"/>
      <c r="S2879" s="237"/>
      <c r="T2879" s="237"/>
      <c r="U2879" s="237"/>
      <c r="V2879" s="237"/>
      <c r="W2879" s="237"/>
      <c r="X2879" s="237"/>
      <c r="Y2879" s="237"/>
      <c r="Z2879" s="237"/>
      <c r="AA2879" s="237"/>
      <c r="AB2879" s="237"/>
    </row>
    <row r="2880">
      <c r="A2880" s="237"/>
      <c r="B2880" s="275"/>
      <c r="C2880" s="290"/>
      <c r="D2880" s="237"/>
      <c r="E2880" s="237"/>
      <c r="F2880" s="290"/>
      <c r="G2880" s="237"/>
      <c r="H2880" s="237"/>
      <c r="I2880" s="237"/>
      <c r="J2880" s="290"/>
      <c r="K2880" s="275"/>
      <c r="L2880" s="237"/>
      <c r="M2880" s="237"/>
      <c r="N2880" s="237"/>
      <c r="O2880" s="237"/>
      <c r="P2880" s="237"/>
      <c r="Q2880" s="237"/>
      <c r="R2880" s="237"/>
      <c r="S2880" s="237"/>
      <c r="T2880" s="237"/>
      <c r="U2880" s="237"/>
      <c r="V2880" s="237"/>
      <c r="W2880" s="237"/>
      <c r="X2880" s="237"/>
      <c r="Y2880" s="237"/>
      <c r="Z2880" s="237"/>
      <c r="AA2880" s="237"/>
      <c r="AB2880" s="237"/>
    </row>
    <row r="2881">
      <c r="A2881" s="237"/>
      <c r="B2881" s="275"/>
      <c r="C2881" s="290"/>
      <c r="D2881" s="237"/>
      <c r="E2881" s="237"/>
      <c r="F2881" s="290"/>
      <c r="G2881" s="237"/>
      <c r="H2881" s="237"/>
      <c r="I2881" s="237"/>
      <c r="J2881" s="290"/>
      <c r="K2881" s="275"/>
      <c r="L2881" s="237"/>
      <c r="M2881" s="237"/>
      <c r="N2881" s="237"/>
      <c r="O2881" s="237"/>
      <c r="P2881" s="237"/>
      <c r="Q2881" s="237"/>
      <c r="R2881" s="237"/>
      <c r="S2881" s="237"/>
      <c r="T2881" s="237"/>
      <c r="U2881" s="237"/>
      <c r="V2881" s="237"/>
      <c r="W2881" s="237"/>
      <c r="X2881" s="237"/>
      <c r="Y2881" s="237"/>
      <c r="Z2881" s="237"/>
      <c r="AA2881" s="237"/>
      <c r="AB2881" s="237"/>
    </row>
    <row r="2882">
      <c r="A2882" s="237"/>
      <c r="B2882" s="275"/>
      <c r="C2882" s="290"/>
      <c r="D2882" s="237"/>
      <c r="E2882" s="237"/>
      <c r="F2882" s="290"/>
      <c r="G2882" s="237"/>
      <c r="H2882" s="237"/>
      <c r="I2882" s="237"/>
      <c r="J2882" s="290"/>
      <c r="K2882" s="275"/>
      <c r="L2882" s="237"/>
      <c r="M2882" s="237"/>
      <c r="N2882" s="237"/>
      <c r="O2882" s="237"/>
      <c r="P2882" s="237"/>
      <c r="Q2882" s="237"/>
      <c r="R2882" s="237"/>
      <c r="S2882" s="237"/>
      <c r="T2882" s="237"/>
      <c r="U2882" s="237"/>
      <c r="V2882" s="237"/>
      <c r="W2882" s="237"/>
      <c r="X2882" s="237"/>
      <c r="Y2882" s="237"/>
      <c r="Z2882" s="237"/>
      <c r="AA2882" s="237"/>
      <c r="AB2882" s="237"/>
    </row>
    <row r="2883">
      <c r="A2883" s="237"/>
      <c r="B2883" s="275"/>
      <c r="C2883" s="290"/>
      <c r="D2883" s="237"/>
      <c r="E2883" s="237"/>
      <c r="F2883" s="290"/>
      <c r="G2883" s="237"/>
      <c r="H2883" s="237"/>
      <c r="I2883" s="237"/>
      <c r="J2883" s="290"/>
      <c r="K2883" s="275"/>
      <c r="L2883" s="237"/>
      <c r="M2883" s="237"/>
      <c r="N2883" s="237"/>
      <c r="O2883" s="237"/>
      <c r="P2883" s="237"/>
      <c r="Q2883" s="237"/>
      <c r="R2883" s="237"/>
      <c r="S2883" s="237"/>
      <c r="T2883" s="237"/>
      <c r="U2883" s="237"/>
      <c r="V2883" s="237"/>
      <c r="W2883" s="237"/>
      <c r="X2883" s="237"/>
      <c r="Y2883" s="237"/>
      <c r="Z2883" s="237"/>
      <c r="AA2883" s="237"/>
      <c r="AB2883" s="237"/>
    </row>
    <row r="2884">
      <c r="A2884" s="237"/>
      <c r="B2884" s="275"/>
      <c r="C2884" s="290"/>
      <c r="D2884" s="237"/>
      <c r="E2884" s="237"/>
      <c r="F2884" s="290"/>
      <c r="G2884" s="237"/>
      <c r="H2884" s="237"/>
      <c r="I2884" s="237"/>
      <c r="J2884" s="290"/>
      <c r="K2884" s="275"/>
      <c r="L2884" s="237"/>
      <c r="M2884" s="237"/>
      <c r="N2884" s="237"/>
      <c r="O2884" s="237"/>
      <c r="P2884" s="237"/>
      <c r="Q2884" s="237"/>
      <c r="R2884" s="237"/>
      <c r="S2884" s="237"/>
      <c r="T2884" s="237"/>
      <c r="U2884" s="237"/>
      <c r="V2884" s="237"/>
      <c r="W2884" s="237"/>
      <c r="X2884" s="237"/>
      <c r="Y2884" s="237"/>
      <c r="Z2884" s="237"/>
      <c r="AA2884" s="237"/>
      <c r="AB2884" s="237"/>
    </row>
    <row r="2885">
      <c r="A2885" s="237"/>
      <c r="B2885" s="275"/>
      <c r="C2885" s="290"/>
      <c r="D2885" s="237"/>
      <c r="E2885" s="237"/>
      <c r="F2885" s="290"/>
      <c r="G2885" s="237"/>
      <c r="H2885" s="237"/>
      <c r="I2885" s="237"/>
      <c r="J2885" s="290"/>
      <c r="K2885" s="275"/>
      <c r="L2885" s="237"/>
      <c r="M2885" s="237"/>
      <c r="N2885" s="237"/>
      <c r="O2885" s="237"/>
      <c r="P2885" s="237"/>
      <c r="Q2885" s="237"/>
      <c r="R2885" s="237"/>
      <c r="S2885" s="237"/>
      <c r="T2885" s="237"/>
      <c r="U2885" s="237"/>
      <c r="V2885" s="237"/>
      <c r="W2885" s="237"/>
      <c r="X2885" s="237"/>
      <c r="Y2885" s="237"/>
      <c r="Z2885" s="237"/>
      <c r="AA2885" s="237"/>
      <c r="AB2885" s="237"/>
    </row>
    <row r="2886">
      <c r="A2886" s="237"/>
      <c r="B2886" s="275"/>
      <c r="C2886" s="290"/>
      <c r="D2886" s="237"/>
      <c r="E2886" s="237"/>
      <c r="F2886" s="290"/>
      <c r="G2886" s="237"/>
      <c r="H2886" s="237"/>
      <c r="I2886" s="237"/>
      <c r="J2886" s="290"/>
      <c r="K2886" s="275"/>
      <c r="L2886" s="237"/>
      <c r="M2886" s="237"/>
      <c r="N2886" s="237"/>
      <c r="O2886" s="237"/>
      <c r="P2886" s="237"/>
      <c r="Q2886" s="237"/>
      <c r="R2886" s="237"/>
      <c r="S2886" s="237"/>
      <c r="T2886" s="237"/>
      <c r="U2886" s="237"/>
      <c r="V2886" s="237"/>
      <c r="W2886" s="237"/>
      <c r="X2886" s="237"/>
      <c r="Y2886" s="237"/>
      <c r="Z2886" s="237"/>
      <c r="AA2886" s="237"/>
      <c r="AB2886" s="237"/>
    </row>
    <row r="2887">
      <c r="A2887" s="237"/>
      <c r="B2887" s="275"/>
      <c r="C2887" s="290"/>
      <c r="D2887" s="237"/>
      <c r="E2887" s="237"/>
      <c r="F2887" s="290"/>
      <c r="G2887" s="237"/>
      <c r="H2887" s="237"/>
      <c r="I2887" s="237"/>
      <c r="J2887" s="290"/>
      <c r="K2887" s="275"/>
      <c r="L2887" s="237"/>
      <c r="M2887" s="237"/>
      <c r="N2887" s="237"/>
      <c r="O2887" s="237"/>
      <c r="P2887" s="237"/>
      <c r="Q2887" s="237"/>
      <c r="R2887" s="237"/>
      <c r="S2887" s="237"/>
      <c r="T2887" s="237"/>
      <c r="U2887" s="237"/>
      <c r="V2887" s="237"/>
      <c r="W2887" s="237"/>
      <c r="X2887" s="237"/>
      <c r="Y2887" s="237"/>
      <c r="Z2887" s="237"/>
      <c r="AA2887" s="237"/>
      <c r="AB2887" s="237"/>
    </row>
    <row r="2888">
      <c r="A2888" s="237"/>
      <c r="B2888" s="275"/>
      <c r="C2888" s="290"/>
      <c r="D2888" s="237"/>
      <c r="E2888" s="237"/>
      <c r="F2888" s="290"/>
      <c r="G2888" s="237"/>
      <c r="H2888" s="237"/>
      <c r="I2888" s="237"/>
      <c r="J2888" s="290"/>
      <c r="K2888" s="275"/>
      <c r="L2888" s="237"/>
      <c r="M2888" s="237"/>
      <c r="N2888" s="237"/>
      <c r="O2888" s="237"/>
      <c r="P2888" s="237"/>
      <c r="Q2888" s="237"/>
      <c r="R2888" s="237"/>
      <c r="S2888" s="237"/>
      <c r="T2888" s="237"/>
      <c r="U2888" s="237"/>
      <c r="V2888" s="237"/>
      <c r="W2888" s="237"/>
      <c r="X2888" s="237"/>
      <c r="Y2888" s="237"/>
      <c r="Z2888" s="237"/>
      <c r="AA2888" s="237"/>
      <c r="AB2888" s="237"/>
    </row>
    <row r="2889">
      <c r="A2889" s="237"/>
      <c r="B2889" s="275"/>
      <c r="C2889" s="290"/>
      <c r="D2889" s="237"/>
      <c r="E2889" s="237"/>
      <c r="F2889" s="290"/>
      <c r="G2889" s="237"/>
      <c r="H2889" s="237"/>
      <c r="I2889" s="237"/>
      <c r="J2889" s="290"/>
      <c r="K2889" s="275"/>
      <c r="L2889" s="237"/>
      <c r="M2889" s="237"/>
      <c r="N2889" s="237"/>
      <c r="O2889" s="237"/>
      <c r="P2889" s="237"/>
      <c r="Q2889" s="237"/>
      <c r="R2889" s="237"/>
      <c r="S2889" s="237"/>
      <c r="T2889" s="237"/>
      <c r="U2889" s="237"/>
      <c r="V2889" s="237"/>
      <c r="W2889" s="237"/>
      <c r="X2889" s="237"/>
      <c r="Y2889" s="237"/>
      <c r="Z2889" s="237"/>
      <c r="AA2889" s="237"/>
      <c r="AB2889" s="237"/>
    </row>
    <row r="2890">
      <c r="A2890" s="237"/>
      <c r="B2890" s="275"/>
      <c r="C2890" s="290"/>
      <c r="D2890" s="237"/>
      <c r="E2890" s="237"/>
      <c r="F2890" s="290"/>
      <c r="G2890" s="237"/>
      <c r="H2890" s="237"/>
      <c r="I2890" s="237"/>
      <c r="J2890" s="290"/>
      <c r="K2890" s="275"/>
      <c r="L2890" s="237"/>
      <c r="M2890" s="237"/>
      <c r="N2890" s="237"/>
      <c r="O2890" s="237"/>
      <c r="P2890" s="237"/>
      <c r="Q2890" s="237"/>
      <c r="R2890" s="237"/>
      <c r="S2890" s="237"/>
      <c r="T2890" s="237"/>
      <c r="U2890" s="237"/>
      <c r="V2890" s="237"/>
      <c r="W2890" s="237"/>
      <c r="X2890" s="237"/>
      <c r="Y2890" s="237"/>
      <c r="Z2890" s="237"/>
      <c r="AA2890" s="237"/>
      <c r="AB2890" s="237"/>
    </row>
    <row r="2891">
      <c r="A2891" s="237"/>
      <c r="B2891" s="275"/>
      <c r="C2891" s="290"/>
      <c r="D2891" s="237"/>
      <c r="E2891" s="237"/>
      <c r="F2891" s="290"/>
      <c r="G2891" s="237"/>
      <c r="H2891" s="237"/>
      <c r="I2891" s="237"/>
      <c r="J2891" s="290"/>
      <c r="K2891" s="275"/>
      <c r="L2891" s="237"/>
      <c r="M2891" s="237"/>
      <c r="N2891" s="237"/>
      <c r="O2891" s="237"/>
      <c r="P2891" s="237"/>
      <c r="Q2891" s="237"/>
      <c r="R2891" s="237"/>
      <c r="S2891" s="237"/>
      <c r="T2891" s="237"/>
      <c r="U2891" s="237"/>
      <c r="V2891" s="237"/>
      <c r="W2891" s="237"/>
      <c r="X2891" s="237"/>
      <c r="Y2891" s="237"/>
      <c r="Z2891" s="237"/>
      <c r="AA2891" s="237"/>
      <c r="AB2891" s="237"/>
    </row>
    <row r="2892">
      <c r="A2892" s="237"/>
      <c r="B2892" s="275"/>
      <c r="C2892" s="290"/>
      <c r="D2892" s="237"/>
      <c r="E2892" s="237"/>
      <c r="F2892" s="290"/>
      <c r="G2892" s="237"/>
      <c r="H2892" s="237"/>
      <c r="I2892" s="237"/>
      <c r="J2892" s="290"/>
      <c r="K2892" s="275"/>
      <c r="L2892" s="237"/>
      <c r="M2892" s="237"/>
      <c r="N2892" s="237"/>
      <c r="O2892" s="237"/>
      <c r="P2892" s="237"/>
      <c r="Q2892" s="237"/>
      <c r="R2892" s="237"/>
      <c r="S2892" s="237"/>
      <c r="T2892" s="237"/>
      <c r="U2892" s="237"/>
      <c r="V2892" s="237"/>
      <c r="W2892" s="237"/>
      <c r="X2892" s="237"/>
      <c r="Y2892" s="237"/>
      <c r="Z2892" s="237"/>
      <c r="AA2892" s="237"/>
      <c r="AB2892" s="237"/>
    </row>
    <row r="2893">
      <c r="A2893" s="237"/>
      <c r="B2893" s="275"/>
      <c r="C2893" s="290"/>
      <c r="D2893" s="237"/>
      <c r="E2893" s="237"/>
      <c r="F2893" s="290"/>
      <c r="G2893" s="237"/>
      <c r="H2893" s="237"/>
      <c r="I2893" s="237"/>
      <c r="J2893" s="290"/>
      <c r="K2893" s="275"/>
      <c r="L2893" s="237"/>
      <c r="M2893" s="237"/>
      <c r="N2893" s="237"/>
      <c r="O2893" s="237"/>
      <c r="P2893" s="237"/>
      <c r="Q2893" s="237"/>
      <c r="R2893" s="237"/>
      <c r="S2893" s="237"/>
      <c r="T2893" s="237"/>
      <c r="U2893" s="237"/>
      <c r="V2893" s="237"/>
      <c r="W2893" s="237"/>
      <c r="X2893" s="237"/>
      <c r="Y2893" s="237"/>
      <c r="Z2893" s="237"/>
      <c r="AA2893" s="237"/>
      <c r="AB2893" s="237"/>
    </row>
    <row r="2894">
      <c r="A2894" s="237"/>
      <c r="B2894" s="275"/>
      <c r="C2894" s="290"/>
      <c r="D2894" s="237"/>
      <c r="E2894" s="237"/>
      <c r="F2894" s="290"/>
      <c r="G2894" s="237"/>
      <c r="H2894" s="237"/>
      <c r="I2894" s="237"/>
      <c r="J2894" s="290"/>
      <c r="K2894" s="275"/>
      <c r="L2894" s="237"/>
      <c r="M2894" s="237"/>
      <c r="N2894" s="237"/>
      <c r="O2894" s="237"/>
      <c r="P2894" s="237"/>
      <c r="Q2894" s="237"/>
      <c r="R2894" s="237"/>
      <c r="S2894" s="237"/>
      <c r="T2894" s="237"/>
      <c r="U2894" s="237"/>
      <c r="V2894" s="237"/>
      <c r="W2894" s="237"/>
      <c r="X2894" s="237"/>
      <c r="Y2894" s="237"/>
      <c r="Z2894" s="237"/>
      <c r="AA2894" s="237"/>
      <c r="AB2894" s="237"/>
    </row>
    <row r="2895">
      <c r="A2895" s="237"/>
      <c r="B2895" s="275"/>
      <c r="C2895" s="290"/>
      <c r="D2895" s="237"/>
      <c r="E2895" s="237"/>
      <c r="F2895" s="290"/>
      <c r="G2895" s="237"/>
      <c r="H2895" s="237"/>
      <c r="I2895" s="237"/>
      <c r="J2895" s="290"/>
      <c r="K2895" s="275"/>
      <c r="L2895" s="237"/>
      <c r="M2895" s="237"/>
      <c r="N2895" s="237"/>
      <c r="O2895" s="237"/>
      <c r="P2895" s="237"/>
      <c r="Q2895" s="237"/>
      <c r="R2895" s="237"/>
      <c r="S2895" s="237"/>
      <c r="T2895" s="237"/>
      <c r="U2895" s="237"/>
      <c r="V2895" s="237"/>
      <c r="W2895" s="237"/>
      <c r="X2895" s="237"/>
      <c r="Y2895" s="237"/>
      <c r="Z2895" s="237"/>
      <c r="AA2895" s="237"/>
      <c r="AB2895" s="237"/>
    </row>
    <row r="2896">
      <c r="A2896" s="237"/>
      <c r="B2896" s="275"/>
      <c r="C2896" s="290"/>
      <c r="D2896" s="237"/>
      <c r="E2896" s="237"/>
      <c r="F2896" s="290"/>
      <c r="G2896" s="237"/>
      <c r="H2896" s="237"/>
      <c r="I2896" s="237"/>
      <c r="J2896" s="290"/>
      <c r="K2896" s="275"/>
      <c r="L2896" s="237"/>
      <c r="M2896" s="237"/>
      <c r="N2896" s="237"/>
      <c r="O2896" s="237"/>
      <c r="P2896" s="237"/>
      <c r="Q2896" s="237"/>
      <c r="R2896" s="237"/>
      <c r="S2896" s="237"/>
      <c r="T2896" s="237"/>
      <c r="U2896" s="237"/>
      <c r="V2896" s="237"/>
      <c r="W2896" s="237"/>
      <c r="X2896" s="237"/>
      <c r="Y2896" s="237"/>
      <c r="Z2896" s="237"/>
      <c r="AA2896" s="237"/>
      <c r="AB2896" s="237"/>
    </row>
    <row r="2897">
      <c r="A2897" s="237"/>
      <c r="B2897" s="275"/>
      <c r="C2897" s="290"/>
      <c r="D2897" s="237"/>
      <c r="E2897" s="237"/>
      <c r="F2897" s="290"/>
      <c r="G2897" s="237"/>
      <c r="H2897" s="237"/>
      <c r="I2897" s="237"/>
      <c r="J2897" s="290"/>
      <c r="K2897" s="275"/>
      <c r="L2897" s="237"/>
      <c r="M2897" s="237"/>
      <c r="N2897" s="237"/>
      <c r="O2897" s="237"/>
      <c r="P2897" s="237"/>
      <c r="Q2897" s="237"/>
      <c r="R2897" s="237"/>
      <c r="S2897" s="237"/>
      <c r="T2897" s="237"/>
      <c r="U2897" s="237"/>
      <c r="V2897" s="237"/>
      <c r="W2897" s="237"/>
      <c r="X2897" s="237"/>
      <c r="Y2897" s="237"/>
      <c r="Z2897" s="237"/>
      <c r="AA2897" s="237"/>
      <c r="AB2897" s="237"/>
    </row>
    <row r="2898">
      <c r="A2898" s="237"/>
      <c r="B2898" s="275"/>
      <c r="C2898" s="290"/>
      <c r="D2898" s="237"/>
      <c r="E2898" s="237"/>
      <c r="F2898" s="290"/>
      <c r="G2898" s="237"/>
      <c r="H2898" s="237"/>
      <c r="I2898" s="237"/>
      <c r="J2898" s="290"/>
      <c r="K2898" s="275"/>
      <c r="L2898" s="237"/>
      <c r="M2898" s="237"/>
      <c r="N2898" s="237"/>
      <c r="O2898" s="237"/>
      <c r="P2898" s="237"/>
      <c r="Q2898" s="237"/>
      <c r="R2898" s="237"/>
      <c r="S2898" s="237"/>
      <c r="T2898" s="237"/>
      <c r="U2898" s="237"/>
      <c r="V2898" s="237"/>
      <c r="W2898" s="237"/>
      <c r="X2898" s="237"/>
      <c r="Y2898" s="237"/>
      <c r="Z2898" s="237"/>
      <c r="AA2898" s="237"/>
      <c r="AB2898" s="237"/>
    </row>
    <row r="2899">
      <c r="A2899" s="237"/>
      <c r="B2899" s="275"/>
      <c r="C2899" s="290"/>
      <c r="D2899" s="237"/>
      <c r="E2899" s="237"/>
      <c r="F2899" s="290"/>
      <c r="G2899" s="237"/>
      <c r="H2899" s="237"/>
      <c r="I2899" s="237"/>
      <c r="J2899" s="290"/>
      <c r="K2899" s="275"/>
      <c r="L2899" s="237"/>
      <c r="M2899" s="237"/>
      <c r="N2899" s="237"/>
      <c r="O2899" s="237"/>
      <c r="P2899" s="237"/>
      <c r="Q2899" s="237"/>
      <c r="R2899" s="237"/>
      <c r="S2899" s="237"/>
      <c r="T2899" s="237"/>
      <c r="U2899" s="237"/>
      <c r="V2899" s="237"/>
      <c r="W2899" s="237"/>
      <c r="X2899" s="237"/>
      <c r="Y2899" s="237"/>
      <c r="Z2899" s="237"/>
      <c r="AA2899" s="237"/>
      <c r="AB2899" s="237"/>
    </row>
    <row r="2900">
      <c r="A2900" s="237"/>
      <c r="B2900" s="275"/>
      <c r="C2900" s="290"/>
      <c r="D2900" s="237"/>
      <c r="E2900" s="237"/>
      <c r="F2900" s="290"/>
      <c r="G2900" s="237"/>
      <c r="H2900" s="237"/>
      <c r="I2900" s="237"/>
      <c r="J2900" s="290"/>
      <c r="K2900" s="275"/>
      <c r="L2900" s="237"/>
      <c r="M2900" s="237"/>
      <c r="N2900" s="237"/>
      <c r="O2900" s="237"/>
      <c r="P2900" s="237"/>
      <c r="Q2900" s="237"/>
      <c r="R2900" s="237"/>
      <c r="S2900" s="237"/>
      <c r="T2900" s="237"/>
      <c r="U2900" s="237"/>
      <c r="V2900" s="237"/>
      <c r="W2900" s="237"/>
      <c r="X2900" s="237"/>
      <c r="Y2900" s="237"/>
      <c r="Z2900" s="237"/>
      <c r="AA2900" s="237"/>
      <c r="AB2900" s="237"/>
    </row>
    <row r="2901">
      <c r="A2901" s="237"/>
      <c r="B2901" s="275"/>
      <c r="C2901" s="290"/>
      <c r="D2901" s="237"/>
      <c r="E2901" s="237"/>
      <c r="F2901" s="290"/>
      <c r="G2901" s="237"/>
      <c r="H2901" s="237"/>
      <c r="I2901" s="237"/>
      <c r="J2901" s="290"/>
      <c r="K2901" s="275"/>
      <c r="L2901" s="237"/>
      <c r="M2901" s="237"/>
      <c r="N2901" s="237"/>
      <c r="O2901" s="237"/>
      <c r="P2901" s="237"/>
      <c r="Q2901" s="237"/>
      <c r="R2901" s="237"/>
      <c r="S2901" s="237"/>
      <c r="T2901" s="237"/>
      <c r="U2901" s="237"/>
      <c r="V2901" s="237"/>
      <c r="W2901" s="237"/>
      <c r="X2901" s="237"/>
      <c r="Y2901" s="237"/>
      <c r="Z2901" s="237"/>
      <c r="AA2901" s="237"/>
      <c r="AB2901" s="237"/>
    </row>
    <row r="2902">
      <c r="A2902" s="237"/>
      <c r="B2902" s="275"/>
      <c r="C2902" s="290"/>
      <c r="D2902" s="237"/>
      <c r="E2902" s="237"/>
      <c r="F2902" s="290"/>
      <c r="G2902" s="237"/>
      <c r="H2902" s="237"/>
      <c r="I2902" s="237"/>
      <c r="J2902" s="290"/>
      <c r="K2902" s="275"/>
      <c r="L2902" s="237"/>
      <c r="M2902" s="237"/>
      <c r="N2902" s="237"/>
      <c r="O2902" s="237"/>
      <c r="P2902" s="237"/>
      <c r="Q2902" s="237"/>
      <c r="R2902" s="237"/>
      <c r="S2902" s="237"/>
      <c r="T2902" s="237"/>
      <c r="U2902" s="237"/>
      <c r="V2902" s="237"/>
      <c r="W2902" s="237"/>
      <c r="X2902" s="237"/>
      <c r="Y2902" s="237"/>
      <c r="Z2902" s="237"/>
      <c r="AA2902" s="237"/>
      <c r="AB2902" s="237"/>
    </row>
    <row r="2903">
      <c r="A2903" s="237"/>
      <c r="B2903" s="275"/>
      <c r="C2903" s="290"/>
      <c r="D2903" s="237"/>
      <c r="E2903" s="237"/>
      <c r="F2903" s="290"/>
      <c r="G2903" s="237"/>
      <c r="H2903" s="237"/>
      <c r="I2903" s="237"/>
      <c r="J2903" s="290"/>
      <c r="K2903" s="275"/>
      <c r="L2903" s="237"/>
      <c r="M2903" s="237"/>
      <c r="N2903" s="237"/>
      <c r="O2903" s="237"/>
      <c r="P2903" s="237"/>
      <c r="Q2903" s="237"/>
      <c r="R2903" s="237"/>
      <c r="S2903" s="237"/>
      <c r="T2903" s="237"/>
      <c r="U2903" s="237"/>
      <c r="V2903" s="237"/>
      <c r="W2903" s="237"/>
      <c r="X2903" s="237"/>
      <c r="Y2903" s="237"/>
      <c r="Z2903" s="237"/>
      <c r="AA2903" s="237"/>
      <c r="AB2903" s="237"/>
    </row>
    <row r="2904">
      <c r="A2904" s="237"/>
      <c r="B2904" s="275"/>
      <c r="C2904" s="290"/>
      <c r="D2904" s="237"/>
      <c r="E2904" s="237"/>
      <c r="F2904" s="290"/>
      <c r="G2904" s="237"/>
      <c r="H2904" s="237"/>
      <c r="I2904" s="237"/>
      <c r="J2904" s="290"/>
      <c r="K2904" s="275"/>
      <c r="L2904" s="237"/>
      <c r="M2904" s="237"/>
      <c r="N2904" s="237"/>
      <c r="O2904" s="237"/>
      <c r="P2904" s="237"/>
      <c r="Q2904" s="237"/>
      <c r="R2904" s="237"/>
      <c r="S2904" s="237"/>
      <c r="T2904" s="237"/>
      <c r="U2904" s="237"/>
      <c r="V2904" s="237"/>
      <c r="W2904" s="237"/>
      <c r="X2904" s="237"/>
      <c r="Y2904" s="237"/>
      <c r="Z2904" s="237"/>
      <c r="AA2904" s="237"/>
      <c r="AB2904" s="237"/>
    </row>
    <row r="2905">
      <c r="A2905" s="237"/>
      <c r="B2905" s="275"/>
      <c r="C2905" s="290"/>
      <c r="D2905" s="237"/>
      <c r="E2905" s="237"/>
      <c r="F2905" s="290"/>
      <c r="G2905" s="237"/>
      <c r="H2905" s="237"/>
      <c r="I2905" s="237"/>
      <c r="J2905" s="290"/>
      <c r="K2905" s="275"/>
      <c r="L2905" s="237"/>
      <c r="M2905" s="237"/>
      <c r="N2905" s="237"/>
      <c r="O2905" s="237"/>
      <c r="P2905" s="237"/>
      <c r="Q2905" s="237"/>
      <c r="R2905" s="237"/>
      <c r="S2905" s="237"/>
      <c r="T2905" s="237"/>
      <c r="U2905" s="237"/>
      <c r="V2905" s="237"/>
      <c r="W2905" s="237"/>
      <c r="X2905" s="237"/>
      <c r="Y2905" s="237"/>
      <c r="Z2905" s="237"/>
      <c r="AA2905" s="237"/>
      <c r="AB2905" s="237"/>
    </row>
    <row r="2906">
      <c r="A2906" s="237"/>
      <c r="B2906" s="275"/>
      <c r="C2906" s="290"/>
      <c r="D2906" s="237"/>
      <c r="E2906" s="237"/>
      <c r="F2906" s="290"/>
      <c r="G2906" s="237"/>
      <c r="H2906" s="237"/>
      <c r="I2906" s="237"/>
      <c r="J2906" s="290"/>
      <c r="K2906" s="275"/>
      <c r="L2906" s="237"/>
      <c r="M2906" s="237"/>
      <c r="N2906" s="237"/>
      <c r="O2906" s="237"/>
      <c r="P2906" s="237"/>
      <c r="Q2906" s="237"/>
      <c r="R2906" s="237"/>
      <c r="S2906" s="237"/>
      <c r="T2906" s="237"/>
      <c r="U2906" s="237"/>
      <c r="V2906" s="237"/>
      <c r="W2906" s="237"/>
      <c r="X2906" s="237"/>
      <c r="Y2906" s="237"/>
      <c r="Z2906" s="237"/>
      <c r="AA2906" s="237"/>
      <c r="AB2906" s="237"/>
    </row>
    <row r="2907">
      <c r="A2907" s="237"/>
      <c r="B2907" s="275"/>
      <c r="C2907" s="290"/>
      <c r="D2907" s="237"/>
      <c r="E2907" s="237"/>
      <c r="F2907" s="290"/>
      <c r="G2907" s="237"/>
      <c r="H2907" s="237"/>
      <c r="I2907" s="237"/>
      <c r="J2907" s="290"/>
      <c r="K2907" s="275"/>
      <c r="L2907" s="237"/>
      <c r="M2907" s="237"/>
      <c r="N2907" s="237"/>
      <c r="O2907" s="237"/>
      <c r="P2907" s="237"/>
      <c r="Q2907" s="237"/>
      <c r="R2907" s="237"/>
      <c r="S2907" s="237"/>
      <c r="T2907" s="237"/>
      <c r="U2907" s="237"/>
      <c r="V2907" s="237"/>
      <c r="W2907" s="237"/>
      <c r="X2907" s="237"/>
      <c r="Y2907" s="237"/>
      <c r="Z2907" s="237"/>
      <c r="AA2907" s="237"/>
      <c r="AB2907" s="237"/>
    </row>
    <row r="2908">
      <c r="A2908" s="237"/>
      <c r="B2908" s="275"/>
      <c r="C2908" s="290"/>
      <c r="D2908" s="237"/>
      <c r="E2908" s="237"/>
      <c r="F2908" s="290"/>
      <c r="G2908" s="237"/>
      <c r="H2908" s="237"/>
      <c r="I2908" s="237"/>
      <c r="J2908" s="290"/>
      <c r="K2908" s="275"/>
      <c r="L2908" s="237"/>
      <c r="M2908" s="237"/>
      <c r="N2908" s="237"/>
      <c r="O2908" s="237"/>
      <c r="P2908" s="237"/>
      <c r="Q2908" s="237"/>
      <c r="R2908" s="237"/>
      <c r="S2908" s="237"/>
      <c r="T2908" s="237"/>
      <c r="U2908" s="237"/>
      <c r="V2908" s="237"/>
      <c r="W2908" s="237"/>
      <c r="X2908" s="237"/>
      <c r="Y2908" s="237"/>
      <c r="Z2908" s="237"/>
      <c r="AA2908" s="237"/>
      <c r="AB2908" s="237"/>
    </row>
    <row r="2909">
      <c r="A2909" s="237"/>
      <c r="B2909" s="275"/>
      <c r="C2909" s="290"/>
      <c r="D2909" s="237"/>
      <c r="E2909" s="237"/>
      <c r="F2909" s="290"/>
      <c r="G2909" s="237"/>
      <c r="H2909" s="237"/>
      <c r="I2909" s="237"/>
      <c r="J2909" s="290"/>
      <c r="K2909" s="275"/>
      <c r="L2909" s="237"/>
      <c r="M2909" s="237"/>
      <c r="N2909" s="237"/>
      <c r="O2909" s="237"/>
      <c r="P2909" s="237"/>
      <c r="Q2909" s="237"/>
      <c r="R2909" s="237"/>
      <c r="S2909" s="237"/>
      <c r="T2909" s="237"/>
      <c r="U2909" s="237"/>
      <c r="V2909" s="237"/>
      <c r="W2909" s="237"/>
      <c r="X2909" s="237"/>
      <c r="Y2909" s="237"/>
      <c r="Z2909" s="237"/>
      <c r="AA2909" s="237"/>
      <c r="AB2909" s="237"/>
    </row>
    <row r="2910">
      <c r="A2910" s="237"/>
      <c r="B2910" s="275"/>
      <c r="C2910" s="290"/>
      <c r="D2910" s="237"/>
      <c r="E2910" s="237"/>
      <c r="F2910" s="290"/>
      <c r="G2910" s="237"/>
      <c r="H2910" s="237"/>
      <c r="I2910" s="237"/>
      <c r="J2910" s="290"/>
      <c r="K2910" s="275"/>
      <c r="L2910" s="237"/>
      <c r="M2910" s="237"/>
      <c r="N2910" s="237"/>
      <c r="O2910" s="237"/>
      <c r="P2910" s="237"/>
      <c r="Q2910" s="237"/>
      <c r="R2910" s="237"/>
      <c r="S2910" s="237"/>
      <c r="T2910" s="237"/>
      <c r="U2910" s="237"/>
      <c r="V2910" s="237"/>
      <c r="W2910" s="237"/>
      <c r="X2910" s="237"/>
      <c r="Y2910" s="237"/>
      <c r="Z2910" s="237"/>
      <c r="AA2910" s="237"/>
      <c r="AB2910" s="237"/>
    </row>
    <row r="2911">
      <c r="A2911" s="237"/>
      <c r="B2911" s="275"/>
      <c r="C2911" s="290"/>
      <c r="D2911" s="237"/>
      <c r="E2911" s="237"/>
      <c r="F2911" s="290"/>
      <c r="G2911" s="237"/>
      <c r="H2911" s="237"/>
      <c r="I2911" s="237"/>
      <c r="J2911" s="290"/>
      <c r="K2911" s="275"/>
      <c r="L2911" s="237"/>
      <c r="M2911" s="237"/>
      <c r="N2911" s="237"/>
      <c r="O2911" s="237"/>
      <c r="P2911" s="237"/>
      <c r="Q2911" s="237"/>
      <c r="R2911" s="237"/>
      <c r="S2911" s="237"/>
      <c r="T2911" s="237"/>
      <c r="U2911" s="237"/>
      <c r="V2911" s="237"/>
      <c r="W2911" s="237"/>
      <c r="X2911" s="237"/>
      <c r="Y2911" s="237"/>
      <c r="Z2911" s="237"/>
      <c r="AA2911" s="237"/>
      <c r="AB2911" s="237"/>
    </row>
    <row r="2912">
      <c r="A2912" s="237"/>
      <c r="B2912" s="275"/>
      <c r="C2912" s="290"/>
      <c r="D2912" s="237"/>
      <c r="E2912" s="237"/>
      <c r="F2912" s="290"/>
      <c r="G2912" s="237"/>
      <c r="H2912" s="237"/>
      <c r="I2912" s="237"/>
      <c r="J2912" s="290"/>
      <c r="K2912" s="275"/>
      <c r="L2912" s="237"/>
      <c r="M2912" s="237"/>
      <c r="N2912" s="237"/>
      <c r="O2912" s="237"/>
      <c r="P2912" s="237"/>
      <c r="Q2912" s="237"/>
      <c r="R2912" s="237"/>
      <c r="S2912" s="237"/>
      <c r="T2912" s="237"/>
      <c r="U2912" s="237"/>
      <c r="V2912" s="237"/>
      <c r="W2912" s="237"/>
      <c r="X2912" s="237"/>
      <c r="Y2912" s="237"/>
      <c r="Z2912" s="237"/>
      <c r="AA2912" s="237"/>
      <c r="AB2912" s="237"/>
    </row>
    <row r="2913">
      <c r="A2913" s="237"/>
      <c r="B2913" s="275"/>
      <c r="C2913" s="290"/>
      <c r="D2913" s="237"/>
      <c r="E2913" s="237"/>
      <c r="F2913" s="290"/>
      <c r="G2913" s="237"/>
      <c r="H2913" s="237"/>
      <c r="I2913" s="237"/>
      <c r="J2913" s="290"/>
      <c r="K2913" s="275"/>
      <c r="L2913" s="237"/>
      <c r="M2913" s="237"/>
      <c r="N2913" s="237"/>
      <c r="O2913" s="237"/>
      <c r="P2913" s="237"/>
      <c r="Q2913" s="237"/>
      <c r="R2913" s="237"/>
      <c r="S2913" s="237"/>
      <c r="T2913" s="237"/>
      <c r="U2913" s="237"/>
      <c r="V2913" s="237"/>
      <c r="W2913" s="237"/>
      <c r="X2913" s="237"/>
      <c r="Y2913" s="237"/>
      <c r="Z2913" s="237"/>
      <c r="AA2913" s="237"/>
      <c r="AB2913" s="237"/>
    </row>
    <row r="2914">
      <c r="A2914" s="237"/>
      <c r="B2914" s="275"/>
      <c r="C2914" s="290"/>
      <c r="D2914" s="237"/>
      <c r="E2914" s="237"/>
      <c r="F2914" s="290"/>
      <c r="G2914" s="237"/>
      <c r="H2914" s="237"/>
      <c r="I2914" s="237"/>
      <c r="J2914" s="290"/>
      <c r="K2914" s="275"/>
      <c r="L2914" s="237"/>
      <c r="M2914" s="237"/>
      <c r="N2914" s="237"/>
      <c r="O2914" s="237"/>
      <c r="P2914" s="237"/>
      <c r="Q2914" s="237"/>
      <c r="R2914" s="237"/>
      <c r="S2914" s="237"/>
      <c r="T2914" s="237"/>
      <c r="U2914" s="237"/>
      <c r="V2914" s="237"/>
      <c r="W2914" s="237"/>
      <c r="X2914" s="237"/>
      <c r="Y2914" s="237"/>
      <c r="Z2914" s="237"/>
      <c r="AA2914" s="237"/>
      <c r="AB2914" s="237"/>
    </row>
    <row r="2915">
      <c r="A2915" s="237"/>
      <c r="B2915" s="275"/>
      <c r="C2915" s="290"/>
      <c r="D2915" s="237"/>
      <c r="E2915" s="237"/>
      <c r="F2915" s="290"/>
      <c r="G2915" s="237"/>
      <c r="H2915" s="237"/>
      <c r="I2915" s="237"/>
      <c r="J2915" s="290"/>
      <c r="K2915" s="275"/>
      <c r="L2915" s="237"/>
      <c r="M2915" s="237"/>
      <c r="N2915" s="237"/>
      <c r="O2915" s="237"/>
      <c r="P2915" s="237"/>
      <c r="Q2915" s="237"/>
      <c r="R2915" s="237"/>
      <c r="S2915" s="237"/>
      <c r="T2915" s="237"/>
      <c r="U2915" s="237"/>
      <c r="V2915" s="237"/>
      <c r="W2915" s="237"/>
      <c r="X2915" s="237"/>
      <c r="Y2915" s="237"/>
      <c r="Z2915" s="237"/>
      <c r="AA2915" s="237"/>
      <c r="AB2915" s="237"/>
    </row>
    <row r="2916">
      <c r="A2916" s="237"/>
      <c r="B2916" s="275"/>
      <c r="C2916" s="290"/>
      <c r="D2916" s="237"/>
      <c r="E2916" s="237"/>
      <c r="F2916" s="290"/>
      <c r="G2916" s="237"/>
      <c r="H2916" s="237"/>
      <c r="I2916" s="237"/>
      <c r="J2916" s="290"/>
      <c r="K2916" s="275"/>
      <c r="L2916" s="237"/>
      <c r="M2916" s="237"/>
      <c r="N2916" s="237"/>
      <c r="O2916" s="237"/>
      <c r="P2916" s="237"/>
      <c r="Q2916" s="237"/>
      <c r="R2916" s="237"/>
      <c r="S2916" s="237"/>
      <c r="T2916" s="237"/>
      <c r="U2916" s="237"/>
      <c r="V2916" s="237"/>
      <c r="W2916" s="237"/>
      <c r="X2916" s="237"/>
      <c r="Y2916" s="237"/>
      <c r="Z2916" s="237"/>
      <c r="AA2916" s="237"/>
      <c r="AB2916" s="237"/>
    </row>
    <row r="2917">
      <c r="A2917" s="237"/>
      <c r="B2917" s="275"/>
      <c r="C2917" s="290"/>
      <c r="D2917" s="237"/>
      <c r="E2917" s="237"/>
      <c r="F2917" s="290"/>
      <c r="G2917" s="237"/>
      <c r="H2917" s="237"/>
      <c r="I2917" s="237"/>
      <c r="J2917" s="290"/>
      <c r="K2917" s="275"/>
      <c r="L2917" s="237"/>
      <c r="M2917" s="237"/>
      <c r="N2917" s="237"/>
      <c r="O2917" s="237"/>
      <c r="P2917" s="237"/>
      <c r="Q2917" s="237"/>
      <c r="R2917" s="237"/>
      <c r="S2917" s="237"/>
      <c r="T2917" s="237"/>
      <c r="U2917" s="237"/>
      <c r="V2917" s="237"/>
      <c r="W2917" s="237"/>
      <c r="X2917" s="237"/>
      <c r="Y2917" s="237"/>
      <c r="Z2917" s="237"/>
      <c r="AA2917" s="237"/>
      <c r="AB2917" s="237"/>
    </row>
    <row r="2918">
      <c r="A2918" s="237"/>
      <c r="B2918" s="275"/>
      <c r="C2918" s="290"/>
      <c r="D2918" s="237"/>
      <c r="E2918" s="237"/>
      <c r="F2918" s="290"/>
      <c r="G2918" s="237"/>
      <c r="H2918" s="237"/>
      <c r="I2918" s="237"/>
      <c r="J2918" s="290"/>
      <c r="K2918" s="275"/>
      <c r="L2918" s="237"/>
      <c r="M2918" s="237"/>
      <c r="N2918" s="237"/>
      <c r="O2918" s="237"/>
      <c r="P2918" s="237"/>
      <c r="Q2918" s="237"/>
      <c r="R2918" s="237"/>
      <c r="S2918" s="237"/>
      <c r="T2918" s="237"/>
      <c r="U2918" s="237"/>
      <c r="V2918" s="237"/>
      <c r="W2918" s="237"/>
      <c r="X2918" s="237"/>
      <c r="Y2918" s="237"/>
      <c r="Z2918" s="237"/>
      <c r="AA2918" s="237"/>
      <c r="AB2918" s="237"/>
    </row>
    <row r="2919">
      <c r="A2919" s="237"/>
      <c r="B2919" s="275"/>
      <c r="C2919" s="290"/>
      <c r="D2919" s="237"/>
      <c r="E2919" s="237"/>
      <c r="F2919" s="290"/>
      <c r="G2919" s="237"/>
      <c r="H2919" s="237"/>
      <c r="I2919" s="237"/>
      <c r="J2919" s="290"/>
      <c r="K2919" s="275"/>
      <c r="L2919" s="237"/>
      <c r="M2919" s="237"/>
      <c r="N2919" s="237"/>
      <c r="O2919" s="237"/>
      <c r="P2919" s="237"/>
      <c r="Q2919" s="237"/>
      <c r="R2919" s="237"/>
      <c r="S2919" s="237"/>
      <c r="T2919" s="237"/>
      <c r="U2919" s="237"/>
      <c r="V2919" s="237"/>
      <c r="W2919" s="237"/>
      <c r="X2919" s="237"/>
      <c r="Y2919" s="237"/>
      <c r="Z2919" s="237"/>
      <c r="AA2919" s="237"/>
      <c r="AB2919" s="237"/>
    </row>
    <row r="2920">
      <c r="A2920" s="237"/>
      <c r="B2920" s="275"/>
      <c r="C2920" s="290"/>
      <c r="D2920" s="237"/>
      <c r="E2920" s="237"/>
      <c r="F2920" s="290"/>
      <c r="G2920" s="237"/>
      <c r="H2920" s="237"/>
      <c r="I2920" s="237"/>
      <c r="J2920" s="290"/>
      <c r="K2920" s="275"/>
      <c r="L2920" s="237"/>
      <c r="M2920" s="237"/>
      <c r="N2920" s="237"/>
      <c r="O2920" s="237"/>
      <c r="P2920" s="237"/>
      <c r="Q2920" s="237"/>
      <c r="R2920" s="237"/>
      <c r="S2920" s="237"/>
      <c r="T2920" s="237"/>
      <c r="U2920" s="237"/>
      <c r="V2920" s="237"/>
      <c r="W2920" s="237"/>
      <c r="X2920" s="237"/>
      <c r="Y2920" s="237"/>
      <c r="Z2920" s="237"/>
      <c r="AA2920" s="237"/>
      <c r="AB2920" s="237"/>
    </row>
    <row r="2921">
      <c r="A2921" s="237"/>
      <c r="B2921" s="275"/>
      <c r="C2921" s="290"/>
      <c r="D2921" s="237"/>
      <c r="E2921" s="237"/>
      <c r="F2921" s="290"/>
      <c r="G2921" s="237"/>
      <c r="H2921" s="237"/>
      <c r="I2921" s="237"/>
      <c r="J2921" s="290"/>
      <c r="K2921" s="275"/>
      <c r="L2921" s="237"/>
      <c r="M2921" s="237"/>
      <c r="N2921" s="237"/>
      <c r="O2921" s="237"/>
      <c r="P2921" s="237"/>
      <c r="Q2921" s="237"/>
      <c r="R2921" s="237"/>
      <c r="S2921" s="237"/>
      <c r="T2921" s="237"/>
      <c r="U2921" s="237"/>
      <c r="V2921" s="237"/>
      <c r="W2921" s="237"/>
      <c r="X2921" s="237"/>
      <c r="Y2921" s="237"/>
      <c r="Z2921" s="237"/>
      <c r="AA2921" s="237"/>
      <c r="AB2921" s="237"/>
    </row>
    <row r="2922">
      <c r="A2922" s="237"/>
      <c r="B2922" s="275"/>
      <c r="C2922" s="290"/>
      <c r="D2922" s="237"/>
      <c r="E2922" s="237"/>
      <c r="F2922" s="290"/>
      <c r="G2922" s="237"/>
      <c r="H2922" s="237"/>
      <c r="I2922" s="237"/>
      <c r="J2922" s="290"/>
      <c r="K2922" s="275"/>
      <c r="L2922" s="237"/>
      <c r="M2922" s="237"/>
      <c r="N2922" s="237"/>
      <c r="O2922" s="237"/>
      <c r="P2922" s="237"/>
      <c r="Q2922" s="237"/>
      <c r="R2922" s="237"/>
      <c r="S2922" s="237"/>
      <c r="T2922" s="237"/>
      <c r="U2922" s="237"/>
      <c r="V2922" s="237"/>
      <c r="W2922" s="237"/>
      <c r="X2922" s="237"/>
      <c r="Y2922" s="237"/>
      <c r="Z2922" s="237"/>
      <c r="AA2922" s="237"/>
      <c r="AB2922" s="237"/>
    </row>
    <row r="2923">
      <c r="A2923" s="237"/>
      <c r="B2923" s="275"/>
      <c r="C2923" s="290"/>
      <c r="D2923" s="237"/>
      <c r="E2923" s="237"/>
      <c r="F2923" s="290"/>
      <c r="G2923" s="237"/>
      <c r="H2923" s="237"/>
      <c r="I2923" s="237"/>
      <c r="J2923" s="290"/>
      <c r="K2923" s="275"/>
      <c r="L2923" s="237"/>
      <c r="M2923" s="237"/>
      <c r="N2923" s="237"/>
      <c r="O2923" s="237"/>
      <c r="P2923" s="237"/>
      <c r="Q2923" s="237"/>
      <c r="R2923" s="237"/>
      <c r="S2923" s="237"/>
      <c r="T2923" s="237"/>
      <c r="U2923" s="237"/>
      <c r="V2923" s="237"/>
      <c r="W2923" s="237"/>
      <c r="X2923" s="237"/>
      <c r="Y2923" s="237"/>
      <c r="Z2923" s="237"/>
      <c r="AA2923" s="237"/>
      <c r="AB2923" s="237"/>
    </row>
    <row r="2924">
      <c r="A2924" s="237"/>
      <c r="B2924" s="275"/>
      <c r="C2924" s="290"/>
      <c r="D2924" s="237"/>
      <c r="E2924" s="237"/>
      <c r="F2924" s="290"/>
      <c r="G2924" s="237"/>
      <c r="H2924" s="237"/>
      <c r="I2924" s="237"/>
      <c r="J2924" s="290"/>
      <c r="K2924" s="275"/>
      <c r="L2924" s="237"/>
      <c r="M2924" s="237"/>
      <c r="N2924" s="237"/>
      <c r="O2924" s="237"/>
      <c r="P2924" s="237"/>
      <c r="Q2924" s="237"/>
      <c r="R2924" s="237"/>
      <c r="S2924" s="237"/>
      <c r="T2924" s="237"/>
      <c r="U2924" s="237"/>
      <c r="V2924" s="237"/>
      <c r="W2924" s="237"/>
      <c r="X2924" s="237"/>
      <c r="Y2924" s="237"/>
      <c r="Z2924" s="237"/>
      <c r="AA2924" s="237"/>
      <c r="AB2924" s="237"/>
    </row>
  </sheetData>
  <mergeCells count="36">
    <mergeCell ref="C2286:C2287"/>
    <mergeCell ref="C2288:C2289"/>
    <mergeCell ref="C2314:C2315"/>
    <mergeCell ref="E2314:E2315"/>
    <mergeCell ref="C2316:C2318"/>
    <mergeCell ref="F2316:F2318"/>
    <mergeCell ref="F2319:F2320"/>
    <mergeCell ref="E2316:E2318"/>
    <mergeCell ref="E2319:E2320"/>
    <mergeCell ref="E2321:E2322"/>
    <mergeCell ref="F2321:F2322"/>
    <mergeCell ref="E2323:E2324"/>
    <mergeCell ref="F2323:F2324"/>
    <mergeCell ref="F2325:F2326"/>
    <mergeCell ref="E2454:E2455"/>
    <mergeCell ref="E2456:E2457"/>
    <mergeCell ref="F2456:F2457"/>
    <mergeCell ref="G2456:G2457"/>
    <mergeCell ref="F2458:F2459"/>
    <mergeCell ref="G2458:G2459"/>
    <mergeCell ref="E2325:E2326"/>
    <mergeCell ref="E2366:E2367"/>
    <mergeCell ref="F2366:F2367"/>
    <mergeCell ref="F2451:F2453"/>
    <mergeCell ref="G2451:G2453"/>
    <mergeCell ref="F2454:F2455"/>
    <mergeCell ref="G2454:G2455"/>
    <mergeCell ref="C2456:C2457"/>
    <mergeCell ref="C2458:C2459"/>
    <mergeCell ref="C2319:C2320"/>
    <mergeCell ref="C2321:C2322"/>
    <mergeCell ref="C2323:C2324"/>
    <mergeCell ref="C2325:C2326"/>
    <mergeCell ref="C2366:C2367"/>
    <mergeCell ref="C2451:C2453"/>
    <mergeCell ref="C2454:C2455"/>
  </mergeCells>
  <dataValidations>
    <dataValidation type="list" allowBlank="1" showErrorMessage="1" sqref="E1:E2314 E2316 E2319 E2321 E2323 E2325 E2327:E2366 E2368:E2454 E2456 E2458:E2924">
      <formula1>"تحت الاجراء ,جديد,عاد لمقدم الطلب ,مرجع للتعديل,مرفوض ,مكتمل "</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63.13"/>
    <col customWidth="1" min="5" max="5" width="18.75"/>
    <col customWidth="1" min="6" max="6" width="24.13"/>
  </cols>
  <sheetData>
    <row r="1">
      <c r="A1" s="304" t="s">
        <v>170</v>
      </c>
      <c r="B1" s="304" t="s">
        <v>3490</v>
      </c>
      <c r="C1" s="304" t="s">
        <v>1294</v>
      </c>
      <c r="D1" s="304" t="s">
        <v>2585</v>
      </c>
      <c r="E1" s="304" t="s">
        <v>3492</v>
      </c>
      <c r="F1" s="304" t="s">
        <v>3493</v>
      </c>
      <c r="G1" s="304" t="s">
        <v>1298</v>
      </c>
      <c r="H1" s="304" t="s">
        <v>1294</v>
      </c>
      <c r="I1" s="237"/>
      <c r="J1" s="237"/>
      <c r="K1" s="304" t="s">
        <v>3491</v>
      </c>
      <c r="L1" s="237"/>
      <c r="M1" s="237"/>
      <c r="N1" s="237"/>
      <c r="O1" s="237"/>
      <c r="P1" s="237"/>
      <c r="Q1" s="237"/>
      <c r="R1" s="237"/>
      <c r="S1" s="237"/>
      <c r="T1" s="237"/>
      <c r="U1" s="237"/>
      <c r="V1" s="237"/>
      <c r="W1" s="237"/>
      <c r="X1" s="237"/>
      <c r="Y1" s="237"/>
      <c r="Z1" s="237"/>
    </row>
    <row r="2">
      <c r="A2" s="305">
        <v>1.0</v>
      </c>
      <c r="B2" s="306" t="s">
        <v>1964</v>
      </c>
      <c r="C2" s="307" t="s">
        <v>1420</v>
      </c>
      <c r="D2" s="308" t="s">
        <v>1965</v>
      </c>
      <c r="E2" s="236"/>
      <c r="F2" s="309" t="s">
        <v>13889</v>
      </c>
      <c r="G2" s="236"/>
      <c r="H2" s="307" t="s">
        <v>1420</v>
      </c>
      <c r="I2" s="237"/>
      <c r="J2" s="237"/>
      <c r="K2" s="310" t="s">
        <v>13886</v>
      </c>
      <c r="L2" s="237"/>
      <c r="M2" s="237"/>
      <c r="N2" s="237"/>
      <c r="O2" s="237"/>
      <c r="P2" s="237"/>
      <c r="Q2" s="237"/>
      <c r="R2" s="237"/>
      <c r="S2" s="237"/>
      <c r="T2" s="237"/>
      <c r="U2" s="237"/>
      <c r="V2" s="237"/>
      <c r="W2" s="237"/>
      <c r="X2" s="237"/>
      <c r="Y2" s="237"/>
      <c r="Z2" s="237"/>
    </row>
    <row r="3">
      <c r="A3" s="305">
        <v>2.0</v>
      </c>
      <c r="B3" s="306" t="s">
        <v>13890</v>
      </c>
      <c r="C3" s="307" t="s">
        <v>1366</v>
      </c>
      <c r="D3" s="308" t="s">
        <v>1986</v>
      </c>
      <c r="E3" s="236"/>
      <c r="F3" s="236"/>
      <c r="G3" s="236"/>
      <c r="H3" s="307" t="s">
        <v>1366</v>
      </c>
      <c r="I3" s="237"/>
      <c r="J3" s="237"/>
      <c r="K3" s="310" t="s">
        <v>13891</v>
      </c>
      <c r="L3" s="237"/>
      <c r="M3" s="237"/>
      <c r="N3" s="237"/>
      <c r="O3" s="237"/>
      <c r="P3" s="237"/>
      <c r="Q3" s="237"/>
      <c r="R3" s="237"/>
      <c r="S3" s="237"/>
      <c r="T3" s="237"/>
      <c r="U3" s="237"/>
      <c r="V3" s="237"/>
      <c r="W3" s="237"/>
      <c r="X3" s="237"/>
      <c r="Y3" s="237"/>
      <c r="Z3" s="237"/>
    </row>
    <row r="4">
      <c r="A4" s="305">
        <v>3.0</v>
      </c>
      <c r="B4" s="306" t="s">
        <v>13892</v>
      </c>
      <c r="C4" s="307" t="s">
        <v>1366</v>
      </c>
      <c r="D4" s="308" t="s">
        <v>1985</v>
      </c>
      <c r="E4" s="236"/>
      <c r="F4" s="236"/>
      <c r="G4" s="236"/>
      <c r="H4" s="307" t="s">
        <v>1366</v>
      </c>
      <c r="I4" s="237"/>
      <c r="J4" s="237"/>
      <c r="K4" s="310" t="s">
        <v>13893</v>
      </c>
      <c r="L4" s="237"/>
      <c r="M4" s="237"/>
      <c r="N4" s="237"/>
      <c r="O4" s="237"/>
      <c r="P4" s="237"/>
      <c r="Q4" s="237"/>
      <c r="R4" s="237"/>
      <c r="S4" s="237"/>
      <c r="T4" s="237"/>
      <c r="U4" s="237"/>
      <c r="V4" s="237"/>
      <c r="W4" s="237"/>
      <c r="X4" s="237"/>
      <c r="Y4" s="237"/>
      <c r="Z4" s="237"/>
    </row>
    <row r="5">
      <c r="A5" s="305">
        <v>4.0</v>
      </c>
      <c r="B5" s="306" t="s">
        <v>1968</v>
      </c>
      <c r="C5" s="307" t="s">
        <v>1420</v>
      </c>
      <c r="D5" s="308" t="s">
        <v>1969</v>
      </c>
      <c r="E5" s="236"/>
      <c r="F5" s="309" t="s">
        <v>13894</v>
      </c>
      <c r="G5" s="236"/>
      <c r="H5" s="307" t="s">
        <v>1420</v>
      </c>
      <c r="I5" s="237"/>
      <c r="J5" s="237"/>
      <c r="K5" s="310" t="s">
        <v>13888</v>
      </c>
      <c r="L5" s="237"/>
      <c r="M5" s="237"/>
      <c r="N5" s="237"/>
      <c r="O5" s="237"/>
      <c r="P5" s="237"/>
      <c r="Q5" s="237"/>
      <c r="R5" s="237"/>
      <c r="S5" s="237"/>
      <c r="T5" s="237"/>
      <c r="U5" s="237"/>
      <c r="V5" s="237"/>
      <c r="W5" s="237"/>
      <c r="X5" s="237"/>
      <c r="Y5" s="237"/>
      <c r="Z5" s="237"/>
    </row>
    <row r="6">
      <c r="A6" s="305">
        <v>5.0</v>
      </c>
      <c r="B6" s="306" t="s">
        <v>13895</v>
      </c>
      <c r="C6" s="307" t="s">
        <v>1366</v>
      </c>
      <c r="D6" s="308" t="s">
        <v>2020</v>
      </c>
      <c r="E6" s="236"/>
      <c r="F6" s="236"/>
      <c r="G6" s="236"/>
      <c r="H6" s="307" t="s">
        <v>1366</v>
      </c>
      <c r="I6" s="237"/>
      <c r="J6" s="237"/>
      <c r="K6" s="310" t="s">
        <v>13896</v>
      </c>
      <c r="L6" s="237"/>
      <c r="M6" s="237"/>
      <c r="N6" s="237"/>
      <c r="O6" s="237"/>
      <c r="P6" s="237"/>
      <c r="Q6" s="237"/>
      <c r="R6" s="237"/>
      <c r="S6" s="237"/>
      <c r="T6" s="237"/>
      <c r="U6" s="237"/>
      <c r="V6" s="237"/>
      <c r="W6" s="237"/>
      <c r="X6" s="237"/>
      <c r="Y6" s="237"/>
      <c r="Z6" s="237"/>
    </row>
    <row r="7">
      <c r="A7" s="305">
        <v>6.0</v>
      </c>
      <c r="B7" s="306" t="s">
        <v>2044</v>
      </c>
      <c r="C7" s="307" t="s">
        <v>1366</v>
      </c>
      <c r="D7" s="308" t="s">
        <v>2045</v>
      </c>
      <c r="E7" s="236"/>
      <c r="F7" s="236"/>
      <c r="G7" s="236"/>
      <c r="H7" s="307" t="s">
        <v>1366</v>
      </c>
      <c r="I7" s="237"/>
      <c r="J7" s="237"/>
      <c r="K7" s="310" t="s">
        <v>13897</v>
      </c>
      <c r="L7" s="237"/>
      <c r="M7" s="237"/>
      <c r="N7" s="237"/>
      <c r="O7" s="237"/>
      <c r="P7" s="237"/>
      <c r="Q7" s="237"/>
      <c r="R7" s="237"/>
      <c r="S7" s="237"/>
      <c r="T7" s="237"/>
      <c r="U7" s="237"/>
      <c r="V7" s="237"/>
      <c r="W7" s="237"/>
      <c r="X7" s="237"/>
      <c r="Y7" s="237"/>
      <c r="Z7" s="237"/>
    </row>
    <row r="8">
      <c r="A8" s="305">
        <v>7.0</v>
      </c>
      <c r="B8" s="306" t="s">
        <v>2036</v>
      </c>
      <c r="C8" s="307" t="s">
        <v>1366</v>
      </c>
      <c r="D8" s="308" t="s">
        <v>2037</v>
      </c>
      <c r="E8" s="236"/>
      <c r="F8" s="236"/>
      <c r="G8" s="236"/>
      <c r="H8" s="307" t="s">
        <v>1366</v>
      </c>
      <c r="I8" s="237"/>
      <c r="J8" s="237"/>
      <c r="K8" s="310" t="s">
        <v>13898</v>
      </c>
      <c r="L8" s="237"/>
      <c r="M8" s="237"/>
      <c r="N8" s="237"/>
      <c r="O8" s="237"/>
      <c r="P8" s="237"/>
      <c r="Q8" s="237"/>
      <c r="R8" s="237"/>
      <c r="S8" s="237"/>
      <c r="T8" s="237"/>
      <c r="U8" s="237"/>
      <c r="V8" s="237"/>
      <c r="W8" s="237"/>
      <c r="X8" s="237"/>
      <c r="Y8" s="237"/>
      <c r="Z8" s="237"/>
    </row>
    <row r="9">
      <c r="A9" s="305">
        <v>8.0</v>
      </c>
      <c r="B9" s="306" t="s">
        <v>13899</v>
      </c>
      <c r="C9" s="307" t="s">
        <v>1366</v>
      </c>
      <c r="D9" s="308" t="s">
        <v>13900</v>
      </c>
      <c r="E9" s="236"/>
      <c r="F9" s="236"/>
      <c r="G9" s="236"/>
      <c r="H9" s="307" t="s">
        <v>1366</v>
      </c>
      <c r="I9" s="237"/>
      <c r="J9" s="237"/>
      <c r="K9" s="310" t="s">
        <v>13901</v>
      </c>
      <c r="L9" s="237"/>
      <c r="M9" s="237"/>
      <c r="N9" s="237"/>
      <c r="O9" s="237"/>
      <c r="P9" s="237"/>
      <c r="Q9" s="237"/>
      <c r="R9" s="237"/>
      <c r="S9" s="237"/>
      <c r="T9" s="237"/>
      <c r="U9" s="237"/>
      <c r="V9" s="237"/>
      <c r="W9" s="237"/>
      <c r="X9" s="237"/>
      <c r="Y9" s="237"/>
      <c r="Z9" s="237"/>
    </row>
    <row r="10">
      <c r="A10" s="305">
        <v>9.0</v>
      </c>
      <c r="B10" s="306" t="s">
        <v>2038</v>
      </c>
      <c r="C10" s="307" t="s">
        <v>1366</v>
      </c>
      <c r="D10" s="308" t="s">
        <v>2039</v>
      </c>
      <c r="E10" s="236"/>
      <c r="F10" s="236"/>
      <c r="G10" s="236"/>
      <c r="H10" s="307" t="s">
        <v>1366</v>
      </c>
      <c r="I10" s="237"/>
      <c r="J10" s="237"/>
      <c r="K10" s="310" t="s">
        <v>13902</v>
      </c>
      <c r="L10" s="237"/>
      <c r="M10" s="237"/>
      <c r="N10" s="237"/>
      <c r="O10" s="237"/>
      <c r="P10" s="237"/>
      <c r="Q10" s="237"/>
      <c r="R10" s="237"/>
      <c r="S10" s="237"/>
      <c r="T10" s="237"/>
      <c r="U10" s="237"/>
      <c r="V10" s="237"/>
      <c r="W10" s="237"/>
      <c r="X10" s="237"/>
      <c r="Y10" s="237"/>
      <c r="Z10" s="237"/>
    </row>
    <row r="11">
      <c r="A11" s="305">
        <v>10.0</v>
      </c>
      <c r="B11" s="306" t="s">
        <v>2046</v>
      </c>
      <c r="C11" s="307" t="s">
        <v>1366</v>
      </c>
      <c r="D11" s="308" t="s">
        <v>2047</v>
      </c>
      <c r="E11" s="236"/>
      <c r="F11" s="236"/>
      <c r="G11" s="236"/>
      <c r="H11" s="307" t="s">
        <v>1366</v>
      </c>
      <c r="I11" s="237"/>
      <c r="J11" s="237"/>
      <c r="K11" s="310" t="s">
        <v>13903</v>
      </c>
      <c r="L11" s="237"/>
      <c r="M11" s="237"/>
      <c r="N11" s="237"/>
      <c r="O11" s="237"/>
      <c r="P11" s="237"/>
      <c r="Q11" s="237"/>
      <c r="R11" s="237"/>
      <c r="S11" s="237"/>
      <c r="T11" s="237"/>
      <c r="U11" s="237"/>
      <c r="V11" s="237"/>
      <c r="W11" s="237"/>
      <c r="X11" s="237"/>
      <c r="Y11" s="237"/>
      <c r="Z11" s="237"/>
    </row>
    <row r="12">
      <c r="A12" s="305">
        <v>11.0</v>
      </c>
      <c r="B12" s="306" t="s">
        <v>2054</v>
      </c>
      <c r="C12" s="307" t="s">
        <v>1366</v>
      </c>
      <c r="D12" s="308" t="s">
        <v>2055</v>
      </c>
      <c r="E12" s="236"/>
      <c r="F12" s="236"/>
      <c r="G12" s="236"/>
      <c r="H12" s="307" t="s">
        <v>1366</v>
      </c>
      <c r="I12" s="237"/>
      <c r="J12" s="237"/>
      <c r="K12" s="310" t="s">
        <v>13904</v>
      </c>
      <c r="L12" s="237"/>
      <c r="M12" s="237"/>
      <c r="N12" s="237"/>
      <c r="O12" s="237"/>
      <c r="P12" s="237"/>
      <c r="Q12" s="237"/>
      <c r="R12" s="237"/>
      <c r="S12" s="237"/>
      <c r="T12" s="237"/>
      <c r="U12" s="237"/>
      <c r="V12" s="237"/>
      <c r="W12" s="237"/>
      <c r="X12" s="237"/>
      <c r="Y12" s="237"/>
      <c r="Z12" s="237"/>
    </row>
    <row r="13">
      <c r="A13" s="305">
        <v>12.0</v>
      </c>
      <c r="B13" s="306" t="s">
        <v>2062</v>
      </c>
      <c r="C13" s="307" t="s">
        <v>1366</v>
      </c>
      <c r="D13" s="308" t="s">
        <v>2063</v>
      </c>
      <c r="E13" s="236"/>
      <c r="F13" s="236"/>
      <c r="G13" s="236"/>
      <c r="H13" s="307" t="s">
        <v>1366</v>
      </c>
      <c r="I13" s="237"/>
      <c r="J13" s="237"/>
      <c r="K13" s="310" t="s">
        <v>13905</v>
      </c>
      <c r="L13" s="237"/>
      <c r="M13" s="237"/>
      <c r="N13" s="237"/>
      <c r="O13" s="237"/>
      <c r="P13" s="237"/>
      <c r="Q13" s="237"/>
      <c r="R13" s="237"/>
      <c r="S13" s="237"/>
      <c r="T13" s="237"/>
      <c r="U13" s="237"/>
      <c r="V13" s="237"/>
      <c r="W13" s="237"/>
      <c r="X13" s="237"/>
      <c r="Y13" s="237"/>
      <c r="Z13" s="237"/>
    </row>
    <row r="14">
      <c r="A14" s="305">
        <v>13.0</v>
      </c>
      <c r="B14" s="306" t="s">
        <v>2056</v>
      </c>
      <c r="C14" s="307" t="s">
        <v>1366</v>
      </c>
      <c r="D14" s="308" t="s">
        <v>2057</v>
      </c>
      <c r="E14" s="236"/>
      <c r="F14" s="236"/>
      <c r="G14" s="236"/>
      <c r="H14" s="307" t="s">
        <v>1366</v>
      </c>
      <c r="I14" s="237"/>
      <c r="J14" s="237"/>
      <c r="K14" s="310" t="s">
        <v>13906</v>
      </c>
      <c r="L14" s="237"/>
      <c r="M14" s="237"/>
      <c r="N14" s="237"/>
      <c r="O14" s="237"/>
      <c r="P14" s="237"/>
      <c r="Q14" s="237"/>
      <c r="R14" s="237"/>
      <c r="S14" s="237"/>
      <c r="T14" s="237"/>
      <c r="U14" s="237"/>
      <c r="V14" s="237"/>
      <c r="W14" s="237"/>
      <c r="X14" s="237"/>
      <c r="Y14" s="237"/>
      <c r="Z14" s="237"/>
    </row>
    <row r="15">
      <c r="A15" s="305">
        <v>14.0</v>
      </c>
      <c r="B15" s="306" t="s">
        <v>2060</v>
      </c>
      <c r="C15" s="307" t="s">
        <v>1366</v>
      </c>
      <c r="D15" s="308" t="s">
        <v>2061</v>
      </c>
      <c r="E15" s="236"/>
      <c r="F15" s="236"/>
      <c r="G15" s="236"/>
      <c r="H15" s="307" t="s">
        <v>1366</v>
      </c>
      <c r="I15" s="237"/>
      <c r="J15" s="237"/>
      <c r="K15" s="310" t="s">
        <v>13907</v>
      </c>
      <c r="L15" s="237"/>
      <c r="M15" s="237"/>
      <c r="N15" s="237"/>
      <c r="O15" s="237"/>
      <c r="P15" s="237"/>
      <c r="Q15" s="237"/>
      <c r="R15" s="237"/>
      <c r="S15" s="237"/>
      <c r="T15" s="237"/>
      <c r="U15" s="237"/>
      <c r="V15" s="237"/>
      <c r="W15" s="237"/>
      <c r="X15" s="237"/>
      <c r="Y15" s="237"/>
      <c r="Z15" s="237"/>
    </row>
    <row r="16">
      <c r="A16" s="305">
        <v>15.0</v>
      </c>
      <c r="B16" s="306" t="s">
        <v>2058</v>
      </c>
      <c r="C16" s="307" t="s">
        <v>1366</v>
      </c>
      <c r="D16" s="308" t="s">
        <v>2059</v>
      </c>
      <c r="E16" s="236"/>
      <c r="F16" s="236"/>
      <c r="G16" s="236"/>
      <c r="H16" s="307" t="s">
        <v>1366</v>
      </c>
      <c r="I16" s="237"/>
      <c r="J16" s="237"/>
      <c r="K16" s="310" t="s">
        <v>13908</v>
      </c>
      <c r="L16" s="237"/>
      <c r="M16" s="237"/>
      <c r="N16" s="237"/>
      <c r="O16" s="237"/>
      <c r="P16" s="237"/>
      <c r="Q16" s="237"/>
      <c r="R16" s="237"/>
      <c r="S16" s="237"/>
      <c r="T16" s="237"/>
      <c r="U16" s="237"/>
      <c r="V16" s="237"/>
      <c r="W16" s="237"/>
      <c r="X16" s="237"/>
      <c r="Y16" s="237"/>
      <c r="Z16" s="237"/>
    </row>
    <row r="17">
      <c r="A17" s="305">
        <v>16.0</v>
      </c>
      <c r="B17" s="306" t="s">
        <v>2064</v>
      </c>
      <c r="C17" s="307" t="s">
        <v>1366</v>
      </c>
      <c r="D17" s="308" t="s">
        <v>2065</v>
      </c>
      <c r="E17" s="236"/>
      <c r="F17" s="236"/>
      <c r="G17" s="236"/>
      <c r="H17" s="307" t="s">
        <v>1366</v>
      </c>
      <c r="I17" s="237"/>
      <c r="J17" s="237"/>
      <c r="K17" s="310" t="s">
        <v>13909</v>
      </c>
      <c r="L17" s="237"/>
      <c r="M17" s="237"/>
      <c r="N17" s="237"/>
      <c r="O17" s="237"/>
      <c r="P17" s="237"/>
      <c r="Q17" s="237"/>
      <c r="R17" s="237"/>
      <c r="S17" s="237"/>
      <c r="T17" s="237"/>
      <c r="U17" s="237"/>
      <c r="V17" s="237"/>
      <c r="W17" s="237"/>
      <c r="X17" s="237"/>
      <c r="Y17" s="237"/>
      <c r="Z17" s="237"/>
    </row>
    <row r="18">
      <c r="A18" s="305">
        <v>17.0</v>
      </c>
      <c r="B18" s="306" t="s">
        <v>2042</v>
      </c>
      <c r="C18" s="307" t="s">
        <v>1366</v>
      </c>
      <c r="D18" s="308" t="s">
        <v>2043</v>
      </c>
      <c r="E18" s="236"/>
      <c r="F18" s="236"/>
      <c r="G18" s="236"/>
      <c r="H18" s="307" t="s">
        <v>1366</v>
      </c>
      <c r="I18" s="237"/>
      <c r="J18" s="237"/>
      <c r="K18" s="310" t="s">
        <v>13910</v>
      </c>
      <c r="L18" s="237"/>
      <c r="M18" s="237"/>
      <c r="N18" s="237"/>
      <c r="O18" s="237"/>
      <c r="P18" s="237"/>
      <c r="Q18" s="237"/>
      <c r="R18" s="237"/>
      <c r="S18" s="237"/>
      <c r="T18" s="237"/>
      <c r="U18" s="237"/>
      <c r="V18" s="237"/>
      <c r="W18" s="237"/>
      <c r="X18" s="237"/>
      <c r="Y18" s="237"/>
      <c r="Z18" s="237"/>
    </row>
    <row r="19">
      <c r="A19" s="305">
        <v>18.0</v>
      </c>
      <c r="B19" s="306" t="s">
        <v>2050</v>
      </c>
      <c r="C19" s="307" t="s">
        <v>1366</v>
      </c>
      <c r="D19" s="308" t="s">
        <v>2051</v>
      </c>
      <c r="E19" s="236"/>
      <c r="F19" s="236"/>
      <c r="G19" s="236"/>
      <c r="H19" s="307" t="s">
        <v>1366</v>
      </c>
      <c r="I19" s="237"/>
      <c r="J19" s="237"/>
      <c r="K19" s="310" t="s">
        <v>13911</v>
      </c>
      <c r="L19" s="237"/>
      <c r="M19" s="237"/>
      <c r="N19" s="237"/>
      <c r="O19" s="237"/>
      <c r="P19" s="237"/>
      <c r="Q19" s="237"/>
      <c r="R19" s="237"/>
      <c r="S19" s="237"/>
      <c r="T19" s="237"/>
      <c r="U19" s="237"/>
      <c r="V19" s="237"/>
      <c r="W19" s="237"/>
      <c r="X19" s="237"/>
      <c r="Y19" s="237"/>
      <c r="Z19" s="237"/>
    </row>
    <row r="20">
      <c r="A20" s="305">
        <v>19.0</v>
      </c>
      <c r="B20" s="306" t="s">
        <v>2040</v>
      </c>
      <c r="C20" s="307" t="s">
        <v>1366</v>
      </c>
      <c r="D20" s="308" t="s">
        <v>2041</v>
      </c>
      <c r="E20" s="236"/>
      <c r="F20" s="236"/>
      <c r="G20" s="236"/>
      <c r="H20" s="307" t="s">
        <v>1366</v>
      </c>
      <c r="I20" s="237"/>
      <c r="J20" s="237"/>
      <c r="K20" s="310" t="s">
        <v>13912</v>
      </c>
      <c r="L20" s="237"/>
      <c r="M20" s="237"/>
      <c r="N20" s="237"/>
      <c r="O20" s="237"/>
      <c r="P20" s="237"/>
      <c r="Q20" s="237"/>
      <c r="R20" s="237"/>
      <c r="S20" s="237"/>
      <c r="T20" s="237"/>
      <c r="U20" s="237"/>
      <c r="V20" s="237"/>
      <c r="W20" s="237"/>
      <c r="X20" s="237"/>
      <c r="Y20" s="237"/>
      <c r="Z20" s="237"/>
    </row>
    <row r="21">
      <c r="A21" s="305">
        <v>20.0</v>
      </c>
      <c r="B21" s="306" t="s">
        <v>2052</v>
      </c>
      <c r="C21" s="307" t="s">
        <v>1366</v>
      </c>
      <c r="D21" s="308" t="s">
        <v>2053</v>
      </c>
      <c r="E21" s="236"/>
      <c r="F21" s="236"/>
      <c r="G21" s="236"/>
      <c r="H21" s="307" t="s">
        <v>1366</v>
      </c>
      <c r="I21" s="237"/>
      <c r="J21" s="237"/>
      <c r="K21" s="310" t="s">
        <v>13913</v>
      </c>
      <c r="L21" s="237"/>
      <c r="M21" s="237"/>
      <c r="N21" s="237"/>
      <c r="O21" s="237"/>
      <c r="P21" s="237"/>
      <c r="Q21" s="237"/>
      <c r="R21" s="237"/>
      <c r="S21" s="237"/>
      <c r="T21" s="237"/>
      <c r="U21" s="237"/>
      <c r="V21" s="237"/>
      <c r="W21" s="237"/>
      <c r="X21" s="237"/>
      <c r="Y21" s="237"/>
      <c r="Z21" s="237"/>
    </row>
    <row r="22">
      <c r="A22" s="305">
        <v>21.0</v>
      </c>
      <c r="B22" s="306" t="s">
        <v>13914</v>
      </c>
      <c r="C22" s="307" t="s">
        <v>1366</v>
      </c>
      <c r="D22" s="308" t="s">
        <v>2067</v>
      </c>
      <c r="E22" s="236"/>
      <c r="F22" s="236"/>
      <c r="G22" s="236"/>
      <c r="H22" s="307" t="s">
        <v>1366</v>
      </c>
      <c r="I22" s="237"/>
      <c r="J22" s="237"/>
      <c r="K22" s="310" t="s">
        <v>13915</v>
      </c>
      <c r="L22" s="237"/>
      <c r="M22" s="237"/>
      <c r="N22" s="237"/>
      <c r="O22" s="237"/>
      <c r="P22" s="237"/>
      <c r="Q22" s="237"/>
      <c r="R22" s="237"/>
      <c r="S22" s="237"/>
      <c r="T22" s="237"/>
      <c r="U22" s="237"/>
      <c r="V22" s="237"/>
      <c r="W22" s="237"/>
      <c r="X22" s="237"/>
      <c r="Y22" s="237"/>
      <c r="Z22" s="237"/>
    </row>
    <row r="23">
      <c r="A23" s="305">
        <v>22.0</v>
      </c>
      <c r="B23" s="306" t="s">
        <v>2048</v>
      </c>
      <c r="C23" s="307" t="s">
        <v>1366</v>
      </c>
      <c r="D23" s="308" t="s">
        <v>2049</v>
      </c>
      <c r="E23" s="236"/>
      <c r="F23" s="236"/>
      <c r="G23" s="236"/>
      <c r="H23" s="307" t="s">
        <v>1366</v>
      </c>
      <c r="I23" s="237"/>
      <c r="J23" s="237"/>
      <c r="K23" s="310" t="s">
        <v>13916</v>
      </c>
      <c r="L23" s="237"/>
      <c r="M23" s="237"/>
      <c r="N23" s="237"/>
      <c r="O23" s="237"/>
      <c r="P23" s="237"/>
      <c r="Q23" s="237"/>
      <c r="R23" s="237"/>
      <c r="S23" s="237"/>
      <c r="T23" s="237"/>
      <c r="U23" s="237"/>
      <c r="V23" s="237"/>
      <c r="W23" s="237"/>
      <c r="X23" s="237"/>
      <c r="Y23" s="237"/>
      <c r="Z23" s="237"/>
    </row>
    <row r="24">
      <c r="A24" s="305">
        <v>23.0</v>
      </c>
      <c r="B24" s="306" t="s">
        <v>6905</v>
      </c>
      <c r="C24" s="307" t="s">
        <v>1420</v>
      </c>
      <c r="D24" s="308" t="s">
        <v>6907</v>
      </c>
      <c r="E24" s="305" t="s">
        <v>6908</v>
      </c>
      <c r="F24" s="236"/>
      <c r="G24" s="236"/>
      <c r="H24" s="307" t="s">
        <v>1420</v>
      </c>
      <c r="I24" s="237"/>
      <c r="J24" s="237"/>
      <c r="K24" s="310" t="s">
        <v>6906</v>
      </c>
      <c r="L24" s="237"/>
      <c r="M24" s="237"/>
      <c r="N24" s="237"/>
      <c r="O24" s="237"/>
      <c r="P24" s="237"/>
      <c r="Q24" s="237"/>
      <c r="R24" s="237"/>
      <c r="S24" s="237"/>
      <c r="T24" s="237"/>
      <c r="U24" s="237"/>
      <c r="V24" s="237"/>
      <c r="W24" s="237"/>
      <c r="X24" s="237"/>
      <c r="Y24" s="237"/>
      <c r="Z24" s="237"/>
    </row>
    <row r="25">
      <c r="A25" s="305">
        <v>24.0</v>
      </c>
      <c r="B25" s="306" t="s">
        <v>7381</v>
      </c>
      <c r="C25" s="307" t="s">
        <v>1420</v>
      </c>
      <c r="D25" s="308" t="s">
        <v>7383</v>
      </c>
      <c r="E25" s="305" t="s">
        <v>7384</v>
      </c>
      <c r="F25" s="309" t="s">
        <v>7385</v>
      </c>
      <c r="G25" s="236"/>
      <c r="H25" s="307" t="s">
        <v>1420</v>
      </c>
      <c r="I25" s="237"/>
      <c r="J25" s="237"/>
      <c r="K25" s="310" t="s">
        <v>7382</v>
      </c>
      <c r="L25" s="237"/>
      <c r="M25" s="237"/>
      <c r="N25" s="237"/>
      <c r="O25" s="237"/>
      <c r="P25" s="237"/>
      <c r="Q25" s="237"/>
      <c r="R25" s="237"/>
      <c r="S25" s="237"/>
      <c r="T25" s="237"/>
      <c r="U25" s="237"/>
      <c r="V25" s="237"/>
      <c r="W25" s="237"/>
      <c r="X25" s="237"/>
      <c r="Y25" s="237"/>
      <c r="Z25" s="237"/>
    </row>
    <row r="26">
      <c r="A26" s="305">
        <v>25.0</v>
      </c>
      <c r="B26" s="306" t="s">
        <v>7396</v>
      </c>
      <c r="C26" s="307" t="s">
        <v>1420</v>
      </c>
      <c r="D26" s="308" t="s">
        <v>7398</v>
      </c>
      <c r="E26" s="305" t="s">
        <v>7399</v>
      </c>
      <c r="F26" s="309" t="s">
        <v>7400</v>
      </c>
      <c r="G26" s="236"/>
      <c r="H26" s="307" t="s">
        <v>1420</v>
      </c>
      <c r="I26" s="237"/>
      <c r="J26" s="237"/>
      <c r="K26" s="310" t="s">
        <v>7397</v>
      </c>
      <c r="L26" s="237"/>
      <c r="M26" s="237"/>
      <c r="N26" s="237"/>
      <c r="O26" s="237"/>
      <c r="P26" s="237"/>
      <c r="Q26" s="237"/>
      <c r="R26" s="237"/>
      <c r="S26" s="237"/>
      <c r="T26" s="237"/>
      <c r="U26" s="237"/>
      <c r="V26" s="237"/>
      <c r="W26" s="237"/>
      <c r="X26" s="237"/>
      <c r="Y26" s="237"/>
      <c r="Z26" s="237"/>
    </row>
    <row r="27">
      <c r="A27" s="305">
        <v>26.0</v>
      </c>
      <c r="B27" s="306" t="s">
        <v>6900</v>
      </c>
      <c r="C27" s="307" t="s">
        <v>1420</v>
      </c>
      <c r="D27" s="308" t="s">
        <v>6902</v>
      </c>
      <c r="E27" s="305" t="s">
        <v>6903</v>
      </c>
      <c r="F27" s="236"/>
      <c r="G27" s="236"/>
      <c r="H27" s="307" t="s">
        <v>1420</v>
      </c>
      <c r="I27" s="237"/>
      <c r="J27" s="237"/>
      <c r="K27" s="310" t="s">
        <v>6901</v>
      </c>
      <c r="L27" s="237"/>
      <c r="M27" s="237"/>
      <c r="N27" s="237"/>
      <c r="O27" s="237"/>
      <c r="P27" s="237"/>
      <c r="Q27" s="237"/>
      <c r="R27" s="237"/>
      <c r="S27" s="237"/>
      <c r="T27" s="237"/>
      <c r="U27" s="237"/>
      <c r="V27" s="237"/>
      <c r="W27" s="237"/>
      <c r="X27" s="237"/>
      <c r="Y27" s="237"/>
      <c r="Z27" s="237"/>
    </row>
    <row r="28">
      <c r="A28" s="305">
        <v>27.0</v>
      </c>
      <c r="B28" s="306" t="s">
        <v>7376</v>
      </c>
      <c r="C28" s="307" t="s">
        <v>1420</v>
      </c>
      <c r="D28" s="308" t="s">
        <v>7378</v>
      </c>
      <c r="E28" s="305" t="s">
        <v>7379</v>
      </c>
      <c r="F28" s="309" t="s">
        <v>7380</v>
      </c>
      <c r="G28" s="236"/>
      <c r="H28" s="307" t="s">
        <v>1420</v>
      </c>
      <c r="I28" s="237"/>
      <c r="J28" s="237"/>
      <c r="K28" s="310" t="s">
        <v>7377</v>
      </c>
      <c r="L28" s="237"/>
      <c r="M28" s="237"/>
      <c r="N28" s="237"/>
      <c r="O28" s="237"/>
      <c r="P28" s="237"/>
      <c r="Q28" s="237"/>
      <c r="R28" s="237"/>
      <c r="S28" s="237"/>
      <c r="T28" s="237"/>
      <c r="U28" s="237"/>
      <c r="V28" s="237"/>
      <c r="W28" s="237"/>
      <c r="X28" s="237"/>
      <c r="Y28" s="237"/>
      <c r="Z28" s="237"/>
    </row>
    <row r="29">
      <c r="A29" s="305">
        <v>28.0</v>
      </c>
      <c r="B29" s="306" t="s">
        <v>6909</v>
      </c>
      <c r="C29" s="307" t="s">
        <v>1420</v>
      </c>
      <c r="D29" s="308" t="s">
        <v>6911</v>
      </c>
      <c r="E29" s="305" t="s">
        <v>6912</v>
      </c>
      <c r="F29" s="236"/>
      <c r="G29" s="236"/>
      <c r="H29" s="307" t="s">
        <v>1420</v>
      </c>
      <c r="I29" s="237"/>
      <c r="J29" s="237"/>
      <c r="K29" s="310" t="s">
        <v>6910</v>
      </c>
      <c r="L29" s="237"/>
      <c r="M29" s="237"/>
      <c r="N29" s="237"/>
      <c r="O29" s="237"/>
      <c r="P29" s="237"/>
      <c r="Q29" s="237"/>
      <c r="R29" s="237"/>
      <c r="S29" s="237"/>
      <c r="T29" s="237"/>
      <c r="U29" s="237"/>
      <c r="V29" s="237"/>
      <c r="W29" s="237"/>
      <c r="X29" s="237"/>
      <c r="Y29" s="237"/>
      <c r="Z29" s="237"/>
    </row>
    <row r="30">
      <c r="A30" s="305">
        <v>29.0</v>
      </c>
      <c r="B30" s="306" t="s">
        <v>7386</v>
      </c>
      <c r="C30" s="307" t="s">
        <v>1420</v>
      </c>
      <c r="D30" s="308" t="s">
        <v>7388</v>
      </c>
      <c r="E30" s="305" t="s">
        <v>7389</v>
      </c>
      <c r="F30" s="309" t="s">
        <v>7390</v>
      </c>
      <c r="G30" s="236"/>
      <c r="H30" s="307" t="s">
        <v>1420</v>
      </c>
      <c r="I30" s="237"/>
      <c r="J30" s="237"/>
      <c r="K30" s="310" t="s">
        <v>7387</v>
      </c>
      <c r="L30" s="237"/>
      <c r="M30" s="237"/>
      <c r="N30" s="237"/>
      <c r="O30" s="237"/>
      <c r="P30" s="237"/>
      <c r="Q30" s="237"/>
      <c r="R30" s="237"/>
      <c r="S30" s="237"/>
      <c r="T30" s="237"/>
      <c r="U30" s="237"/>
      <c r="V30" s="237"/>
      <c r="W30" s="237"/>
      <c r="X30" s="237"/>
      <c r="Y30" s="237"/>
      <c r="Z30" s="237"/>
    </row>
    <row r="31">
      <c r="A31" s="305">
        <v>30.0</v>
      </c>
      <c r="B31" s="306" t="s">
        <v>6913</v>
      </c>
      <c r="C31" s="307" t="s">
        <v>1420</v>
      </c>
      <c r="D31" s="308" t="s">
        <v>6915</v>
      </c>
      <c r="E31" s="305" t="s">
        <v>6916</v>
      </c>
      <c r="F31" s="236"/>
      <c r="G31" s="236"/>
      <c r="H31" s="307" t="s">
        <v>1420</v>
      </c>
      <c r="I31" s="237"/>
      <c r="J31" s="237"/>
      <c r="K31" s="310" t="s">
        <v>6914</v>
      </c>
      <c r="L31" s="237"/>
      <c r="M31" s="237"/>
      <c r="N31" s="237"/>
      <c r="O31" s="237"/>
      <c r="P31" s="237"/>
      <c r="Q31" s="237"/>
      <c r="R31" s="237"/>
      <c r="S31" s="237"/>
      <c r="T31" s="237"/>
      <c r="U31" s="237"/>
      <c r="V31" s="237"/>
      <c r="W31" s="237"/>
      <c r="X31" s="237"/>
      <c r="Y31" s="237"/>
      <c r="Z31" s="237"/>
    </row>
    <row r="32">
      <c r="A32" s="305">
        <v>31.0</v>
      </c>
      <c r="B32" s="306" t="s">
        <v>7391</v>
      </c>
      <c r="C32" s="307" t="s">
        <v>1420</v>
      </c>
      <c r="D32" s="308" t="s">
        <v>7393</v>
      </c>
      <c r="E32" s="305" t="s">
        <v>7394</v>
      </c>
      <c r="F32" s="309" t="s">
        <v>7395</v>
      </c>
      <c r="G32" s="236"/>
      <c r="H32" s="307" t="s">
        <v>1420</v>
      </c>
      <c r="I32" s="237"/>
      <c r="J32" s="237"/>
      <c r="K32" s="310" t="s">
        <v>7392</v>
      </c>
      <c r="L32" s="237"/>
      <c r="M32" s="237"/>
      <c r="N32" s="237"/>
      <c r="O32" s="237"/>
      <c r="P32" s="237"/>
      <c r="Q32" s="237"/>
      <c r="R32" s="237"/>
      <c r="S32" s="237"/>
      <c r="T32" s="237"/>
      <c r="U32" s="237"/>
      <c r="V32" s="237"/>
      <c r="W32" s="237"/>
      <c r="X32" s="237"/>
      <c r="Y32" s="237"/>
      <c r="Z32" s="237"/>
    </row>
    <row r="33">
      <c r="A33" s="305">
        <v>32.0</v>
      </c>
      <c r="B33" s="306" t="s">
        <v>1889</v>
      </c>
      <c r="C33" s="307" t="s">
        <v>1366</v>
      </c>
      <c r="D33" s="308" t="s">
        <v>1890</v>
      </c>
      <c r="E33" s="236"/>
      <c r="F33" s="236"/>
      <c r="G33" s="236"/>
      <c r="H33" s="307" t="s">
        <v>1366</v>
      </c>
      <c r="I33" s="237"/>
      <c r="J33" s="237"/>
      <c r="K33" s="310" t="s">
        <v>13917</v>
      </c>
      <c r="L33" s="237"/>
      <c r="M33" s="237"/>
      <c r="N33" s="237"/>
      <c r="O33" s="237"/>
      <c r="P33" s="237"/>
      <c r="Q33" s="237"/>
      <c r="R33" s="237"/>
      <c r="S33" s="237"/>
      <c r="T33" s="237"/>
      <c r="U33" s="237"/>
      <c r="V33" s="237"/>
      <c r="W33" s="237"/>
      <c r="X33" s="237"/>
      <c r="Y33" s="237"/>
      <c r="Z33" s="237"/>
    </row>
    <row r="34">
      <c r="A34" s="305">
        <v>33.0</v>
      </c>
      <c r="B34" s="306" t="s">
        <v>1883</v>
      </c>
      <c r="C34" s="307" t="s">
        <v>1366</v>
      </c>
      <c r="D34" s="308" t="s">
        <v>1884</v>
      </c>
      <c r="E34" s="236"/>
      <c r="F34" s="236"/>
      <c r="G34" s="236"/>
      <c r="H34" s="307" t="s">
        <v>1366</v>
      </c>
      <c r="I34" s="237"/>
      <c r="J34" s="237"/>
      <c r="K34" s="310" t="s">
        <v>13918</v>
      </c>
      <c r="L34" s="237"/>
      <c r="M34" s="237"/>
      <c r="N34" s="237"/>
      <c r="O34" s="237"/>
      <c r="P34" s="237"/>
      <c r="Q34" s="237"/>
      <c r="R34" s="237"/>
      <c r="S34" s="237"/>
      <c r="T34" s="237"/>
      <c r="U34" s="237"/>
      <c r="V34" s="237"/>
      <c r="W34" s="237"/>
      <c r="X34" s="237"/>
      <c r="Y34" s="237"/>
      <c r="Z34" s="237"/>
    </row>
    <row r="35">
      <c r="A35" s="305">
        <v>34.0</v>
      </c>
      <c r="B35" s="306" t="s">
        <v>1881</v>
      </c>
      <c r="C35" s="311" t="s">
        <v>1420</v>
      </c>
      <c r="D35" s="308" t="s">
        <v>1882</v>
      </c>
      <c r="E35" s="104" t="s">
        <v>13919</v>
      </c>
      <c r="F35" s="309" t="s">
        <v>13920</v>
      </c>
      <c r="G35" s="236"/>
      <c r="H35" s="311" t="s">
        <v>1420</v>
      </c>
      <c r="I35" s="237"/>
      <c r="J35" s="237"/>
      <c r="K35" s="310" t="s">
        <v>13921</v>
      </c>
      <c r="L35" s="237"/>
      <c r="M35" s="237"/>
      <c r="N35" s="237"/>
      <c r="O35" s="237"/>
      <c r="P35" s="237"/>
      <c r="Q35" s="237"/>
      <c r="R35" s="237"/>
      <c r="S35" s="237"/>
      <c r="T35" s="237"/>
      <c r="U35" s="237"/>
      <c r="V35" s="237"/>
      <c r="W35" s="237"/>
      <c r="X35" s="237"/>
      <c r="Y35" s="237"/>
      <c r="Z35" s="237"/>
    </row>
    <row r="36">
      <c r="A36" s="305">
        <v>35.0</v>
      </c>
      <c r="B36" s="306" t="s">
        <v>1879</v>
      </c>
      <c r="C36" s="311" t="s">
        <v>1420</v>
      </c>
      <c r="D36" s="308" t="s">
        <v>1880</v>
      </c>
      <c r="E36" s="104" t="s">
        <v>13922</v>
      </c>
      <c r="F36" s="309" t="s">
        <v>13923</v>
      </c>
      <c r="G36" s="236"/>
      <c r="H36" s="311" t="s">
        <v>1420</v>
      </c>
      <c r="I36" s="237"/>
      <c r="J36" s="237"/>
      <c r="K36" s="310" t="s">
        <v>13924</v>
      </c>
      <c r="L36" s="237"/>
      <c r="M36" s="237"/>
      <c r="N36" s="237"/>
      <c r="O36" s="237"/>
      <c r="P36" s="237"/>
      <c r="Q36" s="237"/>
      <c r="R36" s="237"/>
      <c r="S36" s="237"/>
      <c r="T36" s="237"/>
      <c r="U36" s="237"/>
      <c r="V36" s="237"/>
      <c r="W36" s="237"/>
      <c r="X36" s="237"/>
      <c r="Y36" s="237"/>
      <c r="Z36" s="237"/>
    </row>
    <row r="37">
      <c r="A37" s="305">
        <v>36.0</v>
      </c>
      <c r="B37" s="306" t="s">
        <v>1885</v>
      </c>
      <c r="C37" s="307" t="s">
        <v>1366</v>
      </c>
      <c r="D37" s="308" t="s">
        <v>1886</v>
      </c>
      <c r="E37" s="236"/>
      <c r="F37" s="236"/>
      <c r="G37" s="236"/>
      <c r="H37" s="307" t="s">
        <v>1366</v>
      </c>
      <c r="I37" s="237"/>
      <c r="J37" s="237"/>
      <c r="K37" s="310" t="s">
        <v>13925</v>
      </c>
      <c r="L37" s="237"/>
      <c r="M37" s="237"/>
      <c r="N37" s="237"/>
      <c r="O37" s="237"/>
      <c r="P37" s="237"/>
      <c r="Q37" s="237"/>
      <c r="R37" s="237"/>
      <c r="S37" s="237"/>
      <c r="T37" s="237"/>
      <c r="U37" s="237"/>
      <c r="V37" s="237"/>
      <c r="W37" s="237"/>
      <c r="X37" s="237"/>
      <c r="Y37" s="237"/>
      <c r="Z37" s="237"/>
    </row>
    <row r="38">
      <c r="A38" s="305">
        <v>37.0</v>
      </c>
      <c r="B38" s="306" t="s">
        <v>1887</v>
      </c>
      <c r="C38" s="307" t="s">
        <v>1366</v>
      </c>
      <c r="D38" s="308" t="s">
        <v>1888</v>
      </c>
      <c r="E38" s="236"/>
      <c r="F38" s="236"/>
      <c r="G38" s="236"/>
      <c r="H38" s="307" t="s">
        <v>1366</v>
      </c>
      <c r="I38" s="237"/>
      <c r="J38" s="237"/>
      <c r="K38" s="310" t="s">
        <v>13926</v>
      </c>
      <c r="L38" s="237"/>
      <c r="M38" s="237"/>
      <c r="N38" s="237"/>
      <c r="O38" s="237"/>
      <c r="P38" s="237"/>
      <c r="Q38" s="237"/>
      <c r="R38" s="237"/>
      <c r="S38" s="237"/>
      <c r="T38" s="237"/>
      <c r="U38" s="237"/>
      <c r="V38" s="237"/>
      <c r="W38" s="237"/>
      <c r="X38" s="237"/>
      <c r="Y38" s="237"/>
      <c r="Z38" s="237"/>
    </row>
    <row r="39">
      <c r="A39" s="305">
        <v>38.0</v>
      </c>
      <c r="B39" s="306" t="s">
        <v>1999</v>
      </c>
      <c r="C39" s="311" t="s">
        <v>1420</v>
      </c>
      <c r="D39" s="308" t="s">
        <v>2000</v>
      </c>
      <c r="E39" s="104" t="s">
        <v>13927</v>
      </c>
      <c r="F39" s="309" t="s">
        <v>13928</v>
      </c>
      <c r="G39" s="236"/>
      <c r="H39" s="311" t="s">
        <v>1420</v>
      </c>
      <c r="I39" s="237"/>
      <c r="J39" s="237"/>
      <c r="K39" s="310" t="s">
        <v>13929</v>
      </c>
      <c r="L39" s="237"/>
      <c r="M39" s="237"/>
      <c r="N39" s="237"/>
      <c r="O39" s="237"/>
      <c r="P39" s="237"/>
      <c r="Q39" s="237"/>
      <c r="R39" s="237"/>
      <c r="S39" s="237"/>
      <c r="T39" s="237"/>
      <c r="U39" s="237"/>
      <c r="V39" s="237"/>
      <c r="W39" s="237"/>
      <c r="X39" s="237"/>
      <c r="Y39" s="237"/>
      <c r="Z39" s="237"/>
    </row>
    <row r="40">
      <c r="A40" s="305">
        <v>39.0</v>
      </c>
      <c r="B40" s="306" t="s">
        <v>2001</v>
      </c>
      <c r="C40" s="311" t="s">
        <v>1420</v>
      </c>
      <c r="D40" s="308" t="s">
        <v>2002</v>
      </c>
      <c r="E40" s="104" t="s">
        <v>13930</v>
      </c>
      <c r="F40" s="309" t="s">
        <v>13931</v>
      </c>
      <c r="G40" s="236"/>
      <c r="H40" s="311" t="s">
        <v>1420</v>
      </c>
      <c r="I40" s="237"/>
      <c r="J40" s="237"/>
      <c r="K40" s="310" t="s">
        <v>13932</v>
      </c>
      <c r="L40" s="237"/>
      <c r="M40" s="237"/>
      <c r="N40" s="237"/>
      <c r="O40" s="237"/>
      <c r="P40" s="237"/>
      <c r="Q40" s="237"/>
      <c r="R40" s="237"/>
      <c r="S40" s="237"/>
      <c r="T40" s="237"/>
      <c r="U40" s="237"/>
      <c r="V40" s="237"/>
      <c r="W40" s="237"/>
      <c r="X40" s="237"/>
      <c r="Y40" s="237"/>
      <c r="Z40" s="237"/>
    </row>
    <row r="41">
      <c r="A41" s="305">
        <v>40.0</v>
      </c>
      <c r="B41" s="306" t="s">
        <v>13933</v>
      </c>
      <c r="C41" s="307" t="s">
        <v>1366</v>
      </c>
      <c r="D41" s="308" t="s">
        <v>1987</v>
      </c>
      <c r="E41" s="236"/>
      <c r="F41" s="236"/>
      <c r="G41" s="236"/>
      <c r="H41" s="307" t="s">
        <v>1366</v>
      </c>
      <c r="I41" s="237"/>
      <c r="J41" s="237"/>
      <c r="K41" s="310" t="s">
        <v>13934</v>
      </c>
      <c r="L41" s="237"/>
      <c r="M41" s="237"/>
      <c r="N41" s="237"/>
      <c r="O41" s="237"/>
      <c r="P41" s="237"/>
      <c r="Q41" s="237"/>
      <c r="R41" s="237"/>
      <c r="S41" s="237"/>
      <c r="T41" s="237"/>
      <c r="U41" s="237"/>
      <c r="V41" s="237"/>
      <c r="W41" s="237"/>
      <c r="X41" s="237"/>
      <c r="Y41" s="237"/>
      <c r="Z41" s="237"/>
    </row>
    <row r="42">
      <c r="A42" s="305">
        <v>41.0</v>
      </c>
      <c r="B42" s="306" t="s">
        <v>2003</v>
      </c>
      <c r="C42" s="311" t="s">
        <v>1420</v>
      </c>
      <c r="D42" s="308" t="s">
        <v>2004</v>
      </c>
      <c r="E42" s="104" t="s">
        <v>13935</v>
      </c>
      <c r="F42" s="309" t="s">
        <v>13936</v>
      </c>
      <c r="G42" s="236"/>
      <c r="H42" s="311" t="s">
        <v>1420</v>
      </c>
      <c r="I42" s="237"/>
      <c r="J42" s="237"/>
      <c r="K42" s="310" t="s">
        <v>13937</v>
      </c>
      <c r="L42" s="237"/>
      <c r="M42" s="237"/>
      <c r="N42" s="237"/>
      <c r="O42" s="237"/>
      <c r="P42" s="237"/>
      <c r="Q42" s="237"/>
      <c r="R42" s="237"/>
      <c r="S42" s="237"/>
      <c r="T42" s="237"/>
      <c r="U42" s="237"/>
      <c r="V42" s="237"/>
      <c r="W42" s="237"/>
      <c r="X42" s="237"/>
      <c r="Y42" s="237"/>
      <c r="Z42" s="237"/>
    </row>
    <row r="43">
      <c r="A43" s="305">
        <v>42.0</v>
      </c>
      <c r="B43" s="306" t="s">
        <v>1995</v>
      </c>
      <c r="C43" s="311" t="s">
        <v>1420</v>
      </c>
      <c r="D43" s="308" t="s">
        <v>1996</v>
      </c>
      <c r="E43" s="104" t="s">
        <v>13938</v>
      </c>
      <c r="F43" s="309" t="s">
        <v>13939</v>
      </c>
      <c r="G43" s="236"/>
      <c r="H43" s="311" t="s">
        <v>1420</v>
      </c>
      <c r="I43" s="237"/>
      <c r="J43" s="237"/>
      <c r="K43" s="310" t="s">
        <v>13940</v>
      </c>
      <c r="L43" s="237"/>
      <c r="M43" s="237"/>
      <c r="N43" s="237"/>
      <c r="O43" s="237"/>
      <c r="P43" s="237"/>
      <c r="Q43" s="237"/>
      <c r="R43" s="237"/>
      <c r="S43" s="237"/>
      <c r="T43" s="237"/>
      <c r="U43" s="237"/>
      <c r="V43" s="237"/>
      <c r="W43" s="237"/>
      <c r="X43" s="237"/>
      <c r="Y43" s="237"/>
      <c r="Z43" s="237"/>
    </row>
    <row r="44">
      <c r="A44" s="305">
        <v>43.0</v>
      </c>
      <c r="B44" s="306" t="s">
        <v>2005</v>
      </c>
      <c r="C44" s="311" t="s">
        <v>1420</v>
      </c>
      <c r="D44" s="308" t="s">
        <v>2006</v>
      </c>
      <c r="E44" s="104" t="s">
        <v>13941</v>
      </c>
      <c r="F44" s="309" t="s">
        <v>13942</v>
      </c>
      <c r="G44" s="236"/>
      <c r="H44" s="311" t="s">
        <v>1420</v>
      </c>
      <c r="I44" s="237"/>
      <c r="J44" s="237"/>
      <c r="K44" s="310" t="s">
        <v>13943</v>
      </c>
      <c r="L44" s="237"/>
      <c r="M44" s="237"/>
      <c r="N44" s="237"/>
      <c r="O44" s="237"/>
      <c r="P44" s="237"/>
      <c r="Q44" s="237"/>
      <c r="R44" s="237"/>
      <c r="S44" s="237"/>
      <c r="T44" s="237"/>
      <c r="U44" s="237"/>
      <c r="V44" s="237"/>
      <c r="W44" s="237"/>
      <c r="X44" s="237"/>
      <c r="Y44" s="237"/>
      <c r="Z44" s="237"/>
    </row>
    <row r="45">
      <c r="A45" s="305">
        <v>44.0</v>
      </c>
      <c r="B45" s="306" t="s">
        <v>13944</v>
      </c>
      <c r="C45" s="307" t="s">
        <v>1366</v>
      </c>
      <c r="D45" s="308" t="s">
        <v>1988</v>
      </c>
      <c r="E45" s="236"/>
      <c r="F45" s="236"/>
      <c r="G45" s="236"/>
      <c r="H45" s="307" t="s">
        <v>1366</v>
      </c>
      <c r="I45" s="237"/>
      <c r="J45" s="237"/>
      <c r="K45" s="310" t="s">
        <v>13945</v>
      </c>
      <c r="L45" s="237"/>
      <c r="M45" s="237"/>
      <c r="N45" s="237"/>
      <c r="O45" s="237"/>
      <c r="P45" s="237"/>
      <c r="Q45" s="237"/>
      <c r="R45" s="237"/>
      <c r="S45" s="237"/>
      <c r="T45" s="237"/>
      <c r="U45" s="237"/>
      <c r="V45" s="237"/>
      <c r="W45" s="237"/>
      <c r="X45" s="237"/>
      <c r="Y45" s="237"/>
      <c r="Z45" s="237"/>
    </row>
    <row r="46">
      <c r="A46" s="305">
        <v>45.0</v>
      </c>
      <c r="B46" s="306" t="s">
        <v>1997</v>
      </c>
      <c r="C46" s="311" t="s">
        <v>1420</v>
      </c>
      <c r="D46" s="308" t="s">
        <v>1998</v>
      </c>
      <c r="E46" s="104" t="s">
        <v>13946</v>
      </c>
      <c r="F46" s="309" t="s">
        <v>13947</v>
      </c>
      <c r="G46" s="236"/>
      <c r="H46" s="311" t="s">
        <v>1420</v>
      </c>
      <c r="I46" s="237"/>
      <c r="J46" s="237"/>
      <c r="K46" s="310" t="s">
        <v>13948</v>
      </c>
      <c r="L46" s="237"/>
      <c r="M46" s="237"/>
      <c r="N46" s="237"/>
      <c r="O46" s="237"/>
      <c r="P46" s="237"/>
      <c r="Q46" s="237"/>
      <c r="R46" s="237"/>
      <c r="S46" s="237"/>
      <c r="T46" s="237"/>
      <c r="U46" s="237"/>
      <c r="V46" s="237"/>
      <c r="W46" s="237"/>
      <c r="X46" s="237"/>
      <c r="Y46" s="237"/>
      <c r="Z46" s="237"/>
    </row>
    <row r="47">
      <c r="A47" s="305">
        <v>46.0</v>
      </c>
      <c r="B47" s="306" t="s">
        <v>2009</v>
      </c>
      <c r="C47" s="311" t="s">
        <v>1420</v>
      </c>
      <c r="D47" s="308" t="s">
        <v>2010</v>
      </c>
      <c r="E47" s="104" t="s">
        <v>13949</v>
      </c>
      <c r="F47" s="309" t="s">
        <v>13950</v>
      </c>
      <c r="G47" s="236"/>
      <c r="H47" s="311" t="s">
        <v>1420</v>
      </c>
      <c r="I47" s="237"/>
      <c r="J47" s="237"/>
      <c r="K47" s="310" t="s">
        <v>13951</v>
      </c>
      <c r="L47" s="237"/>
      <c r="M47" s="237"/>
      <c r="N47" s="237"/>
      <c r="O47" s="237"/>
      <c r="P47" s="237"/>
      <c r="Q47" s="237"/>
      <c r="R47" s="237"/>
      <c r="S47" s="237"/>
      <c r="T47" s="237"/>
      <c r="U47" s="237"/>
      <c r="V47" s="237"/>
      <c r="W47" s="237"/>
      <c r="X47" s="237"/>
      <c r="Y47" s="237"/>
      <c r="Z47" s="237"/>
    </row>
    <row r="48">
      <c r="A48" s="305">
        <v>47.0</v>
      </c>
      <c r="B48" s="306" t="s">
        <v>2015</v>
      </c>
      <c r="C48" s="311" t="s">
        <v>1420</v>
      </c>
      <c r="D48" s="308" t="s">
        <v>2016</v>
      </c>
      <c r="E48" s="104" t="s">
        <v>13952</v>
      </c>
      <c r="F48" s="309" t="s">
        <v>13953</v>
      </c>
      <c r="G48" s="236"/>
      <c r="H48" s="311" t="s">
        <v>1420</v>
      </c>
      <c r="I48" s="237"/>
      <c r="J48" s="237"/>
      <c r="K48" s="310" t="s">
        <v>13954</v>
      </c>
      <c r="L48" s="237"/>
      <c r="M48" s="237"/>
      <c r="N48" s="237"/>
      <c r="O48" s="237"/>
      <c r="P48" s="237"/>
      <c r="Q48" s="237"/>
      <c r="R48" s="237"/>
      <c r="S48" s="237"/>
      <c r="T48" s="237"/>
      <c r="U48" s="237"/>
      <c r="V48" s="237"/>
      <c r="W48" s="237"/>
      <c r="X48" s="237"/>
      <c r="Y48" s="237"/>
      <c r="Z48" s="237"/>
    </row>
    <row r="49">
      <c r="A49" s="305">
        <v>48.0</v>
      </c>
      <c r="B49" s="306" t="s">
        <v>2013</v>
      </c>
      <c r="C49" s="311" t="s">
        <v>1420</v>
      </c>
      <c r="D49" s="308" t="s">
        <v>2014</v>
      </c>
      <c r="E49" s="104" t="s">
        <v>13955</v>
      </c>
      <c r="F49" s="309" t="s">
        <v>13956</v>
      </c>
      <c r="G49" s="236"/>
      <c r="H49" s="311" t="s">
        <v>1420</v>
      </c>
      <c r="I49" s="237"/>
      <c r="J49" s="237"/>
      <c r="K49" s="310" t="s">
        <v>13957</v>
      </c>
      <c r="L49" s="237"/>
      <c r="M49" s="237"/>
      <c r="N49" s="237"/>
      <c r="O49" s="237"/>
      <c r="P49" s="237"/>
      <c r="Q49" s="237"/>
      <c r="R49" s="237"/>
      <c r="S49" s="237"/>
      <c r="T49" s="237"/>
      <c r="U49" s="237"/>
      <c r="V49" s="237"/>
      <c r="W49" s="237"/>
      <c r="X49" s="237"/>
      <c r="Y49" s="237"/>
      <c r="Z49" s="237"/>
    </row>
    <row r="50">
      <c r="A50" s="305">
        <v>49.0</v>
      </c>
      <c r="B50" s="306" t="s">
        <v>2011</v>
      </c>
      <c r="C50" s="311" t="s">
        <v>1420</v>
      </c>
      <c r="D50" s="308" t="s">
        <v>2012</v>
      </c>
      <c r="E50" s="104" t="s">
        <v>13958</v>
      </c>
      <c r="F50" s="309" t="s">
        <v>13959</v>
      </c>
      <c r="G50" s="236"/>
      <c r="H50" s="311" t="s">
        <v>1420</v>
      </c>
      <c r="I50" s="237"/>
      <c r="J50" s="237"/>
      <c r="K50" s="310" t="s">
        <v>13960</v>
      </c>
      <c r="L50" s="237"/>
      <c r="M50" s="237"/>
      <c r="N50" s="237"/>
      <c r="O50" s="237"/>
      <c r="P50" s="237"/>
      <c r="Q50" s="237"/>
      <c r="R50" s="237"/>
      <c r="S50" s="237"/>
      <c r="T50" s="237"/>
      <c r="U50" s="237"/>
      <c r="V50" s="237"/>
      <c r="W50" s="237"/>
      <c r="X50" s="237"/>
      <c r="Y50" s="237"/>
      <c r="Z50" s="237"/>
    </row>
    <row r="51">
      <c r="A51" s="305">
        <v>50.0</v>
      </c>
      <c r="B51" s="306" t="s">
        <v>2007</v>
      </c>
      <c r="C51" s="311" t="s">
        <v>1420</v>
      </c>
      <c r="D51" s="308" t="s">
        <v>2008</v>
      </c>
      <c r="E51" s="104" t="s">
        <v>13961</v>
      </c>
      <c r="F51" s="309" t="s">
        <v>13962</v>
      </c>
      <c r="G51" s="236"/>
      <c r="H51" s="311" t="s">
        <v>1420</v>
      </c>
      <c r="I51" s="237"/>
      <c r="J51" s="237"/>
      <c r="K51" s="310" t="s">
        <v>13963</v>
      </c>
      <c r="L51" s="237"/>
      <c r="M51" s="237"/>
      <c r="N51" s="237"/>
      <c r="O51" s="237"/>
      <c r="P51" s="237"/>
      <c r="Q51" s="237"/>
      <c r="R51" s="237"/>
      <c r="S51" s="237"/>
      <c r="T51" s="237"/>
      <c r="U51" s="237"/>
      <c r="V51" s="237"/>
      <c r="W51" s="237"/>
      <c r="X51" s="237"/>
      <c r="Y51" s="237"/>
      <c r="Z51" s="237"/>
    </row>
    <row r="52">
      <c r="A52" s="305">
        <v>51.0</v>
      </c>
      <c r="B52" s="306" t="s">
        <v>1966</v>
      </c>
      <c r="C52" s="307" t="s">
        <v>1420</v>
      </c>
      <c r="D52" s="308" t="s">
        <v>1967</v>
      </c>
      <c r="E52" s="236"/>
      <c r="F52" s="309" t="s">
        <v>13964</v>
      </c>
      <c r="G52" s="236"/>
      <c r="H52" s="307" t="s">
        <v>1420</v>
      </c>
      <c r="I52" s="237"/>
      <c r="J52" s="237"/>
      <c r="K52" s="310" t="s">
        <v>13887</v>
      </c>
      <c r="L52" s="237"/>
      <c r="M52" s="237"/>
      <c r="N52" s="237"/>
      <c r="O52" s="237"/>
      <c r="P52" s="237"/>
      <c r="Q52" s="237"/>
      <c r="R52" s="237"/>
      <c r="S52" s="237"/>
      <c r="T52" s="237"/>
      <c r="U52" s="237"/>
      <c r="V52" s="237"/>
      <c r="W52" s="237"/>
      <c r="X52" s="237"/>
      <c r="Y52" s="237"/>
      <c r="Z52" s="237"/>
    </row>
    <row r="53">
      <c r="A53" s="305">
        <v>52.0</v>
      </c>
      <c r="B53" s="306" t="s">
        <v>1962</v>
      </c>
      <c r="C53" s="307" t="s">
        <v>1420</v>
      </c>
      <c r="D53" s="308" t="s">
        <v>1963</v>
      </c>
      <c r="E53" s="236"/>
      <c r="F53" s="309" t="s">
        <v>13965</v>
      </c>
      <c r="G53" s="236"/>
      <c r="H53" s="307" t="s">
        <v>1420</v>
      </c>
      <c r="I53" s="237"/>
      <c r="J53" s="237"/>
      <c r="K53" s="310" t="s">
        <v>13885</v>
      </c>
      <c r="L53" s="237"/>
      <c r="M53" s="237"/>
      <c r="N53" s="237"/>
      <c r="O53" s="237"/>
      <c r="P53" s="237"/>
      <c r="Q53" s="237"/>
      <c r="R53" s="237"/>
      <c r="S53" s="237"/>
      <c r="T53" s="237"/>
      <c r="U53" s="237"/>
      <c r="V53" s="237"/>
      <c r="W53" s="237"/>
      <c r="X53" s="237"/>
      <c r="Y53" s="237"/>
      <c r="Z53" s="237"/>
    </row>
    <row r="54">
      <c r="A54" s="305">
        <v>53.0</v>
      </c>
      <c r="B54" s="236"/>
      <c r="C54" s="307" t="s">
        <v>1420</v>
      </c>
      <c r="D54" s="308" t="s">
        <v>1721</v>
      </c>
      <c r="E54" s="236"/>
      <c r="F54" s="309" t="s">
        <v>12455</v>
      </c>
      <c r="G54" s="236"/>
      <c r="H54" s="307" t="s">
        <v>1420</v>
      </c>
      <c r="I54" s="237"/>
      <c r="J54" s="237"/>
      <c r="K54" s="310" t="s">
        <v>12454</v>
      </c>
      <c r="L54" s="237"/>
      <c r="M54" s="237"/>
      <c r="N54" s="237"/>
      <c r="O54" s="237"/>
      <c r="P54" s="237"/>
      <c r="Q54" s="237"/>
      <c r="R54" s="237"/>
      <c r="S54" s="237"/>
      <c r="T54" s="237"/>
      <c r="U54" s="237"/>
      <c r="V54" s="237"/>
      <c r="W54" s="237"/>
      <c r="X54" s="237"/>
      <c r="Y54" s="237"/>
      <c r="Z54" s="237"/>
    </row>
    <row r="55">
      <c r="A55" s="305">
        <v>54.0</v>
      </c>
      <c r="B55" s="236"/>
      <c r="C55" s="307" t="s">
        <v>1420</v>
      </c>
      <c r="D55" s="308" t="s">
        <v>13648</v>
      </c>
      <c r="E55" s="236"/>
      <c r="F55" s="309" t="s">
        <v>13966</v>
      </c>
      <c r="G55" s="236"/>
      <c r="H55" s="307" t="s">
        <v>1420</v>
      </c>
      <c r="I55" s="237"/>
      <c r="J55" s="237"/>
      <c r="K55" s="310" t="s">
        <v>13647</v>
      </c>
      <c r="L55" s="237"/>
      <c r="M55" s="237"/>
      <c r="N55" s="237"/>
      <c r="O55" s="237"/>
      <c r="P55" s="237"/>
      <c r="Q55" s="237"/>
      <c r="R55" s="237"/>
      <c r="S55" s="237"/>
      <c r="T55" s="237"/>
      <c r="U55" s="237"/>
      <c r="V55" s="237"/>
      <c r="W55" s="237"/>
      <c r="X55" s="237"/>
      <c r="Y55" s="237"/>
      <c r="Z55" s="237"/>
    </row>
    <row r="56">
      <c r="A56" s="305">
        <v>55.0</v>
      </c>
      <c r="B56" s="236"/>
      <c r="C56" s="307" t="s">
        <v>1420</v>
      </c>
      <c r="D56" s="308" t="s">
        <v>12459</v>
      </c>
      <c r="E56" s="305" t="s">
        <v>12460</v>
      </c>
      <c r="F56" s="309" t="s">
        <v>12461</v>
      </c>
      <c r="G56" s="236"/>
      <c r="H56" s="307" t="s">
        <v>1420</v>
      </c>
      <c r="I56" s="237"/>
      <c r="J56" s="237"/>
      <c r="K56" s="310" t="s">
        <v>12458</v>
      </c>
      <c r="L56" s="237"/>
      <c r="M56" s="237"/>
      <c r="N56" s="237"/>
      <c r="O56" s="237"/>
      <c r="P56" s="237"/>
      <c r="Q56" s="237"/>
      <c r="R56" s="237"/>
      <c r="S56" s="237"/>
      <c r="T56" s="237"/>
      <c r="U56" s="237"/>
      <c r="V56" s="237"/>
      <c r="W56" s="237"/>
      <c r="X56" s="237"/>
      <c r="Y56" s="237"/>
      <c r="Z56" s="237"/>
    </row>
    <row r="57">
      <c r="A57" s="305">
        <v>56.0</v>
      </c>
      <c r="B57" s="236"/>
      <c r="C57" s="307" t="s">
        <v>1420</v>
      </c>
      <c r="D57" s="308" t="s">
        <v>1719</v>
      </c>
      <c r="E57" s="305" t="s">
        <v>12463</v>
      </c>
      <c r="F57" s="309" t="s">
        <v>12464</v>
      </c>
      <c r="G57" s="236"/>
      <c r="H57" s="307" t="s">
        <v>1420</v>
      </c>
      <c r="I57" s="237"/>
      <c r="J57" s="237"/>
      <c r="K57" s="310" t="s">
        <v>12462</v>
      </c>
      <c r="L57" s="237"/>
      <c r="M57" s="237"/>
      <c r="N57" s="237"/>
      <c r="O57" s="237"/>
      <c r="P57" s="237"/>
      <c r="Q57" s="237"/>
      <c r="R57" s="237"/>
      <c r="S57" s="237"/>
      <c r="T57" s="237"/>
      <c r="U57" s="237"/>
      <c r="V57" s="237"/>
      <c r="W57" s="237"/>
      <c r="X57" s="237"/>
      <c r="Y57" s="237"/>
      <c r="Z57" s="237"/>
    </row>
    <row r="58">
      <c r="A58" s="305">
        <v>57.0</v>
      </c>
      <c r="B58" s="236"/>
      <c r="C58" s="307" t="s">
        <v>1420</v>
      </c>
      <c r="D58" s="308" t="s">
        <v>1720</v>
      </c>
      <c r="E58" s="236"/>
      <c r="F58" s="309" t="s">
        <v>13967</v>
      </c>
      <c r="G58" s="236"/>
      <c r="H58" s="307" t="s">
        <v>1420</v>
      </c>
      <c r="I58" s="237"/>
      <c r="J58" s="237"/>
      <c r="K58" s="310" t="s">
        <v>13650</v>
      </c>
      <c r="L58" s="237"/>
      <c r="M58" s="237"/>
      <c r="N58" s="237"/>
      <c r="O58" s="237"/>
      <c r="P58" s="237"/>
      <c r="Q58" s="237"/>
      <c r="R58" s="237"/>
      <c r="S58" s="237"/>
      <c r="T58" s="237"/>
      <c r="U58" s="237"/>
      <c r="V58" s="237"/>
      <c r="W58" s="237"/>
      <c r="X58" s="237"/>
      <c r="Y58" s="237"/>
      <c r="Z58" s="237"/>
    </row>
    <row r="59">
      <c r="A59" s="305">
        <v>58.0</v>
      </c>
      <c r="B59" s="236"/>
      <c r="C59" s="307" t="s">
        <v>1420</v>
      </c>
      <c r="D59" s="308" t="s">
        <v>1731</v>
      </c>
      <c r="E59" s="305" t="s">
        <v>12466</v>
      </c>
      <c r="F59" s="309" t="s">
        <v>12467</v>
      </c>
      <c r="G59" s="236"/>
      <c r="H59" s="307" t="s">
        <v>1420</v>
      </c>
      <c r="I59" s="237"/>
      <c r="J59" s="237"/>
      <c r="K59" s="310" t="s">
        <v>12465</v>
      </c>
      <c r="L59" s="237"/>
      <c r="M59" s="237"/>
      <c r="N59" s="237"/>
      <c r="O59" s="237"/>
      <c r="P59" s="237"/>
      <c r="Q59" s="237"/>
      <c r="R59" s="237"/>
      <c r="S59" s="237"/>
      <c r="T59" s="237"/>
      <c r="U59" s="237"/>
      <c r="V59" s="237"/>
      <c r="W59" s="237"/>
      <c r="X59" s="237"/>
      <c r="Y59" s="237"/>
      <c r="Z59" s="237"/>
    </row>
    <row r="60">
      <c r="A60" s="305">
        <v>59.0</v>
      </c>
      <c r="B60" s="236"/>
      <c r="C60" s="307" t="s">
        <v>1420</v>
      </c>
      <c r="D60" s="308" t="s">
        <v>1732</v>
      </c>
      <c r="E60" s="236"/>
      <c r="F60" s="309" t="s">
        <v>13968</v>
      </c>
      <c r="G60" s="236"/>
      <c r="H60" s="307" t="s">
        <v>1420</v>
      </c>
      <c r="I60" s="237"/>
      <c r="J60" s="237"/>
      <c r="K60" s="310" t="s">
        <v>13670</v>
      </c>
      <c r="L60" s="237"/>
      <c r="M60" s="237"/>
      <c r="N60" s="237"/>
      <c r="O60" s="237"/>
      <c r="P60" s="237"/>
      <c r="Q60" s="237"/>
      <c r="R60" s="237"/>
      <c r="S60" s="237"/>
      <c r="T60" s="237"/>
      <c r="U60" s="237"/>
      <c r="V60" s="237"/>
      <c r="W60" s="237"/>
      <c r="X60" s="237"/>
      <c r="Y60" s="237"/>
      <c r="Z60" s="237"/>
    </row>
    <row r="61">
      <c r="A61" s="305">
        <v>60.0</v>
      </c>
      <c r="B61" s="236"/>
      <c r="C61" s="307" t="s">
        <v>1420</v>
      </c>
      <c r="D61" s="308" t="s">
        <v>12469</v>
      </c>
      <c r="E61" s="305" t="s">
        <v>12470</v>
      </c>
      <c r="F61" s="309" t="s">
        <v>12471</v>
      </c>
      <c r="G61" s="236"/>
      <c r="H61" s="307" t="s">
        <v>1420</v>
      </c>
      <c r="I61" s="237"/>
      <c r="J61" s="237"/>
      <c r="K61" s="310" t="s">
        <v>12468</v>
      </c>
      <c r="L61" s="237"/>
      <c r="M61" s="237"/>
      <c r="N61" s="237"/>
      <c r="O61" s="237"/>
      <c r="P61" s="237"/>
      <c r="Q61" s="237"/>
      <c r="R61" s="237"/>
      <c r="S61" s="237"/>
      <c r="T61" s="237"/>
      <c r="U61" s="237"/>
      <c r="V61" s="237"/>
      <c r="W61" s="237"/>
      <c r="X61" s="237"/>
      <c r="Y61" s="237"/>
      <c r="Z61" s="237"/>
    </row>
    <row r="62">
      <c r="A62" s="305">
        <v>61.0</v>
      </c>
      <c r="B62" s="306" t="s">
        <v>12472</v>
      </c>
      <c r="C62" s="307" t="s">
        <v>13452</v>
      </c>
      <c r="D62" s="308" t="s">
        <v>12473</v>
      </c>
      <c r="E62" s="305" t="s">
        <v>12474</v>
      </c>
      <c r="F62" s="236"/>
      <c r="G62" s="236"/>
      <c r="H62" s="307" t="s">
        <v>13452</v>
      </c>
      <c r="I62" s="237"/>
      <c r="J62" s="237"/>
      <c r="K62" s="262"/>
      <c r="L62" s="237"/>
      <c r="M62" s="237"/>
      <c r="N62" s="237"/>
      <c r="O62" s="237"/>
      <c r="P62" s="237"/>
      <c r="Q62" s="237"/>
      <c r="R62" s="237"/>
      <c r="S62" s="237"/>
      <c r="T62" s="237"/>
      <c r="U62" s="237"/>
      <c r="V62" s="237"/>
      <c r="W62" s="237"/>
      <c r="X62" s="237"/>
      <c r="Y62" s="237"/>
      <c r="Z62" s="237"/>
    </row>
    <row r="63">
      <c r="A63" s="305">
        <v>62.0</v>
      </c>
      <c r="B63" s="236"/>
      <c r="C63" s="307" t="s">
        <v>1420</v>
      </c>
      <c r="D63" s="308" t="s">
        <v>12476</v>
      </c>
      <c r="E63" s="305" t="s">
        <v>12477</v>
      </c>
      <c r="F63" s="309" t="s">
        <v>13969</v>
      </c>
      <c r="G63" s="236"/>
      <c r="H63" s="307" t="s">
        <v>1420</v>
      </c>
      <c r="I63" s="237"/>
      <c r="J63" s="237"/>
      <c r="K63" s="310" t="s">
        <v>12475</v>
      </c>
      <c r="L63" s="237"/>
      <c r="M63" s="237"/>
      <c r="N63" s="237"/>
      <c r="O63" s="237"/>
      <c r="P63" s="237"/>
      <c r="Q63" s="237"/>
      <c r="R63" s="237"/>
      <c r="S63" s="237"/>
      <c r="T63" s="237"/>
      <c r="U63" s="237"/>
      <c r="V63" s="237"/>
      <c r="W63" s="237"/>
      <c r="X63" s="237"/>
      <c r="Y63" s="237"/>
      <c r="Z63" s="237"/>
    </row>
    <row r="64">
      <c r="A64" s="305">
        <v>63.0</v>
      </c>
      <c r="B64" s="236"/>
      <c r="C64" s="307" t="s">
        <v>1420</v>
      </c>
      <c r="D64" s="308" t="s">
        <v>12480</v>
      </c>
      <c r="E64" s="305" t="s">
        <v>12477</v>
      </c>
      <c r="F64" s="309" t="s">
        <v>12481</v>
      </c>
      <c r="G64" s="236"/>
      <c r="H64" s="307" t="s">
        <v>1420</v>
      </c>
      <c r="I64" s="237"/>
      <c r="J64" s="237"/>
      <c r="K64" s="310" t="s">
        <v>12479</v>
      </c>
      <c r="L64" s="237"/>
      <c r="M64" s="237"/>
      <c r="N64" s="237"/>
      <c r="O64" s="237"/>
      <c r="P64" s="237"/>
      <c r="Q64" s="237"/>
      <c r="R64" s="237"/>
      <c r="S64" s="237"/>
      <c r="T64" s="237"/>
      <c r="U64" s="237"/>
      <c r="V64" s="237"/>
      <c r="W64" s="237"/>
      <c r="X64" s="237"/>
      <c r="Y64" s="237"/>
      <c r="Z64" s="237"/>
    </row>
    <row r="65">
      <c r="A65" s="305">
        <v>64.0</v>
      </c>
      <c r="B65" s="236"/>
      <c r="C65" s="307" t="s">
        <v>1420</v>
      </c>
      <c r="D65" s="308" t="s">
        <v>1738</v>
      </c>
      <c r="E65" s="305" t="s">
        <v>12483</v>
      </c>
      <c r="F65" s="309" t="s">
        <v>12484</v>
      </c>
      <c r="G65" s="236"/>
      <c r="H65" s="307" t="s">
        <v>1420</v>
      </c>
      <c r="I65" s="237"/>
      <c r="J65" s="237"/>
      <c r="K65" s="310" t="s">
        <v>12482</v>
      </c>
      <c r="L65" s="237"/>
      <c r="M65" s="237"/>
      <c r="N65" s="237"/>
      <c r="O65" s="237"/>
      <c r="P65" s="237"/>
      <c r="Q65" s="237"/>
      <c r="R65" s="237"/>
      <c r="S65" s="237"/>
      <c r="T65" s="237"/>
      <c r="U65" s="237"/>
      <c r="V65" s="237"/>
      <c r="W65" s="237"/>
      <c r="X65" s="237"/>
      <c r="Y65" s="237"/>
      <c r="Z65" s="237"/>
    </row>
    <row r="66">
      <c r="A66" s="305">
        <v>65.0</v>
      </c>
      <c r="B66" s="236"/>
      <c r="C66" s="307" t="s">
        <v>1420</v>
      </c>
      <c r="D66" s="308" t="s">
        <v>1737</v>
      </c>
      <c r="E66" s="236"/>
      <c r="F66" s="309" t="s">
        <v>13970</v>
      </c>
      <c r="G66" s="236"/>
      <c r="H66" s="307" t="s">
        <v>1420</v>
      </c>
      <c r="I66" s="237"/>
      <c r="J66" s="237"/>
      <c r="K66" s="310" t="s">
        <v>13662</v>
      </c>
      <c r="L66" s="237"/>
      <c r="M66" s="237"/>
      <c r="N66" s="237"/>
      <c r="O66" s="237"/>
      <c r="P66" s="237"/>
      <c r="Q66" s="237"/>
      <c r="R66" s="237"/>
      <c r="S66" s="237"/>
      <c r="T66" s="237"/>
      <c r="U66" s="237"/>
      <c r="V66" s="237"/>
      <c r="W66" s="237"/>
      <c r="X66" s="237"/>
      <c r="Y66" s="237"/>
      <c r="Z66" s="237"/>
    </row>
    <row r="67">
      <c r="A67" s="305">
        <v>66.0</v>
      </c>
      <c r="B67" s="236"/>
      <c r="C67" s="307" t="s">
        <v>1420</v>
      </c>
      <c r="D67" s="308" t="s">
        <v>12486</v>
      </c>
      <c r="E67" s="305" t="s">
        <v>12487</v>
      </c>
      <c r="F67" s="309" t="s">
        <v>13971</v>
      </c>
      <c r="G67" s="236"/>
      <c r="H67" s="307" t="s">
        <v>1420</v>
      </c>
      <c r="I67" s="237"/>
      <c r="J67" s="237"/>
      <c r="K67" s="310" t="s">
        <v>12485</v>
      </c>
      <c r="L67" s="237"/>
      <c r="M67" s="237"/>
      <c r="N67" s="237"/>
      <c r="O67" s="237"/>
      <c r="P67" s="237"/>
      <c r="Q67" s="237"/>
      <c r="R67" s="237"/>
      <c r="S67" s="237"/>
      <c r="T67" s="237"/>
      <c r="U67" s="237"/>
      <c r="V67" s="237"/>
      <c r="W67" s="237"/>
      <c r="X67" s="237"/>
      <c r="Y67" s="237"/>
      <c r="Z67" s="237"/>
    </row>
    <row r="68">
      <c r="A68" s="305">
        <v>67.0</v>
      </c>
      <c r="B68" s="236"/>
      <c r="C68" s="307" t="s">
        <v>1420</v>
      </c>
      <c r="D68" s="308" t="s">
        <v>1645</v>
      </c>
      <c r="E68" s="236"/>
      <c r="F68" s="309" t="s">
        <v>13971</v>
      </c>
      <c r="G68" s="236"/>
      <c r="H68" s="307" t="s">
        <v>1420</v>
      </c>
      <c r="I68" s="237"/>
      <c r="J68" s="237"/>
      <c r="K68" s="310" t="s">
        <v>12485</v>
      </c>
      <c r="L68" s="237"/>
      <c r="M68" s="237"/>
      <c r="N68" s="237"/>
      <c r="O68" s="237"/>
      <c r="P68" s="237"/>
      <c r="Q68" s="237"/>
      <c r="R68" s="237"/>
      <c r="S68" s="237"/>
      <c r="T68" s="237"/>
      <c r="U68" s="237"/>
      <c r="V68" s="237"/>
      <c r="W68" s="237"/>
      <c r="X68" s="237"/>
      <c r="Y68" s="237"/>
      <c r="Z68" s="237"/>
    </row>
    <row r="69">
      <c r="A69" s="305">
        <v>68.0</v>
      </c>
      <c r="B69" s="236"/>
      <c r="C69" s="307" t="s">
        <v>1420</v>
      </c>
      <c r="D69" s="308" t="s">
        <v>1739</v>
      </c>
      <c r="E69" s="305" t="s">
        <v>12490</v>
      </c>
      <c r="F69" s="309" t="s">
        <v>12491</v>
      </c>
      <c r="G69" s="236"/>
      <c r="H69" s="307" t="s">
        <v>1420</v>
      </c>
      <c r="I69" s="237"/>
      <c r="J69" s="237"/>
      <c r="K69" s="310" t="s">
        <v>12489</v>
      </c>
      <c r="L69" s="237"/>
      <c r="M69" s="237"/>
      <c r="N69" s="237"/>
      <c r="O69" s="237"/>
      <c r="P69" s="237"/>
      <c r="Q69" s="237"/>
      <c r="R69" s="237"/>
      <c r="S69" s="237"/>
      <c r="T69" s="237"/>
      <c r="U69" s="237"/>
      <c r="V69" s="237"/>
      <c r="W69" s="237"/>
      <c r="X69" s="237"/>
      <c r="Y69" s="237"/>
      <c r="Z69" s="237"/>
    </row>
    <row r="70">
      <c r="A70" s="305">
        <v>69.0</v>
      </c>
      <c r="B70" s="236"/>
      <c r="C70" s="307" t="s">
        <v>1420</v>
      </c>
      <c r="D70" s="308" t="s">
        <v>1740</v>
      </c>
      <c r="E70" s="236"/>
      <c r="F70" s="309" t="s">
        <v>13972</v>
      </c>
      <c r="G70" s="236"/>
      <c r="H70" s="307" t="s">
        <v>1420</v>
      </c>
      <c r="I70" s="237"/>
      <c r="J70" s="237"/>
      <c r="K70" s="310" t="s">
        <v>13664</v>
      </c>
      <c r="L70" s="237"/>
      <c r="M70" s="237"/>
      <c r="N70" s="237"/>
      <c r="O70" s="237"/>
      <c r="P70" s="237"/>
      <c r="Q70" s="237"/>
      <c r="R70" s="237"/>
      <c r="S70" s="237"/>
      <c r="T70" s="237"/>
      <c r="U70" s="237"/>
      <c r="V70" s="237"/>
      <c r="W70" s="237"/>
      <c r="X70" s="237"/>
      <c r="Y70" s="237"/>
      <c r="Z70" s="237"/>
    </row>
    <row r="71">
      <c r="A71" s="305">
        <v>70.0</v>
      </c>
      <c r="B71" s="236"/>
      <c r="C71" s="307" t="s">
        <v>1420</v>
      </c>
      <c r="D71" s="308" t="s">
        <v>12493</v>
      </c>
      <c r="E71" s="305" t="s">
        <v>12494</v>
      </c>
      <c r="F71" s="309" t="s">
        <v>12495</v>
      </c>
      <c r="G71" s="236"/>
      <c r="H71" s="307" t="s">
        <v>1420</v>
      </c>
      <c r="I71" s="237"/>
      <c r="J71" s="237"/>
      <c r="K71" s="310" t="s">
        <v>12492</v>
      </c>
      <c r="L71" s="237"/>
      <c r="M71" s="237"/>
      <c r="N71" s="237"/>
      <c r="O71" s="237"/>
      <c r="P71" s="237"/>
      <c r="Q71" s="237"/>
      <c r="R71" s="237"/>
      <c r="S71" s="237"/>
      <c r="T71" s="237"/>
      <c r="U71" s="237"/>
      <c r="V71" s="237"/>
      <c r="W71" s="237"/>
      <c r="X71" s="237"/>
      <c r="Y71" s="237"/>
      <c r="Z71" s="237"/>
    </row>
    <row r="72">
      <c r="A72" s="305">
        <v>71.0</v>
      </c>
      <c r="B72" s="236"/>
      <c r="C72" s="307" t="s">
        <v>1420</v>
      </c>
      <c r="D72" s="308" t="s">
        <v>1742</v>
      </c>
      <c r="E72" s="305" t="s">
        <v>12497</v>
      </c>
      <c r="F72" s="309" t="s">
        <v>12498</v>
      </c>
      <c r="G72" s="236"/>
      <c r="H72" s="307" t="s">
        <v>1420</v>
      </c>
      <c r="I72" s="237"/>
      <c r="J72" s="237"/>
      <c r="K72" s="310" t="s">
        <v>12496</v>
      </c>
      <c r="L72" s="237"/>
      <c r="M72" s="237"/>
      <c r="N72" s="237"/>
      <c r="O72" s="237"/>
      <c r="P72" s="237"/>
      <c r="Q72" s="237"/>
      <c r="R72" s="237"/>
      <c r="S72" s="237"/>
      <c r="T72" s="237"/>
      <c r="U72" s="237"/>
      <c r="V72" s="237"/>
      <c r="W72" s="237"/>
      <c r="X72" s="237"/>
      <c r="Y72" s="237"/>
      <c r="Z72" s="237"/>
    </row>
    <row r="73">
      <c r="A73" s="305">
        <v>72.0</v>
      </c>
      <c r="B73" s="236"/>
      <c r="C73" s="307" t="s">
        <v>1420</v>
      </c>
      <c r="D73" s="308" t="s">
        <v>1741</v>
      </c>
      <c r="E73" s="236"/>
      <c r="F73" s="309" t="s">
        <v>13973</v>
      </c>
      <c r="G73" s="236"/>
      <c r="H73" s="307" t="s">
        <v>1420</v>
      </c>
      <c r="I73" s="237"/>
      <c r="J73" s="237"/>
      <c r="K73" s="310" t="s">
        <v>13666</v>
      </c>
      <c r="L73" s="237"/>
      <c r="M73" s="237"/>
      <c r="N73" s="237"/>
      <c r="O73" s="237"/>
      <c r="P73" s="237"/>
      <c r="Q73" s="237"/>
      <c r="R73" s="237"/>
      <c r="S73" s="237"/>
      <c r="T73" s="237"/>
      <c r="U73" s="237"/>
      <c r="V73" s="237"/>
      <c r="W73" s="237"/>
      <c r="X73" s="237"/>
      <c r="Y73" s="237"/>
      <c r="Z73" s="237"/>
    </row>
    <row r="74">
      <c r="A74" s="305">
        <v>73.0</v>
      </c>
      <c r="B74" s="236"/>
      <c r="C74" s="307" t="s">
        <v>1420</v>
      </c>
      <c r="D74" s="308" t="s">
        <v>12500</v>
      </c>
      <c r="E74" s="305" t="s">
        <v>12501</v>
      </c>
      <c r="F74" s="309" t="s">
        <v>12502</v>
      </c>
      <c r="G74" s="236"/>
      <c r="H74" s="307" t="s">
        <v>1420</v>
      </c>
      <c r="I74" s="237"/>
      <c r="J74" s="237"/>
      <c r="K74" s="310" t="s">
        <v>12499</v>
      </c>
      <c r="L74" s="237"/>
      <c r="M74" s="237"/>
      <c r="N74" s="237"/>
      <c r="O74" s="237"/>
      <c r="P74" s="237"/>
      <c r="Q74" s="237"/>
      <c r="R74" s="237"/>
      <c r="S74" s="237"/>
      <c r="T74" s="237"/>
      <c r="U74" s="237"/>
      <c r="V74" s="237"/>
      <c r="W74" s="237"/>
      <c r="X74" s="237"/>
      <c r="Y74" s="237"/>
      <c r="Z74" s="237"/>
    </row>
    <row r="75">
      <c r="A75" s="305">
        <v>74.0</v>
      </c>
      <c r="B75" s="236"/>
      <c r="C75" s="307" t="s">
        <v>1420</v>
      </c>
      <c r="D75" s="308" t="s">
        <v>1643</v>
      </c>
      <c r="E75" s="236"/>
      <c r="F75" s="309" t="s">
        <v>12498</v>
      </c>
      <c r="G75" s="236"/>
      <c r="H75" s="307" t="s">
        <v>1420</v>
      </c>
      <c r="I75" s="237"/>
      <c r="J75" s="237"/>
      <c r="K75" s="310" t="s">
        <v>12496</v>
      </c>
      <c r="L75" s="237"/>
      <c r="M75" s="237"/>
      <c r="N75" s="237"/>
      <c r="O75" s="237"/>
      <c r="P75" s="237"/>
      <c r="Q75" s="237"/>
      <c r="R75" s="237"/>
      <c r="S75" s="237"/>
      <c r="T75" s="237"/>
      <c r="U75" s="237"/>
      <c r="V75" s="237"/>
      <c r="W75" s="237"/>
      <c r="X75" s="237"/>
      <c r="Y75" s="237"/>
      <c r="Z75" s="237"/>
    </row>
    <row r="76">
      <c r="A76" s="305">
        <v>75.0</v>
      </c>
      <c r="B76" s="236"/>
      <c r="C76" s="307" t="s">
        <v>1420</v>
      </c>
      <c r="D76" s="308" t="s">
        <v>1736</v>
      </c>
      <c r="E76" s="305" t="s">
        <v>12504</v>
      </c>
      <c r="F76" s="309" t="s">
        <v>12505</v>
      </c>
      <c r="G76" s="236"/>
      <c r="H76" s="307" t="s">
        <v>1420</v>
      </c>
      <c r="I76" s="237"/>
      <c r="J76" s="237"/>
      <c r="K76" s="310" t="s">
        <v>12503</v>
      </c>
      <c r="L76" s="237"/>
      <c r="M76" s="237"/>
      <c r="N76" s="237"/>
      <c r="O76" s="237"/>
      <c r="P76" s="237"/>
      <c r="Q76" s="237"/>
      <c r="R76" s="237"/>
      <c r="S76" s="237"/>
      <c r="T76" s="237"/>
      <c r="U76" s="237"/>
      <c r="V76" s="237"/>
      <c r="W76" s="237"/>
      <c r="X76" s="237"/>
      <c r="Y76" s="237"/>
      <c r="Z76" s="237"/>
    </row>
    <row r="77">
      <c r="A77" s="305">
        <v>76.0</v>
      </c>
      <c r="B77" s="236"/>
      <c r="C77" s="307" t="s">
        <v>1420</v>
      </c>
      <c r="D77" s="308" t="s">
        <v>1735</v>
      </c>
      <c r="E77" s="236"/>
      <c r="F77" s="309" t="s">
        <v>13974</v>
      </c>
      <c r="G77" s="236"/>
      <c r="H77" s="307" t="s">
        <v>1420</v>
      </c>
      <c r="I77" s="237"/>
      <c r="J77" s="237"/>
      <c r="K77" s="310" t="s">
        <v>13668</v>
      </c>
      <c r="L77" s="237"/>
      <c r="M77" s="237"/>
      <c r="N77" s="237"/>
      <c r="O77" s="237"/>
      <c r="P77" s="237"/>
      <c r="Q77" s="237"/>
      <c r="R77" s="237"/>
      <c r="S77" s="237"/>
      <c r="T77" s="237"/>
      <c r="U77" s="237"/>
      <c r="V77" s="237"/>
      <c r="W77" s="237"/>
      <c r="X77" s="237"/>
      <c r="Y77" s="237"/>
      <c r="Z77" s="237"/>
    </row>
    <row r="78">
      <c r="A78" s="305">
        <v>77.0</v>
      </c>
      <c r="B78" s="236"/>
      <c r="C78" s="307" t="s">
        <v>1420</v>
      </c>
      <c r="D78" s="308" t="s">
        <v>12507</v>
      </c>
      <c r="E78" s="305" t="s">
        <v>13975</v>
      </c>
      <c r="F78" s="309" t="s">
        <v>12509</v>
      </c>
      <c r="G78" s="236"/>
      <c r="H78" s="307" t="s">
        <v>1420</v>
      </c>
      <c r="I78" s="237"/>
      <c r="J78" s="237"/>
      <c r="K78" s="310" t="s">
        <v>12506</v>
      </c>
      <c r="L78" s="237"/>
      <c r="M78" s="237"/>
      <c r="N78" s="237"/>
      <c r="O78" s="237"/>
      <c r="P78" s="237"/>
      <c r="Q78" s="237"/>
      <c r="R78" s="237"/>
      <c r="S78" s="237"/>
      <c r="T78" s="237"/>
      <c r="U78" s="237"/>
      <c r="V78" s="237"/>
      <c r="W78" s="237"/>
      <c r="X78" s="237"/>
      <c r="Y78" s="237"/>
      <c r="Z78" s="237"/>
    </row>
    <row r="79">
      <c r="A79" s="305">
        <v>78.0</v>
      </c>
      <c r="B79" s="236"/>
      <c r="C79" s="307" t="s">
        <v>1420</v>
      </c>
      <c r="D79" s="308" t="s">
        <v>1644</v>
      </c>
      <c r="E79" s="236"/>
      <c r="F79" s="309" t="s">
        <v>12509</v>
      </c>
      <c r="G79" s="236"/>
      <c r="H79" s="307" t="s">
        <v>1420</v>
      </c>
      <c r="I79" s="237"/>
      <c r="J79" s="237"/>
      <c r="K79" s="310" t="s">
        <v>12506</v>
      </c>
      <c r="L79" s="237"/>
      <c r="M79" s="237"/>
      <c r="N79" s="237"/>
      <c r="O79" s="237"/>
      <c r="P79" s="237"/>
      <c r="Q79" s="237"/>
      <c r="R79" s="237"/>
      <c r="S79" s="237"/>
      <c r="T79" s="237"/>
      <c r="U79" s="237"/>
      <c r="V79" s="237"/>
      <c r="W79" s="237"/>
      <c r="X79" s="237"/>
      <c r="Y79" s="237"/>
      <c r="Z79" s="237"/>
    </row>
    <row r="80">
      <c r="A80" s="305">
        <v>79.0</v>
      </c>
      <c r="B80" s="236"/>
      <c r="C80" s="307" t="s">
        <v>1420</v>
      </c>
      <c r="D80" s="308" t="s">
        <v>1729</v>
      </c>
      <c r="E80" s="305" t="s">
        <v>12511</v>
      </c>
      <c r="F80" s="309" t="s">
        <v>13976</v>
      </c>
      <c r="G80" s="236"/>
      <c r="H80" s="307" t="s">
        <v>1420</v>
      </c>
      <c r="I80" s="237"/>
      <c r="J80" s="237"/>
      <c r="K80" s="310" t="s">
        <v>12510</v>
      </c>
      <c r="L80" s="237"/>
      <c r="M80" s="237"/>
      <c r="N80" s="237"/>
      <c r="O80" s="237"/>
      <c r="P80" s="237"/>
      <c r="Q80" s="237"/>
      <c r="R80" s="237"/>
      <c r="S80" s="237"/>
      <c r="T80" s="237"/>
      <c r="U80" s="237"/>
      <c r="V80" s="237"/>
      <c r="W80" s="237"/>
      <c r="X80" s="237"/>
      <c r="Y80" s="237"/>
      <c r="Z80" s="237"/>
    </row>
    <row r="81">
      <c r="A81" s="305">
        <v>80.0</v>
      </c>
      <c r="B81" s="236"/>
      <c r="C81" s="307" t="s">
        <v>1420</v>
      </c>
      <c r="D81" s="308" t="s">
        <v>1730</v>
      </c>
      <c r="E81" s="236"/>
      <c r="F81" s="309" t="s">
        <v>13977</v>
      </c>
      <c r="G81" s="236"/>
      <c r="H81" s="307" t="s">
        <v>1420</v>
      </c>
      <c r="I81" s="237"/>
      <c r="J81" s="237"/>
      <c r="K81" s="310" t="s">
        <v>13672</v>
      </c>
      <c r="L81" s="237"/>
      <c r="M81" s="237"/>
      <c r="N81" s="237"/>
      <c r="O81" s="237"/>
      <c r="P81" s="237"/>
      <c r="Q81" s="237"/>
      <c r="R81" s="237"/>
      <c r="S81" s="237"/>
      <c r="T81" s="237"/>
      <c r="U81" s="237"/>
      <c r="V81" s="237"/>
      <c r="W81" s="237"/>
      <c r="X81" s="237"/>
      <c r="Y81" s="237"/>
      <c r="Z81" s="237"/>
    </row>
    <row r="82">
      <c r="A82" s="305">
        <v>81.0</v>
      </c>
      <c r="B82" s="236"/>
      <c r="C82" s="307" t="s">
        <v>1420</v>
      </c>
      <c r="D82" s="308" t="s">
        <v>12514</v>
      </c>
      <c r="E82" s="305" t="s">
        <v>12515</v>
      </c>
      <c r="F82" s="309" t="s">
        <v>13660</v>
      </c>
      <c r="G82" s="236"/>
      <c r="H82" s="307" t="s">
        <v>1420</v>
      </c>
      <c r="I82" s="237"/>
      <c r="J82" s="237"/>
      <c r="K82" s="310" t="s">
        <v>12513</v>
      </c>
      <c r="L82" s="237"/>
      <c r="M82" s="237"/>
      <c r="N82" s="237"/>
      <c r="O82" s="237"/>
      <c r="P82" s="237"/>
      <c r="Q82" s="237"/>
      <c r="R82" s="237"/>
      <c r="S82" s="237"/>
      <c r="T82" s="237"/>
      <c r="U82" s="237"/>
      <c r="V82" s="237"/>
      <c r="W82" s="237"/>
      <c r="X82" s="237"/>
      <c r="Y82" s="237"/>
      <c r="Z82" s="237"/>
    </row>
    <row r="83">
      <c r="A83" s="305">
        <v>82.0</v>
      </c>
      <c r="B83" s="236"/>
      <c r="C83" s="307" t="s">
        <v>1420</v>
      </c>
      <c r="D83" s="308" t="s">
        <v>1767</v>
      </c>
      <c r="E83" s="236"/>
      <c r="F83" s="309" t="s">
        <v>13660</v>
      </c>
      <c r="G83" s="236"/>
      <c r="H83" s="307" t="s">
        <v>1420</v>
      </c>
      <c r="I83" s="237"/>
      <c r="J83" s="237"/>
      <c r="K83" s="310" t="s">
        <v>12513</v>
      </c>
      <c r="L83" s="237"/>
      <c r="M83" s="237"/>
      <c r="N83" s="237"/>
      <c r="O83" s="237"/>
      <c r="P83" s="237"/>
      <c r="Q83" s="237"/>
      <c r="R83" s="237"/>
      <c r="S83" s="237"/>
      <c r="T83" s="237"/>
      <c r="U83" s="237"/>
      <c r="V83" s="237"/>
      <c r="W83" s="237"/>
      <c r="X83" s="237"/>
      <c r="Y83" s="237"/>
      <c r="Z83" s="237"/>
    </row>
    <row r="84">
      <c r="A84" s="305">
        <v>83.0</v>
      </c>
      <c r="B84" s="236"/>
      <c r="C84" s="307" t="s">
        <v>1420</v>
      </c>
      <c r="D84" s="308" t="s">
        <v>1768</v>
      </c>
      <c r="E84" s="236"/>
      <c r="F84" s="236"/>
      <c r="G84" s="236"/>
      <c r="H84" s="307" t="s">
        <v>1420</v>
      </c>
      <c r="I84" s="237"/>
      <c r="J84" s="237"/>
      <c r="K84" s="310" t="s">
        <v>13661</v>
      </c>
      <c r="L84" s="237"/>
      <c r="M84" s="237"/>
      <c r="N84" s="237"/>
      <c r="O84" s="237"/>
      <c r="P84" s="237"/>
      <c r="Q84" s="237"/>
      <c r="R84" s="237"/>
      <c r="S84" s="237"/>
      <c r="T84" s="237"/>
      <c r="U84" s="237"/>
      <c r="V84" s="237"/>
      <c r="W84" s="237"/>
      <c r="X84" s="237"/>
      <c r="Y84" s="237"/>
      <c r="Z84" s="237"/>
    </row>
    <row r="85">
      <c r="A85" s="305">
        <v>84.0</v>
      </c>
      <c r="B85" s="236"/>
      <c r="C85" s="307" t="s">
        <v>1420</v>
      </c>
      <c r="D85" s="308" t="s">
        <v>1725</v>
      </c>
      <c r="E85" s="305" t="s">
        <v>12518</v>
      </c>
      <c r="F85" s="309" t="s">
        <v>12519</v>
      </c>
      <c r="G85" s="236"/>
      <c r="H85" s="307" t="s">
        <v>1420</v>
      </c>
      <c r="I85" s="237"/>
      <c r="J85" s="237"/>
      <c r="K85" s="310" t="s">
        <v>12517</v>
      </c>
      <c r="L85" s="237"/>
      <c r="M85" s="237"/>
      <c r="N85" s="237"/>
      <c r="O85" s="237"/>
      <c r="P85" s="237"/>
      <c r="Q85" s="237"/>
      <c r="R85" s="237"/>
      <c r="S85" s="237"/>
      <c r="T85" s="237"/>
      <c r="U85" s="237"/>
      <c r="V85" s="237"/>
      <c r="W85" s="237"/>
      <c r="X85" s="237"/>
      <c r="Y85" s="237"/>
      <c r="Z85" s="237"/>
    </row>
    <row r="86">
      <c r="A86" s="305">
        <v>85.0</v>
      </c>
      <c r="B86" s="236"/>
      <c r="C86" s="307" t="s">
        <v>1420</v>
      </c>
      <c r="D86" s="308" t="s">
        <v>1726</v>
      </c>
      <c r="E86" s="236"/>
      <c r="F86" s="309" t="s">
        <v>13978</v>
      </c>
      <c r="G86" s="236"/>
      <c r="H86" s="307" t="s">
        <v>1420</v>
      </c>
      <c r="I86" s="237"/>
      <c r="J86" s="237"/>
      <c r="K86" s="310" t="s">
        <v>13652</v>
      </c>
      <c r="L86" s="237"/>
      <c r="M86" s="237"/>
      <c r="N86" s="237"/>
      <c r="O86" s="237"/>
      <c r="P86" s="237"/>
      <c r="Q86" s="237"/>
      <c r="R86" s="237"/>
      <c r="S86" s="237"/>
      <c r="T86" s="237"/>
      <c r="U86" s="237"/>
      <c r="V86" s="237"/>
      <c r="W86" s="237"/>
      <c r="X86" s="237"/>
      <c r="Y86" s="237"/>
      <c r="Z86" s="237"/>
    </row>
    <row r="87">
      <c r="A87" s="305">
        <v>86.0</v>
      </c>
      <c r="B87" s="306" t="s">
        <v>1511</v>
      </c>
      <c r="C87" s="307" t="s">
        <v>1420</v>
      </c>
      <c r="D87" s="308" t="s">
        <v>1512</v>
      </c>
      <c r="E87" s="305" t="s">
        <v>13268</v>
      </c>
      <c r="F87" s="309" t="s">
        <v>13979</v>
      </c>
      <c r="G87" s="236"/>
      <c r="H87" s="307" t="s">
        <v>1420</v>
      </c>
      <c r="I87" s="237"/>
      <c r="J87" s="237"/>
      <c r="K87" s="310" t="s">
        <v>13267</v>
      </c>
      <c r="L87" s="237"/>
      <c r="M87" s="237"/>
      <c r="N87" s="237"/>
      <c r="O87" s="237"/>
      <c r="P87" s="237"/>
      <c r="Q87" s="237"/>
      <c r="R87" s="237"/>
      <c r="S87" s="237"/>
      <c r="T87" s="237"/>
      <c r="U87" s="237"/>
      <c r="V87" s="237"/>
      <c r="W87" s="237"/>
      <c r="X87" s="237"/>
      <c r="Y87" s="237"/>
      <c r="Z87" s="237"/>
    </row>
    <row r="88">
      <c r="A88" s="305">
        <v>87.0</v>
      </c>
      <c r="B88" s="306" t="s">
        <v>1513</v>
      </c>
      <c r="C88" s="307" t="s">
        <v>1420</v>
      </c>
      <c r="D88" s="308" t="s">
        <v>1514</v>
      </c>
      <c r="E88" s="305" t="s">
        <v>13271</v>
      </c>
      <c r="F88" s="309" t="s">
        <v>13980</v>
      </c>
      <c r="G88" s="236"/>
      <c r="H88" s="307" t="s">
        <v>1420</v>
      </c>
      <c r="I88" s="237"/>
      <c r="J88" s="237"/>
      <c r="K88" s="310" t="s">
        <v>13270</v>
      </c>
      <c r="L88" s="237"/>
      <c r="M88" s="237"/>
      <c r="N88" s="237"/>
      <c r="O88" s="237"/>
      <c r="P88" s="237"/>
      <c r="Q88" s="237"/>
      <c r="R88" s="237"/>
      <c r="S88" s="237"/>
      <c r="T88" s="237"/>
      <c r="U88" s="237"/>
      <c r="V88" s="237"/>
      <c r="W88" s="237"/>
      <c r="X88" s="237"/>
      <c r="Y88" s="237"/>
      <c r="Z88" s="237"/>
    </row>
    <row r="89">
      <c r="A89" s="305">
        <v>88.0</v>
      </c>
      <c r="B89" s="306" t="s">
        <v>1515</v>
      </c>
      <c r="C89" s="307" t="s">
        <v>1420</v>
      </c>
      <c r="D89" s="308" t="s">
        <v>1516</v>
      </c>
      <c r="E89" s="305" t="s">
        <v>13274</v>
      </c>
      <c r="F89" s="309" t="s">
        <v>13981</v>
      </c>
      <c r="G89" s="236"/>
      <c r="H89" s="307" t="s">
        <v>1420</v>
      </c>
      <c r="I89" s="237"/>
      <c r="J89" s="237"/>
      <c r="K89" s="310" t="s">
        <v>13273</v>
      </c>
      <c r="L89" s="237"/>
      <c r="M89" s="237"/>
      <c r="N89" s="237"/>
      <c r="O89" s="237"/>
      <c r="P89" s="237"/>
      <c r="Q89" s="237"/>
      <c r="R89" s="237"/>
      <c r="S89" s="237"/>
      <c r="T89" s="237"/>
      <c r="U89" s="237"/>
      <c r="V89" s="237"/>
      <c r="W89" s="237"/>
      <c r="X89" s="237"/>
      <c r="Y89" s="237"/>
      <c r="Z89" s="237"/>
    </row>
    <row r="90">
      <c r="A90" s="305">
        <v>89.0</v>
      </c>
      <c r="B90" s="306" t="s">
        <v>1517</v>
      </c>
      <c r="C90" s="307" t="s">
        <v>1420</v>
      </c>
      <c r="D90" s="308" t="s">
        <v>1518</v>
      </c>
      <c r="E90" s="305" t="s">
        <v>13277</v>
      </c>
      <c r="F90" s="309" t="s">
        <v>13278</v>
      </c>
      <c r="G90" s="236"/>
      <c r="H90" s="307" t="s">
        <v>1420</v>
      </c>
      <c r="I90" s="237"/>
      <c r="J90" s="237"/>
      <c r="K90" s="310" t="s">
        <v>13276</v>
      </c>
      <c r="L90" s="237"/>
      <c r="M90" s="237"/>
      <c r="N90" s="237"/>
      <c r="O90" s="237"/>
      <c r="P90" s="237"/>
      <c r="Q90" s="237"/>
      <c r="R90" s="237"/>
      <c r="S90" s="237"/>
      <c r="T90" s="237"/>
      <c r="U90" s="237"/>
      <c r="V90" s="237"/>
      <c r="W90" s="237"/>
      <c r="X90" s="237"/>
      <c r="Y90" s="237"/>
      <c r="Z90" s="237"/>
    </row>
    <row r="91">
      <c r="A91" s="305">
        <v>90.0</v>
      </c>
      <c r="B91" s="306" t="s">
        <v>1519</v>
      </c>
      <c r="C91" s="307" t="s">
        <v>1420</v>
      </c>
      <c r="D91" s="308" t="s">
        <v>1520</v>
      </c>
      <c r="E91" s="305" t="s">
        <v>13280</v>
      </c>
      <c r="F91" s="309" t="s">
        <v>13982</v>
      </c>
      <c r="G91" s="236"/>
      <c r="H91" s="307" t="s">
        <v>1420</v>
      </c>
      <c r="I91" s="237"/>
      <c r="J91" s="237"/>
      <c r="K91" s="310" t="s">
        <v>13279</v>
      </c>
      <c r="L91" s="237"/>
      <c r="M91" s="237"/>
      <c r="N91" s="237"/>
      <c r="O91" s="237"/>
      <c r="P91" s="237"/>
      <c r="Q91" s="237"/>
      <c r="R91" s="237"/>
      <c r="S91" s="237"/>
      <c r="T91" s="237"/>
      <c r="U91" s="237"/>
      <c r="V91" s="237"/>
      <c r="W91" s="237"/>
      <c r="X91" s="237"/>
      <c r="Y91" s="237"/>
      <c r="Z91" s="237"/>
    </row>
    <row r="92">
      <c r="A92" s="305">
        <v>91.0</v>
      </c>
      <c r="B92" s="306" t="s">
        <v>1521</v>
      </c>
      <c r="C92" s="307" t="s">
        <v>1420</v>
      </c>
      <c r="D92" s="308" t="s">
        <v>1522</v>
      </c>
      <c r="E92" s="305" t="s">
        <v>13283</v>
      </c>
      <c r="F92" s="309" t="s">
        <v>13983</v>
      </c>
      <c r="G92" s="236"/>
      <c r="H92" s="307" t="s">
        <v>1420</v>
      </c>
      <c r="I92" s="237"/>
      <c r="J92" s="237"/>
      <c r="K92" s="310" t="s">
        <v>13282</v>
      </c>
      <c r="L92" s="237"/>
      <c r="M92" s="237"/>
      <c r="N92" s="237"/>
      <c r="O92" s="237"/>
      <c r="P92" s="237"/>
      <c r="Q92" s="237"/>
      <c r="R92" s="237"/>
      <c r="S92" s="237"/>
      <c r="T92" s="237"/>
      <c r="U92" s="237"/>
      <c r="V92" s="237"/>
      <c r="W92" s="237"/>
      <c r="X92" s="237"/>
      <c r="Y92" s="237"/>
      <c r="Z92" s="237"/>
    </row>
    <row r="93">
      <c r="A93" s="305">
        <v>92.0</v>
      </c>
      <c r="B93" s="236"/>
      <c r="C93" s="307" t="s">
        <v>1420</v>
      </c>
      <c r="D93" s="308" t="s">
        <v>1718</v>
      </c>
      <c r="E93" s="305" t="s">
        <v>12521</v>
      </c>
      <c r="F93" s="309" t="s">
        <v>12522</v>
      </c>
      <c r="G93" s="236"/>
      <c r="H93" s="307" t="s">
        <v>1420</v>
      </c>
      <c r="I93" s="237"/>
      <c r="J93" s="237"/>
      <c r="K93" s="310" t="s">
        <v>12520</v>
      </c>
      <c r="L93" s="237"/>
      <c r="M93" s="237"/>
      <c r="N93" s="237"/>
      <c r="O93" s="237"/>
      <c r="P93" s="237"/>
      <c r="Q93" s="237"/>
      <c r="R93" s="237"/>
      <c r="S93" s="237"/>
      <c r="T93" s="237"/>
      <c r="U93" s="237"/>
      <c r="V93" s="237"/>
      <c r="W93" s="237"/>
      <c r="X93" s="237"/>
      <c r="Y93" s="237"/>
      <c r="Z93" s="237"/>
    </row>
    <row r="94">
      <c r="A94" s="305">
        <v>93.0</v>
      </c>
      <c r="B94" s="236"/>
      <c r="C94" s="307" t="s">
        <v>1420</v>
      </c>
      <c r="D94" s="308" t="s">
        <v>1717</v>
      </c>
      <c r="E94" s="236"/>
      <c r="F94" s="309" t="s">
        <v>13984</v>
      </c>
      <c r="G94" s="236"/>
      <c r="H94" s="307" t="s">
        <v>1420</v>
      </c>
      <c r="I94" s="237"/>
      <c r="J94" s="237"/>
      <c r="K94" s="310" t="s">
        <v>13654</v>
      </c>
      <c r="L94" s="237"/>
      <c r="M94" s="237"/>
      <c r="N94" s="237"/>
      <c r="O94" s="237"/>
      <c r="P94" s="237"/>
      <c r="Q94" s="237"/>
      <c r="R94" s="237"/>
      <c r="S94" s="237"/>
      <c r="T94" s="237"/>
      <c r="U94" s="237"/>
      <c r="V94" s="237"/>
      <c r="W94" s="237"/>
      <c r="X94" s="237"/>
      <c r="Y94" s="237"/>
      <c r="Z94" s="237"/>
    </row>
    <row r="95">
      <c r="A95" s="305">
        <v>94.0</v>
      </c>
      <c r="B95" s="236"/>
      <c r="C95" s="307" t="s">
        <v>1420</v>
      </c>
      <c r="D95" s="308" t="s">
        <v>12524</v>
      </c>
      <c r="E95" s="305" t="s">
        <v>12525</v>
      </c>
      <c r="F95" s="309" t="s">
        <v>12526</v>
      </c>
      <c r="G95" s="236"/>
      <c r="H95" s="307" t="s">
        <v>1420</v>
      </c>
      <c r="I95" s="237"/>
      <c r="J95" s="237"/>
      <c r="K95" s="310" t="s">
        <v>12523</v>
      </c>
      <c r="L95" s="237"/>
      <c r="M95" s="237"/>
      <c r="N95" s="237"/>
      <c r="O95" s="237"/>
      <c r="P95" s="237"/>
      <c r="Q95" s="237"/>
      <c r="R95" s="237"/>
      <c r="S95" s="237"/>
      <c r="T95" s="237"/>
      <c r="U95" s="237"/>
      <c r="V95" s="237"/>
      <c r="W95" s="237"/>
      <c r="X95" s="237"/>
      <c r="Y95" s="237"/>
      <c r="Z95" s="237"/>
    </row>
    <row r="96">
      <c r="A96" s="305">
        <v>95.0</v>
      </c>
      <c r="B96" s="236"/>
      <c r="C96" s="307" t="s">
        <v>1420</v>
      </c>
      <c r="D96" s="308" t="s">
        <v>1715</v>
      </c>
      <c r="E96" s="236"/>
      <c r="F96" s="309" t="s">
        <v>13985</v>
      </c>
      <c r="G96" s="236"/>
      <c r="H96" s="307" t="s">
        <v>1420</v>
      </c>
      <c r="I96" s="237"/>
      <c r="J96" s="237"/>
      <c r="K96" s="310" t="s">
        <v>13656</v>
      </c>
      <c r="L96" s="237"/>
      <c r="M96" s="237"/>
      <c r="N96" s="237"/>
      <c r="O96" s="237"/>
      <c r="P96" s="237"/>
      <c r="Q96" s="237"/>
      <c r="R96" s="237"/>
      <c r="S96" s="237"/>
      <c r="T96" s="237"/>
      <c r="U96" s="237"/>
      <c r="V96" s="237"/>
      <c r="W96" s="237"/>
      <c r="X96" s="237"/>
      <c r="Y96" s="237"/>
      <c r="Z96" s="237"/>
    </row>
    <row r="97">
      <c r="A97" s="305">
        <v>96.0</v>
      </c>
      <c r="B97" s="236"/>
      <c r="C97" s="307" t="s">
        <v>1420</v>
      </c>
      <c r="D97" s="308" t="s">
        <v>1716</v>
      </c>
      <c r="E97" s="305" t="s">
        <v>12528</v>
      </c>
      <c r="F97" s="309" t="s">
        <v>12529</v>
      </c>
      <c r="G97" s="236"/>
      <c r="H97" s="307" t="s">
        <v>1420</v>
      </c>
      <c r="I97" s="237"/>
      <c r="J97" s="237"/>
      <c r="K97" s="310" t="s">
        <v>12527</v>
      </c>
      <c r="L97" s="237"/>
      <c r="M97" s="237"/>
      <c r="N97" s="237"/>
      <c r="O97" s="237"/>
      <c r="P97" s="237"/>
      <c r="Q97" s="237"/>
      <c r="R97" s="237"/>
      <c r="S97" s="237"/>
      <c r="T97" s="237"/>
      <c r="U97" s="237"/>
      <c r="V97" s="237"/>
      <c r="W97" s="237"/>
      <c r="X97" s="237"/>
      <c r="Y97" s="237"/>
      <c r="Z97" s="237"/>
    </row>
    <row r="98">
      <c r="A98" s="305">
        <v>97.0</v>
      </c>
      <c r="B98" s="236"/>
      <c r="C98" s="307" t="s">
        <v>1420</v>
      </c>
      <c r="D98" s="308" t="s">
        <v>1727</v>
      </c>
      <c r="E98" s="305" t="s">
        <v>12531</v>
      </c>
      <c r="F98" s="309" t="s">
        <v>12532</v>
      </c>
      <c r="G98" s="236"/>
      <c r="H98" s="307" t="s">
        <v>1420</v>
      </c>
      <c r="I98" s="237"/>
      <c r="J98" s="237"/>
      <c r="K98" s="310" t="s">
        <v>12530</v>
      </c>
      <c r="L98" s="237"/>
      <c r="M98" s="237"/>
      <c r="N98" s="237"/>
      <c r="O98" s="237"/>
      <c r="P98" s="237"/>
      <c r="Q98" s="237"/>
      <c r="R98" s="237"/>
      <c r="S98" s="237"/>
      <c r="T98" s="237"/>
      <c r="U98" s="237"/>
      <c r="V98" s="237"/>
      <c r="W98" s="237"/>
      <c r="X98" s="237"/>
      <c r="Y98" s="237"/>
      <c r="Z98" s="237"/>
    </row>
    <row r="99">
      <c r="A99" s="305">
        <v>98.0</v>
      </c>
      <c r="B99" s="236"/>
      <c r="C99" s="307" t="s">
        <v>1420</v>
      </c>
      <c r="D99" s="308" t="s">
        <v>1728</v>
      </c>
      <c r="E99" s="236"/>
      <c r="F99" s="309" t="s">
        <v>13986</v>
      </c>
      <c r="G99" s="236"/>
      <c r="H99" s="307" t="s">
        <v>1420</v>
      </c>
      <c r="I99" s="237"/>
      <c r="J99" s="237"/>
      <c r="K99" s="310" t="s">
        <v>13658</v>
      </c>
      <c r="L99" s="237"/>
      <c r="M99" s="237"/>
      <c r="N99" s="237"/>
      <c r="O99" s="237"/>
      <c r="P99" s="237"/>
      <c r="Q99" s="237"/>
      <c r="R99" s="237"/>
      <c r="S99" s="237"/>
      <c r="T99" s="237"/>
      <c r="U99" s="237"/>
      <c r="V99" s="237"/>
      <c r="W99" s="237"/>
      <c r="X99" s="237"/>
      <c r="Y99" s="237"/>
      <c r="Z99" s="237"/>
    </row>
    <row r="100">
      <c r="A100" s="305">
        <v>99.0</v>
      </c>
      <c r="B100" s="236"/>
      <c r="C100" s="307" t="s">
        <v>1420</v>
      </c>
      <c r="D100" s="308" t="s">
        <v>12534</v>
      </c>
      <c r="E100" s="305" t="s">
        <v>12483</v>
      </c>
      <c r="F100" s="309" t="s">
        <v>12535</v>
      </c>
      <c r="G100" s="236"/>
      <c r="H100" s="307" t="s">
        <v>1420</v>
      </c>
      <c r="I100" s="237"/>
      <c r="J100" s="237"/>
      <c r="K100" s="310" t="s">
        <v>12533</v>
      </c>
      <c r="L100" s="237"/>
      <c r="M100" s="237"/>
      <c r="N100" s="237"/>
      <c r="O100" s="237"/>
      <c r="P100" s="237"/>
      <c r="Q100" s="237"/>
      <c r="R100" s="237"/>
      <c r="S100" s="237"/>
      <c r="T100" s="237"/>
      <c r="U100" s="237"/>
      <c r="V100" s="237"/>
      <c r="W100" s="237"/>
      <c r="X100" s="237"/>
      <c r="Y100" s="237"/>
      <c r="Z100" s="237"/>
    </row>
    <row r="101">
      <c r="A101" s="305">
        <v>100.0</v>
      </c>
      <c r="B101" s="236"/>
      <c r="C101" s="307" t="s">
        <v>1420</v>
      </c>
      <c r="D101" s="308" t="s">
        <v>1724</v>
      </c>
      <c r="E101" s="305" t="s">
        <v>12537</v>
      </c>
      <c r="F101" s="309" t="s">
        <v>12538</v>
      </c>
      <c r="G101" s="236"/>
      <c r="H101" s="307" t="s">
        <v>1420</v>
      </c>
      <c r="I101" s="237"/>
      <c r="J101" s="237"/>
      <c r="K101" s="310" t="s">
        <v>12536</v>
      </c>
      <c r="L101" s="237"/>
      <c r="M101" s="237"/>
      <c r="N101" s="237"/>
      <c r="O101" s="237"/>
      <c r="P101" s="237"/>
      <c r="Q101" s="237"/>
      <c r="R101" s="237"/>
      <c r="S101" s="237"/>
      <c r="T101" s="237"/>
      <c r="U101" s="237"/>
      <c r="V101" s="237"/>
      <c r="W101" s="237"/>
      <c r="X101" s="237"/>
      <c r="Y101" s="237"/>
      <c r="Z101" s="237"/>
    </row>
    <row r="102">
      <c r="A102" s="305">
        <v>101.0</v>
      </c>
      <c r="B102" s="306" t="s">
        <v>3643</v>
      </c>
      <c r="C102" s="307" t="s">
        <v>1420</v>
      </c>
      <c r="D102" s="308" t="s">
        <v>13987</v>
      </c>
      <c r="E102" s="305" t="s">
        <v>3646</v>
      </c>
      <c r="F102" s="309" t="s">
        <v>3647</v>
      </c>
      <c r="G102" s="236"/>
      <c r="H102" s="307" t="s">
        <v>1420</v>
      </c>
      <c r="I102" s="237"/>
      <c r="J102" s="237"/>
      <c r="K102" s="310" t="s">
        <v>3644</v>
      </c>
      <c r="L102" s="237"/>
      <c r="M102" s="237"/>
      <c r="N102" s="237"/>
      <c r="O102" s="237"/>
      <c r="P102" s="237"/>
      <c r="Q102" s="237"/>
      <c r="R102" s="237"/>
      <c r="S102" s="237"/>
      <c r="T102" s="237"/>
      <c r="U102" s="237"/>
      <c r="V102" s="237"/>
      <c r="W102" s="237"/>
      <c r="X102" s="237"/>
      <c r="Y102" s="237"/>
      <c r="Z102" s="237"/>
    </row>
    <row r="103">
      <c r="A103" s="305">
        <v>102.0</v>
      </c>
      <c r="B103" s="306" t="s">
        <v>3708</v>
      </c>
      <c r="C103" s="307" t="s">
        <v>1420</v>
      </c>
      <c r="D103" s="308" t="s">
        <v>13987</v>
      </c>
      <c r="E103" s="305" t="s">
        <v>3711</v>
      </c>
      <c r="F103" s="309" t="s">
        <v>3712</v>
      </c>
      <c r="G103" s="236"/>
      <c r="H103" s="307" t="s">
        <v>1420</v>
      </c>
      <c r="I103" s="237"/>
      <c r="J103" s="237"/>
      <c r="K103" s="310" t="s">
        <v>3709</v>
      </c>
      <c r="L103" s="237"/>
      <c r="M103" s="237"/>
      <c r="N103" s="237"/>
      <c r="O103" s="237"/>
      <c r="P103" s="237"/>
      <c r="Q103" s="237"/>
      <c r="R103" s="237"/>
      <c r="S103" s="237"/>
      <c r="T103" s="237"/>
      <c r="U103" s="237"/>
      <c r="V103" s="237"/>
      <c r="W103" s="237"/>
      <c r="X103" s="237"/>
      <c r="Y103" s="237"/>
      <c r="Z103" s="237"/>
    </row>
    <row r="104">
      <c r="A104" s="305">
        <v>103.0</v>
      </c>
      <c r="B104" s="306" t="s">
        <v>5695</v>
      </c>
      <c r="C104" s="307" t="s">
        <v>1420</v>
      </c>
      <c r="D104" s="308" t="s">
        <v>5697</v>
      </c>
      <c r="E104" s="305" t="s">
        <v>5698</v>
      </c>
      <c r="F104" s="309" t="s">
        <v>5699</v>
      </c>
      <c r="G104" s="236"/>
      <c r="H104" s="307" t="s">
        <v>1420</v>
      </c>
      <c r="I104" s="237"/>
      <c r="J104" s="237"/>
      <c r="K104" s="310" t="s">
        <v>5696</v>
      </c>
      <c r="L104" s="237"/>
      <c r="M104" s="237"/>
      <c r="N104" s="237"/>
      <c r="O104" s="237"/>
      <c r="P104" s="237"/>
      <c r="Q104" s="237"/>
      <c r="R104" s="237"/>
      <c r="S104" s="237"/>
      <c r="T104" s="237"/>
      <c r="U104" s="237"/>
      <c r="V104" s="237"/>
      <c r="W104" s="237"/>
      <c r="X104" s="237"/>
      <c r="Y104" s="237"/>
      <c r="Z104" s="237"/>
    </row>
    <row r="105">
      <c r="A105" s="305">
        <v>104.0</v>
      </c>
      <c r="B105" s="306" t="s">
        <v>5701</v>
      </c>
      <c r="C105" s="307" t="s">
        <v>1420</v>
      </c>
      <c r="D105" s="308" t="s">
        <v>5703</v>
      </c>
      <c r="E105" s="305" t="s">
        <v>5704</v>
      </c>
      <c r="F105" s="309" t="s">
        <v>5705</v>
      </c>
      <c r="G105" s="236"/>
      <c r="H105" s="307" t="s">
        <v>1420</v>
      </c>
      <c r="I105" s="237"/>
      <c r="J105" s="237"/>
      <c r="K105" s="310" t="s">
        <v>5702</v>
      </c>
      <c r="L105" s="237"/>
      <c r="M105" s="237"/>
      <c r="N105" s="237"/>
      <c r="O105" s="237"/>
      <c r="P105" s="237"/>
      <c r="Q105" s="237"/>
      <c r="R105" s="237"/>
      <c r="S105" s="237"/>
      <c r="T105" s="237"/>
      <c r="U105" s="237"/>
      <c r="V105" s="237"/>
      <c r="W105" s="237"/>
      <c r="X105" s="237"/>
      <c r="Y105" s="237"/>
      <c r="Z105" s="237"/>
    </row>
    <row r="106">
      <c r="A106" s="305">
        <v>105.0</v>
      </c>
      <c r="B106" s="236"/>
      <c r="C106" s="307" t="s">
        <v>1420</v>
      </c>
      <c r="D106" s="308" t="s">
        <v>8599</v>
      </c>
      <c r="E106" s="305" t="s">
        <v>8600</v>
      </c>
      <c r="F106" s="309" t="s">
        <v>8601</v>
      </c>
      <c r="G106" s="236"/>
      <c r="H106" s="307" t="s">
        <v>1420</v>
      </c>
      <c r="I106" s="237"/>
      <c r="J106" s="237"/>
      <c r="K106" s="310" t="s">
        <v>8598</v>
      </c>
      <c r="L106" s="237"/>
      <c r="M106" s="237"/>
      <c r="N106" s="237"/>
      <c r="O106" s="237"/>
      <c r="P106" s="237"/>
      <c r="Q106" s="237"/>
      <c r="R106" s="237"/>
      <c r="S106" s="237"/>
      <c r="T106" s="237"/>
      <c r="U106" s="237"/>
      <c r="V106" s="237"/>
      <c r="W106" s="237"/>
      <c r="X106" s="237"/>
      <c r="Y106" s="237"/>
      <c r="Z106" s="237"/>
    </row>
    <row r="107">
      <c r="A107" s="305">
        <v>106.0</v>
      </c>
      <c r="B107" s="236"/>
      <c r="C107" s="307" t="s">
        <v>1420</v>
      </c>
      <c r="D107" s="308" t="s">
        <v>8603</v>
      </c>
      <c r="E107" s="305" t="s">
        <v>8604</v>
      </c>
      <c r="F107" s="309" t="s">
        <v>8605</v>
      </c>
      <c r="G107" s="236"/>
      <c r="H107" s="307" t="s">
        <v>1420</v>
      </c>
      <c r="I107" s="237"/>
      <c r="J107" s="237"/>
      <c r="K107" s="310" t="s">
        <v>8602</v>
      </c>
      <c r="L107" s="237"/>
      <c r="M107" s="237"/>
      <c r="N107" s="237"/>
      <c r="O107" s="237"/>
      <c r="P107" s="237"/>
      <c r="Q107" s="237"/>
      <c r="R107" s="237"/>
      <c r="S107" s="237"/>
      <c r="T107" s="237"/>
      <c r="U107" s="237"/>
      <c r="V107" s="237"/>
      <c r="W107" s="237"/>
      <c r="X107" s="237"/>
      <c r="Y107" s="237"/>
      <c r="Z107" s="237"/>
    </row>
    <row r="108">
      <c r="A108" s="305">
        <v>107.0</v>
      </c>
      <c r="B108" s="236"/>
      <c r="C108" s="307" t="s">
        <v>1420</v>
      </c>
      <c r="D108" s="308" t="s">
        <v>8587</v>
      </c>
      <c r="E108" s="305" t="s">
        <v>8588</v>
      </c>
      <c r="F108" s="309" t="s">
        <v>8589</v>
      </c>
      <c r="G108" s="236"/>
      <c r="H108" s="307" t="s">
        <v>1420</v>
      </c>
      <c r="I108" s="237"/>
      <c r="J108" s="237"/>
      <c r="K108" s="310" t="s">
        <v>8586</v>
      </c>
      <c r="L108" s="237"/>
      <c r="M108" s="237"/>
      <c r="N108" s="237"/>
      <c r="O108" s="237"/>
      <c r="P108" s="237"/>
      <c r="Q108" s="237"/>
      <c r="R108" s="237"/>
      <c r="S108" s="237"/>
      <c r="T108" s="237"/>
      <c r="U108" s="237"/>
      <c r="V108" s="237"/>
      <c r="W108" s="237"/>
      <c r="X108" s="237"/>
      <c r="Y108" s="237"/>
      <c r="Z108" s="237"/>
    </row>
    <row r="109">
      <c r="A109" s="305">
        <v>108.0</v>
      </c>
      <c r="B109" s="236"/>
      <c r="C109" s="307" t="s">
        <v>1420</v>
      </c>
      <c r="D109" s="308" t="s">
        <v>8591</v>
      </c>
      <c r="E109" s="305" t="s">
        <v>8592</v>
      </c>
      <c r="F109" s="309" t="s">
        <v>8593</v>
      </c>
      <c r="G109" s="236"/>
      <c r="H109" s="307" t="s">
        <v>1420</v>
      </c>
      <c r="I109" s="237"/>
      <c r="J109" s="237"/>
      <c r="K109" s="310" t="s">
        <v>8590</v>
      </c>
      <c r="L109" s="237"/>
      <c r="M109" s="237"/>
      <c r="N109" s="237"/>
      <c r="O109" s="237"/>
      <c r="P109" s="237"/>
      <c r="Q109" s="237"/>
      <c r="R109" s="237"/>
      <c r="S109" s="237"/>
      <c r="T109" s="237"/>
      <c r="U109" s="237"/>
      <c r="V109" s="237"/>
      <c r="W109" s="237"/>
      <c r="X109" s="237"/>
      <c r="Y109" s="237"/>
      <c r="Z109" s="237"/>
    </row>
    <row r="110">
      <c r="A110" s="305">
        <v>109.0</v>
      </c>
      <c r="B110" s="236"/>
      <c r="C110" s="307" t="s">
        <v>1420</v>
      </c>
      <c r="D110" s="308" t="s">
        <v>8582</v>
      </c>
      <c r="E110" s="305" t="s">
        <v>8583</v>
      </c>
      <c r="F110" s="309" t="s">
        <v>8584</v>
      </c>
      <c r="G110" s="236"/>
      <c r="H110" s="307" t="s">
        <v>1420</v>
      </c>
      <c r="I110" s="237"/>
      <c r="J110" s="237"/>
      <c r="K110" s="310" t="s">
        <v>8581</v>
      </c>
      <c r="L110" s="237"/>
      <c r="M110" s="237"/>
      <c r="N110" s="237"/>
      <c r="O110" s="237"/>
      <c r="P110" s="237"/>
      <c r="Q110" s="237"/>
      <c r="R110" s="237"/>
      <c r="S110" s="237"/>
      <c r="T110" s="237"/>
      <c r="U110" s="237"/>
      <c r="V110" s="237"/>
      <c r="W110" s="237"/>
      <c r="X110" s="237"/>
      <c r="Y110" s="237"/>
      <c r="Z110" s="237"/>
    </row>
    <row r="111">
      <c r="A111" s="305">
        <v>110.0</v>
      </c>
      <c r="B111" s="236"/>
      <c r="C111" s="307" t="s">
        <v>1427</v>
      </c>
      <c r="D111" s="308" t="s">
        <v>1952</v>
      </c>
      <c r="E111" s="236"/>
      <c r="F111" s="236"/>
      <c r="G111" s="307" t="s">
        <v>13988</v>
      </c>
      <c r="H111" s="307" t="s">
        <v>1427</v>
      </c>
      <c r="I111" s="237"/>
      <c r="J111" s="237"/>
      <c r="K111" s="310" t="s">
        <v>13878</v>
      </c>
      <c r="L111" s="237"/>
      <c r="M111" s="237"/>
      <c r="N111" s="237"/>
      <c r="O111" s="237"/>
      <c r="P111" s="237"/>
      <c r="Q111" s="237"/>
      <c r="R111" s="237"/>
      <c r="S111" s="237"/>
      <c r="T111" s="237"/>
      <c r="U111" s="237"/>
      <c r="V111" s="237"/>
      <c r="W111" s="237"/>
      <c r="X111" s="237"/>
      <c r="Y111" s="237"/>
      <c r="Z111" s="237"/>
    </row>
    <row r="112">
      <c r="A112" s="305">
        <v>111.0</v>
      </c>
      <c r="B112" s="306" t="s">
        <v>4334</v>
      </c>
      <c r="C112" s="307" t="s">
        <v>1420</v>
      </c>
      <c r="D112" s="308" t="s">
        <v>4336</v>
      </c>
      <c r="E112" s="305" t="s">
        <v>4337</v>
      </c>
      <c r="F112" s="309" t="s">
        <v>4338</v>
      </c>
      <c r="G112" s="236"/>
      <c r="H112" s="307" t="s">
        <v>1420</v>
      </c>
      <c r="I112" s="237"/>
      <c r="J112" s="237"/>
      <c r="K112" s="310" t="s">
        <v>4335</v>
      </c>
      <c r="L112" s="237"/>
      <c r="M112" s="237"/>
      <c r="N112" s="237"/>
      <c r="O112" s="237"/>
      <c r="P112" s="237"/>
      <c r="Q112" s="237"/>
      <c r="R112" s="237"/>
      <c r="S112" s="237"/>
      <c r="T112" s="237"/>
      <c r="U112" s="237"/>
      <c r="V112" s="237"/>
      <c r="W112" s="237"/>
      <c r="X112" s="237"/>
      <c r="Y112" s="237"/>
      <c r="Z112" s="237"/>
    </row>
    <row r="113">
      <c r="A113" s="305">
        <v>112.0</v>
      </c>
      <c r="B113" s="236"/>
      <c r="C113" s="307" t="s">
        <v>1420</v>
      </c>
      <c r="D113" s="308" t="s">
        <v>9264</v>
      </c>
      <c r="E113" s="305" t="s">
        <v>9265</v>
      </c>
      <c r="F113" s="309" t="s">
        <v>13989</v>
      </c>
      <c r="G113" s="236"/>
      <c r="H113" s="307" t="s">
        <v>1420</v>
      </c>
      <c r="I113" s="237"/>
      <c r="J113" s="237"/>
      <c r="K113" s="310" t="s">
        <v>9263</v>
      </c>
      <c r="L113" s="237"/>
      <c r="M113" s="237"/>
      <c r="N113" s="237"/>
      <c r="O113" s="237"/>
      <c r="P113" s="237"/>
      <c r="Q113" s="237"/>
      <c r="R113" s="237"/>
      <c r="S113" s="237"/>
      <c r="T113" s="237"/>
      <c r="U113" s="237"/>
      <c r="V113" s="237"/>
      <c r="W113" s="237"/>
      <c r="X113" s="237"/>
      <c r="Y113" s="237"/>
      <c r="Z113" s="237"/>
    </row>
    <row r="114">
      <c r="A114" s="305">
        <v>113.0</v>
      </c>
      <c r="B114" s="306" t="s">
        <v>4339</v>
      </c>
      <c r="C114" s="307" t="s">
        <v>1420</v>
      </c>
      <c r="D114" s="308" t="s">
        <v>4341</v>
      </c>
      <c r="E114" s="305" t="s">
        <v>4342</v>
      </c>
      <c r="F114" s="309" t="s">
        <v>4343</v>
      </c>
      <c r="G114" s="236"/>
      <c r="H114" s="307" t="s">
        <v>1420</v>
      </c>
      <c r="I114" s="237"/>
      <c r="J114" s="237"/>
      <c r="K114" s="310" t="s">
        <v>4340</v>
      </c>
      <c r="L114" s="237"/>
      <c r="M114" s="237"/>
      <c r="N114" s="237"/>
      <c r="O114" s="237"/>
      <c r="P114" s="237"/>
      <c r="Q114" s="237"/>
      <c r="R114" s="237"/>
      <c r="S114" s="237"/>
      <c r="T114" s="237"/>
      <c r="U114" s="237"/>
      <c r="V114" s="237"/>
      <c r="W114" s="237"/>
      <c r="X114" s="237"/>
      <c r="Y114" s="237"/>
      <c r="Z114" s="237"/>
    </row>
    <row r="115">
      <c r="A115" s="305">
        <v>114.0</v>
      </c>
      <c r="B115" s="306" t="s">
        <v>4339</v>
      </c>
      <c r="C115" s="307" t="s">
        <v>1420</v>
      </c>
      <c r="D115" s="308" t="s">
        <v>9260</v>
      </c>
      <c r="E115" s="305" t="s">
        <v>9261</v>
      </c>
      <c r="F115" s="309" t="s">
        <v>13990</v>
      </c>
      <c r="G115" s="236"/>
      <c r="H115" s="307" t="s">
        <v>1420</v>
      </c>
      <c r="I115" s="237"/>
      <c r="J115" s="237"/>
      <c r="K115" s="310" t="s">
        <v>9259</v>
      </c>
      <c r="L115" s="237"/>
      <c r="M115" s="237"/>
      <c r="N115" s="237"/>
      <c r="O115" s="237"/>
      <c r="P115" s="237"/>
      <c r="Q115" s="237"/>
      <c r="R115" s="237"/>
      <c r="S115" s="237"/>
      <c r="T115" s="237"/>
      <c r="U115" s="237"/>
      <c r="V115" s="237"/>
      <c r="W115" s="237"/>
      <c r="X115" s="237"/>
      <c r="Y115" s="237"/>
      <c r="Z115" s="237"/>
    </row>
    <row r="116">
      <c r="A116" s="305">
        <v>115.0</v>
      </c>
      <c r="B116" s="306" t="s">
        <v>4329</v>
      </c>
      <c r="C116" s="307" t="s">
        <v>1420</v>
      </c>
      <c r="D116" s="308" t="s">
        <v>4331</v>
      </c>
      <c r="E116" s="305" t="s">
        <v>4332</v>
      </c>
      <c r="F116" s="309" t="s">
        <v>4333</v>
      </c>
      <c r="G116" s="236"/>
      <c r="H116" s="307" t="s">
        <v>1420</v>
      </c>
      <c r="I116" s="237"/>
      <c r="J116" s="237"/>
      <c r="K116" s="310" t="s">
        <v>4330</v>
      </c>
      <c r="L116" s="237"/>
      <c r="M116" s="237"/>
      <c r="N116" s="237"/>
      <c r="O116" s="237"/>
      <c r="P116" s="237"/>
      <c r="Q116" s="237"/>
      <c r="R116" s="237"/>
      <c r="S116" s="237"/>
      <c r="T116" s="237"/>
      <c r="U116" s="237"/>
      <c r="V116" s="237"/>
      <c r="W116" s="237"/>
      <c r="X116" s="237"/>
      <c r="Y116" s="237"/>
      <c r="Z116" s="237"/>
    </row>
    <row r="117">
      <c r="A117" s="305">
        <v>116.0</v>
      </c>
      <c r="B117" s="236"/>
      <c r="C117" s="307" t="s">
        <v>1420</v>
      </c>
      <c r="D117" s="308" t="s">
        <v>9268</v>
      </c>
      <c r="E117" s="305" t="s">
        <v>9269</v>
      </c>
      <c r="F117" s="236"/>
      <c r="G117" s="236"/>
      <c r="H117" s="307" t="s">
        <v>1420</v>
      </c>
      <c r="I117" s="237"/>
      <c r="J117" s="237"/>
      <c r="K117" s="310" t="s">
        <v>9267</v>
      </c>
      <c r="L117" s="237"/>
      <c r="M117" s="237"/>
      <c r="N117" s="237"/>
      <c r="O117" s="237"/>
      <c r="P117" s="237"/>
      <c r="Q117" s="237"/>
      <c r="R117" s="237"/>
      <c r="S117" s="237"/>
      <c r="T117" s="237"/>
      <c r="U117" s="237"/>
      <c r="V117" s="237"/>
      <c r="W117" s="237"/>
      <c r="X117" s="237"/>
      <c r="Y117" s="237"/>
      <c r="Z117" s="237"/>
    </row>
    <row r="118">
      <c r="A118" s="305">
        <v>117.0</v>
      </c>
      <c r="B118" s="306" t="s">
        <v>4314</v>
      </c>
      <c r="C118" s="307" t="s">
        <v>1420</v>
      </c>
      <c r="D118" s="308" t="s">
        <v>4316</v>
      </c>
      <c r="E118" s="305" t="s">
        <v>4317</v>
      </c>
      <c r="F118" s="309" t="s">
        <v>4318</v>
      </c>
      <c r="G118" s="236"/>
      <c r="H118" s="307" t="s">
        <v>1420</v>
      </c>
      <c r="I118" s="237"/>
      <c r="J118" s="237"/>
      <c r="K118" s="310" t="s">
        <v>4315</v>
      </c>
      <c r="L118" s="237"/>
      <c r="M118" s="237"/>
      <c r="N118" s="237"/>
      <c r="O118" s="237"/>
      <c r="P118" s="237"/>
      <c r="Q118" s="237"/>
      <c r="R118" s="237"/>
      <c r="S118" s="237"/>
      <c r="T118" s="237"/>
      <c r="U118" s="237"/>
      <c r="V118" s="237"/>
      <c r="W118" s="237"/>
      <c r="X118" s="237"/>
      <c r="Y118" s="237"/>
      <c r="Z118" s="237"/>
    </row>
    <row r="119">
      <c r="A119" s="305">
        <v>118.0</v>
      </c>
      <c r="B119" s="236"/>
      <c r="C119" s="307" t="s">
        <v>1420</v>
      </c>
      <c r="D119" s="308" t="s">
        <v>9300</v>
      </c>
      <c r="E119" s="305" t="s">
        <v>9301</v>
      </c>
      <c r="F119" s="309" t="s">
        <v>13991</v>
      </c>
      <c r="G119" s="236"/>
      <c r="H119" s="307" t="s">
        <v>1420</v>
      </c>
      <c r="I119" s="237"/>
      <c r="J119" s="237"/>
      <c r="K119" s="310" t="s">
        <v>9299</v>
      </c>
      <c r="L119" s="237"/>
      <c r="M119" s="237"/>
      <c r="N119" s="237"/>
      <c r="O119" s="237"/>
      <c r="P119" s="237"/>
      <c r="Q119" s="237"/>
      <c r="R119" s="237"/>
      <c r="S119" s="237"/>
      <c r="T119" s="237"/>
      <c r="U119" s="237"/>
      <c r="V119" s="237"/>
      <c r="W119" s="237"/>
      <c r="X119" s="237"/>
      <c r="Y119" s="237"/>
      <c r="Z119" s="237"/>
    </row>
    <row r="120">
      <c r="A120" s="305">
        <v>119.0</v>
      </c>
      <c r="B120" s="306" t="s">
        <v>4324</v>
      </c>
      <c r="C120" s="307" t="s">
        <v>1420</v>
      </c>
      <c r="D120" s="308" t="s">
        <v>4326</v>
      </c>
      <c r="E120" s="305" t="s">
        <v>4327</v>
      </c>
      <c r="F120" s="309" t="s">
        <v>4328</v>
      </c>
      <c r="G120" s="236"/>
      <c r="H120" s="307" t="s">
        <v>1420</v>
      </c>
      <c r="I120" s="237"/>
      <c r="J120" s="237"/>
      <c r="K120" s="310" t="s">
        <v>4325</v>
      </c>
      <c r="L120" s="237"/>
      <c r="M120" s="237"/>
      <c r="N120" s="237"/>
      <c r="O120" s="237"/>
      <c r="P120" s="237"/>
      <c r="Q120" s="237"/>
      <c r="R120" s="237"/>
      <c r="S120" s="237"/>
      <c r="T120" s="237"/>
      <c r="U120" s="237"/>
      <c r="V120" s="237"/>
      <c r="W120" s="237"/>
      <c r="X120" s="237"/>
      <c r="Y120" s="237"/>
      <c r="Z120" s="237"/>
    </row>
    <row r="121">
      <c r="A121" s="305">
        <v>120.0</v>
      </c>
      <c r="B121" s="306" t="s">
        <v>4324</v>
      </c>
      <c r="C121" s="307" t="s">
        <v>1420</v>
      </c>
      <c r="D121" s="308" t="s">
        <v>9296</v>
      </c>
      <c r="E121" s="305" t="s">
        <v>9297</v>
      </c>
      <c r="F121" s="309" t="s">
        <v>13992</v>
      </c>
      <c r="G121" s="236"/>
      <c r="H121" s="307" t="s">
        <v>1420</v>
      </c>
      <c r="I121" s="237"/>
      <c r="J121" s="237"/>
      <c r="K121" s="310" t="s">
        <v>9295</v>
      </c>
      <c r="L121" s="237"/>
      <c r="M121" s="237"/>
      <c r="N121" s="237"/>
      <c r="O121" s="237"/>
      <c r="P121" s="237"/>
      <c r="Q121" s="237"/>
      <c r="R121" s="237"/>
      <c r="S121" s="237"/>
      <c r="T121" s="237"/>
      <c r="U121" s="237"/>
      <c r="V121" s="237"/>
      <c r="W121" s="237"/>
      <c r="X121" s="237"/>
      <c r="Y121" s="237"/>
      <c r="Z121" s="237"/>
    </row>
    <row r="122">
      <c r="A122" s="305">
        <v>121.0</v>
      </c>
      <c r="B122" s="306" t="s">
        <v>4309</v>
      </c>
      <c r="C122" s="307" t="s">
        <v>1420</v>
      </c>
      <c r="D122" s="308" t="s">
        <v>4311</v>
      </c>
      <c r="E122" s="305" t="s">
        <v>4312</v>
      </c>
      <c r="F122" s="309" t="s">
        <v>4313</v>
      </c>
      <c r="G122" s="236"/>
      <c r="H122" s="307" t="s">
        <v>1420</v>
      </c>
      <c r="I122" s="237"/>
      <c r="J122" s="237"/>
      <c r="K122" s="310" t="s">
        <v>4310</v>
      </c>
      <c r="L122" s="237"/>
      <c r="M122" s="237"/>
      <c r="N122" s="237"/>
      <c r="O122" s="237"/>
      <c r="P122" s="237"/>
      <c r="Q122" s="237"/>
      <c r="R122" s="237"/>
      <c r="S122" s="237"/>
      <c r="T122" s="237"/>
      <c r="U122" s="237"/>
      <c r="V122" s="237"/>
      <c r="W122" s="237"/>
      <c r="X122" s="237"/>
      <c r="Y122" s="237"/>
      <c r="Z122" s="237"/>
    </row>
    <row r="123">
      <c r="A123" s="305">
        <v>122.0</v>
      </c>
      <c r="B123" s="236"/>
      <c r="C123" s="307" t="s">
        <v>1420</v>
      </c>
      <c r="D123" s="308" t="s">
        <v>9304</v>
      </c>
      <c r="E123" s="305" t="s">
        <v>9305</v>
      </c>
      <c r="F123" s="309" t="s">
        <v>13993</v>
      </c>
      <c r="G123" s="236"/>
      <c r="H123" s="307" t="s">
        <v>1420</v>
      </c>
      <c r="I123" s="237"/>
      <c r="J123" s="237"/>
      <c r="K123" s="310" t="s">
        <v>9303</v>
      </c>
      <c r="L123" s="237"/>
      <c r="M123" s="237"/>
      <c r="N123" s="237"/>
      <c r="O123" s="237"/>
      <c r="P123" s="237"/>
      <c r="Q123" s="237"/>
      <c r="R123" s="237"/>
      <c r="S123" s="237"/>
      <c r="T123" s="237"/>
      <c r="U123" s="237"/>
      <c r="V123" s="237"/>
      <c r="W123" s="237"/>
      <c r="X123" s="237"/>
      <c r="Y123" s="237"/>
      <c r="Z123" s="237"/>
    </row>
    <row r="124">
      <c r="A124" s="305">
        <v>123.0</v>
      </c>
      <c r="B124" s="306" t="s">
        <v>3957</v>
      </c>
      <c r="C124" s="307" t="s">
        <v>1420</v>
      </c>
      <c r="D124" s="308" t="s">
        <v>3959</v>
      </c>
      <c r="E124" s="305" t="s">
        <v>3960</v>
      </c>
      <c r="F124" s="309" t="s">
        <v>3961</v>
      </c>
      <c r="G124" s="236"/>
      <c r="H124" s="307" t="s">
        <v>1420</v>
      </c>
      <c r="I124" s="237"/>
      <c r="J124" s="237"/>
      <c r="K124" s="310" t="s">
        <v>3958</v>
      </c>
      <c r="L124" s="237"/>
      <c r="M124" s="237"/>
      <c r="N124" s="237"/>
      <c r="O124" s="237"/>
      <c r="P124" s="237"/>
      <c r="Q124" s="237"/>
      <c r="R124" s="237"/>
      <c r="S124" s="237"/>
      <c r="T124" s="237"/>
      <c r="U124" s="237"/>
      <c r="V124" s="237"/>
      <c r="W124" s="237"/>
      <c r="X124" s="237"/>
      <c r="Y124" s="237"/>
      <c r="Z124" s="237"/>
    </row>
    <row r="125">
      <c r="A125" s="305">
        <v>124.0</v>
      </c>
      <c r="B125" s="236"/>
      <c r="C125" s="307" t="s">
        <v>1420</v>
      </c>
      <c r="D125" s="308" t="s">
        <v>9275</v>
      </c>
      <c r="E125" s="305" t="s">
        <v>9276</v>
      </c>
      <c r="F125" s="309" t="s">
        <v>13994</v>
      </c>
      <c r="G125" s="236"/>
      <c r="H125" s="307" t="s">
        <v>1420</v>
      </c>
      <c r="I125" s="237"/>
      <c r="J125" s="237"/>
      <c r="K125" s="310" t="s">
        <v>9274</v>
      </c>
      <c r="L125" s="237"/>
      <c r="M125" s="237"/>
      <c r="N125" s="237"/>
      <c r="O125" s="237"/>
      <c r="P125" s="237"/>
      <c r="Q125" s="237"/>
      <c r="R125" s="237"/>
      <c r="S125" s="237"/>
      <c r="T125" s="237"/>
      <c r="U125" s="237"/>
      <c r="V125" s="237"/>
      <c r="W125" s="237"/>
      <c r="X125" s="237"/>
      <c r="Y125" s="237"/>
      <c r="Z125" s="237"/>
    </row>
    <row r="126">
      <c r="A126" s="305">
        <v>125.0</v>
      </c>
      <c r="B126" s="306" t="s">
        <v>4359</v>
      </c>
      <c r="C126" s="307" t="s">
        <v>1420</v>
      </c>
      <c r="D126" s="308" t="s">
        <v>4361</v>
      </c>
      <c r="E126" s="305" t="s">
        <v>4362</v>
      </c>
      <c r="F126" s="309" t="s">
        <v>4363</v>
      </c>
      <c r="G126" s="236"/>
      <c r="H126" s="307" t="s">
        <v>1420</v>
      </c>
      <c r="I126" s="237"/>
      <c r="J126" s="237"/>
      <c r="K126" s="310" t="s">
        <v>4360</v>
      </c>
      <c r="L126" s="237"/>
      <c r="M126" s="237"/>
      <c r="N126" s="237"/>
      <c r="O126" s="237"/>
      <c r="P126" s="237"/>
      <c r="Q126" s="237"/>
      <c r="R126" s="237"/>
      <c r="S126" s="237"/>
      <c r="T126" s="237"/>
      <c r="U126" s="237"/>
      <c r="V126" s="237"/>
      <c r="W126" s="237"/>
      <c r="X126" s="237"/>
      <c r="Y126" s="237"/>
      <c r="Z126" s="237"/>
    </row>
    <row r="127">
      <c r="A127" s="305">
        <v>126.0</v>
      </c>
      <c r="B127" s="306" t="s">
        <v>4359</v>
      </c>
      <c r="C127" s="307" t="s">
        <v>1420</v>
      </c>
      <c r="D127" s="308" t="s">
        <v>9271</v>
      </c>
      <c r="E127" s="305" t="s">
        <v>9272</v>
      </c>
      <c r="F127" s="309" t="s">
        <v>13995</v>
      </c>
      <c r="G127" s="236"/>
      <c r="H127" s="307" t="s">
        <v>1420</v>
      </c>
      <c r="I127" s="237"/>
      <c r="J127" s="237"/>
      <c r="K127" s="310" t="s">
        <v>9270</v>
      </c>
      <c r="L127" s="237"/>
      <c r="M127" s="237"/>
      <c r="N127" s="237"/>
      <c r="O127" s="237"/>
      <c r="P127" s="237"/>
      <c r="Q127" s="237"/>
      <c r="R127" s="237"/>
      <c r="S127" s="237"/>
      <c r="T127" s="237"/>
      <c r="U127" s="237"/>
      <c r="V127" s="237"/>
      <c r="W127" s="237"/>
      <c r="X127" s="237"/>
      <c r="Y127" s="237"/>
      <c r="Z127" s="237"/>
    </row>
    <row r="128">
      <c r="A128" s="305">
        <v>127.0</v>
      </c>
      <c r="B128" s="306" t="s">
        <v>3963</v>
      </c>
      <c r="C128" s="307" t="s">
        <v>1420</v>
      </c>
      <c r="D128" s="308" t="s">
        <v>3965</v>
      </c>
      <c r="E128" s="305" t="s">
        <v>3966</v>
      </c>
      <c r="F128" s="309" t="s">
        <v>3967</v>
      </c>
      <c r="G128" s="236"/>
      <c r="H128" s="307" t="s">
        <v>1420</v>
      </c>
      <c r="I128" s="237"/>
      <c r="J128" s="237"/>
      <c r="K128" s="310" t="s">
        <v>3964</v>
      </c>
      <c r="L128" s="237"/>
      <c r="M128" s="237"/>
      <c r="N128" s="237"/>
      <c r="O128" s="237"/>
      <c r="P128" s="237"/>
      <c r="Q128" s="237"/>
      <c r="R128" s="237"/>
      <c r="S128" s="237"/>
      <c r="T128" s="237"/>
      <c r="U128" s="237"/>
      <c r="V128" s="237"/>
      <c r="W128" s="237"/>
      <c r="X128" s="237"/>
      <c r="Y128" s="237"/>
      <c r="Z128" s="237"/>
    </row>
    <row r="129">
      <c r="A129" s="305">
        <v>128.0</v>
      </c>
      <c r="B129" s="236"/>
      <c r="C129" s="307" t="s">
        <v>1420</v>
      </c>
      <c r="D129" s="308" t="s">
        <v>9279</v>
      </c>
      <c r="E129" s="305" t="s">
        <v>9280</v>
      </c>
      <c r="F129" s="309" t="s">
        <v>13996</v>
      </c>
      <c r="G129" s="236"/>
      <c r="H129" s="307" t="s">
        <v>1420</v>
      </c>
      <c r="I129" s="237"/>
      <c r="J129" s="237"/>
      <c r="K129" s="310" t="s">
        <v>9278</v>
      </c>
      <c r="L129" s="237"/>
      <c r="M129" s="237"/>
      <c r="N129" s="237"/>
      <c r="O129" s="237"/>
      <c r="P129" s="237"/>
      <c r="Q129" s="237"/>
      <c r="R129" s="237"/>
      <c r="S129" s="237"/>
      <c r="T129" s="237"/>
      <c r="U129" s="237"/>
      <c r="V129" s="237"/>
      <c r="W129" s="237"/>
      <c r="X129" s="237"/>
      <c r="Y129" s="237"/>
      <c r="Z129" s="237"/>
    </row>
    <row r="130">
      <c r="A130" s="305">
        <v>129.0</v>
      </c>
      <c r="B130" s="306" t="s">
        <v>5687</v>
      </c>
      <c r="C130" s="307" t="s">
        <v>1420</v>
      </c>
      <c r="D130" s="308" t="s">
        <v>5689</v>
      </c>
      <c r="E130" s="305" t="s">
        <v>5690</v>
      </c>
      <c r="F130" s="309" t="s">
        <v>5691</v>
      </c>
      <c r="G130" s="236"/>
      <c r="H130" s="307" t="s">
        <v>1420</v>
      </c>
      <c r="I130" s="237"/>
      <c r="J130" s="237"/>
      <c r="K130" s="310" t="s">
        <v>5688</v>
      </c>
      <c r="L130" s="237"/>
      <c r="M130" s="237"/>
      <c r="N130" s="237"/>
      <c r="O130" s="237"/>
      <c r="P130" s="237"/>
      <c r="Q130" s="237"/>
      <c r="R130" s="237"/>
      <c r="S130" s="237"/>
      <c r="T130" s="237"/>
      <c r="U130" s="237"/>
      <c r="V130" s="237"/>
      <c r="W130" s="237"/>
      <c r="X130" s="237"/>
      <c r="Y130" s="237"/>
      <c r="Z130" s="237"/>
    </row>
    <row r="131">
      <c r="A131" s="305">
        <v>130.0</v>
      </c>
      <c r="B131" s="306" t="s">
        <v>5687</v>
      </c>
      <c r="C131" s="307" t="s">
        <v>1420</v>
      </c>
      <c r="D131" s="308" t="s">
        <v>9311</v>
      </c>
      <c r="E131" s="305" t="s">
        <v>5690</v>
      </c>
      <c r="F131" s="309" t="s">
        <v>13997</v>
      </c>
      <c r="G131" s="236"/>
      <c r="H131" s="307" t="s">
        <v>1420</v>
      </c>
      <c r="I131" s="237"/>
      <c r="J131" s="237"/>
      <c r="K131" s="310" t="s">
        <v>9310</v>
      </c>
      <c r="L131" s="237"/>
      <c r="M131" s="237"/>
      <c r="N131" s="237"/>
      <c r="O131" s="237"/>
      <c r="P131" s="237"/>
      <c r="Q131" s="237"/>
      <c r="R131" s="237"/>
      <c r="S131" s="237"/>
      <c r="T131" s="237"/>
      <c r="U131" s="237"/>
      <c r="V131" s="237"/>
      <c r="W131" s="237"/>
      <c r="X131" s="237"/>
      <c r="Y131" s="237"/>
      <c r="Z131" s="237"/>
    </row>
    <row r="132">
      <c r="A132" s="305">
        <v>131.0</v>
      </c>
      <c r="B132" s="236"/>
      <c r="C132" s="307" t="s">
        <v>1420</v>
      </c>
      <c r="D132" s="308" t="s">
        <v>6895</v>
      </c>
      <c r="E132" s="305" t="s">
        <v>6896</v>
      </c>
      <c r="F132" s="309" t="s">
        <v>8863</v>
      </c>
      <c r="G132" s="236"/>
      <c r="H132" s="307" t="s">
        <v>1420</v>
      </c>
      <c r="I132" s="237"/>
      <c r="J132" s="237"/>
      <c r="K132" s="310" t="s">
        <v>8862</v>
      </c>
      <c r="L132" s="237"/>
      <c r="M132" s="237"/>
      <c r="N132" s="237"/>
      <c r="O132" s="237"/>
      <c r="P132" s="237"/>
      <c r="Q132" s="237"/>
      <c r="R132" s="237"/>
      <c r="S132" s="237"/>
      <c r="T132" s="237"/>
      <c r="U132" s="237"/>
      <c r="V132" s="237"/>
      <c r="W132" s="237"/>
      <c r="X132" s="237"/>
      <c r="Y132" s="237"/>
      <c r="Z132" s="237"/>
    </row>
    <row r="133">
      <c r="A133" s="305">
        <v>132.0</v>
      </c>
      <c r="B133" s="236"/>
      <c r="C133" s="307" t="s">
        <v>1420</v>
      </c>
      <c r="D133" s="308" t="s">
        <v>9308</v>
      </c>
      <c r="E133" s="305" t="s">
        <v>6896</v>
      </c>
      <c r="F133" s="309" t="s">
        <v>13998</v>
      </c>
      <c r="G133" s="236"/>
      <c r="H133" s="307" t="s">
        <v>1420</v>
      </c>
      <c r="I133" s="237"/>
      <c r="J133" s="237"/>
      <c r="K133" s="310" t="s">
        <v>9307</v>
      </c>
      <c r="L133" s="237"/>
      <c r="M133" s="237"/>
      <c r="N133" s="237"/>
      <c r="O133" s="237"/>
      <c r="P133" s="237"/>
      <c r="Q133" s="237"/>
      <c r="R133" s="237"/>
      <c r="S133" s="237"/>
      <c r="T133" s="237"/>
      <c r="U133" s="237"/>
      <c r="V133" s="237"/>
      <c r="W133" s="237"/>
      <c r="X133" s="237"/>
      <c r="Y133" s="237"/>
      <c r="Z133" s="237"/>
    </row>
    <row r="134">
      <c r="A134" s="305">
        <v>133.0</v>
      </c>
      <c r="B134" s="306">
        <v>4077.0</v>
      </c>
      <c r="C134" s="307" t="s">
        <v>1420</v>
      </c>
      <c r="D134" s="308" t="s">
        <v>9314</v>
      </c>
      <c r="E134" s="305" t="s">
        <v>6893</v>
      </c>
      <c r="F134" s="309" t="s">
        <v>13999</v>
      </c>
      <c r="G134" s="236"/>
      <c r="H134" s="307" t="s">
        <v>1420</v>
      </c>
      <c r="I134" s="237"/>
      <c r="J134" s="237"/>
      <c r="K134" s="310" t="s">
        <v>9313</v>
      </c>
      <c r="L134" s="237"/>
      <c r="M134" s="237"/>
      <c r="N134" s="237"/>
      <c r="O134" s="237"/>
      <c r="P134" s="237"/>
      <c r="Q134" s="237"/>
      <c r="R134" s="237"/>
      <c r="S134" s="237"/>
      <c r="T134" s="237"/>
      <c r="U134" s="237"/>
      <c r="V134" s="237"/>
      <c r="W134" s="237"/>
      <c r="X134" s="237"/>
      <c r="Y134" s="237"/>
      <c r="Z134" s="237"/>
    </row>
    <row r="135">
      <c r="A135" s="305">
        <v>134.0</v>
      </c>
      <c r="B135" s="306" t="s">
        <v>5670</v>
      </c>
      <c r="C135" s="307" t="s">
        <v>1420</v>
      </c>
      <c r="D135" s="308" t="s">
        <v>5672</v>
      </c>
      <c r="E135" s="305" t="s">
        <v>5673</v>
      </c>
      <c r="F135" s="309" t="s">
        <v>5674</v>
      </c>
      <c r="G135" s="236"/>
      <c r="H135" s="307" t="s">
        <v>1420</v>
      </c>
      <c r="I135" s="237"/>
      <c r="J135" s="237"/>
      <c r="K135" s="310" t="s">
        <v>5671</v>
      </c>
      <c r="L135" s="237"/>
      <c r="M135" s="237"/>
      <c r="N135" s="237"/>
      <c r="O135" s="237"/>
      <c r="P135" s="237"/>
      <c r="Q135" s="237"/>
      <c r="R135" s="237"/>
      <c r="S135" s="237"/>
      <c r="T135" s="237"/>
      <c r="U135" s="237"/>
      <c r="V135" s="237"/>
      <c r="W135" s="237"/>
      <c r="X135" s="237"/>
      <c r="Y135" s="237"/>
      <c r="Z135" s="237"/>
    </row>
    <row r="136">
      <c r="A136" s="305">
        <v>135.0</v>
      </c>
      <c r="B136" s="306" t="s">
        <v>3638</v>
      </c>
      <c r="C136" s="307" t="s">
        <v>1420</v>
      </c>
      <c r="D136" s="308" t="s">
        <v>14000</v>
      </c>
      <c r="E136" s="305" t="s">
        <v>3641</v>
      </c>
      <c r="F136" s="309" t="s">
        <v>3642</v>
      </c>
      <c r="G136" s="236"/>
      <c r="H136" s="307" t="s">
        <v>1420</v>
      </c>
      <c r="I136" s="237"/>
      <c r="J136" s="237"/>
      <c r="K136" s="310" t="s">
        <v>3639</v>
      </c>
      <c r="L136" s="237"/>
      <c r="M136" s="237"/>
      <c r="N136" s="237"/>
      <c r="O136" s="237"/>
      <c r="P136" s="237"/>
      <c r="Q136" s="237"/>
      <c r="R136" s="237"/>
      <c r="S136" s="237"/>
      <c r="T136" s="237"/>
      <c r="U136" s="237"/>
      <c r="V136" s="237"/>
      <c r="W136" s="237"/>
      <c r="X136" s="237"/>
      <c r="Y136" s="237"/>
      <c r="Z136" s="237"/>
    </row>
    <row r="137">
      <c r="A137" s="305">
        <v>136.0</v>
      </c>
      <c r="B137" s="236"/>
      <c r="C137" s="307" t="s">
        <v>1420</v>
      </c>
      <c r="D137" s="308" t="s">
        <v>14000</v>
      </c>
      <c r="E137" s="305" t="s">
        <v>5668</v>
      </c>
      <c r="F137" s="309" t="s">
        <v>5669</v>
      </c>
      <c r="G137" s="236"/>
      <c r="H137" s="307" t="s">
        <v>1420</v>
      </c>
      <c r="I137" s="237"/>
      <c r="J137" s="237"/>
      <c r="K137" s="310" t="s">
        <v>5667</v>
      </c>
      <c r="L137" s="237"/>
      <c r="M137" s="237"/>
      <c r="N137" s="237"/>
      <c r="O137" s="237"/>
      <c r="P137" s="237"/>
      <c r="Q137" s="237"/>
      <c r="R137" s="237"/>
      <c r="S137" s="237"/>
      <c r="T137" s="237"/>
      <c r="U137" s="237"/>
      <c r="V137" s="237"/>
      <c r="W137" s="237"/>
      <c r="X137" s="237"/>
      <c r="Y137" s="237"/>
      <c r="Z137" s="237"/>
    </row>
    <row r="138">
      <c r="A138" s="305">
        <v>137.0</v>
      </c>
      <c r="B138" s="236"/>
      <c r="C138" s="307" t="s">
        <v>1420</v>
      </c>
      <c r="D138" s="308" t="s">
        <v>1628</v>
      </c>
      <c r="E138" s="305" t="s">
        <v>13349</v>
      </c>
      <c r="F138" s="309" t="s">
        <v>14001</v>
      </c>
      <c r="G138" s="236"/>
      <c r="H138" s="307" t="s">
        <v>1420</v>
      </c>
      <c r="I138" s="237"/>
      <c r="J138" s="237"/>
      <c r="K138" s="310" t="s">
        <v>13348</v>
      </c>
      <c r="L138" s="237"/>
      <c r="M138" s="237"/>
      <c r="N138" s="237"/>
      <c r="O138" s="237"/>
      <c r="P138" s="237"/>
      <c r="Q138" s="237"/>
      <c r="R138" s="237"/>
      <c r="S138" s="237"/>
      <c r="T138" s="237"/>
      <c r="U138" s="237"/>
      <c r="V138" s="237"/>
      <c r="W138" s="237"/>
      <c r="X138" s="237"/>
      <c r="Y138" s="237"/>
      <c r="Z138" s="237"/>
    </row>
    <row r="139">
      <c r="A139" s="305">
        <v>138.0</v>
      </c>
      <c r="B139" s="236"/>
      <c r="C139" s="307" t="s">
        <v>1420</v>
      </c>
      <c r="D139" s="308" t="s">
        <v>1636</v>
      </c>
      <c r="E139" s="305" t="s">
        <v>13361</v>
      </c>
      <c r="F139" s="309" t="s">
        <v>14002</v>
      </c>
      <c r="G139" s="236"/>
      <c r="H139" s="307" t="s">
        <v>1420</v>
      </c>
      <c r="I139" s="237"/>
      <c r="J139" s="237"/>
      <c r="K139" s="310" t="s">
        <v>13360</v>
      </c>
      <c r="L139" s="237"/>
      <c r="M139" s="237"/>
      <c r="N139" s="237"/>
      <c r="O139" s="237"/>
      <c r="P139" s="237"/>
      <c r="Q139" s="237"/>
      <c r="R139" s="237"/>
      <c r="S139" s="237"/>
      <c r="T139" s="237"/>
      <c r="U139" s="237"/>
      <c r="V139" s="237"/>
      <c r="W139" s="237"/>
      <c r="X139" s="237"/>
      <c r="Y139" s="237"/>
      <c r="Z139" s="237"/>
    </row>
    <row r="140">
      <c r="A140" s="305">
        <v>139.0</v>
      </c>
      <c r="B140" s="306" t="s">
        <v>4364</v>
      </c>
      <c r="C140" s="307" t="s">
        <v>1420</v>
      </c>
      <c r="D140" s="308" t="s">
        <v>4366</v>
      </c>
      <c r="E140" s="305" t="s">
        <v>4367</v>
      </c>
      <c r="F140" s="309" t="s">
        <v>4368</v>
      </c>
      <c r="G140" s="236"/>
      <c r="H140" s="307" t="s">
        <v>1420</v>
      </c>
      <c r="I140" s="237"/>
      <c r="J140" s="237"/>
      <c r="K140" s="310" t="s">
        <v>4365</v>
      </c>
      <c r="L140" s="237"/>
      <c r="M140" s="237"/>
      <c r="N140" s="237"/>
      <c r="O140" s="237"/>
      <c r="P140" s="237"/>
      <c r="Q140" s="237"/>
      <c r="R140" s="237"/>
      <c r="S140" s="237"/>
      <c r="T140" s="237"/>
      <c r="U140" s="237"/>
      <c r="V140" s="237"/>
      <c r="W140" s="237"/>
      <c r="X140" s="237"/>
      <c r="Y140" s="237"/>
      <c r="Z140" s="237"/>
    </row>
    <row r="141">
      <c r="A141" s="305">
        <v>140.0</v>
      </c>
      <c r="B141" s="306" t="s">
        <v>4369</v>
      </c>
      <c r="C141" s="307" t="s">
        <v>1420</v>
      </c>
      <c r="D141" s="308" t="s">
        <v>4371</v>
      </c>
      <c r="E141" s="305" t="s">
        <v>4372</v>
      </c>
      <c r="F141" s="309" t="s">
        <v>4373</v>
      </c>
      <c r="G141" s="236"/>
      <c r="H141" s="307" t="s">
        <v>1420</v>
      </c>
      <c r="I141" s="237"/>
      <c r="J141" s="237"/>
      <c r="K141" s="310" t="s">
        <v>4370</v>
      </c>
      <c r="L141" s="237"/>
      <c r="M141" s="237"/>
      <c r="N141" s="237"/>
      <c r="O141" s="237"/>
      <c r="P141" s="237"/>
      <c r="Q141" s="237"/>
      <c r="R141" s="237"/>
      <c r="S141" s="237"/>
      <c r="T141" s="237"/>
      <c r="U141" s="237"/>
      <c r="V141" s="237"/>
      <c r="W141" s="237"/>
      <c r="X141" s="237"/>
      <c r="Y141" s="237"/>
      <c r="Z141" s="237"/>
    </row>
    <row r="142">
      <c r="A142" s="305">
        <v>141.0</v>
      </c>
      <c r="B142" s="306" t="s">
        <v>4166</v>
      </c>
      <c r="C142" s="307" t="s">
        <v>1420</v>
      </c>
      <c r="D142" s="308" t="s">
        <v>4168</v>
      </c>
      <c r="E142" s="305" t="s">
        <v>4169</v>
      </c>
      <c r="F142" s="309" t="s">
        <v>4170</v>
      </c>
      <c r="G142" s="236"/>
      <c r="H142" s="307" t="s">
        <v>1420</v>
      </c>
      <c r="I142" s="237"/>
      <c r="J142" s="237"/>
      <c r="K142" s="310" t="s">
        <v>4167</v>
      </c>
      <c r="L142" s="237"/>
      <c r="M142" s="237"/>
      <c r="N142" s="237"/>
      <c r="O142" s="237"/>
      <c r="P142" s="237"/>
      <c r="Q142" s="237"/>
      <c r="R142" s="237"/>
      <c r="S142" s="237"/>
      <c r="T142" s="237"/>
      <c r="U142" s="237"/>
      <c r="V142" s="237"/>
      <c r="W142" s="237"/>
      <c r="X142" s="237"/>
      <c r="Y142" s="237"/>
      <c r="Z142" s="237"/>
    </row>
    <row r="143">
      <c r="A143" s="305">
        <v>142.0</v>
      </c>
      <c r="B143" s="306">
        <v>4077.0</v>
      </c>
      <c r="C143" s="307" t="s">
        <v>1420</v>
      </c>
      <c r="D143" s="308" t="s">
        <v>8865</v>
      </c>
      <c r="E143" s="305" t="s">
        <v>6893</v>
      </c>
      <c r="F143" s="309" t="s">
        <v>8866</v>
      </c>
      <c r="G143" s="236"/>
      <c r="H143" s="307" t="s">
        <v>1420</v>
      </c>
      <c r="I143" s="237"/>
      <c r="J143" s="237"/>
      <c r="K143" s="310" t="s">
        <v>8864</v>
      </c>
      <c r="L143" s="237"/>
      <c r="M143" s="237"/>
      <c r="N143" s="237"/>
      <c r="O143" s="237"/>
      <c r="P143" s="237"/>
      <c r="Q143" s="237"/>
      <c r="R143" s="237"/>
      <c r="S143" s="237"/>
      <c r="T143" s="237"/>
      <c r="U143" s="237"/>
      <c r="V143" s="237"/>
      <c r="W143" s="237"/>
      <c r="X143" s="237"/>
      <c r="Y143" s="237"/>
      <c r="Z143" s="237"/>
    </row>
    <row r="144">
      <c r="A144" s="305">
        <v>143.0</v>
      </c>
      <c r="B144" s="236"/>
      <c r="C144" s="307" t="s">
        <v>1420</v>
      </c>
      <c r="D144" s="308" t="s">
        <v>1632</v>
      </c>
      <c r="E144" s="305" t="s">
        <v>13355</v>
      </c>
      <c r="F144" s="309" t="s">
        <v>14003</v>
      </c>
      <c r="G144" s="236"/>
      <c r="H144" s="307" t="s">
        <v>1420</v>
      </c>
      <c r="I144" s="237"/>
      <c r="J144" s="237"/>
      <c r="K144" s="310" t="s">
        <v>13354</v>
      </c>
      <c r="L144" s="237"/>
      <c r="M144" s="237"/>
      <c r="N144" s="237"/>
      <c r="O144" s="237"/>
      <c r="P144" s="237"/>
      <c r="Q144" s="237"/>
      <c r="R144" s="237"/>
      <c r="S144" s="237"/>
      <c r="T144" s="237"/>
      <c r="U144" s="237"/>
      <c r="V144" s="237"/>
      <c r="W144" s="237"/>
      <c r="X144" s="237"/>
      <c r="Y144" s="237"/>
      <c r="Z144" s="237"/>
    </row>
    <row r="145">
      <c r="A145" s="305">
        <v>144.0</v>
      </c>
      <c r="B145" s="306" t="s">
        <v>6007</v>
      </c>
      <c r="C145" s="307" t="s">
        <v>1420</v>
      </c>
      <c r="D145" s="308" t="s">
        <v>6009</v>
      </c>
      <c r="E145" s="305" t="s">
        <v>6010</v>
      </c>
      <c r="F145" s="309" t="s">
        <v>6011</v>
      </c>
      <c r="G145" s="236"/>
      <c r="H145" s="307" t="s">
        <v>1420</v>
      </c>
      <c r="I145" s="237"/>
      <c r="J145" s="237"/>
      <c r="K145" s="310" t="s">
        <v>6008</v>
      </c>
      <c r="L145" s="237"/>
      <c r="M145" s="237"/>
      <c r="N145" s="237"/>
      <c r="O145" s="237"/>
      <c r="P145" s="237"/>
      <c r="Q145" s="237"/>
      <c r="R145" s="237"/>
      <c r="S145" s="237"/>
      <c r="T145" s="237"/>
      <c r="U145" s="237"/>
      <c r="V145" s="237"/>
      <c r="W145" s="237"/>
      <c r="X145" s="237"/>
      <c r="Y145" s="237"/>
      <c r="Z145" s="237"/>
    </row>
    <row r="146">
      <c r="A146" s="305">
        <v>145.0</v>
      </c>
      <c r="B146" s="306" t="s">
        <v>5990</v>
      </c>
      <c r="C146" s="307" t="s">
        <v>1420</v>
      </c>
      <c r="D146" s="308" t="s">
        <v>5992</v>
      </c>
      <c r="E146" s="305" t="s">
        <v>5993</v>
      </c>
      <c r="F146" s="309" t="s">
        <v>6855</v>
      </c>
      <c r="G146" s="236"/>
      <c r="H146" s="307" t="s">
        <v>1420</v>
      </c>
      <c r="I146" s="237"/>
      <c r="J146" s="237"/>
      <c r="K146" s="310" t="s">
        <v>6854</v>
      </c>
      <c r="L146" s="237"/>
      <c r="M146" s="237"/>
      <c r="N146" s="237"/>
      <c r="O146" s="237"/>
      <c r="P146" s="237"/>
      <c r="Q146" s="237"/>
      <c r="R146" s="237"/>
      <c r="S146" s="237"/>
      <c r="T146" s="237"/>
      <c r="U146" s="237"/>
      <c r="V146" s="237"/>
      <c r="W146" s="237"/>
      <c r="X146" s="237"/>
      <c r="Y146" s="237"/>
      <c r="Z146" s="237"/>
    </row>
    <row r="147">
      <c r="A147" s="305">
        <v>146.0</v>
      </c>
      <c r="B147" s="236"/>
      <c r="C147" s="307" t="s">
        <v>1420</v>
      </c>
      <c r="D147" s="308" t="s">
        <v>1626</v>
      </c>
      <c r="E147" s="305" t="s">
        <v>13346</v>
      </c>
      <c r="F147" s="309" t="s">
        <v>14004</v>
      </c>
      <c r="G147" s="236"/>
      <c r="H147" s="307" t="s">
        <v>1420</v>
      </c>
      <c r="I147" s="237"/>
      <c r="J147" s="237"/>
      <c r="K147" s="310" t="s">
        <v>13345</v>
      </c>
      <c r="L147" s="237"/>
      <c r="M147" s="237"/>
      <c r="N147" s="237"/>
      <c r="O147" s="237"/>
      <c r="P147" s="237"/>
      <c r="Q147" s="237"/>
      <c r="R147" s="237"/>
      <c r="S147" s="237"/>
      <c r="T147" s="237"/>
      <c r="U147" s="237"/>
      <c r="V147" s="237"/>
      <c r="W147" s="237"/>
      <c r="X147" s="237"/>
      <c r="Y147" s="237"/>
      <c r="Z147" s="237"/>
    </row>
    <row r="148">
      <c r="A148" s="305">
        <v>147.0</v>
      </c>
      <c r="B148" s="236"/>
      <c r="C148" s="307" t="s">
        <v>1420</v>
      </c>
      <c r="D148" s="308" t="s">
        <v>1630</v>
      </c>
      <c r="E148" s="305" t="s">
        <v>13352</v>
      </c>
      <c r="F148" s="309" t="s">
        <v>14005</v>
      </c>
      <c r="G148" s="236"/>
      <c r="H148" s="307" t="s">
        <v>1420</v>
      </c>
      <c r="I148" s="237"/>
      <c r="J148" s="237"/>
      <c r="K148" s="310" t="s">
        <v>13351</v>
      </c>
      <c r="L148" s="237"/>
      <c r="M148" s="237"/>
      <c r="N148" s="237"/>
      <c r="O148" s="237"/>
      <c r="P148" s="237"/>
      <c r="Q148" s="237"/>
      <c r="R148" s="237"/>
      <c r="S148" s="237"/>
      <c r="T148" s="237"/>
      <c r="U148" s="237"/>
      <c r="V148" s="237"/>
      <c r="W148" s="237"/>
      <c r="X148" s="237"/>
      <c r="Y148" s="237"/>
      <c r="Z148" s="237"/>
    </row>
    <row r="149">
      <c r="A149" s="305">
        <v>148.0</v>
      </c>
      <c r="B149" s="236"/>
      <c r="C149" s="307" t="s">
        <v>1420</v>
      </c>
      <c r="D149" s="308" t="s">
        <v>1634</v>
      </c>
      <c r="E149" s="305" t="s">
        <v>13358</v>
      </c>
      <c r="F149" s="309" t="s">
        <v>14006</v>
      </c>
      <c r="G149" s="236"/>
      <c r="H149" s="307" t="s">
        <v>1420</v>
      </c>
      <c r="I149" s="237"/>
      <c r="J149" s="237"/>
      <c r="K149" s="310" t="s">
        <v>13357</v>
      </c>
      <c r="L149" s="237"/>
      <c r="M149" s="237"/>
      <c r="N149" s="237"/>
      <c r="O149" s="237"/>
      <c r="P149" s="237"/>
      <c r="Q149" s="237"/>
      <c r="R149" s="237"/>
      <c r="S149" s="237"/>
      <c r="T149" s="237"/>
      <c r="U149" s="237"/>
      <c r="V149" s="237"/>
      <c r="W149" s="237"/>
      <c r="X149" s="237"/>
      <c r="Y149" s="237"/>
      <c r="Z149" s="237"/>
    </row>
    <row r="150">
      <c r="A150" s="305">
        <v>149.0</v>
      </c>
      <c r="B150" s="306" t="s">
        <v>4379</v>
      </c>
      <c r="C150" s="307" t="s">
        <v>1420</v>
      </c>
      <c r="D150" s="308" t="s">
        <v>4381</v>
      </c>
      <c r="E150" s="305" t="s">
        <v>4382</v>
      </c>
      <c r="F150" s="309" t="s">
        <v>4383</v>
      </c>
      <c r="G150" s="236"/>
      <c r="H150" s="307" t="s">
        <v>1420</v>
      </c>
      <c r="I150" s="237"/>
      <c r="J150" s="237"/>
      <c r="K150" s="310" t="s">
        <v>4380</v>
      </c>
      <c r="L150" s="237"/>
      <c r="M150" s="237"/>
      <c r="N150" s="237"/>
      <c r="O150" s="237"/>
      <c r="P150" s="237"/>
      <c r="Q150" s="237"/>
      <c r="R150" s="237"/>
      <c r="S150" s="237"/>
      <c r="T150" s="237"/>
      <c r="U150" s="237"/>
      <c r="V150" s="237"/>
      <c r="W150" s="237"/>
      <c r="X150" s="237"/>
      <c r="Y150" s="237"/>
      <c r="Z150" s="237"/>
    </row>
    <row r="151">
      <c r="A151" s="305">
        <v>150.0</v>
      </c>
      <c r="B151" s="236"/>
      <c r="C151" s="307" t="s">
        <v>14007</v>
      </c>
      <c r="D151" s="308" t="s">
        <v>1863</v>
      </c>
      <c r="E151" s="305" t="s">
        <v>12235</v>
      </c>
      <c r="F151" s="236"/>
      <c r="G151" s="307" t="s">
        <v>12232</v>
      </c>
      <c r="H151" s="307" t="s">
        <v>14007</v>
      </c>
      <c r="I151" s="237"/>
      <c r="J151" s="237"/>
      <c r="K151" s="310" t="s">
        <v>12233</v>
      </c>
      <c r="L151" s="237"/>
      <c r="M151" s="237"/>
      <c r="N151" s="237"/>
      <c r="O151" s="237"/>
      <c r="P151" s="237"/>
      <c r="Q151" s="237"/>
      <c r="R151" s="237"/>
      <c r="S151" s="237"/>
      <c r="T151" s="237"/>
      <c r="U151" s="237"/>
      <c r="V151" s="237"/>
      <c r="W151" s="237"/>
      <c r="X151" s="237"/>
      <c r="Y151" s="237"/>
      <c r="Z151" s="237"/>
    </row>
    <row r="152">
      <c r="A152" s="305">
        <v>151.0</v>
      </c>
      <c r="B152" s="306" t="s">
        <v>12244</v>
      </c>
      <c r="C152" s="307" t="s">
        <v>1420</v>
      </c>
      <c r="D152" s="308" t="s">
        <v>12245</v>
      </c>
      <c r="E152" s="305" t="s">
        <v>12010</v>
      </c>
      <c r="F152" s="236"/>
      <c r="G152" s="236"/>
      <c r="H152" s="307" t="s">
        <v>1420</v>
      </c>
      <c r="I152" s="237"/>
      <c r="J152" s="237"/>
      <c r="K152" s="310" t="s">
        <v>12243</v>
      </c>
      <c r="L152" s="237"/>
      <c r="M152" s="237"/>
      <c r="N152" s="237"/>
      <c r="O152" s="237"/>
      <c r="P152" s="237"/>
      <c r="Q152" s="237"/>
      <c r="R152" s="237"/>
      <c r="S152" s="237"/>
      <c r="T152" s="237"/>
      <c r="U152" s="237"/>
      <c r="V152" s="237"/>
      <c r="W152" s="237"/>
      <c r="X152" s="237"/>
      <c r="Y152" s="237"/>
      <c r="Z152" s="237"/>
    </row>
    <row r="153">
      <c r="A153" s="305">
        <v>152.0</v>
      </c>
      <c r="B153" s="306" t="s">
        <v>4503</v>
      </c>
      <c r="C153" s="307" t="s">
        <v>1420</v>
      </c>
      <c r="D153" s="308" t="s">
        <v>4505</v>
      </c>
      <c r="E153" s="305" t="s">
        <v>4506</v>
      </c>
      <c r="F153" s="309" t="s">
        <v>4507</v>
      </c>
      <c r="G153" s="236"/>
      <c r="H153" s="307" t="s">
        <v>1420</v>
      </c>
      <c r="I153" s="237"/>
      <c r="J153" s="237"/>
      <c r="K153" s="310" t="s">
        <v>4504</v>
      </c>
      <c r="L153" s="237"/>
      <c r="M153" s="237"/>
      <c r="N153" s="237"/>
      <c r="O153" s="237"/>
      <c r="P153" s="237"/>
      <c r="Q153" s="237"/>
      <c r="R153" s="237"/>
      <c r="S153" s="237"/>
      <c r="T153" s="237"/>
      <c r="U153" s="237"/>
      <c r="V153" s="237"/>
      <c r="W153" s="237"/>
      <c r="X153" s="237"/>
      <c r="Y153" s="237"/>
      <c r="Z153" s="237"/>
    </row>
    <row r="154">
      <c r="A154" s="305">
        <v>153.0</v>
      </c>
      <c r="B154" s="236"/>
      <c r="C154" s="307" t="s">
        <v>1420</v>
      </c>
      <c r="D154" s="308" t="s">
        <v>12128</v>
      </c>
      <c r="E154" s="305" t="s">
        <v>12129</v>
      </c>
      <c r="F154" s="309" t="s">
        <v>12264</v>
      </c>
      <c r="G154" s="236"/>
      <c r="H154" s="307" t="s">
        <v>1420</v>
      </c>
      <c r="I154" s="237"/>
      <c r="J154" s="237"/>
      <c r="K154" s="310" t="s">
        <v>12263</v>
      </c>
      <c r="L154" s="237"/>
      <c r="M154" s="237"/>
      <c r="N154" s="237"/>
      <c r="O154" s="237"/>
      <c r="P154" s="237"/>
      <c r="Q154" s="237"/>
      <c r="R154" s="237"/>
      <c r="S154" s="237"/>
      <c r="T154" s="237"/>
      <c r="U154" s="237"/>
      <c r="V154" s="237"/>
      <c r="W154" s="237"/>
      <c r="X154" s="237"/>
      <c r="Y154" s="237"/>
      <c r="Z154" s="237"/>
    </row>
    <row r="155">
      <c r="A155" s="305">
        <v>154.0</v>
      </c>
      <c r="B155" s="236"/>
      <c r="C155" s="307" t="s">
        <v>1420</v>
      </c>
      <c r="D155" s="308" t="s">
        <v>10151</v>
      </c>
      <c r="E155" s="305" t="s">
        <v>10152</v>
      </c>
      <c r="F155" s="236"/>
      <c r="G155" s="236"/>
      <c r="H155" s="307" t="s">
        <v>1420</v>
      </c>
      <c r="I155" s="237"/>
      <c r="J155" s="237"/>
      <c r="K155" s="310" t="s">
        <v>10391</v>
      </c>
      <c r="L155" s="237"/>
      <c r="M155" s="237"/>
      <c r="N155" s="237"/>
      <c r="O155" s="237"/>
      <c r="P155" s="237"/>
      <c r="Q155" s="237"/>
      <c r="R155" s="237"/>
      <c r="S155" s="237"/>
      <c r="T155" s="237"/>
      <c r="U155" s="237"/>
      <c r="V155" s="237"/>
      <c r="W155" s="237"/>
      <c r="X155" s="237"/>
      <c r="Y155" s="237"/>
      <c r="Z155" s="237"/>
    </row>
    <row r="156">
      <c r="A156" s="305">
        <v>155.0</v>
      </c>
      <c r="B156" s="306" t="s">
        <v>12260</v>
      </c>
      <c r="C156" s="307" t="s">
        <v>1420</v>
      </c>
      <c r="D156" s="308" t="s">
        <v>12261</v>
      </c>
      <c r="E156" s="305" t="s">
        <v>12262</v>
      </c>
      <c r="F156" s="236"/>
      <c r="G156" s="236"/>
      <c r="H156" s="307" t="s">
        <v>1420</v>
      </c>
      <c r="I156" s="237"/>
      <c r="J156" s="237"/>
      <c r="K156" s="310" t="s">
        <v>12259</v>
      </c>
      <c r="L156" s="237"/>
      <c r="M156" s="237"/>
      <c r="N156" s="237"/>
      <c r="O156" s="237"/>
      <c r="P156" s="237"/>
      <c r="Q156" s="237"/>
      <c r="R156" s="237"/>
      <c r="S156" s="237"/>
      <c r="T156" s="237"/>
      <c r="U156" s="237"/>
      <c r="V156" s="237"/>
      <c r="W156" s="237"/>
      <c r="X156" s="237"/>
      <c r="Y156" s="237"/>
      <c r="Z156" s="237"/>
    </row>
    <row r="157">
      <c r="A157" s="305">
        <v>156.0</v>
      </c>
      <c r="B157" s="306" t="s">
        <v>4492</v>
      </c>
      <c r="C157" s="307" t="s">
        <v>1420</v>
      </c>
      <c r="D157" s="308" t="s">
        <v>2301</v>
      </c>
      <c r="E157" s="305" t="s">
        <v>4494</v>
      </c>
      <c r="F157" s="309" t="s">
        <v>4495</v>
      </c>
      <c r="G157" s="236"/>
      <c r="H157" s="307" t="s">
        <v>1420</v>
      </c>
      <c r="I157" s="237"/>
      <c r="J157" s="237"/>
      <c r="K157" s="310" t="s">
        <v>4493</v>
      </c>
      <c r="L157" s="237"/>
      <c r="M157" s="237"/>
      <c r="N157" s="237"/>
      <c r="O157" s="237"/>
      <c r="P157" s="237"/>
      <c r="Q157" s="237"/>
      <c r="R157" s="237"/>
      <c r="S157" s="237"/>
      <c r="T157" s="237"/>
      <c r="U157" s="237"/>
      <c r="V157" s="237"/>
      <c r="W157" s="237"/>
      <c r="X157" s="237"/>
      <c r="Y157" s="237"/>
      <c r="Z157" s="237"/>
    </row>
    <row r="158">
      <c r="A158" s="305">
        <v>157.0</v>
      </c>
      <c r="B158" s="236"/>
      <c r="C158" s="307" t="s">
        <v>1427</v>
      </c>
      <c r="D158" s="308" t="s">
        <v>12132</v>
      </c>
      <c r="E158" s="305" t="s">
        <v>12133</v>
      </c>
      <c r="F158" s="236"/>
      <c r="G158" s="236"/>
      <c r="H158" s="307" t="s">
        <v>1427</v>
      </c>
      <c r="I158" s="237"/>
      <c r="J158" s="237"/>
      <c r="K158" s="310" t="s">
        <v>12130</v>
      </c>
      <c r="L158" s="237"/>
      <c r="M158" s="237"/>
      <c r="N158" s="237"/>
      <c r="O158" s="237"/>
      <c r="P158" s="237"/>
      <c r="Q158" s="237"/>
      <c r="R158" s="237"/>
      <c r="S158" s="237"/>
      <c r="T158" s="237"/>
      <c r="U158" s="237"/>
      <c r="V158" s="237"/>
      <c r="W158" s="237"/>
      <c r="X158" s="237"/>
      <c r="Y158" s="237"/>
      <c r="Z158" s="237"/>
    </row>
    <row r="159">
      <c r="A159" s="305">
        <v>158.0</v>
      </c>
      <c r="B159" s="236"/>
      <c r="C159" s="307" t="s">
        <v>1420</v>
      </c>
      <c r="D159" s="308" t="s">
        <v>10154</v>
      </c>
      <c r="E159" s="305" t="s">
        <v>10155</v>
      </c>
      <c r="F159" s="236"/>
      <c r="G159" s="236"/>
      <c r="H159" s="307" t="s">
        <v>1420</v>
      </c>
      <c r="I159" s="237"/>
      <c r="J159" s="237"/>
      <c r="K159" s="310" t="s">
        <v>10392</v>
      </c>
      <c r="L159" s="237"/>
      <c r="M159" s="237"/>
      <c r="N159" s="237"/>
      <c r="O159" s="237"/>
      <c r="P159" s="237"/>
      <c r="Q159" s="237"/>
      <c r="R159" s="237"/>
      <c r="S159" s="237"/>
      <c r="T159" s="237"/>
      <c r="U159" s="237"/>
      <c r="V159" s="237"/>
      <c r="W159" s="237"/>
      <c r="X159" s="237"/>
      <c r="Y159" s="237"/>
      <c r="Z159" s="237"/>
    </row>
    <row r="160">
      <c r="A160" s="305">
        <v>159.0</v>
      </c>
      <c r="B160" s="306" t="s">
        <v>12252</v>
      </c>
      <c r="C160" s="307" t="s">
        <v>1420</v>
      </c>
      <c r="D160" s="308" t="s">
        <v>12116</v>
      </c>
      <c r="E160" s="305" t="s">
        <v>12117</v>
      </c>
      <c r="F160" s="309" t="s">
        <v>12253</v>
      </c>
      <c r="G160" s="236"/>
      <c r="H160" s="307" t="s">
        <v>1420</v>
      </c>
      <c r="I160" s="237"/>
      <c r="J160" s="237"/>
      <c r="K160" s="310" t="s">
        <v>12251</v>
      </c>
      <c r="L160" s="237"/>
      <c r="M160" s="237"/>
      <c r="N160" s="237"/>
      <c r="O160" s="237"/>
      <c r="P160" s="237"/>
      <c r="Q160" s="237"/>
      <c r="R160" s="237"/>
      <c r="S160" s="237"/>
      <c r="T160" s="237"/>
      <c r="U160" s="237"/>
      <c r="V160" s="237"/>
      <c r="W160" s="237"/>
      <c r="X160" s="237"/>
      <c r="Y160" s="237"/>
      <c r="Z160" s="237"/>
    </row>
    <row r="161">
      <c r="A161" s="305">
        <v>160.0</v>
      </c>
      <c r="B161" s="306" t="s">
        <v>4488</v>
      </c>
      <c r="C161" s="307" t="s">
        <v>1420</v>
      </c>
      <c r="D161" s="308" t="s">
        <v>2304</v>
      </c>
      <c r="E161" s="305" t="s">
        <v>4490</v>
      </c>
      <c r="F161" s="309" t="s">
        <v>4491</v>
      </c>
      <c r="G161" s="236"/>
      <c r="H161" s="307" t="s">
        <v>1420</v>
      </c>
      <c r="I161" s="237"/>
      <c r="J161" s="237"/>
      <c r="K161" s="310" t="s">
        <v>4489</v>
      </c>
      <c r="L161" s="237"/>
      <c r="M161" s="237"/>
      <c r="N161" s="237"/>
      <c r="O161" s="237"/>
      <c r="P161" s="237"/>
      <c r="Q161" s="237"/>
      <c r="R161" s="237"/>
      <c r="S161" s="237"/>
      <c r="T161" s="237"/>
      <c r="U161" s="237"/>
      <c r="V161" s="237"/>
      <c r="W161" s="237"/>
      <c r="X161" s="237"/>
      <c r="Y161" s="237"/>
      <c r="Z161" s="237"/>
    </row>
    <row r="162">
      <c r="A162" s="305">
        <v>161.0</v>
      </c>
      <c r="B162" s="236"/>
      <c r="C162" s="307" t="s">
        <v>1420</v>
      </c>
      <c r="D162" s="308" t="s">
        <v>12006</v>
      </c>
      <c r="E162" s="305" t="s">
        <v>12007</v>
      </c>
      <c r="F162" s="236"/>
      <c r="G162" s="236"/>
      <c r="H162" s="307" t="s">
        <v>1420</v>
      </c>
      <c r="I162" s="237"/>
      <c r="J162" s="237"/>
      <c r="K162" s="310" t="s">
        <v>12246</v>
      </c>
      <c r="L162" s="237"/>
      <c r="M162" s="237"/>
      <c r="N162" s="237"/>
      <c r="O162" s="237"/>
      <c r="P162" s="237"/>
      <c r="Q162" s="237"/>
      <c r="R162" s="237"/>
      <c r="S162" s="237"/>
      <c r="T162" s="237"/>
      <c r="U162" s="237"/>
      <c r="V162" s="237"/>
      <c r="W162" s="237"/>
      <c r="X162" s="237"/>
      <c r="Y162" s="237"/>
      <c r="Z162" s="237"/>
    </row>
    <row r="163">
      <c r="A163" s="305">
        <v>162.0</v>
      </c>
      <c r="B163" s="236"/>
      <c r="C163" s="307" t="s">
        <v>1420</v>
      </c>
      <c r="D163" s="308" t="s">
        <v>4509</v>
      </c>
      <c r="E163" s="305" t="s">
        <v>4510</v>
      </c>
      <c r="F163" s="309" t="s">
        <v>12227</v>
      </c>
      <c r="G163" s="236"/>
      <c r="H163" s="307" t="s">
        <v>1420</v>
      </c>
      <c r="I163" s="237"/>
      <c r="J163" s="237"/>
      <c r="K163" s="310" t="s">
        <v>12226</v>
      </c>
      <c r="L163" s="237"/>
      <c r="M163" s="237"/>
      <c r="N163" s="237"/>
      <c r="O163" s="237"/>
      <c r="P163" s="237"/>
      <c r="Q163" s="237"/>
      <c r="R163" s="237"/>
      <c r="S163" s="237"/>
      <c r="T163" s="237"/>
      <c r="U163" s="237"/>
      <c r="V163" s="237"/>
      <c r="W163" s="237"/>
      <c r="X163" s="237"/>
      <c r="Y163" s="237"/>
      <c r="Z163" s="237"/>
    </row>
    <row r="164">
      <c r="A164" s="305">
        <v>163.0</v>
      </c>
      <c r="B164" s="236"/>
      <c r="C164" s="307" t="s">
        <v>1420</v>
      </c>
      <c r="D164" s="308" t="s">
        <v>11966</v>
      </c>
      <c r="E164" s="305" t="s">
        <v>11967</v>
      </c>
      <c r="F164" s="309" t="s">
        <v>14008</v>
      </c>
      <c r="G164" s="236"/>
      <c r="H164" s="307" t="s">
        <v>1420</v>
      </c>
      <c r="I164" s="237"/>
      <c r="J164" s="237"/>
      <c r="K164" s="310" t="s">
        <v>12230</v>
      </c>
      <c r="L164" s="237"/>
      <c r="M164" s="237"/>
      <c r="N164" s="237"/>
      <c r="O164" s="237"/>
      <c r="P164" s="237"/>
      <c r="Q164" s="237"/>
      <c r="R164" s="237"/>
      <c r="S164" s="237"/>
      <c r="T164" s="237"/>
      <c r="U164" s="237"/>
      <c r="V164" s="237"/>
      <c r="W164" s="237"/>
      <c r="X164" s="237"/>
      <c r="Y164" s="237"/>
      <c r="Z164" s="237"/>
    </row>
    <row r="165">
      <c r="A165" s="305">
        <v>164.0</v>
      </c>
      <c r="B165" s="306" t="s">
        <v>5979</v>
      </c>
      <c r="C165" s="307" t="s">
        <v>1420</v>
      </c>
      <c r="D165" s="308" t="s">
        <v>5981</v>
      </c>
      <c r="E165" s="305" t="s">
        <v>5982</v>
      </c>
      <c r="F165" s="309" t="s">
        <v>5983</v>
      </c>
      <c r="G165" s="236"/>
      <c r="H165" s="307" t="s">
        <v>1420</v>
      </c>
      <c r="I165" s="237"/>
      <c r="J165" s="237"/>
      <c r="K165" s="310" t="s">
        <v>5980</v>
      </c>
      <c r="L165" s="237"/>
      <c r="M165" s="237"/>
      <c r="N165" s="237"/>
      <c r="O165" s="237"/>
      <c r="P165" s="237"/>
      <c r="Q165" s="237"/>
      <c r="R165" s="237"/>
      <c r="S165" s="237"/>
      <c r="T165" s="237"/>
      <c r="U165" s="237"/>
      <c r="V165" s="237"/>
      <c r="W165" s="237"/>
      <c r="X165" s="237"/>
      <c r="Y165" s="237"/>
      <c r="Z165" s="237"/>
    </row>
    <row r="166">
      <c r="A166" s="305">
        <v>165.0</v>
      </c>
      <c r="B166" s="306" t="s">
        <v>5985</v>
      </c>
      <c r="C166" s="307" t="s">
        <v>1420</v>
      </c>
      <c r="D166" s="308" t="s">
        <v>5987</v>
      </c>
      <c r="E166" s="305" t="s">
        <v>5988</v>
      </c>
      <c r="F166" s="309" t="s">
        <v>5989</v>
      </c>
      <c r="G166" s="236"/>
      <c r="H166" s="307" t="s">
        <v>1420</v>
      </c>
      <c r="I166" s="237"/>
      <c r="J166" s="237"/>
      <c r="K166" s="310" t="s">
        <v>5986</v>
      </c>
      <c r="L166" s="237"/>
      <c r="M166" s="237"/>
      <c r="N166" s="237"/>
      <c r="O166" s="237"/>
      <c r="P166" s="237"/>
      <c r="Q166" s="237"/>
      <c r="R166" s="237"/>
      <c r="S166" s="237"/>
      <c r="T166" s="237"/>
      <c r="U166" s="237"/>
      <c r="V166" s="237"/>
      <c r="W166" s="237"/>
      <c r="X166" s="237"/>
      <c r="Y166" s="237"/>
      <c r="Z166" s="237"/>
    </row>
    <row r="167">
      <c r="A167" s="305">
        <v>166.0</v>
      </c>
      <c r="B167" s="306" t="s">
        <v>4349</v>
      </c>
      <c r="C167" s="307" t="s">
        <v>1420</v>
      </c>
      <c r="D167" s="308" t="s">
        <v>4351</v>
      </c>
      <c r="E167" s="305" t="s">
        <v>4352</v>
      </c>
      <c r="F167" s="309" t="s">
        <v>4353</v>
      </c>
      <c r="G167" s="236"/>
      <c r="H167" s="307" t="s">
        <v>1420</v>
      </c>
      <c r="I167" s="237"/>
      <c r="J167" s="237"/>
      <c r="K167" s="310" t="s">
        <v>4350</v>
      </c>
      <c r="L167" s="237"/>
      <c r="M167" s="237"/>
      <c r="N167" s="237"/>
      <c r="O167" s="237"/>
      <c r="P167" s="237"/>
      <c r="Q167" s="237"/>
      <c r="R167" s="237"/>
      <c r="S167" s="237"/>
      <c r="T167" s="237"/>
      <c r="U167" s="237"/>
      <c r="V167" s="237"/>
      <c r="W167" s="237"/>
      <c r="X167" s="237"/>
      <c r="Y167" s="237"/>
      <c r="Z167" s="237"/>
    </row>
    <row r="168">
      <c r="A168" s="305">
        <v>167.0</v>
      </c>
      <c r="B168" s="236"/>
      <c r="C168" s="307" t="s">
        <v>1420</v>
      </c>
      <c r="D168" s="308" t="s">
        <v>9252</v>
      </c>
      <c r="E168" s="305" t="s">
        <v>9253</v>
      </c>
      <c r="F168" s="309" t="s">
        <v>14009</v>
      </c>
      <c r="G168" s="236"/>
      <c r="H168" s="307" t="s">
        <v>1420</v>
      </c>
      <c r="I168" s="237"/>
      <c r="J168" s="237"/>
      <c r="K168" s="310" t="s">
        <v>9251</v>
      </c>
      <c r="L168" s="237"/>
      <c r="M168" s="237"/>
      <c r="N168" s="237"/>
      <c r="O168" s="237"/>
      <c r="P168" s="237"/>
      <c r="Q168" s="237"/>
      <c r="R168" s="237"/>
      <c r="S168" s="237"/>
      <c r="T168" s="237"/>
      <c r="U168" s="237"/>
      <c r="V168" s="237"/>
      <c r="W168" s="237"/>
      <c r="X168" s="237"/>
      <c r="Y168" s="237"/>
      <c r="Z168" s="237"/>
    </row>
    <row r="169">
      <c r="A169" s="305">
        <v>168.0</v>
      </c>
      <c r="B169" s="306" t="s">
        <v>4354</v>
      </c>
      <c r="C169" s="307" t="s">
        <v>1420</v>
      </c>
      <c r="D169" s="308" t="s">
        <v>4356</v>
      </c>
      <c r="E169" s="305" t="s">
        <v>4357</v>
      </c>
      <c r="F169" s="309" t="s">
        <v>4358</v>
      </c>
      <c r="G169" s="236"/>
      <c r="H169" s="307" t="s">
        <v>1420</v>
      </c>
      <c r="I169" s="237"/>
      <c r="J169" s="237"/>
      <c r="K169" s="310" t="s">
        <v>4355</v>
      </c>
      <c r="L169" s="237"/>
      <c r="M169" s="237"/>
      <c r="N169" s="237"/>
      <c r="O169" s="237"/>
      <c r="P169" s="237"/>
      <c r="Q169" s="237"/>
      <c r="R169" s="237"/>
      <c r="S169" s="237"/>
      <c r="T169" s="237"/>
      <c r="U169" s="237"/>
      <c r="V169" s="237"/>
      <c r="W169" s="237"/>
      <c r="X169" s="237"/>
      <c r="Y169" s="237"/>
      <c r="Z169" s="237"/>
    </row>
    <row r="170">
      <c r="A170" s="305">
        <v>169.0</v>
      </c>
      <c r="B170" s="306" t="s">
        <v>4354</v>
      </c>
      <c r="C170" s="307" t="s">
        <v>1420</v>
      </c>
      <c r="D170" s="308" t="s">
        <v>9246</v>
      </c>
      <c r="E170" s="305" t="s">
        <v>9247</v>
      </c>
      <c r="F170" s="309" t="s">
        <v>14010</v>
      </c>
      <c r="G170" s="236"/>
      <c r="H170" s="307" t="s">
        <v>1420</v>
      </c>
      <c r="I170" s="237"/>
      <c r="J170" s="237"/>
      <c r="K170" s="310" t="s">
        <v>9245</v>
      </c>
      <c r="L170" s="237"/>
      <c r="M170" s="237"/>
      <c r="N170" s="237"/>
      <c r="O170" s="237"/>
      <c r="P170" s="237"/>
      <c r="Q170" s="237"/>
      <c r="R170" s="237"/>
      <c r="S170" s="237"/>
      <c r="T170" s="237"/>
      <c r="U170" s="237"/>
      <c r="V170" s="237"/>
      <c r="W170" s="237"/>
      <c r="X170" s="237"/>
      <c r="Y170" s="237"/>
      <c r="Z170" s="237"/>
    </row>
    <row r="171">
      <c r="A171" s="305">
        <v>170.0</v>
      </c>
      <c r="B171" s="306" t="s">
        <v>4344</v>
      </c>
      <c r="C171" s="307" t="s">
        <v>1420</v>
      </c>
      <c r="D171" s="308" t="s">
        <v>4346</v>
      </c>
      <c r="E171" s="305" t="s">
        <v>4347</v>
      </c>
      <c r="F171" s="309" t="s">
        <v>4348</v>
      </c>
      <c r="G171" s="236"/>
      <c r="H171" s="307" t="s">
        <v>1420</v>
      </c>
      <c r="I171" s="237"/>
      <c r="J171" s="237"/>
      <c r="K171" s="310" t="s">
        <v>4345</v>
      </c>
      <c r="L171" s="237"/>
      <c r="M171" s="237"/>
      <c r="N171" s="237"/>
      <c r="O171" s="237"/>
      <c r="P171" s="237"/>
      <c r="Q171" s="237"/>
      <c r="R171" s="237"/>
      <c r="S171" s="237"/>
      <c r="T171" s="237"/>
      <c r="U171" s="237"/>
      <c r="V171" s="237"/>
      <c r="W171" s="237"/>
      <c r="X171" s="237"/>
      <c r="Y171" s="237"/>
      <c r="Z171" s="237"/>
    </row>
    <row r="172">
      <c r="A172" s="305">
        <v>171.0</v>
      </c>
      <c r="B172" s="236"/>
      <c r="C172" s="307" t="s">
        <v>1420</v>
      </c>
      <c r="D172" s="308" t="s">
        <v>9256</v>
      </c>
      <c r="E172" s="305" t="s">
        <v>9257</v>
      </c>
      <c r="F172" s="309" t="s">
        <v>14011</v>
      </c>
      <c r="G172" s="236"/>
      <c r="H172" s="307" t="s">
        <v>1420</v>
      </c>
      <c r="I172" s="237"/>
      <c r="J172" s="237"/>
      <c r="K172" s="310" t="s">
        <v>9255</v>
      </c>
      <c r="L172" s="237"/>
      <c r="M172" s="237"/>
      <c r="N172" s="237"/>
      <c r="O172" s="237"/>
      <c r="P172" s="237"/>
      <c r="Q172" s="237"/>
      <c r="R172" s="237"/>
      <c r="S172" s="237"/>
      <c r="T172" s="237"/>
      <c r="U172" s="237"/>
      <c r="V172" s="237"/>
      <c r="W172" s="237"/>
      <c r="X172" s="237"/>
      <c r="Y172" s="237"/>
      <c r="Z172" s="237"/>
    </row>
    <row r="173">
      <c r="A173" s="305">
        <v>172.0</v>
      </c>
      <c r="B173" s="306" t="s">
        <v>5974</v>
      </c>
      <c r="C173" s="307" t="s">
        <v>1420</v>
      </c>
      <c r="D173" s="308" t="s">
        <v>5976</v>
      </c>
      <c r="E173" s="305" t="s">
        <v>5977</v>
      </c>
      <c r="F173" s="309" t="s">
        <v>5978</v>
      </c>
      <c r="G173" s="236"/>
      <c r="H173" s="307" t="s">
        <v>1420</v>
      </c>
      <c r="I173" s="237"/>
      <c r="J173" s="237"/>
      <c r="K173" s="310" t="s">
        <v>5975</v>
      </c>
      <c r="L173" s="237"/>
      <c r="M173" s="237"/>
      <c r="N173" s="237"/>
      <c r="O173" s="237"/>
      <c r="P173" s="237"/>
      <c r="Q173" s="237"/>
      <c r="R173" s="237"/>
      <c r="S173" s="237"/>
      <c r="T173" s="237"/>
      <c r="U173" s="237"/>
      <c r="V173" s="237"/>
      <c r="W173" s="237"/>
      <c r="X173" s="237"/>
      <c r="Y173" s="237"/>
      <c r="Z173" s="237"/>
    </row>
    <row r="174">
      <c r="A174" s="305">
        <v>173.0</v>
      </c>
      <c r="B174" s="306" t="s">
        <v>5662</v>
      </c>
      <c r="C174" s="307" t="s">
        <v>1420</v>
      </c>
      <c r="D174" s="308" t="s">
        <v>5664</v>
      </c>
      <c r="E174" s="305" t="s">
        <v>5665</v>
      </c>
      <c r="F174" s="309" t="s">
        <v>5666</v>
      </c>
      <c r="G174" s="236"/>
      <c r="H174" s="307" t="s">
        <v>1420</v>
      </c>
      <c r="I174" s="237"/>
      <c r="J174" s="237"/>
      <c r="K174" s="310" t="s">
        <v>5663</v>
      </c>
      <c r="L174" s="237"/>
      <c r="M174" s="237"/>
      <c r="N174" s="237"/>
      <c r="O174" s="237"/>
      <c r="P174" s="237"/>
      <c r="Q174" s="237"/>
      <c r="R174" s="237"/>
      <c r="S174" s="237"/>
      <c r="T174" s="237"/>
      <c r="U174" s="237"/>
      <c r="V174" s="237"/>
      <c r="W174" s="237"/>
      <c r="X174" s="237"/>
      <c r="Y174" s="237"/>
      <c r="Z174" s="237"/>
    </row>
    <row r="175">
      <c r="A175" s="305">
        <v>174.0</v>
      </c>
      <c r="B175" s="236"/>
      <c r="C175" s="307" t="s">
        <v>1420</v>
      </c>
      <c r="D175" s="308" t="s">
        <v>11964</v>
      </c>
      <c r="E175" s="305" t="s">
        <v>4512</v>
      </c>
      <c r="F175" s="309" t="s">
        <v>12229</v>
      </c>
      <c r="G175" s="236"/>
      <c r="H175" s="307" t="s">
        <v>1420</v>
      </c>
      <c r="I175" s="237"/>
      <c r="J175" s="237"/>
      <c r="K175" s="310" t="s">
        <v>12228</v>
      </c>
      <c r="L175" s="237"/>
      <c r="M175" s="237"/>
      <c r="N175" s="237"/>
      <c r="O175" s="237"/>
      <c r="P175" s="237"/>
      <c r="Q175" s="237"/>
      <c r="R175" s="237"/>
      <c r="S175" s="237"/>
      <c r="T175" s="237"/>
      <c r="U175" s="237"/>
      <c r="V175" s="237"/>
      <c r="W175" s="237"/>
      <c r="X175" s="237"/>
      <c r="Y175" s="237"/>
      <c r="Z175" s="237"/>
    </row>
    <row r="176">
      <c r="A176" s="305">
        <v>175.0</v>
      </c>
      <c r="B176" s="306" t="s">
        <v>4090</v>
      </c>
      <c r="C176" s="307" t="s">
        <v>1420</v>
      </c>
      <c r="D176" s="308" t="s">
        <v>4092</v>
      </c>
      <c r="E176" s="305" t="s">
        <v>4093</v>
      </c>
      <c r="F176" s="309" t="s">
        <v>4094</v>
      </c>
      <c r="G176" s="236"/>
      <c r="H176" s="307" t="s">
        <v>1420</v>
      </c>
      <c r="I176" s="237"/>
      <c r="J176" s="237"/>
      <c r="K176" s="310" t="s">
        <v>4091</v>
      </c>
      <c r="L176" s="237"/>
      <c r="M176" s="237"/>
      <c r="N176" s="237"/>
      <c r="O176" s="237"/>
      <c r="P176" s="237"/>
      <c r="Q176" s="237"/>
      <c r="R176" s="237"/>
      <c r="S176" s="237"/>
      <c r="T176" s="237"/>
      <c r="U176" s="237"/>
      <c r="V176" s="237"/>
      <c r="W176" s="237"/>
      <c r="X176" s="237"/>
      <c r="Y176" s="237"/>
      <c r="Z176" s="237"/>
    </row>
    <row r="177">
      <c r="A177" s="305">
        <v>176.0</v>
      </c>
      <c r="B177" s="236"/>
      <c r="C177" s="307" t="s">
        <v>1420</v>
      </c>
      <c r="D177" s="308" t="s">
        <v>9288</v>
      </c>
      <c r="E177" s="305" t="s">
        <v>9289</v>
      </c>
      <c r="F177" s="309" t="s">
        <v>14012</v>
      </c>
      <c r="G177" s="236"/>
      <c r="H177" s="307" t="s">
        <v>1420</v>
      </c>
      <c r="I177" s="237"/>
      <c r="J177" s="237"/>
      <c r="K177" s="310" t="s">
        <v>9287</v>
      </c>
      <c r="L177" s="237"/>
      <c r="M177" s="237"/>
      <c r="N177" s="237"/>
      <c r="O177" s="237"/>
      <c r="P177" s="237"/>
      <c r="Q177" s="237"/>
      <c r="R177" s="237"/>
      <c r="S177" s="237"/>
      <c r="T177" s="237"/>
      <c r="U177" s="237"/>
      <c r="V177" s="237"/>
      <c r="W177" s="237"/>
      <c r="X177" s="237"/>
      <c r="Y177" s="237"/>
      <c r="Z177" s="237"/>
    </row>
    <row r="178">
      <c r="A178" s="305">
        <v>177.0</v>
      </c>
      <c r="B178" s="306" t="s">
        <v>4319</v>
      </c>
      <c r="C178" s="307" t="s">
        <v>1420</v>
      </c>
      <c r="D178" s="308" t="s">
        <v>4321</v>
      </c>
      <c r="E178" s="305" t="s">
        <v>4322</v>
      </c>
      <c r="F178" s="309" t="s">
        <v>4323</v>
      </c>
      <c r="G178" s="236"/>
      <c r="H178" s="307" t="s">
        <v>1420</v>
      </c>
      <c r="I178" s="237"/>
      <c r="J178" s="237"/>
      <c r="K178" s="310" t="s">
        <v>4320</v>
      </c>
      <c r="L178" s="237"/>
      <c r="M178" s="237"/>
      <c r="N178" s="237"/>
      <c r="O178" s="237"/>
      <c r="P178" s="237"/>
      <c r="Q178" s="237"/>
      <c r="R178" s="237"/>
      <c r="S178" s="237"/>
      <c r="T178" s="237"/>
      <c r="U178" s="237"/>
      <c r="V178" s="237"/>
      <c r="W178" s="237"/>
      <c r="X178" s="237"/>
      <c r="Y178" s="237"/>
      <c r="Z178" s="237"/>
    </row>
    <row r="179">
      <c r="A179" s="305">
        <v>178.0</v>
      </c>
      <c r="B179" s="306" t="s">
        <v>4319</v>
      </c>
      <c r="C179" s="307" t="s">
        <v>1420</v>
      </c>
      <c r="D179" s="308" t="s">
        <v>9283</v>
      </c>
      <c r="E179" s="305" t="s">
        <v>9284</v>
      </c>
      <c r="F179" s="309" t="s">
        <v>14013</v>
      </c>
      <c r="G179" s="236"/>
      <c r="H179" s="307" t="s">
        <v>1420</v>
      </c>
      <c r="I179" s="237"/>
      <c r="J179" s="237"/>
      <c r="K179" s="310" t="s">
        <v>9282</v>
      </c>
      <c r="L179" s="237"/>
      <c r="M179" s="237"/>
      <c r="N179" s="237"/>
      <c r="O179" s="237"/>
      <c r="P179" s="237"/>
      <c r="Q179" s="237"/>
      <c r="R179" s="237"/>
      <c r="S179" s="237"/>
      <c r="T179" s="237"/>
      <c r="U179" s="237"/>
      <c r="V179" s="237"/>
      <c r="W179" s="237"/>
      <c r="X179" s="237"/>
      <c r="Y179" s="237"/>
      <c r="Z179" s="237"/>
    </row>
    <row r="180">
      <c r="A180" s="305">
        <v>179.0</v>
      </c>
      <c r="B180" s="236"/>
      <c r="C180" s="307" t="s">
        <v>1420</v>
      </c>
      <c r="D180" s="308" t="s">
        <v>9292</v>
      </c>
      <c r="E180" s="305" t="s">
        <v>9293</v>
      </c>
      <c r="F180" s="309" t="s">
        <v>14014</v>
      </c>
      <c r="G180" s="236"/>
      <c r="H180" s="307" t="s">
        <v>1420</v>
      </c>
      <c r="I180" s="237"/>
      <c r="J180" s="237"/>
      <c r="K180" s="310" t="s">
        <v>9291</v>
      </c>
      <c r="L180" s="237"/>
      <c r="M180" s="237"/>
      <c r="N180" s="237"/>
      <c r="O180" s="237"/>
      <c r="P180" s="237"/>
      <c r="Q180" s="237"/>
      <c r="R180" s="237"/>
      <c r="S180" s="237"/>
      <c r="T180" s="237"/>
      <c r="U180" s="237"/>
      <c r="V180" s="237"/>
      <c r="W180" s="237"/>
      <c r="X180" s="237"/>
      <c r="Y180" s="237"/>
      <c r="Z180" s="237"/>
    </row>
    <row r="181">
      <c r="A181" s="305">
        <v>180.0</v>
      </c>
      <c r="B181" s="236"/>
      <c r="C181" s="307" t="s">
        <v>1420</v>
      </c>
      <c r="D181" s="308" t="s">
        <v>1640</v>
      </c>
      <c r="E181" s="305" t="s">
        <v>13367</v>
      </c>
      <c r="F181" s="309" t="s">
        <v>14015</v>
      </c>
      <c r="G181" s="236"/>
      <c r="H181" s="307" t="s">
        <v>1420</v>
      </c>
      <c r="I181" s="237"/>
      <c r="J181" s="237"/>
      <c r="K181" s="310" t="s">
        <v>13366</v>
      </c>
      <c r="L181" s="237"/>
      <c r="M181" s="237"/>
      <c r="N181" s="237"/>
      <c r="O181" s="237"/>
      <c r="P181" s="237"/>
      <c r="Q181" s="237"/>
      <c r="R181" s="237"/>
      <c r="S181" s="237"/>
      <c r="T181" s="237"/>
      <c r="U181" s="237"/>
      <c r="V181" s="237"/>
      <c r="W181" s="237"/>
      <c r="X181" s="237"/>
      <c r="Y181" s="237"/>
      <c r="Z181" s="237"/>
    </row>
    <row r="182">
      <c r="A182" s="305">
        <v>181.0</v>
      </c>
      <c r="B182" s="236"/>
      <c r="C182" s="307" t="s">
        <v>1420</v>
      </c>
      <c r="D182" s="308" t="s">
        <v>1642</v>
      </c>
      <c r="E182" s="305" t="s">
        <v>13370</v>
      </c>
      <c r="F182" s="309" t="s">
        <v>14016</v>
      </c>
      <c r="G182" s="236"/>
      <c r="H182" s="307" t="s">
        <v>1420</v>
      </c>
      <c r="I182" s="237"/>
      <c r="J182" s="237"/>
      <c r="K182" s="310" t="s">
        <v>13369</v>
      </c>
      <c r="L182" s="237"/>
      <c r="M182" s="237"/>
      <c r="N182" s="237"/>
      <c r="O182" s="237"/>
      <c r="P182" s="237"/>
      <c r="Q182" s="237"/>
      <c r="R182" s="237"/>
      <c r="S182" s="237"/>
      <c r="T182" s="237"/>
      <c r="U182" s="237"/>
      <c r="V182" s="237"/>
      <c r="W182" s="237"/>
      <c r="X182" s="237"/>
      <c r="Y182" s="237"/>
      <c r="Z182" s="237"/>
    </row>
    <row r="183">
      <c r="A183" s="305">
        <v>182.0</v>
      </c>
      <c r="B183" s="236"/>
      <c r="C183" s="307" t="s">
        <v>1420</v>
      </c>
      <c r="D183" s="308" t="s">
        <v>1638</v>
      </c>
      <c r="E183" s="305" t="s">
        <v>13364</v>
      </c>
      <c r="F183" s="309" t="s">
        <v>14017</v>
      </c>
      <c r="G183" s="236"/>
      <c r="H183" s="307" t="s">
        <v>1420</v>
      </c>
      <c r="I183" s="237"/>
      <c r="J183" s="237"/>
      <c r="K183" s="310" t="s">
        <v>13363</v>
      </c>
      <c r="L183" s="237"/>
      <c r="M183" s="237"/>
      <c r="N183" s="237"/>
      <c r="O183" s="237"/>
      <c r="P183" s="237"/>
      <c r="Q183" s="237"/>
      <c r="R183" s="237"/>
      <c r="S183" s="237"/>
      <c r="T183" s="237"/>
      <c r="U183" s="237"/>
      <c r="V183" s="237"/>
      <c r="W183" s="237"/>
      <c r="X183" s="237"/>
      <c r="Y183" s="237"/>
      <c r="Z183" s="237"/>
    </row>
    <row r="184">
      <c r="A184" s="305">
        <v>183.0</v>
      </c>
      <c r="B184" s="306" t="s">
        <v>4384</v>
      </c>
      <c r="C184" s="307" t="s">
        <v>1420</v>
      </c>
      <c r="D184" s="308" t="s">
        <v>4386</v>
      </c>
      <c r="E184" s="305" t="s">
        <v>4387</v>
      </c>
      <c r="F184" s="309" t="s">
        <v>4388</v>
      </c>
      <c r="G184" s="236"/>
      <c r="H184" s="307" t="s">
        <v>1420</v>
      </c>
      <c r="I184" s="237"/>
      <c r="J184" s="237"/>
      <c r="K184" s="310" t="s">
        <v>4385</v>
      </c>
      <c r="L184" s="237"/>
      <c r="M184" s="237"/>
      <c r="N184" s="237"/>
      <c r="O184" s="237"/>
      <c r="P184" s="237"/>
      <c r="Q184" s="237"/>
      <c r="R184" s="237"/>
      <c r="S184" s="237"/>
      <c r="T184" s="237"/>
      <c r="U184" s="237"/>
      <c r="V184" s="237"/>
      <c r="W184" s="237"/>
      <c r="X184" s="237"/>
      <c r="Y184" s="237"/>
      <c r="Z184" s="237"/>
    </row>
    <row r="185">
      <c r="A185" s="305">
        <v>184.0</v>
      </c>
      <c r="B185" s="236"/>
      <c r="C185" s="307" t="s">
        <v>14007</v>
      </c>
      <c r="D185" s="308" t="s">
        <v>1862</v>
      </c>
      <c r="E185" s="305" t="s">
        <v>12237</v>
      </c>
      <c r="F185" s="236"/>
      <c r="G185" s="307" t="s">
        <v>12232</v>
      </c>
      <c r="H185" s="307" t="s">
        <v>14007</v>
      </c>
      <c r="I185" s="237"/>
      <c r="J185" s="237"/>
      <c r="K185" s="310" t="s">
        <v>12236</v>
      </c>
      <c r="L185" s="237"/>
      <c r="M185" s="237"/>
      <c r="N185" s="237"/>
      <c r="O185" s="237"/>
      <c r="P185" s="237"/>
      <c r="Q185" s="237"/>
      <c r="R185" s="237"/>
      <c r="S185" s="237"/>
      <c r="T185" s="237"/>
      <c r="U185" s="237"/>
      <c r="V185" s="237"/>
      <c r="W185" s="237"/>
      <c r="X185" s="237"/>
      <c r="Y185" s="237"/>
      <c r="Z185" s="237"/>
    </row>
    <row r="186">
      <c r="A186" s="305">
        <v>185.0</v>
      </c>
      <c r="B186" s="306" t="s">
        <v>12242</v>
      </c>
      <c r="C186" s="307" t="s">
        <v>1420</v>
      </c>
      <c r="D186" s="308" t="s">
        <v>12012</v>
      </c>
      <c r="E186" s="305" t="s">
        <v>12013</v>
      </c>
      <c r="F186" s="236"/>
      <c r="G186" s="236"/>
      <c r="H186" s="307" t="s">
        <v>1420</v>
      </c>
      <c r="I186" s="237"/>
      <c r="J186" s="237"/>
      <c r="K186" s="310" t="s">
        <v>12241</v>
      </c>
      <c r="L186" s="237"/>
      <c r="M186" s="237"/>
      <c r="N186" s="237"/>
      <c r="O186" s="237"/>
      <c r="P186" s="237"/>
      <c r="Q186" s="237"/>
      <c r="R186" s="237"/>
      <c r="S186" s="237"/>
      <c r="T186" s="237"/>
      <c r="U186" s="237"/>
      <c r="V186" s="237"/>
      <c r="W186" s="237"/>
      <c r="X186" s="237"/>
      <c r="Y186" s="237"/>
      <c r="Z186" s="237"/>
    </row>
    <row r="187">
      <c r="A187" s="305">
        <v>186.0</v>
      </c>
      <c r="B187" s="236"/>
      <c r="C187" s="307" t="s">
        <v>1427</v>
      </c>
      <c r="D187" s="308" t="s">
        <v>12135</v>
      </c>
      <c r="E187" s="305" t="s">
        <v>12136</v>
      </c>
      <c r="F187" s="236"/>
      <c r="G187" s="236"/>
      <c r="H187" s="307" t="s">
        <v>1427</v>
      </c>
      <c r="I187" s="237"/>
      <c r="J187" s="237"/>
      <c r="K187" s="310" t="s">
        <v>12134</v>
      </c>
      <c r="L187" s="237"/>
      <c r="M187" s="237"/>
      <c r="N187" s="237"/>
      <c r="O187" s="237"/>
      <c r="P187" s="237"/>
      <c r="Q187" s="237"/>
      <c r="R187" s="237"/>
      <c r="S187" s="237"/>
      <c r="T187" s="237"/>
      <c r="U187" s="237"/>
      <c r="V187" s="237"/>
      <c r="W187" s="237"/>
      <c r="X187" s="237"/>
      <c r="Y187" s="237"/>
      <c r="Z187" s="237"/>
    </row>
    <row r="188">
      <c r="A188" s="305">
        <v>187.0</v>
      </c>
      <c r="B188" s="236"/>
      <c r="C188" s="307" t="s">
        <v>1427</v>
      </c>
      <c r="D188" s="308" t="s">
        <v>12138</v>
      </c>
      <c r="E188" s="305" t="s">
        <v>12139</v>
      </c>
      <c r="F188" s="236"/>
      <c r="G188" s="236"/>
      <c r="H188" s="307" t="s">
        <v>1427</v>
      </c>
      <c r="I188" s="237"/>
      <c r="J188" s="237"/>
      <c r="K188" s="310" t="s">
        <v>12137</v>
      </c>
      <c r="L188" s="237"/>
      <c r="M188" s="237"/>
      <c r="N188" s="237"/>
      <c r="O188" s="237"/>
      <c r="P188" s="237"/>
      <c r="Q188" s="237"/>
      <c r="R188" s="237"/>
      <c r="S188" s="237"/>
      <c r="T188" s="237"/>
      <c r="U188" s="237"/>
      <c r="V188" s="237"/>
      <c r="W188" s="237"/>
      <c r="X188" s="237"/>
      <c r="Y188" s="237"/>
      <c r="Z188" s="237"/>
    </row>
    <row r="189">
      <c r="A189" s="305">
        <v>188.0</v>
      </c>
      <c r="B189" s="306" t="s">
        <v>4499</v>
      </c>
      <c r="C189" s="307" t="s">
        <v>1420</v>
      </c>
      <c r="D189" s="308" t="s">
        <v>2302</v>
      </c>
      <c r="E189" s="305" t="s">
        <v>4501</v>
      </c>
      <c r="F189" s="309" t="s">
        <v>4502</v>
      </c>
      <c r="G189" s="236"/>
      <c r="H189" s="307" t="s">
        <v>1420</v>
      </c>
      <c r="I189" s="237"/>
      <c r="J189" s="237"/>
      <c r="K189" s="310" t="s">
        <v>4500</v>
      </c>
      <c r="L189" s="237"/>
      <c r="M189" s="237"/>
      <c r="N189" s="237"/>
      <c r="O189" s="237"/>
      <c r="P189" s="237"/>
      <c r="Q189" s="237"/>
      <c r="R189" s="237"/>
      <c r="S189" s="237"/>
      <c r="T189" s="237"/>
      <c r="U189" s="237"/>
      <c r="V189" s="237"/>
      <c r="W189" s="237"/>
      <c r="X189" s="237"/>
      <c r="Y189" s="237"/>
      <c r="Z189" s="237"/>
    </row>
    <row r="190">
      <c r="A190" s="305">
        <v>189.0</v>
      </c>
      <c r="B190" s="306" t="s">
        <v>12208</v>
      </c>
      <c r="C190" s="307" t="s">
        <v>1427</v>
      </c>
      <c r="D190" s="308" t="s">
        <v>12209</v>
      </c>
      <c r="E190" s="305" t="s">
        <v>12210</v>
      </c>
      <c r="F190" s="236"/>
      <c r="G190" s="236"/>
      <c r="H190" s="307" t="s">
        <v>1427</v>
      </c>
      <c r="I190" s="237"/>
      <c r="J190" s="237"/>
      <c r="K190" s="310" t="s">
        <v>12207</v>
      </c>
      <c r="L190" s="237"/>
      <c r="M190" s="237"/>
      <c r="N190" s="237"/>
      <c r="O190" s="237"/>
      <c r="P190" s="237"/>
      <c r="Q190" s="237"/>
      <c r="R190" s="237"/>
      <c r="S190" s="237"/>
      <c r="T190" s="237"/>
      <c r="U190" s="237"/>
      <c r="V190" s="237"/>
      <c r="W190" s="237"/>
      <c r="X190" s="237"/>
      <c r="Y190" s="237"/>
      <c r="Z190" s="237"/>
    </row>
    <row r="191">
      <c r="A191" s="305">
        <v>190.0</v>
      </c>
      <c r="B191" s="236"/>
      <c r="C191" s="307" t="s">
        <v>1427</v>
      </c>
      <c r="D191" s="308" t="s">
        <v>12141</v>
      </c>
      <c r="E191" s="305" t="s">
        <v>12142</v>
      </c>
      <c r="F191" s="236"/>
      <c r="G191" s="236"/>
      <c r="H191" s="307" t="s">
        <v>1427</v>
      </c>
      <c r="I191" s="237"/>
      <c r="J191" s="237"/>
      <c r="K191" s="310" t="s">
        <v>12140</v>
      </c>
      <c r="L191" s="237"/>
      <c r="M191" s="237"/>
      <c r="N191" s="237"/>
      <c r="O191" s="237"/>
      <c r="P191" s="237"/>
      <c r="Q191" s="237"/>
      <c r="R191" s="237"/>
      <c r="S191" s="237"/>
      <c r="T191" s="237"/>
      <c r="U191" s="237"/>
      <c r="V191" s="237"/>
      <c r="W191" s="237"/>
      <c r="X191" s="237"/>
      <c r="Y191" s="237"/>
      <c r="Z191" s="237"/>
    </row>
    <row r="192">
      <c r="A192" s="305">
        <v>191.0</v>
      </c>
      <c r="B192" s="306" t="s">
        <v>4526</v>
      </c>
      <c r="C192" s="307" t="s">
        <v>1420</v>
      </c>
      <c r="D192" s="308" t="s">
        <v>4528</v>
      </c>
      <c r="E192" s="305" t="s">
        <v>4529</v>
      </c>
      <c r="F192" s="309" t="s">
        <v>4530</v>
      </c>
      <c r="G192" s="236"/>
      <c r="H192" s="307" t="s">
        <v>1420</v>
      </c>
      <c r="I192" s="237"/>
      <c r="J192" s="237"/>
      <c r="K192" s="310" t="s">
        <v>4527</v>
      </c>
      <c r="L192" s="237"/>
      <c r="M192" s="237"/>
      <c r="N192" s="237"/>
      <c r="O192" s="237"/>
      <c r="P192" s="237"/>
      <c r="Q192" s="237"/>
      <c r="R192" s="237"/>
      <c r="S192" s="237"/>
      <c r="T192" s="237"/>
      <c r="U192" s="237"/>
      <c r="V192" s="237"/>
      <c r="W192" s="237"/>
      <c r="X192" s="237"/>
      <c r="Y192" s="237"/>
      <c r="Z192" s="237"/>
    </row>
    <row r="193">
      <c r="A193" s="305">
        <v>192.0</v>
      </c>
      <c r="B193" s="306" t="s">
        <v>4518</v>
      </c>
      <c r="C193" s="307" t="s">
        <v>1420</v>
      </c>
      <c r="D193" s="308" t="s">
        <v>4520</v>
      </c>
      <c r="E193" s="305" t="s">
        <v>4521</v>
      </c>
      <c r="F193" s="309" t="s">
        <v>4522</v>
      </c>
      <c r="G193" s="236"/>
      <c r="H193" s="307" t="s">
        <v>1420</v>
      </c>
      <c r="I193" s="237"/>
      <c r="J193" s="237"/>
      <c r="K193" s="310" t="s">
        <v>4519</v>
      </c>
      <c r="L193" s="237"/>
      <c r="M193" s="237"/>
      <c r="N193" s="237"/>
      <c r="O193" s="237"/>
      <c r="P193" s="237"/>
      <c r="Q193" s="237"/>
      <c r="R193" s="237"/>
      <c r="S193" s="237"/>
      <c r="T193" s="237"/>
      <c r="U193" s="237"/>
      <c r="V193" s="237"/>
      <c r="W193" s="237"/>
      <c r="X193" s="237"/>
      <c r="Y193" s="237"/>
      <c r="Z193" s="237"/>
    </row>
    <row r="194">
      <c r="A194" s="305">
        <v>193.0</v>
      </c>
      <c r="B194" s="236"/>
      <c r="C194" s="307" t="s">
        <v>1420</v>
      </c>
      <c r="D194" s="308" t="s">
        <v>10157</v>
      </c>
      <c r="E194" s="305" t="s">
        <v>10158</v>
      </c>
      <c r="F194" s="236"/>
      <c r="G194" s="236"/>
      <c r="H194" s="307" t="s">
        <v>1420</v>
      </c>
      <c r="I194" s="237"/>
      <c r="J194" s="237"/>
      <c r="K194" s="310" t="s">
        <v>10393</v>
      </c>
      <c r="L194" s="237"/>
      <c r="M194" s="237"/>
      <c r="N194" s="237"/>
      <c r="O194" s="237"/>
      <c r="P194" s="237"/>
      <c r="Q194" s="237"/>
      <c r="R194" s="237"/>
      <c r="S194" s="237"/>
      <c r="T194" s="237"/>
      <c r="U194" s="237"/>
      <c r="V194" s="237"/>
      <c r="W194" s="237"/>
      <c r="X194" s="237"/>
      <c r="Y194" s="237"/>
      <c r="Z194" s="237"/>
    </row>
    <row r="195">
      <c r="A195" s="305">
        <v>194.0</v>
      </c>
      <c r="B195" s="236"/>
      <c r="C195" s="307" t="s">
        <v>1420</v>
      </c>
      <c r="D195" s="308" t="s">
        <v>10157</v>
      </c>
      <c r="E195" s="305" t="s">
        <v>11958</v>
      </c>
      <c r="F195" s="309" t="s">
        <v>11959</v>
      </c>
      <c r="G195" s="236"/>
      <c r="H195" s="307" t="s">
        <v>1420</v>
      </c>
      <c r="I195" s="237"/>
      <c r="J195" s="237"/>
      <c r="K195" s="310" t="s">
        <v>11956</v>
      </c>
      <c r="L195" s="237"/>
      <c r="M195" s="237"/>
      <c r="N195" s="237"/>
      <c r="O195" s="237"/>
      <c r="P195" s="237"/>
      <c r="Q195" s="237"/>
      <c r="R195" s="237"/>
      <c r="S195" s="237"/>
      <c r="T195" s="237"/>
      <c r="U195" s="237"/>
      <c r="V195" s="237"/>
      <c r="W195" s="237"/>
      <c r="X195" s="237"/>
      <c r="Y195" s="237"/>
      <c r="Z195" s="237"/>
    </row>
    <row r="196">
      <c r="A196" s="305">
        <v>195.0</v>
      </c>
      <c r="B196" s="306" t="s">
        <v>4513</v>
      </c>
      <c r="C196" s="307" t="s">
        <v>1420</v>
      </c>
      <c r="D196" s="308" t="s">
        <v>4515</v>
      </c>
      <c r="E196" s="305" t="s">
        <v>4516</v>
      </c>
      <c r="F196" s="309" t="s">
        <v>4517</v>
      </c>
      <c r="G196" s="236"/>
      <c r="H196" s="307" t="s">
        <v>1420</v>
      </c>
      <c r="I196" s="237"/>
      <c r="J196" s="237"/>
      <c r="K196" s="310" t="s">
        <v>4514</v>
      </c>
      <c r="L196" s="237"/>
      <c r="M196" s="237"/>
      <c r="N196" s="237"/>
      <c r="O196" s="237"/>
      <c r="P196" s="237"/>
      <c r="Q196" s="237"/>
      <c r="R196" s="237"/>
      <c r="S196" s="237"/>
      <c r="T196" s="237"/>
      <c r="U196" s="237"/>
      <c r="V196" s="237"/>
      <c r="W196" s="237"/>
      <c r="X196" s="237"/>
      <c r="Y196" s="237"/>
      <c r="Z196" s="237"/>
    </row>
    <row r="197">
      <c r="A197" s="305">
        <v>196.0</v>
      </c>
      <c r="B197" s="306">
        <v>422218.0</v>
      </c>
      <c r="C197" s="307" t="s">
        <v>1420</v>
      </c>
      <c r="D197" s="308" t="s">
        <v>3761</v>
      </c>
      <c r="E197" s="305" t="s">
        <v>3762</v>
      </c>
      <c r="F197" s="309" t="s">
        <v>3763</v>
      </c>
      <c r="G197" s="236"/>
      <c r="H197" s="307" t="s">
        <v>1420</v>
      </c>
      <c r="I197" s="237"/>
      <c r="J197" s="237"/>
      <c r="K197" s="310" t="s">
        <v>3760</v>
      </c>
      <c r="L197" s="237"/>
      <c r="M197" s="237"/>
      <c r="N197" s="237"/>
      <c r="O197" s="237"/>
      <c r="P197" s="237"/>
      <c r="Q197" s="237"/>
      <c r="R197" s="237"/>
      <c r="S197" s="237"/>
      <c r="T197" s="237"/>
      <c r="U197" s="237"/>
      <c r="V197" s="237"/>
      <c r="W197" s="237"/>
      <c r="X197" s="237"/>
      <c r="Y197" s="237"/>
      <c r="Z197" s="237"/>
    </row>
    <row r="198">
      <c r="A198" s="305">
        <v>197.0</v>
      </c>
      <c r="B198" s="236"/>
      <c r="C198" s="307" t="s">
        <v>1366</v>
      </c>
      <c r="D198" s="308" t="s">
        <v>2035</v>
      </c>
      <c r="E198" s="236"/>
      <c r="F198" s="236"/>
      <c r="G198" s="236"/>
      <c r="H198" s="307" t="s">
        <v>1366</v>
      </c>
      <c r="I198" s="237"/>
      <c r="J198" s="237"/>
      <c r="K198" s="310" t="s">
        <v>14018</v>
      </c>
      <c r="L198" s="237"/>
      <c r="M198" s="237"/>
      <c r="N198" s="237"/>
      <c r="O198" s="237"/>
      <c r="P198" s="237"/>
      <c r="Q198" s="237"/>
      <c r="R198" s="237"/>
      <c r="S198" s="237"/>
      <c r="T198" s="237"/>
      <c r="U198" s="237"/>
      <c r="V198" s="237"/>
      <c r="W198" s="237"/>
      <c r="X198" s="237"/>
      <c r="Y198" s="237"/>
      <c r="Z198" s="237"/>
    </row>
    <row r="199">
      <c r="A199" s="305">
        <v>198.0</v>
      </c>
      <c r="B199" s="236"/>
      <c r="C199" s="307" t="s">
        <v>1366</v>
      </c>
      <c r="D199" s="308" t="s">
        <v>2030</v>
      </c>
      <c r="E199" s="236"/>
      <c r="F199" s="236"/>
      <c r="G199" s="236"/>
      <c r="H199" s="307" t="s">
        <v>1366</v>
      </c>
      <c r="I199" s="237"/>
      <c r="J199" s="237"/>
      <c r="K199" s="310" t="s">
        <v>14019</v>
      </c>
      <c r="L199" s="237"/>
      <c r="M199" s="237"/>
      <c r="N199" s="237"/>
      <c r="O199" s="237"/>
      <c r="P199" s="237"/>
      <c r="Q199" s="237"/>
      <c r="R199" s="237"/>
      <c r="S199" s="237"/>
      <c r="T199" s="237"/>
      <c r="U199" s="237"/>
      <c r="V199" s="237"/>
      <c r="W199" s="237"/>
      <c r="X199" s="237"/>
      <c r="Y199" s="237"/>
      <c r="Z199" s="237"/>
    </row>
    <row r="200">
      <c r="A200" s="305">
        <v>199.0</v>
      </c>
      <c r="B200" s="236"/>
      <c r="C200" s="307" t="s">
        <v>1420</v>
      </c>
      <c r="D200" s="308" t="s">
        <v>10314</v>
      </c>
      <c r="E200" s="305" t="s">
        <v>10315</v>
      </c>
      <c r="F200" s="309" t="s">
        <v>10316</v>
      </c>
      <c r="G200" s="236"/>
      <c r="H200" s="307" t="s">
        <v>1420</v>
      </c>
      <c r="I200" s="237"/>
      <c r="J200" s="237"/>
      <c r="K200" s="310" t="s">
        <v>10313</v>
      </c>
      <c r="L200" s="237"/>
      <c r="M200" s="237"/>
      <c r="N200" s="237"/>
      <c r="O200" s="237"/>
      <c r="P200" s="237"/>
      <c r="Q200" s="237"/>
      <c r="R200" s="237"/>
      <c r="S200" s="237"/>
      <c r="T200" s="237"/>
      <c r="U200" s="237"/>
      <c r="V200" s="237"/>
      <c r="W200" s="237"/>
      <c r="X200" s="237"/>
      <c r="Y200" s="237"/>
      <c r="Z200" s="237"/>
    </row>
    <row r="201">
      <c r="A201" s="305">
        <v>200.0</v>
      </c>
      <c r="B201" s="236"/>
      <c r="C201" s="307" t="s">
        <v>1420</v>
      </c>
      <c r="D201" s="308" t="s">
        <v>10209</v>
      </c>
      <c r="E201" s="305" t="s">
        <v>10210</v>
      </c>
      <c r="F201" s="309" t="s">
        <v>10211</v>
      </c>
      <c r="G201" s="236"/>
      <c r="H201" s="307" t="s">
        <v>1420</v>
      </c>
      <c r="I201" s="237"/>
      <c r="J201" s="237"/>
      <c r="K201" s="310" t="s">
        <v>10208</v>
      </c>
      <c r="L201" s="237"/>
      <c r="M201" s="237"/>
      <c r="N201" s="237"/>
      <c r="O201" s="237"/>
      <c r="P201" s="237"/>
      <c r="Q201" s="237"/>
      <c r="R201" s="237"/>
      <c r="S201" s="237"/>
      <c r="T201" s="237"/>
      <c r="U201" s="237"/>
      <c r="V201" s="237"/>
      <c r="W201" s="237"/>
      <c r="X201" s="237"/>
      <c r="Y201" s="237"/>
      <c r="Z201" s="237"/>
    </row>
    <row r="202">
      <c r="A202" s="305">
        <v>201.0</v>
      </c>
      <c r="B202" s="236"/>
      <c r="C202" s="307" t="s">
        <v>1420</v>
      </c>
      <c r="D202" s="308" t="s">
        <v>10205</v>
      </c>
      <c r="E202" s="305" t="s">
        <v>10206</v>
      </c>
      <c r="F202" s="309" t="s">
        <v>10207</v>
      </c>
      <c r="G202" s="236"/>
      <c r="H202" s="307" t="s">
        <v>1420</v>
      </c>
      <c r="I202" s="237"/>
      <c r="J202" s="237"/>
      <c r="K202" s="310" t="s">
        <v>10204</v>
      </c>
      <c r="L202" s="237"/>
      <c r="M202" s="237"/>
      <c r="N202" s="237"/>
      <c r="O202" s="237"/>
      <c r="P202" s="237"/>
      <c r="Q202" s="237"/>
      <c r="R202" s="237"/>
      <c r="S202" s="237"/>
      <c r="T202" s="237"/>
      <c r="U202" s="237"/>
      <c r="V202" s="237"/>
      <c r="W202" s="237"/>
      <c r="X202" s="237"/>
      <c r="Y202" s="237"/>
      <c r="Z202" s="237"/>
    </row>
    <row r="203">
      <c r="A203" s="305">
        <v>202.0</v>
      </c>
      <c r="B203" s="236"/>
      <c r="C203" s="307" t="s">
        <v>1420</v>
      </c>
      <c r="D203" s="308" t="s">
        <v>10193</v>
      </c>
      <c r="E203" s="305" t="s">
        <v>10194</v>
      </c>
      <c r="F203" s="309" t="s">
        <v>10195</v>
      </c>
      <c r="G203" s="236"/>
      <c r="H203" s="307" t="s">
        <v>1420</v>
      </c>
      <c r="I203" s="237"/>
      <c r="J203" s="237"/>
      <c r="K203" s="310" t="s">
        <v>10192</v>
      </c>
      <c r="L203" s="237"/>
      <c r="M203" s="237"/>
      <c r="N203" s="237"/>
      <c r="O203" s="237"/>
      <c r="P203" s="237"/>
      <c r="Q203" s="237"/>
      <c r="R203" s="237"/>
      <c r="S203" s="237"/>
      <c r="T203" s="237"/>
      <c r="U203" s="237"/>
      <c r="V203" s="237"/>
      <c r="W203" s="237"/>
      <c r="X203" s="237"/>
      <c r="Y203" s="237"/>
      <c r="Z203" s="237"/>
    </row>
    <row r="204">
      <c r="A204" s="305">
        <v>203.0</v>
      </c>
      <c r="B204" s="236"/>
      <c r="C204" s="307" t="s">
        <v>1420</v>
      </c>
      <c r="D204" s="308" t="s">
        <v>10188</v>
      </c>
      <c r="E204" s="305" t="s">
        <v>10189</v>
      </c>
      <c r="F204" s="309" t="s">
        <v>10190</v>
      </c>
      <c r="G204" s="236"/>
      <c r="H204" s="307" t="s">
        <v>1420</v>
      </c>
      <c r="I204" s="237"/>
      <c r="J204" s="237"/>
      <c r="K204" s="310" t="s">
        <v>10187</v>
      </c>
      <c r="L204" s="237"/>
      <c r="M204" s="237"/>
      <c r="N204" s="237"/>
      <c r="O204" s="237"/>
      <c r="P204" s="237"/>
      <c r="Q204" s="237"/>
      <c r="R204" s="237"/>
      <c r="S204" s="237"/>
      <c r="T204" s="237"/>
      <c r="U204" s="237"/>
      <c r="V204" s="237"/>
      <c r="W204" s="237"/>
      <c r="X204" s="237"/>
      <c r="Y204" s="237"/>
      <c r="Z204" s="237"/>
    </row>
    <row r="205">
      <c r="A205" s="305">
        <v>204.0</v>
      </c>
      <c r="B205" s="236"/>
      <c r="C205" s="307" t="s">
        <v>1420</v>
      </c>
      <c r="D205" s="308" t="s">
        <v>10201</v>
      </c>
      <c r="E205" s="305" t="s">
        <v>10202</v>
      </c>
      <c r="F205" s="309" t="s">
        <v>10203</v>
      </c>
      <c r="G205" s="236"/>
      <c r="H205" s="307" t="s">
        <v>1420</v>
      </c>
      <c r="I205" s="237"/>
      <c r="J205" s="237"/>
      <c r="K205" s="310" t="s">
        <v>10200</v>
      </c>
      <c r="L205" s="237"/>
      <c r="M205" s="237"/>
      <c r="N205" s="237"/>
      <c r="O205" s="237"/>
      <c r="P205" s="237"/>
      <c r="Q205" s="237"/>
      <c r="R205" s="237"/>
      <c r="S205" s="237"/>
      <c r="T205" s="237"/>
      <c r="U205" s="237"/>
      <c r="V205" s="237"/>
      <c r="W205" s="237"/>
      <c r="X205" s="237"/>
      <c r="Y205" s="237"/>
      <c r="Z205" s="237"/>
    </row>
    <row r="206">
      <c r="A206" s="305">
        <v>205.0</v>
      </c>
      <c r="B206" s="236"/>
      <c r="C206" s="307" t="s">
        <v>1420</v>
      </c>
      <c r="D206" s="308" t="s">
        <v>10197</v>
      </c>
      <c r="E206" s="305" t="s">
        <v>10198</v>
      </c>
      <c r="F206" s="309" t="s">
        <v>10199</v>
      </c>
      <c r="G206" s="236"/>
      <c r="H206" s="307" t="s">
        <v>1420</v>
      </c>
      <c r="I206" s="237"/>
      <c r="J206" s="237"/>
      <c r="K206" s="310" t="s">
        <v>10196</v>
      </c>
      <c r="L206" s="237"/>
      <c r="M206" s="237"/>
      <c r="N206" s="237"/>
      <c r="O206" s="237"/>
      <c r="P206" s="237"/>
      <c r="Q206" s="237"/>
      <c r="R206" s="237"/>
      <c r="S206" s="237"/>
      <c r="T206" s="237"/>
      <c r="U206" s="237"/>
      <c r="V206" s="237"/>
      <c r="W206" s="237"/>
      <c r="X206" s="237"/>
      <c r="Y206" s="237"/>
      <c r="Z206" s="237"/>
    </row>
    <row r="207">
      <c r="A207" s="305">
        <v>206.0</v>
      </c>
      <c r="B207" s="236"/>
      <c r="C207" s="307" t="s">
        <v>1420</v>
      </c>
      <c r="D207" s="308" t="s">
        <v>10451</v>
      </c>
      <c r="E207" s="305" t="s">
        <v>10452</v>
      </c>
      <c r="F207" s="309" t="s">
        <v>10453</v>
      </c>
      <c r="G207" s="236"/>
      <c r="H207" s="307" t="s">
        <v>1420</v>
      </c>
      <c r="I207" s="237"/>
      <c r="J207" s="237"/>
      <c r="K207" s="310" t="s">
        <v>10450</v>
      </c>
      <c r="L207" s="237"/>
      <c r="M207" s="237"/>
      <c r="N207" s="237"/>
      <c r="O207" s="237"/>
      <c r="P207" s="237"/>
      <c r="Q207" s="237"/>
      <c r="R207" s="237"/>
      <c r="S207" s="237"/>
      <c r="T207" s="237"/>
      <c r="U207" s="237"/>
      <c r="V207" s="237"/>
      <c r="W207" s="237"/>
      <c r="X207" s="237"/>
      <c r="Y207" s="237"/>
      <c r="Z207" s="237"/>
    </row>
    <row r="208">
      <c r="A208" s="305">
        <v>207.0</v>
      </c>
      <c r="B208" s="236"/>
      <c r="C208" s="307" t="s">
        <v>1420</v>
      </c>
      <c r="D208" s="308" t="s">
        <v>10447</v>
      </c>
      <c r="E208" s="305" t="s">
        <v>10448</v>
      </c>
      <c r="F208" s="309" t="s">
        <v>10449</v>
      </c>
      <c r="G208" s="236"/>
      <c r="H208" s="307" t="s">
        <v>1420</v>
      </c>
      <c r="I208" s="237"/>
      <c r="J208" s="237"/>
      <c r="K208" s="310" t="s">
        <v>10446</v>
      </c>
      <c r="L208" s="237"/>
      <c r="M208" s="237"/>
      <c r="N208" s="237"/>
      <c r="O208" s="237"/>
      <c r="P208" s="237"/>
      <c r="Q208" s="237"/>
      <c r="R208" s="237"/>
      <c r="S208" s="237"/>
      <c r="T208" s="237"/>
      <c r="U208" s="237"/>
      <c r="V208" s="237"/>
      <c r="W208" s="237"/>
      <c r="X208" s="237"/>
      <c r="Y208" s="237"/>
      <c r="Z208" s="237"/>
    </row>
    <row r="209">
      <c r="A209" s="305">
        <v>208.0</v>
      </c>
      <c r="B209" s="236"/>
      <c r="C209" s="307" t="s">
        <v>1420</v>
      </c>
      <c r="D209" s="308" t="s">
        <v>10455</v>
      </c>
      <c r="E209" s="305" t="s">
        <v>10456</v>
      </c>
      <c r="F209" s="309" t="s">
        <v>10457</v>
      </c>
      <c r="G209" s="236"/>
      <c r="H209" s="307" t="s">
        <v>1420</v>
      </c>
      <c r="I209" s="237"/>
      <c r="J209" s="237"/>
      <c r="K209" s="310" t="s">
        <v>10454</v>
      </c>
      <c r="L209" s="237"/>
      <c r="M209" s="237"/>
      <c r="N209" s="237"/>
      <c r="O209" s="237"/>
      <c r="P209" s="237"/>
      <c r="Q209" s="237"/>
      <c r="R209" s="237"/>
      <c r="S209" s="237"/>
      <c r="T209" s="237"/>
      <c r="U209" s="237"/>
      <c r="V209" s="237"/>
      <c r="W209" s="237"/>
      <c r="X209" s="237"/>
      <c r="Y209" s="237"/>
      <c r="Z209" s="237"/>
    </row>
    <row r="210">
      <c r="A210" s="305">
        <v>209.0</v>
      </c>
      <c r="B210" s="236"/>
      <c r="C210" s="307" t="s">
        <v>1420</v>
      </c>
      <c r="D210" s="308" t="s">
        <v>10425</v>
      </c>
      <c r="E210" s="305" t="s">
        <v>10426</v>
      </c>
      <c r="F210" s="309" t="s">
        <v>10427</v>
      </c>
      <c r="G210" s="236"/>
      <c r="H210" s="307" t="s">
        <v>1420</v>
      </c>
      <c r="I210" s="237"/>
      <c r="J210" s="237"/>
      <c r="K210" s="310" t="s">
        <v>10424</v>
      </c>
      <c r="L210" s="237"/>
      <c r="M210" s="237"/>
      <c r="N210" s="237"/>
      <c r="O210" s="237"/>
      <c r="P210" s="237"/>
      <c r="Q210" s="237"/>
      <c r="R210" s="237"/>
      <c r="S210" s="237"/>
      <c r="T210" s="237"/>
      <c r="U210" s="237"/>
      <c r="V210" s="237"/>
      <c r="W210" s="237"/>
      <c r="X210" s="237"/>
      <c r="Y210" s="237"/>
      <c r="Z210" s="237"/>
    </row>
    <row r="211">
      <c r="A211" s="305">
        <v>210.0</v>
      </c>
      <c r="B211" s="236"/>
      <c r="C211" s="307" t="s">
        <v>1420</v>
      </c>
      <c r="D211" s="308" t="s">
        <v>10421</v>
      </c>
      <c r="E211" s="305" t="s">
        <v>10422</v>
      </c>
      <c r="F211" s="309" t="s">
        <v>10423</v>
      </c>
      <c r="G211" s="236"/>
      <c r="H211" s="307" t="s">
        <v>1420</v>
      </c>
      <c r="I211" s="237"/>
      <c r="J211" s="237"/>
      <c r="K211" s="310" t="s">
        <v>10420</v>
      </c>
      <c r="L211" s="237"/>
      <c r="M211" s="237"/>
      <c r="N211" s="237"/>
      <c r="O211" s="237"/>
      <c r="P211" s="237"/>
      <c r="Q211" s="237"/>
      <c r="R211" s="237"/>
      <c r="S211" s="237"/>
      <c r="T211" s="237"/>
      <c r="U211" s="237"/>
      <c r="V211" s="237"/>
      <c r="W211" s="237"/>
      <c r="X211" s="237"/>
      <c r="Y211" s="237"/>
      <c r="Z211" s="237"/>
    </row>
    <row r="212">
      <c r="A212" s="305">
        <v>211.0</v>
      </c>
      <c r="B212" s="236"/>
      <c r="C212" s="307" t="s">
        <v>1420</v>
      </c>
      <c r="D212" s="308" t="s">
        <v>10443</v>
      </c>
      <c r="E212" s="305" t="s">
        <v>10444</v>
      </c>
      <c r="F212" s="309" t="s">
        <v>10445</v>
      </c>
      <c r="G212" s="236"/>
      <c r="H212" s="307" t="s">
        <v>1420</v>
      </c>
      <c r="I212" s="237"/>
      <c r="J212" s="237"/>
      <c r="K212" s="310" t="s">
        <v>10442</v>
      </c>
      <c r="L212" s="237"/>
      <c r="M212" s="237"/>
      <c r="N212" s="237"/>
      <c r="O212" s="237"/>
      <c r="P212" s="237"/>
      <c r="Q212" s="237"/>
      <c r="R212" s="237"/>
      <c r="S212" s="237"/>
      <c r="T212" s="237"/>
      <c r="U212" s="237"/>
      <c r="V212" s="237"/>
      <c r="W212" s="237"/>
      <c r="X212" s="237"/>
      <c r="Y212" s="237"/>
      <c r="Z212" s="237"/>
    </row>
    <row r="213">
      <c r="A213" s="305">
        <v>212.0</v>
      </c>
      <c r="B213" s="236"/>
      <c r="C213" s="307" t="s">
        <v>1420</v>
      </c>
      <c r="D213" s="308" t="s">
        <v>10437</v>
      </c>
      <c r="E213" s="305" t="s">
        <v>10438</v>
      </c>
      <c r="F213" s="309" t="s">
        <v>10439</v>
      </c>
      <c r="G213" s="236"/>
      <c r="H213" s="307" t="s">
        <v>1420</v>
      </c>
      <c r="I213" s="237"/>
      <c r="J213" s="237"/>
      <c r="K213" s="310" t="s">
        <v>10436</v>
      </c>
      <c r="L213" s="237"/>
      <c r="M213" s="237"/>
      <c r="N213" s="237"/>
      <c r="O213" s="237"/>
      <c r="P213" s="237"/>
      <c r="Q213" s="237"/>
      <c r="R213" s="237"/>
      <c r="S213" s="237"/>
      <c r="T213" s="237"/>
      <c r="U213" s="237"/>
      <c r="V213" s="237"/>
      <c r="W213" s="237"/>
      <c r="X213" s="237"/>
      <c r="Y213" s="237"/>
      <c r="Z213" s="237"/>
    </row>
    <row r="214">
      <c r="A214" s="305">
        <v>213.0</v>
      </c>
      <c r="B214" s="236"/>
      <c r="C214" s="307" t="s">
        <v>1420</v>
      </c>
      <c r="D214" s="308" t="s">
        <v>10437</v>
      </c>
      <c r="E214" s="305" t="s">
        <v>10438</v>
      </c>
      <c r="F214" s="309" t="s">
        <v>10441</v>
      </c>
      <c r="G214" s="236"/>
      <c r="H214" s="307" t="s">
        <v>1420</v>
      </c>
      <c r="I214" s="237"/>
      <c r="J214" s="237"/>
      <c r="K214" s="310" t="s">
        <v>10440</v>
      </c>
      <c r="L214" s="237"/>
      <c r="M214" s="237"/>
      <c r="N214" s="237"/>
      <c r="O214" s="237"/>
      <c r="P214" s="237"/>
      <c r="Q214" s="237"/>
      <c r="R214" s="237"/>
      <c r="S214" s="237"/>
      <c r="T214" s="237"/>
      <c r="U214" s="237"/>
      <c r="V214" s="237"/>
      <c r="W214" s="237"/>
      <c r="X214" s="237"/>
      <c r="Y214" s="237"/>
      <c r="Z214" s="237"/>
    </row>
    <row r="215">
      <c r="A215" s="305">
        <v>214.0</v>
      </c>
      <c r="B215" s="236"/>
      <c r="C215" s="307" t="s">
        <v>1420</v>
      </c>
      <c r="D215" s="308" t="s">
        <v>10433</v>
      </c>
      <c r="E215" s="305" t="s">
        <v>10434</v>
      </c>
      <c r="F215" s="309" t="s">
        <v>10435</v>
      </c>
      <c r="G215" s="236"/>
      <c r="H215" s="307" t="s">
        <v>1420</v>
      </c>
      <c r="I215" s="237"/>
      <c r="J215" s="237"/>
      <c r="K215" s="310" t="s">
        <v>10432</v>
      </c>
      <c r="L215" s="237"/>
      <c r="M215" s="237"/>
      <c r="N215" s="237"/>
      <c r="O215" s="237"/>
      <c r="P215" s="237"/>
      <c r="Q215" s="237"/>
      <c r="R215" s="237"/>
      <c r="S215" s="237"/>
      <c r="T215" s="237"/>
      <c r="U215" s="237"/>
      <c r="V215" s="237"/>
      <c r="W215" s="237"/>
      <c r="X215" s="237"/>
      <c r="Y215" s="237"/>
      <c r="Z215" s="237"/>
    </row>
    <row r="216">
      <c r="A216" s="305">
        <v>215.0</v>
      </c>
      <c r="B216" s="236"/>
      <c r="C216" s="307" t="s">
        <v>1420</v>
      </c>
      <c r="D216" s="308" t="s">
        <v>10429</v>
      </c>
      <c r="E216" s="305" t="s">
        <v>10430</v>
      </c>
      <c r="F216" s="309" t="s">
        <v>10431</v>
      </c>
      <c r="G216" s="236"/>
      <c r="H216" s="307" t="s">
        <v>1420</v>
      </c>
      <c r="I216" s="237"/>
      <c r="J216" s="237"/>
      <c r="K216" s="310" t="s">
        <v>10428</v>
      </c>
      <c r="L216" s="237"/>
      <c r="M216" s="237"/>
      <c r="N216" s="237"/>
      <c r="O216" s="237"/>
      <c r="P216" s="237"/>
      <c r="Q216" s="237"/>
      <c r="R216" s="237"/>
      <c r="S216" s="237"/>
      <c r="T216" s="237"/>
      <c r="U216" s="237"/>
      <c r="V216" s="237"/>
      <c r="W216" s="237"/>
      <c r="X216" s="237"/>
      <c r="Y216" s="237"/>
      <c r="Z216" s="237"/>
    </row>
    <row r="217">
      <c r="A217" s="305">
        <v>216.0</v>
      </c>
      <c r="B217" s="236"/>
      <c r="C217" s="307" t="s">
        <v>1420</v>
      </c>
      <c r="D217" s="308" t="s">
        <v>10401</v>
      </c>
      <c r="E217" s="305" t="s">
        <v>10402</v>
      </c>
      <c r="F217" s="309" t="s">
        <v>10403</v>
      </c>
      <c r="G217" s="236"/>
      <c r="H217" s="307" t="s">
        <v>1420</v>
      </c>
      <c r="I217" s="237"/>
      <c r="J217" s="237"/>
      <c r="K217" s="310" t="s">
        <v>10400</v>
      </c>
      <c r="L217" s="237"/>
      <c r="M217" s="237"/>
      <c r="N217" s="237"/>
      <c r="O217" s="237"/>
      <c r="P217" s="237"/>
      <c r="Q217" s="237"/>
      <c r="R217" s="237"/>
      <c r="S217" s="237"/>
      <c r="T217" s="237"/>
      <c r="U217" s="237"/>
      <c r="V217" s="237"/>
      <c r="W217" s="237"/>
      <c r="X217" s="237"/>
      <c r="Y217" s="237"/>
      <c r="Z217" s="237"/>
    </row>
    <row r="218">
      <c r="A218" s="305">
        <v>217.0</v>
      </c>
      <c r="B218" s="236"/>
      <c r="C218" s="307" t="s">
        <v>1420</v>
      </c>
      <c r="D218" s="308" t="s">
        <v>10397</v>
      </c>
      <c r="E218" s="305" t="s">
        <v>10398</v>
      </c>
      <c r="F218" s="309" t="s">
        <v>10399</v>
      </c>
      <c r="G218" s="236"/>
      <c r="H218" s="307" t="s">
        <v>1420</v>
      </c>
      <c r="I218" s="237"/>
      <c r="J218" s="237"/>
      <c r="K218" s="310" t="s">
        <v>10396</v>
      </c>
      <c r="L218" s="237"/>
      <c r="M218" s="237"/>
      <c r="N218" s="237"/>
      <c r="O218" s="237"/>
      <c r="P218" s="237"/>
      <c r="Q218" s="237"/>
      <c r="R218" s="237"/>
      <c r="S218" s="237"/>
      <c r="T218" s="237"/>
      <c r="U218" s="237"/>
      <c r="V218" s="237"/>
      <c r="W218" s="237"/>
      <c r="X218" s="237"/>
      <c r="Y218" s="237"/>
      <c r="Z218" s="237"/>
    </row>
    <row r="219">
      <c r="A219" s="305">
        <v>218.0</v>
      </c>
      <c r="B219" s="236"/>
      <c r="C219" s="307" t="s">
        <v>1420</v>
      </c>
      <c r="D219" s="308" t="s">
        <v>10413</v>
      </c>
      <c r="E219" s="305" t="s">
        <v>10414</v>
      </c>
      <c r="F219" s="309" t="s">
        <v>10415</v>
      </c>
      <c r="G219" s="236"/>
      <c r="H219" s="307" t="s">
        <v>1420</v>
      </c>
      <c r="I219" s="237"/>
      <c r="J219" s="237"/>
      <c r="K219" s="310" t="s">
        <v>10412</v>
      </c>
      <c r="L219" s="237"/>
      <c r="M219" s="237"/>
      <c r="N219" s="237"/>
      <c r="O219" s="237"/>
      <c r="P219" s="237"/>
      <c r="Q219" s="237"/>
      <c r="R219" s="237"/>
      <c r="S219" s="237"/>
      <c r="T219" s="237"/>
      <c r="U219" s="237"/>
      <c r="V219" s="237"/>
      <c r="W219" s="237"/>
      <c r="X219" s="237"/>
      <c r="Y219" s="237"/>
      <c r="Z219" s="237"/>
    </row>
    <row r="220">
      <c r="A220" s="305">
        <v>219.0</v>
      </c>
      <c r="B220" s="236"/>
      <c r="C220" s="307" t="s">
        <v>1420</v>
      </c>
      <c r="D220" s="308" t="s">
        <v>10417</v>
      </c>
      <c r="E220" s="305" t="s">
        <v>10418</v>
      </c>
      <c r="F220" s="309" t="s">
        <v>10419</v>
      </c>
      <c r="G220" s="236"/>
      <c r="H220" s="307" t="s">
        <v>1420</v>
      </c>
      <c r="I220" s="237"/>
      <c r="J220" s="237"/>
      <c r="K220" s="310" t="s">
        <v>10416</v>
      </c>
      <c r="L220" s="237"/>
      <c r="M220" s="237"/>
      <c r="N220" s="237"/>
      <c r="O220" s="237"/>
      <c r="P220" s="237"/>
      <c r="Q220" s="237"/>
      <c r="R220" s="237"/>
      <c r="S220" s="237"/>
      <c r="T220" s="237"/>
      <c r="U220" s="237"/>
      <c r="V220" s="237"/>
      <c r="W220" s="237"/>
      <c r="X220" s="237"/>
      <c r="Y220" s="237"/>
      <c r="Z220" s="237"/>
    </row>
    <row r="221">
      <c r="A221" s="305">
        <v>220.0</v>
      </c>
      <c r="B221" s="236"/>
      <c r="C221" s="307" t="s">
        <v>1420</v>
      </c>
      <c r="D221" s="308" t="s">
        <v>10405</v>
      </c>
      <c r="E221" s="305" t="s">
        <v>10406</v>
      </c>
      <c r="F221" s="309" t="s">
        <v>10407</v>
      </c>
      <c r="G221" s="236"/>
      <c r="H221" s="307" t="s">
        <v>1420</v>
      </c>
      <c r="I221" s="237"/>
      <c r="J221" s="237"/>
      <c r="K221" s="310" t="s">
        <v>10404</v>
      </c>
      <c r="L221" s="237"/>
      <c r="M221" s="237"/>
      <c r="N221" s="237"/>
      <c r="O221" s="237"/>
      <c r="P221" s="237"/>
      <c r="Q221" s="237"/>
      <c r="R221" s="237"/>
      <c r="S221" s="237"/>
      <c r="T221" s="237"/>
      <c r="U221" s="237"/>
      <c r="V221" s="237"/>
      <c r="W221" s="237"/>
      <c r="X221" s="237"/>
      <c r="Y221" s="237"/>
      <c r="Z221" s="237"/>
    </row>
    <row r="222">
      <c r="A222" s="305">
        <v>221.0</v>
      </c>
      <c r="B222" s="236"/>
      <c r="C222" s="307" t="s">
        <v>1420</v>
      </c>
      <c r="D222" s="308" t="s">
        <v>10409</v>
      </c>
      <c r="E222" s="305" t="s">
        <v>10410</v>
      </c>
      <c r="F222" s="309" t="s">
        <v>10411</v>
      </c>
      <c r="G222" s="236"/>
      <c r="H222" s="307" t="s">
        <v>1420</v>
      </c>
      <c r="I222" s="237"/>
      <c r="J222" s="237"/>
      <c r="K222" s="310" t="s">
        <v>10408</v>
      </c>
      <c r="L222" s="237"/>
      <c r="M222" s="237"/>
      <c r="N222" s="237"/>
      <c r="O222" s="237"/>
      <c r="P222" s="237"/>
      <c r="Q222" s="237"/>
      <c r="R222" s="237"/>
      <c r="S222" s="237"/>
      <c r="T222" s="237"/>
      <c r="U222" s="237"/>
      <c r="V222" s="237"/>
      <c r="W222" s="237"/>
      <c r="X222" s="237"/>
      <c r="Y222" s="237"/>
      <c r="Z222" s="237"/>
    </row>
    <row r="223">
      <c r="A223" s="305">
        <v>222.0</v>
      </c>
      <c r="B223" s="236"/>
      <c r="C223" s="307" t="s">
        <v>1420</v>
      </c>
      <c r="D223" s="308" t="s">
        <v>10459</v>
      </c>
      <c r="E223" s="305" t="s">
        <v>10460</v>
      </c>
      <c r="F223" s="309" t="s">
        <v>10461</v>
      </c>
      <c r="G223" s="236"/>
      <c r="H223" s="307" t="s">
        <v>1420</v>
      </c>
      <c r="I223" s="237"/>
      <c r="J223" s="237"/>
      <c r="K223" s="310" t="s">
        <v>10458</v>
      </c>
      <c r="L223" s="237"/>
      <c r="M223" s="237"/>
      <c r="N223" s="237"/>
      <c r="O223" s="237"/>
      <c r="P223" s="237"/>
      <c r="Q223" s="237"/>
      <c r="R223" s="237"/>
      <c r="S223" s="237"/>
      <c r="T223" s="237"/>
      <c r="U223" s="237"/>
      <c r="V223" s="237"/>
      <c r="W223" s="237"/>
      <c r="X223" s="237"/>
      <c r="Y223" s="237"/>
      <c r="Z223" s="237"/>
    </row>
    <row r="224">
      <c r="A224" s="305">
        <v>223.0</v>
      </c>
      <c r="B224" s="236"/>
      <c r="C224" s="307" t="s">
        <v>1420</v>
      </c>
      <c r="D224" s="308" t="s">
        <v>10463</v>
      </c>
      <c r="E224" s="305" t="s">
        <v>10464</v>
      </c>
      <c r="F224" s="309" t="s">
        <v>10465</v>
      </c>
      <c r="G224" s="236"/>
      <c r="H224" s="307" t="s">
        <v>1420</v>
      </c>
      <c r="I224" s="237"/>
      <c r="J224" s="237"/>
      <c r="K224" s="310" t="s">
        <v>10462</v>
      </c>
      <c r="L224" s="237"/>
      <c r="M224" s="237"/>
      <c r="N224" s="237"/>
      <c r="O224" s="237"/>
      <c r="P224" s="237"/>
      <c r="Q224" s="237"/>
      <c r="R224" s="237"/>
      <c r="S224" s="237"/>
      <c r="T224" s="237"/>
      <c r="U224" s="237"/>
      <c r="V224" s="237"/>
      <c r="W224" s="237"/>
      <c r="X224" s="237"/>
      <c r="Y224" s="237"/>
      <c r="Z224" s="237"/>
    </row>
    <row r="225">
      <c r="A225" s="305">
        <v>224.0</v>
      </c>
      <c r="B225" s="306">
        <v>101770.0</v>
      </c>
      <c r="C225" s="307" t="s">
        <v>1420</v>
      </c>
      <c r="D225" s="308" t="s">
        <v>10533</v>
      </c>
      <c r="E225" s="305" t="s">
        <v>10534</v>
      </c>
      <c r="F225" s="309" t="s">
        <v>10535</v>
      </c>
      <c r="G225" s="236"/>
      <c r="H225" s="307" t="s">
        <v>1420</v>
      </c>
      <c r="I225" s="237"/>
      <c r="J225" s="237"/>
      <c r="K225" s="310" t="s">
        <v>10532</v>
      </c>
      <c r="L225" s="237"/>
      <c r="M225" s="237"/>
      <c r="N225" s="237"/>
      <c r="O225" s="237"/>
      <c r="P225" s="237"/>
      <c r="Q225" s="237"/>
      <c r="R225" s="237"/>
      <c r="S225" s="237"/>
      <c r="T225" s="237"/>
      <c r="U225" s="237"/>
      <c r="V225" s="237"/>
      <c r="W225" s="237"/>
      <c r="X225" s="237"/>
      <c r="Y225" s="237"/>
      <c r="Z225" s="237"/>
    </row>
    <row r="226">
      <c r="A226" s="305">
        <v>225.0</v>
      </c>
      <c r="B226" s="306">
        <v>101773.0</v>
      </c>
      <c r="C226" s="307" t="s">
        <v>1420</v>
      </c>
      <c r="D226" s="308" t="s">
        <v>10538</v>
      </c>
      <c r="E226" s="305" t="s">
        <v>10539</v>
      </c>
      <c r="F226" s="309" t="s">
        <v>10540</v>
      </c>
      <c r="G226" s="236"/>
      <c r="H226" s="307" t="s">
        <v>1420</v>
      </c>
      <c r="I226" s="237"/>
      <c r="J226" s="237"/>
      <c r="K226" s="310" t="s">
        <v>10537</v>
      </c>
      <c r="L226" s="237"/>
      <c r="M226" s="237"/>
      <c r="N226" s="237"/>
      <c r="O226" s="237"/>
      <c r="P226" s="237"/>
      <c r="Q226" s="237"/>
      <c r="R226" s="237"/>
      <c r="S226" s="237"/>
      <c r="T226" s="237"/>
      <c r="U226" s="237"/>
      <c r="V226" s="237"/>
      <c r="W226" s="237"/>
      <c r="X226" s="237"/>
      <c r="Y226" s="237"/>
      <c r="Z226" s="237"/>
    </row>
    <row r="227">
      <c r="A227" s="305">
        <v>226.0</v>
      </c>
      <c r="B227" s="306">
        <v>101776.0</v>
      </c>
      <c r="C227" s="307" t="s">
        <v>1420</v>
      </c>
      <c r="D227" s="308" t="s">
        <v>10543</v>
      </c>
      <c r="E227" s="305" t="s">
        <v>10544</v>
      </c>
      <c r="F227" s="309" t="s">
        <v>10545</v>
      </c>
      <c r="G227" s="236"/>
      <c r="H227" s="307" t="s">
        <v>1420</v>
      </c>
      <c r="I227" s="237"/>
      <c r="J227" s="237"/>
      <c r="K227" s="310" t="s">
        <v>10542</v>
      </c>
      <c r="L227" s="237"/>
      <c r="M227" s="237"/>
      <c r="N227" s="237"/>
      <c r="O227" s="237"/>
      <c r="P227" s="237"/>
      <c r="Q227" s="237"/>
      <c r="R227" s="237"/>
      <c r="S227" s="237"/>
      <c r="T227" s="237"/>
      <c r="U227" s="237"/>
      <c r="V227" s="237"/>
      <c r="W227" s="237"/>
      <c r="X227" s="237"/>
      <c r="Y227" s="237"/>
      <c r="Z227" s="237"/>
    </row>
    <row r="228">
      <c r="A228" s="305">
        <v>227.0</v>
      </c>
      <c r="B228" s="236"/>
      <c r="C228" s="307" t="s">
        <v>1420</v>
      </c>
      <c r="D228" s="308" t="s">
        <v>10561</v>
      </c>
      <c r="E228" s="305" t="s">
        <v>10562</v>
      </c>
      <c r="F228" s="309" t="s">
        <v>10563</v>
      </c>
      <c r="G228" s="236"/>
      <c r="H228" s="307" t="s">
        <v>1420</v>
      </c>
      <c r="I228" s="237"/>
      <c r="J228" s="237"/>
      <c r="K228" s="310" t="s">
        <v>10560</v>
      </c>
      <c r="L228" s="237"/>
      <c r="M228" s="237"/>
      <c r="N228" s="237"/>
      <c r="O228" s="237"/>
      <c r="P228" s="237"/>
      <c r="Q228" s="237"/>
      <c r="R228" s="237"/>
      <c r="S228" s="237"/>
      <c r="T228" s="237"/>
      <c r="U228" s="237"/>
      <c r="V228" s="237"/>
      <c r="W228" s="237"/>
      <c r="X228" s="237"/>
      <c r="Y228" s="237"/>
      <c r="Z228" s="237"/>
    </row>
    <row r="229">
      <c r="A229" s="305">
        <v>228.0</v>
      </c>
      <c r="B229" s="236"/>
      <c r="C229" s="307" t="s">
        <v>1420</v>
      </c>
      <c r="D229" s="308" t="s">
        <v>10565</v>
      </c>
      <c r="E229" s="305" t="s">
        <v>10566</v>
      </c>
      <c r="F229" s="309" t="s">
        <v>10567</v>
      </c>
      <c r="G229" s="236"/>
      <c r="H229" s="307" t="s">
        <v>1420</v>
      </c>
      <c r="I229" s="237"/>
      <c r="J229" s="237"/>
      <c r="K229" s="310" t="s">
        <v>10564</v>
      </c>
      <c r="L229" s="237"/>
      <c r="M229" s="237"/>
      <c r="N229" s="237"/>
      <c r="O229" s="237"/>
      <c r="P229" s="237"/>
      <c r="Q229" s="237"/>
      <c r="R229" s="237"/>
      <c r="S229" s="237"/>
      <c r="T229" s="237"/>
      <c r="U229" s="237"/>
      <c r="V229" s="237"/>
      <c r="W229" s="237"/>
      <c r="X229" s="237"/>
      <c r="Y229" s="237"/>
      <c r="Z229" s="237"/>
    </row>
    <row r="230">
      <c r="A230" s="305">
        <v>229.0</v>
      </c>
      <c r="B230" s="306">
        <v>101730.0</v>
      </c>
      <c r="C230" s="307" t="s">
        <v>1420</v>
      </c>
      <c r="D230" s="308" t="s">
        <v>10547</v>
      </c>
      <c r="E230" s="305" t="s">
        <v>10548</v>
      </c>
      <c r="F230" s="309" t="s">
        <v>10549</v>
      </c>
      <c r="G230" s="236"/>
      <c r="H230" s="307" t="s">
        <v>1420</v>
      </c>
      <c r="I230" s="237"/>
      <c r="J230" s="237"/>
      <c r="K230" s="310" t="s">
        <v>10546</v>
      </c>
      <c r="L230" s="237"/>
      <c r="M230" s="237"/>
      <c r="N230" s="237"/>
      <c r="O230" s="237"/>
      <c r="P230" s="237"/>
      <c r="Q230" s="237"/>
      <c r="R230" s="237"/>
      <c r="S230" s="237"/>
      <c r="T230" s="237"/>
      <c r="U230" s="237"/>
      <c r="V230" s="237"/>
      <c r="W230" s="237"/>
      <c r="X230" s="237"/>
      <c r="Y230" s="237"/>
      <c r="Z230" s="237"/>
    </row>
    <row r="231">
      <c r="A231" s="305">
        <v>230.0</v>
      </c>
      <c r="B231" s="306">
        <v>101783.0</v>
      </c>
      <c r="C231" s="307" t="s">
        <v>1420</v>
      </c>
      <c r="D231" s="308" t="s">
        <v>10552</v>
      </c>
      <c r="E231" s="305" t="s">
        <v>10553</v>
      </c>
      <c r="F231" s="309" t="s">
        <v>10554</v>
      </c>
      <c r="G231" s="236"/>
      <c r="H231" s="307" t="s">
        <v>1420</v>
      </c>
      <c r="I231" s="237"/>
      <c r="J231" s="237"/>
      <c r="K231" s="310" t="s">
        <v>10551</v>
      </c>
      <c r="L231" s="237"/>
      <c r="M231" s="237"/>
      <c r="N231" s="237"/>
      <c r="O231" s="237"/>
      <c r="P231" s="237"/>
      <c r="Q231" s="237"/>
      <c r="R231" s="237"/>
      <c r="S231" s="237"/>
      <c r="T231" s="237"/>
      <c r="U231" s="237"/>
      <c r="V231" s="237"/>
      <c r="W231" s="237"/>
      <c r="X231" s="237"/>
      <c r="Y231" s="237"/>
      <c r="Z231" s="237"/>
    </row>
    <row r="232">
      <c r="A232" s="305">
        <v>231.0</v>
      </c>
      <c r="B232" s="306">
        <v>101786.0</v>
      </c>
      <c r="C232" s="307" t="s">
        <v>1420</v>
      </c>
      <c r="D232" s="308" t="s">
        <v>10557</v>
      </c>
      <c r="E232" s="305" t="s">
        <v>10558</v>
      </c>
      <c r="F232" s="309" t="s">
        <v>10559</v>
      </c>
      <c r="G232" s="236"/>
      <c r="H232" s="307" t="s">
        <v>1420</v>
      </c>
      <c r="I232" s="237"/>
      <c r="J232" s="237"/>
      <c r="K232" s="310" t="s">
        <v>10556</v>
      </c>
      <c r="L232" s="237"/>
      <c r="M232" s="237"/>
      <c r="N232" s="237"/>
      <c r="O232" s="237"/>
      <c r="P232" s="237"/>
      <c r="Q232" s="237"/>
      <c r="R232" s="237"/>
      <c r="S232" s="237"/>
      <c r="T232" s="237"/>
      <c r="U232" s="237"/>
      <c r="V232" s="237"/>
      <c r="W232" s="237"/>
      <c r="X232" s="237"/>
      <c r="Y232" s="237"/>
      <c r="Z232" s="237"/>
    </row>
    <row r="233">
      <c r="A233" s="305">
        <v>232.0</v>
      </c>
      <c r="B233" s="306">
        <v>101215.0</v>
      </c>
      <c r="C233" s="307" t="s">
        <v>1420</v>
      </c>
      <c r="D233" s="308" t="s">
        <v>10348</v>
      </c>
      <c r="E233" s="305" t="s">
        <v>10349</v>
      </c>
      <c r="F233" s="309" t="s">
        <v>10350</v>
      </c>
      <c r="G233" s="236"/>
      <c r="H233" s="307" t="s">
        <v>1420</v>
      </c>
      <c r="I233" s="237"/>
      <c r="J233" s="237"/>
      <c r="K233" s="310" t="s">
        <v>10347</v>
      </c>
      <c r="L233" s="237"/>
      <c r="M233" s="237"/>
      <c r="N233" s="237"/>
      <c r="O233" s="237"/>
      <c r="P233" s="237"/>
      <c r="Q233" s="237"/>
      <c r="R233" s="237"/>
      <c r="S233" s="237"/>
      <c r="T233" s="237"/>
      <c r="U233" s="237"/>
      <c r="V233" s="237"/>
      <c r="W233" s="237"/>
      <c r="X233" s="237"/>
      <c r="Y233" s="237"/>
      <c r="Z233" s="237"/>
    </row>
    <row r="234">
      <c r="A234" s="305">
        <v>233.0</v>
      </c>
      <c r="B234" s="306">
        <v>101210.0</v>
      </c>
      <c r="C234" s="307" t="s">
        <v>1420</v>
      </c>
      <c r="D234" s="308" t="s">
        <v>10343</v>
      </c>
      <c r="E234" s="305" t="s">
        <v>10344</v>
      </c>
      <c r="F234" s="309" t="s">
        <v>10345</v>
      </c>
      <c r="G234" s="236"/>
      <c r="H234" s="307" t="s">
        <v>1420</v>
      </c>
      <c r="I234" s="237"/>
      <c r="J234" s="237"/>
      <c r="K234" s="310" t="s">
        <v>10342</v>
      </c>
      <c r="L234" s="237"/>
      <c r="M234" s="237"/>
      <c r="N234" s="237"/>
      <c r="O234" s="237"/>
      <c r="P234" s="237"/>
      <c r="Q234" s="237"/>
      <c r="R234" s="237"/>
      <c r="S234" s="237"/>
      <c r="T234" s="237"/>
      <c r="U234" s="237"/>
      <c r="V234" s="237"/>
      <c r="W234" s="237"/>
      <c r="X234" s="237"/>
      <c r="Y234" s="237"/>
      <c r="Z234" s="237"/>
    </row>
    <row r="235">
      <c r="A235" s="305">
        <v>234.0</v>
      </c>
      <c r="B235" s="236"/>
      <c r="C235" s="307" t="s">
        <v>1420</v>
      </c>
      <c r="D235" s="308" t="s">
        <v>10295</v>
      </c>
      <c r="E235" s="305" t="s">
        <v>10296</v>
      </c>
      <c r="F235" s="309" t="s">
        <v>10297</v>
      </c>
      <c r="G235" s="236"/>
      <c r="H235" s="307" t="s">
        <v>1420</v>
      </c>
      <c r="I235" s="237"/>
      <c r="J235" s="237"/>
      <c r="K235" s="310" t="s">
        <v>10294</v>
      </c>
      <c r="L235" s="237"/>
      <c r="M235" s="237"/>
      <c r="N235" s="237"/>
      <c r="O235" s="237"/>
      <c r="P235" s="237"/>
      <c r="Q235" s="237"/>
      <c r="R235" s="237"/>
      <c r="S235" s="237"/>
      <c r="T235" s="237"/>
      <c r="U235" s="237"/>
      <c r="V235" s="237"/>
      <c r="W235" s="237"/>
      <c r="X235" s="237"/>
      <c r="Y235" s="237"/>
      <c r="Z235" s="237"/>
    </row>
    <row r="236">
      <c r="A236" s="305">
        <v>235.0</v>
      </c>
      <c r="B236" s="236"/>
      <c r="C236" s="307" t="s">
        <v>1420</v>
      </c>
      <c r="D236" s="308" t="s">
        <v>10251</v>
      </c>
      <c r="E236" s="305" t="s">
        <v>10252</v>
      </c>
      <c r="F236" s="309" t="s">
        <v>10253</v>
      </c>
      <c r="G236" s="236"/>
      <c r="H236" s="307" t="s">
        <v>1420</v>
      </c>
      <c r="I236" s="237"/>
      <c r="J236" s="237"/>
      <c r="K236" s="310" t="s">
        <v>10250</v>
      </c>
      <c r="L236" s="237"/>
      <c r="M236" s="237"/>
      <c r="N236" s="237"/>
      <c r="O236" s="237"/>
      <c r="P236" s="237"/>
      <c r="Q236" s="237"/>
      <c r="R236" s="237"/>
      <c r="S236" s="237"/>
      <c r="T236" s="237"/>
      <c r="U236" s="237"/>
      <c r="V236" s="237"/>
      <c r="W236" s="237"/>
      <c r="X236" s="237"/>
      <c r="Y236" s="237"/>
      <c r="Z236" s="237"/>
    </row>
    <row r="237">
      <c r="A237" s="305">
        <v>236.0</v>
      </c>
      <c r="B237" s="236"/>
      <c r="C237" s="307" t="s">
        <v>1420</v>
      </c>
      <c r="D237" s="308" t="s">
        <v>10376</v>
      </c>
      <c r="E237" s="305" t="s">
        <v>10377</v>
      </c>
      <c r="F237" s="309" t="s">
        <v>10378</v>
      </c>
      <c r="G237" s="236"/>
      <c r="H237" s="307" t="s">
        <v>1420</v>
      </c>
      <c r="I237" s="237"/>
      <c r="J237" s="237"/>
      <c r="K237" s="310" t="s">
        <v>10375</v>
      </c>
      <c r="L237" s="237"/>
      <c r="M237" s="237"/>
      <c r="N237" s="237"/>
      <c r="O237" s="237"/>
      <c r="P237" s="237"/>
      <c r="Q237" s="237"/>
      <c r="R237" s="237"/>
      <c r="S237" s="237"/>
      <c r="T237" s="237"/>
      <c r="U237" s="237"/>
      <c r="V237" s="237"/>
      <c r="W237" s="237"/>
      <c r="X237" s="237"/>
      <c r="Y237" s="237"/>
      <c r="Z237" s="237"/>
    </row>
    <row r="238">
      <c r="A238" s="305">
        <v>237.0</v>
      </c>
      <c r="B238" s="236"/>
      <c r="C238" s="307" t="s">
        <v>1420</v>
      </c>
      <c r="D238" s="308" t="s">
        <v>10372</v>
      </c>
      <c r="E238" s="305" t="s">
        <v>10373</v>
      </c>
      <c r="F238" s="309" t="s">
        <v>10374</v>
      </c>
      <c r="G238" s="236"/>
      <c r="H238" s="307" t="s">
        <v>1420</v>
      </c>
      <c r="I238" s="237"/>
      <c r="J238" s="237"/>
      <c r="K238" s="310" t="s">
        <v>10371</v>
      </c>
      <c r="L238" s="237"/>
      <c r="M238" s="237"/>
      <c r="N238" s="237"/>
      <c r="O238" s="237"/>
      <c r="P238" s="237"/>
      <c r="Q238" s="237"/>
      <c r="R238" s="237"/>
      <c r="S238" s="237"/>
      <c r="T238" s="237"/>
      <c r="U238" s="237"/>
      <c r="V238" s="237"/>
      <c r="W238" s="237"/>
      <c r="X238" s="237"/>
      <c r="Y238" s="237"/>
      <c r="Z238" s="237"/>
    </row>
    <row r="239">
      <c r="A239" s="305">
        <v>238.0</v>
      </c>
      <c r="B239" s="236"/>
      <c r="C239" s="307" t="s">
        <v>1420</v>
      </c>
      <c r="D239" s="308" t="s">
        <v>10360</v>
      </c>
      <c r="E239" s="305" t="s">
        <v>10361</v>
      </c>
      <c r="F239" s="309" t="s">
        <v>10362</v>
      </c>
      <c r="G239" s="236"/>
      <c r="H239" s="307" t="s">
        <v>1420</v>
      </c>
      <c r="I239" s="237"/>
      <c r="J239" s="237"/>
      <c r="K239" s="310" t="s">
        <v>10359</v>
      </c>
      <c r="L239" s="237"/>
      <c r="M239" s="237"/>
      <c r="N239" s="237"/>
      <c r="O239" s="237"/>
      <c r="P239" s="237"/>
      <c r="Q239" s="237"/>
      <c r="R239" s="237"/>
      <c r="S239" s="237"/>
      <c r="T239" s="237"/>
      <c r="U239" s="237"/>
      <c r="V239" s="237"/>
      <c r="W239" s="237"/>
      <c r="X239" s="237"/>
      <c r="Y239" s="237"/>
      <c r="Z239" s="237"/>
    </row>
    <row r="240">
      <c r="A240" s="305">
        <v>239.0</v>
      </c>
      <c r="B240" s="236"/>
      <c r="C240" s="307" t="s">
        <v>1420</v>
      </c>
      <c r="D240" s="308" t="s">
        <v>10356</v>
      </c>
      <c r="E240" s="305" t="s">
        <v>10357</v>
      </c>
      <c r="F240" s="309" t="s">
        <v>10358</v>
      </c>
      <c r="G240" s="236"/>
      <c r="H240" s="307" t="s">
        <v>1420</v>
      </c>
      <c r="I240" s="237"/>
      <c r="J240" s="237"/>
      <c r="K240" s="310" t="s">
        <v>10355</v>
      </c>
      <c r="L240" s="237"/>
      <c r="M240" s="237"/>
      <c r="N240" s="237"/>
      <c r="O240" s="237"/>
      <c r="P240" s="237"/>
      <c r="Q240" s="237"/>
      <c r="R240" s="237"/>
      <c r="S240" s="237"/>
      <c r="T240" s="237"/>
      <c r="U240" s="237"/>
      <c r="V240" s="237"/>
      <c r="W240" s="237"/>
      <c r="X240" s="237"/>
      <c r="Y240" s="237"/>
      <c r="Z240" s="237"/>
    </row>
    <row r="241">
      <c r="A241" s="305">
        <v>240.0</v>
      </c>
      <c r="B241" s="236"/>
      <c r="C241" s="307" t="s">
        <v>1420</v>
      </c>
      <c r="D241" s="308" t="s">
        <v>10388</v>
      </c>
      <c r="E241" s="305" t="s">
        <v>10389</v>
      </c>
      <c r="F241" s="309" t="s">
        <v>10390</v>
      </c>
      <c r="G241" s="236"/>
      <c r="H241" s="307" t="s">
        <v>1420</v>
      </c>
      <c r="I241" s="237"/>
      <c r="J241" s="237"/>
      <c r="K241" s="310" t="s">
        <v>10387</v>
      </c>
      <c r="L241" s="237"/>
      <c r="M241" s="237"/>
      <c r="N241" s="237"/>
      <c r="O241" s="237"/>
      <c r="P241" s="237"/>
      <c r="Q241" s="237"/>
      <c r="R241" s="237"/>
      <c r="S241" s="237"/>
      <c r="T241" s="237"/>
      <c r="U241" s="237"/>
      <c r="V241" s="237"/>
      <c r="W241" s="237"/>
      <c r="X241" s="237"/>
      <c r="Y241" s="237"/>
      <c r="Z241" s="237"/>
    </row>
    <row r="242">
      <c r="A242" s="305">
        <v>241.0</v>
      </c>
      <c r="B242" s="236"/>
      <c r="C242" s="307" t="s">
        <v>1420</v>
      </c>
      <c r="D242" s="308" t="s">
        <v>10368</v>
      </c>
      <c r="E242" s="305" t="s">
        <v>10369</v>
      </c>
      <c r="F242" s="309" t="s">
        <v>10370</v>
      </c>
      <c r="G242" s="236"/>
      <c r="H242" s="307" t="s">
        <v>1420</v>
      </c>
      <c r="I242" s="237"/>
      <c r="J242" s="237"/>
      <c r="K242" s="310" t="s">
        <v>10367</v>
      </c>
      <c r="L242" s="237"/>
      <c r="M242" s="237"/>
      <c r="N242" s="237"/>
      <c r="O242" s="237"/>
      <c r="P242" s="237"/>
      <c r="Q242" s="237"/>
      <c r="R242" s="237"/>
      <c r="S242" s="237"/>
      <c r="T242" s="237"/>
      <c r="U242" s="237"/>
      <c r="V242" s="237"/>
      <c r="W242" s="237"/>
      <c r="X242" s="237"/>
      <c r="Y242" s="237"/>
      <c r="Z242" s="237"/>
    </row>
    <row r="243">
      <c r="A243" s="305">
        <v>242.0</v>
      </c>
      <c r="B243" s="236"/>
      <c r="C243" s="307" t="s">
        <v>1420</v>
      </c>
      <c r="D243" s="308" t="s">
        <v>10364</v>
      </c>
      <c r="E243" s="305" t="s">
        <v>10365</v>
      </c>
      <c r="F243" s="309" t="s">
        <v>10366</v>
      </c>
      <c r="G243" s="236"/>
      <c r="H243" s="307" t="s">
        <v>1420</v>
      </c>
      <c r="I243" s="237"/>
      <c r="J243" s="237"/>
      <c r="K243" s="310" t="s">
        <v>10363</v>
      </c>
      <c r="L243" s="237"/>
      <c r="M243" s="237"/>
      <c r="N243" s="237"/>
      <c r="O243" s="237"/>
      <c r="P243" s="237"/>
      <c r="Q243" s="237"/>
      <c r="R243" s="237"/>
      <c r="S243" s="237"/>
      <c r="T243" s="237"/>
      <c r="U243" s="237"/>
      <c r="V243" s="237"/>
      <c r="W243" s="237"/>
      <c r="X243" s="237"/>
      <c r="Y243" s="237"/>
      <c r="Z243" s="237"/>
    </row>
    <row r="244">
      <c r="A244" s="305">
        <v>243.0</v>
      </c>
      <c r="B244" s="236"/>
      <c r="C244" s="307" t="s">
        <v>1420</v>
      </c>
      <c r="D244" s="308" t="s">
        <v>10380</v>
      </c>
      <c r="E244" s="305" t="s">
        <v>10381</v>
      </c>
      <c r="F244" s="309" t="s">
        <v>10382</v>
      </c>
      <c r="G244" s="236"/>
      <c r="H244" s="307" t="s">
        <v>1420</v>
      </c>
      <c r="I244" s="237"/>
      <c r="J244" s="237"/>
      <c r="K244" s="310" t="s">
        <v>10379</v>
      </c>
      <c r="L244" s="237"/>
      <c r="M244" s="237"/>
      <c r="N244" s="237"/>
      <c r="O244" s="237"/>
      <c r="P244" s="237"/>
      <c r="Q244" s="237"/>
      <c r="R244" s="237"/>
      <c r="S244" s="237"/>
      <c r="T244" s="237"/>
      <c r="U244" s="237"/>
      <c r="V244" s="237"/>
      <c r="W244" s="237"/>
      <c r="X244" s="237"/>
      <c r="Y244" s="237"/>
      <c r="Z244" s="237"/>
    </row>
    <row r="245">
      <c r="A245" s="305">
        <v>244.0</v>
      </c>
      <c r="B245" s="236"/>
      <c r="C245" s="307" t="s">
        <v>1420</v>
      </c>
      <c r="D245" s="308" t="s">
        <v>10384</v>
      </c>
      <c r="E245" s="305" t="s">
        <v>10385</v>
      </c>
      <c r="F245" s="309" t="s">
        <v>10386</v>
      </c>
      <c r="G245" s="236"/>
      <c r="H245" s="307" t="s">
        <v>1420</v>
      </c>
      <c r="I245" s="237"/>
      <c r="J245" s="237"/>
      <c r="K245" s="310" t="s">
        <v>10383</v>
      </c>
      <c r="L245" s="237"/>
      <c r="M245" s="237"/>
      <c r="N245" s="237"/>
      <c r="O245" s="237"/>
      <c r="P245" s="237"/>
      <c r="Q245" s="237"/>
      <c r="R245" s="237"/>
      <c r="S245" s="237"/>
      <c r="T245" s="237"/>
      <c r="U245" s="237"/>
      <c r="V245" s="237"/>
      <c r="W245" s="237"/>
      <c r="X245" s="237"/>
      <c r="Y245" s="237"/>
      <c r="Z245" s="237"/>
    </row>
    <row r="246">
      <c r="A246" s="305">
        <v>245.0</v>
      </c>
      <c r="B246" s="236"/>
      <c r="C246" s="307" t="s">
        <v>1366</v>
      </c>
      <c r="D246" s="308" t="s">
        <v>10472</v>
      </c>
      <c r="E246" s="305" t="s">
        <v>10473</v>
      </c>
      <c r="F246" s="236"/>
      <c r="G246" s="236"/>
      <c r="H246" s="307" t="s">
        <v>1366</v>
      </c>
      <c r="I246" s="237"/>
      <c r="J246" s="237"/>
      <c r="K246" s="310" t="s">
        <v>11660</v>
      </c>
      <c r="L246" s="237"/>
      <c r="M246" s="237"/>
      <c r="N246" s="237"/>
      <c r="O246" s="237"/>
      <c r="P246" s="237"/>
      <c r="Q246" s="237"/>
      <c r="R246" s="237"/>
      <c r="S246" s="237"/>
      <c r="T246" s="237"/>
      <c r="U246" s="237"/>
      <c r="V246" s="237"/>
      <c r="W246" s="237"/>
      <c r="X246" s="237"/>
      <c r="Y246" s="237"/>
      <c r="Z246" s="237"/>
    </row>
    <row r="247">
      <c r="A247" s="305">
        <v>246.0</v>
      </c>
      <c r="B247" s="306">
        <v>101170.0</v>
      </c>
      <c r="C247" s="307" t="s">
        <v>1420</v>
      </c>
      <c r="D247" s="308" t="s">
        <v>10324</v>
      </c>
      <c r="E247" s="305" t="s">
        <v>10325</v>
      </c>
      <c r="F247" s="309" t="s">
        <v>10326</v>
      </c>
      <c r="G247" s="236"/>
      <c r="H247" s="307" t="s">
        <v>1420</v>
      </c>
      <c r="I247" s="237"/>
      <c r="J247" s="237"/>
      <c r="K247" s="310" t="s">
        <v>10323</v>
      </c>
      <c r="L247" s="237"/>
      <c r="M247" s="237"/>
      <c r="N247" s="237"/>
      <c r="O247" s="237"/>
      <c r="P247" s="237"/>
      <c r="Q247" s="237"/>
      <c r="R247" s="237"/>
      <c r="S247" s="237"/>
      <c r="T247" s="237"/>
      <c r="U247" s="237"/>
      <c r="V247" s="237"/>
      <c r="W247" s="237"/>
      <c r="X247" s="237"/>
      <c r="Y247" s="237"/>
      <c r="Z247" s="237"/>
    </row>
    <row r="248">
      <c r="A248" s="305">
        <v>247.0</v>
      </c>
      <c r="B248" s="306">
        <v>101120.0</v>
      </c>
      <c r="C248" s="307" t="s">
        <v>1420</v>
      </c>
      <c r="D248" s="308" t="s">
        <v>10319</v>
      </c>
      <c r="E248" s="305" t="s">
        <v>10320</v>
      </c>
      <c r="F248" s="309" t="s">
        <v>10321</v>
      </c>
      <c r="G248" s="236"/>
      <c r="H248" s="307" t="s">
        <v>1420</v>
      </c>
      <c r="I248" s="237"/>
      <c r="J248" s="237"/>
      <c r="K248" s="310" t="s">
        <v>10318</v>
      </c>
      <c r="L248" s="237"/>
      <c r="M248" s="237"/>
      <c r="N248" s="237"/>
      <c r="O248" s="237"/>
      <c r="P248" s="237"/>
      <c r="Q248" s="237"/>
      <c r="R248" s="237"/>
      <c r="S248" s="237"/>
      <c r="T248" s="237"/>
      <c r="U248" s="237"/>
      <c r="V248" s="237"/>
      <c r="W248" s="237"/>
      <c r="X248" s="237"/>
      <c r="Y248" s="237"/>
      <c r="Z248" s="237"/>
    </row>
    <row r="249">
      <c r="A249" s="305">
        <v>248.0</v>
      </c>
      <c r="B249" s="236"/>
      <c r="C249" s="307" t="s">
        <v>1420</v>
      </c>
      <c r="D249" s="308" t="s">
        <v>10338</v>
      </c>
      <c r="E249" s="305" t="s">
        <v>10339</v>
      </c>
      <c r="F249" s="309" t="s">
        <v>10340</v>
      </c>
      <c r="G249" s="236"/>
      <c r="H249" s="307" t="s">
        <v>1420</v>
      </c>
      <c r="I249" s="237"/>
      <c r="J249" s="237"/>
      <c r="K249" s="310" t="s">
        <v>10337</v>
      </c>
      <c r="L249" s="237"/>
      <c r="M249" s="237"/>
      <c r="N249" s="237"/>
      <c r="O249" s="237"/>
      <c r="P249" s="237"/>
      <c r="Q249" s="237"/>
      <c r="R249" s="237"/>
      <c r="S249" s="237"/>
      <c r="T249" s="237"/>
      <c r="U249" s="237"/>
      <c r="V249" s="237"/>
      <c r="W249" s="237"/>
      <c r="X249" s="237"/>
      <c r="Y249" s="237"/>
      <c r="Z249" s="237"/>
    </row>
    <row r="250">
      <c r="A250" s="305">
        <v>249.0</v>
      </c>
      <c r="B250" s="306">
        <v>101155.0</v>
      </c>
      <c r="C250" s="307" t="s">
        <v>1420</v>
      </c>
      <c r="D250" s="308" t="s">
        <v>10281</v>
      </c>
      <c r="E250" s="305" t="s">
        <v>10282</v>
      </c>
      <c r="F250" s="309" t="s">
        <v>10283</v>
      </c>
      <c r="G250" s="236"/>
      <c r="H250" s="307" t="s">
        <v>1420</v>
      </c>
      <c r="I250" s="237"/>
      <c r="J250" s="237"/>
      <c r="K250" s="310" t="s">
        <v>10280</v>
      </c>
      <c r="L250" s="237"/>
      <c r="M250" s="237"/>
      <c r="N250" s="237"/>
      <c r="O250" s="237"/>
      <c r="P250" s="237"/>
      <c r="Q250" s="237"/>
      <c r="R250" s="237"/>
      <c r="S250" s="237"/>
      <c r="T250" s="237"/>
      <c r="U250" s="237"/>
      <c r="V250" s="237"/>
      <c r="W250" s="237"/>
      <c r="X250" s="237"/>
      <c r="Y250" s="237"/>
      <c r="Z250" s="237"/>
    </row>
    <row r="251">
      <c r="A251" s="305">
        <v>250.0</v>
      </c>
      <c r="B251" s="306">
        <v>101150.0</v>
      </c>
      <c r="C251" s="307" t="s">
        <v>1420</v>
      </c>
      <c r="D251" s="308" t="s">
        <v>10276</v>
      </c>
      <c r="E251" s="305" t="s">
        <v>10277</v>
      </c>
      <c r="F251" s="309" t="s">
        <v>10278</v>
      </c>
      <c r="G251" s="236"/>
      <c r="H251" s="307" t="s">
        <v>1420</v>
      </c>
      <c r="I251" s="237"/>
      <c r="J251" s="237"/>
      <c r="K251" s="310" t="s">
        <v>10275</v>
      </c>
      <c r="L251" s="237"/>
      <c r="M251" s="237"/>
      <c r="N251" s="237"/>
      <c r="O251" s="237"/>
      <c r="P251" s="237"/>
      <c r="Q251" s="237"/>
      <c r="R251" s="237"/>
      <c r="S251" s="237"/>
      <c r="T251" s="237"/>
      <c r="U251" s="237"/>
      <c r="V251" s="237"/>
      <c r="W251" s="237"/>
      <c r="X251" s="237"/>
      <c r="Y251" s="237"/>
      <c r="Z251" s="237"/>
    </row>
    <row r="252">
      <c r="A252" s="305">
        <v>251.0</v>
      </c>
      <c r="B252" s="306">
        <v>101115.0</v>
      </c>
      <c r="C252" s="307" t="s">
        <v>1420</v>
      </c>
      <c r="D252" s="308" t="s">
        <v>10247</v>
      </c>
      <c r="E252" s="305" t="s">
        <v>10248</v>
      </c>
      <c r="F252" s="309" t="s">
        <v>10249</v>
      </c>
      <c r="G252" s="236"/>
      <c r="H252" s="307" t="s">
        <v>1420</v>
      </c>
      <c r="I252" s="237"/>
      <c r="J252" s="237"/>
      <c r="K252" s="310" t="s">
        <v>10246</v>
      </c>
      <c r="L252" s="237"/>
      <c r="M252" s="237"/>
      <c r="N252" s="237"/>
      <c r="O252" s="237"/>
      <c r="P252" s="237"/>
      <c r="Q252" s="237"/>
      <c r="R252" s="237"/>
      <c r="S252" s="237"/>
      <c r="T252" s="237"/>
      <c r="U252" s="237"/>
      <c r="V252" s="237"/>
      <c r="W252" s="237"/>
      <c r="X252" s="237"/>
      <c r="Y252" s="237"/>
      <c r="Z252" s="237"/>
    </row>
    <row r="253">
      <c r="A253" s="305">
        <v>252.0</v>
      </c>
      <c r="B253" s="306">
        <v>101110.0</v>
      </c>
      <c r="C253" s="307" t="s">
        <v>1420</v>
      </c>
      <c r="D253" s="308" t="s">
        <v>10242</v>
      </c>
      <c r="E253" s="305" t="s">
        <v>10243</v>
      </c>
      <c r="F253" s="309" t="s">
        <v>10244</v>
      </c>
      <c r="G253" s="236"/>
      <c r="H253" s="307" t="s">
        <v>1420</v>
      </c>
      <c r="I253" s="237"/>
      <c r="J253" s="237"/>
      <c r="K253" s="310" t="s">
        <v>10241</v>
      </c>
      <c r="L253" s="237"/>
      <c r="M253" s="237"/>
      <c r="N253" s="237"/>
      <c r="O253" s="237"/>
      <c r="P253" s="237"/>
      <c r="Q253" s="237"/>
      <c r="R253" s="237"/>
      <c r="S253" s="237"/>
      <c r="T253" s="237"/>
      <c r="U253" s="237"/>
      <c r="V253" s="237"/>
      <c r="W253" s="237"/>
      <c r="X253" s="237"/>
      <c r="Y253" s="237"/>
      <c r="Z253" s="237"/>
    </row>
    <row r="254">
      <c r="A254" s="305">
        <v>253.0</v>
      </c>
      <c r="B254" s="306">
        <v>101167.0</v>
      </c>
      <c r="C254" s="307" t="s">
        <v>1420</v>
      </c>
      <c r="D254" s="308" t="s">
        <v>10291</v>
      </c>
      <c r="E254" s="305" t="s">
        <v>10292</v>
      </c>
      <c r="F254" s="309" t="s">
        <v>10293</v>
      </c>
      <c r="G254" s="236"/>
      <c r="H254" s="307" t="s">
        <v>1420</v>
      </c>
      <c r="I254" s="237"/>
      <c r="J254" s="237"/>
      <c r="K254" s="310" t="s">
        <v>10290</v>
      </c>
      <c r="L254" s="237"/>
      <c r="M254" s="237"/>
      <c r="N254" s="237"/>
      <c r="O254" s="237"/>
      <c r="P254" s="237"/>
      <c r="Q254" s="237"/>
      <c r="R254" s="237"/>
      <c r="S254" s="237"/>
      <c r="T254" s="237"/>
      <c r="U254" s="237"/>
      <c r="V254" s="237"/>
      <c r="W254" s="237"/>
      <c r="X254" s="237"/>
      <c r="Y254" s="237"/>
      <c r="Z254" s="237"/>
    </row>
    <row r="255">
      <c r="A255" s="305">
        <v>254.0</v>
      </c>
      <c r="B255" s="306">
        <v>101161.0</v>
      </c>
      <c r="C255" s="307" t="s">
        <v>1420</v>
      </c>
      <c r="D255" s="308" t="s">
        <v>10286</v>
      </c>
      <c r="E255" s="305" t="s">
        <v>10287</v>
      </c>
      <c r="F255" s="309" t="s">
        <v>10288</v>
      </c>
      <c r="G255" s="236"/>
      <c r="H255" s="307" t="s">
        <v>1420</v>
      </c>
      <c r="I255" s="237"/>
      <c r="J255" s="237"/>
      <c r="K255" s="310" t="s">
        <v>10285</v>
      </c>
      <c r="L255" s="237"/>
      <c r="M255" s="237"/>
      <c r="N255" s="237"/>
      <c r="O255" s="237"/>
      <c r="P255" s="237"/>
      <c r="Q255" s="237"/>
      <c r="R255" s="237"/>
      <c r="S255" s="237"/>
      <c r="T255" s="237"/>
      <c r="U255" s="237"/>
      <c r="V255" s="237"/>
      <c r="W255" s="237"/>
      <c r="X255" s="237"/>
      <c r="Y255" s="237"/>
      <c r="Z255" s="237"/>
    </row>
    <row r="256">
      <c r="A256" s="305">
        <v>255.0</v>
      </c>
      <c r="B256" s="306">
        <v>101130.0</v>
      </c>
      <c r="C256" s="307" t="s">
        <v>1420</v>
      </c>
      <c r="D256" s="308" t="s">
        <v>10256</v>
      </c>
      <c r="E256" s="305" t="s">
        <v>10257</v>
      </c>
      <c r="F256" s="309" t="s">
        <v>10258</v>
      </c>
      <c r="G256" s="236"/>
      <c r="H256" s="307" t="s">
        <v>1420</v>
      </c>
      <c r="I256" s="237"/>
      <c r="J256" s="237"/>
      <c r="K256" s="310" t="s">
        <v>10255</v>
      </c>
      <c r="L256" s="237"/>
      <c r="M256" s="237"/>
      <c r="N256" s="237"/>
      <c r="O256" s="237"/>
      <c r="P256" s="237"/>
      <c r="Q256" s="237"/>
      <c r="R256" s="237"/>
      <c r="S256" s="237"/>
      <c r="T256" s="237"/>
      <c r="U256" s="237"/>
      <c r="V256" s="237"/>
      <c r="W256" s="237"/>
      <c r="X256" s="237"/>
      <c r="Y256" s="237"/>
      <c r="Z256" s="237"/>
    </row>
    <row r="257">
      <c r="A257" s="305">
        <v>256.0</v>
      </c>
      <c r="B257" s="306">
        <v>101135.0</v>
      </c>
      <c r="C257" s="307" t="s">
        <v>1420</v>
      </c>
      <c r="D257" s="308" t="s">
        <v>10261</v>
      </c>
      <c r="E257" s="305" t="s">
        <v>10262</v>
      </c>
      <c r="F257" s="309" t="s">
        <v>10263</v>
      </c>
      <c r="G257" s="236"/>
      <c r="H257" s="307" t="s">
        <v>1420</v>
      </c>
      <c r="I257" s="237"/>
      <c r="J257" s="237"/>
      <c r="K257" s="310" t="s">
        <v>10260</v>
      </c>
      <c r="L257" s="237"/>
      <c r="M257" s="237"/>
      <c r="N257" s="237"/>
      <c r="O257" s="237"/>
      <c r="P257" s="237"/>
      <c r="Q257" s="237"/>
      <c r="R257" s="237"/>
      <c r="S257" s="237"/>
      <c r="T257" s="237"/>
      <c r="U257" s="237"/>
      <c r="V257" s="237"/>
      <c r="W257" s="237"/>
      <c r="X257" s="237"/>
      <c r="Y257" s="237"/>
      <c r="Z257" s="237"/>
    </row>
    <row r="258">
      <c r="A258" s="305">
        <v>257.0</v>
      </c>
      <c r="B258" s="306">
        <v>101100.0</v>
      </c>
      <c r="C258" s="307" t="s">
        <v>1420</v>
      </c>
      <c r="D258" s="308" t="s">
        <v>10237</v>
      </c>
      <c r="E258" s="305" t="s">
        <v>10238</v>
      </c>
      <c r="F258" s="309" t="s">
        <v>10239</v>
      </c>
      <c r="G258" s="236"/>
      <c r="H258" s="307" t="s">
        <v>1420</v>
      </c>
      <c r="I258" s="237"/>
      <c r="J258" s="237"/>
      <c r="K258" s="310" t="s">
        <v>10236</v>
      </c>
      <c r="L258" s="237"/>
      <c r="M258" s="237"/>
      <c r="N258" s="237"/>
      <c r="O258" s="237"/>
      <c r="P258" s="237"/>
      <c r="Q258" s="237"/>
      <c r="R258" s="237"/>
      <c r="S258" s="237"/>
      <c r="T258" s="237"/>
      <c r="U258" s="237"/>
      <c r="V258" s="237"/>
      <c r="W258" s="237"/>
      <c r="X258" s="237"/>
      <c r="Y258" s="237"/>
      <c r="Z258" s="237"/>
    </row>
    <row r="259">
      <c r="A259" s="305">
        <v>258.0</v>
      </c>
      <c r="B259" s="306">
        <v>101180.0</v>
      </c>
      <c r="C259" s="307" t="s">
        <v>1420</v>
      </c>
      <c r="D259" s="308" t="s">
        <v>10300</v>
      </c>
      <c r="E259" s="305" t="s">
        <v>10301</v>
      </c>
      <c r="F259" s="309" t="s">
        <v>10302</v>
      </c>
      <c r="G259" s="236"/>
      <c r="H259" s="307" t="s">
        <v>1420</v>
      </c>
      <c r="I259" s="237"/>
      <c r="J259" s="237"/>
      <c r="K259" s="310" t="s">
        <v>10299</v>
      </c>
      <c r="L259" s="237"/>
      <c r="M259" s="237"/>
      <c r="N259" s="237"/>
      <c r="O259" s="237"/>
      <c r="P259" s="237"/>
      <c r="Q259" s="237"/>
      <c r="R259" s="237"/>
      <c r="S259" s="237"/>
      <c r="T259" s="237"/>
      <c r="U259" s="237"/>
      <c r="V259" s="237"/>
      <c r="W259" s="237"/>
      <c r="X259" s="237"/>
      <c r="Y259" s="237"/>
      <c r="Z259" s="237"/>
    </row>
    <row r="260">
      <c r="A260" s="305">
        <v>259.0</v>
      </c>
      <c r="B260" s="306">
        <v>101183.0</v>
      </c>
      <c r="C260" s="307" t="s">
        <v>1420</v>
      </c>
      <c r="D260" s="308" t="s">
        <v>10305</v>
      </c>
      <c r="E260" s="305" t="s">
        <v>10306</v>
      </c>
      <c r="F260" s="309" t="s">
        <v>10307</v>
      </c>
      <c r="G260" s="236"/>
      <c r="H260" s="307" t="s">
        <v>1420</v>
      </c>
      <c r="I260" s="237"/>
      <c r="J260" s="237"/>
      <c r="K260" s="310" t="s">
        <v>10304</v>
      </c>
      <c r="L260" s="237"/>
      <c r="M260" s="237"/>
      <c r="N260" s="237"/>
      <c r="O260" s="237"/>
      <c r="P260" s="237"/>
      <c r="Q260" s="237"/>
      <c r="R260" s="237"/>
      <c r="S260" s="237"/>
      <c r="T260" s="237"/>
      <c r="U260" s="237"/>
      <c r="V260" s="237"/>
      <c r="W260" s="237"/>
      <c r="X260" s="237"/>
      <c r="Y260" s="237"/>
      <c r="Z260" s="237"/>
    </row>
    <row r="261">
      <c r="A261" s="305">
        <v>260.0</v>
      </c>
      <c r="B261" s="306">
        <v>101140.0</v>
      </c>
      <c r="C261" s="307" t="s">
        <v>1420</v>
      </c>
      <c r="D261" s="308" t="s">
        <v>10266</v>
      </c>
      <c r="E261" s="305" t="s">
        <v>10267</v>
      </c>
      <c r="F261" s="309" t="s">
        <v>10268</v>
      </c>
      <c r="G261" s="236"/>
      <c r="H261" s="307" t="s">
        <v>1420</v>
      </c>
      <c r="I261" s="237"/>
      <c r="J261" s="237"/>
      <c r="K261" s="310" t="s">
        <v>10265</v>
      </c>
      <c r="L261" s="237"/>
      <c r="M261" s="237"/>
      <c r="N261" s="237"/>
      <c r="O261" s="237"/>
      <c r="P261" s="237"/>
      <c r="Q261" s="237"/>
      <c r="R261" s="237"/>
      <c r="S261" s="237"/>
      <c r="T261" s="237"/>
      <c r="U261" s="237"/>
      <c r="V261" s="237"/>
      <c r="W261" s="237"/>
      <c r="X261" s="237"/>
      <c r="Y261" s="237"/>
      <c r="Z261" s="237"/>
    </row>
    <row r="262">
      <c r="A262" s="305">
        <v>261.0</v>
      </c>
      <c r="B262" s="306">
        <v>101145.0</v>
      </c>
      <c r="C262" s="307" t="s">
        <v>1420</v>
      </c>
      <c r="D262" s="308" t="s">
        <v>10271</v>
      </c>
      <c r="E262" s="305" t="s">
        <v>10272</v>
      </c>
      <c r="F262" s="309" t="s">
        <v>10273</v>
      </c>
      <c r="G262" s="236"/>
      <c r="H262" s="307" t="s">
        <v>1420</v>
      </c>
      <c r="I262" s="237"/>
      <c r="J262" s="237"/>
      <c r="K262" s="310" t="s">
        <v>10270</v>
      </c>
      <c r="L262" s="237"/>
      <c r="M262" s="237"/>
      <c r="N262" s="237"/>
      <c r="O262" s="237"/>
      <c r="P262" s="237"/>
      <c r="Q262" s="237"/>
      <c r="R262" s="237"/>
      <c r="S262" s="237"/>
      <c r="T262" s="237"/>
      <c r="U262" s="237"/>
      <c r="V262" s="237"/>
      <c r="W262" s="237"/>
      <c r="X262" s="237"/>
      <c r="Y262" s="237"/>
      <c r="Z262" s="237"/>
    </row>
    <row r="263">
      <c r="A263" s="305">
        <v>262.0</v>
      </c>
      <c r="B263" s="306">
        <v>101190.0</v>
      </c>
      <c r="C263" s="307" t="s">
        <v>1420</v>
      </c>
      <c r="D263" s="308" t="s">
        <v>10334</v>
      </c>
      <c r="E263" s="305" t="s">
        <v>10335</v>
      </c>
      <c r="F263" s="309" t="s">
        <v>10336</v>
      </c>
      <c r="G263" s="236"/>
      <c r="H263" s="307" t="s">
        <v>1420</v>
      </c>
      <c r="I263" s="237"/>
      <c r="J263" s="237"/>
      <c r="K263" s="310" t="s">
        <v>10333</v>
      </c>
      <c r="L263" s="237"/>
      <c r="M263" s="237"/>
      <c r="N263" s="237"/>
      <c r="O263" s="237"/>
      <c r="P263" s="237"/>
      <c r="Q263" s="237"/>
      <c r="R263" s="237"/>
      <c r="S263" s="237"/>
      <c r="T263" s="237"/>
      <c r="U263" s="237"/>
      <c r="V263" s="237"/>
      <c r="W263" s="237"/>
      <c r="X263" s="237"/>
      <c r="Y263" s="237"/>
      <c r="Z263" s="237"/>
    </row>
    <row r="264">
      <c r="A264" s="305">
        <v>263.0</v>
      </c>
      <c r="B264" s="306">
        <v>101185.0</v>
      </c>
      <c r="C264" s="307" t="s">
        <v>1420</v>
      </c>
      <c r="D264" s="308" t="s">
        <v>10329</v>
      </c>
      <c r="E264" s="305" t="s">
        <v>10330</v>
      </c>
      <c r="F264" s="309" t="s">
        <v>10331</v>
      </c>
      <c r="G264" s="236"/>
      <c r="H264" s="307" t="s">
        <v>1420</v>
      </c>
      <c r="I264" s="237"/>
      <c r="J264" s="237"/>
      <c r="K264" s="310" t="s">
        <v>10328</v>
      </c>
      <c r="L264" s="237"/>
      <c r="M264" s="237"/>
      <c r="N264" s="237"/>
      <c r="O264" s="237"/>
      <c r="P264" s="237"/>
      <c r="Q264" s="237"/>
      <c r="R264" s="237"/>
      <c r="S264" s="237"/>
      <c r="T264" s="237"/>
      <c r="U264" s="237"/>
      <c r="V264" s="237"/>
      <c r="W264" s="237"/>
      <c r="X264" s="237"/>
      <c r="Y264" s="237"/>
      <c r="Z264" s="237"/>
    </row>
    <row r="265">
      <c r="A265" s="305">
        <v>264.0</v>
      </c>
      <c r="B265" s="306">
        <v>101753.0</v>
      </c>
      <c r="C265" s="307" t="s">
        <v>1420</v>
      </c>
      <c r="D265" s="308" t="s">
        <v>10528</v>
      </c>
      <c r="E265" s="305" t="s">
        <v>10529</v>
      </c>
      <c r="F265" s="309" t="s">
        <v>10530</v>
      </c>
      <c r="G265" s="236"/>
      <c r="H265" s="307" t="s">
        <v>1420</v>
      </c>
      <c r="I265" s="237"/>
      <c r="J265" s="237"/>
      <c r="K265" s="310" t="s">
        <v>10527</v>
      </c>
      <c r="L265" s="237"/>
      <c r="M265" s="237"/>
      <c r="N265" s="237"/>
      <c r="O265" s="237"/>
      <c r="P265" s="237"/>
      <c r="Q265" s="237"/>
      <c r="R265" s="237"/>
      <c r="S265" s="237"/>
      <c r="T265" s="237"/>
      <c r="U265" s="237"/>
      <c r="V265" s="237"/>
      <c r="W265" s="237"/>
      <c r="X265" s="237"/>
      <c r="Y265" s="237"/>
      <c r="Z265" s="237"/>
    </row>
    <row r="266">
      <c r="A266" s="305">
        <v>265.0</v>
      </c>
      <c r="B266" s="236"/>
      <c r="C266" s="307" t="s">
        <v>1420</v>
      </c>
      <c r="D266" s="308" t="s">
        <v>10574</v>
      </c>
      <c r="E266" s="305" t="s">
        <v>10575</v>
      </c>
      <c r="F266" s="309" t="s">
        <v>10576</v>
      </c>
      <c r="G266" s="236"/>
      <c r="H266" s="307" t="s">
        <v>1420</v>
      </c>
      <c r="I266" s="237"/>
      <c r="J266" s="237"/>
      <c r="K266" s="310" t="s">
        <v>10573</v>
      </c>
      <c r="L266" s="237"/>
      <c r="M266" s="237"/>
      <c r="N266" s="237"/>
      <c r="O266" s="237"/>
      <c r="P266" s="237"/>
      <c r="Q266" s="237"/>
      <c r="R266" s="237"/>
      <c r="S266" s="237"/>
      <c r="T266" s="237"/>
      <c r="U266" s="237"/>
      <c r="V266" s="237"/>
      <c r="W266" s="237"/>
      <c r="X266" s="237"/>
      <c r="Y266" s="237"/>
      <c r="Z266" s="237"/>
    </row>
    <row r="267">
      <c r="A267" s="305">
        <v>266.0</v>
      </c>
      <c r="B267" s="306">
        <v>101733.0</v>
      </c>
      <c r="C267" s="307" t="s">
        <v>1420</v>
      </c>
      <c r="D267" s="308" t="s">
        <v>10569</v>
      </c>
      <c r="E267" s="305" t="s">
        <v>10570</v>
      </c>
      <c r="F267" s="309" t="s">
        <v>10571</v>
      </c>
      <c r="G267" s="236"/>
      <c r="H267" s="307" t="s">
        <v>1420</v>
      </c>
      <c r="I267" s="237"/>
      <c r="J267" s="237"/>
      <c r="K267" s="310" t="s">
        <v>10568</v>
      </c>
      <c r="L267" s="237"/>
      <c r="M267" s="237"/>
      <c r="N267" s="237"/>
      <c r="O267" s="237"/>
      <c r="P267" s="237"/>
      <c r="Q267" s="237"/>
      <c r="R267" s="237"/>
      <c r="S267" s="237"/>
      <c r="T267" s="237"/>
      <c r="U267" s="237"/>
      <c r="V267" s="237"/>
      <c r="W267" s="237"/>
      <c r="X267" s="237"/>
      <c r="Y267" s="237"/>
      <c r="Z267" s="237"/>
    </row>
    <row r="268">
      <c r="A268" s="305">
        <v>267.0</v>
      </c>
      <c r="B268" s="236"/>
      <c r="C268" s="307" t="s">
        <v>1420</v>
      </c>
      <c r="D268" s="308" t="s">
        <v>10602</v>
      </c>
      <c r="E268" s="305" t="s">
        <v>10603</v>
      </c>
      <c r="F268" s="309" t="s">
        <v>10604</v>
      </c>
      <c r="G268" s="236"/>
      <c r="H268" s="307" t="s">
        <v>1420</v>
      </c>
      <c r="I268" s="237"/>
      <c r="J268" s="237"/>
      <c r="K268" s="310" t="s">
        <v>10601</v>
      </c>
      <c r="L268" s="237"/>
      <c r="M268" s="237"/>
      <c r="N268" s="237"/>
      <c r="O268" s="237"/>
      <c r="P268" s="237"/>
      <c r="Q268" s="237"/>
      <c r="R268" s="237"/>
      <c r="S268" s="237"/>
      <c r="T268" s="237"/>
      <c r="U268" s="237"/>
      <c r="V268" s="237"/>
      <c r="W268" s="237"/>
      <c r="X268" s="237"/>
      <c r="Y268" s="237"/>
      <c r="Z268" s="237"/>
    </row>
    <row r="269">
      <c r="A269" s="305">
        <v>268.0</v>
      </c>
      <c r="B269" s="236"/>
      <c r="C269" s="307" t="s">
        <v>1420</v>
      </c>
      <c r="D269" s="308" t="s">
        <v>10606</v>
      </c>
      <c r="E269" s="305" t="s">
        <v>10607</v>
      </c>
      <c r="F269" s="309" t="s">
        <v>10608</v>
      </c>
      <c r="G269" s="236"/>
      <c r="H269" s="307" t="s">
        <v>1420</v>
      </c>
      <c r="I269" s="237"/>
      <c r="J269" s="237"/>
      <c r="K269" s="310" t="s">
        <v>10605</v>
      </c>
      <c r="L269" s="237"/>
      <c r="M269" s="237"/>
      <c r="N269" s="237"/>
      <c r="O269" s="237"/>
      <c r="P269" s="237"/>
      <c r="Q269" s="237"/>
      <c r="R269" s="237"/>
      <c r="S269" s="237"/>
      <c r="T269" s="237"/>
      <c r="U269" s="237"/>
      <c r="V269" s="237"/>
      <c r="W269" s="237"/>
      <c r="X269" s="237"/>
      <c r="Y269" s="237"/>
      <c r="Z269" s="237"/>
    </row>
    <row r="270">
      <c r="A270" s="305">
        <v>269.0</v>
      </c>
      <c r="B270" s="236"/>
      <c r="C270" s="307" t="s">
        <v>1420</v>
      </c>
      <c r="D270" s="308" t="s">
        <v>10586</v>
      </c>
      <c r="E270" s="305" t="s">
        <v>10587</v>
      </c>
      <c r="F270" s="309" t="s">
        <v>10588</v>
      </c>
      <c r="G270" s="236"/>
      <c r="H270" s="307" t="s">
        <v>1420</v>
      </c>
      <c r="I270" s="237"/>
      <c r="J270" s="237"/>
      <c r="K270" s="310" t="s">
        <v>10585</v>
      </c>
      <c r="L270" s="237"/>
      <c r="M270" s="237"/>
      <c r="N270" s="237"/>
      <c r="O270" s="237"/>
      <c r="P270" s="237"/>
      <c r="Q270" s="237"/>
      <c r="R270" s="237"/>
      <c r="S270" s="237"/>
      <c r="T270" s="237"/>
      <c r="U270" s="237"/>
      <c r="V270" s="237"/>
      <c r="W270" s="237"/>
      <c r="X270" s="237"/>
      <c r="Y270" s="237"/>
      <c r="Z270" s="237"/>
    </row>
    <row r="271">
      <c r="A271" s="305">
        <v>270.0</v>
      </c>
      <c r="B271" s="236"/>
      <c r="C271" s="307" t="s">
        <v>1420</v>
      </c>
      <c r="D271" s="308" t="s">
        <v>10590</v>
      </c>
      <c r="E271" s="305" t="s">
        <v>10591</v>
      </c>
      <c r="F271" s="309" t="s">
        <v>10592</v>
      </c>
      <c r="G271" s="236"/>
      <c r="H271" s="307" t="s">
        <v>1420</v>
      </c>
      <c r="I271" s="237"/>
      <c r="J271" s="237"/>
      <c r="K271" s="310" t="s">
        <v>10589</v>
      </c>
      <c r="L271" s="237"/>
      <c r="M271" s="237"/>
      <c r="N271" s="237"/>
      <c r="O271" s="237"/>
      <c r="P271" s="237"/>
      <c r="Q271" s="237"/>
      <c r="R271" s="237"/>
      <c r="S271" s="237"/>
      <c r="T271" s="237"/>
      <c r="U271" s="237"/>
      <c r="V271" s="237"/>
      <c r="W271" s="237"/>
      <c r="X271" s="237"/>
      <c r="Y271" s="237"/>
      <c r="Z271" s="237"/>
    </row>
    <row r="272">
      <c r="A272" s="305">
        <v>271.0</v>
      </c>
      <c r="B272" s="236"/>
      <c r="C272" s="307" t="s">
        <v>1420</v>
      </c>
      <c r="D272" s="308" t="s">
        <v>10578</v>
      </c>
      <c r="E272" s="305" t="s">
        <v>10579</v>
      </c>
      <c r="F272" s="309" t="s">
        <v>10580</v>
      </c>
      <c r="G272" s="236"/>
      <c r="H272" s="307" t="s">
        <v>1420</v>
      </c>
      <c r="I272" s="237"/>
      <c r="J272" s="237"/>
      <c r="K272" s="310" t="s">
        <v>10577</v>
      </c>
      <c r="L272" s="237"/>
      <c r="M272" s="237"/>
      <c r="N272" s="237"/>
      <c r="O272" s="237"/>
      <c r="P272" s="237"/>
      <c r="Q272" s="237"/>
      <c r="R272" s="237"/>
      <c r="S272" s="237"/>
      <c r="T272" s="237"/>
      <c r="U272" s="237"/>
      <c r="V272" s="237"/>
      <c r="W272" s="237"/>
      <c r="X272" s="237"/>
      <c r="Y272" s="237"/>
      <c r="Z272" s="237"/>
    </row>
    <row r="273">
      <c r="A273" s="305">
        <v>272.0</v>
      </c>
      <c r="B273" s="236"/>
      <c r="C273" s="307" t="s">
        <v>1420</v>
      </c>
      <c r="D273" s="308" t="s">
        <v>10582</v>
      </c>
      <c r="E273" s="305" t="s">
        <v>10583</v>
      </c>
      <c r="F273" s="309" t="s">
        <v>10584</v>
      </c>
      <c r="G273" s="236"/>
      <c r="H273" s="307" t="s">
        <v>1420</v>
      </c>
      <c r="I273" s="237"/>
      <c r="J273" s="237"/>
      <c r="K273" s="310" t="s">
        <v>10581</v>
      </c>
      <c r="L273" s="237"/>
      <c r="M273" s="237"/>
      <c r="N273" s="237"/>
      <c r="O273" s="237"/>
      <c r="P273" s="237"/>
      <c r="Q273" s="237"/>
      <c r="R273" s="237"/>
      <c r="S273" s="237"/>
      <c r="T273" s="237"/>
      <c r="U273" s="237"/>
      <c r="V273" s="237"/>
      <c r="W273" s="237"/>
      <c r="X273" s="237"/>
      <c r="Y273" s="237"/>
      <c r="Z273" s="237"/>
    </row>
    <row r="274">
      <c r="A274" s="305">
        <v>273.0</v>
      </c>
      <c r="B274" s="236"/>
      <c r="C274" s="307" t="s">
        <v>1420</v>
      </c>
      <c r="D274" s="308" t="s">
        <v>10594</v>
      </c>
      <c r="E274" s="305" t="s">
        <v>10595</v>
      </c>
      <c r="F274" s="309" t="s">
        <v>10596</v>
      </c>
      <c r="G274" s="236"/>
      <c r="H274" s="307" t="s">
        <v>1420</v>
      </c>
      <c r="I274" s="237"/>
      <c r="J274" s="237"/>
      <c r="K274" s="310" t="s">
        <v>10593</v>
      </c>
      <c r="L274" s="237"/>
      <c r="M274" s="237"/>
      <c r="N274" s="237"/>
      <c r="O274" s="237"/>
      <c r="P274" s="237"/>
      <c r="Q274" s="237"/>
      <c r="R274" s="237"/>
      <c r="S274" s="237"/>
      <c r="T274" s="237"/>
      <c r="U274" s="237"/>
      <c r="V274" s="237"/>
      <c r="W274" s="237"/>
      <c r="X274" s="237"/>
      <c r="Y274" s="237"/>
      <c r="Z274" s="237"/>
    </row>
    <row r="275">
      <c r="A275" s="305">
        <v>274.0</v>
      </c>
      <c r="B275" s="236"/>
      <c r="C275" s="307" t="s">
        <v>1420</v>
      </c>
      <c r="D275" s="308" t="s">
        <v>10598</v>
      </c>
      <c r="E275" s="305" t="s">
        <v>10599</v>
      </c>
      <c r="F275" s="309" t="s">
        <v>10600</v>
      </c>
      <c r="G275" s="236"/>
      <c r="H275" s="307" t="s">
        <v>1420</v>
      </c>
      <c r="I275" s="237"/>
      <c r="J275" s="237"/>
      <c r="K275" s="310" t="s">
        <v>10597</v>
      </c>
      <c r="L275" s="237"/>
      <c r="M275" s="237"/>
      <c r="N275" s="237"/>
      <c r="O275" s="237"/>
      <c r="P275" s="237"/>
      <c r="Q275" s="237"/>
      <c r="R275" s="237"/>
      <c r="S275" s="237"/>
      <c r="T275" s="237"/>
      <c r="U275" s="237"/>
      <c r="V275" s="237"/>
      <c r="W275" s="237"/>
      <c r="X275" s="237"/>
      <c r="Y275" s="237"/>
      <c r="Z275" s="237"/>
    </row>
    <row r="276">
      <c r="A276" s="305">
        <v>275.0</v>
      </c>
      <c r="B276" s="236"/>
      <c r="C276" s="307" t="s">
        <v>1420</v>
      </c>
      <c r="D276" s="308" t="s">
        <v>10610</v>
      </c>
      <c r="E276" s="305" t="s">
        <v>10611</v>
      </c>
      <c r="F276" s="309" t="s">
        <v>10612</v>
      </c>
      <c r="G276" s="236"/>
      <c r="H276" s="307" t="s">
        <v>1420</v>
      </c>
      <c r="I276" s="237"/>
      <c r="J276" s="237"/>
      <c r="K276" s="310" t="s">
        <v>10609</v>
      </c>
      <c r="L276" s="237"/>
      <c r="M276" s="237"/>
      <c r="N276" s="237"/>
      <c r="O276" s="237"/>
      <c r="P276" s="237"/>
      <c r="Q276" s="237"/>
      <c r="R276" s="237"/>
      <c r="S276" s="237"/>
      <c r="T276" s="237"/>
      <c r="U276" s="237"/>
      <c r="V276" s="237"/>
      <c r="W276" s="237"/>
      <c r="X276" s="237"/>
      <c r="Y276" s="237"/>
      <c r="Z276" s="237"/>
    </row>
    <row r="277">
      <c r="A277" s="305">
        <v>276.0</v>
      </c>
      <c r="B277" s="236"/>
      <c r="C277" s="307" t="s">
        <v>1420</v>
      </c>
      <c r="D277" s="308" t="s">
        <v>10614</v>
      </c>
      <c r="E277" s="305" t="s">
        <v>10615</v>
      </c>
      <c r="F277" s="309" t="s">
        <v>10616</v>
      </c>
      <c r="G277" s="236"/>
      <c r="H277" s="307" t="s">
        <v>1420</v>
      </c>
      <c r="I277" s="237"/>
      <c r="J277" s="237"/>
      <c r="K277" s="310" t="s">
        <v>10613</v>
      </c>
      <c r="L277" s="237"/>
      <c r="M277" s="237"/>
      <c r="N277" s="237"/>
      <c r="O277" s="237"/>
      <c r="P277" s="237"/>
      <c r="Q277" s="237"/>
      <c r="R277" s="237"/>
      <c r="S277" s="237"/>
      <c r="T277" s="237"/>
      <c r="U277" s="237"/>
      <c r="V277" s="237"/>
      <c r="W277" s="237"/>
      <c r="X277" s="237"/>
      <c r="Y277" s="237"/>
      <c r="Z277" s="237"/>
    </row>
    <row r="278">
      <c r="A278" s="305">
        <v>277.0</v>
      </c>
      <c r="B278" s="306">
        <v>5.0010055E7</v>
      </c>
      <c r="C278" s="307" t="s">
        <v>1420</v>
      </c>
      <c r="D278" s="308" t="s">
        <v>5029</v>
      </c>
      <c r="E278" s="305" t="s">
        <v>5030</v>
      </c>
      <c r="F278" s="309" t="s">
        <v>5031</v>
      </c>
      <c r="G278" s="236"/>
      <c r="H278" s="307" t="s">
        <v>1420</v>
      </c>
      <c r="I278" s="237"/>
      <c r="J278" s="237"/>
      <c r="K278" s="310" t="s">
        <v>5028</v>
      </c>
      <c r="L278" s="237"/>
      <c r="M278" s="237"/>
      <c r="N278" s="237"/>
      <c r="O278" s="237"/>
      <c r="P278" s="237"/>
      <c r="Q278" s="237"/>
      <c r="R278" s="237"/>
      <c r="S278" s="237"/>
      <c r="T278" s="237"/>
      <c r="U278" s="237"/>
      <c r="V278" s="237"/>
      <c r="W278" s="237"/>
      <c r="X278" s="237"/>
      <c r="Y278" s="237"/>
      <c r="Z278" s="237"/>
    </row>
    <row r="279">
      <c r="A279" s="305">
        <v>278.0</v>
      </c>
      <c r="B279" s="306">
        <v>5.0010056E7</v>
      </c>
      <c r="C279" s="307" t="s">
        <v>1420</v>
      </c>
      <c r="D279" s="308" t="s">
        <v>2250</v>
      </c>
      <c r="E279" s="305" t="s">
        <v>5035</v>
      </c>
      <c r="F279" s="309" t="s">
        <v>5036</v>
      </c>
      <c r="G279" s="236"/>
      <c r="H279" s="307" t="s">
        <v>1420</v>
      </c>
      <c r="I279" s="237"/>
      <c r="J279" s="237"/>
      <c r="K279" s="310" t="s">
        <v>5034</v>
      </c>
      <c r="L279" s="237"/>
      <c r="M279" s="237"/>
      <c r="N279" s="237"/>
      <c r="O279" s="237"/>
      <c r="P279" s="237"/>
      <c r="Q279" s="237"/>
      <c r="R279" s="237"/>
      <c r="S279" s="237"/>
      <c r="T279" s="237"/>
      <c r="U279" s="237"/>
      <c r="V279" s="237"/>
      <c r="W279" s="237"/>
      <c r="X279" s="237"/>
      <c r="Y279" s="237"/>
      <c r="Z279" s="237"/>
    </row>
    <row r="280">
      <c r="A280" s="305">
        <v>279.0</v>
      </c>
      <c r="B280" s="306">
        <v>5.0010057E7</v>
      </c>
      <c r="C280" s="307" t="s">
        <v>1420</v>
      </c>
      <c r="D280" s="308" t="s">
        <v>2251</v>
      </c>
      <c r="E280" s="305" t="s">
        <v>5039</v>
      </c>
      <c r="F280" s="309" t="s">
        <v>5040</v>
      </c>
      <c r="G280" s="236"/>
      <c r="H280" s="307" t="s">
        <v>1420</v>
      </c>
      <c r="I280" s="237"/>
      <c r="J280" s="237"/>
      <c r="K280" s="310" t="s">
        <v>5038</v>
      </c>
      <c r="L280" s="237"/>
      <c r="M280" s="237"/>
      <c r="N280" s="237"/>
      <c r="O280" s="237"/>
      <c r="P280" s="237"/>
      <c r="Q280" s="237"/>
      <c r="R280" s="237"/>
      <c r="S280" s="237"/>
      <c r="T280" s="237"/>
      <c r="U280" s="237"/>
      <c r="V280" s="237"/>
      <c r="W280" s="237"/>
      <c r="X280" s="237"/>
      <c r="Y280" s="237"/>
      <c r="Z280" s="237"/>
    </row>
    <row r="281">
      <c r="A281" s="305">
        <v>280.0</v>
      </c>
      <c r="B281" s="236"/>
      <c r="C281" s="307" t="s">
        <v>1366</v>
      </c>
      <c r="D281" s="308" t="s">
        <v>14020</v>
      </c>
      <c r="E281" s="305" t="s">
        <v>14021</v>
      </c>
      <c r="F281" s="236"/>
      <c r="G281" s="236"/>
      <c r="H281" s="307" t="s">
        <v>1366</v>
      </c>
      <c r="I281" s="237"/>
      <c r="J281" s="237"/>
      <c r="K281" s="310" t="s">
        <v>11657</v>
      </c>
      <c r="L281" s="237"/>
      <c r="M281" s="237"/>
      <c r="N281" s="237"/>
      <c r="O281" s="237"/>
      <c r="P281" s="237"/>
      <c r="Q281" s="237"/>
      <c r="R281" s="237"/>
      <c r="S281" s="237"/>
      <c r="T281" s="237"/>
      <c r="U281" s="237"/>
      <c r="V281" s="237"/>
      <c r="W281" s="237"/>
      <c r="X281" s="237"/>
      <c r="Y281" s="237"/>
      <c r="Z281" s="237"/>
    </row>
    <row r="282">
      <c r="A282" s="305">
        <v>281.0</v>
      </c>
      <c r="B282" s="306">
        <v>15199.0</v>
      </c>
      <c r="C282" s="307" t="s">
        <v>1420</v>
      </c>
      <c r="D282" s="308" t="s">
        <v>4082</v>
      </c>
      <c r="E282" s="305" t="s">
        <v>4083</v>
      </c>
      <c r="F282" s="309" t="s">
        <v>4084</v>
      </c>
      <c r="G282" s="236"/>
      <c r="H282" s="307" t="s">
        <v>1420</v>
      </c>
      <c r="I282" s="237"/>
      <c r="J282" s="237"/>
      <c r="K282" s="310" t="s">
        <v>4081</v>
      </c>
      <c r="L282" s="237"/>
      <c r="M282" s="237"/>
      <c r="N282" s="237"/>
      <c r="O282" s="237"/>
      <c r="P282" s="237"/>
      <c r="Q282" s="237"/>
      <c r="R282" s="237"/>
      <c r="S282" s="237"/>
      <c r="T282" s="237"/>
      <c r="U282" s="237"/>
      <c r="V282" s="237"/>
      <c r="W282" s="237"/>
      <c r="X282" s="237"/>
      <c r="Y282" s="237"/>
      <c r="Z282" s="237"/>
    </row>
    <row r="283">
      <c r="A283" s="305">
        <v>282.0</v>
      </c>
      <c r="B283" s="306">
        <v>15193.0</v>
      </c>
      <c r="C283" s="307" t="s">
        <v>1420</v>
      </c>
      <c r="D283" s="308" t="s">
        <v>11371</v>
      </c>
      <c r="E283" s="305" t="s">
        <v>11372</v>
      </c>
      <c r="F283" s="309" t="s">
        <v>11373</v>
      </c>
      <c r="G283" s="236"/>
      <c r="H283" s="307" t="s">
        <v>1420</v>
      </c>
      <c r="I283" s="237"/>
      <c r="J283" s="237"/>
      <c r="K283" s="310" t="s">
        <v>11370</v>
      </c>
      <c r="L283" s="237"/>
      <c r="M283" s="237"/>
      <c r="N283" s="237"/>
      <c r="O283" s="237"/>
      <c r="P283" s="237"/>
      <c r="Q283" s="237"/>
      <c r="R283" s="237"/>
      <c r="S283" s="237"/>
      <c r="T283" s="237"/>
      <c r="U283" s="237"/>
      <c r="V283" s="237"/>
      <c r="W283" s="237"/>
      <c r="X283" s="237"/>
      <c r="Y283" s="237"/>
      <c r="Z283" s="237"/>
    </row>
    <row r="284">
      <c r="A284" s="305">
        <v>283.0</v>
      </c>
      <c r="B284" s="306">
        <v>15188.0</v>
      </c>
      <c r="C284" s="307" t="s">
        <v>1420</v>
      </c>
      <c r="D284" s="308" t="s">
        <v>6739</v>
      </c>
      <c r="E284" s="305" t="s">
        <v>6740</v>
      </c>
      <c r="F284" s="309" t="s">
        <v>6741</v>
      </c>
      <c r="G284" s="236"/>
      <c r="H284" s="307" t="s">
        <v>1420</v>
      </c>
      <c r="I284" s="237"/>
      <c r="J284" s="237"/>
      <c r="K284" s="310" t="s">
        <v>6738</v>
      </c>
      <c r="L284" s="237"/>
      <c r="M284" s="237"/>
      <c r="N284" s="237"/>
      <c r="O284" s="237"/>
      <c r="P284" s="237"/>
      <c r="Q284" s="237"/>
      <c r="R284" s="237"/>
      <c r="S284" s="237"/>
      <c r="T284" s="237"/>
      <c r="U284" s="237"/>
      <c r="V284" s="237"/>
      <c r="W284" s="237"/>
      <c r="X284" s="237"/>
      <c r="Y284" s="237"/>
      <c r="Z284" s="237"/>
    </row>
    <row r="285">
      <c r="A285" s="305">
        <v>284.0</v>
      </c>
      <c r="B285" s="306">
        <v>15198.0</v>
      </c>
      <c r="C285" s="307" t="s">
        <v>1420</v>
      </c>
      <c r="D285" s="308" t="s">
        <v>4087</v>
      </c>
      <c r="E285" s="305" t="s">
        <v>4088</v>
      </c>
      <c r="F285" s="309" t="s">
        <v>4089</v>
      </c>
      <c r="G285" s="236"/>
      <c r="H285" s="307" t="s">
        <v>1420</v>
      </c>
      <c r="I285" s="237"/>
      <c r="J285" s="237"/>
      <c r="K285" s="310" t="s">
        <v>4086</v>
      </c>
      <c r="L285" s="237"/>
      <c r="M285" s="237"/>
      <c r="N285" s="237"/>
      <c r="O285" s="237"/>
      <c r="P285" s="237"/>
      <c r="Q285" s="237"/>
      <c r="R285" s="237"/>
      <c r="S285" s="237"/>
      <c r="T285" s="237"/>
      <c r="U285" s="237"/>
      <c r="V285" s="237"/>
      <c r="W285" s="237"/>
      <c r="X285" s="237"/>
      <c r="Y285" s="237"/>
      <c r="Z285" s="237"/>
    </row>
    <row r="286">
      <c r="A286" s="305">
        <v>285.0</v>
      </c>
      <c r="B286" s="306">
        <v>15187.0</v>
      </c>
      <c r="C286" s="307" t="s">
        <v>1420</v>
      </c>
      <c r="D286" s="308" t="s">
        <v>6734</v>
      </c>
      <c r="E286" s="305" t="s">
        <v>6735</v>
      </c>
      <c r="F286" s="309" t="s">
        <v>6736</v>
      </c>
      <c r="G286" s="236"/>
      <c r="H286" s="307" t="s">
        <v>1420</v>
      </c>
      <c r="I286" s="237"/>
      <c r="J286" s="237"/>
      <c r="K286" s="310" t="s">
        <v>6733</v>
      </c>
      <c r="L286" s="237"/>
      <c r="M286" s="237"/>
      <c r="N286" s="237"/>
      <c r="O286" s="237"/>
      <c r="P286" s="237"/>
      <c r="Q286" s="237"/>
      <c r="R286" s="237"/>
      <c r="S286" s="237"/>
      <c r="T286" s="237"/>
      <c r="U286" s="237"/>
      <c r="V286" s="237"/>
      <c r="W286" s="237"/>
      <c r="X286" s="237"/>
      <c r="Y286" s="237"/>
      <c r="Z286" s="237"/>
    </row>
    <row r="287">
      <c r="A287" s="305">
        <v>286.0</v>
      </c>
      <c r="B287" s="236"/>
      <c r="C287" s="307" t="s">
        <v>1366</v>
      </c>
      <c r="D287" s="308" t="s">
        <v>14022</v>
      </c>
      <c r="E287" s="305" t="s">
        <v>14023</v>
      </c>
      <c r="F287" s="236"/>
      <c r="G287" s="236"/>
      <c r="H287" s="307" t="s">
        <v>1366</v>
      </c>
      <c r="I287" s="237"/>
      <c r="J287" s="237"/>
      <c r="K287" s="310" t="s">
        <v>11654</v>
      </c>
      <c r="L287" s="237"/>
      <c r="M287" s="237"/>
      <c r="N287" s="237"/>
      <c r="O287" s="237"/>
      <c r="P287" s="237"/>
      <c r="Q287" s="237"/>
      <c r="R287" s="237"/>
      <c r="S287" s="237"/>
      <c r="T287" s="237"/>
      <c r="U287" s="237"/>
      <c r="V287" s="237"/>
      <c r="W287" s="237"/>
      <c r="X287" s="237"/>
      <c r="Y287" s="237"/>
      <c r="Z287" s="237"/>
    </row>
    <row r="288">
      <c r="A288" s="305">
        <v>287.0</v>
      </c>
      <c r="B288" s="236"/>
      <c r="C288" s="307" t="s">
        <v>1420</v>
      </c>
      <c r="D288" s="308" t="s">
        <v>11672</v>
      </c>
      <c r="E288" s="305" t="s">
        <v>14024</v>
      </c>
      <c r="F288" s="309" t="s">
        <v>11674</v>
      </c>
      <c r="G288" s="236"/>
      <c r="H288" s="307" t="s">
        <v>1420</v>
      </c>
      <c r="I288" s="237"/>
      <c r="J288" s="237"/>
      <c r="K288" s="310" t="s">
        <v>11650</v>
      </c>
      <c r="L288" s="237"/>
      <c r="M288" s="237"/>
      <c r="N288" s="237"/>
      <c r="O288" s="237"/>
      <c r="P288" s="237"/>
      <c r="Q288" s="237"/>
      <c r="R288" s="237"/>
      <c r="S288" s="237"/>
      <c r="T288" s="237"/>
      <c r="U288" s="237"/>
      <c r="V288" s="237"/>
      <c r="W288" s="237"/>
      <c r="X288" s="237"/>
      <c r="Y288" s="237"/>
      <c r="Z288" s="237"/>
    </row>
    <row r="289">
      <c r="A289" s="305">
        <v>288.0</v>
      </c>
      <c r="B289" s="236"/>
      <c r="C289" s="307" t="s">
        <v>1420</v>
      </c>
      <c r="D289" s="308" t="s">
        <v>11672</v>
      </c>
      <c r="E289" s="305" t="s">
        <v>14024</v>
      </c>
      <c r="F289" s="309" t="s">
        <v>11653</v>
      </c>
      <c r="G289" s="236"/>
      <c r="H289" s="307" t="s">
        <v>1420</v>
      </c>
      <c r="I289" s="237"/>
      <c r="J289" s="237"/>
      <c r="K289" s="310" t="s">
        <v>11650</v>
      </c>
      <c r="L289" s="237"/>
      <c r="M289" s="237"/>
      <c r="N289" s="237"/>
      <c r="O289" s="237"/>
      <c r="P289" s="237"/>
      <c r="Q289" s="237"/>
      <c r="R289" s="237"/>
      <c r="S289" s="237"/>
      <c r="T289" s="237"/>
      <c r="U289" s="237"/>
      <c r="V289" s="237"/>
      <c r="W289" s="237"/>
      <c r="X289" s="237"/>
      <c r="Y289" s="237"/>
      <c r="Z289" s="237"/>
    </row>
    <row r="290">
      <c r="A290" s="305">
        <v>289.0</v>
      </c>
      <c r="B290" s="236"/>
      <c r="C290" s="307" t="s">
        <v>1366</v>
      </c>
      <c r="D290" s="308" t="s">
        <v>11664</v>
      </c>
      <c r="E290" s="236"/>
      <c r="F290" s="236"/>
      <c r="G290" s="236"/>
      <c r="H290" s="307" t="s">
        <v>1366</v>
      </c>
      <c r="I290" s="237"/>
      <c r="J290" s="237"/>
      <c r="K290" s="310" t="s">
        <v>11663</v>
      </c>
      <c r="L290" s="237"/>
      <c r="M290" s="237"/>
      <c r="N290" s="237"/>
      <c r="O290" s="237"/>
      <c r="P290" s="237"/>
      <c r="Q290" s="237"/>
      <c r="R290" s="237"/>
      <c r="S290" s="237"/>
      <c r="T290" s="237"/>
      <c r="U290" s="237"/>
      <c r="V290" s="237"/>
      <c r="W290" s="237"/>
      <c r="X290" s="237"/>
      <c r="Y290" s="237"/>
      <c r="Z290" s="237"/>
    </row>
    <row r="291">
      <c r="A291" s="305">
        <v>290.0</v>
      </c>
      <c r="B291" s="236"/>
      <c r="C291" s="307" t="s">
        <v>1366</v>
      </c>
      <c r="D291" s="308" t="s">
        <v>11666</v>
      </c>
      <c r="E291" s="236"/>
      <c r="F291" s="236"/>
      <c r="G291" s="236"/>
      <c r="H291" s="307" t="s">
        <v>1366</v>
      </c>
      <c r="I291" s="237"/>
      <c r="J291" s="237"/>
      <c r="K291" s="310" t="s">
        <v>11665</v>
      </c>
      <c r="L291" s="237"/>
      <c r="M291" s="237"/>
      <c r="N291" s="237"/>
      <c r="O291" s="237"/>
      <c r="P291" s="237"/>
      <c r="Q291" s="237"/>
      <c r="R291" s="237"/>
      <c r="S291" s="237"/>
      <c r="T291" s="237"/>
      <c r="U291" s="237"/>
      <c r="V291" s="237"/>
      <c r="W291" s="237"/>
      <c r="X291" s="237"/>
      <c r="Y291" s="237"/>
      <c r="Z291" s="237"/>
    </row>
    <row r="292">
      <c r="A292" s="305">
        <v>291.0</v>
      </c>
      <c r="B292" s="236"/>
      <c r="C292" s="307" t="s">
        <v>1420</v>
      </c>
      <c r="D292" s="308" t="s">
        <v>14025</v>
      </c>
      <c r="E292" s="305" t="s">
        <v>14026</v>
      </c>
      <c r="F292" s="309" t="s">
        <v>11649</v>
      </c>
      <c r="G292" s="236"/>
      <c r="H292" s="307" t="s">
        <v>1420</v>
      </c>
      <c r="I292" s="237"/>
      <c r="J292" s="237"/>
      <c r="K292" s="310" t="s">
        <v>11646</v>
      </c>
      <c r="L292" s="237"/>
      <c r="M292" s="237"/>
      <c r="N292" s="237"/>
      <c r="O292" s="237"/>
      <c r="P292" s="237"/>
      <c r="Q292" s="237"/>
      <c r="R292" s="237"/>
      <c r="S292" s="237"/>
      <c r="T292" s="237"/>
      <c r="U292" s="237"/>
      <c r="V292" s="237"/>
      <c r="W292" s="237"/>
      <c r="X292" s="237"/>
      <c r="Y292" s="237"/>
      <c r="Z292" s="237"/>
    </row>
    <row r="293">
      <c r="A293" s="305">
        <v>292.0</v>
      </c>
      <c r="B293" s="306" t="s">
        <v>3659</v>
      </c>
      <c r="C293" s="307" t="s">
        <v>1420</v>
      </c>
      <c r="D293" s="308" t="s">
        <v>14027</v>
      </c>
      <c r="E293" s="305" t="s">
        <v>3662</v>
      </c>
      <c r="F293" s="309" t="s">
        <v>3663</v>
      </c>
      <c r="G293" s="236"/>
      <c r="H293" s="307" t="s">
        <v>1420</v>
      </c>
      <c r="I293" s="237"/>
      <c r="J293" s="237"/>
      <c r="K293" s="310" t="s">
        <v>3660</v>
      </c>
      <c r="L293" s="237"/>
      <c r="M293" s="237"/>
      <c r="N293" s="237"/>
      <c r="O293" s="237"/>
      <c r="P293" s="237"/>
      <c r="Q293" s="237"/>
      <c r="R293" s="237"/>
      <c r="S293" s="237"/>
      <c r="T293" s="237"/>
      <c r="U293" s="237"/>
      <c r="V293" s="237"/>
      <c r="W293" s="237"/>
      <c r="X293" s="237"/>
      <c r="Y293" s="237"/>
      <c r="Z293" s="237"/>
    </row>
    <row r="294">
      <c r="A294" s="305">
        <v>293.0</v>
      </c>
      <c r="B294" s="306" t="s">
        <v>3723</v>
      </c>
      <c r="C294" s="307" t="s">
        <v>1420</v>
      </c>
      <c r="D294" s="308" t="s">
        <v>14027</v>
      </c>
      <c r="E294" s="305" t="s">
        <v>3726</v>
      </c>
      <c r="F294" s="309" t="s">
        <v>3727</v>
      </c>
      <c r="G294" s="236"/>
      <c r="H294" s="307" t="s">
        <v>1420</v>
      </c>
      <c r="I294" s="237"/>
      <c r="J294" s="237"/>
      <c r="K294" s="310" t="s">
        <v>3724</v>
      </c>
      <c r="L294" s="237"/>
      <c r="M294" s="237"/>
      <c r="N294" s="237"/>
      <c r="O294" s="237"/>
      <c r="P294" s="237"/>
      <c r="Q294" s="237"/>
      <c r="R294" s="237"/>
      <c r="S294" s="237"/>
      <c r="T294" s="237"/>
      <c r="U294" s="237"/>
      <c r="V294" s="237"/>
      <c r="W294" s="237"/>
      <c r="X294" s="237"/>
      <c r="Y294" s="237"/>
      <c r="Z294" s="237"/>
    </row>
    <row r="295">
      <c r="A295" s="305">
        <v>294.0</v>
      </c>
      <c r="B295" s="236"/>
      <c r="C295" s="307" t="s">
        <v>14007</v>
      </c>
      <c r="D295" s="308" t="s">
        <v>12438</v>
      </c>
      <c r="E295" s="305" t="s">
        <v>12439</v>
      </c>
      <c r="F295" s="236"/>
      <c r="G295" s="236"/>
      <c r="H295" s="307" t="s">
        <v>14007</v>
      </c>
      <c r="I295" s="237"/>
      <c r="J295" s="237"/>
      <c r="K295" s="262"/>
      <c r="L295" s="237"/>
      <c r="M295" s="237"/>
      <c r="N295" s="237"/>
      <c r="O295" s="237"/>
      <c r="P295" s="237"/>
      <c r="Q295" s="237"/>
      <c r="R295" s="237"/>
      <c r="S295" s="237"/>
      <c r="T295" s="237"/>
      <c r="U295" s="237"/>
      <c r="V295" s="237"/>
      <c r="W295" s="237"/>
      <c r="X295" s="237"/>
      <c r="Y295" s="237"/>
      <c r="Z295" s="237"/>
    </row>
    <row r="296">
      <c r="A296" s="305">
        <v>295.0</v>
      </c>
      <c r="B296" s="306" t="s">
        <v>2044</v>
      </c>
      <c r="C296" s="307" t="s">
        <v>1366</v>
      </c>
      <c r="D296" s="308" t="s">
        <v>2028</v>
      </c>
      <c r="E296" s="236"/>
      <c r="F296" s="236"/>
      <c r="G296" s="236"/>
      <c r="H296" s="307" t="s">
        <v>1366</v>
      </c>
      <c r="I296" s="237"/>
      <c r="J296" s="237"/>
      <c r="K296" s="310" t="s">
        <v>14028</v>
      </c>
      <c r="L296" s="237"/>
      <c r="M296" s="237"/>
      <c r="N296" s="237"/>
      <c r="O296" s="237"/>
      <c r="P296" s="237"/>
      <c r="Q296" s="237"/>
      <c r="R296" s="237"/>
      <c r="S296" s="237"/>
      <c r="T296" s="237"/>
      <c r="U296" s="237"/>
      <c r="V296" s="237"/>
      <c r="W296" s="237"/>
      <c r="X296" s="237"/>
      <c r="Y296" s="237"/>
      <c r="Z296" s="237"/>
    </row>
    <row r="297">
      <c r="A297" s="305">
        <v>296.0</v>
      </c>
      <c r="B297" s="236"/>
      <c r="C297" s="307" t="s">
        <v>1420</v>
      </c>
      <c r="D297" s="308" t="s">
        <v>12345</v>
      </c>
      <c r="E297" s="305" t="s">
        <v>12346</v>
      </c>
      <c r="F297" s="309" t="s">
        <v>12347</v>
      </c>
      <c r="G297" s="236"/>
      <c r="H297" s="307" t="s">
        <v>1420</v>
      </c>
      <c r="I297" s="237"/>
      <c r="J297" s="237"/>
      <c r="K297" s="310" t="s">
        <v>12343</v>
      </c>
      <c r="L297" s="237"/>
      <c r="M297" s="237"/>
      <c r="N297" s="237"/>
      <c r="O297" s="237"/>
      <c r="P297" s="237"/>
      <c r="Q297" s="237"/>
      <c r="R297" s="237"/>
      <c r="S297" s="237"/>
      <c r="T297" s="237"/>
      <c r="U297" s="237"/>
      <c r="V297" s="237"/>
      <c r="W297" s="237"/>
      <c r="X297" s="237"/>
      <c r="Y297" s="237"/>
      <c r="Z297" s="237"/>
    </row>
    <row r="298">
      <c r="A298" s="305">
        <v>297.0</v>
      </c>
      <c r="B298" s="306" t="s">
        <v>2040</v>
      </c>
      <c r="C298" s="307" t="s">
        <v>1366</v>
      </c>
      <c r="D298" s="308" t="s">
        <v>2026</v>
      </c>
      <c r="E298" s="236"/>
      <c r="F298" s="236"/>
      <c r="G298" s="236"/>
      <c r="H298" s="307" t="s">
        <v>1366</v>
      </c>
      <c r="I298" s="237"/>
      <c r="J298" s="237"/>
      <c r="K298" s="310" t="s">
        <v>14029</v>
      </c>
      <c r="L298" s="237"/>
      <c r="M298" s="237"/>
      <c r="N298" s="237"/>
      <c r="O298" s="237"/>
      <c r="P298" s="237"/>
      <c r="Q298" s="237"/>
      <c r="R298" s="237"/>
      <c r="S298" s="237"/>
      <c r="T298" s="237"/>
      <c r="U298" s="237"/>
      <c r="V298" s="237"/>
      <c r="W298" s="237"/>
      <c r="X298" s="237"/>
      <c r="Y298" s="237"/>
      <c r="Z298" s="237"/>
    </row>
    <row r="299">
      <c r="A299" s="305">
        <v>298.0</v>
      </c>
      <c r="B299" s="306" t="s">
        <v>2036</v>
      </c>
      <c r="C299" s="307" t="s">
        <v>1366</v>
      </c>
      <c r="D299" s="308" t="s">
        <v>2023</v>
      </c>
      <c r="E299" s="236"/>
      <c r="F299" s="236"/>
      <c r="G299" s="236"/>
      <c r="H299" s="307" t="s">
        <v>1366</v>
      </c>
      <c r="I299" s="237"/>
      <c r="J299" s="237"/>
      <c r="K299" s="310" t="s">
        <v>14030</v>
      </c>
      <c r="L299" s="237"/>
      <c r="M299" s="237"/>
      <c r="N299" s="237"/>
      <c r="O299" s="237"/>
      <c r="P299" s="237"/>
      <c r="Q299" s="237"/>
      <c r="R299" s="237"/>
      <c r="S299" s="237"/>
      <c r="T299" s="237"/>
      <c r="U299" s="237"/>
      <c r="V299" s="237"/>
      <c r="W299" s="237"/>
      <c r="X299" s="237"/>
      <c r="Y299" s="237"/>
      <c r="Z299" s="237"/>
    </row>
    <row r="300">
      <c r="A300" s="305">
        <v>299.0</v>
      </c>
      <c r="B300" s="236"/>
      <c r="C300" s="307" t="s">
        <v>14007</v>
      </c>
      <c r="D300" s="308" t="s">
        <v>12404</v>
      </c>
      <c r="E300" s="305" t="s">
        <v>12405</v>
      </c>
      <c r="F300" s="236"/>
      <c r="G300" s="307" t="s">
        <v>14031</v>
      </c>
      <c r="H300" s="307" t="s">
        <v>14007</v>
      </c>
      <c r="I300" s="237"/>
      <c r="J300" s="237"/>
      <c r="K300" s="310" t="s">
        <v>12403</v>
      </c>
      <c r="L300" s="237"/>
      <c r="M300" s="237"/>
      <c r="N300" s="237"/>
      <c r="O300" s="237"/>
      <c r="P300" s="237"/>
      <c r="Q300" s="237"/>
      <c r="R300" s="237"/>
      <c r="S300" s="237"/>
      <c r="T300" s="237"/>
      <c r="U300" s="237"/>
      <c r="V300" s="237"/>
      <c r="W300" s="237"/>
      <c r="X300" s="237"/>
      <c r="Y300" s="237"/>
      <c r="Z300" s="237"/>
    </row>
    <row r="301">
      <c r="A301" s="305">
        <v>300.0</v>
      </c>
      <c r="B301" s="236"/>
      <c r="C301" s="307" t="s">
        <v>1420</v>
      </c>
      <c r="D301" s="308" t="s">
        <v>12398</v>
      </c>
      <c r="E301" s="305" t="s">
        <v>12399</v>
      </c>
      <c r="F301" s="309" t="s">
        <v>12400</v>
      </c>
      <c r="G301" s="236"/>
      <c r="H301" s="307" t="s">
        <v>1420</v>
      </c>
      <c r="I301" s="237"/>
      <c r="J301" s="237"/>
      <c r="K301" s="310" t="s">
        <v>12397</v>
      </c>
      <c r="L301" s="237"/>
      <c r="M301" s="237"/>
      <c r="N301" s="237"/>
      <c r="O301" s="237"/>
      <c r="P301" s="237"/>
      <c r="Q301" s="237"/>
      <c r="R301" s="237"/>
      <c r="S301" s="237"/>
      <c r="T301" s="237"/>
      <c r="U301" s="237"/>
      <c r="V301" s="237"/>
      <c r="W301" s="237"/>
      <c r="X301" s="237"/>
      <c r="Y301" s="237"/>
      <c r="Z301" s="237"/>
    </row>
    <row r="302">
      <c r="A302" s="305">
        <v>301.0</v>
      </c>
      <c r="B302" s="236"/>
      <c r="C302" s="307" t="s">
        <v>1420</v>
      </c>
      <c r="D302" s="308" t="s">
        <v>12280</v>
      </c>
      <c r="E302" s="305" t="s">
        <v>12281</v>
      </c>
      <c r="F302" s="309" t="s">
        <v>12282</v>
      </c>
      <c r="G302" s="236"/>
      <c r="H302" s="307" t="s">
        <v>1420</v>
      </c>
      <c r="I302" s="237"/>
      <c r="J302" s="237"/>
      <c r="K302" s="310" t="s">
        <v>12279</v>
      </c>
      <c r="L302" s="237"/>
      <c r="M302" s="237"/>
      <c r="N302" s="237"/>
      <c r="O302" s="237"/>
      <c r="P302" s="237"/>
      <c r="Q302" s="237"/>
      <c r="R302" s="237"/>
      <c r="S302" s="237"/>
      <c r="T302" s="237"/>
      <c r="U302" s="237"/>
      <c r="V302" s="237"/>
      <c r="W302" s="237"/>
      <c r="X302" s="237"/>
      <c r="Y302" s="237"/>
      <c r="Z302" s="237"/>
    </row>
    <row r="303">
      <c r="A303" s="305">
        <v>302.0</v>
      </c>
      <c r="B303" s="236"/>
      <c r="C303" s="307" t="s">
        <v>1427</v>
      </c>
      <c r="D303" s="308" t="s">
        <v>12050</v>
      </c>
      <c r="E303" s="305" t="s">
        <v>12051</v>
      </c>
      <c r="F303" s="236"/>
      <c r="G303" s="236"/>
      <c r="H303" s="307" t="s">
        <v>1427</v>
      </c>
      <c r="I303" s="237"/>
      <c r="J303" s="237"/>
      <c r="K303" s="310" t="s">
        <v>12049</v>
      </c>
      <c r="L303" s="237"/>
      <c r="M303" s="237"/>
      <c r="N303" s="237"/>
      <c r="O303" s="237"/>
      <c r="P303" s="237"/>
      <c r="Q303" s="237"/>
      <c r="R303" s="237"/>
      <c r="S303" s="237"/>
      <c r="T303" s="237"/>
      <c r="U303" s="237"/>
      <c r="V303" s="237"/>
      <c r="W303" s="237"/>
      <c r="X303" s="237"/>
      <c r="Y303" s="237"/>
      <c r="Z303" s="237"/>
    </row>
    <row r="304">
      <c r="A304" s="305">
        <v>303.0</v>
      </c>
      <c r="B304" s="236"/>
      <c r="C304" s="307" t="s">
        <v>1420</v>
      </c>
      <c r="D304" s="308" t="s">
        <v>12360</v>
      </c>
      <c r="E304" s="305" t="s">
        <v>12361</v>
      </c>
      <c r="F304" s="309" t="s">
        <v>12362</v>
      </c>
      <c r="G304" s="236"/>
      <c r="H304" s="307" t="s">
        <v>1420</v>
      </c>
      <c r="I304" s="237"/>
      <c r="J304" s="237"/>
      <c r="K304" s="310" t="s">
        <v>12358</v>
      </c>
      <c r="L304" s="237"/>
      <c r="M304" s="237"/>
      <c r="N304" s="237"/>
      <c r="O304" s="237"/>
      <c r="P304" s="237"/>
      <c r="Q304" s="237"/>
      <c r="R304" s="237"/>
      <c r="S304" s="237"/>
      <c r="T304" s="237"/>
      <c r="U304" s="237"/>
      <c r="V304" s="237"/>
      <c r="W304" s="237"/>
      <c r="X304" s="237"/>
      <c r="Y304" s="237"/>
      <c r="Z304" s="237"/>
    </row>
    <row r="305">
      <c r="A305" s="305">
        <v>304.0</v>
      </c>
      <c r="B305" s="236"/>
      <c r="C305" s="307" t="s">
        <v>1420</v>
      </c>
      <c r="D305" s="308" t="s">
        <v>12425</v>
      </c>
      <c r="E305" s="236"/>
      <c r="F305" s="309" t="s">
        <v>12426</v>
      </c>
      <c r="G305" s="236"/>
      <c r="H305" s="307" t="s">
        <v>1420</v>
      </c>
      <c r="I305" s="237"/>
      <c r="J305" s="237"/>
      <c r="K305" s="310" t="s">
        <v>12424</v>
      </c>
      <c r="L305" s="237"/>
      <c r="M305" s="237"/>
      <c r="N305" s="237"/>
      <c r="O305" s="237"/>
      <c r="P305" s="237"/>
      <c r="Q305" s="237"/>
      <c r="R305" s="237"/>
      <c r="S305" s="237"/>
      <c r="T305" s="237"/>
      <c r="U305" s="237"/>
      <c r="V305" s="237"/>
      <c r="W305" s="237"/>
      <c r="X305" s="237"/>
      <c r="Y305" s="237"/>
      <c r="Z305" s="237"/>
    </row>
    <row r="306">
      <c r="A306" s="305">
        <v>305.0</v>
      </c>
      <c r="B306" s="236"/>
      <c r="C306" s="307" t="s">
        <v>1420</v>
      </c>
      <c r="D306" s="308" t="s">
        <v>12420</v>
      </c>
      <c r="E306" s="305" t="s">
        <v>12421</v>
      </c>
      <c r="F306" s="309" t="s">
        <v>12422</v>
      </c>
      <c r="G306" s="236"/>
      <c r="H306" s="307" t="s">
        <v>1420</v>
      </c>
      <c r="I306" s="237"/>
      <c r="J306" s="237"/>
      <c r="K306" s="310" t="s">
        <v>12419</v>
      </c>
      <c r="L306" s="237"/>
      <c r="M306" s="237"/>
      <c r="N306" s="237"/>
      <c r="O306" s="237"/>
      <c r="P306" s="237"/>
      <c r="Q306" s="237"/>
      <c r="R306" s="237"/>
      <c r="S306" s="237"/>
      <c r="T306" s="237"/>
      <c r="U306" s="237"/>
      <c r="V306" s="237"/>
      <c r="W306" s="237"/>
      <c r="X306" s="237"/>
      <c r="Y306" s="237"/>
      <c r="Z306" s="237"/>
    </row>
    <row r="307">
      <c r="A307" s="305">
        <v>306.0</v>
      </c>
      <c r="B307" s="306" t="s">
        <v>6976</v>
      </c>
      <c r="C307" s="307" t="s">
        <v>1420</v>
      </c>
      <c r="D307" s="308" t="s">
        <v>6978</v>
      </c>
      <c r="E307" s="305" t="s">
        <v>6979</v>
      </c>
      <c r="F307" s="309" t="s">
        <v>6980</v>
      </c>
      <c r="G307" s="236"/>
      <c r="H307" s="307" t="s">
        <v>1420</v>
      </c>
      <c r="I307" s="237"/>
      <c r="J307" s="237"/>
      <c r="K307" s="310" t="s">
        <v>6977</v>
      </c>
      <c r="L307" s="237"/>
      <c r="M307" s="237"/>
      <c r="N307" s="237"/>
      <c r="O307" s="237"/>
      <c r="P307" s="237"/>
      <c r="Q307" s="237"/>
      <c r="R307" s="237"/>
      <c r="S307" s="237"/>
      <c r="T307" s="237"/>
      <c r="U307" s="237"/>
      <c r="V307" s="237"/>
      <c r="W307" s="237"/>
      <c r="X307" s="237"/>
      <c r="Y307" s="237"/>
      <c r="Z307" s="237"/>
    </row>
    <row r="308">
      <c r="A308" s="305">
        <v>307.0</v>
      </c>
      <c r="B308" s="306" t="s">
        <v>6981</v>
      </c>
      <c r="C308" s="307" t="s">
        <v>1420</v>
      </c>
      <c r="D308" s="308" t="s">
        <v>6983</v>
      </c>
      <c r="E308" s="305" t="s">
        <v>6984</v>
      </c>
      <c r="F308" s="309" t="s">
        <v>6985</v>
      </c>
      <c r="G308" s="236"/>
      <c r="H308" s="307" t="s">
        <v>1420</v>
      </c>
      <c r="I308" s="237"/>
      <c r="J308" s="237"/>
      <c r="K308" s="310" t="s">
        <v>6982</v>
      </c>
      <c r="L308" s="237"/>
      <c r="M308" s="237"/>
      <c r="N308" s="237"/>
      <c r="O308" s="237"/>
      <c r="P308" s="237"/>
      <c r="Q308" s="237"/>
      <c r="R308" s="237"/>
      <c r="S308" s="237"/>
      <c r="T308" s="237"/>
      <c r="U308" s="237"/>
      <c r="V308" s="237"/>
      <c r="W308" s="237"/>
      <c r="X308" s="237"/>
      <c r="Y308" s="237"/>
      <c r="Z308" s="237"/>
    </row>
    <row r="309">
      <c r="A309" s="305">
        <v>308.0</v>
      </c>
      <c r="B309" s="306" t="s">
        <v>6986</v>
      </c>
      <c r="C309" s="307" t="s">
        <v>1420</v>
      </c>
      <c r="D309" s="308" t="s">
        <v>6988</v>
      </c>
      <c r="E309" s="305" t="s">
        <v>6989</v>
      </c>
      <c r="F309" s="309" t="s">
        <v>6990</v>
      </c>
      <c r="G309" s="236"/>
      <c r="H309" s="307" t="s">
        <v>1420</v>
      </c>
      <c r="I309" s="237"/>
      <c r="J309" s="237"/>
      <c r="K309" s="310" t="s">
        <v>6987</v>
      </c>
      <c r="L309" s="237"/>
      <c r="M309" s="237"/>
      <c r="N309" s="237"/>
      <c r="O309" s="237"/>
      <c r="P309" s="237"/>
      <c r="Q309" s="237"/>
      <c r="R309" s="237"/>
      <c r="S309" s="237"/>
      <c r="T309" s="237"/>
      <c r="U309" s="237"/>
      <c r="V309" s="237"/>
      <c r="W309" s="237"/>
      <c r="X309" s="237"/>
      <c r="Y309" s="237"/>
      <c r="Z309" s="237"/>
    </row>
    <row r="310">
      <c r="A310" s="305">
        <v>309.0</v>
      </c>
      <c r="B310" s="306" t="s">
        <v>7001</v>
      </c>
      <c r="C310" s="307" t="s">
        <v>1420</v>
      </c>
      <c r="D310" s="308" t="s">
        <v>7003</v>
      </c>
      <c r="E310" s="305" t="s">
        <v>7004</v>
      </c>
      <c r="F310" s="309" t="s">
        <v>7005</v>
      </c>
      <c r="G310" s="236"/>
      <c r="H310" s="307" t="s">
        <v>1420</v>
      </c>
      <c r="I310" s="237"/>
      <c r="J310" s="237"/>
      <c r="K310" s="310" t="s">
        <v>7002</v>
      </c>
      <c r="L310" s="237"/>
      <c r="M310" s="237"/>
      <c r="N310" s="237"/>
      <c r="O310" s="237"/>
      <c r="P310" s="237"/>
      <c r="Q310" s="237"/>
      <c r="R310" s="237"/>
      <c r="S310" s="237"/>
      <c r="T310" s="237"/>
      <c r="U310" s="237"/>
      <c r="V310" s="237"/>
      <c r="W310" s="237"/>
      <c r="X310" s="237"/>
      <c r="Y310" s="237"/>
      <c r="Z310" s="237"/>
    </row>
    <row r="311">
      <c r="A311" s="305">
        <v>310.0</v>
      </c>
      <c r="B311" s="306" t="s">
        <v>7006</v>
      </c>
      <c r="C311" s="307" t="s">
        <v>1420</v>
      </c>
      <c r="D311" s="308" t="s">
        <v>7008</v>
      </c>
      <c r="E311" s="305" t="s">
        <v>7009</v>
      </c>
      <c r="F311" s="309" t="s">
        <v>7010</v>
      </c>
      <c r="G311" s="236"/>
      <c r="H311" s="307" t="s">
        <v>1420</v>
      </c>
      <c r="I311" s="237"/>
      <c r="J311" s="237"/>
      <c r="K311" s="310" t="s">
        <v>7007</v>
      </c>
      <c r="L311" s="237"/>
      <c r="M311" s="237"/>
      <c r="N311" s="237"/>
      <c r="O311" s="237"/>
      <c r="P311" s="237"/>
      <c r="Q311" s="237"/>
      <c r="R311" s="237"/>
      <c r="S311" s="237"/>
      <c r="T311" s="237"/>
      <c r="U311" s="237"/>
      <c r="V311" s="237"/>
      <c r="W311" s="237"/>
      <c r="X311" s="237"/>
      <c r="Y311" s="237"/>
      <c r="Z311" s="237"/>
    </row>
    <row r="312">
      <c r="A312" s="305">
        <v>311.0</v>
      </c>
      <c r="B312" s="306" t="s">
        <v>6996</v>
      </c>
      <c r="C312" s="307" t="s">
        <v>1420</v>
      </c>
      <c r="D312" s="308" t="s">
        <v>6998</v>
      </c>
      <c r="E312" s="305" t="s">
        <v>6999</v>
      </c>
      <c r="F312" s="309" t="s">
        <v>7000</v>
      </c>
      <c r="G312" s="236"/>
      <c r="H312" s="307" t="s">
        <v>1420</v>
      </c>
      <c r="I312" s="237"/>
      <c r="J312" s="237"/>
      <c r="K312" s="310" t="s">
        <v>6997</v>
      </c>
      <c r="L312" s="237"/>
      <c r="M312" s="237"/>
      <c r="N312" s="237"/>
      <c r="O312" s="237"/>
      <c r="P312" s="237"/>
      <c r="Q312" s="237"/>
      <c r="R312" s="237"/>
      <c r="S312" s="237"/>
      <c r="T312" s="237"/>
      <c r="U312" s="237"/>
      <c r="V312" s="237"/>
      <c r="W312" s="237"/>
      <c r="X312" s="237"/>
      <c r="Y312" s="237"/>
      <c r="Z312" s="237"/>
    </row>
    <row r="313">
      <c r="A313" s="305">
        <v>312.0</v>
      </c>
      <c r="B313" s="306" t="s">
        <v>6991</v>
      </c>
      <c r="C313" s="307" t="s">
        <v>1420</v>
      </c>
      <c r="D313" s="308" t="s">
        <v>6993</v>
      </c>
      <c r="E313" s="305" t="s">
        <v>6994</v>
      </c>
      <c r="F313" s="309" t="s">
        <v>6995</v>
      </c>
      <c r="G313" s="236"/>
      <c r="H313" s="307" t="s">
        <v>1420</v>
      </c>
      <c r="I313" s="237"/>
      <c r="J313" s="237"/>
      <c r="K313" s="310" t="s">
        <v>6992</v>
      </c>
      <c r="L313" s="237"/>
      <c r="M313" s="237"/>
      <c r="N313" s="237"/>
      <c r="O313" s="237"/>
      <c r="P313" s="237"/>
      <c r="Q313" s="237"/>
      <c r="R313" s="237"/>
      <c r="S313" s="237"/>
      <c r="T313" s="237"/>
      <c r="U313" s="237"/>
      <c r="V313" s="237"/>
      <c r="W313" s="237"/>
      <c r="X313" s="237"/>
      <c r="Y313" s="237"/>
      <c r="Z313" s="237"/>
    </row>
    <row r="314">
      <c r="A314" s="305">
        <v>313.0</v>
      </c>
      <c r="B314" s="306" t="s">
        <v>6966</v>
      </c>
      <c r="C314" s="307" t="s">
        <v>1420</v>
      </c>
      <c r="D314" s="308" t="s">
        <v>6968</v>
      </c>
      <c r="E314" s="305" t="s">
        <v>6969</v>
      </c>
      <c r="F314" s="309" t="s">
        <v>6970</v>
      </c>
      <c r="G314" s="236"/>
      <c r="H314" s="307" t="s">
        <v>1420</v>
      </c>
      <c r="I314" s="237"/>
      <c r="J314" s="237"/>
      <c r="K314" s="310" t="s">
        <v>6967</v>
      </c>
      <c r="L314" s="237"/>
      <c r="M314" s="237"/>
      <c r="N314" s="237"/>
      <c r="O314" s="237"/>
      <c r="P314" s="237"/>
      <c r="Q314" s="237"/>
      <c r="R314" s="237"/>
      <c r="S314" s="237"/>
      <c r="T314" s="237"/>
      <c r="U314" s="237"/>
      <c r="V314" s="237"/>
      <c r="W314" s="237"/>
      <c r="X314" s="237"/>
      <c r="Y314" s="237"/>
      <c r="Z314" s="237"/>
    </row>
    <row r="315">
      <c r="A315" s="305">
        <v>314.0</v>
      </c>
      <c r="B315" s="306" t="s">
        <v>7014</v>
      </c>
      <c r="C315" s="307" t="s">
        <v>1420</v>
      </c>
      <c r="D315" s="308" t="s">
        <v>7016</v>
      </c>
      <c r="E315" s="305" t="s">
        <v>7017</v>
      </c>
      <c r="F315" s="236"/>
      <c r="G315" s="236"/>
      <c r="H315" s="307" t="s">
        <v>1420</v>
      </c>
      <c r="I315" s="237"/>
      <c r="J315" s="237"/>
      <c r="K315" s="310" t="s">
        <v>7015</v>
      </c>
      <c r="L315" s="237"/>
      <c r="M315" s="237"/>
      <c r="N315" s="237"/>
      <c r="O315" s="237"/>
      <c r="P315" s="237"/>
      <c r="Q315" s="237"/>
      <c r="R315" s="237"/>
      <c r="S315" s="237"/>
      <c r="T315" s="237"/>
      <c r="U315" s="237"/>
      <c r="V315" s="237"/>
      <c r="W315" s="237"/>
      <c r="X315" s="237"/>
      <c r="Y315" s="237"/>
      <c r="Z315" s="237"/>
    </row>
    <row r="316">
      <c r="A316" s="305">
        <v>315.0</v>
      </c>
      <c r="B316" s="306" t="s">
        <v>7018</v>
      </c>
      <c r="C316" s="307" t="s">
        <v>1420</v>
      </c>
      <c r="D316" s="308" t="s">
        <v>7020</v>
      </c>
      <c r="E316" s="305" t="s">
        <v>7021</v>
      </c>
      <c r="F316" s="309" t="s">
        <v>7022</v>
      </c>
      <c r="G316" s="236"/>
      <c r="H316" s="307" t="s">
        <v>1420</v>
      </c>
      <c r="I316" s="237"/>
      <c r="J316" s="237"/>
      <c r="K316" s="310" t="s">
        <v>7019</v>
      </c>
      <c r="L316" s="237"/>
      <c r="M316" s="237"/>
      <c r="N316" s="237"/>
      <c r="O316" s="237"/>
      <c r="P316" s="237"/>
      <c r="Q316" s="237"/>
      <c r="R316" s="237"/>
      <c r="S316" s="237"/>
      <c r="T316" s="237"/>
      <c r="U316" s="237"/>
      <c r="V316" s="237"/>
      <c r="W316" s="237"/>
      <c r="X316" s="237"/>
      <c r="Y316" s="237"/>
      <c r="Z316" s="237"/>
    </row>
    <row r="317">
      <c r="A317" s="305">
        <v>316.0</v>
      </c>
      <c r="B317" s="306">
        <v>12300.0</v>
      </c>
      <c r="C317" s="307" t="s">
        <v>1420</v>
      </c>
      <c r="D317" s="308" t="s">
        <v>7029</v>
      </c>
      <c r="E317" s="305" t="s">
        <v>7030</v>
      </c>
      <c r="F317" s="309" t="s">
        <v>7031</v>
      </c>
      <c r="G317" s="236"/>
      <c r="H317" s="307" t="s">
        <v>1420</v>
      </c>
      <c r="I317" s="237"/>
      <c r="J317" s="237"/>
      <c r="K317" s="310" t="s">
        <v>7028</v>
      </c>
      <c r="L317" s="237"/>
      <c r="M317" s="237"/>
      <c r="N317" s="237"/>
      <c r="O317" s="237"/>
      <c r="P317" s="237"/>
      <c r="Q317" s="237"/>
      <c r="R317" s="237"/>
      <c r="S317" s="237"/>
      <c r="T317" s="237"/>
      <c r="U317" s="237"/>
      <c r="V317" s="237"/>
      <c r="W317" s="237"/>
      <c r="X317" s="237"/>
      <c r="Y317" s="237"/>
      <c r="Z317" s="237"/>
    </row>
    <row r="318">
      <c r="A318" s="305">
        <v>317.0</v>
      </c>
      <c r="B318" s="306" t="s">
        <v>7023</v>
      </c>
      <c r="C318" s="307" t="s">
        <v>1420</v>
      </c>
      <c r="D318" s="308" t="s">
        <v>7025</v>
      </c>
      <c r="E318" s="305" t="s">
        <v>7026</v>
      </c>
      <c r="F318" s="236"/>
      <c r="G318" s="236"/>
      <c r="H318" s="307" t="s">
        <v>1420</v>
      </c>
      <c r="I318" s="237"/>
      <c r="J318" s="237"/>
      <c r="K318" s="310" t="s">
        <v>7024</v>
      </c>
      <c r="L318" s="237"/>
      <c r="M318" s="237"/>
      <c r="N318" s="237"/>
      <c r="O318" s="237"/>
      <c r="P318" s="237"/>
      <c r="Q318" s="237"/>
      <c r="R318" s="237"/>
      <c r="S318" s="237"/>
      <c r="T318" s="237"/>
      <c r="U318" s="237"/>
      <c r="V318" s="237"/>
      <c r="W318" s="237"/>
      <c r="X318" s="237"/>
      <c r="Y318" s="237"/>
      <c r="Z318" s="237"/>
    </row>
    <row r="319">
      <c r="A319" s="305">
        <v>318.0</v>
      </c>
      <c r="B319" s="306">
        <v>28330.0</v>
      </c>
      <c r="C319" s="307" t="s">
        <v>1420</v>
      </c>
      <c r="D319" s="308" t="s">
        <v>7034</v>
      </c>
      <c r="E319" s="305" t="s">
        <v>7035</v>
      </c>
      <c r="F319" s="309" t="s">
        <v>7036</v>
      </c>
      <c r="G319" s="236"/>
      <c r="H319" s="307" t="s">
        <v>1420</v>
      </c>
      <c r="I319" s="237"/>
      <c r="J319" s="237"/>
      <c r="K319" s="310" t="s">
        <v>7033</v>
      </c>
      <c r="L319" s="237"/>
      <c r="M319" s="237"/>
      <c r="N319" s="237"/>
      <c r="O319" s="237"/>
      <c r="P319" s="237"/>
      <c r="Q319" s="237"/>
      <c r="R319" s="237"/>
      <c r="S319" s="237"/>
      <c r="T319" s="237"/>
      <c r="U319" s="237"/>
      <c r="V319" s="237"/>
      <c r="W319" s="237"/>
      <c r="X319" s="237"/>
      <c r="Y319" s="237"/>
      <c r="Z319" s="237"/>
    </row>
    <row r="320">
      <c r="A320" s="305">
        <v>319.0</v>
      </c>
      <c r="B320" s="306">
        <v>28350.0</v>
      </c>
      <c r="C320" s="307" t="s">
        <v>1420</v>
      </c>
      <c r="D320" s="308" t="s">
        <v>7039</v>
      </c>
      <c r="E320" s="305" t="s">
        <v>7040</v>
      </c>
      <c r="F320" s="309" t="s">
        <v>7041</v>
      </c>
      <c r="G320" s="236"/>
      <c r="H320" s="307" t="s">
        <v>1420</v>
      </c>
      <c r="I320" s="237"/>
      <c r="J320" s="237"/>
      <c r="K320" s="310" t="s">
        <v>7038</v>
      </c>
      <c r="L320" s="237"/>
      <c r="M320" s="237"/>
      <c r="N320" s="237"/>
      <c r="O320" s="237"/>
      <c r="P320" s="237"/>
      <c r="Q320" s="237"/>
      <c r="R320" s="237"/>
      <c r="S320" s="237"/>
      <c r="T320" s="237"/>
      <c r="U320" s="237"/>
      <c r="V320" s="237"/>
      <c r="W320" s="237"/>
      <c r="X320" s="237"/>
      <c r="Y320" s="237"/>
      <c r="Z320" s="237"/>
    </row>
    <row r="321">
      <c r="A321" s="305">
        <v>320.0</v>
      </c>
      <c r="B321" s="306" t="s">
        <v>6971</v>
      </c>
      <c r="C321" s="307" t="s">
        <v>1420</v>
      </c>
      <c r="D321" s="308" t="s">
        <v>6973</v>
      </c>
      <c r="E321" s="305" t="s">
        <v>6974</v>
      </c>
      <c r="F321" s="309" t="s">
        <v>6975</v>
      </c>
      <c r="G321" s="236"/>
      <c r="H321" s="307" t="s">
        <v>1420</v>
      </c>
      <c r="I321" s="237"/>
      <c r="J321" s="237"/>
      <c r="K321" s="310" t="s">
        <v>6972</v>
      </c>
      <c r="L321" s="237"/>
      <c r="M321" s="237"/>
      <c r="N321" s="237"/>
      <c r="O321" s="237"/>
      <c r="P321" s="237"/>
      <c r="Q321" s="237"/>
      <c r="R321" s="237"/>
      <c r="S321" s="237"/>
      <c r="T321" s="237"/>
      <c r="U321" s="237"/>
      <c r="V321" s="237"/>
      <c r="W321" s="237"/>
      <c r="X321" s="237"/>
      <c r="Y321" s="237"/>
      <c r="Z321" s="237"/>
    </row>
    <row r="322">
      <c r="A322" s="305">
        <v>321.0</v>
      </c>
      <c r="B322" s="306" t="s">
        <v>7042</v>
      </c>
      <c r="C322" s="307" t="s">
        <v>1420</v>
      </c>
      <c r="D322" s="308" t="s">
        <v>7044</v>
      </c>
      <c r="E322" s="305" t="s">
        <v>7045</v>
      </c>
      <c r="F322" s="309" t="s">
        <v>7046</v>
      </c>
      <c r="G322" s="236"/>
      <c r="H322" s="307" t="s">
        <v>1420</v>
      </c>
      <c r="I322" s="237"/>
      <c r="J322" s="237"/>
      <c r="K322" s="310" t="s">
        <v>7043</v>
      </c>
      <c r="L322" s="237"/>
      <c r="M322" s="237"/>
      <c r="N322" s="237"/>
      <c r="O322" s="237"/>
      <c r="P322" s="237"/>
      <c r="Q322" s="237"/>
      <c r="R322" s="237"/>
      <c r="S322" s="237"/>
      <c r="T322" s="237"/>
      <c r="U322" s="237"/>
      <c r="V322" s="237"/>
      <c r="W322" s="237"/>
      <c r="X322" s="237"/>
      <c r="Y322" s="237"/>
      <c r="Z322" s="237"/>
    </row>
    <row r="323">
      <c r="A323" s="305">
        <v>322.0</v>
      </c>
      <c r="B323" s="306">
        <v>12530.0</v>
      </c>
      <c r="C323" s="307" t="s">
        <v>1420</v>
      </c>
      <c r="D323" s="308" t="s">
        <v>7049</v>
      </c>
      <c r="E323" s="305" t="s">
        <v>7050</v>
      </c>
      <c r="F323" s="309" t="s">
        <v>7051</v>
      </c>
      <c r="G323" s="236"/>
      <c r="H323" s="307" t="s">
        <v>1420</v>
      </c>
      <c r="I323" s="237"/>
      <c r="J323" s="237"/>
      <c r="K323" s="310" t="s">
        <v>7048</v>
      </c>
      <c r="L323" s="237"/>
      <c r="M323" s="237"/>
      <c r="N323" s="237"/>
      <c r="O323" s="237"/>
      <c r="P323" s="237"/>
      <c r="Q323" s="237"/>
      <c r="R323" s="237"/>
      <c r="S323" s="237"/>
      <c r="T323" s="237"/>
      <c r="U323" s="237"/>
      <c r="V323" s="237"/>
      <c r="W323" s="237"/>
      <c r="X323" s="237"/>
      <c r="Y323" s="237"/>
      <c r="Z323" s="237"/>
    </row>
    <row r="324">
      <c r="A324" s="305">
        <v>323.0</v>
      </c>
      <c r="B324" s="306" t="s">
        <v>7052</v>
      </c>
      <c r="C324" s="307" t="s">
        <v>1420</v>
      </c>
      <c r="D324" s="308" t="s">
        <v>7054</v>
      </c>
      <c r="E324" s="305" t="s">
        <v>7055</v>
      </c>
      <c r="F324" s="309" t="s">
        <v>7056</v>
      </c>
      <c r="G324" s="236"/>
      <c r="H324" s="307" t="s">
        <v>1420</v>
      </c>
      <c r="I324" s="237"/>
      <c r="J324" s="237"/>
      <c r="K324" s="310" t="s">
        <v>7053</v>
      </c>
      <c r="L324" s="237"/>
      <c r="M324" s="237"/>
      <c r="N324" s="237"/>
      <c r="O324" s="237"/>
      <c r="P324" s="237"/>
      <c r="Q324" s="237"/>
      <c r="R324" s="237"/>
      <c r="S324" s="237"/>
      <c r="T324" s="237"/>
      <c r="U324" s="237"/>
      <c r="V324" s="237"/>
      <c r="W324" s="237"/>
      <c r="X324" s="237"/>
      <c r="Y324" s="237"/>
      <c r="Z324" s="237"/>
    </row>
    <row r="325">
      <c r="A325" s="305">
        <v>324.0</v>
      </c>
      <c r="B325" s="236"/>
      <c r="C325" s="307" t="s">
        <v>1420</v>
      </c>
      <c r="D325" s="308" t="s">
        <v>5997</v>
      </c>
      <c r="E325" s="305" t="s">
        <v>5998</v>
      </c>
      <c r="F325" s="309" t="s">
        <v>5999</v>
      </c>
      <c r="G325" s="236"/>
      <c r="H325" s="307" t="s">
        <v>1420</v>
      </c>
      <c r="I325" s="237"/>
      <c r="J325" s="237"/>
      <c r="K325" s="310" t="s">
        <v>5996</v>
      </c>
      <c r="L325" s="237"/>
      <c r="M325" s="237"/>
      <c r="N325" s="237"/>
      <c r="O325" s="237"/>
      <c r="P325" s="237"/>
      <c r="Q325" s="237"/>
      <c r="R325" s="237"/>
      <c r="S325" s="237"/>
      <c r="T325" s="237"/>
      <c r="U325" s="237"/>
      <c r="V325" s="237"/>
      <c r="W325" s="237"/>
      <c r="X325" s="237"/>
      <c r="Y325" s="237"/>
      <c r="Z325" s="237"/>
    </row>
    <row r="326">
      <c r="A326" s="305">
        <v>325.0</v>
      </c>
      <c r="B326" s="236"/>
      <c r="C326" s="307" t="s">
        <v>1420</v>
      </c>
      <c r="D326" s="308" t="s">
        <v>6001</v>
      </c>
      <c r="E326" s="305" t="s">
        <v>6002</v>
      </c>
      <c r="F326" s="309" t="s">
        <v>6003</v>
      </c>
      <c r="G326" s="236"/>
      <c r="H326" s="307" t="s">
        <v>1420</v>
      </c>
      <c r="I326" s="237"/>
      <c r="J326" s="237"/>
      <c r="K326" s="310" t="s">
        <v>6000</v>
      </c>
      <c r="L326" s="237"/>
      <c r="M326" s="237"/>
      <c r="N326" s="237"/>
      <c r="O326" s="237"/>
      <c r="P326" s="237"/>
      <c r="Q326" s="237"/>
      <c r="R326" s="237"/>
      <c r="S326" s="237"/>
      <c r="T326" s="237"/>
      <c r="U326" s="237"/>
      <c r="V326" s="237"/>
      <c r="W326" s="237"/>
      <c r="X326" s="237"/>
      <c r="Y326" s="237"/>
      <c r="Z326" s="237"/>
    </row>
    <row r="327">
      <c r="A327" s="305">
        <v>326.0</v>
      </c>
      <c r="B327" s="236"/>
      <c r="C327" s="307" t="s">
        <v>1420</v>
      </c>
      <c r="D327" s="308" t="s">
        <v>8551</v>
      </c>
      <c r="E327" s="305" t="s">
        <v>8552</v>
      </c>
      <c r="F327" s="309" t="s">
        <v>14032</v>
      </c>
      <c r="G327" s="236"/>
      <c r="H327" s="307" t="s">
        <v>1420</v>
      </c>
      <c r="I327" s="237"/>
      <c r="J327" s="237"/>
      <c r="K327" s="310" t="s">
        <v>8550</v>
      </c>
      <c r="L327" s="237"/>
      <c r="M327" s="237"/>
      <c r="N327" s="237"/>
      <c r="O327" s="237"/>
      <c r="P327" s="237"/>
      <c r="Q327" s="237"/>
      <c r="R327" s="237"/>
      <c r="S327" s="237"/>
      <c r="T327" s="237"/>
      <c r="U327" s="237"/>
      <c r="V327" s="237"/>
      <c r="W327" s="237"/>
      <c r="X327" s="237"/>
      <c r="Y327" s="237"/>
      <c r="Z327" s="237"/>
    </row>
    <row r="328">
      <c r="A328" s="305">
        <v>327.0</v>
      </c>
      <c r="B328" s="236"/>
      <c r="C328" s="307" t="s">
        <v>1420</v>
      </c>
      <c r="D328" s="308" t="s">
        <v>8543</v>
      </c>
      <c r="E328" s="305" t="s">
        <v>8544</v>
      </c>
      <c r="F328" s="309" t="s">
        <v>14033</v>
      </c>
      <c r="G328" s="236"/>
      <c r="H328" s="307" t="s">
        <v>1420</v>
      </c>
      <c r="I328" s="237"/>
      <c r="J328" s="237"/>
      <c r="K328" s="310" t="s">
        <v>8542</v>
      </c>
      <c r="L328" s="237"/>
      <c r="M328" s="237"/>
      <c r="N328" s="237"/>
      <c r="O328" s="237"/>
      <c r="P328" s="237"/>
      <c r="Q328" s="237"/>
      <c r="R328" s="237"/>
      <c r="S328" s="237"/>
      <c r="T328" s="237"/>
      <c r="U328" s="237"/>
      <c r="V328" s="237"/>
      <c r="W328" s="237"/>
      <c r="X328" s="237"/>
      <c r="Y328" s="237"/>
      <c r="Z328" s="237"/>
    </row>
    <row r="329">
      <c r="A329" s="305">
        <v>328.0</v>
      </c>
      <c r="B329" s="306" t="s">
        <v>8537</v>
      </c>
      <c r="C329" s="307" t="s">
        <v>1420</v>
      </c>
      <c r="D329" s="308" t="s">
        <v>8539</v>
      </c>
      <c r="E329" s="305" t="s">
        <v>8540</v>
      </c>
      <c r="F329" s="309" t="s">
        <v>14034</v>
      </c>
      <c r="G329" s="236"/>
      <c r="H329" s="307" t="s">
        <v>1420</v>
      </c>
      <c r="I329" s="237"/>
      <c r="J329" s="237"/>
      <c r="K329" s="310" t="s">
        <v>8538</v>
      </c>
      <c r="L329" s="237"/>
      <c r="M329" s="237"/>
      <c r="N329" s="237"/>
      <c r="O329" s="237"/>
      <c r="P329" s="237"/>
      <c r="Q329" s="237"/>
      <c r="R329" s="237"/>
      <c r="S329" s="237"/>
      <c r="T329" s="237"/>
      <c r="U329" s="237"/>
      <c r="V329" s="237"/>
      <c r="W329" s="237"/>
      <c r="X329" s="237"/>
      <c r="Y329" s="237"/>
      <c r="Z329" s="237"/>
    </row>
    <row r="330">
      <c r="A330" s="305">
        <v>329.0</v>
      </c>
      <c r="B330" s="236"/>
      <c r="C330" s="307" t="s">
        <v>1420</v>
      </c>
      <c r="D330" s="308" t="s">
        <v>8555</v>
      </c>
      <c r="E330" s="305" t="s">
        <v>8556</v>
      </c>
      <c r="F330" s="309" t="s">
        <v>14035</v>
      </c>
      <c r="G330" s="236"/>
      <c r="H330" s="307" t="s">
        <v>1420</v>
      </c>
      <c r="I330" s="237"/>
      <c r="J330" s="237"/>
      <c r="K330" s="310" t="s">
        <v>8554</v>
      </c>
      <c r="L330" s="237"/>
      <c r="M330" s="237"/>
      <c r="N330" s="237"/>
      <c r="O330" s="237"/>
      <c r="P330" s="237"/>
      <c r="Q330" s="237"/>
      <c r="R330" s="237"/>
      <c r="S330" s="237"/>
      <c r="T330" s="237"/>
      <c r="U330" s="237"/>
      <c r="V330" s="237"/>
      <c r="W330" s="237"/>
      <c r="X330" s="237"/>
      <c r="Y330" s="237"/>
      <c r="Z330" s="237"/>
    </row>
    <row r="331">
      <c r="A331" s="305">
        <v>330.0</v>
      </c>
      <c r="B331" s="236"/>
      <c r="C331" s="307" t="s">
        <v>1420</v>
      </c>
      <c r="D331" s="308" t="s">
        <v>8547</v>
      </c>
      <c r="E331" s="305" t="s">
        <v>8548</v>
      </c>
      <c r="F331" s="309" t="s">
        <v>14036</v>
      </c>
      <c r="G331" s="236"/>
      <c r="H331" s="307" t="s">
        <v>1420</v>
      </c>
      <c r="I331" s="237"/>
      <c r="J331" s="237"/>
      <c r="K331" s="310" t="s">
        <v>8546</v>
      </c>
      <c r="L331" s="237"/>
      <c r="M331" s="237"/>
      <c r="N331" s="237"/>
      <c r="O331" s="237"/>
      <c r="P331" s="237"/>
      <c r="Q331" s="237"/>
      <c r="R331" s="237"/>
      <c r="S331" s="237"/>
      <c r="T331" s="237"/>
      <c r="U331" s="237"/>
      <c r="V331" s="237"/>
      <c r="W331" s="237"/>
      <c r="X331" s="237"/>
      <c r="Y331" s="237"/>
      <c r="Z331" s="237"/>
    </row>
    <row r="332">
      <c r="A332" s="305">
        <v>331.0</v>
      </c>
      <c r="B332" s="306" t="s">
        <v>5571</v>
      </c>
      <c r="C332" s="307" t="s">
        <v>1420</v>
      </c>
      <c r="D332" s="308" t="s">
        <v>5573</v>
      </c>
      <c r="E332" s="305" t="s">
        <v>5574</v>
      </c>
      <c r="F332" s="309" t="s">
        <v>5575</v>
      </c>
      <c r="G332" s="236"/>
      <c r="H332" s="307" t="s">
        <v>1420</v>
      </c>
      <c r="I332" s="237"/>
      <c r="J332" s="237"/>
      <c r="K332" s="310" t="s">
        <v>5572</v>
      </c>
      <c r="L332" s="237"/>
      <c r="M332" s="237"/>
      <c r="N332" s="237"/>
      <c r="O332" s="237"/>
      <c r="P332" s="237"/>
      <c r="Q332" s="237"/>
      <c r="R332" s="237"/>
      <c r="S332" s="237"/>
      <c r="T332" s="237"/>
      <c r="U332" s="237"/>
      <c r="V332" s="237"/>
      <c r="W332" s="237"/>
      <c r="X332" s="237"/>
      <c r="Y332" s="237"/>
      <c r="Z332" s="237"/>
    </row>
    <row r="333">
      <c r="A333" s="305">
        <v>332.0</v>
      </c>
      <c r="B333" s="306" t="s">
        <v>6567</v>
      </c>
      <c r="C333" s="307" t="s">
        <v>1420</v>
      </c>
      <c r="D333" s="308" t="s">
        <v>6569</v>
      </c>
      <c r="E333" s="305" t="s">
        <v>6570</v>
      </c>
      <c r="F333" s="309" t="s">
        <v>6571</v>
      </c>
      <c r="G333" s="236"/>
      <c r="H333" s="307" t="s">
        <v>1420</v>
      </c>
      <c r="I333" s="237"/>
      <c r="J333" s="237"/>
      <c r="K333" s="310" t="s">
        <v>6568</v>
      </c>
      <c r="L333" s="237"/>
      <c r="M333" s="237"/>
      <c r="N333" s="237"/>
      <c r="O333" s="237"/>
      <c r="P333" s="237"/>
      <c r="Q333" s="237"/>
      <c r="R333" s="237"/>
      <c r="S333" s="237"/>
      <c r="T333" s="237"/>
      <c r="U333" s="237"/>
      <c r="V333" s="237"/>
      <c r="W333" s="237"/>
      <c r="X333" s="237"/>
      <c r="Y333" s="237"/>
      <c r="Z333" s="237"/>
    </row>
    <row r="334">
      <c r="A334" s="305">
        <v>333.0</v>
      </c>
      <c r="B334" s="306" t="s">
        <v>5568</v>
      </c>
      <c r="C334" s="307" t="s">
        <v>1420</v>
      </c>
      <c r="D334" s="308" t="s">
        <v>5569</v>
      </c>
      <c r="E334" s="305" t="s">
        <v>5570</v>
      </c>
      <c r="F334" s="309" t="s">
        <v>5661</v>
      </c>
      <c r="G334" s="236"/>
      <c r="H334" s="307" t="s">
        <v>1420</v>
      </c>
      <c r="I334" s="237"/>
      <c r="J334" s="237"/>
      <c r="K334" s="310" t="s">
        <v>5660</v>
      </c>
      <c r="L334" s="237"/>
      <c r="M334" s="237"/>
      <c r="N334" s="237"/>
      <c r="O334" s="237"/>
      <c r="P334" s="237"/>
      <c r="Q334" s="237"/>
      <c r="R334" s="237"/>
      <c r="S334" s="237"/>
      <c r="T334" s="237"/>
      <c r="U334" s="237"/>
      <c r="V334" s="237"/>
      <c r="W334" s="237"/>
      <c r="X334" s="237"/>
      <c r="Y334" s="237"/>
      <c r="Z334" s="237"/>
    </row>
    <row r="335">
      <c r="A335" s="305">
        <v>334.0</v>
      </c>
      <c r="B335" s="306" t="s">
        <v>6747</v>
      </c>
      <c r="C335" s="307" t="s">
        <v>1420</v>
      </c>
      <c r="D335" s="308" t="s">
        <v>6749</v>
      </c>
      <c r="E335" s="305" t="s">
        <v>6750</v>
      </c>
      <c r="F335" s="309" t="s">
        <v>6751</v>
      </c>
      <c r="G335" s="236"/>
      <c r="H335" s="307" t="s">
        <v>1420</v>
      </c>
      <c r="I335" s="237"/>
      <c r="J335" s="237"/>
      <c r="K335" s="310" t="s">
        <v>6748</v>
      </c>
      <c r="L335" s="237"/>
      <c r="M335" s="237"/>
      <c r="N335" s="237"/>
      <c r="O335" s="237"/>
      <c r="P335" s="237"/>
      <c r="Q335" s="237"/>
      <c r="R335" s="237"/>
      <c r="S335" s="237"/>
      <c r="T335" s="237"/>
      <c r="U335" s="237"/>
      <c r="V335" s="237"/>
      <c r="W335" s="237"/>
      <c r="X335" s="237"/>
      <c r="Y335" s="237"/>
      <c r="Z335" s="237"/>
    </row>
    <row r="336">
      <c r="A336" s="305">
        <v>335.0</v>
      </c>
      <c r="B336" s="306" t="s">
        <v>5561</v>
      </c>
      <c r="C336" s="307" t="s">
        <v>1420</v>
      </c>
      <c r="D336" s="308" t="s">
        <v>5563</v>
      </c>
      <c r="E336" s="305" t="s">
        <v>5564</v>
      </c>
      <c r="F336" s="309" t="s">
        <v>6034</v>
      </c>
      <c r="G336" s="236"/>
      <c r="H336" s="307" t="s">
        <v>1420</v>
      </c>
      <c r="I336" s="237"/>
      <c r="J336" s="237"/>
      <c r="K336" s="310" t="s">
        <v>6033</v>
      </c>
      <c r="L336" s="237"/>
      <c r="M336" s="237"/>
      <c r="N336" s="237"/>
      <c r="O336" s="237"/>
      <c r="P336" s="237"/>
      <c r="Q336" s="237"/>
      <c r="R336" s="237"/>
      <c r="S336" s="237"/>
      <c r="T336" s="237"/>
      <c r="U336" s="237"/>
      <c r="V336" s="237"/>
      <c r="W336" s="237"/>
      <c r="X336" s="237"/>
      <c r="Y336" s="237"/>
      <c r="Z336" s="237"/>
    </row>
    <row r="337">
      <c r="A337" s="305">
        <v>336.0</v>
      </c>
      <c r="B337" s="306" t="s">
        <v>5901</v>
      </c>
      <c r="C337" s="307" t="s">
        <v>1420</v>
      </c>
      <c r="D337" s="308" t="s">
        <v>5903</v>
      </c>
      <c r="E337" s="305" t="s">
        <v>5441</v>
      </c>
      <c r="F337" s="309" t="s">
        <v>5904</v>
      </c>
      <c r="G337" s="236"/>
      <c r="H337" s="307" t="s">
        <v>1420</v>
      </c>
      <c r="I337" s="237"/>
      <c r="J337" s="237"/>
      <c r="K337" s="310" t="s">
        <v>5902</v>
      </c>
      <c r="L337" s="237"/>
      <c r="M337" s="237"/>
      <c r="N337" s="237"/>
      <c r="O337" s="237"/>
      <c r="P337" s="237"/>
      <c r="Q337" s="237"/>
      <c r="R337" s="237"/>
      <c r="S337" s="237"/>
      <c r="T337" s="237"/>
      <c r="U337" s="237"/>
      <c r="V337" s="237"/>
      <c r="W337" s="237"/>
      <c r="X337" s="237"/>
      <c r="Y337" s="237"/>
      <c r="Z337" s="237"/>
    </row>
    <row r="338">
      <c r="A338" s="305">
        <v>337.0</v>
      </c>
      <c r="B338" s="236"/>
      <c r="C338" s="307" t="s">
        <v>1420</v>
      </c>
      <c r="D338" s="308" t="s">
        <v>5903</v>
      </c>
      <c r="E338" s="305" t="s">
        <v>5567</v>
      </c>
      <c r="F338" s="236"/>
      <c r="G338" s="236"/>
      <c r="H338" s="307" t="s">
        <v>1420</v>
      </c>
      <c r="I338" s="237"/>
      <c r="J338" s="237"/>
      <c r="K338" s="310" t="s">
        <v>6035</v>
      </c>
      <c r="L338" s="237"/>
      <c r="M338" s="237"/>
      <c r="N338" s="237"/>
      <c r="O338" s="237"/>
      <c r="P338" s="237"/>
      <c r="Q338" s="237"/>
      <c r="R338" s="237"/>
      <c r="S338" s="237"/>
      <c r="T338" s="237"/>
      <c r="U338" s="237"/>
      <c r="V338" s="237"/>
      <c r="W338" s="237"/>
      <c r="X338" s="237"/>
      <c r="Y338" s="237"/>
      <c r="Z338" s="237"/>
    </row>
    <row r="339">
      <c r="A339" s="305">
        <v>338.0</v>
      </c>
      <c r="B339" s="306" t="s">
        <v>5901</v>
      </c>
      <c r="C339" s="307" t="s">
        <v>1420</v>
      </c>
      <c r="D339" s="308" t="s">
        <v>5903</v>
      </c>
      <c r="E339" s="305" t="s">
        <v>5567</v>
      </c>
      <c r="F339" s="309" t="s">
        <v>6037</v>
      </c>
      <c r="G339" s="236"/>
      <c r="H339" s="307" t="s">
        <v>1420</v>
      </c>
      <c r="I339" s="237"/>
      <c r="J339" s="237"/>
      <c r="K339" s="310" t="s">
        <v>6036</v>
      </c>
      <c r="L339" s="237"/>
      <c r="M339" s="237"/>
      <c r="N339" s="237"/>
      <c r="O339" s="237"/>
      <c r="P339" s="237"/>
      <c r="Q339" s="237"/>
      <c r="R339" s="237"/>
      <c r="S339" s="237"/>
      <c r="T339" s="237"/>
      <c r="U339" s="237"/>
      <c r="V339" s="237"/>
      <c r="W339" s="237"/>
      <c r="X339" s="237"/>
      <c r="Y339" s="237"/>
      <c r="Z339" s="237"/>
    </row>
    <row r="340">
      <c r="A340" s="305">
        <v>339.0</v>
      </c>
      <c r="B340" s="306" t="s">
        <v>6742</v>
      </c>
      <c r="C340" s="307" t="s">
        <v>1420</v>
      </c>
      <c r="D340" s="308" t="s">
        <v>6744</v>
      </c>
      <c r="E340" s="305" t="s">
        <v>6745</v>
      </c>
      <c r="F340" s="309" t="s">
        <v>6746</v>
      </c>
      <c r="G340" s="236"/>
      <c r="H340" s="307" t="s">
        <v>1420</v>
      </c>
      <c r="I340" s="237"/>
      <c r="J340" s="237"/>
      <c r="K340" s="310" t="s">
        <v>6743</v>
      </c>
      <c r="L340" s="237"/>
      <c r="M340" s="237"/>
      <c r="N340" s="237"/>
      <c r="O340" s="237"/>
      <c r="P340" s="237"/>
      <c r="Q340" s="237"/>
      <c r="R340" s="237"/>
      <c r="S340" s="237"/>
      <c r="T340" s="237"/>
      <c r="U340" s="237"/>
      <c r="V340" s="237"/>
      <c r="W340" s="237"/>
      <c r="X340" s="237"/>
      <c r="Y340" s="237"/>
      <c r="Z340" s="237"/>
    </row>
    <row r="341">
      <c r="A341" s="305">
        <v>340.0</v>
      </c>
      <c r="B341" s="306" t="s">
        <v>5015</v>
      </c>
      <c r="C341" s="307" t="s">
        <v>1420</v>
      </c>
      <c r="D341" s="308" t="s">
        <v>5017</v>
      </c>
      <c r="E341" s="305" t="s">
        <v>5018</v>
      </c>
      <c r="F341" s="309" t="s">
        <v>5019</v>
      </c>
      <c r="G341" s="236"/>
      <c r="H341" s="307" t="s">
        <v>1420</v>
      </c>
      <c r="I341" s="237"/>
      <c r="J341" s="237"/>
      <c r="K341" s="310" t="s">
        <v>5016</v>
      </c>
      <c r="L341" s="237"/>
      <c r="M341" s="237"/>
      <c r="N341" s="237"/>
      <c r="O341" s="237"/>
      <c r="P341" s="237"/>
      <c r="Q341" s="237"/>
      <c r="R341" s="237"/>
      <c r="S341" s="237"/>
      <c r="T341" s="237"/>
      <c r="U341" s="237"/>
      <c r="V341" s="237"/>
      <c r="W341" s="237"/>
      <c r="X341" s="237"/>
      <c r="Y341" s="237"/>
      <c r="Z341" s="237"/>
    </row>
    <row r="342">
      <c r="A342" s="305">
        <v>341.0</v>
      </c>
      <c r="B342" s="306" t="s">
        <v>5020</v>
      </c>
      <c r="C342" s="307" t="s">
        <v>1420</v>
      </c>
      <c r="D342" s="308" t="s">
        <v>5022</v>
      </c>
      <c r="E342" s="305" t="s">
        <v>5023</v>
      </c>
      <c r="F342" s="309" t="s">
        <v>5024</v>
      </c>
      <c r="G342" s="236"/>
      <c r="H342" s="307" t="s">
        <v>1420</v>
      </c>
      <c r="I342" s="237"/>
      <c r="J342" s="237"/>
      <c r="K342" s="310" t="s">
        <v>5021</v>
      </c>
      <c r="L342" s="237"/>
      <c r="M342" s="237"/>
      <c r="N342" s="237"/>
      <c r="O342" s="237"/>
      <c r="P342" s="237"/>
      <c r="Q342" s="237"/>
      <c r="R342" s="237"/>
      <c r="S342" s="237"/>
      <c r="T342" s="237"/>
      <c r="U342" s="237"/>
      <c r="V342" s="237"/>
      <c r="W342" s="237"/>
      <c r="X342" s="237"/>
      <c r="Y342" s="237"/>
      <c r="Z342" s="237"/>
    </row>
    <row r="343">
      <c r="A343" s="305">
        <v>342.0</v>
      </c>
      <c r="B343" s="306" t="s">
        <v>5006</v>
      </c>
      <c r="C343" s="307" t="s">
        <v>1420</v>
      </c>
      <c r="D343" s="308" t="s">
        <v>5008</v>
      </c>
      <c r="E343" s="305" t="s">
        <v>5009</v>
      </c>
      <c r="F343" s="309" t="s">
        <v>5010</v>
      </c>
      <c r="G343" s="236"/>
      <c r="H343" s="307" t="s">
        <v>1420</v>
      </c>
      <c r="I343" s="237"/>
      <c r="J343" s="237"/>
      <c r="K343" s="310" t="s">
        <v>5007</v>
      </c>
      <c r="L343" s="237"/>
      <c r="M343" s="237"/>
      <c r="N343" s="237"/>
      <c r="O343" s="237"/>
      <c r="P343" s="237"/>
      <c r="Q343" s="237"/>
      <c r="R343" s="237"/>
      <c r="S343" s="237"/>
      <c r="T343" s="237"/>
      <c r="U343" s="237"/>
      <c r="V343" s="237"/>
      <c r="W343" s="237"/>
      <c r="X343" s="237"/>
      <c r="Y343" s="237"/>
      <c r="Z343" s="237"/>
    </row>
    <row r="344">
      <c r="A344" s="305">
        <v>343.0</v>
      </c>
      <c r="B344" s="306" t="s">
        <v>5011</v>
      </c>
      <c r="C344" s="307" t="s">
        <v>1420</v>
      </c>
      <c r="D344" s="308" t="s">
        <v>5013</v>
      </c>
      <c r="E344" s="305" t="s">
        <v>4731</v>
      </c>
      <c r="F344" s="309" t="s">
        <v>5014</v>
      </c>
      <c r="G344" s="236"/>
      <c r="H344" s="307" t="s">
        <v>1420</v>
      </c>
      <c r="I344" s="237"/>
      <c r="J344" s="237"/>
      <c r="K344" s="310" t="s">
        <v>5012</v>
      </c>
      <c r="L344" s="237"/>
      <c r="M344" s="237"/>
      <c r="N344" s="237"/>
      <c r="O344" s="237"/>
      <c r="P344" s="237"/>
      <c r="Q344" s="237"/>
      <c r="R344" s="237"/>
      <c r="S344" s="237"/>
      <c r="T344" s="237"/>
      <c r="U344" s="237"/>
      <c r="V344" s="237"/>
      <c r="W344" s="237"/>
      <c r="X344" s="237"/>
      <c r="Y344" s="237"/>
      <c r="Z344" s="237"/>
    </row>
    <row r="345">
      <c r="A345" s="305">
        <v>344.0</v>
      </c>
      <c r="B345" s="306" t="s">
        <v>3500</v>
      </c>
      <c r="C345" s="307" t="s">
        <v>1420</v>
      </c>
      <c r="D345" s="308" t="s">
        <v>3502</v>
      </c>
      <c r="E345" s="305" t="s">
        <v>3503</v>
      </c>
      <c r="F345" s="309" t="s">
        <v>4735</v>
      </c>
      <c r="G345" s="236"/>
      <c r="H345" s="307" t="s">
        <v>1420</v>
      </c>
      <c r="I345" s="237"/>
      <c r="J345" s="237"/>
      <c r="K345" s="310" t="s">
        <v>4734</v>
      </c>
      <c r="L345" s="237"/>
      <c r="M345" s="237"/>
      <c r="N345" s="237"/>
      <c r="O345" s="237"/>
      <c r="P345" s="237"/>
      <c r="Q345" s="237"/>
      <c r="R345" s="237"/>
      <c r="S345" s="237"/>
      <c r="T345" s="237"/>
      <c r="U345" s="237"/>
      <c r="V345" s="237"/>
      <c r="W345" s="237"/>
      <c r="X345" s="237"/>
      <c r="Y345" s="237"/>
      <c r="Z345" s="237"/>
    </row>
    <row r="346">
      <c r="A346" s="305">
        <v>345.0</v>
      </c>
      <c r="B346" s="306" t="s">
        <v>3494</v>
      </c>
      <c r="C346" s="307" t="s">
        <v>1420</v>
      </c>
      <c r="D346" s="308" t="s">
        <v>3497</v>
      </c>
      <c r="E346" s="305" t="s">
        <v>3498</v>
      </c>
      <c r="F346" s="309" t="s">
        <v>4739</v>
      </c>
      <c r="G346" s="236"/>
      <c r="H346" s="307" t="s">
        <v>1420</v>
      </c>
      <c r="I346" s="237"/>
      <c r="J346" s="237"/>
      <c r="K346" s="310" t="s">
        <v>4738</v>
      </c>
      <c r="L346" s="237"/>
      <c r="M346" s="237"/>
      <c r="N346" s="237"/>
      <c r="O346" s="237"/>
      <c r="P346" s="237"/>
      <c r="Q346" s="237"/>
      <c r="R346" s="237"/>
      <c r="S346" s="237"/>
      <c r="T346" s="237"/>
      <c r="U346" s="237"/>
      <c r="V346" s="237"/>
      <c r="W346" s="237"/>
      <c r="X346" s="237"/>
      <c r="Y346" s="237"/>
      <c r="Z346" s="237"/>
    </row>
    <row r="347">
      <c r="A347" s="305">
        <v>346.0</v>
      </c>
      <c r="B347" s="306" t="s">
        <v>3505</v>
      </c>
      <c r="C347" s="307" t="s">
        <v>1420</v>
      </c>
      <c r="D347" s="308" t="s">
        <v>3507</v>
      </c>
      <c r="E347" s="305" t="s">
        <v>3508</v>
      </c>
      <c r="F347" s="309" t="s">
        <v>4737</v>
      </c>
      <c r="G347" s="236"/>
      <c r="H347" s="307" t="s">
        <v>1420</v>
      </c>
      <c r="I347" s="237"/>
      <c r="J347" s="237"/>
      <c r="K347" s="310" t="s">
        <v>4736</v>
      </c>
      <c r="L347" s="237"/>
      <c r="M347" s="237"/>
      <c r="N347" s="237"/>
      <c r="O347" s="237"/>
      <c r="P347" s="237"/>
      <c r="Q347" s="237"/>
      <c r="R347" s="237"/>
      <c r="S347" s="237"/>
      <c r="T347" s="237"/>
      <c r="U347" s="237"/>
      <c r="V347" s="237"/>
      <c r="W347" s="237"/>
      <c r="X347" s="237"/>
      <c r="Y347" s="237"/>
      <c r="Z347" s="237"/>
    </row>
    <row r="348">
      <c r="A348" s="305">
        <v>347.0</v>
      </c>
      <c r="B348" s="306" t="s">
        <v>3623</v>
      </c>
      <c r="C348" s="307" t="s">
        <v>1420</v>
      </c>
      <c r="D348" s="308" t="s">
        <v>3625</v>
      </c>
      <c r="E348" s="305" t="s">
        <v>3626</v>
      </c>
      <c r="F348" s="309" t="s">
        <v>5026</v>
      </c>
      <c r="G348" s="236"/>
      <c r="H348" s="307" t="s">
        <v>1420</v>
      </c>
      <c r="I348" s="237"/>
      <c r="J348" s="237"/>
      <c r="K348" s="310" t="s">
        <v>5025</v>
      </c>
      <c r="L348" s="237"/>
      <c r="M348" s="237"/>
      <c r="N348" s="237"/>
      <c r="O348" s="237"/>
      <c r="P348" s="237"/>
      <c r="Q348" s="237"/>
      <c r="R348" s="237"/>
      <c r="S348" s="237"/>
      <c r="T348" s="237"/>
      <c r="U348" s="237"/>
      <c r="V348" s="237"/>
      <c r="W348" s="237"/>
      <c r="X348" s="237"/>
      <c r="Y348" s="237"/>
      <c r="Z348" s="237"/>
    </row>
    <row r="349">
      <c r="A349" s="305">
        <v>348.0</v>
      </c>
      <c r="B349" s="236"/>
      <c r="C349" s="307" t="s">
        <v>1420</v>
      </c>
      <c r="D349" s="308" t="s">
        <v>8575</v>
      </c>
      <c r="E349" s="305" t="s">
        <v>8576</v>
      </c>
      <c r="F349" s="309" t="s">
        <v>8577</v>
      </c>
      <c r="G349" s="236"/>
      <c r="H349" s="307" t="s">
        <v>1420</v>
      </c>
      <c r="I349" s="237"/>
      <c r="J349" s="237"/>
      <c r="K349" s="310" t="s">
        <v>8574</v>
      </c>
      <c r="L349" s="237"/>
      <c r="M349" s="237"/>
      <c r="N349" s="237"/>
      <c r="O349" s="237"/>
      <c r="P349" s="237"/>
      <c r="Q349" s="237"/>
      <c r="R349" s="237"/>
      <c r="S349" s="237"/>
      <c r="T349" s="237"/>
      <c r="U349" s="237"/>
      <c r="V349" s="237"/>
      <c r="W349" s="237"/>
      <c r="X349" s="237"/>
      <c r="Y349" s="237"/>
      <c r="Z349" s="237"/>
    </row>
    <row r="350">
      <c r="A350" s="305">
        <v>349.0</v>
      </c>
      <c r="B350" s="236"/>
      <c r="C350" s="307" t="s">
        <v>1420</v>
      </c>
      <c r="D350" s="308" t="s">
        <v>8579</v>
      </c>
      <c r="E350" s="305" t="s">
        <v>8580</v>
      </c>
      <c r="F350" s="236"/>
      <c r="G350" s="236"/>
      <c r="H350" s="307" t="s">
        <v>1420</v>
      </c>
      <c r="I350" s="237"/>
      <c r="J350" s="237"/>
      <c r="K350" s="310" t="s">
        <v>8578</v>
      </c>
      <c r="L350" s="237"/>
      <c r="M350" s="237"/>
      <c r="N350" s="237"/>
      <c r="O350" s="237"/>
      <c r="P350" s="237"/>
      <c r="Q350" s="237"/>
      <c r="R350" s="237"/>
      <c r="S350" s="237"/>
      <c r="T350" s="237"/>
      <c r="U350" s="237"/>
      <c r="V350" s="237"/>
      <c r="W350" s="237"/>
      <c r="X350" s="237"/>
      <c r="Y350" s="237"/>
      <c r="Z350" s="237"/>
    </row>
    <row r="351">
      <c r="A351" s="305">
        <v>350.0</v>
      </c>
      <c r="B351" s="236"/>
      <c r="C351" s="307" t="s">
        <v>1420</v>
      </c>
      <c r="D351" s="308" t="s">
        <v>8559</v>
      </c>
      <c r="E351" s="305" t="s">
        <v>8560</v>
      </c>
      <c r="F351" s="309" t="s">
        <v>14037</v>
      </c>
      <c r="G351" s="236"/>
      <c r="H351" s="307" t="s">
        <v>1420</v>
      </c>
      <c r="I351" s="237"/>
      <c r="J351" s="237"/>
      <c r="K351" s="310" t="s">
        <v>8558</v>
      </c>
      <c r="L351" s="237"/>
      <c r="M351" s="237"/>
      <c r="N351" s="237"/>
      <c r="O351" s="237"/>
      <c r="P351" s="237"/>
      <c r="Q351" s="237"/>
      <c r="R351" s="237"/>
      <c r="S351" s="237"/>
      <c r="T351" s="237"/>
      <c r="U351" s="237"/>
      <c r="V351" s="237"/>
      <c r="W351" s="237"/>
      <c r="X351" s="237"/>
      <c r="Y351" s="237"/>
      <c r="Z351" s="237"/>
    </row>
    <row r="352">
      <c r="A352" s="305">
        <v>351.0</v>
      </c>
      <c r="B352" s="236"/>
      <c r="C352" s="307" t="s">
        <v>1420</v>
      </c>
      <c r="D352" s="308" t="s">
        <v>8571</v>
      </c>
      <c r="E352" s="305" t="s">
        <v>8572</v>
      </c>
      <c r="F352" s="309" t="s">
        <v>14038</v>
      </c>
      <c r="G352" s="236"/>
      <c r="H352" s="307" t="s">
        <v>1420</v>
      </c>
      <c r="I352" s="237"/>
      <c r="J352" s="237"/>
      <c r="K352" s="310" t="s">
        <v>8570</v>
      </c>
      <c r="L352" s="237"/>
      <c r="M352" s="237"/>
      <c r="N352" s="237"/>
      <c r="O352" s="237"/>
      <c r="P352" s="237"/>
      <c r="Q352" s="237"/>
      <c r="R352" s="237"/>
      <c r="S352" s="237"/>
      <c r="T352" s="237"/>
      <c r="U352" s="237"/>
      <c r="V352" s="237"/>
      <c r="W352" s="237"/>
      <c r="X352" s="237"/>
      <c r="Y352" s="237"/>
      <c r="Z352" s="237"/>
    </row>
    <row r="353">
      <c r="A353" s="305">
        <v>352.0</v>
      </c>
      <c r="B353" s="236"/>
      <c r="C353" s="307" t="s">
        <v>1420</v>
      </c>
      <c r="D353" s="308" t="s">
        <v>8567</v>
      </c>
      <c r="E353" s="305" t="s">
        <v>8568</v>
      </c>
      <c r="F353" s="309" t="s">
        <v>14039</v>
      </c>
      <c r="G353" s="236"/>
      <c r="H353" s="307" t="s">
        <v>1420</v>
      </c>
      <c r="I353" s="237"/>
      <c r="J353" s="237"/>
      <c r="K353" s="310" t="s">
        <v>8566</v>
      </c>
      <c r="L353" s="237"/>
      <c r="M353" s="237"/>
      <c r="N353" s="237"/>
      <c r="O353" s="237"/>
      <c r="P353" s="237"/>
      <c r="Q353" s="237"/>
      <c r="R353" s="237"/>
      <c r="S353" s="237"/>
      <c r="T353" s="237"/>
      <c r="U353" s="237"/>
      <c r="V353" s="237"/>
      <c r="W353" s="237"/>
      <c r="X353" s="237"/>
      <c r="Y353" s="237"/>
      <c r="Z353" s="237"/>
    </row>
    <row r="354">
      <c r="A354" s="305">
        <v>353.0</v>
      </c>
      <c r="B354" s="236"/>
      <c r="C354" s="307" t="s">
        <v>1420</v>
      </c>
      <c r="D354" s="308" t="s">
        <v>8563</v>
      </c>
      <c r="E354" s="305" t="s">
        <v>8564</v>
      </c>
      <c r="F354" s="309" t="s">
        <v>14040</v>
      </c>
      <c r="G354" s="236"/>
      <c r="H354" s="307" t="s">
        <v>1420</v>
      </c>
      <c r="I354" s="237"/>
      <c r="J354" s="237"/>
      <c r="K354" s="310" t="s">
        <v>8562</v>
      </c>
      <c r="L354" s="237"/>
      <c r="M354" s="237"/>
      <c r="N354" s="237"/>
      <c r="O354" s="237"/>
      <c r="P354" s="237"/>
      <c r="Q354" s="237"/>
      <c r="R354" s="237"/>
      <c r="S354" s="237"/>
      <c r="T354" s="237"/>
      <c r="U354" s="237"/>
      <c r="V354" s="237"/>
      <c r="W354" s="237"/>
      <c r="X354" s="237"/>
      <c r="Y354" s="237"/>
      <c r="Z354" s="237"/>
    </row>
    <row r="355">
      <c r="A355" s="305">
        <v>354.0</v>
      </c>
      <c r="B355" s="236"/>
      <c r="C355" s="307" t="s">
        <v>1420</v>
      </c>
      <c r="D355" s="308" t="s">
        <v>12350</v>
      </c>
      <c r="E355" s="305" t="s">
        <v>12351</v>
      </c>
      <c r="F355" s="309" t="s">
        <v>12352</v>
      </c>
      <c r="G355" s="236"/>
      <c r="H355" s="307" t="s">
        <v>1420</v>
      </c>
      <c r="I355" s="237"/>
      <c r="J355" s="237"/>
      <c r="K355" s="310" t="s">
        <v>12348</v>
      </c>
      <c r="L355" s="237"/>
      <c r="M355" s="237"/>
      <c r="N355" s="237"/>
      <c r="O355" s="237"/>
      <c r="P355" s="237"/>
      <c r="Q355" s="237"/>
      <c r="R355" s="237"/>
      <c r="S355" s="237"/>
      <c r="T355" s="237"/>
      <c r="U355" s="237"/>
      <c r="V355" s="237"/>
      <c r="W355" s="237"/>
      <c r="X355" s="237"/>
      <c r="Y355" s="237"/>
      <c r="Z355" s="237"/>
    </row>
    <row r="356">
      <c r="A356" s="305">
        <v>355.0</v>
      </c>
      <c r="B356" s="236"/>
      <c r="C356" s="307" t="s">
        <v>1420</v>
      </c>
      <c r="D356" s="308" t="s">
        <v>11667</v>
      </c>
      <c r="E356" s="305" t="s">
        <v>7591</v>
      </c>
      <c r="F356" s="309" t="s">
        <v>14041</v>
      </c>
      <c r="G356" s="236"/>
      <c r="H356" s="307" t="s">
        <v>1420</v>
      </c>
      <c r="I356" s="237"/>
      <c r="J356" s="237"/>
      <c r="K356" s="310" t="s">
        <v>11642</v>
      </c>
      <c r="L356" s="237"/>
      <c r="M356" s="237"/>
      <c r="N356" s="237"/>
      <c r="O356" s="237"/>
      <c r="P356" s="237"/>
      <c r="Q356" s="237"/>
      <c r="R356" s="237"/>
      <c r="S356" s="237"/>
      <c r="T356" s="237"/>
      <c r="U356" s="237"/>
      <c r="V356" s="237"/>
      <c r="W356" s="237"/>
      <c r="X356" s="237"/>
      <c r="Y356" s="237"/>
      <c r="Z356" s="237"/>
    </row>
    <row r="357">
      <c r="A357" s="305">
        <v>356.0</v>
      </c>
      <c r="B357" s="236"/>
      <c r="C357" s="307" t="s">
        <v>1420</v>
      </c>
      <c r="D357" s="308" t="s">
        <v>11667</v>
      </c>
      <c r="E357" s="305" t="s">
        <v>7591</v>
      </c>
      <c r="F357" s="309" t="s">
        <v>11645</v>
      </c>
      <c r="G357" s="236"/>
      <c r="H357" s="307" t="s">
        <v>1420</v>
      </c>
      <c r="I357" s="237"/>
      <c r="J357" s="237"/>
      <c r="K357" s="310" t="s">
        <v>11642</v>
      </c>
      <c r="L357" s="237"/>
      <c r="M357" s="237"/>
      <c r="N357" s="237"/>
      <c r="O357" s="237"/>
      <c r="P357" s="237"/>
      <c r="Q357" s="237"/>
      <c r="R357" s="237"/>
      <c r="S357" s="237"/>
      <c r="T357" s="237"/>
      <c r="U357" s="237"/>
      <c r="V357" s="237"/>
      <c r="W357" s="237"/>
      <c r="X357" s="237"/>
      <c r="Y357" s="237"/>
      <c r="Z357" s="237"/>
    </row>
    <row r="358">
      <c r="A358" s="305">
        <v>357.0</v>
      </c>
      <c r="B358" s="236"/>
      <c r="C358" s="307" t="s">
        <v>1420</v>
      </c>
      <c r="D358" s="308" t="s">
        <v>12435</v>
      </c>
      <c r="E358" s="305" t="s">
        <v>12436</v>
      </c>
      <c r="F358" s="309" t="s">
        <v>12437</v>
      </c>
      <c r="G358" s="236"/>
      <c r="H358" s="307" t="s">
        <v>1420</v>
      </c>
      <c r="I358" s="237"/>
      <c r="J358" s="237"/>
      <c r="K358" s="310" t="s">
        <v>12434</v>
      </c>
      <c r="L358" s="237"/>
      <c r="M358" s="237"/>
      <c r="N358" s="237"/>
      <c r="O358" s="237"/>
      <c r="P358" s="237"/>
      <c r="Q358" s="237"/>
      <c r="R358" s="237"/>
      <c r="S358" s="237"/>
      <c r="T358" s="237"/>
      <c r="U358" s="237"/>
      <c r="V358" s="237"/>
      <c r="W358" s="237"/>
      <c r="X358" s="237"/>
      <c r="Y358" s="237"/>
      <c r="Z358" s="237"/>
    </row>
    <row r="359">
      <c r="A359" s="305">
        <v>358.0</v>
      </c>
      <c r="B359" s="236"/>
      <c r="C359" s="307" t="s">
        <v>1420</v>
      </c>
      <c r="D359" s="308" t="s">
        <v>5087</v>
      </c>
      <c r="E359" s="305" t="s">
        <v>5088</v>
      </c>
      <c r="F359" s="309" t="s">
        <v>5089</v>
      </c>
      <c r="G359" s="236"/>
      <c r="H359" s="307" t="s">
        <v>1420</v>
      </c>
      <c r="I359" s="237"/>
      <c r="J359" s="237"/>
      <c r="K359" s="310" t="s">
        <v>5086</v>
      </c>
      <c r="L359" s="237"/>
      <c r="M359" s="237"/>
      <c r="N359" s="237"/>
      <c r="O359" s="237"/>
      <c r="P359" s="237"/>
      <c r="Q359" s="237"/>
      <c r="R359" s="237"/>
      <c r="S359" s="237"/>
      <c r="T359" s="237"/>
      <c r="U359" s="237"/>
      <c r="V359" s="237"/>
      <c r="W359" s="237"/>
      <c r="X359" s="237"/>
      <c r="Y359" s="237"/>
      <c r="Z359" s="237"/>
    </row>
    <row r="360">
      <c r="A360" s="305">
        <v>359.0</v>
      </c>
      <c r="B360" s="306" t="s">
        <v>4407</v>
      </c>
      <c r="C360" s="307" t="s">
        <v>1420</v>
      </c>
      <c r="D360" s="308" t="s">
        <v>2298</v>
      </c>
      <c r="E360" s="305" t="s">
        <v>4409</v>
      </c>
      <c r="F360" s="309" t="s">
        <v>4410</v>
      </c>
      <c r="G360" s="236"/>
      <c r="H360" s="307" t="s">
        <v>1420</v>
      </c>
      <c r="I360" s="237"/>
      <c r="J360" s="237"/>
      <c r="K360" s="310" t="s">
        <v>4408</v>
      </c>
      <c r="L360" s="237"/>
      <c r="M360" s="237"/>
      <c r="N360" s="237"/>
      <c r="O360" s="237"/>
      <c r="P360" s="237"/>
      <c r="Q360" s="237"/>
      <c r="R360" s="237"/>
      <c r="S360" s="237"/>
      <c r="T360" s="237"/>
      <c r="U360" s="237"/>
      <c r="V360" s="237"/>
      <c r="W360" s="237"/>
      <c r="X360" s="237"/>
      <c r="Y360" s="237"/>
      <c r="Z360" s="237"/>
    </row>
    <row r="361">
      <c r="A361" s="305">
        <v>360.0</v>
      </c>
      <c r="B361" s="306">
        <v>5.0010077E7</v>
      </c>
      <c r="C361" s="307" t="s">
        <v>1420</v>
      </c>
      <c r="D361" s="308" t="s">
        <v>2224</v>
      </c>
      <c r="E361" s="305" t="s">
        <v>5060</v>
      </c>
      <c r="F361" s="309" t="s">
        <v>5061</v>
      </c>
      <c r="G361" s="236"/>
      <c r="H361" s="307" t="s">
        <v>1420</v>
      </c>
      <c r="I361" s="237"/>
      <c r="J361" s="237"/>
      <c r="K361" s="310" t="s">
        <v>5059</v>
      </c>
      <c r="L361" s="237"/>
      <c r="M361" s="237"/>
      <c r="N361" s="237"/>
      <c r="O361" s="237"/>
      <c r="P361" s="237"/>
      <c r="Q361" s="237"/>
      <c r="R361" s="237"/>
      <c r="S361" s="237"/>
      <c r="T361" s="237"/>
      <c r="U361" s="237"/>
      <c r="V361" s="237"/>
      <c r="W361" s="237"/>
      <c r="X361" s="237"/>
      <c r="Y361" s="237"/>
      <c r="Z361" s="237"/>
    </row>
    <row r="362">
      <c r="A362" s="305">
        <v>361.0</v>
      </c>
      <c r="B362" s="306">
        <v>5.0010069E7</v>
      </c>
      <c r="C362" s="307" t="s">
        <v>1420</v>
      </c>
      <c r="D362" s="308" t="s">
        <v>2225</v>
      </c>
      <c r="E362" s="305" t="s">
        <v>5081</v>
      </c>
      <c r="F362" s="309" t="s">
        <v>5082</v>
      </c>
      <c r="G362" s="236"/>
      <c r="H362" s="307" t="s">
        <v>1420</v>
      </c>
      <c r="I362" s="237"/>
      <c r="J362" s="237"/>
      <c r="K362" s="310" t="s">
        <v>5080</v>
      </c>
      <c r="L362" s="237"/>
      <c r="M362" s="237"/>
      <c r="N362" s="237"/>
      <c r="O362" s="237"/>
      <c r="P362" s="237"/>
      <c r="Q362" s="237"/>
      <c r="R362" s="237"/>
      <c r="S362" s="237"/>
      <c r="T362" s="237"/>
      <c r="U362" s="237"/>
      <c r="V362" s="237"/>
      <c r="W362" s="237"/>
      <c r="X362" s="237"/>
      <c r="Y362" s="237"/>
      <c r="Z362" s="237"/>
    </row>
    <row r="363">
      <c r="A363" s="305">
        <v>362.0</v>
      </c>
      <c r="B363" s="306">
        <v>5.0010086E7</v>
      </c>
      <c r="C363" s="307" t="s">
        <v>1420</v>
      </c>
      <c r="D363" s="308" t="s">
        <v>2226</v>
      </c>
      <c r="E363" s="305" t="s">
        <v>5077</v>
      </c>
      <c r="F363" s="309" t="s">
        <v>5078</v>
      </c>
      <c r="G363" s="236"/>
      <c r="H363" s="307" t="s">
        <v>1420</v>
      </c>
      <c r="I363" s="237"/>
      <c r="J363" s="237"/>
      <c r="K363" s="310" t="s">
        <v>5076</v>
      </c>
      <c r="L363" s="237"/>
      <c r="M363" s="237"/>
      <c r="N363" s="237"/>
      <c r="O363" s="237"/>
      <c r="P363" s="237"/>
      <c r="Q363" s="237"/>
      <c r="R363" s="237"/>
      <c r="S363" s="237"/>
      <c r="T363" s="237"/>
      <c r="U363" s="237"/>
      <c r="V363" s="237"/>
      <c r="W363" s="237"/>
      <c r="X363" s="237"/>
      <c r="Y363" s="237"/>
      <c r="Z363" s="237"/>
    </row>
    <row r="364">
      <c r="A364" s="305">
        <v>363.0</v>
      </c>
      <c r="B364" s="306">
        <v>5.0010083E7</v>
      </c>
      <c r="C364" s="307" t="s">
        <v>1420</v>
      </c>
      <c r="D364" s="308" t="s">
        <v>2227</v>
      </c>
      <c r="E364" s="305" t="s">
        <v>5069</v>
      </c>
      <c r="F364" s="309" t="s">
        <v>5070</v>
      </c>
      <c r="G364" s="236"/>
      <c r="H364" s="307" t="s">
        <v>1420</v>
      </c>
      <c r="I364" s="237"/>
      <c r="J364" s="237"/>
      <c r="K364" s="310" t="s">
        <v>5068</v>
      </c>
      <c r="L364" s="237"/>
      <c r="M364" s="237"/>
      <c r="N364" s="237"/>
      <c r="O364" s="237"/>
      <c r="P364" s="237"/>
      <c r="Q364" s="237"/>
      <c r="R364" s="237"/>
      <c r="S364" s="237"/>
      <c r="T364" s="237"/>
      <c r="U364" s="237"/>
      <c r="V364" s="237"/>
      <c r="W364" s="237"/>
      <c r="X364" s="237"/>
      <c r="Y364" s="237"/>
      <c r="Z364" s="237"/>
    </row>
    <row r="365">
      <c r="A365" s="305">
        <v>364.0</v>
      </c>
      <c r="B365" s="306">
        <v>5.0010087E7</v>
      </c>
      <c r="C365" s="307" t="s">
        <v>1420</v>
      </c>
      <c r="D365" s="308" t="s">
        <v>2228</v>
      </c>
      <c r="E365" s="305" t="s">
        <v>5073</v>
      </c>
      <c r="F365" s="309" t="s">
        <v>5074</v>
      </c>
      <c r="G365" s="236"/>
      <c r="H365" s="307" t="s">
        <v>1420</v>
      </c>
      <c r="I365" s="237"/>
      <c r="J365" s="237"/>
      <c r="K365" s="310" t="s">
        <v>5072</v>
      </c>
      <c r="L365" s="237"/>
      <c r="M365" s="237"/>
      <c r="N365" s="237"/>
      <c r="O365" s="237"/>
      <c r="P365" s="237"/>
      <c r="Q365" s="237"/>
      <c r="R365" s="237"/>
      <c r="S365" s="237"/>
      <c r="T365" s="237"/>
      <c r="U365" s="237"/>
      <c r="V365" s="237"/>
      <c r="W365" s="237"/>
      <c r="X365" s="237"/>
      <c r="Y365" s="237"/>
      <c r="Z365" s="237"/>
    </row>
    <row r="366">
      <c r="A366" s="305">
        <v>365.0</v>
      </c>
      <c r="B366" s="306" t="s">
        <v>5062</v>
      </c>
      <c r="C366" s="307" t="s">
        <v>1420</v>
      </c>
      <c r="D366" s="308" t="s">
        <v>5064</v>
      </c>
      <c r="E366" s="305" t="s">
        <v>5065</v>
      </c>
      <c r="F366" s="309" t="s">
        <v>5066</v>
      </c>
      <c r="G366" s="236"/>
      <c r="H366" s="307" t="s">
        <v>1420</v>
      </c>
      <c r="I366" s="237"/>
      <c r="J366" s="237"/>
      <c r="K366" s="310" t="s">
        <v>5063</v>
      </c>
      <c r="L366" s="237"/>
      <c r="M366" s="237"/>
      <c r="N366" s="237"/>
      <c r="O366" s="237"/>
      <c r="P366" s="237"/>
      <c r="Q366" s="237"/>
      <c r="R366" s="237"/>
      <c r="S366" s="237"/>
      <c r="T366" s="237"/>
      <c r="U366" s="237"/>
      <c r="V366" s="237"/>
      <c r="W366" s="237"/>
      <c r="X366" s="237"/>
      <c r="Y366" s="237"/>
      <c r="Z366" s="237"/>
    </row>
    <row r="367">
      <c r="A367" s="305">
        <v>366.0</v>
      </c>
      <c r="B367" s="236"/>
      <c r="C367" s="307" t="s">
        <v>1420</v>
      </c>
      <c r="D367" s="308" t="s">
        <v>1840</v>
      </c>
      <c r="E367" s="305" t="s">
        <v>13747</v>
      </c>
      <c r="F367" s="236"/>
      <c r="G367" s="236"/>
      <c r="H367" s="307" t="s">
        <v>1420</v>
      </c>
      <c r="I367" s="237"/>
      <c r="J367" s="237"/>
      <c r="K367" s="310" t="s">
        <v>13746</v>
      </c>
      <c r="L367" s="237"/>
      <c r="M367" s="237"/>
      <c r="N367" s="237"/>
      <c r="O367" s="237"/>
      <c r="P367" s="237"/>
      <c r="Q367" s="237"/>
      <c r="R367" s="237"/>
      <c r="S367" s="237"/>
      <c r="T367" s="237"/>
      <c r="U367" s="237"/>
      <c r="V367" s="237"/>
      <c r="W367" s="237"/>
      <c r="X367" s="237"/>
      <c r="Y367" s="237"/>
      <c r="Z367" s="237"/>
    </row>
    <row r="368">
      <c r="A368" s="305">
        <v>367.0</v>
      </c>
      <c r="B368" s="236"/>
      <c r="C368" s="307" t="s">
        <v>1420</v>
      </c>
      <c r="D368" s="308" t="s">
        <v>1841</v>
      </c>
      <c r="E368" s="305" t="s">
        <v>13749</v>
      </c>
      <c r="F368" s="236"/>
      <c r="G368" s="236"/>
      <c r="H368" s="307" t="s">
        <v>1420</v>
      </c>
      <c r="I368" s="237"/>
      <c r="J368" s="237"/>
      <c r="K368" s="310" t="s">
        <v>13748</v>
      </c>
      <c r="L368" s="237"/>
      <c r="M368" s="237"/>
      <c r="N368" s="237"/>
      <c r="O368" s="237"/>
      <c r="P368" s="237"/>
      <c r="Q368" s="237"/>
      <c r="R368" s="237"/>
      <c r="S368" s="237"/>
      <c r="T368" s="237"/>
      <c r="U368" s="237"/>
      <c r="V368" s="237"/>
      <c r="W368" s="237"/>
      <c r="X368" s="237"/>
      <c r="Y368" s="237"/>
      <c r="Z368" s="237"/>
    </row>
    <row r="369">
      <c r="A369" s="305">
        <v>368.0</v>
      </c>
      <c r="B369" s="236"/>
      <c r="C369" s="307" t="s">
        <v>1420</v>
      </c>
      <c r="D369" s="308" t="s">
        <v>1842</v>
      </c>
      <c r="E369" s="305" t="s">
        <v>13751</v>
      </c>
      <c r="F369" s="236"/>
      <c r="G369" s="236"/>
      <c r="H369" s="307" t="s">
        <v>1420</v>
      </c>
      <c r="I369" s="237"/>
      <c r="J369" s="237"/>
      <c r="K369" s="310" t="s">
        <v>13750</v>
      </c>
      <c r="L369" s="237"/>
      <c r="M369" s="237"/>
      <c r="N369" s="237"/>
      <c r="O369" s="237"/>
      <c r="P369" s="237"/>
      <c r="Q369" s="237"/>
      <c r="R369" s="237"/>
      <c r="S369" s="237"/>
      <c r="T369" s="237"/>
      <c r="U369" s="237"/>
      <c r="V369" s="237"/>
      <c r="W369" s="237"/>
      <c r="X369" s="237"/>
      <c r="Y369" s="237"/>
      <c r="Z369" s="237"/>
    </row>
    <row r="370">
      <c r="A370" s="305">
        <v>369.0</v>
      </c>
      <c r="B370" s="236"/>
      <c r="C370" s="307" t="s">
        <v>1420</v>
      </c>
      <c r="D370" s="308" t="s">
        <v>1843</v>
      </c>
      <c r="E370" s="305" t="s">
        <v>13753</v>
      </c>
      <c r="F370" s="236"/>
      <c r="G370" s="236"/>
      <c r="H370" s="307" t="s">
        <v>1420</v>
      </c>
      <c r="I370" s="237"/>
      <c r="J370" s="237"/>
      <c r="K370" s="310" t="s">
        <v>13752</v>
      </c>
      <c r="L370" s="237"/>
      <c r="M370" s="237"/>
      <c r="N370" s="237"/>
      <c r="O370" s="237"/>
      <c r="P370" s="237"/>
      <c r="Q370" s="237"/>
      <c r="R370" s="237"/>
      <c r="S370" s="237"/>
      <c r="T370" s="237"/>
      <c r="U370" s="237"/>
      <c r="V370" s="237"/>
      <c r="W370" s="237"/>
      <c r="X370" s="237"/>
      <c r="Y370" s="237"/>
      <c r="Z370" s="237"/>
    </row>
    <row r="371">
      <c r="A371" s="305">
        <v>370.0</v>
      </c>
      <c r="B371" s="236"/>
      <c r="C371" s="307" t="s">
        <v>1420</v>
      </c>
      <c r="D371" s="308" t="s">
        <v>1844</v>
      </c>
      <c r="E371" s="305" t="s">
        <v>13755</v>
      </c>
      <c r="F371" s="236"/>
      <c r="G371" s="236"/>
      <c r="H371" s="307" t="s">
        <v>1420</v>
      </c>
      <c r="I371" s="237"/>
      <c r="J371" s="237"/>
      <c r="K371" s="310" t="s">
        <v>13754</v>
      </c>
      <c r="L371" s="237"/>
      <c r="M371" s="237"/>
      <c r="N371" s="237"/>
      <c r="O371" s="237"/>
      <c r="P371" s="237"/>
      <c r="Q371" s="237"/>
      <c r="R371" s="237"/>
      <c r="S371" s="237"/>
      <c r="T371" s="237"/>
      <c r="U371" s="237"/>
      <c r="V371" s="237"/>
      <c r="W371" s="237"/>
      <c r="X371" s="237"/>
      <c r="Y371" s="237"/>
      <c r="Z371" s="237"/>
    </row>
    <row r="372">
      <c r="A372" s="305">
        <v>371.0</v>
      </c>
      <c r="B372" s="236"/>
      <c r="C372" s="307" t="s">
        <v>1420</v>
      </c>
      <c r="D372" s="308" t="s">
        <v>1845</v>
      </c>
      <c r="E372" s="305" t="s">
        <v>13757</v>
      </c>
      <c r="F372" s="236"/>
      <c r="G372" s="236"/>
      <c r="H372" s="307" t="s">
        <v>1420</v>
      </c>
      <c r="I372" s="237"/>
      <c r="J372" s="237"/>
      <c r="K372" s="310" t="s">
        <v>13756</v>
      </c>
      <c r="L372" s="237"/>
      <c r="M372" s="237"/>
      <c r="N372" s="237"/>
      <c r="O372" s="237"/>
      <c r="P372" s="237"/>
      <c r="Q372" s="237"/>
      <c r="R372" s="237"/>
      <c r="S372" s="237"/>
      <c r="T372" s="237"/>
      <c r="U372" s="237"/>
      <c r="V372" s="237"/>
      <c r="W372" s="237"/>
      <c r="X372" s="237"/>
      <c r="Y372" s="237"/>
      <c r="Z372" s="237"/>
    </row>
    <row r="373">
      <c r="A373" s="305">
        <v>372.0</v>
      </c>
      <c r="B373" s="236"/>
      <c r="C373" s="307" t="s">
        <v>13452</v>
      </c>
      <c r="D373" s="308" t="s">
        <v>12413</v>
      </c>
      <c r="E373" s="305" t="s">
        <v>12414</v>
      </c>
      <c r="F373" s="236"/>
      <c r="G373" s="307" t="s">
        <v>14042</v>
      </c>
      <c r="H373" s="307" t="s">
        <v>13452</v>
      </c>
      <c r="I373" s="237"/>
      <c r="J373" s="237"/>
      <c r="K373" s="310" t="s">
        <v>12411</v>
      </c>
      <c r="L373" s="237"/>
      <c r="M373" s="237"/>
      <c r="N373" s="237"/>
      <c r="O373" s="237"/>
      <c r="P373" s="237"/>
      <c r="Q373" s="237"/>
      <c r="R373" s="237"/>
      <c r="S373" s="237"/>
      <c r="T373" s="237"/>
      <c r="U373" s="237"/>
      <c r="V373" s="237"/>
      <c r="W373" s="237"/>
      <c r="X373" s="237"/>
      <c r="Y373" s="237"/>
      <c r="Z373" s="237"/>
    </row>
    <row r="374">
      <c r="A374" s="305">
        <v>373.0</v>
      </c>
      <c r="B374" s="306" t="s">
        <v>2038</v>
      </c>
      <c r="C374" s="307" t="s">
        <v>1366</v>
      </c>
      <c r="D374" s="308" t="s">
        <v>14043</v>
      </c>
      <c r="E374" s="236"/>
      <c r="F374" s="236"/>
      <c r="G374" s="236"/>
      <c r="H374" s="307" t="s">
        <v>1366</v>
      </c>
      <c r="I374" s="237"/>
      <c r="J374" s="237"/>
      <c r="K374" s="310" t="s">
        <v>14044</v>
      </c>
      <c r="L374" s="237"/>
      <c r="M374" s="237"/>
      <c r="N374" s="237"/>
      <c r="O374" s="237"/>
      <c r="P374" s="237"/>
      <c r="Q374" s="237"/>
      <c r="R374" s="237"/>
      <c r="S374" s="237"/>
      <c r="T374" s="237"/>
      <c r="U374" s="237"/>
      <c r="V374" s="237"/>
      <c r="W374" s="237"/>
      <c r="X374" s="237"/>
      <c r="Y374" s="237"/>
      <c r="Z374" s="237"/>
    </row>
    <row r="375">
      <c r="A375" s="305">
        <v>374.0</v>
      </c>
      <c r="B375" s="236"/>
      <c r="C375" s="307" t="s">
        <v>1427</v>
      </c>
      <c r="D375" s="308" t="s">
        <v>12026</v>
      </c>
      <c r="E375" s="305" t="s">
        <v>12027</v>
      </c>
      <c r="F375" s="236"/>
      <c r="G375" s="236"/>
      <c r="H375" s="307" t="s">
        <v>1427</v>
      </c>
      <c r="I375" s="237"/>
      <c r="J375" s="237"/>
      <c r="K375" s="310" t="s">
        <v>12025</v>
      </c>
      <c r="L375" s="237"/>
      <c r="M375" s="237"/>
      <c r="N375" s="237"/>
      <c r="O375" s="237"/>
      <c r="P375" s="237"/>
      <c r="Q375" s="237"/>
      <c r="R375" s="237"/>
      <c r="S375" s="237"/>
      <c r="T375" s="237"/>
      <c r="U375" s="237"/>
      <c r="V375" s="237"/>
      <c r="W375" s="237"/>
      <c r="X375" s="237"/>
      <c r="Y375" s="237"/>
      <c r="Z375" s="237"/>
    </row>
    <row r="376">
      <c r="A376" s="305">
        <v>375.0</v>
      </c>
      <c r="B376" s="236"/>
      <c r="C376" s="307" t="s">
        <v>1420</v>
      </c>
      <c r="D376" s="308" t="s">
        <v>12355</v>
      </c>
      <c r="E376" s="305" t="s">
        <v>12356</v>
      </c>
      <c r="F376" s="309" t="s">
        <v>12357</v>
      </c>
      <c r="G376" s="236"/>
      <c r="H376" s="307" t="s">
        <v>1420</v>
      </c>
      <c r="I376" s="237"/>
      <c r="J376" s="237"/>
      <c r="K376" s="310" t="s">
        <v>12353</v>
      </c>
      <c r="L376" s="237"/>
      <c r="M376" s="237"/>
      <c r="N376" s="237"/>
      <c r="O376" s="237"/>
      <c r="P376" s="237"/>
      <c r="Q376" s="237"/>
      <c r="R376" s="237"/>
      <c r="S376" s="237"/>
      <c r="T376" s="237"/>
      <c r="U376" s="237"/>
      <c r="V376" s="237"/>
      <c r="W376" s="237"/>
      <c r="X376" s="237"/>
      <c r="Y376" s="237"/>
      <c r="Z376" s="237"/>
    </row>
    <row r="377">
      <c r="A377" s="305">
        <v>376.0</v>
      </c>
      <c r="B377" s="236"/>
      <c r="C377" s="307" t="s">
        <v>1427</v>
      </c>
      <c r="D377" s="308" t="s">
        <v>12029</v>
      </c>
      <c r="E377" s="305" t="s">
        <v>12030</v>
      </c>
      <c r="F377" s="236"/>
      <c r="G377" s="236"/>
      <c r="H377" s="307" t="s">
        <v>1427</v>
      </c>
      <c r="I377" s="237"/>
      <c r="J377" s="237"/>
      <c r="K377" s="310" t="s">
        <v>12028</v>
      </c>
      <c r="L377" s="237"/>
      <c r="M377" s="237"/>
      <c r="N377" s="237"/>
      <c r="O377" s="237"/>
      <c r="P377" s="237"/>
      <c r="Q377" s="237"/>
      <c r="R377" s="237"/>
      <c r="S377" s="237"/>
      <c r="T377" s="237"/>
      <c r="U377" s="237"/>
      <c r="V377" s="237"/>
      <c r="W377" s="237"/>
      <c r="X377" s="237"/>
      <c r="Y377" s="237"/>
      <c r="Z377" s="237"/>
    </row>
    <row r="378">
      <c r="A378" s="305">
        <v>377.0</v>
      </c>
      <c r="B378" s="236"/>
      <c r="C378" s="307" t="s">
        <v>1420</v>
      </c>
      <c r="D378" s="308" t="s">
        <v>9135</v>
      </c>
      <c r="E378" s="305" t="s">
        <v>9136</v>
      </c>
      <c r="F378" s="309" t="s">
        <v>9137</v>
      </c>
      <c r="G378" s="236"/>
      <c r="H378" s="307" t="s">
        <v>1420</v>
      </c>
      <c r="I378" s="237"/>
      <c r="J378" s="237"/>
      <c r="K378" s="310" t="s">
        <v>9134</v>
      </c>
      <c r="L378" s="237"/>
      <c r="M378" s="237"/>
      <c r="N378" s="237"/>
      <c r="O378" s="237"/>
      <c r="P378" s="237"/>
      <c r="Q378" s="237"/>
      <c r="R378" s="237"/>
      <c r="S378" s="237"/>
      <c r="T378" s="237"/>
      <c r="U378" s="237"/>
      <c r="V378" s="237"/>
      <c r="W378" s="237"/>
      <c r="X378" s="237"/>
      <c r="Y378" s="237"/>
      <c r="Z378" s="237"/>
    </row>
    <row r="379">
      <c r="A379" s="305">
        <v>378.0</v>
      </c>
      <c r="B379" s="236"/>
      <c r="C379" s="307" t="s">
        <v>1420</v>
      </c>
      <c r="D379" s="308" t="s">
        <v>1416</v>
      </c>
      <c r="E379" s="305" t="s">
        <v>12900</v>
      </c>
      <c r="F379" s="309" t="s">
        <v>14045</v>
      </c>
      <c r="G379" s="236"/>
      <c r="H379" s="307" t="s">
        <v>1420</v>
      </c>
      <c r="I379" s="237"/>
      <c r="J379" s="237"/>
      <c r="K379" s="310" t="s">
        <v>12899</v>
      </c>
      <c r="L379" s="237"/>
      <c r="M379" s="237"/>
      <c r="N379" s="237"/>
      <c r="O379" s="237"/>
      <c r="P379" s="237"/>
      <c r="Q379" s="237"/>
      <c r="R379" s="237"/>
      <c r="S379" s="237"/>
      <c r="T379" s="237"/>
      <c r="U379" s="237"/>
      <c r="V379" s="237"/>
      <c r="W379" s="237"/>
      <c r="X379" s="237"/>
      <c r="Y379" s="237"/>
      <c r="Z379" s="237"/>
    </row>
    <row r="380">
      <c r="A380" s="305">
        <v>379.0</v>
      </c>
      <c r="B380" s="236"/>
      <c r="C380" s="307" t="s">
        <v>1420</v>
      </c>
      <c r="D380" s="308" t="s">
        <v>1415</v>
      </c>
      <c r="E380" s="305" t="s">
        <v>12900</v>
      </c>
      <c r="F380" s="309" t="s">
        <v>14045</v>
      </c>
      <c r="G380" s="236"/>
      <c r="H380" s="307" t="s">
        <v>1420</v>
      </c>
      <c r="I380" s="237"/>
      <c r="J380" s="237"/>
      <c r="K380" s="310" t="s">
        <v>12899</v>
      </c>
      <c r="L380" s="237"/>
      <c r="M380" s="237"/>
      <c r="N380" s="237"/>
      <c r="O380" s="237"/>
      <c r="P380" s="237"/>
      <c r="Q380" s="237"/>
      <c r="R380" s="237"/>
      <c r="S380" s="237"/>
      <c r="T380" s="237"/>
      <c r="U380" s="237"/>
      <c r="V380" s="237"/>
      <c r="W380" s="237"/>
      <c r="X380" s="237"/>
      <c r="Y380" s="237"/>
      <c r="Z380" s="237"/>
    </row>
    <row r="381">
      <c r="A381" s="305">
        <v>380.0</v>
      </c>
      <c r="B381" s="236"/>
      <c r="C381" s="307" t="s">
        <v>1420</v>
      </c>
      <c r="D381" s="308" t="s">
        <v>1414</v>
      </c>
      <c r="E381" s="305" t="s">
        <v>12896</v>
      </c>
      <c r="F381" s="309" t="s">
        <v>14046</v>
      </c>
      <c r="G381" s="236"/>
      <c r="H381" s="307" t="s">
        <v>1420</v>
      </c>
      <c r="I381" s="237"/>
      <c r="J381" s="237"/>
      <c r="K381" s="310" t="s">
        <v>12895</v>
      </c>
      <c r="L381" s="237"/>
      <c r="M381" s="237"/>
      <c r="N381" s="237"/>
      <c r="O381" s="237"/>
      <c r="P381" s="237"/>
      <c r="Q381" s="237"/>
      <c r="R381" s="237"/>
      <c r="S381" s="237"/>
      <c r="T381" s="237"/>
      <c r="U381" s="237"/>
      <c r="V381" s="237"/>
      <c r="W381" s="237"/>
      <c r="X381" s="237"/>
      <c r="Y381" s="237"/>
      <c r="Z381" s="237"/>
    </row>
    <row r="382">
      <c r="A382" s="305">
        <v>381.0</v>
      </c>
      <c r="B382" s="236"/>
      <c r="C382" s="307" t="s">
        <v>1420</v>
      </c>
      <c r="D382" s="308" t="s">
        <v>1413</v>
      </c>
      <c r="E382" s="305" t="s">
        <v>12896</v>
      </c>
      <c r="F382" s="309" t="s">
        <v>14046</v>
      </c>
      <c r="G382" s="236"/>
      <c r="H382" s="307" t="s">
        <v>1420</v>
      </c>
      <c r="I382" s="237"/>
      <c r="J382" s="237"/>
      <c r="K382" s="310" t="s">
        <v>12895</v>
      </c>
      <c r="L382" s="237"/>
      <c r="M382" s="237"/>
      <c r="N382" s="237"/>
      <c r="O382" s="237"/>
      <c r="P382" s="237"/>
      <c r="Q382" s="237"/>
      <c r="R382" s="237"/>
      <c r="S382" s="237"/>
      <c r="T382" s="237"/>
      <c r="U382" s="237"/>
      <c r="V382" s="237"/>
      <c r="W382" s="237"/>
      <c r="X382" s="237"/>
      <c r="Y382" s="237"/>
      <c r="Z382" s="237"/>
    </row>
    <row r="383">
      <c r="A383" s="305">
        <v>382.0</v>
      </c>
      <c r="B383" s="236"/>
      <c r="C383" s="307" t="s">
        <v>1420</v>
      </c>
      <c r="D383" s="308" t="s">
        <v>1497</v>
      </c>
      <c r="E383" s="236"/>
      <c r="F383" s="309" t="s">
        <v>14047</v>
      </c>
      <c r="G383" s="236"/>
      <c r="H383" s="307" t="s">
        <v>1420</v>
      </c>
      <c r="I383" s="237"/>
      <c r="J383" s="237"/>
      <c r="K383" s="310" t="s">
        <v>13071</v>
      </c>
      <c r="L383" s="237"/>
      <c r="M383" s="237"/>
      <c r="N383" s="237"/>
      <c r="O383" s="237"/>
      <c r="P383" s="237"/>
      <c r="Q383" s="237"/>
      <c r="R383" s="237"/>
      <c r="S383" s="237"/>
      <c r="T383" s="237"/>
      <c r="U383" s="237"/>
      <c r="V383" s="237"/>
      <c r="W383" s="237"/>
      <c r="X383" s="237"/>
      <c r="Y383" s="237"/>
      <c r="Z383" s="237"/>
    </row>
    <row r="384">
      <c r="A384" s="305">
        <v>383.0</v>
      </c>
      <c r="B384" s="236"/>
      <c r="C384" s="307" t="s">
        <v>1420</v>
      </c>
      <c r="D384" s="308" t="s">
        <v>9131</v>
      </c>
      <c r="E384" s="305" t="s">
        <v>9132</v>
      </c>
      <c r="F384" s="309" t="s">
        <v>9133</v>
      </c>
      <c r="G384" s="236"/>
      <c r="H384" s="307" t="s">
        <v>1420</v>
      </c>
      <c r="I384" s="237"/>
      <c r="J384" s="237"/>
      <c r="K384" s="310" t="s">
        <v>9130</v>
      </c>
      <c r="L384" s="237"/>
      <c r="M384" s="237"/>
      <c r="N384" s="237"/>
      <c r="O384" s="237"/>
      <c r="P384" s="237"/>
      <c r="Q384" s="237"/>
      <c r="R384" s="237"/>
      <c r="S384" s="237"/>
      <c r="T384" s="237"/>
      <c r="U384" s="237"/>
      <c r="V384" s="237"/>
      <c r="W384" s="237"/>
      <c r="X384" s="237"/>
      <c r="Y384" s="237"/>
      <c r="Z384" s="237"/>
    </row>
    <row r="385">
      <c r="A385" s="305">
        <v>384.0</v>
      </c>
      <c r="B385" s="236"/>
      <c r="C385" s="307" t="s">
        <v>1420</v>
      </c>
      <c r="D385" s="308" t="s">
        <v>9218</v>
      </c>
      <c r="E385" s="305" t="s">
        <v>9219</v>
      </c>
      <c r="F385" s="236"/>
      <c r="G385" s="236"/>
      <c r="H385" s="307" t="s">
        <v>1420</v>
      </c>
      <c r="I385" s="237"/>
      <c r="J385" s="237"/>
      <c r="K385" s="310" t="s">
        <v>9217</v>
      </c>
      <c r="L385" s="237"/>
      <c r="M385" s="237"/>
      <c r="N385" s="237"/>
      <c r="O385" s="237"/>
      <c r="P385" s="237"/>
      <c r="Q385" s="237"/>
      <c r="R385" s="237"/>
      <c r="S385" s="237"/>
      <c r="T385" s="237"/>
      <c r="U385" s="237"/>
      <c r="V385" s="237"/>
      <c r="W385" s="237"/>
      <c r="X385" s="237"/>
      <c r="Y385" s="237"/>
      <c r="Z385" s="237"/>
    </row>
    <row r="386">
      <c r="A386" s="305">
        <v>385.0</v>
      </c>
      <c r="B386" s="236"/>
      <c r="C386" s="307" t="s">
        <v>1420</v>
      </c>
      <c r="D386" s="308" t="s">
        <v>9123</v>
      </c>
      <c r="E386" s="305" t="s">
        <v>9124</v>
      </c>
      <c r="F386" s="309" t="s">
        <v>9125</v>
      </c>
      <c r="G386" s="236"/>
      <c r="H386" s="307" t="s">
        <v>1420</v>
      </c>
      <c r="I386" s="237"/>
      <c r="J386" s="237"/>
      <c r="K386" s="310" t="s">
        <v>9122</v>
      </c>
      <c r="L386" s="237"/>
      <c r="M386" s="237"/>
      <c r="N386" s="237"/>
      <c r="O386" s="237"/>
      <c r="P386" s="237"/>
      <c r="Q386" s="237"/>
      <c r="R386" s="237"/>
      <c r="S386" s="237"/>
      <c r="T386" s="237"/>
      <c r="U386" s="237"/>
      <c r="V386" s="237"/>
      <c r="W386" s="237"/>
      <c r="X386" s="237"/>
      <c r="Y386" s="237"/>
      <c r="Z386" s="237"/>
    </row>
    <row r="387">
      <c r="A387" s="305">
        <v>386.0</v>
      </c>
      <c r="B387" s="236"/>
      <c r="C387" s="307" t="s">
        <v>1420</v>
      </c>
      <c r="D387" s="308" t="s">
        <v>9127</v>
      </c>
      <c r="E387" s="305" t="s">
        <v>9128</v>
      </c>
      <c r="F387" s="309" t="s">
        <v>9129</v>
      </c>
      <c r="G387" s="236"/>
      <c r="H387" s="307" t="s">
        <v>1420</v>
      </c>
      <c r="I387" s="237"/>
      <c r="J387" s="237"/>
      <c r="K387" s="310" t="s">
        <v>9126</v>
      </c>
      <c r="L387" s="237"/>
      <c r="M387" s="237"/>
      <c r="N387" s="237"/>
      <c r="O387" s="237"/>
      <c r="P387" s="237"/>
      <c r="Q387" s="237"/>
      <c r="R387" s="237"/>
      <c r="S387" s="237"/>
      <c r="T387" s="237"/>
      <c r="U387" s="237"/>
      <c r="V387" s="237"/>
      <c r="W387" s="237"/>
      <c r="X387" s="237"/>
      <c r="Y387" s="237"/>
      <c r="Z387" s="237"/>
    </row>
    <row r="388">
      <c r="A388" s="305">
        <v>387.0</v>
      </c>
      <c r="B388" s="236"/>
      <c r="C388" s="307" t="s">
        <v>1420</v>
      </c>
      <c r="D388" s="308" t="s">
        <v>1507</v>
      </c>
      <c r="E388" s="236"/>
      <c r="F388" s="309" t="s">
        <v>14048</v>
      </c>
      <c r="G388" s="236"/>
      <c r="H388" s="307" t="s">
        <v>1420</v>
      </c>
      <c r="I388" s="237"/>
      <c r="J388" s="237"/>
      <c r="K388" s="310" t="s">
        <v>13088</v>
      </c>
      <c r="L388" s="237"/>
      <c r="M388" s="237"/>
      <c r="N388" s="237"/>
      <c r="O388" s="237"/>
      <c r="P388" s="237"/>
      <c r="Q388" s="237"/>
      <c r="R388" s="237"/>
      <c r="S388" s="237"/>
      <c r="T388" s="237"/>
      <c r="U388" s="237"/>
      <c r="V388" s="237"/>
      <c r="W388" s="237"/>
      <c r="X388" s="237"/>
      <c r="Y388" s="237"/>
      <c r="Z388" s="237"/>
    </row>
    <row r="389">
      <c r="A389" s="305">
        <v>388.0</v>
      </c>
      <c r="B389" s="236"/>
      <c r="C389" s="307" t="s">
        <v>1420</v>
      </c>
      <c r="D389" s="308" t="s">
        <v>1496</v>
      </c>
      <c r="E389" s="305" t="s">
        <v>13069</v>
      </c>
      <c r="F389" s="309" t="s">
        <v>14049</v>
      </c>
      <c r="G389" s="236"/>
      <c r="H389" s="307" t="s">
        <v>1420</v>
      </c>
      <c r="I389" s="237"/>
      <c r="J389" s="237"/>
      <c r="K389" s="310" t="s">
        <v>13068</v>
      </c>
      <c r="L389" s="237"/>
      <c r="M389" s="237"/>
      <c r="N389" s="237"/>
      <c r="O389" s="237"/>
      <c r="P389" s="237"/>
      <c r="Q389" s="237"/>
      <c r="R389" s="237"/>
      <c r="S389" s="237"/>
      <c r="T389" s="237"/>
      <c r="U389" s="237"/>
      <c r="V389" s="237"/>
      <c r="W389" s="237"/>
      <c r="X389" s="237"/>
      <c r="Y389" s="237"/>
      <c r="Z389" s="237"/>
    </row>
    <row r="390">
      <c r="A390" s="305">
        <v>389.0</v>
      </c>
      <c r="B390" s="236"/>
      <c r="C390" s="307" t="s">
        <v>1420</v>
      </c>
      <c r="D390" s="308" t="s">
        <v>1498</v>
      </c>
      <c r="E390" s="236"/>
      <c r="F390" s="309" t="s">
        <v>14050</v>
      </c>
      <c r="G390" s="236"/>
      <c r="H390" s="307" t="s">
        <v>1420</v>
      </c>
      <c r="I390" s="237"/>
      <c r="J390" s="237"/>
      <c r="K390" s="310" t="s">
        <v>13073</v>
      </c>
      <c r="L390" s="237"/>
      <c r="M390" s="237"/>
      <c r="N390" s="237"/>
      <c r="O390" s="237"/>
      <c r="P390" s="237"/>
      <c r="Q390" s="237"/>
      <c r="R390" s="237"/>
      <c r="S390" s="237"/>
      <c r="T390" s="237"/>
      <c r="U390" s="237"/>
      <c r="V390" s="237"/>
      <c r="W390" s="237"/>
      <c r="X390" s="237"/>
      <c r="Y390" s="237"/>
      <c r="Z390" s="237"/>
    </row>
    <row r="391">
      <c r="A391" s="305">
        <v>390.0</v>
      </c>
      <c r="B391" s="236"/>
      <c r="C391" s="307" t="s">
        <v>1420</v>
      </c>
      <c r="D391" s="308" t="s">
        <v>1494</v>
      </c>
      <c r="E391" s="305" t="s">
        <v>13063</v>
      </c>
      <c r="F391" s="309" t="s">
        <v>14051</v>
      </c>
      <c r="G391" s="236"/>
      <c r="H391" s="307" t="s">
        <v>1420</v>
      </c>
      <c r="I391" s="237"/>
      <c r="J391" s="237"/>
      <c r="K391" s="310" t="s">
        <v>13062</v>
      </c>
      <c r="L391" s="237"/>
      <c r="M391" s="237"/>
      <c r="N391" s="237"/>
      <c r="O391" s="237"/>
      <c r="P391" s="237"/>
      <c r="Q391" s="237"/>
      <c r="R391" s="237"/>
      <c r="S391" s="237"/>
      <c r="T391" s="237"/>
      <c r="U391" s="237"/>
      <c r="V391" s="237"/>
      <c r="W391" s="237"/>
      <c r="X391" s="237"/>
      <c r="Y391" s="237"/>
      <c r="Z391" s="237"/>
    </row>
    <row r="392">
      <c r="A392" s="305">
        <v>391.0</v>
      </c>
      <c r="B392" s="236"/>
      <c r="C392" s="307" t="s">
        <v>1420</v>
      </c>
      <c r="D392" s="308" t="s">
        <v>1506</v>
      </c>
      <c r="E392" s="236"/>
      <c r="F392" s="309" t="s">
        <v>14052</v>
      </c>
      <c r="G392" s="236"/>
      <c r="H392" s="307" t="s">
        <v>1420</v>
      </c>
      <c r="I392" s="237"/>
      <c r="J392" s="237"/>
      <c r="K392" s="310" t="s">
        <v>13086</v>
      </c>
      <c r="L392" s="237"/>
      <c r="M392" s="237"/>
      <c r="N392" s="237"/>
      <c r="O392" s="237"/>
      <c r="P392" s="237"/>
      <c r="Q392" s="237"/>
      <c r="R392" s="237"/>
      <c r="S392" s="237"/>
      <c r="T392" s="237"/>
      <c r="U392" s="237"/>
      <c r="V392" s="237"/>
      <c r="W392" s="237"/>
      <c r="X392" s="237"/>
      <c r="Y392" s="237"/>
      <c r="Z392" s="237"/>
    </row>
    <row r="393">
      <c r="A393" s="305">
        <v>392.0</v>
      </c>
      <c r="B393" s="236"/>
      <c r="C393" s="307" t="s">
        <v>1420</v>
      </c>
      <c r="D393" s="308" t="s">
        <v>1504</v>
      </c>
      <c r="E393" s="236"/>
      <c r="F393" s="309" t="s">
        <v>14053</v>
      </c>
      <c r="G393" s="236"/>
      <c r="H393" s="307" t="s">
        <v>1420</v>
      </c>
      <c r="I393" s="237"/>
      <c r="J393" s="237"/>
      <c r="K393" s="310" t="s">
        <v>13082</v>
      </c>
      <c r="L393" s="237"/>
      <c r="M393" s="237"/>
      <c r="N393" s="237"/>
      <c r="O393" s="237"/>
      <c r="P393" s="237"/>
      <c r="Q393" s="237"/>
      <c r="R393" s="237"/>
      <c r="S393" s="237"/>
      <c r="T393" s="237"/>
      <c r="U393" s="237"/>
      <c r="V393" s="237"/>
      <c r="W393" s="237"/>
      <c r="X393" s="237"/>
      <c r="Y393" s="237"/>
      <c r="Z393" s="237"/>
    </row>
    <row r="394">
      <c r="A394" s="305">
        <v>393.0</v>
      </c>
      <c r="B394" s="236"/>
      <c r="C394" s="307" t="s">
        <v>1420</v>
      </c>
      <c r="D394" s="308" t="s">
        <v>1503</v>
      </c>
      <c r="E394" s="236"/>
      <c r="F394" s="309" t="s">
        <v>14054</v>
      </c>
      <c r="G394" s="236"/>
      <c r="H394" s="307" t="s">
        <v>1420</v>
      </c>
      <c r="I394" s="237"/>
      <c r="J394" s="237"/>
      <c r="K394" s="310" t="s">
        <v>13079</v>
      </c>
      <c r="L394" s="237"/>
      <c r="M394" s="237"/>
      <c r="N394" s="237"/>
      <c r="O394" s="237"/>
      <c r="P394" s="237"/>
      <c r="Q394" s="237"/>
      <c r="R394" s="237"/>
      <c r="S394" s="237"/>
      <c r="T394" s="237"/>
      <c r="U394" s="237"/>
      <c r="V394" s="237"/>
      <c r="W394" s="237"/>
      <c r="X394" s="237"/>
      <c r="Y394" s="237"/>
      <c r="Z394" s="237"/>
    </row>
    <row r="395">
      <c r="A395" s="305">
        <v>394.0</v>
      </c>
      <c r="B395" s="236"/>
      <c r="C395" s="307" t="s">
        <v>1420</v>
      </c>
      <c r="D395" s="308" t="s">
        <v>1505</v>
      </c>
      <c r="E395" s="236"/>
      <c r="F395" s="309" t="s">
        <v>14055</v>
      </c>
      <c r="G395" s="236"/>
      <c r="H395" s="307" t="s">
        <v>1420</v>
      </c>
      <c r="I395" s="237"/>
      <c r="J395" s="237"/>
      <c r="K395" s="310" t="s">
        <v>13084</v>
      </c>
      <c r="L395" s="237"/>
      <c r="M395" s="237"/>
      <c r="N395" s="237"/>
      <c r="O395" s="237"/>
      <c r="P395" s="237"/>
      <c r="Q395" s="237"/>
      <c r="R395" s="237"/>
      <c r="S395" s="237"/>
      <c r="T395" s="237"/>
      <c r="U395" s="237"/>
      <c r="V395" s="237"/>
      <c r="W395" s="237"/>
      <c r="X395" s="237"/>
      <c r="Y395" s="237"/>
      <c r="Z395" s="237"/>
    </row>
    <row r="396">
      <c r="A396" s="305">
        <v>395.0</v>
      </c>
      <c r="B396" s="236"/>
      <c r="C396" s="307" t="s">
        <v>1420</v>
      </c>
      <c r="D396" s="308" t="s">
        <v>1499</v>
      </c>
      <c r="E396" s="236"/>
      <c r="F396" s="309" t="s">
        <v>14056</v>
      </c>
      <c r="G396" s="236"/>
      <c r="H396" s="307" t="s">
        <v>1420</v>
      </c>
      <c r="I396" s="237"/>
      <c r="J396" s="237"/>
      <c r="K396" s="310" t="s">
        <v>13597</v>
      </c>
      <c r="L396" s="237"/>
      <c r="M396" s="237"/>
      <c r="N396" s="237"/>
      <c r="O396" s="237"/>
      <c r="P396" s="237"/>
      <c r="Q396" s="237"/>
      <c r="R396" s="237"/>
      <c r="S396" s="237"/>
      <c r="T396" s="237"/>
      <c r="U396" s="237"/>
      <c r="V396" s="237"/>
      <c r="W396" s="237"/>
      <c r="X396" s="237"/>
      <c r="Y396" s="237"/>
      <c r="Z396" s="237"/>
    </row>
    <row r="397">
      <c r="A397" s="305">
        <v>396.0</v>
      </c>
      <c r="B397" s="236"/>
      <c r="C397" s="307" t="s">
        <v>1420</v>
      </c>
      <c r="D397" s="308" t="s">
        <v>1509</v>
      </c>
      <c r="E397" s="236"/>
      <c r="F397" s="309" t="s">
        <v>14057</v>
      </c>
      <c r="G397" s="236"/>
      <c r="H397" s="307" t="s">
        <v>1420</v>
      </c>
      <c r="I397" s="237"/>
      <c r="J397" s="237"/>
      <c r="K397" s="310" t="s">
        <v>13599</v>
      </c>
      <c r="L397" s="237"/>
      <c r="M397" s="237"/>
      <c r="N397" s="237"/>
      <c r="O397" s="237"/>
      <c r="P397" s="237"/>
      <c r="Q397" s="237"/>
      <c r="R397" s="237"/>
      <c r="S397" s="237"/>
      <c r="T397" s="237"/>
      <c r="U397" s="237"/>
      <c r="V397" s="237"/>
      <c r="W397" s="237"/>
      <c r="X397" s="237"/>
      <c r="Y397" s="237"/>
      <c r="Z397" s="237"/>
    </row>
    <row r="398">
      <c r="A398" s="305">
        <v>397.0</v>
      </c>
      <c r="B398" s="236"/>
      <c r="C398" s="307" t="s">
        <v>1420</v>
      </c>
      <c r="D398" s="308" t="s">
        <v>1500</v>
      </c>
      <c r="E398" s="305" t="s">
        <v>9147</v>
      </c>
      <c r="F398" s="309" t="s">
        <v>9148</v>
      </c>
      <c r="G398" s="236"/>
      <c r="H398" s="307" t="s">
        <v>1420</v>
      </c>
      <c r="I398" s="237"/>
      <c r="J398" s="237"/>
      <c r="K398" s="310" t="s">
        <v>9146</v>
      </c>
      <c r="L398" s="237"/>
      <c r="M398" s="237"/>
      <c r="N398" s="237"/>
      <c r="O398" s="237"/>
      <c r="P398" s="237"/>
      <c r="Q398" s="237"/>
      <c r="R398" s="237"/>
      <c r="S398" s="237"/>
      <c r="T398" s="237"/>
      <c r="U398" s="237"/>
      <c r="V398" s="237"/>
      <c r="W398" s="237"/>
      <c r="X398" s="237"/>
      <c r="Y398" s="237"/>
      <c r="Z398" s="237"/>
    </row>
    <row r="399">
      <c r="A399" s="305">
        <v>398.0</v>
      </c>
      <c r="B399" s="236"/>
      <c r="C399" s="307" t="s">
        <v>1420</v>
      </c>
      <c r="D399" s="308" t="s">
        <v>1508</v>
      </c>
      <c r="E399" s="305" t="s">
        <v>9150</v>
      </c>
      <c r="F399" s="309" t="s">
        <v>9151</v>
      </c>
      <c r="G399" s="236"/>
      <c r="H399" s="307" t="s">
        <v>1420</v>
      </c>
      <c r="I399" s="237"/>
      <c r="J399" s="237"/>
      <c r="K399" s="310" t="s">
        <v>9149</v>
      </c>
      <c r="L399" s="237"/>
      <c r="M399" s="237"/>
      <c r="N399" s="237"/>
      <c r="O399" s="237"/>
      <c r="P399" s="237"/>
      <c r="Q399" s="237"/>
      <c r="R399" s="237"/>
      <c r="S399" s="237"/>
      <c r="T399" s="237"/>
      <c r="U399" s="237"/>
      <c r="V399" s="237"/>
      <c r="W399" s="237"/>
      <c r="X399" s="237"/>
      <c r="Y399" s="237"/>
      <c r="Z399" s="237"/>
    </row>
    <row r="400">
      <c r="A400" s="305">
        <v>399.0</v>
      </c>
      <c r="B400" s="236"/>
      <c r="C400" s="307" t="s">
        <v>1420</v>
      </c>
      <c r="D400" s="308" t="s">
        <v>1501</v>
      </c>
      <c r="E400" s="236"/>
      <c r="F400" s="309" t="s">
        <v>14058</v>
      </c>
      <c r="G400" s="236"/>
      <c r="H400" s="307" t="s">
        <v>1420</v>
      </c>
      <c r="I400" s="237"/>
      <c r="J400" s="237"/>
      <c r="K400" s="310" t="s">
        <v>13075</v>
      </c>
      <c r="L400" s="237"/>
      <c r="M400" s="237"/>
      <c r="N400" s="237"/>
      <c r="O400" s="237"/>
      <c r="P400" s="237"/>
      <c r="Q400" s="237"/>
      <c r="R400" s="237"/>
      <c r="S400" s="237"/>
      <c r="T400" s="237"/>
      <c r="U400" s="237"/>
      <c r="V400" s="237"/>
      <c r="W400" s="237"/>
      <c r="X400" s="237"/>
      <c r="Y400" s="237"/>
      <c r="Z400" s="237"/>
    </row>
    <row r="401">
      <c r="A401" s="305">
        <v>400.0</v>
      </c>
      <c r="B401" s="236"/>
      <c r="C401" s="307" t="s">
        <v>1420</v>
      </c>
      <c r="D401" s="308" t="s">
        <v>1495</v>
      </c>
      <c r="E401" s="305" t="s">
        <v>13066</v>
      </c>
      <c r="F401" s="309" t="s">
        <v>14059</v>
      </c>
      <c r="G401" s="236"/>
      <c r="H401" s="307" t="s">
        <v>1420</v>
      </c>
      <c r="I401" s="237"/>
      <c r="J401" s="237"/>
      <c r="K401" s="310" t="s">
        <v>13065</v>
      </c>
      <c r="L401" s="237"/>
      <c r="M401" s="237"/>
      <c r="N401" s="237"/>
      <c r="O401" s="237"/>
      <c r="P401" s="237"/>
      <c r="Q401" s="237"/>
      <c r="R401" s="237"/>
      <c r="S401" s="237"/>
      <c r="T401" s="237"/>
      <c r="U401" s="237"/>
      <c r="V401" s="237"/>
      <c r="W401" s="237"/>
      <c r="X401" s="237"/>
      <c r="Y401" s="237"/>
      <c r="Z401" s="237"/>
    </row>
    <row r="402">
      <c r="A402" s="305">
        <v>401.0</v>
      </c>
      <c r="B402" s="236"/>
      <c r="C402" s="307" t="s">
        <v>1420</v>
      </c>
      <c r="D402" s="308" t="s">
        <v>9221</v>
      </c>
      <c r="E402" s="305" t="s">
        <v>9222</v>
      </c>
      <c r="F402" s="309" t="s">
        <v>9223</v>
      </c>
      <c r="G402" s="236"/>
      <c r="H402" s="307" t="s">
        <v>1420</v>
      </c>
      <c r="I402" s="237"/>
      <c r="J402" s="237"/>
      <c r="K402" s="310" t="s">
        <v>9220</v>
      </c>
      <c r="L402" s="237"/>
      <c r="M402" s="237"/>
      <c r="N402" s="237"/>
      <c r="O402" s="237"/>
      <c r="P402" s="237"/>
      <c r="Q402" s="237"/>
      <c r="R402" s="237"/>
      <c r="S402" s="237"/>
      <c r="T402" s="237"/>
      <c r="U402" s="237"/>
      <c r="V402" s="237"/>
      <c r="W402" s="237"/>
      <c r="X402" s="237"/>
      <c r="Y402" s="237"/>
      <c r="Z402" s="237"/>
    </row>
    <row r="403">
      <c r="A403" s="305">
        <v>402.0</v>
      </c>
      <c r="B403" s="236"/>
      <c r="C403" s="307" t="s">
        <v>1420</v>
      </c>
      <c r="D403" s="308" t="s">
        <v>9139</v>
      </c>
      <c r="E403" s="305" t="s">
        <v>9140</v>
      </c>
      <c r="F403" s="309" t="s">
        <v>9141</v>
      </c>
      <c r="G403" s="236"/>
      <c r="H403" s="307" t="s">
        <v>1420</v>
      </c>
      <c r="I403" s="237"/>
      <c r="J403" s="237"/>
      <c r="K403" s="310" t="s">
        <v>9138</v>
      </c>
      <c r="L403" s="237"/>
      <c r="M403" s="237"/>
      <c r="N403" s="237"/>
      <c r="O403" s="237"/>
      <c r="P403" s="237"/>
      <c r="Q403" s="237"/>
      <c r="R403" s="237"/>
      <c r="S403" s="237"/>
      <c r="T403" s="237"/>
      <c r="U403" s="237"/>
      <c r="V403" s="237"/>
      <c r="W403" s="237"/>
      <c r="X403" s="237"/>
      <c r="Y403" s="237"/>
      <c r="Z403" s="237"/>
    </row>
    <row r="404">
      <c r="A404" s="305">
        <v>403.0</v>
      </c>
      <c r="B404" s="236"/>
      <c r="C404" s="307" t="s">
        <v>1420</v>
      </c>
      <c r="D404" s="308" t="s">
        <v>1502</v>
      </c>
      <c r="E404" s="236"/>
      <c r="F404" s="309" t="s">
        <v>14060</v>
      </c>
      <c r="G404" s="236"/>
      <c r="H404" s="307" t="s">
        <v>1420</v>
      </c>
      <c r="I404" s="237"/>
      <c r="J404" s="237"/>
      <c r="K404" s="310" t="s">
        <v>13077</v>
      </c>
      <c r="L404" s="237"/>
      <c r="M404" s="237"/>
      <c r="N404" s="237"/>
      <c r="O404" s="237"/>
      <c r="P404" s="237"/>
      <c r="Q404" s="237"/>
      <c r="R404" s="237"/>
      <c r="S404" s="237"/>
      <c r="T404" s="237"/>
      <c r="U404" s="237"/>
      <c r="V404" s="237"/>
      <c r="W404" s="237"/>
      <c r="X404" s="237"/>
      <c r="Y404" s="237"/>
      <c r="Z404" s="237"/>
    </row>
    <row r="405">
      <c r="A405" s="305">
        <v>404.0</v>
      </c>
      <c r="B405" s="236"/>
      <c r="C405" s="307" t="s">
        <v>1420</v>
      </c>
      <c r="D405" s="308" t="s">
        <v>9143</v>
      </c>
      <c r="E405" s="305" t="s">
        <v>9144</v>
      </c>
      <c r="F405" s="309" t="s">
        <v>9145</v>
      </c>
      <c r="G405" s="236"/>
      <c r="H405" s="307" t="s">
        <v>1420</v>
      </c>
      <c r="I405" s="237"/>
      <c r="J405" s="237"/>
      <c r="K405" s="310" t="s">
        <v>9142</v>
      </c>
      <c r="L405" s="237"/>
      <c r="M405" s="237"/>
      <c r="N405" s="237"/>
      <c r="O405" s="237"/>
      <c r="P405" s="237"/>
      <c r="Q405" s="237"/>
      <c r="R405" s="237"/>
      <c r="S405" s="237"/>
      <c r="T405" s="237"/>
      <c r="U405" s="237"/>
      <c r="V405" s="237"/>
      <c r="W405" s="237"/>
      <c r="X405" s="237"/>
      <c r="Y405" s="237"/>
      <c r="Z405" s="237"/>
    </row>
    <row r="406">
      <c r="A406" s="305">
        <v>405.0</v>
      </c>
      <c r="B406" s="236"/>
      <c r="C406" s="307" t="s">
        <v>1420</v>
      </c>
      <c r="D406" s="308" t="s">
        <v>14061</v>
      </c>
      <c r="E406" s="305" t="s">
        <v>5372</v>
      </c>
      <c r="F406" s="309" t="s">
        <v>5373</v>
      </c>
      <c r="G406" s="236"/>
      <c r="H406" s="307" t="s">
        <v>1420</v>
      </c>
      <c r="I406" s="237"/>
      <c r="J406" s="237"/>
      <c r="K406" s="310" t="s">
        <v>5371</v>
      </c>
      <c r="L406" s="237"/>
      <c r="M406" s="237"/>
      <c r="N406" s="237"/>
      <c r="O406" s="237"/>
      <c r="P406" s="237"/>
      <c r="Q406" s="237"/>
      <c r="R406" s="237"/>
      <c r="S406" s="237"/>
      <c r="T406" s="237"/>
      <c r="U406" s="237"/>
      <c r="V406" s="237"/>
      <c r="W406" s="237"/>
      <c r="X406" s="237"/>
      <c r="Y406" s="237"/>
      <c r="Z406" s="237"/>
    </row>
    <row r="407">
      <c r="A407" s="305">
        <v>406.0</v>
      </c>
      <c r="B407" s="236"/>
      <c r="C407" s="307" t="s">
        <v>1420</v>
      </c>
      <c r="D407" s="308" t="s">
        <v>6819</v>
      </c>
      <c r="E407" s="305" t="s">
        <v>6820</v>
      </c>
      <c r="F407" s="236"/>
      <c r="G407" s="236"/>
      <c r="H407" s="307" t="s">
        <v>1420</v>
      </c>
      <c r="I407" s="237"/>
      <c r="J407" s="237"/>
      <c r="K407" s="310" t="s">
        <v>6818</v>
      </c>
      <c r="L407" s="237"/>
      <c r="M407" s="237"/>
      <c r="N407" s="237"/>
      <c r="O407" s="237"/>
      <c r="P407" s="237"/>
      <c r="Q407" s="237"/>
      <c r="R407" s="237"/>
      <c r="S407" s="237"/>
      <c r="T407" s="237"/>
      <c r="U407" s="237"/>
      <c r="V407" s="237"/>
      <c r="W407" s="237"/>
      <c r="X407" s="237"/>
      <c r="Y407" s="237"/>
      <c r="Z407" s="237"/>
    </row>
    <row r="408">
      <c r="A408" s="305">
        <v>407.0</v>
      </c>
      <c r="B408" s="236"/>
      <c r="C408" s="307" t="s">
        <v>14007</v>
      </c>
      <c r="D408" s="308" t="s">
        <v>13178</v>
      </c>
      <c r="E408" s="236"/>
      <c r="F408" s="236"/>
      <c r="G408" s="307" t="s">
        <v>13128</v>
      </c>
      <c r="H408" s="307" t="s">
        <v>14007</v>
      </c>
      <c r="I408" s="237"/>
      <c r="J408" s="237"/>
      <c r="K408" s="262"/>
      <c r="L408" s="237"/>
      <c r="M408" s="237"/>
      <c r="N408" s="237"/>
      <c r="O408" s="237"/>
      <c r="P408" s="237"/>
      <c r="Q408" s="237"/>
      <c r="R408" s="237"/>
      <c r="S408" s="237"/>
      <c r="T408" s="237"/>
      <c r="U408" s="237"/>
      <c r="V408" s="237"/>
      <c r="W408" s="237"/>
      <c r="X408" s="237"/>
      <c r="Y408" s="237"/>
      <c r="Z408" s="237"/>
    </row>
    <row r="409">
      <c r="A409" s="305">
        <v>408.0</v>
      </c>
      <c r="B409" s="236"/>
      <c r="C409" s="307" t="s">
        <v>1420</v>
      </c>
      <c r="D409" s="308" t="s">
        <v>14062</v>
      </c>
      <c r="E409" s="305" t="s">
        <v>4999</v>
      </c>
      <c r="F409" s="309" t="s">
        <v>5000</v>
      </c>
      <c r="G409" s="236"/>
      <c r="H409" s="307" t="s">
        <v>1420</v>
      </c>
      <c r="I409" s="237"/>
      <c r="J409" s="237"/>
      <c r="K409" s="310" t="s">
        <v>4998</v>
      </c>
      <c r="L409" s="237"/>
      <c r="M409" s="237"/>
      <c r="N409" s="237"/>
      <c r="O409" s="237"/>
      <c r="P409" s="237"/>
      <c r="Q409" s="237"/>
      <c r="R409" s="237"/>
      <c r="S409" s="237"/>
      <c r="T409" s="237"/>
      <c r="U409" s="237"/>
      <c r="V409" s="237"/>
      <c r="W409" s="237"/>
      <c r="X409" s="237"/>
      <c r="Y409" s="237"/>
      <c r="Z409" s="237"/>
    </row>
    <row r="410">
      <c r="A410" s="305">
        <v>409.0</v>
      </c>
      <c r="B410" s="306" t="s">
        <v>4947</v>
      </c>
      <c r="C410" s="307" t="s">
        <v>1420</v>
      </c>
      <c r="D410" s="308" t="s">
        <v>4949</v>
      </c>
      <c r="E410" s="305" t="s">
        <v>4950</v>
      </c>
      <c r="F410" s="309" t="s">
        <v>4951</v>
      </c>
      <c r="G410" s="236"/>
      <c r="H410" s="307" t="s">
        <v>1420</v>
      </c>
      <c r="I410" s="237"/>
      <c r="J410" s="237"/>
      <c r="K410" s="310" t="s">
        <v>4948</v>
      </c>
      <c r="L410" s="237"/>
      <c r="M410" s="237"/>
      <c r="N410" s="237"/>
      <c r="O410" s="237"/>
      <c r="P410" s="237"/>
      <c r="Q410" s="237"/>
      <c r="R410" s="237"/>
      <c r="S410" s="237"/>
      <c r="T410" s="237"/>
      <c r="U410" s="237"/>
      <c r="V410" s="237"/>
      <c r="W410" s="237"/>
      <c r="X410" s="237"/>
      <c r="Y410" s="237"/>
      <c r="Z410" s="237"/>
    </row>
    <row r="411">
      <c r="A411" s="305">
        <v>410.0</v>
      </c>
      <c r="B411" s="306" t="s">
        <v>4663</v>
      </c>
      <c r="C411" s="307" t="s">
        <v>1420</v>
      </c>
      <c r="D411" s="308" t="s">
        <v>4665</v>
      </c>
      <c r="E411" s="305" t="s">
        <v>4666</v>
      </c>
      <c r="F411" s="309" t="s">
        <v>4667</v>
      </c>
      <c r="G411" s="236"/>
      <c r="H411" s="307" t="s">
        <v>1420</v>
      </c>
      <c r="I411" s="237"/>
      <c r="J411" s="237"/>
      <c r="K411" s="310" t="s">
        <v>4664</v>
      </c>
      <c r="L411" s="237"/>
      <c r="M411" s="237"/>
      <c r="N411" s="237"/>
      <c r="O411" s="237"/>
      <c r="P411" s="237"/>
      <c r="Q411" s="237"/>
      <c r="R411" s="237"/>
      <c r="S411" s="237"/>
      <c r="T411" s="237"/>
      <c r="U411" s="237"/>
      <c r="V411" s="237"/>
      <c r="W411" s="237"/>
      <c r="X411" s="237"/>
      <c r="Y411" s="237"/>
      <c r="Z411" s="237"/>
    </row>
    <row r="412">
      <c r="A412" s="305">
        <v>411.0</v>
      </c>
      <c r="B412" s="236"/>
      <c r="C412" s="307" t="s">
        <v>1420</v>
      </c>
      <c r="D412" s="308" t="s">
        <v>13117</v>
      </c>
      <c r="E412" s="305" t="s">
        <v>13118</v>
      </c>
      <c r="F412" s="309" t="s">
        <v>14063</v>
      </c>
      <c r="G412" s="236"/>
      <c r="H412" s="307" t="s">
        <v>1420</v>
      </c>
      <c r="I412" s="237"/>
      <c r="J412" s="237"/>
      <c r="K412" s="310" t="s">
        <v>13116</v>
      </c>
      <c r="L412" s="237"/>
      <c r="M412" s="237"/>
      <c r="N412" s="237"/>
      <c r="O412" s="237"/>
      <c r="P412" s="237"/>
      <c r="Q412" s="237"/>
      <c r="R412" s="237"/>
      <c r="S412" s="237"/>
      <c r="T412" s="237"/>
      <c r="U412" s="237"/>
      <c r="V412" s="237"/>
      <c r="W412" s="237"/>
      <c r="X412" s="237"/>
      <c r="Y412" s="237"/>
      <c r="Z412" s="237"/>
    </row>
    <row r="413">
      <c r="A413" s="305">
        <v>412.0</v>
      </c>
      <c r="B413" s="306" t="s">
        <v>5418</v>
      </c>
      <c r="C413" s="307" t="s">
        <v>1420</v>
      </c>
      <c r="D413" s="308" t="s">
        <v>5420</v>
      </c>
      <c r="E413" s="305" t="s">
        <v>5421</v>
      </c>
      <c r="F413" s="309" t="s">
        <v>5422</v>
      </c>
      <c r="G413" s="236"/>
      <c r="H413" s="307" t="s">
        <v>1420</v>
      </c>
      <c r="I413" s="237"/>
      <c r="J413" s="237"/>
      <c r="K413" s="310" t="s">
        <v>5419</v>
      </c>
      <c r="L413" s="237"/>
      <c r="M413" s="237"/>
      <c r="N413" s="237"/>
      <c r="O413" s="237"/>
      <c r="P413" s="237"/>
      <c r="Q413" s="237"/>
      <c r="R413" s="237"/>
      <c r="S413" s="237"/>
      <c r="T413" s="237"/>
      <c r="U413" s="237"/>
      <c r="V413" s="237"/>
      <c r="W413" s="237"/>
      <c r="X413" s="237"/>
      <c r="Y413" s="237"/>
      <c r="Z413" s="237"/>
    </row>
    <row r="414">
      <c r="A414" s="305">
        <v>413.0</v>
      </c>
      <c r="B414" s="306" t="s">
        <v>5770</v>
      </c>
      <c r="C414" s="307" t="s">
        <v>1420</v>
      </c>
      <c r="D414" s="308" t="s">
        <v>5772</v>
      </c>
      <c r="E414" s="305" t="s">
        <v>5773</v>
      </c>
      <c r="F414" s="309" t="s">
        <v>5774</v>
      </c>
      <c r="G414" s="236"/>
      <c r="H414" s="307" t="s">
        <v>1420</v>
      </c>
      <c r="I414" s="237"/>
      <c r="J414" s="237"/>
      <c r="K414" s="310" t="s">
        <v>5771</v>
      </c>
      <c r="L414" s="237"/>
      <c r="M414" s="237"/>
      <c r="N414" s="237"/>
      <c r="O414" s="237"/>
      <c r="P414" s="237"/>
      <c r="Q414" s="237"/>
      <c r="R414" s="237"/>
      <c r="S414" s="237"/>
      <c r="T414" s="237"/>
      <c r="U414" s="237"/>
      <c r="V414" s="237"/>
      <c r="W414" s="237"/>
      <c r="X414" s="237"/>
      <c r="Y414" s="237"/>
      <c r="Z414" s="237"/>
    </row>
    <row r="415">
      <c r="A415" s="305">
        <v>414.0</v>
      </c>
      <c r="B415" s="306" t="s">
        <v>4706</v>
      </c>
      <c r="C415" s="307" t="s">
        <v>1420</v>
      </c>
      <c r="D415" s="308" t="s">
        <v>5555</v>
      </c>
      <c r="E415" s="305" t="s">
        <v>5787</v>
      </c>
      <c r="F415" s="309" t="s">
        <v>5854</v>
      </c>
      <c r="G415" s="236"/>
      <c r="H415" s="307" t="s">
        <v>1420</v>
      </c>
      <c r="I415" s="237"/>
      <c r="J415" s="237"/>
      <c r="K415" s="310" t="s">
        <v>5853</v>
      </c>
      <c r="L415" s="237"/>
      <c r="M415" s="237"/>
      <c r="N415" s="237"/>
      <c r="O415" s="237"/>
      <c r="P415" s="237"/>
      <c r="Q415" s="237"/>
      <c r="R415" s="237"/>
      <c r="S415" s="237"/>
      <c r="T415" s="237"/>
      <c r="U415" s="237"/>
      <c r="V415" s="237"/>
      <c r="W415" s="237"/>
      <c r="X415" s="237"/>
      <c r="Y415" s="237"/>
      <c r="Z415" s="237"/>
    </row>
    <row r="416">
      <c r="A416" s="305">
        <v>415.0</v>
      </c>
      <c r="B416" s="306" t="s">
        <v>4673</v>
      </c>
      <c r="C416" s="307" t="s">
        <v>1420</v>
      </c>
      <c r="D416" s="308" t="s">
        <v>4675</v>
      </c>
      <c r="E416" s="305" t="s">
        <v>4676</v>
      </c>
      <c r="F416" s="309" t="s">
        <v>4677</v>
      </c>
      <c r="G416" s="236"/>
      <c r="H416" s="307" t="s">
        <v>1420</v>
      </c>
      <c r="I416" s="237"/>
      <c r="J416" s="237"/>
      <c r="K416" s="310" t="s">
        <v>4674</v>
      </c>
      <c r="L416" s="237"/>
      <c r="M416" s="237"/>
      <c r="N416" s="237"/>
      <c r="O416" s="237"/>
      <c r="P416" s="237"/>
      <c r="Q416" s="237"/>
      <c r="R416" s="237"/>
      <c r="S416" s="237"/>
      <c r="T416" s="237"/>
      <c r="U416" s="237"/>
      <c r="V416" s="237"/>
      <c r="W416" s="237"/>
      <c r="X416" s="237"/>
      <c r="Y416" s="237"/>
      <c r="Z416" s="237"/>
    </row>
    <row r="417">
      <c r="A417" s="305">
        <v>416.0</v>
      </c>
      <c r="B417" s="306" t="s">
        <v>4932</v>
      </c>
      <c r="C417" s="307" t="s">
        <v>1420</v>
      </c>
      <c r="D417" s="308" t="s">
        <v>4934</v>
      </c>
      <c r="E417" s="305" t="s">
        <v>4935</v>
      </c>
      <c r="F417" s="309" t="s">
        <v>4936</v>
      </c>
      <c r="G417" s="236"/>
      <c r="H417" s="307" t="s">
        <v>1420</v>
      </c>
      <c r="I417" s="237"/>
      <c r="J417" s="237"/>
      <c r="K417" s="310" t="s">
        <v>4933</v>
      </c>
      <c r="L417" s="237"/>
      <c r="M417" s="237"/>
      <c r="N417" s="237"/>
      <c r="O417" s="237"/>
      <c r="P417" s="237"/>
      <c r="Q417" s="237"/>
      <c r="R417" s="237"/>
      <c r="S417" s="237"/>
      <c r="T417" s="237"/>
      <c r="U417" s="237"/>
      <c r="V417" s="237"/>
      <c r="W417" s="237"/>
      <c r="X417" s="237"/>
      <c r="Y417" s="237"/>
      <c r="Z417" s="237"/>
    </row>
    <row r="418">
      <c r="A418" s="305">
        <v>417.0</v>
      </c>
      <c r="B418" s="306" t="s">
        <v>4993</v>
      </c>
      <c r="C418" s="307" t="s">
        <v>1420</v>
      </c>
      <c r="D418" s="308" t="s">
        <v>4995</v>
      </c>
      <c r="E418" s="305" t="s">
        <v>4996</v>
      </c>
      <c r="F418" s="309" t="s">
        <v>4997</v>
      </c>
      <c r="G418" s="236"/>
      <c r="H418" s="307" t="s">
        <v>1420</v>
      </c>
      <c r="I418" s="237"/>
      <c r="J418" s="237"/>
      <c r="K418" s="310" t="s">
        <v>4994</v>
      </c>
      <c r="L418" s="237"/>
      <c r="M418" s="237"/>
      <c r="N418" s="237"/>
      <c r="O418" s="237"/>
      <c r="P418" s="237"/>
      <c r="Q418" s="237"/>
      <c r="R418" s="237"/>
      <c r="S418" s="237"/>
      <c r="T418" s="237"/>
      <c r="U418" s="237"/>
      <c r="V418" s="237"/>
      <c r="W418" s="237"/>
      <c r="X418" s="237"/>
      <c r="Y418" s="237"/>
      <c r="Z418" s="237"/>
    </row>
    <row r="419">
      <c r="A419" s="305">
        <v>418.0</v>
      </c>
      <c r="B419" s="306" t="s">
        <v>4710</v>
      </c>
      <c r="C419" s="307" t="s">
        <v>1420</v>
      </c>
      <c r="D419" s="308" t="s">
        <v>4712</v>
      </c>
      <c r="E419" s="305" t="s">
        <v>4713</v>
      </c>
      <c r="F419" s="309" t="s">
        <v>4714</v>
      </c>
      <c r="G419" s="236"/>
      <c r="H419" s="307" t="s">
        <v>1420</v>
      </c>
      <c r="I419" s="237"/>
      <c r="J419" s="237"/>
      <c r="K419" s="310" t="s">
        <v>4711</v>
      </c>
      <c r="L419" s="237"/>
      <c r="M419" s="237"/>
      <c r="N419" s="237"/>
      <c r="O419" s="237"/>
      <c r="P419" s="237"/>
      <c r="Q419" s="237"/>
      <c r="R419" s="237"/>
      <c r="S419" s="237"/>
      <c r="T419" s="237"/>
      <c r="U419" s="237"/>
      <c r="V419" s="237"/>
      <c r="W419" s="237"/>
      <c r="X419" s="237"/>
      <c r="Y419" s="237"/>
      <c r="Z419" s="237"/>
    </row>
    <row r="420">
      <c r="A420" s="305">
        <v>419.0</v>
      </c>
      <c r="B420" s="306" t="s">
        <v>4563</v>
      </c>
      <c r="C420" s="307" t="s">
        <v>1420</v>
      </c>
      <c r="D420" s="308" t="s">
        <v>4565</v>
      </c>
      <c r="E420" s="305" t="s">
        <v>4566</v>
      </c>
      <c r="F420" s="309" t="s">
        <v>4567</v>
      </c>
      <c r="G420" s="236"/>
      <c r="H420" s="307" t="s">
        <v>1420</v>
      </c>
      <c r="I420" s="237"/>
      <c r="J420" s="237"/>
      <c r="K420" s="310" t="s">
        <v>4564</v>
      </c>
      <c r="L420" s="237"/>
      <c r="M420" s="237"/>
      <c r="N420" s="237"/>
      <c r="O420" s="237"/>
      <c r="P420" s="237"/>
      <c r="Q420" s="237"/>
      <c r="R420" s="237"/>
      <c r="S420" s="237"/>
      <c r="T420" s="237"/>
      <c r="U420" s="237"/>
      <c r="V420" s="237"/>
      <c r="W420" s="237"/>
      <c r="X420" s="237"/>
      <c r="Y420" s="237"/>
      <c r="Z420" s="237"/>
    </row>
    <row r="421">
      <c r="A421" s="305">
        <v>420.0</v>
      </c>
      <c r="B421" s="236"/>
      <c r="C421" s="307" t="s">
        <v>1420</v>
      </c>
      <c r="D421" s="308" t="s">
        <v>1577</v>
      </c>
      <c r="E421" s="305" t="s">
        <v>13145</v>
      </c>
      <c r="F421" s="309" t="s">
        <v>14064</v>
      </c>
      <c r="G421" s="307" t="s">
        <v>13128</v>
      </c>
      <c r="H421" s="307" t="s">
        <v>1420</v>
      </c>
      <c r="I421" s="237"/>
      <c r="J421" s="237"/>
      <c r="K421" s="310" t="s">
        <v>13144</v>
      </c>
      <c r="L421" s="237"/>
      <c r="M421" s="237"/>
      <c r="N421" s="237"/>
      <c r="O421" s="237"/>
      <c r="P421" s="237"/>
      <c r="Q421" s="237"/>
      <c r="R421" s="237"/>
      <c r="S421" s="237"/>
      <c r="T421" s="237"/>
      <c r="U421" s="237"/>
      <c r="V421" s="237"/>
      <c r="W421" s="237"/>
      <c r="X421" s="237"/>
      <c r="Y421" s="237"/>
      <c r="Z421" s="237"/>
    </row>
    <row r="422">
      <c r="A422" s="305">
        <v>421.0</v>
      </c>
      <c r="B422" s="306" t="s">
        <v>4725</v>
      </c>
      <c r="C422" s="307" t="s">
        <v>1420</v>
      </c>
      <c r="D422" s="308" t="s">
        <v>4727</v>
      </c>
      <c r="E422" s="305" t="s">
        <v>4728</v>
      </c>
      <c r="F422" s="309" t="s">
        <v>4729</v>
      </c>
      <c r="G422" s="236"/>
      <c r="H422" s="307" t="s">
        <v>1420</v>
      </c>
      <c r="I422" s="237"/>
      <c r="J422" s="237"/>
      <c r="K422" s="310" t="s">
        <v>4726</v>
      </c>
      <c r="L422" s="237"/>
      <c r="M422" s="237"/>
      <c r="N422" s="237"/>
      <c r="O422" s="237"/>
      <c r="P422" s="237"/>
      <c r="Q422" s="237"/>
      <c r="R422" s="237"/>
      <c r="S422" s="237"/>
      <c r="T422" s="237"/>
      <c r="U422" s="237"/>
      <c r="V422" s="237"/>
      <c r="W422" s="237"/>
      <c r="X422" s="237"/>
      <c r="Y422" s="237"/>
      <c r="Z422" s="237"/>
    </row>
    <row r="423">
      <c r="A423" s="305">
        <v>422.0</v>
      </c>
      <c r="B423" s="306" t="s">
        <v>4923</v>
      </c>
      <c r="C423" s="307" t="s">
        <v>1420</v>
      </c>
      <c r="D423" s="308" t="s">
        <v>4925</v>
      </c>
      <c r="E423" s="305" t="s">
        <v>4926</v>
      </c>
      <c r="F423" s="309" t="s">
        <v>5121</v>
      </c>
      <c r="G423" s="236"/>
      <c r="H423" s="307" t="s">
        <v>1420</v>
      </c>
      <c r="I423" s="237"/>
      <c r="J423" s="237"/>
      <c r="K423" s="310" t="s">
        <v>5120</v>
      </c>
      <c r="L423" s="237"/>
      <c r="M423" s="237"/>
      <c r="N423" s="237"/>
      <c r="O423" s="237"/>
      <c r="P423" s="237"/>
      <c r="Q423" s="237"/>
      <c r="R423" s="237"/>
      <c r="S423" s="237"/>
      <c r="T423" s="237"/>
      <c r="U423" s="237"/>
      <c r="V423" s="237"/>
      <c r="W423" s="237"/>
      <c r="X423" s="237"/>
      <c r="Y423" s="237"/>
      <c r="Z423" s="237"/>
    </row>
    <row r="424">
      <c r="A424" s="305">
        <v>423.0</v>
      </c>
      <c r="B424" s="306" t="s">
        <v>4927</v>
      </c>
      <c r="C424" s="307" t="s">
        <v>1420</v>
      </c>
      <c r="D424" s="308" t="s">
        <v>4929</v>
      </c>
      <c r="E424" s="305" t="s">
        <v>4930</v>
      </c>
      <c r="F424" s="309" t="s">
        <v>4931</v>
      </c>
      <c r="G424" s="236"/>
      <c r="H424" s="307" t="s">
        <v>1420</v>
      </c>
      <c r="I424" s="237"/>
      <c r="J424" s="237"/>
      <c r="K424" s="310" t="s">
        <v>4928</v>
      </c>
      <c r="L424" s="237"/>
      <c r="M424" s="237"/>
      <c r="N424" s="237"/>
      <c r="O424" s="237"/>
      <c r="P424" s="237"/>
      <c r="Q424" s="237"/>
      <c r="R424" s="237"/>
      <c r="S424" s="237"/>
      <c r="T424" s="237"/>
      <c r="U424" s="237"/>
      <c r="V424" s="237"/>
      <c r="W424" s="237"/>
      <c r="X424" s="237"/>
      <c r="Y424" s="237"/>
      <c r="Z424" s="237"/>
    </row>
    <row r="425">
      <c r="A425" s="305">
        <v>424.0</v>
      </c>
      <c r="B425" s="306" t="s">
        <v>4720</v>
      </c>
      <c r="C425" s="307" t="s">
        <v>1420</v>
      </c>
      <c r="D425" s="308" t="s">
        <v>4722</v>
      </c>
      <c r="E425" s="305" t="s">
        <v>4723</v>
      </c>
      <c r="F425" s="309" t="s">
        <v>4724</v>
      </c>
      <c r="G425" s="236"/>
      <c r="H425" s="307" t="s">
        <v>1420</v>
      </c>
      <c r="I425" s="237"/>
      <c r="J425" s="237"/>
      <c r="K425" s="310" t="s">
        <v>4721</v>
      </c>
      <c r="L425" s="237"/>
      <c r="M425" s="237"/>
      <c r="N425" s="237"/>
      <c r="O425" s="237"/>
      <c r="P425" s="237"/>
      <c r="Q425" s="237"/>
      <c r="R425" s="237"/>
      <c r="S425" s="237"/>
      <c r="T425" s="237"/>
      <c r="U425" s="237"/>
      <c r="V425" s="237"/>
      <c r="W425" s="237"/>
      <c r="X425" s="237"/>
      <c r="Y425" s="237"/>
      <c r="Z425" s="237"/>
    </row>
    <row r="426">
      <c r="A426" s="305">
        <v>425.0</v>
      </c>
      <c r="B426" s="236"/>
      <c r="C426" s="307" t="s">
        <v>1420</v>
      </c>
      <c r="D426" s="308" t="s">
        <v>13141</v>
      </c>
      <c r="E426" s="305" t="s">
        <v>13142</v>
      </c>
      <c r="F426" s="309" t="s">
        <v>14065</v>
      </c>
      <c r="G426" s="307" t="s">
        <v>13128</v>
      </c>
      <c r="H426" s="307" t="s">
        <v>1420</v>
      </c>
      <c r="I426" s="237"/>
      <c r="J426" s="237"/>
      <c r="K426" s="310" t="s">
        <v>13140</v>
      </c>
      <c r="L426" s="237"/>
      <c r="M426" s="237"/>
      <c r="N426" s="237"/>
      <c r="O426" s="237"/>
      <c r="P426" s="237"/>
      <c r="Q426" s="237"/>
      <c r="R426" s="237"/>
      <c r="S426" s="237"/>
      <c r="T426" s="237"/>
      <c r="U426" s="237"/>
      <c r="V426" s="237"/>
      <c r="W426" s="237"/>
      <c r="X426" s="237"/>
      <c r="Y426" s="237"/>
      <c r="Z426" s="237"/>
    </row>
    <row r="427">
      <c r="A427" s="305">
        <v>426.0</v>
      </c>
      <c r="B427" s="306" t="s">
        <v>4568</v>
      </c>
      <c r="C427" s="307" t="s">
        <v>1420</v>
      </c>
      <c r="D427" s="308" t="s">
        <v>4570</v>
      </c>
      <c r="E427" s="305" t="s">
        <v>4571</v>
      </c>
      <c r="F427" s="309" t="s">
        <v>4572</v>
      </c>
      <c r="G427" s="236"/>
      <c r="H427" s="307" t="s">
        <v>1420</v>
      </c>
      <c r="I427" s="237"/>
      <c r="J427" s="237"/>
      <c r="K427" s="310" t="s">
        <v>4569</v>
      </c>
      <c r="L427" s="237"/>
      <c r="M427" s="237"/>
      <c r="N427" s="237"/>
      <c r="O427" s="237"/>
      <c r="P427" s="237"/>
      <c r="Q427" s="237"/>
      <c r="R427" s="237"/>
      <c r="S427" s="237"/>
      <c r="T427" s="237"/>
      <c r="U427" s="237"/>
      <c r="V427" s="237"/>
      <c r="W427" s="237"/>
      <c r="X427" s="237"/>
      <c r="Y427" s="237"/>
      <c r="Z427" s="237"/>
    </row>
    <row r="428">
      <c r="A428" s="305">
        <v>427.0</v>
      </c>
      <c r="B428" s="306" t="s">
        <v>5519</v>
      </c>
      <c r="C428" s="307" t="s">
        <v>1420</v>
      </c>
      <c r="D428" s="308" t="s">
        <v>5521</v>
      </c>
      <c r="E428" s="305" t="s">
        <v>5522</v>
      </c>
      <c r="F428" s="309" t="s">
        <v>6321</v>
      </c>
      <c r="G428" s="236"/>
      <c r="H428" s="307" t="s">
        <v>1420</v>
      </c>
      <c r="I428" s="237"/>
      <c r="J428" s="237"/>
      <c r="K428" s="310" t="s">
        <v>6320</v>
      </c>
      <c r="L428" s="237"/>
      <c r="M428" s="237"/>
      <c r="N428" s="237"/>
      <c r="O428" s="237"/>
      <c r="P428" s="237"/>
      <c r="Q428" s="237"/>
      <c r="R428" s="237"/>
      <c r="S428" s="237"/>
      <c r="T428" s="237"/>
      <c r="U428" s="237"/>
      <c r="V428" s="237"/>
      <c r="W428" s="237"/>
      <c r="X428" s="237"/>
      <c r="Y428" s="237"/>
      <c r="Z428" s="237"/>
    </row>
    <row r="429">
      <c r="A429" s="305">
        <v>428.0</v>
      </c>
      <c r="B429" s="236"/>
      <c r="C429" s="307" t="s">
        <v>14007</v>
      </c>
      <c r="D429" s="308" t="s">
        <v>13177</v>
      </c>
      <c r="E429" s="236"/>
      <c r="F429" s="236"/>
      <c r="G429" s="307" t="s">
        <v>13128</v>
      </c>
      <c r="H429" s="307" t="s">
        <v>14007</v>
      </c>
      <c r="I429" s="237"/>
      <c r="J429" s="237"/>
      <c r="K429" s="262"/>
      <c r="L429" s="237"/>
      <c r="M429" s="237"/>
      <c r="N429" s="237"/>
      <c r="O429" s="237"/>
      <c r="P429" s="237"/>
      <c r="Q429" s="237"/>
      <c r="R429" s="237"/>
      <c r="S429" s="237"/>
      <c r="T429" s="237"/>
      <c r="U429" s="237"/>
      <c r="V429" s="237"/>
      <c r="W429" s="237"/>
      <c r="X429" s="237"/>
      <c r="Y429" s="237"/>
      <c r="Z429" s="237"/>
    </row>
    <row r="430">
      <c r="A430" s="305">
        <v>429.0</v>
      </c>
      <c r="B430" s="236"/>
      <c r="C430" s="307" t="s">
        <v>1420</v>
      </c>
      <c r="D430" s="308" t="s">
        <v>1579</v>
      </c>
      <c r="E430" s="305" t="s">
        <v>13153</v>
      </c>
      <c r="F430" s="309" t="s">
        <v>14066</v>
      </c>
      <c r="G430" s="307" t="s">
        <v>13128</v>
      </c>
      <c r="H430" s="307" t="s">
        <v>1420</v>
      </c>
      <c r="I430" s="237"/>
      <c r="J430" s="237"/>
      <c r="K430" s="310" t="s">
        <v>13152</v>
      </c>
      <c r="L430" s="237"/>
      <c r="M430" s="237"/>
      <c r="N430" s="237"/>
      <c r="O430" s="237"/>
      <c r="P430" s="237"/>
      <c r="Q430" s="237"/>
      <c r="R430" s="237"/>
      <c r="S430" s="237"/>
      <c r="T430" s="237"/>
      <c r="U430" s="237"/>
      <c r="V430" s="237"/>
      <c r="W430" s="237"/>
      <c r="X430" s="237"/>
      <c r="Y430" s="237"/>
      <c r="Z430" s="237"/>
    </row>
    <row r="431">
      <c r="A431" s="305">
        <v>430.0</v>
      </c>
      <c r="B431" s="236"/>
      <c r="C431" s="307" t="s">
        <v>1420</v>
      </c>
      <c r="D431" s="308" t="s">
        <v>13163</v>
      </c>
      <c r="E431" s="305" t="s">
        <v>13164</v>
      </c>
      <c r="F431" s="309" t="s">
        <v>14067</v>
      </c>
      <c r="G431" s="307" t="s">
        <v>13183</v>
      </c>
      <c r="H431" s="307" t="s">
        <v>1420</v>
      </c>
      <c r="I431" s="237"/>
      <c r="J431" s="237"/>
      <c r="K431" s="310" t="s">
        <v>13162</v>
      </c>
      <c r="L431" s="237"/>
      <c r="M431" s="237"/>
      <c r="N431" s="237"/>
      <c r="O431" s="237"/>
      <c r="P431" s="237"/>
      <c r="Q431" s="237"/>
      <c r="R431" s="237"/>
      <c r="S431" s="237"/>
      <c r="T431" s="237"/>
      <c r="U431" s="237"/>
      <c r="V431" s="237"/>
      <c r="W431" s="237"/>
      <c r="X431" s="237"/>
      <c r="Y431" s="237"/>
      <c r="Z431" s="237"/>
    </row>
    <row r="432">
      <c r="A432" s="305">
        <v>431.0</v>
      </c>
      <c r="B432" s="236"/>
      <c r="C432" s="307" t="s">
        <v>14007</v>
      </c>
      <c r="D432" s="308" t="s">
        <v>13176</v>
      </c>
      <c r="E432" s="236"/>
      <c r="F432" s="236"/>
      <c r="G432" s="307" t="s">
        <v>13128</v>
      </c>
      <c r="H432" s="307" t="s">
        <v>14007</v>
      </c>
      <c r="I432" s="237"/>
      <c r="J432" s="237"/>
      <c r="K432" s="262"/>
      <c r="L432" s="237"/>
      <c r="M432" s="237"/>
      <c r="N432" s="237"/>
      <c r="O432" s="237"/>
      <c r="P432" s="237"/>
      <c r="Q432" s="237"/>
      <c r="R432" s="237"/>
      <c r="S432" s="237"/>
      <c r="T432" s="237"/>
      <c r="U432" s="237"/>
      <c r="V432" s="237"/>
      <c r="W432" s="237"/>
      <c r="X432" s="237"/>
      <c r="Y432" s="237"/>
      <c r="Z432" s="237"/>
    </row>
    <row r="433">
      <c r="A433" s="305">
        <v>432.0</v>
      </c>
      <c r="B433" s="236"/>
      <c r="C433" s="307" t="s">
        <v>14007</v>
      </c>
      <c r="D433" s="308" t="s">
        <v>13175</v>
      </c>
      <c r="E433" s="236"/>
      <c r="F433" s="236"/>
      <c r="G433" s="307" t="s">
        <v>13128</v>
      </c>
      <c r="H433" s="307" t="s">
        <v>14007</v>
      </c>
      <c r="I433" s="237"/>
      <c r="J433" s="237"/>
      <c r="K433" s="262"/>
      <c r="L433" s="237"/>
      <c r="M433" s="237"/>
      <c r="N433" s="237"/>
      <c r="O433" s="237"/>
      <c r="P433" s="237"/>
      <c r="Q433" s="237"/>
      <c r="R433" s="237"/>
      <c r="S433" s="237"/>
      <c r="T433" s="237"/>
      <c r="U433" s="237"/>
      <c r="V433" s="237"/>
      <c r="W433" s="237"/>
      <c r="X433" s="237"/>
      <c r="Y433" s="237"/>
      <c r="Z433" s="237"/>
    </row>
    <row r="434">
      <c r="A434" s="305">
        <v>433.0</v>
      </c>
      <c r="B434" s="306" t="s">
        <v>5742</v>
      </c>
      <c r="C434" s="307" t="s">
        <v>1420</v>
      </c>
      <c r="D434" s="308" t="s">
        <v>5744</v>
      </c>
      <c r="E434" s="305" t="s">
        <v>5745</v>
      </c>
      <c r="F434" s="309" t="s">
        <v>5746</v>
      </c>
      <c r="G434" s="236"/>
      <c r="H434" s="307" t="s">
        <v>1420</v>
      </c>
      <c r="I434" s="237"/>
      <c r="J434" s="237"/>
      <c r="K434" s="310" t="s">
        <v>5743</v>
      </c>
      <c r="L434" s="237"/>
      <c r="M434" s="237"/>
      <c r="N434" s="237"/>
      <c r="O434" s="237"/>
      <c r="P434" s="237"/>
      <c r="Q434" s="237"/>
      <c r="R434" s="237"/>
      <c r="S434" s="237"/>
      <c r="T434" s="237"/>
      <c r="U434" s="237"/>
      <c r="V434" s="237"/>
      <c r="W434" s="237"/>
      <c r="X434" s="237"/>
      <c r="Y434" s="237"/>
      <c r="Z434" s="237"/>
    </row>
    <row r="435">
      <c r="A435" s="305">
        <v>434.0</v>
      </c>
      <c r="B435" s="306" t="s">
        <v>4937</v>
      </c>
      <c r="C435" s="307" t="s">
        <v>1420</v>
      </c>
      <c r="D435" s="308" t="s">
        <v>4939</v>
      </c>
      <c r="E435" s="305" t="s">
        <v>4940</v>
      </c>
      <c r="F435" s="309" t="s">
        <v>4941</v>
      </c>
      <c r="G435" s="236"/>
      <c r="H435" s="307" t="s">
        <v>1420</v>
      </c>
      <c r="I435" s="237"/>
      <c r="J435" s="237"/>
      <c r="K435" s="310" t="s">
        <v>4938</v>
      </c>
      <c r="L435" s="237"/>
      <c r="M435" s="237"/>
      <c r="N435" s="237"/>
      <c r="O435" s="237"/>
      <c r="P435" s="237"/>
      <c r="Q435" s="237"/>
      <c r="R435" s="237"/>
      <c r="S435" s="237"/>
      <c r="T435" s="237"/>
      <c r="U435" s="237"/>
      <c r="V435" s="237"/>
      <c r="W435" s="237"/>
      <c r="X435" s="237"/>
      <c r="Y435" s="237"/>
      <c r="Z435" s="237"/>
    </row>
    <row r="436">
      <c r="A436" s="305">
        <v>435.0</v>
      </c>
      <c r="B436" s="236"/>
      <c r="C436" s="307" t="s">
        <v>1420</v>
      </c>
      <c r="D436" s="308" t="s">
        <v>13156</v>
      </c>
      <c r="E436" s="305" t="s">
        <v>13157</v>
      </c>
      <c r="F436" s="309" t="s">
        <v>14068</v>
      </c>
      <c r="G436" s="307" t="s">
        <v>13128</v>
      </c>
      <c r="H436" s="307" t="s">
        <v>1420</v>
      </c>
      <c r="I436" s="237"/>
      <c r="J436" s="237"/>
      <c r="K436" s="310" t="s">
        <v>13155</v>
      </c>
      <c r="L436" s="237"/>
      <c r="M436" s="237"/>
      <c r="N436" s="237"/>
      <c r="O436" s="237"/>
      <c r="P436" s="237"/>
      <c r="Q436" s="237"/>
      <c r="R436" s="237"/>
      <c r="S436" s="237"/>
      <c r="T436" s="237"/>
      <c r="U436" s="237"/>
      <c r="V436" s="237"/>
      <c r="W436" s="237"/>
      <c r="X436" s="237"/>
      <c r="Y436" s="237"/>
      <c r="Z436" s="237"/>
    </row>
    <row r="437">
      <c r="A437" s="305">
        <v>436.0</v>
      </c>
      <c r="B437" s="306" t="s">
        <v>4640</v>
      </c>
      <c r="C437" s="307" t="s">
        <v>1420</v>
      </c>
      <c r="D437" s="308" t="s">
        <v>4642</v>
      </c>
      <c r="E437" s="305" t="s">
        <v>4643</v>
      </c>
      <c r="F437" s="309" t="s">
        <v>4644</v>
      </c>
      <c r="G437" s="236"/>
      <c r="H437" s="307" t="s">
        <v>1420</v>
      </c>
      <c r="I437" s="237"/>
      <c r="J437" s="237"/>
      <c r="K437" s="310" t="s">
        <v>4641</v>
      </c>
      <c r="L437" s="237"/>
      <c r="M437" s="237"/>
      <c r="N437" s="237"/>
      <c r="O437" s="237"/>
      <c r="P437" s="237"/>
      <c r="Q437" s="237"/>
      <c r="R437" s="237"/>
      <c r="S437" s="237"/>
      <c r="T437" s="237"/>
      <c r="U437" s="237"/>
      <c r="V437" s="237"/>
      <c r="W437" s="237"/>
      <c r="X437" s="237"/>
      <c r="Y437" s="237"/>
      <c r="Z437" s="237"/>
    </row>
    <row r="438">
      <c r="A438" s="305">
        <v>437.0</v>
      </c>
      <c r="B438" s="236"/>
      <c r="C438" s="307" t="s">
        <v>1420</v>
      </c>
      <c r="D438" s="308" t="s">
        <v>1585</v>
      </c>
      <c r="E438" s="305" t="s">
        <v>13173</v>
      </c>
      <c r="F438" s="309" t="s">
        <v>14069</v>
      </c>
      <c r="G438" s="307" t="s">
        <v>13183</v>
      </c>
      <c r="H438" s="307" t="s">
        <v>1420</v>
      </c>
      <c r="I438" s="237"/>
      <c r="J438" s="237"/>
      <c r="K438" s="310" t="s">
        <v>13172</v>
      </c>
      <c r="L438" s="237"/>
      <c r="M438" s="237"/>
      <c r="N438" s="237"/>
      <c r="O438" s="237"/>
      <c r="P438" s="237"/>
      <c r="Q438" s="237"/>
      <c r="R438" s="237"/>
      <c r="S438" s="237"/>
      <c r="T438" s="237"/>
      <c r="U438" s="237"/>
      <c r="V438" s="237"/>
      <c r="W438" s="237"/>
      <c r="X438" s="237"/>
      <c r="Y438" s="237"/>
      <c r="Z438" s="237"/>
    </row>
    <row r="439">
      <c r="A439" s="305">
        <v>438.0</v>
      </c>
      <c r="B439" s="306" t="s">
        <v>4635</v>
      </c>
      <c r="C439" s="307" t="s">
        <v>1420</v>
      </c>
      <c r="D439" s="308" t="s">
        <v>4637</v>
      </c>
      <c r="E439" s="305" t="s">
        <v>4638</v>
      </c>
      <c r="F439" s="309" t="s">
        <v>4639</v>
      </c>
      <c r="G439" s="236"/>
      <c r="H439" s="307" t="s">
        <v>1420</v>
      </c>
      <c r="I439" s="237"/>
      <c r="J439" s="237"/>
      <c r="K439" s="310" t="s">
        <v>4636</v>
      </c>
      <c r="L439" s="237"/>
      <c r="M439" s="237"/>
      <c r="N439" s="237"/>
      <c r="O439" s="237"/>
      <c r="P439" s="237"/>
      <c r="Q439" s="237"/>
      <c r="R439" s="237"/>
      <c r="S439" s="237"/>
      <c r="T439" s="237"/>
      <c r="U439" s="237"/>
      <c r="V439" s="237"/>
      <c r="W439" s="237"/>
      <c r="X439" s="237"/>
      <c r="Y439" s="237"/>
      <c r="Z439" s="237"/>
    </row>
    <row r="440">
      <c r="A440" s="305">
        <v>439.0</v>
      </c>
      <c r="B440" s="306" t="s">
        <v>4698</v>
      </c>
      <c r="C440" s="307" t="s">
        <v>1420</v>
      </c>
      <c r="D440" s="308" t="s">
        <v>4700</v>
      </c>
      <c r="E440" s="305" t="s">
        <v>4701</v>
      </c>
      <c r="F440" s="309" t="s">
        <v>4702</v>
      </c>
      <c r="G440" s="236"/>
      <c r="H440" s="307" t="s">
        <v>1420</v>
      </c>
      <c r="I440" s="237"/>
      <c r="J440" s="237"/>
      <c r="K440" s="310" t="s">
        <v>4699</v>
      </c>
      <c r="L440" s="237"/>
      <c r="M440" s="237"/>
      <c r="N440" s="237"/>
      <c r="O440" s="237"/>
      <c r="P440" s="237"/>
      <c r="Q440" s="237"/>
      <c r="R440" s="237"/>
      <c r="S440" s="237"/>
      <c r="T440" s="237"/>
      <c r="U440" s="237"/>
      <c r="V440" s="237"/>
      <c r="W440" s="237"/>
      <c r="X440" s="237"/>
      <c r="Y440" s="237"/>
      <c r="Z440" s="237"/>
    </row>
    <row r="441">
      <c r="A441" s="305">
        <v>440.0</v>
      </c>
      <c r="B441" s="306" t="s">
        <v>4548</v>
      </c>
      <c r="C441" s="307" t="s">
        <v>1420</v>
      </c>
      <c r="D441" s="308" t="s">
        <v>4550</v>
      </c>
      <c r="E441" s="305" t="s">
        <v>4551</v>
      </c>
      <c r="F441" s="309" t="s">
        <v>4552</v>
      </c>
      <c r="G441" s="236"/>
      <c r="H441" s="307" t="s">
        <v>1420</v>
      </c>
      <c r="I441" s="237"/>
      <c r="J441" s="237"/>
      <c r="K441" s="310" t="s">
        <v>4549</v>
      </c>
      <c r="L441" s="237"/>
      <c r="M441" s="237"/>
      <c r="N441" s="237"/>
      <c r="O441" s="237"/>
      <c r="P441" s="237"/>
      <c r="Q441" s="237"/>
      <c r="R441" s="237"/>
      <c r="S441" s="237"/>
      <c r="T441" s="237"/>
      <c r="U441" s="237"/>
      <c r="V441" s="237"/>
      <c r="W441" s="237"/>
      <c r="X441" s="237"/>
      <c r="Y441" s="237"/>
      <c r="Z441" s="237"/>
    </row>
    <row r="442">
      <c r="A442" s="305">
        <v>441.0</v>
      </c>
      <c r="B442" s="306" t="s">
        <v>4658</v>
      </c>
      <c r="C442" s="307" t="s">
        <v>1420</v>
      </c>
      <c r="D442" s="308" t="s">
        <v>4660</v>
      </c>
      <c r="E442" s="305" t="s">
        <v>4661</v>
      </c>
      <c r="F442" s="309" t="s">
        <v>4662</v>
      </c>
      <c r="G442" s="236"/>
      <c r="H442" s="307" t="s">
        <v>1420</v>
      </c>
      <c r="I442" s="237"/>
      <c r="J442" s="237"/>
      <c r="K442" s="310" t="s">
        <v>4659</v>
      </c>
      <c r="L442" s="237"/>
      <c r="M442" s="237"/>
      <c r="N442" s="237"/>
      <c r="O442" s="237"/>
      <c r="P442" s="237"/>
      <c r="Q442" s="237"/>
      <c r="R442" s="237"/>
      <c r="S442" s="237"/>
      <c r="T442" s="237"/>
      <c r="U442" s="237"/>
      <c r="V442" s="237"/>
      <c r="W442" s="237"/>
      <c r="X442" s="237"/>
      <c r="Y442" s="237"/>
      <c r="Z442" s="237"/>
    </row>
    <row r="443">
      <c r="A443" s="305">
        <v>442.0</v>
      </c>
      <c r="B443" s="236"/>
      <c r="C443" s="307" t="s">
        <v>1420</v>
      </c>
      <c r="D443" s="308" t="s">
        <v>4632</v>
      </c>
      <c r="E443" s="305" t="s">
        <v>4633</v>
      </c>
      <c r="F443" s="309" t="s">
        <v>4634</v>
      </c>
      <c r="G443" s="236"/>
      <c r="H443" s="307" t="s">
        <v>1420</v>
      </c>
      <c r="I443" s="237"/>
      <c r="J443" s="237"/>
      <c r="K443" s="310" t="s">
        <v>4631</v>
      </c>
      <c r="L443" s="237"/>
      <c r="M443" s="237"/>
      <c r="N443" s="237"/>
      <c r="O443" s="237"/>
      <c r="P443" s="237"/>
      <c r="Q443" s="237"/>
      <c r="R443" s="237"/>
      <c r="S443" s="237"/>
      <c r="T443" s="237"/>
      <c r="U443" s="237"/>
      <c r="V443" s="237"/>
      <c r="W443" s="237"/>
      <c r="X443" s="237"/>
      <c r="Y443" s="237"/>
      <c r="Z443" s="237"/>
    </row>
    <row r="444">
      <c r="A444" s="305">
        <v>443.0</v>
      </c>
      <c r="B444" s="306">
        <v>1071700.0</v>
      </c>
      <c r="C444" s="307" t="s">
        <v>1420</v>
      </c>
      <c r="D444" s="308" t="s">
        <v>7418</v>
      </c>
      <c r="E444" s="305" t="s">
        <v>7419</v>
      </c>
      <c r="F444" s="309" t="s">
        <v>7420</v>
      </c>
      <c r="G444" s="236"/>
      <c r="H444" s="307" t="s">
        <v>1420</v>
      </c>
      <c r="I444" s="237"/>
      <c r="J444" s="237"/>
      <c r="K444" s="310" t="s">
        <v>7417</v>
      </c>
      <c r="L444" s="237"/>
      <c r="M444" s="237"/>
      <c r="N444" s="237"/>
      <c r="O444" s="237"/>
      <c r="P444" s="237"/>
      <c r="Q444" s="237"/>
      <c r="R444" s="237"/>
      <c r="S444" s="237"/>
      <c r="T444" s="237"/>
      <c r="U444" s="237"/>
      <c r="V444" s="237"/>
      <c r="W444" s="237"/>
      <c r="X444" s="237"/>
      <c r="Y444" s="237"/>
      <c r="Z444" s="237"/>
    </row>
    <row r="445">
      <c r="A445" s="305">
        <v>444.0</v>
      </c>
      <c r="B445" s="236"/>
      <c r="C445" s="307" t="s">
        <v>1420</v>
      </c>
      <c r="D445" s="308" t="s">
        <v>13113</v>
      </c>
      <c r="E445" s="305" t="s">
        <v>13114</v>
      </c>
      <c r="F445" s="309" t="s">
        <v>14070</v>
      </c>
      <c r="G445" s="236"/>
      <c r="H445" s="307" t="s">
        <v>1420</v>
      </c>
      <c r="I445" s="237"/>
      <c r="J445" s="237"/>
      <c r="K445" s="310" t="s">
        <v>13112</v>
      </c>
      <c r="L445" s="237"/>
      <c r="M445" s="237"/>
      <c r="N445" s="237"/>
      <c r="O445" s="237"/>
      <c r="P445" s="237"/>
      <c r="Q445" s="237"/>
      <c r="R445" s="237"/>
      <c r="S445" s="237"/>
      <c r="T445" s="237"/>
      <c r="U445" s="237"/>
      <c r="V445" s="237"/>
      <c r="W445" s="237"/>
      <c r="X445" s="237"/>
      <c r="Y445" s="237"/>
      <c r="Z445" s="237"/>
    </row>
    <row r="446">
      <c r="A446" s="305">
        <v>445.0</v>
      </c>
      <c r="B446" s="306">
        <v>1071702.0</v>
      </c>
      <c r="C446" s="307" t="s">
        <v>1420</v>
      </c>
      <c r="D446" s="308" t="s">
        <v>7437</v>
      </c>
      <c r="E446" s="305" t="s">
        <v>7438</v>
      </c>
      <c r="F446" s="309" t="s">
        <v>7439</v>
      </c>
      <c r="G446" s="236"/>
      <c r="H446" s="307" t="s">
        <v>1420</v>
      </c>
      <c r="I446" s="237"/>
      <c r="J446" s="237"/>
      <c r="K446" s="310" t="s">
        <v>7436</v>
      </c>
      <c r="L446" s="237"/>
      <c r="M446" s="237"/>
      <c r="N446" s="237"/>
      <c r="O446" s="237"/>
      <c r="P446" s="237"/>
      <c r="Q446" s="237"/>
      <c r="R446" s="237"/>
      <c r="S446" s="237"/>
      <c r="T446" s="237"/>
      <c r="U446" s="237"/>
      <c r="V446" s="237"/>
      <c r="W446" s="237"/>
      <c r="X446" s="237"/>
      <c r="Y446" s="237"/>
      <c r="Z446" s="237"/>
    </row>
    <row r="447">
      <c r="A447" s="305">
        <v>446.0</v>
      </c>
      <c r="B447" s="306" t="s">
        <v>4411</v>
      </c>
      <c r="C447" s="307" t="s">
        <v>1420</v>
      </c>
      <c r="D447" s="308" t="s">
        <v>4413</v>
      </c>
      <c r="E447" s="305" t="s">
        <v>4414</v>
      </c>
      <c r="F447" s="309" t="s">
        <v>4415</v>
      </c>
      <c r="G447" s="236"/>
      <c r="H447" s="307" t="s">
        <v>1420</v>
      </c>
      <c r="I447" s="237"/>
      <c r="J447" s="237"/>
      <c r="K447" s="310" t="s">
        <v>4412</v>
      </c>
      <c r="L447" s="237"/>
      <c r="M447" s="237"/>
      <c r="N447" s="237"/>
      <c r="O447" s="237"/>
      <c r="P447" s="237"/>
      <c r="Q447" s="237"/>
      <c r="R447" s="237"/>
      <c r="S447" s="237"/>
      <c r="T447" s="237"/>
      <c r="U447" s="237"/>
      <c r="V447" s="237"/>
      <c r="W447" s="237"/>
      <c r="X447" s="237"/>
      <c r="Y447" s="237"/>
      <c r="Z447" s="237"/>
    </row>
    <row r="448">
      <c r="A448" s="305">
        <v>447.0</v>
      </c>
      <c r="B448" s="306" t="s">
        <v>5550</v>
      </c>
      <c r="C448" s="307" t="s">
        <v>1420</v>
      </c>
      <c r="D448" s="308" t="s">
        <v>5552</v>
      </c>
      <c r="E448" s="305" t="s">
        <v>5553</v>
      </c>
      <c r="F448" s="309" t="s">
        <v>5852</v>
      </c>
      <c r="G448" s="236"/>
      <c r="H448" s="307" t="s">
        <v>1420</v>
      </c>
      <c r="I448" s="237"/>
      <c r="J448" s="237"/>
      <c r="K448" s="310" t="s">
        <v>5851</v>
      </c>
      <c r="L448" s="237"/>
      <c r="M448" s="237"/>
      <c r="N448" s="237"/>
      <c r="O448" s="237"/>
      <c r="P448" s="237"/>
      <c r="Q448" s="237"/>
      <c r="R448" s="237"/>
      <c r="S448" s="237"/>
      <c r="T448" s="237"/>
      <c r="U448" s="237"/>
      <c r="V448" s="237"/>
      <c r="W448" s="237"/>
      <c r="X448" s="237"/>
      <c r="Y448" s="237"/>
      <c r="Z448" s="237"/>
    </row>
    <row r="449">
      <c r="A449" s="305">
        <v>448.0</v>
      </c>
      <c r="B449" s="236"/>
      <c r="C449" s="307" t="s">
        <v>1420</v>
      </c>
      <c r="D449" s="308" t="s">
        <v>13137</v>
      </c>
      <c r="E449" s="305" t="s">
        <v>13138</v>
      </c>
      <c r="F449" s="309" t="s">
        <v>14071</v>
      </c>
      <c r="G449" s="307" t="s">
        <v>13128</v>
      </c>
      <c r="H449" s="307" t="s">
        <v>1420</v>
      </c>
      <c r="I449" s="237"/>
      <c r="J449" s="237"/>
      <c r="K449" s="310" t="s">
        <v>13136</v>
      </c>
      <c r="L449" s="237"/>
      <c r="M449" s="237"/>
      <c r="N449" s="237"/>
      <c r="O449" s="237"/>
      <c r="P449" s="237"/>
      <c r="Q449" s="237"/>
      <c r="R449" s="237"/>
      <c r="S449" s="237"/>
      <c r="T449" s="237"/>
      <c r="U449" s="237"/>
      <c r="V449" s="237"/>
      <c r="W449" s="237"/>
      <c r="X449" s="237"/>
      <c r="Y449" s="237"/>
      <c r="Z449" s="237"/>
    </row>
    <row r="450">
      <c r="A450" s="305">
        <v>449.0</v>
      </c>
      <c r="B450" s="306" t="s">
        <v>6043</v>
      </c>
      <c r="C450" s="307" t="s">
        <v>1420</v>
      </c>
      <c r="D450" s="308" t="s">
        <v>6045</v>
      </c>
      <c r="E450" s="305" t="s">
        <v>6046</v>
      </c>
      <c r="F450" s="309" t="s">
        <v>6047</v>
      </c>
      <c r="G450" s="236"/>
      <c r="H450" s="307" t="s">
        <v>1420</v>
      </c>
      <c r="I450" s="237"/>
      <c r="J450" s="237"/>
      <c r="K450" s="310" t="s">
        <v>6044</v>
      </c>
      <c r="L450" s="237"/>
      <c r="M450" s="237"/>
      <c r="N450" s="237"/>
      <c r="O450" s="237"/>
      <c r="P450" s="237"/>
      <c r="Q450" s="237"/>
      <c r="R450" s="237"/>
      <c r="S450" s="237"/>
      <c r="T450" s="237"/>
      <c r="U450" s="237"/>
      <c r="V450" s="237"/>
      <c r="W450" s="237"/>
      <c r="X450" s="237"/>
      <c r="Y450" s="237"/>
      <c r="Z450" s="237"/>
    </row>
    <row r="451">
      <c r="A451" s="305">
        <v>450.0</v>
      </c>
      <c r="B451" s="236"/>
      <c r="C451" s="307" t="s">
        <v>1420</v>
      </c>
      <c r="D451" s="308" t="s">
        <v>5389</v>
      </c>
      <c r="E451" s="305" t="s">
        <v>5390</v>
      </c>
      <c r="F451" s="309" t="s">
        <v>5391</v>
      </c>
      <c r="G451" s="236"/>
      <c r="H451" s="307" t="s">
        <v>1420</v>
      </c>
      <c r="I451" s="237"/>
      <c r="J451" s="237"/>
      <c r="K451" s="310" t="s">
        <v>5388</v>
      </c>
      <c r="L451" s="237"/>
      <c r="M451" s="237"/>
      <c r="N451" s="237"/>
      <c r="O451" s="237"/>
      <c r="P451" s="237"/>
      <c r="Q451" s="237"/>
      <c r="R451" s="237"/>
      <c r="S451" s="237"/>
      <c r="T451" s="237"/>
      <c r="U451" s="237"/>
      <c r="V451" s="237"/>
      <c r="W451" s="237"/>
      <c r="X451" s="237"/>
      <c r="Y451" s="237"/>
      <c r="Z451" s="237"/>
    </row>
    <row r="452">
      <c r="A452" s="305">
        <v>451.0</v>
      </c>
      <c r="B452" s="306" t="s">
        <v>5407</v>
      </c>
      <c r="C452" s="307" t="s">
        <v>1420</v>
      </c>
      <c r="D452" s="308" t="s">
        <v>2299</v>
      </c>
      <c r="E452" s="305" t="s">
        <v>5409</v>
      </c>
      <c r="F452" s="309" t="s">
        <v>5410</v>
      </c>
      <c r="G452" s="236"/>
      <c r="H452" s="307" t="s">
        <v>1420</v>
      </c>
      <c r="I452" s="237"/>
      <c r="J452" s="237"/>
      <c r="K452" s="310" t="s">
        <v>5408</v>
      </c>
      <c r="L452" s="237"/>
      <c r="M452" s="237"/>
      <c r="N452" s="237"/>
      <c r="O452" s="237"/>
      <c r="P452" s="237"/>
      <c r="Q452" s="237"/>
      <c r="R452" s="237"/>
      <c r="S452" s="237"/>
      <c r="T452" s="237"/>
      <c r="U452" s="237"/>
      <c r="V452" s="237"/>
      <c r="W452" s="237"/>
      <c r="X452" s="237"/>
      <c r="Y452" s="237"/>
      <c r="Z452" s="237"/>
    </row>
    <row r="453">
      <c r="A453" s="305">
        <v>452.0</v>
      </c>
      <c r="B453" s="306" t="s">
        <v>7440</v>
      </c>
      <c r="C453" s="307" t="s">
        <v>1420</v>
      </c>
      <c r="D453" s="308" t="s">
        <v>7442</v>
      </c>
      <c r="E453" s="305" t="s">
        <v>7443</v>
      </c>
      <c r="F453" s="309" t="s">
        <v>7444</v>
      </c>
      <c r="G453" s="236"/>
      <c r="H453" s="307" t="s">
        <v>1420</v>
      </c>
      <c r="I453" s="237"/>
      <c r="J453" s="237"/>
      <c r="K453" s="310" t="s">
        <v>7441</v>
      </c>
      <c r="L453" s="237"/>
      <c r="M453" s="237"/>
      <c r="N453" s="237"/>
      <c r="O453" s="237"/>
      <c r="P453" s="237"/>
      <c r="Q453" s="237"/>
      <c r="R453" s="237"/>
      <c r="S453" s="237"/>
      <c r="T453" s="237"/>
      <c r="U453" s="237"/>
      <c r="V453" s="237"/>
      <c r="W453" s="237"/>
      <c r="X453" s="237"/>
      <c r="Y453" s="237"/>
      <c r="Z453" s="237"/>
    </row>
    <row r="454">
      <c r="A454" s="305">
        <v>453.0</v>
      </c>
      <c r="B454" s="306">
        <v>1071701.0</v>
      </c>
      <c r="C454" s="307" t="s">
        <v>1420</v>
      </c>
      <c r="D454" s="308" t="s">
        <v>7432</v>
      </c>
      <c r="E454" s="305" t="s">
        <v>7433</v>
      </c>
      <c r="F454" s="309" t="s">
        <v>7434</v>
      </c>
      <c r="G454" s="236"/>
      <c r="H454" s="307" t="s">
        <v>1420</v>
      </c>
      <c r="I454" s="237"/>
      <c r="J454" s="237"/>
      <c r="K454" s="310" t="s">
        <v>7431</v>
      </c>
      <c r="L454" s="237"/>
      <c r="M454" s="237"/>
      <c r="N454" s="237"/>
      <c r="O454" s="237"/>
      <c r="P454" s="237"/>
      <c r="Q454" s="237"/>
      <c r="R454" s="237"/>
      <c r="S454" s="237"/>
      <c r="T454" s="237"/>
      <c r="U454" s="237"/>
      <c r="V454" s="237"/>
      <c r="W454" s="237"/>
      <c r="X454" s="237"/>
      <c r="Y454" s="237"/>
      <c r="Z454" s="237"/>
    </row>
    <row r="455">
      <c r="A455" s="305">
        <v>454.0</v>
      </c>
      <c r="B455" s="306" t="s">
        <v>5402</v>
      </c>
      <c r="C455" s="307" t="s">
        <v>1420</v>
      </c>
      <c r="D455" s="308" t="s">
        <v>5404</v>
      </c>
      <c r="E455" s="305" t="s">
        <v>5405</v>
      </c>
      <c r="F455" s="309" t="s">
        <v>5406</v>
      </c>
      <c r="G455" s="236"/>
      <c r="H455" s="307" t="s">
        <v>1420</v>
      </c>
      <c r="I455" s="237"/>
      <c r="J455" s="237"/>
      <c r="K455" s="310" t="s">
        <v>5403</v>
      </c>
      <c r="L455" s="237"/>
      <c r="M455" s="237"/>
      <c r="N455" s="237"/>
      <c r="O455" s="237"/>
      <c r="P455" s="237"/>
      <c r="Q455" s="237"/>
      <c r="R455" s="237"/>
      <c r="S455" s="237"/>
      <c r="T455" s="237"/>
      <c r="U455" s="237"/>
      <c r="V455" s="237"/>
      <c r="W455" s="237"/>
      <c r="X455" s="237"/>
      <c r="Y455" s="237"/>
      <c r="Z455" s="237"/>
    </row>
    <row r="456">
      <c r="A456" s="305">
        <v>455.0</v>
      </c>
      <c r="B456" s="306" t="s">
        <v>5402</v>
      </c>
      <c r="C456" s="307" t="s">
        <v>1420</v>
      </c>
      <c r="D456" s="308" t="s">
        <v>5404</v>
      </c>
      <c r="E456" s="305" t="s">
        <v>6005</v>
      </c>
      <c r="F456" s="309" t="s">
        <v>6006</v>
      </c>
      <c r="G456" s="236"/>
      <c r="H456" s="307" t="s">
        <v>1420</v>
      </c>
      <c r="I456" s="237"/>
      <c r="J456" s="237"/>
      <c r="K456" s="310" t="s">
        <v>6004</v>
      </c>
      <c r="L456" s="237"/>
      <c r="M456" s="237"/>
      <c r="N456" s="237"/>
      <c r="O456" s="237"/>
      <c r="P456" s="237"/>
      <c r="Q456" s="237"/>
      <c r="R456" s="237"/>
      <c r="S456" s="237"/>
      <c r="T456" s="237"/>
      <c r="U456" s="237"/>
      <c r="V456" s="237"/>
      <c r="W456" s="237"/>
      <c r="X456" s="237"/>
      <c r="Y456" s="237"/>
      <c r="Z456" s="237"/>
    </row>
    <row r="457">
      <c r="A457" s="305">
        <v>456.0</v>
      </c>
      <c r="B457" s="306" t="s">
        <v>6038</v>
      </c>
      <c r="C457" s="307" t="s">
        <v>1420</v>
      </c>
      <c r="D457" s="308" t="s">
        <v>6040</v>
      </c>
      <c r="E457" s="305" t="s">
        <v>6041</v>
      </c>
      <c r="F457" s="309" t="s">
        <v>6042</v>
      </c>
      <c r="G457" s="236"/>
      <c r="H457" s="307" t="s">
        <v>1420</v>
      </c>
      <c r="I457" s="237"/>
      <c r="J457" s="237"/>
      <c r="K457" s="310" t="s">
        <v>6039</v>
      </c>
      <c r="L457" s="237"/>
      <c r="M457" s="237"/>
      <c r="N457" s="237"/>
      <c r="O457" s="237"/>
      <c r="P457" s="237"/>
      <c r="Q457" s="237"/>
      <c r="R457" s="237"/>
      <c r="S457" s="237"/>
      <c r="T457" s="237"/>
      <c r="U457" s="237"/>
      <c r="V457" s="237"/>
      <c r="W457" s="237"/>
      <c r="X457" s="237"/>
      <c r="Y457" s="237"/>
      <c r="Z457" s="237"/>
    </row>
    <row r="458">
      <c r="A458" s="305">
        <v>457.0</v>
      </c>
      <c r="B458" s="306" t="s">
        <v>5752</v>
      </c>
      <c r="C458" s="307" t="s">
        <v>1420</v>
      </c>
      <c r="D458" s="308" t="s">
        <v>5754</v>
      </c>
      <c r="E458" s="305" t="s">
        <v>5755</v>
      </c>
      <c r="F458" s="309" t="s">
        <v>5756</v>
      </c>
      <c r="G458" s="236"/>
      <c r="H458" s="307" t="s">
        <v>1420</v>
      </c>
      <c r="I458" s="237"/>
      <c r="J458" s="237"/>
      <c r="K458" s="310" t="s">
        <v>5753</v>
      </c>
      <c r="L458" s="237"/>
      <c r="M458" s="237"/>
      <c r="N458" s="237"/>
      <c r="O458" s="237"/>
      <c r="P458" s="237"/>
      <c r="Q458" s="237"/>
      <c r="R458" s="237"/>
      <c r="S458" s="237"/>
      <c r="T458" s="237"/>
      <c r="U458" s="237"/>
      <c r="V458" s="237"/>
      <c r="W458" s="237"/>
      <c r="X458" s="237"/>
      <c r="Y458" s="237"/>
      <c r="Z458" s="237"/>
    </row>
    <row r="459">
      <c r="A459" s="305">
        <v>458.0</v>
      </c>
      <c r="B459" s="236"/>
      <c r="C459" s="307" t="s">
        <v>14007</v>
      </c>
      <c r="D459" s="308" t="s">
        <v>13132</v>
      </c>
      <c r="E459" s="236"/>
      <c r="F459" s="236"/>
      <c r="G459" s="307" t="s">
        <v>13128</v>
      </c>
      <c r="H459" s="307" t="s">
        <v>14007</v>
      </c>
      <c r="I459" s="237"/>
      <c r="J459" s="237"/>
      <c r="K459" s="262"/>
      <c r="L459" s="237"/>
      <c r="M459" s="237"/>
      <c r="N459" s="237"/>
      <c r="O459" s="237"/>
      <c r="P459" s="237"/>
      <c r="Q459" s="237"/>
      <c r="R459" s="237"/>
      <c r="S459" s="237"/>
      <c r="T459" s="237"/>
      <c r="U459" s="237"/>
      <c r="V459" s="237"/>
      <c r="W459" s="237"/>
      <c r="X459" s="237"/>
      <c r="Y459" s="237"/>
      <c r="Z459" s="237"/>
    </row>
    <row r="460">
      <c r="A460" s="305">
        <v>459.0</v>
      </c>
      <c r="B460" s="306" t="s">
        <v>4715</v>
      </c>
      <c r="C460" s="307" t="s">
        <v>1420</v>
      </c>
      <c r="D460" s="308" t="s">
        <v>4717</v>
      </c>
      <c r="E460" s="305" t="s">
        <v>4718</v>
      </c>
      <c r="F460" s="309" t="s">
        <v>4719</v>
      </c>
      <c r="G460" s="236"/>
      <c r="H460" s="307" t="s">
        <v>1420</v>
      </c>
      <c r="I460" s="237"/>
      <c r="J460" s="237"/>
      <c r="K460" s="310" t="s">
        <v>4716</v>
      </c>
      <c r="L460" s="237"/>
      <c r="M460" s="237"/>
      <c r="N460" s="237"/>
      <c r="O460" s="237"/>
      <c r="P460" s="237"/>
      <c r="Q460" s="237"/>
      <c r="R460" s="237"/>
      <c r="S460" s="237"/>
      <c r="T460" s="237"/>
      <c r="U460" s="237"/>
      <c r="V460" s="237"/>
      <c r="W460" s="237"/>
      <c r="X460" s="237"/>
      <c r="Y460" s="237"/>
      <c r="Z460" s="237"/>
    </row>
    <row r="461">
      <c r="A461" s="305">
        <v>460.0</v>
      </c>
      <c r="B461" s="306" t="s">
        <v>5464</v>
      </c>
      <c r="C461" s="307" t="s">
        <v>1420</v>
      </c>
      <c r="D461" s="308" t="s">
        <v>5466</v>
      </c>
      <c r="E461" s="305" t="s">
        <v>5467</v>
      </c>
      <c r="F461" s="309" t="s">
        <v>5468</v>
      </c>
      <c r="G461" s="236"/>
      <c r="H461" s="307" t="s">
        <v>1420</v>
      </c>
      <c r="I461" s="237"/>
      <c r="J461" s="237"/>
      <c r="K461" s="310" t="s">
        <v>5465</v>
      </c>
      <c r="L461" s="237"/>
      <c r="M461" s="237"/>
      <c r="N461" s="237"/>
      <c r="O461" s="237"/>
      <c r="P461" s="237"/>
      <c r="Q461" s="237"/>
      <c r="R461" s="237"/>
      <c r="S461" s="237"/>
      <c r="T461" s="237"/>
      <c r="U461" s="237"/>
      <c r="V461" s="237"/>
      <c r="W461" s="237"/>
      <c r="X461" s="237"/>
      <c r="Y461" s="237"/>
      <c r="Z461" s="237"/>
    </row>
    <row r="462">
      <c r="A462" s="305">
        <v>461.0</v>
      </c>
      <c r="B462" s="306" t="s">
        <v>8478</v>
      </c>
      <c r="C462" s="307" t="s">
        <v>1420</v>
      </c>
      <c r="D462" s="308" t="s">
        <v>8480</v>
      </c>
      <c r="E462" s="305" t="s">
        <v>8481</v>
      </c>
      <c r="F462" s="309" t="s">
        <v>8482</v>
      </c>
      <c r="G462" s="236"/>
      <c r="H462" s="307" t="s">
        <v>1420</v>
      </c>
      <c r="I462" s="237"/>
      <c r="J462" s="237"/>
      <c r="K462" s="310" t="s">
        <v>8479</v>
      </c>
      <c r="L462" s="237"/>
      <c r="M462" s="237"/>
      <c r="N462" s="237"/>
      <c r="O462" s="237"/>
      <c r="P462" s="237"/>
      <c r="Q462" s="237"/>
      <c r="R462" s="237"/>
      <c r="S462" s="237"/>
      <c r="T462" s="237"/>
      <c r="U462" s="237"/>
      <c r="V462" s="237"/>
      <c r="W462" s="237"/>
      <c r="X462" s="237"/>
      <c r="Y462" s="237"/>
      <c r="Z462" s="237"/>
    </row>
    <row r="463">
      <c r="A463" s="305">
        <v>462.0</v>
      </c>
      <c r="B463" s="306" t="s">
        <v>8473</v>
      </c>
      <c r="C463" s="307" t="s">
        <v>1420</v>
      </c>
      <c r="D463" s="308" t="s">
        <v>8475</v>
      </c>
      <c r="E463" s="305" t="s">
        <v>8476</v>
      </c>
      <c r="F463" s="309" t="s">
        <v>8477</v>
      </c>
      <c r="G463" s="236"/>
      <c r="H463" s="307" t="s">
        <v>1420</v>
      </c>
      <c r="I463" s="237"/>
      <c r="J463" s="237"/>
      <c r="K463" s="310" t="s">
        <v>8474</v>
      </c>
      <c r="L463" s="237"/>
      <c r="M463" s="237"/>
      <c r="N463" s="237"/>
      <c r="O463" s="237"/>
      <c r="P463" s="237"/>
      <c r="Q463" s="237"/>
      <c r="R463" s="237"/>
      <c r="S463" s="237"/>
      <c r="T463" s="237"/>
      <c r="U463" s="237"/>
      <c r="V463" s="237"/>
      <c r="W463" s="237"/>
      <c r="X463" s="237"/>
      <c r="Y463" s="237"/>
      <c r="Z463" s="237"/>
    </row>
    <row r="464">
      <c r="A464" s="305">
        <v>463.0</v>
      </c>
      <c r="B464" s="306" t="s">
        <v>8488</v>
      </c>
      <c r="C464" s="307" t="s">
        <v>1420</v>
      </c>
      <c r="D464" s="308" t="s">
        <v>8490</v>
      </c>
      <c r="E464" s="305" t="s">
        <v>8491</v>
      </c>
      <c r="F464" s="309" t="s">
        <v>8492</v>
      </c>
      <c r="G464" s="236"/>
      <c r="H464" s="307" t="s">
        <v>1420</v>
      </c>
      <c r="I464" s="237"/>
      <c r="J464" s="237"/>
      <c r="K464" s="310" t="s">
        <v>8489</v>
      </c>
      <c r="L464" s="237"/>
      <c r="M464" s="237"/>
      <c r="N464" s="237"/>
      <c r="O464" s="237"/>
      <c r="P464" s="237"/>
      <c r="Q464" s="237"/>
      <c r="R464" s="237"/>
      <c r="S464" s="237"/>
      <c r="T464" s="237"/>
      <c r="U464" s="237"/>
      <c r="V464" s="237"/>
      <c r="W464" s="237"/>
      <c r="X464" s="237"/>
      <c r="Y464" s="237"/>
      <c r="Z464" s="237"/>
    </row>
    <row r="465">
      <c r="A465" s="305">
        <v>464.0</v>
      </c>
      <c r="B465" s="306" t="s">
        <v>8483</v>
      </c>
      <c r="C465" s="307" t="s">
        <v>1420</v>
      </c>
      <c r="D465" s="308" t="s">
        <v>8485</v>
      </c>
      <c r="E465" s="305" t="s">
        <v>8486</v>
      </c>
      <c r="F465" s="309" t="s">
        <v>8487</v>
      </c>
      <c r="G465" s="236"/>
      <c r="H465" s="307" t="s">
        <v>1420</v>
      </c>
      <c r="I465" s="237"/>
      <c r="J465" s="237"/>
      <c r="K465" s="310" t="s">
        <v>8484</v>
      </c>
      <c r="L465" s="237"/>
      <c r="M465" s="237"/>
      <c r="N465" s="237"/>
      <c r="O465" s="237"/>
      <c r="P465" s="237"/>
      <c r="Q465" s="237"/>
      <c r="R465" s="237"/>
      <c r="S465" s="237"/>
      <c r="T465" s="237"/>
      <c r="U465" s="237"/>
      <c r="V465" s="237"/>
      <c r="W465" s="237"/>
      <c r="X465" s="237"/>
      <c r="Y465" s="237"/>
      <c r="Z465" s="237"/>
    </row>
    <row r="466">
      <c r="A466" s="305">
        <v>465.0</v>
      </c>
      <c r="B466" s="306" t="s">
        <v>4187</v>
      </c>
      <c r="C466" s="307" t="s">
        <v>1420</v>
      </c>
      <c r="D466" s="308" t="s">
        <v>4189</v>
      </c>
      <c r="E466" s="305" t="s">
        <v>4190</v>
      </c>
      <c r="F466" s="309" t="s">
        <v>4191</v>
      </c>
      <c r="G466" s="236"/>
      <c r="H466" s="307" t="s">
        <v>1420</v>
      </c>
      <c r="I466" s="237"/>
      <c r="J466" s="237"/>
      <c r="K466" s="310" t="s">
        <v>4188</v>
      </c>
      <c r="L466" s="237"/>
      <c r="M466" s="237"/>
      <c r="N466" s="237"/>
      <c r="O466" s="237"/>
      <c r="P466" s="237"/>
      <c r="Q466" s="237"/>
      <c r="R466" s="237"/>
      <c r="S466" s="237"/>
      <c r="T466" s="237"/>
      <c r="U466" s="237"/>
      <c r="V466" s="237"/>
      <c r="W466" s="237"/>
      <c r="X466" s="237"/>
      <c r="Y466" s="237"/>
      <c r="Z466" s="237"/>
    </row>
    <row r="467">
      <c r="A467" s="305">
        <v>466.0</v>
      </c>
      <c r="B467" s="306" t="s">
        <v>4172</v>
      </c>
      <c r="C467" s="307" t="s">
        <v>1420</v>
      </c>
      <c r="D467" s="308" t="s">
        <v>4174</v>
      </c>
      <c r="E467" s="305" t="s">
        <v>4175</v>
      </c>
      <c r="F467" s="309" t="s">
        <v>4176</v>
      </c>
      <c r="G467" s="236"/>
      <c r="H467" s="307" t="s">
        <v>1420</v>
      </c>
      <c r="I467" s="237"/>
      <c r="J467" s="237"/>
      <c r="K467" s="310" t="s">
        <v>4173</v>
      </c>
      <c r="L467" s="237"/>
      <c r="M467" s="237"/>
      <c r="N467" s="237"/>
      <c r="O467" s="237"/>
      <c r="P467" s="237"/>
      <c r="Q467" s="237"/>
      <c r="R467" s="237"/>
      <c r="S467" s="237"/>
      <c r="T467" s="237"/>
      <c r="U467" s="237"/>
      <c r="V467" s="237"/>
      <c r="W467" s="237"/>
      <c r="X467" s="237"/>
      <c r="Y467" s="237"/>
      <c r="Z467" s="237"/>
    </row>
    <row r="468">
      <c r="A468" s="305">
        <v>467.0</v>
      </c>
      <c r="B468" s="306" t="s">
        <v>4182</v>
      </c>
      <c r="C468" s="307" t="s">
        <v>1420</v>
      </c>
      <c r="D468" s="308" t="s">
        <v>4184</v>
      </c>
      <c r="E468" s="305" t="s">
        <v>4185</v>
      </c>
      <c r="F468" s="309" t="s">
        <v>4186</v>
      </c>
      <c r="G468" s="236"/>
      <c r="H468" s="307" t="s">
        <v>1420</v>
      </c>
      <c r="I468" s="237"/>
      <c r="J468" s="237"/>
      <c r="K468" s="310" t="s">
        <v>4183</v>
      </c>
      <c r="L468" s="237"/>
      <c r="M468" s="237"/>
      <c r="N468" s="237"/>
      <c r="O468" s="237"/>
      <c r="P468" s="237"/>
      <c r="Q468" s="237"/>
      <c r="R468" s="237"/>
      <c r="S468" s="237"/>
      <c r="T468" s="237"/>
      <c r="U468" s="237"/>
      <c r="V468" s="237"/>
      <c r="W468" s="237"/>
      <c r="X468" s="237"/>
      <c r="Y468" s="237"/>
      <c r="Z468" s="237"/>
    </row>
    <row r="469">
      <c r="A469" s="305">
        <v>468.0</v>
      </c>
      <c r="B469" s="306" t="s">
        <v>4177</v>
      </c>
      <c r="C469" s="307" t="s">
        <v>1420</v>
      </c>
      <c r="D469" s="308" t="s">
        <v>4179</v>
      </c>
      <c r="E469" s="305" t="s">
        <v>4180</v>
      </c>
      <c r="F469" s="309" t="s">
        <v>4181</v>
      </c>
      <c r="G469" s="236"/>
      <c r="H469" s="307" t="s">
        <v>1420</v>
      </c>
      <c r="I469" s="237"/>
      <c r="J469" s="237"/>
      <c r="K469" s="310" t="s">
        <v>4178</v>
      </c>
      <c r="L469" s="237"/>
      <c r="M469" s="237"/>
      <c r="N469" s="237"/>
      <c r="O469" s="237"/>
      <c r="P469" s="237"/>
      <c r="Q469" s="237"/>
      <c r="R469" s="237"/>
      <c r="S469" s="237"/>
      <c r="T469" s="237"/>
      <c r="U469" s="237"/>
      <c r="V469" s="237"/>
      <c r="W469" s="237"/>
      <c r="X469" s="237"/>
      <c r="Y469" s="237"/>
      <c r="Z469" s="237"/>
    </row>
    <row r="470">
      <c r="A470" s="305">
        <v>469.0</v>
      </c>
      <c r="B470" s="306" t="s">
        <v>5940</v>
      </c>
      <c r="C470" s="307" t="s">
        <v>1420</v>
      </c>
      <c r="D470" s="308" t="s">
        <v>5942</v>
      </c>
      <c r="E470" s="305" t="s">
        <v>5943</v>
      </c>
      <c r="F470" s="309" t="s">
        <v>5944</v>
      </c>
      <c r="G470" s="236"/>
      <c r="H470" s="307" t="s">
        <v>1420</v>
      </c>
      <c r="I470" s="237"/>
      <c r="J470" s="237"/>
      <c r="K470" s="310" t="s">
        <v>5941</v>
      </c>
      <c r="L470" s="237"/>
      <c r="M470" s="237"/>
      <c r="N470" s="237"/>
      <c r="O470" s="237"/>
      <c r="P470" s="237"/>
      <c r="Q470" s="237"/>
      <c r="R470" s="237"/>
      <c r="S470" s="237"/>
      <c r="T470" s="237"/>
      <c r="U470" s="237"/>
      <c r="V470" s="237"/>
      <c r="W470" s="237"/>
      <c r="X470" s="237"/>
      <c r="Y470" s="237"/>
      <c r="Z470" s="237"/>
    </row>
    <row r="471">
      <c r="A471" s="305">
        <v>470.0</v>
      </c>
      <c r="B471" s="306" t="s">
        <v>5950</v>
      </c>
      <c r="C471" s="307" t="s">
        <v>1420</v>
      </c>
      <c r="D471" s="308" t="s">
        <v>5952</v>
      </c>
      <c r="E471" s="305" t="s">
        <v>5953</v>
      </c>
      <c r="F471" s="309" t="s">
        <v>5954</v>
      </c>
      <c r="G471" s="236"/>
      <c r="H471" s="307" t="s">
        <v>1420</v>
      </c>
      <c r="I471" s="237"/>
      <c r="J471" s="237"/>
      <c r="K471" s="310" t="s">
        <v>5951</v>
      </c>
      <c r="L471" s="237"/>
      <c r="M471" s="237"/>
      <c r="N471" s="237"/>
      <c r="O471" s="237"/>
      <c r="P471" s="237"/>
      <c r="Q471" s="237"/>
      <c r="R471" s="237"/>
      <c r="S471" s="237"/>
      <c r="T471" s="237"/>
      <c r="U471" s="237"/>
      <c r="V471" s="237"/>
      <c r="W471" s="237"/>
      <c r="X471" s="237"/>
      <c r="Y471" s="237"/>
      <c r="Z471" s="237"/>
    </row>
    <row r="472">
      <c r="A472" s="305">
        <v>471.0</v>
      </c>
      <c r="B472" s="236"/>
      <c r="C472" s="307" t="s">
        <v>1420</v>
      </c>
      <c r="D472" s="308" t="s">
        <v>5956</v>
      </c>
      <c r="E472" s="305" t="s">
        <v>5957</v>
      </c>
      <c r="F472" s="309" t="s">
        <v>5958</v>
      </c>
      <c r="G472" s="236"/>
      <c r="H472" s="307" t="s">
        <v>1420</v>
      </c>
      <c r="I472" s="237"/>
      <c r="J472" s="237"/>
      <c r="K472" s="310" t="s">
        <v>5955</v>
      </c>
      <c r="L472" s="237"/>
      <c r="M472" s="237"/>
      <c r="N472" s="237"/>
      <c r="O472" s="237"/>
      <c r="P472" s="237"/>
      <c r="Q472" s="237"/>
      <c r="R472" s="237"/>
      <c r="S472" s="237"/>
      <c r="T472" s="237"/>
      <c r="U472" s="237"/>
      <c r="V472" s="237"/>
      <c r="W472" s="237"/>
      <c r="X472" s="237"/>
      <c r="Y472" s="237"/>
      <c r="Z472" s="237"/>
    </row>
    <row r="473">
      <c r="A473" s="305">
        <v>472.0</v>
      </c>
      <c r="B473" s="306" t="s">
        <v>5945</v>
      </c>
      <c r="C473" s="307" t="s">
        <v>1420</v>
      </c>
      <c r="D473" s="308" t="s">
        <v>5947</v>
      </c>
      <c r="E473" s="305" t="s">
        <v>5948</v>
      </c>
      <c r="F473" s="309" t="s">
        <v>5949</v>
      </c>
      <c r="G473" s="236"/>
      <c r="H473" s="307" t="s">
        <v>1420</v>
      </c>
      <c r="I473" s="237"/>
      <c r="J473" s="237"/>
      <c r="K473" s="310" t="s">
        <v>5946</v>
      </c>
      <c r="L473" s="237"/>
      <c r="M473" s="237"/>
      <c r="N473" s="237"/>
      <c r="O473" s="237"/>
      <c r="P473" s="237"/>
      <c r="Q473" s="237"/>
      <c r="R473" s="237"/>
      <c r="S473" s="237"/>
      <c r="T473" s="237"/>
      <c r="U473" s="237"/>
      <c r="V473" s="237"/>
      <c r="W473" s="237"/>
      <c r="X473" s="237"/>
      <c r="Y473" s="237"/>
      <c r="Z473" s="237"/>
    </row>
    <row r="474">
      <c r="A474" s="305">
        <v>473.0</v>
      </c>
      <c r="B474" s="306" t="s">
        <v>7788</v>
      </c>
      <c r="C474" s="307" t="s">
        <v>1420</v>
      </c>
      <c r="D474" s="308" t="s">
        <v>7790</v>
      </c>
      <c r="E474" s="305" t="s">
        <v>7791</v>
      </c>
      <c r="F474" s="309" t="s">
        <v>7792</v>
      </c>
      <c r="G474" s="236"/>
      <c r="H474" s="307" t="s">
        <v>1420</v>
      </c>
      <c r="I474" s="237"/>
      <c r="J474" s="237"/>
      <c r="K474" s="310" t="s">
        <v>7789</v>
      </c>
      <c r="L474" s="237"/>
      <c r="M474" s="237"/>
      <c r="N474" s="237"/>
      <c r="O474" s="237"/>
      <c r="P474" s="237"/>
      <c r="Q474" s="237"/>
      <c r="R474" s="237"/>
      <c r="S474" s="237"/>
      <c r="T474" s="237"/>
      <c r="U474" s="237"/>
      <c r="V474" s="237"/>
      <c r="W474" s="237"/>
      <c r="X474" s="237"/>
      <c r="Y474" s="237"/>
      <c r="Z474" s="237"/>
    </row>
    <row r="475">
      <c r="A475" s="305">
        <v>474.0</v>
      </c>
      <c r="B475" s="306" t="s">
        <v>4131</v>
      </c>
      <c r="C475" s="307" t="s">
        <v>1420</v>
      </c>
      <c r="D475" s="308" t="s">
        <v>4133</v>
      </c>
      <c r="E475" s="305" t="s">
        <v>4134</v>
      </c>
      <c r="F475" s="309" t="s">
        <v>4135</v>
      </c>
      <c r="G475" s="236"/>
      <c r="H475" s="307" t="s">
        <v>1420</v>
      </c>
      <c r="I475" s="237"/>
      <c r="J475" s="237"/>
      <c r="K475" s="310" t="s">
        <v>4132</v>
      </c>
      <c r="L475" s="237"/>
      <c r="M475" s="237"/>
      <c r="N475" s="237"/>
      <c r="O475" s="237"/>
      <c r="P475" s="237"/>
      <c r="Q475" s="237"/>
      <c r="R475" s="237"/>
      <c r="S475" s="237"/>
      <c r="T475" s="237"/>
      <c r="U475" s="237"/>
      <c r="V475" s="237"/>
      <c r="W475" s="237"/>
      <c r="X475" s="237"/>
      <c r="Y475" s="237"/>
      <c r="Z475" s="237"/>
    </row>
    <row r="476">
      <c r="A476" s="305">
        <v>475.0</v>
      </c>
      <c r="B476" s="306" t="s">
        <v>7723</v>
      </c>
      <c r="C476" s="307" t="s">
        <v>1420</v>
      </c>
      <c r="D476" s="308" t="s">
        <v>7725</v>
      </c>
      <c r="E476" s="305" t="s">
        <v>7726</v>
      </c>
      <c r="F476" s="309" t="s">
        <v>7727</v>
      </c>
      <c r="G476" s="236"/>
      <c r="H476" s="307" t="s">
        <v>1420</v>
      </c>
      <c r="I476" s="237"/>
      <c r="J476" s="237"/>
      <c r="K476" s="310" t="s">
        <v>7724</v>
      </c>
      <c r="L476" s="237"/>
      <c r="M476" s="237"/>
      <c r="N476" s="237"/>
      <c r="O476" s="237"/>
      <c r="P476" s="237"/>
      <c r="Q476" s="237"/>
      <c r="R476" s="237"/>
      <c r="S476" s="237"/>
      <c r="T476" s="237"/>
      <c r="U476" s="237"/>
      <c r="V476" s="237"/>
      <c r="W476" s="237"/>
      <c r="X476" s="237"/>
      <c r="Y476" s="237"/>
      <c r="Z476" s="237"/>
    </row>
    <row r="477">
      <c r="A477" s="305">
        <v>476.0</v>
      </c>
      <c r="B477" s="306" t="s">
        <v>7738</v>
      </c>
      <c r="C477" s="307" t="s">
        <v>1420</v>
      </c>
      <c r="D477" s="308" t="s">
        <v>7740</v>
      </c>
      <c r="E477" s="305" t="s">
        <v>7741</v>
      </c>
      <c r="F477" s="309" t="s">
        <v>7742</v>
      </c>
      <c r="G477" s="236"/>
      <c r="H477" s="307" t="s">
        <v>1420</v>
      </c>
      <c r="I477" s="237"/>
      <c r="J477" s="237"/>
      <c r="K477" s="310" t="s">
        <v>7739</v>
      </c>
      <c r="L477" s="237"/>
      <c r="M477" s="237"/>
      <c r="N477" s="237"/>
      <c r="O477" s="237"/>
      <c r="P477" s="237"/>
      <c r="Q477" s="237"/>
      <c r="R477" s="237"/>
      <c r="S477" s="237"/>
      <c r="T477" s="237"/>
      <c r="U477" s="237"/>
      <c r="V477" s="237"/>
      <c r="W477" s="237"/>
      <c r="X477" s="237"/>
      <c r="Y477" s="237"/>
      <c r="Z477" s="237"/>
    </row>
    <row r="478">
      <c r="A478" s="305">
        <v>477.0</v>
      </c>
      <c r="B478" s="306" t="s">
        <v>7748</v>
      </c>
      <c r="C478" s="307" t="s">
        <v>1420</v>
      </c>
      <c r="D478" s="308" t="s">
        <v>7750</v>
      </c>
      <c r="E478" s="305" t="s">
        <v>7751</v>
      </c>
      <c r="F478" s="309" t="s">
        <v>7752</v>
      </c>
      <c r="G478" s="236"/>
      <c r="H478" s="307" t="s">
        <v>1420</v>
      </c>
      <c r="I478" s="237"/>
      <c r="J478" s="237"/>
      <c r="K478" s="310" t="s">
        <v>7749</v>
      </c>
      <c r="L478" s="237"/>
      <c r="M478" s="237"/>
      <c r="N478" s="237"/>
      <c r="O478" s="237"/>
      <c r="P478" s="237"/>
      <c r="Q478" s="237"/>
      <c r="R478" s="237"/>
      <c r="S478" s="237"/>
      <c r="T478" s="237"/>
      <c r="U478" s="237"/>
      <c r="V478" s="237"/>
      <c r="W478" s="237"/>
      <c r="X478" s="237"/>
      <c r="Y478" s="237"/>
      <c r="Z478" s="237"/>
    </row>
    <row r="479">
      <c r="A479" s="305">
        <v>478.0</v>
      </c>
      <c r="B479" s="306" t="s">
        <v>7778</v>
      </c>
      <c r="C479" s="307" t="s">
        <v>1420</v>
      </c>
      <c r="D479" s="308" t="s">
        <v>7780</v>
      </c>
      <c r="E479" s="305" t="s">
        <v>7781</v>
      </c>
      <c r="F479" s="309" t="s">
        <v>7782</v>
      </c>
      <c r="G479" s="236"/>
      <c r="H479" s="307" t="s">
        <v>1420</v>
      </c>
      <c r="I479" s="237"/>
      <c r="J479" s="237"/>
      <c r="K479" s="310" t="s">
        <v>7779</v>
      </c>
      <c r="L479" s="237"/>
      <c r="M479" s="237"/>
      <c r="N479" s="237"/>
      <c r="O479" s="237"/>
      <c r="P479" s="237"/>
      <c r="Q479" s="237"/>
      <c r="R479" s="237"/>
      <c r="S479" s="237"/>
      <c r="T479" s="237"/>
      <c r="U479" s="237"/>
      <c r="V479" s="237"/>
      <c r="W479" s="237"/>
      <c r="X479" s="237"/>
      <c r="Y479" s="237"/>
      <c r="Z479" s="237"/>
    </row>
    <row r="480">
      <c r="A480" s="305">
        <v>479.0</v>
      </c>
      <c r="B480" s="306" t="s">
        <v>4151</v>
      </c>
      <c r="C480" s="307" t="s">
        <v>1420</v>
      </c>
      <c r="D480" s="308" t="s">
        <v>4153</v>
      </c>
      <c r="E480" s="305" t="s">
        <v>4154</v>
      </c>
      <c r="F480" s="309" t="s">
        <v>4155</v>
      </c>
      <c r="G480" s="236"/>
      <c r="H480" s="307" t="s">
        <v>1420</v>
      </c>
      <c r="I480" s="237"/>
      <c r="J480" s="237"/>
      <c r="K480" s="310" t="s">
        <v>4152</v>
      </c>
      <c r="L480" s="237"/>
      <c r="M480" s="237"/>
      <c r="N480" s="237"/>
      <c r="O480" s="237"/>
      <c r="P480" s="237"/>
      <c r="Q480" s="237"/>
      <c r="R480" s="237"/>
      <c r="S480" s="237"/>
      <c r="T480" s="237"/>
      <c r="U480" s="237"/>
      <c r="V480" s="237"/>
      <c r="W480" s="237"/>
      <c r="X480" s="237"/>
      <c r="Y480" s="237"/>
      <c r="Z480" s="237"/>
    </row>
    <row r="481">
      <c r="A481" s="305">
        <v>480.0</v>
      </c>
      <c r="B481" s="306" t="s">
        <v>7728</v>
      </c>
      <c r="C481" s="307" t="s">
        <v>1420</v>
      </c>
      <c r="D481" s="308" t="s">
        <v>7730</v>
      </c>
      <c r="E481" s="305" t="s">
        <v>7731</v>
      </c>
      <c r="F481" s="309" t="s">
        <v>7732</v>
      </c>
      <c r="G481" s="236"/>
      <c r="H481" s="307" t="s">
        <v>1420</v>
      </c>
      <c r="I481" s="237"/>
      <c r="J481" s="237"/>
      <c r="K481" s="310" t="s">
        <v>7729</v>
      </c>
      <c r="L481" s="237"/>
      <c r="M481" s="237"/>
      <c r="N481" s="237"/>
      <c r="O481" s="237"/>
      <c r="P481" s="237"/>
      <c r="Q481" s="237"/>
      <c r="R481" s="237"/>
      <c r="S481" s="237"/>
      <c r="T481" s="237"/>
      <c r="U481" s="237"/>
      <c r="V481" s="237"/>
      <c r="W481" s="237"/>
      <c r="X481" s="237"/>
      <c r="Y481" s="237"/>
      <c r="Z481" s="237"/>
    </row>
    <row r="482">
      <c r="A482" s="305">
        <v>481.0</v>
      </c>
      <c r="B482" s="306" t="s">
        <v>4161</v>
      </c>
      <c r="C482" s="307" t="s">
        <v>1420</v>
      </c>
      <c r="D482" s="308" t="s">
        <v>4163</v>
      </c>
      <c r="E482" s="305" t="s">
        <v>4164</v>
      </c>
      <c r="F482" s="309" t="s">
        <v>4165</v>
      </c>
      <c r="G482" s="236"/>
      <c r="H482" s="307" t="s">
        <v>1420</v>
      </c>
      <c r="I482" s="237"/>
      <c r="J482" s="237"/>
      <c r="K482" s="310" t="s">
        <v>4162</v>
      </c>
      <c r="L482" s="237"/>
      <c r="M482" s="237"/>
      <c r="N482" s="237"/>
      <c r="O482" s="237"/>
      <c r="P482" s="237"/>
      <c r="Q482" s="237"/>
      <c r="R482" s="237"/>
      <c r="S482" s="237"/>
      <c r="T482" s="237"/>
      <c r="U482" s="237"/>
      <c r="V482" s="237"/>
      <c r="W482" s="237"/>
      <c r="X482" s="237"/>
      <c r="Y482" s="237"/>
      <c r="Z482" s="237"/>
    </row>
    <row r="483">
      <c r="A483" s="305">
        <v>482.0</v>
      </c>
      <c r="B483" s="306" t="s">
        <v>7773</v>
      </c>
      <c r="C483" s="307" t="s">
        <v>1420</v>
      </c>
      <c r="D483" s="308" t="s">
        <v>7775</v>
      </c>
      <c r="E483" s="305" t="s">
        <v>7776</v>
      </c>
      <c r="F483" s="309" t="s">
        <v>7777</v>
      </c>
      <c r="G483" s="236"/>
      <c r="H483" s="307" t="s">
        <v>1420</v>
      </c>
      <c r="I483" s="237"/>
      <c r="J483" s="237"/>
      <c r="K483" s="310" t="s">
        <v>7774</v>
      </c>
      <c r="L483" s="237"/>
      <c r="M483" s="237"/>
      <c r="N483" s="237"/>
      <c r="O483" s="237"/>
      <c r="P483" s="237"/>
      <c r="Q483" s="237"/>
      <c r="R483" s="237"/>
      <c r="S483" s="237"/>
      <c r="T483" s="237"/>
      <c r="U483" s="237"/>
      <c r="V483" s="237"/>
      <c r="W483" s="237"/>
      <c r="X483" s="237"/>
      <c r="Y483" s="237"/>
      <c r="Z483" s="237"/>
    </row>
    <row r="484">
      <c r="A484" s="305">
        <v>483.0</v>
      </c>
      <c r="B484" s="306" t="s">
        <v>4141</v>
      </c>
      <c r="C484" s="307" t="s">
        <v>1420</v>
      </c>
      <c r="D484" s="308" t="s">
        <v>4143</v>
      </c>
      <c r="E484" s="305" t="s">
        <v>4144</v>
      </c>
      <c r="F484" s="309" t="s">
        <v>4145</v>
      </c>
      <c r="G484" s="236"/>
      <c r="H484" s="307" t="s">
        <v>1420</v>
      </c>
      <c r="I484" s="237"/>
      <c r="J484" s="237"/>
      <c r="K484" s="310" t="s">
        <v>4142</v>
      </c>
      <c r="L484" s="237"/>
      <c r="M484" s="237"/>
      <c r="N484" s="237"/>
      <c r="O484" s="237"/>
      <c r="P484" s="237"/>
      <c r="Q484" s="237"/>
      <c r="R484" s="237"/>
      <c r="S484" s="237"/>
      <c r="T484" s="237"/>
      <c r="U484" s="237"/>
      <c r="V484" s="237"/>
      <c r="W484" s="237"/>
      <c r="X484" s="237"/>
      <c r="Y484" s="237"/>
      <c r="Z484" s="237"/>
    </row>
    <row r="485">
      <c r="A485" s="305">
        <v>484.0</v>
      </c>
      <c r="B485" s="306" t="s">
        <v>4156</v>
      </c>
      <c r="C485" s="307" t="s">
        <v>1420</v>
      </c>
      <c r="D485" s="308" t="s">
        <v>4158</v>
      </c>
      <c r="E485" s="305" t="s">
        <v>4159</v>
      </c>
      <c r="F485" s="309" t="s">
        <v>4160</v>
      </c>
      <c r="G485" s="236"/>
      <c r="H485" s="307" t="s">
        <v>1420</v>
      </c>
      <c r="I485" s="237"/>
      <c r="J485" s="237"/>
      <c r="K485" s="310" t="s">
        <v>4157</v>
      </c>
      <c r="L485" s="237"/>
      <c r="M485" s="237"/>
      <c r="N485" s="237"/>
      <c r="O485" s="237"/>
      <c r="P485" s="237"/>
      <c r="Q485" s="237"/>
      <c r="R485" s="237"/>
      <c r="S485" s="237"/>
      <c r="T485" s="237"/>
      <c r="U485" s="237"/>
      <c r="V485" s="237"/>
      <c r="W485" s="237"/>
      <c r="X485" s="237"/>
      <c r="Y485" s="237"/>
      <c r="Z485" s="237"/>
    </row>
    <row r="486">
      <c r="A486" s="305">
        <v>485.0</v>
      </c>
      <c r="B486" s="306" t="s">
        <v>8498</v>
      </c>
      <c r="C486" s="307" t="s">
        <v>1420</v>
      </c>
      <c r="D486" s="308" t="s">
        <v>8500</v>
      </c>
      <c r="E486" s="305" t="s">
        <v>8501</v>
      </c>
      <c r="F486" s="309" t="s">
        <v>8502</v>
      </c>
      <c r="G486" s="236"/>
      <c r="H486" s="307" t="s">
        <v>1420</v>
      </c>
      <c r="I486" s="237"/>
      <c r="J486" s="237"/>
      <c r="K486" s="310" t="s">
        <v>8499</v>
      </c>
      <c r="L486" s="237"/>
      <c r="M486" s="237"/>
      <c r="N486" s="237"/>
      <c r="O486" s="237"/>
      <c r="P486" s="237"/>
      <c r="Q486" s="237"/>
      <c r="R486" s="237"/>
      <c r="S486" s="237"/>
      <c r="T486" s="237"/>
      <c r="U486" s="237"/>
      <c r="V486" s="237"/>
      <c r="W486" s="237"/>
      <c r="X486" s="237"/>
      <c r="Y486" s="237"/>
      <c r="Z486" s="237"/>
    </row>
    <row r="487">
      <c r="A487" s="305">
        <v>486.0</v>
      </c>
      <c r="B487" s="306" t="s">
        <v>8493</v>
      </c>
      <c r="C487" s="307" t="s">
        <v>1420</v>
      </c>
      <c r="D487" s="308" t="s">
        <v>8495</v>
      </c>
      <c r="E487" s="305" t="s">
        <v>8496</v>
      </c>
      <c r="F487" s="309" t="s">
        <v>8497</v>
      </c>
      <c r="G487" s="236"/>
      <c r="H487" s="307" t="s">
        <v>1420</v>
      </c>
      <c r="I487" s="237"/>
      <c r="J487" s="237"/>
      <c r="K487" s="310" t="s">
        <v>8494</v>
      </c>
      <c r="L487" s="237"/>
      <c r="M487" s="237"/>
      <c r="N487" s="237"/>
      <c r="O487" s="237"/>
      <c r="P487" s="237"/>
      <c r="Q487" s="237"/>
      <c r="R487" s="237"/>
      <c r="S487" s="237"/>
      <c r="T487" s="237"/>
      <c r="U487" s="237"/>
      <c r="V487" s="237"/>
      <c r="W487" s="237"/>
      <c r="X487" s="237"/>
      <c r="Y487" s="237"/>
      <c r="Z487" s="237"/>
    </row>
    <row r="488">
      <c r="A488" s="305">
        <v>487.0</v>
      </c>
      <c r="B488" s="306" t="s">
        <v>7803</v>
      </c>
      <c r="C488" s="307" t="s">
        <v>1420</v>
      </c>
      <c r="D488" s="308" t="s">
        <v>7805</v>
      </c>
      <c r="E488" s="305" t="s">
        <v>7806</v>
      </c>
      <c r="F488" s="309" t="s">
        <v>7807</v>
      </c>
      <c r="G488" s="236"/>
      <c r="H488" s="307" t="s">
        <v>1420</v>
      </c>
      <c r="I488" s="237"/>
      <c r="J488" s="237"/>
      <c r="K488" s="310" t="s">
        <v>7804</v>
      </c>
      <c r="L488" s="237"/>
      <c r="M488" s="237"/>
      <c r="N488" s="237"/>
      <c r="O488" s="237"/>
      <c r="P488" s="237"/>
      <c r="Q488" s="237"/>
      <c r="R488" s="237"/>
      <c r="S488" s="237"/>
      <c r="T488" s="237"/>
      <c r="U488" s="237"/>
      <c r="V488" s="237"/>
      <c r="W488" s="237"/>
      <c r="X488" s="237"/>
      <c r="Y488" s="237"/>
      <c r="Z488" s="237"/>
    </row>
    <row r="489">
      <c r="A489" s="305">
        <v>488.0</v>
      </c>
      <c r="B489" s="306" t="s">
        <v>7793</v>
      </c>
      <c r="C489" s="307" t="s">
        <v>1420</v>
      </c>
      <c r="D489" s="308" t="s">
        <v>7795</v>
      </c>
      <c r="E489" s="305" t="s">
        <v>7796</v>
      </c>
      <c r="F489" s="309" t="s">
        <v>7797</v>
      </c>
      <c r="G489" s="236"/>
      <c r="H489" s="307" t="s">
        <v>1420</v>
      </c>
      <c r="I489" s="237"/>
      <c r="J489" s="237"/>
      <c r="K489" s="310" t="s">
        <v>7794</v>
      </c>
      <c r="L489" s="237"/>
      <c r="M489" s="237"/>
      <c r="N489" s="237"/>
      <c r="O489" s="237"/>
      <c r="P489" s="237"/>
      <c r="Q489" s="237"/>
      <c r="R489" s="237"/>
      <c r="S489" s="237"/>
      <c r="T489" s="237"/>
      <c r="U489" s="237"/>
      <c r="V489" s="237"/>
      <c r="W489" s="237"/>
      <c r="X489" s="237"/>
      <c r="Y489" s="237"/>
      <c r="Z489" s="237"/>
    </row>
    <row r="490">
      <c r="A490" s="305">
        <v>489.0</v>
      </c>
      <c r="B490" s="306" t="s">
        <v>7798</v>
      </c>
      <c r="C490" s="307" t="s">
        <v>1420</v>
      </c>
      <c r="D490" s="308" t="s">
        <v>7800</v>
      </c>
      <c r="E490" s="305" t="s">
        <v>7801</v>
      </c>
      <c r="F490" s="309" t="s">
        <v>7802</v>
      </c>
      <c r="G490" s="236"/>
      <c r="H490" s="307" t="s">
        <v>1420</v>
      </c>
      <c r="I490" s="237"/>
      <c r="J490" s="237"/>
      <c r="K490" s="310" t="s">
        <v>7799</v>
      </c>
      <c r="L490" s="237"/>
      <c r="M490" s="237"/>
      <c r="N490" s="237"/>
      <c r="O490" s="237"/>
      <c r="P490" s="237"/>
      <c r="Q490" s="237"/>
      <c r="R490" s="237"/>
      <c r="S490" s="237"/>
      <c r="T490" s="237"/>
      <c r="U490" s="237"/>
      <c r="V490" s="237"/>
      <c r="W490" s="237"/>
      <c r="X490" s="237"/>
      <c r="Y490" s="237"/>
      <c r="Z490" s="237"/>
    </row>
    <row r="491">
      <c r="A491" s="305">
        <v>490.0</v>
      </c>
      <c r="B491" s="306" t="s">
        <v>4223</v>
      </c>
      <c r="C491" s="307" t="s">
        <v>1420</v>
      </c>
      <c r="D491" s="308" t="s">
        <v>4225</v>
      </c>
      <c r="E491" s="305" t="s">
        <v>4226</v>
      </c>
      <c r="F491" s="309" t="s">
        <v>4227</v>
      </c>
      <c r="G491" s="236"/>
      <c r="H491" s="307" t="s">
        <v>1420</v>
      </c>
      <c r="I491" s="237"/>
      <c r="J491" s="237"/>
      <c r="K491" s="310" t="s">
        <v>4224</v>
      </c>
      <c r="L491" s="237"/>
      <c r="M491" s="237"/>
      <c r="N491" s="237"/>
      <c r="O491" s="237"/>
      <c r="P491" s="237"/>
      <c r="Q491" s="237"/>
      <c r="R491" s="237"/>
      <c r="S491" s="237"/>
      <c r="T491" s="237"/>
      <c r="U491" s="237"/>
      <c r="V491" s="237"/>
      <c r="W491" s="237"/>
      <c r="X491" s="237"/>
      <c r="Y491" s="237"/>
      <c r="Z491" s="237"/>
    </row>
    <row r="492">
      <c r="A492" s="305">
        <v>491.0</v>
      </c>
      <c r="B492" s="306" t="s">
        <v>4217</v>
      </c>
      <c r="C492" s="307" t="s">
        <v>1420</v>
      </c>
      <c r="D492" s="308" t="s">
        <v>4219</v>
      </c>
      <c r="E492" s="305" t="s">
        <v>4220</v>
      </c>
      <c r="F492" s="309" t="s">
        <v>4221</v>
      </c>
      <c r="G492" s="236"/>
      <c r="H492" s="307" t="s">
        <v>1420</v>
      </c>
      <c r="I492" s="237"/>
      <c r="J492" s="237"/>
      <c r="K492" s="310" t="s">
        <v>4218</v>
      </c>
      <c r="L492" s="237"/>
      <c r="M492" s="237"/>
      <c r="N492" s="237"/>
      <c r="O492" s="237"/>
      <c r="P492" s="237"/>
      <c r="Q492" s="237"/>
      <c r="R492" s="237"/>
      <c r="S492" s="237"/>
      <c r="T492" s="237"/>
      <c r="U492" s="237"/>
      <c r="V492" s="237"/>
      <c r="W492" s="237"/>
      <c r="X492" s="237"/>
      <c r="Y492" s="237"/>
      <c r="Z492" s="237"/>
    </row>
    <row r="493">
      <c r="A493" s="305">
        <v>492.0</v>
      </c>
      <c r="B493" s="306" t="s">
        <v>4228</v>
      </c>
      <c r="C493" s="307" t="s">
        <v>1420</v>
      </c>
      <c r="D493" s="308" t="s">
        <v>4230</v>
      </c>
      <c r="E493" s="305" t="s">
        <v>4180</v>
      </c>
      <c r="F493" s="309" t="s">
        <v>4231</v>
      </c>
      <c r="G493" s="236"/>
      <c r="H493" s="307" t="s">
        <v>1420</v>
      </c>
      <c r="I493" s="237"/>
      <c r="J493" s="237"/>
      <c r="K493" s="310" t="s">
        <v>4229</v>
      </c>
      <c r="L493" s="237"/>
      <c r="M493" s="237"/>
      <c r="N493" s="237"/>
      <c r="O493" s="237"/>
      <c r="P493" s="237"/>
      <c r="Q493" s="237"/>
      <c r="R493" s="237"/>
      <c r="S493" s="237"/>
      <c r="T493" s="237"/>
      <c r="U493" s="237"/>
      <c r="V493" s="237"/>
      <c r="W493" s="237"/>
      <c r="X493" s="237"/>
      <c r="Y493" s="237"/>
      <c r="Z493" s="237"/>
    </row>
    <row r="494">
      <c r="A494" s="305">
        <v>493.0</v>
      </c>
      <c r="B494" s="306" t="s">
        <v>4242</v>
      </c>
      <c r="C494" s="307" t="s">
        <v>1420</v>
      </c>
      <c r="D494" s="308" t="s">
        <v>4244</v>
      </c>
      <c r="E494" s="305" t="s">
        <v>4245</v>
      </c>
      <c r="F494" s="309" t="s">
        <v>4246</v>
      </c>
      <c r="G494" s="236"/>
      <c r="H494" s="307" t="s">
        <v>1420</v>
      </c>
      <c r="I494" s="237"/>
      <c r="J494" s="237"/>
      <c r="K494" s="310" t="s">
        <v>4243</v>
      </c>
      <c r="L494" s="237"/>
      <c r="M494" s="237"/>
      <c r="N494" s="237"/>
      <c r="O494" s="237"/>
      <c r="P494" s="237"/>
      <c r="Q494" s="237"/>
      <c r="R494" s="237"/>
      <c r="S494" s="237"/>
      <c r="T494" s="237"/>
      <c r="U494" s="237"/>
      <c r="V494" s="237"/>
      <c r="W494" s="237"/>
      <c r="X494" s="237"/>
      <c r="Y494" s="237"/>
      <c r="Z494" s="237"/>
    </row>
    <row r="495">
      <c r="A495" s="305">
        <v>494.0</v>
      </c>
      <c r="B495" s="306" t="s">
        <v>4232</v>
      </c>
      <c r="C495" s="307" t="s">
        <v>1420</v>
      </c>
      <c r="D495" s="308" t="s">
        <v>4234</v>
      </c>
      <c r="E495" s="305" t="s">
        <v>4235</v>
      </c>
      <c r="F495" s="309" t="s">
        <v>4236</v>
      </c>
      <c r="G495" s="236"/>
      <c r="H495" s="307" t="s">
        <v>1420</v>
      </c>
      <c r="I495" s="237"/>
      <c r="J495" s="237"/>
      <c r="K495" s="310" t="s">
        <v>4233</v>
      </c>
      <c r="L495" s="237"/>
      <c r="M495" s="237"/>
      <c r="N495" s="237"/>
      <c r="O495" s="237"/>
      <c r="P495" s="237"/>
      <c r="Q495" s="237"/>
      <c r="R495" s="237"/>
      <c r="S495" s="237"/>
      <c r="T495" s="237"/>
      <c r="U495" s="237"/>
      <c r="V495" s="237"/>
      <c r="W495" s="237"/>
      <c r="X495" s="237"/>
      <c r="Y495" s="237"/>
      <c r="Z495" s="237"/>
    </row>
    <row r="496">
      <c r="A496" s="305">
        <v>495.0</v>
      </c>
      <c r="B496" s="306" t="s">
        <v>4237</v>
      </c>
      <c r="C496" s="307" t="s">
        <v>1420</v>
      </c>
      <c r="D496" s="308" t="s">
        <v>4239</v>
      </c>
      <c r="E496" s="305" t="s">
        <v>4240</v>
      </c>
      <c r="F496" s="309" t="s">
        <v>4241</v>
      </c>
      <c r="G496" s="236"/>
      <c r="H496" s="307" t="s">
        <v>1420</v>
      </c>
      <c r="I496" s="237"/>
      <c r="J496" s="237"/>
      <c r="K496" s="310" t="s">
        <v>4238</v>
      </c>
      <c r="L496" s="237"/>
      <c r="M496" s="237"/>
      <c r="N496" s="237"/>
      <c r="O496" s="237"/>
      <c r="P496" s="237"/>
      <c r="Q496" s="237"/>
      <c r="R496" s="237"/>
      <c r="S496" s="237"/>
      <c r="T496" s="237"/>
      <c r="U496" s="237"/>
      <c r="V496" s="237"/>
      <c r="W496" s="237"/>
      <c r="X496" s="237"/>
      <c r="Y496" s="237"/>
      <c r="Z496" s="237"/>
    </row>
    <row r="497">
      <c r="A497" s="305">
        <v>496.0</v>
      </c>
      <c r="B497" s="306" t="s">
        <v>5959</v>
      </c>
      <c r="C497" s="307" t="s">
        <v>1420</v>
      </c>
      <c r="D497" s="308" t="s">
        <v>5961</v>
      </c>
      <c r="E497" s="305" t="s">
        <v>5962</v>
      </c>
      <c r="F497" s="309" t="s">
        <v>5963</v>
      </c>
      <c r="G497" s="236"/>
      <c r="H497" s="307" t="s">
        <v>1420</v>
      </c>
      <c r="I497" s="237"/>
      <c r="J497" s="237"/>
      <c r="K497" s="310" t="s">
        <v>5960</v>
      </c>
      <c r="L497" s="237"/>
      <c r="M497" s="237"/>
      <c r="N497" s="237"/>
      <c r="O497" s="237"/>
      <c r="P497" s="237"/>
      <c r="Q497" s="237"/>
      <c r="R497" s="237"/>
      <c r="S497" s="237"/>
      <c r="T497" s="237"/>
      <c r="U497" s="237"/>
      <c r="V497" s="237"/>
      <c r="W497" s="237"/>
      <c r="X497" s="237"/>
      <c r="Y497" s="237"/>
      <c r="Z497" s="237"/>
    </row>
    <row r="498">
      <c r="A498" s="305">
        <v>497.0</v>
      </c>
      <c r="B498" s="306" t="s">
        <v>5969</v>
      </c>
      <c r="C498" s="307" t="s">
        <v>1420</v>
      </c>
      <c r="D498" s="308" t="s">
        <v>5971</v>
      </c>
      <c r="E498" s="305" t="s">
        <v>5972</v>
      </c>
      <c r="F498" s="309" t="s">
        <v>5973</v>
      </c>
      <c r="G498" s="236"/>
      <c r="H498" s="307" t="s">
        <v>1420</v>
      </c>
      <c r="I498" s="237"/>
      <c r="J498" s="237"/>
      <c r="K498" s="310" t="s">
        <v>5970</v>
      </c>
      <c r="L498" s="237"/>
      <c r="M498" s="237"/>
      <c r="N498" s="237"/>
      <c r="O498" s="237"/>
      <c r="P498" s="237"/>
      <c r="Q498" s="237"/>
      <c r="R498" s="237"/>
      <c r="S498" s="237"/>
      <c r="T498" s="237"/>
      <c r="U498" s="237"/>
      <c r="V498" s="237"/>
      <c r="W498" s="237"/>
      <c r="X498" s="237"/>
      <c r="Y498" s="237"/>
      <c r="Z498" s="237"/>
    </row>
    <row r="499">
      <c r="A499" s="305">
        <v>498.0</v>
      </c>
      <c r="B499" s="306" t="s">
        <v>5964</v>
      </c>
      <c r="C499" s="307" t="s">
        <v>1420</v>
      </c>
      <c r="D499" s="308" t="s">
        <v>5966</v>
      </c>
      <c r="E499" s="305" t="s">
        <v>5967</v>
      </c>
      <c r="F499" s="309" t="s">
        <v>5968</v>
      </c>
      <c r="G499" s="236"/>
      <c r="H499" s="307" t="s">
        <v>1420</v>
      </c>
      <c r="I499" s="237"/>
      <c r="J499" s="237"/>
      <c r="K499" s="310" t="s">
        <v>5965</v>
      </c>
      <c r="L499" s="237"/>
      <c r="M499" s="237"/>
      <c r="N499" s="237"/>
      <c r="O499" s="237"/>
      <c r="P499" s="237"/>
      <c r="Q499" s="237"/>
      <c r="R499" s="237"/>
      <c r="S499" s="237"/>
      <c r="T499" s="237"/>
      <c r="U499" s="237"/>
      <c r="V499" s="237"/>
      <c r="W499" s="237"/>
      <c r="X499" s="237"/>
      <c r="Y499" s="237"/>
      <c r="Z499" s="237"/>
    </row>
    <row r="500">
      <c r="A500" s="305">
        <v>499.0</v>
      </c>
      <c r="B500" s="306" t="s">
        <v>7733</v>
      </c>
      <c r="C500" s="307" t="s">
        <v>1420</v>
      </c>
      <c r="D500" s="308" t="s">
        <v>7735</v>
      </c>
      <c r="E500" s="305" t="s">
        <v>7736</v>
      </c>
      <c r="F500" s="309" t="s">
        <v>7737</v>
      </c>
      <c r="G500" s="236"/>
      <c r="H500" s="307" t="s">
        <v>1420</v>
      </c>
      <c r="I500" s="237"/>
      <c r="J500" s="237"/>
      <c r="K500" s="310" t="s">
        <v>7734</v>
      </c>
      <c r="L500" s="237"/>
      <c r="M500" s="237"/>
      <c r="N500" s="237"/>
      <c r="O500" s="237"/>
      <c r="P500" s="237"/>
      <c r="Q500" s="237"/>
      <c r="R500" s="237"/>
      <c r="S500" s="237"/>
      <c r="T500" s="237"/>
      <c r="U500" s="237"/>
      <c r="V500" s="237"/>
      <c r="W500" s="237"/>
      <c r="X500" s="237"/>
      <c r="Y500" s="237"/>
      <c r="Z500" s="237"/>
    </row>
    <row r="501">
      <c r="A501" s="305">
        <v>500.0</v>
      </c>
      <c r="B501" s="306" t="s">
        <v>4121</v>
      </c>
      <c r="C501" s="307" t="s">
        <v>1420</v>
      </c>
      <c r="D501" s="308" t="s">
        <v>4123</v>
      </c>
      <c r="E501" s="305" t="s">
        <v>4124</v>
      </c>
      <c r="F501" s="309" t="s">
        <v>4125</v>
      </c>
      <c r="G501" s="236"/>
      <c r="H501" s="307" t="s">
        <v>1420</v>
      </c>
      <c r="I501" s="237"/>
      <c r="J501" s="237"/>
      <c r="K501" s="310" t="s">
        <v>4122</v>
      </c>
      <c r="L501" s="237"/>
      <c r="M501" s="237"/>
      <c r="N501" s="237"/>
      <c r="O501" s="237"/>
      <c r="P501" s="237"/>
      <c r="Q501" s="237"/>
      <c r="R501" s="237"/>
      <c r="S501" s="237"/>
      <c r="T501" s="237"/>
      <c r="U501" s="237"/>
      <c r="V501" s="237"/>
      <c r="W501" s="237"/>
      <c r="X501" s="237"/>
      <c r="Y501" s="237"/>
      <c r="Z501" s="237"/>
    </row>
    <row r="502">
      <c r="A502" s="305">
        <v>501.0</v>
      </c>
      <c r="B502" s="306" t="s">
        <v>7718</v>
      </c>
      <c r="C502" s="307" t="s">
        <v>1420</v>
      </c>
      <c r="D502" s="308" t="s">
        <v>7720</v>
      </c>
      <c r="E502" s="305" t="s">
        <v>7721</v>
      </c>
      <c r="F502" s="309" t="s">
        <v>7722</v>
      </c>
      <c r="G502" s="236"/>
      <c r="H502" s="307" t="s">
        <v>1420</v>
      </c>
      <c r="I502" s="237"/>
      <c r="J502" s="237"/>
      <c r="K502" s="310" t="s">
        <v>7719</v>
      </c>
      <c r="L502" s="237"/>
      <c r="M502" s="237"/>
      <c r="N502" s="237"/>
      <c r="O502" s="237"/>
      <c r="P502" s="237"/>
      <c r="Q502" s="237"/>
      <c r="R502" s="237"/>
      <c r="S502" s="237"/>
      <c r="T502" s="237"/>
      <c r="U502" s="237"/>
      <c r="V502" s="237"/>
      <c r="W502" s="237"/>
      <c r="X502" s="237"/>
      <c r="Y502" s="237"/>
      <c r="Z502" s="237"/>
    </row>
    <row r="503">
      <c r="A503" s="305">
        <v>502.0</v>
      </c>
      <c r="B503" s="306" t="s">
        <v>7763</v>
      </c>
      <c r="C503" s="307" t="s">
        <v>1420</v>
      </c>
      <c r="D503" s="308" t="s">
        <v>7765</v>
      </c>
      <c r="E503" s="305" t="s">
        <v>7766</v>
      </c>
      <c r="F503" s="309" t="s">
        <v>7767</v>
      </c>
      <c r="G503" s="236"/>
      <c r="H503" s="307" t="s">
        <v>1420</v>
      </c>
      <c r="I503" s="237"/>
      <c r="J503" s="237"/>
      <c r="K503" s="310" t="s">
        <v>7764</v>
      </c>
      <c r="L503" s="237"/>
      <c r="M503" s="237"/>
      <c r="N503" s="237"/>
      <c r="O503" s="237"/>
      <c r="P503" s="237"/>
      <c r="Q503" s="237"/>
      <c r="R503" s="237"/>
      <c r="S503" s="237"/>
      <c r="T503" s="237"/>
      <c r="U503" s="237"/>
      <c r="V503" s="237"/>
      <c r="W503" s="237"/>
      <c r="X503" s="237"/>
      <c r="Y503" s="237"/>
      <c r="Z503" s="237"/>
    </row>
    <row r="504">
      <c r="A504" s="305">
        <v>503.0</v>
      </c>
      <c r="B504" s="306" t="s">
        <v>7768</v>
      </c>
      <c r="C504" s="307" t="s">
        <v>1420</v>
      </c>
      <c r="D504" s="308" t="s">
        <v>7770</v>
      </c>
      <c r="E504" s="305" t="s">
        <v>7771</v>
      </c>
      <c r="F504" s="309" t="s">
        <v>7772</v>
      </c>
      <c r="G504" s="236"/>
      <c r="H504" s="307" t="s">
        <v>1420</v>
      </c>
      <c r="I504" s="237"/>
      <c r="J504" s="237"/>
      <c r="K504" s="310" t="s">
        <v>7769</v>
      </c>
      <c r="L504" s="237"/>
      <c r="M504" s="237"/>
      <c r="N504" s="237"/>
      <c r="O504" s="237"/>
      <c r="P504" s="237"/>
      <c r="Q504" s="237"/>
      <c r="R504" s="237"/>
      <c r="S504" s="237"/>
      <c r="T504" s="237"/>
      <c r="U504" s="237"/>
      <c r="V504" s="237"/>
      <c r="W504" s="237"/>
      <c r="X504" s="237"/>
      <c r="Y504" s="237"/>
      <c r="Z504" s="237"/>
    </row>
    <row r="505">
      <c r="A505" s="305">
        <v>504.0</v>
      </c>
      <c r="B505" s="306" t="s">
        <v>7743</v>
      </c>
      <c r="C505" s="307" t="s">
        <v>1420</v>
      </c>
      <c r="D505" s="308" t="s">
        <v>7745</v>
      </c>
      <c r="E505" s="305" t="s">
        <v>7746</v>
      </c>
      <c r="F505" s="309" t="s">
        <v>7747</v>
      </c>
      <c r="G505" s="236"/>
      <c r="H505" s="307" t="s">
        <v>1420</v>
      </c>
      <c r="I505" s="237"/>
      <c r="J505" s="237"/>
      <c r="K505" s="310" t="s">
        <v>7744</v>
      </c>
      <c r="L505" s="237"/>
      <c r="M505" s="237"/>
      <c r="N505" s="237"/>
      <c r="O505" s="237"/>
      <c r="P505" s="237"/>
      <c r="Q505" s="237"/>
      <c r="R505" s="237"/>
      <c r="S505" s="237"/>
      <c r="T505" s="237"/>
      <c r="U505" s="237"/>
      <c r="V505" s="237"/>
      <c r="W505" s="237"/>
      <c r="X505" s="237"/>
      <c r="Y505" s="237"/>
      <c r="Z505" s="237"/>
    </row>
    <row r="506">
      <c r="A506" s="305">
        <v>505.0</v>
      </c>
      <c r="B506" s="306" t="s">
        <v>7753</v>
      </c>
      <c r="C506" s="307" t="s">
        <v>1420</v>
      </c>
      <c r="D506" s="308" t="s">
        <v>7755</v>
      </c>
      <c r="E506" s="305" t="s">
        <v>7756</v>
      </c>
      <c r="F506" s="309" t="s">
        <v>7757</v>
      </c>
      <c r="G506" s="236"/>
      <c r="H506" s="307" t="s">
        <v>1420</v>
      </c>
      <c r="I506" s="237"/>
      <c r="J506" s="237"/>
      <c r="K506" s="310" t="s">
        <v>7754</v>
      </c>
      <c r="L506" s="237"/>
      <c r="M506" s="237"/>
      <c r="N506" s="237"/>
      <c r="O506" s="237"/>
      <c r="P506" s="237"/>
      <c r="Q506" s="237"/>
      <c r="R506" s="237"/>
      <c r="S506" s="237"/>
      <c r="T506" s="237"/>
      <c r="U506" s="237"/>
      <c r="V506" s="237"/>
      <c r="W506" s="237"/>
      <c r="X506" s="237"/>
      <c r="Y506" s="237"/>
      <c r="Z506" s="237"/>
    </row>
    <row r="507">
      <c r="A507" s="305">
        <v>506.0</v>
      </c>
      <c r="B507" s="306" t="s">
        <v>4126</v>
      </c>
      <c r="C507" s="307" t="s">
        <v>1420</v>
      </c>
      <c r="D507" s="308" t="s">
        <v>4128</v>
      </c>
      <c r="E507" s="305" t="s">
        <v>4129</v>
      </c>
      <c r="F507" s="309" t="s">
        <v>4130</v>
      </c>
      <c r="G507" s="236"/>
      <c r="H507" s="307" t="s">
        <v>1420</v>
      </c>
      <c r="I507" s="237"/>
      <c r="J507" s="237"/>
      <c r="K507" s="310" t="s">
        <v>4127</v>
      </c>
      <c r="L507" s="237"/>
      <c r="M507" s="237"/>
      <c r="N507" s="237"/>
      <c r="O507" s="237"/>
      <c r="P507" s="237"/>
      <c r="Q507" s="237"/>
      <c r="R507" s="237"/>
      <c r="S507" s="237"/>
      <c r="T507" s="237"/>
      <c r="U507" s="237"/>
      <c r="V507" s="237"/>
      <c r="W507" s="237"/>
      <c r="X507" s="237"/>
      <c r="Y507" s="237"/>
      <c r="Z507" s="237"/>
    </row>
    <row r="508">
      <c r="A508" s="305">
        <v>507.0</v>
      </c>
      <c r="B508" s="306" t="s">
        <v>7758</v>
      </c>
      <c r="C508" s="307" t="s">
        <v>1420</v>
      </c>
      <c r="D508" s="308" t="s">
        <v>7760</v>
      </c>
      <c r="E508" s="305" t="s">
        <v>7761</v>
      </c>
      <c r="F508" s="309" t="s">
        <v>7762</v>
      </c>
      <c r="G508" s="236"/>
      <c r="H508" s="307" t="s">
        <v>1420</v>
      </c>
      <c r="I508" s="237"/>
      <c r="J508" s="237"/>
      <c r="K508" s="310" t="s">
        <v>7759</v>
      </c>
      <c r="L508" s="237"/>
      <c r="M508" s="237"/>
      <c r="N508" s="237"/>
      <c r="O508" s="237"/>
      <c r="P508" s="237"/>
      <c r="Q508" s="237"/>
      <c r="R508" s="237"/>
      <c r="S508" s="237"/>
      <c r="T508" s="237"/>
      <c r="U508" s="237"/>
      <c r="V508" s="237"/>
      <c r="W508" s="237"/>
      <c r="X508" s="237"/>
      <c r="Y508" s="237"/>
      <c r="Z508" s="237"/>
    </row>
    <row r="509">
      <c r="A509" s="305">
        <v>508.0</v>
      </c>
      <c r="B509" s="306" t="s">
        <v>7783</v>
      </c>
      <c r="C509" s="307" t="s">
        <v>1420</v>
      </c>
      <c r="D509" s="308" t="s">
        <v>7785</v>
      </c>
      <c r="E509" s="305" t="s">
        <v>7786</v>
      </c>
      <c r="F509" s="309" t="s">
        <v>7787</v>
      </c>
      <c r="G509" s="236"/>
      <c r="H509" s="307" t="s">
        <v>1420</v>
      </c>
      <c r="I509" s="237"/>
      <c r="J509" s="237"/>
      <c r="K509" s="310" t="s">
        <v>7784</v>
      </c>
      <c r="L509" s="237"/>
      <c r="M509" s="237"/>
      <c r="N509" s="237"/>
      <c r="O509" s="237"/>
      <c r="P509" s="237"/>
      <c r="Q509" s="237"/>
      <c r="R509" s="237"/>
      <c r="S509" s="237"/>
      <c r="T509" s="237"/>
      <c r="U509" s="237"/>
      <c r="V509" s="237"/>
      <c r="W509" s="237"/>
      <c r="X509" s="237"/>
      <c r="Y509" s="237"/>
      <c r="Z509" s="237"/>
    </row>
    <row r="510">
      <c r="A510" s="305">
        <v>509.0</v>
      </c>
      <c r="B510" s="306" t="s">
        <v>4146</v>
      </c>
      <c r="C510" s="307" t="s">
        <v>1420</v>
      </c>
      <c r="D510" s="308" t="s">
        <v>4148</v>
      </c>
      <c r="E510" s="305" t="s">
        <v>4149</v>
      </c>
      <c r="F510" s="309" t="s">
        <v>4150</v>
      </c>
      <c r="G510" s="236"/>
      <c r="H510" s="307" t="s">
        <v>1420</v>
      </c>
      <c r="I510" s="237"/>
      <c r="J510" s="237"/>
      <c r="K510" s="310" t="s">
        <v>4147</v>
      </c>
      <c r="L510" s="237"/>
      <c r="M510" s="237"/>
      <c r="N510" s="237"/>
      <c r="O510" s="237"/>
      <c r="P510" s="237"/>
      <c r="Q510" s="237"/>
      <c r="R510" s="237"/>
      <c r="S510" s="237"/>
      <c r="T510" s="237"/>
      <c r="U510" s="237"/>
      <c r="V510" s="237"/>
      <c r="W510" s="237"/>
      <c r="X510" s="237"/>
      <c r="Y510" s="237"/>
      <c r="Z510" s="237"/>
    </row>
    <row r="511">
      <c r="A511" s="305">
        <v>510.0</v>
      </c>
      <c r="B511" s="306" t="s">
        <v>4136</v>
      </c>
      <c r="C511" s="307" t="s">
        <v>1420</v>
      </c>
      <c r="D511" s="308" t="s">
        <v>4138</v>
      </c>
      <c r="E511" s="305" t="s">
        <v>4139</v>
      </c>
      <c r="F511" s="309" t="s">
        <v>4140</v>
      </c>
      <c r="G511" s="236"/>
      <c r="H511" s="307" t="s">
        <v>1420</v>
      </c>
      <c r="I511" s="237"/>
      <c r="J511" s="237"/>
      <c r="K511" s="310" t="s">
        <v>4137</v>
      </c>
      <c r="L511" s="237"/>
      <c r="M511" s="237"/>
      <c r="N511" s="237"/>
      <c r="O511" s="237"/>
      <c r="P511" s="237"/>
      <c r="Q511" s="237"/>
      <c r="R511" s="237"/>
      <c r="S511" s="237"/>
      <c r="T511" s="237"/>
      <c r="U511" s="237"/>
      <c r="V511" s="237"/>
      <c r="W511" s="237"/>
      <c r="X511" s="237"/>
      <c r="Y511" s="237"/>
      <c r="Z511" s="237"/>
    </row>
    <row r="512">
      <c r="A512" s="305">
        <v>511.0</v>
      </c>
      <c r="B512" s="306" t="s">
        <v>9631</v>
      </c>
      <c r="C512" s="307" t="s">
        <v>1420</v>
      </c>
      <c r="D512" s="308" t="s">
        <v>9633</v>
      </c>
      <c r="E512" s="305" t="s">
        <v>9634</v>
      </c>
      <c r="F512" s="309" t="s">
        <v>9635</v>
      </c>
      <c r="G512" s="236"/>
      <c r="H512" s="307" t="s">
        <v>1420</v>
      </c>
      <c r="I512" s="237"/>
      <c r="J512" s="237"/>
      <c r="K512" s="310" t="s">
        <v>9632</v>
      </c>
      <c r="L512" s="237"/>
      <c r="M512" s="237"/>
      <c r="N512" s="237"/>
      <c r="O512" s="237"/>
      <c r="P512" s="237"/>
      <c r="Q512" s="237"/>
      <c r="R512" s="237"/>
      <c r="S512" s="237"/>
      <c r="T512" s="237"/>
      <c r="U512" s="237"/>
      <c r="V512" s="237"/>
      <c r="W512" s="237"/>
      <c r="X512" s="237"/>
      <c r="Y512" s="237"/>
      <c r="Z512" s="237"/>
    </row>
    <row r="513">
      <c r="A513" s="305">
        <v>512.0</v>
      </c>
      <c r="B513" s="306" t="s">
        <v>9626</v>
      </c>
      <c r="C513" s="307" t="s">
        <v>1420</v>
      </c>
      <c r="D513" s="308" t="s">
        <v>9628</v>
      </c>
      <c r="E513" s="305" t="s">
        <v>9629</v>
      </c>
      <c r="F513" s="309" t="s">
        <v>9630</v>
      </c>
      <c r="G513" s="236"/>
      <c r="H513" s="307" t="s">
        <v>1420</v>
      </c>
      <c r="I513" s="237"/>
      <c r="J513" s="237"/>
      <c r="K513" s="310" t="s">
        <v>9627</v>
      </c>
      <c r="L513" s="237"/>
      <c r="M513" s="237"/>
      <c r="N513" s="237"/>
      <c r="O513" s="237"/>
      <c r="P513" s="237"/>
      <c r="Q513" s="237"/>
      <c r="R513" s="237"/>
      <c r="S513" s="237"/>
      <c r="T513" s="237"/>
      <c r="U513" s="237"/>
      <c r="V513" s="237"/>
      <c r="W513" s="237"/>
      <c r="X513" s="237"/>
      <c r="Y513" s="237"/>
      <c r="Z513" s="237"/>
    </row>
    <row r="514">
      <c r="A514" s="305">
        <v>513.0</v>
      </c>
      <c r="B514" s="306" t="s">
        <v>9636</v>
      </c>
      <c r="C514" s="307" t="s">
        <v>1420</v>
      </c>
      <c r="D514" s="308" t="s">
        <v>9638</v>
      </c>
      <c r="E514" s="305" t="s">
        <v>9639</v>
      </c>
      <c r="F514" s="309" t="s">
        <v>9640</v>
      </c>
      <c r="G514" s="236"/>
      <c r="H514" s="307" t="s">
        <v>1420</v>
      </c>
      <c r="I514" s="237"/>
      <c r="J514" s="237"/>
      <c r="K514" s="310" t="s">
        <v>9637</v>
      </c>
      <c r="L514" s="237"/>
      <c r="M514" s="237"/>
      <c r="N514" s="237"/>
      <c r="O514" s="237"/>
      <c r="P514" s="237"/>
      <c r="Q514" s="237"/>
      <c r="R514" s="237"/>
      <c r="S514" s="237"/>
      <c r="T514" s="237"/>
      <c r="U514" s="237"/>
      <c r="V514" s="237"/>
      <c r="W514" s="237"/>
      <c r="X514" s="237"/>
      <c r="Y514" s="237"/>
      <c r="Z514" s="237"/>
    </row>
    <row r="515">
      <c r="A515" s="305">
        <v>514.0</v>
      </c>
      <c r="B515" s="306" t="s">
        <v>9621</v>
      </c>
      <c r="C515" s="307" t="s">
        <v>1420</v>
      </c>
      <c r="D515" s="308" t="s">
        <v>9623</v>
      </c>
      <c r="E515" s="305" t="s">
        <v>9624</v>
      </c>
      <c r="F515" s="309" t="s">
        <v>9625</v>
      </c>
      <c r="G515" s="236"/>
      <c r="H515" s="307" t="s">
        <v>1420</v>
      </c>
      <c r="I515" s="237"/>
      <c r="J515" s="237"/>
      <c r="K515" s="310" t="s">
        <v>9622</v>
      </c>
      <c r="L515" s="237"/>
      <c r="M515" s="237"/>
      <c r="N515" s="237"/>
      <c r="O515" s="237"/>
      <c r="P515" s="237"/>
      <c r="Q515" s="237"/>
      <c r="R515" s="237"/>
      <c r="S515" s="237"/>
      <c r="T515" s="237"/>
      <c r="U515" s="237"/>
      <c r="V515" s="237"/>
      <c r="W515" s="237"/>
      <c r="X515" s="237"/>
      <c r="Y515" s="237"/>
      <c r="Z515" s="237"/>
    </row>
    <row r="516">
      <c r="A516" s="305">
        <v>515.0</v>
      </c>
      <c r="B516" s="306" t="s">
        <v>9616</v>
      </c>
      <c r="C516" s="307" t="s">
        <v>1420</v>
      </c>
      <c r="D516" s="308" t="s">
        <v>9618</v>
      </c>
      <c r="E516" s="305" t="s">
        <v>9619</v>
      </c>
      <c r="F516" s="309" t="s">
        <v>9620</v>
      </c>
      <c r="G516" s="236"/>
      <c r="H516" s="307" t="s">
        <v>1420</v>
      </c>
      <c r="I516" s="237"/>
      <c r="J516" s="237"/>
      <c r="K516" s="310" t="s">
        <v>9617</v>
      </c>
      <c r="L516" s="237"/>
      <c r="M516" s="237"/>
      <c r="N516" s="237"/>
      <c r="O516" s="237"/>
      <c r="P516" s="237"/>
      <c r="Q516" s="237"/>
      <c r="R516" s="237"/>
      <c r="S516" s="237"/>
      <c r="T516" s="237"/>
      <c r="U516" s="237"/>
      <c r="V516" s="237"/>
      <c r="W516" s="237"/>
      <c r="X516" s="237"/>
      <c r="Y516" s="237"/>
      <c r="Z516" s="237"/>
    </row>
    <row r="517">
      <c r="A517" s="305">
        <v>516.0</v>
      </c>
      <c r="B517" s="306" t="s">
        <v>9611</v>
      </c>
      <c r="C517" s="307" t="s">
        <v>1420</v>
      </c>
      <c r="D517" s="308" t="s">
        <v>9613</v>
      </c>
      <c r="E517" s="305" t="s">
        <v>9614</v>
      </c>
      <c r="F517" s="309" t="s">
        <v>9615</v>
      </c>
      <c r="G517" s="236"/>
      <c r="H517" s="307" t="s">
        <v>1420</v>
      </c>
      <c r="I517" s="237"/>
      <c r="J517" s="237"/>
      <c r="K517" s="310" t="s">
        <v>9612</v>
      </c>
      <c r="L517" s="237"/>
      <c r="M517" s="237"/>
      <c r="N517" s="237"/>
      <c r="O517" s="237"/>
      <c r="P517" s="237"/>
      <c r="Q517" s="237"/>
      <c r="R517" s="237"/>
      <c r="S517" s="237"/>
      <c r="T517" s="237"/>
      <c r="U517" s="237"/>
      <c r="V517" s="237"/>
      <c r="W517" s="237"/>
      <c r="X517" s="237"/>
      <c r="Y517" s="237"/>
      <c r="Z517" s="237"/>
    </row>
    <row r="518">
      <c r="A518" s="305">
        <v>517.0</v>
      </c>
      <c r="B518" s="306">
        <v>3.40004E7</v>
      </c>
      <c r="C518" s="307" t="s">
        <v>1420</v>
      </c>
      <c r="D518" s="308" t="s">
        <v>9839</v>
      </c>
      <c r="E518" s="305" t="s">
        <v>9840</v>
      </c>
      <c r="F518" s="309" t="s">
        <v>9841</v>
      </c>
      <c r="G518" s="236"/>
      <c r="H518" s="307" t="s">
        <v>1420</v>
      </c>
      <c r="I518" s="237"/>
      <c r="J518" s="237"/>
      <c r="K518" s="310" t="s">
        <v>9838</v>
      </c>
      <c r="L518" s="237"/>
      <c r="M518" s="237"/>
      <c r="N518" s="237"/>
      <c r="O518" s="237"/>
      <c r="P518" s="237"/>
      <c r="Q518" s="237"/>
      <c r="R518" s="237"/>
      <c r="S518" s="237"/>
      <c r="T518" s="237"/>
      <c r="U518" s="237"/>
      <c r="V518" s="237"/>
      <c r="W518" s="237"/>
      <c r="X518" s="237"/>
      <c r="Y518" s="237"/>
      <c r="Z518" s="237"/>
    </row>
    <row r="519">
      <c r="A519" s="305">
        <v>518.0</v>
      </c>
      <c r="B519" s="306">
        <v>461484.0</v>
      </c>
      <c r="C519" s="307" t="s">
        <v>1420</v>
      </c>
      <c r="D519" s="308" t="s">
        <v>8684</v>
      </c>
      <c r="E519" s="305" t="s">
        <v>8685</v>
      </c>
      <c r="F519" s="309" t="s">
        <v>8686</v>
      </c>
      <c r="G519" s="236"/>
      <c r="H519" s="307" t="s">
        <v>1420</v>
      </c>
      <c r="I519" s="237"/>
      <c r="J519" s="237"/>
      <c r="K519" s="310" t="s">
        <v>8683</v>
      </c>
      <c r="L519" s="237"/>
      <c r="M519" s="237"/>
      <c r="N519" s="237"/>
      <c r="O519" s="237"/>
      <c r="P519" s="237"/>
      <c r="Q519" s="237"/>
      <c r="R519" s="237"/>
      <c r="S519" s="237"/>
      <c r="T519" s="237"/>
      <c r="U519" s="237"/>
      <c r="V519" s="237"/>
      <c r="W519" s="237"/>
      <c r="X519" s="237"/>
      <c r="Y519" s="237"/>
      <c r="Z519" s="237"/>
    </row>
    <row r="520">
      <c r="A520" s="305">
        <v>519.0</v>
      </c>
      <c r="B520" s="236"/>
      <c r="C520" s="307" t="s">
        <v>1420</v>
      </c>
      <c r="D520" s="308" t="s">
        <v>8693</v>
      </c>
      <c r="E520" s="305" t="s">
        <v>8694</v>
      </c>
      <c r="F520" s="309" t="s">
        <v>8695</v>
      </c>
      <c r="G520" s="236"/>
      <c r="H520" s="307" t="s">
        <v>1420</v>
      </c>
      <c r="I520" s="237"/>
      <c r="J520" s="237"/>
      <c r="K520" s="310" t="s">
        <v>8692</v>
      </c>
      <c r="L520" s="237"/>
      <c r="M520" s="237"/>
      <c r="N520" s="237"/>
      <c r="O520" s="237"/>
      <c r="P520" s="237"/>
      <c r="Q520" s="237"/>
      <c r="R520" s="237"/>
      <c r="S520" s="237"/>
      <c r="T520" s="237"/>
      <c r="U520" s="237"/>
      <c r="V520" s="237"/>
      <c r="W520" s="237"/>
      <c r="X520" s="237"/>
      <c r="Y520" s="237"/>
      <c r="Z520" s="237"/>
    </row>
    <row r="521">
      <c r="A521" s="305">
        <v>520.0</v>
      </c>
      <c r="B521" s="306">
        <v>461485.0</v>
      </c>
      <c r="C521" s="307" t="s">
        <v>1420</v>
      </c>
      <c r="D521" s="308" t="s">
        <v>8689</v>
      </c>
      <c r="E521" s="305" t="s">
        <v>8690</v>
      </c>
      <c r="F521" s="309" t="s">
        <v>8691</v>
      </c>
      <c r="G521" s="236"/>
      <c r="H521" s="307" t="s">
        <v>1420</v>
      </c>
      <c r="I521" s="237"/>
      <c r="J521" s="237"/>
      <c r="K521" s="310" t="s">
        <v>8688</v>
      </c>
      <c r="L521" s="237"/>
      <c r="M521" s="237"/>
      <c r="N521" s="237"/>
      <c r="O521" s="237"/>
      <c r="P521" s="237"/>
      <c r="Q521" s="237"/>
      <c r="R521" s="237"/>
      <c r="S521" s="237"/>
      <c r="T521" s="237"/>
      <c r="U521" s="237"/>
      <c r="V521" s="237"/>
      <c r="W521" s="237"/>
      <c r="X521" s="237"/>
      <c r="Y521" s="237"/>
      <c r="Z521" s="237"/>
    </row>
    <row r="522">
      <c r="A522" s="305">
        <v>521.0</v>
      </c>
      <c r="B522" s="306">
        <v>461250.0</v>
      </c>
      <c r="C522" s="307" t="s">
        <v>1420</v>
      </c>
      <c r="D522" s="308" t="s">
        <v>7237</v>
      </c>
      <c r="E522" s="305" t="s">
        <v>7238</v>
      </c>
      <c r="F522" s="309" t="s">
        <v>7239</v>
      </c>
      <c r="G522" s="236"/>
      <c r="H522" s="307" t="s">
        <v>1420</v>
      </c>
      <c r="I522" s="237"/>
      <c r="J522" s="237"/>
      <c r="K522" s="310" t="s">
        <v>7236</v>
      </c>
      <c r="L522" s="237"/>
      <c r="M522" s="237"/>
      <c r="N522" s="237"/>
      <c r="O522" s="237"/>
      <c r="P522" s="237"/>
      <c r="Q522" s="237"/>
      <c r="R522" s="237"/>
      <c r="S522" s="237"/>
      <c r="T522" s="237"/>
      <c r="U522" s="237"/>
      <c r="V522" s="237"/>
      <c r="W522" s="237"/>
      <c r="X522" s="237"/>
      <c r="Y522" s="237"/>
      <c r="Z522" s="237"/>
    </row>
    <row r="523">
      <c r="A523" s="305">
        <v>522.0</v>
      </c>
      <c r="B523" s="306">
        <v>461308.0</v>
      </c>
      <c r="C523" s="307" t="s">
        <v>1420</v>
      </c>
      <c r="D523" s="308" t="s">
        <v>7227</v>
      </c>
      <c r="E523" s="305" t="s">
        <v>7228</v>
      </c>
      <c r="F523" s="309" t="s">
        <v>7229</v>
      </c>
      <c r="G523" s="236"/>
      <c r="H523" s="307" t="s">
        <v>1420</v>
      </c>
      <c r="I523" s="237"/>
      <c r="J523" s="237"/>
      <c r="K523" s="310" t="s">
        <v>7226</v>
      </c>
      <c r="L523" s="237"/>
      <c r="M523" s="237"/>
      <c r="N523" s="237"/>
      <c r="O523" s="237"/>
      <c r="P523" s="237"/>
      <c r="Q523" s="237"/>
      <c r="R523" s="237"/>
      <c r="S523" s="237"/>
      <c r="T523" s="237"/>
      <c r="U523" s="237"/>
      <c r="V523" s="237"/>
      <c r="W523" s="237"/>
      <c r="X523" s="237"/>
      <c r="Y523" s="237"/>
      <c r="Z523" s="237"/>
    </row>
    <row r="524">
      <c r="A524" s="305">
        <v>523.0</v>
      </c>
      <c r="B524" s="306">
        <v>461310.0</v>
      </c>
      <c r="C524" s="307" t="s">
        <v>1420</v>
      </c>
      <c r="D524" s="308" t="s">
        <v>7232</v>
      </c>
      <c r="E524" s="305" t="s">
        <v>7233</v>
      </c>
      <c r="F524" s="309" t="s">
        <v>7234</v>
      </c>
      <c r="G524" s="236"/>
      <c r="H524" s="307" t="s">
        <v>1420</v>
      </c>
      <c r="I524" s="237"/>
      <c r="J524" s="237"/>
      <c r="K524" s="310" t="s">
        <v>7231</v>
      </c>
      <c r="L524" s="237"/>
      <c r="M524" s="237"/>
      <c r="N524" s="237"/>
      <c r="O524" s="237"/>
      <c r="P524" s="237"/>
      <c r="Q524" s="237"/>
      <c r="R524" s="237"/>
      <c r="S524" s="237"/>
      <c r="T524" s="237"/>
      <c r="U524" s="237"/>
      <c r="V524" s="237"/>
      <c r="W524" s="237"/>
      <c r="X524" s="237"/>
      <c r="Y524" s="237"/>
      <c r="Z524" s="237"/>
    </row>
    <row r="525">
      <c r="A525" s="305">
        <v>524.0</v>
      </c>
      <c r="B525" s="306">
        <v>461296.0</v>
      </c>
      <c r="C525" s="307" t="s">
        <v>1420</v>
      </c>
      <c r="D525" s="308" t="s">
        <v>7242</v>
      </c>
      <c r="E525" s="305" t="s">
        <v>7243</v>
      </c>
      <c r="F525" s="309" t="s">
        <v>7244</v>
      </c>
      <c r="G525" s="236"/>
      <c r="H525" s="307" t="s">
        <v>1420</v>
      </c>
      <c r="I525" s="237"/>
      <c r="J525" s="237"/>
      <c r="K525" s="310" t="s">
        <v>7241</v>
      </c>
      <c r="L525" s="237"/>
      <c r="M525" s="237"/>
      <c r="N525" s="237"/>
      <c r="O525" s="237"/>
      <c r="P525" s="237"/>
      <c r="Q525" s="237"/>
      <c r="R525" s="237"/>
      <c r="S525" s="237"/>
      <c r="T525" s="237"/>
      <c r="U525" s="237"/>
      <c r="V525" s="237"/>
      <c r="W525" s="237"/>
      <c r="X525" s="237"/>
      <c r="Y525" s="237"/>
      <c r="Z525" s="237"/>
    </row>
    <row r="526">
      <c r="A526" s="305">
        <v>525.0</v>
      </c>
      <c r="B526" s="236"/>
      <c r="C526" s="307" t="s">
        <v>1420</v>
      </c>
      <c r="D526" s="308" t="s">
        <v>9415</v>
      </c>
      <c r="E526" s="305" t="s">
        <v>9416</v>
      </c>
      <c r="F526" s="309" t="s">
        <v>9417</v>
      </c>
      <c r="G526" s="236"/>
      <c r="H526" s="307" t="s">
        <v>1420</v>
      </c>
      <c r="I526" s="237"/>
      <c r="J526" s="237"/>
      <c r="K526" s="310" t="s">
        <v>9414</v>
      </c>
      <c r="L526" s="237"/>
      <c r="M526" s="237"/>
      <c r="N526" s="237"/>
      <c r="O526" s="237"/>
      <c r="P526" s="237"/>
      <c r="Q526" s="237"/>
      <c r="R526" s="237"/>
      <c r="S526" s="237"/>
      <c r="T526" s="237"/>
      <c r="U526" s="237"/>
      <c r="V526" s="237"/>
      <c r="W526" s="237"/>
      <c r="X526" s="237"/>
      <c r="Y526" s="237"/>
      <c r="Z526" s="237"/>
    </row>
    <row r="527">
      <c r="A527" s="305">
        <v>526.0</v>
      </c>
      <c r="B527" s="236"/>
      <c r="C527" s="307" t="s">
        <v>1420</v>
      </c>
      <c r="D527" s="308" t="s">
        <v>9419</v>
      </c>
      <c r="E527" s="305" t="s">
        <v>9420</v>
      </c>
      <c r="F527" s="309" t="s">
        <v>9421</v>
      </c>
      <c r="G527" s="236"/>
      <c r="H527" s="307" t="s">
        <v>1420</v>
      </c>
      <c r="I527" s="237"/>
      <c r="J527" s="237"/>
      <c r="K527" s="310" t="s">
        <v>9418</v>
      </c>
      <c r="L527" s="237"/>
      <c r="M527" s="237"/>
      <c r="N527" s="237"/>
      <c r="O527" s="237"/>
      <c r="P527" s="237"/>
      <c r="Q527" s="237"/>
      <c r="R527" s="237"/>
      <c r="S527" s="237"/>
      <c r="T527" s="237"/>
      <c r="U527" s="237"/>
      <c r="V527" s="237"/>
      <c r="W527" s="237"/>
      <c r="X527" s="237"/>
      <c r="Y527" s="237"/>
      <c r="Z527" s="237"/>
    </row>
    <row r="528">
      <c r="A528" s="305">
        <v>527.0</v>
      </c>
      <c r="B528" s="236"/>
      <c r="C528" s="307" t="s">
        <v>1420</v>
      </c>
      <c r="D528" s="308" t="s">
        <v>9236</v>
      </c>
      <c r="E528" s="305" t="s">
        <v>9237</v>
      </c>
      <c r="F528" s="309" t="s">
        <v>9238</v>
      </c>
      <c r="G528" s="236"/>
      <c r="H528" s="307" t="s">
        <v>1420</v>
      </c>
      <c r="I528" s="237"/>
      <c r="J528" s="237"/>
      <c r="K528" s="310" t="s">
        <v>9235</v>
      </c>
      <c r="L528" s="237"/>
      <c r="M528" s="237"/>
      <c r="N528" s="237"/>
      <c r="O528" s="237"/>
      <c r="P528" s="237"/>
      <c r="Q528" s="237"/>
      <c r="R528" s="237"/>
      <c r="S528" s="237"/>
      <c r="T528" s="237"/>
      <c r="U528" s="237"/>
      <c r="V528" s="237"/>
      <c r="W528" s="237"/>
      <c r="X528" s="237"/>
      <c r="Y528" s="237"/>
      <c r="Z528" s="237"/>
    </row>
    <row r="529">
      <c r="A529" s="305">
        <v>528.0</v>
      </c>
      <c r="B529" s="236"/>
      <c r="C529" s="307" t="s">
        <v>1420</v>
      </c>
      <c r="D529" s="308" t="s">
        <v>9240</v>
      </c>
      <c r="E529" s="305" t="s">
        <v>9241</v>
      </c>
      <c r="F529" s="236"/>
      <c r="G529" s="236"/>
      <c r="H529" s="307" t="s">
        <v>1420</v>
      </c>
      <c r="I529" s="237"/>
      <c r="J529" s="237"/>
      <c r="K529" s="310" t="s">
        <v>9239</v>
      </c>
      <c r="L529" s="237"/>
      <c r="M529" s="237"/>
      <c r="N529" s="237"/>
      <c r="O529" s="237"/>
      <c r="P529" s="237"/>
      <c r="Q529" s="237"/>
      <c r="R529" s="237"/>
      <c r="S529" s="237"/>
      <c r="T529" s="237"/>
      <c r="U529" s="237"/>
      <c r="V529" s="237"/>
      <c r="W529" s="237"/>
      <c r="X529" s="237"/>
      <c r="Y529" s="237"/>
      <c r="Z529" s="237"/>
    </row>
    <row r="530">
      <c r="A530" s="305">
        <v>529.0</v>
      </c>
      <c r="B530" s="236"/>
      <c r="C530" s="307" t="s">
        <v>1420</v>
      </c>
      <c r="D530" s="308" t="s">
        <v>9153</v>
      </c>
      <c r="E530" s="305" t="s">
        <v>9154</v>
      </c>
      <c r="F530" s="309" t="s">
        <v>9155</v>
      </c>
      <c r="G530" s="236"/>
      <c r="H530" s="307" t="s">
        <v>1420</v>
      </c>
      <c r="I530" s="237"/>
      <c r="J530" s="237"/>
      <c r="K530" s="310" t="s">
        <v>9152</v>
      </c>
      <c r="L530" s="237"/>
      <c r="M530" s="237"/>
      <c r="N530" s="237"/>
      <c r="O530" s="237"/>
      <c r="P530" s="237"/>
      <c r="Q530" s="237"/>
      <c r="R530" s="237"/>
      <c r="S530" s="237"/>
      <c r="T530" s="237"/>
      <c r="U530" s="237"/>
      <c r="V530" s="237"/>
      <c r="W530" s="237"/>
      <c r="X530" s="237"/>
      <c r="Y530" s="237"/>
      <c r="Z530" s="237"/>
    </row>
    <row r="531">
      <c r="A531" s="305">
        <v>530.0</v>
      </c>
      <c r="B531" s="236"/>
      <c r="C531" s="307" t="s">
        <v>1420</v>
      </c>
      <c r="D531" s="308" t="s">
        <v>9157</v>
      </c>
      <c r="E531" s="305" t="s">
        <v>9158</v>
      </c>
      <c r="F531" s="309" t="s">
        <v>9159</v>
      </c>
      <c r="G531" s="236"/>
      <c r="H531" s="307" t="s">
        <v>1420</v>
      </c>
      <c r="I531" s="237"/>
      <c r="J531" s="237"/>
      <c r="K531" s="310" t="s">
        <v>9156</v>
      </c>
      <c r="L531" s="237"/>
      <c r="M531" s="237"/>
      <c r="N531" s="237"/>
      <c r="O531" s="237"/>
      <c r="P531" s="237"/>
      <c r="Q531" s="237"/>
      <c r="R531" s="237"/>
      <c r="S531" s="237"/>
      <c r="T531" s="237"/>
      <c r="U531" s="237"/>
      <c r="V531" s="237"/>
      <c r="W531" s="237"/>
      <c r="X531" s="237"/>
      <c r="Y531" s="237"/>
      <c r="Z531" s="237"/>
    </row>
    <row r="532">
      <c r="A532" s="305">
        <v>531.0</v>
      </c>
      <c r="B532" s="236"/>
      <c r="C532" s="307" t="s">
        <v>1420</v>
      </c>
      <c r="D532" s="308" t="s">
        <v>9439</v>
      </c>
      <c r="E532" s="305" t="s">
        <v>9440</v>
      </c>
      <c r="F532" s="309" t="s">
        <v>9441</v>
      </c>
      <c r="G532" s="236"/>
      <c r="H532" s="307" t="s">
        <v>1420</v>
      </c>
      <c r="I532" s="237"/>
      <c r="J532" s="237"/>
      <c r="K532" s="310" t="s">
        <v>9438</v>
      </c>
      <c r="L532" s="237"/>
      <c r="M532" s="237"/>
      <c r="N532" s="237"/>
      <c r="O532" s="237"/>
      <c r="P532" s="237"/>
      <c r="Q532" s="237"/>
      <c r="R532" s="237"/>
      <c r="S532" s="237"/>
      <c r="T532" s="237"/>
      <c r="U532" s="237"/>
      <c r="V532" s="237"/>
      <c r="W532" s="237"/>
      <c r="X532" s="237"/>
      <c r="Y532" s="237"/>
      <c r="Z532" s="237"/>
    </row>
    <row r="533">
      <c r="A533" s="305">
        <v>532.0</v>
      </c>
      <c r="B533" s="236"/>
      <c r="C533" s="307" t="s">
        <v>1420</v>
      </c>
      <c r="D533" s="308" t="s">
        <v>9459</v>
      </c>
      <c r="E533" s="305" t="s">
        <v>9460</v>
      </c>
      <c r="F533" s="309" t="s">
        <v>9461</v>
      </c>
      <c r="G533" s="236"/>
      <c r="H533" s="307" t="s">
        <v>1420</v>
      </c>
      <c r="I533" s="237"/>
      <c r="J533" s="237"/>
      <c r="K533" s="310" t="s">
        <v>9458</v>
      </c>
      <c r="L533" s="237"/>
      <c r="M533" s="237"/>
      <c r="N533" s="237"/>
      <c r="O533" s="237"/>
      <c r="P533" s="237"/>
      <c r="Q533" s="237"/>
      <c r="R533" s="237"/>
      <c r="S533" s="237"/>
      <c r="T533" s="237"/>
      <c r="U533" s="237"/>
      <c r="V533" s="237"/>
      <c r="W533" s="237"/>
      <c r="X533" s="237"/>
      <c r="Y533" s="237"/>
      <c r="Z533" s="237"/>
    </row>
    <row r="534">
      <c r="A534" s="305">
        <v>533.0</v>
      </c>
      <c r="B534" s="236"/>
      <c r="C534" s="307" t="s">
        <v>1420</v>
      </c>
      <c r="D534" s="308" t="s">
        <v>9451</v>
      </c>
      <c r="E534" s="305" t="s">
        <v>9452</v>
      </c>
      <c r="F534" s="309" t="s">
        <v>9453</v>
      </c>
      <c r="G534" s="236"/>
      <c r="H534" s="307" t="s">
        <v>1420</v>
      </c>
      <c r="I534" s="237"/>
      <c r="J534" s="237"/>
      <c r="K534" s="310" t="s">
        <v>9450</v>
      </c>
      <c r="L534" s="237"/>
      <c r="M534" s="237"/>
      <c r="N534" s="237"/>
      <c r="O534" s="237"/>
      <c r="P534" s="237"/>
      <c r="Q534" s="237"/>
      <c r="R534" s="237"/>
      <c r="S534" s="237"/>
      <c r="T534" s="237"/>
      <c r="U534" s="237"/>
      <c r="V534" s="237"/>
      <c r="W534" s="237"/>
      <c r="X534" s="237"/>
      <c r="Y534" s="237"/>
      <c r="Z534" s="237"/>
    </row>
    <row r="535">
      <c r="A535" s="305">
        <v>534.0</v>
      </c>
      <c r="B535" s="236"/>
      <c r="C535" s="307" t="s">
        <v>1420</v>
      </c>
      <c r="D535" s="308" t="s">
        <v>9642</v>
      </c>
      <c r="E535" s="305" t="s">
        <v>9643</v>
      </c>
      <c r="F535" s="309" t="s">
        <v>9644</v>
      </c>
      <c r="G535" s="236"/>
      <c r="H535" s="307" t="s">
        <v>1420</v>
      </c>
      <c r="I535" s="237"/>
      <c r="J535" s="237"/>
      <c r="K535" s="310" t="s">
        <v>9641</v>
      </c>
      <c r="L535" s="237"/>
      <c r="M535" s="237"/>
      <c r="N535" s="237"/>
      <c r="O535" s="237"/>
      <c r="P535" s="237"/>
      <c r="Q535" s="237"/>
      <c r="R535" s="237"/>
      <c r="S535" s="237"/>
      <c r="T535" s="237"/>
      <c r="U535" s="237"/>
      <c r="V535" s="237"/>
      <c r="W535" s="237"/>
      <c r="X535" s="237"/>
      <c r="Y535" s="237"/>
      <c r="Z535" s="237"/>
    </row>
    <row r="536">
      <c r="A536" s="305">
        <v>535.0</v>
      </c>
      <c r="B536" s="236"/>
      <c r="C536" s="307" t="s">
        <v>1420</v>
      </c>
      <c r="D536" s="308" t="s">
        <v>9447</v>
      </c>
      <c r="E536" s="305" t="s">
        <v>9448</v>
      </c>
      <c r="F536" s="309" t="s">
        <v>9449</v>
      </c>
      <c r="G536" s="236"/>
      <c r="H536" s="307" t="s">
        <v>1420</v>
      </c>
      <c r="I536" s="237"/>
      <c r="J536" s="237"/>
      <c r="K536" s="310" t="s">
        <v>9446</v>
      </c>
      <c r="L536" s="237"/>
      <c r="M536" s="237"/>
      <c r="N536" s="237"/>
      <c r="O536" s="237"/>
      <c r="P536" s="237"/>
      <c r="Q536" s="237"/>
      <c r="R536" s="237"/>
      <c r="S536" s="237"/>
      <c r="T536" s="237"/>
      <c r="U536" s="237"/>
      <c r="V536" s="237"/>
      <c r="W536" s="237"/>
      <c r="X536" s="237"/>
      <c r="Y536" s="237"/>
      <c r="Z536" s="237"/>
    </row>
    <row r="537">
      <c r="A537" s="305">
        <v>536.0</v>
      </c>
      <c r="B537" s="236"/>
      <c r="C537" s="307" t="s">
        <v>1420</v>
      </c>
      <c r="D537" s="308" t="s">
        <v>9455</v>
      </c>
      <c r="E537" s="305" t="s">
        <v>9456</v>
      </c>
      <c r="F537" s="309" t="s">
        <v>9457</v>
      </c>
      <c r="G537" s="236"/>
      <c r="H537" s="307" t="s">
        <v>1420</v>
      </c>
      <c r="I537" s="237"/>
      <c r="J537" s="237"/>
      <c r="K537" s="310" t="s">
        <v>9454</v>
      </c>
      <c r="L537" s="237"/>
      <c r="M537" s="237"/>
      <c r="N537" s="237"/>
      <c r="O537" s="237"/>
      <c r="P537" s="237"/>
      <c r="Q537" s="237"/>
      <c r="R537" s="237"/>
      <c r="S537" s="237"/>
      <c r="T537" s="237"/>
      <c r="U537" s="237"/>
      <c r="V537" s="237"/>
      <c r="W537" s="237"/>
      <c r="X537" s="237"/>
      <c r="Y537" s="237"/>
      <c r="Z537" s="237"/>
    </row>
    <row r="538">
      <c r="A538" s="305">
        <v>537.0</v>
      </c>
      <c r="B538" s="236"/>
      <c r="C538" s="307" t="s">
        <v>1420</v>
      </c>
      <c r="D538" s="308" t="s">
        <v>9232</v>
      </c>
      <c r="E538" s="305" t="s">
        <v>9233</v>
      </c>
      <c r="F538" s="309" t="s">
        <v>9234</v>
      </c>
      <c r="G538" s="236"/>
      <c r="H538" s="307" t="s">
        <v>1420</v>
      </c>
      <c r="I538" s="237"/>
      <c r="J538" s="237"/>
      <c r="K538" s="310" t="s">
        <v>9231</v>
      </c>
      <c r="L538" s="237"/>
      <c r="M538" s="237"/>
      <c r="N538" s="237"/>
      <c r="O538" s="237"/>
      <c r="P538" s="237"/>
      <c r="Q538" s="237"/>
      <c r="R538" s="237"/>
      <c r="S538" s="237"/>
      <c r="T538" s="237"/>
      <c r="U538" s="237"/>
      <c r="V538" s="237"/>
      <c r="W538" s="237"/>
      <c r="X538" s="237"/>
      <c r="Y538" s="237"/>
      <c r="Z538" s="237"/>
    </row>
    <row r="539">
      <c r="A539" s="305">
        <v>538.0</v>
      </c>
      <c r="B539" s="236"/>
      <c r="C539" s="307" t="s">
        <v>1420</v>
      </c>
      <c r="D539" s="308" t="s">
        <v>9225</v>
      </c>
      <c r="E539" s="305" t="s">
        <v>9226</v>
      </c>
      <c r="F539" s="309" t="s">
        <v>9227</v>
      </c>
      <c r="G539" s="236"/>
      <c r="H539" s="307" t="s">
        <v>1420</v>
      </c>
      <c r="I539" s="237"/>
      <c r="J539" s="237"/>
      <c r="K539" s="310" t="s">
        <v>9224</v>
      </c>
      <c r="L539" s="237"/>
      <c r="M539" s="237"/>
      <c r="N539" s="237"/>
      <c r="O539" s="237"/>
      <c r="P539" s="237"/>
      <c r="Q539" s="237"/>
      <c r="R539" s="237"/>
      <c r="S539" s="237"/>
      <c r="T539" s="237"/>
      <c r="U539" s="237"/>
      <c r="V539" s="237"/>
      <c r="W539" s="237"/>
      <c r="X539" s="237"/>
      <c r="Y539" s="237"/>
      <c r="Z539" s="237"/>
    </row>
    <row r="540">
      <c r="A540" s="305">
        <v>539.0</v>
      </c>
      <c r="B540" s="236"/>
      <c r="C540" s="307" t="s">
        <v>1420</v>
      </c>
      <c r="D540" s="308" t="s">
        <v>9229</v>
      </c>
      <c r="E540" s="305" t="s">
        <v>9230</v>
      </c>
      <c r="F540" s="309" t="s">
        <v>9194</v>
      </c>
      <c r="G540" s="236"/>
      <c r="H540" s="307" t="s">
        <v>1420</v>
      </c>
      <c r="I540" s="237"/>
      <c r="J540" s="237"/>
      <c r="K540" s="310" t="s">
        <v>9228</v>
      </c>
      <c r="L540" s="237"/>
      <c r="M540" s="237"/>
      <c r="N540" s="237"/>
      <c r="O540" s="237"/>
      <c r="P540" s="237"/>
      <c r="Q540" s="237"/>
      <c r="R540" s="237"/>
      <c r="S540" s="237"/>
      <c r="T540" s="237"/>
      <c r="U540" s="237"/>
      <c r="V540" s="237"/>
      <c r="W540" s="237"/>
      <c r="X540" s="237"/>
      <c r="Y540" s="237"/>
      <c r="Z540" s="237"/>
    </row>
    <row r="541">
      <c r="A541" s="305">
        <v>540.0</v>
      </c>
      <c r="B541" s="236"/>
      <c r="C541" s="307" t="s">
        <v>1420</v>
      </c>
      <c r="D541" s="308" t="s">
        <v>9192</v>
      </c>
      <c r="E541" s="305" t="s">
        <v>9193</v>
      </c>
      <c r="F541" s="309" t="s">
        <v>9194</v>
      </c>
      <c r="G541" s="236"/>
      <c r="H541" s="307" t="s">
        <v>1420</v>
      </c>
      <c r="I541" s="237"/>
      <c r="J541" s="237"/>
      <c r="K541" s="310" t="s">
        <v>9191</v>
      </c>
      <c r="L541" s="237"/>
      <c r="M541" s="237"/>
      <c r="N541" s="237"/>
      <c r="O541" s="237"/>
      <c r="P541" s="237"/>
      <c r="Q541" s="237"/>
      <c r="R541" s="237"/>
      <c r="S541" s="237"/>
      <c r="T541" s="237"/>
      <c r="U541" s="237"/>
      <c r="V541" s="237"/>
      <c r="W541" s="237"/>
      <c r="X541" s="237"/>
      <c r="Y541" s="237"/>
      <c r="Z541" s="237"/>
    </row>
    <row r="542">
      <c r="A542" s="305">
        <v>541.0</v>
      </c>
      <c r="B542" s="236"/>
      <c r="C542" s="307" t="s">
        <v>1420</v>
      </c>
      <c r="D542" s="308" t="s">
        <v>9188</v>
      </c>
      <c r="E542" s="305" t="s">
        <v>9189</v>
      </c>
      <c r="F542" s="309" t="s">
        <v>9190</v>
      </c>
      <c r="G542" s="236"/>
      <c r="H542" s="307" t="s">
        <v>1420</v>
      </c>
      <c r="I542" s="237"/>
      <c r="J542" s="237"/>
      <c r="K542" s="310" t="s">
        <v>9187</v>
      </c>
      <c r="L542" s="237"/>
      <c r="M542" s="237"/>
      <c r="N542" s="237"/>
      <c r="O542" s="237"/>
      <c r="P542" s="237"/>
      <c r="Q542" s="237"/>
      <c r="R542" s="237"/>
      <c r="S542" s="237"/>
      <c r="T542" s="237"/>
      <c r="U542" s="237"/>
      <c r="V542" s="237"/>
      <c r="W542" s="237"/>
      <c r="X542" s="237"/>
      <c r="Y542" s="237"/>
      <c r="Z542" s="237"/>
    </row>
    <row r="543">
      <c r="A543" s="305">
        <v>542.0</v>
      </c>
      <c r="B543" s="236"/>
      <c r="C543" s="307" t="s">
        <v>1420</v>
      </c>
      <c r="D543" s="308" t="s">
        <v>9180</v>
      </c>
      <c r="E543" s="305" t="s">
        <v>9181</v>
      </c>
      <c r="F543" s="309" t="s">
        <v>9182</v>
      </c>
      <c r="G543" s="236"/>
      <c r="H543" s="307" t="s">
        <v>1420</v>
      </c>
      <c r="I543" s="237"/>
      <c r="J543" s="237"/>
      <c r="K543" s="310" t="s">
        <v>9179</v>
      </c>
      <c r="L543" s="237"/>
      <c r="M543" s="237"/>
      <c r="N543" s="237"/>
      <c r="O543" s="237"/>
      <c r="P543" s="237"/>
      <c r="Q543" s="237"/>
      <c r="R543" s="237"/>
      <c r="S543" s="237"/>
      <c r="T543" s="237"/>
      <c r="U543" s="237"/>
      <c r="V543" s="237"/>
      <c r="W543" s="237"/>
      <c r="X543" s="237"/>
      <c r="Y543" s="237"/>
      <c r="Z543" s="237"/>
    </row>
    <row r="544">
      <c r="A544" s="305">
        <v>543.0</v>
      </c>
      <c r="B544" s="236"/>
      <c r="C544" s="307" t="s">
        <v>1420</v>
      </c>
      <c r="D544" s="308" t="s">
        <v>9184</v>
      </c>
      <c r="E544" s="305" t="s">
        <v>9185</v>
      </c>
      <c r="F544" s="309" t="s">
        <v>9186</v>
      </c>
      <c r="G544" s="236"/>
      <c r="H544" s="307" t="s">
        <v>1420</v>
      </c>
      <c r="I544" s="237"/>
      <c r="J544" s="237"/>
      <c r="K544" s="310" t="s">
        <v>9183</v>
      </c>
      <c r="L544" s="237"/>
      <c r="M544" s="237"/>
      <c r="N544" s="237"/>
      <c r="O544" s="237"/>
      <c r="P544" s="237"/>
      <c r="Q544" s="237"/>
      <c r="R544" s="237"/>
      <c r="S544" s="237"/>
      <c r="T544" s="237"/>
      <c r="U544" s="237"/>
      <c r="V544" s="237"/>
      <c r="W544" s="237"/>
      <c r="X544" s="237"/>
      <c r="Y544" s="237"/>
      <c r="Z544" s="237"/>
    </row>
    <row r="545">
      <c r="A545" s="305">
        <v>544.0</v>
      </c>
      <c r="B545" s="236"/>
      <c r="C545" s="307" t="s">
        <v>1420</v>
      </c>
      <c r="D545" s="308" t="s">
        <v>9165</v>
      </c>
      <c r="E545" s="305" t="s">
        <v>9166</v>
      </c>
      <c r="F545" s="309" t="s">
        <v>9167</v>
      </c>
      <c r="G545" s="236"/>
      <c r="H545" s="307" t="s">
        <v>1420</v>
      </c>
      <c r="I545" s="237"/>
      <c r="J545" s="237"/>
      <c r="K545" s="310" t="s">
        <v>9164</v>
      </c>
      <c r="L545" s="237"/>
      <c r="M545" s="237"/>
      <c r="N545" s="237"/>
      <c r="O545" s="237"/>
      <c r="P545" s="237"/>
      <c r="Q545" s="237"/>
      <c r="R545" s="237"/>
      <c r="S545" s="237"/>
      <c r="T545" s="237"/>
      <c r="U545" s="237"/>
      <c r="V545" s="237"/>
      <c r="W545" s="237"/>
      <c r="X545" s="237"/>
      <c r="Y545" s="237"/>
      <c r="Z545" s="237"/>
    </row>
    <row r="546">
      <c r="A546" s="305">
        <v>545.0</v>
      </c>
      <c r="B546" s="236"/>
      <c r="C546" s="307" t="s">
        <v>1420</v>
      </c>
      <c r="D546" s="308" t="s">
        <v>9169</v>
      </c>
      <c r="E546" s="305" t="s">
        <v>9170</v>
      </c>
      <c r="F546" s="309" t="s">
        <v>9171</v>
      </c>
      <c r="G546" s="236"/>
      <c r="H546" s="307" t="s">
        <v>1420</v>
      </c>
      <c r="I546" s="237"/>
      <c r="J546" s="237"/>
      <c r="K546" s="310" t="s">
        <v>9168</v>
      </c>
      <c r="L546" s="237"/>
      <c r="M546" s="237"/>
      <c r="N546" s="237"/>
      <c r="O546" s="237"/>
      <c r="P546" s="237"/>
      <c r="Q546" s="237"/>
      <c r="R546" s="237"/>
      <c r="S546" s="237"/>
      <c r="T546" s="237"/>
      <c r="U546" s="237"/>
      <c r="V546" s="237"/>
      <c r="W546" s="237"/>
      <c r="X546" s="237"/>
      <c r="Y546" s="237"/>
      <c r="Z546" s="237"/>
    </row>
    <row r="547">
      <c r="A547" s="305">
        <v>546.0</v>
      </c>
      <c r="B547" s="236"/>
      <c r="C547" s="307" t="s">
        <v>1420</v>
      </c>
      <c r="D547" s="308" t="s">
        <v>9443</v>
      </c>
      <c r="E547" s="305" t="s">
        <v>9444</v>
      </c>
      <c r="F547" s="309" t="s">
        <v>9445</v>
      </c>
      <c r="G547" s="236"/>
      <c r="H547" s="307" t="s">
        <v>1420</v>
      </c>
      <c r="I547" s="237"/>
      <c r="J547" s="237"/>
      <c r="K547" s="310" t="s">
        <v>9442</v>
      </c>
      <c r="L547" s="237"/>
      <c r="M547" s="237"/>
      <c r="N547" s="237"/>
      <c r="O547" s="237"/>
      <c r="P547" s="237"/>
      <c r="Q547" s="237"/>
      <c r="R547" s="237"/>
      <c r="S547" s="237"/>
      <c r="T547" s="237"/>
      <c r="U547" s="237"/>
      <c r="V547" s="237"/>
      <c r="W547" s="237"/>
      <c r="X547" s="237"/>
      <c r="Y547" s="237"/>
      <c r="Z547" s="237"/>
    </row>
    <row r="548">
      <c r="A548" s="305">
        <v>547.0</v>
      </c>
      <c r="B548" s="236"/>
      <c r="C548" s="307" t="s">
        <v>1420</v>
      </c>
      <c r="D548" s="308" t="s">
        <v>9243</v>
      </c>
      <c r="E548" s="305" t="s">
        <v>9244</v>
      </c>
      <c r="F548" s="236"/>
      <c r="G548" s="236"/>
      <c r="H548" s="307" t="s">
        <v>1420</v>
      </c>
      <c r="I548" s="237"/>
      <c r="J548" s="237"/>
      <c r="K548" s="310" t="s">
        <v>9242</v>
      </c>
      <c r="L548" s="237"/>
      <c r="M548" s="237"/>
      <c r="N548" s="237"/>
      <c r="O548" s="237"/>
      <c r="P548" s="237"/>
      <c r="Q548" s="237"/>
      <c r="R548" s="237"/>
      <c r="S548" s="237"/>
      <c r="T548" s="237"/>
      <c r="U548" s="237"/>
      <c r="V548" s="237"/>
      <c r="W548" s="237"/>
      <c r="X548" s="237"/>
      <c r="Y548" s="237"/>
      <c r="Z548" s="237"/>
    </row>
    <row r="549">
      <c r="A549" s="305">
        <v>548.0</v>
      </c>
      <c r="B549" s="236"/>
      <c r="C549" s="307" t="s">
        <v>1420</v>
      </c>
      <c r="D549" s="308" t="s">
        <v>9173</v>
      </c>
      <c r="E549" s="305" t="s">
        <v>9174</v>
      </c>
      <c r="F549" s="309" t="s">
        <v>9175</v>
      </c>
      <c r="G549" s="236"/>
      <c r="H549" s="307" t="s">
        <v>1420</v>
      </c>
      <c r="I549" s="237"/>
      <c r="J549" s="237"/>
      <c r="K549" s="310" t="s">
        <v>9172</v>
      </c>
      <c r="L549" s="237"/>
      <c r="M549" s="237"/>
      <c r="N549" s="237"/>
      <c r="O549" s="237"/>
      <c r="P549" s="237"/>
      <c r="Q549" s="237"/>
      <c r="R549" s="237"/>
      <c r="S549" s="237"/>
      <c r="T549" s="237"/>
      <c r="U549" s="237"/>
      <c r="V549" s="237"/>
      <c r="W549" s="237"/>
      <c r="X549" s="237"/>
      <c r="Y549" s="237"/>
      <c r="Z549" s="237"/>
    </row>
    <row r="550">
      <c r="A550" s="305">
        <v>549.0</v>
      </c>
      <c r="B550" s="236"/>
      <c r="C550" s="307" t="s">
        <v>1420</v>
      </c>
      <c r="D550" s="308" t="s">
        <v>9177</v>
      </c>
      <c r="E550" s="305" t="s">
        <v>9178</v>
      </c>
      <c r="F550" s="236"/>
      <c r="G550" s="236"/>
      <c r="H550" s="307" t="s">
        <v>1420</v>
      </c>
      <c r="I550" s="237"/>
      <c r="J550" s="237"/>
      <c r="K550" s="310" t="s">
        <v>9176</v>
      </c>
      <c r="L550" s="237"/>
      <c r="M550" s="237"/>
      <c r="N550" s="237"/>
      <c r="O550" s="237"/>
      <c r="P550" s="237"/>
      <c r="Q550" s="237"/>
      <c r="R550" s="237"/>
      <c r="S550" s="237"/>
      <c r="T550" s="237"/>
      <c r="U550" s="237"/>
      <c r="V550" s="237"/>
      <c r="W550" s="237"/>
      <c r="X550" s="237"/>
      <c r="Y550" s="237"/>
      <c r="Z550" s="237"/>
    </row>
    <row r="551">
      <c r="A551" s="305">
        <v>550.0</v>
      </c>
      <c r="B551" s="236"/>
      <c r="C551" s="307" t="s">
        <v>1420</v>
      </c>
      <c r="D551" s="308" t="s">
        <v>9608</v>
      </c>
      <c r="E551" s="305" t="s">
        <v>9609</v>
      </c>
      <c r="F551" s="309" t="s">
        <v>9610</v>
      </c>
      <c r="G551" s="236"/>
      <c r="H551" s="307" t="s">
        <v>1420</v>
      </c>
      <c r="I551" s="237"/>
      <c r="J551" s="237"/>
      <c r="K551" s="310" t="s">
        <v>9607</v>
      </c>
      <c r="L551" s="237"/>
      <c r="M551" s="237"/>
      <c r="N551" s="237"/>
      <c r="O551" s="237"/>
      <c r="P551" s="237"/>
      <c r="Q551" s="237"/>
      <c r="R551" s="237"/>
      <c r="S551" s="237"/>
      <c r="T551" s="237"/>
      <c r="U551" s="237"/>
      <c r="V551" s="237"/>
      <c r="W551" s="237"/>
      <c r="X551" s="237"/>
      <c r="Y551" s="237"/>
      <c r="Z551" s="237"/>
    </row>
    <row r="552">
      <c r="A552" s="305">
        <v>551.0</v>
      </c>
      <c r="B552" s="236"/>
      <c r="C552" s="307" t="s">
        <v>1420</v>
      </c>
      <c r="D552" s="308" t="s">
        <v>9427</v>
      </c>
      <c r="E552" s="305" t="s">
        <v>9428</v>
      </c>
      <c r="F552" s="309" t="s">
        <v>9429</v>
      </c>
      <c r="G552" s="236"/>
      <c r="H552" s="307" t="s">
        <v>1420</v>
      </c>
      <c r="I552" s="237"/>
      <c r="J552" s="237"/>
      <c r="K552" s="310" t="s">
        <v>9426</v>
      </c>
      <c r="L552" s="237"/>
      <c r="M552" s="237"/>
      <c r="N552" s="237"/>
      <c r="O552" s="237"/>
      <c r="P552" s="237"/>
      <c r="Q552" s="237"/>
      <c r="R552" s="237"/>
      <c r="S552" s="237"/>
      <c r="T552" s="237"/>
      <c r="U552" s="237"/>
      <c r="V552" s="237"/>
      <c r="W552" s="237"/>
      <c r="X552" s="237"/>
      <c r="Y552" s="237"/>
      <c r="Z552" s="237"/>
    </row>
    <row r="553">
      <c r="A553" s="305">
        <v>552.0</v>
      </c>
      <c r="B553" s="236"/>
      <c r="C553" s="307" t="s">
        <v>1420</v>
      </c>
      <c r="D553" s="308" t="s">
        <v>9423</v>
      </c>
      <c r="E553" s="305" t="s">
        <v>9424</v>
      </c>
      <c r="F553" s="309" t="s">
        <v>9425</v>
      </c>
      <c r="G553" s="236"/>
      <c r="H553" s="307" t="s">
        <v>1420</v>
      </c>
      <c r="I553" s="237"/>
      <c r="J553" s="237"/>
      <c r="K553" s="310" t="s">
        <v>9422</v>
      </c>
      <c r="L553" s="237"/>
      <c r="M553" s="237"/>
      <c r="N553" s="237"/>
      <c r="O553" s="237"/>
      <c r="P553" s="237"/>
      <c r="Q553" s="237"/>
      <c r="R553" s="237"/>
      <c r="S553" s="237"/>
      <c r="T553" s="237"/>
      <c r="U553" s="237"/>
      <c r="V553" s="237"/>
      <c r="W553" s="237"/>
      <c r="X553" s="237"/>
      <c r="Y553" s="237"/>
      <c r="Z553" s="237"/>
    </row>
    <row r="554">
      <c r="A554" s="305">
        <v>553.0</v>
      </c>
      <c r="B554" s="236"/>
      <c r="C554" s="307" t="s">
        <v>1420</v>
      </c>
      <c r="D554" s="308" t="s">
        <v>9431</v>
      </c>
      <c r="E554" s="305" t="s">
        <v>9432</v>
      </c>
      <c r="F554" s="309" t="s">
        <v>9433</v>
      </c>
      <c r="G554" s="236"/>
      <c r="H554" s="307" t="s">
        <v>1420</v>
      </c>
      <c r="I554" s="237"/>
      <c r="J554" s="237"/>
      <c r="K554" s="310" t="s">
        <v>9430</v>
      </c>
      <c r="L554" s="237"/>
      <c r="M554" s="237"/>
      <c r="N554" s="237"/>
      <c r="O554" s="237"/>
      <c r="P554" s="237"/>
      <c r="Q554" s="237"/>
      <c r="R554" s="237"/>
      <c r="S554" s="237"/>
      <c r="T554" s="237"/>
      <c r="U554" s="237"/>
      <c r="V554" s="237"/>
      <c r="W554" s="237"/>
      <c r="X554" s="237"/>
      <c r="Y554" s="237"/>
      <c r="Z554" s="237"/>
    </row>
    <row r="555">
      <c r="A555" s="305">
        <v>554.0</v>
      </c>
      <c r="B555" s="236"/>
      <c r="C555" s="307" t="s">
        <v>1420</v>
      </c>
      <c r="D555" s="308" t="s">
        <v>9435</v>
      </c>
      <c r="E555" s="305" t="s">
        <v>9436</v>
      </c>
      <c r="F555" s="309" t="s">
        <v>9437</v>
      </c>
      <c r="G555" s="236"/>
      <c r="H555" s="307" t="s">
        <v>1420</v>
      </c>
      <c r="I555" s="237"/>
      <c r="J555" s="237"/>
      <c r="K555" s="310" t="s">
        <v>9434</v>
      </c>
      <c r="L555" s="237"/>
      <c r="M555" s="237"/>
      <c r="N555" s="237"/>
      <c r="O555" s="237"/>
      <c r="P555" s="237"/>
      <c r="Q555" s="237"/>
      <c r="R555" s="237"/>
      <c r="S555" s="237"/>
      <c r="T555" s="237"/>
      <c r="U555" s="237"/>
      <c r="V555" s="237"/>
      <c r="W555" s="237"/>
      <c r="X555" s="237"/>
      <c r="Y555" s="237"/>
      <c r="Z555" s="237"/>
    </row>
    <row r="556">
      <c r="A556" s="305">
        <v>555.0</v>
      </c>
      <c r="B556" s="236"/>
      <c r="C556" s="307" t="s">
        <v>1420</v>
      </c>
      <c r="D556" s="308" t="s">
        <v>9161</v>
      </c>
      <c r="E556" s="305" t="s">
        <v>9162</v>
      </c>
      <c r="F556" s="309" t="s">
        <v>9163</v>
      </c>
      <c r="G556" s="236"/>
      <c r="H556" s="307" t="s">
        <v>1420</v>
      </c>
      <c r="I556" s="237"/>
      <c r="J556" s="237"/>
      <c r="K556" s="310" t="s">
        <v>9160</v>
      </c>
      <c r="L556" s="237"/>
      <c r="M556" s="237"/>
      <c r="N556" s="237"/>
      <c r="O556" s="237"/>
      <c r="P556" s="237"/>
      <c r="Q556" s="237"/>
      <c r="R556" s="237"/>
      <c r="S556" s="237"/>
      <c r="T556" s="237"/>
      <c r="U556" s="237"/>
      <c r="V556" s="237"/>
      <c r="W556" s="237"/>
      <c r="X556" s="237"/>
      <c r="Y556" s="237"/>
      <c r="Z556" s="237"/>
    </row>
    <row r="557">
      <c r="A557" s="305">
        <v>556.0</v>
      </c>
      <c r="B557" s="306" t="s">
        <v>1960</v>
      </c>
      <c r="C557" s="307" t="s">
        <v>1420</v>
      </c>
      <c r="D557" s="308" t="s">
        <v>1961</v>
      </c>
      <c r="E557" s="236"/>
      <c r="F557" s="309" t="s">
        <v>14072</v>
      </c>
      <c r="G557" s="236"/>
      <c r="H557" s="307" t="s">
        <v>1420</v>
      </c>
      <c r="I557" s="237"/>
      <c r="J557" s="237"/>
      <c r="K557" s="310" t="s">
        <v>13884</v>
      </c>
      <c r="L557" s="237"/>
      <c r="M557" s="237"/>
      <c r="N557" s="237"/>
      <c r="O557" s="237"/>
      <c r="P557" s="237"/>
      <c r="Q557" s="237"/>
      <c r="R557" s="237"/>
      <c r="S557" s="237"/>
      <c r="T557" s="237"/>
      <c r="U557" s="237"/>
      <c r="V557" s="237"/>
      <c r="W557" s="237"/>
      <c r="X557" s="237"/>
      <c r="Y557" s="237"/>
      <c r="Z557" s="237"/>
    </row>
    <row r="558">
      <c r="A558" s="305">
        <v>557.0</v>
      </c>
      <c r="B558" s="306" t="s">
        <v>1957</v>
      </c>
      <c r="C558" s="307" t="s">
        <v>1420</v>
      </c>
      <c r="D558" s="308" t="s">
        <v>1958</v>
      </c>
      <c r="E558" s="236"/>
      <c r="F558" s="309" t="s">
        <v>14073</v>
      </c>
      <c r="G558" s="236"/>
      <c r="H558" s="307" t="s">
        <v>1420</v>
      </c>
      <c r="I558" s="237"/>
      <c r="J558" s="237"/>
      <c r="K558" s="310" t="s">
        <v>13882</v>
      </c>
      <c r="L558" s="237"/>
      <c r="M558" s="237"/>
      <c r="N558" s="237"/>
      <c r="O558" s="237"/>
      <c r="P558" s="237"/>
      <c r="Q558" s="237"/>
      <c r="R558" s="237"/>
      <c r="S558" s="237"/>
      <c r="T558" s="237"/>
      <c r="U558" s="237"/>
      <c r="V558" s="237"/>
      <c r="W558" s="237"/>
      <c r="X558" s="237"/>
      <c r="Y558" s="237"/>
      <c r="Z558" s="237"/>
    </row>
    <row r="559">
      <c r="A559" s="305">
        <v>558.0</v>
      </c>
      <c r="B559" s="236"/>
      <c r="C559" s="307" t="s">
        <v>1420</v>
      </c>
      <c r="D559" s="308" t="s">
        <v>8679</v>
      </c>
      <c r="E559" s="305" t="s">
        <v>8680</v>
      </c>
      <c r="F559" s="309" t="s">
        <v>8681</v>
      </c>
      <c r="G559" s="236"/>
      <c r="H559" s="307" t="s">
        <v>1420</v>
      </c>
      <c r="I559" s="237"/>
      <c r="J559" s="237"/>
      <c r="K559" s="310" t="s">
        <v>8678</v>
      </c>
      <c r="L559" s="237"/>
      <c r="M559" s="237"/>
      <c r="N559" s="237"/>
      <c r="O559" s="237"/>
      <c r="P559" s="237"/>
      <c r="Q559" s="237"/>
      <c r="R559" s="237"/>
      <c r="S559" s="237"/>
      <c r="T559" s="237"/>
      <c r="U559" s="237"/>
      <c r="V559" s="237"/>
      <c r="W559" s="237"/>
      <c r="X559" s="237"/>
      <c r="Y559" s="237"/>
      <c r="Z559" s="237"/>
    </row>
    <row r="560">
      <c r="A560" s="305">
        <v>559.0</v>
      </c>
      <c r="B560" s="306">
        <v>462093.0</v>
      </c>
      <c r="C560" s="307" t="s">
        <v>1420</v>
      </c>
      <c r="D560" s="308" t="s">
        <v>6177</v>
      </c>
      <c r="E560" s="305" t="s">
        <v>6178</v>
      </c>
      <c r="F560" s="309" t="s">
        <v>6179</v>
      </c>
      <c r="G560" s="236"/>
      <c r="H560" s="307" t="s">
        <v>1420</v>
      </c>
      <c r="I560" s="237"/>
      <c r="J560" s="237"/>
      <c r="K560" s="310" t="s">
        <v>6176</v>
      </c>
      <c r="L560" s="237"/>
      <c r="M560" s="237"/>
      <c r="N560" s="237"/>
      <c r="O560" s="237"/>
      <c r="P560" s="237"/>
      <c r="Q560" s="237"/>
      <c r="R560" s="237"/>
      <c r="S560" s="237"/>
      <c r="T560" s="237"/>
      <c r="U560" s="237"/>
      <c r="V560" s="237"/>
      <c r="W560" s="237"/>
      <c r="X560" s="237"/>
      <c r="Y560" s="237"/>
      <c r="Z560" s="237"/>
    </row>
    <row r="561">
      <c r="A561" s="305">
        <v>560.0</v>
      </c>
      <c r="B561" s="306">
        <v>462091.0</v>
      </c>
      <c r="C561" s="307" t="s">
        <v>1420</v>
      </c>
      <c r="D561" s="308" t="s">
        <v>6182</v>
      </c>
      <c r="E561" s="305" t="s">
        <v>6183</v>
      </c>
      <c r="F561" s="309" t="s">
        <v>6184</v>
      </c>
      <c r="G561" s="236"/>
      <c r="H561" s="307" t="s">
        <v>1420</v>
      </c>
      <c r="I561" s="237"/>
      <c r="J561" s="237"/>
      <c r="K561" s="310" t="s">
        <v>6181</v>
      </c>
      <c r="L561" s="237"/>
      <c r="M561" s="237"/>
      <c r="N561" s="237"/>
      <c r="O561" s="237"/>
      <c r="P561" s="237"/>
      <c r="Q561" s="237"/>
      <c r="R561" s="237"/>
      <c r="S561" s="237"/>
      <c r="T561" s="237"/>
      <c r="U561" s="237"/>
      <c r="V561" s="237"/>
      <c r="W561" s="237"/>
      <c r="X561" s="237"/>
      <c r="Y561" s="237"/>
      <c r="Z561" s="237"/>
    </row>
    <row r="562">
      <c r="A562" s="305">
        <v>561.0</v>
      </c>
      <c r="B562" s="306">
        <v>461712.0</v>
      </c>
      <c r="C562" s="307" t="s">
        <v>1420</v>
      </c>
      <c r="D562" s="308" t="s">
        <v>6215</v>
      </c>
      <c r="E562" s="305" t="s">
        <v>6216</v>
      </c>
      <c r="F562" s="309" t="s">
        <v>6217</v>
      </c>
      <c r="G562" s="236"/>
      <c r="H562" s="307" t="s">
        <v>1420</v>
      </c>
      <c r="I562" s="237"/>
      <c r="J562" s="237"/>
      <c r="K562" s="310" t="s">
        <v>6214</v>
      </c>
      <c r="L562" s="237"/>
      <c r="M562" s="237"/>
      <c r="N562" s="237"/>
      <c r="O562" s="237"/>
      <c r="P562" s="237"/>
      <c r="Q562" s="237"/>
      <c r="R562" s="237"/>
      <c r="S562" s="237"/>
      <c r="T562" s="237"/>
      <c r="U562" s="237"/>
      <c r="V562" s="237"/>
      <c r="W562" s="237"/>
      <c r="X562" s="237"/>
      <c r="Y562" s="237"/>
      <c r="Z562" s="237"/>
    </row>
    <row r="563">
      <c r="A563" s="305">
        <v>562.0</v>
      </c>
      <c r="B563" s="306">
        <v>461722.0</v>
      </c>
      <c r="C563" s="307" t="s">
        <v>1420</v>
      </c>
      <c r="D563" s="308" t="s">
        <v>6050</v>
      </c>
      <c r="E563" s="305" t="s">
        <v>6051</v>
      </c>
      <c r="F563" s="309" t="s">
        <v>6052</v>
      </c>
      <c r="G563" s="236"/>
      <c r="H563" s="307" t="s">
        <v>1420</v>
      </c>
      <c r="I563" s="237"/>
      <c r="J563" s="237"/>
      <c r="K563" s="310" t="s">
        <v>6049</v>
      </c>
      <c r="L563" s="237"/>
      <c r="M563" s="237"/>
      <c r="N563" s="237"/>
      <c r="O563" s="237"/>
      <c r="P563" s="237"/>
      <c r="Q563" s="237"/>
      <c r="R563" s="237"/>
      <c r="S563" s="237"/>
      <c r="T563" s="237"/>
      <c r="U563" s="237"/>
      <c r="V563" s="237"/>
      <c r="W563" s="237"/>
      <c r="X563" s="237"/>
      <c r="Y563" s="237"/>
      <c r="Z563" s="237"/>
    </row>
    <row r="564">
      <c r="A564" s="305">
        <v>563.0</v>
      </c>
      <c r="B564" s="306">
        <v>461699.0</v>
      </c>
      <c r="C564" s="307" t="s">
        <v>1420</v>
      </c>
      <c r="D564" s="308" t="s">
        <v>6420</v>
      </c>
      <c r="E564" s="305" t="s">
        <v>6421</v>
      </c>
      <c r="F564" s="309" t="s">
        <v>6422</v>
      </c>
      <c r="G564" s="236"/>
      <c r="H564" s="307" t="s">
        <v>1420</v>
      </c>
      <c r="I564" s="237"/>
      <c r="J564" s="237"/>
      <c r="K564" s="310" t="s">
        <v>6419</v>
      </c>
      <c r="L564" s="237"/>
      <c r="M564" s="237"/>
      <c r="N564" s="237"/>
      <c r="O564" s="237"/>
      <c r="P564" s="237"/>
      <c r="Q564" s="237"/>
      <c r="R564" s="237"/>
      <c r="S564" s="237"/>
      <c r="T564" s="237"/>
      <c r="U564" s="237"/>
      <c r="V564" s="237"/>
      <c r="W564" s="237"/>
      <c r="X564" s="237"/>
      <c r="Y564" s="237"/>
      <c r="Z564" s="237"/>
    </row>
    <row r="565">
      <c r="A565" s="305">
        <v>564.0</v>
      </c>
      <c r="B565" s="306">
        <v>461702.0</v>
      </c>
      <c r="C565" s="307" t="s">
        <v>1420</v>
      </c>
      <c r="D565" s="308" t="s">
        <v>6172</v>
      </c>
      <c r="E565" s="305" t="s">
        <v>6173</v>
      </c>
      <c r="F565" s="309" t="s">
        <v>6174</v>
      </c>
      <c r="G565" s="236"/>
      <c r="H565" s="307" t="s">
        <v>1420</v>
      </c>
      <c r="I565" s="237"/>
      <c r="J565" s="237"/>
      <c r="K565" s="310" t="s">
        <v>6171</v>
      </c>
      <c r="L565" s="237"/>
      <c r="M565" s="237"/>
      <c r="N565" s="237"/>
      <c r="O565" s="237"/>
      <c r="P565" s="237"/>
      <c r="Q565" s="237"/>
      <c r="R565" s="237"/>
      <c r="S565" s="237"/>
      <c r="T565" s="237"/>
      <c r="U565" s="237"/>
      <c r="V565" s="237"/>
      <c r="W565" s="237"/>
      <c r="X565" s="237"/>
      <c r="Y565" s="237"/>
      <c r="Z565" s="237"/>
    </row>
    <row r="566">
      <c r="A566" s="305">
        <v>565.0</v>
      </c>
      <c r="B566" s="306">
        <v>461697.0</v>
      </c>
      <c r="C566" s="307" t="s">
        <v>1420</v>
      </c>
      <c r="D566" s="308" t="s">
        <v>7279</v>
      </c>
      <c r="E566" s="305" t="s">
        <v>7280</v>
      </c>
      <c r="F566" s="309" t="s">
        <v>7281</v>
      </c>
      <c r="G566" s="236"/>
      <c r="H566" s="307" t="s">
        <v>1420</v>
      </c>
      <c r="I566" s="237"/>
      <c r="J566" s="237"/>
      <c r="K566" s="310" t="s">
        <v>7278</v>
      </c>
      <c r="L566" s="237"/>
      <c r="M566" s="237"/>
      <c r="N566" s="237"/>
      <c r="O566" s="237"/>
      <c r="P566" s="237"/>
      <c r="Q566" s="237"/>
      <c r="R566" s="237"/>
      <c r="S566" s="237"/>
      <c r="T566" s="237"/>
      <c r="U566" s="237"/>
      <c r="V566" s="237"/>
      <c r="W566" s="237"/>
      <c r="X566" s="237"/>
      <c r="Y566" s="237"/>
      <c r="Z566" s="237"/>
    </row>
    <row r="567">
      <c r="A567" s="305">
        <v>566.0</v>
      </c>
      <c r="B567" s="306">
        <v>462005.0</v>
      </c>
      <c r="C567" s="307" t="s">
        <v>1420</v>
      </c>
      <c r="D567" s="308" t="s">
        <v>6187</v>
      </c>
      <c r="E567" s="305" t="s">
        <v>6188</v>
      </c>
      <c r="F567" s="309" t="s">
        <v>6189</v>
      </c>
      <c r="G567" s="236"/>
      <c r="H567" s="307" t="s">
        <v>1420</v>
      </c>
      <c r="I567" s="237"/>
      <c r="J567" s="237"/>
      <c r="K567" s="310" t="s">
        <v>6186</v>
      </c>
      <c r="L567" s="237"/>
      <c r="M567" s="237"/>
      <c r="N567" s="237"/>
      <c r="O567" s="237"/>
      <c r="P567" s="237"/>
      <c r="Q567" s="237"/>
      <c r="R567" s="237"/>
      <c r="S567" s="237"/>
      <c r="T567" s="237"/>
      <c r="U567" s="237"/>
      <c r="V567" s="237"/>
      <c r="W567" s="237"/>
      <c r="X567" s="237"/>
      <c r="Y567" s="237"/>
      <c r="Z567" s="237"/>
    </row>
    <row r="568">
      <c r="A568" s="305">
        <v>567.0</v>
      </c>
      <c r="B568" s="306">
        <v>137112.0</v>
      </c>
      <c r="C568" s="307" t="s">
        <v>1420</v>
      </c>
      <c r="D568" s="308" t="s">
        <v>4429</v>
      </c>
      <c r="E568" s="305" t="s">
        <v>4430</v>
      </c>
      <c r="F568" s="309" t="s">
        <v>4431</v>
      </c>
      <c r="G568" s="236"/>
      <c r="H568" s="307" t="s">
        <v>1420</v>
      </c>
      <c r="I568" s="237"/>
      <c r="J568" s="237"/>
      <c r="K568" s="310" t="s">
        <v>4428</v>
      </c>
      <c r="L568" s="237"/>
      <c r="M568" s="237"/>
      <c r="N568" s="237"/>
      <c r="O568" s="237"/>
      <c r="P568" s="237"/>
      <c r="Q568" s="237"/>
      <c r="R568" s="237"/>
      <c r="S568" s="237"/>
      <c r="T568" s="237"/>
      <c r="U568" s="237"/>
      <c r="V568" s="237"/>
      <c r="W568" s="237"/>
      <c r="X568" s="237"/>
      <c r="Y568" s="237"/>
      <c r="Z568" s="237"/>
    </row>
    <row r="569">
      <c r="A569" s="305">
        <v>568.0</v>
      </c>
      <c r="B569" s="306">
        <v>137110.0</v>
      </c>
      <c r="C569" s="307" t="s">
        <v>1420</v>
      </c>
      <c r="D569" s="308" t="s">
        <v>4418</v>
      </c>
      <c r="E569" s="305" t="s">
        <v>4419</v>
      </c>
      <c r="F569" s="309" t="s">
        <v>4420</v>
      </c>
      <c r="G569" s="236"/>
      <c r="H569" s="307" t="s">
        <v>1420</v>
      </c>
      <c r="I569" s="237"/>
      <c r="J569" s="237"/>
      <c r="K569" s="310" t="s">
        <v>4417</v>
      </c>
      <c r="L569" s="237"/>
      <c r="M569" s="237"/>
      <c r="N569" s="237"/>
      <c r="O569" s="237"/>
      <c r="P569" s="237"/>
      <c r="Q569" s="237"/>
      <c r="R569" s="237"/>
      <c r="S569" s="237"/>
      <c r="T569" s="237"/>
      <c r="U569" s="237"/>
      <c r="V569" s="237"/>
      <c r="W569" s="237"/>
      <c r="X569" s="237"/>
      <c r="Y569" s="237"/>
      <c r="Z569" s="237"/>
    </row>
    <row r="570">
      <c r="A570" s="305">
        <v>569.0</v>
      </c>
      <c r="B570" s="306">
        <v>137111.0</v>
      </c>
      <c r="C570" s="307" t="s">
        <v>1420</v>
      </c>
      <c r="D570" s="308" t="s">
        <v>4424</v>
      </c>
      <c r="E570" s="305" t="s">
        <v>4425</v>
      </c>
      <c r="F570" s="309" t="s">
        <v>4426</v>
      </c>
      <c r="G570" s="236"/>
      <c r="H570" s="307" t="s">
        <v>1420</v>
      </c>
      <c r="I570" s="237"/>
      <c r="J570" s="237"/>
      <c r="K570" s="310" t="s">
        <v>4423</v>
      </c>
      <c r="L570" s="237"/>
      <c r="M570" s="237"/>
      <c r="N570" s="237"/>
      <c r="O570" s="237"/>
      <c r="P570" s="237"/>
      <c r="Q570" s="237"/>
      <c r="R570" s="237"/>
      <c r="S570" s="237"/>
      <c r="T570" s="237"/>
      <c r="U570" s="237"/>
      <c r="V570" s="237"/>
      <c r="W570" s="237"/>
      <c r="X570" s="237"/>
      <c r="Y570" s="237"/>
      <c r="Z570" s="237"/>
    </row>
    <row r="571">
      <c r="A571" s="305">
        <v>570.0</v>
      </c>
      <c r="B571" s="306">
        <v>137115.0</v>
      </c>
      <c r="C571" s="307" t="s">
        <v>1420</v>
      </c>
      <c r="D571" s="308" t="s">
        <v>4439</v>
      </c>
      <c r="E571" s="305" t="s">
        <v>4440</v>
      </c>
      <c r="F571" s="309" t="s">
        <v>4441</v>
      </c>
      <c r="G571" s="236"/>
      <c r="H571" s="307" t="s">
        <v>1420</v>
      </c>
      <c r="I571" s="237"/>
      <c r="J571" s="237"/>
      <c r="K571" s="310" t="s">
        <v>4438</v>
      </c>
      <c r="L571" s="237"/>
      <c r="M571" s="237"/>
      <c r="N571" s="237"/>
      <c r="O571" s="237"/>
      <c r="P571" s="237"/>
      <c r="Q571" s="237"/>
      <c r="R571" s="237"/>
      <c r="S571" s="237"/>
      <c r="T571" s="237"/>
      <c r="U571" s="237"/>
      <c r="V571" s="237"/>
      <c r="W571" s="237"/>
      <c r="X571" s="237"/>
      <c r="Y571" s="237"/>
      <c r="Z571" s="237"/>
    </row>
    <row r="572">
      <c r="A572" s="305">
        <v>571.0</v>
      </c>
      <c r="B572" s="306">
        <v>137114.0</v>
      </c>
      <c r="C572" s="307" t="s">
        <v>1420</v>
      </c>
      <c r="D572" s="308" t="s">
        <v>4434</v>
      </c>
      <c r="E572" s="305" t="s">
        <v>4435</v>
      </c>
      <c r="F572" s="309" t="s">
        <v>4436</v>
      </c>
      <c r="G572" s="236"/>
      <c r="H572" s="307" t="s">
        <v>1420</v>
      </c>
      <c r="I572" s="237"/>
      <c r="J572" s="237"/>
      <c r="K572" s="310" t="s">
        <v>4433</v>
      </c>
      <c r="L572" s="237"/>
      <c r="M572" s="237"/>
      <c r="N572" s="237"/>
      <c r="O572" s="237"/>
      <c r="P572" s="237"/>
      <c r="Q572" s="237"/>
      <c r="R572" s="237"/>
      <c r="S572" s="237"/>
      <c r="T572" s="237"/>
      <c r="U572" s="237"/>
      <c r="V572" s="237"/>
      <c r="W572" s="237"/>
      <c r="X572" s="237"/>
      <c r="Y572" s="237"/>
      <c r="Z572" s="237"/>
    </row>
    <row r="573">
      <c r="A573" s="305">
        <v>572.0</v>
      </c>
      <c r="B573" s="306">
        <v>137116.0</v>
      </c>
      <c r="C573" s="307" t="s">
        <v>1420</v>
      </c>
      <c r="D573" s="308" t="s">
        <v>4444</v>
      </c>
      <c r="E573" s="305" t="s">
        <v>4445</v>
      </c>
      <c r="F573" s="309" t="s">
        <v>4446</v>
      </c>
      <c r="G573" s="236"/>
      <c r="H573" s="307" t="s">
        <v>1420</v>
      </c>
      <c r="I573" s="237"/>
      <c r="J573" s="237"/>
      <c r="K573" s="310" t="s">
        <v>4443</v>
      </c>
      <c r="L573" s="237"/>
      <c r="M573" s="237"/>
      <c r="N573" s="237"/>
      <c r="O573" s="237"/>
      <c r="P573" s="237"/>
      <c r="Q573" s="237"/>
      <c r="R573" s="237"/>
      <c r="S573" s="237"/>
      <c r="T573" s="237"/>
      <c r="U573" s="237"/>
      <c r="V573" s="237"/>
      <c r="W573" s="237"/>
      <c r="X573" s="237"/>
      <c r="Y573" s="237"/>
      <c r="Z573" s="237"/>
    </row>
    <row r="574">
      <c r="A574" s="305">
        <v>573.0</v>
      </c>
      <c r="B574" s="306">
        <v>137117.0</v>
      </c>
      <c r="C574" s="307" t="s">
        <v>1420</v>
      </c>
      <c r="D574" s="308" t="s">
        <v>4449</v>
      </c>
      <c r="E574" s="305" t="s">
        <v>4450</v>
      </c>
      <c r="F574" s="309" t="s">
        <v>4451</v>
      </c>
      <c r="G574" s="236"/>
      <c r="H574" s="307" t="s">
        <v>1420</v>
      </c>
      <c r="I574" s="237"/>
      <c r="J574" s="237"/>
      <c r="K574" s="310" t="s">
        <v>4448</v>
      </c>
      <c r="L574" s="237"/>
      <c r="M574" s="237"/>
      <c r="N574" s="237"/>
      <c r="O574" s="237"/>
      <c r="P574" s="237"/>
      <c r="Q574" s="237"/>
      <c r="R574" s="237"/>
      <c r="S574" s="237"/>
      <c r="T574" s="237"/>
      <c r="U574" s="237"/>
      <c r="V574" s="237"/>
      <c r="W574" s="237"/>
      <c r="X574" s="237"/>
      <c r="Y574" s="237"/>
      <c r="Z574" s="237"/>
    </row>
    <row r="575">
      <c r="A575" s="305">
        <v>574.0</v>
      </c>
      <c r="B575" s="306">
        <v>137122.0</v>
      </c>
      <c r="C575" s="307" t="s">
        <v>1420</v>
      </c>
      <c r="D575" s="308" t="s">
        <v>4470</v>
      </c>
      <c r="E575" s="305" t="s">
        <v>4471</v>
      </c>
      <c r="F575" s="309" t="s">
        <v>4472</v>
      </c>
      <c r="G575" s="236"/>
      <c r="H575" s="307" t="s">
        <v>1420</v>
      </c>
      <c r="I575" s="237"/>
      <c r="J575" s="237"/>
      <c r="K575" s="310" t="s">
        <v>4469</v>
      </c>
      <c r="L575" s="237"/>
      <c r="M575" s="237"/>
      <c r="N575" s="237"/>
      <c r="O575" s="237"/>
      <c r="P575" s="237"/>
      <c r="Q575" s="237"/>
      <c r="R575" s="237"/>
      <c r="S575" s="237"/>
      <c r="T575" s="237"/>
      <c r="U575" s="237"/>
      <c r="V575" s="237"/>
      <c r="W575" s="237"/>
      <c r="X575" s="237"/>
      <c r="Y575" s="237"/>
      <c r="Z575" s="237"/>
    </row>
    <row r="576">
      <c r="A576" s="305">
        <v>575.0</v>
      </c>
      <c r="B576" s="306">
        <v>137121.0</v>
      </c>
      <c r="C576" s="307" t="s">
        <v>1420</v>
      </c>
      <c r="D576" s="308" t="s">
        <v>4465</v>
      </c>
      <c r="E576" s="305" t="s">
        <v>4466</v>
      </c>
      <c r="F576" s="309" t="s">
        <v>4467</v>
      </c>
      <c r="G576" s="236"/>
      <c r="H576" s="307" t="s">
        <v>1420</v>
      </c>
      <c r="I576" s="237"/>
      <c r="J576" s="237"/>
      <c r="K576" s="310" t="s">
        <v>4464</v>
      </c>
      <c r="L576" s="237"/>
      <c r="M576" s="237"/>
      <c r="N576" s="237"/>
      <c r="O576" s="237"/>
      <c r="P576" s="237"/>
      <c r="Q576" s="237"/>
      <c r="R576" s="237"/>
      <c r="S576" s="237"/>
      <c r="T576" s="237"/>
      <c r="U576" s="237"/>
      <c r="V576" s="237"/>
      <c r="W576" s="237"/>
      <c r="X576" s="237"/>
      <c r="Y576" s="237"/>
      <c r="Z576" s="237"/>
    </row>
    <row r="577">
      <c r="A577" s="305">
        <v>576.0</v>
      </c>
      <c r="B577" s="306">
        <v>137123.0</v>
      </c>
      <c r="C577" s="307" t="s">
        <v>1420</v>
      </c>
      <c r="D577" s="308" t="s">
        <v>4475</v>
      </c>
      <c r="E577" s="305" t="s">
        <v>4476</v>
      </c>
      <c r="F577" s="309" t="s">
        <v>4477</v>
      </c>
      <c r="G577" s="236"/>
      <c r="H577" s="307" t="s">
        <v>1420</v>
      </c>
      <c r="I577" s="237"/>
      <c r="J577" s="237"/>
      <c r="K577" s="310" t="s">
        <v>4474</v>
      </c>
      <c r="L577" s="237"/>
      <c r="M577" s="237"/>
      <c r="N577" s="237"/>
      <c r="O577" s="237"/>
      <c r="P577" s="237"/>
      <c r="Q577" s="237"/>
      <c r="R577" s="237"/>
      <c r="S577" s="237"/>
      <c r="T577" s="237"/>
      <c r="U577" s="237"/>
      <c r="V577" s="237"/>
      <c r="W577" s="237"/>
      <c r="X577" s="237"/>
      <c r="Y577" s="237"/>
      <c r="Z577" s="237"/>
    </row>
    <row r="578">
      <c r="A578" s="305">
        <v>577.0</v>
      </c>
      <c r="B578" s="306">
        <v>137118.0</v>
      </c>
      <c r="C578" s="307" t="s">
        <v>1420</v>
      </c>
      <c r="D578" s="308" t="s">
        <v>4455</v>
      </c>
      <c r="E578" s="305" t="s">
        <v>4456</v>
      </c>
      <c r="F578" s="309" t="s">
        <v>4457</v>
      </c>
      <c r="G578" s="236"/>
      <c r="H578" s="307" t="s">
        <v>1420</v>
      </c>
      <c r="I578" s="237"/>
      <c r="J578" s="237"/>
      <c r="K578" s="310" t="s">
        <v>4454</v>
      </c>
      <c r="L578" s="237"/>
      <c r="M578" s="237"/>
      <c r="N578" s="237"/>
      <c r="O578" s="237"/>
      <c r="P578" s="237"/>
      <c r="Q578" s="237"/>
      <c r="R578" s="237"/>
      <c r="S578" s="237"/>
      <c r="T578" s="237"/>
      <c r="U578" s="237"/>
      <c r="V578" s="237"/>
      <c r="W578" s="237"/>
      <c r="X578" s="237"/>
      <c r="Y578" s="237"/>
      <c r="Z578" s="237"/>
    </row>
    <row r="579">
      <c r="A579" s="305">
        <v>578.0</v>
      </c>
      <c r="B579" s="306">
        <v>137119.0</v>
      </c>
      <c r="C579" s="307" t="s">
        <v>1420</v>
      </c>
      <c r="D579" s="308" t="s">
        <v>4460</v>
      </c>
      <c r="E579" s="305" t="s">
        <v>4461</v>
      </c>
      <c r="F579" s="309" t="s">
        <v>4462</v>
      </c>
      <c r="G579" s="236"/>
      <c r="H579" s="307" t="s">
        <v>1420</v>
      </c>
      <c r="I579" s="237"/>
      <c r="J579" s="237"/>
      <c r="K579" s="310" t="s">
        <v>4459</v>
      </c>
      <c r="L579" s="237"/>
      <c r="M579" s="237"/>
      <c r="N579" s="237"/>
      <c r="O579" s="237"/>
      <c r="P579" s="237"/>
      <c r="Q579" s="237"/>
      <c r="R579" s="237"/>
      <c r="S579" s="237"/>
      <c r="T579" s="237"/>
      <c r="U579" s="237"/>
      <c r="V579" s="237"/>
      <c r="W579" s="237"/>
      <c r="X579" s="237"/>
      <c r="Y579" s="237"/>
      <c r="Z579" s="237"/>
    </row>
    <row r="580">
      <c r="A580" s="305">
        <v>579.0</v>
      </c>
      <c r="B580" s="306">
        <v>5.0010089E7</v>
      </c>
      <c r="C580" s="307" t="s">
        <v>1420</v>
      </c>
      <c r="D580" s="308" t="s">
        <v>5107</v>
      </c>
      <c r="E580" s="305" t="s">
        <v>5108</v>
      </c>
      <c r="F580" s="309" t="s">
        <v>5109</v>
      </c>
      <c r="G580" s="236"/>
      <c r="H580" s="307" t="s">
        <v>1420</v>
      </c>
      <c r="I580" s="237"/>
      <c r="J580" s="237"/>
      <c r="K580" s="310" t="s">
        <v>5106</v>
      </c>
      <c r="L580" s="237"/>
      <c r="M580" s="237"/>
      <c r="N580" s="237"/>
      <c r="O580" s="237"/>
      <c r="P580" s="237"/>
      <c r="Q580" s="237"/>
      <c r="R580" s="237"/>
      <c r="S580" s="237"/>
      <c r="T580" s="237"/>
      <c r="U580" s="237"/>
      <c r="V580" s="237"/>
      <c r="W580" s="237"/>
      <c r="X580" s="237"/>
      <c r="Y580" s="237"/>
      <c r="Z580" s="237"/>
    </row>
    <row r="581">
      <c r="A581" s="305">
        <v>580.0</v>
      </c>
      <c r="B581" s="306">
        <v>5.0010088E7</v>
      </c>
      <c r="C581" s="307" t="s">
        <v>1420</v>
      </c>
      <c r="D581" s="308" t="s">
        <v>5102</v>
      </c>
      <c r="E581" s="305" t="s">
        <v>5103</v>
      </c>
      <c r="F581" s="309" t="s">
        <v>5104</v>
      </c>
      <c r="G581" s="236"/>
      <c r="H581" s="307" t="s">
        <v>1420</v>
      </c>
      <c r="I581" s="237"/>
      <c r="J581" s="237"/>
      <c r="K581" s="310" t="s">
        <v>5101</v>
      </c>
      <c r="L581" s="237"/>
      <c r="M581" s="237"/>
      <c r="N581" s="237"/>
      <c r="O581" s="237"/>
      <c r="P581" s="237"/>
      <c r="Q581" s="237"/>
      <c r="R581" s="237"/>
      <c r="S581" s="237"/>
      <c r="T581" s="237"/>
      <c r="U581" s="237"/>
      <c r="V581" s="237"/>
      <c r="W581" s="237"/>
      <c r="X581" s="237"/>
      <c r="Y581" s="237"/>
      <c r="Z581" s="237"/>
    </row>
    <row r="582">
      <c r="A582" s="305">
        <v>581.0</v>
      </c>
      <c r="B582" s="306">
        <v>5.0010091E7</v>
      </c>
      <c r="C582" s="307" t="s">
        <v>1420</v>
      </c>
      <c r="D582" s="308" t="s">
        <v>5112</v>
      </c>
      <c r="E582" s="305" t="s">
        <v>5113</v>
      </c>
      <c r="F582" s="309" t="s">
        <v>5114</v>
      </c>
      <c r="G582" s="236"/>
      <c r="H582" s="307" t="s">
        <v>1420</v>
      </c>
      <c r="I582" s="237"/>
      <c r="J582" s="237"/>
      <c r="K582" s="310" t="s">
        <v>5111</v>
      </c>
      <c r="L582" s="237"/>
      <c r="M582" s="237"/>
      <c r="N582" s="237"/>
      <c r="O582" s="237"/>
      <c r="P582" s="237"/>
      <c r="Q582" s="237"/>
      <c r="R582" s="237"/>
      <c r="S582" s="237"/>
      <c r="T582" s="237"/>
      <c r="U582" s="237"/>
      <c r="V582" s="237"/>
      <c r="W582" s="237"/>
      <c r="X582" s="237"/>
      <c r="Y582" s="237"/>
      <c r="Z582" s="237"/>
    </row>
    <row r="583">
      <c r="A583" s="305">
        <v>582.0</v>
      </c>
      <c r="B583" s="306">
        <v>5.001009E7</v>
      </c>
      <c r="C583" s="307" t="s">
        <v>1420</v>
      </c>
      <c r="D583" s="308" t="s">
        <v>5097</v>
      </c>
      <c r="E583" s="305" t="s">
        <v>5098</v>
      </c>
      <c r="F583" s="309" t="s">
        <v>5099</v>
      </c>
      <c r="G583" s="236"/>
      <c r="H583" s="307" t="s">
        <v>1420</v>
      </c>
      <c r="I583" s="237"/>
      <c r="J583" s="237"/>
      <c r="K583" s="310" t="s">
        <v>5096</v>
      </c>
      <c r="L583" s="237"/>
      <c r="M583" s="237"/>
      <c r="N583" s="237"/>
      <c r="O583" s="237"/>
      <c r="P583" s="237"/>
      <c r="Q583" s="237"/>
      <c r="R583" s="237"/>
      <c r="S583" s="237"/>
      <c r="T583" s="237"/>
      <c r="U583" s="237"/>
      <c r="V583" s="237"/>
      <c r="W583" s="237"/>
      <c r="X583" s="237"/>
      <c r="Y583" s="237"/>
      <c r="Z583" s="237"/>
    </row>
    <row r="584">
      <c r="A584" s="305">
        <v>583.0</v>
      </c>
      <c r="B584" s="306">
        <v>5.0010092E7</v>
      </c>
      <c r="C584" s="307" t="s">
        <v>1420</v>
      </c>
      <c r="D584" s="308" t="s">
        <v>5117</v>
      </c>
      <c r="E584" s="305" t="s">
        <v>5118</v>
      </c>
      <c r="F584" s="309" t="s">
        <v>5119</v>
      </c>
      <c r="G584" s="236"/>
      <c r="H584" s="307" t="s">
        <v>1420</v>
      </c>
      <c r="I584" s="237"/>
      <c r="J584" s="237"/>
      <c r="K584" s="310" t="s">
        <v>5116</v>
      </c>
      <c r="L584" s="237"/>
      <c r="M584" s="237"/>
      <c r="N584" s="237"/>
      <c r="O584" s="237"/>
      <c r="P584" s="237"/>
      <c r="Q584" s="237"/>
      <c r="R584" s="237"/>
      <c r="S584" s="237"/>
      <c r="T584" s="237"/>
      <c r="U584" s="237"/>
      <c r="V584" s="237"/>
      <c r="W584" s="237"/>
      <c r="X584" s="237"/>
      <c r="Y584" s="237"/>
      <c r="Z584" s="237"/>
    </row>
    <row r="585">
      <c r="A585" s="305">
        <v>584.0</v>
      </c>
      <c r="B585" s="306" t="s">
        <v>5090</v>
      </c>
      <c r="C585" s="307" t="s">
        <v>1420</v>
      </c>
      <c r="D585" s="308" t="s">
        <v>5092</v>
      </c>
      <c r="E585" s="305" t="s">
        <v>5093</v>
      </c>
      <c r="F585" s="309" t="s">
        <v>5094</v>
      </c>
      <c r="G585" s="236"/>
      <c r="H585" s="307" t="s">
        <v>1420</v>
      </c>
      <c r="I585" s="237"/>
      <c r="J585" s="237"/>
      <c r="K585" s="310" t="s">
        <v>5091</v>
      </c>
      <c r="L585" s="237"/>
      <c r="M585" s="237"/>
      <c r="N585" s="237"/>
      <c r="O585" s="237"/>
      <c r="P585" s="237"/>
      <c r="Q585" s="237"/>
      <c r="R585" s="237"/>
      <c r="S585" s="237"/>
      <c r="T585" s="237"/>
      <c r="U585" s="237"/>
      <c r="V585" s="237"/>
      <c r="W585" s="237"/>
      <c r="X585" s="237"/>
      <c r="Y585" s="237"/>
      <c r="Z585" s="237"/>
    </row>
    <row r="586">
      <c r="A586" s="305">
        <v>585.0</v>
      </c>
      <c r="B586" s="306">
        <v>5.0010093E7</v>
      </c>
      <c r="C586" s="307" t="s">
        <v>1420</v>
      </c>
      <c r="D586" s="308" t="s">
        <v>5146</v>
      </c>
      <c r="E586" s="305" t="s">
        <v>5147</v>
      </c>
      <c r="F586" s="309" t="s">
        <v>5148</v>
      </c>
      <c r="G586" s="236"/>
      <c r="H586" s="307" t="s">
        <v>1420</v>
      </c>
      <c r="I586" s="237"/>
      <c r="J586" s="237"/>
      <c r="K586" s="310" t="s">
        <v>5145</v>
      </c>
      <c r="L586" s="237"/>
      <c r="M586" s="237"/>
      <c r="N586" s="237"/>
      <c r="O586" s="237"/>
      <c r="P586" s="237"/>
      <c r="Q586" s="237"/>
      <c r="R586" s="237"/>
      <c r="S586" s="237"/>
      <c r="T586" s="237"/>
      <c r="U586" s="237"/>
      <c r="V586" s="237"/>
      <c r="W586" s="237"/>
      <c r="X586" s="237"/>
      <c r="Y586" s="237"/>
      <c r="Z586" s="237"/>
    </row>
    <row r="587">
      <c r="A587" s="305">
        <v>586.0</v>
      </c>
      <c r="B587" s="306">
        <v>5.0010095E7</v>
      </c>
      <c r="C587" s="307" t="s">
        <v>1420</v>
      </c>
      <c r="D587" s="308" t="s">
        <v>5136</v>
      </c>
      <c r="E587" s="305" t="s">
        <v>5137</v>
      </c>
      <c r="F587" s="309" t="s">
        <v>5138</v>
      </c>
      <c r="G587" s="236"/>
      <c r="H587" s="307" t="s">
        <v>1420</v>
      </c>
      <c r="I587" s="237"/>
      <c r="J587" s="237"/>
      <c r="K587" s="310" t="s">
        <v>5135</v>
      </c>
      <c r="L587" s="237"/>
      <c r="M587" s="237"/>
      <c r="N587" s="237"/>
      <c r="O587" s="237"/>
      <c r="P587" s="237"/>
      <c r="Q587" s="237"/>
      <c r="R587" s="237"/>
      <c r="S587" s="237"/>
      <c r="T587" s="237"/>
      <c r="U587" s="237"/>
      <c r="V587" s="237"/>
      <c r="W587" s="237"/>
      <c r="X587" s="237"/>
      <c r="Y587" s="237"/>
      <c r="Z587" s="237"/>
    </row>
    <row r="588">
      <c r="A588" s="305">
        <v>587.0</v>
      </c>
      <c r="B588" s="306">
        <v>5.0010094E7</v>
      </c>
      <c r="C588" s="307" t="s">
        <v>1420</v>
      </c>
      <c r="D588" s="308" t="s">
        <v>5141</v>
      </c>
      <c r="E588" s="305" t="s">
        <v>5142</v>
      </c>
      <c r="F588" s="309" t="s">
        <v>5143</v>
      </c>
      <c r="G588" s="236"/>
      <c r="H588" s="307" t="s">
        <v>1420</v>
      </c>
      <c r="I588" s="237"/>
      <c r="J588" s="237"/>
      <c r="K588" s="310" t="s">
        <v>5140</v>
      </c>
      <c r="L588" s="237"/>
      <c r="M588" s="237"/>
      <c r="N588" s="237"/>
      <c r="O588" s="237"/>
      <c r="P588" s="237"/>
      <c r="Q588" s="237"/>
      <c r="R588" s="237"/>
      <c r="S588" s="237"/>
      <c r="T588" s="237"/>
      <c r="U588" s="237"/>
      <c r="V588" s="237"/>
      <c r="W588" s="237"/>
      <c r="X588" s="237"/>
      <c r="Y588" s="237"/>
      <c r="Z588" s="237"/>
    </row>
    <row r="589">
      <c r="A589" s="305">
        <v>588.0</v>
      </c>
      <c r="B589" s="306">
        <v>5.0010096E7</v>
      </c>
      <c r="C589" s="307" t="s">
        <v>1420</v>
      </c>
      <c r="D589" s="308" t="s">
        <v>5131</v>
      </c>
      <c r="E589" s="305" t="s">
        <v>5132</v>
      </c>
      <c r="F589" s="309" t="s">
        <v>5133</v>
      </c>
      <c r="G589" s="236"/>
      <c r="H589" s="307" t="s">
        <v>1420</v>
      </c>
      <c r="I589" s="237"/>
      <c r="J589" s="237"/>
      <c r="K589" s="310" t="s">
        <v>5130</v>
      </c>
      <c r="L589" s="237"/>
      <c r="M589" s="237"/>
      <c r="N589" s="237"/>
      <c r="O589" s="237"/>
      <c r="P589" s="237"/>
      <c r="Q589" s="237"/>
      <c r="R589" s="237"/>
      <c r="S589" s="237"/>
      <c r="T589" s="237"/>
      <c r="U589" s="237"/>
      <c r="V589" s="237"/>
      <c r="W589" s="237"/>
      <c r="X589" s="237"/>
      <c r="Y589" s="237"/>
      <c r="Z589" s="237"/>
    </row>
    <row r="590">
      <c r="A590" s="305">
        <v>589.0</v>
      </c>
      <c r="B590" s="306" t="s">
        <v>5124</v>
      </c>
      <c r="C590" s="307" t="s">
        <v>1420</v>
      </c>
      <c r="D590" s="308" t="s">
        <v>5126</v>
      </c>
      <c r="E590" s="305" t="s">
        <v>5127</v>
      </c>
      <c r="F590" s="309" t="s">
        <v>5128</v>
      </c>
      <c r="G590" s="236"/>
      <c r="H590" s="307" t="s">
        <v>1420</v>
      </c>
      <c r="I590" s="237"/>
      <c r="J590" s="237"/>
      <c r="K590" s="310" t="s">
        <v>5125</v>
      </c>
      <c r="L590" s="237"/>
      <c r="M590" s="237"/>
      <c r="N590" s="237"/>
      <c r="O590" s="237"/>
      <c r="P590" s="237"/>
      <c r="Q590" s="237"/>
      <c r="R590" s="237"/>
      <c r="S590" s="237"/>
      <c r="T590" s="237"/>
      <c r="U590" s="237"/>
      <c r="V590" s="237"/>
      <c r="W590" s="237"/>
      <c r="X590" s="237"/>
      <c r="Y590" s="237"/>
      <c r="Z590" s="237"/>
    </row>
    <row r="591">
      <c r="A591" s="305">
        <v>590.0</v>
      </c>
      <c r="B591" s="236"/>
      <c r="C591" s="307" t="s">
        <v>1420</v>
      </c>
      <c r="D591" s="308" t="s">
        <v>1353</v>
      </c>
      <c r="E591" s="305" t="s">
        <v>12766</v>
      </c>
      <c r="F591" s="309" t="s">
        <v>12767</v>
      </c>
      <c r="G591" s="236"/>
      <c r="H591" s="307" t="s">
        <v>1420</v>
      </c>
      <c r="I591" s="237"/>
      <c r="J591" s="237"/>
      <c r="K591" s="310" t="s">
        <v>12765</v>
      </c>
      <c r="L591" s="237"/>
      <c r="M591" s="237"/>
      <c r="N591" s="237"/>
      <c r="O591" s="237"/>
      <c r="P591" s="237"/>
      <c r="Q591" s="237"/>
      <c r="R591" s="237"/>
      <c r="S591" s="237"/>
      <c r="T591" s="237"/>
      <c r="U591" s="237"/>
      <c r="V591" s="237"/>
      <c r="W591" s="237"/>
      <c r="X591" s="237"/>
      <c r="Y591" s="237"/>
      <c r="Z591" s="237"/>
    </row>
    <row r="592">
      <c r="A592" s="305">
        <v>591.0</v>
      </c>
      <c r="B592" s="236"/>
      <c r="C592" s="307" t="s">
        <v>1420</v>
      </c>
      <c r="D592" s="308" t="s">
        <v>1351</v>
      </c>
      <c r="E592" s="305" t="s">
        <v>12760</v>
      </c>
      <c r="F592" s="309" t="s">
        <v>12761</v>
      </c>
      <c r="G592" s="236"/>
      <c r="H592" s="307" t="s">
        <v>1420</v>
      </c>
      <c r="I592" s="237"/>
      <c r="J592" s="237"/>
      <c r="K592" s="310" t="s">
        <v>12759</v>
      </c>
      <c r="L592" s="237"/>
      <c r="M592" s="237"/>
      <c r="N592" s="237"/>
      <c r="O592" s="237"/>
      <c r="P592" s="237"/>
      <c r="Q592" s="237"/>
      <c r="R592" s="237"/>
      <c r="S592" s="237"/>
      <c r="T592" s="237"/>
      <c r="U592" s="237"/>
      <c r="V592" s="237"/>
      <c r="W592" s="237"/>
      <c r="X592" s="237"/>
      <c r="Y592" s="237"/>
      <c r="Z592" s="237"/>
    </row>
    <row r="593">
      <c r="A593" s="305">
        <v>592.0</v>
      </c>
      <c r="B593" s="236"/>
      <c r="C593" s="307" t="s">
        <v>1420</v>
      </c>
      <c r="D593" s="308" t="s">
        <v>1350</v>
      </c>
      <c r="E593" s="305" t="s">
        <v>12757</v>
      </c>
      <c r="F593" s="309" t="s">
        <v>12758</v>
      </c>
      <c r="G593" s="236"/>
      <c r="H593" s="307" t="s">
        <v>1420</v>
      </c>
      <c r="I593" s="237"/>
      <c r="J593" s="237"/>
      <c r="K593" s="310" t="s">
        <v>12756</v>
      </c>
      <c r="L593" s="237"/>
      <c r="M593" s="237"/>
      <c r="N593" s="237"/>
      <c r="O593" s="237"/>
      <c r="P593" s="237"/>
      <c r="Q593" s="237"/>
      <c r="R593" s="237"/>
      <c r="S593" s="237"/>
      <c r="T593" s="237"/>
      <c r="U593" s="237"/>
      <c r="V593" s="237"/>
      <c r="W593" s="237"/>
      <c r="X593" s="237"/>
      <c r="Y593" s="237"/>
      <c r="Z593" s="237"/>
    </row>
    <row r="594">
      <c r="A594" s="305">
        <v>593.0</v>
      </c>
      <c r="B594" s="236"/>
      <c r="C594" s="307" t="s">
        <v>1420</v>
      </c>
      <c r="D594" s="308" t="s">
        <v>1355</v>
      </c>
      <c r="E594" s="305" t="s">
        <v>12772</v>
      </c>
      <c r="F594" s="309" t="s">
        <v>12773</v>
      </c>
      <c r="G594" s="236"/>
      <c r="H594" s="307" t="s">
        <v>1420</v>
      </c>
      <c r="I594" s="237"/>
      <c r="J594" s="237"/>
      <c r="K594" s="310" t="s">
        <v>12771</v>
      </c>
      <c r="L594" s="237"/>
      <c r="M594" s="237"/>
      <c r="N594" s="237"/>
      <c r="O594" s="237"/>
      <c r="P594" s="237"/>
      <c r="Q594" s="237"/>
      <c r="R594" s="237"/>
      <c r="S594" s="237"/>
      <c r="T594" s="237"/>
      <c r="U594" s="237"/>
      <c r="V594" s="237"/>
      <c r="W594" s="237"/>
      <c r="X594" s="237"/>
      <c r="Y594" s="237"/>
      <c r="Z594" s="237"/>
    </row>
    <row r="595">
      <c r="A595" s="305">
        <v>594.0</v>
      </c>
      <c r="B595" s="236"/>
      <c r="C595" s="307" t="s">
        <v>1420</v>
      </c>
      <c r="D595" s="308" t="s">
        <v>1356</v>
      </c>
      <c r="E595" s="305" t="s">
        <v>12775</v>
      </c>
      <c r="F595" s="309" t="s">
        <v>12776</v>
      </c>
      <c r="G595" s="236"/>
      <c r="H595" s="307" t="s">
        <v>1420</v>
      </c>
      <c r="I595" s="237"/>
      <c r="J595" s="237"/>
      <c r="K595" s="310" t="s">
        <v>12774</v>
      </c>
      <c r="L595" s="237"/>
      <c r="M595" s="237"/>
      <c r="N595" s="237"/>
      <c r="O595" s="237"/>
      <c r="P595" s="237"/>
      <c r="Q595" s="237"/>
      <c r="R595" s="237"/>
      <c r="S595" s="237"/>
      <c r="T595" s="237"/>
      <c r="U595" s="237"/>
      <c r="V595" s="237"/>
      <c r="W595" s="237"/>
      <c r="X595" s="237"/>
      <c r="Y595" s="237"/>
      <c r="Z595" s="237"/>
    </row>
    <row r="596">
      <c r="A596" s="305">
        <v>595.0</v>
      </c>
      <c r="B596" s="236"/>
      <c r="C596" s="307" t="s">
        <v>1420</v>
      </c>
      <c r="D596" s="308" t="s">
        <v>1352</v>
      </c>
      <c r="E596" s="305" t="s">
        <v>12763</v>
      </c>
      <c r="F596" s="309" t="s">
        <v>12764</v>
      </c>
      <c r="G596" s="236"/>
      <c r="H596" s="307" t="s">
        <v>1420</v>
      </c>
      <c r="I596" s="237"/>
      <c r="J596" s="237"/>
      <c r="K596" s="310" t="s">
        <v>12762</v>
      </c>
      <c r="L596" s="237"/>
      <c r="M596" s="237"/>
      <c r="N596" s="237"/>
      <c r="O596" s="237"/>
      <c r="P596" s="237"/>
      <c r="Q596" s="237"/>
      <c r="R596" s="237"/>
      <c r="S596" s="237"/>
      <c r="T596" s="237"/>
      <c r="U596" s="237"/>
      <c r="V596" s="237"/>
      <c r="W596" s="237"/>
      <c r="X596" s="237"/>
      <c r="Y596" s="237"/>
      <c r="Z596" s="237"/>
    </row>
    <row r="597">
      <c r="A597" s="305">
        <v>596.0</v>
      </c>
      <c r="B597" s="236"/>
      <c r="C597" s="307" t="s">
        <v>1420</v>
      </c>
      <c r="D597" s="308" t="s">
        <v>1347</v>
      </c>
      <c r="E597" s="305" t="s">
        <v>12748</v>
      </c>
      <c r="F597" s="309" t="s">
        <v>12749</v>
      </c>
      <c r="G597" s="236"/>
      <c r="H597" s="307" t="s">
        <v>1420</v>
      </c>
      <c r="I597" s="237"/>
      <c r="J597" s="237"/>
      <c r="K597" s="310" t="s">
        <v>12747</v>
      </c>
      <c r="L597" s="237"/>
      <c r="M597" s="237"/>
      <c r="N597" s="237"/>
      <c r="O597" s="237"/>
      <c r="P597" s="237"/>
      <c r="Q597" s="237"/>
      <c r="R597" s="237"/>
      <c r="S597" s="237"/>
      <c r="T597" s="237"/>
      <c r="U597" s="237"/>
      <c r="V597" s="237"/>
      <c r="W597" s="237"/>
      <c r="X597" s="237"/>
      <c r="Y597" s="237"/>
      <c r="Z597" s="237"/>
    </row>
    <row r="598">
      <c r="A598" s="305">
        <v>597.0</v>
      </c>
      <c r="B598" s="236"/>
      <c r="C598" s="307" t="s">
        <v>1420</v>
      </c>
      <c r="D598" s="308" t="s">
        <v>1348</v>
      </c>
      <c r="E598" s="305" t="s">
        <v>12751</v>
      </c>
      <c r="F598" s="309" t="s">
        <v>12752</v>
      </c>
      <c r="G598" s="236"/>
      <c r="H598" s="307" t="s">
        <v>1420</v>
      </c>
      <c r="I598" s="237"/>
      <c r="J598" s="237"/>
      <c r="K598" s="310" t="s">
        <v>12750</v>
      </c>
      <c r="L598" s="237"/>
      <c r="M598" s="237"/>
      <c r="N598" s="237"/>
      <c r="O598" s="237"/>
      <c r="P598" s="237"/>
      <c r="Q598" s="237"/>
      <c r="R598" s="237"/>
      <c r="S598" s="237"/>
      <c r="T598" s="237"/>
      <c r="U598" s="237"/>
      <c r="V598" s="237"/>
      <c r="W598" s="237"/>
      <c r="X598" s="237"/>
      <c r="Y598" s="237"/>
      <c r="Z598" s="237"/>
    </row>
    <row r="599">
      <c r="A599" s="305">
        <v>598.0</v>
      </c>
      <c r="B599" s="236"/>
      <c r="C599" s="307" t="s">
        <v>1420</v>
      </c>
      <c r="D599" s="308" t="s">
        <v>1349</v>
      </c>
      <c r="E599" s="305" t="s">
        <v>12754</v>
      </c>
      <c r="F599" s="309" t="s">
        <v>12755</v>
      </c>
      <c r="G599" s="236"/>
      <c r="H599" s="307" t="s">
        <v>1420</v>
      </c>
      <c r="I599" s="237"/>
      <c r="J599" s="237"/>
      <c r="K599" s="310" t="s">
        <v>12753</v>
      </c>
      <c r="L599" s="237"/>
      <c r="M599" s="237"/>
      <c r="N599" s="237"/>
      <c r="O599" s="237"/>
      <c r="P599" s="237"/>
      <c r="Q599" s="237"/>
      <c r="R599" s="237"/>
      <c r="S599" s="237"/>
      <c r="T599" s="237"/>
      <c r="U599" s="237"/>
      <c r="V599" s="237"/>
      <c r="W599" s="237"/>
      <c r="X599" s="237"/>
      <c r="Y599" s="237"/>
      <c r="Z599" s="237"/>
    </row>
    <row r="600">
      <c r="A600" s="305">
        <v>599.0</v>
      </c>
      <c r="B600" s="236"/>
      <c r="C600" s="307" t="s">
        <v>1420</v>
      </c>
      <c r="D600" s="308" t="s">
        <v>1357</v>
      </c>
      <c r="E600" s="305" t="s">
        <v>12778</v>
      </c>
      <c r="F600" s="309" t="s">
        <v>12779</v>
      </c>
      <c r="G600" s="236"/>
      <c r="H600" s="307" t="s">
        <v>1420</v>
      </c>
      <c r="I600" s="237"/>
      <c r="J600" s="237"/>
      <c r="K600" s="310" t="s">
        <v>12777</v>
      </c>
      <c r="L600" s="237"/>
      <c r="M600" s="237"/>
      <c r="N600" s="237"/>
      <c r="O600" s="237"/>
      <c r="P600" s="237"/>
      <c r="Q600" s="237"/>
      <c r="R600" s="237"/>
      <c r="S600" s="237"/>
      <c r="T600" s="237"/>
      <c r="U600" s="237"/>
      <c r="V600" s="237"/>
      <c r="W600" s="237"/>
      <c r="X600" s="237"/>
      <c r="Y600" s="237"/>
      <c r="Z600" s="237"/>
    </row>
    <row r="601">
      <c r="A601" s="305">
        <v>600.0</v>
      </c>
      <c r="B601" s="236"/>
      <c r="C601" s="307" t="s">
        <v>1420</v>
      </c>
      <c r="D601" s="308" t="s">
        <v>1358</v>
      </c>
      <c r="E601" s="305" t="s">
        <v>12781</v>
      </c>
      <c r="F601" s="309" t="s">
        <v>12782</v>
      </c>
      <c r="G601" s="236"/>
      <c r="H601" s="307" t="s">
        <v>1420</v>
      </c>
      <c r="I601" s="237"/>
      <c r="J601" s="237"/>
      <c r="K601" s="310" t="s">
        <v>12780</v>
      </c>
      <c r="L601" s="237"/>
      <c r="M601" s="237"/>
      <c r="N601" s="237"/>
      <c r="O601" s="237"/>
      <c r="P601" s="237"/>
      <c r="Q601" s="237"/>
      <c r="R601" s="237"/>
      <c r="S601" s="237"/>
      <c r="T601" s="237"/>
      <c r="U601" s="237"/>
      <c r="V601" s="237"/>
      <c r="W601" s="237"/>
      <c r="X601" s="237"/>
      <c r="Y601" s="237"/>
      <c r="Z601" s="237"/>
    </row>
    <row r="602">
      <c r="A602" s="305">
        <v>601.0</v>
      </c>
      <c r="B602" s="236"/>
      <c r="C602" s="307" t="s">
        <v>1420</v>
      </c>
      <c r="D602" s="308" t="s">
        <v>1354</v>
      </c>
      <c r="E602" s="305" t="s">
        <v>12769</v>
      </c>
      <c r="F602" s="309" t="s">
        <v>12770</v>
      </c>
      <c r="G602" s="236"/>
      <c r="H602" s="307" t="s">
        <v>1420</v>
      </c>
      <c r="I602" s="237"/>
      <c r="J602" s="237"/>
      <c r="K602" s="310" t="s">
        <v>12768</v>
      </c>
      <c r="L602" s="237"/>
      <c r="M602" s="237"/>
      <c r="N602" s="237"/>
      <c r="O602" s="237"/>
      <c r="P602" s="237"/>
      <c r="Q602" s="237"/>
      <c r="R602" s="237"/>
      <c r="S602" s="237"/>
      <c r="T602" s="237"/>
      <c r="U602" s="237"/>
      <c r="V602" s="237"/>
      <c r="W602" s="237"/>
      <c r="X602" s="237"/>
      <c r="Y602" s="237"/>
      <c r="Z602" s="237"/>
    </row>
    <row r="603">
      <c r="A603" s="305">
        <v>602.0</v>
      </c>
      <c r="B603" s="236"/>
      <c r="C603" s="307" t="s">
        <v>1420</v>
      </c>
      <c r="D603" s="308" t="s">
        <v>10894</v>
      </c>
      <c r="E603" s="305" t="s">
        <v>10895</v>
      </c>
      <c r="F603" s="309" t="s">
        <v>10896</v>
      </c>
      <c r="G603" s="236"/>
      <c r="H603" s="307" t="s">
        <v>1420</v>
      </c>
      <c r="I603" s="237"/>
      <c r="J603" s="237"/>
      <c r="K603" s="310" t="s">
        <v>10893</v>
      </c>
      <c r="L603" s="237"/>
      <c r="M603" s="237"/>
      <c r="N603" s="237"/>
      <c r="O603" s="237"/>
      <c r="P603" s="237"/>
      <c r="Q603" s="237"/>
      <c r="R603" s="237"/>
      <c r="S603" s="237"/>
      <c r="T603" s="237"/>
      <c r="U603" s="237"/>
      <c r="V603" s="237"/>
      <c r="W603" s="237"/>
      <c r="X603" s="237"/>
      <c r="Y603" s="237"/>
      <c r="Z603" s="237"/>
    </row>
    <row r="604">
      <c r="A604" s="305">
        <v>603.0</v>
      </c>
      <c r="B604" s="236"/>
      <c r="C604" s="307" t="s">
        <v>14007</v>
      </c>
      <c r="D604" s="308" t="s">
        <v>1426</v>
      </c>
      <c r="E604" s="305" t="s">
        <v>12916</v>
      </c>
      <c r="F604" s="236"/>
      <c r="G604" s="236"/>
      <c r="H604" s="307" t="s">
        <v>14007</v>
      </c>
      <c r="I604" s="237"/>
      <c r="J604" s="237"/>
      <c r="K604" s="310" t="s">
        <v>12914</v>
      </c>
      <c r="L604" s="237"/>
      <c r="M604" s="237"/>
      <c r="N604" s="237"/>
      <c r="O604" s="237"/>
      <c r="P604" s="237"/>
      <c r="Q604" s="237"/>
      <c r="R604" s="237"/>
      <c r="S604" s="237"/>
      <c r="T604" s="237"/>
      <c r="U604" s="237"/>
      <c r="V604" s="237"/>
      <c r="W604" s="237"/>
      <c r="X604" s="237"/>
      <c r="Y604" s="237"/>
      <c r="Z604" s="237"/>
    </row>
    <row r="605">
      <c r="A605" s="305">
        <v>604.0</v>
      </c>
      <c r="B605" s="236"/>
      <c r="C605" s="307" t="s">
        <v>1427</v>
      </c>
      <c r="D605" s="308" t="s">
        <v>1428</v>
      </c>
      <c r="E605" s="305" t="s">
        <v>12919</v>
      </c>
      <c r="F605" s="236"/>
      <c r="G605" s="307" t="s">
        <v>14074</v>
      </c>
      <c r="H605" s="307" t="s">
        <v>1427</v>
      </c>
      <c r="I605" s="237"/>
      <c r="J605" s="237"/>
      <c r="K605" s="310" t="s">
        <v>12918</v>
      </c>
      <c r="L605" s="237"/>
      <c r="M605" s="237"/>
      <c r="N605" s="237"/>
      <c r="O605" s="237"/>
      <c r="P605" s="237"/>
      <c r="Q605" s="237"/>
      <c r="R605" s="237"/>
      <c r="S605" s="237"/>
      <c r="T605" s="237"/>
      <c r="U605" s="237"/>
      <c r="V605" s="237"/>
      <c r="W605" s="237"/>
      <c r="X605" s="237"/>
      <c r="Y605" s="237"/>
      <c r="Z605" s="237"/>
    </row>
    <row r="606">
      <c r="A606" s="305">
        <v>605.0</v>
      </c>
      <c r="B606" s="236"/>
      <c r="C606" s="307" t="s">
        <v>1420</v>
      </c>
      <c r="D606" s="308" t="s">
        <v>1422</v>
      </c>
      <c r="E606" s="305" t="s">
        <v>12903</v>
      </c>
      <c r="F606" s="309" t="s">
        <v>14075</v>
      </c>
      <c r="G606" s="236"/>
      <c r="H606" s="307" t="s">
        <v>1420</v>
      </c>
      <c r="I606" s="237"/>
      <c r="J606" s="237"/>
      <c r="K606" s="310" t="s">
        <v>12902</v>
      </c>
      <c r="L606" s="237"/>
      <c r="M606" s="237"/>
      <c r="N606" s="237"/>
      <c r="O606" s="237"/>
      <c r="P606" s="237"/>
      <c r="Q606" s="237"/>
      <c r="R606" s="237"/>
      <c r="S606" s="237"/>
      <c r="T606" s="237"/>
      <c r="U606" s="237"/>
      <c r="V606" s="237"/>
      <c r="W606" s="237"/>
      <c r="X606" s="237"/>
      <c r="Y606" s="237"/>
      <c r="Z606" s="237"/>
    </row>
    <row r="607">
      <c r="A607" s="305">
        <v>606.0</v>
      </c>
      <c r="B607" s="236"/>
      <c r="C607" s="307" t="s">
        <v>1420</v>
      </c>
      <c r="D607" s="308" t="s">
        <v>1423</v>
      </c>
      <c r="E607" s="305" t="s">
        <v>12906</v>
      </c>
      <c r="F607" s="309" t="s">
        <v>14076</v>
      </c>
      <c r="G607" s="236"/>
      <c r="H607" s="307" t="s">
        <v>1420</v>
      </c>
      <c r="I607" s="237"/>
      <c r="J607" s="237"/>
      <c r="K607" s="310" t="s">
        <v>12905</v>
      </c>
      <c r="L607" s="237"/>
      <c r="M607" s="237"/>
      <c r="N607" s="237"/>
      <c r="O607" s="237"/>
      <c r="P607" s="237"/>
      <c r="Q607" s="237"/>
      <c r="R607" s="237"/>
      <c r="S607" s="237"/>
      <c r="T607" s="237"/>
      <c r="U607" s="237"/>
      <c r="V607" s="237"/>
      <c r="W607" s="237"/>
      <c r="X607" s="237"/>
      <c r="Y607" s="237"/>
      <c r="Z607" s="237"/>
    </row>
    <row r="608">
      <c r="A608" s="305">
        <v>607.0</v>
      </c>
      <c r="B608" s="236"/>
      <c r="C608" s="307" t="s">
        <v>1420</v>
      </c>
      <c r="D608" s="308" t="s">
        <v>1424</v>
      </c>
      <c r="E608" s="305" t="s">
        <v>12909</v>
      </c>
      <c r="F608" s="309" t="s">
        <v>14077</v>
      </c>
      <c r="G608" s="236"/>
      <c r="H608" s="307" t="s">
        <v>1420</v>
      </c>
      <c r="I608" s="237"/>
      <c r="J608" s="237"/>
      <c r="K608" s="310" t="s">
        <v>12908</v>
      </c>
      <c r="L608" s="237"/>
      <c r="M608" s="237"/>
      <c r="N608" s="237"/>
      <c r="O608" s="237"/>
      <c r="P608" s="237"/>
      <c r="Q608" s="237"/>
      <c r="R608" s="237"/>
      <c r="S608" s="237"/>
      <c r="T608" s="237"/>
      <c r="U608" s="237"/>
      <c r="V608" s="237"/>
      <c r="W608" s="237"/>
      <c r="X608" s="237"/>
      <c r="Y608" s="237"/>
      <c r="Z608" s="237"/>
    </row>
    <row r="609">
      <c r="A609" s="305">
        <v>608.0</v>
      </c>
      <c r="B609" s="236"/>
      <c r="C609" s="307" t="s">
        <v>1420</v>
      </c>
      <c r="D609" s="308" t="s">
        <v>1425</v>
      </c>
      <c r="E609" s="305" t="s">
        <v>12912</v>
      </c>
      <c r="F609" s="309" t="s">
        <v>14078</v>
      </c>
      <c r="G609" s="236"/>
      <c r="H609" s="307" t="s">
        <v>1420</v>
      </c>
      <c r="I609" s="237"/>
      <c r="J609" s="237"/>
      <c r="K609" s="310" t="s">
        <v>12911</v>
      </c>
      <c r="L609" s="237"/>
      <c r="M609" s="237"/>
      <c r="N609" s="237"/>
      <c r="O609" s="237"/>
      <c r="P609" s="237"/>
      <c r="Q609" s="237"/>
      <c r="R609" s="237"/>
      <c r="S609" s="237"/>
      <c r="T609" s="237"/>
      <c r="U609" s="237"/>
      <c r="V609" s="237"/>
      <c r="W609" s="237"/>
      <c r="X609" s="237"/>
      <c r="Y609" s="237"/>
      <c r="Z609" s="237"/>
    </row>
    <row r="610">
      <c r="A610" s="305">
        <v>609.0</v>
      </c>
      <c r="B610" s="306" t="s">
        <v>2042</v>
      </c>
      <c r="C610" s="307" t="s">
        <v>1366</v>
      </c>
      <c r="D610" s="308" t="s">
        <v>14079</v>
      </c>
      <c r="E610" s="236"/>
      <c r="F610" s="236"/>
      <c r="G610" s="236"/>
      <c r="H610" s="307" t="s">
        <v>1366</v>
      </c>
      <c r="I610" s="237"/>
      <c r="J610" s="237"/>
      <c r="K610" s="310" t="s">
        <v>14080</v>
      </c>
      <c r="L610" s="237"/>
      <c r="M610" s="237"/>
      <c r="N610" s="237"/>
      <c r="O610" s="237"/>
      <c r="P610" s="237"/>
      <c r="Q610" s="237"/>
      <c r="R610" s="237"/>
      <c r="S610" s="237"/>
      <c r="T610" s="237"/>
      <c r="U610" s="237"/>
      <c r="V610" s="237"/>
      <c r="W610" s="237"/>
      <c r="X610" s="237"/>
      <c r="Y610" s="237"/>
      <c r="Z610" s="237"/>
    </row>
    <row r="611">
      <c r="A611" s="305">
        <v>610.0</v>
      </c>
      <c r="B611" s="306" t="s">
        <v>10165</v>
      </c>
      <c r="C611" s="307" t="s">
        <v>1420</v>
      </c>
      <c r="D611" s="308" t="s">
        <v>10167</v>
      </c>
      <c r="E611" s="305" t="s">
        <v>10168</v>
      </c>
      <c r="F611" s="309" t="s">
        <v>10169</v>
      </c>
      <c r="G611" s="236"/>
      <c r="H611" s="307" t="s">
        <v>1420</v>
      </c>
      <c r="I611" s="237"/>
      <c r="J611" s="237"/>
      <c r="K611" s="310" t="s">
        <v>10166</v>
      </c>
      <c r="L611" s="237"/>
      <c r="M611" s="237"/>
      <c r="N611" s="237"/>
      <c r="O611" s="237"/>
      <c r="P611" s="237"/>
      <c r="Q611" s="237"/>
      <c r="R611" s="237"/>
      <c r="S611" s="237"/>
      <c r="T611" s="237"/>
      <c r="U611" s="237"/>
      <c r="V611" s="237"/>
      <c r="W611" s="237"/>
      <c r="X611" s="237"/>
      <c r="Y611" s="237"/>
      <c r="Z611" s="237"/>
    </row>
    <row r="612">
      <c r="A612" s="305">
        <v>611.0</v>
      </c>
      <c r="B612" s="236"/>
      <c r="C612" s="307" t="s">
        <v>1420</v>
      </c>
      <c r="D612" s="308" t="s">
        <v>10175</v>
      </c>
      <c r="E612" s="305" t="s">
        <v>10176</v>
      </c>
      <c r="F612" s="309" t="s">
        <v>10177</v>
      </c>
      <c r="G612" s="236"/>
      <c r="H612" s="307" t="s">
        <v>1420</v>
      </c>
      <c r="I612" s="237"/>
      <c r="J612" s="237"/>
      <c r="K612" s="310" t="s">
        <v>10174</v>
      </c>
      <c r="L612" s="237"/>
      <c r="M612" s="237"/>
      <c r="N612" s="237"/>
      <c r="O612" s="237"/>
      <c r="P612" s="237"/>
      <c r="Q612" s="237"/>
      <c r="R612" s="237"/>
      <c r="S612" s="237"/>
      <c r="T612" s="237"/>
      <c r="U612" s="237"/>
      <c r="V612" s="237"/>
      <c r="W612" s="237"/>
      <c r="X612" s="237"/>
      <c r="Y612" s="237"/>
      <c r="Z612" s="237"/>
    </row>
    <row r="613">
      <c r="A613" s="305">
        <v>612.0</v>
      </c>
      <c r="B613" s="236"/>
      <c r="C613" s="307" t="s">
        <v>1420</v>
      </c>
      <c r="D613" s="308" t="s">
        <v>10352</v>
      </c>
      <c r="E613" s="305" t="s">
        <v>10353</v>
      </c>
      <c r="F613" s="309" t="s">
        <v>10354</v>
      </c>
      <c r="G613" s="236"/>
      <c r="H613" s="307" t="s">
        <v>1420</v>
      </c>
      <c r="I613" s="237"/>
      <c r="J613" s="237"/>
      <c r="K613" s="310" t="s">
        <v>10351</v>
      </c>
      <c r="L613" s="237"/>
      <c r="M613" s="237"/>
      <c r="N613" s="237"/>
      <c r="O613" s="237"/>
      <c r="P613" s="237"/>
      <c r="Q613" s="237"/>
      <c r="R613" s="237"/>
      <c r="S613" s="237"/>
      <c r="T613" s="237"/>
      <c r="U613" s="237"/>
      <c r="V613" s="237"/>
      <c r="W613" s="237"/>
      <c r="X613" s="237"/>
      <c r="Y613" s="237"/>
      <c r="Z613" s="237"/>
    </row>
    <row r="614">
      <c r="A614" s="305">
        <v>613.0</v>
      </c>
      <c r="B614" s="236"/>
      <c r="C614" s="307" t="s">
        <v>1420</v>
      </c>
      <c r="D614" s="308" t="s">
        <v>10184</v>
      </c>
      <c r="E614" s="305" t="s">
        <v>10185</v>
      </c>
      <c r="F614" s="309" t="s">
        <v>10186</v>
      </c>
      <c r="G614" s="236"/>
      <c r="H614" s="307" t="s">
        <v>1420</v>
      </c>
      <c r="I614" s="237"/>
      <c r="J614" s="237"/>
      <c r="K614" s="310" t="s">
        <v>10183</v>
      </c>
      <c r="L614" s="237"/>
      <c r="M614" s="237"/>
      <c r="N614" s="237"/>
      <c r="O614" s="237"/>
      <c r="P614" s="237"/>
      <c r="Q614" s="237"/>
      <c r="R614" s="237"/>
      <c r="S614" s="237"/>
      <c r="T614" s="237"/>
      <c r="U614" s="237"/>
      <c r="V614" s="237"/>
      <c r="W614" s="237"/>
      <c r="X614" s="237"/>
      <c r="Y614" s="237"/>
      <c r="Z614" s="237"/>
    </row>
    <row r="615">
      <c r="A615" s="305">
        <v>614.0</v>
      </c>
      <c r="B615" s="306" t="s">
        <v>10178</v>
      </c>
      <c r="C615" s="307" t="s">
        <v>1420</v>
      </c>
      <c r="D615" s="308" t="s">
        <v>10180</v>
      </c>
      <c r="E615" s="305" t="s">
        <v>10181</v>
      </c>
      <c r="F615" s="309" t="s">
        <v>10182</v>
      </c>
      <c r="G615" s="236"/>
      <c r="H615" s="307" t="s">
        <v>1420</v>
      </c>
      <c r="I615" s="237"/>
      <c r="J615" s="237"/>
      <c r="K615" s="310" t="s">
        <v>10179</v>
      </c>
      <c r="L615" s="237"/>
      <c r="M615" s="237"/>
      <c r="N615" s="237"/>
      <c r="O615" s="237"/>
      <c r="P615" s="237"/>
      <c r="Q615" s="237"/>
      <c r="R615" s="237"/>
      <c r="S615" s="237"/>
      <c r="T615" s="237"/>
      <c r="U615" s="237"/>
      <c r="V615" s="237"/>
      <c r="W615" s="237"/>
      <c r="X615" s="237"/>
      <c r="Y615" s="237"/>
      <c r="Z615" s="237"/>
    </row>
    <row r="616">
      <c r="A616" s="305">
        <v>615.0</v>
      </c>
      <c r="B616" s="236"/>
      <c r="C616" s="307" t="s">
        <v>1420</v>
      </c>
      <c r="D616" s="308" t="s">
        <v>10171</v>
      </c>
      <c r="E616" s="305" t="s">
        <v>10172</v>
      </c>
      <c r="F616" s="309" t="s">
        <v>10173</v>
      </c>
      <c r="G616" s="236"/>
      <c r="H616" s="307" t="s">
        <v>1420</v>
      </c>
      <c r="I616" s="237"/>
      <c r="J616" s="237"/>
      <c r="K616" s="310" t="s">
        <v>10170</v>
      </c>
      <c r="L616" s="237"/>
      <c r="M616" s="237"/>
      <c r="N616" s="237"/>
      <c r="O616" s="237"/>
      <c r="P616" s="237"/>
      <c r="Q616" s="237"/>
      <c r="R616" s="237"/>
      <c r="S616" s="237"/>
      <c r="T616" s="237"/>
      <c r="U616" s="237"/>
      <c r="V616" s="237"/>
      <c r="W616" s="237"/>
      <c r="X616" s="237"/>
      <c r="Y616" s="237"/>
      <c r="Z616" s="237"/>
    </row>
    <row r="617">
      <c r="A617" s="305">
        <v>616.0</v>
      </c>
      <c r="B617" s="306">
        <v>15327.0</v>
      </c>
      <c r="C617" s="307" t="s">
        <v>1420</v>
      </c>
      <c r="D617" s="308" t="s">
        <v>2466</v>
      </c>
      <c r="E617" s="305" t="s">
        <v>5839</v>
      </c>
      <c r="F617" s="309" t="s">
        <v>5840</v>
      </c>
      <c r="G617" s="236"/>
      <c r="H617" s="307" t="s">
        <v>1420</v>
      </c>
      <c r="I617" s="237"/>
      <c r="J617" s="237"/>
      <c r="K617" s="310" t="s">
        <v>5838</v>
      </c>
      <c r="L617" s="237"/>
      <c r="M617" s="237"/>
      <c r="N617" s="237"/>
      <c r="O617" s="237"/>
      <c r="P617" s="237"/>
      <c r="Q617" s="237"/>
      <c r="R617" s="237"/>
      <c r="S617" s="237"/>
      <c r="T617" s="237"/>
      <c r="U617" s="237"/>
      <c r="V617" s="237"/>
      <c r="W617" s="237"/>
      <c r="X617" s="237"/>
      <c r="Y617" s="237"/>
      <c r="Z617" s="237"/>
    </row>
    <row r="618">
      <c r="A618" s="305">
        <v>617.0</v>
      </c>
      <c r="B618" s="236"/>
      <c r="C618" s="307" t="s">
        <v>1420</v>
      </c>
      <c r="D618" s="308" t="s">
        <v>2467</v>
      </c>
      <c r="E618" s="305" t="s">
        <v>4074</v>
      </c>
      <c r="F618" s="309" t="s">
        <v>4075</v>
      </c>
      <c r="G618" s="236"/>
      <c r="H618" s="307" t="s">
        <v>1420</v>
      </c>
      <c r="I618" s="237"/>
      <c r="J618" s="237"/>
      <c r="K618" s="310" t="s">
        <v>4073</v>
      </c>
      <c r="L618" s="237"/>
      <c r="M618" s="237"/>
      <c r="N618" s="237"/>
      <c r="O618" s="237"/>
      <c r="P618" s="237"/>
      <c r="Q618" s="237"/>
      <c r="R618" s="237"/>
      <c r="S618" s="237"/>
      <c r="T618" s="237"/>
      <c r="U618" s="237"/>
      <c r="V618" s="237"/>
      <c r="W618" s="237"/>
      <c r="X618" s="237"/>
      <c r="Y618" s="237"/>
      <c r="Z618" s="237"/>
    </row>
    <row r="619">
      <c r="A619" s="305">
        <v>618.0</v>
      </c>
      <c r="B619" s="306">
        <v>13621.0</v>
      </c>
      <c r="C619" s="307" t="s">
        <v>1420</v>
      </c>
      <c r="D619" s="308" t="s">
        <v>2468</v>
      </c>
      <c r="E619" s="305" t="s">
        <v>4078</v>
      </c>
      <c r="F619" s="309" t="s">
        <v>4079</v>
      </c>
      <c r="G619" s="236"/>
      <c r="H619" s="307" t="s">
        <v>1420</v>
      </c>
      <c r="I619" s="237"/>
      <c r="J619" s="237"/>
      <c r="K619" s="310" t="s">
        <v>4077</v>
      </c>
      <c r="L619" s="237"/>
      <c r="M619" s="237"/>
      <c r="N619" s="237"/>
      <c r="O619" s="237"/>
      <c r="P619" s="237"/>
      <c r="Q619" s="237"/>
      <c r="R619" s="237"/>
      <c r="S619" s="237"/>
      <c r="T619" s="237"/>
      <c r="U619" s="237"/>
      <c r="V619" s="237"/>
      <c r="W619" s="237"/>
      <c r="X619" s="237"/>
      <c r="Y619" s="237"/>
      <c r="Z619" s="237"/>
    </row>
    <row r="620">
      <c r="A620" s="305">
        <v>619.0</v>
      </c>
      <c r="B620" s="236"/>
      <c r="C620" s="307" t="s">
        <v>1420</v>
      </c>
      <c r="D620" s="308" t="s">
        <v>12276</v>
      </c>
      <c r="E620" s="305" t="s">
        <v>14081</v>
      </c>
      <c r="F620" s="309" t="s">
        <v>12278</v>
      </c>
      <c r="G620" s="236"/>
      <c r="H620" s="307" t="s">
        <v>1420</v>
      </c>
      <c r="I620" s="237"/>
      <c r="J620" s="237"/>
      <c r="K620" s="310" t="s">
        <v>12275</v>
      </c>
      <c r="L620" s="237"/>
      <c r="M620" s="237"/>
      <c r="N620" s="237"/>
      <c r="O620" s="237"/>
      <c r="P620" s="237"/>
      <c r="Q620" s="237"/>
      <c r="R620" s="237"/>
      <c r="S620" s="237"/>
      <c r="T620" s="237"/>
      <c r="U620" s="237"/>
      <c r="V620" s="237"/>
      <c r="W620" s="237"/>
      <c r="X620" s="237"/>
      <c r="Y620" s="237"/>
      <c r="Z620" s="237"/>
    </row>
    <row r="621">
      <c r="A621" s="305">
        <v>620.0</v>
      </c>
      <c r="B621" s="236"/>
      <c r="C621" s="307" t="s">
        <v>1420</v>
      </c>
      <c r="D621" s="308" t="s">
        <v>12340</v>
      </c>
      <c r="E621" s="305" t="s">
        <v>12341</v>
      </c>
      <c r="F621" s="309" t="s">
        <v>12342</v>
      </c>
      <c r="G621" s="236"/>
      <c r="H621" s="307" t="s">
        <v>1420</v>
      </c>
      <c r="I621" s="237"/>
      <c r="J621" s="237"/>
      <c r="K621" s="310" t="s">
        <v>12338</v>
      </c>
      <c r="L621" s="237"/>
      <c r="M621" s="237"/>
      <c r="N621" s="237"/>
      <c r="O621" s="237"/>
      <c r="P621" s="237"/>
      <c r="Q621" s="237"/>
      <c r="R621" s="237"/>
      <c r="S621" s="237"/>
      <c r="T621" s="237"/>
      <c r="U621" s="237"/>
      <c r="V621" s="237"/>
      <c r="W621" s="237"/>
      <c r="X621" s="237"/>
      <c r="Y621" s="237"/>
      <c r="Z621" s="237"/>
    </row>
    <row r="622">
      <c r="A622" s="305">
        <v>621.0</v>
      </c>
      <c r="B622" s="236"/>
      <c r="C622" s="307" t="s">
        <v>1420</v>
      </c>
      <c r="D622" s="308" t="s">
        <v>12301</v>
      </c>
      <c r="E622" s="305" t="s">
        <v>12302</v>
      </c>
      <c r="F622" s="309" t="s">
        <v>12303</v>
      </c>
      <c r="G622" s="236"/>
      <c r="H622" s="307" t="s">
        <v>1420</v>
      </c>
      <c r="I622" s="237"/>
      <c r="J622" s="237"/>
      <c r="K622" s="310" t="s">
        <v>12299</v>
      </c>
      <c r="L622" s="237"/>
      <c r="M622" s="237"/>
      <c r="N622" s="237"/>
      <c r="O622" s="237"/>
      <c r="P622" s="237"/>
      <c r="Q622" s="237"/>
      <c r="R622" s="237"/>
      <c r="S622" s="237"/>
      <c r="T622" s="237"/>
      <c r="U622" s="237"/>
      <c r="V622" s="237"/>
      <c r="W622" s="237"/>
      <c r="X622" s="237"/>
      <c r="Y622" s="237"/>
      <c r="Z622" s="237"/>
    </row>
    <row r="623">
      <c r="A623" s="305">
        <v>622.0</v>
      </c>
      <c r="B623" s="236"/>
      <c r="C623" s="307" t="s">
        <v>1420</v>
      </c>
      <c r="D623" s="308" t="s">
        <v>12296</v>
      </c>
      <c r="E623" s="305" t="s">
        <v>12297</v>
      </c>
      <c r="F623" s="309" t="s">
        <v>12298</v>
      </c>
      <c r="G623" s="236"/>
      <c r="H623" s="307" t="s">
        <v>1420</v>
      </c>
      <c r="I623" s="237"/>
      <c r="J623" s="237"/>
      <c r="K623" s="310" t="s">
        <v>12295</v>
      </c>
      <c r="L623" s="237"/>
      <c r="M623" s="237"/>
      <c r="N623" s="237"/>
      <c r="O623" s="237"/>
      <c r="P623" s="237"/>
      <c r="Q623" s="237"/>
      <c r="R623" s="237"/>
      <c r="S623" s="237"/>
      <c r="T623" s="237"/>
      <c r="U623" s="237"/>
      <c r="V623" s="237"/>
      <c r="W623" s="237"/>
      <c r="X623" s="237"/>
      <c r="Y623" s="237"/>
      <c r="Z623" s="237"/>
    </row>
    <row r="624">
      <c r="A624" s="305">
        <v>623.0</v>
      </c>
      <c r="B624" s="236"/>
      <c r="C624" s="307" t="s">
        <v>1420</v>
      </c>
      <c r="D624" s="308" t="s">
        <v>1796</v>
      </c>
      <c r="E624" s="236"/>
      <c r="F624" s="309" t="s">
        <v>14082</v>
      </c>
      <c r="G624" s="236"/>
      <c r="H624" s="307" t="s">
        <v>1420</v>
      </c>
      <c r="I624" s="237"/>
      <c r="J624" s="237"/>
      <c r="K624" s="310" t="s">
        <v>13093</v>
      </c>
      <c r="L624" s="237"/>
      <c r="M624" s="237"/>
      <c r="N624" s="237"/>
      <c r="O624" s="237"/>
      <c r="P624" s="237"/>
      <c r="Q624" s="237"/>
      <c r="R624" s="237"/>
      <c r="S624" s="237"/>
      <c r="T624" s="237"/>
      <c r="U624" s="237"/>
      <c r="V624" s="237"/>
      <c r="W624" s="237"/>
      <c r="X624" s="237"/>
      <c r="Y624" s="237"/>
      <c r="Z624" s="237"/>
    </row>
    <row r="625">
      <c r="A625" s="305">
        <v>624.0</v>
      </c>
      <c r="B625" s="236"/>
      <c r="C625" s="307" t="s">
        <v>1420</v>
      </c>
      <c r="D625" s="308" t="s">
        <v>12444</v>
      </c>
      <c r="E625" s="305" t="s">
        <v>14083</v>
      </c>
      <c r="F625" s="236"/>
      <c r="G625" s="236"/>
      <c r="H625" s="307" t="s">
        <v>1420</v>
      </c>
      <c r="I625" s="237"/>
      <c r="J625" s="237"/>
      <c r="K625" s="310" t="s">
        <v>12443</v>
      </c>
      <c r="L625" s="237"/>
      <c r="M625" s="237"/>
      <c r="N625" s="237"/>
      <c r="O625" s="237"/>
      <c r="P625" s="237"/>
      <c r="Q625" s="237"/>
      <c r="R625" s="237"/>
      <c r="S625" s="237"/>
      <c r="T625" s="237"/>
      <c r="U625" s="237"/>
      <c r="V625" s="237"/>
      <c r="W625" s="237"/>
      <c r="X625" s="237"/>
      <c r="Y625" s="237"/>
      <c r="Z625" s="237"/>
    </row>
    <row r="626">
      <c r="A626" s="305">
        <v>625.0</v>
      </c>
      <c r="B626" s="236"/>
      <c r="C626" s="307" t="s">
        <v>1427</v>
      </c>
      <c r="D626" s="308" t="s">
        <v>12391</v>
      </c>
      <c r="E626" s="236"/>
      <c r="F626" s="236"/>
      <c r="G626" s="307" t="s">
        <v>12388</v>
      </c>
      <c r="H626" s="307" t="s">
        <v>1427</v>
      </c>
      <c r="I626" s="237"/>
      <c r="J626" s="237"/>
      <c r="K626" s="310" t="s">
        <v>12389</v>
      </c>
      <c r="L626" s="237"/>
      <c r="M626" s="237"/>
      <c r="N626" s="237"/>
      <c r="O626" s="237"/>
      <c r="P626" s="237"/>
      <c r="Q626" s="237"/>
      <c r="R626" s="237"/>
      <c r="S626" s="237"/>
      <c r="T626" s="237"/>
      <c r="U626" s="237"/>
      <c r="V626" s="237"/>
      <c r="W626" s="237"/>
      <c r="X626" s="237"/>
      <c r="Y626" s="237"/>
      <c r="Z626" s="237"/>
    </row>
    <row r="627">
      <c r="A627" s="305">
        <v>626.0</v>
      </c>
      <c r="B627" s="236"/>
      <c r="C627" s="307" t="s">
        <v>1427</v>
      </c>
      <c r="D627" s="308" t="s">
        <v>12047</v>
      </c>
      <c r="E627" s="305" t="s">
        <v>12048</v>
      </c>
      <c r="F627" s="236"/>
      <c r="G627" s="236"/>
      <c r="H627" s="307" t="s">
        <v>1427</v>
      </c>
      <c r="I627" s="237"/>
      <c r="J627" s="237"/>
      <c r="K627" s="310" t="s">
        <v>12046</v>
      </c>
      <c r="L627" s="237"/>
      <c r="M627" s="237"/>
      <c r="N627" s="237"/>
      <c r="O627" s="237"/>
      <c r="P627" s="237"/>
      <c r="Q627" s="237"/>
      <c r="R627" s="237"/>
      <c r="S627" s="237"/>
      <c r="T627" s="237"/>
      <c r="U627" s="237"/>
      <c r="V627" s="237"/>
      <c r="W627" s="237"/>
      <c r="X627" s="237"/>
      <c r="Y627" s="237"/>
      <c r="Z627" s="237"/>
    </row>
    <row r="628">
      <c r="A628" s="305">
        <v>627.0</v>
      </c>
      <c r="B628" s="236"/>
      <c r="C628" s="307" t="s">
        <v>13452</v>
      </c>
      <c r="D628" s="308" t="s">
        <v>12441</v>
      </c>
      <c r="E628" s="305" t="s">
        <v>14084</v>
      </c>
      <c r="F628" s="236"/>
      <c r="G628" s="236"/>
      <c r="H628" s="307" t="s">
        <v>13452</v>
      </c>
      <c r="I628" s="237"/>
      <c r="J628" s="237"/>
      <c r="K628" s="310" t="s">
        <v>12440</v>
      </c>
      <c r="L628" s="237"/>
      <c r="M628" s="237"/>
      <c r="N628" s="237"/>
      <c r="O628" s="237"/>
      <c r="P628" s="237"/>
      <c r="Q628" s="237"/>
      <c r="R628" s="237"/>
      <c r="S628" s="237"/>
      <c r="T628" s="237"/>
      <c r="U628" s="237"/>
      <c r="V628" s="237"/>
      <c r="W628" s="237"/>
      <c r="X628" s="237"/>
      <c r="Y628" s="237"/>
      <c r="Z628" s="237"/>
    </row>
    <row r="629">
      <c r="A629" s="305">
        <v>628.0</v>
      </c>
      <c r="B629" s="236"/>
      <c r="C629" s="307" t="s">
        <v>1427</v>
      </c>
      <c r="D629" s="308" t="s">
        <v>12392</v>
      </c>
      <c r="E629" s="236"/>
      <c r="F629" s="236"/>
      <c r="G629" s="307" t="s">
        <v>12388</v>
      </c>
      <c r="H629" s="307" t="s">
        <v>1427</v>
      </c>
      <c r="I629" s="237"/>
      <c r="J629" s="237"/>
      <c r="K629" s="310" t="s">
        <v>12389</v>
      </c>
      <c r="L629" s="237"/>
      <c r="M629" s="237"/>
      <c r="N629" s="237"/>
      <c r="O629" s="237"/>
      <c r="P629" s="237"/>
      <c r="Q629" s="237"/>
      <c r="R629" s="237"/>
      <c r="S629" s="237"/>
      <c r="T629" s="237"/>
      <c r="U629" s="237"/>
      <c r="V629" s="237"/>
      <c r="W629" s="237"/>
      <c r="X629" s="237"/>
      <c r="Y629" s="237"/>
      <c r="Z629" s="237"/>
    </row>
    <row r="630">
      <c r="A630" s="305">
        <v>629.0</v>
      </c>
      <c r="B630" s="306" t="s">
        <v>4192</v>
      </c>
      <c r="C630" s="307" t="s">
        <v>1420</v>
      </c>
      <c r="D630" s="308" t="s">
        <v>4194</v>
      </c>
      <c r="E630" s="305" t="s">
        <v>4195</v>
      </c>
      <c r="F630" s="309" t="s">
        <v>4196</v>
      </c>
      <c r="G630" s="236"/>
      <c r="H630" s="307" t="s">
        <v>1420</v>
      </c>
      <c r="I630" s="237"/>
      <c r="J630" s="237"/>
      <c r="K630" s="310" t="s">
        <v>4193</v>
      </c>
      <c r="L630" s="237"/>
      <c r="M630" s="237"/>
      <c r="N630" s="237"/>
      <c r="O630" s="237"/>
      <c r="P630" s="237"/>
      <c r="Q630" s="237"/>
      <c r="R630" s="237"/>
      <c r="S630" s="237"/>
      <c r="T630" s="237"/>
      <c r="U630" s="237"/>
      <c r="V630" s="237"/>
      <c r="W630" s="237"/>
      <c r="X630" s="237"/>
      <c r="Y630" s="237"/>
      <c r="Z630" s="237"/>
    </row>
    <row r="631">
      <c r="A631" s="305">
        <v>630.0</v>
      </c>
      <c r="B631" s="306" t="s">
        <v>5915</v>
      </c>
      <c r="C631" s="307" t="s">
        <v>1420</v>
      </c>
      <c r="D631" s="308" t="s">
        <v>5917</v>
      </c>
      <c r="E631" s="305" t="s">
        <v>5918</v>
      </c>
      <c r="F631" s="309" t="s">
        <v>5919</v>
      </c>
      <c r="G631" s="236"/>
      <c r="H631" s="307" t="s">
        <v>1420</v>
      </c>
      <c r="I631" s="237"/>
      <c r="J631" s="237"/>
      <c r="K631" s="310" t="s">
        <v>5916</v>
      </c>
      <c r="L631" s="237"/>
      <c r="M631" s="237"/>
      <c r="N631" s="237"/>
      <c r="O631" s="237"/>
      <c r="P631" s="237"/>
      <c r="Q631" s="237"/>
      <c r="R631" s="237"/>
      <c r="S631" s="237"/>
      <c r="T631" s="237"/>
      <c r="U631" s="237"/>
      <c r="V631" s="237"/>
      <c r="W631" s="237"/>
      <c r="X631" s="237"/>
      <c r="Y631" s="237"/>
      <c r="Z631" s="237"/>
    </row>
    <row r="632">
      <c r="A632" s="305">
        <v>631.0</v>
      </c>
      <c r="B632" s="306" t="s">
        <v>4207</v>
      </c>
      <c r="C632" s="307" t="s">
        <v>1420</v>
      </c>
      <c r="D632" s="308" t="s">
        <v>4209</v>
      </c>
      <c r="E632" s="305" t="s">
        <v>4210</v>
      </c>
      <c r="F632" s="309" t="s">
        <v>4211</v>
      </c>
      <c r="G632" s="236"/>
      <c r="H632" s="307" t="s">
        <v>1420</v>
      </c>
      <c r="I632" s="237"/>
      <c r="J632" s="237"/>
      <c r="K632" s="310" t="s">
        <v>4208</v>
      </c>
      <c r="L632" s="237"/>
      <c r="M632" s="237"/>
      <c r="N632" s="237"/>
      <c r="O632" s="237"/>
      <c r="P632" s="237"/>
      <c r="Q632" s="237"/>
      <c r="R632" s="237"/>
      <c r="S632" s="237"/>
      <c r="T632" s="237"/>
      <c r="U632" s="237"/>
      <c r="V632" s="237"/>
      <c r="W632" s="237"/>
      <c r="X632" s="237"/>
      <c r="Y632" s="237"/>
      <c r="Z632" s="237"/>
    </row>
    <row r="633">
      <c r="A633" s="305">
        <v>632.0</v>
      </c>
      <c r="B633" s="306" t="s">
        <v>5930</v>
      </c>
      <c r="C633" s="307" t="s">
        <v>1420</v>
      </c>
      <c r="D633" s="308" t="s">
        <v>5932</v>
      </c>
      <c r="E633" s="305" t="s">
        <v>5933</v>
      </c>
      <c r="F633" s="309" t="s">
        <v>5934</v>
      </c>
      <c r="G633" s="236"/>
      <c r="H633" s="307" t="s">
        <v>1420</v>
      </c>
      <c r="I633" s="237"/>
      <c r="J633" s="237"/>
      <c r="K633" s="310" t="s">
        <v>5931</v>
      </c>
      <c r="L633" s="237"/>
      <c r="M633" s="237"/>
      <c r="N633" s="237"/>
      <c r="O633" s="237"/>
      <c r="P633" s="237"/>
      <c r="Q633" s="237"/>
      <c r="R633" s="237"/>
      <c r="S633" s="237"/>
      <c r="T633" s="237"/>
      <c r="U633" s="237"/>
      <c r="V633" s="237"/>
      <c r="W633" s="237"/>
      <c r="X633" s="237"/>
      <c r="Y633" s="237"/>
      <c r="Z633" s="237"/>
    </row>
    <row r="634">
      <c r="A634" s="305">
        <v>633.0</v>
      </c>
      <c r="B634" s="306" t="s">
        <v>4202</v>
      </c>
      <c r="C634" s="307" t="s">
        <v>1420</v>
      </c>
      <c r="D634" s="308" t="s">
        <v>4204</v>
      </c>
      <c r="E634" s="305" t="s">
        <v>4205</v>
      </c>
      <c r="F634" s="309" t="s">
        <v>4206</v>
      </c>
      <c r="G634" s="236"/>
      <c r="H634" s="307" t="s">
        <v>1420</v>
      </c>
      <c r="I634" s="237"/>
      <c r="J634" s="237"/>
      <c r="K634" s="310" t="s">
        <v>4203</v>
      </c>
      <c r="L634" s="237"/>
      <c r="M634" s="237"/>
      <c r="N634" s="237"/>
      <c r="O634" s="237"/>
      <c r="P634" s="237"/>
      <c r="Q634" s="237"/>
      <c r="R634" s="237"/>
      <c r="S634" s="237"/>
      <c r="T634" s="237"/>
      <c r="U634" s="237"/>
      <c r="V634" s="237"/>
      <c r="W634" s="237"/>
      <c r="X634" s="237"/>
      <c r="Y634" s="237"/>
      <c r="Z634" s="237"/>
    </row>
    <row r="635">
      <c r="A635" s="305">
        <v>634.0</v>
      </c>
      <c r="B635" s="306" t="s">
        <v>5925</v>
      </c>
      <c r="C635" s="307" t="s">
        <v>1420</v>
      </c>
      <c r="D635" s="308" t="s">
        <v>5927</v>
      </c>
      <c r="E635" s="305" t="s">
        <v>5928</v>
      </c>
      <c r="F635" s="309" t="s">
        <v>5929</v>
      </c>
      <c r="G635" s="236"/>
      <c r="H635" s="307" t="s">
        <v>1420</v>
      </c>
      <c r="I635" s="237"/>
      <c r="J635" s="237"/>
      <c r="K635" s="310" t="s">
        <v>5926</v>
      </c>
      <c r="L635" s="237"/>
      <c r="M635" s="237"/>
      <c r="N635" s="237"/>
      <c r="O635" s="237"/>
      <c r="P635" s="237"/>
      <c r="Q635" s="237"/>
      <c r="R635" s="237"/>
      <c r="S635" s="237"/>
      <c r="T635" s="237"/>
      <c r="U635" s="237"/>
      <c r="V635" s="237"/>
      <c r="W635" s="237"/>
      <c r="X635" s="237"/>
      <c r="Y635" s="237"/>
      <c r="Z635" s="237"/>
    </row>
    <row r="636">
      <c r="A636" s="305">
        <v>635.0</v>
      </c>
      <c r="B636" s="306" t="s">
        <v>4197</v>
      </c>
      <c r="C636" s="307" t="s">
        <v>1420</v>
      </c>
      <c r="D636" s="308" t="s">
        <v>4199</v>
      </c>
      <c r="E636" s="305" t="s">
        <v>4200</v>
      </c>
      <c r="F636" s="309" t="s">
        <v>4201</v>
      </c>
      <c r="G636" s="236"/>
      <c r="H636" s="307" t="s">
        <v>1420</v>
      </c>
      <c r="I636" s="237"/>
      <c r="J636" s="237"/>
      <c r="K636" s="310" t="s">
        <v>4198</v>
      </c>
      <c r="L636" s="237"/>
      <c r="M636" s="237"/>
      <c r="N636" s="237"/>
      <c r="O636" s="237"/>
      <c r="P636" s="237"/>
      <c r="Q636" s="237"/>
      <c r="R636" s="237"/>
      <c r="S636" s="237"/>
      <c r="T636" s="237"/>
      <c r="U636" s="237"/>
      <c r="V636" s="237"/>
      <c r="W636" s="237"/>
      <c r="X636" s="237"/>
      <c r="Y636" s="237"/>
      <c r="Z636" s="237"/>
    </row>
    <row r="637">
      <c r="A637" s="305">
        <v>636.0</v>
      </c>
      <c r="B637" s="306" t="s">
        <v>5920</v>
      </c>
      <c r="C637" s="307" t="s">
        <v>1420</v>
      </c>
      <c r="D637" s="308" t="s">
        <v>5922</v>
      </c>
      <c r="E637" s="305" t="s">
        <v>5923</v>
      </c>
      <c r="F637" s="309" t="s">
        <v>5924</v>
      </c>
      <c r="G637" s="236"/>
      <c r="H637" s="307" t="s">
        <v>1420</v>
      </c>
      <c r="I637" s="237"/>
      <c r="J637" s="237"/>
      <c r="K637" s="310" t="s">
        <v>5921</v>
      </c>
      <c r="L637" s="237"/>
      <c r="M637" s="237"/>
      <c r="N637" s="237"/>
      <c r="O637" s="237"/>
      <c r="P637" s="237"/>
      <c r="Q637" s="237"/>
      <c r="R637" s="237"/>
      <c r="S637" s="237"/>
      <c r="T637" s="237"/>
      <c r="U637" s="237"/>
      <c r="V637" s="237"/>
      <c r="W637" s="237"/>
      <c r="X637" s="237"/>
      <c r="Y637" s="237"/>
      <c r="Z637" s="237"/>
    </row>
    <row r="638">
      <c r="A638" s="305">
        <v>637.0</v>
      </c>
      <c r="B638" s="306" t="s">
        <v>4212</v>
      </c>
      <c r="C638" s="307" t="s">
        <v>1420</v>
      </c>
      <c r="D638" s="308" t="s">
        <v>4214</v>
      </c>
      <c r="E638" s="305" t="s">
        <v>4215</v>
      </c>
      <c r="F638" s="309" t="s">
        <v>4216</v>
      </c>
      <c r="G638" s="236"/>
      <c r="H638" s="307" t="s">
        <v>1420</v>
      </c>
      <c r="I638" s="237"/>
      <c r="J638" s="237"/>
      <c r="K638" s="310" t="s">
        <v>4213</v>
      </c>
      <c r="L638" s="237"/>
      <c r="M638" s="237"/>
      <c r="N638" s="237"/>
      <c r="O638" s="237"/>
      <c r="P638" s="237"/>
      <c r="Q638" s="237"/>
      <c r="R638" s="237"/>
      <c r="S638" s="237"/>
      <c r="T638" s="237"/>
      <c r="U638" s="237"/>
      <c r="V638" s="237"/>
      <c r="W638" s="237"/>
      <c r="X638" s="237"/>
      <c r="Y638" s="237"/>
      <c r="Z638" s="237"/>
    </row>
    <row r="639">
      <c r="A639" s="305">
        <v>638.0</v>
      </c>
      <c r="B639" s="306" t="s">
        <v>5935</v>
      </c>
      <c r="C639" s="307" t="s">
        <v>1420</v>
      </c>
      <c r="D639" s="308" t="s">
        <v>5937</v>
      </c>
      <c r="E639" s="305" t="s">
        <v>5938</v>
      </c>
      <c r="F639" s="309" t="s">
        <v>5939</v>
      </c>
      <c r="G639" s="236"/>
      <c r="H639" s="307" t="s">
        <v>1420</v>
      </c>
      <c r="I639" s="237"/>
      <c r="J639" s="237"/>
      <c r="K639" s="310" t="s">
        <v>5936</v>
      </c>
      <c r="L639" s="237"/>
      <c r="M639" s="237"/>
      <c r="N639" s="237"/>
      <c r="O639" s="237"/>
      <c r="P639" s="237"/>
      <c r="Q639" s="237"/>
      <c r="R639" s="237"/>
      <c r="S639" s="237"/>
      <c r="T639" s="237"/>
      <c r="U639" s="237"/>
      <c r="V639" s="237"/>
      <c r="W639" s="237"/>
      <c r="X639" s="237"/>
      <c r="Y639" s="237"/>
      <c r="Z639" s="237"/>
    </row>
    <row r="640">
      <c r="A640" s="305">
        <v>639.0</v>
      </c>
      <c r="B640" s="236"/>
      <c r="C640" s="307" t="s">
        <v>1420</v>
      </c>
      <c r="D640" s="308" t="s">
        <v>9829</v>
      </c>
      <c r="E640" s="305" t="s">
        <v>9830</v>
      </c>
      <c r="F640" s="309" t="s">
        <v>9831</v>
      </c>
      <c r="G640" s="236"/>
      <c r="H640" s="307" t="s">
        <v>1420</v>
      </c>
      <c r="I640" s="237"/>
      <c r="J640" s="237"/>
      <c r="K640" s="310" t="s">
        <v>9828</v>
      </c>
      <c r="L640" s="237"/>
      <c r="M640" s="237"/>
      <c r="N640" s="237"/>
      <c r="O640" s="237"/>
      <c r="P640" s="237"/>
      <c r="Q640" s="237"/>
      <c r="R640" s="237"/>
      <c r="S640" s="237"/>
      <c r="T640" s="237"/>
      <c r="U640" s="237"/>
      <c r="V640" s="237"/>
      <c r="W640" s="237"/>
      <c r="X640" s="237"/>
      <c r="Y640" s="237"/>
      <c r="Z640" s="237"/>
    </row>
    <row r="641">
      <c r="A641" s="305">
        <v>640.0</v>
      </c>
      <c r="B641" s="236"/>
      <c r="C641" s="307" t="s">
        <v>1420</v>
      </c>
      <c r="D641" s="308" t="s">
        <v>1672</v>
      </c>
      <c r="E641" s="236"/>
      <c r="F641" s="309" t="s">
        <v>14085</v>
      </c>
      <c r="G641" s="236"/>
      <c r="H641" s="307" t="s">
        <v>1420</v>
      </c>
      <c r="I641" s="237"/>
      <c r="J641" s="237"/>
      <c r="K641" s="310" t="s">
        <v>13455</v>
      </c>
      <c r="L641" s="237"/>
      <c r="M641" s="237"/>
      <c r="N641" s="237"/>
      <c r="O641" s="237"/>
      <c r="P641" s="237"/>
      <c r="Q641" s="237"/>
      <c r="R641" s="237"/>
      <c r="S641" s="237"/>
      <c r="T641" s="237"/>
      <c r="U641" s="237"/>
      <c r="V641" s="237"/>
      <c r="W641" s="237"/>
      <c r="X641" s="237"/>
      <c r="Y641" s="237"/>
      <c r="Z641" s="237"/>
    </row>
    <row r="642">
      <c r="A642" s="305">
        <v>641.0</v>
      </c>
      <c r="B642" s="236"/>
      <c r="C642" s="307" t="s">
        <v>1420</v>
      </c>
      <c r="D642" s="308" t="s">
        <v>1668</v>
      </c>
      <c r="E642" s="236"/>
      <c r="F642" s="309" t="s">
        <v>13448</v>
      </c>
      <c r="G642" s="236"/>
      <c r="H642" s="307" t="s">
        <v>1420</v>
      </c>
      <c r="I642" s="237"/>
      <c r="J642" s="237"/>
      <c r="K642" s="310" t="s">
        <v>13447</v>
      </c>
      <c r="L642" s="237"/>
      <c r="M642" s="237"/>
      <c r="N642" s="237"/>
      <c r="O642" s="237"/>
      <c r="P642" s="237"/>
      <c r="Q642" s="237"/>
      <c r="R642" s="237"/>
      <c r="S642" s="237"/>
      <c r="T642" s="237"/>
      <c r="U642" s="237"/>
      <c r="V642" s="237"/>
      <c r="W642" s="237"/>
      <c r="X642" s="237"/>
      <c r="Y642" s="237"/>
      <c r="Z642" s="237"/>
    </row>
    <row r="643">
      <c r="A643" s="305">
        <v>642.0</v>
      </c>
      <c r="B643" s="236"/>
      <c r="C643" s="307" t="s">
        <v>1420</v>
      </c>
      <c r="D643" s="308" t="s">
        <v>1675</v>
      </c>
      <c r="E643" s="236"/>
      <c r="F643" s="309" t="s">
        <v>14086</v>
      </c>
      <c r="G643" s="236"/>
      <c r="H643" s="307" t="s">
        <v>1420</v>
      </c>
      <c r="I643" s="237"/>
      <c r="J643" s="237"/>
      <c r="K643" s="310" t="s">
        <v>13461</v>
      </c>
      <c r="L643" s="237"/>
      <c r="M643" s="237"/>
      <c r="N643" s="237"/>
      <c r="O643" s="237"/>
      <c r="P643" s="237"/>
      <c r="Q643" s="237"/>
      <c r="R643" s="237"/>
      <c r="S643" s="237"/>
      <c r="T643" s="237"/>
      <c r="U643" s="237"/>
      <c r="V643" s="237"/>
      <c r="W643" s="237"/>
      <c r="X643" s="237"/>
      <c r="Y643" s="237"/>
      <c r="Z643" s="237"/>
    </row>
    <row r="644">
      <c r="A644" s="305">
        <v>643.0</v>
      </c>
      <c r="B644" s="236"/>
      <c r="C644" s="307" t="s">
        <v>1420</v>
      </c>
      <c r="D644" s="308" t="s">
        <v>1674</v>
      </c>
      <c r="E644" s="236"/>
      <c r="F644" s="309" t="s">
        <v>14087</v>
      </c>
      <c r="G644" s="236"/>
      <c r="H644" s="307" t="s">
        <v>1420</v>
      </c>
      <c r="I644" s="237"/>
      <c r="J644" s="237"/>
      <c r="K644" s="310" t="s">
        <v>13459</v>
      </c>
      <c r="L644" s="237"/>
      <c r="M644" s="237"/>
      <c r="N644" s="237"/>
      <c r="O644" s="237"/>
      <c r="P644" s="237"/>
      <c r="Q644" s="237"/>
      <c r="R644" s="237"/>
      <c r="S644" s="237"/>
      <c r="T644" s="237"/>
      <c r="U644" s="237"/>
      <c r="V644" s="237"/>
      <c r="W644" s="237"/>
      <c r="X644" s="237"/>
      <c r="Y644" s="237"/>
      <c r="Z644" s="237"/>
    </row>
    <row r="645">
      <c r="A645" s="305">
        <v>644.0</v>
      </c>
      <c r="B645" s="236"/>
      <c r="C645" s="307" t="s">
        <v>1420</v>
      </c>
      <c r="D645" s="308" t="s">
        <v>14088</v>
      </c>
      <c r="E645" s="236"/>
      <c r="F645" s="309" t="s">
        <v>14089</v>
      </c>
      <c r="G645" s="236"/>
      <c r="H645" s="307" t="s">
        <v>1420</v>
      </c>
      <c r="I645" s="237"/>
      <c r="J645" s="237"/>
      <c r="K645" s="310" t="s">
        <v>13419</v>
      </c>
      <c r="L645" s="237"/>
      <c r="M645" s="237"/>
      <c r="N645" s="237"/>
      <c r="O645" s="237"/>
      <c r="P645" s="237"/>
      <c r="Q645" s="237"/>
      <c r="R645" s="237"/>
      <c r="S645" s="237"/>
      <c r="T645" s="237"/>
      <c r="U645" s="237"/>
      <c r="V645" s="237"/>
      <c r="W645" s="237"/>
      <c r="X645" s="237"/>
      <c r="Y645" s="237"/>
      <c r="Z645" s="237"/>
    </row>
    <row r="646">
      <c r="A646" s="305">
        <v>645.0</v>
      </c>
      <c r="B646" s="236"/>
      <c r="C646" s="307" t="s">
        <v>1420</v>
      </c>
      <c r="D646" s="308" t="s">
        <v>1660</v>
      </c>
      <c r="E646" s="236"/>
      <c r="F646" s="309" t="s">
        <v>13432</v>
      </c>
      <c r="G646" s="236"/>
      <c r="H646" s="307" t="s">
        <v>1420</v>
      </c>
      <c r="I646" s="237"/>
      <c r="J646" s="237"/>
      <c r="K646" s="310" t="s">
        <v>13431</v>
      </c>
      <c r="L646" s="237"/>
      <c r="M646" s="237"/>
      <c r="N646" s="237"/>
      <c r="O646" s="237"/>
      <c r="P646" s="237"/>
      <c r="Q646" s="237"/>
      <c r="R646" s="237"/>
      <c r="S646" s="237"/>
      <c r="T646" s="237"/>
      <c r="U646" s="237"/>
      <c r="V646" s="237"/>
      <c r="W646" s="237"/>
      <c r="X646" s="237"/>
      <c r="Y646" s="237"/>
      <c r="Z646" s="237"/>
    </row>
    <row r="647">
      <c r="A647" s="305">
        <v>646.0</v>
      </c>
      <c r="B647" s="236"/>
      <c r="C647" s="307" t="s">
        <v>1420</v>
      </c>
      <c r="D647" s="308" t="s">
        <v>14090</v>
      </c>
      <c r="E647" s="236"/>
      <c r="F647" s="309" t="s">
        <v>14091</v>
      </c>
      <c r="G647" s="236"/>
      <c r="H647" s="307" t="s">
        <v>1420</v>
      </c>
      <c r="I647" s="237"/>
      <c r="J647" s="237"/>
      <c r="K647" s="310" t="s">
        <v>13423</v>
      </c>
      <c r="L647" s="237"/>
      <c r="M647" s="237"/>
      <c r="N647" s="237"/>
      <c r="O647" s="237"/>
      <c r="P647" s="237"/>
      <c r="Q647" s="237"/>
      <c r="R647" s="237"/>
      <c r="S647" s="237"/>
      <c r="T647" s="237"/>
      <c r="U647" s="237"/>
      <c r="V647" s="237"/>
      <c r="W647" s="237"/>
      <c r="X647" s="237"/>
      <c r="Y647" s="237"/>
      <c r="Z647" s="237"/>
    </row>
    <row r="648">
      <c r="A648" s="305">
        <v>647.0</v>
      </c>
      <c r="B648" s="236"/>
      <c r="C648" s="307" t="s">
        <v>1420</v>
      </c>
      <c r="D648" s="308" t="s">
        <v>1657</v>
      </c>
      <c r="E648" s="236"/>
      <c r="F648" s="309" t="s">
        <v>14092</v>
      </c>
      <c r="G648" s="236"/>
      <c r="H648" s="307" t="s">
        <v>1420</v>
      </c>
      <c r="I648" s="237"/>
      <c r="J648" s="237"/>
      <c r="K648" s="310" t="s">
        <v>13425</v>
      </c>
      <c r="L648" s="237"/>
      <c r="M648" s="237"/>
      <c r="N648" s="237"/>
      <c r="O648" s="237"/>
      <c r="P648" s="237"/>
      <c r="Q648" s="237"/>
      <c r="R648" s="237"/>
      <c r="S648" s="237"/>
      <c r="T648" s="237"/>
      <c r="U648" s="237"/>
      <c r="V648" s="237"/>
      <c r="W648" s="237"/>
      <c r="X648" s="237"/>
      <c r="Y648" s="237"/>
      <c r="Z648" s="237"/>
    </row>
    <row r="649">
      <c r="A649" s="305">
        <v>648.0</v>
      </c>
      <c r="B649" s="236"/>
      <c r="C649" s="307" t="s">
        <v>1420</v>
      </c>
      <c r="D649" s="308" t="s">
        <v>1658</v>
      </c>
      <c r="E649" s="236"/>
      <c r="F649" s="309" t="s">
        <v>13428</v>
      </c>
      <c r="G649" s="236"/>
      <c r="H649" s="307" t="s">
        <v>1420</v>
      </c>
      <c r="I649" s="237"/>
      <c r="J649" s="237"/>
      <c r="K649" s="310" t="s">
        <v>13427</v>
      </c>
      <c r="L649" s="237"/>
      <c r="M649" s="237"/>
      <c r="N649" s="237"/>
      <c r="O649" s="237"/>
      <c r="P649" s="237"/>
      <c r="Q649" s="237"/>
      <c r="R649" s="237"/>
      <c r="S649" s="237"/>
      <c r="T649" s="237"/>
      <c r="U649" s="237"/>
      <c r="V649" s="237"/>
      <c r="W649" s="237"/>
      <c r="X649" s="237"/>
      <c r="Y649" s="237"/>
      <c r="Z649" s="237"/>
    </row>
    <row r="650">
      <c r="A650" s="305">
        <v>649.0</v>
      </c>
      <c r="B650" s="236"/>
      <c r="C650" s="307" t="s">
        <v>1420</v>
      </c>
      <c r="D650" s="308" t="s">
        <v>1659</v>
      </c>
      <c r="E650" s="236"/>
      <c r="F650" s="309" t="s">
        <v>14093</v>
      </c>
      <c r="G650" s="236"/>
      <c r="H650" s="307" t="s">
        <v>1420</v>
      </c>
      <c r="I650" s="237"/>
      <c r="J650" s="237"/>
      <c r="K650" s="310" t="s">
        <v>13429</v>
      </c>
      <c r="L650" s="237"/>
      <c r="M650" s="237"/>
      <c r="N650" s="237"/>
      <c r="O650" s="237"/>
      <c r="P650" s="237"/>
      <c r="Q650" s="237"/>
      <c r="R650" s="237"/>
      <c r="S650" s="237"/>
      <c r="T650" s="237"/>
      <c r="U650" s="237"/>
      <c r="V650" s="237"/>
      <c r="W650" s="237"/>
      <c r="X650" s="237"/>
      <c r="Y650" s="237"/>
      <c r="Z650" s="237"/>
    </row>
    <row r="651">
      <c r="A651" s="305">
        <v>650.0</v>
      </c>
      <c r="B651" s="236"/>
      <c r="C651" s="307" t="s">
        <v>1420</v>
      </c>
      <c r="D651" s="308" t="s">
        <v>1654</v>
      </c>
      <c r="E651" s="236"/>
      <c r="F651" s="309" t="s">
        <v>14094</v>
      </c>
      <c r="G651" s="236"/>
      <c r="H651" s="307" t="s">
        <v>1420</v>
      </c>
      <c r="I651" s="237"/>
      <c r="J651" s="237"/>
      <c r="K651" s="310" t="s">
        <v>13421</v>
      </c>
      <c r="L651" s="237"/>
      <c r="M651" s="237"/>
      <c r="N651" s="237"/>
      <c r="O651" s="237"/>
      <c r="P651" s="237"/>
      <c r="Q651" s="237"/>
      <c r="R651" s="237"/>
      <c r="S651" s="237"/>
      <c r="T651" s="237"/>
      <c r="U651" s="237"/>
      <c r="V651" s="237"/>
      <c r="W651" s="237"/>
      <c r="X651" s="237"/>
      <c r="Y651" s="237"/>
      <c r="Z651" s="237"/>
    </row>
    <row r="652">
      <c r="A652" s="305">
        <v>651.0</v>
      </c>
      <c r="B652" s="236"/>
      <c r="C652" s="307" t="s">
        <v>1420</v>
      </c>
      <c r="D652" s="308" t="s">
        <v>1661</v>
      </c>
      <c r="E652" s="236"/>
      <c r="F652" s="309" t="s">
        <v>13434</v>
      </c>
      <c r="G652" s="236"/>
      <c r="H652" s="307" t="s">
        <v>1420</v>
      </c>
      <c r="I652" s="237"/>
      <c r="J652" s="237"/>
      <c r="K652" s="310" t="s">
        <v>13433</v>
      </c>
      <c r="L652" s="237"/>
      <c r="M652" s="237"/>
      <c r="N652" s="237"/>
      <c r="O652" s="237"/>
      <c r="P652" s="237"/>
      <c r="Q652" s="237"/>
      <c r="R652" s="237"/>
      <c r="S652" s="237"/>
      <c r="T652" s="237"/>
      <c r="U652" s="237"/>
      <c r="V652" s="237"/>
      <c r="W652" s="237"/>
      <c r="X652" s="237"/>
      <c r="Y652" s="237"/>
      <c r="Z652" s="237"/>
    </row>
    <row r="653">
      <c r="A653" s="305">
        <v>652.0</v>
      </c>
      <c r="B653" s="236"/>
      <c r="C653" s="307" t="s">
        <v>1420</v>
      </c>
      <c r="D653" s="308" t="s">
        <v>1662</v>
      </c>
      <c r="E653" s="236"/>
      <c r="F653" s="309" t="s">
        <v>13436</v>
      </c>
      <c r="G653" s="236"/>
      <c r="H653" s="307" t="s">
        <v>1420</v>
      </c>
      <c r="I653" s="237"/>
      <c r="J653" s="237"/>
      <c r="K653" s="310" t="s">
        <v>13435</v>
      </c>
      <c r="L653" s="237"/>
      <c r="M653" s="237"/>
      <c r="N653" s="237"/>
      <c r="O653" s="237"/>
      <c r="P653" s="237"/>
      <c r="Q653" s="237"/>
      <c r="R653" s="237"/>
      <c r="S653" s="237"/>
      <c r="T653" s="237"/>
      <c r="U653" s="237"/>
      <c r="V653" s="237"/>
      <c r="W653" s="237"/>
      <c r="X653" s="237"/>
      <c r="Y653" s="237"/>
      <c r="Z653" s="237"/>
    </row>
    <row r="654">
      <c r="A654" s="305">
        <v>653.0</v>
      </c>
      <c r="B654" s="236"/>
      <c r="C654" s="307" t="s">
        <v>1420</v>
      </c>
      <c r="D654" s="308" t="s">
        <v>1663</v>
      </c>
      <c r="E654" s="236"/>
      <c r="F654" s="309" t="s">
        <v>13438</v>
      </c>
      <c r="G654" s="236"/>
      <c r="H654" s="307" t="s">
        <v>1420</v>
      </c>
      <c r="I654" s="237"/>
      <c r="J654" s="237"/>
      <c r="K654" s="310" t="s">
        <v>13437</v>
      </c>
      <c r="L654" s="237"/>
      <c r="M654" s="237"/>
      <c r="N654" s="237"/>
      <c r="O654" s="237"/>
      <c r="P654" s="237"/>
      <c r="Q654" s="237"/>
      <c r="R654" s="237"/>
      <c r="S654" s="237"/>
      <c r="T654" s="237"/>
      <c r="U654" s="237"/>
      <c r="V654" s="237"/>
      <c r="W654" s="237"/>
      <c r="X654" s="237"/>
      <c r="Y654" s="237"/>
      <c r="Z654" s="237"/>
    </row>
    <row r="655">
      <c r="A655" s="305">
        <v>654.0</v>
      </c>
      <c r="B655" s="236"/>
      <c r="C655" s="307" t="s">
        <v>1420</v>
      </c>
      <c r="D655" s="308" t="s">
        <v>1664</v>
      </c>
      <c r="E655" s="236"/>
      <c r="F655" s="309" t="s">
        <v>14095</v>
      </c>
      <c r="G655" s="236"/>
      <c r="H655" s="307" t="s">
        <v>1420</v>
      </c>
      <c r="I655" s="237"/>
      <c r="J655" s="237"/>
      <c r="K655" s="310" t="s">
        <v>13439</v>
      </c>
      <c r="L655" s="237"/>
      <c r="M655" s="237"/>
      <c r="N655" s="237"/>
      <c r="O655" s="237"/>
      <c r="P655" s="237"/>
      <c r="Q655" s="237"/>
      <c r="R655" s="237"/>
      <c r="S655" s="237"/>
      <c r="T655" s="237"/>
      <c r="U655" s="237"/>
      <c r="V655" s="237"/>
      <c r="W655" s="237"/>
      <c r="X655" s="237"/>
      <c r="Y655" s="237"/>
      <c r="Z655" s="237"/>
    </row>
    <row r="656">
      <c r="A656" s="305">
        <v>655.0</v>
      </c>
      <c r="B656" s="236"/>
      <c r="C656" s="307" t="s">
        <v>1420</v>
      </c>
      <c r="D656" s="308" t="s">
        <v>1665</v>
      </c>
      <c r="E656" s="236"/>
      <c r="F656" s="309" t="s">
        <v>13442</v>
      </c>
      <c r="G656" s="236"/>
      <c r="H656" s="307" t="s">
        <v>1420</v>
      </c>
      <c r="I656" s="237"/>
      <c r="J656" s="237"/>
      <c r="K656" s="310" t="s">
        <v>13441</v>
      </c>
      <c r="L656" s="237"/>
      <c r="M656" s="237"/>
      <c r="N656" s="237"/>
      <c r="O656" s="237"/>
      <c r="P656" s="237"/>
      <c r="Q656" s="237"/>
      <c r="R656" s="237"/>
      <c r="S656" s="237"/>
      <c r="T656" s="237"/>
      <c r="U656" s="237"/>
      <c r="V656" s="237"/>
      <c r="W656" s="237"/>
      <c r="X656" s="237"/>
      <c r="Y656" s="237"/>
      <c r="Z656" s="237"/>
    </row>
    <row r="657">
      <c r="A657" s="305">
        <v>656.0</v>
      </c>
      <c r="B657" s="236"/>
      <c r="C657" s="307" t="s">
        <v>1420</v>
      </c>
      <c r="D657" s="308" t="s">
        <v>1671</v>
      </c>
      <c r="E657" s="236"/>
      <c r="F657" s="309" t="s">
        <v>14096</v>
      </c>
      <c r="G657" s="236"/>
      <c r="H657" s="307" t="s">
        <v>1420</v>
      </c>
      <c r="I657" s="237"/>
      <c r="J657" s="237"/>
      <c r="K657" s="310" t="s">
        <v>13453</v>
      </c>
      <c r="L657" s="237"/>
      <c r="M657" s="237"/>
      <c r="N657" s="237"/>
      <c r="O657" s="237"/>
      <c r="P657" s="237"/>
      <c r="Q657" s="237"/>
      <c r="R657" s="237"/>
      <c r="S657" s="237"/>
      <c r="T657" s="237"/>
      <c r="U657" s="237"/>
      <c r="V657" s="237"/>
      <c r="W657" s="237"/>
      <c r="X657" s="237"/>
      <c r="Y657" s="237"/>
      <c r="Z657" s="237"/>
    </row>
    <row r="658">
      <c r="A658" s="305">
        <v>657.0</v>
      </c>
      <c r="B658" s="236"/>
      <c r="C658" s="307" t="s">
        <v>1420</v>
      </c>
      <c r="D658" s="308" t="s">
        <v>1669</v>
      </c>
      <c r="E658" s="236"/>
      <c r="F658" s="309" t="s">
        <v>14097</v>
      </c>
      <c r="G658" s="236"/>
      <c r="H658" s="307" t="s">
        <v>1420</v>
      </c>
      <c r="I658" s="237"/>
      <c r="J658" s="237"/>
      <c r="K658" s="310" t="s">
        <v>13449</v>
      </c>
      <c r="L658" s="237"/>
      <c r="M658" s="237"/>
      <c r="N658" s="237"/>
      <c r="O658" s="237"/>
      <c r="P658" s="237"/>
      <c r="Q658" s="237"/>
      <c r="R658" s="237"/>
      <c r="S658" s="237"/>
      <c r="T658" s="237"/>
      <c r="U658" s="237"/>
      <c r="V658" s="237"/>
      <c r="W658" s="237"/>
      <c r="X658" s="237"/>
      <c r="Y658" s="237"/>
      <c r="Z658" s="237"/>
    </row>
    <row r="659">
      <c r="A659" s="305">
        <v>658.0</v>
      </c>
      <c r="B659" s="236"/>
      <c r="C659" s="307" t="s">
        <v>1420</v>
      </c>
      <c r="D659" s="308" t="s">
        <v>1670</v>
      </c>
      <c r="E659" s="236"/>
      <c r="F659" s="309" t="s">
        <v>14098</v>
      </c>
      <c r="G659" s="236"/>
      <c r="H659" s="307" t="s">
        <v>1420</v>
      </c>
      <c r="I659" s="237"/>
      <c r="J659" s="237"/>
      <c r="K659" s="310" t="s">
        <v>13451</v>
      </c>
      <c r="L659" s="237"/>
      <c r="M659" s="237"/>
      <c r="N659" s="237"/>
      <c r="O659" s="237"/>
      <c r="P659" s="237"/>
      <c r="Q659" s="237"/>
      <c r="R659" s="237"/>
      <c r="S659" s="237"/>
      <c r="T659" s="237"/>
      <c r="U659" s="237"/>
      <c r="V659" s="237"/>
      <c r="W659" s="237"/>
      <c r="X659" s="237"/>
      <c r="Y659" s="237"/>
      <c r="Z659" s="237"/>
    </row>
    <row r="660">
      <c r="A660" s="305">
        <v>659.0</v>
      </c>
      <c r="B660" s="236"/>
      <c r="C660" s="307" t="s">
        <v>1420</v>
      </c>
      <c r="D660" s="308" t="s">
        <v>1666</v>
      </c>
      <c r="E660" s="236"/>
      <c r="F660" s="309" t="s">
        <v>13444</v>
      </c>
      <c r="G660" s="236"/>
      <c r="H660" s="307" t="s">
        <v>1420</v>
      </c>
      <c r="I660" s="237"/>
      <c r="J660" s="237"/>
      <c r="K660" s="310" t="s">
        <v>13443</v>
      </c>
      <c r="L660" s="237"/>
      <c r="M660" s="237"/>
      <c r="N660" s="237"/>
      <c r="O660" s="237"/>
      <c r="P660" s="237"/>
      <c r="Q660" s="237"/>
      <c r="R660" s="237"/>
      <c r="S660" s="237"/>
      <c r="T660" s="237"/>
      <c r="U660" s="237"/>
      <c r="V660" s="237"/>
      <c r="W660" s="237"/>
      <c r="X660" s="237"/>
      <c r="Y660" s="237"/>
      <c r="Z660" s="237"/>
    </row>
    <row r="661">
      <c r="A661" s="305">
        <v>660.0</v>
      </c>
      <c r="B661" s="236"/>
      <c r="C661" s="307" t="s">
        <v>1420</v>
      </c>
      <c r="D661" s="308" t="s">
        <v>1667</v>
      </c>
      <c r="E661" s="236"/>
      <c r="F661" s="309" t="s">
        <v>14099</v>
      </c>
      <c r="G661" s="236"/>
      <c r="H661" s="307" t="s">
        <v>1420</v>
      </c>
      <c r="I661" s="237"/>
      <c r="J661" s="237"/>
      <c r="K661" s="310" t="s">
        <v>13445</v>
      </c>
      <c r="L661" s="237"/>
      <c r="M661" s="237"/>
      <c r="N661" s="237"/>
      <c r="O661" s="237"/>
      <c r="P661" s="237"/>
      <c r="Q661" s="237"/>
      <c r="R661" s="237"/>
      <c r="S661" s="237"/>
      <c r="T661" s="237"/>
      <c r="U661" s="237"/>
      <c r="V661" s="237"/>
      <c r="W661" s="237"/>
      <c r="X661" s="237"/>
      <c r="Y661" s="237"/>
      <c r="Z661" s="237"/>
    </row>
    <row r="662">
      <c r="A662" s="305">
        <v>661.0</v>
      </c>
      <c r="B662" s="236"/>
      <c r="C662" s="307" t="s">
        <v>1420</v>
      </c>
      <c r="D662" s="308" t="s">
        <v>1677</v>
      </c>
      <c r="E662" s="236"/>
      <c r="F662" s="309" t="s">
        <v>14100</v>
      </c>
      <c r="G662" s="236"/>
      <c r="H662" s="307" t="s">
        <v>1420</v>
      </c>
      <c r="I662" s="237"/>
      <c r="J662" s="237"/>
      <c r="K662" s="310" t="s">
        <v>13465</v>
      </c>
      <c r="L662" s="237"/>
      <c r="M662" s="237"/>
      <c r="N662" s="237"/>
      <c r="O662" s="237"/>
      <c r="P662" s="237"/>
      <c r="Q662" s="237"/>
      <c r="R662" s="237"/>
      <c r="S662" s="237"/>
      <c r="T662" s="237"/>
      <c r="U662" s="237"/>
      <c r="V662" s="237"/>
      <c r="W662" s="237"/>
      <c r="X662" s="237"/>
      <c r="Y662" s="237"/>
      <c r="Z662" s="237"/>
    </row>
    <row r="663">
      <c r="A663" s="305">
        <v>662.0</v>
      </c>
      <c r="B663" s="236"/>
      <c r="C663" s="307" t="s">
        <v>1420</v>
      </c>
      <c r="D663" s="308" t="s">
        <v>1676</v>
      </c>
      <c r="E663" s="236"/>
      <c r="F663" s="309" t="s">
        <v>14101</v>
      </c>
      <c r="G663" s="236"/>
      <c r="H663" s="307" t="s">
        <v>1420</v>
      </c>
      <c r="I663" s="237"/>
      <c r="J663" s="237"/>
      <c r="K663" s="310" t="s">
        <v>13463</v>
      </c>
      <c r="L663" s="237"/>
      <c r="M663" s="237"/>
      <c r="N663" s="237"/>
      <c r="O663" s="237"/>
      <c r="P663" s="237"/>
      <c r="Q663" s="237"/>
      <c r="R663" s="237"/>
      <c r="S663" s="237"/>
      <c r="T663" s="237"/>
      <c r="U663" s="237"/>
      <c r="V663" s="237"/>
      <c r="W663" s="237"/>
      <c r="X663" s="237"/>
      <c r="Y663" s="237"/>
      <c r="Z663" s="237"/>
    </row>
    <row r="664">
      <c r="A664" s="305">
        <v>663.0</v>
      </c>
      <c r="B664" s="236"/>
      <c r="C664" s="307" t="s">
        <v>1420</v>
      </c>
      <c r="D664" s="308" t="s">
        <v>1678</v>
      </c>
      <c r="E664" s="236"/>
      <c r="F664" s="309" t="s">
        <v>14102</v>
      </c>
      <c r="G664" s="236"/>
      <c r="H664" s="307" t="s">
        <v>1420</v>
      </c>
      <c r="I664" s="237"/>
      <c r="J664" s="237"/>
      <c r="K664" s="310" t="s">
        <v>13467</v>
      </c>
      <c r="L664" s="237"/>
      <c r="M664" s="237"/>
      <c r="N664" s="237"/>
      <c r="O664" s="237"/>
      <c r="P664" s="237"/>
      <c r="Q664" s="237"/>
      <c r="R664" s="237"/>
      <c r="S664" s="237"/>
      <c r="T664" s="237"/>
      <c r="U664" s="237"/>
      <c r="V664" s="237"/>
      <c r="W664" s="237"/>
      <c r="X664" s="237"/>
      <c r="Y664" s="237"/>
      <c r="Z664" s="237"/>
    </row>
    <row r="665">
      <c r="A665" s="305">
        <v>664.0</v>
      </c>
      <c r="B665" s="236"/>
      <c r="C665" s="307" t="s">
        <v>1420</v>
      </c>
      <c r="D665" s="308" t="s">
        <v>1673</v>
      </c>
      <c r="E665" s="236"/>
      <c r="F665" s="309" t="s">
        <v>14103</v>
      </c>
      <c r="G665" s="236"/>
      <c r="H665" s="307" t="s">
        <v>1420</v>
      </c>
      <c r="I665" s="237"/>
      <c r="J665" s="237"/>
      <c r="K665" s="310" t="s">
        <v>13457</v>
      </c>
      <c r="L665" s="237"/>
      <c r="M665" s="237"/>
      <c r="N665" s="237"/>
      <c r="O665" s="237"/>
      <c r="P665" s="237"/>
      <c r="Q665" s="237"/>
      <c r="R665" s="237"/>
      <c r="S665" s="237"/>
      <c r="T665" s="237"/>
      <c r="U665" s="237"/>
      <c r="V665" s="237"/>
      <c r="W665" s="237"/>
      <c r="X665" s="237"/>
      <c r="Y665" s="237"/>
      <c r="Z665" s="237"/>
    </row>
    <row r="666">
      <c r="A666" s="305">
        <v>665.0</v>
      </c>
      <c r="B666" s="236"/>
      <c r="C666" s="307" t="s">
        <v>1420</v>
      </c>
      <c r="D666" s="308" t="s">
        <v>9926</v>
      </c>
      <c r="E666" s="305" t="s">
        <v>9927</v>
      </c>
      <c r="F666" s="309" t="s">
        <v>9928</v>
      </c>
      <c r="G666" s="236"/>
      <c r="H666" s="307" t="s">
        <v>1420</v>
      </c>
      <c r="I666" s="237"/>
      <c r="J666" s="237"/>
      <c r="K666" s="310" t="s">
        <v>9925</v>
      </c>
      <c r="L666" s="237"/>
      <c r="M666" s="237"/>
      <c r="N666" s="237"/>
      <c r="O666" s="237"/>
      <c r="P666" s="237"/>
      <c r="Q666" s="237"/>
      <c r="R666" s="237"/>
      <c r="S666" s="237"/>
      <c r="T666" s="237"/>
      <c r="U666" s="237"/>
      <c r="V666" s="237"/>
      <c r="W666" s="237"/>
      <c r="X666" s="237"/>
      <c r="Y666" s="237"/>
      <c r="Z666" s="237"/>
    </row>
    <row r="667">
      <c r="A667" s="305">
        <v>666.0</v>
      </c>
      <c r="B667" s="236"/>
      <c r="C667" s="307" t="s">
        <v>1420</v>
      </c>
      <c r="D667" s="308" t="s">
        <v>9930</v>
      </c>
      <c r="E667" s="305" t="s">
        <v>9931</v>
      </c>
      <c r="F667" s="309" t="s">
        <v>9932</v>
      </c>
      <c r="G667" s="236"/>
      <c r="H667" s="307" t="s">
        <v>1420</v>
      </c>
      <c r="I667" s="237"/>
      <c r="J667" s="237"/>
      <c r="K667" s="310" t="s">
        <v>9929</v>
      </c>
      <c r="L667" s="237"/>
      <c r="M667" s="237"/>
      <c r="N667" s="237"/>
      <c r="O667" s="237"/>
      <c r="P667" s="237"/>
      <c r="Q667" s="237"/>
      <c r="R667" s="237"/>
      <c r="S667" s="237"/>
      <c r="T667" s="237"/>
      <c r="U667" s="237"/>
      <c r="V667" s="237"/>
      <c r="W667" s="237"/>
      <c r="X667" s="237"/>
      <c r="Y667" s="237"/>
      <c r="Z667" s="237"/>
    </row>
    <row r="668">
      <c r="A668" s="305">
        <v>667.0</v>
      </c>
      <c r="B668" s="306">
        <v>3.305125E7</v>
      </c>
      <c r="C668" s="307" t="s">
        <v>1420</v>
      </c>
      <c r="D668" s="308" t="s">
        <v>9861</v>
      </c>
      <c r="E668" s="305" t="s">
        <v>9862</v>
      </c>
      <c r="F668" s="309" t="s">
        <v>9863</v>
      </c>
      <c r="G668" s="236"/>
      <c r="H668" s="307" t="s">
        <v>1420</v>
      </c>
      <c r="I668" s="237"/>
      <c r="J668" s="237"/>
      <c r="K668" s="310" t="s">
        <v>9860</v>
      </c>
      <c r="L668" s="237"/>
      <c r="M668" s="237"/>
      <c r="N668" s="237"/>
      <c r="O668" s="237"/>
      <c r="P668" s="237"/>
      <c r="Q668" s="237"/>
      <c r="R668" s="237"/>
      <c r="S668" s="237"/>
      <c r="T668" s="237"/>
      <c r="U668" s="237"/>
      <c r="V668" s="237"/>
      <c r="W668" s="237"/>
      <c r="X668" s="237"/>
      <c r="Y668" s="237"/>
      <c r="Z668" s="237"/>
    </row>
    <row r="669">
      <c r="A669" s="305">
        <v>668.0</v>
      </c>
      <c r="B669" s="306">
        <v>3.30504E7</v>
      </c>
      <c r="C669" s="307" t="s">
        <v>1420</v>
      </c>
      <c r="D669" s="308" t="s">
        <v>9856</v>
      </c>
      <c r="E669" s="305" t="s">
        <v>9857</v>
      </c>
      <c r="F669" s="309" t="s">
        <v>9858</v>
      </c>
      <c r="G669" s="236"/>
      <c r="H669" s="307" t="s">
        <v>1420</v>
      </c>
      <c r="I669" s="237"/>
      <c r="J669" s="237"/>
      <c r="K669" s="310" t="s">
        <v>9855</v>
      </c>
      <c r="L669" s="237"/>
      <c r="M669" s="237"/>
      <c r="N669" s="237"/>
      <c r="O669" s="237"/>
      <c r="P669" s="237"/>
      <c r="Q669" s="237"/>
      <c r="R669" s="237"/>
      <c r="S669" s="237"/>
      <c r="T669" s="237"/>
      <c r="U669" s="237"/>
      <c r="V669" s="237"/>
      <c r="W669" s="237"/>
      <c r="X669" s="237"/>
      <c r="Y669" s="237"/>
      <c r="Z669" s="237"/>
    </row>
    <row r="670">
      <c r="A670" s="305">
        <v>669.0</v>
      </c>
      <c r="B670" s="306">
        <v>3.402125E7</v>
      </c>
      <c r="C670" s="307" t="s">
        <v>1420</v>
      </c>
      <c r="D670" s="308" t="s">
        <v>9834</v>
      </c>
      <c r="E670" s="305" t="s">
        <v>9835</v>
      </c>
      <c r="F670" s="309" t="s">
        <v>9836</v>
      </c>
      <c r="G670" s="236"/>
      <c r="H670" s="307" t="s">
        <v>1420</v>
      </c>
      <c r="I670" s="237"/>
      <c r="J670" s="237"/>
      <c r="K670" s="310" t="s">
        <v>9833</v>
      </c>
      <c r="L670" s="237"/>
      <c r="M670" s="237"/>
      <c r="N670" s="237"/>
      <c r="O670" s="237"/>
      <c r="P670" s="237"/>
      <c r="Q670" s="237"/>
      <c r="R670" s="237"/>
      <c r="S670" s="237"/>
      <c r="T670" s="237"/>
      <c r="U670" s="237"/>
      <c r="V670" s="237"/>
      <c r="W670" s="237"/>
      <c r="X670" s="237"/>
      <c r="Y670" s="237"/>
      <c r="Z670" s="237"/>
    </row>
    <row r="671">
      <c r="A671" s="305">
        <v>670.0</v>
      </c>
      <c r="B671" s="236"/>
      <c r="C671" s="307" t="s">
        <v>1420</v>
      </c>
      <c r="D671" s="308" t="s">
        <v>9870</v>
      </c>
      <c r="E671" s="305" t="s">
        <v>9871</v>
      </c>
      <c r="F671" s="309" t="s">
        <v>9872</v>
      </c>
      <c r="G671" s="236"/>
      <c r="H671" s="307" t="s">
        <v>1420</v>
      </c>
      <c r="I671" s="237"/>
      <c r="J671" s="237"/>
      <c r="K671" s="310" t="s">
        <v>9869</v>
      </c>
      <c r="L671" s="237"/>
      <c r="M671" s="237"/>
      <c r="N671" s="237"/>
      <c r="O671" s="237"/>
      <c r="P671" s="237"/>
      <c r="Q671" s="237"/>
      <c r="R671" s="237"/>
      <c r="S671" s="237"/>
      <c r="T671" s="237"/>
      <c r="U671" s="237"/>
      <c r="V671" s="237"/>
      <c r="W671" s="237"/>
      <c r="X671" s="237"/>
      <c r="Y671" s="237"/>
      <c r="Z671" s="237"/>
    </row>
    <row r="672">
      <c r="A672" s="305">
        <v>671.0</v>
      </c>
      <c r="B672" s="306">
        <v>3.31404E7</v>
      </c>
      <c r="C672" s="307" t="s">
        <v>1420</v>
      </c>
      <c r="D672" s="308" t="s">
        <v>9866</v>
      </c>
      <c r="E672" s="305" t="s">
        <v>9867</v>
      </c>
      <c r="F672" s="309" t="s">
        <v>9868</v>
      </c>
      <c r="G672" s="236"/>
      <c r="H672" s="307" t="s">
        <v>1420</v>
      </c>
      <c r="I672" s="237"/>
      <c r="J672" s="237"/>
      <c r="K672" s="310" t="s">
        <v>9865</v>
      </c>
      <c r="L672" s="237"/>
      <c r="M672" s="237"/>
      <c r="N672" s="237"/>
      <c r="O672" s="237"/>
      <c r="P672" s="237"/>
      <c r="Q672" s="237"/>
      <c r="R672" s="237"/>
      <c r="S672" s="237"/>
      <c r="T672" s="237"/>
      <c r="U672" s="237"/>
      <c r="V672" s="237"/>
      <c r="W672" s="237"/>
      <c r="X672" s="237"/>
      <c r="Y672" s="237"/>
      <c r="Z672" s="237"/>
    </row>
    <row r="673">
      <c r="A673" s="305">
        <v>672.0</v>
      </c>
      <c r="B673" s="236"/>
      <c r="C673" s="307" t="s">
        <v>1420</v>
      </c>
      <c r="D673" s="308" t="s">
        <v>9843</v>
      </c>
      <c r="E673" s="305" t="s">
        <v>9844</v>
      </c>
      <c r="F673" s="309" t="s">
        <v>9845</v>
      </c>
      <c r="G673" s="236"/>
      <c r="H673" s="307" t="s">
        <v>1420</v>
      </c>
      <c r="I673" s="237"/>
      <c r="J673" s="237"/>
      <c r="K673" s="310" t="s">
        <v>9842</v>
      </c>
      <c r="L673" s="237"/>
      <c r="M673" s="237"/>
      <c r="N673" s="237"/>
      <c r="O673" s="237"/>
      <c r="P673" s="237"/>
      <c r="Q673" s="237"/>
      <c r="R673" s="237"/>
      <c r="S673" s="237"/>
      <c r="T673" s="237"/>
      <c r="U673" s="237"/>
      <c r="V673" s="237"/>
      <c r="W673" s="237"/>
      <c r="X673" s="237"/>
      <c r="Y673" s="237"/>
      <c r="Z673" s="237"/>
    </row>
    <row r="674">
      <c r="A674" s="305">
        <v>673.0</v>
      </c>
      <c r="B674" s="306">
        <v>3.32202E7</v>
      </c>
      <c r="C674" s="307" t="s">
        <v>1420</v>
      </c>
      <c r="D674" s="308" t="s">
        <v>9816</v>
      </c>
      <c r="E674" s="305" t="s">
        <v>9817</v>
      </c>
      <c r="F674" s="309" t="s">
        <v>9818</v>
      </c>
      <c r="G674" s="236"/>
      <c r="H674" s="307" t="s">
        <v>1420</v>
      </c>
      <c r="I674" s="237"/>
      <c r="J674" s="237"/>
      <c r="K674" s="310" t="s">
        <v>9815</v>
      </c>
      <c r="L674" s="237"/>
      <c r="M674" s="237"/>
      <c r="N674" s="237"/>
      <c r="O674" s="237"/>
      <c r="P674" s="237"/>
      <c r="Q674" s="237"/>
      <c r="R674" s="237"/>
      <c r="S674" s="237"/>
      <c r="T674" s="237"/>
      <c r="U674" s="237"/>
      <c r="V674" s="237"/>
      <c r="W674" s="237"/>
      <c r="X674" s="237"/>
      <c r="Y674" s="237"/>
      <c r="Z674" s="237"/>
    </row>
    <row r="675">
      <c r="A675" s="305">
        <v>674.0</v>
      </c>
      <c r="B675" s="306">
        <v>2.143004E7</v>
      </c>
      <c r="C675" s="307" t="s">
        <v>1420</v>
      </c>
      <c r="D675" s="308" t="s">
        <v>10823</v>
      </c>
      <c r="E675" s="305" t="s">
        <v>10824</v>
      </c>
      <c r="F675" s="309" t="s">
        <v>10825</v>
      </c>
      <c r="G675" s="236"/>
      <c r="H675" s="307" t="s">
        <v>1420</v>
      </c>
      <c r="I675" s="237"/>
      <c r="J675" s="237"/>
      <c r="K675" s="310" t="s">
        <v>10822</v>
      </c>
      <c r="L675" s="237"/>
      <c r="M675" s="237"/>
      <c r="N675" s="237"/>
      <c r="O675" s="237"/>
      <c r="P675" s="237"/>
      <c r="Q675" s="237"/>
      <c r="R675" s="237"/>
      <c r="S675" s="237"/>
      <c r="T675" s="237"/>
      <c r="U675" s="237"/>
      <c r="V675" s="237"/>
      <c r="W675" s="237"/>
      <c r="X675" s="237"/>
      <c r="Y675" s="237"/>
      <c r="Z675" s="237"/>
    </row>
    <row r="676">
      <c r="A676" s="305">
        <v>675.0</v>
      </c>
      <c r="B676" s="236"/>
      <c r="C676" s="307" t="s">
        <v>1420</v>
      </c>
      <c r="D676" s="308" t="s">
        <v>9820</v>
      </c>
      <c r="E676" s="305" t="s">
        <v>9821</v>
      </c>
      <c r="F676" s="309" t="s">
        <v>9822</v>
      </c>
      <c r="G676" s="236"/>
      <c r="H676" s="307" t="s">
        <v>1420</v>
      </c>
      <c r="I676" s="237"/>
      <c r="J676" s="237"/>
      <c r="K676" s="310" t="s">
        <v>9819</v>
      </c>
      <c r="L676" s="237"/>
      <c r="M676" s="237"/>
      <c r="N676" s="237"/>
      <c r="O676" s="237"/>
      <c r="P676" s="237"/>
      <c r="Q676" s="237"/>
      <c r="R676" s="237"/>
      <c r="S676" s="237"/>
      <c r="T676" s="237"/>
      <c r="U676" s="237"/>
      <c r="V676" s="237"/>
      <c r="W676" s="237"/>
      <c r="X676" s="237"/>
      <c r="Y676" s="237"/>
      <c r="Z676" s="237"/>
    </row>
    <row r="677">
      <c r="A677" s="305">
        <v>676.0</v>
      </c>
      <c r="B677" s="236"/>
      <c r="C677" s="307" t="s">
        <v>1420</v>
      </c>
      <c r="D677" s="308" t="s">
        <v>10804</v>
      </c>
      <c r="E677" s="305" t="s">
        <v>10805</v>
      </c>
      <c r="F677" s="309" t="s">
        <v>10806</v>
      </c>
      <c r="G677" s="236"/>
      <c r="H677" s="307" t="s">
        <v>1420</v>
      </c>
      <c r="I677" s="237"/>
      <c r="J677" s="237"/>
      <c r="K677" s="310" t="s">
        <v>10803</v>
      </c>
      <c r="L677" s="237"/>
      <c r="M677" s="237"/>
      <c r="N677" s="237"/>
      <c r="O677" s="237"/>
      <c r="P677" s="237"/>
      <c r="Q677" s="237"/>
      <c r="R677" s="237"/>
      <c r="S677" s="237"/>
      <c r="T677" s="237"/>
      <c r="U677" s="237"/>
      <c r="V677" s="237"/>
      <c r="W677" s="237"/>
      <c r="X677" s="237"/>
      <c r="Y677" s="237"/>
      <c r="Z677" s="237"/>
    </row>
    <row r="678">
      <c r="A678" s="305">
        <v>677.0</v>
      </c>
      <c r="B678" s="236"/>
      <c r="C678" s="307" t="s">
        <v>1420</v>
      </c>
      <c r="D678" s="308" t="s">
        <v>10831</v>
      </c>
      <c r="E678" s="305" t="s">
        <v>10832</v>
      </c>
      <c r="F678" s="309" t="s">
        <v>10833</v>
      </c>
      <c r="G678" s="236"/>
      <c r="H678" s="307" t="s">
        <v>1420</v>
      </c>
      <c r="I678" s="237"/>
      <c r="J678" s="237"/>
      <c r="K678" s="310" t="s">
        <v>10830</v>
      </c>
      <c r="L678" s="237"/>
      <c r="M678" s="237"/>
      <c r="N678" s="237"/>
      <c r="O678" s="237"/>
      <c r="P678" s="237"/>
      <c r="Q678" s="237"/>
      <c r="R678" s="237"/>
      <c r="S678" s="237"/>
      <c r="T678" s="237"/>
      <c r="U678" s="237"/>
      <c r="V678" s="237"/>
      <c r="W678" s="237"/>
      <c r="X678" s="237"/>
      <c r="Y678" s="237"/>
      <c r="Z678" s="237"/>
    </row>
    <row r="679">
      <c r="A679" s="305">
        <v>678.0</v>
      </c>
      <c r="B679" s="306">
        <v>3.32302E7</v>
      </c>
      <c r="C679" s="307" t="s">
        <v>1420</v>
      </c>
      <c r="D679" s="308" t="s">
        <v>9825</v>
      </c>
      <c r="E679" s="305" t="s">
        <v>9826</v>
      </c>
      <c r="F679" s="309" t="s">
        <v>9827</v>
      </c>
      <c r="G679" s="236"/>
      <c r="H679" s="307" t="s">
        <v>1420</v>
      </c>
      <c r="I679" s="237"/>
      <c r="J679" s="237"/>
      <c r="K679" s="310" t="s">
        <v>9824</v>
      </c>
      <c r="L679" s="237"/>
      <c r="M679" s="237"/>
      <c r="N679" s="237"/>
      <c r="O679" s="237"/>
      <c r="P679" s="237"/>
      <c r="Q679" s="237"/>
      <c r="R679" s="237"/>
      <c r="S679" s="237"/>
      <c r="T679" s="237"/>
      <c r="U679" s="237"/>
      <c r="V679" s="237"/>
      <c r="W679" s="237"/>
      <c r="X679" s="237"/>
      <c r="Y679" s="237"/>
      <c r="Z679" s="237"/>
    </row>
    <row r="680">
      <c r="A680" s="305">
        <v>679.0</v>
      </c>
      <c r="B680" s="236"/>
      <c r="C680" s="307" t="s">
        <v>1420</v>
      </c>
      <c r="D680" s="308" t="s">
        <v>10827</v>
      </c>
      <c r="E680" s="305" t="s">
        <v>10828</v>
      </c>
      <c r="F680" s="309" t="s">
        <v>10829</v>
      </c>
      <c r="G680" s="236"/>
      <c r="H680" s="307" t="s">
        <v>1420</v>
      </c>
      <c r="I680" s="237"/>
      <c r="J680" s="237"/>
      <c r="K680" s="310" t="s">
        <v>10826</v>
      </c>
      <c r="L680" s="237"/>
      <c r="M680" s="237"/>
      <c r="N680" s="237"/>
      <c r="O680" s="237"/>
      <c r="P680" s="237"/>
      <c r="Q680" s="237"/>
      <c r="R680" s="237"/>
      <c r="S680" s="237"/>
      <c r="T680" s="237"/>
      <c r="U680" s="237"/>
      <c r="V680" s="237"/>
      <c r="W680" s="237"/>
      <c r="X680" s="237"/>
      <c r="Y680" s="237"/>
      <c r="Z680" s="237"/>
    </row>
    <row r="681">
      <c r="A681" s="305">
        <v>680.0</v>
      </c>
      <c r="B681" s="236"/>
      <c r="C681" s="307" t="s">
        <v>1420</v>
      </c>
      <c r="D681" s="308" t="s">
        <v>9851</v>
      </c>
      <c r="E681" s="305" t="s">
        <v>9852</v>
      </c>
      <c r="F681" s="309" t="s">
        <v>9853</v>
      </c>
      <c r="G681" s="236"/>
      <c r="H681" s="307" t="s">
        <v>1420</v>
      </c>
      <c r="I681" s="237"/>
      <c r="J681" s="237"/>
      <c r="K681" s="310" t="s">
        <v>9850</v>
      </c>
      <c r="L681" s="237"/>
      <c r="M681" s="237"/>
      <c r="N681" s="237"/>
      <c r="O681" s="237"/>
      <c r="P681" s="237"/>
      <c r="Q681" s="237"/>
      <c r="R681" s="237"/>
      <c r="S681" s="237"/>
      <c r="T681" s="237"/>
      <c r="U681" s="237"/>
      <c r="V681" s="237"/>
      <c r="W681" s="237"/>
      <c r="X681" s="237"/>
      <c r="Y681" s="237"/>
      <c r="Z681" s="237"/>
    </row>
    <row r="682">
      <c r="A682" s="305">
        <v>681.0</v>
      </c>
      <c r="B682" s="236"/>
      <c r="C682" s="307" t="s">
        <v>1420</v>
      </c>
      <c r="D682" s="308" t="s">
        <v>9847</v>
      </c>
      <c r="E682" s="305" t="s">
        <v>9848</v>
      </c>
      <c r="F682" s="309" t="s">
        <v>9849</v>
      </c>
      <c r="G682" s="236"/>
      <c r="H682" s="307" t="s">
        <v>1420</v>
      </c>
      <c r="I682" s="237"/>
      <c r="J682" s="237"/>
      <c r="K682" s="310" t="s">
        <v>9846</v>
      </c>
      <c r="L682" s="237"/>
      <c r="M682" s="237"/>
      <c r="N682" s="237"/>
      <c r="O682" s="237"/>
      <c r="P682" s="237"/>
      <c r="Q682" s="237"/>
      <c r="R682" s="237"/>
      <c r="S682" s="237"/>
      <c r="T682" s="237"/>
      <c r="U682" s="237"/>
      <c r="V682" s="237"/>
      <c r="W682" s="237"/>
      <c r="X682" s="237"/>
      <c r="Y682" s="237"/>
      <c r="Z682" s="237"/>
    </row>
    <row r="683">
      <c r="A683" s="305">
        <v>682.0</v>
      </c>
      <c r="B683" s="306">
        <v>3.3321E7</v>
      </c>
      <c r="C683" s="307" t="s">
        <v>1420</v>
      </c>
      <c r="D683" s="308" t="s">
        <v>9907</v>
      </c>
      <c r="E683" s="305" t="s">
        <v>9908</v>
      </c>
      <c r="F683" s="309" t="s">
        <v>9909</v>
      </c>
      <c r="G683" s="236"/>
      <c r="H683" s="307" t="s">
        <v>1420</v>
      </c>
      <c r="I683" s="237"/>
      <c r="J683" s="237"/>
      <c r="K683" s="310" t="s">
        <v>9906</v>
      </c>
      <c r="L683" s="237"/>
      <c r="M683" s="237"/>
      <c r="N683" s="237"/>
      <c r="O683" s="237"/>
      <c r="P683" s="237"/>
      <c r="Q683" s="237"/>
      <c r="R683" s="237"/>
      <c r="S683" s="237"/>
      <c r="T683" s="237"/>
      <c r="U683" s="237"/>
      <c r="V683" s="237"/>
      <c r="W683" s="237"/>
      <c r="X683" s="237"/>
      <c r="Y683" s="237"/>
      <c r="Z683" s="237"/>
    </row>
    <row r="684">
      <c r="A684" s="305">
        <v>683.0</v>
      </c>
      <c r="B684" s="306">
        <v>3.3324E7</v>
      </c>
      <c r="C684" s="307" t="s">
        <v>1420</v>
      </c>
      <c r="D684" s="308" t="s">
        <v>9912</v>
      </c>
      <c r="E684" s="305" t="s">
        <v>9913</v>
      </c>
      <c r="F684" s="309" t="s">
        <v>9914</v>
      </c>
      <c r="G684" s="236"/>
      <c r="H684" s="307" t="s">
        <v>1420</v>
      </c>
      <c r="I684" s="237"/>
      <c r="J684" s="237"/>
      <c r="K684" s="310" t="s">
        <v>9911</v>
      </c>
      <c r="L684" s="237"/>
      <c r="M684" s="237"/>
      <c r="N684" s="237"/>
      <c r="O684" s="237"/>
      <c r="P684" s="237"/>
      <c r="Q684" s="237"/>
      <c r="R684" s="237"/>
      <c r="S684" s="237"/>
      <c r="T684" s="237"/>
      <c r="U684" s="237"/>
      <c r="V684" s="237"/>
      <c r="W684" s="237"/>
      <c r="X684" s="237"/>
      <c r="Y684" s="237"/>
      <c r="Z684" s="237"/>
    </row>
    <row r="685">
      <c r="A685" s="305">
        <v>684.0</v>
      </c>
      <c r="B685" s="236"/>
      <c r="C685" s="307" t="s">
        <v>1420</v>
      </c>
      <c r="D685" s="308" t="s">
        <v>9874</v>
      </c>
      <c r="E685" s="305" t="s">
        <v>9875</v>
      </c>
      <c r="F685" s="309" t="s">
        <v>9876</v>
      </c>
      <c r="G685" s="236"/>
      <c r="H685" s="307" t="s">
        <v>1420</v>
      </c>
      <c r="I685" s="237"/>
      <c r="J685" s="237"/>
      <c r="K685" s="310" t="s">
        <v>9873</v>
      </c>
      <c r="L685" s="237"/>
      <c r="M685" s="237"/>
      <c r="N685" s="237"/>
      <c r="O685" s="237"/>
      <c r="P685" s="237"/>
      <c r="Q685" s="237"/>
      <c r="R685" s="237"/>
      <c r="S685" s="237"/>
      <c r="T685" s="237"/>
      <c r="U685" s="237"/>
      <c r="V685" s="237"/>
      <c r="W685" s="237"/>
      <c r="X685" s="237"/>
      <c r="Y685" s="237"/>
      <c r="Z685" s="237"/>
    </row>
    <row r="686">
      <c r="A686" s="305">
        <v>685.0</v>
      </c>
      <c r="B686" s="236"/>
      <c r="C686" s="307" t="s">
        <v>1420</v>
      </c>
      <c r="D686" s="308" t="s">
        <v>10902</v>
      </c>
      <c r="E686" s="305" t="s">
        <v>10903</v>
      </c>
      <c r="F686" s="309" t="s">
        <v>10904</v>
      </c>
      <c r="G686" s="236"/>
      <c r="H686" s="307" t="s">
        <v>1420</v>
      </c>
      <c r="I686" s="237"/>
      <c r="J686" s="237"/>
      <c r="K686" s="310" t="s">
        <v>10901</v>
      </c>
      <c r="L686" s="237"/>
      <c r="M686" s="237"/>
      <c r="N686" s="237"/>
      <c r="O686" s="237"/>
      <c r="P686" s="237"/>
      <c r="Q686" s="237"/>
      <c r="R686" s="237"/>
      <c r="S686" s="237"/>
      <c r="T686" s="237"/>
      <c r="U686" s="237"/>
      <c r="V686" s="237"/>
      <c r="W686" s="237"/>
      <c r="X686" s="237"/>
      <c r="Y686" s="237"/>
      <c r="Z686" s="237"/>
    </row>
    <row r="687">
      <c r="A687" s="305">
        <v>686.0</v>
      </c>
      <c r="B687" s="236"/>
      <c r="C687" s="307" t="s">
        <v>1420</v>
      </c>
      <c r="D687" s="308" t="s">
        <v>10898</v>
      </c>
      <c r="E687" s="305" t="s">
        <v>10899</v>
      </c>
      <c r="F687" s="309" t="s">
        <v>10900</v>
      </c>
      <c r="G687" s="236"/>
      <c r="H687" s="307" t="s">
        <v>1420</v>
      </c>
      <c r="I687" s="237"/>
      <c r="J687" s="237"/>
      <c r="K687" s="310" t="s">
        <v>10897</v>
      </c>
      <c r="L687" s="237"/>
      <c r="M687" s="237"/>
      <c r="N687" s="237"/>
      <c r="O687" s="237"/>
      <c r="P687" s="237"/>
      <c r="Q687" s="237"/>
      <c r="R687" s="237"/>
      <c r="S687" s="237"/>
      <c r="T687" s="237"/>
      <c r="U687" s="237"/>
      <c r="V687" s="237"/>
      <c r="W687" s="237"/>
      <c r="X687" s="237"/>
      <c r="Y687" s="237"/>
      <c r="Z687" s="237"/>
    </row>
    <row r="688">
      <c r="A688" s="305">
        <v>687.0</v>
      </c>
      <c r="B688" s="236"/>
      <c r="C688" s="307" t="s">
        <v>1420</v>
      </c>
      <c r="D688" s="308" t="s">
        <v>10872</v>
      </c>
      <c r="E688" s="305" t="s">
        <v>10873</v>
      </c>
      <c r="F688" s="309" t="s">
        <v>10874</v>
      </c>
      <c r="G688" s="236"/>
      <c r="H688" s="307" t="s">
        <v>1420</v>
      </c>
      <c r="I688" s="237"/>
      <c r="J688" s="237"/>
      <c r="K688" s="310" t="s">
        <v>10871</v>
      </c>
      <c r="L688" s="237"/>
      <c r="M688" s="237"/>
      <c r="N688" s="237"/>
      <c r="O688" s="237"/>
      <c r="P688" s="237"/>
      <c r="Q688" s="237"/>
      <c r="R688" s="237"/>
      <c r="S688" s="237"/>
      <c r="T688" s="237"/>
      <c r="U688" s="237"/>
      <c r="V688" s="237"/>
      <c r="W688" s="237"/>
      <c r="X688" s="237"/>
      <c r="Y688" s="237"/>
      <c r="Z688" s="237"/>
    </row>
    <row r="689">
      <c r="A689" s="305">
        <v>688.0</v>
      </c>
      <c r="B689" s="236"/>
      <c r="C689" s="307" t="s">
        <v>1420</v>
      </c>
      <c r="D689" s="308" t="s">
        <v>10906</v>
      </c>
      <c r="E689" s="305" t="s">
        <v>10907</v>
      </c>
      <c r="F689" s="309" t="s">
        <v>10908</v>
      </c>
      <c r="G689" s="236"/>
      <c r="H689" s="307" t="s">
        <v>1420</v>
      </c>
      <c r="I689" s="237"/>
      <c r="J689" s="237"/>
      <c r="K689" s="310" t="s">
        <v>10905</v>
      </c>
      <c r="L689" s="237"/>
      <c r="M689" s="237"/>
      <c r="N689" s="237"/>
      <c r="O689" s="237"/>
      <c r="P689" s="237"/>
      <c r="Q689" s="237"/>
      <c r="R689" s="237"/>
      <c r="S689" s="237"/>
      <c r="T689" s="237"/>
      <c r="U689" s="237"/>
      <c r="V689" s="237"/>
      <c r="W689" s="237"/>
      <c r="X689" s="237"/>
      <c r="Y689" s="237"/>
      <c r="Z689" s="237"/>
    </row>
    <row r="690">
      <c r="A690" s="305">
        <v>689.0</v>
      </c>
      <c r="B690" s="236"/>
      <c r="C690" s="307" t="s">
        <v>1420</v>
      </c>
      <c r="D690" s="308" t="s">
        <v>9674</v>
      </c>
      <c r="E690" s="305" t="s">
        <v>9675</v>
      </c>
      <c r="F690" s="309" t="s">
        <v>9676</v>
      </c>
      <c r="G690" s="236"/>
      <c r="H690" s="307" t="s">
        <v>1420</v>
      </c>
      <c r="I690" s="237"/>
      <c r="J690" s="237"/>
      <c r="K690" s="310" t="s">
        <v>9673</v>
      </c>
      <c r="L690" s="237"/>
      <c r="M690" s="237"/>
      <c r="N690" s="237"/>
      <c r="O690" s="237"/>
      <c r="P690" s="237"/>
      <c r="Q690" s="237"/>
      <c r="R690" s="237"/>
      <c r="S690" s="237"/>
      <c r="T690" s="237"/>
      <c r="U690" s="237"/>
      <c r="V690" s="237"/>
      <c r="W690" s="237"/>
      <c r="X690" s="237"/>
      <c r="Y690" s="237"/>
      <c r="Z690" s="237"/>
    </row>
    <row r="691">
      <c r="A691" s="305">
        <v>690.0</v>
      </c>
      <c r="B691" s="236"/>
      <c r="C691" s="307" t="s">
        <v>1420</v>
      </c>
      <c r="D691" s="308" t="s">
        <v>9683</v>
      </c>
      <c r="E691" s="305" t="s">
        <v>9684</v>
      </c>
      <c r="F691" s="309" t="s">
        <v>9685</v>
      </c>
      <c r="G691" s="236"/>
      <c r="H691" s="307" t="s">
        <v>1420</v>
      </c>
      <c r="I691" s="237"/>
      <c r="J691" s="237"/>
      <c r="K691" s="310" t="s">
        <v>9682</v>
      </c>
      <c r="L691" s="237"/>
      <c r="M691" s="237"/>
      <c r="N691" s="237"/>
      <c r="O691" s="237"/>
      <c r="P691" s="237"/>
      <c r="Q691" s="237"/>
      <c r="R691" s="237"/>
      <c r="S691" s="237"/>
      <c r="T691" s="237"/>
      <c r="U691" s="237"/>
      <c r="V691" s="237"/>
      <c r="W691" s="237"/>
      <c r="X691" s="237"/>
      <c r="Y691" s="237"/>
      <c r="Z691" s="237"/>
    </row>
    <row r="692">
      <c r="A692" s="305">
        <v>691.0</v>
      </c>
      <c r="B692" s="236"/>
      <c r="C692" s="307" t="s">
        <v>1420</v>
      </c>
      <c r="D692" s="308" t="s">
        <v>9679</v>
      </c>
      <c r="E692" s="305" t="s">
        <v>9680</v>
      </c>
      <c r="F692" s="309" t="s">
        <v>9681</v>
      </c>
      <c r="G692" s="236"/>
      <c r="H692" s="307" t="s">
        <v>1420</v>
      </c>
      <c r="I692" s="237"/>
      <c r="J692" s="237"/>
      <c r="K692" s="310" t="s">
        <v>9678</v>
      </c>
      <c r="L692" s="237"/>
      <c r="M692" s="237"/>
      <c r="N692" s="237"/>
      <c r="O692" s="237"/>
      <c r="P692" s="237"/>
      <c r="Q692" s="237"/>
      <c r="R692" s="237"/>
      <c r="S692" s="237"/>
      <c r="T692" s="237"/>
      <c r="U692" s="237"/>
      <c r="V692" s="237"/>
      <c r="W692" s="237"/>
      <c r="X692" s="237"/>
      <c r="Y692" s="237"/>
      <c r="Z692" s="237"/>
    </row>
    <row r="693">
      <c r="A693" s="305">
        <v>692.0</v>
      </c>
      <c r="B693" s="236"/>
      <c r="C693" s="307" t="s">
        <v>1420</v>
      </c>
      <c r="D693" s="308" t="s">
        <v>9690</v>
      </c>
      <c r="E693" s="305" t="s">
        <v>9691</v>
      </c>
      <c r="F693" s="309" t="s">
        <v>9692</v>
      </c>
      <c r="G693" s="236"/>
      <c r="H693" s="307" t="s">
        <v>1420</v>
      </c>
      <c r="I693" s="237"/>
      <c r="J693" s="237"/>
      <c r="K693" s="310" t="s">
        <v>9689</v>
      </c>
      <c r="L693" s="237"/>
      <c r="M693" s="237"/>
      <c r="N693" s="237"/>
      <c r="O693" s="237"/>
      <c r="P693" s="237"/>
      <c r="Q693" s="237"/>
      <c r="R693" s="237"/>
      <c r="S693" s="237"/>
      <c r="T693" s="237"/>
      <c r="U693" s="237"/>
      <c r="V693" s="237"/>
      <c r="W693" s="237"/>
      <c r="X693" s="237"/>
      <c r="Y693" s="237"/>
      <c r="Z693" s="237"/>
    </row>
    <row r="694">
      <c r="A694" s="305">
        <v>693.0</v>
      </c>
      <c r="B694" s="236"/>
      <c r="C694" s="307" t="s">
        <v>1420</v>
      </c>
      <c r="D694" s="308" t="s">
        <v>9687</v>
      </c>
      <c r="E694" s="305" t="s">
        <v>9688</v>
      </c>
      <c r="F694" s="236"/>
      <c r="G694" s="236"/>
      <c r="H694" s="307" t="s">
        <v>1420</v>
      </c>
      <c r="I694" s="237"/>
      <c r="J694" s="237"/>
      <c r="K694" s="310" t="s">
        <v>9686</v>
      </c>
      <c r="L694" s="237"/>
      <c r="M694" s="237"/>
      <c r="N694" s="237"/>
      <c r="O694" s="237"/>
      <c r="P694" s="237"/>
      <c r="Q694" s="237"/>
      <c r="R694" s="237"/>
      <c r="S694" s="237"/>
      <c r="T694" s="237"/>
      <c r="U694" s="237"/>
      <c r="V694" s="237"/>
      <c r="W694" s="237"/>
      <c r="X694" s="237"/>
      <c r="Y694" s="237"/>
      <c r="Z694" s="237"/>
    </row>
    <row r="695">
      <c r="A695" s="305">
        <v>694.0</v>
      </c>
      <c r="B695" s="306">
        <v>3.1444015E7</v>
      </c>
      <c r="C695" s="307" t="s">
        <v>1420</v>
      </c>
      <c r="D695" s="308" t="s">
        <v>9917</v>
      </c>
      <c r="E695" s="305" t="s">
        <v>9918</v>
      </c>
      <c r="F695" s="309" t="s">
        <v>9919</v>
      </c>
      <c r="G695" s="236"/>
      <c r="H695" s="307" t="s">
        <v>1420</v>
      </c>
      <c r="I695" s="237"/>
      <c r="J695" s="237"/>
      <c r="K695" s="310" t="s">
        <v>9916</v>
      </c>
      <c r="L695" s="237"/>
      <c r="M695" s="237"/>
      <c r="N695" s="237"/>
      <c r="O695" s="237"/>
      <c r="P695" s="237"/>
      <c r="Q695" s="237"/>
      <c r="R695" s="237"/>
      <c r="S695" s="237"/>
      <c r="T695" s="237"/>
      <c r="U695" s="237"/>
      <c r="V695" s="237"/>
      <c r="W695" s="237"/>
      <c r="X695" s="237"/>
      <c r="Y695" s="237"/>
      <c r="Z695" s="237"/>
    </row>
    <row r="696">
      <c r="A696" s="305">
        <v>695.0</v>
      </c>
      <c r="B696" s="236"/>
      <c r="C696" s="307" t="s">
        <v>1420</v>
      </c>
      <c r="D696" s="308" t="s">
        <v>9698</v>
      </c>
      <c r="E696" s="305" t="s">
        <v>9699</v>
      </c>
      <c r="F696" s="309" t="s">
        <v>9700</v>
      </c>
      <c r="G696" s="236"/>
      <c r="H696" s="307" t="s">
        <v>1420</v>
      </c>
      <c r="I696" s="237"/>
      <c r="J696" s="237"/>
      <c r="K696" s="310" t="s">
        <v>9697</v>
      </c>
      <c r="L696" s="237"/>
      <c r="M696" s="237"/>
      <c r="N696" s="237"/>
      <c r="O696" s="237"/>
      <c r="P696" s="237"/>
      <c r="Q696" s="237"/>
      <c r="R696" s="237"/>
      <c r="S696" s="237"/>
      <c r="T696" s="237"/>
      <c r="U696" s="237"/>
      <c r="V696" s="237"/>
      <c r="W696" s="237"/>
      <c r="X696" s="237"/>
      <c r="Y696" s="237"/>
      <c r="Z696" s="237"/>
    </row>
    <row r="697">
      <c r="A697" s="305">
        <v>696.0</v>
      </c>
      <c r="B697" s="236"/>
      <c r="C697" s="307" t="s">
        <v>1420</v>
      </c>
      <c r="D697" s="308" t="s">
        <v>9706</v>
      </c>
      <c r="E697" s="305" t="s">
        <v>9707</v>
      </c>
      <c r="F697" s="309" t="s">
        <v>9708</v>
      </c>
      <c r="G697" s="236"/>
      <c r="H697" s="307" t="s">
        <v>1420</v>
      </c>
      <c r="I697" s="237"/>
      <c r="J697" s="237"/>
      <c r="K697" s="310" t="s">
        <v>9705</v>
      </c>
      <c r="L697" s="237"/>
      <c r="M697" s="237"/>
      <c r="N697" s="237"/>
      <c r="O697" s="237"/>
      <c r="P697" s="237"/>
      <c r="Q697" s="237"/>
      <c r="R697" s="237"/>
      <c r="S697" s="237"/>
      <c r="T697" s="237"/>
      <c r="U697" s="237"/>
      <c r="V697" s="237"/>
      <c r="W697" s="237"/>
      <c r="X697" s="237"/>
      <c r="Y697" s="237"/>
      <c r="Z697" s="237"/>
    </row>
    <row r="698">
      <c r="A698" s="305">
        <v>697.0</v>
      </c>
      <c r="B698" s="236"/>
      <c r="C698" s="307" t="s">
        <v>1420</v>
      </c>
      <c r="D698" s="308" t="s">
        <v>9694</v>
      </c>
      <c r="E698" s="305" t="s">
        <v>9695</v>
      </c>
      <c r="F698" s="309" t="s">
        <v>9696</v>
      </c>
      <c r="G698" s="236"/>
      <c r="H698" s="307" t="s">
        <v>1420</v>
      </c>
      <c r="I698" s="237"/>
      <c r="J698" s="237"/>
      <c r="K698" s="310" t="s">
        <v>9693</v>
      </c>
      <c r="L698" s="237"/>
      <c r="M698" s="237"/>
      <c r="N698" s="237"/>
      <c r="O698" s="237"/>
      <c r="P698" s="237"/>
      <c r="Q698" s="237"/>
      <c r="R698" s="237"/>
      <c r="S698" s="237"/>
      <c r="T698" s="237"/>
      <c r="U698" s="237"/>
      <c r="V698" s="237"/>
      <c r="W698" s="237"/>
      <c r="X698" s="237"/>
      <c r="Y698" s="237"/>
      <c r="Z698" s="237"/>
    </row>
    <row r="699">
      <c r="A699" s="305">
        <v>698.0</v>
      </c>
      <c r="B699" s="236"/>
      <c r="C699" s="307" t="s">
        <v>1420</v>
      </c>
      <c r="D699" s="308" t="s">
        <v>9702</v>
      </c>
      <c r="E699" s="305" t="s">
        <v>9703</v>
      </c>
      <c r="F699" s="309" t="s">
        <v>9704</v>
      </c>
      <c r="G699" s="236"/>
      <c r="H699" s="307" t="s">
        <v>1420</v>
      </c>
      <c r="I699" s="237"/>
      <c r="J699" s="237"/>
      <c r="K699" s="310" t="s">
        <v>9701</v>
      </c>
      <c r="L699" s="237"/>
      <c r="M699" s="237"/>
      <c r="N699" s="237"/>
      <c r="O699" s="237"/>
      <c r="P699" s="237"/>
      <c r="Q699" s="237"/>
      <c r="R699" s="237"/>
      <c r="S699" s="237"/>
      <c r="T699" s="237"/>
      <c r="U699" s="237"/>
      <c r="V699" s="237"/>
      <c r="W699" s="237"/>
      <c r="X699" s="237"/>
      <c r="Y699" s="237"/>
      <c r="Z699" s="237"/>
    </row>
    <row r="700">
      <c r="A700" s="305">
        <v>699.0</v>
      </c>
      <c r="B700" s="306">
        <v>3.1444115E7</v>
      </c>
      <c r="C700" s="307" t="s">
        <v>1420</v>
      </c>
      <c r="D700" s="308" t="s">
        <v>9922</v>
      </c>
      <c r="E700" s="305" t="s">
        <v>9923</v>
      </c>
      <c r="F700" s="309" t="s">
        <v>9924</v>
      </c>
      <c r="G700" s="236"/>
      <c r="H700" s="307" t="s">
        <v>1420</v>
      </c>
      <c r="I700" s="237"/>
      <c r="J700" s="237"/>
      <c r="K700" s="310" t="s">
        <v>9921</v>
      </c>
      <c r="L700" s="237"/>
      <c r="M700" s="237"/>
      <c r="N700" s="237"/>
      <c r="O700" s="237"/>
      <c r="P700" s="237"/>
      <c r="Q700" s="237"/>
      <c r="R700" s="237"/>
      <c r="S700" s="237"/>
      <c r="T700" s="237"/>
      <c r="U700" s="237"/>
      <c r="V700" s="237"/>
      <c r="W700" s="237"/>
      <c r="X700" s="237"/>
      <c r="Y700" s="237"/>
      <c r="Z700" s="237"/>
    </row>
    <row r="701">
      <c r="A701" s="305">
        <v>700.0</v>
      </c>
      <c r="B701" s="236"/>
      <c r="C701" s="307" t="s">
        <v>1420</v>
      </c>
      <c r="D701" s="308" t="s">
        <v>9710</v>
      </c>
      <c r="E701" s="305" t="s">
        <v>9711</v>
      </c>
      <c r="F701" s="309" t="s">
        <v>9712</v>
      </c>
      <c r="G701" s="236"/>
      <c r="H701" s="307" t="s">
        <v>1420</v>
      </c>
      <c r="I701" s="237"/>
      <c r="J701" s="237"/>
      <c r="K701" s="310" t="s">
        <v>9709</v>
      </c>
      <c r="L701" s="237"/>
      <c r="M701" s="237"/>
      <c r="N701" s="237"/>
      <c r="O701" s="237"/>
      <c r="P701" s="237"/>
      <c r="Q701" s="237"/>
      <c r="R701" s="237"/>
      <c r="S701" s="237"/>
      <c r="T701" s="237"/>
      <c r="U701" s="237"/>
      <c r="V701" s="237"/>
      <c r="W701" s="237"/>
      <c r="X701" s="237"/>
      <c r="Y701" s="237"/>
      <c r="Z701" s="237"/>
    </row>
    <row r="702">
      <c r="A702" s="305">
        <v>701.0</v>
      </c>
      <c r="B702" s="306">
        <v>2.1421E7</v>
      </c>
      <c r="C702" s="307" t="s">
        <v>1420</v>
      </c>
      <c r="D702" s="308" t="s">
        <v>9720</v>
      </c>
      <c r="E702" s="305" t="s">
        <v>9721</v>
      </c>
      <c r="F702" s="309" t="s">
        <v>9722</v>
      </c>
      <c r="G702" s="236"/>
      <c r="H702" s="307" t="s">
        <v>1420</v>
      </c>
      <c r="I702" s="237"/>
      <c r="J702" s="237"/>
      <c r="K702" s="310" t="s">
        <v>9719</v>
      </c>
      <c r="L702" s="237"/>
      <c r="M702" s="237"/>
      <c r="N702" s="237"/>
      <c r="O702" s="237"/>
      <c r="P702" s="237"/>
      <c r="Q702" s="237"/>
      <c r="R702" s="237"/>
      <c r="S702" s="237"/>
      <c r="T702" s="237"/>
      <c r="U702" s="237"/>
      <c r="V702" s="237"/>
      <c r="W702" s="237"/>
      <c r="X702" s="237"/>
      <c r="Y702" s="237"/>
      <c r="Z702" s="237"/>
    </row>
    <row r="703">
      <c r="A703" s="305">
        <v>702.0</v>
      </c>
      <c r="B703" s="306">
        <v>2.14204E7</v>
      </c>
      <c r="C703" s="307" t="s">
        <v>1420</v>
      </c>
      <c r="D703" s="308" t="s">
        <v>9715</v>
      </c>
      <c r="E703" s="305" t="s">
        <v>9716</v>
      </c>
      <c r="F703" s="309" t="s">
        <v>9717</v>
      </c>
      <c r="G703" s="236"/>
      <c r="H703" s="307" t="s">
        <v>1420</v>
      </c>
      <c r="I703" s="237"/>
      <c r="J703" s="237"/>
      <c r="K703" s="310" t="s">
        <v>9714</v>
      </c>
      <c r="L703" s="237"/>
      <c r="M703" s="237"/>
      <c r="N703" s="237"/>
      <c r="O703" s="237"/>
      <c r="P703" s="237"/>
      <c r="Q703" s="237"/>
      <c r="R703" s="237"/>
      <c r="S703" s="237"/>
      <c r="T703" s="237"/>
      <c r="U703" s="237"/>
      <c r="V703" s="237"/>
      <c r="W703" s="237"/>
      <c r="X703" s="237"/>
      <c r="Y703" s="237"/>
      <c r="Z703" s="237"/>
    </row>
    <row r="704">
      <c r="A704" s="305">
        <v>703.0</v>
      </c>
      <c r="B704" s="306">
        <v>2.145015E7</v>
      </c>
      <c r="C704" s="307" t="s">
        <v>1420</v>
      </c>
      <c r="D704" s="308" t="s">
        <v>9725</v>
      </c>
      <c r="E704" s="305" t="s">
        <v>9726</v>
      </c>
      <c r="F704" s="309" t="s">
        <v>9727</v>
      </c>
      <c r="G704" s="236"/>
      <c r="H704" s="307" t="s">
        <v>1420</v>
      </c>
      <c r="I704" s="237"/>
      <c r="J704" s="237"/>
      <c r="K704" s="310" t="s">
        <v>9724</v>
      </c>
      <c r="L704" s="237"/>
      <c r="M704" s="237"/>
      <c r="N704" s="237"/>
      <c r="O704" s="237"/>
      <c r="P704" s="237"/>
      <c r="Q704" s="237"/>
      <c r="R704" s="237"/>
      <c r="S704" s="237"/>
      <c r="T704" s="237"/>
      <c r="U704" s="237"/>
      <c r="V704" s="237"/>
      <c r="W704" s="237"/>
      <c r="X704" s="237"/>
      <c r="Y704" s="237"/>
      <c r="Z704" s="237"/>
    </row>
    <row r="705">
      <c r="A705" s="305">
        <v>704.0</v>
      </c>
      <c r="B705" s="236"/>
      <c r="C705" s="307" t="s">
        <v>1420</v>
      </c>
      <c r="D705" s="308" t="s">
        <v>9734</v>
      </c>
      <c r="E705" s="305" t="s">
        <v>9735</v>
      </c>
      <c r="F705" s="309" t="s">
        <v>9736</v>
      </c>
      <c r="G705" s="236"/>
      <c r="H705" s="307" t="s">
        <v>1420</v>
      </c>
      <c r="I705" s="237"/>
      <c r="J705" s="237"/>
      <c r="K705" s="310" t="s">
        <v>9733</v>
      </c>
      <c r="L705" s="237"/>
      <c r="M705" s="237"/>
      <c r="N705" s="237"/>
      <c r="O705" s="237"/>
      <c r="P705" s="237"/>
      <c r="Q705" s="237"/>
      <c r="R705" s="237"/>
      <c r="S705" s="237"/>
      <c r="T705" s="237"/>
      <c r="U705" s="237"/>
      <c r="V705" s="237"/>
      <c r="W705" s="237"/>
      <c r="X705" s="237"/>
      <c r="Y705" s="237"/>
      <c r="Z705" s="237"/>
    </row>
    <row r="706">
      <c r="A706" s="305">
        <v>705.0</v>
      </c>
      <c r="B706" s="306">
        <v>2.14504E7</v>
      </c>
      <c r="C706" s="307" t="s">
        <v>1420</v>
      </c>
      <c r="D706" s="308" t="s">
        <v>9730</v>
      </c>
      <c r="E706" s="305" t="s">
        <v>9731</v>
      </c>
      <c r="F706" s="309" t="s">
        <v>9732</v>
      </c>
      <c r="G706" s="236"/>
      <c r="H706" s="307" t="s">
        <v>1420</v>
      </c>
      <c r="I706" s="237"/>
      <c r="J706" s="237"/>
      <c r="K706" s="310" t="s">
        <v>9729</v>
      </c>
      <c r="L706" s="237"/>
      <c r="M706" s="237"/>
      <c r="N706" s="237"/>
      <c r="O706" s="237"/>
      <c r="P706" s="237"/>
      <c r="Q706" s="237"/>
      <c r="R706" s="237"/>
      <c r="S706" s="237"/>
      <c r="T706" s="237"/>
      <c r="U706" s="237"/>
      <c r="V706" s="237"/>
      <c r="W706" s="237"/>
      <c r="X706" s="237"/>
      <c r="Y706" s="237"/>
      <c r="Z706" s="237"/>
    </row>
    <row r="707">
      <c r="A707" s="305">
        <v>706.0</v>
      </c>
      <c r="B707" s="236"/>
      <c r="C707" s="307" t="s">
        <v>1420</v>
      </c>
      <c r="D707" s="308" t="s">
        <v>9883</v>
      </c>
      <c r="E707" s="305" t="s">
        <v>9884</v>
      </c>
      <c r="F707" s="309" t="s">
        <v>9885</v>
      </c>
      <c r="G707" s="236"/>
      <c r="H707" s="307" t="s">
        <v>1420</v>
      </c>
      <c r="I707" s="237"/>
      <c r="J707" s="237"/>
      <c r="K707" s="310" t="s">
        <v>9882</v>
      </c>
      <c r="L707" s="237"/>
      <c r="M707" s="237"/>
      <c r="N707" s="237"/>
      <c r="O707" s="237"/>
      <c r="P707" s="237"/>
      <c r="Q707" s="237"/>
      <c r="R707" s="237"/>
      <c r="S707" s="237"/>
      <c r="T707" s="237"/>
      <c r="U707" s="237"/>
      <c r="V707" s="237"/>
      <c r="W707" s="237"/>
      <c r="X707" s="237"/>
      <c r="Y707" s="237"/>
      <c r="Z707" s="237"/>
    </row>
    <row r="708">
      <c r="A708" s="305">
        <v>707.0</v>
      </c>
      <c r="B708" s="306">
        <v>3.32102E7</v>
      </c>
      <c r="C708" s="307" t="s">
        <v>1420</v>
      </c>
      <c r="D708" s="308" t="s">
        <v>9879</v>
      </c>
      <c r="E708" s="305" t="s">
        <v>9880</v>
      </c>
      <c r="F708" s="309" t="s">
        <v>9881</v>
      </c>
      <c r="G708" s="236"/>
      <c r="H708" s="307" t="s">
        <v>1420</v>
      </c>
      <c r="I708" s="237"/>
      <c r="J708" s="237"/>
      <c r="K708" s="310" t="s">
        <v>9878</v>
      </c>
      <c r="L708" s="237"/>
      <c r="M708" s="237"/>
      <c r="N708" s="237"/>
      <c r="O708" s="237"/>
      <c r="P708" s="237"/>
      <c r="Q708" s="237"/>
      <c r="R708" s="237"/>
      <c r="S708" s="237"/>
      <c r="T708" s="237"/>
      <c r="U708" s="237"/>
      <c r="V708" s="237"/>
      <c r="W708" s="237"/>
      <c r="X708" s="237"/>
      <c r="Y708" s="237"/>
      <c r="Z708" s="237"/>
    </row>
    <row r="709">
      <c r="A709" s="305">
        <v>708.0</v>
      </c>
      <c r="B709" s="236"/>
      <c r="C709" s="307" t="s">
        <v>1420</v>
      </c>
      <c r="D709" s="308" t="s">
        <v>9738</v>
      </c>
      <c r="E709" s="305" t="s">
        <v>9739</v>
      </c>
      <c r="F709" s="309" t="s">
        <v>9740</v>
      </c>
      <c r="G709" s="236"/>
      <c r="H709" s="307" t="s">
        <v>1420</v>
      </c>
      <c r="I709" s="237"/>
      <c r="J709" s="237"/>
      <c r="K709" s="310" t="s">
        <v>9737</v>
      </c>
      <c r="L709" s="237"/>
      <c r="M709" s="237"/>
      <c r="N709" s="237"/>
      <c r="O709" s="237"/>
      <c r="P709" s="237"/>
      <c r="Q709" s="237"/>
      <c r="R709" s="237"/>
      <c r="S709" s="237"/>
      <c r="T709" s="237"/>
      <c r="U709" s="237"/>
      <c r="V709" s="237"/>
      <c r="W709" s="237"/>
      <c r="X709" s="237"/>
      <c r="Y709" s="237"/>
      <c r="Z709" s="237"/>
    </row>
    <row r="710">
      <c r="A710" s="305">
        <v>709.0</v>
      </c>
      <c r="B710" s="236"/>
      <c r="C710" s="307" t="s">
        <v>1420</v>
      </c>
      <c r="D710" s="308" t="s">
        <v>9742</v>
      </c>
      <c r="E710" s="305" t="s">
        <v>9743</v>
      </c>
      <c r="F710" s="309" t="s">
        <v>9744</v>
      </c>
      <c r="G710" s="236"/>
      <c r="H710" s="307" t="s">
        <v>1420</v>
      </c>
      <c r="I710" s="237"/>
      <c r="J710" s="237"/>
      <c r="K710" s="310" t="s">
        <v>9741</v>
      </c>
      <c r="L710" s="237"/>
      <c r="M710" s="237"/>
      <c r="N710" s="237"/>
      <c r="O710" s="237"/>
      <c r="P710" s="237"/>
      <c r="Q710" s="237"/>
      <c r="R710" s="237"/>
      <c r="S710" s="237"/>
      <c r="T710" s="237"/>
      <c r="U710" s="237"/>
      <c r="V710" s="237"/>
      <c r="W710" s="237"/>
      <c r="X710" s="237"/>
      <c r="Y710" s="237"/>
      <c r="Z710" s="237"/>
    </row>
    <row r="711">
      <c r="A711" s="305">
        <v>710.0</v>
      </c>
      <c r="B711" s="236"/>
      <c r="C711" s="307" t="s">
        <v>1420</v>
      </c>
      <c r="D711" s="308" t="s">
        <v>9746</v>
      </c>
      <c r="E711" s="305" t="s">
        <v>9747</v>
      </c>
      <c r="F711" s="309" t="s">
        <v>9748</v>
      </c>
      <c r="G711" s="236"/>
      <c r="H711" s="307" t="s">
        <v>1420</v>
      </c>
      <c r="I711" s="237"/>
      <c r="J711" s="237"/>
      <c r="K711" s="310" t="s">
        <v>9745</v>
      </c>
      <c r="L711" s="237"/>
      <c r="M711" s="237"/>
      <c r="N711" s="237"/>
      <c r="O711" s="237"/>
      <c r="P711" s="237"/>
      <c r="Q711" s="237"/>
      <c r="R711" s="237"/>
      <c r="S711" s="237"/>
      <c r="T711" s="237"/>
      <c r="U711" s="237"/>
      <c r="V711" s="237"/>
      <c r="W711" s="237"/>
      <c r="X711" s="237"/>
      <c r="Y711" s="237"/>
      <c r="Z711" s="237"/>
    </row>
    <row r="712">
      <c r="A712" s="305">
        <v>711.0</v>
      </c>
      <c r="B712" s="236"/>
      <c r="C712" s="307" t="s">
        <v>1420</v>
      </c>
      <c r="D712" s="308" t="s">
        <v>9750</v>
      </c>
      <c r="E712" s="305" t="s">
        <v>9751</v>
      </c>
      <c r="F712" s="309" t="s">
        <v>9752</v>
      </c>
      <c r="G712" s="236"/>
      <c r="H712" s="307" t="s">
        <v>1420</v>
      </c>
      <c r="I712" s="237"/>
      <c r="J712" s="237"/>
      <c r="K712" s="310" t="s">
        <v>9749</v>
      </c>
      <c r="L712" s="237"/>
      <c r="M712" s="237"/>
      <c r="N712" s="237"/>
      <c r="O712" s="237"/>
      <c r="P712" s="237"/>
      <c r="Q712" s="237"/>
      <c r="R712" s="237"/>
      <c r="S712" s="237"/>
      <c r="T712" s="237"/>
      <c r="U712" s="237"/>
      <c r="V712" s="237"/>
      <c r="W712" s="237"/>
      <c r="X712" s="237"/>
      <c r="Y712" s="237"/>
      <c r="Z712" s="237"/>
    </row>
    <row r="713">
      <c r="A713" s="305">
        <v>712.0</v>
      </c>
      <c r="B713" s="236"/>
      <c r="C713" s="307" t="s">
        <v>1420</v>
      </c>
      <c r="D713" s="308" t="s">
        <v>10864</v>
      </c>
      <c r="E713" s="305" t="s">
        <v>10865</v>
      </c>
      <c r="F713" s="309" t="s">
        <v>10866</v>
      </c>
      <c r="G713" s="236"/>
      <c r="H713" s="307" t="s">
        <v>1420</v>
      </c>
      <c r="I713" s="237"/>
      <c r="J713" s="237"/>
      <c r="K713" s="310" t="s">
        <v>10863</v>
      </c>
      <c r="L713" s="237"/>
      <c r="M713" s="237"/>
      <c r="N713" s="237"/>
      <c r="O713" s="237"/>
      <c r="P713" s="237"/>
      <c r="Q713" s="237"/>
      <c r="R713" s="237"/>
      <c r="S713" s="237"/>
      <c r="T713" s="237"/>
      <c r="U713" s="237"/>
      <c r="V713" s="237"/>
      <c r="W713" s="237"/>
      <c r="X713" s="237"/>
      <c r="Y713" s="237"/>
      <c r="Z713" s="237"/>
    </row>
    <row r="714">
      <c r="A714" s="305">
        <v>713.0</v>
      </c>
      <c r="B714" s="236"/>
      <c r="C714" s="307" t="s">
        <v>1420</v>
      </c>
      <c r="D714" s="308" t="s">
        <v>10868</v>
      </c>
      <c r="E714" s="305" t="s">
        <v>10869</v>
      </c>
      <c r="F714" s="309" t="s">
        <v>10870</v>
      </c>
      <c r="G714" s="236"/>
      <c r="H714" s="307" t="s">
        <v>1420</v>
      </c>
      <c r="I714" s="237"/>
      <c r="J714" s="237"/>
      <c r="K714" s="310" t="s">
        <v>10867</v>
      </c>
      <c r="L714" s="237"/>
      <c r="M714" s="237"/>
      <c r="N714" s="237"/>
      <c r="O714" s="237"/>
      <c r="P714" s="237"/>
      <c r="Q714" s="237"/>
      <c r="R714" s="237"/>
      <c r="S714" s="237"/>
      <c r="T714" s="237"/>
      <c r="U714" s="237"/>
      <c r="V714" s="237"/>
      <c r="W714" s="237"/>
      <c r="X714" s="237"/>
      <c r="Y714" s="237"/>
      <c r="Z714" s="237"/>
    </row>
    <row r="715">
      <c r="A715" s="305">
        <v>714.0</v>
      </c>
      <c r="B715" s="236"/>
      <c r="C715" s="307" t="s">
        <v>1420</v>
      </c>
      <c r="D715" s="308" t="s">
        <v>10868</v>
      </c>
      <c r="E715" s="305" t="s">
        <v>10869</v>
      </c>
      <c r="F715" s="309" t="s">
        <v>10876</v>
      </c>
      <c r="G715" s="236"/>
      <c r="H715" s="307" t="s">
        <v>1420</v>
      </c>
      <c r="I715" s="237"/>
      <c r="J715" s="237"/>
      <c r="K715" s="310" t="s">
        <v>10875</v>
      </c>
      <c r="L715" s="237"/>
      <c r="M715" s="237"/>
      <c r="N715" s="237"/>
      <c r="O715" s="237"/>
      <c r="P715" s="237"/>
      <c r="Q715" s="237"/>
      <c r="R715" s="237"/>
      <c r="S715" s="237"/>
      <c r="T715" s="237"/>
      <c r="U715" s="237"/>
      <c r="V715" s="237"/>
      <c r="W715" s="237"/>
      <c r="X715" s="237"/>
      <c r="Y715" s="237"/>
      <c r="Z715" s="237"/>
    </row>
    <row r="716">
      <c r="A716" s="305">
        <v>715.0</v>
      </c>
      <c r="B716" s="236"/>
      <c r="C716" s="307" t="s">
        <v>1420</v>
      </c>
      <c r="D716" s="308" t="s">
        <v>10878</v>
      </c>
      <c r="E716" s="305" t="s">
        <v>10879</v>
      </c>
      <c r="F716" s="309" t="s">
        <v>10880</v>
      </c>
      <c r="G716" s="236"/>
      <c r="H716" s="307" t="s">
        <v>1420</v>
      </c>
      <c r="I716" s="237"/>
      <c r="J716" s="237"/>
      <c r="K716" s="310" t="s">
        <v>10877</v>
      </c>
      <c r="L716" s="237"/>
      <c r="M716" s="237"/>
      <c r="N716" s="237"/>
      <c r="O716" s="237"/>
      <c r="P716" s="237"/>
      <c r="Q716" s="237"/>
      <c r="R716" s="237"/>
      <c r="S716" s="237"/>
      <c r="T716" s="237"/>
      <c r="U716" s="237"/>
      <c r="V716" s="237"/>
      <c r="W716" s="237"/>
      <c r="X716" s="237"/>
      <c r="Y716" s="237"/>
      <c r="Z716" s="237"/>
    </row>
    <row r="717">
      <c r="A717" s="305">
        <v>716.0</v>
      </c>
      <c r="B717" s="236"/>
      <c r="C717" s="307" t="s">
        <v>1420</v>
      </c>
      <c r="D717" s="308" t="s">
        <v>10882</v>
      </c>
      <c r="E717" s="305" t="s">
        <v>10883</v>
      </c>
      <c r="F717" s="309" t="s">
        <v>10884</v>
      </c>
      <c r="G717" s="236"/>
      <c r="H717" s="307" t="s">
        <v>1420</v>
      </c>
      <c r="I717" s="237"/>
      <c r="J717" s="237"/>
      <c r="K717" s="310" t="s">
        <v>10881</v>
      </c>
      <c r="L717" s="237"/>
      <c r="M717" s="237"/>
      <c r="N717" s="237"/>
      <c r="O717" s="237"/>
      <c r="P717" s="237"/>
      <c r="Q717" s="237"/>
      <c r="R717" s="237"/>
      <c r="S717" s="237"/>
      <c r="T717" s="237"/>
      <c r="U717" s="237"/>
      <c r="V717" s="237"/>
      <c r="W717" s="237"/>
      <c r="X717" s="237"/>
      <c r="Y717" s="237"/>
      <c r="Z717" s="237"/>
    </row>
    <row r="718">
      <c r="A718" s="305">
        <v>717.0</v>
      </c>
      <c r="B718" s="236"/>
      <c r="C718" s="307" t="s">
        <v>1420</v>
      </c>
      <c r="D718" s="308" t="s">
        <v>10890</v>
      </c>
      <c r="E718" s="305" t="s">
        <v>10891</v>
      </c>
      <c r="F718" s="309" t="s">
        <v>10892</v>
      </c>
      <c r="G718" s="236"/>
      <c r="H718" s="307" t="s">
        <v>1420</v>
      </c>
      <c r="I718" s="237"/>
      <c r="J718" s="237"/>
      <c r="K718" s="310" t="s">
        <v>10889</v>
      </c>
      <c r="L718" s="237"/>
      <c r="M718" s="237"/>
      <c r="N718" s="237"/>
      <c r="O718" s="237"/>
      <c r="P718" s="237"/>
      <c r="Q718" s="237"/>
      <c r="R718" s="237"/>
      <c r="S718" s="237"/>
      <c r="T718" s="237"/>
      <c r="U718" s="237"/>
      <c r="V718" s="237"/>
      <c r="W718" s="237"/>
      <c r="X718" s="237"/>
      <c r="Y718" s="237"/>
      <c r="Z718" s="237"/>
    </row>
    <row r="719">
      <c r="A719" s="305">
        <v>718.0</v>
      </c>
      <c r="B719" s="236"/>
      <c r="C719" s="307" t="s">
        <v>1420</v>
      </c>
      <c r="D719" s="308" t="s">
        <v>10886</v>
      </c>
      <c r="E719" s="305" t="s">
        <v>10887</v>
      </c>
      <c r="F719" s="309" t="s">
        <v>10888</v>
      </c>
      <c r="G719" s="236"/>
      <c r="H719" s="307" t="s">
        <v>1420</v>
      </c>
      <c r="I719" s="237"/>
      <c r="J719" s="237"/>
      <c r="K719" s="310" t="s">
        <v>10885</v>
      </c>
      <c r="L719" s="237"/>
      <c r="M719" s="237"/>
      <c r="N719" s="237"/>
      <c r="O719" s="237"/>
      <c r="P719" s="237"/>
      <c r="Q719" s="237"/>
      <c r="R719" s="237"/>
      <c r="S719" s="237"/>
      <c r="T719" s="237"/>
      <c r="U719" s="237"/>
      <c r="V719" s="237"/>
      <c r="W719" s="237"/>
      <c r="X719" s="237"/>
      <c r="Y719" s="237"/>
      <c r="Z719" s="237"/>
    </row>
    <row r="720">
      <c r="A720" s="305">
        <v>719.0</v>
      </c>
      <c r="B720" s="306">
        <v>3.442115E7</v>
      </c>
      <c r="C720" s="307" t="s">
        <v>1420</v>
      </c>
      <c r="D720" s="308" t="s">
        <v>9892</v>
      </c>
      <c r="E720" s="305" t="s">
        <v>9893</v>
      </c>
      <c r="F720" s="309" t="s">
        <v>9894</v>
      </c>
      <c r="G720" s="236"/>
      <c r="H720" s="307" t="s">
        <v>1420</v>
      </c>
      <c r="I720" s="237"/>
      <c r="J720" s="237"/>
      <c r="K720" s="310" t="s">
        <v>9891</v>
      </c>
      <c r="L720" s="237"/>
      <c r="M720" s="237"/>
      <c r="N720" s="237"/>
      <c r="O720" s="237"/>
      <c r="P720" s="237"/>
      <c r="Q720" s="237"/>
      <c r="R720" s="237"/>
      <c r="S720" s="237"/>
      <c r="T720" s="237"/>
      <c r="U720" s="237"/>
      <c r="V720" s="237"/>
      <c r="W720" s="237"/>
      <c r="X720" s="237"/>
      <c r="Y720" s="237"/>
      <c r="Z720" s="237"/>
    </row>
    <row r="721">
      <c r="A721" s="305">
        <v>720.0</v>
      </c>
      <c r="B721" s="236"/>
      <c r="C721" s="307" t="s">
        <v>1420</v>
      </c>
      <c r="D721" s="308" t="s">
        <v>9887</v>
      </c>
      <c r="E721" s="305" t="s">
        <v>9888</v>
      </c>
      <c r="F721" s="309" t="s">
        <v>9889</v>
      </c>
      <c r="G721" s="236"/>
      <c r="H721" s="307" t="s">
        <v>1420</v>
      </c>
      <c r="I721" s="237"/>
      <c r="J721" s="237"/>
      <c r="K721" s="310" t="s">
        <v>9886</v>
      </c>
      <c r="L721" s="237"/>
      <c r="M721" s="237"/>
      <c r="N721" s="237"/>
      <c r="O721" s="237"/>
      <c r="P721" s="237"/>
      <c r="Q721" s="237"/>
      <c r="R721" s="237"/>
      <c r="S721" s="237"/>
      <c r="T721" s="237"/>
      <c r="U721" s="237"/>
      <c r="V721" s="237"/>
      <c r="W721" s="237"/>
      <c r="X721" s="237"/>
      <c r="Y721" s="237"/>
      <c r="Z721" s="237"/>
    </row>
    <row r="722">
      <c r="A722" s="305">
        <v>721.0</v>
      </c>
      <c r="B722" s="236"/>
      <c r="C722" s="307" t="s">
        <v>1420</v>
      </c>
      <c r="D722" s="308" t="s">
        <v>10808</v>
      </c>
      <c r="E722" s="305" t="s">
        <v>10809</v>
      </c>
      <c r="F722" s="236"/>
      <c r="G722" s="236"/>
      <c r="H722" s="307" t="s">
        <v>1420</v>
      </c>
      <c r="I722" s="237"/>
      <c r="J722" s="237"/>
      <c r="K722" s="310" t="s">
        <v>10807</v>
      </c>
      <c r="L722" s="237"/>
      <c r="M722" s="237"/>
      <c r="N722" s="237"/>
      <c r="O722" s="237"/>
      <c r="P722" s="237"/>
      <c r="Q722" s="237"/>
      <c r="R722" s="237"/>
      <c r="S722" s="237"/>
      <c r="T722" s="237"/>
      <c r="U722" s="237"/>
      <c r="V722" s="237"/>
      <c r="W722" s="237"/>
      <c r="X722" s="237"/>
      <c r="Y722" s="237"/>
      <c r="Z722" s="237"/>
    </row>
    <row r="723">
      <c r="A723" s="305">
        <v>722.0</v>
      </c>
      <c r="B723" s="306">
        <v>3.441115E7</v>
      </c>
      <c r="C723" s="307" t="s">
        <v>1420</v>
      </c>
      <c r="D723" s="308" t="s">
        <v>9902</v>
      </c>
      <c r="E723" s="305" t="s">
        <v>9903</v>
      </c>
      <c r="F723" s="309" t="s">
        <v>9904</v>
      </c>
      <c r="G723" s="236"/>
      <c r="H723" s="307" t="s">
        <v>1420</v>
      </c>
      <c r="I723" s="237"/>
      <c r="J723" s="237"/>
      <c r="K723" s="310" t="s">
        <v>9901</v>
      </c>
      <c r="L723" s="237"/>
      <c r="M723" s="237"/>
      <c r="N723" s="237"/>
      <c r="O723" s="237"/>
      <c r="P723" s="237"/>
      <c r="Q723" s="237"/>
      <c r="R723" s="237"/>
      <c r="S723" s="237"/>
      <c r="T723" s="237"/>
      <c r="U723" s="237"/>
      <c r="V723" s="237"/>
      <c r="W723" s="237"/>
      <c r="X723" s="237"/>
      <c r="Y723" s="237"/>
      <c r="Z723" s="237"/>
    </row>
    <row r="724">
      <c r="A724" s="305">
        <v>723.0</v>
      </c>
      <c r="B724" s="306">
        <v>3.44102E7</v>
      </c>
      <c r="C724" s="307" t="s">
        <v>1420</v>
      </c>
      <c r="D724" s="308" t="s">
        <v>9897</v>
      </c>
      <c r="E724" s="305" t="s">
        <v>9898</v>
      </c>
      <c r="F724" s="309" t="s">
        <v>9899</v>
      </c>
      <c r="G724" s="236"/>
      <c r="H724" s="307" t="s">
        <v>1420</v>
      </c>
      <c r="I724" s="237"/>
      <c r="J724" s="237"/>
      <c r="K724" s="310" t="s">
        <v>9896</v>
      </c>
      <c r="L724" s="237"/>
      <c r="M724" s="237"/>
      <c r="N724" s="237"/>
      <c r="O724" s="237"/>
      <c r="P724" s="237"/>
      <c r="Q724" s="237"/>
      <c r="R724" s="237"/>
      <c r="S724" s="237"/>
      <c r="T724" s="237"/>
      <c r="U724" s="237"/>
      <c r="V724" s="237"/>
      <c r="W724" s="237"/>
      <c r="X724" s="237"/>
      <c r="Y724" s="237"/>
      <c r="Z724" s="237"/>
    </row>
    <row r="725">
      <c r="A725" s="305">
        <v>724.0</v>
      </c>
      <c r="B725" s="236"/>
      <c r="C725" s="307" t="s">
        <v>1420</v>
      </c>
      <c r="D725" s="308" t="s">
        <v>10818</v>
      </c>
      <c r="E725" s="305" t="s">
        <v>10819</v>
      </c>
      <c r="F725" s="309" t="s">
        <v>10820</v>
      </c>
      <c r="G725" s="236"/>
      <c r="H725" s="307" t="s">
        <v>1420</v>
      </c>
      <c r="I725" s="237"/>
      <c r="J725" s="237"/>
      <c r="K725" s="310" t="s">
        <v>10817</v>
      </c>
      <c r="L725" s="237"/>
      <c r="M725" s="237"/>
      <c r="N725" s="237"/>
      <c r="O725" s="237"/>
      <c r="P725" s="237"/>
      <c r="Q725" s="237"/>
      <c r="R725" s="237"/>
      <c r="S725" s="237"/>
      <c r="T725" s="237"/>
      <c r="U725" s="237"/>
      <c r="V725" s="237"/>
      <c r="W725" s="237"/>
      <c r="X725" s="237"/>
      <c r="Y725" s="237"/>
      <c r="Z725" s="237"/>
    </row>
    <row r="726">
      <c r="A726" s="305">
        <v>725.0</v>
      </c>
      <c r="B726" s="236"/>
      <c r="C726" s="307" t="s">
        <v>1420</v>
      </c>
      <c r="D726" s="308" t="s">
        <v>10848</v>
      </c>
      <c r="E726" s="305" t="s">
        <v>10849</v>
      </c>
      <c r="F726" s="309" t="s">
        <v>10850</v>
      </c>
      <c r="G726" s="236"/>
      <c r="H726" s="307" t="s">
        <v>1420</v>
      </c>
      <c r="I726" s="237"/>
      <c r="J726" s="237"/>
      <c r="K726" s="310" t="s">
        <v>10847</v>
      </c>
      <c r="L726" s="237"/>
      <c r="M726" s="237"/>
      <c r="N726" s="237"/>
      <c r="O726" s="237"/>
      <c r="P726" s="237"/>
      <c r="Q726" s="237"/>
      <c r="R726" s="237"/>
      <c r="S726" s="237"/>
      <c r="T726" s="237"/>
      <c r="U726" s="237"/>
      <c r="V726" s="237"/>
      <c r="W726" s="237"/>
      <c r="X726" s="237"/>
      <c r="Y726" s="237"/>
      <c r="Z726" s="237"/>
    </row>
    <row r="727">
      <c r="A727" s="305">
        <v>726.0</v>
      </c>
      <c r="B727" s="236"/>
      <c r="C727" s="307" t="s">
        <v>1420</v>
      </c>
      <c r="D727" s="308" t="s">
        <v>10844</v>
      </c>
      <c r="E727" s="305" t="s">
        <v>10845</v>
      </c>
      <c r="F727" s="309" t="s">
        <v>10846</v>
      </c>
      <c r="G727" s="236"/>
      <c r="H727" s="307" t="s">
        <v>1420</v>
      </c>
      <c r="I727" s="237"/>
      <c r="J727" s="237"/>
      <c r="K727" s="310" t="s">
        <v>10843</v>
      </c>
      <c r="L727" s="237"/>
      <c r="M727" s="237"/>
      <c r="N727" s="237"/>
      <c r="O727" s="237"/>
      <c r="P727" s="237"/>
      <c r="Q727" s="237"/>
      <c r="R727" s="237"/>
      <c r="S727" s="237"/>
      <c r="T727" s="237"/>
      <c r="U727" s="237"/>
      <c r="V727" s="237"/>
      <c r="W727" s="237"/>
      <c r="X727" s="237"/>
      <c r="Y727" s="237"/>
      <c r="Z727" s="237"/>
    </row>
    <row r="728">
      <c r="A728" s="305">
        <v>727.0</v>
      </c>
      <c r="B728" s="306">
        <v>2.36201E7</v>
      </c>
      <c r="C728" s="307" t="s">
        <v>1420</v>
      </c>
      <c r="D728" s="308" t="s">
        <v>10840</v>
      </c>
      <c r="E728" s="305" t="s">
        <v>10841</v>
      </c>
      <c r="F728" s="309" t="s">
        <v>10842</v>
      </c>
      <c r="G728" s="236"/>
      <c r="H728" s="307" t="s">
        <v>1420</v>
      </c>
      <c r="I728" s="237"/>
      <c r="J728" s="237"/>
      <c r="K728" s="310" t="s">
        <v>10839</v>
      </c>
      <c r="L728" s="237"/>
      <c r="M728" s="237"/>
      <c r="N728" s="237"/>
      <c r="O728" s="237"/>
      <c r="P728" s="237"/>
      <c r="Q728" s="237"/>
      <c r="R728" s="237"/>
      <c r="S728" s="237"/>
      <c r="T728" s="237"/>
      <c r="U728" s="237"/>
      <c r="V728" s="237"/>
      <c r="W728" s="237"/>
      <c r="X728" s="237"/>
      <c r="Y728" s="237"/>
      <c r="Z728" s="237"/>
    </row>
    <row r="729">
      <c r="A729" s="305">
        <v>728.0</v>
      </c>
      <c r="B729" s="236"/>
      <c r="C729" s="307" t="s">
        <v>1420</v>
      </c>
      <c r="D729" s="308" t="s">
        <v>10860</v>
      </c>
      <c r="E729" s="305" t="s">
        <v>10861</v>
      </c>
      <c r="F729" s="309" t="s">
        <v>10862</v>
      </c>
      <c r="G729" s="236"/>
      <c r="H729" s="307" t="s">
        <v>1420</v>
      </c>
      <c r="I729" s="237"/>
      <c r="J729" s="237"/>
      <c r="K729" s="310" t="s">
        <v>10859</v>
      </c>
      <c r="L729" s="237"/>
      <c r="M729" s="237"/>
      <c r="N729" s="237"/>
      <c r="O729" s="237"/>
      <c r="P729" s="237"/>
      <c r="Q729" s="237"/>
      <c r="R729" s="237"/>
      <c r="S729" s="237"/>
      <c r="T729" s="237"/>
      <c r="U729" s="237"/>
      <c r="V729" s="237"/>
      <c r="W729" s="237"/>
      <c r="X729" s="237"/>
      <c r="Y729" s="237"/>
      <c r="Z729" s="237"/>
    </row>
    <row r="730">
      <c r="A730" s="305">
        <v>729.0</v>
      </c>
      <c r="B730" s="236"/>
      <c r="C730" s="307" t="s">
        <v>1420</v>
      </c>
      <c r="D730" s="308" t="s">
        <v>10852</v>
      </c>
      <c r="E730" s="305" t="s">
        <v>10853</v>
      </c>
      <c r="F730" s="309" t="s">
        <v>10854</v>
      </c>
      <c r="G730" s="236"/>
      <c r="H730" s="307" t="s">
        <v>1420</v>
      </c>
      <c r="I730" s="237"/>
      <c r="J730" s="237"/>
      <c r="K730" s="310" t="s">
        <v>10851</v>
      </c>
      <c r="L730" s="237"/>
      <c r="M730" s="237"/>
      <c r="N730" s="237"/>
      <c r="O730" s="237"/>
      <c r="P730" s="237"/>
      <c r="Q730" s="237"/>
      <c r="R730" s="237"/>
      <c r="S730" s="237"/>
      <c r="T730" s="237"/>
      <c r="U730" s="237"/>
      <c r="V730" s="237"/>
      <c r="W730" s="237"/>
      <c r="X730" s="237"/>
      <c r="Y730" s="237"/>
      <c r="Z730" s="237"/>
    </row>
    <row r="731">
      <c r="A731" s="305">
        <v>730.0</v>
      </c>
      <c r="B731" s="236"/>
      <c r="C731" s="307" t="s">
        <v>1420</v>
      </c>
      <c r="D731" s="308" t="s">
        <v>10835</v>
      </c>
      <c r="E731" s="305" t="s">
        <v>10836</v>
      </c>
      <c r="F731" s="309" t="s">
        <v>10837</v>
      </c>
      <c r="G731" s="236"/>
      <c r="H731" s="307" t="s">
        <v>1420</v>
      </c>
      <c r="I731" s="237"/>
      <c r="J731" s="237"/>
      <c r="K731" s="310" t="s">
        <v>10834</v>
      </c>
      <c r="L731" s="237"/>
      <c r="M731" s="237"/>
      <c r="N731" s="237"/>
      <c r="O731" s="237"/>
      <c r="P731" s="237"/>
      <c r="Q731" s="237"/>
      <c r="R731" s="237"/>
      <c r="S731" s="237"/>
      <c r="T731" s="237"/>
      <c r="U731" s="237"/>
      <c r="V731" s="237"/>
      <c r="W731" s="237"/>
      <c r="X731" s="237"/>
      <c r="Y731" s="237"/>
      <c r="Z731" s="237"/>
    </row>
    <row r="732">
      <c r="A732" s="305">
        <v>731.0</v>
      </c>
      <c r="B732" s="236"/>
      <c r="C732" s="307" t="s">
        <v>1420</v>
      </c>
      <c r="D732" s="308" t="s">
        <v>10856</v>
      </c>
      <c r="E732" s="305" t="s">
        <v>10857</v>
      </c>
      <c r="F732" s="309" t="s">
        <v>10858</v>
      </c>
      <c r="G732" s="236"/>
      <c r="H732" s="307" t="s">
        <v>1420</v>
      </c>
      <c r="I732" s="237"/>
      <c r="J732" s="237"/>
      <c r="K732" s="310" t="s">
        <v>10855</v>
      </c>
      <c r="L732" s="237"/>
      <c r="M732" s="237"/>
      <c r="N732" s="237"/>
      <c r="O732" s="237"/>
      <c r="P732" s="237"/>
      <c r="Q732" s="237"/>
      <c r="R732" s="237"/>
      <c r="S732" s="237"/>
      <c r="T732" s="237"/>
      <c r="U732" s="237"/>
      <c r="V732" s="237"/>
      <c r="W732" s="237"/>
      <c r="X732" s="237"/>
      <c r="Y732" s="237"/>
      <c r="Z732" s="237"/>
    </row>
    <row r="733">
      <c r="A733" s="305">
        <v>732.0</v>
      </c>
      <c r="B733" s="236"/>
      <c r="C733" s="307" t="s">
        <v>1420</v>
      </c>
      <c r="D733" s="308" t="s">
        <v>11860</v>
      </c>
      <c r="E733" s="305" t="s">
        <v>11861</v>
      </c>
      <c r="F733" s="309" t="s">
        <v>14104</v>
      </c>
      <c r="G733" s="236"/>
      <c r="H733" s="307" t="s">
        <v>1420</v>
      </c>
      <c r="I733" s="237"/>
      <c r="J733" s="237"/>
      <c r="K733" s="310" t="s">
        <v>11859</v>
      </c>
      <c r="L733" s="237"/>
      <c r="M733" s="237"/>
      <c r="N733" s="237"/>
      <c r="O733" s="237"/>
      <c r="P733" s="237"/>
      <c r="Q733" s="237"/>
      <c r="R733" s="237"/>
      <c r="S733" s="237"/>
      <c r="T733" s="237"/>
      <c r="U733" s="237"/>
      <c r="V733" s="237"/>
      <c r="W733" s="237"/>
      <c r="X733" s="237"/>
      <c r="Y733" s="237"/>
      <c r="Z733" s="237"/>
    </row>
    <row r="734">
      <c r="A734" s="305">
        <v>733.0</v>
      </c>
      <c r="B734" s="236"/>
      <c r="C734" s="307" t="s">
        <v>1420</v>
      </c>
      <c r="D734" s="308" t="s">
        <v>11812</v>
      </c>
      <c r="E734" s="305" t="s">
        <v>11813</v>
      </c>
      <c r="F734" s="309" t="s">
        <v>14105</v>
      </c>
      <c r="G734" s="236"/>
      <c r="H734" s="307" t="s">
        <v>1420</v>
      </c>
      <c r="I734" s="237"/>
      <c r="J734" s="237"/>
      <c r="K734" s="310" t="s">
        <v>11811</v>
      </c>
      <c r="L734" s="237"/>
      <c r="M734" s="237"/>
      <c r="N734" s="237"/>
      <c r="O734" s="237"/>
      <c r="P734" s="237"/>
      <c r="Q734" s="237"/>
      <c r="R734" s="237"/>
      <c r="S734" s="237"/>
      <c r="T734" s="237"/>
      <c r="U734" s="237"/>
      <c r="V734" s="237"/>
      <c r="W734" s="237"/>
      <c r="X734" s="237"/>
      <c r="Y734" s="237"/>
      <c r="Z734" s="237"/>
    </row>
    <row r="735">
      <c r="A735" s="305">
        <v>734.0</v>
      </c>
      <c r="B735" s="236"/>
      <c r="C735" s="307" t="s">
        <v>1420</v>
      </c>
      <c r="D735" s="308" t="s">
        <v>11844</v>
      </c>
      <c r="E735" s="305" t="s">
        <v>11845</v>
      </c>
      <c r="F735" s="309" t="s">
        <v>14106</v>
      </c>
      <c r="G735" s="236"/>
      <c r="H735" s="307" t="s">
        <v>1420</v>
      </c>
      <c r="I735" s="237"/>
      <c r="J735" s="237"/>
      <c r="K735" s="310" t="s">
        <v>11843</v>
      </c>
      <c r="L735" s="237"/>
      <c r="M735" s="237"/>
      <c r="N735" s="237"/>
      <c r="O735" s="237"/>
      <c r="P735" s="237"/>
      <c r="Q735" s="237"/>
      <c r="R735" s="237"/>
      <c r="S735" s="237"/>
      <c r="T735" s="237"/>
      <c r="U735" s="237"/>
      <c r="V735" s="237"/>
      <c r="W735" s="237"/>
      <c r="X735" s="237"/>
      <c r="Y735" s="237"/>
      <c r="Z735" s="237"/>
    </row>
    <row r="736">
      <c r="A736" s="305">
        <v>735.0</v>
      </c>
      <c r="B736" s="236"/>
      <c r="C736" s="307" t="s">
        <v>1420</v>
      </c>
      <c r="D736" s="308" t="s">
        <v>11828</v>
      </c>
      <c r="E736" s="305" t="s">
        <v>11829</v>
      </c>
      <c r="F736" s="309" t="s">
        <v>14107</v>
      </c>
      <c r="G736" s="236"/>
      <c r="H736" s="307" t="s">
        <v>1420</v>
      </c>
      <c r="I736" s="237"/>
      <c r="J736" s="237"/>
      <c r="K736" s="310" t="s">
        <v>11827</v>
      </c>
      <c r="L736" s="237"/>
      <c r="M736" s="237"/>
      <c r="N736" s="237"/>
      <c r="O736" s="237"/>
      <c r="P736" s="237"/>
      <c r="Q736" s="237"/>
      <c r="R736" s="237"/>
      <c r="S736" s="237"/>
      <c r="T736" s="237"/>
      <c r="U736" s="237"/>
      <c r="V736" s="237"/>
      <c r="W736" s="237"/>
      <c r="X736" s="237"/>
      <c r="Y736" s="237"/>
      <c r="Z736" s="237"/>
    </row>
    <row r="737">
      <c r="A737" s="305">
        <v>736.0</v>
      </c>
      <c r="B737" s="236"/>
      <c r="C737" s="307" t="s">
        <v>1420</v>
      </c>
      <c r="D737" s="308" t="s">
        <v>11824</v>
      </c>
      <c r="E737" s="305" t="s">
        <v>11825</v>
      </c>
      <c r="F737" s="309" t="s">
        <v>14108</v>
      </c>
      <c r="G737" s="236"/>
      <c r="H737" s="307" t="s">
        <v>1420</v>
      </c>
      <c r="I737" s="237"/>
      <c r="J737" s="237"/>
      <c r="K737" s="310" t="s">
        <v>11823</v>
      </c>
      <c r="L737" s="237"/>
      <c r="M737" s="237"/>
      <c r="N737" s="237"/>
      <c r="O737" s="237"/>
      <c r="P737" s="237"/>
      <c r="Q737" s="237"/>
      <c r="R737" s="237"/>
      <c r="S737" s="237"/>
      <c r="T737" s="237"/>
      <c r="U737" s="237"/>
      <c r="V737" s="237"/>
      <c r="W737" s="237"/>
      <c r="X737" s="237"/>
      <c r="Y737" s="237"/>
      <c r="Z737" s="237"/>
    </row>
    <row r="738">
      <c r="A738" s="305">
        <v>737.0</v>
      </c>
      <c r="B738" s="236"/>
      <c r="C738" s="307" t="s">
        <v>1420</v>
      </c>
      <c r="D738" s="308" t="s">
        <v>11820</v>
      </c>
      <c r="E738" s="305" t="s">
        <v>11821</v>
      </c>
      <c r="F738" s="309" t="s">
        <v>14109</v>
      </c>
      <c r="G738" s="236"/>
      <c r="H738" s="307" t="s">
        <v>1420</v>
      </c>
      <c r="I738" s="237"/>
      <c r="J738" s="237"/>
      <c r="K738" s="310" t="s">
        <v>11819</v>
      </c>
      <c r="L738" s="237"/>
      <c r="M738" s="237"/>
      <c r="N738" s="237"/>
      <c r="O738" s="237"/>
      <c r="P738" s="237"/>
      <c r="Q738" s="237"/>
      <c r="R738" s="237"/>
      <c r="S738" s="237"/>
      <c r="T738" s="237"/>
      <c r="U738" s="237"/>
      <c r="V738" s="237"/>
      <c r="W738" s="237"/>
      <c r="X738" s="237"/>
      <c r="Y738" s="237"/>
      <c r="Z738" s="237"/>
    </row>
    <row r="739">
      <c r="A739" s="305">
        <v>738.0</v>
      </c>
      <c r="B739" s="236"/>
      <c r="C739" s="307" t="s">
        <v>1420</v>
      </c>
      <c r="D739" s="308" t="s">
        <v>11903</v>
      </c>
      <c r="E739" s="305" t="s">
        <v>11904</v>
      </c>
      <c r="F739" s="309" t="s">
        <v>11905</v>
      </c>
      <c r="G739" s="236"/>
      <c r="H739" s="307" t="s">
        <v>1420</v>
      </c>
      <c r="I739" s="237"/>
      <c r="J739" s="237"/>
      <c r="K739" s="310" t="s">
        <v>11901</v>
      </c>
      <c r="L739" s="237"/>
      <c r="M739" s="237"/>
      <c r="N739" s="237"/>
      <c r="O739" s="237"/>
      <c r="P739" s="237"/>
      <c r="Q739" s="237"/>
      <c r="R739" s="237"/>
      <c r="S739" s="237"/>
      <c r="T739" s="237"/>
      <c r="U739" s="237"/>
      <c r="V739" s="237"/>
      <c r="W739" s="237"/>
      <c r="X739" s="237"/>
      <c r="Y739" s="237"/>
      <c r="Z739" s="237"/>
    </row>
    <row r="740">
      <c r="A740" s="305">
        <v>739.0</v>
      </c>
      <c r="B740" s="236"/>
      <c r="C740" s="307" t="s">
        <v>1420</v>
      </c>
      <c r="D740" s="308" t="s">
        <v>11888</v>
      </c>
      <c r="E740" s="305" t="s">
        <v>11889</v>
      </c>
      <c r="F740" s="309" t="s">
        <v>14110</v>
      </c>
      <c r="G740" s="236"/>
      <c r="H740" s="307" t="s">
        <v>1420</v>
      </c>
      <c r="I740" s="237"/>
      <c r="J740" s="237"/>
      <c r="K740" s="310" t="s">
        <v>11886</v>
      </c>
      <c r="L740" s="237"/>
      <c r="M740" s="237"/>
      <c r="N740" s="237"/>
      <c r="O740" s="237"/>
      <c r="P740" s="237"/>
      <c r="Q740" s="237"/>
      <c r="R740" s="237"/>
      <c r="S740" s="237"/>
      <c r="T740" s="237"/>
      <c r="U740" s="237"/>
      <c r="V740" s="237"/>
      <c r="W740" s="237"/>
      <c r="X740" s="237"/>
      <c r="Y740" s="237"/>
      <c r="Z740" s="237"/>
    </row>
    <row r="741">
      <c r="A741" s="305">
        <v>740.0</v>
      </c>
      <c r="B741" s="236"/>
      <c r="C741" s="307" t="s">
        <v>1420</v>
      </c>
      <c r="D741" s="308" t="s">
        <v>11911</v>
      </c>
      <c r="E741" s="305" t="s">
        <v>11912</v>
      </c>
      <c r="F741" s="309" t="s">
        <v>11913</v>
      </c>
      <c r="G741" s="236"/>
      <c r="H741" s="307" t="s">
        <v>1420</v>
      </c>
      <c r="I741" s="237"/>
      <c r="J741" s="237"/>
      <c r="K741" s="310" t="s">
        <v>11910</v>
      </c>
      <c r="L741" s="237"/>
      <c r="M741" s="237"/>
      <c r="N741" s="237"/>
      <c r="O741" s="237"/>
      <c r="P741" s="237"/>
      <c r="Q741" s="237"/>
      <c r="R741" s="237"/>
      <c r="S741" s="237"/>
      <c r="T741" s="237"/>
      <c r="U741" s="237"/>
      <c r="V741" s="237"/>
      <c r="W741" s="237"/>
      <c r="X741" s="237"/>
      <c r="Y741" s="237"/>
      <c r="Z741" s="237"/>
    </row>
    <row r="742">
      <c r="A742" s="305">
        <v>741.0</v>
      </c>
      <c r="B742" s="236"/>
      <c r="C742" s="307" t="s">
        <v>1420</v>
      </c>
      <c r="D742" s="308" t="s">
        <v>11856</v>
      </c>
      <c r="E742" s="305" t="s">
        <v>11857</v>
      </c>
      <c r="F742" s="309" t="s">
        <v>14111</v>
      </c>
      <c r="G742" s="236"/>
      <c r="H742" s="307" t="s">
        <v>1420</v>
      </c>
      <c r="I742" s="237"/>
      <c r="J742" s="237"/>
      <c r="K742" s="310" t="s">
        <v>11855</v>
      </c>
      <c r="L742" s="237"/>
      <c r="M742" s="237"/>
      <c r="N742" s="237"/>
      <c r="O742" s="237"/>
      <c r="P742" s="237"/>
      <c r="Q742" s="237"/>
      <c r="R742" s="237"/>
      <c r="S742" s="237"/>
      <c r="T742" s="237"/>
      <c r="U742" s="237"/>
      <c r="V742" s="237"/>
      <c r="W742" s="237"/>
      <c r="X742" s="237"/>
      <c r="Y742" s="237"/>
      <c r="Z742" s="237"/>
    </row>
    <row r="743">
      <c r="A743" s="305">
        <v>742.0</v>
      </c>
      <c r="B743" s="236"/>
      <c r="C743" s="307" t="s">
        <v>1420</v>
      </c>
      <c r="D743" s="308" t="s">
        <v>11878</v>
      </c>
      <c r="E743" s="305" t="s">
        <v>11879</v>
      </c>
      <c r="F743" s="309" t="s">
        <v>11880</v>
      </c>
      <c r="G743" s="236"/>
      <c r="H743" s="307" t="s">
        <v>1420</v>
      </c>
      <c r="I743" s="237"/>
      <c r="J743" s="237"/>
      <c r="K743" s="310" t="s">
        <v>11876</v>
      </c>
      <c r="L743" s="237"/>
      <c r="M743" s="237"/>
      <c r="N743" s="237"/>
      <c r="O743" s="237"/>
      <c r="P743" s="237"/>
      <c r="Q743" s="237"/>
      <c r="R743" s="237"/>
      <c r="S743" s="237"/>
      <c r="T743" s="237"/>
      <c r="U743" s="237"/>
      <c r="V743" s="237"/>
      <c r="W743" s="237"/>
      <c r="X743" s="237"/>
      <c r="Y743" s="237"/>
      <c r="Z743" s="237"/>
    </row>
    <row r="744">
      <c r="A744" s="305">
        <v>743.0</v>
      </c>
      <c r="B744" s="236"/>
      <c r="C744" s="307" t="s">
        <v>1420</v>
      </c>
      <c r="D744" s="308" t="s">
        <v>11852</v>
      </c>
      <c r="E744" s="305" t="s">
        <v>11853</v>
      </c>
      <c r="F744" s="309" t="s">
        <v>14112</v>
      </c>
      <c r="G744" s="236"/>
      <c r="H744" s="307" t="s">
        <v>1420</v>
      </c>
      <c r="I744" s="237"/>
      <c r="J744" s="237"/>
      <c r="K744" s="310" t="s">
        <v>11851</v>
      </c>
      <c r="L744" s="237"/>
      <c r="M744" s="237"/>
      <c r="N744" s="237"/>
      <c r="O744" s="237"/>
      <c r="P744" s="237"/>
      <c r="Q744" s="237"/>
      <c r="R744" s="237"/>
      <c r="S744" s="237"/>
      <c r="T744" s="237"/>
      <c r="U744" s="237"/>
      <c r="V744" s="237"/>
      <c r="W744" s="237"/>
      <c r="X744" s="237"/>
      <c r="Y744" s="237"/>
      <c r="Z744" s="237"/>
    </row>
    <row r="745">
      <c r="A745" s="305">
        <v>744.0</v>
      </c>
      <c r="B745" s="236"/>
      <c r="C745" s="307" t="s">
        <v>1420</v>
      </c>
      <c r="D745" s="308" t="s">
        <v>12610</v>
      </c>
      <c r="E745" s="305" t="s">
        <v>12611</v>
      </c>
      <c r="F745" s="309" t="s">
        <v>12612</v>
      </c>
      <c r="G745" s="236"/>
      <c r="H745" s="307" t="s">
        <v>1420</v>
      </c>
      <c r="I745" s="237"/>
      <c r="J745" s="237"/>
      <c r="K745" s="310" t="s">
        <v>12609</v>
      </c>
      <c r="L745" s="237"/>
      <c r="M745" s="237"/>
      <c r="N745" s="237"/>
      <c r="O745" s="237"/>
      <c r="P745" s="237"/>
      <c r="Q745" s="237"/>
      <c r="R745" s="237"/>
      <c r="S745" s="237"/>
      <c r="T745" s="237"/>
      <c r="U745" s="237"/>
      <c r="V745" s="237"/>
      <c r="W745" s="237"/>
      <c r="X745" s="237"/>
      <c r="Y745" s="237"/>
      <c r="Z745" s="237"/>
    </row>
    <row r="746">
      <c r="A746" s="305">
        <v>745.0</v>
      </c>
      <c r="B746" s="236"/>
      <c r="C746" s="307" t="s">
        <v>1420</v>
      </c>
      <c r="D746" s="308" t="s">
        <v>12594</v>
      </c>
      <c r="E746" s="305" t="s">
        <v>12595</v>
      </c>
      <c r="F746" s="309" t="s">
        <v>12596</v>
      </c>
      <c r="G746" s="236"/>
      <c r="H746" s="307" t="s">
        <v>1420</v>
      </c>
      <c r="I746" s="237"/>
      <c r="J746" s="237"/>
      <c r="K746" s="310" t="s">
        <v>12593</v>
      </c>
      <c r="L746" s="237"/>
      <c r="M746" s="237"/>
      <c r="N746" s="237"/>
      <c r="O746" s="237"/>
      <c r="P746" s="237"/>
      <c r="Q746" s="237"/>
      <c r="R746" s="237"/>
      <c r="S746" s="237"/>
      <c r="T746" s="237"/>
      <c r="U746" s="237"/>
      <c r="V746" s="237"/>
      <c r="W746" s="237"/>
      <c r="X746" s="237"/>
      <c r="Y746" s="237"/>
      <c r="Z746" s="237"/>
    </row>
    <row r="747">
      <c r="A747" s="305">
        <v>746.0</v>
      </c>
      <c r="B747" s="236"/>
      <c r="C747" s="307" t="s">
        <v>1420</v>
      </c>
      <c r="D747" s="308" t="s">
        <v>12602</v>
      </c>
      <c r="E747" s="305" t="s">
        <v>12603</v>
      </c>
      <c r="F747" s="309" t="s">
        <v>12604</v>
      </c>
      <c r="G747" s="236"/>
      <c r="H747" s="307" t="s">
        <v>1420</v>
      </c>
      <c r="I747" s="237"/>
      <c r="J747" s="237"/>
      <c r="K747" s="310" t="s">
        <v>12601</v>
      </c>
      <c r="L747" s="237"/>
      <c r="M747" s="237"/>
      <c r="N747" s="237"/>
      <c r="O747" s="237"/>
      <c r="P747" s="237"/>
      <c r="Q747" s="237"/>
      <c r="R747" s="237"/>
      <c r="S747" s="237"/>
      <c r="T747" s="237"/>
      <c r="U747" s="237"/>
      <c r="V747" s="237"/>
      <c r="W747" s="237"/>
      <c r="X747" s="237"/>
      <c r="Y747" s="237"/>
      <c r="Z747" s="237"/>
    </row>
    <row r="748">
      <c r="A748" s="305">
        <v>747.0</v>
      </c>
      <c r="B748" s="236"/>
      <c r="C748" s="307" t="s">
        <v>1420</v>
      </c>
      <c r="D748" s="308" t="s">
        <v>12614</v>
      </c>
      <c r="E748" s="305" t="s">
        <v>12615</v>
      </c>
      <c r="F748" s="309" t="s">
        <v>12616</v>
      </c>
      <c r="G748" s="236"/>
      <c r="H748" s="307" t="s">
        <v>1420</v>
      </c>
      <c r="I748" s="237"/>
      <c r="J748" s="237"/>
      <c r="K748" s="310" t="s">
        <v>12613</v>
      </c>
      <c r="L748" s="237"/>
      <c r="M748" s="237"/>
      <c r="N748" s="237"/>
      <c r="O748" s="237"/>
      <c r="P748" s="237"/>
      <c r="Q748" s="237"/>
      <c r="R748" s="237"/>
      <c r="S748" s="237"/>
      <c r="T748" s="237"/>
      <c r="U748" s="237"/>
      <c r="V748" s="237"/>
      <c r="W748" s="237"/>
      <c r="X748" s="237"/>
      <c r="Y748" s="237"/>
      <c r="Z748" s="237"/>
    </row>
    <row r="749">
      <c r="A749" s="305">
        <v>748.0</v>
      </c>
      <c r="B749" s="236"/>
      <c r="C749" s="307" t="s">
        <v>1420</v>
      </c>
      <c r="D749" s="308" t="s">
        <v>12598</v>
      </c>
      <c r="E749" s="305" t="s">
        <v>12599</v>
      </c>
      <c r="F749" s="309" t="s">
        <v>12600</v>
      </c>
      <c r="G749" s="236"/>
      <c r="H749" s="307" t="s">
        <v>1420</v>
      </c>
      <c r="I749" s="237"/>
      <c r="J749" s="237"/>
      <c r="K749" s="310" t="s">
        <v>12597</v>
      </c>
      <c r="L749" s="237"/>
      <c r="M749" s="237"/>
      <c r="N749" s="237"/>
      <c r="O749" s="237"/>
      <c r="P749" s="237"/>
      <c r="Q749" s="237"/>
      <c r="R749" s="237"/>
      <c r="S749" s="237"/>
      <c r="T749" s="237"/>
      <c r="U749" s="237"/>
      <c r="V749" s="237"/>
      <c r="W749" s="237"/>
      <c r="X749" s="237"/>
      <c r="Y749" s="237"/>
      <c r="Z749" s="237"/>
    </row>
    <row r="750">
      <c r="A750" s="305">
        <v>749.0</v>
      </c>
      <c r="B750" s="236"/>
      <c r="C750" s="307" t="s">
        <v>1420</v>
      </c>
      <c r="D750" s="308" t="s">
        <v>12606</v>
      </c>
      <c r="E750" s="305" t="s">
        <v>12607</v>
      </c>
      <c r="F750" s="309" t="s">
        <v>12608</v>
      </c>
      <c r="G750" s="236"/>
      <c r="H750" s="307" t="s">
        <v>1420</v>
      </c>
      <c r="I750" s="237"/>
      <c r="J750" s="237"/>
      <c r="K750" s="310" t="s">
        <v>12605</v>
      </c>
      <c r="L750" s="237"/>
      <c r="M750" s="237"/>
      <c r="N750" s="237"/>
      <c r="O750" s="237"/>
      <c r="P750" s="237"/>
      <c r="Q750" s="237"/>
      <c r="R750" s="237"/>
      <c r="S750" s="237"/>
      <c r="T750" s="237"/>
      <c r="U750" s="237"/>
      <c r="V750" s="237"/>
      <c r="W750" s="237"/>
      <c r="X750" s="237"/>
      <c r="Y750" s="237"/>
      <c r="Z750" s="237"/>
    </row>
    <row r="751">
      <c r="A751" s="305">
        <v>750.0</v>
      </c>
      <c r="B751" s="236"/>
      <c r="C751" s="307" t="s">
        <v>1420</v>
      </c>
      <c r="D751" s="308" t="s">
        <v>11873</v>
      </c>
      <c r="E751" s="305" t="s">
        <v>11874</v>
      </c>
      <c r="F751" s="309" t="s">
        <v>11875</v>
      </c>
      <c r="G751" s="236"/>
      <c r="H751" s="307" t="s">
        <v>1420</v>
      </c>
      <c r="I751" s="237"/>
      <c r="J751" s="237"/>
      <c r="K751" s="310" t="s">
        <v>11872</v>
      </c>
      <c r="L751" s="237"/>
      <c r="M751" s="237"/>
      <c r="N751" s="237"/>
      <c r="O751" s="237"/>
      <c r="P751" s="237"/>
      <c r="Q751" s="237"/>
      <c r="R751" s="237"/>
      <c r="S751" s="237"/>
      <c r="T751" s="237"/>
      <c r="U751" s="237"/>
      <c r="V751" s="237"/>
      <c r="W751" s="237"/>
      <c r="X751" s="237"/>
      <c r="Y751" s="237"/>
      <c r="Z751" s="237"/>
    </row>
    <row r="752">
      <c r="A752" s="305">
        <v>751.0</v>
      </c>
      <c r="B752" s="236"/>
      <c r="C752" s="307" t="s">
        <v>1420</v>
      </c>
      <c r="D752" s="308" t="s">
        <v>11864</v>
      </c>
      <c r="E752" s="305" t="s">
        <v>11865</v>
      </c>
      <c r="F752" s="309" t="s">
        <v>14113</v>
      </c>
      <c r="G752" s="236"/>
      <c r="H752" s="307" t="s">
        <v>1420</v>
      </c>
      <c r="I752" s="237"/>
      <c r="J752" s="237"/>
      <c r="K752" s="310" t="s">
        <v>11863</v>
      </c>
      <c r="L752" s="237"/>
      <c r="M752" s="237"/>
      <c r="N752" s="237"/>
      <c r="O752" s="237"/>
      <c r="P752" s="237"/>
      <c r="Q752" s="237"/>
      <c r="R752" s="237"/>
      <c r="S752" s="237"/>
      <c r="T752" s="237"/>
      <c r="U752" s="237"/>
      <c r="V752" s="237"/>
      <c r="W752" s="237"/>
      <c r="X752" s="237"/>
      <c r="Y752" s="237"/>
      <c r="Z752" s="237"/>
    </row>
    <row r="753">
      <c r="A753" s="305">
        <v>752.0</v>
      </c>
      <c r="B753" s="236"/>
      <c r="C753" s="307" t="s">
        <v>1420</v>
      </c>
      <c r="D753" s="308" t="s">
        <v>11848</v>
      </c>
      <c r="E753" s="305" t="s">
        <v>11849</v>
      </c>
      <c r="F753" s="309" t="s">
        <v>14114</v>
      </c>
      <c r="G753" s="236"/>
      <c r="H753" s="307" t="s">
        <v>1420</v>
      </c>
      <c r="I753" s="237"/>
      <c r="J753" s="237"/>
      <c r="K753" s="310" t="s">
        <v>11847</v>
      </c>
      <c r="L753" s="237"/>
      <c r="M753" s="237"/>
      <c r="N753" s="237"/>
      <c r="O753" s="237"/>
      <c r="P753" s="237"/>
      <c r="Q753" s="237"/>
      <c r="R753" s="237"/>
      <c r="S753" s="237"/>
      <c r="T753" s="237"/>
      <c r="U753" s="237"/>
      <c r="V753" s="237"/>
      <c r="W753" s="237"/>
      <c r="X753" s="237"/>
      <c r="Y753" s="237"/>
      <c r="Z753" s="237"/>
    </row>
    <row r="754">
      <c r="A754" s="305">
        <v>753.0</v>
      </c>
      <c r="B754" s="236"/>
      <c r="C754" s="307" t="s">
        <v>1420</v>
      </c>
      <c r="D754" s="308" t="s">
        <v>11816</v>
      </c>
      <c r="E754" s="305" t="s">
        <v>11817</v>
      </c>
      <c r="F754" s="309" t="s">
        <v>14115</v>
      </c>
      <c r="G754" s="236"/>
      <c r="H754" s="307" t="s">
        <v>1420</v>
      </c>
      <c r="I754" s="237"/>
      <c r="J754" s="237"/>
      <c r="K754" s="310" t="s">
        <v>11815</v>
      </c>
      <c r="L754" s="237"/>
      <c r="M754" s="237"/>
      <c r="N754" s="237"/>
      <c r="O754" s="237"/>
      <c r="P754" s="237"/>
      <c r="Q754" s="237"/>
      <c r="R754" s="237"/>
      <c r="S754" s="237"/>
      <c r="T754" s="237"/>
      <c r="U754" s="237"/>
      <c r="V754" s="237"/>
      <c r="W754" s="237"/>
      <c r="X754" s="237"/>
      <c r="Y754" s="237"/>
      <c r="Z754" s="237"/>
    </row>
    <row r="755">
      <c r="A755" s="305">
        <v>754.0</v>
      </c>
      <c r="B755" s="236"/>
      <c r="C755" s="307" t="s">
        <v>1420</v>
      </c>
      <c r="D755" s="308" t="s">
        <v>11869</v>
      </c>
      <c r="E755" s="305" t="s">
        <v>11870</v>
      </c>
      <c r="F755" s="309" t="s">
        <v>11871</v>
      </c>
      <c r="G755" s="236"/>
      <c r="H755" s="307" t="s">
        <v>1420</v>
      </c>
      <c r="I755" s="237"/>
      <c r="J755" s="237"/>
      <c r="K755" s="310" t="s">
        <v>11867</v>
      </c>
      <c r="L755" s="237"/>
      <c r="M755" s="237"/>
      <c r="N755" s="237"/>
      <c r="O755" s="237"/>
      <c r="P755" s="237"/>
      <c r="Q755" s="237"/>
      <c r="R755" s="237"/>
      <c r="S755" s="237"/>
      <c r="T755" s="237"/>
      <c r="U755" s="237"/>
      <c r="V755" s="237"/>
      <c r="W755" s="237"/>
      <c r="X755" s="237"/>
      <c r="Y755" s="237"/>
      <c r="Z755" s="237"/>
    </row>
    <row r="756">
      <c r="A756" s="305">
        <v>755.0</v>
      </c>
      <c r="B756" s="236"/>
      <c r="C756" s="307" t="s">
        <v>1420</v>
      </c>
      <c r="D756" s="308" t="s">
        <v>11893</v>
      </c>
      <c r="E756" s="305" t="s">
        <v>11894</v>
      </c>
      <c r="F756" s="309" t="s">
        <v>14116</v>
      </c>
      <c r="G756" s="236"/>
      <c r="H756" s="307" t="s">
        <v>1420</v>
      </c>
      <c r="I756" s="237"/>
      <c r="J756" s="237"/>
      <c r="K756" s="310" t="s">
        <v>11891</v>
      </c>
      <c r="L756" s="237"/>
      <c r="M756" s="237"/>
      <c r="N756" s="237"/>
      <c r="O756" s="237"/>
      <c r="P756" s="237"/>
      <c r="Q756" s="237"/>
      <c r="R756" s="237"/>
      <c r="S756" s="237"/>
      <c r="T756" s="237"/>
      <c r="U756" s="237"/>
      <c r="V756" s="237"/>
      <c r="W756" s="237"/>
      <c r="X756" s="237"/>
      <c r="Y756" s="237"/>
      <c r="Z756" s="237"/>
    </row>
    <row r="757">
      <c r="A757" s="305">
        <v>756.0</v>
      </c>
      <c r="B757" s="236"/>
      <c r="C757" s="307" t="s">
        <v>1420</v>
      </c>
      <c r="D757" s="308" t="s">
        <v>11807</v>
      </c>
      <c r="E757" s="305" t="s">
        <v>11808</v>
      </c>
      <c r="F757" s="309" t="s">
        <v>14117</v>
      </c>
      <c r="G757" s="236"/>
      <c r="H757" s="307" t="s">
        <v>1420</v>
      </c>
      <c r="I757" s="237"/>
      <c r="J757" s="237"/>
      <c r="K757" s="310" t="s">
        <v>11806</v>
      </c>
      <c r="L757" s="237"/>
      <c r="M757" s="237"/>
      <c r="N757" s="237"/>
      <c r="O757" s="237"/>
      <c r="P757" s="237"/>
      <c r="Q757" s="237"/>
      <c r="R757" s="237"/>
      <c r="S757" s="237"/>
      <c r="T757" s="237"/>
      <c r="U757" s="237"/>
      <c r="V757" s="237"/>
      <c r="W757" s="237"/>
      <c r="X757" s="237"/>
      <c r="Y757" s="237"/>
      <c r="Z757" s="237"/>
    </row>
    <row r="758">
      <c r="A758" s="305">
        <v>757.0</v>
      </c>
      <c r="B758" s="236"/>
      <c r="C758" s="307" t="s">
        <v>1420</v>
      </c>
      <c r="D758" s="308" t="s">
        <v>11836</v>
      </c>
      <c r="E758" s="305" t="s">
        <v>11837</v>
      </c>
      <c r="F758" s="309" t="s">
        <v>14118</v>
      </c>
      <c r="G758" s="236"/>
      <c r="H758" s="307" t="s">
        <v>1420</v>
      </c>
      <c r="I758" s="237"/>
      <c r="J758" s="237"/>
      <c r="K758" s="310" t="s">
        <v>11835</v>
      </c>
      <c r="L758" s="237"/>
      <c r="M758" s="237"/>
      <c r="N758" s="237"/>
      <c r="O758" s="237"/>
      <c r="P758" s="237"/>
      <c r="Q758" s="237"/>
      <c r="R758" s="237"/>
      <c r="S758" s="237"/>
      <c r="T758" s="237"/>
      <c r="U758" s="237"/>
      <c r="V758" s="237"/>
      <c r="W758" s="237"/>
      <c r="X758" s="237"/>
      <c r="Y758" s="237"/>
      <c r="Z758" s="237"/>
    </row>
    <row r="759">
      <c r="A759" s="305">
        <v>758.0</v>
      </c>
      <c r="B759" s="236"/>
      <c r="C759" s="307" t="s">
        <v>1420</v>
      </c>
      <c r="D759" s="308" t="s">
        <v>11832</v>
      </c>
      <c r="E759" s="305" t="s">
        <v>11833</v>
      </c>
      <c r="F759" s="309" t="s">
        <v>14119</v>
      </c>
      <c r="G759" s="236"/>
      <c r="H759" s="307" t="s">
        <v>1420</v>
      </c>
      <c r="I759" s="237"/>
      <c r="J759" s="237"/>
      <c r="K759" s="310" t="s">
        <v>11831</v>
      </c>
      <c r="L759" s="237"/>
      <c r="M759" s="237"/>
      <c r="N759" s="237"/>
      <c r="O759" s="237"/>
      <c r="P759" s="237"/>
      <c r="Q759" s="237"/>
      <c r="R759" s="237"/>
      <c r="S759" s="237"/>
      <c r="T759" s="237"/>
      <c r="U759" s="237"/>
      <c r="V759" s="237"/>
      <c r="W759" s="237"/>
      <c r="X759" s="237"/>
      <c r="Y759" s="237"/>
      <c r="Z759" s="237"/>
    </row>
    <row r="760">
      <c r="A760" s="305">
        <v>759.0</v>
      </c>
      <c r="B760" s="236"/>
      <c r="C760" s="307" t="s">
        <v>1420</v>
      </c>
      <c r="D760" s="308" t="s">
        <v>11883</v>
      </c>
      <c r="E760" s="305" t="s">
        <v>11884</v>
      </c>
      <c r="F760" s="309" t="s">
        <v>11885</v>
      </c>
      <c r="G760" s="236"/>
      <c r="H760" s="307" t="s">
        <v>1420</v>
      </c>
      <c r="I760" s="237"/>
      <c r="J760" s="237"/>
      <c r="K760" s="310" t="s">
        <v>11881</v>
      </c>
      <c r="L760" s="237"/>
      <c r="M760" s="237"/>
      <c r="N760" s="237"/>
      <c r="O760" s="237"/>
      <c r="P760" s="237"/>
      <c r="Q760" s="237"/>
      <c r="R760" s="237"/>
      <c r="S760" s="237"/>
      <c r="T760" s="237"/>
      <c r="U760" s="237"/>
      <c r="V760" s="237"/>
      <c r="W760" s="237"/>
      <c r="X760" s="237"/>
      <c r="Y760" s="237"/>
      <c r="Z760" s="237"/>
    </row>
    <row r="761">
      <c r="A761" s="305">
        <v>760.0</v>
      </c>
      <c r="B761" s="236"/>
      <c r="C761" s="307" t="s">
        <v>1420</v>
      </c>
      <c r="D761" s="308" t="s">
        <v>11898</v>
      </c>
      <c r="E761" s="305" t="s">
        <v>11899</v>
      </c>
      <c r="F761" s="309" t="s">
        <v>11900</v>
      </c>
      <c r="G761" s="236"/>
      <c r="H761" s="307" t="s">
        <v>1420</v>
      </c>
      <c r="I761" s="237"/>
      <c r="J761" s="237"/>
      <c r="K761" s="310" t="s">
        <v>11896</v>
      </c>
      <c r="L761" s="237"/>
      <c r="M761" s="237"/>
      <c r="N761" s="237"/>
      <c r="O761" s="237"/>
      <c r="P761" s="237"/>
      <c r="Q761" s="237"/>
      <c r="R761" s="237"/>
      <c r="S761" s="237"/>
      <c r="T761" s="237"/>
      <c r="U761" s="237"/>
      <c r="V761" s="237"/>
      <c r="W761" s="237"/>
      <c r="X761" s="237"/>
      <c r="Y761" s="237"/>
      <c r="Z761" s="237"/>
    </row>
    <row r="762">
      <c r="A762" s="305">
        <v>761.0</v>
      </c>
      <c r="B762" s="236"/>
      <c r="C762" s="307" t="s">
        <v>1420</v>
      </c>
      <c r="D762" s="308" t="s">
        <v>11840</v>
      </c>
      <c r="E762" s="305" t="s">
        <v>11841</v>
      </c>
      <c r="F762" s="309" t="s">
        <v>14120</v>
      </c>
      <c r="G762" s="236"/>
      <c r="H762" s="307" t="s">
        <v>1420</v>
      </c>
      <c r="I762" s="237"/>
      <c r="J762" s="237"/>
      <c r="K762" s="310" t="s">
        <v>11839</v>
      </c>
      <c r="L762" s="237"/>
      <c r="M762" s="237"/>
      <c r="N762" s="237"/>
      <c r="O762" s="237"/>
      <c r="P762" s="237"/>
      <c r="Q762" s="237"/>
      <c r="R762" s="237"/>
      <c r="S762" s="237"/>
      <c r="T762" s="237"/>
      <c r="U762" s="237"/>
      <c r="V762" s="237"/>
      <c r="W762" s="237"/>
      <c r="X762" s="237"/>
      <c r="Y762" s="237"/>
      <c r="Z762" s="237"/>
    </row>
    <row r="763">
      <c r="A763" s="305">
        <v>762.0</v>
      </c>
      <c r="B763" s="236"/>
      <c r="C763" s="307" t="s">
        <v>1420</v>
      </c>
      <c r="D763" s="308" t="s">
        <v>13091</v>
      </c>
      <c r="E763" s="236"/>
      <c r="F763" s="309" t="s">
        <v>14121</v>
      </c>
      <c r="G763" s="236"/>
      <c r="H763" s="307" t="s">
        <v>1420</v>
      </c>
      <c r="I763" s="237"/>
      <c r="J763" s="237"/>
      <c r="K763" s="310" t="s">
        <v>13090</v>
      </c>
      <c r="L763" s="237"/>
      <c r="M763" s="237"/>
      <c r="N763" s="237"/>
      <c r="O763" s="237"/>
      <c r="P763" s="237"/>
      <c r="Q763" s="237"/>
      <c r="R763" s="237"/>
      <c r="S763" s="237"/>
      <c r="T763" s="237"/>
      <c r="U763" s="237"/>
      <c r="V763" s="237"/>
      <c r="W763" s="237"/>
      <c r="X763" s="237"/>
      <c r="Y763" s="237"/>
      <c r="Z763" s="237"/>
    </row>
    <row r="764">
      <c r="A764" s="305">
        <v>763.0</v>
      </c>
      <c r="B764" s="306" t="s">
        <v>13042</v>
      </c>
      <c r="C764" s="307" t="s">
        <v>1420</v>
      </c>
      <c r="D764" s="308" t="s">
        <v>1483</v>
      </c>
      <c r="E764" s="236"/>
      <c r="F764" s="309" t="s">
        <v>14122</v>
      </c>
      <c r="G764" s="236"/>
      <c r="H764" s="307" t="s">
        <v>1420</v>
      </c>
      <c r="I764" s="237"/>
      <c r="J764" s="237"/>
      <c r="K764" s="310" t="s">
        <v>13041</v>
      </c>
      <c r="L764" s="237"/>
      <c r="M764" s="237"/>
      <c r="N764" s="237"/>
      <c r="O764" s="237"/>
      <c r="P764" s="237"/>
      <c r="Q764" s="237"/>
      <c r="R764" s="237"/>
      <c r="S764" s="237"/>
      <c r="T764" s="237"/>
      <c r="U764" s="237"/>
      <c r="V764" s="237"/>
      <c r="W764" s="237"/>
      <c r="X764" s="237"/>
      <c r="Y764" s="237"/>
      <c r="Z764" s="237"/>
    </row>
    <row r="765">
      <c r="A765" s="305">
        <v>764.0</v>
      </c>
      <c r="B765" s="306" t="s">
        <v>13052</v>
      </c>
      <c r="C765" s="307" t="s">
        <v>1420</v>
      </c>
      <c r="D765" s="308" t="s">
        <v>1487</v>
      </c>
      <c r="E765" s="236"/>
      <c r="F765" s="309" t="s">
        <v>14123</v>
      </c>
      <c r="G765" s="236"/>
      <c r="H765" s="307" t="s">
        <v>1420</v>
      </c>
      <c r="I765" s="237"/>
      <c r="J765" s="237"/>
      <c r="K765" s="310" t="s">
        <v>13051</v>
      </c>
      <c r="L765" s="237"/>
      <c r="M765" s="237"/>
      <c r="N765" s="237"/>
      <c r="O765" s="237"/>
      <c r="P765" s="237"/>
      <c r="Q765" s="237"/>
      <c r="R765" s="237"/>
      <c r="S765" s="237"/>
      <c r="T765" s="237"/>
      <c r="U765" s="237"/>
      <c r="V765" s="237"/>
      <c r="W765" s="237"/>
      <c r="X765" s="237"/>
      <c r="Y765" s="237"/>
      <c r="Z765" s="237"/>
    </row>
    <row r="766">
      <c r="A766" s="305">
        <v>765.0</v>
      </c>
      <c r="B766" s="306" t="s">
        <v>13376</v>
      </c>
      <c r="C766" s="307" t="s">
        <v>1420</v>
      </c>
      <c r="D766" s="308" t="s">
        <v>1704</v>
      </c>
      <c r="E766" s="305" t="s">
        <v>13377</v>
      </c>
      <c r="F766" s="309" t="s">
        <v>14124</v>
      </c>
      <c r="G766" s="236"/>
      <c r="H766" s="307" t="s">
        <v>1420</v>
      </c>
      <c r="I766" s="237"/>
      <c r="J766" s="237"/>
      <c r="K766" s="310" t="s">
        <v>13375</v>
      </c>
      <c r="L766" s="237"/>
      <c r="M766" s="237"/>
      <c r="N766" s="237"/>
      <c r="O766" s="237"/>
      <c r="P766" s="237"/>
      <c r="Q766" s="237"/>
      <c r="R766" s="237"/>
      <c r="S766" s="237"/>
      <c r="T766" s="237"/>
      <c r="U766" s="237"/>
      <c r="V766" s="237"/>
      <c r="W766" s="237"/>
      <c r="X766" s="237"/>
      <c r="Y766" s="237"/>
      <c r="Z766" s="237"/>
    </row>
    <row r="767">
      <c r="A767" s="305">
        <v>766.0</v>
      </c>
      <c r="B767" s="236"/>
      <c r="C767" s="307" t="s">
        <v>14007</v>
      </c>
      <c r="D767" s="308" t="s">
        <v>1945</v>
      </c>
      <c r="E767" s="236"/>
      <c r="F767" s="236"/>
      <c r="G767" s="236"/>
      <c r="H767" s="307" t="s">
        <v>14007</v>
      </c>
      <c r="I767" s="237"/>
      <c r="J767" s="237"/>
      <c r="K767" s="310" t="s">
        <v>13870</v>
      </c>
      <c r="L767" s="237"/>
      <c r="M767" s="237"/>
      <c r="N767" s="237"/>
      <c r="O767" s="237"/>
      <c r="P767" s="237"/>
      <c r="Q767" s="237"/>
      <c r="R767" s="237"/>
      <c r="S767" s="237"/>
      <c r="T767" s="237"/>
      <c r="U767" s="237"/>
      <c r="V767" s="237"/>
      <c r="W767" s="237"/>
      <c r="X767" s="237"/>
      <c r="Y767" s="237"/>
      <c r="Z767" s="237"/>
    </row>
    <row r="768">
      <c r="A768" s="305">
        <v>767.0</v>
      </c>
      <c r="B768" s="236"/>
      <c r="C768" s="307" t="s">
        <v>14007</v>
      </c>
      <c r="D768" s="308" t="s">
        <v>1944</v>
      </c>
      <c r="E768" s="236"/>
      <c r="F768" s="236"/>
      <c r="G768" s="236"/>
      <c r="H768" s="307" t="s">
        <v>14007</v>
      </c>
      <c r="I768" s="237"/>
      <c r="J768" s="237"/>
      <c r="K768" s="310" t="s">
        <v>13869</v>
      </c>
      <c r="L768" s="237"/>
      <c r="M768" s="237"/>
      <c r="N768" s="237"/>
      <c r="O768" s="237"/>
      <c r="P768" s="237"/>
      <c r="Q768" s="237"/>
      <c r="R768" s="237"/>
      <c r="S768" s="237"/>
      <c r="T768" s="237"/>
      <c r="U768" s="237"/>
      <c r="V768" s="237"/>
      <c r="W768" s="237"/>
      <c r="X768" s="237"/>
      <c r="Y768" s="237"/>
      <c r="Z768" s="237"/>
    </row>
    <row r="769">
      <c r="A769" s="305">
        <v>768.0</v>
      </c>
      <c r="B769" s="306" t="s">
        <v>13045</v>
      </c>
      <c r="C769" s="307" t="s">
        <v>1420</v>
      </c>
      <c r="D769" s="308" t="s">
        <v>1484</v>
      </c>
      <c r="E769" s="236"/>
      <c r="F769" s="309" t="s">
        <v>14125</v>
      </c>
      <c r="G769" s="236"/>
      <c r="H769" s="307" t="s">
        <v>1420</v>
      </c>
      <c r="I769" s="237"/>
      <c r="J769" s="237"/>
      <c r="K769" s="310" t="s">
        <v>13044</v>
      </c>
      <c r="L769" s="237"/>
      <c r="M769" s="237"/>
      <c r="N769" s="237"/>
      <c r="O769" s="237"/>
      <c r="P769" s="237"/>
      <c r="Q769" s="237"/>
      <c r="R769" s="237"/>
      <c r="S769" s="237"/>
      <c r="T769" s="237"/>
      <c r="U769" s="237"/>
      <c r="V769" s="237"/>
      <c r="W769" s="237"/>
      <c r="X769" s="237"/>
      <c r="Y769" s="237"/>
      <c r="Z769" s="237"/>
    </row>
    <row r="770">
      <c r="A770" s="305">
        <v>769.0</v>
      </c>
      <c r="B770" s="306" t="s">
        <v>13055</v>
      </c>
      <c r="C770" s="307" t="s">
        <v>1420</v>
      </c>
      <c r="D770" s="308" t="s">
        <v>1488</v>
      </c>
      <c r="E770" s="236"/>
      <c r="F770" s="309" t="s">
        <v>14126</v>
      </c>
      <c r="G770" s="236"/>
      <c r="H770" s="307" t="s">
        <v>1420</v>
      </c>
      <c r="I770" s="237"/>
      <c r="J770" s="237"/>
      <c r="K770" s="310" t="s">
        <v>13054</v>
      </c>
      <c r="L770" s="237"/>
      <c r="M770" s="237"/>
      <c r="N770" s="237"/>
      <c r="O770" s="237"/>
      <c r="P770" s="237"/>
      <c r="Q770" s="237"/>
      <c r="R770" s="237"/>
      <c r="S770" s="237"/>
      <c r="T770" s="237"/>
      <c r="U770" s="237"/>
      <c r="V770" s="237"/>
      <c r="W770" s="237"/>
      <c r="X770" s="237"/>
      <c r="Y770" s="237"/>
      <c r="Z770" s="237"/>
    </row>
    <row r="771">
      <c r="A771" s="305">
        <v>770.0</v>
      </c>
      <c r="B771" s="306" t="s">
        <v>13050</v>
      </c>
      <c r="C771" s="307" t="s">
        <v>1420</v>
      </c>
      <c r="D771" s="308" t="s">
        <v>1486</v>
      </c>
      <c r="E771" s="236"/>
      <c r="F771" s="236"/>
      <c r="G771" s="236"/>
      <c r="H771" s="307" t="s">
        <v>1420</v>
      </c>
      <c r="I771" s="237"/>
      <c r="J771" s="237"/>
      <c r="K771" s="310" t="s">
        <v>13049</v>
      </c>
      <c r="L771" s="237"/>
      <c r="M771" s="237"/>
      <c r="N771" s="237"/>
      <c r="O771" s="237"/>
      <c r="P771" s="237"/>
      <c r="Q771" s="237"/>
      <c r="R771" s="237"/>
      <c r="S771" s="237"/>
      <c r="T771" s="237"/>
      <c r="U771" s="237"/>
      <c r="V771" s="237"/>
      <c r="W771" s="237"/>
      <c r="X771" s="237"/>
      <c r="Y771" s="237"/>
      <c r="Z771" s="237"/>
    </row>
    <row r="772">
      <c r="A772" s="305">
        <v>771.0</v>
      </c>
      <c r="B772" s="306" t="s">
        <v>13048</v>
      </c>
      <c r="C772" s="307" t="s">
        <v>1420</v>
      </c>
      <c r="D772" s="308" t="s">
        <v>1485</v>
      </c>
      <c r="E772" s="236"/>
      <c r="F772" s="236"/>
      <c r="G772" s="236"/>
      <c r="H772" s="307" t="s">
        <v>1420</v>
      </c>
      <c r="I772" s="237"/>
      <c r="J772" s="237"/>
      <c r="K772" s="310" t="s">
        <v>13047</v>
      </c>
      <c r="L772" s="237"/>
      <c r="M772" s="237"/>
      <c r="N772" s="237"/>
      <c r="O772" s="237"/>
      <c r="P772" s="237"/>
      <c r="Q772" s="237"/>
      <c r="R772" s="237"/>
      <c r="S772" s="237"/>
      <c r="T772" s="237"/>
      <c r="U772" s="237"/>
      <c r="V772" s="237"/>
      <c r="W772" s="237"/>
      <c r="X772" s="237"/>
      <c r="Y772" s="237"/>
      <c r="Z772" s="237"/>
    </row>
    <row r="773">
      <c r="A773" s="305">
        <v>772.0</v>
      </c>
      <c r="B773" s="236"/>
      <c r="C773" s="307" t="s">
        <v>14007</v>
      </c>
      <c r="D773" s="308" t="s">
        <v>1489</v>
      </c>
      <c r="E773" s="236"/>
      <c r="F773" s="236"/>
      <c r="G773" s="307" t="s">
        <v>13183</v>
      </c>
      <c r="H773" s="307" t="s">
        <v>14007</v>
      </c>
      <c r="I773" s="237"/>
      <c r="J773" s="237"/>
      <c r="K773" s="262"/>
      <c r="L773" s="237"/>
      <c r="M773" s="237"/>
      <c r="N773" s="237"/>
      <c r="O773" s="237"/>
      <c r="P773" s="237"/>
      <c r="Q773" s="237"/>
      <c r="R773" s="237"/>
      <c r="S773" s="237"/>
      <c r="T773" s="237"/>
      <c r="U773" s="237"/>
      <c r="V773" s="237"/>
      <c r="W773" s="237"/>
      <c r="X773" s="237"/>
      <c r="Y773" s="237"/>
      <c r="Z773" s="237"/>
    </row>
    <row r="774">
      <c r="A774" s="305">
        <v>773.0</v>
      </c>
      <c r="B774" s="236"/>
      <c r="C774" s="307" t="s">
        <v>14007</v>
      </c>
      <c r="D774" s="308" t="s">
        <v>1490</v>
      </c>
      <c r="E774" s="236"/>
      <c r="F774" s="236"/>
      <c r="G774" s="307" t="s">
        <v>13183</v>
      </c>
      <c r="H774" s="307" t="s">
        <v>14007</v>
      </c>
      <c r="I774" s="237"/>
      <c r="J774" s="237"/>
      <c r="K774" s="262"/>
      <c r="L774" s="237"/>
      <c r="M774" s="237"/>
      <c r="N774" s="237"/>
      <c r="O774" s="237"/>
      <c r="P774" s="237"/>
      <c r="Q774" s="237"/>
      <c r="R774" s="237"/>
      <c r="S774" s="237"/>
      <c r="T774" s="237"/>
      <c r="U774" s="237"/>
      <c r="V774" s="237"/>
      <c r="W774" s="237"/>
      <c r="X774" s="237"/>
      <c r="Y774" s="237"/>
      <c r="Z774" s="237"/>
    </row>
    <row r="775">
      <c r="A775" s="305">
        <v>774.0</v>
      </c>
      <c r="B775" s="236"/>
      <c r="C775" s="307" t="s">
        <v>14007</v>
      </c>
      <c r="D775" s="308" t="s">
        <v>1491</v>
      </c>
      <c r="E775" s="236"/>
      <c r="F775" s="236"/>
      <c r="G775" s="307" t="s">
        <v>13183</v>
      </c>
      <c r="H775" s="307" t="s">
        <v>14007</v>
      </c>
      <c r="I775" s="237"/>
      <c r="J775" s="237"/>
      <c r="K775" s="262"/>
      <c r="L775" s="237"/>
      <c r="M775" s="237"/>
      <c r="N775" s="237"/>
      <c r="O775" s="237"/>
      <c r="P775" s="237"/>
      <c r="Q775" s="237"/>
      <c r="R775" s="237"/>
      <c r="S775" s="237"/>
      <c r="T775" s="237"/>
      <c r="U775" s="237"/>
      <c r="V775" s="237"/>
      <c r="W775" s="237"/>
      <c r="X775" s="237"/>
      <c r="Y775" s="237"/>
      <c r="Z775" s="237"/>
    </row>
    <row r="776">
      <c r="A776" s="305">
        <v>775.0</v>
      </c>
      <c r="B776" s="306" t="s">
        <v>13380</v>
      </c>
      <c r="C776" s="307" t="s">
        <v>1420</v>
      </c>
      <c r="D776" s="308" t="s">
        <v>1706</v>
      </c>
      <c r="E776" s="305" t="s">
        <v>13381</v>
      </c>
      <c r="F776" s="309" t="s">
        <v>14127</v>
      </c>
      <c r="G776" s="236"/>
      <c r="H776" s="307" t="s">
        <v>1420</v>
      </c>
      <c r="I776" s="237"/>
      <c r="J776" s="237"/>
      <c r="K776" s="310" t="s">
        <v>13379</v>
      </c>
      <c r="L776" s="237"/>
      <c r="M776" s="237"/>
      <c r="N776" s="237"/>
      <c r="O776" s="237"/>
      <c r="P776" s="237"/>
      <c r="Q776" s="237"/>
      <c r="R776" s="237"/>
      <c r="S776" s="237"/>
      <c r="T776" s="237"/>
      <c r="U776" s="237"/>
      <c r="V776" s="237"/>
      <c r="W776" s="237"/>
      <c r="X776" s="237"/>
      <c r="Y776" s="237"/>
      <c r="Z776" s="237"/>
    </row>
    <row r="777">
      <c r="A777" s="305">
        <v>776.0</v>
      </c>
      <c r="B777" s="236"/>
      <c r="C777" s="307" t="s">
        <v>1420</v>
      </c>
      <c r="D777" s="308" t="s">
        <v>5899</v>
      </c>
      <c r="E777" s="305" t="s">
        <v>5437</v>
      </c>
      <c r="F777" s="309" t="s">
        <v>5900</v>
      </c>
      <c r="G777" s="236"/>
      <c r="H777" s="307" t="s">
        <v>1420</v>
      </c>
      <c r="I777" s="237"/>
      <c r="J777" s="237"/>
      <c r="K777" s="310" t="s">
        <v>5898</v>
      </c>
      <c r="L777" s="237"/>
      <c r="M777" s="237"/>
      <c r="N777" s="237"/>
      <c r="O777" s="237"/>
      <c r="P777" s="237"/>
      <c r="Q777" s="237"/>
      <c r="R777" s="237"/>
      <c r="S777" s="237"/>
      <c r="T777" s="237"/>
      <c r="U777" s="237"/>
      <c r="V777" s="237"/>
      <c r="W777" s="237"/>
      <c r="X777" s="237"/>
      <c r="Y777" s="237"/>
      <c r="Z777" s="237"/>
    </row>
    <row r="778">
      <c r="A778" s="305">
        <v>777.0</v>
      </c>
      <c r="B778" s="236"/>
      <c r="C778" s="307" t="s">
        <v>1420</v>
      </c>
      <c r="D778" s="308" t="s">
        <v>5899</v>
      </c>
      <c r="E778" s="305" t="s">
        <v>6753</v>
      </c>
      <c r="F778" s="309" t="s">
        <v>6754</v>
      </c>
      <c r="G778" s="236"/>
      <c r="H778" s="307" t="s">
        <v>1420</v>
      </c>
      <c r="I778" s="237"/>
      <c r="J778" s="237"/>
      <c r="K778" s="310" t="s">
        <v>6752</v>
      </c>
      <c r="L778" s="237"/>
      <c r="M778" s="237"/>
      <c r="N778" s="237"/>
      <c r="O778" s="237"/>
      <c r="P778" s="237"/>
      <c r="Q778" s="237"/>
      <c r="R778" s="237"/>
      <c r="S778" s="237"/>
      <c r="T778" s="237"/>
      <c r="U778" s="237"/>
      <c r="V778" s="237"/>
      <c r="W778" s="237"/>
      <c r="X778" s="237"/>
      <c r="Y778" s="237"/>
      <c r="Z778" s="237"/>
    </row>
    <row r="779">
      <c r="A779" s="305">
        <v>778.0</v>
      </c>
      <c r="B779" s="236"/>
      <c r="C779" s="307" t="s">
        <v>1420</v>
      </c>
      <c r="D779" s="308" t="s">
        <v>5899</v>
      </c>
      <c r="E779" s="305" t="s">
        <v>6800</v>
      </c>
      <c r="F779" s="309" t="s">
        <v>6801</v>
      </c>
      <c r="G779" s="236"/>
      <c r="H779" s="307" t="s">
        <v>1420</v>
      </c>
      <c r="I779" s="237"/>
      <c r="J779" s="237"/>
      <c r="K779" s="310" t="s">
        <v>6799</v>
      </c>
      <c r="L779" s="237"/>
      <c r="M779" s="237"/>
      <c r="N779" s="237"/>
      <c r="O779" s="237"/>
      <c r="P779" s="237"/>
      <c r="Q779" s="237"/>
      <c r="R779" s="237"/>
      <c r="S779" s="237"/>
      <c r="T779" s="237"/>
      <c r="U779" s="237"/>
      <c r="V779" s="237"/>
      <c r="W779" s="237"/>
      <c r="X779" s="237"/>
      <c r="Y779" s="237"/>
      <c r="Z779" s="237"/>
    </row>
    <row r="780">
      <c r="A780" s="305">
        <v>779.0</v>
      </c>
      <c r="B780" s="236"/>
      <c r="C780" s="307" t="s">
        <v>1420</v>
      </c>
      <c r="D780" s="308" t="s">
        <v>5899</v>
      </c>
      <c r="E780" s="305" t="s">
        <v>6842</v>
      </c>
      <c r="F780" s="309" t="s">
        <v>6843</v>
      </c>
      <c r="G780" s="236"/>
      <c r="H780" s="307" t="s">
        <v>1420</v>
      </c>
      <c r="I780" s="237"/>
      <c r="J780" s="237"/>
      <c r="K780" s="310" t="s">
        <v>6841</v>
      </c>
      <c r="L780" s="237"/>
      <c r="M780" s="237"/>
      <c r="N780" s="237"/>
      <c r="O780" s="237"/>
      <c r="P780" s="237"/>
      <c r="Q780" s="237"/>
      <c r="R780" s="237"/>
      <c r="S780" s="237"/>
      <c r="T780" s="237"/>
      <c r="U780" s="237"/>
      <c r="V780" s="237"/>
      <c r="W780" s="237"/>
      <c r="X780" s="237"/>
      <c r="Y780" s="237"/>
      <c r="Z780" s="237"/>
    </row>
    <row r="781">
      <c r="A781" s="305">
        <v>780.0</v>
      </c>
      <c r="B781" s="236"/>
      <c r="C781" s="307" t="s">
        <v>1420</v>
      </c>
      <c r="D781" s="308" t="s">
        <v>5899</v>
      </c>
      <c r="E781" s="305" t="s">
        <v>6879</v>
      </c>
      <c r="F781" s="309" t="s">
        <v>6880</v>
      </c>
      <c r="G781" s="236"/>
      <c r="H781" s="307" t="s">
        <v>1420</v>
      </c>
      <c r="I781" s="237"/>
      <c r="J781" s="237"/>
      <c r="K781" s="310" t="s">
        <v>6878</v>
      </c>
      <c r="L781" s="237"/>
      <c r="M781" s="237"/>
      <c r="N781" s="237"/>
      <c r="O781" s="237"/>
      <c r="P781" s="237"/>
      <c r="Q781" s="237"/>
      <c r="R781" s="237"/>
      <c r="S781" s="237"/>
      <c r="T781" s="237"/>
      <c r="U781" s="237"/>
      <c r="V781" s="237"/>
      <c r="W781" s="237"/>
      <c r="X781" s="237"/>
      <c r="Y781" s="237"/>
      <c r="Z781" s="237"/>
    </row>
    <row r="782">
      <c r="A782" s="305">
        <v>781.0</v>
      </c>
      <c r="B782" s="236"/>
      <c r="C782" s="307" t="s">
        <v>1420</v>
      </c>
      <c r="D782" s="308" t="s">
        <v>5899</v>
      </c>
      <c r="E782" s="305" t="s">
        <v>6888</v>
      </c>
      <c r="F782" s="309" t="s">
        <v>6889</v>
      </c>
      <c r="G782" s="236"/>
      <c r="H782" s="307" t="s">
        <v>1420</v>
      </c>
      <c r="I782" s="237"/>
      <c r="J782" s="237"/>
      <c r="K782" s="310" t="s">
        <v>6887</v>
      </c>
      <c r="L782" s="237"/>
      <c r="M782" s="237"/>
      <c r="N782" s="237"/>
      <c r="O782" s="237"/>
      <c r="P782" s="237"/>
      <c r="Q782" s="237"/>
      <c r="R782" s="237"/>
      <c r="S782" s="237"/>
      <c r="T782" s="237"/>
      <c r="U782" s="237"/>
      <c r="V782" s="237"/>
      <c r="W782" s="237"/>
      <c r="X782" s="237"/>
      <c r="Y782" s="237"/>
      <c r="Z782" s="237"/>
    </row>
    <row r="783">
      <c r="A783" s="305">
        <v>782.0</v>
      </c>
      <c r="B783" s="236"/>
      <c r="C783" s="307" t="s">
        <v>1420</v>
      </c>
      <c r="D783" s="308" t="s">
        <v>5899</v>
      </c>
      <c r="E783" s="305" t="s">
        <v>6918</v>
      </c>
      <c r="F783" s="236"/>
      <c r="G783" s="236"/>
      <c r="H783" s="307" t="s">
        <v>1420</v>
      </c>
      <c r="I783" s="237"/>
      <c r="J783" s="237"/>
      <c r="K783" s="310" t="s">
        <v>6917</v>
      </c>
      <c r="L783" s="237"/>
      <c r="M783" s="237"/>
      <c r="N783" s="237"/>
      <c r="O783" s="237"/>
      <c r="P783" s="237"/>
      <c r="Q783" s="237"/>
      <c r="R783" s="237"/>
      <c r="S783" s="237"/>
      <c r="T783" s="237"/>
      <c r="U783" s="237"/>
      <c r="V783" s="237"/>
      <c r="W783" s="237"/>
      <c r="X783" s="237"/>
      <c r="Y783" s="237"/>
      <c r="Z783" s="237"/>
    </row>
    <row r="784">
      <c r="A784" s="305">
        <v>783.0</v>
      </c>
      <c r="B784" s="236"/>
      <c r="C784" s="307" t="s">
        <v>1420</v>
      </c>
      <c r="D784" s="308" t="s">
        <v>5899</v>
      </c>
      <c r="E784" s="305" t="s">
        <v>6963</v>
      </c>
      <c r="F784" s="309" t="s">
        <v>6964</v>
      </c>
      <c r="G784" s="236"/>
      <c r="H784" s="307" t="s">
        <v>1420</v>
      </c>
      <c r="I784" s="237"/>
      <c r="J784" s="237"/>
      <c r="K784" s="310" t="s">
        <v>6962</v>
      </c>
      <c r="L784" s="237"/>
      <c r="M784" s="237"/>
      <c r="N784" s="237"/>
      <c r="O784" s="237"/>
      <c r="P784" s="237"/>
      <c r="Q784" s="237"/>
      <c r="R784" s="237"/>
      <c r="S784" s="237"/>
      <c r="T784" s="237"/>
      <c r="U784" s="237"/>
      <c r="V784" s="237"/>
      <c r="W784" s="237"/>
      <c r="X784" s="237"/>
      <c r="Y784" s="237"/>
      <c r="Z784" s="237"/>
    </row>
    <row r="785">
      <c r="A785" s="305">
        <v>784.0</v>
      </c>
      <c r="B785" s="236"/>
      <c r="C785" s="307" t="s">
        <v>1420</v>
      </c>
      <c r="D785" s="308" t="s">
        <v>5899</v>
      </c>
      <c r="E785" s="305" t="s">
        <v>7012</v>
      </c>
      <c r="F785" s="309" t="s">
        <v>7013</v>
      </c>
      <c r="G785" s="236"/>
      <c r="H785" s="307" t="s">
        <v>1420</v>
      </c>
      <c r="I785" s="237"/>
      <c r="J785" s="237"/>
      <c r="K785" s="310" t="s">
        <v>7011</v>
      </c>
      <c r="L785" s="237"/>
      <c r="M785" s="237"/>
      <c r="N785" s="237"/>
      <c r="O785" s="237"/>
      <c r="P785" s="237"/>
      <c r="Q785" s="237"/>
      <c r="R785" s="237"/>
      <c r="S785" s="237"/>
      <c r="T785" s="237"/>
      <c r="U785" s="237"/>
      <c r="V785" s="237"/>
      <c r="W785" s="237"/>
      <c r="X785" s="237"/>
      <c r="Y785" s="237"/>
      <c r="Z785" s="237"/>
    </row>
    <row r="786">
      <c r="A786" s="305">
        <v>785.0</v>
      </c>
      <c r="B786" s="236"/>
      <c r="C786" s="307" t="s">
        <v>1420</v>
      </c>
      <c r="D786" s="308" t="s">
        <v>5899</v>
      </c>
      <c r="E786" s="305" t="s">
        <v>7058</v>
      </c>
      <c r="F786" s="309" t="s">
        <v>7059</v>
      </c>
      <c r="G786" s="236"/>
      <c r="H786" s="307" t="s">
        <v>1420</v>
      </c>
      <c r="I786" s="237"/>
      <c r="J786" s="237"/>
      <c r="K786" s="310" t="s">
        <v>7057</v>
      </c>
      <c r="L786" s="237"/>
      <c r="M786" s="237"/>
      <c r="N786" s="237"/>
      <c r="O786" s="237"/>
      <c r="P786" s="237"/>
      <c r="Q786" s="237"/>
      <c r="R786" s="237"/>
      <c r="S786" s="237"/>
      <c r="T786" s="237"/>
      <c r="U786" s="237"/>
      <c r="V786" s="237"/>
      <c r="W786" s="237"/>
      <c r="X786" s="237"/>
      <c r="Y786" s="237"/>
      <c r="Z786" s="237"/>
    </row>
    <row r="787">
      <c r="A787" s="305">
        <v>786.0</v>
      </c>
      <c r="B787" s="236"/>
      <c r="C787" s="307" t="s">
        <v>1420</v>
      </c>
      <c r="D787" s="308" t="s">
        <v>5899</v>
      </c>
      <c r="E787" s="305" t="s">
        <v>7132</v>
      </c>
      <c r="F787" s="309" t="s">
        <v>7133</v>
      </c>
      <c r="G787" s="236"/>
      <c r="H787" s="307" t="s">
        <v>1420</v>
      </c>
      <c r="I787" s="237"/>
      <c r="J787" s="237"/>
      <c r="K787" s="310" t="s">
        <v>7131</v>
      </c>
      <c r="L787" s="237"/>
      <c r="M787" s="237"/>
      <c r="N787" s="237"/>
      <c r="O787" s="237"/>
      <c r="P787" s="237"/>
      <c r="Q787" s="237"/>
      <c r="R787" s="237"/>
      <c r="S787" s="237"/>
      <c r="T787" s="237"/>
      <c r="U787" s="237"/>
      <c r="V787" s="237"/>
      <c r="W787" s="237"/>
      <c r="X787" s="237"/>
      <c r="Y787" s="237"/>
      <c r="Z787" s="237"/>
    </row>
    <row r="788">
      <c r="A788" s="305">
        <v>787.0</v>
      </c>
      <c r="B788" s="236"/>
      <c r="C788" s="307" t="s">
        <v>1420</v>
      </c>
      <c r="D788" s="308" t="s">
        <v>5899</v>
      </c>
      <c r="E788" s="305" t="s">
        <v>7177</v>
      </c>
      <c r="F788" s="309" t="s">
        <v>7178</v>
      </c>
      <c r="G788" s="236"/>
      <c r="H788" s="307" t="s">
        <v>1420</v>
      </c>
      <c r="I788" s="237"/>
      <c r="J788" s="237"/>
      <c r="K788" s="310" t="s">
        <v>7176</v>
      </c>
      <c r="L788" s="237"/>
      <c r="M788" s="237"/>
      <c r="N788" s="237"/>
      <c r="O788" s="237"/>
      <c r="P788" s="237"/>
      <c r="Q788" s="237"/>
      <c r="R788" s="237"/>
      <c r="S788" s="237"/>
      <c r="T788" s="237"/>
      <c r="U788" s="237"/>
      <c r="V788" s="237"/>
      <c r="W788" s="237"/>
      <c r="X788" s="237"/>
      <c r="Y788" s="237"/>
      <c r="Z788" s="237"/>
    </row>
    <row r="789">
      <c r="A789" s="305">
        <v>788.0</v>
      </c>
      <c r="B789" s="236"/>
      <c r="C789" s="307" t="s">
        <v>1420</v>
      </c>
      <c r="D789" s="308" t="s">
        <v>5899</v>
      </c>
      <c r="E789" s="305" t="s">
        <v>7223</v>
      </c>
      <c r="F789" s="309" t="s">
        <v>7224</v>
      </c>
      <c r="G789" s="236"/>
      <c r="H789" s="307" t="s">
        <v>1420</v>
      </c>
      <c r="I789" s="237"/>
      <c r="J789" s="237"/>
      <c r="K789" s="310" t="s">
        <v>7222</v>
      </c>
      <c r="L789" s="237"/>
      <c r="M789" s="237"/>
      <c r="N789" s="237"/>
      <c r="O789" s="237"/>
      <c r="P789" s="237"/>
      <c r="Q789" s="237"/>
      <c r="R789" s="237"/>
      <c r="S789" s="237"/>
      <c r="T789" s="237"/>
      <c r="U789" s="237"/>
      <c r="V789" s="237"/>
      <c r="W789" s="237"/>
      <c r="X789" s="237"/>
      <c r="Y789" s="237"/>
      <c r="Z789" s="237"/>
    </row>
    <row r="790">
      <c r="A790" s="305">
        <v>789.0</v>
      </c>
      <c r="B790" s="236"/>
      <c r="C790" s="307" t="s">
        <v>1420</v>
      </c>
      <c r="D790" s="308" t="s">
        <v>5899</v>
      </c>
      <c r="E790" s="305" t="s">
        <v>7270</v>
      </c>
      <c r="F790" s="309" t="s">
        <v>7271</v>
      </c>
      <c r="G790" s="236"/>
      <c r="H790" s="307" t="s">
        <v>1420</v>
      </c>
      <c r="I790" s="237"/>
      <c r="J790" s="237"/>
      <c r="K790" s="310" t="s">
        <v>7269</v>
      </c>
      <c r="L790" s="237"/>
      <c r="M790" s="237"/>
      <c r="N790" s="237"/>
      <c r="O790" s="237"/>
      <c r="P790" s="237"/>
      <c r="Q790" s="237"/>
      <c r="R790" s="237"/>
      <c r="S790" s="237"/>
      <c r="T790" s="237"/>
      <c r="U790" s="237"/>
      <c r="V790" s="237"/>
      <c r="W790" s="237"/>
      <c r="X790" s="237"/>
      <c r="Y790" s="237"/>
      <c r="Z790" s="237"/>
    </row>
    <row r="791">
      <c r="A791" s="305">
        <v>790.0</v>
      </c>
      <c r="B791" s="236"/>
      <c r="C791" s="307" t="s">
        <v>1420</v>
      </c>
      <c r="D791" s="308" t="s">
        <v>5899</v>
      </c>
      <c r="E791" s="305" t="s">
        <v>7306</v>
      </c>
      <c r="F791" s="309" t="s">
        <v>7307</v>
      </c>
      <c r="G791" s="236"/>
      <c r="H791" s="307" t="s">
        <v>1420</v>
      </c>
      <c r="I791" s="237"/>
      <c r="J791" s="237"/>
      <c r="K791" s="310" t="s">
        <v>7305</v>
      </c>
      <c r="L791" s="237"/>
      <c r="M791" s="237"/>
      <c r="N791" s="237"/>
      <c r="O791" s="237"/>
      <c r="P791" s="237"/>
      <c r="Q791" s="237"/>
      <c r="R791" s="237"/>
      <c r="S791" s="237"/>
      <c r="T791" s="237"/>
      <c r="U791" s="237"/>
      <c r="V791" s="237"/>
      <c r="W791" s="237"/>
      <c r="X791" s="237"/>
      <c r="Y791" s="237"/>
      <c r="Z791" s="237"/>
    </row>
    <row r="792">
      <c r="A792" s="305">
        <v>791.0</v>
      </c>
      <c r="B792" s="236"/>
      <c r="C792" s="307" t="s">
        <v>1366</v>
      </c>
      <c r="D792" s="308" t="s">
        <v>2029</v>
      </c>
      <c r="E792" s="236"/>
      <c r="F792" s="236"/>
      <c r="G792" s="236"/>
      <c r="H792" s="307" t="s">
        <v>1366</v>
      </c>
      <c r="I792" s="237"/>
      <c r="J792" s="237"/>
      <c r="K792" s="310" t="s">
        <v>14128</v>
      </c>
      <c r="L792" s="237"/>
      <c r="M792" s="237"/>
      <c r="N792" s="237"/>
      <c r="O792" s="237"/>
      <c r="P792" s="237"/>
      <c r="Q792" s="237"/>
      <c r="R792" s="237"/>
      <c r="S792" s="237"/>
      <c r="T792" s="237"/>
      <c r="U792" s="237"/>
      <c r="V792" s="237"/>
      <c r="W792" s="237"/>
      <c r="X792" s="237"/>
      <c r="Y792" s="237"/>
      <c r="Z792" s="237"/>
    </row>
    <row r="793">
      <c r="A793" s="305">
        <v>792.0</v>
      </c>
      <c r="B793" s="236"/>
      <c r="C793" s="307" t="s">
        <v>1420</v>
      </c>
      <c r="D793" s="308" t="s">
        <v>7154</v>
      </c>
      <c r="E793" s="305" t="s">
        <v>7155</v>
      </c>
      <c r="F793" s="309" t="s">
        <v>7156</v>
      </c>
      <c r="G793" s="236"/>
      <c r="H793" s="307" t="s">
        <v>1420</v>
      </c>
      <c r="I793" s="237"/>
      <c r="J793" s="237"/>
      <c r="K793" s="310" t="s">
        <v>7153</v>
      </c>
      <c r="L793" s="237"/>
      <c r="M793" s="237"/>
      <c r="N793" s="237"/>
      <c r="O793" s="237"/>
      <c r="P793" s="237"/>
      <c r="Q793" s="237"/>
      <c r="R793" s="237"/>
      <c r="S793" s="237"/>
      <c r="T793" s="237"/>
      <c r="U793" s="237"/>
      <c r="V793" s="237"/>
      <c r="W793" s="237"/>
      <c r="X793" s="237"/>
      <c r="Y793" s="237"/>
      <c r="Z793" s="237"/>
    </row>
    <row r="794">
      <c r="A794" s="305">
        <v>793.0</v>
      </c>
      <c r="B794" s="306">
        <v>421953.0</v>
      </c>
      <c r="C794" s="307" t="s">
        <v>1420</v>
      </c>
      <c r="D794" s="308" t="s">
        <v>7159</v>
      </c>
      <c r="E794" s="305" t="s">
        <v>7160</v>
      </c>
      <c r="F794" s="309" t="s">
        <v>7161</v>
      </c>
      <c r="G794" s="236"/>
      <c r="H794" s="307" t="s">
        <v>1420</v>
      </c>
      <c r="I794" s="237"/>
      <c r="J794" s="237"/>
      <c r="K794" s="310" t="s">
        <v>7158</v>
      </c>
      <c r="L794" s="237"/>
      <c r="M794" s="237"/>
      <c r="N794" s="237"/>
      <c r="O794" s="237"/>
      <c r="P794" s="237"/>
      <c r="Q794" s="237"/>
      <c r="R794" s="237"/>
      <c r="S794" s="237"/>
      <c r="T794" s="237"/>
      <c r="U794" s="237"/>
      <c r="V794" s="237"/>
      <c r="W794" s="237"/>
      <c r="X794" s="237"/>
      <c r="Y794" s="237"/>
      <c r="Z794" s="237"/>
    </row>
    <row r="795">
      <c r="A795" s="305">
        <v>794.0</v>
      </c>
      <c r="B795" s="236"/>
      <c r="C795" s="307" t="s">
        <v>1420</v>
      </c>
      <c r="D795" s="308" t="s">
        <v>8671</v>
      </c>
      <c r="E795" s="305" t="s">
        <v>8672</v>
      </c>
      <c r="F795" s="309" t="s">
        <v>14129</v>
      </c>
      <c r="G795" s="236"/>
      <c r="H795" s="307" t="s">
        <v>1420</v>
      </c>
      <c r="I795" s="237"/>
      <c r="J795" s="237"/>
      <c r="K795" s="310" t="s">
        <v>8670</v>
      </c>
      <c r="L795" s="237"/>
      <c r="M795" s="237"/>
      <c r="N795" s="237"/>
      <c r="O795" s="237"/>
      <c r="P795" s="237"/>
      <c r="Q795" s="237"/>
      <c r="R795" s="237"/>
      <c r="S795" s="237"/>
      <c r="T795" s="237"/>
      <c r="U795" s="237"/>
      <c r="V795" s="237"/>
      <c r="W795" s="237"/>
      <c r="X795" s="237"/>
      <c r="Y795" s="237"/>
      <c r="Z795" s="237"/>
    </row>
    <row r="796">
      <c r="A796" s="305">
        <v>795.0</v>
      </c>
      <c r="B796" s="236"/>
      <c r="C796" s="307" t="s">
        <v>1420</v>
      </c>
      <c r="D796" s="308" t="s">
        <v>8671</v>
      </c>
      <c r="E796" s="305" t="s">
        <v>8672</v>
      </c>
      <c r="F796" s="309" t="s">
        <v>8731</v>
      </c>
      <c r="G796" s="236"/>
      <c r="H796" s="307" t="s">
        <v>1420</v>
      </c>
      <c r="I796" s="237"/>
      <c r="J796" s="237"/>
      <c r="K796" s="310" t="s">
        <v>8730</v>
      </c>
      <c r="L796" s="237"/>
      <c r="M796" s="237"/>
      <c r="N796" s="237"/>
      <c r="O796" s="237"/>
      <c r="P796" s="237"/>
      <c r="Q796" s="237"/>
      <c r="R796" s="237"/>
      <c r="S796" s="237"/>
      <c r="T796" s="237"/>
      <c r="U796" s="237"/>
      <c r="V796" s="237"/>
      <c r="W796" s="237"/>
      <c r="X796" s="237"/>
      <c r="Y796" s="237"/>
      <c r="Z796" s="237"/>
    </row>
    <row r="797">
      <c r="A797" s="305">
        <v>796.0</v>
      </c>
      <c r="B797" s="236"/>
      <c r="C797" s="307" t="s">
        <v>1420</v>
      </c>
      <c r="D797" s="308" t="s">
        <v>8504</v>
      </c>
      <c r="E797" s="305" t="s">
        <v>8505</v>
      </c>
      <c r="F797" s="309" t="s">
        <v>8506</v>
      </c>
      <c r="G797" s="236"/>
      <c r="H797" s="307" t="s">
        <v>1420</v>
      </c>
      <c r="I797" s="237"/>
      <c r="J797" s="237"/>
      <c r="K797" s="310" t="s">
        <v>8503</v>
      </c>
      <c r="L797" s="237"/>
      <c r="M797" s="237"/>
      <c r="N797" s="237"/>
      <c r="O797" s="237"/>
      <c r="P797" s="237"/>
      <c r="Q797" s="237"/>
      <c r="R797" s="237"/>
      <c r="S797" s="237"/>
      <c r="T797" s="237"/>
      <c r="U797" s="237"/>
      <c r="V797" s="237"/>
      <c r="W797" s="237"/>
      <c r="X797" s="237"/>
      <c r="Y797" s="237"/>
      <c r="Z797" s="237"/>
    </row>
    <row r="798">
      <c r="A798" s="305">
        <v>797.0</v>
      </c>
      <c r="B798" s="236"/>
      <c r="C798" s="307" t="s">
        <v>1420</v>
      </c>
      <c r="D798" s="308" t="s">
        <v>8504</v>
      </c>
      <c r="E798" s="305" t="s">
        <v>8505</v>
      </c>
      <c r="F798" s="309" t="s">
        <v>8723</v>
      </c>
      <c r="G798" s="236"/>
      <c r="H798" s="307" t="s">
        <v>1420</v>
      </c>
      <c r="I798" s="237"/>
      <c r="J798" s="237"/>
      <c r="K798" s="310" t="s">
        <v>8722</v>
      </c>
      <c r="L798" s="237"/>
      <c r="M798" s="237"/>
      <c r="N798" s="237"/>
      <c r="O798" s="237"/>
      <c r="P798" s="237"/>
      <c r="Q798" s="237"/>
      <c r="R798" s="237"/>
      <c r="S798" s="237"/>
      <c r="T798" s="237"/>
      <c r="U798" s="237"/>
      <c r="V798" s="237"/>
      <c r="W798" s="237"/>
      <c r="X798" s="237"/>
      <c r="Y798" s="237"/>
      <c r="Z798" s="237"/>
    </row>
    <row r="799">
      <c r="A799" s="305">
        <v>798.0</v>
      </c>
      <c r="B799" s="236"/>
      <c r="C799" s="307" t="s">
        <v>1420</v>
      </c>
      <c r="D799" s="308" t="s">
        <v>8509</v>
      </c>
      <c r="E799" s="305" t="s">
        <v>8510</v>
      </c>
      <c r="F799" s="309" t="s">
        <v>8511</v>
      </c>
      <c r="G799" s="236"/>
      <c r="H799" s="307" t="s">
        <v>1420</v>
      </c>
      <c r="I799" s="237"/>
      <c r="J799" s="237"/>
      <c r="K799" s="310" t="s">
        <v>8508</v>
      </c>
      <c r="L799" s="237"/>
      <c r="M799" s="237"/>
      <c r="N799" s="237"/>
      <c r="O799" s="237"/>
      <c r="P799" s="237"/>
      <c r="Q799" s="237"/>
      <c r="R799" s="237"/>
      <c r="S799" s="237"/>
      <c r="T799" s="237"/>
      <c r="U799" s="237"/>
      <c r="V799" s="237"/>
      <c r="W799" s="237"/>
      <c r="X799" s="237"/>
      <c r="Y799" s="237"/>
      <c r="Z799" s="237"/>
    </row>
    <row r="800">
      <c r="A800" s="305">
        <v>799.0</v>
      </c>
      <c r="B800" s="236"/>
      <c r="C800" s="307" t="s">
        <v>1420</v>
      </c>
      <c r="D800" s="308" t="s">
        <v>8509</v>
      </c>
      <c r="E800" s="305" t="s">
        <v>8510</v>
      </c>
      <c r="F800" s="309" t="s">
        <v>8725</v>
      </c>
      <c r="G800" s="236"/>
      <c r="H800" s="307" t="s">
        <v>1420</v>
      </c>
      <c r="I800" s="237"/>
      <c r="J800" s="237"/>
      <c r="K800" s="310" t="s">
        <v>8724</v>
      </c>
      <c r="L800" s="237"/>
      <c r="M800" s="237"/>
      <c r="N800" s="237"/>
      <c r="O800" s="237"/>
      <c r="P800" s="237"/>
      <c r="Q800" s="237"/>
      <c r="R800" s="237"/>
      <c r="S800" s="237"/>
      <c r="T800" s="237"/>
      <c r="U800" s="237"/>
      <c r="V800" s="237"/>
      <c r="W800" s="237"/>
      <c r="X800" s="237"/>
      <c r="Y800" s="237"/>
      <c r="Z800" s="237"/>
    </row>
    <row r="801">
      <c r="A801" s="305">
        <v>800.0</v>
      </c>
      <c r="B801" s="236"/>
      <c r="C801" s="307" t="s">
        <v>1420</v>
      </c>
      <c r="D801" s="308" t="s">
        <v>8676</v>
      </c>
      <c r="E801" s="305" t="s">
        <v>8677</v>
      </c>
      <c r="F801" s="236"/>
      <c r="G801" s="236"/>
      <c r="H801" s="307" t="s">
        <v>1420</v>
      </c>
      <c r="I801" s="237"/>
      <c r="J801" s="237"/>
      <c r="K801" s="310" t="s">
        <v>8675</v>
      </c>
      <c r="L801" s="237"/>
      <c r="M801" s="237"/>
      <c r="N801" s="237"/>
      <c r="O801" s="237"/>
      <c r="P801" s="237"/>
      <c r="Q801" s="237"/>
      <c r="R801" s="237"/>
      <c r="S801" s="237"/>
      <c r="T801" s="237"/>
      <c r="U801" s="237"/>
      <c r="V801" s="237"/>
      <c r="W801" s="237"/>
      <c r="X801" s="237"/>
      <c r="Y801" s="237"/>
      <c r="Z801" s="237"/>
    </row>
    <row r="802">
      <c r="A802" s="305">
        <v>801.0</v>
      </c>
      <c r="B802" s="236"/>
      <c r="C802" s="307" t="s">
        <v>1420</v>
      </c>
      <c r="D802" s="308" t="s">
        <v>8676</v>
      </c>
      <c r="E802" s="305" t="s">
        <v>8677</v>
      </c>
      <c r="F802" s="309" t="s">
        <v>8733</v>
      </c>
      <c r="G802" s="236"/>
      <c r="H802" s="307" t="s">
        <v>1420</v>
      </c>
      <c r="I802" s="237"/>
      <c r="J802" s="237"/>
      <c r="K802" s="310" t="s">
        <v>8732</v>
      </c>
      <c r="L802" s="237"/>
      <c r="M802" s="237"/>
      <c r="N802" s="237"/>
      <c r="O802" s="237"/>
      <c r="P802" s="237"/>
      <c r="Q802" s="237"/>
      <c r="R802" s="237"/>
      <c r="S802" s="237"/>
      <c r="T802" s="237"/>
      <c r="U802" s="237"/>
      <c r="V802" s="237"/>
      <c r="W802" s="237"/>
      <c r="X802" s="237"/>
      <c r="Y802" s="237"/>
      <c r="Z802" s="237"/>
    </row>
    <row r="803">
      <c r="A803" s="305">
        <v>802.0</v>
      </c>
      <c r="B803" s="236"/>
      <c r="C803" s="307" t="s">
        <v>1420</v>
      </c>
      <c r="D803" s="308" t="s">
        <v>8727</v>
      </c>
      <c r="E803" s="305" t="s">
        <v>8728</v>
      </c>
      <c r="F803" s="309" t="s">
        <v>8729</v>
      </c>
      <c r="G803" s="236"/>
      <c r="H803" s="307" t="s">
        <v>1420</v>
      </c>
      <c r="I803" s="237"/>
      <c r="J803" s="237"/>
      <c r="K803" s="310" t="s">
        <v>8726</v>
      </c>
      <c r="L803" s="237"/>
      <c r="M803" s="237"/>
      <c r="N803" s="237"/>
      <c r="O803" s="237"/>
      <c r="P803" s="237"/>
      <c r="Q803" s="237"/>
      <c r="R803" s="237"/>
      <c r="S803" s="237"/>
      <c r="T803" s="237"/>
      <c r="U803" s="237"/>
      <c r="V803" s="237"/>
      <c r="W803" s="237"/>
      <c r="X803" s="237"/>
      <c r="Y803" s="237"/>
      <c r="Z803" s="237"/>
    </row>
    <row r="804">
      <c r="A804" s="305">
        <v>803.0</v>
      </c>
      <c r="B804" s="306">
        <v>5.0010856E7</v>
      </c>
      <c r="C804" s="307" t="s">
        <v>1420</v>
      </c>
      <c r="D804" s="308" t="s">
        <v>6065</v>
      </c>
      <c r="E804" s="305" t="s">
        <v>6066</v>
      </c>
      <c r="F804" s="309" t="s">
        <v>6067</v>
      </c>
      <c r="G804" s="236"/>
      <c r="H804" s="307" t="s">
        <v>1420</v>
      </c>
      <c r="I804" s="237"/>
      <c r="J804" s="237"/>
      <c r="K804" s="310" t="s">
        <v>6064</v>
      </c>
      <c r="L804" s="237"/>
      <c r="M804" s="237"/>
      <c r="N804" s="237"/>
      <c r="O804" s="237"/>
      <c r="P804" s="237"/>
      <c r="Q804" s="237"/>
      <c r="R804" s="237"/>
      <c r="S804" s="237"/>
      <c r="T804" s="237"/>
      <c r="U804" s="237"/>
      <c r="V804" s="237"/>
      <c r="W804" s="237"/>
      <c r="X804" s="237"/>
      <c r="Y804" s="237"/>
      <c r="Z804" s="237"/>
    </row>
    <row r="805">
      <c r="A805" s="305">
        <v>804.0</v>
      </c>
      <c r="B805" s="306">
        <v>11532.0</v>
      </c>
      <c r="C805" s="307" t="s">
        <v>1420</v>
      </c>
      <c r="D805" s="308" t="s">
        <v>2469</v>
      </c>
      <c r="E805" s="305" t="s">
        <v>5708</v>
      </c>
      <c r="F805" s="309" t="s">
        <v>5844</v>
      </c>
      <c r="G805" s="236"/>
      <c r="H805" s="307" t="s">
        <v>1420</v>
      </c>
      <c r="I805" s="237"/>
      <c r="J805" s="237"/>
      <c r="K805" s="310" t="s">
        <v>5843</v>
      </c>
      <c r="L805" s="237"/>
      <c r="M805" s="237"/>
      <c r="N805" s="237"/>
      <c r="O805" s="237"/>
      <c r="P805" s="237"/>
      <c r="Q805" s="237"/>
      <c r="R805" s="237"/>
      <c r="S805" s="237"/>
      <c r="T805" s="237"/>
      <c r="U805" s="237"/>
      <c r="V805" s="237"/>
      <c r="W805" s="237"/>
      <c r="X805" s="237"/>
      <c r="Y805" s="237"/>
      <c r="Z805" s="237"/>
    </row>
    <row r="806">
      <c r="A806" s="305">
        <v>805.0</v>
      </c>
      <c r="B806" s="236"/>
      <c r="C806" s="307" t="s">
        <v>1420</v>
      </c>
      <c r="D806" s="308" t="s">
        <v>1783</v>
      </c>
      <c r="E806" s="236"/>
      <c r="F806" s="309" t="s">
        <v>13720</v>
      </c>
      <c r="G806" s="236"/>
      <c r="H806" s="307" t="s">
        <v>1420</v>
      </c>
      <c r="I806" s="237"/>
      <c r="J806" s="237"/>
      <c r="K806" s="310" t="s">
        <v>13719</v>
      </c>
      <c r="L806" s="237"/>
      <c r="M806" s="237"/>
      <c r="N806" s="237"/>
      <c r="O806" s="237"/>
      <c r="P806" s="237"/>
      <c r="Q806" s="237"/>
      <c r="R806" s="237"/>
      <c r="S806" s="237"/>
      <c r="T806" s="237"/>
      <c r="U806" s="237"/>
      <c r="V806" s="237"/>
      <c r="W806" s="237"/>
      <c r="X806" s="237"/>
      <c r="Y806" s="237"/>
      <c r="Z806" s="237"/>
    </row>
    <row r="807">
      <c r="A807" s="305">
        <v>806.0</v>
      </c>
      <c r="B807" s="236"/>
      <c r="C807" s="307" t="s">
        <v>1420</v>
      </c>
      <c r="D807" s="308" t="s">
        <v>1784</v>
      </c>
      <c r="E807" s="236"/>
      <c r="F807" s="309" t="s">
        <v>13722</v>
      </c>
      <c r="G807" s="236"/>
      <c r="H807" s="307" t="s">
        <v>1420</v>
      </c>
      <c r="I807" s="237"/>
      <c r="J807" s="237"/>
      <c r="K807" s="310" t="s">
        <v>13721</v>
      </c>
      <c r="L807" s="237"/>
      <c r="M807" s="237"/>
      <c r="N807" s="237"/>
      <c r="O807" s="237"/>
      <c r="P807" s="237"/>
      <c r="Q807" s="237"/>
      <c r="R807" s="237"/>
      <c r="S807" s="237"/>
      <c r="T807" s="237"/>
      <c r="U807" s="237"/>
      <c r="V807" s="237"/>
      <c r="W807" s="237"/>
      <c r="X807" s="237"/>
      <c r="Y807" s="237"/>
      <c r="Z807" s="237"/>
    </row>
    <row r="808">
      <c r="A808" s="305">
        <v>807.0</v>
      </c>
      <c r="B808" s="236"/>
      <c r="C808" s="307" t="s">
        <v>1420</v>
      </c>
      <c r="D808" s="308" t="s">
        <v>12448</v>
      </c>
      <c r="E808" s="305" t="s">
        <v>12449</v>
      </c>
      <c r="F808" s="309" t="s">
        <v>12450</v>
      </c>
      <c r="G808" s="236"/>
      <c r="H808" s="307" t="s">
        <v>1420</v>
      </c>
      <c r="I808" s="237"/>
      <c r="J808" s="237"/>
      <c r="K808" s="310" t="s">
        <v>12447</v>
      </c>
      <c r="L808" s="237"/>
      <c r="M808" s="237"/>
      <c r="N808" s="237"/>
      <c r="O808" s="237"/>
      <c r="P808" s="237"/>
      <c r="Q808" s="237"/>
      <c r="R808" s="237"/>
      <c r="S808" s="237"/>
      <c r="T808" s="237"/>
      <c r="U808" s="237"/>
      <c r="V808" s="237"/>
      <c r="W808" s="237"/>
      <c r="X808" s="237"/>
      <c r="Y808" s="237"/>
      <c r="Z808" s="237"/>
    </row>
    <row r="809">
      <c r="A809" s="305">
        <v>808.0</v>
      </c>
      <c r="B809" s="236"/>
      <c r="C809" s="307" t="s">
        <v>14007</v>
      </c>
      <c r="D809" s="308" t="s">
        <v>12395</v>
      </c>
      <c r="E809" s="305" t="s">
        <v>12396</v>
      </c>
      <c r="F809" s="236"/>
      <c r="G809" s="307" t="s">
        <v>12388</v>
      </c>
      <c r="H809" s="307" t="s">
        <v>14007</v>
      </c>
      <c r="I809" s="237"/>
      <c r="J809" s="237"/>
      <c r="K809" s="310" t="s">
        <v>12394</v>
      </c>
      <c r="L809" s="237"/>
      <c r="M809" s="237"/>
      <c r="N809" s="237"/>
      <c r="O809" s="237"/>
      <c r="P809" s="237"/>
      <c r="Q809" s="237"/>
      <c r="R809" s="237"/>
      <c r="S809" s="237"/>
      <c r="T809" s="237"/>
      <c r="U809" s="237"/>
      <c r="V809" s="237"/>
      <c r="W809" s="237"/>
      <c r="X809" s="237"/>
      <c r="Y809" s="237"/>
      <c r="Z809" s="237"/>
    </row>
    <row r="810">
      <c r="A810" s="305">
        <v>809.0</v>
      </c>
      <c r="B810" s="236"/>
      <c r="C810" s="307" t="s">
        <v>1420</v>
      </c>
      <c r="D810" s="308" t="s">
        <v>12407</v>
      </c>
      <c r="E810" s="305" t="s">
        <v>12408</v>
      </c>
      <c r="F810" s="309" t="s">
        <v>12409</v>
      </c>
      <c r="G810" s="236"/>
      <c r="H810" s="307" t="s">
        <v>1420</v>
      </c>
      <c r="I810" s="237"/>
      <c r="J810" s="237"/>
      <c r="K810" s="310" t="s">
        <v>12406</v>
      </c>
      <c r="L810" s="237"/>
      <c r="M810" s="237"/>
      <c r="N810" s="237"/>
      <c r="O810" s="237"/>
      <c r="P810" s="237"/>
      <c r="Q810" s="237"/>
      <c r="R810" s="237"/>
      <c r="S810" s="237"/>
      <c r="T810" s="237"/>
      <c r="U810" s="237"/>
      <c r="V810" s="237"/>
      <c r="W810" s="237"/>
      <c r="X810" s="237"/>
      <c r="Y810" s="237"/>
      <c r="Z810" s="237"/>
    </row>
    <row r="811">
      <c r="A811" s="305">
        <v>810.0</v>
      </c>
      <c r="B811" s="236"/>
      <c r="C811" s="307" t="s">
        <v>1427</v>
      </c>
      <c r="D811" s="308" t="s">
        <v>12035</v>
      </c>
      <c r="E811" s="305" t="s">
        <v>12036</v>
      </c>
      <c r="F811" s="236"/>
      <c r="G811" s="236"/>
      <c r="H811" s="307" t="s">
        <v>1427</v>
      </c>
      <c r="I811" s="237"/>
      <c r="J811" s="237"/>
      <c r="K811" s="310" t="s">
        <v>12034</v>
      </c>
      <c r="L811" s="237"/>
      <c r="M811" s="237"/>
      <c r="N811" s="237"/>
      <c r="O811" s="237"/>
      <c r="P811" s="237"/>
      <c r="Q811" s="237"/>
      <c r="R811" s="237"/>
      <c r="S811" s="237"/>
      <c r="T811" s="237"/>
      <c r="U811" s="237"/>
      <c r="V811" s="237"/>
      <c r="W811" s="237"/>
      <c r="X811" s="237"/>
      <c r="Y811" s="237"/>
      <c r="Z811" s="237"/>
    </row>
    <row r="812">
      <c r="A812" s="305">
        <v>811.0</v>
      </c>
      <c r="B812" s="306" t="s">
        <v>3747</v>
      </c>
      <c r="C812" s="307" t="s">
        <v>1420</v>
      </c>
      <c r="D812" s="308" t="s">
        <v>2365</v>
      </c>
      <c r="E812" s="305" t="s">
        <v>3749</v>
      </c>
      <c r="F812" s="309" t="s">
        <v>3750</v>
      </c>
      <c r="G812" s="236"/>
      <c r="H812" s="307" t="s">
        <v>1420</v>
      </c>
      <c r="I812" s="237"/>
      <c r="J812" s="237"/>
      <c r="K812" s="310" t="s">
        <v>3748</v>
      </c>
      <c r="L812" s="237"/>
      <c r="M812" s="237"/>
      <c r="N812" s="237"/>
      <c r="O812" s="237"/>
      <c r="P812" s="237"/>
      <c r="Q812" s="237"/>
      <c r="R812" s="237"/>
      <c r="S812" s="237"/>
      <c r="T812" s="237"/>
      <c r="U812" s="237"/>
      <c r="V812" s="237"/>
      <c r="W812" s="237"/>
      <c r="X812" s="237"/>
      <c r="Y812" s="237"/>
      <c r="Z812" s="237"/>
    </row>
    <row r="813">
      <c r="A813" s="305">
        <v>812.0</v>
      </c>
      <c r="B813" s="306" t="s">
        <v>3751</v>
      </c>
      <c r="C813" s="307" t="s">
        <v>1420</v>
      </c>
      <c r="D813" s="308" t="s">
        <v>2366</v>
      </c>
      <c r="E813" s="305" t="s">
        <v>3753</v>
      </c>
      <c r="F813" s="309" t="s">
        <v>3754</v>
      </c>
      <c r="G813" s="236"/>
      <c r="H813" s="307" t="s">
        <v>1420</v>
      </c>
      <c r="I813" s="237"/>
      <c r="J813" s="237"/>
      <c r="K813" s="310" t="s">
        <v>3752</v>
      </c>
      <c r="L813" s="237"/>
      <c r="M813" s="237"/>
      <c r="N813" s="237"/>
      <c r="O813" s="237"/>
      <c r="P813" s="237"/>
      <c r="Q813" s="237"/>
      <c r="R813" s="237"/>
      <c r="S813" s="237"/>
      <c r="T813" s="237"/>
      <c r="U813" s="237"/>
      <c r="V813" s="237"/>
      <c r="W813" s="237"/>
      <c r="X813" s="237"/>
      <c r="Y813" s="237"/>
      <c r="Z813" s="237"/>
    </row>
    <row r="814">
      <c r="A814" s="305">
        <v>813.0</v>
      </c>
      <c r="B814" s="306" t="s">
        <v>3755</v>
      </c>
      <c r="C814" s="307" t="s">
        <v>1420</v>
      </c>
      <c r="D814" s="308" t="s">
        <v>2367</v>
      </c>
      <c r="E814" s="305" t="s">
        <v>3757</v>
      </c>
      <c r="F814" s="309" t="s">
        <v>3758</v>
      </c>
      <c r="G814" s="236"/>
      <c r="H814" s="307" t="s">
        <v>1420</v>
      </c>
      <c r="I814" s="237"/>
      <c r="J814" s="237"/>
      <c r="K814" s="310" t="s">
        <v>3756</v>
      </c>
      <c r="L814" s="237"/>
      <c r="M814" s="237"/>
      <c r="N814" s="237"/>
      <c r="O814" s="237"/>
      <c r="P814" s="237"/>
      <c r="Q814" s="237"/>
      <c r="R814" s="237"/>
      <c r="S814" s="237"/>
      <c r="T814" s="237"/>
      <c r="U814" s="237"/>
      <c r="V814" s="237"/>
      <c r="W814" s="237"/>
      <c r="X814" s="237"/>
      <c r="Y814" s="237"/>
      <c r="Z814" s="237"/>
    </row>
    <row r="815">
      <c r="A815" s="305">
        <v>814.0</v>
      </c>
      <c r="B815" s="236"/>
      <c r="C815" s="307" t="s">
        <v>1420</v>
      </c>
      <c r="D815" s="308" t="s">
        <v>1770</v>
      </c>
      <c r="E815" s="236"/>
      <c r="F815" s="309" t="s">
        <v>14130</v>
      </c>
      <c r="G815" s="236"/>
      <c r="H815" s="307" t="s">
        <v>1420</v>
      </c>
      <c r="I815" s="237"/>
      <c r="J815" s="237"/>
      <c r="K815" s="310" t="s">
        <v>13695</v>
      </c>
      <c r="L815" s="237"/>
      <c r="M815" s="237"/>
      <c r="N815" s="237"/>
      <c r="O815" s="237"/>
      <c r="P815" s="237"/>
      <c r="Q815" s="237"/>
      <c r="R815" s="237"/>
      <c r="S815" s="237"/>
      <c r="T815" s="237"/>
      <c r="U815" s="237"/>
      <c r="V815" s="237"/>
      <c r="W815" s="237"/>
      <c r="X815" s="237"/>
      <c r="Y815" s="237"/>
      <c r="Z815" s="237"/>
    </row>
    <row r="816">
      <c r="A816" s="305">
        <v>815.0</v>
      </c>
      <c r="B816" s="236"/>
      <c r="C816" s="307" t="s">
        <v>1420</v>
      </c>
      <c r="D816" s="308" t="s">
        <v>1772</v>
      </c>
      <c r="E816" s="236"/>
      <c r="F816" s="309" t="s">
        <v>14131</v>
      </c>
      <c r="G816" s="236"/>
      <c r="H816" s="307" t="s">
        <v>1420</v>
      </c>
      <c r="I816" s="237"/>
      <c r="J816" s="237"/>
      <c r="K816" s="310" t="s">
        <v>13697</v>
      </c>
      <c r="L816" s="237"/>
      <c r="M816" s="237"/>
      <c r="N816" s="237"/>
      <c r="O816" s="237"/>
      <c r="P816" s="237"/>
      <c r="Q816" s="237"/>
      <c r="R816" s="237"/>
      <c r="S816" s="237"/>
      <c r="T816" s="237"/>
      <c r="U816" s="237"/>
      <c r="V816" s="237"/>
      <c r="W816" s="237"/>
      <c r="X816" s="237"/>
      <c r="Y816" s="237"/>
      <c r="Z816" s="237"/>
    </row>
    <row r="817">
      <c r="A817" s="305">
        <v>816.0</v>
      </c>
      <c r="B817" s="236"/>
      <c r="C817" s="307" t="s">
        <v>1420</v>
      </c>
      <c r="D817" s="308" t="s">
        <v>1773</v>
      </c>
      <c r="E817" s="236"/>
      <c r="F817" s="309" t="s">
        <v>14132</v>
      </c>
      <c r="G817" s="236"/>
      <c r="H817" s="307" t="s">
        <v>1420</v>
      </c>
      <c r="I817" s="237"/>
      <c r="J817" s="237"/>
      <c r="K817" s="310" t="s">
        <v>13699</v>
      </c>
      <c r="L817" s="237"/>
      <c r="M817" s="237"/>
      <c r="N817" s="237"/>
      <c r="O817" s="237"/>
      <c r="P817" s="237"/>
      <c r="Q817" s="237"/>
      <c r="R817" s="237"/>
      <c r="S817" s="237"/>
      <c r="T817" s="237"/>
      <c r="U817" s="237"/>
      <c r="V817" s="237"/>
      <c r="W817" s="237"/>
      <c r="X817" s="237"/>
      <c r="Y817" s="237"/>
      <c r="Z817" s="237"/>
    </row>
    <row r="818">
      <c r="A818" s="305">
        <v>817.0</v>
      </c>
      <c r="B818" s="236"/>
      <c r="C818" s="307" t="s">
        <v>1420</v>
      </c>
      <c r="D818" s="308" t="s">
        <v>1774</v>
      </c>
      <c r="E818" s="236"/>
      <c r="F818" s="309" t="s">
        <v>14133</v>
      </c>
      <c r="G818" s="236"/>
      <c r="H818" s="307" t="s">
        <v>1420</v>
      </c>
      <c r="I818" s="237"/>
      <c r="J818" s="237"/>
      <c r="K818" s="310" t="s">
        <v>13701</v>
      </c>
      <c r="L818" s="237"/>
      <c r="M818" s="237"/>
      <c r="N818" s="237"/>
      <c r="O818" s="237"/>
      <c r="P818" s="237"/>
      <c r="Q818" s="237"/>
      <c r="R818" s="237"/>
      <c r="S818" s="237"/>
      <c r="T818" s="237"/>
      <c r="U818" s="237"/>
      <c r="V818" s="237"/>
      <c r="W818" s="237"/>
      <c r="X818" s="237"/>
      <c r="Y818" s="237"/>
      <c r="Z818" s="237"/>
    </row>
    <row r="819">
      <c r="A819" s="305">
        <v>818.0</v>
      </c>
      <c r="B819" s="236"/>
      <c r="C819" s="307" t="s">
        <v>1420</v>
      </c>
      <c r="D819" s="308" t="s">
        <v>1775</v>
      </c>
      <c r="E819" s="236"/>
      <c r="F819" s="309" t="s">
        <v>14134</v>
      </c>
      <c r="G819" s="236"/>
      <c r="H819" s="307" t="s">
        <v>1420</v>
      </c>
      <c r="I819" s="237"/>
      <c r="J819" s="237"/>
      <c r="K819" s="310" t="s">
        <v>13703</v>
      </c>
      <c r="L819" s="237"/>
      <c r="M819" s="237"/>
      <c r="N819" s="237"/>
      <c r="O819" s="237"/>
      <c r="P819" s="237"/>
      <c r="Q819" s="237"/>
      <c r="R819" s="237"/>
      <c r="S819" s="237"/>
      <c r="T819" s="237"/>
      <c r="U819" s="237"/>
      <c r="V819" s="237"/>
      <c r="W819" s="237"/>
      <c r="X819" s="237"/>
      <c r="Y819" s="237"/>
      <c r="Z819" s="237"/>
    </row>
    <row r="820">
      <c r="A820" s="305">
        <v>819.0</v>
      </c>
      <c r="B820" s="236"/>
      <c r="C820" s="307" t="s">
        <v>1420</v>
      </c>
      <c r="D820" s="308" t="s">
        <v>1776</v>
      </c>
      <c r="E820" s="236"/>
      <c r="F820" s="309" t="s">
        <v>14135</v>
      </c>
      <c r="G820" s="236"/>
      <c r="H820" s="307" t="s">
        <v>1420</v>
      </c>
      <c r="I820" s="237"/>
      <c r="J820" s="237"/>
      <c r="K820" s="310" t="s">
        <v>13705</v>
      </c>
      <c r="L820" s="237"/>
      <c r="M820" s="237"/>
      <c r="N820" s="237"/>
      <c r="O820" s="237"/>
      <c r="P820" s="237"/>
      <c r="Q820" s="237"/>
      <c r="R820" s="237"/>
      <c r="S820" s="237"/>
      <c r="T820" s="237"/>
      <c r="U820" s="237"/>
      <c r="V820" s="237"/>
      <c r="W820" s="237"/>
      <c r="X820" s="237"/>
      <c r="Y820" s="237"/>
      <c r="Z820" s="237"/>
    </row>
    <row r="821">
      <c r="A821" s="305">
        <v>820.0</v>
      </c>
      <c r="B821" s="236"/>
      <c r="C821" s="307" t="s">
        <v>1420</v>
      </c>
      <c r="D821" s="308" t="s">
        <v>1777</v>
      </c>
      <c r="E821" s="236"/>
      <c r="F821" s="309" t="s">
        <v>14136</v>
      </c>
      <c r="G821" s="236"/>
      <c r="H821" s="307" t="s">
        <v>1420</v>
      </c>
      <c r="I821" s="237"/>
      <c r="J821" s="237"/>
      <c r="K821" s="310" t="s">
        <v>13707</v>
      </c>
      <c r="L821" s="237"/>
      <c r="M821" s="237"/>
      <c r="N821" s="237"/>
      <c r="O821" s="237"/>
      <c r="P821" s="237"/>
      <c r="Q821" s="237"/>
      <c r="R821" s="237"/>
      <c r="S821" s="237"/>
      <c r="T821" s="237"/>
      <c r="U821" s="237"/>
      <c r="V821" s="237"/>
      <c r="W821" s="237"/>
      <c r="X821" s="237"/>
      <c r="Y821" s="237"/>
      <c r="Z821" s="237"/>
    </row>
    <row r="822">
      <c r="A822" s="305">
        <v>821.0</v>
      </c>
      <c r="B822" s="236"/>
      <c r="C822" s="307" t="s">
        <v>1420</v>
      </c>
      <c r="D822" s="308" t="s">
        <v>1779</v>
      </c>
      <c r="E822" s="236"/>
      <c r="F822" s="309" t="s">
        <v>14137</v>
      </c>
      <c r="G822" s="236"/>
      <c r="H822" s="307" t="s">
        <v>1420</v>
      </c>
      <c r="I822" s="237"/>
      <c r="J822" s="237"/>
      <c r="K822" s="310" t="s">
        <v>13711</v>
      </c>
      <c r="L822" s="237"/>
      <c r="M822" s="237"/>
      <c r="N822" s="237"/>
      <c r="O822" s="237"/>
      <c r="P822" s="237"/>
      <c r="Q822" s="237"/>
      <c r="R822" s="237"/>
      <c r="S822" s="237"/>
      <c r="T822" s="237"/>
      <c r="U822" s="237"/>
      <c r="V822" s="237"/>
      <c r="W822" s="237"/>
      <c r="X822" s="237"/>
      <c r="Y822" s="237"/>
      <c r="Z822" s="237"/>
    </row>
    <row r="823">
      <c r="A823" s="305">
        <v>822.0</v>
      </c>
      <c r="B823" s="236"/>
      <c r="C823" s="307" t="s">
        <v>1420</v>
      </c>
      <c r="D823" s="308" t="s">
        <v>1778</v>
      </c>
      <c r="E823" s="236"/>
      <c r="F823" s="309" t="s">
        <v>14138</v>
      </c>
      <c r="G823" s="236"/>
      <c r="H823" s="307" t="s">
        <v>1420</v>
      </c>
      <c r="I823" s="237"/>
      <c r="J823" s="237"/>
      <c r="K823" s="310" t="s">
        <v>13709</v>
      </c>
      <c r="L823" s="237"/>
      <c r="M823" s="237"/>
      <c r="N823" s="237"/>
      <c r="O823" s="237"/>
      <c r="P823" s="237"/>
      <c r="Q823" s="237"/>
      <c r="R823" s="237"/>
      <c r="S823" s="237"/>
      <c r="T823" s="237"/>
      <c r="U823" s="237"/>
      <c r="V823" s="237"/>
      <c r="W823" s="237"/>
      <c r="X823" s="237"/>
      <c r="Y823" s="237"/>
      <c r="Z823" s="237"/>
    </row>
    <row r="824">
      <c r="A824" s="305">
        <v>823.0</v>
      </c>
      <c r="B824" s="236"/>
      <c r="C824" s="307" t="s">
        <v>1420</v>
      </c>
      <c r="D824" s="308" t="s">
        <v>1780</v>
      </c>
      <c r="E824" s="236"/>
      <c r="F824" s="309" t="s">
        <v>14139</v>
      </c>
      <c r="G824" s="236"/>
      <c r="H824" s="307" t="s">
        <v>1420</v>
      </c>
      <c r="I824" s="237"/>
      <c r="J824" s="237"/>
      <c r="K824" s="310" t="s">
        <v>13713</v>
      </c>
      <c r="L824" s="237"/>
      <c r="M824" s="237"/>
      <c r="N824" s="237"/>
      <c r="O824" s="237"/>
      <c r="P824" s="237"/>
      <c r="Q824" s="237"/>
      <c r="R824" s="237"/>
      <c r="S824" s="237"/>
      <c r="T824" s="237"/>
      <c r="U824" s="237"/>
      <c r="V824" s="237"/>
      <c r="W824" s="237"/>
      <c r="X824" s="237"/>
      <c r="Y824" s="237"/>
      <c r="Z824" s="237"/>
    </row>
    <row r="825">
      <c r="A825" s="305">
        <v>824.0</v>
      </c>
      <c r="B825" s="236"/>
      <c r="C825" s="307" t="s">
        <v>1420</v>
      </c>
      <c r="D825" s="308" t="s">
        <v>1781</v>
      </c>
      <c r="E825" s="236"/>
      <c r="F825" s="309" t="s">
        <v>14140</v>
      </c>
      <c r="G825" s="236"/>
      <c r="H825" s="307" t="s">
        <v>1420</v>
      </c>
      <c r="I825" s="237"/>
      <c r="J825" s="237"/>
      <c r="K825" s="310" t="s">
        <v>13715</v>
      </c>
      <c r="L825" s="237"/>
      <c r="M825" s="237"/>
      <c r="N825" s="237"/>
      <c r="O825" s="237"/>
      <c r="P825" s="237"/>
      <c r="Q825" s="237"/>
      <c r="R825" s="237"/>
      <c r="S825" s="237"/>
      <c r="T825" s="237"/>
      <c r="U825" s="237"/>
      <c r="V825" s="237"/>
      <c r="W825" s="237"/>
      <c r="X825" s="237"/>
      <c r="Y825" s="237"/>
      <c r="Z825" s="237"/>
    </row>
    <row r="826">
      <c r="A826" s="305">
        <v>825.0</v>
      </c>
      <c r="B826" s="236"/>
      <c r="C826" s="307" t="s">
        <v>1420</v>
      </c>
      <c r="D826" s="308" t="s">
        <v>1782</v>
      </c>
      <c r="E826" s="236"/>
      <c r="F826" s="309" t="s">
        <v>14141</v>
      </c>
      <c r="G826" s="236"/>
      <c r="H826" s="307" t="s">
        <v>1420</v>
      </c>
      <c r="I826" s="237"/>
      <c r="J826" s="237"/>
      <c r="K826" s="310" t="s">
        <v>13717</v>
      </c>
      <c r="L826" s="237"/>
      <c r="M826" s="237"/>
      <c r="N826" s="237"/>
      <c r="O826" s="237"/>
      <c r="P826" s="237"/>
      <c r="Q826" s="237"/>
      <c r="R826" s="237"/>
      <c r="S826" s="237"/>
      <c r="T826" s="237"/>
      <c r="U826" s="237"/>
      <c r="V826" s="237"/>
      <c r="W826" s="237"/>
      <c r="X826" s="237"/>
      <c r="Y826" s="237"/>
      <c r="Z826" s="237"/>
    </row>
    <row r="827">
      <c r="A827" s="305">
        <v>826.0</v>
      </c>
      <c r="B827" s="236"/>
      <c r="C827" s="307" t="s">
        <v>1420</v>
      </c>
      <c r="D827" s="308" t="s">
        <v>1900</v>
      </c>
      <c r="E827" s="236"/>
      <c r="F827" s="309" t="s">
        <v>14142</v>
      </c>
      <c r="G827" s="236"/>
      <c r="H827" s="307" t="s">
        <v>1420</v>
      </c>
      <c r="I827" s="237"/>
      <c r="J827" s="237"/>
      <c r="K827" s="310" t="s">
        <v>13811</v>
      </c>
      <c r="L827" s="237"/>
      <c r="M827" s="237"/>
      <c r="N827" s="237"/>
      <c r="O827" s="237"/>
      <c r="P827" s="237"/>
      <c r="Q827" s="237"/>
      <c r="R827" s="237"/>
      <c r="S827" s="237"/>
      <c r="T827" s="237"/>
      <c r="U827" s="237"/>
      <c r="V827" s="237"/>
      <c r="W827" s="237"/>
      <c r="X827" s="237"/>
      <c r="Y827" s="237"/>
      <c r="Z827" s="237"/>
    </row>
    <row r="828">
      <c r="A828" s="305">
        <v>827.0</v>
      </c>
      <c r="B828" s="236"/>
      <c r="C828" s="307" t="s">
        <v>1420</v>
      </c>
      <c r="D828" s="308" t="s">
        <v>13804</v>
      </c>
      <c r="E828" s="236"/>
      <c r="F828" s="309" t="s">
        <v>14143</v>
      </c>
      <c r="G828" s="236"/>
      <c r="H828" s="307" t="s">
        <v>1420</v>
      </c>
      <c r="I828" s="237"/>
      <c r="J828" s="237"/>
      <c r="K828" s="310" t="s">
        <v>13803</v>
      </c>
      <c r="L828" s="237"/>
      <c r="M828" s="237"/>
      <c r="N828" s="237"/>
      <c r="O828" s="237"/>
      <c r="P828" s="237"/>
      <c r="Q828" s="237"/>
      <c r="R828" s="237"/>
      <c r="S828" s="237"/>
      <c r="T828" s="237"/>
      <c r="U828" s="237"/>
      <c r="V828" s="237"/>
      <c r="W828" s="237"/>
      <c r="X828" s="237"/>
      <c r="Y828" s="237"/>
      <c r="Z828" s="237"/>
    </row>
    <row r="829">
      <c r="A829" s="305">
        <v>828.0</v>
      </c>
      <c r="B829" s="236"/>
      <c r="C829" s="307" t="s">
        <v>1420</v>
      </c>
      <c r="D829" s="308" t="s">
        <v>1901</v>
      </c>
      <c r="E829" s="236"/>
      <c r="F829" s="309" t="s">
        <v>14144</v>
      </c>
      <c r="G829" s="236"/>
      <c r="H829" s="307" t="s">
        <v>1420</v>
      </c>
      <c r="I829" s="237"/>
      <c r="J829" s="237"/>
      <c r="K829" s="310" t="s">
        <v>13813</v>
      </c>
      <c r="L829" s="237"/>
      <c r="M829" s="237"/>
      <c r="N829" s="237"/>
      <c r="O829" s="237"/>
      <c r="P829" s="237"/>
      <c r="Q829" s="237"/>
      <c r="R829" s="237"/>
      <c r="S829" s="237"/>
      <c r="T829" s="237"/>
      <c r="U829" s="237"/>
      <c r="V829" s="237"/>
      <c r="W829" s="237"/>
      <c r="X829" s="237"/>
      <c r="Y829" s="237"/>
      <c r="Z829" s="237"/>
    </row>
    <row r="830">
      <c r="A830" s="305">
        <v>829.0</v>
      </c>
      <c r="B830" s="236"/>
      <c r="C830" s="307" t="s">
        <v>1420</v>
      </c>
      <c r="D830" s="308" t="s">
        <v>1902</v>
      </c>
      <c r="E830" s="236"/>
      <c r="F830" s="309" t="s">
        <v>14145</v>
      </c>
      <c r="G830" s="236"/>
      <c r="H830" s="307" t="s">
        <v>1420</v>
      </c>
      <c r="I830" s="237"/>
      <c r="J830" s="237"/>
      <c r="K830" s="310" t="s">
        <v>13815</v>
      </c>
      <c r="L830" s="237"/>
      <c r="M830" s="237"/>
      <c r="N830" s="237"/>
      <c r="O830" s="237"/>
      <c r="P830" s="237"/>
      <c r="Q830" s="237"/>
      <c r="R830" s="237"/>
      <c r="S830" s="237"/>
      <c r="T830" s="237"/>
      <c r="U830" s="237"/>
      <c r="V830" s="237"/>
      <c r="W830" s="237"/>
      <c r="X830" s="237"/>
      <c r="Y830" s="237"/>
      <c r="Z830" s="237"/>
    </row>
    <row r="831">
      <c r="A831" s="305">
        <v>830.0</v>
      </c>
      <c r="B831" s="236"/>
      <c r="C831" s="307" t="s">
        <v>1420</v>
      </c>
      <c r="D831" s="308" t="s">
        <v>1899</v>
      </c>
      <c r="E831" s="236"/>
      <c r="F831" s="309" t="s">
        <v>14146</v>
      </c>
      <c r="G831" s="236"/>
      <c r="H831" s="307" t="s">
        <v>1420</v>
      </c>
      <c r="I831" s="237"/>
      <c r="J831" s="237"/>
      <c r="K831" s="310" t="s">
        <v>13809</v>
      </c>
      <c r="L831" s="237"/>
      <c r="M831" s="237"/>
      <c r="N831" s="237"/>
      <c r="O831" s="237"/>
      <c r="P831" s="237"/>
      <c r="Q831" s="237"/>
      <c r="R831" s="237"/>
      <c r="S831" s="237"/>
      <c r="T831" s="237"/>
      <c r="U831" s="237"/>
      <c r="V831" s="237"/>
      <c r="W831" s="237"/>
      <c r="X831" s="237"/>
      <c r="Y831" s="237"/>
      <c r="Z831" s="237"/>
    </row>
    <row r="832">
      <c r="A832" s="305">
        <v>831.0</v>
      </c>
      <c r="B832" s="236"/>
      <c r="C832" s="307" t="s">
        <v>1420</v>
      </c>
      <c r="D832" s="308" t="s">
        <v>13807</v>
      </c>
      <c r="E832" s="236"/>
      <c r="F832" s="309" t="s">
        <v>14147</v>
      </c>
      <c r="G832" s="236"/>
      <c r="H832" s="307" t="s">
        <v>1420</v>
      </c>
      <c r="I832" s="237"/>
      <c r="J832" s="237"/>
      <c r="K832" s="310" t="s">
        <v>13806</v>
      </c>
      <c r="L832" s="237"/>
      <c r="M832" s="237"/>
      <c r="N832" s="237"/>
      <c r="O832" s="237"/>
      <c r="P832" s="237"/>
      <c r="Q832" s="237"/>
      <c r="R832" s="237"/>
      <c r="S832" s="237"/>
      <c r="T832" s="237"/>
      <c r="U832" s="237"/>
      <c r="V832" s="237"/>
      <c r="W832" s="237"/>
      <c r="X832" s="237"/>
      <c r="Y832" s="237"/>
      <c r="Z832" s="237"/>
    </row>
    <row r="833">
      <c r="A833" s="305">
        <v>832.0</v>
      </c>
      <c r="B833" s="236"/>
      <c r="C833" s="307" t="s">
        <v>1420</v>
      </c>
      <c r="D833" s="308" t="s">
        <v>1785</v>
      </c>
      <c r="E833" s="236"/>
      <c r="F833" s="236"/>
      <c r="G833" s="236"/>
      <c r="H833" s="307" t="s">
        <v>1420</v>
      </c>
      <c r="I833" s="237"/>
      <c r="J833" s="237"/>
      <c r="K833" s="310" t="s">
        <v>13723</v>
      </c>
      <c r="L833" s="237"/>
      <c r="M833" s="237"/>
      <c r="N833" s="237"/>
      <c r="O833" s="237"/>
      <c r="P833" s="237"/>
      <c r="Q833" s="237"/>
      <c r="R833" s="237"/>
      <c r="S833" s="237"/>
      <c r="T833" s="237"/>
      <c r="U833" s="237"/>
      <c r="V833" s="237"/>
      <c r="W833" s="237"/>
      <c r="X833" s="237"/>
      <c r="Y833" s="237"/>
      <c r="Z833" s="237"/>
    </row>
    <row r="834">
      <c r="A834" s="305">
        <v>833.0</v>
      </c>
      <c r="B834" s="236"/>
      <c r="C834" s="307" t="s">
        <v>1420</v>
      </c>
      <c r="D834" s="308" t="s">
        <v>1786</v>
      </c>
      <c r="E834" s="236"/>
      <c r="F834" s="236"/>
      <c r="G834" s="236"/>
      <c r="H834" s="307" t="s">
        <v>1420</v>
      </c>
      <c r="I834" s="237"/>
      <c r="J834" s="237"/>
      <c r="K834" s="310" t="s">
        <v>13725</v>
      </c>
      <c r="L834" s="237"/>
      <c r="M834" s="237"/>
      <c r="N834" s="237"/>
      <c r="O834" s="237"/>
      <c r="P834" s="237"/>
      <c r="Q834" s="237"/>
      <c r="R834" s="237"/>
      <c r="S834" s="237"/>
      <c r="T834" s="237"/>
      <c r="U834" s="237"/>
      <c r="V834" s="237"/>
      <c r="W834" s="237"/>
      <c r="X834" s="237"/>
      <c r="Y834" s="237"/>
      <c r="Z834" s="237"/>
    </row>
    <row r="835">
      <c r="A835" s="305">
        <v>834.0</v>
      </c>
      <c r="B835" s="306" t="s">
        <v>13729</v>
      </c>
      <c r="C835" s="307" t="s">
        <v>1420</v>
      </c>
      <c r="D835" s="308" t="s">
        <v>1787</v>
      </c>
      <c r="E835" s="236"/>
      <c r="F835" s="236"/>
      <c r="G835" s="307" t="s">
        <v>14148</v>
      </c>
      <c r="H835" s="307" t="s">
        <v>1420</v>
      </c>
      <c r="I835" s="237"/>
      <c r="J835" s="237"/>
      <c r="K835" s="310" t="s">
        <v>13728</v>
      </c>
      <c r="L835" s="237"/>
      <c r="M835" s="237"/>
      <c r="N835" s="237"/>
      <c r="O835" s="237"/>
      <c r="P835" s="237"/>
      <c r="Q835" s="237"/>
      <c r="R835" s="237"/>
      <c r="S835" s="237"/>
      <c r="T835" s="237"/>
      <c r="U835" s="237"/>
      <c r="V835" s="237"/>
      <c r="W835" s="237"/>
      <c r="X835" s="237"/>
      <c r="Y835" s="237"/>
      <c r="Z835" s="237"/>
    </row>
    <row r="836">
      <c r="A836" s="305">
        <v>835.0</v>
      </c>
      <c r="B836" s="306" t="s">
        <v>1954</v>
      </c>
      <c r="C836" s="307" t="s">
        <v>1420</v>
      </c>
      <c r="D836" s="308" t="s">
        <v>1788</v>
      </c>
      <c r="E836" s="236"/>
      <c r="F836" s="236"/>
      <c r="G836" s="236"/>
      <c r="H836" s="307" t="s">
        <v>1420</v>
      </c>
      <c r="I836" s="237"/>
      <c r="J836" s="237"/>
      <c r="K836" s="310" t="s">
        <v>13731</v>
      </c>
      <c r="L836" s="237"/>
      <c r="M836" s="237"/>
      <c r="N836" s="237"/>
      <c r="O836" s="237"/>
      <c r="P836" s="237"/>
      <c r="Q836" s="237"/>
      <c r="R836" s="237"/>
      <c r="S836" s="237"/>
      <c r="T836" s="237"/>
      <c r="U836" s="237"/>
      <c r="V836" s="237"/>
      <c r="W836" s="237"/>
      <c r="X836" s="237"/>
      <c r="Y836" s="237"/>
      <c r="Z836" s="237"/>
    </row>
    <row r="837">
      <c r="A837" s="305">
        <v>836.0</v>
      </c>
      <c r="B837" s="306" t="s">
        <v>1956</v>
      </c>
      <c r="C837" s="307" t="s">
        <v>1420</v>
      </c>
      <c r="D837" s="308" t="s">
        <v>1789</v>
      </c>
      <c r="E837" s="236"/>
      <c r="F837" s="236"/>
      <c r="G837" s="236"/>
      <c r="H837" s="307" t="s">
        <v>1420</v>
      </c>
      <c r="I837" s="237"/>
      <c r="J837" s="237"/>
      <c r="K837" s="310" t="s">
        <v>13732</v>
      </c>
      <c r="L837" s="237"/>
      <c r="M837" s="237"/>
      <c r="N837" s="237"/>
      <c r="O837" s="237"/>
      <c r="P837" s="237"/>
      <c r="Q837" s="237"/>
      <c r="R837" s="237"/>
      <c r="S837" s="237"/>
      <c r="T837" s="237"/>
      <c r="U837" s="237"/>
      <c r="V837" s="237"/>
      <c r="W837" s="237"/>
      <c r="X837" s="237"/>
      <c r="Y837" s="237"/>
      <c r="Z837" s="237"/>
    </row>
    <row r="838">
      <c r="A838" s="305">
        <v>837.0</v>
      </c>
      <c r="B838" s="236"/>
      <c r="C838" s="307" t="s">
        <v>1420</v>
      </c>
      <c r="D838" s="308" t="s">
        <v>13109</v>
      </c>
      <c r="E838" s="305" t="s">
        <v>13110</v>
      </c>
      <c r="F838" s="309" t="s">
        <v>14149</v>
      </c>
      <c r="G838" s="236"/>
      <c r="H838" s="307" t="s">
        <v>1420</v>
      </c>
      <c r="I838" s="237"/>
      <c r="J838" s="237"/>
      <c r="K838" s="310" t="s">
        <v>13108</v>
      </c>
      <c r="L838" s="237"/>
      <c r="M838" s="237"/>
      <c r="N838" s="237"/>
      <c r="O838" s="237"/>
      <c r="P838" s="237"/>
      <c r="Q838" s="237"/>
      <c r="R838" s="237"/>
      <c r="S838" s="237"/>
      <c r="T838" s="237"/>
      <c r="U838" s="237"/>
      <c r="V838" s="237"/>
      <c r="W838" s="237"/>
      <c r="X838" s="237"/>
      <c r="Y838" s="237"/>
      <c r="Z838" s="237"/>
    </row>
    <row r="839">
      <c r="A839" s="305">
        <v>838.0</v>
      </c>
      <c r="B839" s="236"/>
      <c r="C839" s="307" t="s">
        <v>1427</v>
      </c>
      <c r="D839" s="308" t="s">
        <v>13134</v>
      </c>
      <c r="E839" s="305" t="s">
        <v>13135</v>
      </c>
      <c r="F839" s="236"/>
      <c r="G839" s="307" t="s">
        <v>13128</v>
      </c>
      <c r="H839" s="307" t="s">
        <v>1427</v>
      </c>
      <c r="I839" s="237"/>
      <c r="J839" s="237"/>
      <c r="K839" s="310" t="s">
        <v>13133</v>
      </c>
      <c r="L839" s="237"/>
      <c r="M839" s="237"/>
      <c r="N839" s="237"/>
      <c r="O839" s="237"/>
      <c r="P839" s="237"/>
      <c r="Q839" s="237"/>
      <c r="R839" s="237"/>
      <c r="S839" s="237"/>
      <c r="T839" s="237"/>
      <c r="U839" s="237"/>
      <c r="V839" s="237"/>
      <c r="W839" s="237"/>
      <c r="X839" s="237"/>
      <c r="Y839" s="237"/>
      <c r="Z839" s="237"/>
    </row>
    <row r="840">
      <c r="A840" s="305">
        <v>839.0</v>
      </c>
      <c r="B840" s="236"/>
      <c r="C840" s="307" t="s">
        <v>1420</v>
      </c>
      <c r="D840" s="308" t="s">
        <v>13586</v>
      </c>
      <c r="E840" s="305" t="s">
        <v>13587</v>
      </c>
      <c r="F840" s="309" t="s">
        <v>14150</v>
      </c>
      <c r="G840" s="236"/>
      <c r="H840" s="307" t="s">
        <v>1420</v>
      </c>
      <c r="I840" s="237"/>
      <c r="J840" s="237"/>
      <c r="K840" s="310" t="s">
        <v>13585</v>
      </c>
      <c r="L840" s="237"/>
      <c r="M840" s="237"/>
      <c r="N840" s="237"/>
      <c r="O840" s="237"/>
      <c r="P840" s="237"/>
      <c r="Q840" s="237"/>
      <c r="R840" s="237"/>
      <c r="S840" s="237"/>
      <c r="T840" s="237"/>
      <c r="U840" s="237"/>
      <c r="V840" s="237"/>
      <c r="W840" s="237"/>
      <c r="X840" s="237"/>
      <c r="Y840" s="237"/>
      <c r="Z840" s="237"/>
    </row>
    <row r="841">
      <c r="A841" s="305">
        <v>840.0</v>
      </c>
      <c r="B841" s="236"/>
      <c r="C841" s="307" t="s">
        <v>14007</v>
      </c>
      <c r="D841" s="308" t="s">
        <v>13184</v>
      </c>
      <c r="E841" s="236"/>
      <c r="F841" s="236"/>
      <c r="G841" s="307" t="s">
        <v>13128</v>
      </c>
      <c r="H841" s="307" t="s">
        <v>14007</v>
      </c>
      <c r="I841" s="237"/>
      <c r="J841" s="237"/>
      <c r="K841" s="262"/>
      <c r="L841" s="237"/>
      <c r="M841" s="237"/>
      <c r="N841" s="237"/>
      <c r="O841" s="237"/>
      <c r="P841" s="237"/>
      <c r="Q841" s="237"/>
      <c r="R841" s="237"/>
      <c r="S841" s="237"/>
      <c r="T841" s="237"/>
      <c r="U841" s="237"/>
      <c r="V841" s="237"/>
      <c r="W841" s="237"/>
      <c r="X841" s="237"/>
      <c r="Y841" s="237"/>
      <c r="Z841" s="237"/>
    </row>
    <row r="842">
      <c r="A842" s="305">
        <v>841.0</v>
      </c>
      <c r="B842" s="236"/>
      <c r="C842" s="307" t="s">
        <v>1420</v>
      </c>
      <c r="D842" s="308" t="s">
        <v>13594</v>
      </c>
      <c r="E842" s="305" t="s">
        <v>13595</v>
      </c>
      <c r="F842" s="309" t="s">
        <v>14151</v>
      </c>
      <c r="G842" s="236"/>
      <c r="H842" s="307" t="s">
        <v>1420</v>
      </c>
      <c r="I842" s="237"/>
      <c r="J842" s="237"/>
      <c r="K842" s="310" t="s">
        <v>13593</v>
      </c>
      <c r="L842" s="237"/>
      <c r="M842" s="237"/>
      <c r="N842" s="237"/>
      <c r="O842" s="237"/>
      <c r="P842" s="237"/>
      <c r="Q842" s="237"/>
      <c r="R842" s="237"/>
      <c r="S842" s="237"/>
      <c r="T842" s="237"/>
      <c r="U842" s="237"/>
      <c r="V842" s="237"/>
      <c r="W842" s="237"/>
      <c r="X842" s="237"/>
      <c r="Y842" s="237"/>
      <c r="Z842" s="237"/>
    </row>
    <row r="843">
      <c r="A843" s="305">
        <v>842.0</v>
      </c>
      <c r="B843" s="236"/>
      <c r="C843" s="307" t="s">
        <v>1420</v>
      </c>
      <c r="D843" s="308" t="s">
        <v>13101</v>
      </c>
      <c r="E843" s="305" t="s">
        <v>13102</v>
      </c>
      <c r="F843" s="309" t="s">
        <v>14070</v>
      </c>
      <c r="G843" s="236"/>
      <c r="H843" s="307" t="s">
        <v>1420</v>
      </c>
      <c r="I843" s="237"/>
      <c r="J843" s="237"/>
      <c r="K843" s="310" t="s">
        <v>13100</v>
      </c>
      <c r="L843" s="237"/>
      <c r="M843" s="237"/>
      <c r="N843" s="237"/>
      <c r="O843" s="237"/>
      <c r="P843" s="237"/>
      <c r="Q843" s="237"/>
      <c r="R843" s="237"/>
      <c r="S843" s="237"/>
      <c r="T843" s="237"/>
      <c r="U843" s="237"/>
      <c r="V843" s="237"/>
      <c r="W843" s="237"/>
      <c r="X843" s="237"/>
      <c r="Y843" s="237"/>
      <c r="Z843" s="237"/>
    </row>
    <row r="844">
      <c r="A844" s="305">
        <v>843.0</v>
      </c>
      <c r="B844" s="236"/>
      <c r="C844" s="307" t="s">
        <v>1427</v>
      </c>
      <c r="D844" s="308" t="s">
        <v>13190</v>
      </c>
      <c r="E844" s="305" t="s">
        <v>13191</v>
      </c>
      <c r="F844" s="236"/>
      <c r="G844" s="236"/>
      <c r="H844" s="307" t="s">
        <v>1427</v>
      </c>
      <c r="I844" s="237"/>
      <c r="J844" s="237"/>
      <c r="K844" s="310" t="s">
        <v>13189</v>
      </c>
      <c r="L844" s="237"/>
      <c r="M844" s="237"/>
      <c r="N844" s="237"/>
      <c r="O844" s="237"/>
      <c r="P844" s="237"/>
      <c r="Q844" s="237"/>
      <c r="R844" s="237"/>
      <c r="S844" s="237"/>
      <c r="T844" s="237"/>
      <c r="U844" s="237"/>
      <c r="V844" s="237"/>
      <c r="W844" s="237"/>
      <c r="X844" s="237"/>
      <c r="Y844" s="237"/>
      <c r="Z844" s="237"/>
    </row>
    <row r="845">
      <c r="A845" s="305">
        <v>844.0</v>
      </c>
      <c r="B845" s="236"/>
      <c r="C845" s="307" t="s">
        <v>1420</v>
      </c>
      <c r="D845" s="308" t="s">
        <v>13590</v>
      </c>
      <c r="E845" s="305" t="s">
        <v>13591</v>
      </c>
      <c r="F845" s="309" t="s">
        <v>14152</v>
      </c>
      <c r="G845" s="236"/>
      <c r="H845" s="307" t="s">
        <v>1420</v>
      </c>
      <c r="I845" s="237"/>
      <c r="J845" s="237"/>
      <c r="K845" s="310" t="s">
        <v>13589</v>
      </c>
      <c r="L845" s="237"/>
      <c r="M845" s="237"/>
      <c r="N845" s="237"/>
      <c r="O845" s="237"/>
      <c r="P845" s="237"/>
      <c r="Q845" s="237"/>
      <c r="R845" s="237"/>
      <c r="S845" s="237"/>
      <c r="T845" s="237"/>
      <c r="U845" s="237"/>
      <c r="V845" s="237"/>
      <c r="W845" s="237"/>
      <c r="X845" s="237"/>
      <c r="Y845" s="237"/>
      <c r="Z845" s="237"/>
    </row>
    <row r="846">
      <c r="A846" s="305">
        <v>845.0</v>
      </c>
      <c r="B846" s="236"/>
      <c r="C846" s="307" t="s">
        <v>1420</v>
      </c>
      <c r="D846" s="308" t="s">
        <v>13105</v>
      </c>
      <c r="E846" s="305" t="s">
        <v>13106</v>
      </c>
      <c r="F846" s="309" t="s">
        <v>14153</v>
      </c>
      <c r="G846" s="236"/>
      <c r="H846" s="307" t="s">
        <v>1420</v>
      </c>
      <c r="I846" s="237"/>
      <c r="J846" s="237"/>
      <c r="K846" s="310" t="s">
        <v>13104</v>
      </c>
      <c r="L846" s="237"/>
      <c r="M846" s="237"/>
      <c r="N846" s="237"/>
      <c r="O846" s="237"/>
      <c r="P846" s="237"/>
      <c r="Q846" s="237"/>
      <c r="R846" s="237"/>
      <c r="S846" s="237"/>
      <c r="T846" s="237"/>
      <c r="U846" s="237"/>
      <c r="V846" s="237"/>
      <c r="W846" s="237"/>
      <c r="X846" s="237"/>
      <c r="Y846" s="237"/>
      <c r="Z846" s="237"/>
    </row>
    <row r="847">
      <c r="A847" s="305">
        <v>846.0</v>
      </c>
      <c r="B847" s="236"/>
      <c r="C847" s="307" t="s">
        <v>1420</v>
      </c>
      <c r="D847" s="308" t="s">
        <v>13186</v>
      </c>
      <c r="E847" s="305" t="s">
        <v>13187</v>
      </c>
      <c r="F847" s="309" t="s">
        <v>14154</v>
      </c>
      <c r="G847" s="236"/>
      <c r="H847" s="307" t="s">
        <v>1420</v>
      </c>
      <c r="I847" s="237"/>
      <c r="J847" s="237"/>
      <c r="K847" s="310" t="s">
        <v>13185</v>
      </c>
      <c r="L847" s="237"/>
      <c r="M847" s="237"/>
      <c r="N847" s="237"/>
      <c r="O847" s="237"/>
      <c r="P847" s="237"/>
      <c r="Q847" s="237"/>
      <c r="R847" s="237"/>
      <c r="S847" s="237"/>
      <c r="T847" s="237"/>
      <c r="U847" s="237"/>
      <c r="V847" s="237"/>
      <c r="W847" s="237"/>
      <c r="X847" s="237"/>
      <c r="Y847" s="237"/>
      <c r="Z847" s="237"/>
    </row>
    <row r="848">
      <c r="A848" s="305">
        <v>847.0</v>
      </c>
      <c r="B848" s="236"/>
      <c r="C848" s="307" t="s">
        <v>1420</v>
      </c>
      <c r="D848" s="308" t="s">
        <v>14155</v>
      </c>
      <c r="E848" s="305" t="s">
        <v>14156</v>
      </c>
      <c r="F848" s="309" t="s">
        <v>14157</v>
      </c>
      <c r="G848" s="236"/>
      <c r="H848" s="307" t="s">
        <v>1420</v>
      </c>
      <c r="I848" s="237"/>
      <c r="J848" s="237"/>
      <c r="K848" s="310" t="s">
        <v>14158</v>
      </c>
      <c r="L848" s="237"/>
      <c r="M848" s="237"/>
      <c r="N848" s="237"/>
      <c r="O848" s="237"/>
      <c r="P848" s="237"/>
      <c r="Q848" s="237"/>
      <c r="R848" s="237"/>
      <c r="S848" s="237"/>
      <c r="T848" s="237"/>
      <c r="U848" s="237"/>
      <c r="V848" s="237"/>
      <c r="W848" s="237"/>
      <c r="X848" s="237"/>
      <c r="Y848" s="237"/>
      <c r="Z848" s="237"/>
    </row>
    <row r="849">
      <c r="A849" s="305">
        <v>848.0</v>
      </c>
      <c r="B849" s="236"/>
      <c r="C849" s="307" t="s">
        <v>1420</v>
      </c>
      <c r="D849" s="308" t="s">
        <v>14159</v>
      </c>
      <c r="E849" s="305" t="s">
        <v>14160</v>
      </c>
      <c r="F849" s="309" t="s">
        <v>14161</v>
      </c>
      <c r="G849" s="236"/>
      <c r="H849" s="307" t="s">
        <v>1420</v>
      </c>
      <c r="I849" s="237"/>
      <c r="J849" s="237"/>
      <c r="K849" s="310" t="s">
        <v>14162</v>
      </c>
      <c r="L849" s="237"/>
      <c r="M849" s="237"/>
      <c r="N849" s="237"/>
      <c r="O849" s="237"/>
      <c r="P849" s="237"/>
      <c r="Q849" s="237"/>
      <c r="R849" s="237"/>
      <c r="S849" s="237"/>
      <c r="T849" s="237"/>
      <c r="U849" s="237"/>
      <c r="V849" s="237"/>
      <c r="W849" s="237"/>
      <c r="X849" s="237"/>
      <c r="Y849" s="237"/>
      <c r="Z849" s="237"/>
    </row>
    <row r="850">
      <c r="A850" s="305">
        <v>849.0</v>
      </c>
      <c r="B850" s="306">
        <v>5.0010849E7</v>
      </c>
      <c r="C850" s="307" t="s">
        <v>1420</v>
      </c>
      <c r="D850" s="308" t="s">
        <v>6055</v>
      </c>
      <c r="E850" s="305" t="s">
        <v>6056</v>
      </c>
      <c r="F850" s="309" t="s">
        <v>6057</v>
      </c>
      <c r="G850" s="236"/>
      <c r="H850" s="307" t="s">
        <v>1420</v>
      </c>
      <c r="I850" s="237"/>
      <c r="J850" s="237"/>
      <c r="K850" s="310" t="s">
        <v>6054</v>
      </c>
      <c r="L850" s="237"/>
      <c r="M850" s="237"/>
      <c r="N850" s="237"/>
      <c r="O850" s="237"/>
      <c r="P850" s="237"/>
      <c r="Q850" s="237"/>
      <c r="R850" s="237"/>
      <c r="S850" s="237"/>
      <c r="T850" s="237"/>
      <c r="U850" s="237"/>
      <c r="V850" s="237"/>
      <c r="W850" s="237"/>
      <c r="X850" s="237"/>
      <c r="Y850" s="237"/>
      <c r="Z850" s="237"/>
    </row>
    <row r="851">
      <c r="A851" s="305">
        <v>850.0</v>
      </c>
      <c r="B851" s="306">
        <v>5.0010833E7</v>
      </c>
      <c r="C851" s="307" t="s">
        <v>1420</v>
      </c>
      <c r="D851" s="308" t="s">
        <v>6124</v>
      </c>
      <c r="E851" s="305" t="s">
        <v>6125</v>
      </c>
      <c r="F851" s="309" t="s">
        <v>6126</v>
      </c>
      <c r="G851" s="236"/>
      <c r="H851" s="307" t="s">
        <v>1420</v>
      </c>
      <c r="I851" s="237"/>
      <c r="J851" s="237"/>
      <c r="K851" s="310" t="s">
        <v>6123</v>
      </c>
      <c r="L851" s="237"/>
      <c r="M851" s="237"/>
      <c r="N851" s="237"/>
      <c r="O851" s="237"/>
      <c r="P851" s="237"/>
      <c r="Q851" s="237"/>
      <c r="R851" s="237"/>
      <c r="S851" s="237"/>
      <c r="T851" s="237"/>
      <c r="U851" s="237"/>
      <c r="V851" s="237"/>
      <c r="W851" s="237"/>
      <c r="X851" s="237"/>
      <c r="Y851" s="237"/>
      <c r="Z851" s="237"/>
    </row>
    <row r="852">
      <c r="A852" s="305">
        <v>851.0</v>
      </c>
      <c r="B852" s="236"/>
      <c r="C852" s="307" t="s">
        <v>1420</v>
      </c>
      <c r="D852" s="308" t="s">
        <v>8702</v>
      </c>
      <c r="E852" s="305" t="s">
        <v>8703</v>
      </c>
      <c r="F852" s="309" t="s">
        <v>8704</v>
      </c>
      <c r="G852" s="236"/>
      <c r="H852" s="307" t="s">
        <v>1420</v>
      </c>
      <c r="I852" s="237"/>
      <c r="J852" s="237"/>
      <c r="K852" s="310" t="s">
        <v>8701</v>
      </c>
      <c r="L852" s="237"/>
      <c r="M852" s="237"/>
      <c r="N852" s="237"/>
      <c r="O852" s="237"/>
      <c r="P852" s="237"/>
      <c r="Q852" s="237"/>
      <c r="R852" s="237"/>
      <c r="S852" s="237"/>
      <c r="T852" s="237"/>
      <c r="U852" s="237"/>
      <c r="V852" s="237"/>
      <c r="W852" s="237"/>
      <c r="X852" s="237"/>
      <c r="Y852" s="237"/>
      <c r="Z852" s="237"/>
    </row>
    <row r="853">
      <c r="A853" s="305">
        <v>852.0</v>
      </c>
      <c r="B853" s="236"/>
      <c r="C853" s="307" t="s">
        <v>1420</v>
      </c>
      <c r="D853" s="308" t="s">
        <v>11948</v>
      </c>
      <c r="E853" s="305" t="s">
        <v>11949</v>
      </c>
      <c r="F853" s="309" t="s">
        <v>11950</v>
      </c>
      <c r="G853" s="236"/>
      <c r="H853" s="307" t="s">
        <v>1420</v>
      </c>
      <c r="I853" s="237"/>
      <c r="J853" s="237"/>
      <c r="K853" s="262"/>
      <c r="L853" s="237"/>
      <c r="M853" s="237"/>
      <c r="N853" s="237"/>
      <c r="O853" s="237"/>
      <c r="P853" s="237"/>
      <c r="Q853" s="237"/>
      <c r="R853" s="237"/>
      <c r="S853" s="237"/>
      <c r="T853" s="237"/>
      <c r="U853" s="237"/>
      <c r="V853" s="237"/>
      <c r="W853" s="237"/>
      <c r="X853" s="237"/>
      <c r="Y853" s="237"/>
      <c r="Z853" s="237"/>
    </row>
    <row r="854">
      <c r="A854" s="305">
        <v>853.0</v>
      </c>
      <c r="B854" s="236"/>
      <c r="C854" s="307" t="s">
        <v>1420</v>
      </c>
      <c r="D854" s="308" t="s">
        <v>12431</v>
      </c>
      <c r="E854" s="305" t="s">
        <v>12432</v>
      </c>
      <c r="F854" s="309" t="s">
        <v>14163</v>
      </c>
      <c r="G854" s="236"/>
      <c r="H854" s="307" t="s">
        <v>1420</v>
      </c>
      <c r="I854" s="237"/>
      <c r="J854" s="237"/>
      <c r="K854" s="310" t="s">
        <v>12430</v>
      </c>
      <c r="L854" s="237"/>
      <c r="M854" s="237"/>
      <c r="N854" s="237"/>
      <c r="O854" s="237"/>
      <c r="P854" s="237"/>
      <c r="Q854" s="237"/>
      <c r="R854" s="237"/>
      <c r="S854" s="237"/>
      <c r="T854" s="237"/>
      <c r="U854" s="237"/>
      <c r="V854" s="237"/>
      <c r="W854" s="237"/>
      <c r="X854" s="237"/>
      <c r="Y854" s="237"/>
      <c r="Z854" s="237"/>
    </row>
    <row r="855">
      <c r="A855" s="305">
        <v>854.0</v>
      </c>
      <c r="B855" s="306" t="s">
        <v>11210</v>
      </c>
      <c r="C855" s="307" t="s">
        <v>1420</v>
      </c>
      <c r="D855" s="308" t="s">
        <v>14164</v>
      </c>
      <c r="E855" s="305" t="s">
        <v>11213</v>
      </c>
      <c r="F855" s="309" t="s">
        <v>11214</v>
      </c>
      <c r="G855" s="236"/>
      <c r="H855" s="307" t="s">
        <v>1420</v>
      </c>
      <c r="I855" s="237"/>
      <c r="J855" s="237"/>
      <c r="K855" s="310" t="s">
        <v>11211</v>
      </c>
      <c r="L855" s="237"/>
      <c r="M855" s="237"/>
      <c r="N855" s="237"/>
      <c r="O855" s="237"/>
      <c r="P855" s="237"/>
      <c r="Q855" s="237"/>
      <c r="R855" s="237"/>
      <c r="S855" s="237"/>
      <c r="T855" s="237"/>
      <c r="U855" s="237"/>
      <c r="V855" s="237"/>
      <c r="W855" s="237"/>
      <c r="X855" s="237"/>
      <c r="Y855" s="237"/>
      <c r="Z855" s="237"/>
    </row>
    <row r="856">
      <c r="A856" s="305">
        <v>855.0</v>
      </c>
      <c r="B856" s="236"/>
      <c r="C856" s="307" t="s">
        <v>1420</v>
      </c>
      <c r="D856" s="308" t="s">
        <v>14165</v>
      </c>
      <c r="E856" s="305" t="s">
        <v>11755</v>
      </c>
      <c r="F856" s="309" t="s">
        <v>14166</v>
      </c>
      <c r="G856" s="236"/>
      <c r="H856" s="307" t="s">
        <v>1420</v>
      </c>
      <c r="I856" s="237"/>
      <c r="J856" s="237"/>
      <c r="K856" s="310" t="s">
        <v>11753</v>
      </c>
      <c r="L856" s="237"/>
      <c r="M856" s="237"/>
      <c r="N856" s="237"/>
      <c r="O856" s="237"/>
      <c r="P856" s="237"/>
      <c r="Q856" s="237"/>
      <c r="R856" s="237"/>
      <c r="S856" s="237"/>
      <c r="T856" s="237"/>
      <c r="U856" s="237"/>
      <c r="V856" s="237"/>
      <c r="W856" s="237"/>
      <c r="X856" s="237"/>
      <c r="Y856" s="237"/>
      <c r="Z856" s="237"/>
    </row>
    <row r="857">
      <c r="A857" s="305">
        <v>856.0</v>
      </c>
      <c r="B857" s="236"/>
      <c r="C857" s="307" t="s">
        <v>13452</v>
      </c>
      <c r="D857" s="308" t="s">
        <v>1804</v>
      </c>
      <c r="E857" s="236"/>
      <c r="F857" s="236"/>
      <c r="G857" s="236"/>
      <c r="H857" s="307" t="s">
        <v>13452</v>
      </c>
      <c r="I857" s="237"/>
      <c r="J857" s="237"/>
      <c r="K857" s="310" t="s">
        <v>13744</v>
      </c>
      <c r="L857" s="237"/>
      <c r="M857" s="237"/>
      <c r="N857" s="237"/>
      <c r="O857" s="237"/>
      <c r="P857" s="237"/>
      <c r="Q857" s="237"/>
      <c r="R857" s="237"/>
      <c r="S857" s="237"/>
      <c r="T857" s="237"/>
      <c r="U857" s="237"/>
      <c r="V857" s="237"/>
      <c r="W857" s="237"/>
      <c r="X857" s="237"/>
      <c r="Y857" s="237"/>
      <c r="Z857" s="237"/>
    </row>
    <row r="858">
      <c r="A858" s="305">
        <v>857.0</v>
      </c>
      <c r="B858" s="236"/>
      <c r="C858" s="307" t="s">
        <v>13452</v>
      </c>
      <c r="D858" s="308" t="s">
        <v>1801</v>
      </c>
      <c r="E858" s="236"/>
      <c r="F858" s="236"/>
      <c r="G858" s="236"/>
      <c r="H858" s="307" t="s">
        <v>13452</v>
      </c>
      <c r="I858" s="237"/>
      <c r="J858" s="237"/>
      <c r="K858" s="310" t="s">
        <v>13741</v>
      </c>
      <c r="L858" s="237"/>
      <c r="M858" s="237"/>
      <c r="N858" s="237"/>
      <c r="O858" s="237"/>
      <c r="P858" s="237"/>
      <c r="Q858" s="237"/>
      <c r="R858" s="237"/>
      <c r="S858" s="237"/>
      <c r="T858" s="237"/>
      <c r="U858" s="237"/>
      <c r="V858" s="237"/>
      <c r="W858" s="237"/>
      <c r="X858" s="237"/>
      <c r="Y858" s="237"/>
      <c r="Z858" s="237"/>
    </row>
    <row r="859">
      <c r="A859" s="305">
        <v>858.0</v>
      </c>
      <c r="B859" s="236"/>
      <c r="C859" s="307" t="s">
        <v>13452</v>
      </c>
      <c r="D859" s="308" t="s">
        <v>1797</v>
      </c>
      <c r="E859" s="236"/>
      <c r="F859" s="236"/>
      <c r="G859" s="236"/>
      <c r="H859" s="307" t="s">
        <v>13452</v>
      </c>
      <c r="I859" s="237"/>
      <c r="J859" s="237"/>
      <c r="K859" s="310" t="s">
        <v>13737</v>
      </c>
      <c r="L859" s="237"/>
      <c r="M859" s="237"/>
      <c r="N859" s="237"/>
      <c r="O859" s="237"/>
      <c r="P859" s="237"/>
      <c r="Q859" s="237"/>
      <c r="R859" s="237"/>
      <c r="S859" s="237"/>
      <c r="T859" s="237"/>
      <c r="U859" s="237"/>
      <c r="V859" s="237"/>
      <c r="W859" s="237"/>
      <c r="X859" s="237"/>
      <c r="Y859" s="237"/>
      <c r="Z859" s="237"/>
    </row>
    <row r="860">
      <c r="A860" s="305">
        <v>859.0</v>
      </c>
      <c r="B860" s="236"/>
      <c r="C860" s="307" t="s">
        <v>13452</v>
      </c>
      <c r="D860" s="308" t="s">
        <v>1795</v>
      </c>
      <c r="E860" s="236"/>
      <c r="F860" s="236"/>
      <c r="G860" s="236"/>
      <c r="H860" s="307" t="s">
        <v>13452</v>
      </c>
      <c r="I860" s="237"/>
      <c r="J860" s="237"/>
      <c r="K860" s="310" t="s">
        <v>13736</v>
      </c>
      <c r="L860" s="237"/>
      <c r="M860" s="237"/>
      <c r="N860" s="237"/>
      <c r="O860" s="237"/>
      <c r="P860" s="237"/>
      <c r="Q860" s="237"/>
      <c r="R860" s="237"/>
      <c r="S860" s="237"/>
      <c r="T860" s="237"/>
      <c r="U860" s="237"/>
      <c r="V860" s="237"/>
      <c r="W860" s="237"/>
      <c r="X860" s="237"/>
      <c r="Y860" s="237"/>
      <c r="Z860" s="237"/>
    </row>
    <row r="861">
      <c r="A861" s="305">
        <v>860.0</v>
      </c>
      <c r="B861" s="306" t="s">
        <v>1960</v>
      </c>
      <c r="C861" s="307" t="s">
        <v>13452</v>
      </c>
      <c r="D861" s="308" t="s">
        <v>1794</v>
      </c>
      <c r="E861" s="236"/>
      <c r="F861" s="236"/>
      <c r="G861" s="236"/>
      <c r="H861" s="307" t="s">
        <v>13452</v>
      </c>
      <c r="I861" s="237"/>
      <c r="J861" s="237"/>
      <c r="K861" s="310" t="s">
        <v>13735</v>
      </c>
      <c r="L861" s="237"/>
      <c r="M861" s="237"/>
      <c r="N861" s="237"/>
      <c r="O861" s="237"/>
      <c r="P861" s="237"/>
      <c r="Q861" s="237"/>
      <c r="R861" s="237"/>
      <c r="S861" s="237"/>
      <c r="T861" s="237"/>
      <c r="U861" s="237"/>
      <c r="V861" s="237"/>
      <c r="W861" s="237"/>
      <c r="X861" s="237"/>
      <c r="Y861" s="237"/>
      <c r="Z861" s="237"/>
    </row>
    <row r="862">
      <c r="A862" s="305">
        <v>861.0</v>
      </c>
      <c r="B862" s="236"/>
      <c r="C862" s="307" t="s">
        <v>13452</v>
      </c>
      <c r="D862" s="308" t="s">
        <v>1805</v>
      </c>
      <c r="E862" s="236"/>
      <c r="F862" s="236"/>
      <c r="G862" s="236"/>
      <c r="H862" s="307" t="s">
        <v>13452</v>
      </c>
      <c r="I862" s="237"/>
      <c r="J862" s="237"/>
      <c r="K862" s="310" t="s">
        <v>13745</v>
      </c>
      <c r="L862" s="237"/>
      <c r="M862" s="237"/>
      <c r="N862" s="237"/>
      <c r="O862" s="237"/>
      <c r="P862" s="237"/>
      <c r="Q862" s="237"/>
      <c r="R862" s="237"/>
      <c r="S862" s="237"/>
      <c r="T862" s="237"/>
      <c r="U862" s="237"/>
      <c r="V862" s="237"/>
      <c r="W862" s="237"/>
      <c r="X862" s="237"/>
      <c r="Y862" s="237"/>
      <c r="Z862" s="237"/>
    </row>
    <row r="863">
      <c r="A863" s="305">
        <v>862.0</v>
      </c>
      <c r="B863" s="236"/>
      <c r="C863" s="307" t="s">
        <v>13452</v>
      </c>
      <c r="D863" s="308" t="s">
        <v>1800</v>
      </c>
      <c r="E863" s="236"/>
      <c r="F863" s="236"/>
      <c r="G863" s="236"/>
      <c r="H863" s="307" t="s">
        <v>13452</v>
      </c>
      <c r="I863" s="237"/>
      <c r="J863" s="237"/>
      <c r="K863" s="310" t="s">
        <v>13740</v>
      </c>
      <c r="L863" s="237"/>
      <c r="M863" s="237"/>
      <c r="N863" s="237"/>
      <c r="O863" s="237"/>
      <c r="P863" s="237"/>
      <c r="Q863" s="237"/>
      <c r="R863" s="237"/>
      <c r="S863" s="237"/>
      <c r="T863" s="237"/>
      <c r="U863" s="237"/>
      <c r="V863" s="237"/>
      <c r="W863" s="237"/>
      <c r="X863" s="237"/>
      <c r="Y863" s="237"/>
      <c r="Z863" s="237"/>
    </row>
    <row r="864">
      <c r="A864" s="305">
        <v>863.0</v>
      </c>
      <c r="B864" s="236"/>
      <c r="C864" s="307" t="s">
        <v>13452</v>
      </c>
      <c r="D864" s="308" t="s">
        <v>1799</v>
      </c>
      <c r="E864" s="236"/>
      <c r="F864" s="236"/>
      <c r="G864" s="236"/>
      <c r="H864" s="307" t="s">
        <v>13452</v>
      </c>
      <c r="I864" s="237"/>
      <c r="J864" s="237"/>
      <c r="K864" s="310" t="s">
        <v>13739</v>
      </c>
      <c r="L864" s="237"/>
      <c r="M864" s="237"/>
      <c r="N864" s="237"/>
      <c r="O864" s="237"/>
      <c r="P864" s="237"/>
      <c r="Q864" s="237"/>
      <c r="R864" s="237"/>
      <c r="S864" s="237"/>
      <c r="T864" s="237"/>
      <c r="U864" s="237"/>
      <c r="V864" s="237"/>
      <c r="W864" s="237"/>
      <c r="X864" s="237"/>
      <c r="Y864" s="237"/>
      <c r="Z864" s="237"/>
    </row>
    <row r="865">
      <c r="A865" s="305">
        <v>864.0</v>
      </c>
      <c r="B865" s="236"/>
      <c r="C865" s="307" t="s">
        <v>13452</v>
      </c>
      <c r="D865" s="308" t="s">
        <v>1803</v>
      </c>
      <c r="E865" s="236"/>
      <c r="F865" s="236"/>
      <c r="G865" s="236"/>
      <c r="H865" s="307" t="s">
        <v>13452</v>
      </c>
      <c r="I865" s="237"/>
      <c r="J865" s="237"/>
      <c r="K865" s="310" t="s">
        <v>13743</v>
      </c>
      <c r="L865" s="237"/>
      <c r="M865" s="237"/>
      <c r="N865" s="237"/>
      <c r="O865" s="237"/>
      <c r="P865" s="237"/>
      <c r="Q865" s="237"/>
      <c r="R865" s="237"/>
      <c r="S865" s="237"/>
      <c r="T865" s="237"/>
      <c r="U865" s="237"/>
      <c r="V865" s="237"/>
      <c r="W865" s="237"/>
      <c r="X865" s="237"/>
      <c r="Y865" s="237"/>
      <c r="Z865" s="237"/>
    </row>
    <row r="866">
      <c r="A866" s="305">
        <v>865.0</v>
      </c>
      <c r="B866" s="236"/>
      <c r="C866" s="307" t="s">
        <v>13452</v>
      </c>
      <c r="D866" s="308" t="s">
        <v>1802</v>
      </c>
      <c r="E866" s="236"/>
      <c r="F866" s="236"/>
      <c r="G866" s="236"/>
      <c r="H866" s="307" t="s">
        <v>13452</v>
      </c>
      <c r="I866" s="237"/>
      <c r="J866" s="237"/>
      <c r="K866" s="310" t="s">
        <v>13742</v>
      </c>
      <c r="L866" s="237"/>
      <c r="M866" s="237"/>
      <c r="N866" s="237"/>
      <c r="O866" s="237"/>
      <c r="P866" s="237"/>
      <c r="Q866" s="237"/>
      <c r="R866" s="237"/>
      <c r="S866" s="237"/>
      <c r="T866" s="237"/>
      <c r="U866" s="237"/>
      <c r="V866" s="237"/>
      <c r="W866" s="237"/>
      <c r="X866" s="237"/>
      <c r="Y866" s="237"/>
      <c r="Z866" s="237"/>
    </row>
    <row r="867">
      <c r="A867" s="305">
        <v>866.0</v>
      </c>
      <c r="B867" s="306" t="s">
        <v>1957</v>
      </c>
      <c r="C867" s="307" t="s">
        <v>1420</v>
      </c>
      <c r="D867" s="308" t="s">
        <v>1791</v>
      </c>
      <c r="E867" s="236"/>
      <c r="F867" s="236"/>
      <c r="G867" s="236"/>
      <c r="H867" s="307" t="s">
        <v>1420</v>
      </c>
      <c r="I867" s="237"/>
      <c r="J867" s="237"/>
      <c r="K867" s="310" t="s">
        <v>13733</v>
      </c>
      <c r="L867" s="237"/>
      <c r="M867" s="237"/>
      <c r="N867" s="237"/>
      <c r="O867" s="237"/>
      <c r="P867" s="237"/>
      <c r="Q867" s="237"/>
      <c r="R867" s="237"/>
      <c r="S867" s="237"/>
      <c r="T867" s="237"/>
      <c r="U867" s="237"/>
      <c r="V867" s="237"/>
      <c r="W867" s="237"/>
      <c r="X867" s="237"/>
      <c r="Y867" s="237"/>
      <c r="Z867" s="237"/>
    </row>
    <row r="868">
      <c r="A868" s="305">
        <v>867.0</v>
      </c>
      <c r="B868" s="306" t="s">
        <v>1959</v>
      </c>
      <c r="C868" s="307" t="s">
        <v>13452</v>
      </c>
      <c r="D868" s="308" t="s">
        <v>1793</v>
      </c>
      <c r="E868" s="236"/>
      <c r="F868" s="236"/>
      <c r="G868" s="236"/>
      <c r="H868" s="307" t="s">
        <v>13452</v>
      </c>
      <c r="I868" s="237"/>
      <c r="J868" s="237"/>
      <c r="K868" s="310" t="s">
        <v>13734</v>
      </c>
      <c r="L868" s="237"/>
      <c r="M868" s="237"/>
      <c r="N868" s="237"/>
      <c r="O868" s="237"/>
      <c r="P868" s="237"/>
      <c r="Q868" s="237"/>
      <c r="R868" s="237"/>
      <c r="S868" s="237"/>
      <c r="T868" s="237"/>
      <c r="U868" s="237"/>
      <c r="V868" s="237"/>
      <c r="W868" s="237"/>
      <c r="X868" s="237"/>
      <c r="Y868" s="237"/>
      <c r="Z868" s="237"/>
    </row>
    <row r="869">
      <c r="A869" s="305">
        <v>868.0</v>
      </c>
      <c r="B869" s="236"/>
      <c r="C869" s="307" t="s">
        <v>13452</v>
      </c>
      <c r="D869" s="308" t="s">
        <v>1798</v>
      </c>
      <c r="E869" s="236"/>
      <c r="F869" s="236"/>
      <c r="G869" s="236"/>
      <c r="H869" s="307" t="s">
        <v>13452</v>
      </c>
      <c r="I869" s="237"/>
      <c r="J869" s="237"/>
      <c r="K869" s="310" t="s">
        <v>13738</v>
      </c>
      <c r="L869" s="237"/>
      <c r="M869" s="237"/>
      <c r="N869" s="237"/>
      <c r="O869" s="237"/>
      <c r="P869" s="237"/>
      <c r="Q869" s="237"/>
      <c r="R869" s="237"/>
      <c r="S869" s="237"/>
      <c r="T869" s="237"/>
      <c r="U869" s="237"/>
      <c r="V869" s="237"/>
      <c r="W869" s="237"/>
      <c r="X869" s="237"/>
      <c r="Y869" s="237"/>
      <c r="Z869" s="237"/>
    </row>
    <row r="870">
      <c r="A870" s="305">
        <v>869.0</v>
      </c>
      <c r="B870" s="236"/>
      <c r="C870" s="311" t="s">
        <v>1420</v>
      </c>
      <c r="D870" s="106" t="s">
        <v>14167</v>
      </c>
      <c r="E870" s="104" t="s">
        <v>14168</v>
      </c>
      <c r="F870" s="309" t="s">
        <v>14169</v>
      </c>
      <c r="G870" s="236"/>
      <c r="H870" s="311" t="s">
        <v>1420</v>
      </c>
      <c r="I870" s="237"/>
      <c r="J870" s="237"/>
      <c r="K870" s="310" t="s">
        <v>13868</v>
      </c>
      <c r="L870" s="237"/>
      <c r="M870" s="237"/>
      <c r="N870" s="237"/>
      <c r="O870" s="237"/>
      <c r="P870" s="237"/>
      <c r="Q870" s="237"/>
      <c r="R870" s="237"/>
      <c r="S870" s="237"/>
      <c r="T870" s="237"/>
      <c r="U870" s="237"/>
      <c r="V870" s="237"/>
      <c r="W870" s="237"/>
      <c r="X870" s="237"/>
      <c r="Y870" s="237"/>
      <c r="Z870" s="237"/>
    </row>
    <row r="871">
      <c r="A871" s="305">
        <v>870.0</v>
      </c>
      <c r="B871" s="236"/>
      <c r="C871" s="307" t="s">
        <v>1420</v>
      </c>
      <c r="D871" s="308" t="s">
        <v>14170</v>
      </c>
      <c r="E871" s="236"/>
      <c r="F871" s="309" t="s">
        <v>14171</v>
      </c>
      <c r="G871" s="236"/>
      <c r="H871" s="307" t="s">
        <v>1420</v>
      </c>
      <c r="I871" s="237"/>
      <c r="J871" s="237"/>
      <c r="K871" s="310" t="s">
        <v>13863</v>
      </c>
      <c r="L871" s="237"/>
      <c r="M871" s="237"/>
      <c r="N871" s="237"/>
      <c r="O871" s="237"/>
      <c r="P871" s="237"/>
      <c r="Q871" s="237"/>
      <c r="R871" s="237"/>
      <c r="S871" s="237"/>
      <c r="T871" s="237"/>
      <c r="U871" s="237"/>
      <c r="V871" s="237"/>
      <c r="W871" s="237"/>
      <c r="X871" s="237"/>
      <c r="Y871" s="237"/>
      <c r="Z871" s="237"/>
    </row>
    <row r="872">
      <c r="A872" s="305">
        <v>871.0</v>
      </c>
      <c r="B872" s="236"/>
      <c r="C872" s="307" t="s">
        <v>1420</v>
      </c>
      <c r="D872" s="308" t="s">
        <v>14172</v>
      </c>
      <c r="E872" s="236"/>
      <c r="F872" s="309" t="s">
        <v>14173</v>
      </c>
      <c r="G872" s="236"/>
      <c r="H872" s="307" t="s">
        <v>1420</v>
      </c>
      <c r="I872" s="237"/>
      <c r="J872" s="237"/>
      <c r="K872" s="310" t="s">
        <v>13864</v>
      </c>
      <c r="L872" s="237"/>
      <c r="M872" s="237"/>
      <c r="N872" s="237"/>
      <c r="O872" s="237"/>
      <c r="P872" s="237"/>
      <c r="Q872" s="237"/>
      <c r="R872" s="237"/>
      <c r="S872" s="237"/>
      <c r="T872" s="237"/>
      <c r="U872" s="237"/>
      <c r="V872" s="237"/>
      <c r="W872" s="237"/>
      <c r="X872" s="237"/>
      <c r="Y872" s="237"/>
      <c r="Z872" s="237"/>
    </row>
    <row r="873">
      <c r="A873" s="305">
        <v>872.0</v>
      </c>
      <c r="B873" s="236"/>
      <c r="C873" s="307" t="s">
        <v>1420</v>
      </c>
      <c r="D873" s="308" t="s">
        <v>14174</v>
      </c>
      <c r="E873" s="236"/>
      <c r="F873" s="309" t="s">
        <v>14175</v>
      </c>
      <c r="G873" s="236"/>
      <c r="H873" s="307" t="s">
        <v>1420</v>
      </c>
      <c r="I873" s="237"/>
      <c r="J873" s="237"/>
      <c r="K873" s="310" t="s">
        <v>13865</v>
      </c>
      <c r="L873" s="237"/>
      <c r="M873" s="237"/>
      <c r="N873" s="237"/>
      <c r="O873" s="237"/>
      <c r="P873" s="237"/>
      <c r="Q873" s="237"/>
      <c r="R873" s="237"/>
      <c r="S873" s="237"/>
      <c r="T873" s="237"/>
      <c r="U873" s="237"/>
      <c r="V873" s="237"/>
      <c r="W873" s="237"/>
      <c r="X873" s="237"/>
      <c r="Y873" s="237"/>
      <c r="Z873" s="237"/>
    </row>
    <row r="874">
      <c r="A874" s="305">
        <v>873.0</v>
      </c>
      <c r="B874" s="236"/>
      <c r="C874" s="311" t="s">
        <v>1420</v>
      </c>
      <c r="D874" s="308" t="s">
        <v>14176</v>
      </c>
      <c r="E874" s="104" t="s">
        <v>14177</v>
      </c>
      <c r="F874" s="309" t="s">
        <v>14178</v>
      </c>
      <c r="G874" s="236"/>
      <c r="H874" s="311" t="s">
        <v>1420</v>
      </c>
      <c r="I874" s="237"/>
      <c r="J874" s="237"/>
      <c r="K874" s="310" t="s">
        <v>13867</v>
      </c>
      <c r="L874" s="237"/>
      <c r="M874" s="237"/>
      <c r="N874" s="237"/>
      <c r="O874" s="237"/>
      <c r="P874" s="237"/>
      <c r="Q874" s="237"/>
      <c r="R874" s="237"/>
      <c r="S874" s="237"/>
      <c r="T874" s="237"/>
      <c r="U874" s="237"/>
      <c r="V874" s="237"/>
      <c r="W874" s="237"/>
      <c r="X874" s="237"/>
      <c r="Y874" s="237"/>
      <c r="Z874" s="237"/>
    </row>
    <row r="875">
      <c r="A875" s="305">
        <v>874.0</v>
      </c>
      <c r="B875" s="236"/>
      <c r="C875" s="307" t="s">
        <v>1420</v>
      </c>
      <c r="D875" s="308" t="s">
        <v>14179</v>
      </c>
      <c r="E875" s="236"/>
      <c r="F875" s="309" t="s">
        <v>14180</v>
      </c>
      <c r="G875" s="236"/>
      <c r="H875" s="307" t="s">
        <v>1420</v>
      </c>
      <c r="I875" s="237"/>
      <c r="J875" s="237"/>
      <c r="K875" s="310" t="s">
        <v>13866</v>
      </c>
      <c r="L875" s="237"/>
      <c r="M875" s="237"/>
      <c r="N875" s="237"/>
      <c r="O875" s="237"/>
      <c r="P875" s="237"/>
      <c r="Q875" s="237"/>
      <c r="R875" s="237"/>
      <c r="S875" s="237"/>
      <c r="T875" s="237"/>
      <c r="U875" s="237"/>
      <c r="V875" s="237"/>
      <c r="W875" s="237"/>
      <c r="X875" s="237"/>
      <c r="Y875" s="237"/>
      <c r="Z875" s="237"/>
    </row>
    <row r="876">
      <c r="A876" s="305">
        <v>875.0</v>
      </c>
      <c r="B876" s="236"/>
      <c r="C876" s="307" t="s">
        <v>1420</v>
      </c>
      <c r="D876" s="308" t="s">
        <v>14181</v>
      </c>
      <c r="E876" s="236"/>
      <c r="F876" s="309" t="s">
        <v>14182</v>
      </c>
      <c r="G876" s="236"/>
      <c r="H876" s="307" t="s">
        <v>1420</v>
      </c>
      <c r="I876" s="237"/>
      <c r="J876" s="237"/>
      <c r="K876" s="310" t="s">
        <v>13862</v>
      </c>
      <c r="L876" s="237"/>
      <c r="M876" s="237"/>
      <c r="N876" s="237"/>
      <c r="O876" s="237"/>
      <c r="P876" s="237"/>
      <c r="Q876" s="237"/>
      <c r="R876" s="237"/>
      <c r="S876" s="237"/>
      <c r="T876" s="237"/>
      <c r="U876" s="237"/>
      <c r="V876" s="237"/>
      <c r="W876" s="237"/>
      <c r="X876" s="237"/>
      <c r="Y876" s="237"/>
      <c r="Z876" s="237"/>
    </row>
    <row r="877">
      <c r="A877" s="305">
        <v>876.0</v>
      </c>
      <c r="B877" s="306">
        <v>103115.0</v>
      </c>
      <c r="C877" s="307" t="s">
        <v>1420</v>
      </c>
      <c r="D877" s="308" t="s">
        <v>10955</v>
      </c>
      <c r="E877" s="305" t="s">
        <v>10956</v>
      </c>
      <c r="F877" s="309" t="s">
        <v>14183</v>
      </c>
      <c r="G877" s="236"/>
      <c r="H877" s="307" t="s">
        <v>1420</v>
      </c>
      <c r="I877" s="237"/>
      <c r="J877" s="237"/>
      <c r="K877" s="310" t="s">
        <v>10954</v>
      </c>
      <c r="L877" s="237"/>
      <c r="M877" s="237"/>
      <c r="N877" s="237"/>
      <c r="O877" s="237"/>
      <c r="P877" s="237"/>
      <c r="Q877" s="237"/>
      <c r="R877" s="237"/>
      <c r="S877" s="237"/>
      <c r="T877" s="237"/>
      <c r="U877" s="237"/>
      <c r="V877" s="237"/>
      <c r="W877" s="237"/>
      <c r="X877" s="237"/>
      <c r="Y877" s="237"/>
      <c r="Z877" s="237"/>
    </row>
    <row r="878">
      <c r="A878" s="305">
        <v>877.0</v>
      </c>
      <c r="B878" s="236"/>
      <c r="C878" s="307" t="s">
        <v>1420</v>
      </c>
      <c r="D878" s="308" t="s">
        <v>10942</v>
      </c>
      <c r="E878" s="305" t="s">
        <v>10943</v>
      </c>
      <c r="F878" s="309" t="s">
        <v>14184</v>
      </c>
      <c r="G878" s="236"/>
      <c r="H878" s="307" t="s">
        <v>1420</v>
      </c>
      <c r="I878" s="237"/>
      <c r="J878" s="237"/>
      <c r="K878" s="310" t="s">
        <v>10941</v>
      </c>
      <c r="L878" s="237"/>
      <c r="M878" s="237"/>
      <c r="N878" s="237"/>
      <c r="O878" s="237"/>
      <c r="P878" s="237"/>
      <c r="Q878" s="237"/>
      <c r="R878" s="237"/>
      <c r="S878" s="237"/>
      <c r="T878" s="237"/>
      <c r="U878" s="237"/>
      <c r="V878" s="237"/>
      <c r="W878" s="237"/>
      <c r="X878" s="237"/>
      <c r="Y878" s="237"/>
      <c r="Z878" s="237"/>
    </row>
    <row r="879">
      <c r="A879" s="305">
        <v>878.0</v>
      </c>
      <c r="B879" s="306">
        <v>116115.0</v>
      </c>
      <c r="C879" s="307" t="s">
        <v>1420</v>
      </c>
      <c r="D879" s="308" t="s">
        <v>10965</v>
      </c>
      <c r="E879" s="305" t="s">
        <v>10966</v>
      </c>
      <c r="F879" s="309" t="s">
        <v>10967</v>
      </c>
      <c r="G879" s="236"/>
      <c r="H879" s="307" t="s">
        <v>1420</v>
      </c>
      <c r="I879" s="237"/>
      <c r="J879" s="237"/>
      <c r="K879" s="310" t="s">
        <v>10964</v>
      </c>
      <c r="L879" s="237"/>
      <c r="M879" s="237"/>
      <c r="N879" s="237"/>
      <c r="O879" s="237"/>
      <c r="P879" s="237"/>
      <c r="Q879" s="237"/>
      <c r="R879" s="237"/>
      <c r="S879" s="237"/>
      <c r="T879" s="237"/>
      <c r="U879" s="237"/>
      <c r="V879" s="237"/>
      <c r="W879" s="237"/>
      <c r="X879" s="237"/>
      <c r="Y879" s="237"/>
      <c r="Z879" s="237"/>
    </row>
    <row r="880">
      <c r="A880" s="305">
        <v>879.0</v>
      </c>
      <c r="B880" s="236"/>
      <c r="C880" s="307" t="s">
        <v>1420</v>
      </c>
      <c r="D880" s="308" t="s">
        <v>10946</v>
      </c>
      <c r="E880" s="305" t="s">
        <v>10947</v>
      </c>
      <c r="F880" s="309" t="s">
        <v>10948</v>
      </c>
      <c r="G880" s="236"/>
      <c r="H880" s="307" t="s">
        <v>1420</v>
      </c>
      <c r="I880" s="237"/>
      <c r="J880" s="237"/>
      <c r="K880" s="310" t="s">
        <v>10945</v>
      </c>
      <c r="L880" s="237"/>
      <c r="M880" s="237"/>
      <c r="N880" s="237"/>
      <c r="O880" s="237"/>
      <c r="P880" s="237"/>
      <c r="Q880" s="237"/>
      <c r="R880" s="237"/>
      <c r="S880" s="237"/>
      <c r="T880" s="237"/>
      <c r="U880" s="237"/>
      <c r="V880" s="237"/>
      <c r="W880" s="237"/>
      <c r="X880" s="237"/>
      <c r="Y880" s="237"/>
      <c r="Z880" s="237"/>
    </row>
    <row r="881">
      <c r="A881" s="305">
        <v>880.0</v>
      </c>
      <c r="B881" s="306">
        <v>110115.0</v>
      </c>
      <c r="C881" s="307" t="s">
        <v>1420</v>
      </c>
      <c r="D881" s="308" t="s">
        <v>10960</v>
      </c>
      <c r="E881" s="305" t="s">
        <v>10961</v>
      </c>
      <c r="F881" s="309" t="s">
        <v>10962</v>
      </c>
      <c r="G881" s="236"/>
      <c r="H881" s="307" t="s">
        <v>1420</v>
      </c>
      <c r="I881" s="237"/>
      <c r="J881" s="237"/>
      <c r="K881" s="310" t="s">
        <v>10959</v>
      </c>
      <c r="L881" s="237"/>
      <c r="M881" s="237"/>
      <c r="N881" s="237"/>
      <c r="O881" s="237"/>
      <c r="P881" s="237"/>
      <c r="Q881" s="237"/>
      <c r="R881" s="237"/>
      <c r="S881" s="237"/>
      <c r="T881" s="237"/>
      <c r="U881" s="237"/>
      <c r="V881" s="237"/>
      <c r="W881" s="237"/>
      <c r="X881" s="237"/>
      <c r="Y881" s="237"/>
      <c r="Z881" s="237"/>
    </row>
    <row r="882">
      <c r="A882" s="305">
        <v>881.0</v>
      </c>
      <c r="B882" s="306">
        <v>101115.0</v>
      </c>
      <c r="C882" s="307" t="s">
        <v>1420</v>
      </c>
      <c r="D882" s="308" t="s">
        <v>10970</v>
      </c>
      <c r="E882" s="305" t="s">
        <v>10971</v>
      </c>
      <c r="F882" s="309" t="s">
        <v>10972</v>
      </c>
      <c r="G882" s="236"/>
      <c r="H882" s="307" t="s">
        <v>1420</v>
      </c>
      <c r="I882" s="237"/>
      <c r="J882" s="237"/>
      <c r="K882" s="310" t="s">
        <v>10969</v>
      </c>
      <c r="L882" s="237"/>
      <c r="M882" s="237"/>
      <c r="N882" s="237"/>
      <c r="O882" s="237"/>
      <c r="P882" s="237"/>
      <c r="Q882" s="237"/>
      <c r="R882" s="237"/>
      <c r="S882" s="237"/>
      <c r="T882" s="237"/>
      <c r="U882" s="237"/>
      <c r="V882" s="237"/>
      <c r="W882" s="237"/>
      <c r="X882" s="237"/>
      <c r="Y882" s="237"/>
      <c r="Z882" s="237"/>
    </row>
    <row r="883">
      <c r="A883" s="305">
        <v>882.0</v>
      </c>
      <c r="B883" s="236"/>
      <c r="C883" s="307" t="s">
        <v>1420</v>
      </c>
      <c r="D883" s="308" t="s">
        <v>10704</v>
      </c>
      <c r="E883" s="305" t="s">
        <v>10705</v>
      </c>
      <c r="F883" s="309" t="s">
        <v>14185</v>
      </c>
      <c r="G883" s="236"/>
      <c r="H883" s="307" t="s">
        <v>1420</v>
      </c>
      <c r="I883" s="237"/>
      <c r="J883" s="237"/>
      <c r="K883" s="310" t="s">
        <v>10703</v>
      </c>
      <c r="L883" s="237"/>
      <c r="M883" s="237"/>
      <c r="N883" s="237"/>
      <c r="O883" s="237"/>
      <c r="P883" s="237"/>
      <c r="Q883" s="237"/>
      <c r="R883" s="237"/>
      <c r="S883" s="237"/>
      <c r="T883" s="237"/>
      <c r="U883" s="237"/>
      <c r="V883" s="237"/>
      <c r="W883" s="237"/>
      <c r="X883" s="237"/>
      <c r="Y883" s="237"/>
      <c r="Z883" s="237"/>
    </row>
    <row r="884">
      <c r="A884" s="305">
        <v>883.0</v>
      </c>
      <c r="B884" s="236"/>
      <c r="C884" s="307" t="s">
        <v>1420</v>
      </c>
      <c r="D884" s="308" t="s">
        <v>10700</v>
      </c>
      <c r="E884" s="305" t="s">
        <v>10701</v>
      </c>
      <c r="F884" s="309" t="s">
        <v>14186</v>
      </c>
      <c r="G884" s="236"/>
      <c r="H884" s="307" t="s">
        <v>1420</v>
      </c>
      <c r="I884" s="237"/>
      <c r="J884" s="237"/>
      <c r="K884" s="310" t="s">
        <v>10699</v>
      </c>
      <c r="L884" s="237"/>
      <c r="M884" s="237"/>
      <c r="N884" s="237"/>
      <c r="O884" s="237"/>
      <c r="P884" s="237"/>
      <c r="Q884" s="237"/>
      <c r="R884" s="237"/>
      <c r="S884" s="237"/>
      <c r="T884" s="237"/>
      <c r="U884" s="237"/>
      <c r="V884" s="237"/>
      <c r="W884" s="237"/>
      <c r="X884" s="237"/>
      <c r="Y884" s="237"/>
      <c r="Z884" s="237"/>
    </row>
    <row r="885">
      <c r="A885" s="305">
        <v>884.0</v>
      </c>
      <c r="B885" s="236"/>
      <c r="C885" s="307" t="s">
        <v>1420</v>
      </c>
      <c r="D885" s="308" t="s">
        <v>11803</v>
      </c>
      <c r="E885" s="305" t="s">
        <v>14187</v>
      </c>
      <c r="F885" s="309" t="s">
        <v>14188</v>
      </c>
      <c r="G885" s="236"/>
      <c r="H885" s="307" t="s">
        <v>1420</v>
      </c>
      <c r="I885" s="237"/>
      <c r="J885" s="237"/>
      <c r="K885" s="310" t="s">
        <v>11802</v>
      </c>
      <c r="L885" s="237"/>
      <c r="M885" s="237"/>
      <c r="N885" s="237"/>
      <c r="O885" s="237"/>
      <c r="P885" s="237"/>
      <c r="Q885" s="237"/>
      <c r="R885" s="237"/>
      <c r="S885" s="237"/>
      <c r="T885" s="237"/>
      <c r="U885" s="237"/>
      <c r="V885" s="237"/>
      <c r="W885" s="237"/>
      <c r="X885" s="237"/>
      <c r="Y885" s="237"/>
      <c r="Z885" s="237"/>
    </row>
    <row r="886">
      <c r="A886" s="305">
        <v>885.0</v>
      </c>
      <c r="B886" s="236"/>
      <c r="C886" s="307" t="s">
        <v>1420</v>
      </c>
      <c r="D886" s="308" t="s">
        <v>10708</v>
      </c>
      <c r="E886" s="305" t="s">
        <v>10709</v>
      </c>
      <c r="F886" s="309" t="s">
        <v>14189</v>
      </c>
      <c r="G886" s="236"/>
      <c r="H886" s="307" t="s">
        <v>1420</v>
      </c>
      <c r="I886" s="237"/>
      <c r="J886" s="237"/>
      <c r="K886" s="310" t="s">
        <v>10707</v>
      </c>
      <c r="L886" s="237"/>
      <c r="M886" s="237"/>
      <c r="N886" s="237"/>
      <c r="O886" s="237"/>
      <c r="P886" s="237"/>
      <c r="Q886" s="237"/>
      <c r="R886" s="237"/>
      <c r="S886" s="237"/>
      <c r="T886" s="237"/>
      <c r="U886" s="237"/>
      <c r="V886" s="237"/>
      <c r="W886" s="237"/>
      <c r="X886" s="237"/>
      <c r="Y886" s="237"/>
      <c r="Z886" s="237"/>
    </row>
    <row r="887">
      <c r="A887" s="305">
        <v>886.0</v>
      </c>
      <c r="B887" s="306">
        <v>233001.0</v>
      </c>
      <c r="C887" s="307" t="s">
        <v>1420</v>
      </c>
      <c r="D887" s="308" t="s">
        <v>14190</v>
      </c>
      <c r="E887" s="305" t="s">
        <v>10643</v>
      </c>
      <c r="F887" s="309" t="s">
        <v>14191</v>
      </c>
      <c r="G887" s="236"/>
      <c r="H887" s="307" t="s">
        <v>1420</v>
      </c>
      <c r="I887" s="237"/>
      <c r="J887" s="237"/>
      <c r="K887" s="310" t="s">
        <v>10641</v>
      </c>
      <c r="L887" s="237"/>
      <c r="M887" s="237"/>
      <c r="N887" s="237"/>
      <c r="O887" s="237"/>
      <c r="P887" s="237"/>
      <c r="Q887" s="237"/>
      <c r="R887" s="237"/>
      <c r="S887" s="237"/>
      <c r="T887" s="237"/>
      <c r="U887" s="237"/>
      <c r="V887" s="237"/>
      <c r="W887" s="237"/>
      <c r="X887" s="237"/>
      <c r="Y887" s="237"/>
      <c r="Z887" s="237"/>
    </row>
    <row r="888">
      <c r="A888" s="305">
        <v>887.0</v>
      </c>
      <c r="B888" s="306">
        <v>233350.0</v>
      </c>
      <c r="C888" s="307" t="s">
        <v>1420</v>
      </c>
      <c r="D888" s="308" t="s">
        <v>10647</v>
      </c>
      <c r="E888" s="305" t="s">
        <v>10648</v>
      </c>
      <c r="F888" s="309" t="s">
        <v>14192</v>
      </c>
      <c r="G888" s="236"/>
      <c r="H888" s="307" t="s">
        <v>1420</v>
      </c>
      <c r="I888" s="237"/>
      <c r="J888" s="237"/>
      <c r="K888" s="310" t="s">
        <v>10646</v>
      </c>
      <c r="L888" s="237"/>
      <c r="M888" s="237"/>
      <c r="N888" s="237"/>
      <c r="O888" s="237"/>
      <c r="P888" s="237"/>
      <c r="Q888" s="237"/>
      <c r="R888" s="237"/>
      <c r="S888" s="237"/>
      <c r="T888" s="237"/>
      <c r="U888" s="237"/>
      <c r="V888" s="237"/>
      <c r="W888" s="237"/>
      <c r="X888" s="237"/>
      <c r="Y888" s="237"/>
      <c r="Z888" s="237"/>
    </row>
    <row r="889">
      <c r="A889" s="305">
        <v>888.0</v>
      </c>
      <c r="B889" s="306">
        <v>231001.0</v>
      </c>
      <c r="C889" s="307" t="s">
        <v>1420</v>
      </c>
      <c r="D889" s="308" t="s">
        <v>10619</v>
      </c>
      <c r="E889" s="305" t="s">
        <v>10620</v>
      </c>
      <c r="F889" s="309" t="s">
        <v>14193</v>
      </c>
      <c r="G889" s="236"/>
      <c r="H889" s="307" t="s">
        <v>1420</v>
      </c>
      <c r="I889" s="237"/>
      <c r="J889" s="237"/>
      <c r="K889" s="310" t="s">
        <v>10618</v>
      </c>
      <c r="L889" s="237"/>
      <c r="M889" s="237"/>
      <c r="N889" s="237"/>
      <c r="O889" s="237"/>
      <c r="P889" s="237"/>
      <c r="Q889" s="237"/>
      <c r="R889" s="237"/>
      <c r="S889" s="237"/>
      <c r="T889" s="237"/>
      <c r="U889" s="237"/>
      <c r="V889" s="237"/>
      <c r="W889" s="237"/>
      <c r="X889" s="237"/>
      <c r="Y889" s="237"/>
      <c r="Z889" s="237"/>
    </row>
    <row r="890">
      <c r="A890" s="305">
        <v>889.0</v>
      </c>
      <c r="B890" s="306">
        <v>231350.0</v>
      </c>
      <c r="C890" s="307" t="s">
        <v>1420</v>
      </c>
      <c r="D890" s="308" t="s">
        <v>10626</v>
      </c>
      <c r="E890" s="305" t="s">
        <v>10627</v>
      </c>
      <c r="F890" s="309" t="s">
        <v>14194</v>
      </c>
      <c r="G890" s="236"/>
      <c r="H890" s="307" t="s">
        <v>1420</v>
      </c>
      <c r="I890" s="237"/>
      <c r="J890" s="237"/>
      <c r="K890" s="310" t="s">
        <v>10625</v>
      </c>
      <c r="L890" s="237"/>
      <c r="M890" s="237"/>
      <c r="N890" s="237"/>
      <c r="O890" s="237"/>
      <c r="P890" s="237"/>
      <c r="Q890" s="237"/>
      <c r="R890" s="237"/>
      <c r="S890" s="237"/>
      <c r="T890" s="237"/>
      <c r="U890" s="237"/>
      <c r="V890" s="237"/>
      <c r="W890" s="237"/>
      <c r="X890" s="237"/>
      <c r="Y890" s="237"/>
      <c r="Z890" s="237"/>
    </row>
    <row r="891">
      <c r="A891" s="305">
        <v>890.0</v>
      </c>
      <c r="B891" s="306">
        <v>232001.0</v>
      </c>
      <c r="C891" s="307" t="s">
        <v>1420</v>
      </c>
      <c r="D891" s="308" t="s">
        <v>10632</v>
      </c>
      <c r="E891" s="305" t="s">
        <v>10633</v>
      </c>
      <c r="F891" s="309" t="s">
        <v>14195</v>
      </c>
      <c r="G891" s="236"/>
      <c r="H891" s="307" t="s">
        <v>1420</v>
      </c>
      <c r="I891" s="237"/>
      <c r="J891" s="237"/>
      <c r="K891" s="310" t="s">
        <v>10631</v>
      </c>
      <c r="L891" s="237"/>
      <c r="M891" s="237"/>
      <c r="N891" s="237"/>
      <c r="O891" s="237"/>
      <c r="P891" s="237"/>
      <c r="Q891" s="237"/>
      <c r="R891" s="237"/>
      <c r="S891" s="237"/>
      <c r="T891" s="237"/>
      <c r="U891" s="237"/>
      <c r="V891" s="237"/>
      <c r="W891" s="237"/>
      <c r="X891" s="237"/>
      <c r="Y891" s="237"/>
      <c r="Z891" s="237"/>
    </row>
    <row r="892">
      <c r="A892" s="305">
        <v>891.0</v>
      </c>
      <c r="B892" s="306">
        <v>232350.0</v>
      </c>
      <c r="C892" s="307" t="s">
        <v>1420</v>
      </c>
      <c r="D892" s="308" t="s">
        <v>10637</v>
      </c>
      <c r="E892" s="305" t="s">
        <v>10638</v>
      </c>
      <c r="F892" s="309" t="s">
        <v>14196</v>
      </c>
      <c r="G892" s="236"/>
      <c r="H892" s="307" t="s">
        <v>1420</v>
      </c>
      <c r="I892" s="237"/>
      <c r="J892" s="237"/>
      <c r="K892" s="310" t="s">
        <v>10636</v>
      </c>
      <c r="L892" s="237"/>
      <c r="M892" s="237"/>
      <c r="N892" s="237"/>
      <c r="O892" s="237"/>
      <c r="P892" s="237"/>
      <c r="Q892" s="237"/>
      <c r="R892" s="237"/>
      <c r="S892" s="237"/>
      <c r="T892" s="237"/>
      <c r="U892" s="237"/>
      <c r="V892" s="237"/>
      <c r="W892" s="237"/>
      <c r="X892" s="237"/>
      <c r="Y892" s="237"/>
      <c r="Z892" s="237"/>
    </row>
    <row r="893">
      <c r="A893" s="305">
        <v>892.0</v>
      </c>
      <c r="B893" s="236"/>
      <c r="C893" s="307" t="s">
        <v>1420</v>
      </c>
      <c r="D893" s="308" t="s">
        <v>10669</v>
      </c>
      <c r="E893" s="305" t="s">
        <v>10670</v>
      </c>
      <c r="F893" s="309" t="s">
        <v>14197</v>
      </c>
      <c r="G893" s="236"/>
      <c r="H893" s="307" t="s">
        <v>1420</v>
      </c>
      <c r="I893" s="237"/>
      <c r="J893" s="237"/>
      <c r="K893" s="310" t="s">
        <v>10668</v>
      </c>
      <c r="L893" s="237"/>
      <c r="M893" s="237"/>
      <c r="N893" s="237"/>
      <c r="O893" s="237"/>
      <c r="P893" s="237"/>
      <c r="Q893" s="237"/>
      <c r="R893" s="237"/>
      <c r="S893" s="237"/>
      <c r="T893" s="237"/>
      <c r="U893" s="237"/>
      <c r="V893" s="237"/>
      <c r="W893" s="237"/>
      <c r="X893" s="237"/>
      <c r="Y893" s="237"/>
      <c r="Z893" s="237"/>
    </row>
    <row r="894">
      <c r="A894" s="305">
        <v>893.0</v>
      </c>
      <c r="B894" s="236"/>
      <c r="C894" s="307" t="s">
        <v>1420</v>
      </c>
      <c r="D894" s="308" t="s">
        <v>10682</v>
      </c>
      <c r="E894" s="305" t="s">
        <v>10683</v>
      </c>
      <c r="F894" s="309" t="s">
        <v>14198</v>
      </c>
      <c r="G894" s="236"/>
      <c r="H894" s="307" t="s">
        <v>1420</v>
      </c>
      <c r="I894" s="237"/>
      <c r="J894" s="237"/>
      <c r="K894" s="310" t="s">
        <v>10681</v>
      </c>
      <c r="L894" s="237"/>
      <c r="M894" s="237"/>
      <c r="N894" s="237"/>
      <c r="O894" s="237"/>
      <c r="P894" s="237"/>
      <c r="Q894" s="237"/>
      <c r="R894" s="237"/>
      <c r="S894" s="237"/>
      <c r="T894" s="237"/>
      <c r="U894" s="237"/>
      <c r="V894" s="237"/>
      <c r="W894" s="237"/>
      <c r="X894" s="237"/>
      <c r="Y894" s="237"/>
      <c r="Z894" s="237"/>
    </row>
    <row r="895">
      <c r="A895" s="305">
        <v>894.0</v>
      </c>
      <c r="B895" s="236"/>
      <c r="C895" s="307" t="s">
        <v>1420</v>
      </c>
      <c r="D895" s="308" t="s">
        <v>10696</v>
      </c>
      <c r="E895" s="305" t="s">
        <v>10697</v>
      </c>
      <c r="F895" s="309" t="s">
        <v>14199</v>
      </c>
      <c r="G895" s="236"/>
      <c r="H895" s="307" t="s">
        <v>1420</v>
      </c>
      <c r="I895" s="237"/>
      <c r="J895" s="237"/>
      <c r="K895" s="310" t="s">
        <v>10695</v>
      </c>
      <c r="L895" s="237"/>
      <c r="M895" s="237"/>
      <c r="N895" s="237"/>
      <c r="O895" s="237"/>
      <c r="P895" s="237"/>
      <c r="Q895" s="237"/>
      <c r="R895" s="237"/>
      <c r="S895" s="237"/>
      <c r="T895" s="237"/>
      <c r="U895" s="237"/>
      <c r="V895" s="237"/>
      <c r="W895" s="237"/>
      <c r="X895" s="237"/>
      <c r="Y895" s="237"/>
      <c r="Z895" s="237"/>
    </row>
    <row r="896">
      <c r="A896" s="305">
        <v>895.0</v>
      </c>
      <c r="B896" s="236"/>
      <c r="C896" s="307" t="s">
        <v>1420</v>
      </c>
      <c r="D896" s="308" t="s">
        <v>10665</v>
      </c>
      <c r="E896" s="305" t="s">
        <v>10666</v>
      </c>
      <c r="F896" s="309" t="s">
        <v>14200</v>
      </c>
      <c r="G896" s="236"/>
      <c r="H896" s="307" t="s">
        <v>1420</v>
      </c>
      <c r="I896" s="237"/>
      <c r="J896" s="237"/>
      <c r="K896" s="310" t="s">
        <v>10664</v>
      </c>
      <c r="L896" s="237"/>
      <c r="M896" s="237"/>
      <c r="N896" s="237"/>
      <c r="O896" s="237"/>
      <c r="P896" s="237"/>
      <c r="Q896" s="237"/>
      <c r="R896" s="237"/>
      <c r="S896" s="237"/>
      <c r="T896" s="237"/>
      <c r="U896" s="237"/>
      <c r="V896" s="237"/>
      <c r="W896" s="237"/>
      <c r="X896" s="237"/>
      <c r="Y896" s="237"/>
      <c r="Z896" s="237"/>
    </row>
    <row r="897">
      <c r="A897" s="305">
        <v>896.0</v>
      </c>
      <c r="B897" s="306">
        <v>106002.0</v>
      </c>
      <c r="C897" s="307" t="s">
        <v>1420</v>
      </c>
      <c r="D897" s="308" t="s">
        <v>10661</v>
      </c>
      <c r="E897" s="305" t="s">
        <v>10662</v>
      </c>
      <c r="F897" s="309" t="s">
        <v>14201</v>
      </c>
      <c r="G897" s="236"/>
      <c r="H897" s="307" t="s">
        <v>1420</v>
      </c>
      <c r="I897" s="237"/>
      <c r="J897" s="237"/>
      <c r="K897" s="310" t="s">
        <v>10660</v>
      </c>
      <c r="L897" s="237"/>
      <c r="M897" s="237"/>
      <c r="N897" s="237"/>
      <c r="O897" s="237"/>
      <c r="P897" s="237"/>
      <c r="Q897" s="237"/>
      <c r="R897" s="237"/>
      <c r="S897" s="237"/>
      <c r="T897" s="237"/>
      <c r="U897" s="237"/>
      <c r="V897" s="237"/>
      <c r="W897" s="237"/>
      <c r="X897" s="237"/>
      <c r="Y897" s="237"/>
      <c r="Z897" s="237"/>
    </row>
    <row r="898">
      <c r="A898" s="305">
        <v>897.0</v>
      </c>
      <c r="B898" s="236"/>
      <c r="C898" s="307" t="s">
        <v>1420</v>
      </c>
      <c r="D898" s="308" t="s">
        <v>10717</v>
      </c>
      <c r="E898" s="305" t="s">
        <v>10718</v>
      </c>
      <c r="F898" s="309" t="s">
        <v>10719</v>
      </c>
      <c r="G898" s="236"/>
      <c r="H898" s="307" t="s">
        <v>1420</v>
      </c>
      <c r="I898" s="237"/>
      <c r="J898" s="237"/>
      <c r="K898" s="310" t="s">
        <v>10716</v>
      </c>
      <c r="L898" s="237"/>
      <c r="M898" s="237"/>
      <c r="N898" s="237"/>
      <c r="O898" s="237"/>
      <c r="P898" s="237"/>
      <c r="Q898" s="237"/>
      <c r="R898" s="237"/>
      <c r="S898" s="237"/>
      <c r="T898" s="237"/>
      <c r="U898" s="237"/>
      <c r="V898" s="237"/>
      <c r="W898" s="237"/>
      <c r="X898" s="237"/>
      <c r="Y898" s="237"/>
      <c r="Z898" s="237"/>
    </row>
    <row r="899">
      <c r="A899" s="305">
        <v>898.0</v>
      </c>
      <c r="B899" s="236"/>
      <c r="C899" s="307" t="s">
        <v>1420</v>
      </c>
      <c r="D899" s="308" t="s">
        <v>10678</v>
      </c>
      <c r="E899" s="305" t="s">
        <v>10679</v>
      </c>
      <c r="F899" s="309" t="s">
        <v>14202</v>
      </c>
      <c r="G899" s="236"/>
      <c r="H899" s="307" t="s">
        <v>1420</v>
      </c>
      <c r="I899" s="237"/>
      <c r="J899" s="237"/>
      <c r="K899" s="310" t="s">
        <v>10677</v>
      </c>
      <c r="L899" s="237"/>
      <c r="M899" s="237"/>
      <c r="N899" s="237"/>
      <c r="O899" s="237"/>
      <c r="P899" s="237"/>
      <c r="Q899" s="237"/>
      <c r="R899" s="237"/>
      <c r="S899" s="237"/>
      <c r="T899" s="237"/>
      <c r="U899" s="237"/>
      <c r="V899" s="237"/>
      <c r="W899" s="237"/>
      <c r="X899" s="237"/>
      <c r="Y899" s="237"/>
      <c r="Z899" s="237"/>
    </row>
    <row r="900">
      <c r="A900" s="305">
        <v>899.0</v>
      </c>
      <c r="B900" s="306">
        <v>111002.0</v>
      </c>
      <c r="C900" s="307" t="s">
        <v>1420</v>
      </c>
      <c r="D900" s="308" t="s">
        <v>10674</v>
      </c>
      <c r="E900" s="305" t="s">
        <v>10675</v>
      </c>
      <c r="F900" s="309" t="s">
        <v>14203</v>
      </c>
      <c r="G900" s="236"/>
      <c r="H900" s="307" t="s">
        <v>1420</v>
      </c>
      <c r="I900" s="237"/>
      <c r="J900" s="237"/>
      <c r="K900" s="310" t="s">
        <v>10673</v>
      </c>
      <c r="L900" s="237"/>
      <c r="M900" s="237"/>
      <c r="N900" s="237"/>
      <c r="O900" s="237"/>
      <c r="P900" s="237"/>
      <c r="Q900" s="237"/>
      <c r="R900" s="237"/>
      <c r="S900" s="237"/>
      <c r="T900" s="237"/>
      <c r="U900" s="237"/>
      <c r="V900" s="237"/>
      <c r="W900" s="237"/>
      <c r="X900" s="237"/>
      <c r="Y900" s="237"/>
      <c r="Z900" s="237"/>
    </row>
    <row r="901">
      <c r="A901" s="305">
        <v>900.0</v>
      </c>
      <c r="B901" s="306">
        <v>118002.0</v>
      </c>
      <c r="C901" s="307" t="s">
        <v>1420</v>
      </c>
      <c r="D901" s="308" t="s">
        <v>10692</v>
      </c>
      <c r="E901" s="305" t="s">
        <v>10693</v>
      </c>
      <c r="F901" s="309" t="s">
        <v>14204</v>
      </c>
      <c r="G901" s="236"/>
      <c r="H901" s="307" t="s">
        <v>1420</v>
      </c>
      <c r="I901" s="237"/>
      <c r="J901" s="237"/>
      <c r="K901" s="310" t="s">
        <v>10691</v>
      </c>
      <c r="L901" s="237"/>
      <c r="M901" s="237"/>
      <c r="N901" s="237"/>
      <c r="O901" s="237"/>
      <c r="P901" s="237"/>
      <c r="Q901" s="237"/>
      <c r="R901" s="237"/>
      <c r="S901" s="237"/>
      <c r="T901" s="237"/>
      <c r="U901" s="237"/>
      <c r="V901" s="237"/>
      <c r="W901" s="237"/>
      <c r="X901" s="237"/>
      <c r="Y901" s="237"/>
      <c r="Z901" s="237"/>
    </row>
    <row r="902">
      <c r="A902" s="305">
        <v>901.0</v>
      </c>
      <c r="B902" s="306">
        <v>106102.0</v>
      </c>
      <c r="C902" s="307" t="s">
        <v>1420</v>
      </c>
      <c r="D902" s="308" t="s">
        <v>10652</v>
      </c>
      <c r="E902" s="305" t="s">
        <v>10653</v>
      </c>
      <c r="F902" s="309" t="s">
        <v>14205</v>
      </c>
      <c r="G902" s="236"/>
      <c r="H902" s="307" t="s">
        <v>1420</v>
      </c>
      <c r="I902" s="237"/>
      <c r="J902" s="237"/>
      <c r="K902" s="310" t="s">
        <v>10651</v>
      </c>
      <c r="L902" s="237"/>
      <c r="M902" s="237"/>
      <c r="N902" s="237"/>
      <c r="O902" s="237"/>
      <c r="P902" s="237"/>
      <c r="Q902" s="237"/>
      <c r="R902" s="237"/>
      <c r="S902" s="237"/>
      <c r="T902" s="237"/>
      <c r="U902" s="237"/>
      <c r="V902" s="237"/>
      <c r="W902" s="237"/>
      <c r="X902" s="237"/>
      <c r="Y902" s="237"/>
      <c r="Z902" s="237"/>
    </row>
    <row r="903">
      <c r="A903" s="305">
        <v>902.0</v>
      </c>
      <c r="B903" s="236"/>
      <c r="C903" s="307" t="s">
        <v>1420</v>
      </c>
      <c r="D903" s="308" t="s">
        <v>10656</v>
      </c>
      <c r="E903" s="305" t="s">
        <v>10657</v>
      </c>
      <c r="F903" s="309" t="s">
        <v>14206</v>
      </c>
      <c r="G903" s="236"/>
      <c r="H903" s="307" t="s">
        <v>1420</v>
      </c>
      <c r="I903" s="237"/>
      <c r="J903" s="237"/>
      <c r="K903" s="310" t="s">
        <v>10655</v>
      </c>
      <c r="L903" s="237"/>
      <c r="M903" s="237"/>
      <c r="N903" s="237"/>
      <c r="O903" s="237"/>
      <c r="P903" s="237"/>
      <c r="Q903" s="237"/>
      <c r="R903" s="237"/>
      <c r="S903" s="237"/>
      <c r="T903" s="237"/>
      <c r="U903" s="237"/>
      <c r="V903" s="237"/>
      <c r="W903" s="237"/>
      <c r="X903" s="237"/>
      <c r="Y903" s="237"/>
      <c r="Z903" s="237"/>
    </row>
    <row r="904">
      <c r="A904" s="305">
        <v>903.0</v>
      </c>
      <c r="B904" s="306">
        <v>116002.0</v>
      </c>
      <c r="C904" s="307" t="s">
        <v>1420</v>
      </c>
      <c r="D904" s="308" t="s">
        <v>10713</v>
      </c>
      <c r="E904" s="305" t="s">
        <v>10714</v>
      </c>
      <c r="F904" s="309" t="s">
        <v>10715</v>
      </c>
      <c r="G904" s="236"/>
      <c r="H904" s="307" t="s">
        <v>1420</v>
      </c>
      <c r="I904" s="237"/>
      <c r="J904" s="237"/>
      <c r="K904" s="310" t="s">
        <v>10712</v>
      </c>
      <c r="L904" s="237"/>
      <c r="M904" s="237"/>
      <c r="N904" s="237"/>
      <c r="O904" s="237"/>
      <c r="P904" s="237"/>
      <c r="Q904" s="237"/>
      <c r="R904" s="237"/>
      <c r="S904" s="237"/>
      <c r="T904" s="237"/>
      <c r="U904" s="237"/>
      <c r="V904" s="237"/>
      <c r="W904" s="237"/>
      <c r="X904" s="237"/>
      <c r="Y904" s="237"/>
      <c r="Z904" s="237"/>
    </row>
    <row r="905">
      <c r="A905" s="305">
        <v>904.0</v>
      </c>
      <c r="B905" s="306">
        <v>117002.0</v>
      </c>
      <c r="C905" s="307" t="s">
        <v>1420</v>
      </c>
      <c r="D905" s="308" t="s">
        <v>10687</v>
      </c>
      <c r="E905" s="305" t="s">
        <v>10688</v>
      </c>
      <c r="F905" s="309" t="s">
        <v>14207</v>
      </c>
      <c r="G905" s="236"/>
      <c r="H905" s="307" t="s">
        <v>1420</v>
      </c>
      <c r="I905" s="237"/>
      <c r="J905" s="237"/>
      <c r="K905" s="310" t="s">
        <v>10686</v>
      </c>
      <c r="L905" s="237"/>
      <c r="M905" s="237"/>
      <c r="N905" s="237"/>
      <c r="O905" s="237"/>
      <c r="P905" s="237"/>
      <c r="Q905" s="237"/>
      <c r="R905" s="237"/>
      <c r="S905" s="237"/>
      <c r="T905" s="237"/>
      <c r="U905" s="237"/>
      <c r="V905" s="237"/>
      <c r="W905" s="237"/>
      <c r="X905" s="237"/>
      <c r="Y905" s="237"/>
      <c r="Z905" s="237"/>
    </row>
    <row r="906">
      <c r="A906" s="305">
        <v>905.0</v>
      </c>
      <c r="B906" s="236"/>
      <c r="C906" s="307" t="s">
        <v>1420</v>
      </c>
      <c r="D906" s="308" t="s">
        <v>10735</v>
      </c>
      <c r="E906" s="305" t="s">
        <v>10736</v>
      </c>
      <c r="F906" s="309" t="s">
        <v>10737</v>
      </c>
      <c r="G906" s="236"/>
      <c r="H906" s="307" t="s">
        <v>1420</v>
      </c>
      <c r="I906" s="237"/>
      <c r="J906" s="237"/>
      <c r="K906" s="310" t="s">
        <v>10734</v>
      </c>
      <c r="L906" s="237"/>
      <c r="M906" s="237"/>
      <c r="N906" s="237"/>
      <c r="O906" s="237"/>
      <c r="P906" s="237"/>
      <c r="Q906" s="237"/>
      <c r="R906" s="237"/>
      <c r="S906" s="237"/>
      <c r="T906" s="237"/>
      <c r="U906" s="237"/>
      <c r="V906" s="237"/>
      <c r="W906" s="237"/>
      <c r="X906" s="237"/>
      <c r="Y906" s="237"/>
      <c r="Z906" s="237"/>
    </row>
    <row r="907">
      <c r="A907" s="305">
        <v>906.0</v>
      </c>
      <c r="B907" s="306">
        <v>115002.0</v>
      </c>
      <c r="C907" s="307" t="s">
        <v>1420</v>
      </c>
      <c r="D907" s="308" t="s">
        <v>10731</v>
      </c>
      <c r="E907" s="305" t="s">
        <v>10732</v>
      </c>
      <c r="F907" s="309" t="s">
        <v>10733</v>
      </c>
      <c r="G907" s="236"/>
      <c r="H907" s="307" t="s">
        <v>1420</v>
      </c>
      <c r="I907" s="237"/>
      <c r="J907" s="237"/>
      <c r="K907" s="310" t="s">
        <v>10730</v>
      </c>
      <c r="L907" s="237"/>
      <c r="M907" s="237"/>
      <c r="N907" s="237"/>
      <c r="O907" s="237"/>
      <c r="P907" s="237"/>
      <c r="Q907" s="237"/>
      <c r="R907" s="237"/>
      <c r="S907" s="237"/>
      <c r="T907" s="237"/>
      <c r="U907" s="237"/>
      <c r="V907" s="237"/>
      <c r="W907" s="237"/>
      <c r="X907" s="237"/>
      <c r="Y907" s="237"/>
      <c r="Z907" s="237"/>
    </row>
    <row r="908">
      <c r="A908" s="305">
        <v>907.0</v>
      </c>
      <c r="B908" s="236"/>
      <c r="C908" s="307" t="s">
        <v>1420</v>
      </c>
      <c r="D908" s="308" t="s">
        <v>10726</v>
      </c>
      <c r="E908" s="305" t="s">
        <v>10727</v>
      </c>
      <c r="F908" s="309" t="s">
        <v>10728</v>
      </c>
      <c r="G908" s="236"/>
      <c r="H908" s="307" t="s">
        <v>1420</v>
      </c>
      <c r="I908" s="237"/>
      <c r="J908" s="237"/>
      <c r="K908" s="310" t="s">
        <v>10725</v>
      </c>
      <c r="L908" s="237"/>
      <c r="M908" s="237"/>
      <c r="N908" s="237"/>
      <c r="O908" s="237"/>
      <c r="P908" s="237"/>
      <c r="Q908" s="237"/>
      <c r="R908" s="237"/>
      <c r="S908" s="237"/>
      <c r="T908" s="237"/>
      <c r="U908" s="237"/>
      <c r="V908" s="237"/>
      <c r="W908" s="237"/>
      <c r="X908" s="237"/>
      <c r="Y908" s="237"/>
      <c r="Z908" s="237"/>
    </row>
    <row r="909">
      <c r="A909" s="305">
        <v>908.0</v>
      </c>
      <c r="B909" s="306">
        <v>102012.0</v>
      </c>
      <c r="C909" s="307" t="s">
        <v>1420</v>
      </c>
      <c r="D909" s="308" t="s">
        <v>10722</v>
      </c>
      <c r="E909" s="305" t="s">
        <v>10723</v>
      </c>
      <c r="F909" s="309" t="s">
        <v>10724</v>
      </c>
      <c r="G909" s="236"/>
      <c r="H909" s="307" t="s">
        <v>1420</v>
      </c>
      <c r="I909" s="237"/>
      <c r="J909" s="237"/>
      <c r="K909" s="310" t="s">
        <v>10721</v>
      </c>
      <c r="L909" s="237"/>
      <c r="M909" s="237"/>
      <c r="N909" s="237"/>
      <c r="O909" s="237"/>
      <c r="P909" s="237"/>
      <c r="Q909" s="237"/>
      <c r="R909" s="237"/>
      <c r="S909" s="237"/>
      <c r="T909" s="237"/>
      <c r="U909" s="237"/>
      <c r="V909" s="237"/>
      <c r="W909" s="237"/>
      <c r="X909" s="237"/>
      <c r="Y909" s="237"/>
      <c r="Z909" s="237"/>
    </row>
    <row r="910">
      <c r="A910" s="305">
        <v>909.0</v>
      </c>
      <c r="B910" s="236"/>
      <c r="C910" s="307" t="s">
        <v>1420</v>
      </c>
      <c r="D910" s="308" t="s">
        <v>11797</v>
      </c>
      <c r="E910" s="305" t="s">
        <v>14208</v>
      </c>
      <c r="F910" s="309" t="s">
        <v>14209</v>
      </c>
      <c r="G910" s="236"/>
      <c r="H910" s="307" t="s">
        <v>1420</v>
      </c>
      <c r="I910" s="237"/>
      <c r="J910" s="237"/>
      <c r="K910" s="310" t="s">
        <v>11796</v>
      </c>
      <c r="L910" s="237"/>
      <c r="M910" s="237"/>
      <c r="N910" s="237"/>
      <c r="O910" s="237"/>
      <c r="P910" s="237"/>
      <c r="Q910" s="237"/>
      <c r="R910" s="237"/>
      <c r="S910" s="237"/>
      <c r="T910" s="237"/>
      <c r="U910" s="237"/>
      <c r="V910" s="237"/>
      <c r="W910" s="237"/>
      <c r="X910" s="237"/>
      <c r="Y910" s="237"/>
      <c r="Z910" s="237"/>
    </row>
    <row r="911">
      <c r="A911" s="305">
        <v>910.0</v>
      </c>
      <c r="B911" s="306" t="s">
        <v>6770</v>
      </c>
      <c r="C911" s="307" t="s">
        <v>1420</v>
      </c>
      <c r="D911" s="308" t="s">
        <v>6772</v>
      </c>
      <c r="E911" s="305" t="s">
        <v>4817</v>
      </c>
      <c r="F911" s="309" t="s">
        <v>6773</v>
      </c>
      <c r="G911" s="236"/>
      <c r="H911" s="307" t="s">
        <v>1420</v>
      </c>
      <c r="I911" s="237"/>
      <c r="J911" s="237"/>
      <c r="K911" s="310" t="s">
        <v>6771</v>
      </c>
      <c r="L911" s="237"/>
      <c r="M911" s="237"/>
      <c r="N911" s="237"/>
      <c r="O911" s="237"/>
      <c r="P911" s="237"/>
      <c r="Q911" s="237"/>
      <c r="R911" s="237"/>
      <c r="S911" s="237"/>
      <c r="T911" s="237"/>
      <c r="U911" s="237"/>
      <c r="V911" s="237"/>
      <c r="W911" s="237"/>
      <c r="X911" s="237"/>
      <c r="Y911" s="237"/>
      <c r="Z911" s="237"/>
    </row>
    <row r="912">
      <c r="A912" s="305">
        <v>911.0</v>
      </c>
      <c r="B912" s="306" t="s">
        <v>6765</v>
      </c>
      <c r="C912" s="307" t="s">
        <v>1420</v>
      </c>
      <c r="D912" s="308" t="s">
        <v>6767</v>
      </c>
      <c r="E912" s="305" t="s">
        <v>6768</v>
      </c>
      <c r="F912" s="309" t="s">
        <v>6769</v>
      </c>
      <c r="G912" s="236"/>
      <c r="H912" s="307" t="s">
        <v>1420</v>
      </c>
      <c r="I912" s="237"/>
      <c r="J912" s="237"/>
      <c r="K912" s="310" t="s">
        <v>6766</v>
      </c>
      <c r="L912" s="237"/>
      <c r="M912" s="237"/>
      <c r="N912" s="237"/>
      <c r="O912" s="237"/>
      <c r="P912" s="237"/>
      <c r="Q912" s="237"/>
      <c r="R912" s="237"/>
      <c r="S912" s="237"/>
      <c r="T912" s="237"/>
      <c r="U912" s="237"/>
      <c r="V912" s="237"/>
      <c r="W912" s="237"/>
      <c r="X912" s="237"/>
      <c r="Y912" s="237"/>
      <c r="Z912" s="237"/>
    </row>
    <row r="913">
      <c r="A913" s="305">
        <v>912.0</v>
      </c>
      <c r="B913" s="306" t="s">
        <v>6774</v>
      </c>
      <c r="C913" s="307" t="s">
        <v>1420</v>
      </c>
      <c r="D913" s="308" t="s">
        <v>6776</v>
      </c>
      <c r="E913" s="305" t="s">
        <v>6777</v>
      </c>
      <c r="F913" s="309" t="s">
        <v>6778</v>
      </c>
      <c r="G913" s="236"/>
      <c r="H913" s="307" t="s">
        <v>1420</v>
      </c>
      <c r="I913" s="237"/>
      <c r="J913" s="237"/>
      <c r="K913" s="310" t="s">
        <v>6775</v>
      </c>
      <c r="L913" s="237"/>
      <c r="M913" s="237"/>
      <c r="N913" s="237"/>
      <c r="O913" s="237"/>
      <c r="P913" s="237"/>
      <c r="Q913" s="237"/>
      <c r="R913" s="237"/>
      <c r="S913" s="237"/>
      <c r="T913" s="237"/>
      <c r="U913" s="237"/>
      <c r="V913" s="237"/>
      <c r="W913" s="237"/>
      <c r="X913" s="237"/>
      <c r="Y913" s="237"/>
      <c r="Z913" s="237"/>
    </row>
    <row r="914">
      <c r="A914" s="305">
        <v>913.0</v>
      </c>
      <c r="B914" s="306" t="s">
        <v>4856</v>
      </c>
      <c r="C914" s="307" t="s">
        <v>1420</v>
      </c>
      <c r="D914" s="308" t="s">
        <v>4858</v>
      </c>
      <c r="E914" s="305" t="s">
        <v>4859</v>
      </c>
      <c r="F914" s="309" t="s">
        <v>4860</v>
      </c>
      <c r="G914" s="236"/>
      <c r="H914" s="307" t="s">
        <v>1420</v>
      </c>
      <c r="I914" s="237"/>
      <c r="J914" s="237"/>
      <c r="K914" s="310" t="s">
        <v>4857</v>
      </c>
      <c r="L914" s="237"/>
      <c r="M914" s="237"/>
      <c r="N914" s="237"/>
      <c r="O914" s="237"/>
      <c r="P914" s="237"/>
      <c r="Q914" s="237"/>
      <c r="R914" s="237"/>
      <c r="S914" s="237"/>
      <c r="T914" s="237"/>
      <c r="U914" s="237"/>
      <c r="V914" s="237"/>
      <c r="W914" s="237"/>
      <c r="X914" s="237"/>
      <c r="Y914" s="237"/>
      <c r="Z914" s="237"/>
    </row>
    <row r="915">
      <c r="A915" s="305">
        <v>914.0</v>
      </c>
      <c r="B915" s="306" t="s">
        <v>6755</v>
      </c>
      <c r="C915" s="307" t="s">
        <v>1420</v>
      </c>
      <c r="D915" s="308" t="s">
        <v>6757</v>
      </c>
      <c r="E915" s="305" t="s">
        <v>6758</v>
      </c>
      <c r="F915" s="309" t="s">
        <v>6759</v>
      </c>
      <c r="G915" s="236"/>
      <c r="H915" s="307" t="s">
        <v>1420</v>
      </c>
      <c r="I915" s="237"/>
      <c r="J915" s="237"/>
      <c r="K915" s="310" t="s">
        <v>6756</v>
      </c>
      <c r="L915" s="237"/>
      <c r="M915" s="237"/>
      <c r="N915" s="237"/>
      <c r="O915" s="237"/>
      <c r="P915" s="237"/>
      <c r="Q915" s="237"/>
      <c r="R915" s="237"/>
      <c r="S915" s="237"/>
      <c r="T915" s="237"/>
      <c r="U915" s="237"/>
      <c r="V915" s="237"/>
      <c r="W915" s="237"/>
      <c r="X915" s="237"/>
      <c r="Y915" s="237"/>
      <c r="Z915" s="237"/>
    </row>
    <row r="916">
      <c r="A916" s="305">
        <v>915.0</v>
      </c>
      <c r="B916" s="306" t="s">
        <v>6760</v>
      </c>
      <c r="C916" s="307" t="s">
        <v>1420</v>
      </c>
      <c r="D916" s="308" t="s">
        <v>6762</v>
      </c>
      <c r="E916" s="305" t="s">
        <v>6763</v>
      </c>
      <c r="F916" s="309" t="s">
        <v>6764</v>
      </c>
      <c r="G916" s="236"/>
      <c r="H916" s="307" t="s">
        <v>1420</v>
      </c>
      <c r="I916" s="237"/>
      <c r="J916" s="237"/>
      <c r="K916" s="310" t="s">
        <v>6761</v>
      </c>
      <c r="L916" s="237"/>
      <c r="M916" s="237"/>
      <c r="N916" s="237"/>
      <c r="O916" s="237"/>
      <c r="P916" s="237"/>
      <c r="Q916" s="237"/>
      <c r="R916" s="237"/>
      <c r="S916" s="237"/>
      <c r="T916" s="237"/>
      <c r="U916" s="237"/>
      <c r="V916" s="237"/>
      <c r="W916" s="237"/>
      <c r="X916" s="237"/>
      <c r="Y916" s="237"/>
      <c r="Z916" s="237"/>
    </row>
    <row r="917">
      <c r="A917" s="305">
        <v>916.0</v>
      </c>
      <c r="B917" s="306" t="s">
        <v>4809</v>
      </c>
      <c r="C917" s="307" t="s">
        <v>1420</v>
      </c>
      <c r="D917" s="308" t="s">
        <v>4811</v>
      </c>
      <c r="E917" s="305" t="s">
        <v>4812</v>
      </c>
      <c r="F917" s="309" t="s">
        <v>4813</v>
      </c>
      <c r="G917" s="236"/>
      <c r="H917" s="307" t="s">
        <v>1420</v>
      </c>
      <c r="I917" s="237"/>
      <c r="J917" s="237"/>
      <c r="K917" s="310" t="s">
        <v>4810</v>
      </c>
      <c r="L917" s="237"/>
      <c r="M917" s="237"/>
      <c r="N917" s="237"/>
      <c r="O917" s="237"/>
      <c r="P917" s="237"/>
      <c r="Q917" s="237"/>
      <c r="R917" s="237"/>
      <c r="S917" s="237"/>
      <c r="T917" s="237"/>
      <c r="U917" s="237"/>
      <c r="V917" s="237"/>
      <c r="W917" s="237"/>
      <c r="X917" s="237"/>
      <c r="Y917" s="237"/>
      <c r="Z917" s="237"/>
    </row>
    <row r="918">
      <c r="A918" s="305">
        <v>917.0</v>
      </c>
      <c r="B918" s="306" t="s">
        <v>4804</v>
      </c>
      <c r="C918" s="307" t="s">
        <v>1420</v>
      </c>
      <c r="D918" s="308" t="s">
        <v>4806</v>
      </c>
      <c r="E918" s="305" t="s">
        <v>4807</v>
      </c>
      <c r="F918" s="309" t="s">
        <v>4808</v>
      </c>
      <c r="G918" s="236"/>
      <c r="H918" s="307" t="s">
        <v>1420</v>
      </c>
      <c r="I918" s="237"/>
      <c r="J918" s="237"/>
      <c r="K918" s="310" t="s">
        <v>4805</v>
      </c>
      <c r="L918" s="237"/>
      <c r="M918" s="237"/>
      <c r="N918" s="237"/>
      <c r="O918" s="237"/>
      <c r="P918" s="237"/>
      <c r="Q918" s="237"/>
      <c r="R918" s="237"/>
      <c r="S918" s="237"/>
      <c r="T918" s="237"/>
      <c r="U918" s="237"/>
      <c r="V918" s="237"/>
      <c r="W918" s="237"/>
      <c r="X918" s="237"/>
      <c r="Y918" s="237"/>
      <c r="Z918" s="237"/>
    </row>
    <row r="919">
      <c r="A919" s="305">
        <v>918.0</v>
      </c>
      <c r="B919" s="306" t="s">
        <v>6794</v>
      </c>
      <c r="C919" s="307" t="s">
        <v>1420</v>
      </c>
      <c r="D919" s="308" t="s">
        <v>6796</v>
      </c>
      <c r="E919" s="305" t="s">
        <v>6797</v>
      </c>
      <c r="F919" s="309" t="s">
        <v>6798</v>
      </c>
      <c r="G919" s="236"/>
      <c r="H919" s="307" t="s">
        <v>1420</v>
      </c>
      <c r="I919" s="237"/>
      <c r="J919" s="237"/>
      <c r="K919" s="310" t="s">
        <v>6795</v>
      </c>
      <c r="L919" s="237"/>
      <c r="M919" s="237"/>
      <c r="N919" s="237"/>
      <c r="O919" s="237"/>
      <c r="P919" s="237"/>
      <c r="Q919" s="237"/>
      <c r="R919" s="237"/>
      <c r="S919" s="237"/>
      <c r="T919" s="237"/>
      <c r="U919" s="237"/>
      <c r="V919" s="237"/>
      <c r="W919" s="237"/>
      <c r="X919" s="237"/>
      <c r="Y919" s="237"/>
      <c r="Z919" s="237"/>
    </row>
    <row r="920">
      <c r="A920" s="305">
        <v>919.0</v>
      </c>
      <c r="B920" s="306" t="s">
        <v>4814</v>
      </c>
      <c r="C920" s="307" t="s">
        <v>1420</v>
      </c>
      <c r="D920" s="308" t="s">
        <v>4816</v>
      </c>
      <c r="E920" s="305" t="s">
        <v>4817</v>
      </c>
      <c r="F920" s="309" t="s">
        <v>4818</v>
      </c>
      <c r="G920" s="236"/>
      <c r="H920" s="307" t="s">
        <v>1420</v>
      </c>
      <c r="I920" s="237"/>
      <c r="J920" s="237"/>
      <c r="K920" s="310" t="s">
        <v>4815</v>
      </c>
      <c r="L920" s="237"/>
      <c r="M920" s="237"/>
      <c r="N920" s="237"/>
      <c r="O920" s="237"/>
      <c r="P920" s="237"/>
      <c r="Q920" s="237"/>
      <c r="R920" s="237"/>
      <c r="S920" s="237"/>
      <c r="T920" s="237"/>
      <c r="U920" s="237"/>
      <c r="V920" s="237"/>
      <c r="W920" s="237"/>
      <c r="X920" s="237"/>
      <c r="Y920" s="237"/>
      <c r="Z920" s="237"/>
    </row>
    <row r="921">
      <c r="A921" s="305">
        <v>920.0</v>
      </c>
      <c r="B921" s="306" t="s">
        <v>6789</v>
      </c>
      <c r="C921" s="307" t="s">
        <v>1420</v>
      </c>
      <c r="D921" s="308" t="s">
        <v>6791</v>
      </c>
      <c r="E921" s="305" t="s">
        <v>6792</v>
      </c>
      <c r="F921" s="309" t="s">
        <v>6793</v>
      </c>
      <c r="G921" s="236"/>
      <c r="H921" s="307" t="s">
        <v>1420</v>
      </c>
      <c r="I921" s="237"/>
      <c r="J921" s="237"/>
      <c r="K921" s="310" t="s">
        <v>6790</v>
      </c>
      <c r="L921" s="237"/>
      <c r="M921" s="237"/>
      <c r="N921" s="237"/>
      <c r="O921" s="237"/>
      <c r="P921" s="237"/>
      <c r="Q921" s="237"/>
      <c r="R921" s="237"/>
      <c r="S921" s="237"/>
      <c r="T921" s="237"/>
      <c r="U921" s="237"/>
      <c r="V921" s="237"/>
      <c r="W921" s="237"/>
      <c r="X921" s="237"/>
      <c r="Y921" s="237"/>
      <c r="Z921" s="237"/>
    </row>
    <row r="922">
      <c r="A922" s="305">
        <v>921.0</v>
      </c>
      <c r="B922" s="306" t="s">
        <v>4819</v>
      </c>
      <c r="C922" s="307" t="s">
        <v>1420</v>
      </c>
      <c r="D922" s="308" t="s">
        <v>4821</v>
      </c>
      <c r="E922" s="305" t="s">
        <v>4822</v>
      </c>
      <c r="F922" s="309" t="s">
        <v>4823</v>
      </c>
      <c r="G922" s="236"/>
      <c r="H922" s="307" t="s">
        <v>1420</v>
      </c>
      <c r="I922" s="237"/>
      <c r="J922" s="237"/>
      <c r="K922" s="310" t="s">
        <v>4820</v>
      </c>
      <c r="L922" s="237"/>
      <c r="M922" s="237"/>
      <c r="N922" s="237"/>
      <c r="O922" s="237"/>
      <c r="P922" s="237"/>
      <c r="Q922" s="237"/>
      <c r="R922" s="237"/>
      <c r="S922" s="237"/>
      <c r="T922" s="237"/>
      <c r="U922" s="237"/>
      <c r="V922" s="237"/>
      <c r="W922" s="237"/>
      <c r="X922" s="237"/>
      <c r="Y922" s="237"/>
      <c r="Z922" s="237"/>
    </row>
    <row r="923">
      <c r="A923" s="305">
        <v>922.0</v>
      </c>
      <c r="B923" s="306" t="s">
        <v>4799</v>
      </c>
      <c r="C923" s="307" t="s">
        <v>1420</v>
      </c>
      <c r="D923" s="308" t="s">
        <v>4801</v>
      </c>
      <c r="E923" s="305" t="s">
        <v>4802</v>
      </c>
      <c r="F923" s="309" t="s">
        <v>4803</v>
      </c>
      <c r="G923" s="236"/>
      <c r="H923" s="307" t="s">
        <v>1420</v>
      </c>
      <c r="I923" s="237"/>
      <c r="J923" s="237"/>
      <c r="K923" s="310" t="s">
        <v>4800</v>
      </c>
      <c r="L923" s="237"/>
      <c r="M923" s="237"/>
      <c r="N923" s="237"/>
      <c r="O923" s="237"/>
      <c r="P923" s="237"/>
      <c r="Q923" s="237"/>
      <c r="R923" s="237"/>
      <c r="S923" s="237"/>
      <c r="T923" s="237"/>
      <c r="U923" s="237"/>
      <c r="V923" s="237"/>
      <c r="W923" s="237"/>
      <c r="X923" s="237"/>
      <c r="Y923" s="237"/>
      <c r="Z923" s="237"/>
    </row>
    <row r="924">
      <c r="A924" s="305">
        <v>923.0</v>
      </c>
      <c r="B924" s="306" t="s">
        <v>4839</v>
      </c>
      <c r="C924" s="307" t="s">
        <v>1420</v>
      </c>
      <c r="D924" s="308" t="s">
        <v>4841</v>
      </c>
      <c r="E924" s="305" t="s">
        <v>4842</v>
      </c>
      <c r="F924" s="309" t="s">
        <v>4843</v>
      </c>
      <c r="G924" s="236"/>
      <c r="H924" s="307" t="s">
        <v>1420</v>
      </c>
      <c r="I924" s="237"/>
      <c r="J924" s="237"/>
      <c r="K924" s="310" t="s">
        <v>4840</v>
      </c>
      <c r="L924" s="237"/>
      <c r="M924" s="237"/>
      <c r="N924" s="237"/>
      <c r="O924" s="237"/>
      <c r="P924" s="237"/>
      <c r="Q924" s="237"/>
      <c r="R924" s="237"/>
      <c r="S924" s="237"/>
      <c r="T924" s="237"/>
      <c r="U924" s="237"/>
      <c r="V924" s="237"/>
      <c r="W924" s="237"/>
      <c r="X924" s="237"/>
      <c r="Y924" s="237"/>
      <c r="Z924" s="237"/>
    </row>
    <row r="925">
      <c r="A925" s="305">
        <v>924.0</v>
      </c>
      <c r="B925" s="306" t="s">
        <v>6779</v>
      </c>
      <c r="C925" s="307" t="s">
        <v>1420</v>
      </c>
      <c r="D925" s="308" t="s">
        <v>6781</v>
      </c>
      <c r="E925" s="305" t="s">
        <v>6782</v>
      </c>
      <c r="F925" s="309" t="s">
        <v>6783</v>
      </c>
      <c r="G925" s="236"/>
      <c r="H925" s="307" t="s">
        <v>1420</v>
      </c>
      <c r="I925" s="237"/>
      <c r="J925" s="237"/>
      <c r="K925" s="310" t="s">
        <v>6780</v>
      </c>
      <c r="L925" s="237"/>
      <c r="M925" s="237"/>
      <c r="N925" s="237"/>
      <c r="O925" s="237"/>
      <c r="P925" s="237"/>
      <c r="Q925" s="237"/>
      <c r="R925" s="237"/>
      <c r="S925" s="237"/>
      <c r="T925" s="237"/>
      <c r="U925" s="237"/>
      <c r="V925" s="237"/>
      <c r="W925" s="237"/>
      <c r="X925" s="237"/>
      <c r="Y925" s="237"/>
      <c r="Z925" s="237"/>
    </row>
    <row r="926">
      <c r="A926" s="305">
        <v>925.0</v>
      </c>
      <c r="B926" s="306" t="s">
        <v>4740</v>
      </c>
      <c r="C926" s="307" t="s">
        <v>1420</v>
      </c>
      <c r="D926" s="308" t="s">
        <v>4742</v>
      </c>
      <c r="E926" s="305" t="s">
        <v>4743</v>
      </c>
      <c r="F926" s="309" t="s">
        <v>4744</v>
      </c>
      <c r="G926" s="236"/>
      <c r="H926" s="307" t="s">
        <v>1420</v>
      </c>
      <c r="I926" s="237"/>
      <c r="J926" s="237"/>
      <c r="K926" s="310" t="s">
        <v>4741</v>
      </c>
      <c r="L926" s="237"/>
      <c r="M926" s="237"/>
      <c r="N926" s="237"/>
      <c r="O926" s="237"/>
      <c r="P926" s="237"/>
      <c r="Q926" s="237"/>
      <c r="R926" s="237"/>
      <c r="S926" s="237"/>
      <c r="T926" s="237"/>
      <c r="U926" s="237"/>
      <c r="V926" s="237"/>
      <c r="W926" s="237"/>
      <c r="X926" s="237"/>
      <c r="Y926" s="237"/>
      <c r="Z926" s="237"/>
    </row>
    <row r="927">
      <c r="A927" s="305">
        <v>926.0</v>
      </c>
      <c r="B927" s="306" t="s">
        <v>4847</v>
      </c>
      <c r="C927" s="307" t="s">
        <v>1420</v>
      </c>
      <c r="D927" s="308" t="s">
        <v>4849</v>
      </c>
      <c r="E927" s="305" t="s">
        <v>4850</v>
      </c>
      <c r="F927" s="309" t="s">
        <v>4851</v>
      </c>
      <c r="G927" s="236"/>
      <c r="H927" s="307" t="s">
        <v>1420</v>
      </c>
      <c r="I927" s="237"/>
      <c r="J927" s="237"/>
      <c r="K927" s="310" t="s">
        <v>4848</v>
      </c>
      <c r="L927" s="237"/>
      <c r="M927" s="237"/>
      <c r="N927" s="237"/>
      <c r="O927" s="237"/>
      <c r="P927" s="237"/>
      <c r="Q927" s="237"/>
      <c r="R927" s="237"/>
      <c r="S927" s="237"/>
      <c r="T927" s="237"/>
      <c r="U927" s="237"/>
      <c r="V927" s="237"/>
      <c r="W927" s="237"/>
      <c r="X927" s="237"/>
      <c r="Y927" s="237"/>
      <c r="Z927" s="237"/>
    </row>
    <row r="928">
      <c r="A928" s="305">
        <v>927.0</v>
      </c>
      <c r="B928" s="306" t="s">
        <v>4746</v>
      </c>
      <c r="C928" s="307" t="s">
        <v>1420</v>
      </c>
      <c r="D928" s="308" t="s">
        <v>4748</v>
      </c>
      <c r="E928" s="305" t="s">
        <v>4749</v>
      </c>
      <c r="F928" s="309" t="s">
        <v>4750</v>
      </c>
      <c r="G928" s="236"/>
      <c r="H928" s="307" t="s">
        <v>1420</v>
      </c>
      <c r="I928" s="237"/>
      <c r="J928" s="237"/>
      <c r="K928" s="310" t="s">
        <v>4747</v>
      </c>
      <c r="L928" s="237"/>
      <c r="M928" s="237"/>
      <c r="N928" s="237"/>
      <c r="O928" s="237"/>
      <c r="P928" s="237"/>
      <c r="Q928" s="237"/>
      <c r="R928" s="237"/>
      <c r="S928" s="237"/>
      <c r="T928" s="237"/>
      <c r="U928" s="237"/>
      <c r="V928" s="237"/>
      <c r="W928" s="237"/>
      <c r="X928" s="237"/>
      <c r="Y928" s="237"/>
      <c r="Z928" s="237"/>
    </row>
    <row r="929">
      <c r="A929" s="305">
        <v>928.0</v>
      </c>
      <c r="B929" s="306" t="s">
        <v>4852</v>
      </c>
      <c r="C929" s="307" t="s">
        <v>1420</v>
      </c>
      <c r="D929" s="308" t="s">
        <v>4854</v>
      </c>
      <c r="E929" s="305" t="s">
        <v>4817</v>
      </c>
      <c r="F929" s="309" t="s">
        <v>4855</v>
      </c>
      <c r="G929" s="236"/>
      <c r="H929" s="307" t="s">
        <v>1420</v>
      </c>
      <c r="I929" s="237"/>
      <c r="J929" s="237"/>
      <c r="K929" s="310" t="s">
        <v>4853</v>
      </c>
      <c r="L929" s="237"/>
      <c r="M929" s="237"/>
      <c r="N929" s="237"/>
      <c r="O929" s="237"/>
      <c r="P929" s="237"/>
      <c r="Q929" s="237"/>
      <c r="R929" s="237"/>
      <c r="S929" s="237"/>
      <c r="T929" s="237"/>
      <c r="U929" s="237"/>
      <c r="V929" s="237"/>
      <c r="W929" s="237"/>
      <c r="X929" s="237"/>
      <c r="Y929" s="237"/>
      <c r="Z929" s="237"/>
    </row>
    <row r="930">
      <c r="A930" s="305">
        <v>929.0</v>
      </c>
      <c r="B930" s="306" t="s">
        <v>7943</v>
      </c>
      <c r="C930" s="307" t="s">
        <v>1420</v>
      </c>
      <c r="D930" s="308" t="s">
        <v>7945</v>
      </c>
      <c r="E930" s="305" t="s">
        <v>7946</v>
      </c>
      <c r="F930" s="309" t="s">
        <v>7947</v>
      </c>
      <c r="G930" s="236"/>
      <c r="H930" s="307" t="s">
        <v>1420</v>
      </c>
      <c r="I930" s="237"/>
      <c r="J930" s="237"/>
      <c r="K930" s="310" t="s">
        <v>7944</v>
      </c>
      <c r="L930" s="237"/>
      <c r="M930" s="237"/>
      <c r="N930" s="237"/>
      <c r="O930" s="237"/>
      <c r="P930" s="237"/>
      <c r="Q930" s="237"/>
      <c r="R930" s="237"/>
      <c r="S930" s="237"/>
      <c r="T930" s="237"/>
      <c r="U930" s="237"/>
      <c r="V930" s="237"/>
      <c r="W930" s="237"/>
      <c r="X930" s="237"/>
      <c r="Y930" s="237"/>
      <c r="Z930" s="237"/>
    </row>
    <row r="931">
      <c r="A931" s="305">
        <v>930.0</v>
      </c>
      <c r="B931" s="306" t="s">
        <v>7948</v>
      </c>
      <c r="C931" s="307" t="s">
        <v>1420</v>
      </c>
      <c r="D931" s="308" t="s">
        <v>7950</v>
      </c>
      <c r="E931" s="305" t="s">
        <v>7951</v>
      </c>
      <c r="F931" s="309" t="s">
        <v>7952</v>
      </c>
      <c r="G931" s="236"/>
      <c r="H931" s="307" t="s">
        <v>1420</v>
      </c>
      <c r="I931" s="237"/>
      <c r="J931" s="237"/>
      <c r="K931" s="310" t="s">
        <v>7949</v>
      </c>
      <c r="L931" s="237"/>
      <c r="M931" s="237"/>
      <c r="N931" s="237"/>
      <c r="O931" s="237"/>
      <c r="P931" s="237"/>
      <c r="Q931" s="237"/>
      <c r="R931" s="237"/>
      <c r="S931" s="237"/>
      <c r="T931" s="237"/>
      <c r="U931" s="237"/>
      <c r="V931" s="237"/>
      <c r="W931" s="237"/>
      <c r="X931" s="237"/>
      <c r="Y931" s="237"/>
      <c r="Z931" s="237"/>
    </row>
    <row r="932">
      <c r="A932" s="305">
        <v>931.0</v>
      </c>
      <c r="B932" s="306" t="s">
        <v>7938</v>
      </c>
      <c r="C932" s="307" t="s">
        <v>1420</v>
      </c>
      <c r="D932" s="308" t="s">
        <v>7940</v>
      </c>
      <c r="E932" s="305" t="s">
        <v>7941</v>
      </c>
      <c r="F932" s="309" t="s">
        <v>7942</v>
      </c>
      <c r="G932" s="236"/>
      <c r="H932" s="307" t="s">
        <v>1420</v>
      </c>
      <c r="I932" s="237"/>
      <c r="J932" s="237"/>
      <c r="K932" s="310" t="s">
        <v>7939</v>
      </c>
      <c r="L932" s="237"/>
      <c r="M932" s="237"/>
      <c r="N932" s="237"/>
      <c r="O932" s="237"/>
      <c r="P932" s="237"/>
      <c r="Q932" s="237"/>
      <c r="R932" s="237"/>
      <c r="S932" s="237"/>
      <c r="T932" s="237"/>
      <c r="U932" s="237"/>
      <c r="V932" s="237"/>
      <c r="W932" s="237"/>
      <c r="X932" s="237"/>
      <c r="Y932" s="237"/>
      <c r="Z932" s="237"/>
    </row>
    <row r="933">
      <c r="A933" s="305">
        <v>932.0</v>
      </c>
      <c r="B933" s="236"/>
      <c r="C933" s="307" t="s">
        <v>1420</v>
      </c>
      <c r="D933" s="308" t="s">
        <v>14210</v>
      </c>
      <c r="E933" s="305" t="s">
        <v>14211</v>
      </c>
      <c r="F933" s="309" t="s">
        <v>11586</v>
      </c>
      <c r="G933" s="236"/>
      <c r="H933" s="307" t="s">
        <v>1420</v>
      </c>
      <c r="I933" s="237"/>
      <c r="J933" s="237"/>
      <c r="K933" s="310" t="s">
        <v>11583</v>
      </c>
      <c r="L933" s="237"/>
      <c r="M933" s="237"/>
      <c r="N933" s="237"/>
      <c r="O933" s="237"/>
      <c r="P933" s="237"/>
      <c r="Q933" s="237"/>
      <c r="R933" s="237"/>
      <c r="S933" s="237"/>
      <c r="T933" s="237"/>
      <c r="U933" s="237"/>
      <c r="V933" s="237"/>
      <c r="W933" s="237"/>
      <c r="X933" s="237"/>
      <c r="Y933" s="237"/>
      <c r="Z933" s="237"/>
    </row>
    <row r="934">
      <c r="A934" s="305">
        <v>933.0</v>
      </c>
      <c r="B934" s="236"/>
      <c r="C934" s="307" t="s">
        <v>1420</v>
      </c>
      <c r="D934" s="308" t="s">
        <v>14212</v>
      </c>
      <c r="E934" s="305" t="s">
        <v>14213</v>
      </c>
      <c r="F934" s="309" t="s">
        <v>11582</v>
      </c>
      <c r="G934" s="236"/>
      <c r="H934" s="307" t="s">
        <v>1420</v>
      </c>
      <c r="I934" s="237"/>
      <c r="J934" s="237"/>
      <c r="K934" s="310" t="s">
        <v>11579</v>
      </c>
      <c r="L934" s="237"/>
      <c r="M934" s="237"/>
      <c r="N934" s="237"/>
      <c r="O934" s="237"/>
      <c r="P934" s="237"/>
      <c r="Q934" s="237"/>
      <c r="R934" s="237"/>
      <c r="S934" s="237"/>
      <c r="T934" s="237"/>
      <c r="U934" s="237"/>
      <c r="V934" s="237"/>
      <c r="W934" s="237"/>
      <c r="X934" s="237"/>
      <c r="Y934" s="237"/>
      <c r="Z934" s="237"/>
    </row>
    <row r="935">
      <c r="A935" s="305">
        <v>934.0</v>
      </c>
      <c r="B935" s="236"/>
      <c r="C935" s="307" t="s">
        <v>1420</v>
      </c>
      <c r="D935" s="308" t="s">
        <v>14214</v>
      </c>
      <c r="E935" s="305" t="s">
        <v>14215</v>
      </c>
      <c r="F935" s="309" t="s">
        <v>11577</v>
      </c>
      <c r="G935" s="236"/>
      <c r="H935" s="307" t="s">
        <v>1420</v>
      </c>
      <c r="I935" s="237"/>
      <c r="J935" s="237"/>
      <c r="K935" s="310" t="s">
        <v>11574</v>
      </c>
      <c r="L935" s="237"/>
      <c r="M935" s="237"/>
      <c r="N935" s="237"/>
      <c r="O935" s="237"/>
      <c r="P935" s="237"/>
      <c r="Q935" s="237"/>
      <c r="R935" s="237"/>
      <c r="S935" s="237"/>
      <c r="T935" s="237"/>
      <c r="U935" s="237"/>
      <c r="V935" s="237"/>
      <c r="W935" s="237"/>
      <c r="X935" s="237"/>
      <c r="Y935" s="237"/>
      <c r="Z935" s="237"/>
    </row>
    <row r="936">
      <c r="A936" s="305">
        <v>935.0</v>
      </c>
      <c r="B936" s="236"/>
      <c r="C936" s="307" t="s">
        <v>1420</v>
      </c>
      <c r="D936" s="308" t="s">
        <v>11570</v>
      </c>
      <c r="E936" s="305" t="s">
        <v>11571</v>
      </c>
      <c r="F936" s="309" t="s">
        <v>11572</v>
      </c>
      <c r="G936" s="236"/>
      <c r="H936" s="307" t="s">
        <v>1420</v>
      </c>
      <c r="I936" s="237"/>
      <c r="J936" s="237"/>
      <c r="K936" s="310" t="s">
        <v>11569</v>
      </c>
      <c r="L936" s="237"/>
      <c r="M936" s="237"/>
      <c r="N936" s="237"/>
      <c r="O936" s="237"/>
      <c r="P936" s="237"/>
      <c r="Q936" s="237"/>
      <c r="R936" s="237"/>
      <c r="S936" s="237"/>
      <c r="T936" s="237"/>
      <c r="U936" s="237"/>
      <c r="V936" s="237"/>
      <c r="W936" s="237"/>
      <c r="X936" s="237"/>
      <c r="Y936" s="237"/>
      <c r="Z936" s="237"/>
    </row>
    <row r="937">
      <c r="A937" s="305">
        <v>936.0</v>
      </c>
      <c r="B937" s="236"/>
      <c r="C937" s="307" t="s">
        <v>1420</v>
      </c>
      <c r="D937" s="308" t="s">
        <v>1623</v>
      </c>
      <c r="E937" s="305" t="s">
        <v>13322</v>
      </c>
      <c r="F937" s="236"/>
      <c r="G937" s="236"/>
      <c r="H937" s="307" t="s">
        <v>1420</v>
      </c>
      <c r="I937" s="237"/>
      <c r="J937" s="237"/>
      <c r="K937" s="310" t="s">
        <v>13321</v>
      </c>
      <c r="L937" s="237"/>
      <c r="M937" s="237"/>
      <c r="N937" s="237"/>
      <c r="O937" s="237"/>
      <c r="P937" s="237"/>
      <c r="Q937" s="237"/>
      <c r="R937" s="237"/>
      <c r="S937" s="237"/>
      <c r="T937" s="237"/>
      <c r="U937" s="237"/>
      <c r="V937" s="237"/>
      <c r="W937" s="237"/>
      <c r="X937" s="237"/>
      <c r="Y937" s="237"/>
      <c r="Z937" s="237"/>
    </row>
    <row r="938">
      <c r="A938" s="305">
        <v>937.0</v>
      </c>
      <c r="B938" s="236"/>
      <c r="C938" s="307" t="s">
        <v>1420</v>
      </c>
      <c r="D938" s="308" t="s">
        <v>1622</v>
      </c>
      <c r="E938" s="305" t="s">
        <v>13319</v>
      </c>
      <c r="F938" s="309" t="s">
        <v>14216</v>
      </c>
      <c r="G938" s="236"/>
      <c r="H938" s="307" t="s">
        <v>1420</v>
      </c>
      <c r="I938" s="237"/>
      <c r="J938" s="237"/>
      <c r="K938" s="310" t="s">
        <v>13318</v>
      </c>
      <c r="L938" s="237"/>
      <c r="M938" s="237"/>
      <c r="N938" s="237"/>
      <c r="O938" s="237"/>
      <c r="P938" s="237"/>
      <c r="Q938" s="237"/>
      <c r="R938" s="237"/>
      <c r="S938" s="237"/>
      <c r="T938" s="237"/>
      <c r="U938" s="237"/>
      <c r="V938" s="237"/>
      <c r="W938" s="237"/>
      <c r="X938" s="237"/>
      <c r="Y938" s="237"/>
      <c r="Z938" s="237"/>
    </row>
    <row r="939">
      <c r="A939" s="305">
        <v>938.0</v>
      </c>
      <c r="B939" s="236"/>
      <c r="C939" s="307" t="s">
        <v>1420</v>
      </c>
      <c r="D939" s="308" t="s">
        <v>14217</v>
      </c>
      <c r="E939" s="305" t="s">
        <v>14218</v>
      </c>
      <c r="F939" s="309" t="s">
        <v>11626</v>
      </c>
      <c r="G939" s="236"/>
      <c r="H939" s="307" t="s">
        <v>1420</v>
      </c>
      <c r="I939" s="237"/>
      <c r="J939" s="237"/>
      <c r="K939" s="310" t="s">
        <v>11623</v>
      </c>
      <c r="L939" s="237"/>
      <c r="M939" s="237"/>
      <c r="N939" s="237"/>
      <c r="O939" s="237"/>
      <c r="P939" s="237"/>
      <c r="Q939" s="237"/>
      <c r="R939" s="237"/>
      <c r="S939" s="237"/>
      <c r="T939" s="237"/>
      <c r="U939" s="237"/>
      <c r="V939" s="237"/>
      <c r="W939" s="237"/>
      <c r="X939" s="237"/>
      <c r="Y939" s="237"/>
      <c r="Z939" s="237"/>
    </row>
    <row r="940">
      <c r="A940" s="305">
        <v>939.0</v>
      </c>
      <c r="B940" s="236"/>
      <c r="C940" s="307" t="s">
        <v>1420</v>
      </c>
      <c r="D940" s="308" t="s">
        <v>14219</v>
      </c>
      <c r="E940" s="305" t="s">
        <v>14220</v>
      </c>
      <c r="F940" s="309" t="s">
        <v>11622</v>
      </c>
      <c r="G940" s="236"/>
      <c r="H940" s="307" t="s">
        <v>1420</v>
      </c>
      <c r="I940" s="237"/>
      <c r="J940" s="237"/>
      <c r="K940" s="310" t="s">
        <v>11619</v>
      </c>
      <c r="L940" s="237"/>
      <c r="M940" s="237"/>
      <c r="N940" s="237"/>
      <c r="O940" s="237"/>
      <c r="P940" s="237"/>
      <c r="Q940" s="237"/>
      <c r="R940" s="237"/>
      <c r="S940" s="237"/>
      <c r="T940" s="237"/>
      <c r="U940" s="237"/>
      <c r="V940" s="237"/>
      <c r="W940" s="237"/>
      <c r="X940" s="237"/>
      <c r="Y940" s="237"/>
      <c r="Z940" s="237"/>
    </row>
    <row r="941">
      <c r="A941" s="305">
        <v>940.0</v>
      </c>
      <c r="B941" s="236"/>
      <c r="C941" s="307" t="s">
        <v>1420</v>
      </c>
      <c r="D941" s="308" t="s">
        <v>14221</v>
      </c>
      <c r="E941" s="305" t="s">
        <v>14222</v>
      </c>
      <c r="F941" s="309" t="s">
        <v>11633</v>
      </c>
      <c r="G941" s="236"/>
      <c r="H941" s="307" t="s">
        <v>1420</v>
      </c>
      <c r="I941" s="237"/>
      <c r="J941" s="237"/>
      <c r="K941" s="310" t="s">
        <v>11630</v>
      </c>
      <c r="L941" s="237"/>
      <c r="M941" s="237"/>
      <c r="N941" s="237"/>
      <c r="O941" s="237"/>
      <c r="P941" s="237"/>
      <c r="Q941" s="237"/>
      <c r="R941" s="237"/>
      <c r="S941" s="237"/>
      <c r="T941" s="237"/>
      <c r="U941" s="237"/>
      <c r="V941" s="237"/>
      <c r="W941" s="237"/>
      <c r="X941" s="237"/>
      <c r="Y941" s="237"/>
      <c r="Z941" s="237"/>
    </row>
    <row r="942">
      <c r="A942" s="305">
        <v>941.0</v>
      </c>
      <c r="B942" s="236"/>
      <c r="C942" s="307" t="s">
        <v>1420</v>
      </c>
      <c r="D942" s="308" t="s">
        <v>14223</v>
      </c>
      <c r="E942" s="305" t="s">
        <v>14224</v>
      </c>
      <c r="F942" s="309" t="s">
        <v>11610</v>
      </c>
      <c r="G942" s="236"/>
      <c r="H942" s="307" t="s">
        <v>1420</v>
      </c>
      <c r="I942" s="237"/>
      <c r="J942" s="237"/>
      <c r="K942" s="310" t="s">
        <v>11607</v>
      </c>
      <c r="L942" s="237"/>
      <c r="M942" s="237"/>
      <c r="N942" s="237"/>
      <c r="O942" s="237"/>
      <c r="P942" s="237"/>
      <c r="Q942" s="237"/>
      <c r="R942" s="237"/>
      <c r="S942" s="237"/>
      <c r="T942" s="237"/>
      <c r="U942" s="237"/>
      <c r="V942" s="237"/>
      <c r="W942" s="237"/>
      <c r="X942" s="237"/>
      <c r="Y942" s="237"/>
      <c r="Z942" s="237"/>
    </row>
    <row r="943">
      <c r="A943" s="305">
        <v>942.0</v>
      </c>
      <c r="B943" s="236"/>
      <c r="C943" s="307" t="s">
        <v>1420</v>
      </c>
      <c r="D943" s="308" t="s">
        <v>1621</v>
      </c>
      <c r="E943" s="305" t="s">
        <v>13316</v>
      </c>
      <c r="F943" s="236"/>
      <c r="G943" s="236"/>
      <c r="H943" s="307" t="s">
        <v>1420</v>
      </c>
      <c r="I943" s="237"/>
      <c r="J943" s="237"/>
      <c r="K943" s="310" t="s">
        <v>13315</v>
      </c>
      <c r="L943" s="237"/>
      <c r="M943" s="237"/>
      <c r="N943" s="237"/>
      <c r="O943" s="237"/>
      <c r="P943" s="237"/>
      <c r="Q943" s="237"/>
      <c r="R943" s="237"/>
      <c r="S943" s="237"/>
      <c r="T943" s="237"/>
      <c r="U943" s="237"/>
      <c r="V943" s="237"/>
      <c r="W943" s="237"/>
      <c r="X943" s="237"/>
      <c r="Y943" s="237"/>
      <c r="Z943" s="237"/>
    </row>
    <row r="944">
      <c r="A944" s="305">
        <v>943.0</v>
      </c>
      <c r="B944" s="236"/>
      <c r="C944" s="307" t="s">
        <v>1420</v>
      </c>
      <c r="D944" s="308" t="s">
        <v>14225</v>
      </c>
      <c r="E944" s="305" t="s">
        <v>14226</v>
      </c>
      <c r="F944" s="309" t="s">
        <v>11606</v>
      </c>
      <c r="G944" s="236"/>
      <c r="H944" s="307" t="s">
        <v>1420</v>
      </c>
      <c r="I944" s="237"/>
      <c r="J944" s="237"/>
      <c r="K944" s="310" t="s">
        <v>11627</v>
      </c>
      <c r="L944" s="237"/>
      <c r="M944" s="237"/>
      <c r="N944" s="237"/>
      <c r="O944" s="237"/>
      <c r="P944" s="237"/>
      <c r="Q944" s="237"/>
      <c r="R944" s="237"/>
      <c r="S944" s="237"/>
      <c r="T944" s="237"/>
      <c r="U944" s="237"/>
      <c r="V944" s="237"/>
      <c r="W944" s="237"/>
      <c r="X944" s="237"/>
      <c r="Y944" s="237"/>
      <c r="Z944" s="237"/>
    </row>
    <row r="945">
      <c r="A945" s="305">
        <v>944.0</v>
      </c>
      <c r="B945" s="236"/>
      <c r="C945" s="307" t="s">
        <v>1420</v>
      </c>
      <c r="D945" s="308" t="s">
        <v>14227</v>
      </c>
      <c r="E945" s="305" t="s">
        <v>14228</v>
      </c>
      <c r="F945" s="309" t="s">
        <v>11606</v>
      </c>
      <c r="G945" s="236"/>
      <c r="H945" s="307" t="s">
        <v>1420</v>
      </c>
      <c r="I945" s="237"/>
      <c r="J945" s="237"/>
      <c r="K945" s="310" t="s">
        <v>11603</v>
      </c>
      <c r="L945" s="237"/>
      <c r="M945" s="237"/>
      <c r="N945" s="237"/>
      <c r="O945" s="237"/>
      <c r="P945" s="237"/>
      <c r="Q945" s="237"/>
      <c r="R945" s="237"/>
      <c r="S945" s="237"/>
      <c r="T945" s="237"/>
      <c r="U945" s="237"/>
      <c r="V945" s="237"/>
      <c r="W945" s="237"/>
      <c r="X945" s="237"/>
      <c r="Y945" s="237"/>
      <c r="Z945" s="237"/>
    </row>
    <row r="946">
      <c r="A946" s="305">
        <v>945.0</v>
      </c>
      <c r="B946" s="236"/>
      <c r="C946" s="307" t="s">
        <v>1420</v>
      </c>
      <c r="D946" s="308" t="s">
        <v>11616</v>
      </c>
      <c r="E946" s="305" t="s">
        <v>14229</v>
      </c>
      <c r="F946" s="309" t="s">
        <v>11618</v>
      </c>
      <c r="G946" s="236"/>
      <c r="H946" s="307" t="s">
        <v>1420</v>
      </c>
      <c r="I946" s="237"/>
      <c r="J946" s="237"/>
      <c r="K946" s="310" t="s">
        <v>11615</v>
      </c>
      <c r="L946" s="237"/>
      <c r="M946" s="237"/>
      <c r="N946" s="237"/>
      <c r="O946" s="237"/>
      <c r="P946" s="237"/>
      <c r="Q946" s="237"/>
      <c r="R946" s="237"/>
      <c r="S946" s="237"/>
      <c r="T946" s="237"/>
      <c r="U946" s="237"/>
      <c r="V946" s="237"/>
      <c r="W946" s="237"/>
      <c r="X946" s="237"/>
      <c r="Y946" s="237"/>
      <c r="Z946" s="237"/>
    </row>
    <row r="947">
      <c r="A947" s="305">
        <v>946.0</v>
      </c>
      <c r="B947" s="236"/>
      <c r="C947" s="307" t="s">
        <v>1420</v>
      </c>
      <c r="D947" s="308" t="s">
        <v>14230</v>
      </c>
      <c r="E947" s="305" t="s">
        <v>14231</v>
      </c>
      <c r="F947" s="309" t="s">
        <v>11614</v>
      </c>
      <c r="G947" s="236"/>
      <c r="H947" s="307" t="s">
        <v>1420</v>
      </c>
      <c r="I947" s="237"/>
      <c r="J947" s="237"/>
      <c r="K947" s="310" t="s">
        <v>11611</v>
      </c>
      <c r="L947" s="237"/>
      <c r="M947" s="237"/>
      <c r="N947" s="237"/>
      <c r="O947" s="237"/>
      <c r="P947" s="237"/>
      <c r="Q947" s="237"/>
      <c r="R947" s="237"/>
      <c r="S947" s="237"/>
      <c r="T947" s="237"/>
      <c r="U947" s="237"/>
      <c r="V947" s="237"/>
      <c r="W947" s="237"/>
      <c r="X947" s="237"/>
      <c r="Y947" s="237"/>
      <c r="Z947" s="237"/>
    </row>
    <row r="948">
      <c r="A948" s="305">
        <v>947.0</v>
      </c>
      <c r="B948" s="236"/>
      <c r="C948" s="307" t="s">
        <v>1420</v>
      </c>
      <c r="D948" s="308" t="s">
        <v>14232</v>
      </c>
      <c r="E948" s="305" t="s">
        <v>14233</v>
      </c>
      <c r="F948" s="309" t="s">
        <v>11602</v>
      </c>
      <c r="G948" s="236"/>
      <c r="H948" s="307" t="s">
        <v>1420</v>
      </c>
      <c r="I948" s="237"/>
      <c r="J948" s="237"/>
      <c r="K948" s="310" t="s">
        <v>11599</v>
      </c>
      <c r="L948" s="237"/>
      <c r="M948" s="237"/>
      <c r="N948" s="237"/>
      <c r="O948" s="237"/>
      <c r="P948" s="237"/>
      <c r="Q948" s="237"/>
      <c r="R948" s="237"/>
      <c r="S948" s="237"/>
      <c r="T948" s="237"/>
      <c r="U948" s="237"/>
      <c r="V948" s="237"/>
      <c r="W948" s="237"/>
      <c r="X948" s="237"/>
      <c r="Y948" s="237"/>
      <c r="Z948" s="237"/>
    </row>
    <row r="949">
      <c r="A949" s="305">
        <v>948.0</v>
      </c>
      <c r="B949" s="236"/>
      <c r="C949" s="307" t="s">
        <v>1420</v>
      </c>
      <c r="D949" s="308" t="s">
        <v>14234</v>
      </c>
      <c r="E949" s="305" t="s">
        <v>14235</v>
      </c>
      <c r="F949" s="309" t="s">
        <v>11598</v>
      </c>
      <c r="G949" s="236"/>
      <c r="H949" s="307" t="s">
        <v>1420</v>
      </c>
      <c r="I949" s="237"/>
      <c r="J949" s="237"/>
      <c r="K949" s="310" t="s">
        <v>11595</v>
      </c>
      <c r="L949" s="237"/>
      <c r="M949" s="237"/>
      <c r="N949" s="237"/>
      <c r="O949" s="237"/>
      <c r="P949" s="237"/>
      <c r="Q949" s="237"/>
      <c r="R949" s="237"/>
      <c r="S949" s="237"/>
      <c r="T949" s="237"/>
      <c r="U949" s="237"/>
      <c r="V949" s="237"/>
      <c r="W949" s="237"/>
      <c r="X949" s="237"/>
      <c r="Y949" s="237"/>
      <c r="Z949" s="237"/>
    </row>
    <row r="950">
      <c r="A950" s="305">
        <v>949.0</v>
      </c>
      <c r="B950" s="236"/>
      <c r="C950" s="307" t="s">
        <v>1420</v>
      </c>
      <c r="D950" s="308" t="s">
        <v>13312</v>
      </c>
      <c r="E950" s="305" t="s">
        <v>13313</v>
      </c>
      <c r="F950" s="236"/>
      <c r="G950" s="236"/>
      <c r="H950" s="307" t="s">
        <v>1420</v>
      </c>
      <c r="I950" s="237"/>
      <c r="J950" s="237"/>
      <c r="K950" s="310" t="s">
        <v>13311</v>
      </c>
      <c r="L950" s="237"/>
      <c r="M950" s="237"/>
      <c r="N950" s="237"/>
      <c r="O950" s="237"/>
      <c r="P950" s="237"/>
      <c r="Q950" s="237"/>
      <c r="R950" s="237"/>
      <c r="S950" s="237"/>
      <c r="T950" s="237"/>
      <c r="U950" s="237"/>
      <c r="V950" s="237"/>
      <c r="W950" s="237"/>
      <c r="X950" s="237"/>
      <c r="Y950" s="237"/>
      <c r="Z950" s="237"/>
    </row>
    <row r="951">
      <c r="A951" s="305">
        <v>950.0</v>
      </c>
      <c r="B951" s="236"/>
      <c r="C951" s="307" t="s">
        <v>1420</v>
      </c>
      <c r="D951" s="308" t="s">
        <v>1616</v>
      </c>
      <c r="E951" s="305" t="s">
        <v>13296</v>
      </c>
      <c r="F951" s="309" t="s">
        <v>14236</v>
      </c>
      <c r="G951" s="236"/>
      <c r="H951" s="307" t="s">
        <v>1420</v>
      </c>
      <c r="I951" s="237"/>
      <c r="J951" s="237"/>
      <c r="K951" s="310" t="s">
        <v>13295</v>
      </c>
      <c r="L951" s="237"/>
      <c r="M951" s="237"/>
      <c r="N951" s="237"/>
      <c r="O951" s="237"/>
      <c r="P951" s="237"/>
      <c r="Q951" s="237"/>
      <c r="R951" s="237"/>
      <c r="S951" s="237"/>
      <c r="T951" s="237"/>
      <c r="U951" s="237"/>
      <c r="V951" s="237"/>
      <c r="W951" s="237"/>
      <c r="X951" s="237"/>
      <c r="Y951" s="237"/>
      <c r="Z951" s="237"/>
    </row>
    <row r="952">
      <c r="A952" s="305">
        <v>951.0</v>
      </c>
      <c r="B952" s="236"/>
      <c r="C952" s="307" t="s">
        <v>1420</v>
      </c>
      <c r="D952" s="308" t="s">
        <v>1615</v>
      </c>
      <c r="E952" s="305" t="s">
        <v>13293</v>
      </c>
      <c r="F952" s="309" t="s">
        <v>14237</v>
      </c>
      <c r="G952" s="236"/>
      <c r="H952" s="307" t="s">
        <v>1420</v>
      </c>
      <c r="I952" s="237"/>
      <c r="J952" s="237"/>
      <c r="K952" s="310" t="s">
        <v>13292</v>
      </c>
      <c r="L952" s="237"/>
      <c r="M952" s="237"/>
      <c r="N952" s="237"/>
      <c r="O952" s="237"/>
      <c r="P952" s="237"/>
      <c r="Q952" s="237"/>
      <c r="R952" s="237"/>
      <c r="S952" s="237"/>
      <c r="T952" s="237"/>
      <c r="U952" s="237"/>
      <c r="V952" s="237"/>
      <c r="W952" s="237"/>
      <c r="X952" s="237"/>
      <c r="Y952" s="237"/>
      <c r="Z952" s="237"/>
    </row>
    <row r="953">
      <c r="A953" s="305">
        <v>952.0</v>
      </c>
      <c r="B953" s="236"/>
      <c r="C953" s="307" t="s">
        <v>1420</v>
      </c>
      <c r="D953" s="308" t="s">
        <v>1617</v>
      </c>
      <c r="E953" s="305" t="s">
        <v>13299</v>
      </c>
      <c r="F953" s="309" t="s">
        <v>14238</v>
      </c>
      <c r="G953" s="236"/>
      <c r="H953" s="307" t="s">
        <v>1420</v>
      </c>
      <c r="I953" s="237"/>
      <c r="J953" s="237"/>
      <c r="K953" s="310" t="s">
        <v>13298</v>
      </c>
      <c r="L953" s="237"/>
      <c r="M953" s="237"/>
      <c r="N953" s="237"/>
      <c r="O953" s="237"/>
      <c r="P953" s="237"/>
      <c r="Q953" s="237"/>
      <c r="R953" s="237"/>
      <c r="S953" s="237"/>
      <c r="T953" s="237"/>
      <c r="U953" s="237"/>
      <c r="V953" s="237"/>
      <c r="W953" s="237"/>
      <c r="X953" s="237"/>
      <c r="Y953" s="237"/>
      <c r="Z953" s="237"/>
    </row>
    <row r="954">
      <c r="A954" s="305">
        <v>953.0</v>
      </c>
      <c r="B954" s="236"/>
      <c r="C954" s="307" t="s">
        <v>1420</v>
      </c>
      <c r="D954" s="308" t="s">
        <v>1620</v>
      </c>
      <c r="E954" s="305" t="s">
        <v>13309</v>
      </c>
      <c r="F954" s="309" t="s">
        <v>14239</v>
      </c>
      <c r="G954" s="236"/>
      <c r="H954" s="307" t="s">
        <v>1420</v>
      </c>
      <c r="I954" s="237"/>
      <c r="J954" s="237"/>
      <c r="K954" s="310" t="s">
        <v>13308</v>
      </c>
      <c r="L954" s="237"/>
      <c r="M954" s="237"/>
      <c r="N954" s="237"/>
      <c r="O954" s="237"/>
      <c r="P954" s="237"/>
      <c r="Q954" s="237"/>
      <c r="R954" s="237"/>
      <c r="S954" s="237"/>
      <c r="T954" s="237"/>
      <c r="U954" s="237"/>
      <c r="V954" s="237"/>
      <c r="W954" s="237"/>
      <c r="X954" s="237"/>
      <c r="Y954" s="237"/>
      <c r="Z954" s="237"/>
    </row>
    <row r="955">
      <c r="A955" s="305">
        <v>954.0</v>
      </c>
      <c r="B955" s="236"/>
      <c r="C955" s="307" t="s">
        <v>1420</v>
      </c>
      <c r="D955" s="308" t="s">
        <v>1619</v>
      </c>
      <c r="E955" s="305" t="s">
        <v>13306</v>
      </c>
      <c r="F955" s="309" t="s">
        <v>14240</v>
      </c>
      <c r="G955" s="236"/>
      <c r="H955" s="307" t="s">
        <v>1420</v>
      </c>
      <c r="I955" s="237"/>
      <c r="J955" s="237"/>
      <c r="K955" s="310" t="s">
        <v>13305</v>
      </c>
      <c r="L955" s="237"/>
      <c r="M955" s="237"/>
      <c r="N955" s="237"/>
      <c r="O955" s="237"/>
      <c r="P955" s="237"/>
      <c r="Q955" s="237"/>
      <c r="R955" s="237"/>
      <c r="S955" s="237"/>
      <c r="T955" s="237"/>
      <c r="U955" s="237"/>
      <c r="V955" s="237"/>
      <c r="W955" s="237"/>
      <c r="X955" s="237"/>
      <c r="Y955" s="237"/>
      <c r="Z955" s="237"/>
    </row>
    <row r="956">
      <c r="A956" s="305">
        <v>955.0</v>
      </c>
      <c r="B956" s="236"/>
      <c r="C956" s="307" t="s">
        <v>1420</v>
      </c>
      <c r="D956" s="308" t="s">
        <v>1614</v>
      </c>
      <c r="E956" s="305" t="s">
        <v>13290</v>
      </c>
      <c r="F956" s="309" t="s">
        <v>14241</v>
      </c>
      <c r="G956" s="236"/>
      <c r="H956" s="307" t="s">
        <v>1420</v>
      </c>
      <c r="I956" s="237"/>
      <c r="J956" s="237"/>
      <c r="K956" s="310" t="s">
        <v>13289</v>
      </c>
      <c r="L956" s="237"/>
      <c r="M956" s="237"/>
      <c r="N956" s="237"/>
      <c r="O956" s="237"/>
      <c r="P956" s="237"/>
      <c r="Q956" s="237"/>
      <c r="R956" s="237"/>
      <c r="S956" s="237"/>
      <c r="T956" s="237"/>
      <c r="U956" s="237"/>
      <c r="V956" s="237"/>
      <c r="W956" s="237"/>
      <c r="X956" s="237"/>
      <c r="Y956" s="237"/>
      <c r="Z956" s="237"/>
    </row>
    <row r="957">
      <c r="A957" s="305">
        <v>956.0</v>
      </c>
      <c r="B957" s="236"/>
      <c r="C957" s="307" t="s">
        <v>1420</v>
      </c>
      <c r="D957" s="308" t="s">
        <v>1618</v>
      </c>
      <c r="E957" s="305" t="s">
        <v>13303</v>
      </c>
      <c r="F957" s="309" t="s">
        <v>14242</v>
      </c>
      <c r="G957" s="236"/>
      <c r="H957" s="307" t="s">
        <v>1420</v>
      </c>
      <c r="I957" s="237"/>
      <c r="J957" s="237"/>
      <c r="K957" s="310" t="s">
        <v>13301</v>
      </c>
      <c r="L957" s="237"/>
      <c r="M957" s="237"/>
      <c r="N957" s="237"/>
      <c r="O957" s="237"/>
      <c r="P957" s="237"/>
      <c r="Q957" s="237"/>
      <c r="R957" s="237"/>
      <c r="S957" s="237"/>
      <c r="T957" s="237"/>
      <c r="U957" s="237"/>
      <c r="V957" s="237"/>
      <c r="W957" s="237"/>
      <c r="X957" s="237"/>
      <c r="Y957" s="237"/>
      <c r="Z957" s="237"/>
    </row>
    <row r="958">
      <c r="A958" s="305">
        <v>957.0</v>
      </c>
      <c r="B958" s="236"/>
      <c r="C958" s="307" t="s">
        <v>1420</v>
      </c>
      <c r="D958" s="308" t="s">
        <v>1613</v>
      </c>
      <c r="E958" s="305" t="s">
        <v>13287</v>
      </c>
      <c r="F958" s="309" t="s">
        <v>14243</v>
      </c>
      <c r="G958" s="236"/>
      <c r="H958" s="307" t="s">
        <v>1420</v>
      </c>
      <c r="I958" s="237"/>
      <c r="J958" s="237"/>
      <c r="K958" s="310" t="s">
        <v>13285</v>
      </c>
      <c r="L958" s="237"/>
      <c r="M958" s="237"/>
      <c r="N958" s="237"/>
      <c r="O958" s="237"/>
      <c r="P958" s="237"/>
      <c r="Q958" s="237"/>
      <c r="R958" s="237"/>
      <c r="S958" s="237"/>
      <c r="T958" s="237"/>
      <c r="U958" s="237"/>
      <c r="V958" s="237"/>
      <c r="W958" s="237"/>
      <c r="X958" s="237"/>
      <c r="Y958" s="237"/>
      <c r="Z958" s="237"/>
    </row>
    <row r="959">
      <c r="A959" s="305">
        <v>958.0</v>
      </c>
      <c r="B959" s="236"/>
      <c r="C959" s="307" t="s">
        <v>1420</v>
      </c>
      <c r="D959" s="308" t="s">
        <v>14244</v>
      </c>
      <c r="E959" s="305" t="s">
        <v>14245</v>
      </c>
      <c r="F959" s="309" t="s">
        <v>11594</v>
      </c>
      <c r="G959" s="236"/>
      <c r="H959" s="307" t="s">
        <v>1420</v>
      </c>
      <c r="I959" s="237"/>
      <c r="J959" s="237"/>
      <c r="K959" s="310" t="s">
        <v>11591</v>
      </c>
      <c r="L959" s="237"/>
      <c r="M959" s="237"/>
      <c r="N959" s="237"/>
      <c r="O959" s="237"/>
      <c r="P959" s="237"/>
      <c r="Q959" s="237"/>
      <c r="R959" s="237"/>
      <c r="S959" s="237"/>
      <c r="T959" s="237"/>
      <c r="U959" s="237"/>
      <c r="V959" s="237"/>
      <c r="W959" s="237"/>
      <c r="X959" s="237"/>
      <c r="Y959" s="237"/>
      <c r="Z959" s="237"/>
    </row>
    <row r="960">
      <c r="A960" s="305">
        <v>959.0</v>
      </c>
      <c r="B960" s="236"/>
      <c r="C960" s="307" t="s">
        <v>1420</v>
      </c>
      <c r="D960" s="308" t="s">
        <v>14246</v>
      </c>
      <c r="E960" s="305" t="s">
        <v>14247</v>
      </c>
      <c r="F960" s="309" t="s">
        <v>11590</v>
      </c>
      <c r="G960" s="236"/>
      <c r="H960" s="307" t="s">
        <v>1420</v>
      </c>
      <c r="I960" s="237"/>
      <c r="J960" s="237"/>
      <c r="K960" s="310" t="s">
        <v>11587</v>
      </c>
      <c r="L960" s="237"/>
      <c r="M960" s="237"/>
      <c r="N960" s="237"/>
      <c r="O960" s="237"/>
      <c r="P960" s="237"/>
      <c r="Q960" s="237"/>
      <c r="R960" s="237"/>
      <c r="S960" s="237"/>
      <c r="T960" s="237"/>
      <c r="U960" s="237"/>
      <c r="V960" s="237"/>
      <c r="W960" s="237"/>
      <c r="X960" s="237"/>
      <c r="Y960" s="237"/>
      <c r="Z960" s="237"/>
    </row>
    <row r="961">
      <c r="A961" s="305">
        <v>960.0</v>
      </c>
      <c r="B961" s="306">
        <v>5.0012124E7</v>
      </c>
      <c r="C961" s="307" t="s">
        <v>1420</v>
      </c>
      <c r="D961" s="308" t="s">
        <v>7993</v>
      </c>
      <c r="E961" s="305" t="s">
        <v>7994</v>
      </c>
      <c r="F961" s="309" t="s">
        <v>7995</v>
      </c>
      <c r="G961" s="236"/>
      <c r="H961" s="307" t="s">
        <v>1420</v>
      </c>
      <c r="I961" s="237"/>
      <c r="J961" s="237"/>
      <c r="K961" s="310" t="s">
        <v>7992</v>
      </c>
      <c r="L961" s="237"/>
      <c r="M961" s="237"/>
      <c r="N961" s="237"/>
      <c r="O961" s="237"/>
      <c r="P961" s="237"/>
      <c r="Q961" s="237"/>
      <c r="R961" s="237"/>
      <c r="S961" s="237"/>
      <c r="T961" s="237"/>
      <c r="U961" s="237"/>
      <c r="V961" s="237"/>
      <c r="W961" s="237"/>
      <c r="X961" s="237"/>
      <c r="Y961" s="237"/>
      <c r="Z961" s="237"/>
    </row>
    <row r="962">
      <c r="A962" s="305">
        <v>961.0</v>
      </c>
      <c r="B962" s="236"/>
      <c r="C962" s="307" t="s">
        <v>1420</v>
      </c>
      <c r="D962" s="308" t="s">
        <v>2480</v>
      </c>
      <c r="E962" s="305" t="s">
        <v>3984</v>
      </c>
      <c r="F962" s="309" t="s">
        <v>3985</v>
      </c>
      <c r="G962" s="236"/>
      <c r="H962" s="307" t="s">
        <v>1420</v>
      </c>
      <c r="I962" s="237"/>
      <c r="J962" s="237"/>
      <c r="K962" s="310" t="s">
        <v>3983</v>
      </c>
      <c r="L962" s="237"/>
      <c r="M962" s="237"/>
      <c r="N962" s="237"/>
      <c r="O962" s="237"/>
      <c r="P962" s="237"/>
      <c r="Q962" s="237"/>
      <c r="R962" s="237"/>
      <c r="S962" s="237"/>
      <c r="T962" s="237"/>
      <c r="U962" s="237"/>
      <c r="V962" s="237"/>
      <c r="W962" s="237"/>
      <c r="X962" s="237"/>
      <c r="Y962" s="237"/>
      <c r="Z962" s="237"/>
    </row>
    <row r="963">
      <c r="A963" s="305">
        <v>962.0</v>
      </c>
      <c r="B963" s="306" t="s">
        <v>8323</v>
      </c>
      <c r="C963" s="307" t="s">
        <v>1420</v>
      </c>
      <c r="D963" s="308" t="s">
        <v>8325</v>
      </c>
      <c r="E963" s="305" t="s">
        <v>8326</v>
      </c>
      <c r="F963" s="309" t="s">
        <v>8327</v>
      </c>
      <c r="G963" s="236"/>
      <c r="H963" s="307" t="s">
        <v>1420</v>
      </c>
      <c r="I963" s="237"/>
      <c r="J963" s="237"/>
      <c r="K963" s="310" t="s">
        <v>8324</v>
      </c>
      <c r="L963" s="237"/>
      <c r="M963" s="237"/>
      <c r="N963" s="237"/>
      <c r="O963" s="237"/>
      <c r="P963" s="237"/>
      <c r="Q963" s="237"/>
      <c r="R963" s="237"/>
      <c r="S963" s="237"/>
      <c r="T963" s="237"/>
      <c r="U963" s="237"/>
      <c r="V963" s="237"/>
      <c r="W963" s="237"/>
      <c r="X963" s="237"/>
      <c r="Y963" s="237"/>
      <c r="Z963" s="237"/>
    </row>
    <row r="964">
      <c r="A964" s="305">
        <v>963.0</v>
      </c>
      <c r="B964" s="236"/>
      <c r="C964" s="307" t="s">
        <v>1420</v>
      </c>
      <c r="D964" s="308" t="s">
        <v>8298</v>
      </c>
      <c r="E964" s="305" t="s">
        <v>8299</v>
      </c>
      <c r="F964" s="309" t="s">
        <v>8300</v>
      </c>
      <c r="G964" s="236"/>
      <c r="H964" s="307" t="s">
        <v>1420</v>
      </c>
      <c r="I964" s="237"/>
      <c r="J964" s="237"/>
      <c r="K964" s="310" t="s">
        <v>8297</v>
      </c>
      <c r="L964" s="237"/>
      <c r="M964" s="237"/>
      <c r="N964" s="237"/>
      <c r="O964" s="237"/>
      <c r="P964" s="237"/>
      <c r="Q964" s="237"/>
      <c r="R964" s="237"/>
      <c r="S964" s="237"/>
      <c r="T964" s="237"/>
      <c r="U964" s="237"/>
      <c r="V964" s="237"/>
      <c r="W964" s="237"/>
      <c r="X964" s="237"/>
      <c r="Y964" s="237"/>
      <c r="Z964" s="237"/>
    </row>
    <row r="965">
      <c r="A965" s="305">
        <v>964.0</v>
      </c>
      <c r="B965" s="306" t="s">
        <v>8318</v>
      </c>
      <c r="C965" s="307" t="s">
        <v>1420</v>
      </c>
      <c r="D965" s="308" t="s">
        <v>8320</v>
      </c>
      <c r="E965" s="305" t="s">
        <v>8321</v>
      </c>
      <c r="F965" s="309" t="s">
        <v>8322</v>
      </c>
      <c r="G965" s="236"/>
      <c r="H965" s="307" t="s">
        <v>1420</v>
      </c>
      <c r="I965" s="237"/>
      <c r="J965" s="237"/>
      <c r="K965" s="310" t="s">
        <v>8319</v>
      </c>
      <c r="L965" s="237"/>
      <c r="M965" s="237"/>
      <c r="N965" s="237"/>
      <c r="O965" s="237"/>
      <c r="P965" s="237"/>
      <c r="Q965" s="237"/>
      <c r="R965" s="237"/>
      <c r="S965" s="237"/>
      <c r="T965" s="237"/>
      <c r="U965" s="237"/>
      <c r="V965" s="237"/>
      <c r="W965" s="237"/>
      <c r="X965" s="237"/>
      <c r="Y965" s="237"/>
      <c r="Z965" s="237"/>
    </row>
    <row r="966">
      <c r="A966" s="305">
        <v>965.0</v>
      </c>
      <c r="B966" s="236"/>
      <c r="C966" s="307" t="s">
        <v>1420</v>
      </c>
      <c r="D966" s="308" t="s">
        <v>8303</v>
      </c>
      <c r="E966" s="305" t="s">
        <v>8304</v>
      </c>
      <c r="F966" s="309" t="s">
        <v>8305</v>
      </c>
      <c r="G966" s="236"/>
      <c r="H966" s="307" t="s">
        <v>1420</v>
      </c>
      <c r="I966" s="237"/>
      <c r="J966" s="237"/>
      <c r="K966" s="310" t="s">
        <v>8302</v>
      </c>
      <c r="L966" s="237"/>
      <c r="M966" s="237"/>
      <c r="N966" s="237"/>
      <c r="O966" s="237"/>
      <c r="P966" s="237"/>
      <c r="Q966" s="237"/>
      <c r="R966" s="237"/>
      <c r="S966" s="237"/>
      <c r="T966" s="237"/>
      <c r="U966" s="237"/>
      <c r="V966" s="237"/>
      <c r="W966" s="237"/>
      <c r="X966" s="237"/>
      <c r="Y966" s="237"/>
      <c r="Z966" s="237"/>
    </row>
    <row r="967">
      <c r="A967" s="305">
        <v>966.0</v>
      </c>
      <c r="B967" s="306" t="s">
        <v>8333</v>
      </c>
      <c r="C967" s="307" t="s">
        <v>1420</v>
      </c>
      <c r="D967" s="308" t="s">
        <v>8335</v>
      </c>
      <c r="E967" s="305" t="s">
        <v>8336</v>
      </c>
      <c r="F967" s="309" t="s">
        <v>8337</v>
      </c>
      <c r="G967" s="236"/>
      <c r="H967" s="307" t="s">
        <v>1420</v>
      </c>
      <c r="I967" s="237"/>
      <c r="J967" s="237"/>
      <c r="K967" s="310" t="s">
        <v>8334</v>
      </c>
      <c r="L967" s="237"/>
      <c r="M967" s="237"/>
      <c r="N967" s="237"/>
      <c r="O967" s="237"/>
      <c r="P967" s="237"/>
      <c r="Q967" s="237"/>
      <c r="R967" s="237"/>
      <c r="S967" s="237"/>
      <c r="T967" s="237"/>
      <c r="U967" s="237"/>
      <c r="V967" s="237"/>
      <c r="W967" s="237"/>
      <c r="X967" s="237"/>
      <c r="Y967" s="237"/>
      <c r="Z967" s="237"/>
    </row>
    <row r="968">
      <c r="A968" s="305">
        <v>967.0</v>
      </c>
      <c r="B968" s="236"/>
      <c r="C968" s="307" t="s">
        <v>1420</v>
      </c>
      <c r="D968" s="308" t="s">
        <v>8307</v>
      </c>
      <c r="E968" s="305" t="s">
        <v>8308</v>
      </c>
      <c r="F968" s="309" t="s">
        <v>8309</v>
      </c>
      <c r="G968" s="236"/>
      <c r="H968" s="307" t="s">
        <v>1420</v>
      </c>
      <c r="I968" s="237"/>
      <c r="J968" s="237"/>
      <c r="K968" s="310" t="s">
        <v>8306</v>
      </c>
      <c r="L968" s="237"/>
      <c r="M968" s="237"/>
      <c r="N968" s="237"/>
      <c r="O968" s="237"/>
      <c r="P968" s="237"/>
      <c r="Q968" s="237"/>
      <c r="R968" s="237"/>
      <c r="S968" s="237"/>
      <c r="T968" s="237"/>
      <c r="U968" s="237"/>
      <c r="V968" s="237"/>
      <c r="W968" s="237"/>
      <c r="X968" s="237"/>
      <c r="Y968" s="237"/>
      <c r="Z968" s="237"/>
    </row>
    <row r="969">
      <c r="A969" s="305">
        <v>968.0</v>
      </c>
      <c r="B969" s="236"/>
      <c r="C969" s="307" t="s">
        <v>1420</v>
      </c>
      <c r="D969" s="308" t="s">
        <v>8315</v>
      </c>
      <c r="E969" s="305" t="s">
        <v>8316</v>
      </c>
      <c r="F969" s="309" t="s">
        <v>8317</v>
      </c>
      <c r="G969" s="236"/>
      <c r="H969" s="307" t="s">
        <v>1420</v>
      </c>
      <c r="I969" s="237"/>
      <c r="J969" s="237"/>
      <c r="K969" s="310" t="s">
        <v>8314</v>
      </c>
      <c r="L969" s="237"/>
      <c r="M969" s="237"/>
      <c r="N969" s="237"/>
      <c r="O969" s="237"/>
      <c r="P969" s="237"/>
      <c r="Q969" s="237"/>
      <c r="R969" s="237"/>
      <c r="S969" s="237"/>
      <c r="T969" s="237"/>
      <c r="U969" s="237"/>
      <c r="V969" s="237"/>
      <c r="W969" s="237"/>
      <c r="X969" s="237"/>
      <c r="Y969" s="237"/>
      <c r="Z969" s="237"/>
    </row>
    <row r="970">
      <c r="A970" s="305">
        <v>969.0</v>
      </c>
      <c r="B970" s="306" t="s">
        <v>8328</v>
      </c>
      <c r="C970" s="307" t="s">
        <v>1420</v>
      </c>
      <c r="D970" s="308" t="s">
        <v>8330</v>
      </c>
      <c r="E970" s="305" t="s">
        <v>8331</v>
      </c>
      <c r="F970" s="309" t="s">
        <v>8332</v>
      </c>
      <c r="G970" s="236"/>
      <c r="H970" s="307" t="s">
        <v>1420</v>
      </c>
      <c r="I970" s="237"/>
      <c r="J970" s="237"/>
      <c r="K970" s="310" t="s">
        <v>8329</v>
      </c>
      <c r="L970" s="237"/>
      <c r="M970" s="237"/>
      <c r="N970" s="237"/>
      <c r="O970" s="237"/>
      <c r="P970" s="237"/>
      <c r="Q970" s="237"/>
      <c r="R970" s="237"/>
      <c r="S970" s="237"/>
      <c r="T970" s="237"/>
      <c r="U970" s="237"/>
      <c r="V970" s="237"/>
      <c r="W970" s="237"/>
      <c r="X970" s="237"/>
      <c r="Y970" s="237"/>
      <c r="Z970" s="237"/>
    </row>
    <row r="971">
      <c r="A971" s="305">
        <v>970.0</v>
      </c>
      <c r="B971" s="236"/>
      <c r="C971" s="307" t="s">
        <v>1420</v>
      </c>
      <c r="D971" s="308" t="s">
        <v>8311</v>
      </c>
      <c r="E971" s="305" t="s">
        <v>8312</v>
      </c>
      <c r="F971" s="309" t="s">
        <v>8313</v>
      </c>
      <c r="G971" s="236"/>
      <c r="H971" s="307" t="s">
        <v>1420</v>
      </c>
      <c r="I971" s="237"/>
      <c r="J971" s="237"/>
      <c r="K971" s="310" t="s">
        <v>8310</v>
      </c>
      <c r="L971" s="237"/>
      <c r="M971" s="237"/>
      <c r="N971" s="237"/>
      <c r="O971" s="237"/>
      <c r="P971" s="237"/>
      <c r="Q971" s="237"/>
      <c r="R971" s="237"/>
      <c r="S971" s="237"/>
      <c r="T971" s="237"/>
      <c r="U971" s="237"/>
      <c r="V971" s="237"/>
      <c r="W971" s="237"/>
      <c r="X971" s="237"/>
      <c r="Y971" s="237"/>
      <c r="Z971" s="237"/>
    </row>
    <row r="972">
      <c r="A972" s="305">
        <v>971.0</v>
      </c>
      <c r="B972" s="306" t="s">
        <v>11229</v>
      </c>
      <c r="C972" s="307" t="s">
        <v>1420</v>
      </c>
      <c r="D972" s="308" t="s">
        <v>2284</v>
      </c>
      <c r="E972" s="305" t="s">
        <v>11231</v>
      </c>
      <c r="F972" s="309" t="s">
        <v>11232</v>
      </c>
      <c r="G972" s="236"/>
      <c r="H972" s="307" t="s">
        <v>1420</v>
      </c>
      <c r="I972" s="237"/>
      <c r="J972" s="237"/>
      <c r="K972" s="310" t="s">
        <v>11230</v>
      </c>
      <c r="L972" s="237"/>
      <c r="M972" s="237"/>
      <c r="N972" s="237"/>
      <c r="O972" s="237"/>
      <c r="P972" s="237"/>
      <c r="Q972" s="237"/>
      <c r="R972" s="237"/>
      <c r="S972" s="237"/>
      <c r="T972" s="237"/>
      <c r="U972" s="237"/>
      <c r="V972" s="237"/>
      <c r="W972" s="237"/>
      <c r="X972" s="237"/>
      <c r="Y972" s="237"/>
      <c r="Z972" s="237"/>
    </row>
    <row r="973">
      <c r="A973" s="305">
        <v>972.0</v>
      </c>
      <c r="B973" s="306" t="s">
        <v>11233</v>
      </c>
      <c r="C973" s="307" t="s">
        <v>1420</v>
      </c>
      <c r="D973" s="308" t="s">
        <v>2285</v>
      </c>
      <c r="E973" s="305" t="s">
        <v>11235</v>
      </c>
      <c r="F973" s="309" t="s">
        <v>11236</v>
      </c>
      <c r="G973" s="236"/>
      <c r="H973" s="307" t="s">
        <v>1420</v>
      </c>
      <c r="I973" s="237"/>
      <c r="J973" s="237"/>
      <c r="K973" s="310" t="s">
        <v>11234</v>
      </c>
      <c r="L973" s="237"/>
      <c r="M973" s="237"/>
      <c r="N973" s="237"/>
      <c r="O973" s="237"/>
      <c r="P973" s="237"/>
      <c r="Q973" s="237"/>
      <c r="R973" s="237"/>
      <c r="S973" s="237"/>
      <c r="T973" s="237"/>
      <c r="U973" s="237"/>
      <c r="V973" s="237"/>
      <c r="W973" s="237"/>
      <c r="X973" s="237"/>
      <c r="Y973" s="237"/>
      <c r="Z973" s="237"/>
    </row>
    <row r="974">
      <c r="A974" s="305">
        <v>973.0</v>
      </c>
      <c r="B974" s="306" t="s">
        <v>11237</v>
      </c>
      <c r="C974" s="307" t="s">
        <v>1420</v>
      </c>
      <c r="D974" s="308" t="s">
        <v>2286</v>
      </c>
      <c r="E974" s="305" t="s">
        <v>11239</v>
      </c>
      <c r="F974" s="309" t="s">
        <v>11240</v>
      </c>
      <c r="G974" s="236"/>
      <c r="H974" s="307" t="s">
        <v>1420</v>
      </c>
      <c r="I974" s="237"/>
      <c r="J974" s="237"/>
      <c r="K974" s="310" t="s">
        <v>11238</v>
      </c>
      <c r="L974" s="237"/>
      <c r="M974" s="237"/>
      <c r="N974" s="237"/>
      <c r="O974" s="237"/>
      <c r="P974" s="237"/>
      <c r="Q974" s="237"/>
      <c r="R974" s="237"/>
      <c r="S974" s="237"/>
      <c r="T974" s="237"/>
      <c r="U974" s="237"/>
      <c r="V974" s="237"/>
      <c r="W974" s="237"/>
      <c r="X974" s="237"/>
      <c r="Y974" s="237"/>
      <c r="Z974" s="237"/>
    </row>
    <row r="975">
      <c r="A975" s="305">
        <v>974.0</v>
      </c>
      <c r="B975" s="306" t="s">
        <v>11265</v>
      </c>
      <c r="C975" s="307" t="s">
        <v>1420</v>
      </c>
      <c r="D975" s="308" t="s">
        <v>2287</v>
      </c>
      <c r="E975" s="305" t="s">
        <v>11267</v>
      </c>
      <c r="F975" s="309" t="s">
        <v>11268</v>
      </c>
      <c r="G975" s="236"/>
      <c r="H975" s="307" t="s">
        <v>1420</v>
      </c>
      <c r="I975" s="237"/>
      <c r="J975" s="237"/>
      <c r="K975" s="310" t="s">
        <v>11266</v>
      </c>
      <c r="L975" s="237"/>
      <c r="M975" s="237"/>
      <c r="N975" s="237"/>
      <c r="O975" s="237"/>
      <c r="P975" s="237"/>
      <c r="Q975" s="237"/>
      <c r="R975" s="237"/>
      <c r="S975" s="237"/>
      <c r="T975" s="237"/>
      <c r="U975" s="237"/>
      <c r="V975" s="237"/>
      <c r="W975" s="237"/>
      <c r="X975" s="237"/>
      <c r="Y975" s="237"/>
      <c r="Z975" s="237"/>
    </row>
    <row r="976">
      <c r="A976" s="305">
        <v>975.0</v>
      </c>
      <c r="B976" s="306" t="s">
        <v>11241</v>
      </c>
      <c r="C976" s="307" t="s">
        <v>1420</v>
      </c>
      <c r="D976" s="308" t="s">
        <v>2288</v>
      </c>
      <c r="E976" s="305" t="s">
        <v>11243</v>
      </c>
      <c r="F976" s="309" t="s">
        <v>11244</v>
      </c>
      <c r="G976" s="236"/>
      <c r="H976" s="307" t="s">
        <v>1420</v>
      </c>
      <c r="I976" s="237"/>
      <c r="J976" s="237"/>
      <c r="K976" s="310" t="s">
        <v>11242</v>
      </c>
      <c r="L976" s="237"/>
      <c r="M976" s="237"/>
      <c r="N976" s="237"/>
      <c r="O976" s="237"/>
      <c r="P976" s="237"/>
      <c r="Q976" s="237"/>
      <c r="R976" s="237"/>
      <c r="S976" s="237"/>
      <c r="T976" s="237"/>
      <c r="U976" s="237"/>
      <c r="V976" s="237"/>
      <c r="W976" s="237"/>
      <c r="X976" s="237"/>
      <c r="Y976" s="237"/>
      <c r="Z976" s="237"/>
    </row>
    <row r="977">
      <c r="A977" s="305">
        <v>976.0</v>
      </c>
      <c r="B977" s="306" t="s">
        <v>11245</v>
      </c>
      <c r="C977" s="307" t="s">
        <v>1420</v>
      </c>
      <c r="D977" s="308" t="s">
        <v>2289</v>
      </c>
      <c r="E977" s="305" t="s">
        <v>11247</v>
      </c>
      <c r="F977" s="309" t="s">
        <v>11248</v>
      </c>
      <c r="G977" s="236"/>
      <c r="H977" s="307" t="s">
        <v>1420</v>
      </c>
      <c r="I977" s="237"/>
      <c r="J977" s="237"/>
      <c r="K977" s="310" t="s">
        <v>11246</v>
      </c>
      <c r="L977" s="237"/>
      <c r="M977" s="237"/>
      <c r="N977" s="237"/>
      <c r="O977" s="237"/>
      <c r="P977" s="237"/>
      <c r="Q977" s="237"/>
      <c r="R977" s="237"/>
      <c r="S977" s="237"/>
      <c r="T977" s="237"/>
      <c r="U977" s="237"/>
      <c r="V977" s="237"/>
      <c r="W977" s="237"/>
      <c r="X977" s="237"/>
      <c r="Y977" s="237"/>
      <c r="Z977" s="237"/>
    </row>
    <row r="978">
      <c r="A978" s="305">
        <v>977.0</v>
      </c>
      <c r="B978" s="306" t="s">
        <v>11225</v>
      </c>
      <c r="C978" s="307" t="s">
        <v>1420</v>
      </c>
      <c r="D978" s="308" t="s">
        <v>2290</v>
      </c>
      <c r="E978" s="305" t="s">
        <v>11227</v>
      </c>
      <c r="F978" s="309" t="s">
        <v>11228</v>
      </c>
      <c r="G978" s="236"/>
      <c r="H978" s="307" t="s">
        <v>1420</v>
      </c>
      <c r="I978" s="237"/>
      <c r="J978" s="237"/>
      <c r="K978" s="310" t="s">
        <v>11226</v>
      </c>
      <c r="L978" s="237"/>
      <c r="M978" s="237"/>
      <c r="N978" s="237"/>
      <c r="O978" s="237"/>
      <c r="P978" s="237"/>
      <c r="Q978" s="237"/>
      <c r="R978" s="237"/>
      <c r="S978" s="237"/>
      <c r="T978" s="237"/>
      <c r="U978" s="237"/>
      <c r="V978" s="237"/>
      <c r="W978" s="237"/>
      <c r="X978" s="237"/>
      <c r="Y978" s="237"/>
      <c r="Z978" s="237"/>
    </row>
    <row r="979">
      <c r="A979" s="305">
        <v>978.0</v>
      </c>
      <c r="B979" s="306" t="s">
        <v>11253</v>
      </c>
      <c r="C979" s="307" t="s">
        <v>1420</v>
      </c>
      <c r="D979" s="308" t="s">
        <v>2291</v>
      </c>
      <c r="E979" s="305" t="s">
        <v>11255</v>
      </c>
      <c r="F979" s="309" t="s">
        <v>11256</v>
      </c>
      <c r="G979" s="236"/>
      <c r="H979" s="307" t="s">
        <v>1420</v>
      </c>
      <c r="I979" s="237"/>
      <c r="J979" s="237"/>
      <c r="K979" s="310" t="s">
        <v>11254</v>
      </c>
      <c r="L979" s="237"/>
      <c r="M979" s="237"/>
      <c r="N979" s="237"/>
      <c r="O979" s="237"/>
      <c r="P979" s="237"/>
      <c r="Q979" s="237"/>
      <c r="R979" s="237"/>
      <c r="S979" s="237"/>
      <c r="T979" s="237"/>
      <c r="U979" s="237"/>
      <c r="V979" s="237"/>
      <c r="W979" s="237"/>
      <c r="X979" s="237"/>
      <c r="Y979" s="237"/>
      <c r="Z979" s="237"/>
    </row>
    <row r="980">
      <c r="A980" s="305">
        <v>979.0</v>
      </c>
      <c r="B980" s="306" t="s">
        <v>11257</v>
      </c>
      <c r="C980" s="307" t="s">
        <v>1420</v>
      </c>
      <c r="D980" s="308" t="s">
        <v>2292</v>
      </c>
      <c r="E980" s="305" t="s">
        <v>11259</v>
      </c>
      <c r="F980" s="309" t="s">
        <v>11260</v>
      </c>
      <c r="G980" s="236"/>
      <c r="H980" s="307" t="s">
        <v>1420</v>
      </c>
      <c r="I980" s="237"/>
      <c r="J980" s="237"/>
      <c r="K980" s="310" t="s">
        <v>11258</v>
      </c>
      <c r="L980" s="237"/>
      <c r="M980" s="237"/>
      <c r="N980" s="237"/>
      <c r="O980" s="237"/>
      <c r="P980" s="237"/>
      <c r="Q980" s="237"/>
      <c r="R980" s="237"/>
      <c r="S980" s="237"/>
      <c r="T980" s="237"/>
      <c r="U980" s="237"/>
      <c r="V980" s="237"/>
      <c r="W980" s="237"/>
      <c r="X980" s="237"/>
      <c r="Y980" s="237"/>
      <c r="Z980" s="237"/>
    </row>
    <row r="981">
      <c r="A981" s="305">
        <v>980.0</v>
      </c>
      <c r="B981" s="306" t="s">
        <v>11269</v>
      </c>
      <c r="C981" s="307" t="s">
        <v>1420</v>
      </c>
      <c r="D981" s="308" t="s">
        <v>2293</v>
      </c>
      <c r="E981" s="305" t="s">
        <v>11271</v>
      </c>
      <c r="F981" s="309" t="s">
        <v>11272</v>
      </c>
      <c r="G981" s="236"/>
      <c r="H981" s="307" t="s">
        <v>1420</v>
      </c>
      <c r="I981" s="237"/>
      <c r="J981" s="237"/>
      <c r="K981" s="310" t="s">
        <v>11270</v>
      </c>
      <c r="L981" s="237"/>
      <c r="M981" s="237"/>
      <c r="N981" s="237"/>
      <c r="O981" s="237"/>
      <c r="P981" s="237"/>
      <c r="Q981" s="237"/>
      <c r="R981" s="237"/>
      <c r="S981" s="237"/>
      <c r="T981" s="237"/>
      <c r="U981" s="237"/>
      <c r="V981" s="237"/>
      <c r="W981" s="237"/>
      <c r="X981" s="237"/>
      <c r="Y981" s="237"/>
      <c r="Z981" s="237"/>
    </row>
    <row r="982">
      <c r="A982" s="305">
        <v>981.0</v>
      </c>
      <c r="B982" s="306" t="s">
        <v>11261</v>
      </c>
      <c r="C982" s="307" t="s">
        <v>1420</v>
      </c>
      <c r="D982" s="308" t="s">
        <v>2295</v>
      </c>
      <c r="E982" s="305" t="s">
        <v>11263</v>
      </c>
      <c r="F982" s="309" t="s">
        <v>11264</v>
      </c>
      <c r="G982" s="236"/>
      <c r="H982" s="307" t="s">
        <v>1420</v>
      </c>
      <c r="I982" s="237"/>
      <c r="J982" s="237"/>
      <c r="K982" s="310" t="s">
        <v>11262</v>
      </c>
      <c r="L982" s="237"/>
      <c r="M982" s="237"/>
      <c r="N982" s="237"/>
      <c r="O982" s="237"/>
      <c r="P982" s="237"/>
      <c r="Q982" s="237"/>
      <c r="R982" s="237"/>
      <c r="S982" s="237"/>
      <c r="T982" s="237"/>
      <c r="U982" s="237"/>
      <c r="V982" s="237"/>
      <c r="W982" s="237"/>
      <c r="X982" s="237"/>
      <c r="Y982" s="237"/>
      <c r="Z982" s="237"/>
    </row>
    <row r="983">
      <c r="A983" s="305">
        <v>982.0</v>
      </c>
      <c r="B983" s="306" t="s">
        <v>11249</v>
      </c>
      <c r="C983" s="307" t="s">
        <v>1420</v>
      </c>
      <c r="D983" s="308" t="s">
        <v>2294</v>
      </c>
      <c r="E983" s="305" t="s">
        <v>11251</v>
      </c>
      <c r="F983" s="309" t="s">
        <v>11252</v>
      </c>
      <c r="G983" s="236"/>
      <c r="H983" s="307" t="s">
        <v>1420</v>
      </c>
      <c r="I983" s="237"/>
      <c r="J983" s="237"/>
      <c r="K983" s="310" t="s">
        <v>11250</v>
      </c>
      <c r="L983" s="237"/>
      <c r="M983" s="237"/>
      <c r="N983" s="237"/>
      <c r="O983" s="237"/>
      <c r="P983" s="237"/>
      <c r="Q983" s="237"/>
      <c r="R983" s="237"/>
      <c r="S983" s="237"/>
      <c r="T983" s="237"/>
      <c r="U983" s="237"/>
      <c r="V983" s="237"/>
      <c r="W983" s="237"/>
      <c r="X983" s="237"/>
      <c r="Y983" s="237"/>
      <c r="Z983" s="237"/>
    </row>
    <row r="984">
      <c r="A984" s="305">
        <v>983.0</v>
      </c>
      <c r="B984" s="306" t="s">
        <v>4106</v>
      </c>
      <c r="C984" s="307" t="s">
        <v>1420</v>
      </c>
      <c r="D984" s="308" t="s">
        <v>4108</v>
      </c>
      <c r="E984" s="305" t="s">
        <v>4109</v>
      </c>
      <c r="F984" s="309" t="s">
        <v>4110</v>
      </c>
      <c r="G984" s="236"/>
      <c r="H984" s="307" t="s">
        <v>1420</v>
      </c>
      <c r="I984" s="237"/>
      <c r="J984" s="237"/>
      <c r="K984" s="310" t="s">
        <v>4107</v>
      </c>
      <c r="L984" s="237"/>
      <c r="M984" s="237"/>
      <c r="N984" s="237"/>
      <c r="O984" s="237"/>
      <c r="P984" s="237"/>
      <c r="Q984" s="237"/>
      <c r="R984" s="237"/>
      <c r="S984" s="237"/>
      <c r="T984" s="237"/>
      <c r="U984" s="237"/>
      <c r="V984" s="237"/>
      <c r="W984" s="237"/>
      <c r="X984" s="237"/>
      <c r="Y984" s="237"/>
      <c r="Z984" s="237"/>
    </row>
    <row r="985">
      <c r="A985" s="305">
        <v>984.0</v>
      </c>
      <c r="B985" s="306" t="s">
        <v>4101</v>
      </c>
      <c r="C985" s="307" t="s">
        <v>1420</v>
      </c>
      <c r="D985" s="308" t="s">
        <v>4103</v>
      </c>
      <c r="E985" s="305" t="s">
        <v>4104</v>
      </c>
      <c r="F985" s="309" t="s">
        <v>4105</v>
      </c>
      <c r="G985" s="236"/>
      <c r="H985" s="307" t="s">
        <v>1420</v>
      </c>
      <c r="I985" s="237"/>
      <c r="J985" s="237"/>
      <c r="K985" s="310" t="s">
        <v>4102</v>
      </c>
      <c r="L985" s="237"/>
      <c r="M985" s="237"/>
      <c r="N985" s="237"/>
      <c r="O985" s="237"/>
      <c r="P985" s="237"/>
      <c r="Q985" s="237"/>
      <c r="R985" s="237"/>
      <c r="S985" s="237"/>
      <c r="T985" s="237"/>
      <c r="U985" s="237"/>
      <c r="V985" s="237"/>
      <c r="W985" s="237"/>
      <c r="X985" s="237"/>
      <c r="Y985" s="237"/>
      <c r="Z985" s="237"/>
    </row>
    <row r="986">
      <c r="A986" s="305">
        <v>985.0</v>
      </c>
      <c r="B986" s="306" t="s">
        <v>4095</v>
      </c>
      <c r="C986" s="307" t="s">
        <v>1420</v>
      </c>
      <c r="D986" s="308" t="s">
        <v>4097</v>
      </c>
      <c r="E986" s="305" t="s">
        <v>4098</v>
      </c>
      <c r="F986" s="309" t="s">
        <v>4099</v>
      </c>
      <c r="G986" s="236"/>
      <c r="H986" s="307" t="s">
        <v>1420</v>
      </c>
      <c r="I986" s="237"/>
      <c r="J986" s="237"/>
      <c r="K986" s="310" t="s">
        <v>4096</v>
      </c>
      <c r="L986" s="237"/>
      <c r="M986" s="237"/>
      <c r="N986" s="237"/>
      <c r="O986" s="237"/>
      <c r="P986" s="237"/>
      <c r="Q986" s="237"/>
      <c r="R986" s="237"/>
      <c r="S986" s="237"/>
      <c r="T986" s="237"/>
      <c r="U986" s="237"/>
      <c r="V986" s="237"/>
      <c r="W986" s="237"/>
      <c r="X986" s="237"/>
      <c r="Y986" s="237"/>
      <c r="Z986" s="237"/>
    </row>
    <row r="987">
      <c r="A987" s="305">
        <v>986.0</v>
      </c>
      <c r="B987" s="306" t="s">
        <v>4111</v>
      </c>
      <c r="C987" s="307" t="s">
        <v>1420</v>
      </c>
      <c r="D987" s="308" t="s">
        <v>4113</v>
      </c>
      <c r="E987" s="305" t="s">
        <v>4114</v>
      </c>
      <c r="F987" s="309" t="s">
        <v>4115</v>
      </c>
      <c r="G987" s="236"/>
      <c r="H987" s="307" t="s">
        <v>1420</v>
      </c>
      <c r="I987" s="237"/>
      <c r="J987" s="237"/>
      <c r="K987" s="310" t="s">
        <v>4112</v>
      </c>
      <c r="L987" s="237"/>
      <c r="M987" s="237"/>
      <c r="N987" s="237"/>
      <c r="O987" s="237"/>
      <c r="P987" s="237"/>
      <c r="Q987" s="237"/>
      <c r="R987" s="237"/>
      <c r="S987" s="237"/>
      <c r="T987" s="237"/>
      <c r="U987" s="237"/>
      <c r="V987" s="237"/>
      <c r="W987" s="237"/>
      <c r="X987" s="237"/>
      <c r="Y987" s="237"/>
      <c r="Z987" s="237"/>
    </row>
    <row r="988">
      <c r="A988" s="305">
        <v>987.0</v>
      </c>
      <c r="B988" s="306" t="s">
        <v>4116</v>
      </c>
      <c r="C988" s="307" t="s">
        <v>1420</v>
      </c>
      <c r="D988" s="308" t="s">
        <v>4118</v>
      </c>
      <c r="E988" s="305" t="s">
        <v>4119</v>
      </c>
      <c r="F988" s="309" t="s">
        <v>4120</v>
      </c>
      <c r="G988" s="236"/>
      <c r="H988" s="307" t="s">
        <v>1420</v>
      </c>
      <c r="I988" s="237"/>
      <c r="J988" s="237"/>
      <c r="K988" s="310" t="s">
        <v>4117</v>
      </c>
      <c r="L988" s="237"/>
      <c r="M988" s="237"/>
      <c r="N988" s="237"/>
      <c r="O988" s="237"/>
      <c r="P988" s="237"/>
      <c r="Q988" s="237"/>
      <c r="R988" s="237"/>
      <c r="S988" s="237"/>
      <c r="T988" s="237"/>
      <c r="U988" s="237"/>
      <c r="V988" s="237"/>
      <c r="W988" s="237"/>
      <c r="X988" s="237"/>
      <c r="Y988" s="237"/>
      <c r="Z988" s="237"/>
    </row>
    <row r="989">
      <c r="A989" s="305">
        <v>988.0</v>
      </c>
      <c r="B989" s="306" t="s">
        <v>4292</v>
      </c>
      <c r="C989" s="307" t="s">
        <v>1420</v>
      </c>
      <c r="D989" s="308" t="s">
        <v>4294</v>
      </c>
      <c r="E989" s="305" t="s">
        <v>4295</v>
      </c>
      <c r="F989" s="309" t="s">
        <v>4296</v>
      </c>
      <c r="G989" s="236"/>
      <c r="H989" s="307" t="s">
        <v>1420</v>
      </c>
      <c r="I989" s="237"/>
      <c r="J989" s="237"/>
      <c r="K989" s="310" t="s">
        <v>4293</v>
      </c>
      <c r="L989" s="237"/>
      <c r="M989" s="237"/>
      <c r="N989" s="237"/>
      <c r="O989" s="237"/>
      <c r="P989" s="237"/>
      <c r="Q989" s="237"/>
      <c r="R989" s="237"/>
      <c r="S989" s="237"/>
      <c r="T989" s="237"/>
      <c r="U989" s="237"/>
      <c r="V989" s="237"/>
      <c r="W989" s="237"/>
      <c r="X989" s="237"/>
      <c r="Y989" s="237"/>
      <c r="Z989" s="237"/>
    </row>
    <row r="990">
      <c r="A990" s="305">
        <v>989.0</v>
      </c>
      <c r="B990" s="306" t="s">
        <v>4302</v>
      </c>
      <c r="C990" s="307" t="s">
        <v>1420</v>
      </c>
      <c r="D990" s="308" t="s">
        <v>4304</v>
      </c>
      <c r="E990" s="305" t="s">
        <v>4305</v>
      </c>
      <c r="F990" s="309" t="s">
        <v>4306</v>
      </c>
      <c r="G990" s="236"/>
      <c r="H990" s="307" t="s">
        <v>1420</v>
      </c>
      <c r="I990" s="237"/>
      <c r="J990" s="237"/>
      <c r="K990" s="310" t="s">
        <v>4303</v>
      </c>
      <c r="L990" s="237"/>
      <c r="M990" s="237"/>
      <c r="N990" s="237"/>
      <c r="O990" s="237"/>
      <c r="P990" s="237"/>
      <c r="Q990" s="237"/>
      <c r="R990" s="237"/>
      <c r="S990" s="237"/>
      <c r="T990" s="237"/>
      <c r="U990" s="237"/>
      <c r="V990" s="237"/>
      <c r="W990" s="237"/>
      <c r="X990" s="237"/>
      <c r="Y990" s="237"/>
      <c r="Z990" s="237"/>
    </row>
    <row r="991">
      <c r="A991" s="305">
        <v>990.0</v>
      </c>
      <c r="B991" s="306" t="s">
        <v>4287</v>
      </c>
      <c r="C991" s="307" t="s">
        <v>1420</v>
      </c>
      <c r="D991" s="308" t="s">
        <v>4289</v>
      </c>
      <c r="E991" s="305" t="s">
        <v>4290</v>
      </c>
      <c r="F991" s="309" t="s">
        <v>4291</v>
      </c>
      <c r="G991" s="236"/>
      <c r="H991" s="307" t="s">
        <v>1420</v>
      </c>
      <c r="I991" s="237"/>
      <c r="J991" s="237"/>
      <c r="K991" s="310" t="s">
        <v>4288</v>
      </c>
      <c r="L991" s="237"/>
      <c r="M991" s="237"/>
      <c r="N991" s="237"/>
      <c r="O991" s="237"/>
      <c r="P991" s="237"/>
      <c r="Q991" s="237"/>
      <c r="R991" s="237"/>
      <c r="S991" s="237"/>
      <c r="T991" s="237"/>
      <c r="U991" s="237"/>
      <c r="V991" s="237"/>
      <c r="W991" s="237"/>
      <c r="X991" s="237"/>
      <c r="Y991" s="237"/>
      <c r="Z991" s="237"/>
    </row>
    <row r="992">
      <c r="A992" s="305">
        <v>991.0</v>
      </c>
      <c r="B992" s="306" t="s">
        <v>4282</v>
      </c>
      <c r="C992" s="307" t="s">
        <v>1420</v>
      </c>
      <c r="D992" s="308" t="s">
        <v>4284</v>
      </c>
      <c r="E992" s="305" t="s">
        <v>4285</v>
      </c>
      <c r="F992" s="309" t="s">
        <v>4286</v>
      </c>
      <c r="G992" s="236"/>
      <c r="H992" s="307" t="s">
        <v>1420</v>
      </c>
      <c r="I992" s="237"/>
      <c r="J992" s="237"/>
      <c r="K992" s="310" t="s">
        <v>4283</v>
      </c>
      <c r="L992" s="237"/>
      <c r="M992" s="237"/>
      <c r="N992" s="237"/>
      <c r="O992" s="237"/>
      <c r="P992" s="237"/>
      <c r="Q992" s="237"/>
      <c r="R992" s="237"/>
      <c r="S992" s="237"/>
      <c r="T992" s="237"/>
      <c r="U992" s="237"/>
      <c r="V992" s="237"/>
      <c r="W992" s="237"/>
      <c r="X992" s="237"/>
      <c r="Y992" s="237"/>
      <c r="Z992" s="237"/>
    </row>
    <row r="993">
      <c r="A993" s="305">
        <v>992.0</v>
      </c>
      <c r="B993" s="306" t="s">
        <v>4277</v>
      </c>
      <c r="C993" s="307" t="s">
        <v>1420</v>
      </c>
      <c r="D993" s="308" t="s">
        <v>4279</v>
      </c>
      <c r="E993" s="305" t="s">
        <v>4280</v>
      </c>
      <c r="F993" s="309" t="s">
        <v>4281</v>
      </c>
      <c r="G993" s="236"/>
      <c r="H993" s="307" t="s">
        <v>1420</v>
      </c>
      <c r="I993" s="237"/>
      <c r="J993" s="237"/>
      <c r="K993" s="310" t="s">
        <v>4278</v>
      </c>
      <c r="L993" s="237"/>
      <c r="M993" s="237"/>
      <c r="N993" s="237"/>
      <c r="O993" s="237"/>
      <c r="P993" s="237"/>
      <c r="Q993" s="237"/>
      <c r="R993" s="237"/>
      <c r="S993" s="237"/>
      <c r="T993" s="237"/>
      <c r="U993" s="237"/>
      <c r="V993" s="237"/>
      <c r="W993" s="237"/>
      <c r="X993" s="237"/>
      <c r="Y993" s="237"/>
      <c r="Z993" s="237"/>
    </row>
    <row r="994">
      <c r="A994" s="305">
        <v>993.0</v>
      </c>
      <c r="B994" s="306" t="s">
        <v>4297</v>
      </c>
      <c r="C994" s="307" t="s">
        <v>1420</v>
      </c>
      <c r="D994" s="308" t="s">
        <v>4299</v>
      </c>
      <c r="E994" s="305" t="s">
        <v>4300</v>
      </c>
      <c r="F994" s="309" t="s">
        <v>4301</v>
      </c>
      <c r="G994" s="236"/>
      <c r="H994" s="307" t="s">
        <v>1420</v>
      </c>
      <c r="I994" s="237"/>
      <c r="J994" s="237"/>
      <c r="K994" s="310" t="s">
        <v>4298</v>
      </c>
      <c r="L994" s="237"/>
      <c r="M994" s="237"/>
      <c r="N994" s="237"/>
      <c r="O994" s="237"/>
      <c r="P994" s="237"/>
      <c r="Q994" s="237"/>
      <c r="R994" s="237"/>
      <c r="S994" s="237"/>
      <c r="T994" s="237"/>
      <c r="U994" s="237"/>
      <c r="V994" s="237"/>
      <c r="W994" s="237"/>
      <c r="X994" s="237"/>
      <c r="Y994" s="237"/>
      <c r="Z994" s="237"/>
    </row>
    <row r="995">
      <c r="A995" s="305">
        <v>994.0</v>
      </c>
      <c r="B995" s="306" t="s">
        <v>4272</v>
      </c>
      <c r="C995" s="307" t="s">
        <v>1420</v>
      </c>
      <c r="D995" s="308" t="s">
        <v>4274</v>
      </c>
      <c r="E995" s="305" t="s">
        <v>4275</v>
      </c>
      <c r="F995" s="309" t="s">
        <v>4276</v>
      </c>
      <c r="G995" s="236"/>
      <c r="H995" s="307" t="s">
        <v>1420</v>
      </c>
      <c r="I995" s="237"/>
      <c r="J995" s="237"/>
      <c r="K995" s="310" t="s">
        <v>4273</v>
      </c>
      <c r="L995" s="237"/>
      <c r="M995" s="237"/>
      <c r="N995" s="237"/>
      <c r="O995" s="237"/>
      <c r="P995" s="237"/>
      <c r="Q995" s="237"/>
      <c r="R995" s="237"/>
      <c r="S995" s="237"/>
      <c r="T995" s="237"/>
      <c r="U995" s="237"/>
      <c r="V995" s="237"/>
      <c r="W995" s="237"/>
      <c r="X995" s="237"/>
      <c r="Y995" s="237"/>
      <c r="Z995" s="237"/>
    </row>
    <row r="996">
      <c r="A996" s="305">
        <v>995.0</v>
      </c>
      <c r="B996" s="236"/>
      <c r="C996" s="307" t="s">
        <v>1420</v>
      </c>
      <c r="D996" s="308" t="s">
        <v>12326</v>
      </c>
      <c r="E996" s="305" t="s">
        <v>12327</v>
      </c>
      <c r="F996" s="309" t="s">
        <v>12328</v>
      </c>
      <c r="G996" s="236"/>
      <c r="H996" s="307" t="s">
        <v>1420</v>
      </c>
      <c r="I996" s="237"/>
      <c r="J996" s="237"/>
      <c r="K996" s="310" t="s">
        <v>12324</v>
      </c>
      <c r="L996" s="237"/>
      <c r="M996" s="237"/>
      <c r="N996" s="237"/>
      <c r="O996" s="237"/>
      <c r="P996" s="237"/>
      <c r="Q996" s="237"/>
      <c r="R996" s="237"/>
      <c r="S996" s="237"/>
      <c r="T996" s="237"/>
      <c r="U996" s="237"/>
      <c r="V996" s="237"/>
      <c r="W996" s="237"/>
      <c r="X996" s="237"/>
      <c r="Y996" s="237"/>
      <c r="Z996" s="237"/>
    </row>
    <row r="997">
      <c r="A997" s="305">
        <v>996.0</v>
      </c>
      <c r="B997" s="306">
        <v>15335.0</v>
      </c>
      <c r="C997" s="307" t="s">
        <v>1420</v>
      </c>
      <c r="D997" s="308" t="s">
        <v>3999</v>
      </c>
      <c r="E997" s="305" t="s">
        <v>4000</v>
      </c>
      <c r="F997" s="309" t="s">
        <v>4001</v>
      </c>
      <c r="G997" s="236"/>
      <c r="H997" s="307" t="s">
        <v>1420</v>
      </c>
      <c r="I997" s="237"/>
      <c r="J997" s="237"/>
      <c r="K997" s="310" t="s">
        <v>3998</v>
      </c>
      <c r="L997" s="237"/>
      <c r="M997" s="237"/>
      <c r="N997" s="237"/>
      <c r="O997" s="237"/>
      <c r="P997" s="237"/>
      <c r="Q997" s="237"/>
      <c r="R997" s="237"/>
      <c r="S997" s="237"/>
      <c r="T997" s="237"/>
      <c r="U997" s="237"/>
      <c r="V997" s="237"/>
      <c r="W997" s="237"/>
      <c r="X997" s="237"/>
      <c r="Y997" s="237"/>
      <c r="Z997" s="237"/>
    </row>
    <row r="998">
      <c r="A998" s="305">
        <v>997.0</v>
      </c>
      <c r="B998" s="306" t="s">
        <v>3704</v>
      </c>
      <c r="C998" s="307" t="s">
        <v>1420</v>
      </c>
      <c r="D998" s="308" t="s">
        <v>2350</v>
      </c>
      <c r="E998" s="305" t="s">
        <v>3707</v>
      </c>
      <c r="F998" s="309" t="s">
        <v>4308</v>
      </c>
      <c r="G998" s="236"/>
      <c r="H998" s="307" t="s">
        <v>1420</v>
      </c>
      <c r="I998" s="237"/>
      <c r="J998" s="237"/>
      <c r="K998" s="310" t="s">
        <v>4307</v>
      </c>
      <c r="L998" s="237"/>
      <c r="M998" s="237"/>
      <c r="N998" s="237"/>
      <c r="O998" s="237"/>
      <c r="P998" s="237"/>
      <c r="Q998" s="237"/>
      <c r="R998" s="237"/>
      <c r="S998" s="237"/>
      <c r="T998" s="237"/>
      <c r="U998" s="237"/>
      <c r="V998" s="237"/>
      <c r="W998" s="237"/>
      <c r="X998" s="237"/>
      <c r="Y998" s="237"/>
      <c r="Z998" s="237"/>
    </row>
    <row r="999">
      <c r="A999" s="305">
        <v>998.0</v>
      </c>
      <c r="B999" s="306" t="s">
        <v>3704</v>
      </c>
      <c r="C999" s="307" t="s">
        <v>1420</v>
      </c>
      <c r="D999" s="308" t="s">
        <v>3706</v>
      </c>
      <c r="E999" s="305" t="s">
        <v>5724</v>
      </c>
      <c r="F999" s="309" t="s">
        <v>5725</v>
      </c>
      <c r="G999" s="236"/>
      <c r="H999" s="307" t="s">
        <v>1420</v>
      </c>
      <c r="I999" s="237"/>
      <c r="J999" s="237"/>
      <c r="K999" s="310" t="s">
        <v>5723</v>
      </c>
      <c r="L999" s="237"/>
      <c r="M999" s="237"/>
      <c r="N999" s="237"/>
      <c r="O999" s="237"/>
      <c r="P999" s="237"/>
      <c r="Q999" s="237"/>
      <c r="R999" s="237"/>
      <c r="S999" s="237"/>
      <c r="T999" s="237"/>
      <c r="U999" s="237"/>
      <c r="V999" s="237"/>
      <c r="W999" s="237"/>
      <c r="X999" s="237"/>
      <c r="Y999" s="237"/>
      <c r="Z999" s="237"/>
    </row>
    <row r="1000">
      <c r="A1000" s="305">
        <v>999.0</v>
      </c>
      <c r="B1000" s="306" t="s">
        <v>3743</v>
      </c>
      <c r="C1000" s="307" t="s">
        <v>1420</v>
      </c>
      <c r="D1000" s="308" t="s">
        <v>2351</v>
      </c>
      <c r="E1000" s="305" t="s">
        <v>3745</v>
      </c>
      <c r="F1000" s="309" t="s">
        <v>3746</v>
      </c>
      <c r="G1000" s="236"/>
      <c r="H1000" s="307" t="s">
        <v>1420</v>
      </c>
      <c r="I1000" s="237"/>
      <c r="J1000" s="237"/>
      <c r="K1000" s="310" t="s">
        <v>3744</v>
      </c>
      <c r="L1000" s="237"/>
      <c r="M1000" s="237"/>
      <c r="N1000" s="237"/>
      <c r="O1000" s="237"/>
      <c r="P1000" s="237"/>
      <c r="Q1000" s="237"/>
      <c r="R1000" s="237"/>
      <c r="S1000" s="237"/>
      <c r="T1000" s="237"/>
      <c r="U1000" s="237"/>
      <c r="V1000" s="237"/>
      <c r="W1000" s="237"/>
      <c r="X1000" s="237"/>
      <c r="Y1000" s="237"/>
      <c r="Z1000" s="237"/>
    </row>
    <row r="1001">
      <c r="A1001" s="305">
        <v>1000.0</v>
      </c>
      <c r="B1001" s="306" t="s">
        <v>3733</v>
      </c>
      <c r="C1001" s="307" t="s">
        <v>1420</v>
      </c>
      <c r="D1001" s="308" t="s">
        <v>2352</v>
      </c>
      <c r="E1001" s="305" t="s">
        <v>3735</v>
      </c>
      <c r="F1001" s="309" t="s">
        <v>4378</v>
      </c>
      <c r="G1001" s="236"/>
      <c r="H1001" s="307" t="s">
        <v>1420</v>
      </c>
      <c r="I1001" s="237"/>
      <c r="J1001" s="237"/>
      <c r="K1001" s="310" t="s">
        <v>4377</v>
      </c>
      <c r="L1001" s="237"/>
      <c r="M1001" s="237"/>
      <c r="N1001" s="237"/>
      <c r="O1001" s="237"/>
      <c r="P1001" s="237"/>
      <c r="Q1001" s="237"/>
      <c r="R1001" s="237"/>
      <c r="S1001" s="237"/>
      <c r="T1001" s="237"/>
      <c r="U1001" s="237"/>
      <c r="V1001" s="237"/>
      <c r="W1001" s="237"/>
      <c r="X1001" s="237"/>
      <c r="Y1001" s="237"/>
      <c r="Z1001" s="237"/>
    </row>
    <row r="1002">
      <c r="A1002" s="305">
        <v>1001.0</v>
      </c>
      <c r="B1002" s="306" t="s">
        <v>3648</v>
      </c>
      <c r="C1002" s="307" t="s">
        <v>1420</v>
      </c>
      <c r="D1002" s="308" t="s">
        <v>14248</v>
      </c>
      <c r="E1002" s="305" t="s">
        <v>3651</v>
      </c>
      <c r="F1002" s="309" t="s">
        <v>3652</v>
      </c>
      <c r="G1002" s="236"/>
      <c r="H1002" s="307" t="s">
        <v>1420</v>
      </c>
      <c r="I1002" s="237"/>
      <c r="J1002" s="237"/>
      <c r="K1002" s="310" t="s">
        <v>3649</v>
      </c>
      <c r="L1002" s="237"/>
      <c r="M1002" s="237"/>
      <c r="N1002" s="237"/>
      <c r="O1002" s="237"/>
      <c r="P1002" s="237"/>
      <c r="Q1002" s="237"/>
      <c r="R1002" s="237"/>
      <c r="S1002" s="237"/>
      <c r="T1002" s="237"/>
      <c r="U1002" s="237"/>
      <c r="V1002" s="237"/>
      <c r="W1002" s="237"/>
      <c r="X1002" s="237"/>
      <c r="Y1002" s="237"/>
      <c r="Z1002" s="237"/>
    </row>
    <row r="1003">
      <c r="A1003" s="305">
        <v>1002.0</v>
      </c>
      <c r="B1003" s="306" t="s">
        <v>3713</v>
      </c>
      <c r="C1003" s="307" t="s">
        <v>1420</v>
      </c>
      <c r="D1003" s="308" t="s">
        <v>14248</v>
      </c>
      <c r="E1003" s="305" t="s">
        <v>3716</v>
      </c>
      <c r="F1003" s="309" t="s">
        <v>3717</v>
      </c>
      <c r="G1003" s="236"/>
      <c r="H1003" s="307" t="s">
        <v>1420</v>
      </c>
      <c r="I1003" s="237"/>
      <c r="J1003" s="237"/>
      <c r="K1003" s="310" t="s">
        <v>3714</v>
      </c>
      <c r="L1003" s="237"/>
      <c r="M1003" s="237"/>
      <c r="N1003" s="237"/>
      <c r="O1003" s="237"/>
      <c r="P1003" s="237"/>
      <c r="Q1003" s="237"/>
      <c r="R1003" s="237"/>
      <c r="S1003" s="237"/>
      <c r="T1003" s="237"/>
      <c r="U1003" s="237"/>
      <c r="V1003" s="237"/>
      <c r="W1003" s="237"/>
      <c r="X1003" s="237"/>
      <c r="Y1003" s="237"/>
      <c r="Z1003" s="237"/>
    </row>
    <row r="1004">
      <c r="A1004" s="305">
        <v>1003.0</v>
      </c>
      <c r="B1004" s="306" t="s">
        <v>3736</v>
      </c>
      <c r="C1004" s="307" t="s">
        <v>1420</v>
      </c>
      <c r="D1004" s="308" t="s">
        <v>2354</v>
      </c>
      <c r="E1004" s="305" t="s">
        <v>4375</v>
      </c>
      <c r="F1004" s="309" t="s">
        <v>4376</v>
      </c>
      <c r="G1004" s="236"/>
      <c r="H1004" s="307" t="s">
        <v>1420</v>
      </c>
      <c r="I1004" s="237"/>
      <c r="J1004" s="237"/>
      <c r="K1004" s="310" t="s">
        <v>4374</v>
      </c>
      <c r="L1004" s="237"/>
      <c r="M1004" s="237"/>
      <c r="N1004" s="237"/>
      <c r="O1004" s="237"/>
      <c r="P1004" s="237"/>
      <c r="Q1004" s="237"/>
      <c r="R1004" s="237"/>
      <c r="S1004" s="237"/>
      <c r="T1004" s="237"/>
      <c r="U1004" s="237"/>
      <c r="V1004" s="237"/>
      <c r="W1004" s="237"/>
      <c r="X1004" s="237"/>
      <c r="Y1004" s="237"/>
      <c r="Z1004" s="237"/>
    </row>
    <row r="1005">
      <c r="A1005" s="305">
        <v>1004.0</v>
      </c>
      <c r="B1005" s="306" t="s">
        <v>3739</v>
      </c>
      <c r="C1005" s="307" t="s">
        <v>1420</v>
      </c>
      <c r="D1005" s="308" t="s">
        <v>2355</v>
      </c>
      <c r="E1005" s="305" t="s">
        <v>3741</v>
      </c>
      <c r="F1005" s="309" t="s">
        <v>3742</v>
      </c>
      <c r="G1005" s="236"/>
      <c r="H1005" s="307" t="s">
        <v>1420</v>
      </c>
      <c r="I1005" s="237"/>
      <c r="J1005" s="237"/>
      <c r="K1005" s="310" t="s">
        <v>3740</v>
      </c>
      <c r="L1005" s="237"/>
      <c r="M1005" s="237"/>
      <c r="N1005" s="237"/>
      <c r="O1005" s="237"/>
      <c r="P1005" s="237"/>
      <c r="Q1005" s="237"/>
      <c r="R1005" s="237"/>
      <c r="S1005" s="237"/>
      <c r="T1005" s="237"/>
      <c r="U1005" s="237"/>
      <c r="V1005" s="237"/>
      <c r="W1005" s="237"/>
      <c r="X1005" s="237"/>
      <c r="Y1005" s="237"/>
      <c r="Z1005" s="237"/>
    </row>
    <row r="1006">
      <c r="A1006" s="305">
        <v>1005.0</v>
      </c>
      <c r="B1006" s="306" t="s">
        <v>3739</v>
      </c>
      <c r="C1006" s="307" t="s">
        <v>1420</v>
      </c>
      <c r="D1006" s="308" t="s">
        <v>2355</v>
      </c>
      <c r="E1006" s="305" t="s">
        <v>5729</v>
      </c>
      <c r="F1006" s="309" t="s">
        <v>5730</v>
      </c>
      <c r="G1006" s="236"/>
      <c r="H1006" s="307" t="s">
        <v>1420</v>
      </c>
      <c r="I1006" s="237"/>
      <c r="J1006" s="237"/>
      <c r="K1006" s="310" t="s">
        <v>5728</v>
      </c>
      <c r="L1006" s="237"/>
      <c r="M1006" s="237"/>
      <c r="N1006" s="237"/>
      <c r="O1006" s="237"/>
      <c r="P1006" s="237"/>
      <c r="Q1006" s="237"/>
      <c r="R1006" s="237"/>
      <c r="S1006" s="237"/>
      <c r="T1006" s="237"/>
      <c r="U1006" s="237"/>
      <c r="V1006" s="237"/>
      <c r="W1006" s="237"/>
      <c r="X1006" s="237"/>
      <c r="Y1006" s="237"/>
      <c r="Z1006" s="237"/>
    </row>
    <row r="1007">
      <c r="A1007" s="305">
        <v>1006.0</v>
      </c>
      <c r="B1007" s="236"/>
      <c r="C1007" s="307" t="s">
        <v>1420</v>
      </c>
      <c r="D1007" s="308" t="s">
        <v>2356</v>
      </c>
      <c r="E1007" s="305" t="s">
        <v>3780</v>
      </c>
      <c r="F1007" s="309" t="s">
        <v>3781</v>
      </c>
      <c r="G1007" s="236"/>
      <c r="H1007" s="307" t="s">
        <v>1420</v>
      </c>
      <c r="I1007" s="237"/>
      <c r="J1007" s="237"/>
      <c r="K1007" s="310" t="s">
        <v>3779</v>
      </c>
      <c r="L1007" s="237"/>
      <c r="M1007" s="237"/>
      <c r="N1007" s="237"/>
      <c r="O1007" s="237"/>
      <c r="P1007" s="237"/>
      <c r="Q1007" s="237"/>
      <c r="R1007" s="237"/>
      <c r="S1007" s="237"/>
      <c r="T1007" s="237"/>
      <c r="U1007" s="237"/>
      <c r="V1007" s="237"/>
      <c r="W1007" s="237"/>
      <c r="X1007" s="237"/>
      <c r="Y1007" s="237"/>
      <c r="Z1007" s="237"/>
    </row>
    <row r="1008">
      <c r="A1008" s="305">
        <v>1007.0</v>
      </c>
      <c r="B1008" s="236"/>
      <c r="C1008" s="307" t="s">
        <v>1420</v>
      </c>
      <c r="D1008" s="308" t="s">
        <v>2357</v>
      </c>
      <c r="E1008" s="305" t="s">
        <v>3786</v>
      </c>
      <c r="F1008" s="309" t="s">
        <v>3787</v>
      </c>
      <c r="G1008" s="236"/>
      <c r="H1008" s="307" t="s">
        <v>1420</v>
      </c>
      <c r="I1008" s="237"/>
      <c r="J1008" s="237"/>
      <c r="K1008" s="310" t="s">
        <v>3785</v>
      </c>
      <c r="L1008" s="237"/>
      <c r="M1008" s="237"/>
      <c r="N1008" s="237"/>
      <c r="O1008" s="237"/>
      <c r="P1008" s="237"/>
      <c r="Q1008" s="237"/>
      <c r="R1008" s="237"/>
      <c r="S1008" s="237"/>
      <c r="T1008" s="237"/>
      <c r="U1008" s="237"/>
      <c r="V1008" s="237"/>
      <c r="W1008" s="237"/>
      <c r="X1008" s="237"/>
      <c r="Y1008" s="237"/>
      <c r="Z1008" s="237"/>
    </row>
    <row r="1009">
      <c r="A1009" s="305">
        <v>1008.0</v>
      </c>
      <c r="B1009" s="236"/>
      <c r="C1009" s="307" t="s">
        <v>1420</v>
      </c>
      <c r="D1009" s="308" t="s">
        <v>2358</v>
      </c>
      <c r="E1009" s="305" t="s">
        <v>3789</v>
      </c>
      <c r="F1009" s="309" t="s">
        <v>3790</v>
      </c>
      <c r="G1009" s="236"/>
      <c r="H1009" s="307" t="s">
        <v>1420</v>
      </c>
      <c r="I1009" s="237"/>
      <c r="J1009" s="237"/>
      <c r="K1009" s="310" t="s">
        <v>3788</v>
      </c>
      <c r="L1009" s="237"/>
      <c r="M1009" s="237"/>
      <c r="N1009" s="237"/>
      <c r="O1009" s="237"/>
      <c r="P1009" s="237"/>
      <c r="Q1009" s="237"/>
      <c r="R1009" s="237"/>
      <c r="S1009" s="237"/>
      <c r="T1009" s="237"/>
      <c r="U1009" s="237"/>
      <c r="V1009" s="237"/>
      <c r="W1009" s="237"/>
      <c r="X1009" s="237"/>
      <c r="Y1009" s="237"/>
      <c r="Z1009" s="237"/>
    </row>
    <row r="1010">
      <c r="A1010" s="305">
        <v>1009.0</v>
      </c>
      <c r="B1010" s="306" t="s">
        <v>5709</v>
      </c>
      <c r="C1010" s="307" t="s">
        <v>1420</v>
      </c>
      <c r="D1010" s="308" t="s">
        <v>2359</v>
      </c>
      <c r="E1010" s="305" t="s">
        <v>5711</v>
      </c>
      <c r="F1010" s="309" t="s">
        <v>5712</v>
      </c>
      <c r="G1010" s="236"/>
      <c r="H1010" s="307" t="s">
        <v>1420</v>
      </c>
      <c r="I1010" s="237"/>
      <c r="J1010" s="237"/>
      <c r="K1010" s="310" t="s">
        <v>5710</v>
      </c>
      <c r="L1010" s="237"/>
      <c r="M1010" s="237"/>
      <c r="N1010" s="237"/>
      <c r="O1010" s="237"/>
      <c r="P1010" s="237"/>
      <c r="Q1010" s="237"/>
      <c r="R1010" s="237"/>
      <c r="S1010" s="237"/>
      <c r="T1010" s="237"/>
      <c r="U1010" s="237"/>
      <c r="V1010" s="237"/>
      <c r="W1010" s="237"/>
      <c r="X1010" s="237"/>
      <c r="Y1010" s="237"/>
      <c r="Z1010" s="237"/>
    </row>
    <row r="1011">
      <c r="A1011" s="305">
        <v>1010.0</v>
      </c>
      <c r="B1011" s="306" t="s">
        <v>5713</v>
      </c>
      <c r="C1011" s="307" t="s">
        <v>1420</v>
      </c>
      <c r="D1011" s="308" t="s">
        <v>2360</v>
      </c>
      <c r="E1011" s="305" t="s">
        <v>5715</v>
      </c>
      <c r="F1011" s="309" t="s">
        <v>5716</v>
      </c>
      <c r="G1011" s="236"/>
      <c r="H1011" s="307" t="s">
        <v>1420</v>
      </c>
      <c r="I1011" s="237"/>
      <c r="J1011" s="237"/>
      <c r="K1011" s="310" t="s">
        <v>5714</v>
      </c>
      <c r="L1011" s="237"/>
      <c r="M1011" s="237"/>
      <c r="N1011" s="237"/>
      <c r="O1011" s="237"/>
      <c r="P1011" s="237"/>
      <c r="Q1011" s="237"/>
      <c r="R1011" s="237"/>
      <c r="S1011" s="237"/>
      <c r="T1011" s="237"/>
      <c r="U1011" s="237"/>
      <c r="V1011" s="237"/>
      <c r="W1011" s="237"/>
      <c r="X1011" s="237"/>
      <c r="Y1011" s="237"/>
      <c r="Z1011" s="237"/>
    </row>
    <row r="1012">
      <c r="A1012" s="305">
        <v>1011.0</v>
      </c>
      <c r="B1012" s="306" t="s">
        <v>3633</v>
      </c>
      <c r="C1012" s="307" t="s">
        <v>1420</v>
      </c>
      <c r="D1012" s="308" t="s">
        <v>2361</v>
      </c>
      <c r="E1012" s="305" t="s">
        <v>3635</v>
      </c>
      <c r="F1012" s="309" t="s">
        <v>3636</v>
      </c>
      <c r="G1012" s="236"/>
      <c r="H1012" s="307" t="s">
        <v>1420</v>
      </c>
      <c r="I1012" s="237"/>
      <c r="J1012" s="237"/>
      <c r="K1012" s="310" t="s">
        <v>3634</v>
      </c>
      <c r="L1012" s="237"/>
      <c r="M1012" s="237"/>
      <c r="N1012" s="237"/>
      <c r="O1012" s="237"/>
      <c r="P1012" s="237"/>
      <c r="Q1012" s="237"/>
      <c r="R1012" s="237"/>
      <c r="S1012" s="237"/>
      <c r="T1012" s="237"/>
      <c r="U1012" s="237"/>
      <c r="V1012" s="237"/>
      <c r="W1012" s="237"/>
      <c r="X1012" s="237"/>
      <c r="Y1012" s="237"/>
      <c r="Z1012" s="237"/>
    </row>
    <row r="1013">
      <c r="A1013" s="305">
        <v>1012.0</v>
      </c>
      <c r="B1013" s="306" t="s">
        <v>3633</v>
      </c>
      <c r="C1013" s="307" t="s">
        <v>1420</v>
      </c>
      <c r="D1013" s="308" t="s">
        <v>2361</v>
      </c>
      <c r="E1013" s="305" t="s">
        <v>3635</v>
      </c>
      <c r="F1013" s="309" t="s">
        <v>5718</v>
      </c>
      <c r="G1013" s="236"/>
      <c r="H1013" s="307" t="s">
        <v>1420</v>
      </c>
      <c r="I1013" s="237"/>
      <c r="J1013" s="237"/>
      <c r="K1013" s="310" t="s">
        <v>5717</v>
      </c>
      <c r="L1013" s="237"/>
      <c r="M1013" s="237"/>
      <c r="N1013" s="237"/>
      <c r="O1013" s="237"/>
      <c r="P1013" s="237"/>
      <c r="Q1013" s="237"/>
      <c r="R1013" s="237"/>
      <c r="S1013" s="237"/>
      <c r="T1013" s="237"/>
      <c r="U1013" s="237"/>
      <c r="V1013" s="237"/>
      <c r="W1013" s="237"/>
      <c r="X1013" s="237"/>
      <c r="Y1013" s="237"/>
      <c r="Z1013" s="237"/>
    </row>
    <row r="1014">
      <c r="A1014" s="305">
        <v>1013.0</v>
      </c>
      <c r="B1014" s="306" t="s">
        <v>5719</v>
      </c>
      <c r="C1014" s="307" t="s">
        <v>1420</v>
      </c>
      <c r="D1014" s="308" t="s">
        <v>2362</v>
      </c>
      <c r="E1014" s="305" t="s">
        <v>5721</v>
      </c>
      <c r="F1014" s="309" t="s">
        <v>5722</v>
      </c>
      <c r="G1014" s="236"/>
      <c r="H1014" s="307" t="s">
        <v>1420</v>
      </c>
      <c r="I1014" s="237"/>
      <c r="J1014" s="237"/>
      <c r="K1014" s="310" t="s">
        <v>5720</v>
      </c>
      <c r="L1014" s="237"/>
      <c r="M1014" s="237"/>
      <c r="N1014" s="237"/>
      <c r="O1014" s="237"/>
      <c r="P1014" s="237"/>
      <c r="Q1014" s="237"/>
      <c r="R1014" s="237"/>
      <c r="S1014" s="237"/>
      <c r="T1014" s="237"/>
      <c r="U1014" s="237"/>
      <c r="V1014" s="237"/>
      <c r="W1014" s="237"/>
      <c r="X1014" s="237"/>
      <c r="Y1014" s="237"/>
      <c r="Z1014" s="237"/>
    </row>
    <row r="1015">
      <c r="A1015" s="305">
        <v>1014.0</v>
      </c>
      <c r="B1015" s="236"/>
      <c r="C1015" s="307" t="s">
        <v>1427</v>
      </c>
      <c r="D1015" s="308" t="s">
        <v>1951</v>
      </c>
      <c r="E1015" s="236"/>
      <c r="F1015" s="236"/>
      <c r="G1015" s="307" t="s">
        <v>13988</v>
      </c>
      <c r="H1015" s="307" t="s">
        <v>1427</v>
      </c>
      <c r="I1015" s="237"/>
      <c r="J1015" s="237"/>
      <c r="K1015" s="310" t="s">
        <v>13877</v>
      </c>
      <c r="L1015" s="237"/>
      <c r="M1015" s="237"/>
      <c r="N1015" s="237"/>
      <c r="O1015" s="237"/>
      <c r="P1015" s="237"/>
      <c r="Q1015" s="237"/>
      <c r="R1015" s="237"/>
      <c r="S1015" s="237"/>
      <c r="T1015" s="237"/>
      <c r="U1015" s="237"/>
      <c r="V1015" s="237"/>
      <c r="W1015" s="237"/>
      <c r="X1015" s="237"/>
      <c r="Y1015" s="237"/>
      <c r="Z1015" s="237"/>
    </row>
    <row r="1016">
      <c r="A1016" s="305">
        <v>1015.0</v>
      </c>
      <c r="B1016" s="306">
        <v>5.0010861E7</v>
      </c>
      <c r="C1016" s="307" t="s">
        <v>1420</v>
      </c>
      <c r="D1016" s="308" t="s">
        <v>6070</v>
      </c>
      <c r="E1016" s="305" t="s">
        <v>6071</v>
      </c>
      <c r="F1016" s="309" t="s">
        <v>6072</v>
      </c>
      <c r="G1016" s="236"/>
      <c r="H1016" s="307" t="s">
        <v>1420</v>
      </c>
      <c r="I1016" s="237"/>
      <c r="J1016" s="237"/>
      <c r="K1016" s="310" t="s">
        <v>6069</v>
      </c>
      <c r="L1016" s="237"/>
      <c r="M1016" s="237"/>
      <c r="N1016" s="237"/>
      <c r="O1016" s="237"/>
      <c r="P1016" s="237"/>
      <c r="Q1016" s="237"/>
      <c r="R1016" s="237"/>
      <c r="S1016" s="237"/>
      <c r="T1016" s="237"/>
      <c r="U1016" s="237"/>
      <c r="V1016" s="237"/>
      <c r="W1016" s="237"/>
      <c r="X1016" s="237"/>
      <c r="Y1016" s="237"/>
      <c r="Z1016" s="237"/>
    </row>
    <row r="1017">
      <c r="A1017" s="305">
        <v>1016.0</v>
      </c>
      <c r="B1017" s="306">
        <v>5.0010862E7</v>
      </c>
      <c r="C1017" s="307" t="s">
        <v>1420</v>
      </c>
      <c r="D1017" s="308" t="s">
        <v>6134</v>
      </c>
      <c r="E1017" s="305" t="s">
        <v>6135</v>
      </c>
      <c r="F1017" s="309" t="s">
        <v>6136</v>
      </c>
      <c r="G1017" s="236"/>
      <c r="H1017" s="307" t="s">
        <v>1420</v>
      </c>
      <c r="I1017" s="237"/>
      <c r="J1017" s="237"/>
      <c r="K1017" s="310" t="s">
        <v>6133</v>
      </c>
      <c r="L1017" s="237"/>
      <c r="M1017" s="237"/>
      <c r="N1017" s="237"/>
      <c r="O1017" s="237"/>
      <c r="P1017" s="237"/>
      <c r="Q1017" s="237"/>
      <c r="R1017" s="237"/>
      <c r="S1017" s="237"/>
      <c r="T1017" s="237"/>
      <c r="U1017" s="237"/>
      <c r="V1017" s="237"/>
      <c r="W1017" s="237"/>
      <c r="X1017" s="237"/>
      <c r="Y1017" s="237"/>
      <c r="Z1017" s="237"/>
    </row>
    <row r="1018">
      <c r="A1018" s="305">
        <v>1017.0</v>
      </c>
      <c r="B1018" s="306">
        <v>5.0012126E7</v>
      </c>
      <c r="C1018" s="307" t="s">
        <v>1420</v>
      </c>
      <c r="D1018" s="308" t="s">
        <v>7998</v>
      </c>
      <c r="E1018" s="305" t="s">
        <v>7999</v>
      </c>
      <c r="F1018" s="309" t="s">
        <v>8000</v>
      </c>
      <c r="G1018" s="236"/>
      <c r="H1018" s="307" t="s">
        <v>1420</v>
      </c>
      <c r="I1018" s="237"/>
      <c r="J1018" s="237"/>
      <c r="K1018" s="310" t="s">
        <v>7997</v>
      </c>
      <c r="L1018" s="237"/>
      <c r="M1018" s="237"/>
      <c r="N1018" s="237"/>
      <c r="O1018" s="237"/>
      <c r="P1018" s="237"/>
      <c r="Q1018" s="237"/>
      <c r="R1018" s="237"/>
      <c r="S1018" s="237"/>
      <c r="T1018" s="237"/>
      <c r="U1018" s="237"/>
      <c r="V1018" s="237"/>
      <c r="W1018" s="237"/>
      <c r="X1018" s="237"/>
      <c r="Y1018" s="237"/>
      <c r="Z1018" s="237"/>
    </row>
    <row r="1019">
      <c r="A1019" s="305">
        <v>1018.0</v>
      </c>
      <c r="B1019" s="236"/>
      <c r="C1019" s="307" t="s">
        <v>1427</v>
      </c>
      <c r="D1019" s="308" t="s">
        <v>12175</v>
      </c>
      <c r="E1019" s="305" t="s">
        <v>12176</v>
      </c>
      <c r="F1019" s="236"/>
      <c r="G1019" s="236"/>
      <c r="H1019" s="307" t="s">
        <v>1427</v>
      </c>
      <c r="I1019" s="237"/>
      <c r="J1019" s="237"/>
      <c r="K1019" s="310" t="s">
        <v>12174</v>
      </c>
      <c r="L1019" s="237"/>
      <c r="M1019" s="237"/>
      <c r="N1019" s="237"/>
      <c r="O1019" s="237"/>
      <c r="P1019" s="237"/>
      <c r="Q1019" s="237"/>
      <c r="R1019" s="237"/>
      <c r="S1019" s="237"/>
      <c r="T1019" s="237"/>
      <c r="U1019" s="237"/>
      <c r="V1019" s="237"/>
      <c r="W1019" s="237"/>
      <c r="X1019" s="237"/>
      <c r="Y1019" s="237"/>
      <c r="Z1019" s="237"/>
    </row>
    <row r="1020">
      <c r="A1020" s="305">
        <v>1019.0</v>
      </c>
      <c r="B1020" s="236"/>
      <c r="C1020" s="307" t="s">
        <v>1420</v>
      </c>
      <c r="D1020" s="308" t="s">
        <v>14249</v>
      </c>
      <c r="E1020" s="305" t="s">
        <v>12176</v>
      </c>
      <c r="F1020" s="309" t="s">
        <v>12332</v>
      </c>
      <c r="G1020" s="236"/>
      <c r="H1020" s="307" t="s">
        <v>1420</v>
      </c>
      <c r="I1020" s="237"/>
      <c r="J1020" s="237"/>
      <c r="K1020" s="310" t="s">
        <v>12329</v>
      </c>
      <c r="L1020" s="237"/>
      <c r="M1020" s="237"/>
      <c r="N1020" s="237"/>
      <c r="O1020" s="237"/>
      <c r="P1020" s="237"/>
      <c r="Q1020" s="237"/>
      <c r="R1020" s="237"/>
      <c r="S1020" s="237"/>
      <c r="T1020" s="237"/>
      <c r="U1020" s="237"/>
      <c r="V1020" s="237"/>
      <c r="W1020" s="237"/>
      <c r="X1020" s="237"/>
      <c r="Y1020" s="237"/>
      <c r="Z1020" s="237"/>
    </row>
    <row r="1021">
      <c r="A1021" s="305">
        <v>1020.0</v>
      </c>
      <c r="B1021" s="236"/>
      <c r="C1021" s="307" t="s">
        <v>1420</v>
      </c>
      <c r="D1021" s="308" t="s">
        <v>1303</v>
      </c>
      <c r="E1021" s="305" t="s">
        <v>12638</v>
      </c>
      <c r="F1021" s="309" t="s">
        <v>12639</v>
      </c>
      <c r="G1021" s="236"/>
      <c r="H1021" s="307" t="s">
        <v>1420</v>
      </c>
      <c r="I1021" s="237"/>
      <c r="J1021" s="237"/>
      <c r="K1021" s="310" t="s">
        <v>12637</v>
      </c>
      <c r="L1021" s="237"/>
      <c r="M1021" s="237"/>
      <c r="N1021" s="237"/>
      <c r="O1021" s="237"/>
      <c r="P1021" s="237"/>
      <c r="Q1021" s="237"/>
      <c r="R1021" s="237"/>
      <c r="S1021" s="237"/>
      <c r="T1021" s="237"/>
      <c r="U1021" s="237"/>
      <c r="V1021" s="237"/>
      <c r="W1021" s="237"/>
      <c r="X1021" s="237"/>
      <c r="Y1021" s="237"/>
      <c r="Z1021" s="237"/>
    </row>
    <row r="1022">
      <c r="A1022" s="305">
        <v>1021.0</v>
      </c>
      <c r="B1022" s="236"/>
      <c r="C1022" s="307" t="s">
        <v>1420</v>
      </c>
      <c r="D1022" s="308" t="s">
        <v>1313</v>
      </c>
      <c r="E1022" s="305" t="s">
        <v>12629</v>
      </c>
      <c r="F1022" s="309" t="s">
        <v>12630</v>
      </c>
      <c r="G1022" s="236"/>
      <c r="H1022" s="307" t="s">
        <v>1420</v>
      </c>
      <c r="I1022" s="237"/>
      <c r="J1022" s="237"/>
      <c r="K1022" s="310" t="s">
        <v>12628</v>
      </c>
      <c r="L1022" s="237"/>
      <c r="M1022" s="237"/>
      <c r="N1022" s="237"/>
      <c r="O1022" s="237"/>
      <c r="P1022" s="237"/>
      <c r="Q1022" s="237"/>
      <c r="R1022" s="237"/>
      <c r="S1022" s="237"/>
      <c r="T1022" s="237"/>
      <c r="U1022" s="237"/>
      <c r="V1022" s="237"/>
      <c r="W1022" s="237"/>
      <c r="X1022" s="237"/>
      <c r="Y1022" s="237"/>
      <c r="Z1022" s="237"/>
    </row>
    <row r="1023">
      <c r="A1023" s="305">
        <v>1022.0</v>
      </c>
      <c r="B1023" s="236"/>
      <c r="C1023" s="307" t="s">
        <v>1420</v>
      </c>
      <c r="D1023" s="308" t="s">
        <v>1309</v>
      </c>
      <c r="E1023" s="305" t="s">
        <v>12635</v>
      </c>
      <c r="F1023" s="309" t="s">
        <v>12636</v>
      </c>
      <c r="G1023" s="236"/>
      <c r="H1023" s="307" t="s">
        <v>1420</v>
      </c>
      <c r="I1023" s="237"/>
      <c r="J1023" s="237"/>
      <c r="K1023" s="310" t="s">
        <v>12634</v>
      </c>
      <c r="L1023" s="237"/>
      <c r="M1023" s="237"/>
      <c r="N1023" s="237"/>
      <c r="O1023" s="237"/>
      <c r="P1023" s="237"/>
      <c r="Q1023" s="237"/>
      <c r="R1023" s="237"/>
      <c r="S1023" s="237"/>
      <c r="T1023" s="237"/>
      <c r="U1023" s="237"/>
      <c r="V1023" s="237"/>
      <c r="W1023" s="237"/>
      <c r="X1023" s="237"/>
      <c r="Y1023" s="237"/>
      <c r="Z1023" s="237"/>
    </row>
    <row r="1024">
      <c r="A1024" s="305">
        <v>1023.0</v>
      </c>
      <c r="B1024" s="236"/>
      <c r="C1024" s="307" t="s">
        <v>1420</v>
      </c>
      <c r="D1024" s="308" t="s">
        <v>1301</v>
      </c>
      <c r="E1024" s="305" t="s">
        <v>12641</v>
      </c>
      <c r="F1024" s="309" t="s">
        <v>12642</v>
      </c>
      <c r="G1024" s="236"/>
      <c r="H1024" s="307" t="s">
        <v>1420</v>
      </c>
      <c r="I1024" s="237"/>
      <c r="J1024" s="237"/>
      <c r="K1024" s="310" t="s">
        <v>12640</v>
      </c>
      <c r="L1024" s="237"/>
      <c r="M1024" s="237"/>
      <c r="N1024" s="237"/>
      <c r="O1024" s="237"/>
      <c r="P1024" s="237"/>
      <c r="Q1024" s="237"/>
      <c r="R1024" s="237"/>
      <c r="S1024" s="237"/>
      <c r="T1024" s="237"/>
      <c r="U1024" s="237"/>
      <c r="V1024" s="237"/>
      <c r="W1024" s="237"/>
      <c r="X1024" s="237"/>
      <c r="Y1024" s="237"/>
      <c r="Z1024" s="237"/>
    </row>
    <row r="1025">
      <c r="A1025" s="305">
        <v>1024.0</v>
      </c>
      <c r="B1025" s="236"/>
      <c r="C1025" s="307" t="s">
        <v>1420</v>
      </c>
      <c r="D1025" s="308" t="s">
        <v>1311</v>
      </c>
      <c r="E1025" s="305" t="s">
        <v>12632</v>
      </c>
      <c r="F1025" s="309" t="s">
        <v>12633</v>
      </c>
      <c r="G1025" s="236"/>
      <c r="H1025" s="307" t="s">
        <v>1420</v>
      </c>
      <c r="I1025" s="237"/>
      <c r="J1025" s="237"/>
      <c r="K1025" s="310" t="s">
        <v>12631</v>
      </c>
      <c r="L1025" s="237"/>
      <c r="M1025" s="237"/>
      <c r="N1025" s="237"/>
      <c r="O1025" s="237"/>
      <c r="P1025" s="237"/>
      <c r="Q1025" s="237"/>
      <c r="R1025" s="237"/>
      <c r="S1025" s="237"/>
      <c r="T1025" s="237"/>
      <c r="U1025" s="237"/>
      <c r="V1025" s="237"/>
      <c r="W1025" s="237"/>
      <c r="X1025" s="237"/>
      <c r="Y1025" s="237"/>
      <c r="Z1025" s="237"/>
    </row>
    <row r="1026">
      <c r="A1026" s="305">
        <v>1025.0</v>
      </c>
      <c r="B1026" s="236"/>
      <c r="C1026" s="307" t="s">
        <v>1420</v>
      </c>
      <c r="D1026" s="308" t="s">
        <v>1315</v>
      </c>
      <c r="E1026" s="305" t="s">
        <v>12626</v>
      </c>
      <c r="F1026" s="309" t="s">
        <v>12627</v>
      </c>
      <c r="G1026" s="236"/>
      <c r="H1026" s="307" t="s">
        <v>1420</v>
      </c>
      <c r="I1026" s="237"/>
      <c r="J1026" s="237"/>
      <c r="K1026" s="310" t="s">
        <v>12625</v>
      </c>
      <c r="L1026" s="237"/>
      <c r="M1026" s="237"/>
      <c r="N1026" s="237"/>
      <c r="O1026" s="237"/>
      <c r="P1026" s="237"/>
      <c r="Q1026" s="237"/>
      <c r="R1026" s="237"/>
      <c r="S1026" s="237"/>
      <c r="T1026" s="237"/>
      <c r="U1026" s="237"/>
      <c r="V1026" s="237"/>
      <c r="W1026" s="237"/>
      <c r="X1026" s="237"/>
      <c r="Y1026" s="237"/>
      <c r="Z1026" s="237"/>
    </row>
    <row r="1027">
      <c r="A1027" s="305">
        <v>1026.0</v>
      </c>
      <c r="B1027" s="236"/>
      <c r="C1027" s="307" t="s">
        <v>1420</v>
      </c>
      <c r="D1027" s="308" t="s">
        <v>1307</v>
      </c>
      <c r="E1027" s="305" t="s">
        <v>12618</v>
      </c>
      <c r="F1027" s="309" t="s">
        <v>12619</v>
      </c>
      <c r="G1027" s="236"/>
      <c r="H1027" s="307" t="s">
        <v>1420</v>
      </c>
      <c r="I1027" s="237"/>
      <c r="J1027" s="237"/>
      <c r="K1027" s="310" t="s">
        <v>12617</v>
      </c>
      <c r="L1027" s="237"/>
      <c r="M1027" s="237"/>
      <c r="N1027" s="237"/>
      <c r="O1027" s="237"/>
      <c r="P1027" s="237"/>
      <c r="Q1027" s="237"/>
      <c r="R1027" s="237"/>
      <c r="S1027" s="237"/>
      <c r="T1027" s="237"/>
      <c r="U1027" s="237"/>
      <c r="V1027" s="237"/>
      <c r="W1027" s="237"/>
      <c r="X1027" s="237"/>
      <c r="Y1027" s="237"/>
      <c r="Z1027" s="237"/>
    </row>
    <row r="1028">
      <c r="A1028" s="305">
        <v>1027.0</v>
      </c>
      <c r="B1028" s="236"/>
      <c r="C1028" s="307" t="s">
        <v>1420</v>
      </c>
      <c r="D1028" s="308" t="s">
        <v>1305</v>
      </c>
      <c r="E1028" s="305" t="s">
        <v>12623</v>
      </c>
      <c r="F1028" s="309" t="s">
        <v>12624</v>
      </c>
      <c r="G1028" s="236"/>
      <c r="H1028" s="307" t="s">
        <v>1420</v>
      </c>
      <c r="I1028" s="237"/>
      <c r="J1028" s="237"/>
      <c r="K1028" s="310" t="s">
        <v>12622</v>
      </c>
      <c r="L1028" s="237"/>
      <c r="M1028" s="237"/>
      <c r="N1028" s="237"/>
      <c r="O1028" s="237"/>
      <c r="P1028" s="237"/>
      <c r="Q1028" s="237"/>
      <c r="R1028" s="237"/>
      <c r="S1028" s="237"/>
      <c r="T1028" s="237"/>
      <c r="U1028" s="237"/>
      <c r="V1028" s="237"/>
      <c r="W1028" s="237"/>
      <c r="X1028" s="237"/>
      <c r="Y1028" s="237"/>
      <c r="Z1028" s="237"/>
    </row>
    <row r="1029">
      <c r="A1029" s="305">
        <v>1028.0</v>
      </c>
      <c r="B1029" s="236"/>
      <c r="C1029" s="307" t="s">
        <v>1420</v>
      </c>
      <c r="D1029" s="308" t="s">
        <v>11748</v>
      </c>
      <c r="E1029" s="305" t="s">
        <v>11749</v>
      </c>
      <c r="F1029" s="309" t="s">
        <v>11750</v>
      </c>
      <c r="G1029" s="236"/>
      <c r="H1029" s="307" t="s">
        <v>1420</v>
      </c>
      <c r="I1029" s="237"/>
      <c r="J1029" s="237"/>
      <c r="K1029" s="310" t="s">
        <v>11747</v>
      </c>
      <c r="L1029" s="237"/>
      <c r="M1029" s="237"/>
      <c r="N1029" s="237"/>
      <c r="O1029" s="237"/>
      <c r="P1029" s="237"/>
      <c r="Q1029" s="237"/>
      <c r="R1029" s="237"/>
      <c r="S1029" s="237"/>
      <c r="T1029" s="237"/>
      <c r="U1029" s="237"/>
      <c r="V1029" s="237"/>
      <c r="W1029" s="237"/>
      <c r="X1029" s="237"/>
      <c r="Y1029" s="237"/>
      <c r="Z1029" s="237"/>
    </row>
    <row r="1030">
      <c r="A1030" s="305">
        <v>1029.0</v>
      </c>
      <c r="B1030" s="236"/>
      <c r="C1030" s="307" t="s">
        <v>1420</v>
      </c>
      <c r="D1030" s="308" t="s">
        <v>11748</v>
      </c>
      <c r="E1030" s="305" t="s">
        <v>11749</v>
      </c>
      <c r="F1030" s="309" t="s">
        <v>14250</v>
      </c>
      <c r="G1030" s="236"/>
      <c r="H1030" s="307" t="s">
        <v>1420</v>
      </c>
      <c r="I1030" s="237"/>
      <c r="J1030" s="237"/>
      <c r="K1030" s="310" t="s">
        <v>14251</v>
      </c>
      <c r="L1030" s="237"/>
      <c r="M1030" s="237"/>
      <c r="N1030" s="237"/>
      <c r="O1030" s="237"/>
      <c r="P1030" s="237"/>
      <c r="Q1030" s="237"/>
      <c r="R1030" s="237"/>
      <c r="S1030" s="237"/>
      <c r="T1030" s="237"/>
      <c r="U1030" s="237"/>
      <c r="V1030" s="237"/>
      <c r="W1030" s="237"/>
      <c r="X1030" s="237"/>
      <c r="Y1030" s="237"/>
      <c r="Z1030" s="237"/>
    </row>
    <row r="1031">
      <c r="A1031" s="305">
        <v>1030.0</v>
      </c>
      <c r="B1031" s="236"/>
      <c r="C1031" s="307" t="s">
        <v>1420</v>
      </c>
      <c r="D1031" s="308" t="s">
        <v>14252</v>
      </c>
      <c r="E1031" s="305" t="s">
        <v>11755</v>
      </c>
      <c r="F1031" s="309" t="s">
        <v>14253</v>
      </c>
      <c r="G1031" s="236"/>
      <c r="H1031" s="307" t="s">
        <v>1420</v>
      </c>
      <c r="I1031" s="237"/>
      <c r="J1031" s="237"/>
      <c r="K1031" s="310" t="s">
        <v>14254</v>
      </c>
      <c r="L1031" s="237"/>
      <c r="M1031" s="237"/>
      <c r="N1031" s="237"/>
      <c r="O1031" s="237"/>
      <c r="P1031" s="237"/>
      <c r="Q1031" s="237"/>
      <c r="R1031" s="237"/>
      <c r="S1031" s="237"/>
      <c r="T1031" s="237"/>
      <c r="U1031" s="237"/>
      <c r="V1031" s="237"/>
      <c r="W1031" s="237"/>
      <c r="X1031" s="237"/>
      <c r="Y1031" s="237"/>
      <c r="Z1031" s="237"/>
    </row>
    <row r="1032">
      <c r="A1032" s="305">
        <v>1031.0</v>
      </c>
      <c r="B1032" s="236"/>
      <c r="C1032" s="307" t="s">
        <v>1420</v>
      </c>
      <c r="D1032" s="308" t="s">
        <v>11758</v>
      </c>
      <c r="E1032" s="305" t="s">
        <v>14255</v>
      </c>
      <c r="F1032" s="309" t="s">
        <v>14256</v>
      </c>
      <c r="G1032" s="236"/>
      <c r="H1032" s="307" t="s">
        <v>1420</v>
      </c>
      <c r="I1032" s="237"/>
      <c r="J1032" s="237"/>
      <c r="K1032" s="310" t="s">
        <v>11757</v>
      </c>
      <c r="L1032" s="237"/>
      <c r="M1032" s="237"/>
      <c r="N1032" s="237"/>
      <c r="O1032" s="237"/>
      <c r="P1032" s="237"/>
      <c r="Q1032" s="237"/>
      <c r="R1032" s="237"/>
      <c r="S1032" s="237"/>
      <c r="T1032" s="237"/>
      <c r="U1032" s="237"/>
      <c r="V1032" s="237"/>
      <c r="W1032" s="237"/>
      <c r="X1032" s="237"/>
      <c r="Y1032" s="237"/>
      <c r="Z1032" s="237"/>
    </row>
    <row r="1033">
      <c r="A1033" s="305">
        <v>1032.0</v>
      </c>
      <c r="B1033" s="236"/>
      <c r="C1033" s="307" t="s">
        <v>1420</v>
      </c>
      <c r="D1033" s="308" t="s">
        <v>11762</v>
      </c>
      <c r="E1033" s="305" t="s">
        <v>11763</v>
      </c>
      <c r="F1033" s="309" t="s">
        <v>14257</v>
      </c>
      <c r="G1033" s="236"/>
      <c r="H1033" s="307" t="s">
        <v>1420</v>
      </c>
      <c r="I1033" s="237"/>
      <c r="J1033" s="237"/>
      <c r="K1033" s="310" t="s">
        <v>11761</v>
      </c>
      <c r="L1033" s="237"/>
      <c r="M1033" s="237"/>
      <c r="N1033" s="237"/>
      <c r="O1033" s="237"/>
      <c r="P1033" s="237"/>
      <c r="Q1033" s="237"/>
      <c r="R1033" s="237"/>
      <c r="S1033" s="237"/>
      <c r="T1033" s="237"/>
      <c r="U1033" s="237"/>
      <c r="V1033" s="237"/>
      <c r="W1033" s="237"/>
      <c r="X1033" s="237"/>
      <c r="Y1033" s="237"/>
      <c r="Z1033" s="237"/>
    </row>
    <row r="1034">
      <c r="A1034" s="305">
        <v>1033.0</v>
      </c>
      <c r="B1034" s="236"/>
      <c r="C1034" s="307" t="s">
        <v>1420</v>
      </c>
      <c r="D1034" s="308" t="s">
        <v>11766</v>
      </c>
      <c r="E1034" s="305" t="s">
        <v>11767</v>
      </c>
      <c r="F1034" s="309" t="s">
        <v>14165</v>
      </c>
      <c r="G1034" s="236"/>
      <c r="H1034" s="307" t="s">
        <v>1420</v>
      </c>
      <c r="I1034" s="237"/>
      <c r="J1034" s="237"/>
      <c r="K1034" s="310" t="s">
        <v>11765</v>
      </c>
      <c r="L1034" s="237"/>
      <c r="M1034" s="237"/>
      <c r="N1034" s="237"/>
      <c r="O1034" s="237"/>
      <c r="P1034" s="237"/>
      <c r="Q1034" s="237"/>
      <c r="R1034" s="237"/>
      <c r="S1034" s="237"/>
      <c r="T1034" s="237"/>
      <c r="U1034" s="237"/>
      <c r="V1034" s="237"/>
      <c r="W1034" s="237"/>
      <c r="X1034" s="237"/>
      <c r="Y1034" s="237"/>
      <c r="Z1034" s="237"/>
    </row>
    <row r="1035">
      <c r="A1035" s="305">
        <v>1034.0</v>
      </c>
      <c r="B1035" s="236"/>
      <c r="C1035" s="307" t="s">
        <v>1420</v>
      </c>
      <c r="D1035" s="308" t="s">
        <v>11770</v>
      </c>
      <c r="E1035" s="305" t="s">
        <v>11771</v>
      </c>
      <c r="F1035" s="309" t="s">
        <v>14258</v>
      </c>
      <c r="G1035" s="236"/>
      <c r="H1035" s="307" t="s">
        <v>1420</v>
      </c>
      <c r="I1035" s="237"/>
      <c r="J1035" s="237"/>
      <c r="K1035" s="310" t="s">
        <v>11769</v>
      </c>
      <c r="L1035" s="237"/>
      <c r="M1035" s="237"/>
      <c r="N1035" s="237"/>
      <c r="O1035" s="237"/>
      <c r="P1035" s="237"/>
      <c r="Q1035" s="237"/>
      <c r="R1035" s="237"/>
      <c r="S1035" s="237"/>
      <c r="T1035" s="237"/>
      <c r="U1035" s="237"/>
      <c r="V1035" s="237"/>
      <c r="W1035" s="237"/>
      <c r="X1035" s="237"/>
      <c r="Y1035" s="237"/>
      <c r="Z1035" s="237"/>
    </row>
    <row r="1036">
      <c r="A1036" s="305">
        <v>1035.0</v>
      </c>
      <c r="B1036" s="236"/>
      <c r="C1036" s="307" t="s">
        <v>1420</v>
      </c>
      <c r="D1036" s="308" t="s">
        <v>11770</v>
      </c>
      <c r="E1036" s="305" t="s">
        <v>11771</v>
      </c>
      <c r="F1036" s="309" t="s">
        <v>14259</v>
      </c>
      <c r="G1036" s="236"/>
      <c r="H1036" s="307" t="s">
        <v>1420</v>
      </c>
      <c r="I1036" s="237"/>
      <c r="J1036" s="237"/>
      <c r="K1036" s="310" t="s">
        <v>14260</v>
      </c>
      <c r="L1036" s="237"/>
      <c r="M1036" s="237"/>
      <c r="N1036" s="237"/>
      <c r="O1036" s="237"/>
      <c r="P1036" s="237"/>
      <c r="Q1036" s="237"/>
      <c r="R1036" s="237"/>
      <c r="S1036" s="237"/>
      <c r="T1036" s="237"/>
      <c r="U1036" s="237"/>
      <c r="V1036" s="237"/>
      <c r="W1036" s="237"/>
      <c r="X1036" s="237"/>
      <c r="Y1036" s="237"/>
      <c r="Z1036" s="237"/>
    </row>
    <row r="1037">
      <c r="A1037" s="305">
        <v>1036.0</v>
      </c>
      <c r="B1037" s="236"/>
      <c r="C1037" s="307" t="s">
        <v>1420</v>
      </c>
      <c r="D1037" s="308" t="s">
        <v>11774</v>
      </c>
      <c r="E1037" s="305" t="s">
        <v>11775</v>
      </c>
      <c r="F1037" s="309" t="s">
        <v>14261</v>
      </c>
      <c r="G1037" s="236"/>
      <c r="H1037" s="307" t="s">
        <v>1420</v>
      </c>
      <c r="I1037" s="237"/>
      <c r="J1037" s="237"/>
      <c r="K1037" s="310" t="s">
        <v>11773</v>
      </c>
      <c r="L1037" s="237"/>
      <c r="M1037" s="237"/>
      <c r="N1037" s="237"/>
      <c r="O1037" s="237"/>
      <c r="P1037" s="237"/>
      <c r="Q1037" s="237"/>
      <c r="R1037" s="237"/>
      <c r="S1037" s="237"/>
      <c r="T1037" s="237"/>
      <c r="U1037" s="237"/>
      <c r="V1037" s="237"/>
      <c r="W1037" s="237"/>
      <c r="X1037" s="237"/>
      <c r="Y1037" s="237"/>
      <c r="Z1037" s="237"/>
    </row>
    <row r="1038">
      <c r="A1038" s="305">
        <v>1037.0</v>
      </c>
      <c r="B1038" s="236"/>
      <c r="C1038" s="307" t="s">
        <v>1420</v>
      </c>
      <c r="D1038" s="308" t="s">
        <v>11774</v>
      </c>
      <c r="E1038" s="305" t="s">
        <v>11775</v>
      </c>
      <c r="F1038" s="309" t="s">
        <v>14262</v>
      </c>
      <c r="G1038" s="236"/>
      <c r="H1038" s="307" t="s">
        <v>1420</v>
      </c>
      <c r="I1038" s="237"/>
      <c r="J1038" s="237"/>
      <c r="K1038" s="310" t="s">
        <v>14263</v>
      </c>
      <c r="L1038" s="237"/>
      <c r="M1038" s="237"/>
      <c r="N1038" s="237"/>
      <c r="O1038" s="237"/>
      <c r="P1038" s="237"/>
      <c r="Q1038" s="237"/>
      <c r="R1038" s="237"/>
      <c r="S1038" s="237"/>
      <c r="T1038" s="237"/>
      <c r="U1038" s="237"/>
      <c r="V1038" s="237"/>
      <c r="W1038" s="237"/>
      <c r="X1038" s="237"/>
      <c r="Y1038" s="237"/>
      <c r="Z1038" s="237"/>
    </row>
    <row r="1039">
      <c r="A1039" s="305">
        <v>1038.0</v>
      </c>
      <c r="B1039" s="236"/>
      <c r="C1039" s="307" t="s">
        <v>1420</v>
      </c>
      <c r="D1039" s="308" t="s">
        <v>1904</v>
      </c>
      <c r="E1039" s="236"/>
      <c r="F1039" s="309" t="s">
        <v>14264</v>
      </c>
      <c r="G1039" s="236"/>
      <c r="H1039" s="307" t="s">
        <v>1420</v>
      </c>
      <c r="I1039" s="237"/>
      <c r="J1039" s="237"/>
      <c r="K1039" s="310" t="s">
        <v>13819</v>
      </c>
      <c r="L1039" s="237"/>
      <c r="M1039" s="237"/>
      <c r="N1039" s="237"/>
      <c r="O1039" s="237"/>
      <c r="P1039" s="237"/>
      <c r="Q1039" s="237"/>
      <c r="R1039" s="237"/>
      <c r="S1039" s="237"/>
      <c r="T1039" s="237"/>
      <c r="U1039" s="237"/>
      <c r="V1039" s="237"/>
      <c r="W1039" s="237"/>
      <c r="X1039" s="237"/>
      <c r="Y1039" s="237"/>
      <c r="Z1039" s="237"/>
    </row>
    <row r="1040">
      <c r="A1040" s="305">
        <v>1039.0</v>
      </c>
      <c r="B1040" s="236"/>
      <c r="C1040" s="307" t="s">
        <v>1420</v>
      </c>
      <c r="D1040" s="308" t="s">
        <v>1905</v>
      </c>
      <c r="E1040" s="236"/>
      <c r="F1040" s="309" t="s">
        <v>14264</v>
      </c>
      <c r="G1040" s="236"/>
      <c r="H1040" s="307" t="s">
        <v>1420</v>
      </c>
      <c r="I1040" s="237"/>
      <c r="J1040" s="237"/>
      <c r="K1040" s="310" t="s">
        <v>13819</v>
      </c>
      <c r="L1040" s="237"/>
      <c r="M1040" s="237"/>
      <c r="N1040" s="237"/>
      <c r="O1040" s="237"/>
      <c r="P1040" s="237"/>
      <c r="Q1040" s="237"/>
      <c r="R1040" s="237"/>
      <c r="S1040" s="237"/>
      <c r="T1040" s="237"/>
      <c r="U1040" s="237"/>
      <c r="V1040" s="237"/>
      <c r="W1040" s="237"/>
      <c r="X1040" s="237"/>
      <c r="Y1040" s="237"/>
      <c r="Z1040" s="237"/>
    </row>
    <row r="1041">
      <c r="A1041" s="305">
        <v>1040.0</v>
      </c>
      <c r="B1041" s="236"/>
      <c r="C1041" s="307" t="s">
        <v>1420</v>
      </c>
      <c r="D1041" s="308" t="s">
        <v>1906</v>
      </c>
      <c r="E1041" s="236"/>
      <c r="F1041" s="309" t="s">
        <v>14265</v>
      </c>
      <c r="G1041" s="236"/>
      <c r="H1041" s="307" t="s">
        <v>1420</v>
      </c>
      <c r="I1041" s="237"/>
      <c r="J1041" s="237"/>
      <c r="K1041" s="310" t="s">
        <v>13821</v>
      </c>
      <c r="L1041" s="237"/>
      <c r="M1041" s="237"/>
      <c r="N1041" s="237"/>
      <c r="O1041" s="237"/>
      <c r="P1041" s="237"/>
      <c r="Q1041" s="237"/>
      <c r="R1041" s="237"/>
      <c r="S1041" s="237"/>
      <c r="T1041" s="237"/>
      <c r="U1041" s="237"/>
      <c r="V1041" s="237"/>
      <c r="W1041" s="237"/>
      <c r="X1041" s="237"/>
      <c r="Y1041" s="237"/>
      <c r="Z1041" s="237"/>
    </row>
    <row r="1042">
      <c r="A1042" s="305">
        <v>1041.0</v>
      </c>
      <c r="B1042" s="236"/>
      <c r="C1042" s="307" t="s">
        <v>1420</v>
      </c>
      <c r="D1042" s="308" t="s">
        <v>1907</v>
      </c>
      <c r="E1042" s="236"/>
      <c r="F1042" s="309" t="s">
        <v>14265</v>
      </c>
      <c r="G1042" s="236"/>
      <c r="H1042" s="307" t="s">
        <v>1420</v>
      </c>
      <c r="I1042" s="237"/>
      <c r="J1042" s="237"/>
      <c r="K1042" s="310" t="s">
        <v>13821</v>
      </c>
      <c r="L1042" s="237"/>
      <c r="M1042" s="237"/>
      <c r="N1042" s="237"/>
      <c r="O1042" s="237"/>
      <c r="P1042" s="237"/>
      <c r="Q1042" s="237"/>
      <c r="R1042" s="237"/>
      <c r="S1042" s="237"/>
      <c r="T1042" s="237"/>
      <c r="U1042" s="237"/>
      <c r="V1042" s="237"/>
      <c r="W1042" s="237"/>
      <c r="X1042" s="237"/>
      <c r="Y1042" s="237"/>
      <c r="Z1042" s="237"/>
    </row>
    <row r="1043">
      <c r="A1043" s="305">
        <v>1042.0</v>
      </c>
      <c r="B1043" s="236"/>
      <c r="C1043" s="307" t="s">
        <v>1420</v>
      </c>
      <c r="D1043" s="308" t="s">
        <v>1908</v>
      </c>
      <c r="E1043" s="236"/>
      <c r="F1043" s="309" t="s">
        <v>14266</v>
      </c>
      <c r="G1043" s="236"/>
      <c r="H1043" s="307" t="s">
        <v>1420</v>
      </c>
      <c r="I1043" s="237"/>
      <c r="J1043" s="237"/>
      <c r="K1043" s="310" t="s">
        <v>13823</v>
      </c>
      <c r="L1043" s="237"/>
      <c r="M1043" s="237"/>
      <c r="N1043" s="237"/>
      <c r="O1043" s="237"/>
      <c r="P1043" s="237"/>
      <c r="Q1043" s="237"/>
      <c r="R1043" s="237"/>
      <c r="S1043" s="237"/>
      <c r="T1043" s="237"/>
      <c r="U1043" s="237"/>
      <c r="V1043" s="237"/>
      <c r="W1043" s="237"/>
      <c r="X1043" s="237"/>
      <c r="Y1043" s="237"/>
      <c r="Z1043" s="237"/>
    </row>
    <row r="1044">
      <c r="A1044" s="305">
        <v>1043.0</v>
      </c>
      <c r="B1044" s="236"/>
      <c r="C1044" s="307" t="s">
        <v>1420</v>
      </c>
      <c r="D1044" s="308" t="s">
        <v>1909</v>
      </c>
      <c r="E1044" s="236"/>
      <c r="F1044" s="309" t="s">
        <v>14266</v>
      </c>
      <c r="G1044" s="236"/>
      <c r="H1044" s="307" t="s">
        <v>1420</v>
      </c>
      <c r="I1044" s="237"/>
      <c r="J1044" s="237"/>
      <c r="K1044" s="310" t="s">
        <v>13823</v>
      </c>
      <c r="L1044" s="237"/>
      <c r="M1044" s="237"/>
      <c r="N1044" s="237"/>
      <c r="O1044" s="237"/>
      <c r="P1044" s="237"/>
      <c r="Q1044" s="237"/>
      <c r="R1044" s="237"/>
      <c r="S1044" s="237"/>
      <c r="T1044" s="237"/>
      <c r="U1044" s="237"/>
      <c r="V1044" s="237"/>
      <c r="W1044" s="237"/>
      <c r="X1044" s="237"/>
      <c r="Y1044" s="237"/>
      <c r="Z1044" s="237"/>
    </row>
    <row r="1045">
      <c r="A1045" s="305">
        <v>1044.0</v>
      </c>
      <c r="B1045" s="236"/>
      <c r="C1045" s="307" t="s">
        <v>1420</v>
      </c>
      <c r="D1045" s="308" t="s">
        <v>1910</v>
      </c>
      <c r="E1045" s="236"/>
      <c r="F1045" s="309" t="s">
        <v>14267</v>
      </c>
      <c r="G1045" s="236"/>
      <c r="H1045" s="307" t="s">
        <v>1420</v>
      </c>
      <c r="I1045" s="237"/>
      <c r="J1045" s="237"/>
      <c r="K1045" s="310" t="s">
        <v>13825</v>
      </c>
      <c r="L1045" s="237"/>
      <c r="M1045" s="237"/>
      <c r="N1045" s="237"/>
      <c r="O1045" s="237"/>
      <c r="P1045" s="237"/>
      <c r="Q1045" s="237"/>
      <c r="R1045" s="237"/>
      <c r="S1045" s="237"/>
      <c r="T1045" s="237"/>
      <c r="U1045" s="237"/>
      <c r="V1045" s="237"/>
      <c r="W1045" s="237"/>
      <c r="X1045" s="237"/>
      <c r="Y1045" s="237"/>
      <c r="Z1045" s="237"/>
    </row>
    <row r="1046">
      <c r="A1046" s="305">
        <v>1045.0</v>
      </c>
      <c r="B1046" s="236"/>
      <c r="C1046" s="307" t="s">
        <v>1420</v>
      </c>
      <c r="D1046" s="308" t="s">
        <v>1911</v>
      </c>
      <c r="E1046" s="236"/>
      <c r="F1046" s="309" t="s">
        <v>14267</v>
      </c>
      <c r="G1046" s="236"/>
      <c r="H1046" s="307" t="s">
        <v>1420</v>
      </c>
      <c r="I1046" s="237"/>
      <c r="J1046" s="237"/>
      <c r="K1046" s="310" t="s">
        <v>13825</v>
      </c>
      <c r="L1046" s="237"/>
      <c r="M1046" s="237"/>
      <c r="N1046" s="237"/>
      <c r="O1046" s="237"/>
      <c r="P1046" s="237"/>
      <c r="Q1046" s="237"/>
      <c r="R1046" s="237"/>
      <c r="S1046" s="237"/>
      <c r="T1046" s="237"/>
      <c r="U1046" s="237"/>
      <c r="V1046" s="237"/>
      <c r="W1046" s="237"/>
      <c r="X1046" s="237"/>
      <c r="Y1046" s="237"/>
      <c r="Z1046" s="237"/>
    </row>
    <row r="1047">
      <c r="A1047" s="305">
        <v>1046.0</v>
      </c>
      <c r="B1047" s="236"/>
      <c r="C1047" s="307" t="s">
        <v>1420</v>
      </c>
      <c r="D1047" s="308" t="s">
        <v>14268</v>
      </c>
      <c r="E1047" s="236"/>
      <c r="F1047" s="309" t="s">
        <v>14269</v>
      </c>
      <c r="G1047" s="236"/>
      <c r="H1047" s="307" t="s">
        <v>1420</v>
      </c>
      <c r="I1047" s="237"/>
      <c r="J1047" s="237"/>
      <c r="K1047" s="310" t="s">
        <v>14270</v>
      </c>
      <c r="L1047" s="237"/>
      <c r="M1047" s="237"/>
      <c r="N1047" s="237"/>
      <c r="O1047" s="237"/>
      <c r="P1047" s="237"/>
      <c r="Q1047" s="237"/>
      <c r="R1047" s="237"/>
      <c r="S1047" s="237"/>
      <c r="T1047" s="237"/>
      <c r="U1047" s="237"/>
      <c r="V1047" s="237"/>
      <c r="W1047" s="237"/>
      <c r="X1047" s="237"/>
      <c r="Y1047" s="237"/>
      <c r="Z1047" s="237"/>
    </row>
    <row r="1048">
      <c r="A1048" s="305">
        <v>1047.0</v>
      </c>
      <c r="B1048" s="236"/>
      <c r="C1048" s="311" t="s">
        <v>1420</v>
      </c>
      <c r="D1048" s="308" t="s">
        <v>1912</v>
      </c>
      <c r="E1048" s="104" t="s">
        <v>14271</v>
      </c>
      <c r="F1048" s="309" t="s">
        <v>14272</v>
      </c>
      <c r="G1048" s="236"/>
      <c r="H1048" s="311" t="s">
        <v>1420</v>
      </c>
      <c r="I1048" s="237"/>
      <c r="J1048" s="237"/>
      <c r="K1048" s="310" t="s">
        <v>13827</v>
      </c>
      <c r="L1048" s="237"/>
      <c r="M1048" s="237"/>
      <c r="N1048" s="237"/>
      <c r="O1048" s="237"/>
      <c r="P1048" s="237"/>
      <c r="Q1048" s="237"/>
      <c r="R1048" s="237"/>
      <c r="S1048" s="237"/>
      <c r="T1048" s="237"/>
      <c r="U1048" s="237"/>
      <c r="V1048" s="237"/>
      <c r="W1048" s="237"/>
      <c r="X1048" s="237"/>
      <c r="Y1048" s="237"/>
      <c r="Z1048" s="237"/>
    </row>
    <row r="1049">
      <c r="A1049" s="305">
        <v>1048.0</v>
      </c>
      <c r="B1049" s="236"/>
      <c r="C1049" s="307" t="s">
        <v>1420</v>
      </c>
      <c r="D1049" s="308" t="s">
        <v>1914</v>
      </c>
      <c r="E1049" s="236"/>
      <c r="F1049" s="309" t="s">
        <v>14273</v>
      </c>
      <c r="G1049" s="236"/>
      <c r="H1049" s="307" t="s">
        <v>1420</v>
      </c>
      <c r="I1049" s="237"/>
      <c r="J1049" s="237"/>
      <c r="K1049" s="310" t="s">
        <v>13828</v>
      </c>
      <c r="L1049" s="237"/>
      <c r="M1049" s="237"/>
      <c r="N1049" s="237"/>
      <c r="O1049" s="237"/>
      <c r="P1049" s="237"/>
      <c r="Q1049" s="237"/>
      <c r="R1049" s="237"/>
      <c r="S1049" s="237"/>
      <c r="T1049" s="237"/>
      <c r="U1049" s="237"/>
      <c r="V1049" s="237"/>
      <c r="W1049" s="237"/>
      <c r="X1049" s="237"/>
      <c r="Y1049" s="237"/>
      <c r="Z1049" s="237"/>
    </row>
    <row r="1050">
      <c r="A1050" s="305">
        <v>1049.0</v>
      </c>
      <c r="B1050" s="236"/>
      <c r="C1050" s="307" t="s">
        <v>1420</v>
      </c>
      <c r="D1050" s="308" t="s">
        <v>1913</v>
      </c>
      <c r="E1050" s="236"/>
      <c r="F1050" s="309" t="s">
        <v>14273</v>
      </c>
      <c r="G1050" s="236"/>
      <c r="H1050" s="307" t="s">
        <v>1420</v>
      </c>
      <c r="I1050" s="237"/>
      <c r="J1050" s="237"/>
      <c r="K1050" s="310" t="s">
        <v>13828</v>
      </c>
      <c r="L1050" s="237"/>
      <c r="M1050" s="237"/>
      <c r="N1050" s="237"/>
      <c r="O1050" s="237"/>
      <c r="P1050" s="237"/>
      <c r="Q1050" s="237"/>
      <c r="R1050" s="237"/>
      <c r="S1050" s="237"/>
      <c r="T1050" s="237"/>
      <c r="U1050" s="237"/>
      <c r="V1050" s="237"/>
      <c r="W1050" s="237"/>
      <c r="X1050" s="237"/>
      <c r="Y1050" s="237"/>
      <c r="Z1050" s="237"/>
    </row>
    <row r="1051">
      <c r="A1051" s="305">
        <v>1050.0</v>
      </c>
      <c r="B1051" s="236"/>
      <c r="C1051" s="307" t="s">
        <v>1420</v>
      </c>
      <c r="D1051" s="308" t="s">
        <v>1915</v>
      </c>
      <c r="E1051" s="236"/>
      <c r="F1051" s="309" t="s">
        <v>14274</v>
      </c>
      <c r="G1051" s="236"/>
      <c r="H1051" s="307" t="s">
        <v>1420</v>
      </c>
      <c r="I1051" s="237"/>
      <c r="J1051" s="237"/>
      <c r="K1051" s="310" t="s">
        <v>13829</v>
      </c>
      <c r="L1051" s="237"/>
      <c r="M1051" s="237"/>
      <c r="N1051" s="237"/>
      <c r="O1051" s="237"/>
      <c r="P1051" s="237"/>
      <c r="Q1051" s="237"/>
      <c r="R1051" s="237"/>
      <c r="S1051" s="237"/>
      <c r="T1051" s="237"/>
      <c r="U1051" s="237"/>
      <c r="V1051" s="237"/>
      <c r="W1051" s="237"/>
      <c r="X1051" s="237"/>
      <c r="Y1051" s="237"/>
      <c r="Z1051" s="237"/>
    </row>
    <row r="1052">
      <c r="A1052" s="305">
        <v>1051.0</v>
      </c>
      <c r="B1052" s="236"/>
      <c r="C1052" s="307" t="s">
        <v>1420</v>
      </c>
      <c r="D1052" s="308" t="s">
        <v>1916</v>
      </c>
      <c r="E1052" s="236"/>
      <c r="F1052" s="309" t="s">
        <v>14275</v>
      </c>
      <c r="G1052" s="236"/>
      <c r="H1052" s="307" t="s">
        <v>1420</v>
      </c>
      <c r="I1052" s="237"/>
      <c r="J1052" s="237"/>
      <c r="K1052" s="310" t="s">
        <v>13831</v>
      </c>
      <c r="L1052" s="237"/>
      <c r="M1052" s="237"/>
      <c r="N1052" s="237"/>
      <c r="O1052" s="237"/>
      <c r="P1052" s="237"/>
      <c r="Q1052" s="237"/>
      <c r="R1052" s="237"/>
      <c r="S1052" s="237"/>
      <c r="T1052" s="237"/>
      <c r="U1052" s="237"/>
      <c r="V1052" s="237"/>
      <c r="W1052" s="237"/>
      <c r="X1052" s="237"/>
      <c r="Y1052" s="237"/>
      <c r="Z1052" s="237"/>
    </row>
    <row r="1053">
      <c r="A1053" s="305">
        <v>1052.0</v>
      </c>
      <c r="B1053" s="236"/>
      <c r="C1053" s="307" t="s">
        <v>1420</v>
      </c>
      <c r="D1053" s="308" t="s">
        <v>1917</v>
      </c>
      <c r="E1053" s="236"/>
      <c r="F1053" s="309" t="s">
        <v>14276</v>
      </c>
      <c r="G1053" s="236"/>
      <c r="H1053" s="307" t="s">
        <v>1420</v>
      </c>
      <c r="I1053" s="237"/>
      <c r="J1053" s="237"/>
      <c r="K1053" s="310" t="s">
        <v>13832</v>
      </c>
      <c r="L1053" s="237"/>
      <c r="M1053" s="237"/>
      <c r="N1053" s="237"/>
      <c r="O1053" s="237"/>
      <c r="P1053" s="237"/>
      <c r="Q1053" s="237"/>
      <c r="R1053" s="237"/>
      <c r="S1053" s="237"/>
      <c r="T1053" s="237"/>
      <c r="U1053" s="237"/>
      <c r="V1053" s="237"/>
      <c r="W1053" s="237"/>
      <c r="X1053" s="237"/>
      <c r="Y1053" s="237"/>
      <c r="Z1053" s="237"/>
    </row>
    <row r="1054">
      <c r="A1054" s="305">
        <v>1053.0</v>
      </c>
      <c r="B1054" s="236"/>
      <c r="C1054" s="307" t="s">
        <v>1420</v>
      </c>
      <c r="D1054" s="308" t="s">
        <v>1918</v>
      </c>
      <c r="E1054" s="236"/>
      <c r="F1054" s="309" t="s">
        <v>14277</v>
      </c>
      <c r="G1054" s="236"/>
      <c r="H1054" s="307" t="s">
        <v>1420</v>
      </c>
      <c r="I1054" s="237"/>
      <c r="J1054" s="237"/>
      <c r="K1054" s="310" t="s">
        <v>13834</v>
      </c>
      <c r="L1054" s="237"/>
      <c r="M1054" s="237"/>
      <c r="N1054" s="237"/>
      <c r="O1054" s="237"/>
      <c r="P1054" s="237"/>
      <c r="Q1054" s="237"/>
      <c r="R1054" s="237"/>
      <c r="S1054" s="237"/>
      <c r="T1054" s="237"/>
      <c r="U1054" s="237"/>
      <c r="V1054" s="237"/>
      <c r="W1054" s="237"/>
      <c r="X1054" s="237"/>
      <c r="Y1054" s="237"/>
      <c r="Z1054" s="237"/>
    </row>
    <row r="1055">
      <c r="A1055" s="305">
        <v>1054.0</v>
      </c>
      <c r="B1055" s="236"/>
      <c r="C1055" s="307" t="s">
        <v>1420</v>
      </c>
      <c r="D1055" s="308" t="s">
        <v>1919</v>
      </c>
      <c r="E1055" s="236"/>
      <c r="F1055" s="309" t="s">
        <v>14278</v>
      </c>
      <c r="G1055" s="236"/>
      <c r="H1055" s="307" t="s">
        <v>1420</v>
      </c>
      <c r="I1055" s="237"/>
      <c r="J1055" s="237"/>
      <c r="K1055" s="310" t="s">
        <v>13836</v>
      </c>
      <c r="L1055" s="237"/>
      <c r="M1055" s="237"/>
      <c r="N1055" s="237"/>
      <c r="O1055" s="237"/>
      <c r="P1055" s="237"/>
      <c r="Q1055" s="237"/>
      <c r="R1055" s="237"/>
      <c r="S1055" s="237"/>
      <c r="T1055" s="237"/>
      <c r="U1055" s="237"/>
      <c r="V1055" s="237"/>
      <c r="W1055" s="237"/>
      <c r="X1055" s="237"/>
      <c r="Y1055" s="237"/>
      <c r="Z1055" s="237"/>
    </row>
    <row r="1056">
      <c r="A1056" s="305">
        <v>1055.0</v>
      </c>
      <c r="B1056" s="236"/>
      <c r="C1056" s="307" t="s">
        <v>1420</v>
      </c>
      <c r="D1056" s="308" t="s">
        <v>1920</v>
      </c>
      <c r="E1056" s="236"/>
      <c r="F1056" s="309" t="s">
        <v>14279</v>
      </c>
      <c r="G1056" s="236"/>
      <c r="H1056" s="307" t="s">
        <v>1420</v>
      </c>
      <c r="I1056" s="237"/>
      <c r="J1056" s="237"/>
      <c r="K1056" s="310" t="s">
        <v>13838</v>
      </c>
      <c r="L1056" s="237"/>
      <c r="M1056" s="237"/>
      <c r="N1056" s="237"/>
      <c r="O1056" s="237"/>
      <c r="P1056" s="237"/>
      <c r="Q1056" s="237"/>
      <c r="R1056" s="237"/>
      <c r="S1056" s="237"/>
      <c r="T1056" s="237"/>
      <c r="U1056" s="237"/>
      <c r="V1056" s="237"/>
      <c r="W1056" s="237"/>
      <c r="X1056" s="237"/>
      <c r="Y1056" s="237"/>
      <c r="Z1056" s="237"/>
    </row>
    <row r="1057">
      <c r="A1057" s="305">
        <v>1056.0</v>
      </c>
      <c r="B1057" s="236"/>
      <c r="C1057" s="307" t="s">
        <v>1420</v>
      </c>
      <c r="D1057" s="308" t="s">
        <v>1921</v>
      </c>
      <c r="E1057" s="236"/>
      <c r="F1057" s="309" t="s">
        <v>14280</v>
      </c>
      <c r="G1057" s="236"/>
      <c r="H1057" s="307" t="s">
        <v>1420</v>
      </c>
      <c r="I1057" s="237"/>
      <c r="J1057" s="237"/>
      <c r="K1057" s="310" t="s">
        <v>13840</v>
      </c>
      <c r="L1057" s="237"/>
      <c r="M1057" s="237"/>
      <c r="N1057" s="237"/>
      <c r="O1057" s="237"/>
      <c r="P1057" s="237"/>
      <c r="Q1057" s="237"/>
      <c r="R1057" s="237"/>
      <c r="S1057" s="237"/>
      <c r="T1057" s="237"/>
      <c r="U1057" s="237"/>
      <c r="V1057" s="237"/>
      <c r="W1057" s="237"/>
      <c r="X1057" s="237"/>
      <c r="Y1057" s="237"/>
      <c r="Z1057" s="237"/>
    </row>
    <row r="1058">
      <c r="A1058" s="305">
        <v>1057.0</v>
      </c>
      <c r="B1058" s="236"/>
      <c r="C1058" s="307" t="s">
        <v>1420</v>
      </c>
      <c r="D1058" s="308" t="s">
        <v>1922</v>
      </c>
      <c r="E1058" s="236"/>
      <c r="F1058" s="309" t="s">
        <v>14281</v>
      </c>
      <c r="G1058" s="236"/>
      <c r="H1058" s="307" t="s">
        <v>1420</v>
      </c>
      <c r="I1058" s="237"/>
      <c r="J1058" s="237"/>
      <c r="K1058" s="310" t="s">
        <v>13842</v>
      </c>
      <c r="L1058" s="237"/>
      <c r="M1058" s="237"/>
      <c r="N1058" s="237"/>
      <c r="O1058" s="237"/>
      <c r="P1058" s="237"/>
      <c r="Q1058" s="237"/>
      <c r="R1058" s="237"/>
      <c r="S1058" s="237"/>
      <c r="T1058" s="237"/>
      <c r="U1058" s="237"/>
      <c r="V1058" s="237"/>
      <c r="W1058" s="237"/>
      <c r="X1058" s="237"/>
      <c r="Y1058" s="237"/>
      <c r="Z1058" s="237"/>
    </row>
    <row r="1059">
      <c r="A1059" s="305">
        <v>1058.0</v>
      </c>
      <c r="B1059" s="236"/>
      <c r="C1059" s="307" t="s">
        <v>1420</v>
      </c>
      <c r="D1059" s="308" t="s">
        <v>1923</v>
      </c>
      <c r="E1059" s="236"/>
      <c r="F1059" s="309" t="s">
        <v>14282</v>
      </c>
      <c r="G1059" s="236"/>
      <c r="H1059" s="307" t="s">
        <v>1420</v>
      </c>
      <c r="I1059" s="237"/>
      <c r="J1059" s="237"/>
      <c r="K1059" s="310" t="s">
        <v>13844</v>
      </c>
      <c r="L1059" s="237"/>
      <c r="M1059" s="237"/>
      <c r="N1059" s="237"/>
      <c r="O1059" s="237"/>
      <c r="P1059" s="237"/>
      <c r="Q1059" s="237"/>
      <c r="R1059" s="237"/>
      <c r="S1059" s="237"/>
      <c r="T1059" s="237"/>
      <c r="U1059" s="237"/>
      <c r="V1059" s="237"/>
      <c r="W1059" s="237"/>
      <c r="X1059" s="237"/>
      <c r="Y1059" s="237"/>
      <c r="Z1059" s="237"/>
    </row>
    <row r="1060">
      <c r="A1060" s="305">
        <v>1059.0</v>
      </c>
      <c r="B1060" s="236"/>
      <c r="C1060" s="307" t="s">
        <v>1427</v>
      </c>
      <c r="D1060" s="308" t="s">
        <v>1924</v>
      </c>
      <c r="E1060" s="236"/>
      <c r="F1060" s="236"/>
      <c r="G1060" s="307" t="s">
        <v>13846</v>
      </c>
      <c r="H1060" s="307" t="s">
        <v>1427</v>
      </c>
      <c r="I1060" s="237"/>
      <c r="J1060" s="237"/>
      <c r="K1060" s="310" t="s">
        <v>13847</v>
      </c>
      <c r="L1060" s="237"/>
      <c r="M1060" s="237"/>
      <c r="N1060" s="237"/>
      <c r="O1060" s="237"/>
      <c r="P1060" s="237"/>
      <c r="Q1060" s="237"/>
      <c r="R1060" s="237"/>
      <c r="S1060" s="237"/>
      <c r="T1060" s="237"/>
      <c r="U1060" s="237"/>
      <c r="V1060" s="237"/>
      <c r="W1060" s="237"/>
      <c r="X1060" s="237"/>
      <c r="Y1060" s="237"/>
      <c r="Z1060" s="237"/>
    </row>
    <row r="1061">
      <c r="A1061" s="305">
        <v>1060.0</v>
      </c>
      <c r="B1061" s="236"/>
      <c r="C1061" s="307" t="s">
        <v>1420</v>
      </c>
      <c r="D1061" s="308" t="s">
        <v>1925</v>
      </c>
      <c r="E1061" s="236"/>
      <c r="F1061" s="309" t="s">
        <v>14283</v>
      </c>
      <c r="G1061" s="236"/>
      <c r="H1061" s="307" t="s">
        <v>1420</v>
      </c>
      <c r="I1061" s="237"/>
      <c r="J1061" s="237"/>
      <c r="K1061" s="310" t="s">
        <v>13848</v>
      </c>
      <c r="L1061" s="237"/>
      <c r="M1061" s="237"/>
      <c r="N1061" s="237"/>
      <c r="O1061" s="237"/>
      <c r="P1061" s="237"/>
      <c r="Q1061" s="237"/>
      <c r="R1061" s="237"/>
      <c r="S1061" s="237"/>
      <c r="T1061" s="237"/>
      <c r="U1061" s="237"/>
      <c r="V1061" s="237"/>
      <c r="W1061" s="237"/>
      <c r="X1061" s="237"/>
      <c r="Y1061" s="237"/>
      <c r="Z1061" s="237"/>
    </row>
    <row r="1062">
      <c r="A1062" s="305">
        <v>1061.0</v>
      </c>
      <c r="B1062" s="236"/>
      <c r="C1062" s="307" t="s">
        <v>1420</v>
      </c>
      <c r="D1062" s="308" t="s">
        <v>1926</v>
      </c>
      <c r="E1062" s="236"/>
      <c r="F1062" s="309" t="s">
        <v>14283</v>
      </c>
      <c r="G1062" s="236"/>
      <c r="H1062" s="307" t="s">
        <v>1420</v>
      </c>
      <c r="I1062" s="237"/>
      <c r="J1062" s="237"/>
      <c r="K1062" s="310" t="s">
        <v>13848</v>
      </c>
      <c r="L1062" s="237"/>
      <c r="M1062" s="237"/>
      <c r="N1062" s="237"/>
      <c r="O1062" s="237"/>
      <c r="P1062" s="237"/>
      <c r="Q1062" s="237"/>
      <c r="R1062" s="237"/>
      <c r="S1062" s="237"/>
      <c r="T1062" s="237"/>
      <c r="U1062" s="237"/>
      <c r="V1062" s="237"/>
      <c r="W1062" s="237"/>
      <c r="X1062" s="237"/>
      <c r="Y1062" s="237"/>
      <c r="Z1062" s="237"/>
    </row>
    <row r="1063">
      <c r="A1063" s="305">
        <v>1062.0</v>
      </c>
      <c r="B1063" s="236"/>
      <c r="C1063" s="307" t="s">
        <v>1420</v>
      </c>
      <c r="D1063" s="308" t="s">
        <v>1927</v>
      </c>
      <c r="E1063" s="236"/>
      <c r="F1063" s="309" t="s">
        <v>14284</v>
      </c>
      <c r="G1063" s="236"/>
      <c r="H1063" s="307" t="s">
        <v>1420</v>
      </c>
      <c r="I1063" s="237"/>
      <c r="J1063" s="237"/>
      <c r="K1063" s="310" t="s">
        <v>13849</v>
      </c>
      <c r="L1063" s="237"/>
      <c r="M1063" s="237"/>
      <c r="N1063" s="237"/>
      <c r="O1063" s="237"/>
      <c r="P1063" s="237"/>
      <c r="Q1063" s="237"/>
      <c r="R1063" s="237"/>
      <c r="S1063" s="237"/>
      <c r="T1063" s="237"/>
      <c r="U1063" s="237"/>
      <c r="V1063" s="237"/>
      <c r="W1063" s="237"/>
      <c r="X1063" s="237"/>
      <c r="Y1063" s="237"/>
      <c r="Z1063" s="237"/>
    </row>
    <row r="1064">
      <c r="A1064" s="305">
        <v>1063.0</v>
      </c>
      <c r="B1064" s="236"/>
      <c r="C1064" s="307" t="s">
        <v>1420</v>
      </c>
      <c r="D1064" s="308" t="s">
        <v>1928</v>
      </c>
      <c r="E1064" s="236"/>
      <c r="F1064" s="309" t="s">
        <v>14285</v>
      </c>
      <c r="G1064" s="236"/>
      <c r="H1064" s="307" t="s">
        <v>1420</v>
      </c>
      <c r="I1064" s="237"/>
      <c r="J1064" s="237"/>
      <c r="K1064" s="310" t="s">
        <v>13851</v>
      </c>
      <c r="L1064" s="237"/>
      <c r="M1064" s="237"/>
      <c r="N1064" s="237"/>
      <c r="O1064" s="237"/>
      <c r="P1064" s="237"/>
      <c r="Q1064" s="237"/>
      <c r="R1064" s="237"/>
      <c r="S1064" s="237"/>
      <c r="T1064" s="237"/>
      <c r="U1064" s="237"/>
      <c r="V1064" s="237"/>
      <c r="W1064" s="237"/>
      <c r="X1064" s="237"/>
      <c r="Y1064" s="237"/>
      <c r="Z1064" s="237"/>
    </row>
    <row r="1065">
      <c r="A1065" s="305">
        <v>1064.0</v>
      </c>
      <c r="B1065" s="236"/>
      <c r="C1065" s="307" t="s">
        <v>1420</v>
      </c>
      <c r="D1065" s="308" t="s">
        <v>1929</v>
      </c>
      <c r="E1065" s="236"/>
      <c r="F1065" s="309" t="s">
        <v>14286</v>
      </c>
      <c r="G1065" s="236"/>
      <c r="H1065" s="307" t="s">
        <v>1420</v>
      </c>
      <c r="I1065" s="237"/>
      <c r="J1065" s="237"/>
      <c r="K1065" s="310" t="s">
        <v>13853</v>
      </c>
      <c r="L1065" s="237"/>
      <c r="M1065" s="237"/>
      <c r="N1065" s="237"/>
      <c r="O1065" s="237"/>
      <c r="P1065" s="237"/>
      <c r="Q1065" s="237"/>
      <c r="R1065" s="237"/>
      <c r="S1065" s="237"/>
      <c r="T1065" s="237"/>
      <c r="U1065" s="237"/>
      <c r="V1065" s="237"/>
      <c r="W1065" s="237"/>
      <c r="X1065" s="237"/>
      <c r="Y1065" s="237"/>
      <c r="Z1065" s="237"/>
    </row>
    <row r="1066">
      <c r="A1066" s="305">
        <v>1065.0</v>
      </c>
      <c r="B1066" s="236"/>
      <c r="C1066" s="307" t="s">
        <v>1420</v>
      </c>
      <c r="D1066" s="308" t="s">
        <v>2073</v>
      </c>
      <c r="E1066" s="236"/>
      <c r="F1066" s="309" t="s">
        <v>14287</v>
      </c>
      <c r="G1066" s="236"/>
      <c r="H1066" s="307" t="s">
        <v>1420</v>
      </c>
      <c r="I1066" s="237"/>
      <c r="J1066" s="237"/>
      <c r="K1066" s="310" t="s">
        <v>14288</v>
      </c>
      <c r="L1066" s="237"/>
      <c r="M1066" s="237"/>
      <c r="N1066" s="237"/>
      <c r="O1066" s="237"/>
      <c r="P1066" s="237"/>
      <c r="Q1066" s="237"/>
      <c r="R1066" s="237"/>
      <c r="S1066" s="237"/>
      <c r="T1066" s="237"/>
      <c r="U1066" s="237"/>
      <c r="V1066" s="237"/>
      <c r="W1066" s="237"/>
      <c r="X1066" s="237"/>
      <c r="Y1066" s="237"/>
      <c r="Z1066" s="237"/>
    </row>
    <row r="1067">
      <c r="A1067" s="305">
        <v>1066.0</v>
      </c>
      <c r="B1067" s="236"/>
      <c r="C1067" s="307" t="s">
        <v>1420</v>
      </c>
      <c r="D1067" s="308" t="s">
        <v>1903</v>
      </c>
      <c r="E1067" s="236"/>
      <c r="F1067" s="309" t="s">
        <v>13818</v>
      </c>
      <c r="G1067" s="236"/>
      <c r="H1067" s="307" t="s">
        <v>1420</v>
      </c>
      <c r="I1067" s="237"/>
      <c r="J1067" s="237"/>
      <c r="K1067" s="310" t="s">
        <v>13817</v>
      </c>
      <c r="L1067" s="237"/>
      <c r="M1067" s="237"/>
      <c r="N1067" s="237"/>
      <c r="O1067" s="237"/>
      <c r="P1067" s="237"/>
      <c r="Q1067" s="237"/>
      <c r="R1067" s="237"/>
      <c r="S1067" s="237"/>
      <c r="T1067" s="237"/>
      <c r="U1067" s="237"/>
      <c r="V1067" s="237"/>
      <c r="W1067" s="237"/>
      <c r="X1067" s="237"/>
      <c r="Y1067" s="237"/>
      <c r="Z1067" s="237"/>
    </row>
    <row r="1068">
      <c r="A1068" s="305">
        <v>1067.0</v>
      </c>
      <c r="B1068" s="236"/>
      <c r="C1068" s="307" t="s">
        <v>1420</v>
      </c>
      <c r="D1068" s="308" t="s">
        <v>2071</v>
      </c>
      <c r="E1068" s="236"/>
      <c r="F1068" s="309" t="s">
        <v>14289</v>
      </c>
      <c r="G1068" s="236"/>
      <c r="H1068" s="307" t="s">
        <v>1420</v>
      </c>
      <c r="I1068" s="237"/>
      <c r="J1068" s="237"/>
      <c r="K1068" s="310" t="s">
        <v>14290</v>
      </c>
      <c r="L1068" s="237"/>
      <c r="M1068" s="237"/>
      <c r="N1068" s="237"/>
      <c r="O1068" s="237"/>
      <c r="P1068" s="237"/>
      <c r="Q1068" s="237"/>
      <c r="R1068" s="237"/>
      <c r="S1068" s="237"/>
      <c r="T1068" s="237"/>
      <c r="U1068" s="237"/>
      <c r="V1068" s="237"/>
      <c r="W1068" s="237"/>
      <c r="X1068" s="237"/>
      <c r="Y1068" s="237"/>
      <c r="Z1068" s="237"/>
    </row>
    <row r="1069">
      <c r="A1069" s="305">
        <v>1068.0</v>
      </c>
      <c r="B1069" s="236"/>
      <c r="C1069" s="307" t="s">
        <v>1420</v>
      </c>
      <c r="D1069" s="308" t="s">
        <v>1934</v>
      </c>
      <c r="E1069" s="236"/>
      <c r="F1069" s="309" t="s">
        <v>14291</v>
      </c>
      <c r="G1069" s="236"/>
      <c r="H1069" s="307" t="s">
        <v>1420</v>
      </c>
      <c r="I1069" s="237"/>
      <c r="J1069" s="237"/>
      <c r="K1069" s="310" t="s">
        <v>13861</v>
      </c>
      <c r="L1069" s="237"/>
      <c r="M1069" s="237"/>
      <c r="N1069" s="237"/>
      <c r="O1069" s="237"/>
      <c r="P1069" s="237"/>
      <c r="Q1069" s="237"/>
      <c r="R1069" s="237"/>
      <c r="S1069" s="237"/>
      <c r="T1069" s="237"/>
      <c r="U1069" s="237"/>
      <c r="V1069" s="237"/>
      <c r="W1069" s="237"/>
      <c r="X1069" s="237"/>
      <c r="Y1069" s="237"/>
      <c r="Z1069" s="237"/>
    </row>
    <row r="1070">
      <c r="A1070" s="305">
        <v>1069.0</v>
      </c>
      <c r="B1070" s="236"/>
      <c r="C1070" s="307" t="s">
        <v>1420</v>
      </c>
      <c r="D1070" s="308" t="s">
        <v>2068</v>
      </c>
      <c r="E1070" s="236"/>
      <c r="F1070" s="309" t="s">
        <v>14292</v>
      </c>
      <c r="G1070" s="236"/>
      <c r="H1070" s="307" t="s">
        <v>1420</v>
      </c>
      <c r="I1070" s="237"/>
      <c r="J1070" s="237"/>
      <c r="K1070" s="310" t="s">
        <v>14293</v>
      </c>
      <c r="L1070" s="237"/>
      <c r="M1070" s="237"/>
      <c r="N1070" s="237"/>
      <c r="O1070" s="237"/>
      <c r="P1070" s="237"/>
      <c r="Q1070" s="237"/>
      <c r="R1070" s="237"/>
      <c r="S1070" s="237"/>
      <c r="T1070" s="237"/>
      <c r="U1070" s="237"/>
      <c r="V1070" s="237"/>
      <c r="W1070" s="237"/>
      <c r="X1070" s="237"/>
      <c r="Y1070" s="237"/>
      <c r="Z1070" s="237"/>
    </row>
    <row r="1071">
      <c r="A1071" s="305">
        <v>1070.0</v>
      </c>
      <c r="B1071" s="236"/>
      <c r="C1071" s="307" t="s">
        <v>1420</v>
      </c>
      <c r="D1071" s="308" t="s">
        <v>2069</v>
      </c>
      <c r="E1071" s="236"/>
      <c r="F1071" s="309" t="s">
        <v>14292</v>
      </c>
      <c r="G1071" s="236"/>
      <c r="H1071" s="307" t="s">
        <v>1420</v>
      </c>
      <c r="I1071" s="237"/>
      <c r="J1071" s="237"/>
      <c r="K1071" s="310" t="s">
        <v>14293</v>
      </c>
      <c r="L1071" s="237"/>
      <c r="M1071" s="237"/>
      <c r="N1071" s="237"/>
      <c r="O1071" s="237"/>
      <c r="P1071" s="237"/>
      <c r="Q1071" s="237"/>
      <c r="R1071" s="237"/>
      <c r="S1071" s="237"/>
      <c r="T1071" s="237"/>
      <c r="U1071" s="237"/>
      <c r="V1071" s="237"/>
      <c r="W1071" s="237"/>
      <c r="X1071" s="237"/>
      <c r="Y1071" s="237"/>
      <c r="Z1071" s="237"/>
    </row>
    <row r="1072">
      <c r="A1072" s="305">
        <v>1071.0</v>
      </c>
      <c r="B1072" s="236"/>
      <c r="C1072" s="307" t="s">
        <v>1420</v>
      </c>
      <c r="D1072" s="308" t="s">
        <v>2074</v>
      </c>
      <c r="E1072" s="236"/>
      <c r="F1072" s="309" t="s">
        <v>14294</v>
      </c>
      <c r="G1072" s="236"/>
      <c r="H1072" s="307" t="s">
        <v>1420</v>
      </c>
      <c r="I1072" s="237"/>
      <c r="J1072" s="237"/>
      <c r="K1072" s="310" t="s">
        <v>14295</v>
      </c>
      <c r="L1072" s="237"/>
      <c r="M1072" s="237"/>
      <c r="N1072" s="237"/>
      <c r="O1072" s="237"/>
      <c r="P1072" s="237"/>
      <c r="Q1072" s="237"/>
      <c r="R1072" s="237"/>
      <c r="S1072" s="237"/>
      <c r="T1072" s="237"/>
      <c r="U1072" s="237"/>
      <c r="V1072" s="237"/>
      <c r="W1072" s="237"/>
      <c r="X1072" s="237"/>
      <c r="Y1072" s="237"/>
      <c r="Z1072" s="237"/>
    </row>
    <row r="1073">
      <c r="A1073" s="305">
        <v>1072.0</v>
      </c>
      <c r="B1073" s="236"/>
      <c r="C1073" s="307" t="s">
        <v>1420</v>
      </c>
      <c r="D1073" s="308" t="s">
        <v>2075</v>
      </c>
      <c r="E1073" s="236"/>
      <c r="F1073" s="309" t="s">
        <v>14296</v>
      </c>
      <c r="G1073" s="236"/>
      <c r="H1073" s="307" t="s">
        <v>1420</v>
      </c>
      <c r="I1073" s="237"/>
      <c r="J1073" s="237"/>
      <c r="K1073" s="310" t="s">
        <v>14297</v>
      </c>
      <c r="L1073" s="237"/>
      <c r="M1073" s="237"/>
      <c r="N1073" s="237"/>
      <c r="O1073" s="237"/>
      <c r="P1073" s="237"/>
      <c r="Q1073" s="237"/>
      <c r="R1073" s="237"/>
      <c r="S1073" s="237"/>
      <c r="T1073" s="237"/>
      <c r="U1073" s="237"/>
      <c r="V1073" s="237"/>
      <c r="W1073" s="237"/>
      <c r="X1073" s="237"/>
      <c r="Y1073" s="237"/>
      <c r="Z1073" s="237"/>
    </row>
    <row r="1074">
      <c r="A1074" s="305">
        <v>1073.0</v>
      </c>
      <c r="B1074" s="236"/>
      <c r="C1074" s="307" t="s">
        <v>1420</v>
      </c>
      <c r="D1074" s="308" t="s">
        <v>14298</v>
      </c>
      <c r="E1074" s="236"/>
      <c r="F1074" s="309" t="s">
        <v>14299</v>
      </c>
      <c r="G1074" s="236"/>
      <c r="H1074" s="307" t="s">
        <v>1420</v>
      </c>
      <c r="I1074" s="237"/>
      <c r="J1074" s="237"/>
      <c r="K1074" s="310" t="s">
        <v>14300</v>
      </c>
      <c r="L1074" s="237"/>
      <c r="M1074" s="237"/>
      <c r="N1074" s="237"/>
      <c r="O1074" s="237"/>
      <c r="P1074" s="237"/>
      <c r="Q1074" s="237"/>
      <c r="R1074" s="237"/>
      <c r="S1074" s="237"/>
      <c r="T1074" s="237"/>
      <c r="U1074" s="237"/>
      <c r="V1074" s="237"/>
      <c r="W1074" s="237"/>
      <c r="X1074" s="237"/>
      <c r="Y1074" s="237"/>
      <c r="Z1074" s="237"/>
    </row>
    <row r="1075">
      <c r="A1075" s="305">
        <v>1074.0</v>
      </c>
      <c r="B1075" s="236"/>
      <c r="C1075" s="307" t="s">
        <v>1420</v>
      </c>
      <c r="D1075" s="308" t="s">
        <v>2077</v>
      </c>
      <c r="E1075" s="236"/>
      <c r="F1075" s="309" t="s">
        <v>14301</v>
      </c>
      <c r="G1075" s="236"/>
      <c r="H1075" s="307" t="s">
        <v>1420</v>
      </c>
      <c r="I1075" s="237"/>
      <c r="J1075" s="237"/>
      <c r="K1075" s="310" t="s">
        <v>14302</v>
      </c>
      <c r="L1075" s="237"/>
      <c r="M1075" s="237"/>
      <c r="N1075" s="237"/>
      <c r="O1075" s="237"/>
      <c r="P1075" s="237"/>
      <c r="Q1075" s="237"/>
      <c r="R1075" s="237"/>
      <c r="S1075" s="237"/>
      <c r="T1075" s="237"/>
      <c r="U1075" s="237"/>
      <c r="V1075" s="237"/>
      <c r="W1075" s="237"/>
      <c r="X1075" s="237"/>
      <c r="Y1075" s="237"/>
      <c r="Z1075" s="237"/>
    </row>
    <row r="1076">
      <c r="A1076" s="305">
        <v>1075.0</v>
      </c>
      <c r="B1076" s="236"/>
      <c r="C1076" s="307" t="s">
        <v>1420</v>
      </c>
      <c r="D1076" s="308" t="s">
        <v>2078</v>
      </c>
      <c r="E1076" s="236"/>
      <c r="F1076" s="309" t="s">
        <v>14303</v>
      </c>
      <c r="G1076" s="236"/>
      <c r="H1076" s="307" t="s">
        <v>1420</v>
      </c>
      <c r="I1076" s="237"/>
      <c r="J1076" s="237"/>
      <c r="K1076" s="310" t="s">
        <v>14304</v>
      </c>
      <c r="L1076" s="237"/>
      <c r="M1076" s="237"/>
      <c r="N1076" s="237"/>
      <c r="O1076" s="237"/>
      <c r="P1076" s="237"/>
      <c r="Q1076" s="237"/>
      <c r="R1076" s="237"/>
      <c r="S1076" s="237"/>
      <c r="T1076" s="237"/>
      <c r="U1076" s="237"/>
      <c r="V1076" s="237"/>
      <c r="W1076" s="237"/>
      <c r="X1076" s="237"/>
      <c r="Y1076" s="237"/>
      <c r="Z1076" s="237"/>
    </row>
    <row r="1077">
      <c r="A1077" s="305">
        <v>1076.0</v>
      </c>
      <c r="B1077" s="236"/>
      <c r="C1077" s="307" t="s">
        <v>1420</v>
      </c>
      <c r="D1077" s="308" t="s">
        <v>2079</v>
      </c>
      <c r="E1077" s="236"/>
      <c r="F1077" s="309" t="s">
        <v>14305</v>
      </c>
      <c r="G1077" s="236"/>
      <c r="H1077" s="307" t="s">
        <v>1420</v>
      </c>
      <c r="I1077" s="237"/>
      <c r="J1077" s="237"/>
      <c r="K1077" s="310" t="s">
        <v>14306</v>
      </c>
      <c r="L1077" s="237"/>
      <c r="M1077" s="237"/>
      <c r="N1077" s="237"/>
      <c r="O1077" s="237"/>
      <c r="P1077" s="237"/>
      <c r="Q1077" s="237"/>
      <c r="R1077" s="237"/>
      <c r="S1077" s="237"/>
      <c r="T1077" s="237"/>
      <c r="U1077" s="237"/>
      <c r="V1077" s="237"/>
      <c r="W1077" s="237"/>
      <c r="X1077" s="237"/>
      <c r="Y1077" s="237"/>
      <c r="Z1077" s="237"/>
    </row>
    <row r="1078">
      <c r="A1078" s="305">
        <v>1077.0</v>
      </c>
      <c r="B1078" s="236"/>
      <c r="C1078" s="307" t="s">
        <v>1420</v>
      </c>
      <c r="D1078" s="308" t="s">
        <v>2080</v>
      </c>
      <c r="E1078" s="236"/>
      <c r="F1078" s="309" t="s">
        <v>14307</v>
      </c>
      <c r="G1078" s="236"/>
      <c r="H1078" s="307" t="s">
        <v>1420</v>
      </c>
      <c r="I1078" s="237"/>
      <c r="J1078" s="237"/>
      <c r="K1078" s="310" t="s">
        <v>14308</v>
      </c>
      <c r="L1078" s="237"/>
      <c r="M1078" s="237"/>
      <c r="N1078" s="237"/>
      <c r="O1078" s="237"/>
      <c r="P1078" s="237"/>
      <c r="Q1078" s="237"/>
      <c r="R1078" s="237"/>
      <c r="S1078" s="237"/>
      <c r="T1078" s="237"/>
      <c r="U1078" s="237"/>
      <c r="V1078" s="237"/>
      <c r="W1078" s="237"/>
      <c r="X1078" s="237"/>
      <c r="Y1078" s="237"/>
      <c r="Z1078" s="237"/>
    </row>
    <row r="1079">
      <c r="A1079" s="305">
        <v>1078.0</v>
      </c>
      <c r="B1079" s="236"/>
      <c r="C1079" s="307" t="s">
        <v>1420</v>
      </c>
      <c r="D1079" s="308" t="s">
        <v>1930</v>
      </c>
      <c r="E1079" s="236"/>
      <c r="F1079" s="309" t="s">
        <v>14309</v>
      </c>
      <c r="G1079" s="236"/>
      <c r="H1079" s="307" t="s">
        <v>1420</v>
      </c>
      <c r="I1079" s="237"/>
      <c r="J1079" s="237"/>
      <c r="K1079" s="310" t="s">
        <v>13855</v>
      </c>
      <c r="L1079" s="237"/>
      <c r="M1079" s="237"/>
      <c r="N1079" s="237"/>
      <c r="O1079" s="237"/>
      <c r="P1079" s="237"/>
      <c r="Q1079" s="237"/>
      <c r="R1079" s="237"/>
      <c r="S1079" s="237"/>
      <c r="T1079" s="237"/>
      <c r="U1079" s="237"/>
      <c r="V1079" s="237"/>
      <c r="W1079" s="237"/>
      <c r="X1079" s="237"/>
      <c r="Y1079" s="237"/>
      <c r="Z1079" s="237"/>
    </row>
    <row r="1080">
      <c r="A1080" s="305">
        <v>1079.0</v>
      </c>
      <c r="B1080" s="236"/>
      <c r="C1080" s="307" t="s">
        <v>1420</v>
      </c>
      <c r="D1080" s="308" t="s">
        <v>1931</v>
      </c>
      <c r="E1080" s="236"/>
      <c r="F1080" s="309" t="s">
        <v>14310</v>
      </c>
      <c r="G1080" s="236"/>
      <c r="H1080" s="307" t="s">
        <v>1420</v>
      </c>
      <c r="I1080" s="237"/>
      <c r="J1080" s="237"/>
      <c r="K1080" s="310" t="s">
        <v>13857</v>
      </c>
      <c r="L1080" s="237"/>
      <c r="M1080" s="237"/>
      <c r="N1080" s="237"/>
      <c r="O1080" s="237"/>
      <c r="P1080" s="237"/>
      <c r="Q1080" s="237"/>
      <c r="R1080" s="237"/>
      <c r="S1080" s="237"/>
      <c r="T1080" s="237"/>
      <c r="U1080" s="237"/>
      <c r="V1080" s="237"/>
      <c r="W1080" s="237"/>
      <c r="X1080" s="237"/>
      <c r="Y1080" s="237"/>
      <c r="Z1080" s="237"/>
    </row>
    <row r="1081">
      <c r="A1081" s="305">
        <v>1080.0</v>
      </c>
      <c r="B1081" s="236"/>
      <c r="C1081" s="307" t="s">
        <v>1420</v>
      </c>
      <c r="D1081" s="308" t="s">
        <v>1932</v>
      </c>
      <c r="E1081" s="236"/>
      <c r="F1081" s="309" t="s">
        <v>14310</v>
      </c>
      <c r="G1081" s="236"/>
      <c r="H1081" s="307" t="s">
        <v>1420</v>
      </c>
      <c r="I1081" s="237"/>
      <c r="J1081" s="237"/>
      <c r="K1081" s="310" t="s">
        <v>13857</v>
      </c>
      <c r="L1081" s="237"/>
      <c r="M1081" s="237"/>
      <c r="N1081" s="237"/>
      <c r="O1081" s="237"/>
      <c r="P1081" s="237"/>
      <c r="Q1081" s="237"/>
      <c r="R1081" s="237"/>
      <c r="S1081" s="237"/>
      <c r="T1081" s="237"/>
      <c r="U1081" s="237"/>
      <c r="V1081" s="237"/>
      <c r="W1081" s="237"/>
      <c r="X1081" s="237"/>
      <c r="Y1081" s="237"/>
      <c r="Z1081" s="237"/>
    </row>
    <row r="1082">
      <c r="A1082" s="305">
        <v>1081.0</v>
      </c>
      <c r="B1082" s="236"/>
      <c r="C1082" s="307" t="s">
        <v>1420</v>
      </c>
      <c r="D1082" s="308" t="s">
        <v>2072</v>
      </c>
      <c r="E1082" s="236"/>
      <c r="F1082" s="309" t="s">
        <v>14311</v>
      </c>
      <c r="G1082" s="236"/>
      <c r="H1082" s="307" t="s">
        <v>1420</v>
      </c>
      <c r="I1082" s="237"/>
      <c r="J1082" s="237"/>
      <c r="K1082" s="310" t="s">
        <v>14312</v>
      </c>
      <c r="L1082" s="237"/>
      <c r="M1082" s="237"/>
      <c r="N1082" s="237"/>
      <c r="O1082" s="237"/>
      <c r="P1082" s="237"/>
      <c r="Q1082" s="237"/>
      <c r="R1082" s="237"/>
      <c r="S1082" s="237"/>
      <c r="T1082" s="237"/>
      <c r="U1082" s="237"/>
      <c r="V1082" s="237"/>
      <c r="W1082" s="237"/>
      <c r="X1082" s="237"/>
      <c r="Y1082" s="237"/>
      <c r="Z1082" s="237"/>
    </row>
    <row r="1083">
      <c r="A1083" s="305">
        <v>1082.0</v>
      </c>
      <c r="B1083" s="236"/>
      <c r="C1083" s="307" t="s">
        <v>1420</v>
      </c>
      <c r="D1083" s="308" t="s">
        <v>1933</v>
      </c>
      <c r="E1083" s="236"/>
      <c r="F1083" s="309" t="s">
        <v>14313</v>
      </c>
      <c r="G1083" s="236"/>
      <c r="H1083" s="307" t="s">
        <v>1420</v>
      </c>
      <c r="I1083" s="237"/>
      <c r="J1083" s="237"/>
      <c r="K1083" s="310" t="s">
        <v>13859</v>
      </c>
      <c r="L1083" s="237"/>
      <c r="M1083" s="237"/>
      <c r="N1083" s="237"/>
      <c r="O1083" s="237"/>
      <c r="P1083" s="237"/>
      <c r="Q1083" s="237"/>
      <c r="R1083" s="237"/>
      <c r="S1083" s="237"/>
      <c r="T1083" s="237"/>
      <c r="U1083" s="237"/>
      <c r="V1083" s="237"/>
      <c r="W1083" s="237"/>
      <c r="X1083" s="237"/>
      <c r="Y1083" s="237"/>
      <c r="Z1083" s="237"/>
    </row>
    <row r="1084">
      <c r="A1084" s="305">
        <v>1083.0</v>
      </c>
      <c r="B1084" s="236"/>
      <c r="C1084" s="307" t="s">
        <v>1420</v>
      </c>
      <c r="D1084" s="308" t="s">
        <v>1970</v>
      </c>
      <c r="E1084" s="236"/>
      <c r="F1084" s="309" t="s">
        <v>14314</v>
      </c>
      <c r="G1084" s="236"/>
      <c r="H1084" s="307" t="s">
        <v>1420</v>
      </c>
      <c r="I1084" s="237"/>
      <c r="J1084" s="237"/>
      <c r="K1084" s="310" t="s">
        <v>14315</v>
      </c>
      <c r="L1084" s="237"/>
      <c r="M1084" s="237"/>
      <c r="N1084" s="237"/>
      <c r="O1084" s="237"/>
      <c r="P1084" s="237"/>
      <c r="Q1084" s="237"/>
      <c r="R1084" s="237"/>
      <c r="S1084" s="237"/>
      <c r="T1084" s="237"/>
      <c r="U1084" s="237"/>
      <c r="V1084" s="237"/>
      <c r="W1084" s="237"/>
      <c r="X1084" s="237"/>
      <c r="Y1084" s="237"/>
      <c r="Z1084" s="237"/>
    </row>
    <row r="1085">
      <c r="A1085" s="305">
        <v>1084.0</v>
      </c>
      <c r="B1085" s="236"/>
      <c r="C1085" s="307" t="s">
        <v>1420</v>
      </c>
      <c r="D1085" s="308" t="s">
        <v>1971</v>
      </c>
      <c r="E1085" s="236"/>
      <c r="F1085" s="309" t="s">
        <v>14316</v>
      </c>
      <c r="G1085" s="236"/>
      <c r="H1085" s="307" t="s">
        <v>1420</v>
      </c>
      <c r="I1085" s="237"/>
      <c r="J1085" s="237"/>
      <c r="K1085" s="310" t="s">
        <v>14317</v>
      </c>
      <c r="L1085" s="237"/>
      <c r="M1085" s="237"/>
      <c r="N1085" s="237"/>
      <c r="O1085" s="237"/>
      <c r="P1085" s="237"/>
      <c r="Q1085" s="237"/>
      <c r="R1085" s="237"/>
      <c r="S1085" s="237"/>
      <c r="T1085" s="237"/>
      <c r="U1085" s="237"/>
      <c r="V1085" s="237"/>
      <c r="W1085" s="237"/>
      <c r="X1085" s="237"/>
      <c r="Y1085" s="237"/>
      <c r="Z1085" s="237"/>
    </row>
    <row r="1086">
      <c r="A1086" s="305">
        <v>1085.0</v>
      </c>
      <c r="B1086" s="236"/>
      <c r="C1086" s="307" t="s">
        <v>1420</v>
      </c>
      <c r="D1086" s="308" t="s">
        <v>1972</v>
      </c>
      <c r="E1086" s="236"/>
      <c r="F1086" s="309" t="s">
        <v>14318</v>
      </c>
      <c r="G1086" s="236"/>
      <c r="H1086" s="307" t="s">
        <v>1420</v>
      </c>
      <c r="I1086" s="237"/>
      <c r="J1086" s="237"/>
      <c r="K1086" s="310" t="s">
        <v>14319</v>
      </c>
      <c r="L1086" s="237"/>
      <c r="M1086" s="237"/>
      <c r="N1086" s="237"/>
      <c r="O1086" s="237"/>
      <c r="P1086" s="237"/>
      <c r="Q1086" s="237"/>
      <c r="R1086" s="237"/>
      <c r="S1086" s="237"/>
      <c r="T1086" s="237"/>
      <c r="U1086" s="237"/>
      <c r="V1086" s="237"/>
      <c r="W1086" s="237"/>
      <c r="X1086" s="237"/>
      <c r="Y1086" s="237"/>
      <c r="Z1086" s="237"/>
    </row>
    <row r="1087">
      <c r="A1087" s="305">
        <v>1086.0</v>
      </c>
      <c r="B1087" s="236"/>
      <c r="C1087" s="307" t="s">
        <v>1420</v>
      </c>
      <c r="D1087" s="308" t="s">
        <v>1973</v>
      </c>
      <c r="E1087" s="236"/>
      <c r="F1087" s="309" t="s">
        <v>14320</v>
      </c>
      <c r="G1087" s="236"/>
      <c r="H1087" s="307" t="s">
        <v>1420</v>
      </c>
      <c r="I1087" s="237"/>
      <c r="J1087" s="237"/>
      <c r="K1087" s="310" t="s">
        <v>14321</v>
      </c>
      <c r="L1087" s="237"/>
      <c r="M1087" s="237"/>
      <c r="N1087" s="237"/>
      <c r="O1087" s="237"/>
      <c r="P1087" s="237"/>
      <c r="Q1087" s="237"/>
      <c r="R1087" s="237"/>
      <c r="S1087" s="237"/>
      <c r="T1087" s="237"/>
      <c r="U1087" s="237"/>
      <c r="V1087" s="237"/>
      <c r="W1087" s="237"/>
      <c r="X1087" s="237"/>
      <c r="Y1087" s="237"/>
      <c r="Z1087" s="237"/>
    </row>
    <row r="1088">
      <c r="A1088" s="305">
        <v>1087.0</v>
      </c>
      <c r="B1088" s="236"/>
      <c r="C1088" s="307" t="s">
        <v>1420</v>
      </c>
      <c r="D1088" s="308" t="s">
        <v>14322</v>
      </c>
      <c r="E1088" s="236"/>
      <c r="F1088" s="309" t="s">
        <v>14323</v>
      </c>
      <c r="G1088" s="236"/>
      <c r="H1088" s="307" t="s">
        <v>1420</v>
      </c>
      <c r="I1088" s="237"/>
      <c r="J1088" s="237"/>
      <c r="K1088" s="310" t="s">
        <v>14324</v>
      </c>
      <c r="L1088" s="237"/>
      <c r="M1088" s="237"/>
      <c r="N1088" s="237"/>
      <c r="O1088" s="237"/>
      <c r="P1088" s="237"/>
      <c r="Q1088" s="237"/>
      <c r="R1088" s="237"/>
      <c r="S1088" s="237"/>
      <c r="T1088" s="237"/>
      <c r="U1088" s="237"/>
      <c r="V1088" s="237"/>
      <c r="W1088" s="237"/>
      <c r="X1088" s="237"/>
      <c r="Y1088" s="237"/>
      <c r="Z1088" s="237"/>
    </row>
    <row r="1089">
      <c r="A1089" s="305">
        <v>1088.0</v>
      </c>
      <c r="B1089" s="236"/>
      <c r="C1089" s="307" t="s">
        <v>1420</v>
      </c>
      <c r="D1089" s="308" t="s">
        <v>1974</v>
      </c>
      <c r="E1089" s="236"/>
      <c r="F1089" s="309" t="s">
        <v>14325</v>
      </c>
      <c r="G1089" s="236"/>
      <c r="H1089" s="307" t="s">
        <v>1420</v>
      </c>
      <c r="I1089" s="237"/>
      <c r="J1089" s="237"/>
      <c r="K1089" s="310" t="s">
        <v>14326</v>
      </c>
      <c r="L1089" s="237"/>
      <c r="M1089" s="237"/>
      <c r="N1089" s="237"/>
      <c r="O1089" s="237"/>
      <c r="P1089" s="237"/>
      <c r="Q1089" s="237"/>
      <c r="R1089" s="237"/>
      <c r="S1089" s="237"/>
      <c r="T1089" s="237"/>
      <c r="U1089" s="237"/>
      <c r="V1089" s="237"/>
      <c r="W1089" s="237"/>
      <c r="X1089" s="237"/>
      <c r="Y1089" s="237"/>
      <c r="Z1089" s="237"/>
    </row>
    <row r="1090">
      <c r="A1090" s="305">
        <v>1089.0</v>
      </c>
      <c r="B1090" s="236"/>
      <c r="C1090" s="307" t="s">
        <v>1420</v>
      </c>
      <c r="D1090" s="308" t="s">
        <v>1975</v>
      </c>
      <c r="E1090" s="236"/>
      <c r="F1090" s="309" t="s">
        <v>14327</v>
      </c>
      <c r="G1090" s="236"/>
      <c r="H1090" s="307" t="s">
        <v>1420</v>
      </c>
      <c r="I1090" s="237"/>
      <c r="J1090" s="237"/>
      <c r="K1090" s="310" t="s">
        <v>14328</v>
      </c>
      <c r="L1090" s="237"/>
      <c r="M1090" s="237"/>
      <c r="N1090" s="237"/>
      <c r="O1090" s="237"/>
      <c r="P1090" s="237"/>
      <c r="Q1090" s="237"/>
      <c r="R1090" s="237"/>
      <c r="S1090" s="237"/>
      <c r="T1090" s="237"/>
      <c r="U1090" s="237"/>
      <c r="V1090" s="237"/>
      <c r="W1090" s="237"/>
      <c r="X1090" s="237"/>
      <c r="Y1090" s="237"/>
      <c r="Z1090" s="237"/>
    </row>
    <row r="1091">
      <c r="A1091" s="305">
        <v>1090.0</v>
      </c>
      <c r="B1091" s="236"/>
      <c r="C1091" s="307" t="s">
        <v>1420</v>
      </c>
      <c r="D1091" s="308" t="s">
        <v>1976</v>
      </c>
      <c r="E1091" s="236"/>
      <c r="F1091" s="309" t="s">
        <v>14329</v>
      </c>
      <c r="G1091" s="236"/>
      <c r="H1091" s="307" t="s">
        <v>1420</v>
      </c>
      <c r="I1091" s="237"/>
      <c r="J1091" s="237"/>
      <c r="K1091" s="310" t="s">
        <v>14330</v>
      </c>
      <c r="L1091" s="237"/>
      <c r="M1091" s="237"/>
      <c r="N1091" s="237"/>
      <c r="O1091" s="237"/>
      <c r="P1091" s="237"/>
      <c r="Q1091" s="237"/>
      <c r="R1091" s="237"/>
      <c r="S1091" s="237"/>
      <c r="T1091" s="237"/>
      <c r="U1091" s="237"/>
      <c r="V1091" s="237"/>
      <c r="W1091" s="237"/>
      <c r="X1091" s="237"/>
      <c r="Y1091" s="237"/>
      <c r="Z1091" s="237"/>
    </row>
    <row r="1092">
      <c r="A1092" s="305">
        <v>1091.0</v>
      </c>
      <c r="B1092" s="236"/>
      <c r="C1092" s="307" t="s">
        <v>1420</v>
      </c>
      <c r="D1092" s="308" t="s">
        <v>1977</v>
      </c>
      <c r="E1092" s="236"/>
      <c r="F1092" s="309" t="s">
        <v>14331</v>
      </c>
      <c r="G1092" s="236"/>
      <c r="H1092" s="307" t="s">
        <v>1420</v>
      </c>
      <c r="I1092" s="237"/>
      <c r="J1092" s="237"/>
      <c r="K1092" s="310" t="s">
        <v>14332</v>
      </c>
      <c r="L1092" s="237"/>
      <c r="M1092" s="237"/>
      <c r="N1092" s="237"/>
      <c r="O1092" s="237"/>
      <c r="P1092" s="237"/>
      <c r="Q1092" s="237"/>
      <c r="R1092" s="237"/>
      <c r="S1092" s="237"/>
      <c r="T1092" s="237"/>
      <c r="U1092" s="237"/>
      <c r="V1092" s="237"/>
      <c r="W1092" s="237"/>
      <c r="X1092" s="237"/>
      <c r="Y1092" s="237"/>
      <c r="Z1092" s="237"/>
    </row>
    <row r="1093">
      <c r="A1093" s="305">
        <v>1092.0</v>
      </c>
      <c r="B1093" s="236"/>
      <c r="C1093" s="307" t="s">
        <v>1420</v>
      </c>
      <c r="D1093" s="308" t="s">
        <v>1978</v>
      </c>
      <c r="E1093" s="236"/>
      <c r="F1093" s="309" t="s">
        <v>14333</v>
      </c>
      <c r="G1093" s="236"/>
      <c r="H1093" s="307" t="s">
        <v>1420</v>
      </c>
      <c r="I1093" s="237"/>
      <c r="J1093" s="237"/>
      <c r="K1093" s="310" t="s">
        <v>14334</v>
      </c>
      <c r="L1093" s="237"/>
      <c r="M1093" s="237"/>
      <c r="N1093" s="237"/>
      <c r="O1093" s="237"/>
      <c r="P1093" s="237"/>
      <c r="Q1093" s="237"/>
      <c r="R1093" s="237"/>
      <c r="S1093" s="237"/>
      <c r="T1093" s="237"/>
      <c r="U1093" s="237"/>
      <c r="V1093" s="237"/>
      <c r="W1093" s="237"/>
      <c r="X1093" s="237"/>
      <c r="Y1093" s="237"/>
      <c r="Z1093" s="237"/>
    </row>
    <row r="1094">
      <c r="A1094" s="305">
        <v>1093.0</v>
      </c>
      <c r="B1094" s="236"/>
      <c r="C1094" s="307" t="s">
        <v>1420</v>
      </c>
      <c r="D1094" s="308" t="s">
        <v>1979</v>
      </c>
      <c r="E1094" s="236"/>
      <c r="F1094" s="309" t="s">
        <v>14335</v>
      </c>
      <c r="G1094" s="236"/>
      <c r="H1094" s="307" t="s">
        <v>1420</v>
      </c>
      <c r="I1094" s="237"/>
      <c r="J1094" s="237"/>
      <c r="K1094" s="310" t="s">
        <v>14336</v>
      </c>
      <c r="L1094" s="237"/>
      <c r="M1094" s="237"/>
      <c r="N1094" s="237"/>
      <c r="O1094" s="237"/>
      <c r="P1094" s="237"/>
      <c r="Q1094" s="237"/>
      <c r="R1094" s="237"/>
      <c r="S1094" s="237"/>
      <c r="T1094" s="237"/>
      <c r="U1094" s="237"/>
      <c r="V1094" s="237"/>
      <c r="W1094" s="237"/>
      <c r="X1094" s="237"/>
      <c r="Y1094" s="237"/>
      <c r="Z1094" s="237"/>
    </row>
    <row r="1095">
      <c r="A1095" s="305">
        <v>1094.0</v>
      </c>
      <c r="B1095" s="236"/>
      <c r="C1095" s="307" t="s">
        <v>1420</v>
      </c>
      <c r="D1095" s="308" t="s">
        <v>1980</v>
      </c>
      <c r="E1095" s="236"/>
      <c r="F1095" s="309" t="s">
        <v>14337</v>
      </c>
      <c r="G1095" s="236"/>
      <c r="H1095" s="307" t="s">
        <v>1420</v>
      </c>
      <c r="I1095" s="237"/>
      <c r="J1095" s="237"/>
      <c r="K1095" s="310" t="s">
        <v>14338</v>
      </c>
      <c r="L1095" s="237"/>
      <c r="M1095" s="237"/>
      <c r="N1095" s="237"/>
      <c r="O1095" s="237"/>
      <c r="P1095" s="237"/>
      <c r="Q1095" s="237"/>
      <c r="R1095" s="237"/>
      <c r="S1095" s="237"/>
      <c r="T1095" s="237"/>
      <c r="U1095" s="237"/>
      <c r="V1095" s="237"/>
      <c r="W1095" s="237"/>
      <c r="X1095" s="237"/>
      <c r="Y1095" s="237"/>
      <c r="Z1095" s="237"/>
    </row>
    <row r="1096">
      <c r="A1096" s="305">
        <v>1095.0</v>
      </c>
      <c r="B1096" s="236"/>
      <c r="C1096" s="307" t="s">
        <v>1420</v>
      </c>
      <c r="D1096" s="308" t="s">
        <v>14339</v>
      </c>
      <c r="E1096" s="236"/>
      <c r="F1096" s="309" t="s">
        <v>14340</v>
      </c>
      <c r="G1096" s="236"/>
      <c r="H1096" s="307" t="s">
        <v>1420</v>
      </c>
      <c r="I1096" s="237"/>
      <c r="J1096" s="237"/>
      <c r="K1096" s="310" t="s">
        <v>14341</v>
      </c>
      <c r="L1096" s="237"/>
      <c r="M1096" s="237"/>
      <c r="N1096" s="237"/>
      <c r="O1096" s="237"/>
      <c r="P1096" s="237"/>
      <c r="Q1096" s="237"/>
      <c r="R1096" s="237"/>
      <c r="S1096" s="237"/>
      <c r="T1096" s="237"/>
      <c r="U1096" s="237"/>
      <c r="V1096" s="237"/>
      <c r="W1096" s="237"/>
      <c r="X1096" s="237"/>
      <c r="Y1096" s="237"/>
      <c r="Z1096" s="237"/>
    </row>
    <row r="1097">
      <c r="A1097" s="305">
        <v>1096.0</v>
      </c>
      <c r="B1097" s="236"/>
      <c r="C1097" s="307" t="s">
        <v>1420</v>
      </c>
      <c r="D1097" s="308" t="s">
        <v>14342</v>
      </c>
      <c r="E1097" s="236"/>
      <c r="F1097" s="309" t="s">
        <v>14340</v>
      </c>
      <c r="G1097" s="236"/>
      <c r="H1097" s="307" t="s">
        <v>1420</v>
      </c>
      <c r="I1097" s="237"/>
      <c r="J1097" s="237"/>
      <c r="K1097" s="310" t="s">
        <v>14341</v>
      </c>
      <c r="L1097" s="237"/>
      <c r="M1097" s="237"/>
      <c r="N1097" s="237"/>
      <c r="O1097" s="237"/>
      <c r="P1097" s="237"/>
      <c r="Q1097" s="237"/>
      <c r="R1097" s="237"/>
      <c r="S1097" s="237"/>
      <c r="T1097" s="237"/>
      <c r="U1097" s="237"/>
      <c r="V1097" s="237"/>
      <c r="W1097" s="237"/>
      <c r="X1097" s="237"/>
      <c r="Y1097" s="237"/>
      <c r="Z1097" s="237"/>
    </row>
    <row r="1098">
      <c r="A1098" s="305">
        <v>1097.0</v>
      </c>
      <c r="B1098" s="236"/>
      <c r="C1098" s="307" t="s">
        <v>1420</v>
      </c>
      <c r="D1098" s="308" t="s">
        <v>1992</v>
      </c>
      <c r="E1098" s="236"/>
      <c r="F1098" s="309" t="s">
        <v>14343</v>
      </c>
      <c r="G1098" s="236"/>
      <c r="H1098" s="307" t="s">
        <v>1420</v>
      </c>
      <c r="I1098" s="237"/>
      <c r="J1098" s="237"/>
      <c r="K1098" s="310" t="s">
        <v>14344</v>
      </c>
      <c r="L1098" s="237"/>
      <c r="M1098" s="237"/>
      <c r="N1098" s="237"/>
      <c r="O1098" s="237"/>
      <c r="P1098" s="237"/>
      <c r="Q1098" s="237"/>
      <c r="R1098" s="237"/>
      <c r="S1098" s="237"/>
      <c r="T1098" s="237"/>
      <c r="U1098" s="237"/>
      <c r="V1098" s="237"/>
      <c r="W1098" s="237"/>
      <c r="X1098" s="237"/>
      <c r="Y1098" s="237"/>
      <c r="Z1098" s="237"/>
    </row>
    <row r="1099">
      <c r="A1099" s="305">
        <v>1098.0</v>
      </c>
      <c r="B1099" s="236"/>
      <c r="C1099" s="307" t="s">
        <v>1420</v>
      </c>
      <c r="D1099" s="308" t="s">
        <v>1991</v>
      </c>
      <c r="E1099" s="236"/>
      <c r="F1099" s="309" t="s">
        <v>14343</v>
      </c>
      <c r="G1099" s="236"/>
      <c r="H1099" s="307" t="s">
        <v>1420</v>
      </c>
      <c r="I1099" s="237"/>
      <c r="J1099" s="237"/>
      <c r="K1099" s="310" t="s">
        <v>14344</v>
      </c>
      <c r="L1099" s="237"/>
      <c r="M1099" s="237"/>
      <c r="N1099" s="237"/>
      <c r="O1099" s="237"/>
      <c r="P1099" s="237"/>
      <c r="Q1099" s="237"/>
      <c r="R1099" s="237"/>
      <c r="S1099" s="237"/>
      <c r="T1099" s="237"/>
      <c r="U1099" s="237"/>
      <c r="V1099" s="237"/>
      <c r="W1099" s="237"/>
      <c r="X1099" s="237"/>
      <c r="Y1099" s="237"/>
      <c r="Z1099" s="237"/>
    </row>
    <row r="1100">
      <c r="A1100" s="305">
        <v>1099.0</v>
      </c>
      <c r="B1100" s="236"/>
      <c r="C1100" s="307" t="s">
        <v>1420</v>
      </c>
      <c r="D1100" s="308" t="s">
        <v>1981</v>
      </c>
      <c r="E1100" s="236"/>
      <c r="F1100" s="309" t="s">
        <v>14345</v>
      </c>
      <c r="G1100" s="236"/>
      <c r="H1100" s="307" t="s">
        <v>1420</v>
      </c>
      <c r="I1100" s="237"/>
      <c r="J1100" s="237"/>
      <c r="K1100" s="310" t="s">
        <v>14346</v>
      </c>
      <c r="L1100" s="237"/>
      <c r="M1100" s="237"/>
      <c r="N1100" s="237"/>
      <c r="O1100" s="237"/>
      <c r="P1100" s="237"/>
      <c r="Q1100" s="237"/>
      <c r="R1100" s="237"/>
      <c r="S1100" s="237"/>
      <c r="T1100" s="237"/>
      <c r="U1100" s="237"/>
      <c r="V1100" s="237"/>
      <c r="W1100" s="237"/>
      <c r="X1100" s="237"/>
      <c r="Y1100" s="237"/>
      <c r="Z1100" s="237"/>
    </row>
    <row r="1101">
      <c r="A1101" s="305">
        <v>1100.0</v>
      </c>
      <c r="B1101" s="236"/>
      <c r="C1101" s="307" t="s">
        <v>1420</v>
      </c>
      <c r="D1101" s="308" t="s">
        <v>1982</v>
      </c>
      <c r="E1101" s="236"/>
      <c r="F1101" s="309" t="s">
        <v>14347</v>
      </c>
      <c r="G1101" s="236"/>
      <c r="H1101" s="307" t="s">
        <v>1420</v>
      </c>
      <c r="I1101" s="237"/>
      <c r="J1101" s="237"/>
      <c r="K1101" s="310" t="s">
        <v>14348</v>
      </c>
      <c r="L1101" s="237"/>
      <c r="M1101" s="237"/>
      <c r="N1101" s="237"/>
      <c r="O1101" s="237"/>
      <c r="P1101" s="237"/>
      <c r="Q1101" s="237"/>
      <c r="R1101" s="237"/>
      <c r="S1101" s="237"/>
      <c r="T1101" s="237"/>
      <c r="U1101" s="237"/>
      <c r="V1101" s="237"/>
      <c r="W1101" s="237"/>
      <c r="X1101" s="237"/>
      <c r="Y1101" s="237"/>
      <c r="Z1101" s="237"/>
    </row>
    <row r="1102">
      <c r="A1102" s="305">
        <v>1101.0</v>
      </c>
      <c r="B1102" s="236"/>
      <c r="C1102" s="307" t="s">
        <v>1420</v>
      </c>
      <c r="D1102" s="308" t="s">
        <v>1983</v>
      </c>
      <c r="E1102" s="236"/>
      <c r="F1102" s="309" t="s">
        <v>14349</v>
      </c>
      <c r="G1102" s="236"/>
      <c r="H1102" s="307" t="s">
        <v>1420</v>
      </c>
      <c r="I1102" s="237"/>
      <c r="J1102" s="237"/>
      <c r="K1102" s="310" t="s">
        <v>14350</v>
      </c>
      <c r="L1102" s="237"/>
      <c r="M1102" s="237"/>
      <c r="N1102" s="237"/>
      <c r="O1102" s="237"/>
      <c r="P1102" s="237"/>
      <c r="Q1102" s="237"/>
      <c r="R1102" s="237"/>
      <c r="S1102" s="237"/>
      <c r="T1102" s="237"/>
      <c r="U1102" s="237"/>
      <c r="V1102" s="237"/>
      <c r="W1102" s="237"/>
      <c r="X1102" s="237"/>
      <c r="Y1102" s="237"/>
      <c r="Z1102" s="237"/>
    </row>
    <row r="1103">
      <c r="A1103" s="305">
        <v>1102.0</v>
      </c>
      <c r="B1103" s="236"/>
      <c r="C1103" s="307" t="s">
        <v>1420</v>
      </c>
      <c r="D1103" s="308" t="s">
        <v>1994</v>
      </c>
      <c r="E1103" s="236"/>
      <c r="F1103" s="309" t="s">
        <v>14351</v>
      </c>
      <c r="G1103" s="236"/>
      <c r="H1103" s="307" t="s">
        <v>1420</v>
      </c>
      <c r="I1103" s="237"/>
      <c r="J1103" s="237"/>
      <c r="K1103" s="310" t="s">
        <v>14352</v>
      </c>
      <c r="L1103" s="237"/>
      <c r="M1103" s="237"/>
      <c r="N1103" s="237"/>
      <c r="O1103" s="237"/>
      <c r="P1103" s="237"/>
      <c r="Q1103" s="237"/>
      <c r="R1103" s="237"/>
      <c r="S1103" s="237"/>
      <c r="T1103" s="237"/>
      <c r="U1103" s="237"/>
      <c r="V1103" s="237"/>
      <c r="W1103" s="237"/>
      <c r="X1103" s="237"/>
      <c r="Y1103" s="237"/>
      <c r="Z1103" s="237"/>
    </row>
    <row r="1104">
      <c r="A1104" s="305">
        <v>1103.0</v>
      </c>
      <c r="B1104" s="236"/>
      <c r="C1104" s="307" t="s">
        <v>1420</v>
      </c>
      <c r="D1104" s="308" t="s">
        <v>1993</v>
      </c>
      <c r="E1104" s="236"/>
      <c r="F1104" s="309" t="s">
        <v>14351</v>
      </c>
      <c r="G1104" s="236"/>
      <c r="H1104" s="307" t="s">
        <v>1420</v>
      </c>
      <c r="I1104" s="237"/>
      <c r="J1104" s="237"/>
      <c r="K1104" s="310" t="s">
        <v>14352</v>
      </c>
      <c r="L1104" s="237"/>
      <c r="M1104" s="237"/>
      <c r="N1104" s="237"/>
      <c r="O1104" s="237"/>
      <c r="P1104" s="237"/>
      <c r="Q1104" s="237"/>
      <c r="R1104" s="237"/>
      <c r="S1104" s="237"/>
      <c r="T1104" s="237"/>
      <c r="U1104" s="237"/>
      <c r="V1104" s="237"/>
      <c r="W1104" s="237"/>
      <c r="X1104" s="237"/>
      <c r="Y1104" s="237"/>
      <c r="Z1104" s="237"/>
    </row>
    <row r="1105">
      <c r="A1105" s="305">
        <v>1104.0</v>
      </c>
      <c r="B1105" s="236"/>
      <c r="C1105" s="307" t="s">
        <v>1420</v>
      </c>
      <c r="D1105" s="308" t="s">
        <v>1984</v>
      </c>
      <c r="E1105" s="236"/>
      <c r="F1105" s="309" t="s">
        <v>14353</v>
      </c>
      <c r="G1105" s="236"/>
      <c r="H1105" s="307" t="s">
        <v>1420</v>
      </c>
      <c r="I1105" s="237"/>
      <c r="J1105" s="237"/>
      <c r="K1105" s="310" t="s">
        <v>14354</v>
      </c>
      <c r="L1105" s="237"/>
      <c r="M1105" s="237"/>
      <c r="N1105" s="237"/>
      <c r="O1105" s="237"/>
      <c r="P1105" s="237"/>
      <c r="Q1105" s="237"/>
      <c r="R1105" s="237"/>
      <c r="S1105" s="237"/>
      <c r="T1105" s="237"/>
      <c r="U1105" s="237"/>
      <c r="V1105" s="237"/>
      <c r="W1105" s="237"/>
      <c r="X1105" s="237"/>
      <c r="Y1105" s="237"/>
      <c r="Z1105" s="237"/>
    </row>
    <row r="1106">
      <c r="A1106" s="305">
        <v>1105.0</v>
      </c>
      <c r="B1106" s="236"/>
      <c r="C1106" s="307" t="s">
        <v>1427</v>
      </c>
      <c r="D1106" s="308" t="s">
        <v>1652</v>
      </c>
      <c r="E1106" s="236"/>
      <c r="F1106" s="236"/>
      <c r="G1106" s="307" t="s">
        <v>13988</v>
      </c>
      <c r="H1106" s="307" t="s">
        <v>1427</v>
      </c>
      <c r="I1106" s="237"/>
      <c r="J1106" s="237"/>
      <c r="K1106" s="310" t="s">
        <v>13876</v>
      </c>
      <c r="L1106" s="237"/>
      <c r="M1106" s="237"/>
      <c r="N1106" s="237"/>
      <c r="O1106" s="237"/>
      <c r="P1106" s="237"/>
      <c r="Q1106" s="237"/>
      <c r="R1106" s="237"/>
      <c r="S1106" s="237"/>
      <c r="T1106" s="237"/>
      <c r="U1106" s="237"/>
      <c r="V1106" s="237"/>
      <c r="W1106" s="237"/>
      <c r="X1106" s="237"/>
      <c r="Y1106" s="237"/>
      <c r="Z1106" s="237"/>
    </row>
    <row r="1107">
      <c r="A1107" s="305">
        <v>1106.0</v>
      </c>
      <c r="B1107" s="236"/>
      <c r="C1107" s="307" t="s">
        <v>1420</v>
      </c>
      <c r="D1107" s="308" t="s">
        <v>14355</v>
      </c>
      <c r="E1107" s="236"/>
      <c r="F1107" s="309" t="s">
        <v>14356</v>
      </c>
      <c r="G1107" s="236"/>
      <c r="H1107" s="307" t="s">
        <v>1420</v>
      </c>
      <c r="I1107" s="237"/>
      <c r="J1107" s="237"/>
      <c r="K1107" s="310" t="s">
        <v>13095</v>
      </c>
      <c r="L1107" s="237"/>
      <c r="M1107" s="237"/>
      <c r="N1107" s="237"/>
      <c r="O1107" s="237"/>
      <c r="P1107" s="237"/>
      <c r="Q1107" s="237"/>
      <c r="R1107" s="237"/>
      <c r="S1107" s="237"/>
      <c r="T1107" s="237"/>
      <c r="U1107" s="237"/>
      <c r="V1107" s="237"/>
      <c r="W1107" s="237"/>
      <c r="X1107" s="237"/>
      <c r="Y1107" s="237"/>
      <c r="Z1107" s="237"/>
    </row>
    <row r="1108">
      <c r="A1108" s="305">
        <v>1107.0</v>
      </c>
      <c r="B1108" s="236"/>
      <c r="C1108" s="307" t="s">
        <v>1420</v>
      </c>
      <c r="D1108" s="308" t="s">
        <v>1733</v>
      </c>
      <c r="E1108" s="305" t="s">
        <v>12540</v>
      </c>
      <c r="F1108" s="309" t="s">
        <v>12541</v>
      </c>
      <c r="G1108" s="236"/>
      <c r="H1108" s="307" t="s">
        <v>1420</v>
      </c>
      <c r="I1108" s="237"/>
      <c r="J1108" s="237"/>
      <c r="K1108" s="310" t="s">
        <v>12539</v>
      </c>
      <c r="L1108" s="237"/>
      <c r="M1108" s="237"/>
      <c r="N1108" s="237"/>
      <c r="O1108" s="237"/>
      <c r="P1108" s="237"/>
      <c r="Q1108" s="237"/>
      <c r="R1108" s="237"/>
      <c r="S1108" s="237"/>
      <c r="T1108" s="237"/>
      <c r="U1108" s="237"/>
      <c r="V1108" s="237"/>
      <c r="W1108" s="237"/>
      <c r="X1108" s="237"/>
      <c r="Y1108" s="237"/>
      <c r="Z1108" s="237"/>
    </row>
    <row r="1109">
      <c r="A1109" s="305">
        <v>1108.0</v>
      </c>
      <c r="B1109" s="236"/>
      <c r="C1109" s="307" t="s">
        <v>1420</v>
      </c>
      <c r="D1109" s="308" t="s">
        <v>1734</v>
      </c>
      <c r="E1109" s="236"/>
      <c r="F1109" s="309" t="s">
        <v>14357</v>
      </c>
      <c r="G1109" s="236"/>
      <c r="H1109" s="307" t="s">
        <v>1420</v>
      </c>
      <c r="I1109" s="237"/>
      <c r="J1109" s="237"/>
      <c r="K1109" s="310" t="s">
        <v>13674</v>
      </c>
      <c r="L1109" s="237"/>
      <c r="M1109" s="237"/>
      <c r="N1109" s="237"/>
      <c r="O1109" s="237"/>
      <c r="P1109" s="237"/>
      <c r="Q1109" s="237"/>
      <c r="R1109" s="237"/>
      <c r="S1109" s="237"/>
      <c r="T1109" s="237"/>
      <c r="U1109" s="237"/>
      <c r="V1109" s="237"/>
      <c r="W1109" s="237"/>
      <c r="X1109" s="237"/>
      <c r="Y1109" s="237"/>
      <c r="Z1109" s="237"/>
    </row>
    <row r="1110">
      <c r="A1110" s="305">
        <v>1109.0</v>
      </c>
      <c r="B1110" s="306" t="s">
        <v>3699</v>
      </c>
      <c r="C1110" s="307" t="s">
        <v>1420</v>
      </c>
      <c r="D1110" s="308" t="s">
        <v>3701</v>
      </c>
      <c r="E1110" s="305" t="s">
        <v>3702</v>
      </c>
      <c r="F1110" s="309" t="s">
        <v>3703</v>
      </c>
      <c r="G1110" s="236"/>
      <c r="H1110" s="307" t="s">
        <v>1420</v>
      </c>
      <c r="I1110" s="237"/>
      <c r="J1110" s="237"/>
      <c r="K1110" s="310" t="s">
        <v>3700</v>
      </c>
      <c r="L1110" s="237"/>
      <c r="M1110" s="237"/>
      <c r="N1110" s="237"/>
      <c r="O1110" s="237"/>
      <c r="P1110" s="237"/>
      <c r="Q1110" s="237"/>
      <c r="R1110" s="237"/>
      <c r="S1110" s="237"/>
      <c r="T1110" s="237"/>
      <c r="U1110" s="237"/>
      <c r="V1110" s="237"/>
      <c r="W1110" s="237"/>
      <c r="X1110" s="237"/>
      <c r="Y1110" s="237"/>
      <c r="Z1110" s="237"/>
    </row>
    <row r="1111">
      <c r="A1111" s="305">
        <v>1110.0</v>
      </c>
      <c r="B1111" s="306" t="s">
        <v>3694</v>
      </c>
      <c r="C1111" s="307" t="s">
        <v>1420</v>
      </c>
      <c r="D1111" s="308" t="s">
        <v>3696</v>
      </c>
      <c r="E1111" s="305" t="s">
        <v>3697</v>
      </c>
      <c r="F1111" s="309" t="s">
        <v>3698</v>
      </c>
      <c r="G1111" s="236"/>
      <c r="H1111" s="307" t="s">
        <v>1420</v>
      </c>
      <c r="I1111" s="237"/>
      <c r="J1111" s="237"/>
      <c r="K1111" s="310" t="s">
        <v>3695</v>
      </c>
      <c r="L1111" s="237"/>
      <c r="M1111" s="237"/>
      <c r="N1111" s="237"/>
      <c r="O1111" s="237"/>
      <c r="P1111" s="237"/>
      <c r="Q1111" s="237"/>
      <c r="R1111" s="237"/>
      <c r="S1111" s="237"/>
      <c r="T1111" s="237"/>
      <c r="U1111" s="237"/>
      <c r="V1111" s="237"/>
      <c r="W1111" s="237"/>
      <c r="X1111" s="237"/>
      <c r="Y1111" s="237"/>
      <c r="Z1111" s="237"/>
    </row>
    <row r="1112">
      <c r="A1112" s="305">
        <v>1111.0</v>
      </c>
      <c r="B1112" s="306" t="s">
        <v>3684</v>
      </c>
      <c r="C1112" s="307" t="s">
        <v>1420</v>
      </c>
      <c r="D1112" s="308" t="s">
        <v>3686</v>
      </c>
      <c r="E1112" s="305" t="s">
        <v>3687</v>
      </c>
      <c r="F1112" s="309" t="s">
        <v>3688</v>
      </c>
      <c r="G1112" s="236"/>
      <c r="H1112" s="307" t="s">
        <v>1420</v>
      </c>
      <c r="I1112" s="237"/>
      <c r="J1112" s="237"/>
      <c r="K1112" s="310" t="s">
        <v>3685</v>
      </c>
      <c r="L1112" s="237"/>
      <c r="M1112" s="237"/>
      <c r="N1112" s="237"/>
      <c r="O1112" s="237"/>
      <c r="P1112" s="237"/>
      <c r="Q1112" s="237"/>
      <c r="R1112" s="237"/>
      <c r="S1112" s="237"/>
      <c r="T1112" s="237"/>
      <c r="U1112" s="237"/>
      <c r="V1112" s="237"/>
      <c r="W1112" s="237"/>
      <c r="X1112" s="237"/>
      <c r="Y1112" s="237"/>
      <c r="Z1112" s="237"/>
    </row>
    <row r="1113">
      <c r="A1113" s="305">
        <v>1112.0</v>
      </c>
      <c r="B1113" s="306" t="s">
        <v>3689</v>
      </c>
      <c r="C1113" s="307" t="s">
        <v>1420</v>
      </c>
      <c r="D1113" s="308" t="s">
        <v>3691</v>
      </c>
      <c r="E1113" s="305" t="s">
        <v>3692</v>
      </c>
      <c r="F1113" s="309" t="s">
        <v>3693</v>
      </c>
      <c r="G1113" s="236"/>
      <c r="H1113" s="307" t="s">
        <v>1420</v>
      </c>
      <c r="I1113" s="237"/>
      <c r="J1113" s="237"/>
      <c r="K1113" s="310" t="s">
        <v>3690</v>
      </c>
      <c r="L1113" s="237"/>
      <c r="M1113" s="237"/>
      <c r="N1113" s="237"/>
      <c r="O1113" s="237"/>
      <c r="P1113" s="237"/>
      <c r="Q1113" s="237"/>
      <c r="R1113" s="237"/>
      <c r="S1113" s="237"/>
      <c r="T1113" s="237"/>
      <c r="U1113" s="237"/>
      <c r="V1113" s="237"/>
      <c r="W1113" s="237"/>
      <c r="X1113" s="237"/>
      <c r="Y1113" s="237"/>
      <c r="Z1113" s="237"/>
    </row>
    <row r="1114">
      <c r="A1114" s="305">
        <v>1113.0</v>
      </c>
      <c r="B1114" s="236"/>
      <c r="C1114" s="307" t="s">
        <v>1427</v>
      </c>
      <c r="D1114" s="308" t="s">
        <v>1400</v>
      </c>
      <c r="E1114" s="305" t="s">
        <v>12868</v>
      </c>
      <c r="F1114" s="236"/>
      <c r="G1114" s="307" t="s">
        <v>14358</v>
      </c>
      <c r="H1114" s="307" t="s">
        <v>1427</v>
      </c>
      <c r="I1114" s="237"/>
      <c r="J1114" s="237"/>
      <c r="K1114" s="310" t="s">
        <v>12866</v>
      </c>
      <c r="L1114" s="237"/>
      <c r="M1114" s="237"/>
      <c r="N1114" s="237"/>
      <c r="O1114" s="237"/>
      <c r="P1114" s="237"/>
      <c r="Q1114" s="237"/>
      <c r="R1114" s="237"/>
      <c r="S1114" s="237"/>
      <c r="T1114" s="237"/>
      <c r="U1114" s="237"/>
      <c r="V1114" s="237"/>
      <c r="W1114" s="237"/>
      <c r="X1114" s="237"/>
      <c r="Y1114" s="237"/>
      <c r="Z1114" s="237"/>
    </row>
    <row r="1115">
      <c r="A1115" s="305">
        <v>1114.0</v>
      </c>
      <c r="B1115" s="236"/>
      <c r="C1115" s="307" t="s">
        <v>1427</v>
      </c>
      <c r="D1115" s="308" t="s">
        <v>1411</v>
      </c>
      <c r="E1115" s="305" t="s">
        <v>12894</v>
      </c>
      <c r="F1115" s="236"/>
      <c r="G1115" s="307" t="s">
        <v>14359</v>
      </c>
      <c r="H1115" s="307" t="s">
        <v>1427</v>
      </c>
      <c r="I1115" s="237"/>
      <c r="J1115" s="237"/>
      <c r="K1115" s="310" t="s">
        <v>12893</v>
      </c>
      <c r="L1115" s="237"/>
      <c r="M1115" s="237"/>
      <c r="N1115" s="237"/>
      <c r="O1115" s="237"/>
      <c r="P1115" s="237"/>
      <c r="Q1115" s="237"/>
      <c r="R1115" s="237"/>
      <c r="S1115" s="237"/>
      <c r="T1115" s="237"/>
      <c r="U1115" s="237"/>
      <c r="V1115" s="237"/>
      <c r="W1115" s="237"/>
      <c r="X1115" s="237"/>
      <c r="Y1115" s="237"/>
      <c r="Z1115" s="237"/>
    </row>
    <row r="1116">
      <c r="A1116" s="305">
        <v>1115.0</v>
      </c>
      <c r="B1116" s="236"/>
      <c r="C1116" s="307" t="s">
        <v>1420</v>
      </c>
      <c r="D1116" s="308" t="s">
        <v>1410</v>
      </c>
      <c r="E1116" s="305" t="s">
        <v>12890</v>
      </c>
      <c r="F1116" s="309" t="s">
        <v>14360</v>
      </c>
      <c r="G1116" s="236"/>
      <c r="H1116" s="307" t="s">
        <v>1420</v>
      </c>
      <c r="I1116" s="237"/>
      <c r="J1116" s="237"/>
      <c r="K1116" s="310" t="s">
        <v>12889</v>
      </c>
      <c r="L1116" s="237"/>
      <c r="M1116" s="237"/>
      <c r="N1116" s="237"/>
      <c r="O1116" s="237"/>
      <c r="P1116" s="237"/>
      <c r="Q1116" s="237"/>
      <c r="R1116" s="237"/>
      <c r="S1116" s="237"/>
      <c r="T1116" s="237"/>
      <c r="U1116" s="237"/>
      <c r="V1116" s="237"/>
      <c r="W1116" s="237"/>
      <c r="X1116" s="237"/>
      <c r="Y1116" s="237"/>
      <c r="Z1116" s="237"/>
    </row>
    <row r="1117">
      <c r="A1117" s="305">
        <v>1116.0</v>
      </c>
      <c r="B1117" s="236"/>
      <c r="C1117" s="307" t="s">
        <v>1420</v>
      </c>
      <c r="D1117" s="308" t="s">
        <v>1402</v>
      </c>
      <c r="E1117" s="305" t="s">
        <v>12870</v>
      </c>
      <c r="F1117" s="309" t="s">
        <v>12871</v>
      </c>
      <c r="G1117" s="236"/>
      <c r="H1117" s="307" t="s">
        <v>1420</v>
      </c>
      <c r="I1117" s="237"/>
      <c r="J1117" s="237"/>
      <c r="K1117" s="310" t="s">
        <v>12869</v>
      </c>
      <c r="L1117" s="237"/>
      <c r="M1117" s="237"/>
      <c r="N1117" s="237"/>
      <c r="O1117" s="237"/>
      <c r="P1117" s="237"/>
      <c r="Q1117" s="237"/>
      <c r="R1117" s="237"/>
      <c r="S1117" s="237"/>
      <c r="T1117" s="237"/>
      <c r="U1117" s="237"/>
      <c r="V1117" s="237"/>
      <c r="W1117" s="237"/>
      <c r="X1117" s="237"/>
      <c r="Y1117" s="237"/>
      <c r="Z1117" s="237"/>
    </row>
    <row r="1118">
      <c r="A1118" s="305">
        <v>1117.0</v>
      </c>
      <c r="B1118" s="236"/>
      <c r="C1118" s="307" t="s">
        <v>1420</v>
      </c>
      <c r="D1118" s="308" t="s">
        <v>1403</v>
      </c>
      <c r="E1118" s="305" t="s">
        <v>12870</v>
      </c>
      <c r="F1118" s="309" t="s">
        <v>12874</v>
      </c>
      <c r="G1118" s="236"/>
      <c r="H1118" s="307" t="s">
        <v>1420</v>
      </c>
      <c r="I1118" s="237"/>
      <c r="J1118" s="237"/>
      <c r="K1118" s="310" t="s">
        <v>12872</v>
      </c>
      <c r="L1118" s="237"/>
      <c r="M1118" s="237"/>
      <c r="N1118" s="237"/>
      <c r="O1118" s="237"/>
      <c r="P1118" s="237"/>
      <c r="Q1118" s="237"/>
      <c r="R1118" s="237"/>
      <c r="S1118" s="237"/>
      <c r="T1118" s="237"/>
      <c r="U1118" s="237"/>
      <c r="V1118" s="237"/>
      <c r="W1118" s="237"/>
      <c r="X1118" s="237"/>
      <c r="Y1118" s="237"/>
      <c r="Z1118" s="237"/>
    </row>
    <row r="1119">
      <c r="A1119" s="305">
        <v>1118.0</v>
      </c>
      <c r="B1119" s="236"/>
      <c r="C1119" s="307" t="s">
        <v>1420</v>
      </c>
      <c r="D1119" s="308" t="s">
        <v>1405</v>
      </c>
      <c r="E1119" s="305" t="s">
        <v>12878</v>
      </c>
      <c r="F1119" s="236"/>
      <c r="G1119" s="236"/>
      <c r="H1119" s="307" t="s">
        <v>1420</v>
      </c>
      <c r="I1119" s="237"/>
      <c r="J1119" s="237"/>
      <c r="K1119" s="310" t="s">
        <v>12877</v>
      </c>
      <c r="L1119" s="237"/>
      <c r="M1119" s="237"/>
      <c r="N1119" s="237"/>
      <c r="O1119" s="237"/>
      <c r="P1119" s="237"/>
      <c r="Q1119" s="237"/>
      <c r="R1119" s="237"/>
      <c r="S1119" s="237"/>
      <c r="T1119" s="237"/>
      <c r="U1119" s="237"/>
      <c r="V1119" s="237"/>
      <c r="W1119" s="237"/>
      <c r="X1119" s="237"/>
      <c r="Y1119" s="237"/>
      <c r="Z1119" s="237"/>
    </row>
    <row r="1120">
      <c r="A1120" s="305">
        <v>1119.0</v>
      </c>
      <c r="B1120" s="236"/>
      <c r="C1120" s="307" t="s">
        <v>1420</v>
      </c>
      <c r="D1120" s="308" t="s">
        <v>1406</v>
      </c>
      <c r="E1120" s="236"/>
      <c r="F1120" s="309" t="s">
        <v>12880</v>
      </c>
      <c r="G1120" s="236"/>
      <c r="H1120" s="307" t="s">
        <v>1420</v>
      </c>
      <c r="I1120" s="237"/>
      <c r="J1120" s="237"/>
      <c r="K1120" s="310" t="s">
        <v>12879</v>
      </c>
      <c r="L1120" s="237"/>
      <c r="M1120" s="237"/>
      <c r="N1120" s="237"/>
      <c r="O1120" s="237"/>
      <c r="P1120" s="237"/>
      <c r="Q1120" s="237"/>
      <c r="R1120" s="237"/>
      <c r="S1120" s="237"/>
      <c r="T1120" s="237"/>
      <c r="U1120" s="237"/>
      <c r="V1120" s="237"/>
      <c r="W1120" s="237"/>
      <c r="X1120" s="237"/>
      <c r="Y1120" s="237"/>
      <c r="Z1120" s="237"/>
    </row>
    <row r="1121">
      <c r="A1121" s="305">
        <v>1120.0</v>
      </c>
      <c r="B1121" s="236"/>
      <c r="C1121" s="307" t="s">
        <v>1420</v>
      </c>
      <c r="D1121" s="308" t="s">
        <v>1408</v>
      </c>
      <c r="E1121" s="305" t="s">
        <v>12885</v>
      </c>
      <c r="F1121" s="309" t="s">
        <v>12876</v>
      </c>
      <c r="G1121" s="236"/>
      <c r="H1121" s="307" t="s">
        <v>1420</v>
      </c>
      <c r="I1121" s="237"/>
      <c r="J1121" s="237"/>
      <c r="K1121" s="310" t="s">
        <v>12884</v>
      </c>
      <c r="L1121" s="237"/>
      <c r="M1121" s="237"/>
      <c r="N1121" s="237"/>
      <c r="O1121" s="237"/>
      <c r="P1121" s="237"/>
      <c r="Q1121" s="237"/>
      <c r="R1121" s="237"/>
      <c r="S1121" s="237"/>
      <c r="T1121" s="237"/>
      <c r="U1121" s="237"/>
      <c r="V1121" s="237"/>
      <c r="W1121" s="237"/>
      <c r="X1121" s="237"/>
      <c r="Y1121" s="237"/>
      <c r="Z1121" s="237"/>
    </row>
    <row r="1122">
      <c r="A1122" s="305">
        <v>1121.0</v>
      </c>
      <c r="B1122" s="236"/>
      <c r="C1122" s="307" t="s">
        <v>1420</v>
      </c>
      <c r="D1122" s="308" t="s">
        <v>1407</v>
      </c>
      <c r="E1122" s="305" t="s">
        <v>12882</v>
      </c>
      <c r="F1122" s="309" t="s">
        <v>12883</v>
      </c>
      <c r="G1122" s="236"/>
      <c r="H1122" s="307" t="s">
        <v>1420</v>
      </c>
      <c r="I1122" s="237"/>
      <c r="J1122" s="237"/>
      <c r="K1122" s="310" t="s">
        <v>12881</v>
      </c>
      <c r="L1122" s="237"/>
      <c r="M1122" s="237"/>
      <c r="N1122" s="237"/>
      <c r="O1122" s="237"/>
      <c r="P1122" s="237"/>
      <c r="Q1122" s="237"/>
      <c r="R1122" s="237"/>
      <c r="S1122" s="237"/>
      <c r="T1122" s="237"/>
      <c r="U1122" s="237"/>
      <c r="V1122" s="237"/>
      <c r="W1122" s="237"/>
      <c r="X1122" s="237"/>
      <c r="Y1122" s="237"/>
      <c r="Z1122" s="237"/>
    </row>
    <row r="1123">
      <c r="A1123" s="305">
        <v>1122.0</v>
      </c>
      <c r="B1123" s="236"/>
      <c r="C1123" s="307" t="s">
        <v>1420</v>
      </c>
      <c r="D1123" s="308" t="s">
        <v>1404</v>
      </c>
      <c r="E1123" s="236"/>
      <c r="F1123" s="309" t="s">
        <v>12876</v>
      </c>
      <c r="G1123" s="236"/>
      <c r="H1123" s="307" t="s">
        <v>1420</v>
      </c>
      <c r="I1123" s="237"/>
      <c r="J1123" s="237"/>
      <c r="K1123" s="310" t="s">
        <v>12875</v>
      </c>
      <c r="L1123" s="237"/>
      <c r="M1123" s="237"/>
      <c r="N1123" s="237"/>
      <c r="O1123" s="237"/>
      <c r="P1123" s="237"/>
      <c r="Q1123" s="237"/>
      <c r="R1123" s="237"/>
      <c r="S1123" s="237"/>
      <c r="T1123" s="237"/>
      <c r="U1123" s="237"/>
      <c r="V1123" s="237"/>
      <c r="W1123" s="237"/>
      <c r="X1123" s="237"/>
      <c r="Y1123" s="237"/>
      <c r="Z1123" s="237"/>
    </row>
    <row r="1124">
      <c r="A1124" s="305">
        <v>1123.0</v>
      </c>
      <c r="B1124" s="236"/>
      <c r="C1124" s="307" t="s">
        <v>1420</v>
      </c>
      <c r="D1124" s="308" t="s">
        <v>1429</v>
      </c>
      <c r="E1124" s="305" t="s">
        <v>12921</v>
      </c>
      <c r="F1124" s="309" t="s">
        <v>14361</v>
      </c>
      <c r="G1124" s="236"/>
      <c r="H1124" s="307" t="s">
        <v>1420</v>
      </c>
      <c r="I1124" s="237"/>
      <c r="J1124" s="237"/>
      <c r="K1124" s="310" t="s">
        <v>12920</v>
      </c>
      <c r="L1124" s="237"/>
      <c r="M1124" s="237"/>
      <c r="N1124" s="237"/>
      <c r="O1124" s="237"/>
      <c r="P1124" s="237"/>
      <c r="Q1124" s="237"/>
      <c r="R1124" s="237"/>
      <c r="S1124" s="237"/>
      <c r="T1124" s="237"/>
      <c r="U1124" s="237"/>
      <c r="V1124" s="237"/>
      <c r="W1124" s="237"/>
      <c r="X1124" s="237"/>
      <c r="Y1124" s="237"/>
      <c r="Z1124" s="237"/>
    </row>
    <row r="1125">
      <c r="A1125" s="305">
        <v>1124.0</v>
      </c>
      <c r="B1125" s="236"/>
      <c r="C1125" s="307" t="s">
        <v>1420</v>
      </c>
      <c r="D1125" s="308" t="s">
        <v>1430</v>
      </c>
      <c r="E1125" s="305" t="s">
        <v>12924</v>
      </c>
      <c r="F1125" s="309" t="s">
        <v>14362</v>
      </c>
      <c r="G1125" s="236"/>
      <c r="H1125" s="307" t="s">
        <v>1420</v>
      </c>
      <c r="I1125" s="237"/>
      <c r="J1125" s="237"/>
      <c r="K1125" s="310" t="s">
        <v>12923</v>
      </c>
      <c r="L1125" s="237"/>
      <c r="M1125" s="237"/>
      <c r="N1125" s="237"/>
      <c r="O1125" s="237"/>
      <c r="P1125" s="237"/>
      <c r="Q1125" s="237"/>
      <c r="R1125" s="237"/>
      <c r="S1125" s="237"/>
      <c r="T1125" s="237"/>
      <c r="U1125" s="237"/>
      <c r="V1125" s="237"/>
      <c r="W1125" s="237"/>
      <c r="X1125" s="237"/>
      <c r="Y1125" s="237"/>
      <c r="Z1125" s="237"/>
    </row>
    <row r="1126">
      <c r="A1126" s="305">
        <v>1125.0</v>
      </c>
      <c r="B1126" s="236"/>
      <c r="C1126" s="307" t="s">
        <v>1420</v>
      </c>
      <c r="D1126" s="308" t="s">
        <v>14363</v>
      </c>
      <c r="E1126" s="305" t="s">
        <v>12927</v>
      </c>
      <c r="F1126" s="309" t="s">
        <v>14364</v>
      </c>
      <c r="G1126" s="236"/>
      <c r="H1126" s="307" t="s">
        <v>1420</v>
      </c>
      <c r="I1126" s="237"/>
      <c r="J1126" s="237"/>
      <c r="K1126" s="310" t="s">
        <v>12926</v>
      </c>
      <c r="L1126" s="237"/>
      <c r="M1126" s="237"/>
      <c r="N1126" s="237"/>
      <c r="O1126" s="237"/>
      <c r="P1126" s="237"/>
      <c r="Q1126" s="237"/>
      <c r="R1126" s="237"/>
      <c r="S1126" s="237"/>
      <c r="T1126" s="237"/>
      <c r="U1126" s="237"/>
      <c r="V1126" s="237"/>
      <c r="W1126" s="237"/>
      <c r="X1126" s="237"/>
      <c r="Y1126" s="237"/>
      <c r="Z1126" s="237"/>
    </row>
    <row r="1127">
      <c r="A1127" s="305">
        <v>1126.0</v>
      </c>
      <c r="B1127" s="236"/>
      <c r="C1127" s="307" t="s">
        <v>1420</v>
      </c>
      <c r="D1127" s="308" t="s">
        <v>1435</v>
      </c>
      <c r="E1127" s="305" t="s">
        <v>12939</v>
      </c>
      <c r="F1127" s="309" t="s">
        <v>14365</v>
      </c>
      <c r="G1127" s="236"/>
      <c r="H1127" s="307" t="s">
        <v>1420</v>
      </c>
      <c r="I1127" s="237"/>
      <c r="J1127" s="237"/>
      <c r="K1127" s="310" t="s">
        <v>12938</v>
      </c>
      <c r="L1127" s="237"/>
      <c r="M1127" s="237"/>
      <c r="N1127" s="237"/>
      <c r="O1127" s="237"/>
      <c r="P1127" s="237"/>
      <c r="Q1127" s="237"/>
      <c r="R1127" s="237"/>
      <c r="S1127" s="237"/>
      <c r="T1127" s="237"/>
      <c r="U1127" s="237"/>
      <c r="V1127" s="237"/>
      <c r="W1127" s="237"/>
      <c r="X1127" s="237"/>
      <c r="Y1127" s="237"/>
      <c r="Z1127" s="237"/>
    </row>
    <row r="1128">
      <c r="A1128" s="305">
        <v>1127.0</v>
      </c>
      <c r="B1128" s="236"/>
      <c r="C1128" s="307" t="s">
        <v>1420</v>
      </c>
      <c r="D1128" s="308" t="s">
        <v>1436</v>
      </c>
      <c r="E1128" s="305" t="s">
        <v>12942</v>
      </c>
      <c r="F1128" s="309" t="s">
        <v>14366</v>
      </c>
      <c r="G1128" s="236"/>
      <c r="H1128" s="307" t="s">
        <v>1420</v>
      </c>
      <c r="I1128" s="237"/>
      <c r="J1128" s="237"/>
      <c r="K1128" s="310" t="s">
        <v>12941</v>
      </c>
      <c r="L1128" s="237"/>
      <c r="M1128" s="237"/>
      <c r="N1128" s="237"/>
      <c r="O1128" s="237"/>
      <c r="P1128" s="237"/>
      <c r="Q1128" s="237"/>
      <c r="R1128" s="237"/>
      <c r="S1128" s="237"/>
      <c r="T1128" s="237"/>
      <c r="U1128" s="237"/>
      <c r="V1128" s="237"/>
      <c r="W1128" s="237"/>
      <c r="X1128" s="237"/>
      <c r="Y1128" s="237"/>
      <c r="Z1128" s="237"/>
    </row>
    <row r="1129">
      <c r="A1129" s="305">
        <v>1128.0</v>
      </c>
      <c r="B1129" s="236"/>
      <c r="C1129" s="307" t="s">
        <v>1420</v>
      </c>
      <c r="D1129" s="308" t="s">
        <v>1437</v>
      </c>
      <c r="E1129" s="305" t="s">
        <v>12945</v>
      </c>
      <c r="F1129" s="309" t="s">
        <v>14367</v>
      </c>
      <c r="G1129" s="236"/>
      <c r="H1129" s="307" t="s">
        <v>1420</v>
      </c>
      <c r="I1129" s="237"/>
      <c r="J1129" s="237"/>
      <c r="K1129" s="310" t="s">
        <v>12944</v>
      </c>
      <c r="L1129" s="237"/>
      <c r="M1129" s="237"/>
      <c r="N1129" s="237"/>
      <c r="O1129" s="237"/>
      <c r="P1129" s="237"/>
      <c r="Q1129" s="237"/>
      <c r="R1129" s="237"/>
      <c r="S1129" s="237"/>
      <c r="T1129" s="237"/>
      <c r="U1129" s="237"/>
      <c r="V1129" s="237"/>
      <c r="W1129" s="237"/>
      <c r="X1129" s="237"/>
      <c r="Y1129" s="237"/>
      <c r="Z1129" s="237"/>
    </row>
    <row r="1130">
      <c r="A1130" s="305">
        <v>1129.0</v>
      </c>
      <c r="B1130" s="236"/>
      <c r="C1130" s="307" t="s">
        <v>1420</v>
      </c>
      <c r="D1130" s="308" t="s">
        <v>1432</v>
      </c>
      <c r="E1130" s="305" t="s">
        <v>12930</v>
      </c>
      <c r="F1130" s="309" t="s">
        <v>14368</v>
      </c>
      <c r="G1130" s="236"/>
      <c r="H1130" s="307" t="s">
        <v>1420</v>
      </c>
      <c r="I1130" s="237"/>
      <c r="J1130" s="237"/>
      <c r="K1130" s="310" t="s">
        <v>12929</v>
      </c>
      <c r="L1130" s="237"/>
      <c r="M1130" s="237"/>
      <c r="N1130" s="237"/>
      <c r="O1130" s="237"/>
      <c r="P1130" s="237"/>
      <c r="Q1130" s="237"/>
      <c r="R1130" s="237"/>
      <c r="S1130" s="237"/>
      <c r="T1130" s="237"/>
      <c r="U1130" s="237"/>
      <c r="V1130" s="237"/>
      <c r="W1130" s="237"/>
      <c r="X1130" s="237"/>
      <c r="Y1130" s="237"/>
      <c r="Z1130" s="237"/>
    </row>
    <row r="1131">
      <c r="A1131" s="305">
        <v>1130.0</v>
      </c>
      <c r="B1131" s="236"/>
      <c r="C1131" s="307" t="s">
        <v>1420</v>
      </c>
      <c r="D1131" s="308" t="s">
        <v>1433</v>
      </c>
      <c r="E1131" s="305" t="s">
        <v>12933</v>
      </c>
      <c r="F1131" s="309" t="s">
        <v>14369</v>
      </c>
      <c r="G1131" s="236"/>
      <c r="H1131" s="307" t="s">
        <v>1420</v>
      </c>
      <c r="I1131" s="237"/>
      <c r="J1131" s="237"/>
      <c r="K1131" s="310" t="s">
        <v>12932</v>
      </c>
      <c r="L1131" s="237"/>
      <c r="M1131" s="237"/>
      <c r="N1131" s="237"/>
      <c r="O1131" s="237"/>
      <c r="P1131" s="237"/>
      <c r="Q1131" s="237"/>
      <c r="R1131" s="237"/>
      <c r="S1131" s="237"/>
      <c r="T1131" s="237"/>
      <c r="U1131" s="237"/>
      <c r="V1131" s="237"/>
      <c r="W1131" s="237"/>
      <c r="X1131" s="237"/>
      <c r="Y1131" s="237"/>
      <c r="Z1131" s="237"/>
    </row>
    <row r="1132">
      <c r="A1132" s="305">
        <v>1131.0</v>
      </c>
      <c r="B1132" s="236"/>
      <c r="C1132" s="307" t="s">
        <v>1420</v>
      </c>
      <c r="D1132" s="308" t="s">
        <v>1434</v>
      </c>
      <c r="E1132" s="305" t="s">
        <v>12936</v>
      </c>
      <c r="F1132" s="309" t="s">
        <v>14370</v>
      </c>
      <c r="G1132" s="236"/>
      <c r="H1132" s="307" t="s">
        <v>1420</v>
      </c>
      <c r="I1132" s="237"/>
      <c r="J1132" s="237"/>
      <c r="K1132" s="310" t="s">
        <v>12935</v>
      </c>
      <c r="L1132" s="237"/>
      <c r="M1132" s="237"/>
      <c r="N1132" s="237"/>
      <c r="O1132" s="237"/>
      <c r="P1132" s="237"/>
      <c r="Q1132" s="237"/>
      <c r="R1132" s="237"/>
      <c r="S1132" s="237"/>
      <c r="T1132" s="237"/>
      <c r="U1132" s="237"/>
      <c r="V1132" s="237"/>
      <c r="W1132" s="237"/>
      <c r="X1132" s="237"/>
      <c r="Y1132" s="237"/>
      <c r="Z1132" s="237"/>
    </row>
    <row r="1133">
      <c r="A1133" s="305">
        <v>1132.0</v>
      </c>
      <c r="B1133" s="236"/>
      <c r="C1133" s="307" t="s">
        <v>1420</v>
      </c>
      <c r="D1133" s="308" t="s">
        <v>1438</v>
      </c>
      <c r="E1133" s="305" t="s">
        <v>12948</v>
      </c>
      <c r="F1133" s="309" t="s">
        <v>14371</v>
      </c>
      <c r="G1133" s="236"/>
      <c r="H1133" s="307" t="s">
        <v>1420</v>
      </c>
      <c r="I1133" s="237"/>
      <c r="J1133" s="237"/>
      <c r="K1133" s="310" t="s">
        <v>12947</v>
      </c>
      <c r="L1133" s="237"/>
      <c r="M1133" s="237"/>
      <c r="N1133" s="237"/>
      <c r="O1133" s="237"/>
      <c r="P1133" s="237"/>
      <c r="Q1133" s="237"/>
      <c r="R1133" s="237"/>
      <c r="S1133" s="237"/>
      <c r="T1133" s="237"/>
      <c r="U1133" s="237"/>
      <c r="V1133" s="237"/>
      <c r="W1133" s="237"/>
      <c r="X1133" s="237"/>
      <c r="Y1133" s="237"/>
      <c r="Z1133" s="237"/>
    </row>
    <row r="1134">
      <c r="A1134" s="305">
        <v>1133.0</v>
      </c>
      <c r="B1134" s="236"/>
      <c r="C1134" s="307" t="s">
        <v>1420</v>
      </c>
      <c r="D1134" s="308" t="s">
        <v>1439</v>
      </c>
      <c r="E1134" s="305" t="s">
        <v>12951</v>
      </c>
      <c r="F1134" s="309" t="s">
        <v>14372</v>
      </c>
      <c r="G1134" s="236"/>
      <c r="H1134" s="307" t="s">
        <v>1420</v>
      </c>
      <c r="I1134" s="237"/>
      <c r="J1134" s="237"/>
      <c r="K1134" s="310" t="s">
        <v>12950</v>
      </c>
      <c r="L1134" s="237"/>
      <c r="M1134" s="237"/>
      <c r="N1134" s="237"/>
      <c r="O1134" s="237"/>
      <c r="P1134" s="237"/>
      <c r="Q1134" s="237"/>
      <c r="R1134" s="237"/>
      <c r="S1134" s="237"/>
      <c r="T1134" s="237"/>
      <c r="U1134" s="237"/>
      <c r="V1134" s="237"/>
      <c r="W1134" s="237"/>
      <c r="X1134" s="237"/>
      <c r="Y1134" s="237"/>
      <c r="Z1134" s="237"/>
    </row>
    <row r="1135">
      <c r="A1135" s="305">
        <v>1134.0</v>
      </c>
      <c r="B1135" s="236"/>
      <c r="C1135" s="307" t="s">
        <v>1420</v>
      </c>
      <c r="D1135" s="308" t="s">
        <v>1440</v>
      </c>
      <c r="E1135" s="305" t="s">
        <v>12954</v>
      </c>
      <c r="F1135" s="309" t="s">
        <v>14373</v>
      </c>
      <c r="G1135" s="236"/>
      <c r="H1135" s="307" t="s">
        <v>1420</v>
      </c>
      <c r="I1135" s="237"/>
      <c r="J1135" s="237"/>
      <c r="K1135" s="310" t="s">
        <v>12953</v>
      </c>
      <c r="L1135" s="237"/>
      <c r="M1135" s="237"/>
      <c r="N1135" s="237"/>
      <c r="O1135" s="237"/>
      <c r="P1135" s="237"/>
      <c r="Q1135" s="237"/>
      <c r="R1135" s="237"/>
      <c r="S1135" s="237"/>
      <c r="T1135" s="237"/>
      <c r="U1135" s="237"/>
      <c r="V1135" s="237"/>
      <c r="W1135" s="237"/>
      <c r="X1135" s="237"/>
      <c r="Y1135" s="237"/>
      <c r="Z1135" s="237"/>
    </row>
    <row r="1136">
      <c r="A1136" s="305">
        <v>1135.0</v>
      </c>
      <c r="B1136" s="236"/>
      <c r="C1136" s="307" t="s">
        <v>1420</v>
      </c>
      <c r="D1136" s="308" t="s">
        <v>1409</v>
      </c>
      <c r="E1136" s="305" t="s">
        <v>12887</v>
      </c>
      <c r="F1136" s="309" t="s">
        <v>12888</v>
      </c>
      <c r="G1136" s="236"/>
      <c r="H1136" s="307" t="s">
        <v>1420</v>
      </c>
      <c r="I1136" s="237"/>
      <c r="J1136" s="237"/>
      <c r="K1136" s="310" t="s">
        <v>12886</v>
      </c>
      <c r="L1136" s="237"/>
      <c r="M1136" s="237"/>
      <c r="N1136" s="237"/>
      <c r="O1136" s="237"/>
      <c r="P1136" s="237"/>
      <c r="Q1136" s="237"/>
      <c r="R1136" s="237"/>
      <c r="S1136" s="237"/>
      <c r="T1136" s="237"/>
      <c r="U1136" s="237"/>
      <c r="V1136" s="237"/>
      <c r="W1136" s="237"/>
      <c r="X1136" s="237"/>
      <c r="Y1136" s="237"/>
      <c r="Z1136" s="237"/>
    </row>
    <row r="1137">
      <c r="A1137" s="305">
        <v>1136.0</v>
      </c>
      <c r="B1137" s="236"/>
      <c r="C1137" s="307" t="s">
        <v>1420</v>
      </c>
      <c r="D1137" s="308" t="s">
        <v>11686</v>
      </c>
      <c r="E1137" s="305" t="s">
        <v>14374</v>
      </c>
      <c r="F1137" s="309" t="s">
        <v>11688</v>
      </c>
      <c r="G1137" s="236"/>
      <c r="H1137" s="307" t="s">
        <v>1420</v>
      </c>
      <c r="I1137" s="237"/>
      <c r="J1137" s="237"/>
      <c r="K1137" s="310" t="s">
        <v>11685</v>
      </c>
      <c r="L1137" s="237"/>
      <c r="M1137" s="237"/>
      <c r="N1137" s="237"/>
      <c r="O1137" s="237"/>
      <c r="P1137" s="237"/>
      <c r="Q1137" s="237"/>
      <c r="R1137" s="237"/>
      <c r="S1137" s="237"/>
      <c r="T1137" s="237"/>
      <c r="U1137" s="237"/>
      <c r="V1137" s="237"/>
      <c r="W1137" s="237"/>
      <c r="X1137" s="237"/>
      <c r="Y1137" s="237"/>
      <c r="Z1137" s="237"/>
    </row>
    <row r="1138">
      <c r="A1138" s="305">
        <v>1137.0</v>
      </c>
      <c r="B1138" s="236"/>
      <c r="C1138" s="307" t="s">
        <v>1420</v>
      </c>
      <c r="D1138" s="308" t="s">
        <v>7972</v>
      </c>
      <c r="E1138" s="305" t="s">
        <v>7973</v>
      </c>
      <c r="F1138" s="309" t="s">
        <v>7974</v>
      </c>
      <c r="G1138" s="236"/>
      <c r="H1138" s="307" t="s">
        <v>1420</v>
      </c>
      <c r="I1138" s="237"/>
      <c r="J1138" s="237"/>
      <c r="K1138" s="310" t="s">
        <v>7971</v>
      </c>
      <c r="L1138" s="237"/>
      <c r="M1138" s="237"/>
      <c r="N1138" s="237"/>
      <c r="O1138" s="237"/>
      <c r="P1138" s="237"/>
      <c r="Q1138" s="237"/>
      <c r="R1138" s="237"/>
      <c r="S1138" s="237"/>
      <c r="T1138" s="237"/>
      <c r="U1138" s="237"/>
      <c r="V1138" s="237"/>
      <c r="W1138" s="237"/>
      <c r="X1138" s="237"/>
      <c r="Y1138" s="237"/>
      <c r="Z1138" s="237"/>
    </row>
    <row r="1139">
      <c r="A1139" s="305">
        <v>1138.0</v>
      </c>
      <c r="B1139" s="236"/>
      <c r="C1139" s="307" t="s">
        <v>1420</v>
      </c>
      <c r="D1139" s="308" t="s">
        <v>11681</v>
      </c>
      <c r="E1139" s="305" t="s">
        <v>14375</v>
      </c>
      <c r="F1139" s="309" t="s">
        <v>11683</v>
      </c>
      <c r="G1139" s="236"/>
      <c r="H1139" s="307" t="s">
        <v>1420</v>
      </c>
      <c r="I1139" s="237"/>
      <c r="J1139" s="237"/>
      <c r="K1139" s="310" t="s">
        <v>11680</v>
      </c>
      <c r="L1139" s="237"/>
      <c r="M1139" s="237"/>
      <c r="N1139" s="237"/>
      <c r="O1139" s="237"/>
      <c r="P1139" s="237"/>
      <c r="Q1139" s="237"/>
      <c r="R1139" s="237"/>
      <c r="S1139" s="237"/>
      <c r="T1139" s="237"/>
      <c r="U1139" s="237"/>
      <c r="V1139" s="237"/>
      <c r="W1139" s="237"/>
      <c r="X1139" s="237"/>
      <c r="Y1139" s="237"/>
      <c r="Z1139" s="237"/>
    </row>
    <row r="1140">
      <c r="A1140" s="305">
        <v>1139.0</v>
      </c>
      <c r="B1140" s="236"/>
      <c r="C1140" s="307" t="s">
        <v>1420</v>
      </c>
      <c r="D1140" s="308" t="s">
        <v>7968</v>
      </c>
      <c r="E1140" s="305" t="s">
        <v>7969</v>
      </c>
      <c r="F1140" s="309" t="s">
        <v>7970</v>
      </c>
      <c r="G1140" s="236"/>
      <c r="H1140" s="307" t="s">
        <v>1420</v>
      </c>
      <c r="I1140" s="237"/>
      <c r="J1140" s="237"/>
      <c r="K1140" s="310" t="s">
        <v>7967</v>
      </c>
      <c r="L1140" s="237"/>
      <c r="M1140" s="237"/>
      <c r="N1140" s="237"/>
      <c r="O1140" s="237"/>
      <c r="P1140" s="237"/>
      <c r="Q1140" s="237"/>
      <c r="R1140" s="237"/>
      <c r="S1140" s="237"/>
      <c r="T1140" s="237"/>
      <c r="U1140" s="237"/>
      <c r="V1140" s="237"/>
      <c r="W1140" s="237"/>
      <c r="X1140" s="237"/>
      <c r="Y1140" s="237"/>
      <c r="Z1140" s="237"/>
    </row>
    <row r="1141">
      <c r="A1141" s="305">
        <v>1140.0</v>
      </c>
      <c r="B1141" s="306">
        <v>5.0012225E7</v>
      </c>
      <c r="C1141" s="307" t="s">
        <v>1420</v>
      </c>
      <c r="D1141" s="308" t="s">
        <v>9652</v>
      </c>
      <c r="E1141" s="305" t="s">
        <v>9653</v>
      </c>
      <c r="F1141" s="309" t="s">
        <v>9654</v>
      </c>
      <c r="G1141" s="236"/>
      <c r="H1141" s="307" t="s">
        <v>1420</v>
      </c>
      <c r="I1141" s="237"/>
      <c r="J1141" s="237"/>
      <c r="K1141" s="310" t="s">
        <v>9651</v>
      </c>
      <c r="L1141" s="237"/>
      <c r="M1141" s="237"/>
      <c r="N1141" s="237"/>
      <c r="O1141" s="237"/>
      <c r="P1141" s="237"/>
      <c r="Q1141" s="237"/>
      <c r="R1141" s="237"/>
      <c r="S1141" s="237"/>
      <c r="T1141" s="237"/>
      <c r="U1141" s="237"/>
      <c r="V1141" s="237"/>
      <c r="W1141" s="237"/>
      <c r="X1141" s="237"/>
      <c r="Y1141" s="237"/>
      <c r="Z1141" s="237"/>
    </row>
    <row r="1142">
      <c r="A1142" s="305">
        <v>1141.0</v>
      </c>
      <c r="B1142" s="306">
        <v>5.0012988E7</v>
      </c>
      <c r="C1142" s="307" t="s">
        <v>1420</v>
      </c>
      <c r="D1142" s="308" t="s">
        <v>9657</v>
      </c>
      <c r="E1142" s="305" t="s">
        <v>9658</v>
      </c>
      <c r="F1142" s="309" t="s">
        <v>9659</v>
      </c>
      <c r="G1142" s="236"/>
      <c r="H1142" s="307" t="s">
        <v>1420</v>
      </c>
      <c r="I1142" s="237"/>
      <c r="J1142" s="237"/>
      <c r="K1142" s="310" t="s">
        <v>9656</v>
      </c>
      <c r="L1142" s="237"/>
      <c r="M1142" s="237"/>
      <c r="N1142" s="237"/>
      <c r="O1142" s="237"/>
      <c r="P1142" s="237"/>
      <c r="Q1142" s="237"/>
      <c r="R1142" s="237"/>
      <c r="S1142" s="237"/>
      <c r="T1142" s="237"/>
      <c r="U1142" s="237"/>
      <c r="V1142" s="237"/>
      <c r="W1142" s="237"/>
      <c r="X1142" s="237"/>
      <c r="Y1142" s="237"/>
      <c r="Z1142" s="237"/>
    </row>
    <row r="1143">
      <c r="A1143" s="305">
        <v>1142.0</v>
      </c>
      <c r="B1143" s="306">
        <v>5.0010059E7</v>
      </c>
      <c r="C1143" s="307" t="s">
        <v>1420</v>
      </c>
      <c r="D1143" s="308" t="s">
        <v>2231</v>
      </c>
      <c r="E1143" s="305" t="s">
        <v>5046</v>
      </c>
      <c r="F1143" s="309" t="s">
        <v>5047</v>
      </c>
      <c r="G1143" s="236"/>
      <c r="H1143" s="307" t="s">
        <v>1420</v>
      </c>
      <c r="I1143" s="237"/>
      <c r="J1143" s="237"/>
      <c r="K1143" s="310" t="s">
        <v>5045</v>
      </c>
      <c r="L1143" s="237"/>
      <c r="M1143" s="237"/>
      <c r="N1143" s="237"/>
      <c r="O1143" s="237"/>
      <c r="P1143" s="237"/>
      <c r="Q1143" s="237"/>
      <c r="R1143" s="237"/>
      <c r="S1143" s="237"/>
      <c r="T1143" s="237"/>
      <c r="U1143" s="237"/>
      <c r="V1143" s="237"/>
      <c r="W1143" s="237"/>
      <c r="X1143" s="237"/>
      <c r="Y1143" s="237"/>
      <c r="Z1143" s="237"/>
    </row>
    <row r="1144">
      <c r="A1144" s="305">
        <v>1143.0</v>
      </c>
      <c r="B1144" s="236"/>
      <c r="C1144" s="307" t="s">
        <v>1420</v>
      </c>
      <c r="D1144" s="308" t="s">
        <v>2229</v>
      </c>
      <c r="E1144" s="305" t="s">
        <v>5042</v>
      </c>
      <c r="F1144" s="309" t="s">
        <v>5043</v>
      </c>
      <c r="G1144" s="236"/>
      <c r="H1144" s="307" t="s">
        <v>1420</v>
      </c>
      <c r="I1144" s="237"/>
      <c r="J1144" s="237"/>
      <c r="K1144" s="310" t="s">
        <v>5041</v>
      </c>
      <c r="L1144" s="237"/>
      <c r="M1144" s="237"/>
      <c r="N1144" s="237"/>
      <c r="O1144" s="237"/>
      <c r="P1144" s="237"/>
      <c r="Q1144" s="237"/>
      <c r="R1144" s="237"/>
      <c r="S1144" s="237"/>
      <c r="T1144" s="237"/>
      <c r="U1144" s="237"/>
      <c r="V1144" s="237"/>
      <c r="W1144" s="237"/>
      <c r="X1144" s="237"/>
      <c r="Y1144" s="237"/>
      <c r="Z1144" s="237"/>
    </row>
    <row r="1145">
      <c r="A1145" s="305">
        <v>1144.0</v>
      </c>
      <c r="B1145" s="236"/>
      <c r="C1145" s="307" t="s">
        <v>1420</v>
      </c>
      <c r="D1145" s="308" t="s">
        <v>7976</v>
      </c>
      <c r="E1145" s="305" t="s">
        <v>7977</v>
      </c>
      <c r="F1145" s="309" t="s">
        <v>7978</v>
      </c>
      <c r="G1145" s="236"/>
      <c r="H1145" s="307" t="s">
        <v>1420</v>
      </c>
      <c r="I1145" s="237"/>
      <c r="J1145" s="237"/>
      <c r="K1145" s="310" t="s">
        <v>7975</v>
      </c>
      <c r="L1145" s="237"/>
      <c r="M1145" s="237"/>
      <c r="N1145" s="237"/>
      <c r="O1145" s="237"/>
      <c r="P1145" s="237"/>
      <c r="Q1145" s="237"/>
      <c r="R1145" s="237"/>
      <c r="S1145" s="237"/>
      <c r="T1145" s="237"/>
      <c r="U1145" s="237"/>
      <c r="V1145" s="237"/>
      <c r="W1145" s="237"/>
      <c r="X1145" s="237"/>
      <c r="Y1145" s="237"/>
      <c r="Z1145" s="237"/>
    </row>
    <row r="1146">
      <c r="A1146" s="305">
        <v>1145.0</v>
      </c>
      <c r="B1146" s="306">
        <v>5.0013106E7</v>
      </c>
      <c r="C1146" s="307" t="s">
        <v>1420</v>
      </c>
      <c r="D1146" s="308" t="s">
        <v>9323</v>
      </c>
      <c r="E1146" s="305" t="s">
        <v>9324</v>
      </c>
      <c r="F1146" s="309" t="s">
        <v>9325</v>
      </c>
      <c r="G1146" s="236"/>
      <c r="H1146" s="307" t="s">
        <v>1420</v>
      </c>
      <c r="I1146" s="237"/>
      <c r="J1146" s="237"/>
      <c r="K1146" s="310" t="s">
        <v>9322</v>
      </c>
      <c r="L1146" s="237"/>
      <c r="M1146" s="237"/>
      <c r="N1146" s="237"/>
      <c r="O1146" s="237"/>
      <c r="P1146" s="237"/>
      <c r="Q1146" s="237"/>
      <c r="R1146" s="237"/>
      <c r="S1146" s="237"/>
      <c r="T1146" s="237"/>
      <c r="U1146" s="237"/>
      <c r="V1146" s="237"/>
      <c r="W1146" s="237"/>
      <c r="X1146" s="237"/>
      <c r="Y1146" s="237"/>
      <c r="Z1146" s="237"/>
    </row>
    <row r="1147">
      <c r="A1147" s="305">
        <v>1146.0</v>
      </c>
      <c r="B1147" s="306">
        <v>5.0013108E7</v>
      </c>
      <c r="C1147" s="307" t="s">
        <v>1420</v>
      </c>
      <c r="D1147" s="308" t="s">
        <v>9328</v>
      </c>
      <c r="E1147" s="305" t="s">
        <v>9329</v>
      </c>
      <c r="F1147" s="309" t="s">
        <v>9330</v>
      </c>
      <c r="G1147" s="236"/>
      <c r="H1147" s="307" t="s">
        <v>1420</v>
      </c>
      <c r="I1147" s="237"/>
      <c r="J1147" s="237"/>
      <c r="K1147" s="310" t="s">
        <v>9327</v>
      </c>
      <c r="L1147" s="237"/>
      <c r="M1147" s="237"/>
      <c r="N1147" s="237"/>
      <c r="O1147" s="237"/>
      <c r="P1147" s="237"/>
      <c r="Q1147" s="237"/>
      <c r="R1147" s="237"/>
      <c r="S1147" s="237"/>
      <c r="T1147" s="237"/>
      <c r="U1147" s="237"/>
      <c r="V1147" s="237"/>
      <c r="W1147" s="237"/>
      <c r="X1147" s="237"/>
      <c r="Y1147" s="237"/>
      <c r="Z1147" s="237"/>
    </row>
    <row r="1148">
      <c r="A1148" s="305">
        <v>1147.0</v>
      </c>
      <c r="B1148" s="306">
        <v>5.0013105E7</v>
      </c>
      <c r="C1148" s="307" t="s">
        <v>1420</v>
      </c>
      <c r="D1148" s="308" t="s">
        <v>9318</v>
      </c>
      <c r="E1148" s="305" t="s">
        <v>9319</v>
      </c>
      <c r="F1148" s="309" t="s">
        <v>9320</v>
      </c>
      <c r="G1148" s="236"/>
      <c r="H1148" s="307" t="s">
        <v>1420</v>
      </c>
      <c r="I1148" s="237"/>
      <c r="J1148" s="237"/>
      <c r="K1148" s="310" t="s">
        <v>9317</v>
      </c>
      <c r="L1148" s="237"/>
      <c r="M1148" s="237"/>
      <c r="N1148" s="237"/>
      <c r="O1148" s="237"/>
      <c r="P1148" s="237"/>
      <c r="Q1148" s="237"/>
      <c r="R1148" s="237"/>
      <c r="S1148" s="237"/>
      <c r="T1148" s="237"/>
      <c r="U1148" s="237"/>
      <c r="V1148" s="237"/>
      <c r="W1148" s="237"/>
      <c r="X1148" s="237"/>
      <c r="Y1148" s="237"/>
      <c r="Z1148" s="237"/>
    </row>
    <row r="1149">
      <c r="A1149" s="305">
        <v>1148.0</v>
      </c>
      <c r="B1149" s="236"/>
      <c r="C1149" s="307" t="s">
        <v>1420</v>
      </c>
      <c r="D1149" s="308" t="s">
        <v>1442</v>
      </c>
      <c r="E1149" s="305" t="s">
        <v>12957</v>
      </c>
      <c r="F1149" s="309" t="s">
        <v>14376</v>
      </c>
      <c r="G1149" s="236"/>
      <c r="H1149" s="307" t="s">
        <v>1420</v>
      </c>
      <c r="I1149" s="237"/>
      <c r="J1149" s="237"/>
      <c r="K1149" s="310" t="s">
        <v>12956</v>
      </c>
      <c r="L1149" s="237"/>
      <c r="M1149" s="237"/>
      <c r="N1149" s="237"/>
      <c r="O1149" s="237"/>
      <c r="P1149" s="237"/>
      <c r="Q1149" s="237"/>
      <c r="R1149" s="237"/>
      <c r="S1149" s="237"/>
      <c r="T1149" s="237"/>
      <c r="U1149" s="237"/>
      <c r="V1149" s="237"/>
      <c r="W1149" s="237"/>
      <c r="X1149" s="237"/>
      <c r="Y1149" s="237"/>
      <c r="Z1149" s="237"/>
    </row>
    <row r="1150">
      <c r="A1150" s="305">
        <v>1149.0</v>
      </c>
      <c r="B1150" s="236"/>
      <c r="C1150" s="307" t="s">
        <v>1420</v>
      </c>
      <c r="D1150" s="308" t="s">
        <v>1443</v>
      </c>
      <c r="E1150" s="305" t="s">
        <v>12960</v>
      </c>
      <c r="F1150" s="309" t="s">
        <v>14377</v>
      </c>
      <c r="G1150" s="236"/>
      <c r="H1150" s="307" t="s">
        <v>1420</v>
      </c>
      <c r="I1150" s="237"/>
      <c r="J1150" s="237"/>
      <c r="K1150" s="310" t="s">
        <v>12959</v>
      </c>
      <c r="L1150" s="237"/>
      <c r="M1150" s="237"/>
      <c r="N1150" s="237"/>
      <c r="O1150" s="237"/>
      <c r="P1150" s="237"/>
      <c r="Q1150" s="237"/>
      <c r="R1150" s="237"/>
      <c r="S1150" s="237"/>
      <c r="T1150" s="237"/>
      <c r="U1150" s="237"/>
      <c r="V1150" s="237"/>
      <c r="W1150" s="237"/>
      <c r="X1150" s="237"/>
      <c r="Y1150" s="237"/>
      <c r="Z1150" s="237"/>
    </row>
    <row r="1151">
      <c r="A1151" s="305">
        <v>1150.0</v>
      </c>
      <c r="B1151" s="236"/>
      <c r="C1151" s="307" t="s">
        <v>1420</v>
      </c>
      <c r="D1151" s="308" t="s">
        <v>1444</v>
      </c>
      <c r="E1151" s="305" t="s">
        <v>12963</v>
      </c>
      <c r="F1151" s="309" t="s">
        <v>14378</v>
      </c>
      <c r="G1151" s="236"/>
      <c r="H1151" s="307" t="s">
        <v>1420</v>
      </c>
      <c r="I1151" s="237"/>
      <c r="J1151" s="237"/>
      <c r="K1151" s="310" t="s">
        <v>12962</v>
      </c>
      <c r="L1151" s="237"/>
      <c r="M1151" s="237"/>
      <c r="N1151" s="237"/>
      <c r="O1151" s="237"/>
      <c r="P1151" s="237"/>
      <c r="Q1151" s="237"/>
      <c r="R1151" s="237"/>
      <c r="S1151" s="237"/>
      <c r="T1151" s="237"/>
      <c r="U1151" s="237"/>
      <c r="V1151" s="237"/>
      <c r="W1151" s="237"/>
      <c r="X1151" s="237"/>
      <c r="Y1151" s="237"/>
      <c r="Z1151" s="237"/>
    </row>
    <row r="1152">
      <c r="A1152" s="305">
        <v>1151.0</v>
      </c>
      <c r="B1152" s="236"/>
      <c r="C1152" s="307" t="s">
        <v>1420</v>
      </c>
      <c r="D1152" s="308" t="s">
        <v>9666</v>
      </c>
      <c r="E1152" s="305" t="s">
        <v>9667</v>
      </c>
      <c r="F1152" s="309" t="s">
        <v>9668</v>
      </c>
      <c r="G1152" s="236"/>
      <c r="H1152" s="307" t="s">
        <v>1420</v>
      </c>
      <c r="I1152" s="237"/>
      <c r="J1152" s="237"/>
      <c r="K1152" s="310" t="s">
        <v>9665</v>
      </c>
      <c r="L1152" s="237"/>
      <c r="M1152" s="237"/>
      <c r="N1152" s="237"/>
      <c r="O1152" s="237"/>
      <c r="P1152" s="237"/>
      <c r="Q1152" s="237"/>
      <c r="R1152" s="237"/>
      <c r="S1152" s="237"/>
      <c r="T1152" s="237"/>
      <c r="U1152" s="237"/>
      <c r="V1152" s="237"/>
      <c r="W1152" s="237"/>
      <c r="X1152" s="237"/>
      <c r="Y1152" s="237"/>
      <c r="Z1152" s="237"/>
    </row>
    <row r="1153">
      <c r="A1153" s="305">
        <v>1152.0</v>
      </c>
      <c r="B1153" s="306">
        <v>5.0012227E7</v>
      </c>
      <c r="C1153" s="307" t="s">
        <v>1420</v>
      </c>
      <c r="D1153" s="308" t="s">
        <v>9647</v>
      </c>
      <c r="E1153" s="305" t="s">
        <v>9648</v>
      </c>
      <c r="F1153" s="309" t="s">
        <v>9649</v>
      </c>
      <c r="G1153" s="236"/>
      <c r="H1153" s="307" t="s">
        <v>1420</v>
      </c>
      <c r="I1153" s="237"/>
      <c r="J1153" s="237"/>
      <c r="K1153" s="310" t="s">
        <v>9646</v>
      </c>
      <c r="L1153" s="237"/>
      <c r="M1153" s="237"/>
      <c r="N1153" s="237"/>
      <c r="O1153" s="237"/>
      <c r="P1153" s="237"/>
      <c r="Q1153" s="237"/>
      <c r="R1153" s="237"/>
      <c r="S1153" s="237"/>
      <c r="T1153" s="237"/>
      <c r="U1153" s="237"/>
      <c r="V1153" s="237"/>
      <c r="W1153" s="237"/>
      <c r="X1153" s="237"/>
      <c r="Y1153" s="237"/>
      <c r="Z1153" s="237"/>
    </row>
    <row r="1154">
      <c r="A1154" s="305">
        <v>1153.0</v>
      </c>
      <c r="B1154" s="306">
        <v>5.0010058E7</v>
      </c>
      <c r="C1154" s="307" t="s">
        <v>1420</v>
      </c>
      <c r="D1154" s="308" t="s">
        <v>5050</v>
      </c>
      <c r="E1154" s="305" t="s">
        <v>5051</v>
      </c>
      <c r="F1154" s="309" t="s">
        <v>5052</v>
      </c>
      <c r="G1154" s="236"/>
      <c r="H1154" s="307" t="s">
        <v>1420</v>
      </c>
      <c r="I1154" s="237"/>
      <c r="J1154" s="237"/>
      <c r="K1154" s="310" t="s">
        <v>5049</v>
      </c>
      <c r="L1154" s="237"/>
      <c r="M1154" s="237"/>
      <c r="N1154" s="237"/>
      <c r="O1154" s="237"/>
      <c r="P1154" s="237"/>
      <c r="Q1154" s="237"/>
      <c r="R1154" s="237"/>
      <c r="S1154" s="237"/>
      <c r="T1154" s="237"/>
      <c r="U1154" s="237"/>
      <c r="V1154" s="237"/>
      <c r="W1154" s="237"/>
      <c r="X1154" s="237"/>
      <c r="Y1154" s="237"/>
      <c r="Z1154" s="237"/>
    </row>
    <row r="1155">
      <c r="A1155" s="305">
        <v>1154.0</v>
      </c>
      <c r="B1155" s="306">
        <v>5.0012229E7</v>
      </c>
      <c r="C1155" s="307" t="s">
        <v>1420</v>
      </c>
      <c r="D1155" s="308" t="s">
        <v>9662</v>
      </c>
      <c r="E1155" s="305" t="s">
        <v>9663</v>
      </c>
      <c r="F1155" s="309" t="s">
        <v>9664</v>
      </c>
      <c r="G1155" s="236"/>
      <c r="H1155" s="307" t="s">
        <v>1420</v>
      </c>
      <c r="I1155" s="237"/>
      <c r="J1155" s="237"/>
      <c r="K1155" s="310" t="s">
        <v>9661</v>
      </c>
      <c r="L1155" s="237"/>
      <c r="M1155" s="237"/>
      <c r="N1155" s="237"/>
      <c r="O1155" s="237"/>
      <c r="P1155" s="237"/>
      <c r="Q1155" s="237"/>
      <c r="R1155" s="237"/>
      <c r="S1155" s="237"/>
      <c r="T1155" s="237"/>
      <c r="U1155" s="237"/>
      <c r="V1155" s="237"/>
      <c r="W1155" s="237"/>
      <c r="X1155" s="237"/>
      <c r="Y1155" s="237"/>
      <c r="Z1155" s="237"/>
    </row>
    <row r="1156">
      <c r="A1156" s="305">
        <v>1155.0</v>
      </c>
      <c r="B1156" s="236"/>
      <c r="C1156" s="307" t="s">
        <v>1420</v>
      </c>
      <c r="D1156" s="308" t="s">
        <v>12742</v>
      </c>
      <c r="E1156" s="305" t="s">
        <v>12743</v>
      </c>
      <c r="F1156" s="309" t="s">
        <v>12744</v>
      </c>
      <c r="G1156" s="236"/>
      <c r="H1156" s="307" t="s">
        <v>1420</v>
      </c>
      <c r="I1156" s="237"/>
      <c r="J1156" s="237"/>
      <c r="K1156" s="310" t="s">
        <v>14379</v>
      </c>
      <c r="L1156" s="237"/>
      <c r="M1156" s="237"/>
      <c r="N1156" s="237"/>
      <c r="O1156" s="237"/>
      <c r="P1156" s="237"/>
      <c r="Q1156" s="237"/>
      <c r="R1156" s="237"/>
      <c r="S1156" s="237"/>
      <c r="T1156" s="237"/>
      <c r="U1156" s="237"/>
      <c r="V1156" s="237"/>
      <c r="W1156" s="237"/>
      <c r="X1156" s="237"/>
      <c r="Y1156" s="237"/>
      <c r="Z1156" s="237"/>
    </row>
    <row r="1157">
      <c r="A1157" s="305">
        <v>1156.0</v>
      </c>
      <c r="B1157" s="306">
        <v>5.0010049E7</v>
      </c>
      <c r="C1157" s="307" t="s">
        <v>1420</v>
      </c>
      <c r="D1157" s="308" t="s">
        <v>5055</v>
      </c>
      <c r="E1157" s="305" t="s">
        <v>5056</v>
      </c>
      <c r="F1157" s="309" t="s">
        <v>5057</v>
      </c>
      <c r="G1157" s="236"/>
      <c r="H1157" s="307" t="s">
        <v>1420</v>
      </c>
      <c r="I1157" s="237"/>
      <c r="J1157" s="237"/>
      <c r="K1157" s="310" t="s">
        <v>5054</v>
      </c>
      <c r="L1157" s="237"/>
      <c r="M1157" s="237"/>
      <c r="N1157" s="237"/>
      <c r="O1157" s="237"/>
      <c r="P1157" s="237"/>
      <c r="Q1157" s="237"/>
      <c r="R1157" s="237"/>
      <c r="S1157" s="237"/>
      <c r="T1157" s="237"/>
      <c r="U1157" s="237"/>
      <c r="V1157" s="237"/>
      <c r="W1157" s="237"/>
      <c r="X1157" s="237"/>
      <c r="Y1157" s="237"/>
      <c r="Z1157" s="237"/>
    </row>
    <row r="1158">
      <c r="A1158" s="305">
        <v>1157.0</v>
      </c>
      <c r="B1158" s="236"/>
      <c r="C1158" s="307" t="s">
        <v>1420</v>
      </c>
      <c r="D1158" s="308" t="s">
        <v>2199</v>
      </c>
      <c r="E1158" s="305" t="s">
        <v>14380</v>
      </c>
      <c r="F1158" s="309" t="s">
        <v>14381</v>
      </c>
      <c r="G1158" s="236"/>
      <c r="H1158" s="307" t="s">
        <v>1420</v>
      </c>
      <c r="I1158" s="237"/>
      <c r="J1158" s="237"/>
      <c r="K1158" s="310" t="s">
        <v>14382</v>
      </c>
      <c r="L1158" s="237"/>
      <c r="M1158" s="237"/>
      <c r="N1158" s="237"/>
      <c r="O1158" s="237"/>
      <c r="P1158" s="237"/>
      <c r="Q1158" s="237"/>
      <c r="R1158" s="237"/>
      <c r="S1158" s="237"/>
      <c r="T1158" s="237"/>
      <c r="U1158" s="237"/>
      <c r="V1158" s="237"/>
      <c r="W1158" s="237"/>
      <c r="X1158" s="237"/>
      <c r="Y1158" s="237"/>
      <c r="Z1158" s="237"/>
    </row>
    <row r="1159">
      <c r="A1159" s="305">
        <v>1158.0</v>
      </c>
      <c r="B1159" s="236"/>
      <c r="C1159" s="307" t="s">
        <v>1420</v>
      </c>
      <c r="D1159" s="308" t="s">
        <v>5239</v>
      </c>
      <c r="E1159" s="305" t="s">
        <v>5240</v>
      </c>
      <c r="F1159" s="309" t="s">
        <v>5259</v>
      </c>
      <c r="G1159" s="236"/>
      <c r="H1159" s="307" t="s">
        <v>1420</v>
      </c>
      <c r="I1159" s="237"/>
      <c r="J1159" s="237"/>
      <c r="K1159" s="310" t="s">
        <v>5258</v>
      </c>
      <c r="L1159" s="237"/>
      <c r="M1159" s="237"/>
      <c r="N1159" s="237"/>
      <c r="O1159" s="237"/>
      <c r="P1159" s="237"/>
      <c r="Q1159" s="237"/>
      <c r="R1159" s="237"/>
      <c r="S1159" s="237"/>
      <c r="T1159" s="237"/>
      <c r="U1159" s="237"/>
      <c r="V1159" s="237"/>
      <c r="W1159" s="237"/>
      <c r="X1159" s="237"/>
      <c r="Y1159" s="237"/>
      <c r="Z1159" s="237"/>
    </row>
    <row r="1160">
      <c r="A1160" s="305">
        <v>1159.0</v>
      </c>
      <c r="B1160" s="236"/>
      <c r="C1160" s="307" t="s">
        <v>1420</v>
      </c>
      <c r="D1160" s="308" t="s">
        <v>7980</v>
      </c>
      <c r="E1160" s="305" t="s">
        <v>7981</v>
      </c>
      <c r="F1160" s="309" t="s">
        <v>7982</v>
      </c>
      <c r="G1160" s="236"/>
      <c r="H1160" s="307" t="s">
        <v>1420</v>
      </c>
      <c r="I1160" s="237"/>
      <c r="J1160" s="237"/>
      <c r="K1160" s="310" t="s">
        <v>7979</v>
      </c>
      <c r="L1160" s="237"/>
      <c r="M1160" s="237"/>
      <c r="N1160" s="237"/>
      <c r="O1160" s="237"/>
      <c r="P1160" s="237"/>
      <c r="Q1160" s="237"/>
      <c r="R1160" s="237"/>
      <c r="S1160" s="237"/>
      <c r="T1160" s="237"/>
      <c r="U1160" s="237"/>
      <c r="V1160" s="237"/>
      <c r="W1160" s="237"/>
      <c r="X1160" s="237"/>
      <c r="Y1160" s="237"/>
      <c r="Z1160" s="237"/>
    </row>
    <row r="1161">
      <c r="A1161" s="305">
        <v>1160.0</v>
      </c>
      <c r="B1161" s="236"/>
      <c r="C1161" s="307" t="s">
        <v>1420</v>
      </c>
      <c r="D1161" s="308" t="s">
        <v>7984</v>
      </c>
      <c r="E1161" s="305" t="s">
        <v>7985</v>
      </c>
      <c r="F1161" s="309" t="s">
        <v>7986</v>
      </c>
      <c r="G1161" s="236"/>
      <c r="H1161" s="307" t="s">
        <v>1420</v>
      </c>
      <c r="I1161" s="237"/>
      <c r="J1161" s="237"/>
      <c r="K1161" s="310" t="s">
        <v>7983</v>
      </c>
      <c r="L1161" s="237"/>
      <c r="M1161" s="237"/>
      <c r="N1161" s="237"/>
      <c r="O1161" s="237"/>
      <c r="P1161" s="237"/>
      <c r="Q1161" s="237"/>
      <c r="R1161" s="237"/>
      <c r="S1161" s="237"/>
      <c r="T1161" s="237"/>
      <c r="U1161" s="237"/>
      <c r="V1161" s="237"/>
      <c r="W1161" s="237"/>
      <c r="X1161" s="237"/>
      <c r="Y1161" s="237"/>
      <c r="Z1161" s="237"/>
    </row>
    <row r="1162">
      <c r="A1162" s="305">
        <v>1161.0</v>
      </c>
      <c r="B1162" s="306">
        <v>5.0010877E7</v>
      </c>
      <c r="C1162" s="307" t="s">
        <v>1420</v>
      </c>
      <c r="D1162" s="308" t="s">
        <v>2473</v>
      </c>
      <c r="E1162" s="305" t="s">
        <v>6075</v>
      </c>
      <c r="F1162" s="309" t="s">
        <v>6076</v>
      </c>
      <c r="G1162" s="236"/>
      <c r="H1162" s="307" t="s">
        <v>1420</v>
      </c>
      <c r="I1162" s="237"/>
      <c r="J1162" s="237"/>
      <c r="K1162" s="310" t="s">
        <v>6074</v>
      </c>
      <c r="L1162" s="237"/>
      <c r="M1162" s="237"/>
      <c r="N1162" s="237"/>
      <c r="O1162" s="237"/>
      <c r="P1162" s="237"/>
      <c r="Q1162" s="237"/>
      <c r="R1162" s="237"/>
      <c r="S1162" s="237"/>
      <c r="T1162" s="237"/>
      <c r="U1162" s="237"/>
      <c r="V1162" s="237"/>
      <c r="W1162" s="237"/>
      <c r="X1162" s="237"/>
      <c r="Y1162" s="237"/>
      <c r="Z1162" s="237"/>
    </row>
    <row r="1163">
      <c r="A1163" s="305">
        <v>1162.0</v>
      </c>
      <c r="B1163" s="306">
        <v>5.0010051E7</v>
      </c>
      <c r="C1163" s="307" t="s">
        <v>1420</v>
      </c>
      <c r="D1163" s="308" t="s">
        <v>2200</v>
      </c>
      <c r="E1163" s="305" t="s">
        <v>5256</v>
      </c>
      <c r="F1163" s="309" t="s">
        <v>5257</v>
      </c>
      <c r="G1163" s="236"/>
      <c r="H1163" s="307" t="s">
        <v>1420</v>
      </c>
      <c r="I1163" s="237"/>
      <c r="J1163" s="237"/>
      <c r="K1163" s="310" t="s">
        <v>5255</v>
      </c>
      <c r="L1163" s="237"/>
      <c r="M1163" s="237"/>
      <c r="N1163" s="237"/>
      <c r="O1163" s="237"/>
      <c r="P1163" s="237"/>
      <c r="Q1163" s="237"/>
      <c r="R1163" s="237"/>
      <c r="S1163" s="237"/>
      <c r="T1163" s="237"/>
      <c r="U1163" s="237"/>
      <c r="V1163" s="237"/>
      <c r="W1163" s="237"/>
      <c r="X1163" s="237"/>
      <c r="Y1163" s="237"/>
      <c r="Z1163" s="237"/>
    </row>
    <row r="1164">
      <c r="A1164" s="305">
        <v>1163.0</v>
      </c>
      <c r="B1164" s="236"/>
      <c r="C1164" s="307" t="s">
        <v>1420</v>
      </c>
      <c r="D1164" s="308" t="s">
        <v>7988</v>
      </c>
      <c r="E1164" s="305" t="s">
        <v>7989</v>
      </c>
      <c r="F1164" s="309" t="s">
        <v>7990</v>
      </c>
      <c r="G1164" s="236"/>
      <c r="H1164" s="307" t="s">
        <v>1420</v>
      </c>
      <c r="I1164" s="237"/>
      <c r="J1164" s="237"/>
      <c r="K1164" s="310" t="s">
        <v>7987</v>
      </c>
      <c r="L1164" s="237"/>
      <c r="M1164" s="237"/>
      <c r="N1164" s="237"/>
      <c r="O1164" s="237"/>
      <c r="P1164" s="237"/>
      <c r="Q1164" s="237"/>
      <c r="R1164" s="237"/>
      <c r="S1164" s="237"/>
      <c r="T1164" s="237"/>
      <c r="U1164" s="237"/>
      <c r="V1164" s="237"/>
      <c r="W1164" s="237"/>
      <c r="X1164" s="237"/>
      <c r="Y1164" s="237"/>
      <c r="Z1164" s="237"/>
    </row>
    <row r="1165">
      <c r="A1165" s="305">
        <v>1164.0</v>
      </c>
      <c r="B1165" s="306">
        <v>5.0010052E7</v>
      </c>
      <c r="C1165" s="307" t="s">
        <v>1420</v>
      </c>
      <c r="D1165" s="308" t="s">
        <v>2201</v>
      </c>
      <c r="E1165" s="305" t="s">
        <v>5252</v>
      </c>
      <c r="F1165" s="309" t="s">
        <v>5253</v>
      </c>
      <c r="G1165" s="236"/>
      <c r="H1165" s="307" t="s">
        <v>1420</v>
      </c>
      <c r="I1165" s="237"/>
      <c r="J1165" s="237"/>
      <c r="K1165" s="310" t="s">
        <v>5251</v>
      </c>
      <c r="L1165" s="237"/>
      <c r="M1165" s="237"/>
      <c r="N1165" s="237"/>
      <c r="O1165" s="237"/>
      <c r="P1165" s="237"/>
      <c r="Q1165" s="237"/>
      <c r="R1165" s="237"/>
      <c r="S1165" s="237"/>
      <c r="T1165" s="237"/>
      <c r="U1165" s="237"/>
      <c r="V1165" s="237"/>
      <c r="W1165" s="237"/>
      <c r="X1165" s="237"/>
      <c r="Y1165" s="237"/>
      <c r="Z1165" s="237"/>
    </row>
    <row r="1166">
      <c r="A1166" s="305">
        <v>1165.0</v>
      </c>
      <c r="B1166" s="306">
        <v>5.0010053E7</v>
      </c>
      <c r="C1166" s="307" t="s">
        <v>1420</v>
      </c>
      <c r="D1166" s="308" t="s">
        <v>2202</v>
      </c>
      <c r="E1166" s="305" t="s">
        <v>5243</v>
      </c>
      <c r="F1166" s="309" t="s">
        <v>5244</v>
      </c>
      <c r="G1166" s="236"/>
      <c r="H1166" s="307" t="s">
        <v>1420</v>
      </c>
      <c r="I1166" s="237"/>
      <c r="J1166" s="237"/>
      <c r="K1166" s="310" t="s">
        <v>5242</v>
      </c>
      <c r="L1166" s="237"/>
      <c r="M1166" s="237"/>
      <c r="N1166" s="237"/>
      <c r="O1166" s="237"/>
      <c r="P1166" s="237"/>
      <c r="Q1166" s="237"/>
      <c r="R1166" s="237"/>
      <c r="S1166" s="237"/>
      <c r="T1166" s="237"/>
      <c r="U1166" s="237"/>
      <c r="V1166" s="237"/>
      <c r="W1166" s="237"/>
      <c r="X1166" s="237"/>
      <c r="Y1166" s="237"/>
      <c r="Z1166" s="237"/>
    </row>
    <row r="1167">
      <c r="A1167" s="305">
        <v>1166.0</v>
      </c>
      <c r="B1167" s="236"/>
      <c r="C1167" s="307" t="s">
        <v>1420</v>
      </c>
      <c r="D1167" s="308" t="s">
        <v>1445</v>
      </c>
      <c r="E1167" s="305" t="s">
        <v>12966</v>
      </c>
      <c r="F1167" s="309" t="s">
        <v>14383</v>
      </c>
      <c r="G1167" s="236"/>
      <c r="H1167" s="307" t="s">
        <v>1420</v>
      </c>
      <c r="I1167" s="237"/>
      <c r="J1167" s="237"/>
      <c r="K1167" s="310" t="s">
        <v>12965</v>
      </c>
      <c r="L1167" s="237"/>
      <c r="M1167" s="237"/>
      <c r="N1167" s="237"/>
      <c r="O1167" s="237"/>
      <c r="P1167" s="237"/>
      <c r="Q1167" s="237"/>
      <c r="R1167" s="237"/>
      <c r="S1167" s="237"/>
      <c r="T1167" s="237"/>
      <c r="U1167" s="237"/>
      <c r="V1167" s="237"/>
      <c r="W1167" s="237"/>
      <c r="X1167" s="237"/>
      <c r="Y1167" s="237"/>
      <c r="Z1167" s="237"/>
    </row>
    <row r="1168">
      <c r="A1168" s="305">
        <v>1167.0</v>
      </c>
      <c r="B1168" s="236"/>
      <c r="C1168" s="307" t="s">
        <v>1420</v>
      </c>
      <c r="D1168" s="308" t="s">
        <v>1447</v>
      </c>
      <c r="E1168" s="305" t="s">
        <v>12972</v>
      </c>
      <c r="F1168" s="309" t="s">
        <v>14384</v>
      </c>
      <c r="G1168" s="236"/>
      <c r="H1168" s="307" t="s">
        <v>1420</v>
      </c>
      <c r="I1168" s="237"/>
      <c r="J1168" s="237"/>
      <c r="K1168" s="310" t="s">
        <v>12971</v>
      </c>
      <c r="L1168" s="237"/>
      <c r="M1168" s="237"/>
      <c r="N1168" s="237"/>
      <c r="O1168" s="237"/>
      <c r="P1168" s="237"/>
      <c r="Q1168" s="237"/>
      <c r="R1168" s="237"/>
      <c r="S1168" s="237"/>
      <c r="T1168" s="237"/>
      <c r="U1168" s="237"/>
      <c r="V1168" s="237"/>
      <c r="W1168" s="237"/>
      <c r="X1168" s="237"/>
      <c r="Y1168" s="237"/>
      <c r="Z1168" s="237"/>
    </row>
    <row r="1169">
      <c r="A1169" s="305">
        <v>1168.0</v>
      </c>
      <c r="B1169" s="236"/>
      <c r="C1169" s="307" t="s">
        <v>1420</v>
      </c>
      <c r="D1169" s="308" t="s">
        <v>1446</v>
      </c>
      <c r="E1169" s="305" t="s">
        <v>12969</v>
      </c>
      <c r="F1169" s="309" t="s">
        <v>14385</v>
      </c>
      <c r="G1169" s="236"/>
      <c r="H1169" s="307" t="s">
        <v>1420</v>
      </c>
      <c r="I1169" s="237"/>
      <c r="J1169" s="237"/>
      <c r="K1169" s="310" t="s">
        <v>12968</v>
      </c>
      <c r="L1169" s="237"/>
      <c r="M1169" s="237"/>
      <c r="N1169" s="237"/>
      <c r="O1169" s="237"/>
      <c r="P1169" s="237"/>
      <c r="Q1169" s="237"/>
      <c r="R1169" s="237"/>
      <c r="S1169" s="237"/>
      <c r="T1169" s="237"/>
      <c r="U1169" s="237"/>
      <c r="V1169" s="237"/>
      <c r="W1169" s="237"/>
      <c r="X1169" s="237"/>
      <c r="Y1169" s="237"/>
      <c r="Z1169" s="237"/>
    </row>
    <row r="1170">
      <c r="A1170" s="305">
        <v>1169.0</v>
      </c>
      <c r="B1170" s="306">
        <v>5.0010054E7</v>
      </c>
      <c r="C1170" s="307" t="s">
        <v>1420</v>
      </c>
      <c r="D1170" s="308" t="s">
        <v>5247</v>
      </c>
      <c r="E1170" s="305" t="s">
        <v>5248</v>
      </c>
      <c r="F1170" s="309" t="s">
        <v>5249</v>
      </c>
      <c r="G1170" s="236"/>
      <c r="H1170" s="307" t="s">
        <v>1420</v>
      </c>
      <c r="I1170" s="237"/>
      <c r="J1170" s="237"/>
      <c r="K1170" s="310" t="s">
        <v>5246</v>
      </c>
      <c r="L1170" s="237"/>
      <c r="M1170" s="237"/>
      <c r="N1170" s="237"/>
      <c r="O1170" s="237"/>
      <c r="P1170" s="237"/>
      <c r="Q1170" s="237"/>
      <c r="R1170" s="237"/>
      <c r="S1170" s="237"/>
      <c r="T1170" s="237"/>
      <c r="U1170" s="237"/>
      <c r="V1170" s="237"/>
      <c r="W1170" s="237"/>
      <c r="X1170" s="237"/>
      <c r="Y1170" s="237"/>
      <c r="Z1170" s="237"/>
    </row>
    <row r="1171">
      <c r="A1171" s="305">
        <v>1170.0</v>
      </c>
      <c r="B1171" s="306" t="s">
        <v>4252</v>
      </c>
      <c r="C1171" s="307" t="s">
        <v>1420</v>
      </c>
      <c r="D1171" s="308" t="s">
        <v>4254</v>
      </c>
      <c r="E1171" s="305" t="s">
        <v>4255</v>
      </c>
      <c r="F1171" s="309" t="s">
        <v>4256</v>
      </c>
      <c r="G1171" s="236"/>
      <c r="H1171" s="307" t="s">
        <v>1420</v>
      </c>
      <c r="I1171" s="237"/>
      <c r="J1171" s="237"/>
      <c r="K1171" s="310" t="s">
        <v>4253</v>
      </c>
      <c r="L1171" s="237"/>
      <c r="M1171" s="237"/>
      <c r="N1171" s="237"/>
      <c r="O1171" s="237"/>
      <c r="P1171" s="237"/>
      <c r="Q1171" s="237"/>
      <c r="R1171" s="237"/>
      <c r="S1171" s="237"/>
      <c r="T1171" s="237"/>
      <c r="U1171" s="237"/>
      <c r="V1171" s="237"/>
      <c r="W1171" s="237"/>
      <c r="X1171" s="237"/>
      <c r="Y1171" s="237"/>
      <c r="Z1171" s="237"/>
    </row>
    <row r="1172">
      <c r="A1172" s="305">
        <v>1171.0</v>
      </c>
      <c r="B1172" s="306" t="s">
        <v>4267</v>
      </c>
      <c r="C1172" s="307" t="s">
        <v>1420</v>
      </c>
      <c r="D1172" s="308" t="s">
        <v>4269</v>
      </c>
      <c r="E1172" s="305" t="s">
        <v>4270</v>
      </c>
      <c r="F1172" s="309" t="s">
        <v>4271</v>
      </c>
      <c r="G1172" s="236"/>
      <c r="H1172" s="307" t="s">
        <v>1420</v>
      </c>
      <c r="I1172" s="237"/>
      <c r="J1172" s="237"/>
      <c r="K1172" s="310" t="s">
        <v>4268</v>
      </c>
      <c r="L1172" s="237"/>
      <c r="M1172" s="237"/>
      <c r="N1172" s="237"/>
      <c r="O1172" s="237"/>
      <c r="P1172" s="237"/>
      <c r="Q1172" s="237"/>
      <c r="R1172" s="237"/>
      <c r="S1172" s="237"/>
      <c r="T1172" s="237"/>
      <c r="U1172" s="237"/>
      <c r="V1172" s="237"/>
      <c r="W1172" s="237"/>
      <c r="X1172" s="237"/>
      <c r="Y1172" s="237"/>
      <c r="Z1172" s="237"/>
    </row>
    <row r="1173">
      <c r="A1173" s="305">
        <v>1172.0</v>
      </c>
      <c r="B1173" s="306" t="s">
        <v>4257</v>
      </c>
      <c r="C1173" s="307" t="s">
        <v>1420</v>
      </c>
      <c r="D1173" s="308" t="s">
        <v>4259</v>
      </c>
      <c r="E1173" s="305" t="s">
        <v>4260</v>
      </c>
      <c r="F1173" s="309" t="s">
        <v>4261</v>
      </c>
      <c r="G1173" s="236"/>
      <c r="H1173" s="307" t="s">
        <v>1420</v>
      </c>
      <c r="I1173" s="237"/>
      <c r="J1173" s="237"/>
      <c r="K1173" s="310" t="s">
        <v>4258</v>
      </c>
      <c r="L1173" s="237"/>
      <c r="M1173" s="237"/>
      <c r="N1173" s="237"/>
      <c r="O1173" s="237"/>
      <c r="P1173" s="237"/>
      <c r="Q1173" s="237"/>
      <c r="R1173" s="237"/>
      <c r="S1173" s="237"/>
      <c r="T1173" s="237"/>
      <c r="U1173" s="237"/>
      <c r="V1173" s="237"/>
      <c r="W1173" s="237"/>
      <c r="X1173" s="237"/>
      <c r="Y1173" s="237"/>
      <c r="Z1173" s="237"/>
    </row>
    <row r="1174">
      <c r="A1174" s="305">
        <v>1173.0</v>
      </c>
      <c r="B1174" s="306" t="s">
        <v>4262</v>
      </c>
      <c r="C1174" s="307" t="s">
        <v>1420</v>
      </c>
      <c r="D1174" s="308" t="s">
        <v>4264</v>
      </c>
      <c r="E1174" s="305" t="s">
        <v>4265</v>
      </c>
      <c r="F1174" s="309" t="s">
        <v>4266</v>
      </c>
      <c r="G1174" s="236"/>
      <c r="H1174" s="307" t="s">
        <v>1420</v>
      </c>
      <c r="I1174" s="237"/>
      <c r="J1174" s="237"/>
      <c r="K1174" s="310" t="s">
        <v>4263</v>
      </c>
      <c r="L1174" s="237"/>
      <c r="M1174" s="237"/>
      <c r="N1174" s="237"/>
      <c r="O1174" s="237"/>
      <c r="P1174" s="237"/>
      <c r="Q1174" s="237"/>
      <c r="R1174" s="237"/>
      <c r="S1174" s="237"/>
      <c r="T1174" s="237"/>
      <c r="U1174" s="237"/>
      <c r="V1174" s="237"/>
      <c r="W1174" s="237"/>
      <c r="X1174" s="237"/>
      <c r="Y1174" s="237"/>
      <c r="Z1174" s="237"/>
    </row>
    <row r="1175">
      <c r="A1175" s="305">
        <v>1174.0</v>
      </c>
      <c r="B1175" s="306" t="s">
        <v>4247</v>
      </c>
      <c r="C1175" s="307" t="s">
        <v>1420</v>
      </c>
      <c r="D1175" s="308" t="s">
        <v>4249</v>
      </c>
      <c r="E1175" s="305" t="s">
        <v>4250</v>
      </c>
      <c r="F1175" s="309" t="s">
        <v>4251</v>
      </c>
      <c r="G1175" s="236"/>
      <c r="H1175" s="307" t="s">
        <v>1420</v>
      </c>
      <c r="I1175" s="237"/>
      <c r="J1175" s="237"/>
      <c r="K1175" s="310" t="s">
        <v>4248</v>
      </c>
      <c r="L1175" s="237"/>
      <c r="M1175" s="237"/>
      <c r="N1175" s="237"/>
      <c r="O1175" s="237"/>
      <c r="P1175" s="237"/>
      <c r="Q1175" s="237"/>
      <c r="R1175" s="237"/>
      <c r="S1175" s="237"/>
      <c r="T1175" s="237"/>
      <c r="U1175" s="237"/>
      <c r="V1175" s="237"/>
      <c r="W1175" s="237"/>
      <c r="X1175" s="237"/>
      <c r="Y1175" s="237"/>
      <c r="Z1175" s="237"/>
    </row>
    <row r="1176">
      <c r="A1176" s="305">
        <v>1175.0</v>
      </c>
      <c r="B1176" s="306">
        <v>12967.0</v>
      </c>
      <c r="C1176" s="307" t="s">
        <v>1420</v>
      </c>
      <c r="D1176" s="308" t="s">
        <v>4069</v>
      </c>
      <c r="E1176" s="305" t="s">
        <v>4070</v>
      </c>
      <c r="F1176" s="309" t="s">
        <v>4071</v>
      </c>
      <c r="G1176" s="236"/>
      <c r="H1176" s="307" t="s">
        <v>1420</v>
      </c>
      <c r="I1176" s="237"/>
      <c r="J1176" s="237"/>
      <c r="K1176" s="310" t="s">
        <v>4068</v>
      </c>
      <c r="L1176" s="237"/>
      <c r="M1176" s="237"/>
      <c r="N1176" s="237"/>
      <c r="O1176" s="237"/>
      <c r="P1176" s="237"/>
      <c r="Q1176" s="237"/>
      <c r="R1176" s="237"/>
      <c r="S1176" s="237"/>
      <c r="T1176" s="237"/>
      <c r="U1176" s="237"/>
      <c r="V1176" s="237"/>
      <c r="W1176" s="237"/>
      <c r="X1176" s="237"/>
      <c r="Y1176" s="237"/>
      <c r="Z1176" s="237"/>
    </row>
    <row r="1177">
      <c r="A1177" s="305">
        <v>1176.0</v>
      </c>
      <c r="B1177" s="236"/>
      <c r="C1177" s="307" t="s">
        <v>1427</v>
      </c>
      <c r="D1177" s="308" t="s">
        <v>1950</v>
      </c>
      <c r="E1177" s="236"/>
      <c r="F1177" s="236"/>
      <c r="G1177" s="307" t="s">
        <v>13988</v>
      </c>
      <c r="H1177" s="307" t="s">
        <v>1427</v>
      </c>
      <c r="I1177" s="237"/>
      <c r="J1177" s="237"/>
      <c r="K1177" s="310" t="s">
        <v>13875</v>
      </c>
      <c r="L1177" s="237"/>
      <c r="M1177" s="237"/>
      <c r="N1177" s="237"/>
      <c r="O1177" s="237"/>
      <c r="P1177" s="237"/>
      <c r="Q1177" s="237"/>
      <c r="R1177" s="237"/>
      <c r="S1177" s="237"/>
      <c r="T1177" s="237"/>
      <c r="U1177" s="237"/>
      <c r="V1177" s="237"/>
      <c r="W1177" s="237"/>
      <c r="X1177" s="237"/>
      <c r="Y1177" s="237"/>
      <c r="Z1177" s="237"/>
    </row>
    <row r="1178">
      <c r="A1178" s="305">
        <v>1177.0</v>
      </c>
      <c r="B1178" s="306">
        <v>10283.0</v>
      </c>
      <c r="C1178" s="307" t="s">
        <v>1420</v>
      </c>
      <c r="D1178" s="308" t="s">
        <v>7403</v>
      </c>
      <c r="E1178" s="305" t="s">
        <v>7404</v>
      </c>
      <c r="F1178" s="309" t="s">
        <v>7405</v>
      </c>
      <c r="G1178" s="236"/>
      <c r="H1178" s="307" t="s">
        <v>1420</v>
      </c>
      <c r="I1178" s="237"/>
      <c r="J1178" s="237"/>
      <c r="K1178" s="310" t="s">
        <v>7402</v>
      </c>
      <c r="L1178" s="237"/>
      <c r="M1178" s="237"/>
      <c r="N1178" s="237"/>
      <c r="O1178" s="237"/>
      <c r="P1178" s="237"/>
      <c r="Q1178" s="237"/>
      <c r="R1178" s="237"/>
      <c r="S1178" s="237"/>
      <c r="T1178" s="237"/>
      <c r="U1178" s="237"/>
      <c r="V1178" s="237"/>
      <c r="W1178" s="237"/>
      <c r="X1178" s="237"/>
      <c r="Y1178" s="237"/>
      <c r="Z1178" s="237"/>
    </row>
    <row r="1179">
      <c r="A1179" s="305">
        <v>1178.0</v>
      </c>
      <c r="B1179" s="306">
        <v>5.001085E7</v>
      </c>
      <c r="C1179" s="307" t="s">
        <v>1420</v>
      </c>
      <c r="D1179" s="308" t="s">
        <v>6060</v>
      </c>
      <c r="E1179" s="305" t="s">
        <v>6061</v>
      </c>
      <c r="F1179" s="309" t="s">
        <v>6062</v>
      </c>
      <c r="G1179" s="236"/>
      <c r="H1179" s="307" t="s">
        <v>1420</v>
      </c>
      <c r="I1179" s="237"/>
      <c r="J1179" s="237"/>
      <c r="K1179" s="310" t="s">
        <v>6059</v>
      </c>
      <c r="L1179" s="237"/>
      <c r="M1179" s="237"/>
      <c r="N1179" s="237"/>
      <c r="O1179" s="237"/>
      <c r="P1179" s="237"/>
      <c r="Q1179" s="237"/>
      <c r="R1179" s="237"/>
      <c r="S1179" s="237"/>
      <c r="T1179" s="237"/>
      <c r="U1179" s="237"/>
      <c r="V1179" s="237"/>
      <c r="W1179" s="237"/>
      <c r="X1179" s="237"/>
      <c r="Y1179" s="237"/>
      <c r="Z1179" s="237"/>
    </row>
    <row r="1180">
      <c r="A1180" s="305">
        <v>1179.0</v>
      </c>
      <c r="B1180" s="306">
        <v>5.0010851E7</v>
      </c>
      <c r="C1180" s="307" t="s">
        <v>1420</v>
      </c>
      <c r="D1180" s="308" t="s">
        <v>6129</v>
      </c>
      <c r="E1180" s="305" t="s">
        <v>6130</v>
      </c>
      <c r="F1180" s="309" t="s">
        <v>6131</v>
      </c>
      <c r="G1180" s="236"/>
      <c r="H1180" s="307" t="s">
        <v>1420</v>
      </c>
      <c r="I1180" s="237"/>
      <c r="J1180" s="237"/>
      <c r="K1180" s="310" t="s">
        <v>6128</v>
      </c>
      <c r="L1180" s="237"/>
      <c r="M1180" s="237"/>
      <c r="N1180" s="237"/>
      <c r="O1180" s="237"/>
      <c r="P1180" s="237"/>
      <c r="Q1180" s="237"/>
      <c r="R1180" s="237"/>
      <c r="S1180" s="237"/>
      <c r="T1180" s="237"/>
      <c r="U1180" s="237"/>
      <c r="V1180" s="237"/>
      <c r="W1180" s="237"/>
      <c r="X1180" s="237"/>
      <c r="Y1180" s="237"/>
      <c r="Z1180" s="237"/>
    </row>
    <row r="1181">
      <c r="A1181" s="305">
        <v>1180.0</v>
      </c>
      <c r="B1181" s="236"/>
      <c r="C1181" s="307" t="s">
        <v>1420</v>
      </c>
      <c r="D1181" s="308" t="s">
        <v>6885</v>
      </c>
      <c r="E1181" s="305" t="s">
        <v>6886</v>
      </c>
      <c r="F1181" s="236"/>
      <c r="G1181" s="236"/>
      <c r="H1181" s="307" t="s">
        <v>1420</v>
      </c>
      <c r="I1181" s="237"/>
      <c r="J1181" s="237"/>
      <c r="K1181" s="310" t="s">
        <v>6884</v>
      </c>
      <c r="L1181" s="237"/>
      <c r="M1181" s="237"/>
      <c r="N1181" s="237"/>
      <c r="O1181" s="237"/>
      <c r="P1181" s="237"/>
      <c r="Q1181" s="237"/>
      <c r="R1181" s="237"/>
      <c r="S1181" s="237"/>
      <c r="T1181" s="237"/>
      <c r="U1181" s="237"/>
      <c r="V1181" s="237"/>
      <c r="W1181" s="237"/>
      <c r="X1181" s="237"/>
      <c r="Y1181" s="237"/>
      <c r="Z1181" s="237"/>
    </row>
    <row r="1182">
      <c r="A1182" s="305">
        <v>1181.0</v>
      </c>
      <c r="B1182" s="236"/>
      <c r="C1182" s="307" t="s">
        <v>1420</v>
      </c>
      <c r="D1182" s="308" t="s">
        <v>6885</v>
      </c>
      <c r="E1182" s="305" t="s">
        <v>7954</v>
      </c>
      <c r="F1182" s="309" t="s">
        <v>7955</v>
      </c>
      <c r="G1182" s="236"/>
      <c r="H1182" s="307" t="s">
        <v>1420</v>
      </c>
      <c r="I1182" s="237"/>
      <c r="J1182" s="237"/>
      <c r="K1182" s="310" t="s">
        <v>7953</v>
      </c>
      <c r="L1182" s="237"/>
      <c r="M1182" s="237"/>
      <c r="N1182" s="237"/>
      <c r="O1182" s="237"/>
      <c r="P1182" s="237"/>
      <c r="Q1182" s="237"/>
      <c r="R1182" s="237"/>
      <c r="S1182" s="237"/>
      <c r="T1182" s="237"/>
      <c r="U1182" s="237"/>
      <c r="V1182" s="237"/>
      <c r="W1182" s="237"/>
      <c r="X1182" s="237"/>
      <c r="Y1182" s="237"/>
      <c r="Z1182" s="237"/>
    </row>
    <row r="1183">
      <c r="A1183" s="305">
        <v>1182.0</v>
      </c>
      <c r="B1183" s="306" t="s">
        <v>11321</v>
      </c>
      <c r="C1183" s="307" t="s">
        <v>1420</v>
      </c>
      <c r="D1183" s="308" t="s">
        <v>2206</v>
      </c>
      <c r="E1183" s="305" t="s">
        <v>11323</v>
      </c>
      <c r="F1183" s="309" t="s">
        <v>11324</v>
      </c>
      <c r="G1183" s="236"/>
      <c r="H1183" s="307" t="s">
        <v>1420</v>
      </c>
      <c r="I1183" s="237"/>
      <c r="J1183" s="237"/>
      <c r="K1183" s="310" t="s">
        <v>11322</v>
      </c>
      <c r="L1183" s="237"/>
      <c r="M1183" s="237"/>
      <c r="N1183" s="237"/>
      <c r="O1183" s="237"/>
      <c r="P1183" s="237"/>
      <c r="Q1183" s="237"/>
      <c r="R1183" s="237"/>
      <c r="S1183" s="237"/>
      <c r="T1183" s="237"/>
      <c r="U1183" s="237"/>
      <c r="V1183" s="237"/>
      <c r="W1183" s="237"/>
      <c r="X1183" s="237"/>
      <c r="Y1183" s="237"/>
      <c r="Z1183" s="237"/>
    </row>
    <row r="1184">
      <c r="A1184" s="305">
        <v>1183.0</v>
      </c>
      <c r="B1184" s="306" t="s">
        <v>11447</v>
      </c>
      <c r="C1184" s="307" t="s">
        <v>1420</v>
      </c>
      <c r="D1184" s="308" t="s">
        <v>11449</v>
      </c>
      <c r="E1184" s="305" t="s">
        <v>11450</v>
      </c>
      <c r="F1184" s="309" t="s">
        <v>11451</v>
      </c>
      <c r="G1184" s="236"/>
      <c r="H1184" s="307" t="s">
        <v>1420</v>
      </c>
      <c r="I1184" s="237"/>
      <c r="J1184" s="237"/>
      <c r="K1184" s="310" t="s">
        <v>11448</v>
      </c>
      <c r="L1184" s="237"/>
      <c r="M1184" s="237"/>
      <c r="N1184" s="237"/>
      <c r="O1184" s="237"/>
      <c r="P1184" s="237"/>
      <c r="Q1184" s="237"/>
      <c r="R1184" s="237"/>
      <c r="S1184" s="237"/>
      <c r="T1184" s="237"/>
      <c r="U1184" s="237"/>
      <c r="V1184" s="237"/>
      <c r="W1184" s="237"/>
      <c r="X1184" s="237"/>
      <c r="Y1184" s="237"/>
      <c r="Z1184" s="237"/>
    </row>
    <row r="1185">
      <c r="A1185" s="305">
        <v>1184.0</v>
      </c>
      <c r="B1185" s="306" t="s">
        <v>11437</v>
      </c>
      <c r="C1185" s="307" t="s">
        <v>1420</v>
      </c>
      <c r="D1185" s="308" t="s">
        <v>11439</v>
      </c>
      <c r="E1185" s="305" t="s">
        <v>11440</v>
      </c>
      <c r="F1185" s="309" t="s">
        <v>11441</v>
      </c>
      <c r="G1185" s="236"/>
      <c r="H1185" s="307" t="s">
        <v>1420</v>
      </c>
      <c r="I1185" s="237"/>
      <c r="J1185" s="237"/>
      <c r="K1185" s="310" t="s">
        <v>11438</v>
      </c>
      <c r="L1185" s="237"/>
      <c r="M1185" s="237"/>
      <c r="N1185" s="237"/>
      <c r="O1185" s="237"/>
      <c r="P1185" s="237"/>
      <c r="Q1185" s="237"/>
      <c r="R1185" s="237"/>
      <c r="S1185" s="237"/>
      <c r="T1185" s="237"/>
      <c r="U1185" s="237"/>
      <c r="V1185" s="237"/>
      <c r="W1185" s="237"/>
      <c r="X1185" s="237"/>
      <c r="Y1185" s="237"/>
      <c r="Z1185" s="237"/>
    </row>
    <row r="1186">
      <c r="A1186" s="305">
        <v>1185.0</v>
      </c>
      <c r="B1186" s="306" t="s">
        <v>11432</v>
      </c>
      <c r="C1186" s="307" t="s">
        <v>1420</v>
      </c>
      <c r="D1186" s="308" t="s">
        <v>11434</v>
      </c>
      <c r="E1186" s="305" t="s">
        <v>11435</v>
      </c>
      <c r="F1186" s="309" t="s">
        <v>11436</v>
      </c>
      <c r="G1186" s="236"/>
      <c r="H1186" s="307" t="s">
        <v>1420</v>
      </c>
      <c r="I1186" s="237"/>
      <c r="J1186" s="237"/>
      <c r="K1186" s="310" t="s">
        <v>11433</v>
      </c>
      <c r="L1186" s="237"/>
      <c r="M1186" s="237"/>
      <c r="N1186" s="237"/>
      <c r="O1186" s="237"/>
      <c r="P1186" s="237"/>
      <c r="Q1186" s="237"/>
      <c r="R1186" s="237"/>
      <c r="S1186" s="237"/>
      <c r="T1186" s="237"/>
      <c r="U1186" s="237"/>
      <c r="V1186" s="237"/>
      <c r="W1186" s="237"/>
      <c r="X1186" s="237"/>
      <c r="Y1186" s="237"/>
      <c r="Z1186" s="237"/>
    </row>
    <row r="1187">
      <c r="A1187" s="305">
        <v>1186.0</v>
      </c>
      <c r="B1187" s="306" t="s">
        <v>11442</v>
      </c>
      <c r="C1187" s="307" t="s">
        <v>1420</v>
      </c>
      <c r="D1187" s="308" t="s">
        <v>11444</v>
      </c>
      <c r="E1187" s="305" t="s">
        <v>11445</v>
      </c>
      <c r="F1187" s="309" t="s">
        <v>11446</v>
      </c>
      <c r="G1187" s="236"/>
      <c r="H1187" s="307" t="s">
        <v>1420</v>
      </c>
      <c r="I1187" s="237"/>
      <c r="J1187" s="237"/>
      <c r="K1187" s="310" t="s">
        <v>11443</v>
      </c>
      <c r="L1187" s="237"/>
      <c r="M1187" s="237"/>
      <c r="N1187" s="237"/>
      <c r="O1187" s="237"/>
      <c r="P1187" s="237"/>
      <c r="Q1187" s="237"/>
      <c r="R1187" s="237"/>
      <c r="S1187" s="237"/>
      <c r="T1187" s="237"/>
      <c r="U1187" s="237"/>
      <c r="V1187" s="237"/>
      <c r="W1187" s="237"/>
      <c r="X1187" s="237"/>
      <c r="Y1187" s="237"/>
      <c r="Z1187" s="237"/>
    </row>
    <row r="1188">
      <c r="A1188" s="305">
        <v>1187.0</v>
      </c>
      <c r="B1188" s="306">
        <v>5652.0</v>
      </c>
      <c r="C1188" s="307" t="s">
        <v>1420</v>
      </c>
      <c r="D1188" s="308" t="s">
        <v>7959</v>
      </c>
      <c r="E1188" s="305" t="s">
        <v>7960</v>
      </c>
      <c r="F1188" s="309" t="s">
        <v>7961</v>
      </c>
      <c r="G1188" s="236"/>
      <c r="H1188" s="307" t="s">
        <v>1420</v>
      </c>
      <c r="I1188" s="237"/>
      <c r="J1188" s="237"/>
      <c r="K1188" s="310" t="s">
        <v>7958</v>
      </c>
      <c r="L1188" s="237"/>
      <c r="M1188" s="237"/>
      <c r="N1188" s="237"/>
      <c r="O1188" s="237"/>
      <c r="P1188" s="237"/>
      <c r="Q1188" s="237"/>
      <c r="R1188" s="237"/>
      <c r="S1188" s="237"/>
      <c r="T1188" s="237"/>
      <c r="U1188" s="237"/>
      <c r="V1188" s="237"/>
      <c r="W1188" s="237"/>
      <c r="X1188" s="237"/>
      <c r="Y1188" s="237"/>
      <c r="Z1188" s="237"/>
    </row>
    <row r="1189">
      <c r="A1189" s="305">
        <v>1188.0</v>
      </c>
      <c r="B1189" s="306" t="s">
        <v>11457</v>
      </c>
      <c r="C1189" s="307" t="s">
        <v>1420</v>
      </c>
      <c r="D1189" s="308" t="s">
        <v>11459</v>
      </c>
      <c r="E1189" s="305" t="s">
        <v>11460</v>
      </c>
      <c r="F1189" s="309" t="s">
        <v>11461</v>
      </c>
      <c r="G1189" s="236"/>
      <c r="H1189" s="307" t="s">
        <v>1420</v>
      </c>
      <c r="I1189" s="237"/>
      <c r="J1189" s="237"/>
      <c r="K1189" s="310" t="s">
        <v>11458</v>
      </c>
      <c r="L1189" s="237"/>
      <c r="M1189" s="237"/>
      <c r="N1189" s="237"/>
      <c r="O1189" s="237"/>
      <c r="P1189" s="237"/>
      <c r="Q1189" s="237"/>
      <c r="R1189" s="237"/>
      <c r="S1189" s="237"/>
      <c r="T1189" s="237"/>
      <c r="U1189" s="237"/>
      <c r="V1189" s="237"/>
      <c r="W1189" s="237"/>
      <c r="X1189" s="237"/>
      <c r="Y1189" s="237"/>
      <c r="Z1189" s="237"/>
    </row>
    <row r="1190">
      <c r="A1190" s="305">
        <v>1189.0</v>
      </c>
      <c r="B1190" s="306" t="s">
        <v>11452</v>
      </c>
      <c r="C1190" s="307" t="s">
        <v>1420</v>
      </c>
      <c r="D1190" s="308" t="s">
        <v>11454</v>
      </c>
      <c r="E1190" s="305" t="s">
        <v>11455</v>
      </c>
      <c r="F1190" s="309" t="s">
        <v>11456</v>
      </c>
      <c r="G1190" s="236"/>
      <c r="H1190" s="307" t="s">
        <v>1420</v>
      </c>
      <c r="I1190" s="237"/>
      <c r="J1190" s="237"/>
      <c r="K1190" s="310" t="s">
        <v>11453</v>
      </c>
      <c r="L1190" s="237"/>
      <c r="M1190" s="237"/>
      <c r="N1190" s="237"/>
      <c r="O1190" s="237"/>
      <c r="P1190" s="237"/>
      <c r="Q1190" s="237"/>
      <c r="R1190" s="237"/>
      <c r="S1190" s="237"/>
      <c r="T1190" s="237"/>
      <c r="U1190" s="237"/>
      <c r="V1190" s="237"/>
      <c r="W1190" s="237"/>
      <c r="X1190" s="237"/>
      <c r="Y1190" s="237"/>
      <c r="Z1190" s="237"/>
    </row>
    <row r="1191">
      <c r="A1191" s="305">
        <v>1190.0</v>
      </c>
      <c r="B1191" s="236"/>
      <c r="C1191" s="307" t="s">
        <v>1420</v>
      </c>
      <c r="D1191" s="308" t="s">
        <v>1594</v>
      </c>
      <c r="E1191" s="305" t="s">
        <v>13211</v>
      </c>
      <c r="F1191" s="309" t="s">
        <v>14386</v>
      </c>
      <c r="G1191" s="236"/>
      <c r="H1191" s="307" t="s">
        <v>1420</v>
      </c>
      <c r="I1191" s="237"/>
      <c r="J1191" s="237"/>
      <c r="K1191" s="310" t="s">
        <v>13210</v>
      </c>
      <c r="L1191" s="237"/>
      <c r="M1191" s="237"/>
      <c r="N1191" s="237"/>
      <c r="O1191" s="237"/>
      <c r="P1191" s="237"/>
      <c r="Q1191" s="237"/>
      <c r="R1191" s="237"/>
      <c r="S1191" s="237"/>
      <c r="T1191" s="237"/>
      <c r="U1191" s="237"/>
      <c r="V1191" s="237"/>
      <c r="W1191" s="237"/>
      <c r="X1191" s="237"/>
      <c r="Y1191" s="237"/>
      <c r="Z1191" s="237"/>
    </row>
    <row r="1192">
      <c r="A1192" s="305">
        <v>1191.0</v>
      </c>
      <c r="B1192" s="236"/>
      <c r="C1192" s="307" t="s">
        <v>1420</v>
      </c>
      <c r="D1192" s="308" t="s">
        <v>2269</v>
      </c>
      <c r="E1192" s="305" t="s">
        <v>6016</v>
      </c>
      <c r="F1192" s="309" t="s">
        <v>6017</v>
      </c>
      <c r="G1192" s="236"/>
      <c r="H1192" s="307" t="s">
        <v>1420</v>
      </c>
      <c r="I1192" s="237"/>
      <c r="J1192" s="237"/>
      <c r="K1192" s="310" t="s">
        <v>6015</v>
      </c>
      <c r="L1192" s="237"/>
      <c r="M1192" s="237"/>
      <c r="N1192" s="237"/>
      <c r="O1192" s="237"/>
      <c r="P1192" s="237"/>
      <c r="Q1192" s="237"/>
      <c r="R1192" s="237"/>
      <c r="S1192" s="237"/>
      <c r="T1192" s="237"/>
      <c r="U1192" s="237"/>
      <c r="V1192" s="237"/>
      <c r="W1192" s="237"/>
      <c r="X1192" s="237"/>
      <c r="Y1192" s="237"/>
      <c r="Z1192" s="237"/>
    </row>
    <row r="1193">
      <c r="A1193" s="305">
        <v>1192.0</v>
      </c>
      <c r="B1193" s="236"/>
      <c r="C1193" s="307" t="s">
        <v>1420</v>
      </c>
      <c r="D1193" s="308" t="s">
        <v>1593</v>
      </c>
      <c r="E1193" s="305" t="s">
        <v>13208</v>
      </c>
      <c r="F1193" s="309" t="s">
        <v>14387</v>
      </c>
      <c r="G1193" s="236"/>
      <c r="H1193" s="307" t="s">
        <v>1420</v>
      </c>
      <c r="I1193" s="237"/>
      <c r="J1193" s="237"/>
      <c r="K1193" s="310" t="s">
        <v>13207</v>
      </c>
      <c r="L1193" s="237"/>
      <c r="M1193" s="237"/>
      <c r="N1193" s="237"/>
      <c r="O1193" s="237"/>
      <c r="P1193" s="237"/>
      <c r="Q1193" s="237"/>
      <c r="R1193" s="237"/>
      <c r="S1193" s="237"/>
      <c r="T1193" s="237"/>
      <c r="U1193" s="237"/>
      <c r="V1193" s="237"/>
      <c r="W1193" s="237"/>
      <c r="X1193" s="237"/>
      <c r="Y1193" s="237"/>
      <c r="Z1193" s="237"/>
    </row>
    <row r="1194">
      <c r="A1194" s="305">
        <v>1193.0</v>
      </c>
      <c r="B1194" s="236"/>
      <c r="C1194" s="307" t="s">
        <v>14007</v>
      </c>
      <c r="D1194" s="308" t="s">
        <v>13215</v>
      </c>
      <c r="E1194" s="305" t="s">
        <v>13198</v>
      </c>
      <c r="F1194" s="236"/>
      <c r="G1194" s="307" t="s">
        <v>13128</v>
      </c>
      <c r="H1194" s="307" t="s">
        <v>14007</v>
      </c>
      <c r="I1194" s="237"/>
      <c r="J1194" s="237"/>
      <c r="K1194" s="262"/>
      <c r="L1194" s="237"/>
      <c r="M1194" s="237"/>
      <c r="N1194" s="237"/>
      <c r="O1194" s="237"/>
      <c r="P1194" s="237"/>
      <c r="Q1194" s="237"/>
      <c r="R1194" s="237"/>
      <c r="S1194" s="237"/>
      <c r="T1194" s="237"/>
      <c r="U1194" s="237"/>
      <c r="V1194" s="237"/>
      <c r="W1194" s="237"/>
      <c r="X1194" s="237"/>
      <c r="Y1194" s="237"/>
      <c r="Z1194" s="237"/>
    </row>
    <row r="1195">
      <c r="A1195" s="305">
        <v>1194.0</v>
      </c>
      <c r="B1195" s="236"/>
      <c r="C1195" s="307" t="s">
        <v>14007</v>
      </c>
      <c r="D1195" s="308" t="s">
        <v>13213</v>
      </c>
      <c r="E1195" s="305" t="s">
        <v>13214</v>
      </c>
      <c r="F1195" s="236"/>
      <c r="G1195" s="307" t="s">
        <v>13128</v>
      </c>
      <c r="H1195" s="307" t="s">
        <v>14007</v>
      </c>
      <c r="I1195" s="237"/>
      <c r="J1195" s="237"/>
      <c r="K1195" s="262"/>
      <c r="L1195" s="237"/>
      <c r="M1195" s="237"/>
      <c r="N1195" s="237"/>
      <c r="O1195" s="237"/>
      <c r="P1195" s="237"/>
      <c r="Q1195" s="237"/>
      <c r="R1195" s="237"/>
      <c r="S1195" s="237"/>
      <c r="T1195" s="237"/>
      <c r="U1195" s="237"/>
      <c r="V1195" s="237"/>
      <c r="W1195" s="237"/>
      <c r="X1195" s="237"/>
      <c r="Y1195" s="237"/>
      <c r="Z1195" s="237"/>
    </row>
    <row r="1196">
      <c r="A1196" s="305">
        <v>1195.0</v>
      </c>
      <c r="B1196" s="306" t="s">
        <v>11273</v>
      </c>
      <c r="C1196" s="307" t="s">
        <v>1420</v>
      </c>
      <c r="D1196" s="308" t="s">
        <v>11275</v>
      </c>
      <c r="E1196" s="305" t="s">
        <v>11276</v>
      </c>
      <c r="F1196" s="309" t="s">
        <v>11277</v>
      </c>
      <c r="G1196" s="236"/>
      <c r="H1196" s="307" t="s">
        <v>1420</v>
      </c>
      <c r="I1196" s="237"/>
      <c r="J1196" s="237"/>
      <c r="K1196" s="310" t="s">
        <v>11274</v>
      </c>
      <c r="L1196" s="237"/>
      <c r="M1196" s="237"/>
      <c r="N1196" s="237"/>
      <c r="O1196" s="237"/>
      <c r="P1196" s="237"/>
      <c r="Q1196" s="237"/>
      <c r="R1196" s="237"/>
      <c r="S1196" s="237"/>
      <c r="T1196" s="237"/>
      <c r="U1196" s="237"/>
      <c r="V1196" s="237"/>
      <c r="W1196" s="237"/>
      <c r="X1196" s="237"/>
      <c r="Y1196" s="237"/>
      <c r="Z1196" s="237"/>
    </row>
    <row r="1197">
      <c r="A1197" s="305">
        <v>1196.0</v>
      </c>
      <c r="B1197" s="306" t="s">
        <v>11349</v>
      </c>
      <c r="C1197" s="307" t="s">
        <v>1420</v>
      </c>
      <c r="D1197" s="308" t="s">
        <v>2446</v>
      </c>
      <c r="E1197" s="305" t="s">
        <v>11351</v>
      </c>
      <c r="F1197" s="309" t="s">
        <v>11352</v>
      </c>
      <c r="G1197" s="236"/>
      <c r="H1197" s="307" t="s">
        <v>1420</v>
      </c>
      <c r="I1197" s="237"/>
      <c r="J1197" s="237"/>
      <c r="K1197" s="310" t="s">
        <v>11350</v>
      </c>
      <c r="L1197" s="237"/>
      <c r="M1197" s="237"/>
      <c r="N1197" s="237"/>
      <c r="O1197" s="237"/>
      <c r="P1197" s="237"/>
      <c r="Q1197" s="237"/>
      <c r="R1197" s="237"/>
      <c r="S1197" s="237"/>
      <c r="T1197" s="237"/>
      <c r="U1197" s="237"/>
      <c r="V1197" s="237"/>
      <c r="W1197" s="237"/>
      <c r="X1197" s="237"/>
      <c r="Y1197" s="237"/>
      <c r="Z1197" s="237"/>
    </row>
    <row r="1198">
      <c r="A1198" s="305">
        <v>1197.0</v>
      </c>
      <c r="B1198" s="306" t="s">
        <v>11283</v>
      </c>
      <c r="C1198" s="307" t="s">
        <v>1420</v>
      </c>
      <c r="D1198" s="308" t="s">
        <v>11285</v>
      </c>
      <c r="E1198" s="305" t="s">
        <v>11286</v>
      </c>
      <c r="F1198" s="309" t="s">
        <v>11287</v>
      </c>
      <c r="G1198" s="236"/>
      <c r="H1198" s="307" t="s">
        <v>1420</v>
      </c>
      <c r="I1198" s="237"/>
      <c r="J1198" s="237"/>
      <c r="K1198" s="310" t="s">
        <v>11284</v>
      </c>
      <c r="L1198" s="237"/>
      <c r="M1198" s="237"/>
      <c r="N1198" s="237"/>
      <c r="O1198" s="237"/>
      <c r="P1198" s="237"/>
      <c r="Q1198" s="237"/>
      <c r="R1198" s="237"/>
      <c r="S1198" s="237"/>
      <c r="T1198" s="237"/>
      <c r="U1198" s="237"/>
      <c r="V1198" s="237"/>
      <c r="W1198" s="237"/>
      <c r="X1198" s="237"/>
      <c r="Y1198" s="237"/>
      <c r="Z1198" s="237"/>
    </row>
    <row r="1199">
      <c r="A1199" s="305">
        <v>1198.0</v>
      </c>
      <c r="B1199" s="306" t="s">
        <v>11278</v>
      </c>
      <c r="C1199" s="307" t="s">
        <v>1420</v>
      </c>
      <c r="D1199" s="308" t="s">
        <v>11280</v>
      </c>
      <c r="E1199" s="305" t="s">
        <v>11281</v>
      </c>
      <c r="F1199" s="309" t="s">
        <v>11282</v>
      </c>
      <c r="G1199" s="236"/>
      <c r="H1199" s="307" t="s">
        <v>1420</v>
      </c>
      <c r="I1199" s="237"/>
      <c r="J1199" s="237"/>
      <c r="K1199" s="310" t="s">
        <v>11279</v>
      </c>
      <c r="L1199" s="237"/>
      <c r="M1199" s="237"/>
      <c r="N1199" s="237"/>
      <c r="O1199" s="237"/>
      <c r="P1199" s="237"/>
      <c r="Q1199" s="237"/>
      <c r="R1199" s="237"/>
      <c r="S1199" s="237"/>
      <c r="T1199" s="237"/>
      <c r="U1199" s="237"/>
      <c r="V1199" s="237"/>
      <c r="W1199" s="237"/>
      <c r="X1199" s="237"/>
      <c r="Y1199" s="237"/>
      <c r="Z1199" s="237"/>
    </row>
    <row r="1200">
      <c r="A1200" s="305">
        <v>1199.0</v>
      </c>
      <c r="B1200" s="236"/>
      <c r="C1200" s="307" t="s">
        <v>14007</v>
      </c>
      <c r="D1200" s="308" t="s">
        <v>13205</v>
      </c>
      <c r="E1200" s="305" t="s">
        <v>13206</v>
      </c>
      <c r="F1200" s="236"/>
      <c r="G1200" s="307" t="s">
        <v>13128</v>
      </c>
      <c r="H1200" s="307" t="s">
        <v>14007</v>
      </c>
      <c r="I1200" s="237"/>
      <c r="J1200" s="237"/>
      <c r="K1200" s="262"/>
      <c r="L1200" s="237"/>
      <c r="M1200" s="237"/>
      <c r="N1200" s="237"/>
      <c r="O1200" s="237"/>
      <c r="P1200" s="237"/>
      <c r="Q1200" s="237"/>
      <c r="R1200" s="237"/>
      <c r="S1200" s="237"/>
      <c r="T1200" s="237"/>
      <c r="U1200" s="237"/>
      <c r="V1200" s="237"/>
      <c r="W1200" s="237"/>
      <c r="X1200" s="237"/>
      <c r="Y1200" s="237"/>
      <c r="Z1200" s="237"/>
    </row>
    <row r="1201">
      <c r="A1201" s="305">
        <v>1200.0</v>
      </c>
      <c r="B1201" s="236"/>
      <c r="C1201" s="307" t="s">
        <v>14007</v>
      </c>
      <c r="D1201" s="308" t="s">
        <v>13195</v>
      </c>
      <c r="E1201" s="305" t="s">
        <v>13196</v>
      </c>
      <c r="F1201" s="236"/>
      <c r="G1201" s="307" t="s">
        <v>13128</v>
      </c>
      <c r="H1201" s="307" t="s">
        <v>14007</v>
      </c>
      <c r="I1201" s="237"/>
      <c r="J1201" s="237"/>
      <c r="K1201" s="262"/>
      <c r="L1201" s="237"/>
      <c r="M1201" s="237"/>
      <c r="N1201" s="237"/>
      <c r="O1201" s="237"/>
      <c r="P1201" s="237"/>
      <c r="Q1201" s="237"/>
      <c r="R1201" s="237"/>
      <c r="S1201" s="237"/>
      <c r="T1201" s="237"/>
      <c r="U1201" s="237"/>
      <c r="V1201" s="237"/>
      <c r="W1201" s="237"/>
      <c r="X1201" s="237"/>
      <c r="Y1201" s="237"/>
      <c r="Z1201" s="237"/>
    </row>
    <row r="1202">
      <c r="A1202" s="305">
        <v>1201.0</v>
      </c>
      <c r="B1202" s="306" t="s">
        <v>11374</v>
      </c>
      <c r="C1202" s="307" t="s">
        <v>1420</v>
      </c>
      <c r="D1202" s="308" t="s">
        <v>11376</v>
      </c>
      <c r="E1202" s="305" t="s">
        <v>11377</v>
      </c>
      <c r="F1202" s="309" t="s">
        <v>11378</v>
      </c>
      <c r="G1202" s="236"/>
      <c r="H1202" s="307" t="s">
        <v>1420</v>
      </c>
      <c r="I1202" s="237"/>
      <c r="J1202" s="237"/>
      <c r="K1202" s="310" t="s">
        <v>11375</v>
      </c>
      <c r="L1202" s="237"/>
      <c r="M1202" s="237"/>
      <c r="N1202" s="237"/>
      <c r="O1202" s="237"/>
      <c r="P1202" s="237"/>
      <c r="Q1202" s="237"/>
      <c r="R1202" s="237"/>
      <c r="S1202" s="237"/>
      <c r="T1202" s="237"/>
      <c r="U1202" s="237"/>
      <c r="V1202" s="237"/>
      <c r="W1202" s="237"/>
      <c r="X1202" s="237"/>
      <c r="Y1202" s="237"/>
      <c r="Z1202" s="237"/>
    </row>
    <row r="1203">
      <c r="A1203" s="305">
        <v>1202.0</v>
      </c>
      <c r="B1203" s="306" t="s">
        <v>11379</v>
      </c>
      <c r="C1203" s="307" t="s">
        <v>1420</v>
      </c>
      <c r="D1203" s="308" t="s">
        <v>11381</v>
      </c>
      <c r="E1203" s="305" t="s">
        <v>11382</v>
      </c>
      <c r="F1203" s="309" t="s">
        <v>11383</v>
      </c>
      <c r="G1203" s="236"/>
      <c r="H1203" s="307" t="s">
        <v>1420</v>
      </c>
      <c r="I1203" s="237"/>
      <c r="J1203" s="237"/>
      <c r="K1203" s="310" t="s">
        <v>11380</v>
      </c>
      <c r="L1203" s="237"/>
      <c r="M1203" s="237"/>
      <c r="N1203" s="237"/>
      <c r="O1203" s="237"/>
      <c r="P1203" s="237"/>
      <c r="Q1203" s="237"/>
      <c r="R1203" s="237"/>
      <c r="S1203" s="237"/>
      <c r="T1203" s="237"/>
      <c r="U1203" s="237"/>
      <c r="V1203" s="237"/>
      <c r="W1203" s="237"/>
      <c r="X1203" s="237"/>
      <c r="Y1203" s="237"/>
      <c r="Z1203" s="237"/>
    </row>
    <row r="1204">
      <c r="A1204" s="305">
        <v>1203.0</v>
      </c>
      <c r="B1204" s="306" t="s">
        <v>11384</v>
      </c>
      <c r="C1204" s="307" t="s">
        <v>1420</v>
      </c>
      <c r="D1204" s="308" t="s">
        <v>11386</v>
      </c>
      <c r="E1204" s="305" t="s">
        <v>11387</v>
      </c>
      <c r="F1204" s="309" t="s">
        <v>11388</v>
      </c>
      <c r="G1204" s="236"/>
      <c r="H1204" s="307" t="s">
        <v>1420</v>
      </c>
      <c r="I1204" s="237"/>
      <c r="J1204" s="237"/>
      <c r="K1204" s="310" t="s">
        <v>11385</v>
      </c>
      <c r="L1204" s="237"/>
      <c r="M1204" s="237"/>
      <c r="N1204" s="237"/>
      <c r="O1204" s="237"/>
      <c r="P1204" s="237"/>
      <c r="Q1204" s="237"/>
      <c r="R1204" s="237"/>
      <c r="S1204" s="237"/>
      <c r="T1204" s="237"/>
      <c r="U1204" s="237"/>
      <c r="V1204" s="237"/>
      <c r="W1204" s="237"/>
      <c r="X1204" s="237"/>
      <c r="Y1204" s="237"/>
      <c r="Z1204" s="237"/>
    </row>
    <row r="1205">
      <c r="A1205" s="305">
        <v>1204.0</v>
      </c>
      <c r="B1205" s="306" t="s">
        <v>11389</v>
      </c>
      <c r="C1205" s="307" t="s">
        <v>1420</v>
      </c>
      <c r="D1205" s="308" t="s">
        <v>11391</v>
      </c>
      <c r="E1205" s="305" t="s">
        <v>11311</v>
      </c>
      <c r="F1205" s="309" t="s">
        <v>11392</v>
      </c>
      <c r="G1205" s="236"/>
      <c r="H1205" s="307" t="s">
        <v>1420</v>
      </c>
      <c r="I1205" s="237"/>
      <c r="J1205" s="237"/>
      <c r="K1205" s="310" t="s">
        <v>11390</v>
      </c>
      <c r="L1205" s="237"/>
      <c r="M1205" s="237"/>
      <c r="N1205" s="237"/>
      <c r="O1205" s="237"/>
      <c r="P1205" s="237"/>
      <c r="Q1205" s="237"/>
      <c r="R1205" s="237"/>
      <c r="S1205" s="237"/>
      <c r="T1205" s="237"/>
      <c r="U1205" s="237"/>
      <c r="V1205" s="237"/>
      <c r="W1205" s="237"/>
      <c r="X1205" s="237"/>
      <c r="Y1205" s="237"/>
      <c r="Z1205" s="237"/>
    </row>
    <row r="1206">
      <c r="A1206" s="305">
        <v>1205.0</v>
      </c>
      <c r="B1206" s="306" t="s">
        <v>11393</v>
      </c>
      <c r="C1206" s="307" t="s">
        <v>1420</v>
      </c>
      <c r="D1206" s="308" t="s">
        <v>11395</v>
      </c>
      <c r="E1206" s="305" t="s">
        <v>11396</v>
      </c>
      <c r="F1206" s="309" t="s">
        <v>11397</v>
      </c>
      <c r="G1206" s="236"/>
      <c r="H1206" s="307" t="s">
        <v>1420</v>
      </c>
      <c r="I1206" s="237"/>
      <c r="J1206" s="237"/>
      <c r="K1206" s="310" t="s">
        <v>11394</v>
      </c>
      <c r="L1206" s="237"/>
      <c r="M1206" s="237"/>
      <c r="N1206" s="237"/>
      <c r="O1206" s="237"/>
      <c r="P1206" s="237"/>
      <c r="Q1206" s="237"/>
      <c r="R1206" s="237"/>
      <c r="S1206" s="237"/>
      <c r="T1206" s="237"/>
      <c r="U1206" s="237"/>
      <c r="V1206" s="237"/>
      <c r="W1206" s="237"/>
      <c r="X1206" s="237"/>
      <c r="Y1206" s="237"/>
      <c r="Z1206" s="237"/>
    </row>
    <row r="1207">
      <c r="A1207" s="305">
        <v>1206.0</v>
      </c>
      <c r="B1207" s="306" t="s">
        <v>11398</v>
      </c>
      <c r="C1207" s="307" t="s">
        <v>1420</v>
      </c>
      <c r="D1207" s="308" t="s">
        <v>11400</v>
      </c>
      <c r="E1207" s="305" t="s">
        <v>11401</v>
      </c>
      <c r="F1207" s="309" t="s">
        <v>11402</v>
      </c>
      <c r="G1207" s="236"/>
      <c r="H1207" s="307" t="s">
        <v>1420</v>
      </c>
      <c r="I1207" s="237"/>
      <c r="J1207" s="237"/>
      <c r="K1207" s="310" t="s">
        <v>11399</v>
      </c>
      <c r="L1207" s="237"/>
      <c r="M1207" s="237"/>
      <c r="N1207" s="237"/>
      <c r="O1207" s="237"/>
      <c r="P1207" s="237"/>
      <c r="Q1207" s="237"/>
      <c r="R1207" s="237"/>
      <c r="S1207" s="237"/>
      <c r="T1207" s="237"/>
      <c r="U1207" s="237"/>
      <c r="V1207" s="237"/>
      <c r="W1207" s="237"/>
      <c r="X1207" s="237"/>
      <c r="Y1207" s="237"/>
      <c r="Z1207" s="237"/>
    </row>
    <row r="1208">
      <c r="A1208" s="305">
        <v>1207.0</v>
      </c>
      <c r="B1208" s="306" t="s">
        <v>11403</v>
      </c>
      <c r="C1208" s="307" t="s">
        <v>1420</v>
      </c>
      <c r="D1208" s="308" t="s">
        <v>11405</v>
      </c>
      <c r="E1208" s="305" t="s">
        <v>11406</v>
      </c>
      <c r="F1208" s="309" t="s">
        <v>11407</v>
      </c>
      <c r="G1208" s="236"/>
      <c r="H1208" s="307" t="s">
        <v>1420</v>
      </c>
      <c r="I1208" s="237"/>
      <c r="J1208" s="237"/>
      <c r="K1208" s="310" t="s">
        <v>11404</v>
      </c>
      <c r="L1208" s="237"/>
      <c r="M1208" s="237"/>
      <c r="N1208" s="237"/>
      <c r="O1208" s="237"/>
      <c r="P1208" s="237"/>
      <c r="Q1208" s="237"/>
      <c r="R1208" s="237"/>
      <c r="S1208" s="237"/>
      <c r="T1208" s="237"/>
      <c r="U1208" s="237"/>
      <c r="V1208" s="237"/>
      <c r="W1208" s="237"/>
      <c r="X1208" s="237"/>
      <c r="Y1208" s="237"/>
      <c r="Z1208" s="237"/>
    </row>
    <row r="1209">
      <c r="A1209" s="305">
        <v>1208.0</v>
      </c>
      <c r="B1209" s="306" t="s">
        <v>11408</v>
      </c>
      <c r="C1209" s="307" t="s">
        <v>1420</v>
      </c>
      <c r="D1209" s="308" t="s">
        <v>11410</v>
      </c>
      <c r="E1209" s="305" t="s">
        <v>11411</v>
      </c>
      <c r="F1209" s="309" t="s">
        <v>11412</v>
      </c>
      <c r="G1209" s="236"/>
      <c r="H1209" s="307" t="s">
        <v>1420</v>
      </c>
      <c r="I1209" s="237"/>
      <c r="J1209" s="237"/>
      <c r="K1209" s="310" t="s">
        <v>11409</v>
      </c>
      <c r="L1209" s="237"/>
      <c r="M1209" s="237"/>
      <c r="N1209" s="237"/>
      <c r="O1209" s="237"/>
      <c r="P1209" s="237"/>
      <c r="Q1209" s="237"/>
      <c r="R1209" s="237"/>
      <c r="S1209" s="237"/>
      <c r="T1209" s="237"/>
      <c r="U1209" s="237"/>
      <c r="V1209" s="237"/>
      <c r="W1209" s="237"/>
      <c r="X1209" s="237"/>
      <c r="Y1209" s="237"/>
      <c r="Z1209" s="237"/>
    </row>
    <row r="1210">
      <c r="A1210" s="305">
        <v>1209.0</v>
      </c>
      <c r="B1210" s="306" t="s">
        <v>11413</v>
      </c>
      <c r="C1210" s="307" t="s">
        <v>1420</v>
      </c>
      <c r="D1210" s="308" t="s">
        <v>11415</v>
      </c>
      <c r="E1210" s="305" t="s">
        <v>11416</v>
      </c>
      <c r="F1210" s="309" t="s">
        <v>11417</v>
      </c>
      <c r="G1210" s="236"/>
      <c r="H1210" s="307" t="s">
        <v>1420</v>
      </c>
      <c r="I1210" s="237"/>
      <c r="J1210" s="237"/>
      <c r="K1210" s="310" t="s">
        <v>11414</v>
      </c>
      <c r="L1210" s="237"/>
      <c r="M1210" s="237"/>
      <c r="N1210" s="237"/>
      <c r="O1210" s="237"/>
      <c r="P1210" s="237"/>
      <c r="Q1210" s="237"/>
      <c r="R1210" s="237"/>
      <c r="S1210" s="237"/>
      <c r="T1210" s="237"/>
      <c r="U1210" s="237"/>
      <c r="V1210" s="237"/>
      <c r="W1210" s="237"/>
      <c r="X1210" s="237"/>
      <c r="Y1210" s="237"/>
      <c r="Z1210" s="237"/>
    </row>
    <row r="1211">
      <c r="A1211" s="305">
        <v>1210.0</v>
      </c>
      <c r="B1211" s="306" t="s">
        <v>11423</v>
      </c>
      <c r="C1211" s="307" t="s">
        <v>1420</v>
      </c>
      <c r="D1211" s="308" t="s">
        <v>11425</v>
      </c>
      <c r="E1211" s="305" t="s">
        <v>11426</v>
      </c>
      <c r="F1211" s="236"/>
      <c r="G1211" s="236"/>
      <c r="H1211" s="307" t="s">
        <v>1420</v>
      </c>
      <c r="I1211" s="237"/>
      <c r="J1211" s="237"/>
      <c r="K1211" s="310" t="s">
        <v>11424</v>
      </c>
      <c r="L1211" s="237"/>
      <c r="M1211" s="237"/>
      <c r="N1211" s="237"/>
      <c r="O1211" s="237"/>
      <c r="P1211" s="237"/>
      <c r="Q1211" s="237"/>
      <c r="R1211" s="237"/>
      <c r="S1211" s="237"/>
      <c r="T1211" s="237"/>
      <c r="U1211" s="237"/>
      <c r="V1211" s="237"/>
      <c r="W1211" s="237"/>
      <c r="X1211" s="237"/>
      <c r="Y1211" s="237"/>
      <c r="Z1211" s="237"/>
    </row>
    <row r="1212">
      <c r="A1212" s="305">
        <v>1211.0</v>
      </c>
      <c r="B1212" s="306" t="s">
        <v>11427</v>
      </c>
      <c r="C1212" s="307" t="s">
        <v>1420</v>
      </c>
      <c r="D1212" s="308" t="s">
        <v>11429</v>
      </c>
      <c r="E1212" s="305" t="s">
        <v>11430</v>
      </c>
      <c r="F1212" s="309" t="s">
        <v>11431</v>
      </c>
      <c r="G1212" s="236"/>
      <c r="H1212" s="307" t="s">
        <v>1420</v>
      </c>
      <c r="I1212" s="237"/>
      <c r="J1212" s="237"/>
      <c r="K1212" s="310" t="s">
        <v>11428</v>
      </c>
      <c r="L1212" s="237"/>
      <c r="M1212" s="237"/>
      <c r="N1212" s="237"/>
      <c r="O1212" s="237"/>
      <c r="P1212" s="237"/>
      <c r="Q1212" s="237"/>
      <c r="R1212" s="237"/>
      <c r="S1212" s="237"/>
      <c r="T1212" s="237"/>
      <c r="U1212" s="237"/>
      <c r="V1212" s="237"/>
      <c r="W1212" s="237"/>
      <c r="X1212" s="237"/>
      <c r="Y1212" s="237"/>
      <c r="Z1212" s="237"/>
    </row>
    <row r="1213">
      <c r="A1213" s="305">
        <v>1212.0</v>
      </c>
      <c r="B1213" s="236"/>
      <c r="C1213" s="307" t="s">
        <v>1420</v>
      </c>
      <c r="D1213" s="308" t="s">
        <v>11920</v>
      </c>
      <c r="E1213" s="305" t="s">
        <v>11921</v>
      </c>
      <c r="F1213" s="309" t="s">
        <v>11922</v>
      </c>
      <c r="G1213" s="236"/>
      <c r="H1213" s="307" t="s">
        <v>1420</v>
      </c>
      <c r="I1213" s="237"/>
      <c r="J1213" s="237"/>
      <c r="K1213" s="310" t="s">
        <v>11918</v>
      </c>
      <c r="L1213" s="237"/>
      <c r="M1213" s="237"/>
      <c r="N1213" s="237"/>
      <c r="O1213" s="237"/>
      <c r="P1213" s="237"/>
      <c r="Q1213" s="237"/>
      <c r="R1213" s="237"/>
      <c r="S1213" s="237"/>
      <c r="T1213" s="237"/>
      <c r="U1213" s="237"/>
      <c r="V1213" s="237"/>
      <c r="W1213" s="237"/>
      <c r="X1213" s="237"/>
      <c r="Y1213" s="237"/>
      <c r="Z1213" s="237"/>
    </row>
    <row r="1214">
      <c r="A1214" s="305">
        <v>1213.0</v>
      </c>
      <c r="B1214" s="236"/>
      <c r="C1214" s="307" t="s">
        <v>1420</v>
      </c>
      <c r="D1214" s="308" t="s">
        <v>11915</v>
      </c>
      <c r="E1214" s="305" t="s">
        <v>11916</v>
      </c>
      <c r="F1214" s="309" t="s">
        <v>11917</v>
      </c>
      <c r="G1214" s="236"/>
      <c r="H1214" s="307" t="s">
        <v>1420</v>
      </c>
      <c r="I1214" s="237"/>
      <c r="J1214" s="237"/>
      <c r="K1214" s="310" t="s">
        <v>11914</v>
      </c>
      <c r="L1214" s="237"/>
      <c r="M1214" s="237"/>
      <c r="N1214" s="237"/>
      <c r="O1214" s="237"/>
      <c r="P1214" s="237"/>
      <c r="Q1214" s="237"/>
      <c r="R1214" s="237"/>
      <c r="S1214" s="237"/>
      <c r="T1214" s="237"/>
      <c r="U1214" s="237"/>
      <c r="V1214" s="237"/>
      <c r="W1214" s="237"/>
      <c r="X1214" s="237"/>
      <c r="Y1214" s="237"/>
      <c r="Z1214" s="237"/>
    </row>
    <row r="1215">
      <c r="A1215" s="305">
        <v>1214.0</v>
      </c>
      <c r="B1215" s="236"/>
      <c r="C1215" s="307" t="s">
        <v>1420</v>
      </c>
      <c r="D1215" s="308" t="s">
        <v>11925</v>
      </c>
      <c r="E1215" s="305" t="s">
        <v>11926</v>
      </c>
      <c r="F1215" s="309" t="s">
        <v>11927</v>
      </c>
      <c r="G1215" s="236"/>
      <c r="H1215" s="307" t="s">
        <v>1420</v>
      </c>
      <c r="I1215" s="237"/>
      <c r="J1215" s="237"/>
      <c r="K1215" s="310" t="s">
        <v>11923</v>
      </c>
      <c r="L1215" s="237"/>
      <c r="M1215" s="237"/>
      <c r="N1215" s="237"/>
      <c r="O1215" s="237"/>
      <c r="P1215" s="237"/>
      <c r="Q1215" s="237"/>
      <c r="R1215" s="237"/>
      <c r="S1215" s="237"/>
      <c r="T1215" s="237"/>
      <c r="U1215" s="237"/>
      <c r="V1215" s="237"/>
      <c r="W1215" s="237"/>
      <c r="X1215" s="237"/>
      <c r="Y1215" s="237"/>
      <c r="Z1215" s="237"/>
    </row>
    <row r="1216">
      <c r="A1216" s="305">
        <v>1215.0</v>
      </c>
      <c r="B1216" s="236"/>
      <c r="C1216" s="307" t="s">
        <v>1420</v>
      </c>
      <c r="D1216" s="308" t="s">
        <v>11935</v>
      </c>
      <c r="E1216" s="305" t="s">
        <v>11936</v>
      </c>
      <c r="F1216" s="309" t="s">
        <v>11937</v>
      </c>
      <c r="G1216" s="236"/>
      <c r="H1216" s="307" t="s">
        <v>1420</v>
      </c>
      <c r="I1216" s="237"/>
      <c r="J1216" s="237"/>
      <c r="K1216" s="310" t="s">
        <v>11933</v>
      </c>
      <c r="L1216" s="237"/>
      <c r="M1216" s="237"/>
      <c r="N1216" s="237"/>
      <c r="O1216" s="237"/>
      <c r="P1216" s="237"/>
      <c r="Q1216" s="237"/>
      <c r="R1216" s="237"/>
      <c r="S1216" s="237"/>
      <c r="T1216" s="237"/>
      <c r="U1216" s="237"/>
      <c r="V1216" s="237"/>
      <c r="W1216" s="237"/>
      <c r="X1216" s="237"/>
      <c r="Y1216" s="237"/>
      <c r="Z1216" s="237"/>
    </row>
    <row r="1217">
      <c r="A1217" s="305">
        <v>1216.0</v>
      </c>
      <c r="B1217" s="236"/>
      <c r="C1217" s="307" t="s">
        <v>1420</v>
      </c>
      <c r="D1217" s="308" t="s">
        <v>11945</v>
      </c>
      <c r="E1217" s="305" t="s">
        <v>11946</v>
      </c>
      <c r="F1217" s="309" t="s">
        <v>11947</v>
      </c>
      <c r="G1217" s="236"/>
      <c r="H1217" s="307" t="s">
        <v>1420</v>
      </c>
      <c r="I1217" s="237"/>
      <c r="J1217" s="237"/>
      <c r="K1217" s="310" t="s">
        <v>11943</v>
      </c>
      <c r="L1217" s="237"/>
      <c r="M1217" s="237"/>
      <c r="N1217" s="237"/>
      <c r="O1217" s="237"/>
      <c r="P1217" s="237"/>
      <c r="Q1217" s="237"/>
      <c r="R1217" s="237"/>
      <c r="S1217" s="237"/>
      <c r="T1217" s="237"/>
      <c r="U1217" s="237"/>
      <c r="V1217" s="237"/>
      <c r="W1217" s="237"/>
      <c r="X1217" s="237"/>
      <c r="Y1217" s="237"/>
      <c r="Z1217" s="237"/>
    </row>
    <row r="1218">
      <c r="A1218" s="305">
        <v>1217.0</v>
      </c>
      <c r="B1218" s="236"/>
      <c r="C1218" s="307" t="s">
        <v>1420</v>
      </c>
      <c r="D1218" s="308" t="s">
        <v>11940</v>
      </c>
      <c r="E1218" s="305" t="s">
        <v>11941</v>
      </c>
      <c r="F1218" s="309" t="s">
        <v>11942</v>
      </c>
      <c r="G1218" s="236"/>
      <c r="H1218" s="307" t="s">
        <v>1420</v>
      </c>
      <c r="I1218" s="237"/>
      <c r="J1218" s="237"/>
      <c r="K1218" s="310" t="s">
        <v>11938</v>
      </c>
      <c r="L1218" s="237"/>
      <c r="M1218" s="237"/>
      <c r="N1218" s="237"/>
      <c r="O1218" s="237"/>
      <c r="P1218" s="237"/>
      <c r="Q1218" s="237"/>
      <c r="R1218" s="237"/>
      <c r="S1218" s="237"/>
      <c r="T1218" s="237"/>
      <c r="U1218" s="237"/>
      <c r="V1218" s="237"/>
      <c r="W1218" s="237"/>
      <c r="X1218" s="237"/>
      <c r="Y1218" s="237"/>
      <c r="Z1218" s="237"/>
    </row>
    <row r="1219">
      <c r="A1219" s="305">
        <v>1218.0</v>
      </c>
      <c r="B1219" s="236"/>
      <c r="C1219" s="307" t="s">
        <v>1420</v>
      </c>
      <c r="D1219" s="308" t="s">
        <v>11930</v>
      </c>
      <c r="E1219" s="305" t="s">
        <v>11931</v>
      </c>
      <c r="F1219" s="309" t="s">
        <v>11932</v>
      </c>
      <c r="G1219" s="236"/>
      <c r="H1219" s="307" t="s">
        <v>1420</v>
      </c>
      <c r="I1219" s="237"/>
      <c r="J1219" s="237"/>
      <c r="K1219" s="310" t="s">
        <v>11928</v>
      </c>
      <c r="L1219" s="237"/>
      <c r="M1219" s="237"/>
      <c r="N1219" s="237"/>
      <c r="O1219" s="237"/>
      <c r="P1219" s="237"/>
      <c r="Q1219" s="237"/>
      <c r="R1219" s="237"/>
      <c r="S1219" s="237"/>
      <c r="T1219" s="237"/>
      <c r="U1219" s="237"/>
      <c r="V1219" s="237"/>
      <c r="W1219" s="237"/>
      <c r="X1219" s="237"/>
      <c r="Y1219" s="237"/>
      <c r="Z1219" s="237"/>
    </row>
    <row r="1220">
      <c r="A1220" s="305">
        <v>1219.0</v>
      </c>
      <c r="B1220" s="306" t="s">
        <v>11418</v>
      </c>
      <c r="C1220" s="307" t="s">
        <v>1420</v>
      </c>
      <c r="D1220" s="308" t="s">
        <v>11420</v>
      </c>
      <c r="E1220" s="305" t="s">
        <v>11421</v>
      </c>
      <c r="F1220" s="309" t="s">
        <v>11422</v>
      </c>
      <c r="G1220" s="236"/>
      <c r="H1220" s="307" t="s">
        <v>1420</v>
      </c>
      <c r="I1220" s="237"/>
      <c r="J1220" s="237"/>
      <c r="K1220" s="310" t="s">
        <v>11419</v>
      </c>
      <c r="L1220" s="237"/>
      <c r="M1220" s="237"/>
      <c r="N1220" s="237"/>
      <c r="O1220" s="237"/>
      <c r="P1220" s="237"/>
      <c r="Q1220" s="237"/>
      <c r="R1220" s="237"/>
      <c r="S1220" s="237"/>
      <c r="T1220" s="237"/>
      <c r="U1220" s="237"/>
      <c r="V1220" s="237"/>
      <c r="W1220" s="237"/>
      <c r="X1220" s="237"/>
      <c r="Y1220" s="237"/>
      <c r="Z1220" s="237"/>
    </row>
    <row r="1221">
      <c r="A1221" s="305">
        <v>1220.0</v>
      </c>
      <c r="B1221" s="306" t="s">
        <v>11533</v>
      </c>
      <c r="C1221" s="307" t="s">
        <v>1420</v>
      </c>
      <c r="D1221" s="308" t="s">
        <v>11535</v>
      </c>
      <c r="E1221" s="305" t="s">
        <v>11536</v>
      </c>
      <c r="F1221" s="309" t="s">
        <v>11537</v>
      </c>
      <c r="G1221" s="236"/>
      <c r="H1221" s="307" t="s">
        <v>1420</v>
      </c>
      <c r="I1221" s="237"/>
      <c r="J1221" s="237"/>
      <c r="K1221" s="310" t="s">
        <v>11534</v>
      </c>
      <c r="L1221" s="237"/>
      <c r="M1221" s="237"/>
      <c r="N1221" s="237"/>
      <c r="O1221" s="237"/>
      <c r="P1221" s="237"/>
      <c r="Q1221" s="237"/>
      <c r="R1221" s="237"/>
      <c r="S1221" s="237"/>
      <c r="T1221" s="237"/>
      <c r="U1221" s="237"/>
      <c r="V1221" s="237"/>
      <c r="W1221" s="237"/>
      <c r="X1221" s="237"/>
      <c r="Y1221" s="237"/>
      <c r="Z1221" s="237"/>
    </row>
    <row r="1222">
      <c r="A1222" s="305">
        <v>1221.0</v>
      </c>
      <c r="B1222" s="306" t="s">
        <v>8512</v>
      </c>
      <c r="C1222" s="307" t="s">
        <v>1420</v>
      </c>
      <c r="D1222" s="308" t="s">
        <v>8518</v>
      </c>
      <c r="E1222" s="305" t="s">
        <v>8519</v>
      </c>
      <c r="F1222" s="309" t="s">
        <v>8520</v>
      </c>
      <c r="G1222" s="236"/>
      <c r="H1222" s="307" t="s">
        <v>1420</v>
      </c>
      <c r="I1222" s="237"/>
      <c r="J1222" s="237"/>
      <c r="K1222" s="310" t="s">
        <v>8517</v>
      </c>
      <c r="L1222" s="237"/>
      <c r="M1222" s="237"/>
      <c r="N1222" s="237"/>
      <c r="O1222" s="237"/>
      <c r="P1222" s="237"/>
      <c r="Q1222" s="237"/>
      <c r="R1222" s="237"/>
      <c r="S1222" s="237"/>
      <c r="T1222" s="237"/>
      <c r="U1222" s="237"/>
      <c r="V1222" s="237"/>
      <c r="W1222" s="237"/>
      <c r="X1222" s="237"/>
      <c r="Y1222" s="237"/>
      <c r="Z1222" s="237"/>
    </row>
    <row r="1223">
      <c r="A1223" s="305">
        <v>1222.0</v>
      </c>
      <c r="B1223" s="306" t="s">
        <v>11528</v>
      </c>
      <c r="C1223" s="307" t="s">
        <v>1420</v>
      </c>
      <c r="D1223" s="308" t="s">
        <v>11530</v>
      </c>
      <c r="E1223" s="305" t="s">
        <v>11531</v>
      </c>
      <c r="F1223" s="309" t="s">
        <v>11532</v>
      </c>
      <c r="G1223" s="236"/>
      <c r="H1223" s="307" t="s">
        <v>1420</v>
      </c>
      <c r="I1223" s="237"/>
      <c r="J1223" s="237"/>
      <c r="K1223" s="310" t="s">
        <v>11529</v>
      </c>
      <c r="L1223" s="237"/>
      <c r="M1223" s="237"/>
      <c r="N1223" s="237"/>
      <c r="O1223" s="237"/>
      <c r="P1223" s="237"/>
      <c r="Q1223" s="237"/>
      <c r="R1223" s="237"/>
      <c r="S1223" s="237"/>
      <c r="T1223" s="237"/>
      <c r="U1223" s="237"/>
      <c r="V1223" s="237"/>
      <c r="W1223" s="237"/>
      <c r="X1223" s="237"/>
      <c r="Y1223" s="237"/>
      <c r="Z1223" s="237"/>
    </row>
    <row r="1224">
      <c r="A1224" s="305">
        <v>1223.0</v>
      </c>
      <c r="B1224" s="306" t="s">
        <v>8512</v>
      </c>
      <c r="C1224" s="307" t="s">
        <v>1420</v>
      </c>
      <c r="D1224" s="308" t="s">
        <v>8514</v>
      </c>
      <c r="E1224" s="305" t="s">
        <v>8515</v>
      </c>
      <c r="F1224" s="309" t="s">
        <v>8516</v>
      </c>
      <c r="G1224" s="236"/>
      <c r="H1224" s="307" t="s">
        <v>1420</v>
      </c>
      <c r="I1224" s="237"/>
      <c r="J1224" s="237"/>
      <c r="K1224" s="310" t="s">
        <v>8513</v>
      </c>
      <c r="L1224" s="237"/>
      <c r="M1224" s="237"/>
      <c r="N1224" s="237"/>
      <c r="O1224" s="237"/>
      <c r="P1224" s="237"/>
      <c r="Q1224" s="237"/>
      <c r="R1224" s="237"/>
      <c r="S1224" s="237"/>
      <c r="T1224" s="237"/>
      <c r="U1224" s="237"/>
      <c r="V1224" s="237"/>
      <c r="W1224" s="237"/>
      <c r="X1224" s="237"/>
      <c r="Y1224" s="237"/>
      <c r="Z1224" s="237"/>
    </row>
    <row r="1225">
      <c r="A1225" s="305">
        <v>1224.0</v>
      </c>
      <c r="B1225" s="306" t="s">
        <v>11538</v>
      </c>
      <c r="C1225" s="307" t="s">
        <v>1420</v>
      </c>
      <c r="D1225" s="308" t="s">
        <v>11540</v>
      </c>
      <c r="E1225" s="305" t="s">
        <v>11541</v>
      </c>
      <c r="F1225" s="309" t="s">
        <v>11542</v>
      </c>
      <c r="G1225" s="236"/>
      <c r="H1225" s="307" t="s">
        <v>1420</v>
      </c>
      <c r="I1225" s="237"/>
      <c r="J1225" s="237"/>
      <c r="K1225" s="310" t="s">
        <v>11539</v>
      </c>
      <c r="L1225" s="237"/>
      <c r="M1225" s="237"/>
      <c r="N1225" s="237"/>
      <c r="O1225" s="237"/>
      <c r="P1225" s="237"/>
      <c r="Q1225" s="237"/>
      <c r="R1225" s="237"/>
      <c r="S1225" s="237"/>
      <c r="T1225" s="237"/>
      <c r="U1225" s="237"/>
      <c r="V1225" s="237"/>
      <c r="W1225" s="237"/>
      <c r="X1225" s="237"/>
      <c r="Y1225" s="237"/>
      <c r="Z1225" s="237"/>
    </row>
    <row r="1226">
      <c r="A1226" s="305">
        <v>1225.0</v>
      </c>
      <c r="B1226" s="306" t="s">
        <v>8512</v>
      </c>
      <c r="C1226" s="307" t="s">
        <v>1420</v>
      </c>
      <c r="D1226" s="308" t="s">
        <v>8522</v>
      </c>
      <c r="E1226" s="305" t="s">
        <v>8523</v>
      </c>
      <c r="F1226" s="309" t="s">
        <v>8524</v>
      </c>
      <c r="G1226" s="236"/>
      <c r="H1226" s="307" t="s">
        <v>1420</v>
      </c>
      <c r="I1226" s="237"/>
      <c r="J1226" s="237"/>
      <c r="K1226" s="310" t="s">
        <v>8521</v>
      </c>
      <c r="L1226" s="237"/>
      <c r="M1226" s="237"/>
      <c r="N1226" s="237"/>
      <c r="O1226" s="237"/>
      <c r="P1226" s="237"/>
      <c r="Q1226" s="237"/>
      <c r="R1226" s="237"/>
      <c r="S1226" s="237"/>
      <c r="T1226" s="237"/>
      <c r="U1226" s="237"/>
      <c r="V1226" s="237"/>
      <c r="W1226" s="237"/>
      <c r="X1226" s="237"/>
      <c r="Y1226" s="237"/>
      <c r="Z1226" s="237"/>
    </row>
    <row r="1227">
      <c r="A1227" s="305">
        <v>1226.0</v>
      </c>
      <c r="B1227" s="306" t="s">
        <v>11543</v>
      </c>
      <c r="C1227" s="307" t="s">
        <v>1420</v>
      </c>
      <c r="D1227" s="308" t="s">
        <v>11545</v>
      </c>
      <c r="E1227" s="305" t="s">
        <v>11546</v>
      </c>
      <c r="F1227" s="309" t="s">
        <v>11547</v>
      </c>
      <c r="G1227" s="236"/>
      <c r="H1227" s="307" t="s">
        <v>1420</v>
      </c>
      <c r="I1227" s="237"/>
      <c r="J1227" s="237"/>
      <c r="K1227" s="310" t="s">
        <v>11544</v>
      </c>
      <c r="L1227" s="237"/>
      <c r="M1227" s="237"/>
      <c r="N1227" s="237"/>
      <c r="O1227" s="237"/>
      <c r="P1227" s="237"/>
      <c r="Q1227" s="237"/>
      <c r="R1227" s="237"/>
      <c r="S1227" s="237"/>
      <c r="T1227" s="237"/>
      <c r="U1227" s="237"/>
      <c r="V1227" s="237"/>
      <c r="W1227" s="237"/>
      <c r="X1227" s="237"/>
      <c r="Y1227" s="237"/>
      <c r="Z1227" s="237"/>
    </row>
    <row r="1228">
      <c r="A1228" s="305">
        <v>1227.0</v>
      </c>
      <c r="B1228" s="306" t="s">
        <v>8512</v>
      </c>
      <c r="C1228" s="307" t="s">
        <v>1420</v>
      </c>
      <c r="D1228" s="308" t="s">
        <v>8526</v>
      </c>
      <c r="E1228" s="305" t="s">
        <v>8527</v>
      </c>
      <c r="F1228" s="309" t="s">
        <v>8528</v>
      </c>
      <c r="G1228" s="236"/>
      <c r="H1228" s="307" t="s">
        <v>1420</v>
      </c>
      <c r="I1228" s="237"/>
      <c r="J1228" s="237"/>
      <c r="K1228" s="310" t="s">
        <v>8525</v>
      </c>
      <c r="L1228" s="237"/>
      <c r="M1228" s="237"/>
      <c r="N1228" s="237"/>
      <c r="O1228" s="237"/>
      <c r="P1228" s="237"/>
      <c r="Q1228" s="237"/>
      <c r="R1228" s="237"/>
      <c r="S1228" s="237"/>
      <c r="T1228" s="237"/>
      <c r="U1228" s="237"/>
      <c r="V1228" s="237"/>
      <c r="W1228" s="237"/>
      <c r="X1228" s="237"/>
      <c r="Y1228" s="237"/>
      <c r="Z1228" s="237"/>
    </row>
    <row r="1229">
      <c r="A1229" s="305">
        <v>1228.0</v>
      </c>
      <c r="B1229" s="306" t="s">
        <v>11548</v>
      </c>
      <c r="C1229" s="307" t="s">
        <v>1420</v>
      </c>
      <c r="D1229" s="308" t="s">
        <v>11550</v>
      </c>
      <c r="E1229" s="305" t="s">
        <v>11551</v>
      </c>
      <c r="F1229" s="309" t="s">
        <v>11552</v>
      </c>
      <c r="G1229" s="236"/>
      <c r="H1229" s="307" t="s">
        <v>1420</v>
      </c>
      <c r="I1229" s="237"/>
      <c r="J1229" s="237"/>
      <c r="K1229" s="310" t="s">
        <v>11549</v>
      </c>
      <c r="L1229" s="237"/>
      <c r="M1229" s="237"/>
      <c r="N1229" s="237"/>
      <c r="O1229" s="237"/>
      <c r="P1229" s="237"/>
      <c r="Q1229" s="237"/>
      <c r="R1229" s="237"/>
      <c r="S1229" s="237"/>
      <c r="T1229" s="237"/>
      <c r="U1229" s="237"/>
      <c r="V1229" s="237"/>
      <c r="W1229" s="237"/>
      <c r="X1229" s="237"/>
      <c r="Y1229" s="237"/>
      <c r="Z1229" s="237"/>
    </row>
    <row r="1230">
      <c r="A1230" s="305">
        <v>1229.0</v>
      </c>
      <c r="B1230" s="306" t="s">
        <v>8512</v>
      </c>
      <c r="C1230" s="307" t="s">
        <v>1420</v>
      </c>
      <c r="D1230" s="308" t="s">
        <v>8530</v>
      </c>
      <c r="E1230" s="305" t="s">
        <v>8531</v>
      </c>
      <c r="F1230" s="309" t="s">
        <v>8532</v>
      </c>
      <c r="G1230" s="236"/>
      <c r="H1230" s="307" t="s">
        <v>1420</v>
      </c>
      <c r="I1230" s="237"/>
      <c r="J1230" s="237"/>
      <c r="K1230" s="310" t="s">
        <v>8529</v>
      </c>
      <c r="L1230" s="237"/>
      <c r="M1230" s="237"/>
      <c r="N1230" s="237"/>
      <c r="O1230" s="237"/>
      <c r="P1230" s="237"/>
      <c r="Q1230" s="237"/>
      <c r="R1230" s="237"/>
      <c r="S1230" s="237"/>
      <c r="T1230" s="237"/>
      <c r="U1230" s="237"/>
      <c r="V1230" s="237"/>
      <c r="W1230" s="237"/>
      <c r="X1230" s="237"/>
      <c r="Y1230" s="237"/>
      <c r="Z1230" s="237"/>
    </row>
    <row r="1231">
      <c r="A1231" s="305">
        <v>1230.0</v>
      </c>
      <c r="B1231" s="306" t="s">
        <v>11553</v>
      </c>
      <c r="C1231" s="307" t="s">
        <v>1420</v>
      </c>
      <c r="D1231" s="308" t="s">
        <v>11555</v>
      </c>
      <c r="E1231" s="305" t="s">
        <v>11556</v>
      </c>
      <c r="F1231" s="309" t="s">
        <v>11557</v>
      </c>
      <c r="G1231" s="236"/>
      <c r="H1231" s="307" t="s">
        <v>1420</v>
      </c>
      <c r="I1231" s="237"/>
      <c r="J1231" s="237"/>
      <c r="K1231" s="310" t="s">
        <v>11554</v>
      </c>
      <c r="L1231" s="237"/>
      <c r="M1231" s="237"/>
      <c r="N1231" s="237"/>
      <c r="O1231" s="237"/>
      <c r="P1231" s="237"/>
      <c r="Q1231" s="237"/>
      <c r="R1231" s="237"/>
      <c r="S1231" s="237"/>
      <c r="T1231" s="237"/>
      <c r="U1231" s="237"/>
      <c r="V1231" s="237"/>
      <c r="W1231" s="237"/>
      <c r="X1231" s="237"/>
      <c r="Y1231" s="237"/>
      <c r="Z1231" s="237"/>
    </row>
    <row r="1232">
      <c r="A1232" s="305">
        <v>1231.0</v>
      </c>
      <c r="B1232" s="306" t="s">
        <v>8512</v>
      </c>
      <c r="C1232" s="307" t="s">
        <v>1420</v>
      </c>
      <c r="D1232" s="308" t="s">
        <v>8534</v>
      </c>
      <c r="E1232" s="305" t="s">
        <v>8535</v>
      </c>
      <c r="F1232" s="309" t="s">
        <v>8536</v>
      </c>
      <c r="G1232" s="236"/>
      <c r="H1232" s="307" t="s">
        <v>1420</v>
      </c>
      <c r="I1232" s="237"/>
      <c r="J1232" s="237"/>
      <c r="K1232" s="310" t="s">
        <v>8533</v>
      </c>
      <c r="L1232" s="237"/>
      <c r="M1232" s="237"/>
      <c r="N1232" s="237"/>
      <c r="O1232" s="237"/>
      <c r="P1232" s="237"/>
      <c r="Q1232" s="237"/>
      <c r="R1232" s="237"/>
      <c r="S1232" s="237"/>
      <c r="T1232" s="237"/>
      <c r="U1232" s="237"/>
      <c r="V1232" s="237"/>
      <c r="W1232" s="237"/>
      <c r="X1232" s="237"/>
      <c r="Y1232" s="237"/>
      <c r="Z1232" s="237"/>
    </row>
    <row r="1233">
      <c r="A1233" s="305">
        <v>1232.0</v>
      </c>
      <c r="B1233" s="306" t="s">
        <v>12845</v>
      </c>
      <c r="C1233" s="307" t="s">
        <v>1420</v>
      </c>
      <c r="D1233" s="308" t="s">
        <v>1394</v>
      </c>
      <c r="E1233" s="305" t="s">
        <v>12847</v>
      </c>
      <c r="F1233" s="309" t="s">
        <v>14388</v>
      </c>
      <c r="G1233" s="236"/>
      <c r="H1233" s="307" t="s">
        <v>1420</v>
      </c>
      <c r="I1233" s="237"/>
      <c r="J1233" s="237"/>
      <c r="K1233" s="310" t="s">
        <v>12846</v>
      </c>
      <c r="L1233" s="237"/>
      <c r="M1233" s="237"/>
      <c r="N1233" s="237"/>
      <c r="O1233" s="237"/>
      <c r="P1233" s="237"/>
      <c r="Q1233" s="237"/>
      <c r="R1233" s="237"/>
      <c r="S1233" s="237"/>
      <c r="T1233" s="237"/>
      <c r="U1233" s="237"/>
      <c r="V1233" s="237"/>
      <c r="W1233" s="237"/>
      <c r="X1233" s="237"/>
      <c r="Y1233" s="237"/>
      <c r="Z1233" s="237"/>
    </row>
    <row r="1234">
      <c r="A1234" s="305">
        <v>1233.0</v>
      </c>
      <c r="B1234" s="236"/>
      <c r="C1234" s="307" t="s">
        <v>1420</v>
      </c>
      <c r="D1234" s="308" t="s">
        <v>1395</v>
      </c>
      <c r="E1234" s="305" t="s">
        <v>12850</v>
      </c>
      <c r="F1234" s="309" t="s">
        <v>14389</v>
      </c>
      <c r="G1234" s="236"/>
      <c r="H1234" s="307" t="s">
        <v>1420</v>
      </c>
      <c r="I1234" s="237"/>
      <c r="J1234" s="237"/>
      <c r="K1234" s="310" t="s">
        <v>12849</v>
      </c>
      <c r="L1234" s="237"/>
      <c r="M1234" s="237"/>
      <c r="N1234" s="237"/>
      <c r="O1234" s="237"/>
      <c r="P1234" s="237"/>
      <c r="Q1234" s="237"/>
      <c r="R1234" s="237"/>
      <c r="S1234" s="237"/>
      <c r="T1234" s="237"/>
      <c r="U1234" s="237"/>
      <c r="V1234" s="237"/>
      <c r="W1234" s="237"/>
      <c r="X1234" s="237"/>
      <c r="Y1234" s="237"/>
      <c r="Z1234" s="237"/>
    </row>
    <row r="1235">
      <c r="A1235" s="305">
        <v>1234.0</v>
      </c>
      <c r="B1235" s="306" t="s">
        <v>14390</v>
      </c>
      <c r="C1235" s="307" t="s">
        <v>1420</v>
      </c>
      <c r="D1235" s="308" t="s">
        <v>1396</v>
      </c>
      <c r="E1235" s="305" t="s">
        <v>12854</v>
      </c>
      <c r="F1235" s="309" t="s">
        <v>14391</v>
      </c>
      <c r="G1235" s="236"/>
      <c r="H1235" s="307" t="s">
        <v>1420</v>
      </c>
      <c r="I1235" s="237"/>
      <c r="J1235" s="237"/>
      <c r="K1235" s="310" t="s">
        <v>12853</v>
      </c>
      <c r="L1235" s="237"/>
      <c r="M1235" s="237"/>
      <c r="N1235" s="237"/>
      <c r="O1235" s="237"/>
      <c r="P1235" s="237"/>
      <c r="Q1235" s="237"/>
      <c r="R1235" s="237"/>
      <c r="S1235" s="237"/>
      <c r="T1235" s="237"/>
      <c r="U1235" s="237"/>
      <c r="V1235" s="237"/>
      <c r="W1235" s="237"/>
      <c r="X1235" s="237"/>
      <c r="Y1235" s="237"/>
      <c r="Z1235" s="237"/>
    </row>
    <row r="1236">
      <c r="A1236" s="305">
        <v>1235.0</v>
      </c>
      <c r="B1236" s="306" t="s">
        <v>14390</v>
      </c>
      <c r="C1236" s="307" t="s">
        <v>1420</v>
      </c>
      <c r="D1236" s="308" t="s">
        <v>1398</v>
      </c>
      <c r="E1236" s="305" t="s">
        <v>12860</v>
      </c>
      <c r="F1236" s="309" t="s">
        <v>14392</v>
      </c>
      <c r="G1236" s="236"/>
      <c r="H1236" s="307" t="s">
        <v>1420</v>
      </c>
      <c r="I1236" s="237"/>
      <c r="J1236" s="237"/>
      <c r="K1236" s="310" t="s">
        <v>12859</v>
      </c>
      <c r="L1236" s="237"/>
      <c r="M1236" s="237"/>
      <c r="N1236" s="237"/>
      <c r="O1236" s="237"/>
      <c r="P1236" s="237"/>
      <c r="Q1236" s="237"/>
      <c r="R1236" s="237"/>
      <c r="S1236" s="237"/>
      <c r="T1236" s="237"/>
      <c r="U1236" s="237"/>
      <c r="V1236" s="237"/>
      <c r="W1236" s="237"/>
      <c r="X1236" s="237"/>
      <c r="Y1236" s="237"/>
      <c r="Z1236" s="237"/>
    </row>
    <row r="1237">
      <c r="A1237" s="305">
        <v>1236.0</v>
      </c>
      <c r="B1237" s="236"/>
      <c r="C1237" s="307" t="s">
        <v>1420</v>
      </c>
      <c r="D1237" s="308" t="s">
        <v>1397</v>
      </c>
      <c r="E1237" s="305" t="s">
        <v>12857</v>
      </c>
      <c r="F1237" s="309" t="s">
        <v>12858</v>
      </c>
      <c r="G1237" s="236"/>
      <c r="H1237" s="307" t="s">
        <v>1420</v>
      </c>
      <c r="I1237" s="237"/>
      <c r="J1237" s="237"/>
      <c r="K1237" s="310" t="s">
        <v>12856</v>
      </c>
      <c r="L1237" s="237"/>
      <c r="M1237" s="237"/>
      <c r="N1237" s="237"/>
      <c r="O1237" s="237"/>
      <c r="P1237" s="237"/>
      <c r="Q1237" s="237"/>
      <c r="R1237" s="237"/>
      <c r="S1237" s="237"/>
      <c r="T1237" s="237"/>
      <c r="U1237" s="237"/>
      <c r="V1237" s="237"/>
      <c r="W1237" s="237"/>
      <c r="X1237" s="237"/>
      <c r="Y1237" s="237"/>
      <c r="Z1237" s="237"/>
    </row>
    <row r="1238">
      <c r="A1238" s="305">
        <v>1237.0</v>
      </c>
      <c r="B1238" s="236"/>
      <c r="C1238" s="307" t="s">
        <v>1420</v>
      </c>
      <c r="D1238" s="308" t="s">
        <v>1695</v>
      </c>
      <c r="E1238" s="305" t="s">
        <v>13626</v>
      </c>
      <c r="F1238" s="309" t="s">
        <v>14393</v>
      </c>
      <c r="G1238" s="236"/>
      <c r="H1238" s="307" t="s">
        <v>1420</v>
      </c>
      <c r="I1238" s="237"/>
      <c r="J1238" s="237"/>
      <c r="K1238" s="310" t="s">
        <v>13625</v>
      </c>
      <c r="L1238" s="237"/>
      <c r="M1238" s="237"/>
      <c r="N1238" s="237"/>
      <c r="O1238" s="237"/>
      <c r="P1238" s="237"/>
      <c r="Q1238" s="237"/>
      <c r="R1238" s="237"/>
      <c r="S1238" s="237"/>
      <c r="T1238" s="237"/>
      <c r="U1238" s="237"/>
      <c r="V1238" s="237"/>
      <c r="W1238" s="237"/>
      <c r="X1238" s="237"/>
      <c r="Y1238" s="237"/>
      <c r="Z1238" s="237"/>
    </row>
    <row r="1239">
      <c r="A1239" s="305">
        <v>1238.0</v>
      </c>
      <c r="B1239" s="236"/>
      <c r="C1239" s="307" t="s">
        <v>1420</v>
      </c>
      <c r="D1239" s="308" t="s">
        <v>1698</v>
      </c>
      <c r="E1239" s="305" t="s">
        <v>13635</v>
      </c>
      <c r="F1239" s="309" t="s">
        <v>14394</v>
      </c>
      <c r="G1239" s="236"/>
      <c r="H1239" s="307" t="s">
        <v>1420</v>
      </c>
      <c r="I1239" s="237"/>
      <c r="J1239" s="237"/>
      <c r="K1239" s="310" t="s">
        <v>13634</v>
      </c>
      <c r="L1239" s="237"/>
      <c r="M1239" s="237"/>
      <c r="N1239" s="237"/>
      <c r="O1239" s="237"/>
      <c r="P1239" s="237"/>
      <c r="Q1239" s="237"/>
      <c r="R1239" s="237"/>
      <c r="S1239" s="237"/>
      <c r="T1239" s="237"/>
      <c r="U1239" s="237"/>
      <c r="V1239" s="237"/>
      <c r="W1239" s="237"/>
      <c r="X1239" s="237"/>
      <c r="Y1239" s="237"/>
      <c r="Z1239" s="237"/>
    </row>
    <row r="1240">
      <c r="A1240" s="305">
        <v>1239.0</v>
      </c>
      <c r="B1240" s="236"/>
      <c r="C1240" s="307" t="s">
        <v>1420</v>
      </c>
      <c r="D1240" s="308" t="s">
        <v>2275</v>
      </c>
      <c r="E1240" s="305" t="s">
        <v>6013</v>
      </c>
      <c r="F1240" s="309" t="s">
        <v>6014</v>
      </c>
      <c r="G1240" s="236"/>
      <c r="H1240" s="307" t="s">
        <v>1420</v>
      </c>
      <c r="I1240" s="237"/>
      <c r="J1240" s="237"/>
      <c r="K1240" s="310" t="s">
        <v>6012</v>
      </c>
      <c r="L1240" s="237"/>
      <c r="M1240" s="237"/>
      <c r="N1240" s="237"/>
      <c r="O1240" s="237"/>
      <c r="P1240" s="237"/>
      <c r="Q1240" s="237"/>
      <c r="R1240" s="237"/>
      <c r="S1240" s="237"/>
      <c r="T1240" s="237"/>
      <c r="U1240" s="237"/>
      <c r="V1240" s="237"/>
      <c r="W1240" s="237"/>
      <c r="X1240" s="237"/>
      <c r="Y1240" s="237"/>
      <c r="Z1240" s="237"/>
    </row>
    <row r="1241">
      <c r="A1241" s="305">
        <v>1240.0</v>
      </c>
      <c r="B1241" s="236"/>
      <c r="C1241" s="307" t="s">
        <v>1420</v>
      </c>
      <c r="D1241" s="308" t="s">
        <v>1696</v>
      </c>
      <c r="E1241" s="305" t="s">
        <v>13629</v>
      </c>
      <c r="F1241" s="309" t="s">
        <v>14395</v>
      </c>
      <c r="G1241" s="236"/>
      <c r="H1241" s="307" t="s">
        <v>1420</v>
      </c>
      <c r="I1241" s="237"/>
      <c r="J1241" s="237"/>
      <c r="K1241" s="310" t="s">
        <v>13628</v>
      </c>
      <c r="L1241" s="237"/>
      <c r="M1241" s="237"/>
      <c r="N1241" s="237"/>
      <c r="O1241" s="237"/>
      <c r="P1241" s="237"/>
      <c r="Q1241" s="237"/>
      <c r="R1241" s="237"/>
      <c r="S1241" s="237"/>
      <c r="T1241" s="237"/>
      <c r="U1241" s="237"/>
      <c r="V1241" s="237"/>
      <c r="W1241" s="237"/>
      <c r="X1241" s="237"/>
      <c r="Y1241" s="237"/>
      <c r="Z1241" s="237"/>
    </row>
    <row r="1242">
      <c r="A1242" s="305">
        <v>1241.0</v>
      </c>
      <c r="B1242" s="236"/>
      <c r="C1242" s="307" t="s">
        <v>1420</v>
      </c>
      <c r="D1242" s="308" t="s">
        <v>1697</v>
      </c>
      <c r="E1242" s="305" t="s">
        <v>13632</v>
      </c>
      <c r="F1242" s="309" t="s">
        <v>14396</v>
      </c>
      <c r="G1242" s="236"/>
      <c r="H1242" s="307" t="s">
        <v>1420</v>
      </c>
      <c r="I1242" s="237"/>
      <c r="J1242" s="237"/>
      <c r="K1242" s="310" t="s">
        <v>13631</v>
      </c>
      <c r="L1242" s="237"/>
      <c r="M1242" s="237"/>
      <c r="N1242" s="237"/>
      <c r="O1242" s="237"/>
      <c r="P1242" s="237"/>
      <c r="Q1242" s="237"/>
      <c r="R1242" s="237"/>
      <c r="S1242" s="237"/>
      <c r="T1242" s="237"/>
      <c r="U1242" s="237"/>
      <c r="V1242" s="237"/>
      <c r="W1242" s="237"/>
      <c r="X1242" s="237"/>
      <c r="Y1242" s="237"/>
      <c r="Z1242" s="237"/>
    </row>
    <row r="1243">
      <c r="A1243" s="305">
        <v>1242.0</v>
      </c>
      <c r="B1243" s="306" t="s">
        <v>11365</v>
      </c>
      <c r="C1243" s="307" t="s">
        <v>1420</v>
      </c>
      <c r="D1243" s="308" t="s">
        <v>2448</v>
      </c>
      <c r="E1243" s="305" t="s">
        <v>11367</v>
      </c>
      <c r="F1243" s="309" t="s">
        <v>11368</v>
      </c>
      <c r="G1243" s="236"/>
      <c r="H1243" s="307" t="s">
        <v>1420</v>
      </c>
      <c r="I1243" s="237"/>
      <c r="J1243" s="237"/>
      <c r="K1243" s="310" t="s">
        <v>11366</v>
      </c>
      <c r="L1243" s="237"/>
      <c r="M1243" s="237"/>
      <c r="N1243" s="237"/>
      <c r="O1243" s="237"/>
      <c r="P1243" s="237"/>
      <c r="Q1243" s="237"/>
      <c r="R1243" s="237"/>
      <c r="S1243" s="237"/>
      <c r="T1243" s="237"/>
      <c r="U1243" s="237"/>
      <c r="V1243" s="237"/>
      <c r="W1243" s="237"/>
      <c r="X1243" s="237"/>
      <c r="Y1243" s="237"/>
      <c r="Z1243" s="237"/>
    </row>
    <row r="1244">
      <c r="A1244" s="305">
        <v>1243.0</v>
      </c>
      <c r="B1244" s="236"/>
      <c r="C1244" s="307" t="s">
        <v>1420</v>
      </c>
      <c r="D1244" s="308" t="s">
        <v>1693</v>
      </c>
      <c r="E1244" s="305" t="s">
        <v>13620</v>
      </c>
      <c r="F1244" s="309" t="s">
        <v>14397</v>
      </c>
      <c r="G1244" s="236"/>
      <c r="H1244" s="307" t="s">
        <v>1420</v>
      </c>
      <c r="I1244" s="237"/>
      <c r="J1244" s="237"/>
      <c r="K1244" s="310" t="s">
        <v>13619</v>
      </c>
      <c r="L1244" s="237"/>
      <c r="M1244" s="237"/>
      <c r="N1244" s="237"/>
      <c r="O1244" s="237"/>
      <c r="P1244" s="237"/>
      <c r="Q1244" s="237"/>
      <c r="R1244" s="237"/>
      <c r="S1244" s="237"/>
      <c r="T1244" s="237"/>
      <c r="U1244" s="237"/>
      <c r="V1244" s="237"/>
      <c r="W1244" s="237"/>
      <c r="X1244" s="237"/>
      <c r="Y1244" s="237"/>
      <c r="Z1244" s="237"/>
    </row>
    <row r="1245">
      <c r="A1245" s="305">
        <v>1244.0</v>
      </c>
      <c r="B1245" s="306" t="s">
        <v>11361</v>
      </c>
      <c r="C1245" s="307" t="s">
        <v>1420</v>
      </c>
      <c r="D1245" s="308" t="s">
        <v>2447</v>
      </c>
      <c r="E1245" s="305" t="s">
        <v>11363</v>
      </c>
      <c r="F1245" s="309" t="s">
        <v>11364</v>
      </c>
      <c r="G1245" s="236"/>
      <c r="H1245" s="307" t="s">
        <v>1420</v>
      </c>
      <c r="I1245" s="237"/>
      <c r="J1245" s="237"/>
      <c r="K1245" s="310" t="s">
        <v>11362</v>
      </c>
      <c r="L1245" s="237"/>
      <c r="M1245" s="237"/>
      <c r="N1245" s="237"/>
      <c r="O1245" s="237"/>
      <c r="P1245" s="237"/>
      <c r="Q1245" s="237"/>
      <c r="R1245" s="237"/>
      <c r="S1245" s="237"/>
      <c r="T1245" s="237"/>
      <c r="U1245" s="237"/>
      <c r="V1245" s="237"/>
      <c r="W1245" s="237"/>
      <c r="X1245" s="237"/>
      <c r="Y1245" s="237"/>
      <c r="Z1245" s="237"/>
    </row>
    <row r="1246">
      <c r="A1246" s="305">
        <v>1245.0</v>
      </c>
      <c r="B1246" s="236"/>
      <c r="C1246" s="307" t="s">
        <v>1420</v>
      </c>
      <c r="D1246" s="308" t="s">
        <v>1694</v>
      </c>
      <c r="E1246" s="305" t="s">
        <v>13623</v>
      </c>
      <c r="F1246" s="309" t="s">
        <v>14398</v>
      </c>
      <c r="G1246" s="236"/>
      <c r="H1246" s="307" t="s">
        <v>1420</v>
      </c>
      <c r="I1246" s="237"/>
      <c r="J1246" s="237"/>
      <c r="K1246" s="310" t="s">
        <v>13622</v>
      </c>
      <c r="L1246" s="237"/>
      <c r="M1246" s="237"/>
      <c r="N1246" s="237"/>
      <c r="O1246" s="237"/>
      <c r="P1246" s="237"/>
      <c r="Q1246" s="237"/>
      <c r="R1246" s="237"/>
      <c r="S1246" s="237"/>
      <c r="T1246" s="237"/>
      <c r="U1246" s="237"/>
      <c r="V1246" s="237"/>
      <c r="W1246" s="237"/>
      <c r="X1246" s="237"/>
      <c r="Y1246" s="237"/>
      <c r="Z1246" s="237"/>
    </row>
    <row r="1247">
      <c r="A1247" s="305">
        <v>1246.0</v>
      </c>
      <c r="B1247" s="236"/>
      <c r="C1247" s="307" t="s">
        <v>1420</v>
      </c>
      <c r="D1247" s="308" t="s">
        <v>1699</v>
      </c>
      <c r="E1247" s="305" t="s">
        <v>13638</v>
      </c>
      <c r="F1247" s="309" t="s">
        <v>14399</v>
      </c>
      <c r="G1247" s="236"/>
      <c r="H1247" s="307" t="s">
        <v>1420</v>
      </c>
      <c r="I1247" s="237"/>
      <c r="J1247" s="237"/>
      <c r="K1247" s="310" t="s">
        <v>13637</v>
      </c>
      <c r="L1247" s="237"/>
      <c r="M1247" s="237"/>
      <c r="N1247" s="237"/>
      <c r="O1247" s="237"/>
      <c r="P1247" s="237"/>
      <c r="Q1247" s="237"/>
      <c r="R1247" s="237"/>
      <c r="S1247" s="237"/>
      <c r="T1247" s="237"/>
      <c r="U1247" s="237"/>
      <c r="V1247" s="237"/>
      <c r="W1247" s="237"/>
      <c r="X1247" s="237"/>
      <c r="Y1247" s="237"/>
      <c r="Z1247" s="237"/>
    </row>
    <row r="1248">
      <c r="A1248" s="305">
        <v>1247.0</v>
      </c>
      <c r="B1248" s="236"/>
      <c r="C1248" s="311" t="s">
        <v>1420</v>
      </c>
      <c r="D1248" s="308" t="s">
        <v>1700</v>
      </c>
      <c r="E1248" s="305" t="s">
        <v>13641</v>
      </c>
      <c r="F1248" s="309" t="s">
        <v>14400</v>
      </c>
      <c r="G1248" s="236"/>
      <c r="H1248" s="311" t="s">
        <v>1420</v>
      </c>
      <c r="I1248" s="237"/>
      <c r="J1248" s="237"/>
      <c r="K1248" s="310" t="s">
        <v>14401</v>
      </c>
      <c r="L1248" s="237"/>
      <c r="M1248" s="237"/>
      <c r="N1248" s="237"/>
      <c r="O1248" s="237"/>
      <c r="P1248" s="237"/>
      <c r="Q1248" s="237"/>
      <c r="R1248" s="237"/>
      <c r="S1248" s="237"/>
      <c r="T1248" s="237"/>
      <c r="U1248" s="237"/>
      <c r="V1248" s="237"/>
      <c r="W1248" s="237"/>
      <c r="X1248" s="237"/>
      <c r="Y1248" s="237"/>
      <c r="Z1248" s="237"/>
    </row>
    <row r="1249">
      <c r="A1249" s="305">
        <v>1248.0</v>
      </c>
      <c r="B1249" s="236"/>
      <c r="C1249" s="311" t="s">
        <v>1420</v>
      </c>
      <c r="D1249" s="308" t="s">
        <v>1701</v>
      </c>
      <c r="E1249" s="305" t="s">
        <v>13643</v>
      </c>
      <c r="F1249" s="309" t="s">
        <v>14402</v>
      </c>
      <c r="G1249" s="236"/>
      <c r="H1249" s="311" t="s">
        <v>1420</v>
      </c>
      <c r="I1249" s="237"/>
      <c r="J1249" s="237"/>
      <c r="K1249" s="310" t="s">
        <v>14403</v>
      </c>
      <c r="L1249" s="237"/>
      <c r="M1249" s="237"/>
      <c r="N1249" s="237"/>
      <c r="O1249" s="237"/>
      <c r="P1249" s="237"/>
      <c r="Q1249" s="237"/>
      <c r="R1249" s="237"/>
      <c r="S1249" s="237"/>
      <c r="T1249" s="237"/>
      <c r="U1249" s="237"/>
      <c r="V1249" s="237"/>
      <c r="W1249" s="237"/>
      <c r="X1249" s="237"/>
      <c r="Y1249" s="237"/>
      <c r="Z1249" s="237"/>
    </row>
    <row r="1250">
      <c r="A1250" s="305">
        <v>1249.0</v>
      </c>
      <c r="B1250" s="306" t="s">
        <v>11353</v>
      </c>
      <c r="C1250" s="307" t="s">
        <v>1420</v>
      </c>
      <c r="D1250" s="308" t="s">
        <v>2282</v>
      </c>
      <c r="E1250" s="305" t="s">
        <v>11355</v>
      </c>
      <c r="F1250" s="309" t="s">
        <v>11356</v>
      </c>
      <c r="G1250" s="236"/>
      <c r="H1250" s="307" t="s">
        <v>1420</v>
      </c>
      <c r="I1250" s="237"/>
      <c r="J1250" s="237"/>
      <c r="K1250" s="310" t="s">
        <v>11354</v>
      </c>
      <c r="L1250" s="237"/>
      <c r="M1250" s="237"/>
      <c r="N1250" s="237"/>
      <c r="O1250" s="237"/>
      <c r="P1250" s="237"/>
      <c r="Q1250" s="237"/>
      <c r="R1250" s="237"/>
      <c r="S1250" s="237"/>
      <c r="T1250" s="237"/>
      <c r="U1250" s="237"/>
      <c r="V1250" s="237"/>
      <c r="W1250" s="237"/>
      <c r="X1250" s="237"/>
      <c r="Y1250" s="237"/>
      <c r="Z1250" s="237"/>
    </row>
    <row r="1251">
      <c r="A1251" s="305">
        <v>1250.0</v>
      </c>
      <c r="B1251" s="236"/>
      <c r="C1251" s="307" t="s">
        <v>1420</v>
      </c>
      <c r="D1251" s="308" t="s">
        <v>1702</v>
      </c>
      <c r="E1251" s="305" t="s">
        <v>13645</v>
      </c>
      <c r="F1251" s="309" t="s">
        <v>14404</v>
      </c>
      <c r="G1251" s="236"/>
      <c r="H1251" s="307" t="s">
        <v>1420</v>
      </c>
      <c r="I1251" s="237"/>
      <c r="J1251" s="237"/>
      <c r="K1251" s="310" t="s">
        <v>13644</v>
      </c>
      <c r="L1251" s="237"/>
      <c r="M1251" s="237"/>
      <c r="N1251" s="237"/>
      <c r="O1251" s="237"/>
      <c r="P1251" s="237"/>
      <c r="Q1251" s="237"/>
      <c r="R1251" s="237"/>
      <c r="S1251" s="237"/>
      <c r="T1251" s="237"/>
      <c r="U1251" s="237"/>
      <c r="V1251" s="237"/>
      <c r="W1251" s="237"/>
      <c r="X1251" s="237"/>
      <c r="Y1251" s="237"/>
      <c r="Z1251" s="237"/>
    </row>
    <row r="1252">
      <c r="A1252" s="305">
        <v>1251.0</v>
      </c>
      <c r="B1252" s="236"/>
      <c r="C1252" s="307" t="s">
        <v>1420</v>
      </c>
      <c r="D1252" s="308" t="s">
        <v>6019</v>
      </c>
      <c r="E1252" s="305" t="s">
        <v>6020</v>
      </c>
      <c r="F1252" s="309" t="s">
        <v>6021</v>
      </c>
      <c r="G1252" s="236"/>
      <c r="H1252" s="307" t="s">
        <v>1420</v>
      </c>
      <c r="I1252" s="237"/>
      <c r="J1252" s="237"/>
      <c r="K1252" s="310" t="s">
        <v>6018</v>
      </c>
      <c r="L1252" s="237"/>
      <c r="M1252" s="237"/>
      <c r="N1252" s="237"/>
      <c r="O1252" s="237"/>
      <c r="P1252" s="237"/>
      <c r="Q1252" s="237"/>
      <c r="R1252" s="237"/>
      <c r="S1252" s="237"/>
      <c r="T1252" s="237"/>
      <c r="U1252" s="237"/>
      <c r="V1252" s="237"/>
      <c r="W1252" s="237"/>
      <c r="X1252" s="237"/>
      <c r="Y1252" s="237"/>
      <c r="Z1252" s="237"/>
    </row>
    <row r="1253">
      <c r="A1253" s="305">
        <v>1252.0</v>
      </c>
      <c r="B1253" s="236"/>
      <c r="C1253" s="307" t="s">
        <v>1420</v>
      </c>
      <c r="D1253" s="308" t="s">
        <v>1866</v>
      </c>
      <c r="E1253" s="305" t="s">
        <v>13773</v>
      </c>
      <c r="F1253" s="236"/>
      <c r="G1253" s="236"/>
      <c r="H1253" s="307" t="s">
        <v>1420</v>
      </c>
      <c r="I1253" s="237"/>
      <c r="J1253" s="237"/>
      <c r="K1253" s="310" t="s">
        <v>13772</v>
      </c>
      <c r="L1253" s="237"/>
      <c r="M1253" s="237"/>
      <c r="N1253" s="237"/>
      <c r="O1253" s="237"/>
      <c r="P1253" s="237"/>
      <c r="Q1253" s="237"/>
      <c r="R1253" s="237"/>
      <c r="S1253" s="237"/>
      <c r="T1253" s="237"/>
      <c r="U1253" s="237"/>
      <c r="V1253" s="237"/>
      <c r="W1253" s="237"/>
      <c r="X1253" s="237"/>
      <c r="Y1253" s="237"/>
      <c r="Z1253" s="237"/>
    </row>
    <row r="1254">
      <c r="A1254" s="305">
        <v>1253.0</v>
      </c>
      <c r="B1254" s="306" t="s">
        <v>11303</v>
      </c>
      <c r="C1254" s="307" t="s">
        <v>1420</v>
      </c>
      <c r="D1254" s="308" t="s">
        <v>11305</v>
      </c>
      <c r="E1254" s="305" t="s">
        <v>11306</v>
      </c>
      <c r="F1254" s="309" t="s">
        <v>11307</v>
      </c>
      <c r="G1254" s="236"/>
      <c r="H1254" s="307" t="s">
        <v>1420</v>
      </c>
      <c r="I1254" s="237"/>
      <c r="J1254" s="237"/>
      <c r="K1254" s="310" t="s">
        <v>11304</v>
      </c>
      <c r="L1254" s="237"/>
      <c r="M1254" s="237"/>
      <c r="N1254" s="237"/>
      <c r="O1254" s="237"/>
      <c r="P1254" s="237"/>
      <c r="Q1254" s="237"/>
      <c r="R1254" s="237"/>
      <c r="S1254" s="237"/>
      <c r="T1254" s="237"/>
      <c r="U1254" s="237"/>
      <c r="V1254" s="237"/>
      <c r="W1254" s="237"/>
      <c r="X1254" s="237"/>
      <c r="Y1254" s="237"/>
      <c r="Z1254" s="237"/>
    </row>
    <row r="1255">
      <c r="A1255" s="305">
        <v>1254.0</v>
      </c>
      <c r="B1255" s="306" t="s">
        <v>11308</v>
      </c>
      <c r="C1255" s="307" t="s">
        <v>1420</v>
      </c>
      <c r="D1255" s="308" t="s">
        <v>11310</v>
      </c>
      <c r="E1255" s="305" t="s">
        <v>11311</v>
      </c>
      <c r="F1255" s="309" t="s">
        <v>11312</v>
      </c>
      <c r="G1255" s="236"/>
      <c r="H1255" s="307" t="s">
        <v>1420</v>
      </c>
      <c r="I1255" s="237"/>
      <c r="J1255" s="237"/>
      <c r="K1255" s="310" t="s">
        <v>11309</v>
      </c>
      <c r="L1255" s="237"/>
      <c r="M1255" s="237"/>
      <c r="N1255" s="237"/>
      <c r="O1255" s="237"/>
      <c r="P1255" s="237"/>
      <c r="Q1255" s="237"/>
      <c r="R1255" s="237"/>
      <c r="S1255" s="237"/>
      <c r="T1255" s="237"/>
      <c r="U1255" s="237"/>
      <c r="V1255" s="237"/>
      <c r="W1255" s="237"/>
      <c r="X1255" s="237"/>
      <c r="Y1255" s="237"/>
      <c r="Z1255" s="237"/>
    </row>
    <row r="1256">
      <c r="A1256" s="305">
        <v>1255.0</v>
      </c>
      <c r="B1256" s="306" t="s">
        <v>11288</v>
      </c>
      <c r="C1256" s="307" t="s">
        <v>1420</v>
      </c>
      <c r="D1256" s="308" t="s">
        <v>11290</v>
      </c>
      <c r="E1256" s="305" t="s">
        <v>11291</v>
      </c>
      <c r="F1256" s="309" t="s">
        <v>11292</v>
      </c>
      <c r="G1256" s="236"/>
      <c r="H1256" s="307" t="s">
        <v>1420</v>
      </c>
      <c r="I1256" s="237"/>
      <c r="J1256" s="237"/>
      <c r="K1256" s="310" t="s">
        <v>11289</v>
      </c>
      <c r="L1256" s="237"/>
      <c r="M1256" s="237"/>
      <c r="N1256" s="237"/>
      <c r="O1256" s="237"/>
      <c r="P1256" s="237"/>
      <c r="Q1256" s="237"/>
      <c r="R1256" s="237"/>
      <c r="S1256" s="237"/>
      <c r="T1256" s="237"/>
      <c r="U1256" s="237"/>
      <c r="V1256" s="237"/>
      <c r="W1256" s="237"/>
      <c r="X1256" s="237"/>
      <c r="Y1256" s="237"/>
      <c r="Z1256" s="237"/>
    </row>
    <row r="1257">
      <c r="A1257" s="305">
        <v>1256.0</v>
      </c>
      <c r="B1257" s="306" t="s">
        <v>11513</v>
      </c>
      <c r="C1257" s="307" t="s">
        <v>1420</v>
      </c>
      <c r="D1257" s="308" t="s">
        <v>11515</v>
      </c>
      <c r="E1257" s="305" t="s">
        <v>11516</v>
      </c>
      <c r="F1257" s="309" t="s">
        <v>11517</v>
      </c>
      <c r="G1257" s="236"/>
      <c r="H1257" s="307" t="s">
        <v>1420</v>
      </c>
      <c r="I1257" s="237"/>
      <c r="J1257" s="237"/>
      <c r="K1257" s="310" t="s">
        <v>11514</v>
      </c>
      <c r="L1257" s="237"/>
      <c r="M1257" s="237"/>
      <c r="N1257" s="237"/>
      <c r="O1257" s="237"/>
      <c r="P1257" s="237"/>
      <c r="Q1257" s="237"/>
      <c r="R1257" s="237"/>
      <c r="S1257" s="237"/>
      <c r="T1257" s="237"/>
      <c r="U1257" s="237"/>
      <c r="V1257" s="237"/>
      <c r="W1257" s="237"/>
      <c r="X1257" s="237"/>
      <c r="Y1257" s="237"/>
      <c r="Z1257" s="237"/>
    </row>
    <row r="1258">
      <c r="A1258" s="305">
        <v>1257.0</v>
      </c>
      <c r="B1258" s="306" t="s">
        <v>11493</v>
      </c>
      <c r="C1258" s="307" t="s">
        <v>1420</v>
      </c>
      <c r="D1258" s="308" t="s">
        <v>11495</v>
      </c>
      <c r="E1258" s="305" t="s">
        <v>11496</v>
      </c>
      <c r="F1258" s="309" t="s">
        <v>11497</v>
      </c>
      <c r="G1258" s="236"/>
      <c r="H1258" s="307" t="s">
        <v>1420</v>
      </c>
      <c r="I1258" s="237"/>
      <c r="J1258" s="237"/>
      <c r="K1258" s="310" t="s">
        <v>11494</v>
      </c>
      <c r="L1258" s="237"/>
      <c r="M1258" s="237"/>
      <c r="N1258" s="237"/>
      <c r="O1258" s="237"/>
      <c r="P1258" s="237"/>
      <c r="Q1258" s="237"/>
      <c r="R1258" s="237"/>
      <c r="S1258" s="237"/>
      <c r="T1258" s="237"/>
      <c r="U1258" s="237"/>
      <c r="V1258" s="237"/>
      <c r="W1258" s="237"/>
      <c r="X1258" s="237"/>
      <c r="Y1258" s="237"/>
      <c r="Z1258" s="237"/>
    </row>
    <row r="1259">
      <c r="A1259" s="305">
        <v>1258.0</v>
      </c>
      <c r="B1259" s="306" t="s">
        <v>11523</v>
      </c>
      <c r="C1259" s="307" t="s">
        <v>1420</v>
      </c>
      <c r="D1259" s="308" t="s">
        <v>11525</v>
      </c>
      <c r="E1259" s="305" t="s">
        <v>11526</v>
      </c>
      <c r="F1259" s="309" t="s">
        <v>11527</v>
      </c>
      <c r="G1259" s="236"/>
      <c r="H1259" s="307" t="s">
        <v>1420</v>
      </c>
      <c r="I1259" s="237"/>
      <c r="J1259" s="237"/>
      <c r="K1259" s="310" t="s">
        <v>11524</v>
      </c>
      <c r="L1259" s="237"/>
      <c r="M1259" s="237"/>
      <c r="N1259" s="237"/>
      <c r="O1259" s="237"/>
      <c r="P1259" s="237"/>
      <c r="Q1259" s="237"/>
      <c r="R1259" s="237"/>
      <c r="S1259" s="237"/>
      <c r="T1259" s="237"/>
      <c r="U1259" s="237"/>
      <c r="V1259" s="237"/>
      <c r="W1259" s="237"/>
      <c r="X1259" s="237"/>
      <c r="Y1259" s="237"/>
      <c r="Z1259" s="237"/>
    </row>
    <row r="1260">
      <c r="A1260" s="305">
        <v>1259.0</v>
      </c>
      <c r="B1260" s="306" t="s">
        <v>11498</v>
      </c>
      <c r="C1260" s="307" t="s">
        <v>1420</v>
      </c>
      <c r="D1260" s="308" t="s">
        <v>11500</v>
      </c>
      <c r="E1260" s="305" t="s">
        <v>11501</v>
      </c>
      <c r="F1260" s="309" t="s">
        <v>11502</v>
      </c>
      <c r="G1260" s="236"/>
      <c r="H1260" s="307" t="s">
        <v>1420</v>
      </c>
      <c r="I1260" s="237"/>
      <c r="J1260" s="237"/>
      <c r="K1260" s="310" t="s">
        <v>11499</v>
      </c>
      <c r="L1260" s="237"/>
      <c r="M1260" s="237"/>
      <c r="N1260" s="237"/>
      <c r="O1260" s="237"/>
      <c r="P1260" s="237"/>
      <c r="Q1260" s="237"/>
      <c r="R1260" s="237"/>
      <c r="S1260" s="237"/>
      <c r="T1260" s="237"/>
      <c r="U1260" s="237"/>
      <c r="V1260" s="237"/>
      <c r="W1260" s="237"/>
      <c r="X1260" s="237"/>
      <c r="Y1260" s="237"/>
      <c r="Z1260" s="237"/>
    </row>
    <row r="1261">
      <c r="A1261" s="305">
        <v>1260.0</v>
      </c>
      <c r="B1261" s="306" t="s">
        <v>11518</v>
      </c>
      <c r="C1261" s="307" t="s">
        <v>1420</v>
      </c>
      <c r="D1261" s="308" t="s">
        <v>11520</v>
      </c>
      <c r="E1261" s="305" t="s">
        <v>11521</v>
      </c>
      <c r="F1261" s="309" t="s">
        <v>11522</v>
      </c>
      <c r="G1261" s="236"/>
      <c r="H1261" s="307" t="s">
        <v>1420</v>
      </c>
      <c r="I1261" s="237"/>
      <c r="J1261" s="237"/>
      <c r="K1261" s="310" t="s">
        <v>11519</v>
      </c>
      <c r="L1261" s="237"/>
      <c r="M1261" s="237"/>
      <c r="N1261" s="237"/>
      <c r="O1261" s="237"/>
      <c r="P1261" s="237"/>
      <c r="Q1261" s="237"/>
      <c r="R1261" s="237"/>
      <c r="S1261" s="237"/>
      <c r="T1261" s="237"/>
      <c r="U1261" s="237"/>
      <c r="V1261" s="237"/>
      <c r="W1261" s="237"/>
      <c r="X1261" s="237"/>
      <c r="Y1261" s="237"/>
      <c r="Z1261" s="237"/>
    </row>
    <row r="1262">
      <c r="A1262" s="305">
        <v>1261.0</v>
      </c>
      <c r="B1262" s="306" t="s">
        <v>11487</v>
      </c>
      <c r="C1262" s="307" t="s">
        <v>1420</v>
      </c>
      <c r="D1262" s="308" t="s">
        <v>11489</v>
      </c>
      <c r="E1262" s="305" t="s">
        <v>11490</v>
      </c>
      <c r="F1262" s="309" t="s">
        <v>11491</v>
      </c>
      <c r="G1262" s="236"/>
      <c r="H1262" s="307" t="s">
        <v>1420</v>
      </c>
      <c r="I1262" s="237"/>
      <c r="J1262" s="237"/>
      <c r="K1262" s="310" t="s">
        <v>11488</v>
      </c>
      <c r="L1262" s="237"/>
      <c r="M1262" s="237"/>
      <c r="N1262" s="237"/>
      <c r="O1262" s="237"/>
      <c r="P1262" s="237"/>
      <c r="Q1262" s="237"/>
      <c r="R1262" s="237"/>
      <c r="S1262" s="237"/>
      <c r="T1262" s="237"/>
      <c r="U1262" s="237"/>
      <c r="V1262" s="237"/>
      <c r="W1262" s="237"/>
      <c r="X1262" s="237"/>
      <c r="Y1262" s="237"/>
      <c r="Z1262" s="237"/>
    </row>
    <row r="1263">
      <c r="A1263" s="305">
        <v>1262.0</v>
      </c>
      <c r="B1263" s="306" t="s">
        <v>11503</v>
      </c>
      <c r="C1263" s="307" t="s">
        <v>1420</v>
      </c>
      <c r="D1263" s="308" t="s">
        <v>11505</v>
      </c>
      <c r="E1263" s="305" t="s">
        <v>11506</v>
      </c>
      <c r="F1263" s="309" t="s">
        <v>11507</v>
      </c>
      <c r="G1263" s="236"/>
      <c r="H1263" s="307" t="s">
        <v>1420</v>
      </c>
      <c r="I1263" s="237"/>
      <c r="J1263" s="237"/>
      <c r="K1263" s="310" t="s">
        <v>11504</v>
      </c>
      <c r="L1263" s="237"/>
      <c r="M1263" s="237"/>
      <c r="N1263" s="237"/>
      <c r="O1263" s="237"/>
      <c r="P1263" s="237"/>
      <c r="Q1263" s="237"/>
      <c r="R1263" s="237"/>
      <c r="S1263" s="237"/>
      <c r="T1263" s="237"/>
      <c r="U1263" s="237"/>
      <c r="V1263" s="237"/>
      <c r="W1263" s="237"/>
      <c r="X1263" s="237"/>
      <c r="Y1263" s="237"/>
      <c r="Z1263" s="237"/>
    </row>
    <row r="1264">
      <c r="A1264" s="305">
        <v>1263.0</v>
      </c>
      <c r="B1264" s="306" t="s">
        <v>11508</v>
      </c>
      <c r="C1264" s="307" t="s">
        <v>1420</v>
      </c>
      <c r="D1264" s="308" t="s">
        <v>11510</v>
      </c>
      <c r="E1264" s="305" t="s">
        <v>11511</v>
      </c>
      <c r="F1264" s="309" t="s">
        <v>11512</v>
      </c>
      <c r="G1264" s="236"/>
      <c r="H1264" s="307" t="s">
        <v>1420</v>
      </c>
      <c r="I1264" s="237"/>
      <c r="J1264" s="237"/>
      <c r="K1264" s="310" t="s">
        <v>11509</v>
      </c>
      <c r="L1264" s="237"/>
      <c r="M1264" s="237"/>
      <c r="N1264" s="237"/>
      <c r="O1264" s="237"/>
      <c r="P1264" s="237"/>
      <c r="Q1264" s="237"/>
      <c r="R1264" s="237"/>
      <c r="S1264" s="237"/>
      <c r="T1264" s="237"/>
      <c r="U1264" s="237"/>
      <c r="V1264" s="237"/>
      <c r="W1264" s="237"/>
      <c r="X1264" s="237"/>
      <c r="Y1264" s="237"/>
      <c r="Z1264" s="237"/>
    </row>
    <row r="1265">
      <c r="A1265" s="305">
        <v>1264.0</v>
      </c>
      <c r="B1265" s="236"/>
      <c r="C1265" s="307" t="s">
        <v>1420</v>
      </c>
      <c r="D1265" s="308" t="s">
        <v>1364</v>
      </c>
      <c r="E1265" s="305" t="s">
        <v>12796</v>
      </c>
      <c r="F1265" s="309" t="s">
        <v>12797</v>
      </c>
      <c r="G1265" s="236"/>
      <c r="H1265" s="307" t="s">
        <v>1420</v>
      </c>
      <c r="I1265" s="237"/>
      <c r="J1265" s="237"/>
      <c r="K1265" s="310" t="s">
        <v>12795</v>
      </c>
      <c r="L1265" s="237"/>
      <c r="M1265" s="237"/>
      <c r="N1265" s="237"/>
      <c r="O1265" s="237"/>
      <c r="P1265" s="237"/>
      <c r="Q1265" s="237"/>
      <c r="R1265" s="237"/>
      <c r="S1265" s="237"/>
      <c r="T1265" s="237"/>
      <c r="U1265" s="237"/>
      <c r="V1265" s="237"/>
      <c r="W1265" s="237"/>
      <c r="X1265" s="237"/>
      <c r="Y1265" s="237"/>
      <c r="Z1265" s="237"/>
    </row>
    <row r="1266">
      <c r="A1266" s="305">
        <v>1265.0</v>
      </c>
      <c r="B1266" s="236"/>
      <c r="C1266" s="307" t="s">
        <v>13452</v>
      </c>
      <c r="D1266" s="308" t="s">
        <v>1365</v>
      </c>
      <c r="E1266" s="305" t="s">
        <v>12799</v>
      </c>
      <c r="F1266" s="236"/>
      <c r="G1266" s="236"/>
      <c r="H1266" s="307" t="s">
        <v>13452</v>
      </c>
      <c r="I1266" s="237"/>
      <c r="J1266" s="237"/>
      <c r="K1266" s="310" t="s">
        <v>12798</v>
      </c>
      <c r="L1266" s="237"/>
      <c r="M1266" s="237"/>
      <c r="N1266" s="237"/>
      <c r="O1266" s="237"/>
      <c r="P1266" s="237"/>
      <c r="Q1266" s="237"/>
      <c r="R1266" s="237"/>
      <c r="S1266" s="237"/>
      <c r="T1266" s="237"/>
      <c r="U1266" s="237"/>
      <c r="V1266" s="237"/>
      <c r="W1266" s="237"/>
      <c r="X1266" s="237"/>
      <c r="Y1266" s="237"/>
      <c r="Z1266" s="237"/>
    </row>
    <row r="1267">
      <c r="A1267" s="305">
        <v>1266.0</v>
      </c>
      <c r="B1267" s="236"/>
      <c r="C1267" s="307" t="s">
        <v>1420</v>
      </c>
      <c r="D1267" s="308" t="s">
        <v>1867</v>
      </c>
      <c r="E1267" s="305" t="s">
        <v>13771</v>
      </c>
      <c r="F1267" s="236"/>
      <c r="G1267" s="236"/>
      <c r="H1267" s="307" t="s">
        <v>1420</v>
      </c>
      <c r="I1267" s="237"/>
      <c r="J1267" s="237"/>
      <c r="K1267" s="310" t="s">
        <v>13770</v>
      </c>
      <c r="L1267" s="237"/>
      <c r="M1267" s="237"/>
      <c r="N1267" s="237"/>
      <c r="O1267" s="237"/>
      <c r="P1267" s="237"/>
      <c r="Q1267" s="237"/>
      <c r="R1267" s="237"/>
      <c r="S1267" s="237"/>
      <c r="T1267" s="237"/>
      <c r="U1267" s="237"/>
      <c r="V1267" s="237"/>
      <c r="W1267" s="237"/>
      <c r="X1267" s="237"/>
      <c r="Y1267" s="237"/>
      <c r="Z1267" s="237"/>
    </row>
    <row r="1268">
      <c r="A1268" s="305">
        <v>1267.0</v>
      </c>
      <c r="B1268" s="236"/>
      <c r="C1268" s="307" t="s">
        <v>1420</v>
      </c>
      <c r="D1268" s="308" t="s">
        <v>1399</v>
      </c>
      <c r="E1268" s="305" t="s">
        <v>11790</v>
      </c>
      <c r="F1268" s="309" t="s">
        <v>11791</v>
      </c>
      <c r="G1268" s="236"/>
      <c r="H1268" s="307" t="s">
        <v>1420</v>
      </c>
      <c r="I1268" s="237"/>
      <c r="J1268" s="237"/>
      <c r="K1268" s="310" t="s">
        <v>11789</v>
      </c>
      <c r="L1268" s="237"/>
      <c r="M1268" s="237"/>
      <c r="N1268" s="237"/>
      <c r="O1268" s="237"/>
      <c r="P1268" s="237"/>
      <c r="Q1268" s="237"/>
      <c r="R1268" s="237"/>
      <c r="S1268" s="237"/>
      <c r="T1268" s="237"/>
      <c r="U1268" s="237"/>
      <c r="V1268" s="237"/>
      <c r="W1268" s="237"/>
      <c r="X1268" s="237"/>
      <c r="Y1268" s="237"/>
      <c r="Z1268" s="237"/>
    </row>
    <row r="1269">
      <c r="A1269" s="305">
        <v>1268.0</v>
      </c>
      <c r="B1269" s="236"/>
      <c r="C1269" s="307" t="s">
        <v>1420</v>
      </c>
      <c r="D1269" s="308" t="s">
        <v>1399</v>
      </c>
      <c r="E1269" s="305" t="s">
        <v>12863</v>
      </c>
      <c r="F1269" s="309" t="s">
        <v>14405</v>
      </c>
      <c r="G1269" s="236"/>
      <c r="H1269" s="307" t="s">
        <v>1420</v>
      </c>
      <c r="I1269" s="237"/>
      <c r="J1269" s="237"/>
      <c r="K1269" s="310" t="s">
        <v>12862</v>
      </c>
      <c r="L1269" s="237"/>
      <c r="M1269" s="237"/>
      <c r="N1269" s="237"/>
      <c r="O1269" s="237"/>
      <c r="P1269" s="237"/>
      <c r="Q1269" s="237"/>
      <c r="R1269" s="237"/>
      <c r="S1269" s="237"/>
      <c r="T1269" s="237"/>
      <c r="U1269" s="237"/>
      <c r="V1269" s="237"/>
      <c r="W1269" s="237"/>
      <c r="X1269" s="237"/>
      <c r="Y1269" s="237"/>
      <c r="Z1269" s="237"/>
    </row>
    <row r="1270">
      <c r="A1270" s="305">
        <v>1269.0</v>
      </c>
      <c r="B1270" s="306" t="s">
        <v>11317</v>
      </c>
      <c r="C1270" s="307" t="s">
        <v>1420</v>
      </c>
      <c r="D1270" s="308" t="s">
        <v>2207</v>
      </c>
      <c r="E1270" s="305" t="s">
        <v>11319</v>
      </c>
      <c r="F1270" s="309" t="s">
        <v>11320</v>
      </c>
      <c r="G1270" s="236"/>
      <c r="H1270" s="307" t="s">
        <v>1420</v>
      </c>
      <c r="I1270" s="237"/>
      <c r="J1270" s="237"/>
      <c r="K1270" s="310" t="s">
        <v>11318</v>
      </c>
      <c r="L1270" s="237"/>
      <c r="M1270" s="237"/>
      <c r="N1270" s="237"/>
      <c r="O1270" s="237"/>
      <c r="P1270" s="237"/>
      <c r="Q1270" s="237"/>
      <c r="R1270" s="237"/>
      <c r="S1270" s="237"/>
      <c r="T1270" s="237"/>
      <c r="U1270" s="237"/>
      <c r="V1270" s="237"/>
      <c r="W1270" s="237"/>
      <c r="X1270" s="237"/>
      <c r="Y1270" s="237"/>
      <c r="Z1270" s="237"/>
    </row>
    <row r="1271">
      <c r="A1271" s="305">
        <v>1270.0</v>
      </c>
      <c r="B1271" s="306" t="s">
        <v>11341</v>
      </c>
      <c r="C1271" s="307" t="s">
        <v>1420</v>
      </c>
      <c r="D1271" s="308" t="s">
        <v>2443</v>
      </c>
      <c r="E1271" s="305" t="s">
        <v>11311</v>
      </c>
      <c r="F1271" s="309" t="s">
        <v>11343</v>
      </c>
      <c r="G1271" s="236"/>
      <c r="H1271" s="307" t="s">
        <v>1420</v>
      </c>
      <c r="I1271" s="237"/>
      <c r="J1271" s="237"/>
      <c r="K1271" s="310" t="s">
        <v>11342</v>
      </c>
      <c r="L1271" s="237"/>
      <c r="M1271" s="237"/>
      <c r="N1271" s="237"/>
      <c r="O1271" s="237"/>
      <c r="P1271" s="237"/>
      <c r="Q1271" s="237"/>
      <c r="R1271" s="237"/>
      <c r="S1271" s="237"/>
      <c r="T1271" s="237"/>
      <c r="U1271" s="237"/>
      <c r="V1271" s="237"/>
      <c r="W1271" s="237"/>
      <c r="X1271" s="237"/>
      <c r="Y1271" s="237"/>
      <c r="Z1271" s="237"/>
    </row>
    <row r="1272">
      <c r="A1272" s="305">
        <v>1271.0</v>
      </c>
      <c r="B1272" s="306" t="s">
        <v>11337</v>
      </c>
      <c r="C1272" s="307" t="s">
        <v>1420</v>
      </c>
      <c r="D1272" s="308" t="s">
        <v>2444</v>
      </c>
      <c r="E1272" s="305" t="s">
        <v>11339</v>
      </c>
      <c r="F1272" s="309" t="s">
        <v>11340</v>
      </c>
      <c r="G1272" s="236"/>
      <c r="H1272" s="307" t="s">
        <v>1420</v>
      </c>
      <c r="I1272" s="237"/>
      <c r="J1272" s="237"/>
      <c r="K1272" s="310" t="s">
        <v>11338</v>
      </c>
      <c r="L1272" s="237"/>
      <c r="M1272" s="237"/>
      <c r="N1272" s="237"/>
      <c r="O1272" s="237"/>
      <c r="P1272" s="237"/>
      <c r="Q1272" s="237"/>
      <c r="R1272" s="237"/>
      <c r="S1272" s="237"/>
      <c r="T1272" s="237"/>
      <c r="U1272" s="237"/>
      <c r="V1272" s="237"/>
      <c r="W1272" s="237"/>
      <c r="X1272" s="237"/>
      <c r="Y1272" s="237"/>
      <c r="Z1272" s="237"/>
    </row>
    <row r="1273">
      <c r="A1273" s="305">
        <v>1272.0</v>
      </c>
      <c r="B1273" s="236"/>
      <c r="C1273" s="307" t="s">
        <v>1420</v>
      </c>
      <c r="D1273" s="308" t="s">
        <v>1868</v>
      </c>
      <c r="E1273" s="305" t="s">
        <v>13765</v>
      </c>
      <c r="F1273" s="236"/>
      <c r="G1273" s="236"/>
      <c r="H1273" s="307" t="s">
        <v>1420</v>
      </c>
      <c r="I1273" s="237"/>
      <c r="J1273" s="237"/>
      <c r="K1273" s="310" t="s">
        <v>13764</v>
      </c>
      <c r="L1273" s="237"/>
      <c r="M1273" s="237"/>
      <c r="N1273" s="237"/>
      <c r="O1273" s="237"/>
      <c r="P1273" s="237"/>
      <c r="Q1273" s="237"/>
      <c r="R1273" s="237"/>
      <c r="S1273" s="237"/>
      <c r="T1273" s="237"/>
      <c r="U1273" s="237"/>
      <c r="V1273" s="237"/>
      <c r="W1273" s="237"/>
      <c r="X1273" s="237"/>
      <c r="Y1273" s="237"/>
      <c r="Z1273" s="237"/>
    </row>
    <row r="1274">
      <c r="A1274" s="305">
        <v>1273.0</v>
      </c>
      <c r="B1274" s="236"/>
      <c r="C1274" s="307" t="s">
        <v>1420</v>
      </c>
      <c r="D1274" s="308" t="s">
        <v>14406</v>
      </c>
      <c r="E1274" s="305" t="s">
        <v>5625</v>
      </c>
      <c r="F1274" s="309" t="s">
        <v>5626</v>
      </c>
      <c r="G1274" s="236"/>
      <c r="H1274" s="307" t="s">
        <v>1420</v>
      </c>
      <c r="I1274" s="237"/>
      <c r="J1274" s="237"/>
      <c r="K1274" s="310" t="s">
        <v>5624</v>
      </c>
      <c r="L1274" s="237"/>
      <c r="M1274" s="237"/>
      <c r="N1274" s="237"/>
      <c r="O1274" s="237"/>
      <c r="P1274" s="237"/>
      <c r="Q1274" s="237"/>
      <c r="R1274" s="237"/>
      <c r="S1274" s="237"/>
      <c r="T1274" s="237"/>
      <c r="U1274" s="237"/>
      <c r="V1274" s="237"/>
      <c r="W1274" s="237"/>
      <c r="X1274" s="237"/>
      <c r="Y1274" s="237"/>
      <c r="Z1274" s="237"/>
    </row>
    <row r="1275">
      <c r="A1275" s="305">
        <v>1274.0</v>
      </c>
      <c r="B1275" s="306" t="s">
        <v>11293</v>
      </c>
      <c r="C1275" s="307" t="s">
        <v>1420</v>
      </c>
      <c r="D1275" s="308" t="s">
        <v>11295</v>
      </c>
      <c r="E1275" s="305" t="s">
        <v>11296</v>
      </c>
      <c r="F1275" s="309" t="s">
        <v>11297</v>
      </c>
      <c r="G1275" s="236"/>
      <c r="H1275" s="307" t="s">
        <v>1420</v>
      </c>
      <c r="I1275" s="237"/>
      <c r="J1275" s="237"/>
      <c r="K1275" s="310" t="s">
        <v>11294</v>
      </c>
      <c r="L1275" s="237"/>
      <c r="M1275" s="237"/>
      <c r="N1275" s="237"/>
      <c r="O1275" s="237"/>
      <c r="P1275" s="237"/>
      <c r="Q1275" s="237"/>
      <c r="R1275" s="237"/>
      <c r="S1275" s="237"/>
      <c r="T1275" s="237"/>
      <c r="U1275" s="237"/>
      <c r="V1275" s="237"/>
      <c r="W1275" s="237"/>
      <c r="X1275" s="237"/>
      <c r="Y1275" s="237"/>
      <c r="Z1275" s="237"/>
    </row>
    <row r="1276">
      <c r="A1276" s="305">
        <v>1275.0</v>
      </c>
      <c r="B1276" s="236"/>
      <c r="C1276" s="307" t="s">
        <v>1420</v>
      </c>
      <c r="D1276" s="308" t="s">
        <v>14407</v>
      </c>
      <c r="E1276" s="305" t="s">
        <v>5517</v>
      </c>
      <c r="F1276" s="309" t="s">
        <v>5518</v>
      </c>
      <c r="G1276" s="236"/>
      <c r="H1276" s="307" t="s">
        <v>1420</v>
      </c>
      <c r="I1276" s="237"/>
      <c r="J1276" s="237"/>
      <c r="K1276" s="310" t="s">
        <v>5516</v>
      </c>
      <c r="L1276" s="237"/>
      <c r="M1276" s="237"/>
      <c r="N1276" s="237"/>
      <c r="O1276" s="237"/>
      <c r="P1276" s="237"/>
      <c r="Q1276" s="237"/>
      <c r="R1276" s="237"/>
      <c r="S1276" s="237"/>
      <c r="T1276" s="237"/>
      <c r="U1276" s="237"/>
      <c r="V1276" s="237"/>
      <c r="W1276" s="237"/>
      <c r="X1276" s="237"/>
      <c r="Y1276" s="237"/>
      <c r="Z1276" s="237"/>
    </row>
    <row r="1277">
      <c r="A1277" s="305">
        <v>1276.0</v>
      </c>
      <c r="B1277" s="236"/>
      <c r="C1277" s="307" t="s">
        <v>1420</v>
      </c>
      <c r="D1277" s="308" t="s">
        <v>8462</v>
      </c>
      <c r="E1277" s="305" t="s">
        <v>8463</v>
      </c>
      <c r="F1277" s="309" t="s">
        <v>8464</v>
      </c>
      <c r="G1277" s="236"/>
      <c r="H1277" s="307" t="s">
        <v>1420</v>
      </c>
      <c r="I1277" s="237"/>
      <c r="J1277" s="237"/>
      <c r="K1277" s="310" t="s">
        <v>8461</v>
      </c>
      <c r="L1277" s="237"/>
      <c r="M1277" s="237"/>
      <c r="N1277" s="237"/>
      <c r="O1277" s="237"/>
      <c r="P1277" s="237"/>
      <c r="Q1277" s="237"/>
      <c r="R1277" s="237"/>
      <c r="S1277" s="237"/>
      <c r="T1277" s="237"/>
      <c r="U1277" s="237"/>
      <c r="V1277" s="237"/>
      <c r="W1277" s="237"/>
      <c r="X1277" s="237"/>
      <c r="Y1277" s="237"/>
      <c r="Z1277" s="237"/>
    </row>
    <row r="1278">
      <c r="A1278" s="305">
        <v>1277.0</v>
      </c>
      <c r="B1278" s="236"/>
      <c r="C1278" s="307" t="s">
        <v>1420</v>
      </c>
      <c r="D1278" s="308" t="s">
        <v>8454</v>
      </c>
      <c r="E1278" s="305" t="s">
        <v>8455</v>
      </c>
      <c r="F1278" s="309" t="s">
        <v>8456</v>
      </c>
      <c r="G1278" s="236"/>
      <c r="H1278" s="307" t="s">
        <v>1420</v>
      </c>
      <c r="I1278" s="237"/>
      <c r="J1278" s="237"/>
      <c r="K1278" s="310" t="s">
        <v>8453</v>
      </c>
      <c r="L1278" s="237"/>
      <c r="M1278" s="237"/>
      <c r="N1278" s="237"/>
      <c r="O1278" s="237"/>
      <c r="P1278" s="237"/>
      <c r="Q1278" s="237"/>
      <c r="R1278" s="237"/>
      <c r="S1278" s="237"/>
      <c r="T1278" s="237"/>
      <c r="U1278" s="237"/>
      <c r="V1278" s="237"/>
      <c r="W1278" s="237"/>
      <c r="X1278" s="237"/>
      <c r="Y1278" s="237"/>
      <c r="Z1278" s="237"/>
    </row>
    <row r="1279">
      <c r="A1279" s="305">
        <v>1278.0</v>
      </c>
      <c r="B1279" s="236"/>
      <c r="C1279" s="307" t="s">
        <v>1420</v>
      </c>
      <c r="D1279" s="308" t="s">
        <v>8458</v>
      </c>
      <c r="E1279" s="305" t="s">
        <v>8459</v>
      </c>
      <c r="F1279" s="309" t="s">
        <v>8460</v>
      </c>
      <c r="G1279" s="236"/>
      <c r="H1279" s="307" t="s">
        <v>1420</v>
      </c>
      <c r="I1279" s="237"/>
      <c r="J1279" s="237"/>
      <c r="K1279" s="310" t="s">
        <v>8457</v>
      </c>
      <c r="L1279" s="237"/>
      <c r="M1279" s="237"/>
      <c r="N1279" s="237"/>
      <c r="O1279" s="237"/>
      <c r="P1279" s="237"/>
      <c r="Q1279" s="237"/>
      <c r="R1279" s="237"/>
      <c r="S1279" s="237"/>
      <c r="T1279" s="237"/>
      <c r="U1279" s="237"/>
      <c r="V1279" s="237"/>
      <c r="W1279" s="237"/>
      <c r="X1279" s="237"/>
      <c r="Y1279" s="237"/>
      <c r="Z1279" s="237"/>
    </row>
    <row r="1280">
      <c r="A1280" s="305">
        <v>1279.0</v>
      </c>
      <c r="B1280" s="236"/>
      <c r="C1280" s="307" t="s">
        <v>1420</v>
      </c>
      <c r="D1280" s="308" t="s">
        <v>8446</v>
      </c>
      <c r="E1280" s="305" t="s">
        <v>8447</v>
      </c>
      <c r="F1280" s="309" t="s">
        <v>8448</v>
      </c>
      <c r="G1280" s="236"/>
      <c r="H1280" s="307" t="s">
        <v>1420</v>
      </c>
      <c r="I1280" s="237"/>
      <c r="J1280" s="237"/>
      <c r="K1280" s="310" t="s">
        <v>8445</v>
      </c>
      <c r="L1280" s="237"/>
      <c r="M1280" s="237"/>
      <c r="N1280" s="237"/>
      <c r="O1280" s="237"/>
      <c r="P1280" s="237"/>
      <c r="Q1280" s="237"/>
      <c r="R1280" s="237"/>
      <c r="S1280" s="237"/>
      <c r="T1280" s="237"/>
      <c r="U1280" s="237"/>
      <c r="V1280" s="237"/>
      <c r="W1280" s="237"/>
      <c r="X1280" s="237"/>
      <c r="Y1280" s="237"/>
      <c r="Z1280" s="237"/>
    </row>
    <row r="1281">
      <c r="A1281" s="305">
        <v>1280.0</v>
      </c>
      <c r="B1281" s="236"/>
      <c r="C1281" s="307" t="s">
        <v>1420</v>
      </c>
      <c r="D1281" s="308" t="s">
        <v>8450</v>
      </c>
      <c r="E1281" s="305" t="s">
        <v>8451</v>
      </c>
      <c r="F1281" s="309" t="s">
        <v>8452</v>
      </c>
      <c r="G1281" s="236"/>
      <c r="H1281" s="307" t="s">
        <v>1420</v>
      </c>
      <c r="I1281" s="237"/>
      <c r="J1281" s="237"/>
      <c r="K1281" s="310" t="s">
        <v>8449</v>
      </c>
      <c r="L1281" s="237"/>
      <c r="M1281" s="237"/>
      <c r="N1281" s="237"/>
      <c r="O1281" s="237"/>
      <c r="P1281" s="237"/>
      <c r="Q1281" s="237"/>
      <c r="R1281" s="237"/>
      <c r="S1281" s="237"/>
      <c r="T1281" s="237"/>
      <c r="U1281" s="237"/>
      <c r="V1281" s="237"/>
      <c r="W1281" s="237"/>
      <c r="X1281" s="237"/>
      <c r="Y1281" s="237"/>
      <c r="Z1281" s="237"/>
    </row>
    <row r="1282">
      <c r="A1282" s="305">
        <v>1281.0</v>
      </c>
      <c r="B1282" s="236"/>
      <c r="C1282" s="307" t="s">
        <v>1420</v>
      </c>
      <c r="D1282" s="308" t="s">
        <v>8466</v>
      </c>
      <c r="E1282" s="305" t="s">
        <v>8467</v>
      </c>
      <c r="F1282" s="309" t="s">
        <v>8468</v>
      </c>
      <c r="G1282" s="236"/>
      <c r="H1282" s="307" t="s">
        <v>1420</v>
      </c>
      <c r="I1282" s="237"/>
      <c r="J1282" s="237"/>
      <c r="K1282" s="310" t="s">
        <v>8465</v>
      </c>
      <c r="L1282" s="237"/>
      <c r="M1282" s="237"/>
      <c r="N1282" s="237"/>
      <c r="O1282" s="237"/>
      <c r="P1282" s="237"/>
      <c r="Q1282" s="237"/>
      <c r="R1282" s="237"/>
      <c r="S1282" s="237"/>
      <c r="T1282" s="237"/>
      <c r="U1282" s="237"/>
      <c r="V1282" s="237"/>
      <c r="W1282" s="237"/>
      <c r="X1282" s="237"/>
      <c r="Y1282" s="237"/>
      <c r="Z1282" s="237"/>
    </row>
    <row r="1283">
      <c r="A1283" s="305">
        <v>1282.0</v>
      </c>
      <c r="B1283" s="236"/>
      <c r="C1283" s="307" t="s">
        <v>1420</v>
      </c>
      <c r="D1283" s="308" t="s">
        <v>8438</v>
      </c>
      <c r="E1283" s="305" t="s">
        <v>8439</v>
      </c>
      <c r="F1283" s="309" t="s">
        <v>8440</v>
      </c>
      <c r="G1283" s="236"/>
      <c r="H1283" s="307" t="s">
        <v>1420</v>
      </c>
      <c r="I1283" s="237"/>
      <c r="J1283" s="237"/>
      <c r="K1283" s="310" t="s">
        <v>8437</v>
      </c>
      <c r="L1283" s="237"/>
      <c r="M1283" s="237"/>
      <c r="N1283" s="237"/>
      <c r="O1283" s="237"/>
      <c r="P1283" s="237"/>
      <c r="Q1283" s="237"/>
      <c r="R1283" s="237"/>
      <c r="S1283" s="237"/>
      <c r="T1283" s="237"/>
      <c r="U1283" s="237"/>
      <c r="V1283" s="237"/>
      <c r="W1283" s="237"/>
      <c r="X1283" s="237"/>
      <c r="Y1283" s="237"/>
      <c r="Z1283" s="237"/>
    </row>
    <row r="1284">
      <c r="A1284" s="305">
        <v>1283.0</v>
      </c>
      <c r="B1284" s="236"/>
      <c r="C1284" s="307" t="s">
        <v>1420</v>
      </c>
      <c r="D1284" s="308" t="s">
        <v>8470</v>
      </c>
      <c r="E1284" s="305" t="s">
        <v>8471</v>
      </c>
      <c r="F1284" s="309" t="s">
        <v>8472</v>
      </c>
      <c r="G1284" s="236"/>
      <c r="H1284" s="307" t="s">
        <v>1420</v>
      </c>
      <c r="I1284" s="237"/>
      <c r="J1284" s="237"/>
      <c r="K1284" s="310" t="s">
        <v>8469</v>
      </c>
      <c r="L1284" s="237"/>
      <c r="M1284" s="237"/>
      <c r="N1284" s="237"/>
      <c r="O1284" s="237"/>
      <c r="P1284" s="237"/>
      <c r="Q1284" s="237"/>
      <c r="R1284" s="237"/>
      <c r="S1284" s="237"/>
      <c r="T1284" s="237"/>
      <c r="U1284" s="237"/>
      <c r="V1284" s="237"/>
      <c r="W1284" s="237"/>
      <c r="X1284" s="237"/>
      <c r="Y1284" s="237"/>
      <c r="Z1284" s="237"/>
    </row>
    <row r="1285">
      <c r="A1285" s="305">
        <v>1284.0</v>
      </c>
      <c r="B1285" s="236"/>
      <c r="C1285" s="307" t="s">
        <v>1420</v>
      </c>
      <c r="D1285" s="308" t="s">
        <v>8442</v>
      </c>
      <c r="E1285" s="305" t="s">
        <v>8443</v>
      </c>
      <c r="F1285" s="309" t="s">
        <v>8444</v>
      </c>
      <c r="G1285" s="236"/>
      <c r="H1285" s="307" t="s">
        <v>1420</v>
      </c>
      <c r="I1285" s="237"/>
      <c r="J1285" s="237"/>
      <c r="K1285" s="310" t="s">
        <v>8441</v>
      </c>
      <c r="L1285" s="237"/>
      <c r="M1285" s="237"/>
      <c r="N1285" s="237"/>
      <c r="O1285" s="237"/>
      <c r="P1285" s="237"/>
      <c r="Q1285" s="237"/>
      <c r="R1285" s="237"/>
      <c r="S1285" s="237"/>
      <c r="T1285" s="237"/>
      <c r="U1285" s="237"/>
      <c r="V1285" s="237"/>
      <c r="W1285" s="237"/>
      <c r="X1285" s="237"/>
      <c r="Y1285" s="237"/>
      <c r="Z1285" s="237"/>
    </row>
    <row r="1286">
      <c r="A1286" s="305">
        <v>1285.0</v>
      </c>
      <c r="B1286" s="236"/>
      <c r="C1286" s="307" t="s">
        <v>1420</v>
      </c>
      <c r="D1286" s="308" t="s">
        <v>8434</v>
      </c>
      <c r="E1286" s="305" t="s">
        <v>8435</v>
      </c>
      <c r="F1286" s="309" t="s">
        <v>8436</v>
      </c>
      <c r="G1286" s="236"/>
      <c r="H1286" s="307" t="s">
        <v>1420</v>
      </c>
      <c r="I1286" s="237"/>
      <c r="J1286" s="237"/>
      <c r="K1286" s="310" t="s">
        <v>8433</v>
      </c>
      <c r="L1286" s="237"/>
      <c r="M1286" s="237"/>
      <c r="N1286" s="237"/>
      <c r="O1286" s="237"/>
      <c r="P1286" s="237"/>
      <c r="Q1286" s="237"/>
      <c r="R1286" s="237"/>
      <c r="S1286" s="237"/>
      <c r="T1286" s="237"/>
      <c r="U1286" s="237"/>
      <c r="V1286" s="237"/>
      <c r="W1286" s="237"/>
      <c r="X1286" s="237"/>
      <c r="Y1286" s="237"/>
      <c r="Z1286" s="237"/>
    </row>
    <row r="1287">
      <c r="A1287" s="305">
        <v>1286.0</v>
      </c>
      <c r="B1287" s="236"/>
      <c r="C1287" s="307" t="s">
        <v>1420</v>
      </c>
      <c r="D1287" s="308" t="s">
        <v>8418</v>
      </c>
      <c r="E1287" s="305" t="s">
        <v>8419</v>
      </c>
      <c r="F1287" s="309" t="s">
        <v>8420</v>
      </c>
      <c r="G1287" s="236"/>
      <c r="H1287" s="307" t="s">
        <v>1420</v>
      </c>
      <c r="I1287" s="237"/>
      <c r="J1287" s="237"/>
      <c r="K1287" s="310" t="s">
        <v>8417</v>
      </c>
      <c r="L1287" s="237"/>
      <c r="M1287" s="237"/>
      <c r="N1287" s="237"/>
      <c r="O1287" s="237"/>
      <c r="P1287" s="237"/>
      <c r="Q1287" s="237"/>
      <c r="R1287" s="237"/>
      <c r="S1287" s="237"/>
      <c r="T1287" s="237"/>
      <c r="U1287" s="237"/>
      <c r="V1287" s="237"/>
      <c r="W1287" s="237"/>
      <c r="X1287" s="237"/>
      <c r="Y1287" s="237"/>
      <c r="Z1287" s="237"/>
    </row>
    <row r="1288">
      <c r="A1288" s="305">
        <v>1287.0</v>
      </c>
      <c r="B1288" s="236"/>
      <c r="C1288" s="307" t="s">
        <v>1420</v>
      </c>
      <c r="D1288" s="308" t="s">
        <v>8426</v>
      </c>
      <c r="E1288" s="305" t="s">
        <v>8427</v>
      </c>
      <c r="F1288" s="309" t="s">
        <v>8428</v>
      </c>
      <c r="G1288" s="236"/>
      <c r="H1288" s="307" t="s">
        <v>1420</v>
      </c>
      <c r="I1288" s="237"/>
      <c r="J1288" s="237"/>
      <c r="K1288" s="310" t="s">
        <v>8425</v>
      </c>
      <c r="L1288" s="237"/>
      <c r="M1288" s="237"/>
      <c r="N1288" s="237"/>
      <c r="O1288" s="237"/>
      <c r="P1288" s="237"/>
      <c r="Q1288" s="237"/>
      <c r="R1288" s="237"/>
      <c r="S1288" s="237"/>
      <c r="T1288" s="237"/>
      <c r="U1288" s="237"/>
      <c r="V1288" s="237"/>
      <c r="W1288" s="237"/>
      <c r="X1288" s="237"/>
      <c r="Y1288" s="237"/>
      <c r="Z1288" s="237"/>
    </row>
    <row r="1289">
      <c r="A1289" s="305">
        <v>1288.0</v>
      </c>
      <c r="B1289" s="236"/>
      <c r="C1289" s="307" t="s">
        <v>1420</v>
      </c>
      <c r="D1289" s="308" t="s">
        <v>8430</v>
      </c>
      <c r="E1289" s="305" t="s">
        <v>8431</v>
      </c>
      <c r="F1289" s="309" t="s">
        <v>8432</v>
      </c>
      <c r="G1289" s="236"/>
      <c r="H1289" s="307" t="s">
        <v>1420</v>
      </c>
      <c r="I1289" s="237"/>
      <c r="J1289" s="237"/>
      <c r="K1289" s="310" t="s">
        <v>8429</v>
      </c>
      <c r="L1289" s="237"/>
      <c r="M1289" s="237"/>
      <c r="N1289" s="237"/>
      <c r="O1289" s="237"/>
      <c r="P1289" s="237"/>
      <c r="Q1289" s="237"/>
      <c r="R1289" s="237"/>
      <c r="S1289" s="237"/>
      <c r="T1289" s="237"/>
      <c r="U1289" s="237"/>
      <c r="V1289" s="237"/>
      <c r="W1289" s="237"/>
      <c r="X1289" s="237"/>
      <c r="Y1289" s="237"/>
      <c r="Z1289" s="237"/>
    </row>
    <row r="1290">
      <c r="A1290" s="305">
        <v>1289.0</v>
      </c>
      <c r="B1290" s="236"/>
      <c r="C1290" s="307" t="s">
        <v>1420</v>
      </c>
      <c r="D1290" s="308" t="s">
        <v>8422</v>
      </c>
      <c r="E1290" s="305" t="s">
        <v>8423</v>
      </c>
      <c r="F1290" s="309" t="s">
        <v>8424</v>
      </c>
      <c r="G1290" s="236"/>
      <c r="H1290" s="307" t="s">
        <v>1420</v>
      </c>
      <c r="I1290" s="237"/>
      <c r="J1290" s="237"/>
      <c r="K1290" s="310" t="s">
        <v>8421</v>
      </c>
      <c r="L1290" s="237"/>
      <c r="M1290" s="237"/>
      <c r="N1290" s="237"/>
      <c r="O1290" s="237"/>
      <c r="P1290" s="237"/>
      <c r="Q1290" s="237"/>
      <c r="R1290" s="237"/>
      <c r="S1290" s="237"/>
      <c r="T1290" s="237"/>
      <c r="U1290" s="237"/>
      <c r="V1290" s="237"/>
      <c r="W1290" s="237"/>
      <c r="X1290" s="237"/>
      <c r="Y1290" s="237"/>
      <c r="Z1290" s="237"/>
    </row>
    <row r="1291">
      <c r="A1291" s="305">
        <v>1290.0</v>
      </c>
      <c r="B1291" s="306" t="s">
        <v>11298</v>
      </c>
      <c r="C1291" s="307" t="s">
        <v>1420</v>
      </c>
      <c r="D1291" s="308" t="s">
        <v>11300</v>
      </c>
      <c r="E1291" s="305" t="s">
        <v>11301</v>
      </c>
      <c r="F1291" s="309" t="s">
        <v>11302</v>
      </c>
      <c r="G1291" s="236"/>
      <c r="H1291" s="307" t="s">
        <v>1420</v>
      </c>
      <c r="I1291" s="237"/>
      <c r="J1291" s="237"/>
      <c r="K1291" s="310" t="s">
        <v>11299</v>
      </c>
      <c r="L1291" s="237"/>
      <c r="M1291" s="237"/>
      <c r="N1291" s="237"/>
      <c r="O1291" s="237"/>
      <c r="P1291" s="237"/>
      <c r="Q1291" s="237"/>
      <c r="R1291" s="237"/>
      <c r="S1291" s="237"/>
      <c r="T1291" s="237"/>
      <c r="U1291" s="237"/>
      <c r="V1291" s="237"/>
      <c r="W1291" s="237"/>
      <c r="X1291" s="237"/>
      <c r="Y1291" s="237"/>
      <c r="Z1291" s="237"/>
    </row>
    <row r="1292">
      <c r="A1292" s="305">
        <v>1291.0</v>
      </c>
      <c r="B1292" s="236"/>
      <c r="C1292" s="307" t="s">
        <v>1420</v>
      </c>
      <c r="D1292" s="308" t="s">
        <v>1869</v>
      </c>
      <c r="E1292" s="305" t="s">
        <v>13761</v>
      </c>
      <c r="F1292" s="236"/>
      <c r="G1292" s="236"/>
      <c r="H1292" s="307" t="s">
        <v>1420</v>
      </c>
      <c r="I1292" s="237"/>
      <c r="J1292" s="237"/>
      <c r="K1292" s="310" t="s">
        <v>13760</v>
      </c>
      <c r="L1292" s="237"/>
      <c r="M1292" s="237"/>
      <c r="N1292" s="237"/>
      <c r="O1292" s="237"/>
      <c r="P1292" s="237"/>
      <c r="Q1292" s="237"/>
      <c r="R1292" s="237"/>
      <c r="S1292" s="237"/>
      <c r="T1292" s="237"/>
      <c r="U1292" s="237"/>
      <c r="V1292" s="237"/>
      <c r="W1292" s="237"/>
      <c r="X1292" s="237"/>
      <c r="Y1292" s="237"/>
      <c r="Z1292" s="237"/>
    </row>
    <row r="1293">
      <c r="A1293" s="305">
        <v>1292.0</v>
      </c>
      <c r="B1293" s="306" t="s">
        <v>11035</v>
      </c>
      <c r="C1293" s="307" t="s">
        <v>1420</v>
      </c>
      <c r="D1293" s="308" t="s">
        <v>11037</v>
      </c>
      <c r="E1293" s="305" t="s">
        <v>11038</v>
      </c>
      <c r="F1293" s="309" t="s">
        <v>11039</v>
      </c>
      <c r="G1293" s="236"/>
      <c r="H1293" s="307" t="s">
        <v>1420</v>
      </c>
      <c r="I1293" s="237"/>
      <c r="J1293" s="237"/>
      <c r="K1293" s="310" t="s">
        <v>11036</v>
      </c>
      <c r="L1293" s="237"/>
      <c r="M1293" s="237"/>
      <c r="N1293" s="237"/>
      <c r="O1293" s="237"/>
      <c r="P1293" s="237"/>
      <c r="Q1293" s="237"/>
      <c r="R1293" s="237"/>
      <c r="S1293" s="237"/>
      <c r="T1293" s="237"/>
      <c r="U1293" s="237"/>
      <c r="V1293" s="237"/>
      <c r="W1293" s="237"/>
      <c r="X1293" s="237"/>
      <c r="Y1293" s="237"/>
      <c r="Z1293" s="237"/>
    </row>
    <row r="1294">
      <c r="A1294" s="305">
        <v>1293.0</v>
      </c>
      <c r="B1294" s="306" t="s">
        <v>11045</v>
      </c>
      <c r="C1294" s="307" t="s">
        <v>1420</v>
      </c>
      <c r="D1294" s="308" t="s">
        <v>11047</v>
      </c>
      <c r="E1294" s="305" t="s">
        <v>11048</v>
      </c>
      <c r="F1294" s="309" t="s">
        <v>11049</v>
      </c>
      <c r="G1294" s="236"/>
      <c r="H1294" s="307" t="s">
        <v>1420</v>
      </c>
      <c r="I1294" s="237"/>
      <c r="J1294" s="237"/>
      <c r="K1294" s="310" t="s">
        <v>11046</v>
      </c>
      <c r="L1294" s="237"/>
      <c r="M1294" s="237"/>
      <c r="N1294" s="237"/>
      <c r="O1294" s="237"/>
      <c r="P1294" s="237"/>
      <c r="Q1294" s="237"/>
      <c r="R1294" s="237"/>
      <c r="S1294" s="237"/>
      <c r="T1294" s="237"/>
      <c r="U1294" s="237"/>
      <c r="V1294" s="237"/>
      <c r="W1294" s="237"/>
      <c r="X1294" s="237"/>
      <c r="Y1294" s="237"/>
      <c r="Z1294" s="237"/>
    </row>
    <row r="1295">
      <c r="A1295" s="305">
        <v>1294.0</v>
      </c>
      <c r="B1295" s="306" t="s">
        <v>11030</v>
      </c>
      <c r="C1295" s="307" t="s">
        <v>1420</v>
      </c>
      <c r="D1295" s="308" t="s">
        <v>11032</v>
      </c>
      <c r="E1295" s="305" t="s">
        <v>11033</v>
      </c>
      <c r="F1295" s="309" t="s">
        <v>11034</v>
      </c>
      <c r="G1295" s="236"/>
      <c r="H1295" s="307" t="s">
        <v>1420</v>
      </c>
      <c r="I1295" s="237"/>
      <c r="J1295" s="237"/>
      <c r="K1295" s="310" t="s">
        <v>11031</v>
      </c>
      <c r="L1295" s="237"/>
      <c r="M1295" s="237"/>
      <c r="N1295" s="237"/>
      <c r="O1295" s="237"/>
      <c r="P1295" s="237"/>
      <c r="Q1295" s="237"/>
      <c r="R1295" s="237"/>
      <c r="S1295" s="237"/>
      <c r="T1295" s="237"/>
      <c r="U1295" s="237"/>
      <c r="V1295" s="237"/>
      <c r="W1295" s="237"/>
      <c r="X1295" s="237"/>
      <c r="Y1295" s="237"/>
      <c r="Z1295" s="237"/>
    </row>
    <row r="1296">
      <c r="A1296" s="305">
        <v>1295.0</v>
      </c>
      <c r="B1296" s="236"/>
      <c r="C1296" s="307" t="s">
        <v>1420</v>
      </c>
      <c r="D1296" s="308" t="s">
        <v>3993</v>
      </c>
      <c r="E1296" s="305" t="s">
        <v>3994</v>
      </c>
      <c r="F1296" s="309" t="s">
        <v>3995</v>
      </c>
      <c r="G1296" s="236"/>
      <c r="H1296" s="307" t="s">
        <v>1420</v>
      </c>
      <c r="I1296" s="237"/>
      <c r="J1296" s="237"/>
      <c r="K1296" s="310" t="s">
        <v>3992</v>
      </c>
      <c r="L1296" s="237"/>
      <c r="M1296" s="237"/>
      <c r="N1296" s="237"/>
      <c r="O1296" s="237"/>
      <c r="P1296" s="237"/>
      <c r="Q1296" s="237"/>
      <c r="R1296" s="237"/>
      <c r="S1296" s="237"/>
      <c r="T1296" s="237"/>
      <c r="U1296" s="237"/>
      <c r="V1296" s="237"/>
      <c r="W1296" s="237"/>
      <c r="X1296" s="237"/>
      <c r="Y1296" s="237"/>
      <c r="Z1296" s="237"/>
    </row>
    <row r="1297">
      <c r="A1297" s="305">
        <v>1296.0</v>
      </c>
      <c r="B1297" s="306" t="s">
        <v>11020</v>
      </c>
      <c r="C1297" s="307" t="s">
        <v>1420</v>
      </c>
      <c r="D1297" s="308" t="s">
        <v>11022</v>
      </c>
      <c r="E1297" s="305" t="s">
        <v>11023</v>
      </c>
      <c r="F1297" s="309" t="s">
        <v>11024</v>
      </c>
      <c r="G1297" s="236"/>
      <c r="H1297" s="307" t="s">
        <v>1420</v>
      </c>
      <c r="I1297" s="237"/>
      <c r="J1297" s="237"/>
      <c r="K1297" s="310" t="s">
        <v>11021</v>
      </c>
      <c r="L1297" s="237"/>
      <c r="M1297" s="237"/>
      <c r="N1297" s="237"/>
      <c r="O1297" s="237"/>
      <c r="P1297" s="237"/>
      <c r="Q1297" s="237"/>
      <c r="R1297" s="237"/>
      <c r="S1297" s="237"/>
      <c r="T1297" s="237"/>
      <c r="U1297" s="237"/>
      <c r="V1297" s="237"/>
      <c r="W1297" s="237"/>
      <c r="X1297" s="237"/>
      <c r="Y1297" s="237"/>
      <c r="Z1297" s="237"/>
    </row>
    <row r="1298">
      <c r="A1298" s="305">
        <v>1297.0</v>
      </c>
      <c r="B1298" s="306" t="s">
        <v>11020</v>
      </c>
      <c r="C1298" s="307" t="s">
        <v>1420</v>
      </c>
      <c r="D1298" s="308" t="s">
        <v>11022</v>
      </c>
      <c r="E1298" s="305" t="s">
        <v>11060</v>
      </c>
      <c r="F1298" s="309" t="s">
        <v>11061</v>
      </c>
      <c r="G1298" s="236"/>
      <c r="H1298" s="307" t="s">
        <v>1420</v>
      </c>
      <c r="I1298" s="237"/>
      <c r="J1298" s="237"/>
      <c r="K1298" s="310" t="s">
        <v>11059</v>
      </c>
      <c r="L1298" s="237"/>
      <c r="M1298" s="237"/>
      <c r="N1298" s="237"/>
      <c r="O1298" s="237"/>
      <c r="P1298" s="237"/>
      <c r="Q1298" s="237"/>
      <c r="R1298" s="237"/>
      <c r="S1298" s="237"/>
      <c r="T1298" s="237"/>
      <c r="U1298" s="237"/>
      <c r="V1298" s="237"/>
      <c r="W1298" s="237"/>
      <c r="X1298" s="237"/>
      <c r="Y1298" s="237"/>
      <c r="Z1298" s="237"/>
    </row>
    <row r="1299">
      <c r="A1299" s="305">
        <v>1298.0</v>
      </c>
      <c r="B1299" s="306" t="s">
        <v>11025</v>
      </c>
      <c r="C1299" s="307" t="s">
        <v>1420</v>
      </c>
      <c r="D1299" s="308" t="s">
        <v>11027</v>
      </c>
      <c r="E1299" s="305" t="s">
        <v>11028</v>
      </c>
      <c r="F1299" s="309" t="s">
        <v>11029</v>
      </c>
      <c r="G1299" s="236"/>
      <c r="H1299" s="307" t="s">
        <v>1420</v>
      </c>
      <c r="I1299" s="237"/>
      <c r="J1299" s="237"/>
      <c r="K1299" s="310" t="s">
        <v>11026</v>
      </c>
      <c r="L1299" s="237"/>
      <c r="M1299" s="237"/>
      <c r="N1299" s="237"/>
      <c r="O1299" s="237"/>
      <c r="P1299" s="237"/>
      <c r="Q1299" s="237"/>
      <c r="R1299" s="237"/>
      <c r="S1299" s="237"/>
      <c r="T1299" s="237"/>
      <c r="U1299" s="237"/>
      <c r="V1299" s="237"/>
      <c r="W1299" s="237"/>
      <c r="X1299" s="237"/>
      <c r="Y1299" s="237"/>
      <c r="Z1299" s="237"/>
    </row>
    <row r="1300">
      <c r="A1300" s="305">
        <v>1299.0</v>
      </c>
      <c r="B1300" s="306" t="s">
        <v>11025</v>
      </c>
      <c r="C1300" s="307" t="s">
        <v>1420</v>
      </c>
      <c r="D1300" s="308" t="s">
        <v>11027</v>
      </c>
      <c r="E1300" s="305" t="s">
        <v>11063</v>
      </c>
      <c r="F1300" s="309" t="s">
        <v>11064</v>
      </c>
      <c r="G1300" s="236"/>
      <c r="H1300" s="307" t="s">
        <v>1420</v>
      </c>
      <c r="I1300" s="237"/>
      <c r="J1300" s="237"/>
      <c r="K1300" s="310" t="s">
        <v>11062</v>
      </c>
      <c r="L1300" s="237"/>
      <c r="M1300" s="237"/>
      <c r="N1300" s="237"/>
      <c r="O1300" s="237"/>
      <c r="P1300" s="237"/>
      <c r="Q1300" s="237"/>
      <c r="R1300" s="237"/>
      <c r="S1300" s="237"/>
      <c r="T1300" s="237"/>
      <c r="U1300" s="237"/>
      <c r="V1300" s="237"/>
      <c r="W1300" s="237"/>
      <c r="X1300" s="237"/>
      <c r="Y1300" s="237"/>
      <c r="Z1300" s="237"/>
    </row>
    <row r="1301">
      <c r="A1301" s="305">
        <v>1300.0</v>
      </c>
      <c r="B1301" s="306" t="s">
        <v>11040</v>
      </c>
      <c r="C1301" s="307" t="s">
        <v>1420</v>
      </c>
      <c r="D1301" s="308" t="s">
        <v>11042</v>
      </c>
      <c r="E1301" s="305" t="s">
        <v>11043</v>
      </c>
      <c r="F1301" s="309" t="s">
        <v>11044</v>
      </c>
      <c r="G1301" s="236"/>
      <c r="H1301" s="307" t="s">
        <v>1420</v>
      </c>
      <c r="I1301" s="237"/>
      <c r="J1301" s="237"/>
      <c r="K1301" s="310" t="s">
        <v>11041</v>
      </c>
      <c r="L1301" s="237"/>
      <c r="M1301" s="237"/>
      <c r="N1301" s="237"/>
      <c r="O1301" s="237"/>
      <c r="P1301" s="237"/>
      <c r="Q1301" s="237"/>
      <c r="R1301" s="237"/>
      <c r="S1301" s="237"/>
      <c r="T1301" s="237"/>
      <c r="U1301" s="237"/>
      <c r="V1301" s="237"/>
      <c r="W1301" s="237"/>
      <c r="X1301" s="237"/>
      <c r="Y1301" s="237"/>
      <c r="Z1301" s="237"/>
    </row>
    <row r="1302">
      <c r="A1302" s="305">
        <v>1301.0</v>
      </c>
      <c r="B1302" s="306" t="s">
        <v>11462</v>
      </c>
      <c r="C1302" s="307" t="s">
        <v>1420</v>
      </c>
      <c r="D1302" s="308" t="s">
        <v>11464</v>
      </c>
      <c r="E1302" s="305" t="s">
        <v>11465</v>
      </c>
      <c r="F1302" s="309" t="s">
        <v>11466</v>
      </c>
      <c r="G1302" s="236"/>
      <c r="H1302" s="307" t="s">
        <v>1420</v>
      </c>
      <c r="I1302" s="237"/>
      <c r="J1302" s="237"/>
      <c r="K1302" s="310" t="s">
        <v>11463</v>
      </c>
      <c r="L1302" s="237"/>
      <c r="M1302" s="237"/>
      <c r="N1302" s="237"/>
      <c r="O1302" s="237"/>
      <c r="P1302" s="237"/>
      <c r="Q1302" s="237"/>
      <c r="R1302" s="237"/>
      <c r="S1302" s="237"/>
      <c r="T1302" s="237"/>
      <c r="U1302" s="237"/>
      <c r="V1302" s="237"/>
      <c r="W1302" s="237"/>
      <c r="X1302" s="237"/>
      <c r="Y1302" s="237"/>
      <c r="Z1302" s="237"/>
    </row>
    <row r="1303">
      <c r="A1303" s="305">
        <v>1302.0</v>
      </c>
      <c r="B1303" s="236"/>
      <c r="C1303" s="307" t="s">
        <v>1420</v>
      </c>
      <c r="D1303" s="308" t="s">
        <v>7963</v>
      </c>
      <c r="E1303" s="305" t="s">
        <v>7964</v>
      </c>
      <c r="F1303" s="309" t="s">
        <v>7965</v>
      </c>
      <c r="G1303" s="236"/>
      <c r="H1303" s="307" t="s">
        <v>1420</v>
      </c>
      <c r="I1303" s="237"/>
      <c r="J1303" s="237"/>
      <c r="K1303" s="310" t="s">
        <v>7962</v>
      </c>
      <c r="L1303" s="237"/>
      <c r="M1303" s="237"/>
      <c r="N1303" s="237"/>
      <c r="O1303" s="237"/>
      <c r="P1303" s="237"/>
      <c r="Q1303" s="237"/>
      <c r="R1303" s="237"/>
      <c r="S1303" s="237"/>
      <c r="T1303" s="237"/>
      <c r="U1303" s="237"/>
      <c r="V1303" s="237"/>
      <c r="W1303" s="237"/>
      <c r="X1303" s="237"/>
      <c r="Y1303" s="237"/>
      <c r="Z1303" s="237"/>
    </row>
    <row r="1304">
      <c r="A1304" s="305">
        <v>1303.0</v>
      </c>
      <c r="B1304" s="306" t="s">
        <v>11467</v>
      </c>
      <c r="C1304" s="307" t="s">
        <v>1420</v>
      </c>
      <c r="D1304" s="308" t="s">
        <v>11469</v>
      </c>
      <c r="E1304" s="305" t="s">
        <v>11470</v>
      </c>
      <c r="F1304" s="309" t="s">
        <v>11471</v>
      </c>
      <c r="G1304" s="236"/>
      <c r="H1304" s="307" t="s">
        <v>1420</v>
      </c>
      <c r="I1304" s="237"/>
      <c r="J1304" s="237"/>
      <c r="K1304" s="310" t="s">
        <v>11468</v>
      </c>
      <c r="L1304" s="237"/>
      <c r="M1304" s="237"/>
      <c r="N1304" s="237"/>
      <c r="O1304" s="237"/>
      <c r="P1304" s="237"/>
      <c r="Q1304" s="237"/>
      <c r="R1304" s="237"/>
      <c r="S1304" s="237"/>
      <c r="T1304" s="237"/>
      <c r="U1304" s="237"/>
      <c r="V1304" s="237"/>
      <c r="W1304" s="237"/>
      <c r="X1304" s="237"/>
      <c r="Y1304" s="237"/>
      <c r="Z1304" s="237"/>
    </row>
    <row r="1305">
      <c r="A1305" s="305">
        <v>1304.0</v>
      </c>
      <c r="B1305" s="306" t="s">
        <v>11472</v>
      </c>
      <c r="C1305" s="307" t="s">
        <v>1420</v>
      </c>
      <c r="D1305" s="308" t="s">
        <v>11474</v>
      </c>
      <c r="E1305" s="305" t="s">
        <v>11475</v>
      </c>
      <c r="F1305" s="309" t="s">
        <v>11476</v>
      </c>
      <c r="G1305" s="236"/>
      <c r="H1305" s="307" t="s">
        <v>1420</v>
      </c>
      <c r="I1305" s="237"/>
      <c r="J1305" s="237"/>
      <c r="K1305" s="310" t="s">
        <v>11473</v>
      </c>
      <c r="L1305" s="237"/>
      <c r="M1305" s="237"/>
      <c r="N1305" s="237"/>
      <c r="O1305" s="237"/>
      <c r="P1305" s="237"/>
      <c r="Q1305" s="237"/>
      <c r="R1305" s="237"/>
      <c r="S1305" s="237"/>
      <c r="T1305" s="237"/>
      <c r="U1305" s="237"/>
      <c r="V1305" s="237"/>
      <c r="W1305" s="237"/>
      <c r="X1305" s="237"/>
      <c r="Y1305" s="237"/>
      <c r="Z1305" s="237"/>
    </row>
    <row r="1306">
      <c r="A1306" s="305">
        <v>1305.0</v>
      </c>
      <c r="B1306" s="306" t="s">
        <v>11477</v>
      </c>
      <c r="C1306" s="307" t="s">
        <v>1420</v>
      </c>
      <c r="D1306" s="308" t="s">
        <v>11479</v>
      </c>
      <c r="E1306" s="305" t="s">
        <v>11480</v>
      </c>
      <c r="F1306" s="309" t="s">
        <v>11481</v>
      </c>
      <c r="G1306" s="236"/>
      <c r="H1306" s="307" t="s">
        <v>1420</v>
      </c>
      <c r="I1306" s="237"/>
      <c r="J1306" s="237"/>
      <c r="K1306" s="310" t="s">
        <v>11478</v>
      </c>
      <c r="L1306" s="237"/>
      <c r="M1306" s="237"/>
      <c r="N1306" s="237"/>
      <c r="O1306" s="237"/>
      <c r="P1306" s="237"/>
      <c r="Q1306" s="237"/>
      <c r="R1306" s="237"/>
      <c r="S1306" s="237"/>
      <c r="T1306" s="237"/>
      <c r="U1306" s="237"/>
      <c r="V1306" s="237"/>
      <c r="W1306" s="237"/>
      <c r="X1306" s="237"/>
      <c r="Y1306" s="237"/>
      <c r="Z1306" s="237"/>
    </row>
    <row r="1307">
      <c r="A1307" s="305">
        <v>1306.0</v>
      </c>
      <c r="B1307" s="306" t="s">
        <v>11482</v>
      </c>
      <c r="C1307" s="307" t="s">
        <v>1420</v>
      </c>
      <c r="D1307" s="308" t="s">
        <v>11484</v>
      </c>
      <c r="E1307" s="305" t="s">
        <v>11485</v>
      </c>
      <c r="F1307" s="309" t="s">
        <v>11486</v>
      </c>
      <c r="G1307" s="236"/>
      <c r="H1307" s="307" t="s">
        <v>1420</v>
      </c>
      <c r="I1307" s="237"/>
      <c r="J1307" s="237"/>
      <c r="K1307" s="310" t="s">
        <v>11483</v>
      </c>
      <c r="L1307" s="237"/>
      <c r="M1307" s="237"/>
      <c r="N1307" s="237"/>
      <c r="O1307" s="237"/>
      <c r="P1307" s="237"/>
      <c r="Q1307" s="237"/>
      <c r="R1307" s="237"/>
      <c r="S1307" s="237"/>
      <c r="T1307" s="237"/>
      <c r="U1307" s="237"/>
      <c r="V1307" s="237"/>
      <c r="W1307" s="237"/>
      <c r="X1307" s="237"/>
      <c r="Y1307" s="237"/>
      <c r="Z1307" s="237"/>
    </row>
    <row r="1308">
      <c r="A1308" s="305">
        <v>1307.0</v>
      </c>
      <c r="B1308" s="236"/>
      <c r="C1308" s="307" t="s">
        <v>1420</v>
      </c>
      <c r="D1308" s="308" t="s">
        <v>1606</v>
      </c>
      <c r="E1308" s="305" t="s">
        <v>13250</v>
      </c>
      <c r="F1308" s="309" t="s">
        <v>14408</v>
      </c>
      <c r="G1308" s="236"/>
      <c r="H1308" s="307" t="s">
        <v>1420</v>
      </c>
      <c r="I1308" s="237"/>
      <c r="J1308" s="237"/>
      <c r="K1308" s="310" t="s">
        <v>13249</v>
      </c>
      <c r="L1308" s="237"/>
      <c r="M1308" s="237"/>
      <c r="N1308" s="237"/>
      <c r="O1308" s="237"/>
      <c r="P1308" s="237"/>
      <c r="Q1308" s="237"/>
      <c r="R1308" s="237"/>
      <c r="S1308" s="237"/>
      <c r="T1308" s="237"/>
      <c r="U1308" s="237"/>
      <c r="V1308" s="237"/>
      <c r="W1308" s="237"/>
      <c r="X1308" s="237"/>
      <c r="Y1308" s="237"/>
      <c r="Z1308" s="237"/>
    </row>
    <row r="1309">
      <c r="A1309" s="305">
        <v>1308.0</v>
      </c>
      <c r="B1309" s="236"/>
      <c r="C1309" s="307" t="s">
        <v>1420</v>
      </c>
      <c r="D1309" s="308" t="s">
        <v>1604</v>
      </c>
      <c r="E1309" s="305" t="s">
        <v>13244</v>
      </c>
      <c r="F1309" s="309" t="s">
        <v>14409</v>
      </c>
      <c r="G1309" s="236"/>
      <c r="H1309" s="307" t="s">
        <v>1420</v>
      </c>
      <c r="I1309" s="237"/>
      <c r="J1309" s="237"/>
      <c r="K1309" s="310" t="s">
        <v>13243</v>
      </c>
      <c r="L1309" s="237"/>
      <c r="M1309" s="237"/>
      <c r="N1309" s="237"/>
      <c r="O1309" s="237"/>
      <c r="P1309" s="237"/>
      <c r="Q1309" s="237"/>
      <c r="R1309" s="237"/>
      <c r="S1309" s="237"/>
      <c r="T1309" s="237"/>
      <c r="U1309" s="237"/>
      <c r="V1309" s="237"/>
      <c r="W1309" s="237"/>
      <c r="X1309" s="237"/>
      <c r="Y1309" s="237"/>
      <c r="Z1309" s="237"/>
    </row>
    <row r="1310">
      <c r="A1310" s="305">
        <v>1309.0</v>
      </c>
      <c r="B1310" s="236"/>
      <c r="C1310" s="307" t="s">
        <v>1420</v>
      </c>
      <c r="D1310" s="308" t="s">
        <v>1603</v>
      </c>
      <c r="E1310" s="305" t="s">
        <v>13241</v>
      </c>
      <c r="F1310" s="309" t="s">
        <v>14410</v>
      </c>
      <c r="G1310" s="236"/>
      <c r="H1310" s="307" t="s">
        <v>1420</v>
      </c>
      <c r="I1310" s="237"/>
      <c r="J1310" s="237"/>
      <c r="K1310" s="310" t="s">
        <v>13240</v>
      </c>
      <c r="L1310" s="237"/>
      <c r="M1310" s="237"/>
      <c r="N1310" s="237"/>
      <c r="O1310" s="237"/>
      <c r="P1310" s="237"/>
      <c r="Q1310" s="237"/>
      <c r="R1310" s="237"/>
      <c r="S1310" s="237"/>
      <c r="T1310" s="237"/>
      <c r="U1310" s="237"/>
      <c r="V1310" s="237"/>
      <c r="W1310" s="237"/>
      <c r="X1310" s="237"/>
      <c r="Y1310" s="237"/>
      <c r="Z1310" s="237"/>
    </row>
    <row r="1311">
      <c r="A1311" s="305">
        <v>1310.0</v>
      </c>
      <c r="B1311" s="236"/>
      <c r="C1311" s="307" t="s">
        <v>1420</v>
      </c>
      <c r="D1311" s="308" t="s">
        <v>1599</v>
      </c>
      <c r="E1311" s="305" t="s">
        <v>13229</v>
      </c>
      <c r="F1311" s="309" t="s">
        <v>14411</v>
      </c>
      <c r="G1311" s="236"/>
      <c r="H1311" s="307" t="s">
        <v>1420</v>
      </c>
      <c r="I1311" s="237"/>
      <c r="J1311" s="237"/>
      <c r="K1311" s="310" t="s">
        <v>13228</v>
      </c>
      <c r="L1311" s="237"/>
      <c r="M1311" s="237"/>
      <c r="N1311" s="237"/>
      <c r="O1311" s="237"/>
      <c r="P1311" s="237"/>
      <c r="Q1311" s="237"/>
      <c r="R1311" s="237"/>
      <c r="S1311" s="237"/>
      <c r="T1311" s="237"/>
      <c r="U1311" s="237"/>
      <c r="V1311" s="237"/>
      <c r="W1311" s="237"/>
      <c r="X1311" s="237"/>
      <c r="Y1311" s="237"/>
      <c r="Z1311" s="237"/>
    </row>
    <row r="1312">
      <c r="A1312" s="305">
        <v>1311.0</v>
      </c>
      <c r="B1312" s="236"/>
      <c r="C1312" s="307" t="s">
        <v>1420</v>
      </c>
      <c r="D1312" s="308" t="s">
        <v>1597</v>
      </c>
      <c r="E1312" s="305" t="s">
        <v>13223</v>
      </c>
      <c r="F1312" s="309" t="s">
        <v>14412</v>
      </c>
      <c r="G1312" s="236"/>
      <c r="H1312" s="307" t="s">
        <v>1420</v>
      </c>
      <c r="I1312" s="237"/>
      <c r="J1312" s="237"/>
      <c r="K1312" s="310" t="s">
        <v>13222</v>
      </c>
      <c r="L1312" s="237"/>
      <c r="M1312" s="237"/>
      <c r="N1312" s="237"/>
      <c r="O1312" s="237"/>
      <c r="P1312" s="237"/>
      <c r="Q1312" s="237"/>
      <c r="R1312" s="237"/>
      <c r="S1312" s="237"/>
      <c r="T1312" s="237"/>
      <c r="U1312" s="237"/>
      <c r="V1312" s="237"/>
      <c r="W1312" s="237"/>
      <c r="X1312" s="237"/>
      <c r="Y1312" s="237"/>
      <c r="Z1312" s="237"/>
    </row>
    <row r="1313">
      <c r="A1313" s="305">
        <v>1312.0</v>
      </c>
      <c r="B1313" s="236"/>
      <c r="C1313" s="307" t="s">
        <v>1420</v>
      </c>
      <c r="D1313" s="308" t="s">
        <v>1598</v>
      </c>
      <c r="E1313" s="305" t="s">
        <v>13226</v>
      </c>
      <c r="F1313" s="309" t="s">
        <v>14413</v>
      </c>
      <c r="G1313" s="236"/>
      <c r="H1313" s="307" t="s">
        <v>1420</v>
      </c>
      <c r="I1313" s="237"/>
      <c r="J1313" s="237"/>
      <c r="K1313" s="310" t="s">
        <v>13225</v>
      </c>
      <c r="L1313" s="237"/>
      <c r="M1313" s="237"/>
      <c r="N1313" s="237"/>
      <c r="O1313" s="237"/>
      <c r="P1313" s="237"/>
      <c r="Q1313" s="237"/>
      <c r="R1313" s="237"/>
      <c r="S1313" s="237"/>
      <c r="T1313" s="237"/>
      <c r="U1313" s="237"/>
      <c r="V1313" s="237"/>
      <c r="W1313" s="237"/>
      <c r="X1313" s="237"/>
      <c r="Y1313" s="237"/>
      <c r="Z1313" s="237"/>
    </row>
    <row r="1314">
      <c r="A1314" s="305">
        <v>1313.0</v>
      </c>
      <c r="B1314" s="236"/>
      <c r="C1314" s="307" t="s">
        <v>1420</v>
      </c>
      <c r="D1314" s="308" t="s">
        <v>1611</v>
      </c>
      <c r="E1314" s="305" t="s">
        <v>13265</v>
      </c>
      <c r="F1314" s="309" t="s">
        <v>14414</v>
      </c>
      <c r="G1314" s="236"/>
      <c r="H1314" s="307" t="s">
        <v>1420</v>
      </c>
      <c r="I1314" s="237"/>
      <c r="J1314" s="237"/>
      <c r="K1314" s="310" t="s">
        <v>13264</v>
      </c>
      <c r="L1314" s="237"/>
      <c r="M1314" s="237"/>
      <c r="N1314" s="237"/>
      <c r="O1314" s="237"/>
      <c r="P1314" s="237"/>
      <c r="Q1314" s="237"/>
      <c r="R1314" s="237"/>
      <c r="S1314" s="237"/>
      <c r="T1314" s="237"/>
      <c r="U1314" s="237"/>
      <c r="V1314" s="237"/>
      <c r="W1314" s="237"/>
      <c r="X1314" s="237"/>
      <c r="Y1314" s="237"/>
      <c r="Z1314" s="237"/>
    </row>
    <row r="1315">
      <c r="A1315" s="305">
        <v>1314.0</v>
      </c>
      <c r="B1315" s="236"/>
      <c r="C1315" s="307" t="s">
        <v>1420</v>
      </c>
      <c r="D1315" s="308" t="s">
        <v>1609</v>
      </c>
      <c r="E1315" s="305" t="s">
        <v>13259</v>
      </c>
      <c r="F1315" s="309" t="s">
        <v>14415</v>
      </c>
      <c r="G1315" s="236"/>
      <c r="H1315" s="307" t="s">
        <v>1420</v>
      </c>
      <c r="I1315" s="237"/>
      <c r="J1315" s="237"/>
      <c r="K1315" s="310" t="s">
        <v>13258</v>
      </c>
      <c r="L1315" s="237"/>
      <c r="M1315" s="237"/>
      <c r="N1315" s="237"/>
      <c r="O1315" s="237"/>
      <c r="P1315" s="237"/>
      <c r="Q1315" s="237"/>
      <c r="R1315" s="237"/>
      <c r="S1315" s="237"/>
      <c r="T1315" s="237"/>
      <c r="U1315" s="237"/>
      <c r="V1315" s="237"/>
      <c r="W1315" s="237"/>
      <c r="X1315" s="237"/>
      <c r="Y1315" s="237"/>
      <c r="Z1315" s="237"/>
    </row>
    <row r="1316">
      <c r="A1316" s="305">
        <v>1315.0</v>
      </c>
      <c r="B1316" s="236"/>
      <c r="C1316" s="307" t="s">
        <v>1420</v>
      </c>
      <c r="D1316" s="308" t="s">
        <v>1610</v>
      </c>
      <c r="E1316" s="305" t="s">
        <v>13262</v>
      </c>
      <c r="F1316" s="309" t="s">
        <v>14416</v>
      </c>
      <c r="G1316" s="236"/>
      <c r="H1316" s="307" t="s">
        <v>1420</v>
      </c>
      <c r="I1316" s="237"/>
      <c r="J1316" s="237"/>
      <c r="K1316" s="310" t="s">
        <v>13261</v>
      </c>
      <c r="L1316" s="237"/>
      <c r="M1316" s="237"/>
      <c r="N1316" s="237"/>
      <c r="O1316" s="237"/>
      <c r="P1316" s="237"/>
      <c r="Q1316" s="237"/>
      <c r="R1316" s="237"/>
      <c r="S1316" s="237"/>
      <c r="T1316" s="237"/>
      <c r="U1316" s="237"/>
      <c r="V1316" s="237"/>
      <c r="W1316" s="237"/>
      <c r="X1316" s="237"/>
      <c r="Y1316" s="237"/>
      <c r="Z1316" s="237"/>
    </row>
    <row r="1317">
      <c r="A1317" s="305">
        <v>1316.0</v>
      </c>
      <c r="B1317" s="236"/>
      <c r="C1317" s="307" t="s">
        <v>1420</v>
      </c>
      <c r="D1317" s="308" t="s">
        <v>1608</v>
      </c>
      <c r="E1317" s="305" t="s">
        <v>13256</v>
      </c>
      <c r="F1317" s="309" t="s">
        <v>14417</v>
      </c>
      <c r="G1317" s="236"/>
      <c r="H1317" s="307" t="s">
        <v>1420</v>
      </c>
      <c r="I1317" s="237"/>
      <c r="J1317" s="237"/>
      <c r="K1317" s="310" t="s">
        <v>13255</v>
      </c>
      <c r="L1317" s="237"/>
      <c r="M1317" s="237"/>
      <c r="N1317" s="237"/>
      <c r="O1317" s="237"/>
      <c r="P1317" s="237"/>
      <c r="Q1317" s="237"/>
      <c r="R1317" s="237"/>
      <c r="S1317" s="237"/>
      <c r="T1317" s="237"/>
      <c r="U1317" s="237"/>
      <c r="V1317" s="237"/>
      <c r="W1317" s="237"/>
      <c r="X1317" s="237"/>
      <c r="Y1317" s="237"/>
      <c r="Z1317" s="237"/>
    </row>
    <row r="1318">
      <c r="A1318" s="305">
        <v>1317.0</v>
      </c>
      <c r="B1318" s="236"/>
      <c r="C1318" s="307" t="s">
        <v>1420</v>
      </c>
      <c r="D1318" s="308" t="s">
        <v>1595</v>
      </c>
      <c r="E1318" s="305" t="s">
        <v>13217</v>
      </c>
      <c r="F1318" s="309" t="s">
        <v>14418</v>
      </c>
      <c r="G1318" s="236"/>
      <c r="H1318" s="307" t="s">
        <v>1420</v>
      </c>
      <c r="I1318" s="237"/>
      <c r="J1318" s="237"/>
      <c r="K1318" s="310" t="s">
        <v>13216</v>
      </c>
      <c r="L1318" s="237"/>
      <c r="M1318" s="237"/>
      <c r="N1318" s="237"/>
      <c r="O1318" s="237"/>
      <c r="P1318" s="237"/>
      <c r="Q1318" s="237"/>
      <c r="R1318" s="237"/>
      <c r="S1318" s="237"/>
      <c r="T1318" s="237"/>
      <c r="U1318" s="237"/>
      <c r="V1318" s="237"/>
      <c r="W1318" s="237"/>
      <c r="X1318" s="237"/>
      <c r="Y1318" s="237"/>
      <c r="Z1318" s="237"/>
    </row>
    <row r="1319">
      <c r="A1319" s="305">
        <v>1318.0</v>
      </c>
      <c r="B1319" s="236"/>
      <c r="C1319" s="307" t="s">
        <v>1420</v>
      </c>
      <c r="D1319" s="308" t="s">
        <v>1605</v>
      </c>
      <c r="E1319" s="305" t="s">
        <v>13247</v>
      </c>
      <c r="F1319" s="309" t="s">
        <v>14419</v>
      </c>
      <c r="G1319" s="236"/>
      <c r="H1319" s="307" t="s">
        <v>1420</v>
      </c>
      <c r="I1319" s="237"/>
      <c r="J1319" s="237"/>
      <c r="K1319" s="310" t="s">
        <v>13246</v>
      </c>
      <c r="L1319" s="237"/>
      <c r="M1319" s="237"/>
      <c r="N1319" s="237"/>
      <c r="O1319" s="237"/>
      <c r="P1319" s="237"/>
      <c r="Q1319" s="237"/>
      <c r="R1319" s="237"/>
      <c r="S1319" s="237"/>
      <c r="T1319" s="237"/>
      <c r="U1319" s="237"/>
      <c r="V1319" s="237"/>
      <c r="W1319" s="237"/>
      <c r="X1319" s="237"/>
      <c r="Y1319" s="237"/>
      <c r="Z1319" s="237"/>
    </row>
    <row r="1320">
      <c r="A1320" s="305">
        <v>1319.0</v>
      </c>
      <c r="B1320" s="236"/>
      <c r="C1320" s="307" t="s">
        <v>1420</v>
      </c>
      <c r="D1320" s="308" t="s">
        <v>1601</v>
      </c>
      <c r="E1320" s="305" t="s">
        <v>13235</v>
      </c>
      <c r="F1320" s="309" t="s">
        <v>14420</v>
      </c>
      <c r="G1320" s="236"/>
      <c r="H1320" s="307" t="s">
        <v>1420</v>
      </c>
      <c r="I1320" s="237"/>
      <c r="J1320" s="237"/>
      <c r="K1320" s="310" t="s">
        <v>13234</v>
      </c>
      <c r="L1320" s="237"/>
      <c r="M1320" s="237"/>
      <c r="N1320" s="237"/>
      <c r="O1320" s="237"/>
      <c r="P1320" s="237"/>
      <c r="Q1320" s="237"/>
      <c r="R1320" s="237"/>
      <c r="S1320" s="237"/>
      <c r="T1320" s="237"/>
      <c r="U1320" s="237"/>
      <c r="V1320" s="237"/>
      <c r="W1320" s="237"/>
      <c r="X1320" s="237"/>
      <c r="Y1320" s="237"/>
      <c r="Z1320" s="237"/>
    </row>
    <row r="1321">
      <c r="A1321" s="305">
        <v>1320.0</v>
      </c>
      <c r="B1321" s="236"/>
      <c r="C1321" s="307" t="s">
        <v>1420</v>
      </c>
      <c r="D1321" s="308" t="s">
        <v>1602</v>
      </c>
      <c r="E1321" s="305" t="s">
        <v>13238</v>
      </c>
      <c r="F1321" s="309" t="s">
        <v>14421</v>
      </c>
      <c r="G1321" s="236"/>
      <c r="H1321" s="307" t="s">
        <v>1420</v>
      </c>
      <c r="I1321" s="237"/>
      <c r="J1321" s="237"/>
      <c r="K1321" s="310" t="s">
        <v>13237</v>
      </c>
      <c r="L1321" s="237"/>
      <c r="M1321" s="237"/>
      <c r="N1321" s="237"/>
      <c r="O1321" s="237"/>
      <c r="P1321" s="237"/>
      <c r="Q1321" s="237"/>
      <c r="R1321" s="237"/>
      <c r="S1321" s="237"/>
      <c r="T1321" s="237"/>
      <c r="U1321" s="237"/>
      <c r="V1321" s="237"/>
      <c r="W1321" s="237"/>
      <c r="X1321" s="237"/>
      <c r="Y1321" s="237"/>
      <c r="Z1321" s="237"/>
    </row>
    <row r="1322">
      <c r="A1322" s="305">
        <v>1321.0</v>
      </c>
      <c r="B1322" s="236"/>
      <c r="C1322" s="307" t="s">
        <v>1420</v>
      </c>
      <c r="D1322" s="308" t="s">
        <v>1607</v>
      </c>
      <c r="E1322" s="305" t="s">
        <v>13253</v>
      </c>
      <c r="F1322" s="309" t="s">
        <v>14422</v>
      </c>
      <c r="G1322" s="236"/>
      <c r="H1322" s="307" t="s">
        <v>1420</v>
      </c>
      <c r="I1322" s="237"/>
      <c r="J1322" s="237"/>
      <c r="K1322" s="310" t="s">
        <v>13252</v>
      </c>
      <c r="L1322" s="237"/>
      <c r="M1322" s="237"/>
      <c r="N1322" s="237"/>
      <c r="O1322" s="237"/>
      <c r="P1322" s="237"/>
      <c r="Q1322" s="237"/>
      <c r="R1322" s="237"/>
      <c r="S1322" s="237"/>
      <c r="T1322" s="237"/>
      <c r="U1322" s="237"/>
      <c r="V1322" s="237"/>
      <c r="W1322" s="237"/>
      <c r="X1322" s="237"/>
      <c r="Y1322" s="237"/>
      <c r="Z1322" s="237"/>
    </row>
    <row r="1323">
      <c r="A1323" s="305">
        <v>1322.0</v>
      </c>
      <c r="B1323" s="236"/>
      <c r="C1323" s="307" t="s">
        <v>1420</v>
      </c>
      <c r="D1323" s="308" t="s">
        <v>1596</v>
      </c>
      <c r="E1323" s="305" t="s">
        <v>13220</v>
      </c>
      <c r="F1323" s="309" t="s">
        <v>14423</v>
      </c>
      <c r="G1323" s="236"/>
      <c r="H1323" s="307" t="s">
        <v>1420</v>
      </c>
      <c r="I1323" s="237"/>
      <c r="J1323" s="237"/>
      <c r="K1323" s="310" t="s">
        <v>13219</v>
      </c>
      <c r="L1323" s="237"/>
      <c r="M1323" s="237"/>
      <c r="N1323" s="237"/>
      <c r="O1323" s="237"/>
      <c r="P1323" s="237"/>
      <c r="Q1323" s="237"/>
      <c r="R1323" s="237"/>
      <c r="S1323" s="237"/>
      <c r="T1323" s="237"/>
      <c r="U1323" s="237"/>
      <c r="V1323" s="237"/>
      <c r="W1323" s="237"/>
      <c r="X1323" s="237"/>
      <c r="Y1323" s="237"/>
      <c r="Z1323" s="237"/>
    </row>
    <row r="1324">
      <c r="A1324" s="305">
        <v>1323.0</v>
      </c>
      <c r="B1324" s="236"/>
      <c r="C1324" s="307" t="s">
        <v>1420</v>
      </c>
      <c r="D1324" s="308" t="s">
        <v>1600</v>
      </c>
      <c r="E1324" s="305" t="s">
        <v>13232</v>
      </c>
      <c r="F1324" s="309" t="s">
        <v>14424</v>
      </c>
      <c r="G1324" s="236"/>
      <c r="H1324" s="307" t="s">
        <v>1420</v>
      </c>
      <c r="I1324" s="237"/>
      <c r="J1324" s="237"/>
      <c r="K1324" s="310" t="s">
        <v>13231</v>
      </c>
      <c r="L1324" s="237"/>
      <c r="M1324" s="237"/>
      <c r="N1324" s="237"/>
      <c r="O1324" s="237"/>
      <c r="P1324" s="237"/>
      <c r="Q1324" s="237"/>
      <c r="R1324" s="237"/>
      <c r="S1324" s="237"/>
      <c r="T1324" s="237"/>
      <c r="U1324" s="237"/>
      <c r="V1324" s="237"/>
      <c r="W1324" s="237"/>
      <c r="X1324" s="237"/>
      <c r="Y1324" s="237"/>
      <c r="Z1324" s="237"/>
    </row>
    <row r="1325">
      <c r="A1325" s="305">
        <v>1324.0</v>
      </c>
      <c r="B1325" s="236"/>
      <c r="C1325" s="307" t="s">
        <v>1420</v>
      </c>
      <c r="D1325" s="308" t="s">
        <v>1360</v>
      </c>
      <c r="E1325" s="305" t="s">
        <v>12784</v>
      </c>
      <c r="F1325" s="309" t="s">
        <v>12785</v>
      </c>
      <c r="G1325" s="236"/>
      <c r="H1325" s="307" t="s">
        <v>1420</v>
      </c>
      <c r="I1325" s="237"/>
      <c r="J1325" s="237"/>
      <c r="K1325" s="310" t="s">
        <v>12783</v>
      </c>
      <c r="L1325" s="237"/>
      <c r="M1325" s="237"/>
      <c r="N1325" s="237"/>
      <c r="O1325" s="237"/>
      <c r="P1325" s="237"/>
      <c r="Q1325" s="237"/>
      <c r="R1325" s="237"/>
      <c r="S1325" s="237"/>
      <c r="T1325" s="237"/>
      <c r="U1325" s="237"/>
      <c r="V1325" s="237"/>
      <c r="W1325" s="237"/>
      <c r="X1325" s="237"/>
      <c r="Y1325" s="237"/>
      <c r="Z1325" s="237"/>
    </row>
    <row r="1326">
      <c r="A1326" s="305">
        <v>1325.0</v>
      </c>
      <c r="B1326" s="236"/>
      <c r="C1326" s="307" t="s">
        <v>1420</v>
      </c>
      <c r="D1326" s="308" t="s">
        <v>1362</v>
      </c>
      <c r="E1326" s="305" t="s">
        <v>12790</v>
      </c>
      <c r="F1326" s="309" t="s">
        <v>12791</v>
      </c>
      <c r="G1326" s="236"/>
      <c r="H1326" s="307" t="s">
        <v>1420</v>
      </c>
      <c r="I1326" s="237"/>
      <c r="J1326" s="237"/>
      <c r="K1326" s="310" t="s">
        <v>12789</v>
      </c>
      <c r="L1326" s="237"/>
      <c r="M1326" s="237"/>
      <c r="N1326" s="237"/>
      <c r="O1326" s="237"/>
      <c r="P1326" s="237"/>
      <c r="Q1326" s="237"/>
      <c r="R1326" s="237"/>
      <c r="S1326" s="237"/>
      <c r="T1326" s="237"/>
      <c r="U1326" s="237"/>
      <c r="V1326" s="237"/>
      <c r="W1326" s="237"/>
      <c r="X1326" s="237"/>
      <c r="Y1326" s="237"/>
      <c r="Z1326" s="237"/>
    </row>
    <row r="1327">
      <c r="A1327" s="305">
        <v>1326.0</v>
      </c>
      <c r="B1327" s="236"/>
      <c r="C1327" s="307" t="s">
        <v>1420</v>
      </c>
      <c r="D1327" s="308" t="s">
        <v>1363</v>
      </c>
      <c r="E1327" s="305" t="s">
        <v>12793</v>
      </c>
      <c r="F1327" s="309" t="s">
        <v>12794</v>
      </c>
      <c r="G1327" s="236"/>
      <c r="H1327" s="307" t="s">
        <v>1420</v>
      </c>
      <c r="I1327" s="237"/>
      <c r="J1327" s="237"/>
      <c r="K1327" s="310" t="s">
        <v>12792</v>
      </c>
      <c r="L1327" s="237"/>
      <c r="M1327" s="237"/>
      <c r="N1327" s="237"/>
      <c r="O1327" s="237"/>
      <c r="P1327" s="237"/>
      <c r="Q1327" s="237"/>
      <c r="R1327" s="237"/>
      <c r="S1327" s="237"/>
      <c r="T1327" s="237"/>
      <c r="U1327" s="237"/>
      <c r="V1327" s="237"/>
      <c r="W1327" s="237"/>
      <c r="X1327" s="237"/>
      <c r="Y1327" s="237"/>
      <c r="Z1327" s="237"/>
    </row>
    <row r="1328">
      <c r="A1328" s="305">
        <v>1327.0</v>
      </c>
      <c r="B1328" s="236"/>
      <c r="C1328" s="307" t="s">
        <v>1420</v>
      </c>
      <c r="D1328" s="308" t="s">
        <v>1361</v>
      </c>
      <c r="E1328" s="305" t="s">
        <v>12787</v>
      </c>
      <c r="F1328" s="309" t="s">
        <v>12788</v>
      </c>
      <c r="G1328" s="236"/>
      <c r="H1328" s="307" t="s">
        <v>1420</v>
      </c>
      <c r="I1328" s="237"/>
      <c r="J1328" s="237"/>
      <c r="K1328" s="310" t="s">
        <v>12786</v>
      </c>
      <c r="L1328" s="237"/>
      <c r="M1328" s="237"/>
      <c r="N1328" s="237"/>
      <c r="O1328" s="237"/>
      <c r="P1328" s="237"/>
      <c r="Q1328" s="237"/>
      <c r="R1328" s="237"/>
      <c r="S1328" s="237"/>
      <c r="T1328" s="237"/>
      <c r="U1328" s="237"/>
      <c r="V1328" s="237"/>
      <c r="W1328" s="237"/>
      <c r="X1328" s="237"/>
      <c r="Y1328" s="237"/>
      <c r="Z1328" s="237"/>
    </row>
    <row r="1329">
      <c r="A1329" s="305">
        <v>1328.0</v>
      </c>
      <c r="B1329" s="236"/>
      <c r="C1329" s="307" t="s">
        <v>1420</v>
      </c>
      <c r="D1329" s="308" t="s">
        <v>1864</v>
      </c>
      <c r="E1329" s="305" t="s">
        <v>13769</v>
      </c>
      <c r="F1329" s="236"/>
      <c r="G1329" s="236"/>
      <c r="H1329" s="307" t="s">
        <v>1420</v>
      </c>
      <c r="I1329" s="237"/>
      <c r="J1329" s="237"/>
      <c r="K1329" s="310" t="s">
        <v>13768</v>
      </c>
      <c r="L1329" s="237"/>
      <c r="M1329" s="237"/>
      <c r="N1329" s="237"/>
      <c r="O1329" s="237"/>
      <c r="P1329" s="237"/>
      <c r="Q1329" s="237"/>
      <c r="R1329" s="237"/>
      <c r="S1329" s="237"/>
      <c r="T1329" s="237"/>
      <c r="U1329" s="237"/>
      <c r="V1329" s="237"/>
      <c r="W1329" s="237"/>
      <c r="X1329" s="237"/>
      <c r="Y1329" s="237"/>
      <c r="Z1329" s="237"/>
    </row>
    <row r="1330">
      <c r="A1330" s="305">
        <v>1329.0</v>
      </c>
      <c r="B1330" s="236"/>
      <c r="C1330" s="307" t="s">
        <v>1420</v>
      </c>
      <c r="D1330" s="308" t="s">
        <v>1870</v>
      </c>
      <c r="E1330" s="305" t="s">
        <v>13763</v>
      </c>
      <c r="F1330" s="236"/>
      <c r="G1330" s="236"/>
      <c r="H1330" s="307" t="s">
        <v>1420</v>
      </c>
      <c r="I1330" s="237"/>
      <c r="J1330" s="237"/>
      <c r="K1330" s="310" t="s">
        <v>13762</v>
      </c>
      <c r="L1330" s="237"/>
      <c r="M1330" s="237"/>
      <c r="N1330" s="237"/>
      <c r="O1330" s="237"/>
      <c r="P1330" s="237"/>
      <c r="Q1330" s="237"/>
      <c r="R1330" s="237"/>
      <c r="S1330" s="237"/>
      <c r="T1330" s="237"/>
      <c r="U1330" s="237"/>
      <c r="V1330" s="237"/>
      <c r="W1330" s="237"/>
      <c r="X1330" s="237"/>
      <c r="Y1330" s="237"/>
      <c r="Z1330" s="237"/>
    </row>
    <row r="1331">
      <c r="A1331" s="305">
        <v>1330.0</v>
      </c>
      <c r="B1331" s="236"/>
      <c r="C1331" s="307" t="s">
        <v>13452</v>
      </c>
      <c r="D1331" s="308" t="s">
        <v>1871</v>
      </c>
      <c r="E1331" s="305" t="s">
        <v>13775</v>
      </c>
      <c r="F1331" s="236"/>
      <c r="G1331" s="236"/>
      <c r="H1331" s="307" t="s">
        <v>13452</v>
      </c>
      <c r="I1331" s="237"/>
      <c r="J1331" s="237"/>
      <c r="K1331" s="310" t="s">
        <v>13774</v>
      </c>
      <c r="L1331" s="237"/>
      <c r="M1331" s="237"/>
      <c r="N1331" s="237"/>
      <c r="O1331" s="237"/>
      <c r="P1331" s="237"/>
      <c r="Q1331" s="237"/>
      <c r="R1331" s="237"/>
      <c r="S1331" s="237"/>
      <c r="T1331" s="237"/>
      <c r="U1331" s="237"/>
      <c r="V1331" s="237"/>
      <c r="W1331" s="237"/>
      <c r="X1331" s="237"/>
      <c r="Y1331" s="237"/>
      <c r="Z1331" s="237"/>
    </row>
    <row r="1332">
      <c r="A1332" s="305">
        <v>1331.0</v>
      </c>
      <c r="B1332" s="236"/>
      <c r="C1332" s="307" t="s">
        <v>1420</v>
      </c>
      <c r="D1332" s="308" t="s">
        <v>13192</v>
      </c>
      <c r="E1332" s="305" t="s">
        <v>13193</v>
      </c>
      <c r="F1332" s="309" t="s">
        <v>14425</v>
      </c>
      <c r="G1332" s="307" t="s">
        <v>13128</v>
      </c>
      <c r="H1332" s="307" t="s">
        <v>1420</v>
      </c>
      <c r="I1332" s="237"/>
      <c r="J1332" s="237"/>
      <c r="K1332" s="310" t="s">
        <v>13203</v>
      </c>
      <c r="L1332" s="237"/>
      <c r="M1332" s="237"/>
      <c r="N1332" s="237"/>
      <c r="O1332" s="237"/>
      <c r="P1332" s="237"/>
      <c r="Q1332" s="237"/>
      <c r="R1332" s="237"/>
      <c r="S1332" s="237"/>
      <c r="T1332" s="237"/>
      <c r="U1332" s="237"/>
      <c r="V1332" s="237"/>
      <c r="W1332" s="237"/>
      <c r="X1332" s="237"/>
      <c r="Y1332" s="237"/>
      <c r="Z1332" s="237"/>
    </row>
    <row r="1333">
      <c r="A1333" s="305">
        <v>1332.0</v>
      </c>
      <c r="B1333" s="236"/>
      <c r="C1333" s="307" t="s">
        <v>1420</v>
      </c>
      <c r="D1333" s="308" t="s">
        <v>1592</v>
      </c>
      <c r="E1333" s="305" t="s">
        <v>13204</v>
      </c>
      <c r="F1333" s="309" t="s">
        <v>14425</v>
      </c>
      <c r="G1333" s="236"/>
      <c r="H1333" s="307" t="s">
        <v>1420</v>
      </c>
      <c r="I1333" s="237"/>
      <c r="J1333" s="237"/>
      <c r="K1333" s="310" t="s">
        <v>13203</v>
      </c>
      <c r="L1333" s="237"/>
      <c r="M1333" s="237"/>
      <c r="N1333" s="237"/>
      <c r="O1333" s="237"/>
      <c r="P1333" s="237"/>
      <c r="Q1333" s="237"/>
      <c r="R1333" s="237"/>
      <c r="S1333" s="237"/>
      <c r="T1333" s="237"/>
      <c r="U1333" s="237"/>
      <c r="V1333" s="237"/>
      <c r="W1333" s="237"/>
      <c r="X1333" s="237"/>
      <c r="Y1333" s="237"/>
      <c r="Z1333" s="237"/>
    </row>
    <row r="1334">
      <c r="A1334" s="305">
        <v>1333.0</v>
      </c>
      <c r="B1334" s="236"/>
      <c r="C1334" s="307" t="s">
        <v>1420</v>
      </c>
      <c r="D1334" s="308" t="s">
        <v>13200</v>
      </c>
      <c r="E1334" s="305" t="s">
        <v>13201</v>
      </c>
      <c r="F1334" s="309" t="s">
        <v>14426</v>
      </c>
      <c r="G1334" s="236"/>
      <c r="H1334" s="307" t="s">
        <v>1420</v>
      </c>
      <c r="I1334" s="237"/>
      <c r="J1334" s="237"/>
      <c r="K1334" s="310" t="s">
        <v>13199</v>
      </c>
      <c r="L1334" s="237"/>
      <c r="M1334" s="237"/>
      <c r="N1334" s="237"/>
      <c r="O1334" s="237"/>
      <c r="P1334" s="237"/>
      <c r="Q1334" s="237"/>
      <c r="R1334" s="237"/>
      <c r="S1334" s="237"/>
      <c r="T1334" s="237"/>
      <c r="U1334" s="237"/>
      <c r="V1334" s="237"/>
      <c r="W1334" s="237"/>
      <c r="X1334" s="237"/>
      <c r="Y1334" s="237"/>
      <c r="Z1334" s="237"/>
    </row>
    <row r="1335">
      <c r="A1335" s="305">
        <v>1334.0</v>
      </c>
      <c r="B1335" s="236"/>
      <c r="C1335" s="307" t="s">
        <v>14007</v>
      </c>
      <c r="D1335" s="308" t="s">
        <v>13197</v>
      </c>
      <c r="E1335" s="305" t="s">
        <v>13198</v>
      </c>
      <c r="F1335" s="236"/>
      <c r="G1335" s="307" t="s">
        <v>13128</v>
      </c>
      <c r="H1335" s="307" t="s">
        <v>14007</v>
      </c>
      <c r="I1335" s="237"/>
      <c r="J1335" s="237"/>
      <c r="K1335" s="262"/>
      <c r="L1335" s="237"/>
      <c r="M1335" s="237"/>
      <c r="N1335" s="237"/>
      <c r="O1335" s="237"/>
      <c r="P1335" s="237"/>
      <c r="Q1335" s="237"/>
      <c r="R1335" s="237"/>
      <c r="S1335" s="237"/>
      <c r="T1335" s="237"/>
      <c r="U1335" s="237"/>
      <c r="V1335" s="237"/>
      <c r="W1335" s="237"/>
      <c r="X1335" s="237"/>
      <c r="Y1335" s="237"/>
      <c r="Z1335" s="237"/>
    </row>
    <row r="1336">
      <c r="A1336" s="305">
        <v>1335.0</v>
      </c>
      <c r="B1336" s="306" t="s">
        <v>11344</v>
      </c>
      <c r="C1336" s="307" t="s">
        <v>1420</v>
      </c>
      <c r="D1336" s="308" t="s">
        <v>11346</v>
      </c>
      <c r="E1336" s="305" t="s">
        <v>11347</v>
      </c>
      <c r="F1336" s="309" t="s">
        <v>11348</v>
      </c>
      <c r="G1336" s="236"/>
      <c r="H1336" s="307" t="s">
        <v>1420</v>
      </c>
      <c r="I1336" s="237"/>
      <c r="J1336" s="237"/>
      <c r="K1336" s="310" t="s">
        <v>11345</v>
      </c>
      <c r="L1336" s="237"/>
      <c r="M1336" s="237"/>
      <c r="N1336" s="237"/>
      <c r="O1336" s="237"/>
      <c r="P1336" s="237"/>
      <c r="Q1336" s="237"/>
      <c r="R1336" s="237"/>
      <c r="S1336" s="237"/>
      <c r="T1336" s="237"/>
      <c r="U1336" s="237"/>
      <c r="V1336" s="237"/>
      <c r="W1336" s="237"/>
      <c r="X1336" s="237"/>
      <c r="Y1336" s="237"/>
      <c r="Z1336" s="237"/>
    </row>
    <row r="1337">
      <c r="A1337" s="305">
        <v>1336.0</v>
      </c>
      <c r="B1337" s="236"/>
      <c r="C1337" s="307" t="s">
        <v>1420</v>
      </c>
      <c r="D1337" s="308" t="s">
        <v>2208</v>
      </c>
      <c r="E1337" s="305" t="s">
        <v>6023</v>
      </c>
      <c r="F1337" s="309" t="s">
        <v>6024</v>
      </c>
      <c r="G1337" s="236"/>
      <c r="H1337" s="307" t="s">
        <v>1420</v>
      </c>
      <c r="I1337" s="237"/>
      <c r="J1337" s="237"/>
      <c r="K1337" s="310" t="s">
        <v>6022</v>
      </c>
      <c r="L1337" s="237"/>
      <c r="M1337" s="237"/>
      <c r="N1337" s="237"/>
      <c r="O1337" s="237"/>
      <c r="P1337" s="237"/>
      <c r="Q1337" s="237"/>
      <c r="R1337" s="237"/>
      <c r="S1337" s="237"/>
      <c r="T1337" s="237"/>
      <c r="U1337" s="237"/>
      <c r="V1337" s="237"/>
      <c r="W1337" s="237"/>
      <c r="X1337" s="237"/>
      <c r="Y1337" s="237"/>
      <c r="Z1337" s="237"/>
    </row>
    <row r="1338">
      <c r="A1338" s="305">
        <v>1337.0</v>
      </c>
      <c r="B1338" s="236"/>
      <c r="C1338" s="307" t="s">
        <v>1420</v>
      </c>
      <c r="D1338" s="308" t="s">
        <v>2209</v>
      </c>
      <c r="E1338" s="305" t="s">
        <v>6026</v>
      </c>
      <c r="F1338" s="309" t="s">
        <v>6027</v>
      </c>
      <c r="G1338" s="236"/>
      <c r="H1338" s="307" t="s">
        <v>1420</v>
      </c>
      <c r="I1338" s="237"/>
      <c r="J1338" s="237"/>
      <c r="K1338" s="310" t="s">
        <v>6025</v>
      </c>
      <c r="L1338" s="237"/>
      <c r="M1338" s="237"/>
      <c r="N1338" s="237"/>
      <c r="O1338" s="237"/>
      <c r="P1338" s="237"/>
      <c r="Q1338" s="237"/>
      <c r="R1338" s="237"/>
      <c r="S1338" s="237"/>
      <c r="T1338" s="237"/>
      <c r="U1338" s="237"/>
      <c r="V1338" s="237"/>
      <c r="W1338" s="237"/>
      <c r="X1338" s="237"/>
      <c r="Y1338" s="237"/>
      <c r="Z1338" s="237"/>
    </row>
    <row r="1339">
      <c r="A1339" s="305">
        <v>1338.0</v>
      </c>
      <c r="B1339" s="306" t="s">
        <v>3669</v>
      </c>
      <c r="C1339" s="307" t="s">
        <v>1420</v>
      </c>
      <c r="D1339" s="308" t="s">
        <v>2210</v>
      </c>
      <c r="E1339" s="305" t="s">
        <v>3672</v>
      </c>
      <c r="F1339" s="309" t="s">
        <v>3673</v>
      </c>
      <c r="G1339" s="236"/>
      <c r="H1339" s="307" t="s">
        <v>1420</v>
      </c>
      <c r="I1339" s="237"/>
      <c r="J1339" s="237"/>
      <c r="K1339" s="310" t="s">
        <v>3670</v>
      </c>
      <c r="L1339" s="237"/>
      <c r="M1339" s="237"/>
      <c r="N1339" s="237"/>
      <c r="O1339" s="237"/>
      <c r="P1339" s="237"/>
      <c r="Q1339" s="237"/>
      <c r="R1339" s="237"/>
      <c r="S1339" s="237"/>
      <c r="T1339" s="237"/>
      <c r="U1339" s="237"/>
      <c r="V1339" s="237"/>
      <c r="W1339" s="237"/>
      <c r="X1339" s="237"/>
      <c r="Y1339" s="237"/>
      <c r="Z1339" s="237"/>
    </row>
    <row r="1340">
      <c r="A1340" s="305">
        <v>1339.0</v>
      </c>
      <c r="B1340" s="236"/>
      <c r="C1340" s="307" t="s">
        <v>1420</v>
      </c>
      <c r="D1340" s="308" t="s">
        <v>2210</v>
      </c>
      <c r="E1340" s="305" t="s">
        <v>5693</v>
      </c>
      <c r="F1340" s="309" t="s">
        <v>5694</v>
      </c>
      <c r="G1340" s="236"/>
      <c r="H1340" s="307" t="s">
        <v>1420</v>
      </c>
      <c r="I1340" s="237"/>
      <c r="J1340" s="237"/>
      <c r="K1340" s="310" t="s">
        <v>5692</v>
      </c>
      <c r="L1340" s="237"/>
      <c r="M1340" s="237"/>
      <c r="N1340" s="237"/>
      <c r="O1340" s="237"/>
      <c r="P1340" s="237"/>
      <c r="Q1340" s="237"/>
      <c r="R1340" s="237"/>
      <c r="S1340" s="237"/>
      <c r="T1340" s="237"/>
      <c r="U1340" s="237"/>
      <c r="V1340" s="237"/>
      <c r="W1340" s="237"/>
      <c r="X1340" s="237"/>
      <c r="Y1340" s="237"/>
      <c r="Z1340" s="237"/>
    </row>
    <row r="1341">
      <c r="A1341" s="305">
        <v>1340.0</v>
      </c>
      <c r="B1341" s="306">
        <v>170573.0</v>
      </c>
      <c r="C1341" s="307" t="s">
        <v>1420</v>
      </c>
      <c r="D1341" s="308" t="s">
        <v>2210</v>
      </c>
      <c r="E1341" s="305" t="s">
        <v>3901</v>
      </c>
      <c r="F1341" s="309" t="s">
        <v>3902</v>
      </c>
      <c r="G1341" s="236"/>
      <c r="H1341" s="307" t="s">
        <v>1420</v>
      </c>
      <c r="I1341" s="237"/>
      <c r="J1341" s="237"/>
      <c r="K1341" s="310" t="s">
        <v>3899</v>
      </c>
      <c r="L1341" s="237"/>
      <c r="M1341" s="237"/>
      <c r="N1341" s="237"/>
      <c r="O1341" s="237"/>
      <c r="P1341" s="237"/>
      <c r="Q1341" s="237"/>
      <c r="R1341" s="237"/>
      <c r="S1341" s="237"/>
      <c r="T1341" s="237"/>
      <c r="U1341" s="237"/>
      <c r="V1341" s="237"/>
      <c r="W1341" s="237"/>
      <c r="X1341" s="237"/>
      <c r="Y1341" s="237"/>
      <c r="Z1341" s="237"/>
    </row>
    <row r="1342">
      <c r="A1342" s="305">
        <v>1341.0</v>
      </c>
      <c r="B1342" s="236"/>
      <c r="C1342" s="307" t="s">
        <v>1420</v>
      </c>
      <c r="D1342" s="308" t="s">
        <v>2210</v>
      </c>
      <c r="E1342" s="305" t="s">
        <v>5846</v>
      </c>
      <c r="F1342" s="309" t="s">
        <v>5847</v>
      </c>
      <c r="G1342" s="236"/>
      <c r="H1342" s="307" t="s">
        <v>1420</v>
      </c>
      <c r="I1342" s="237"/>
      <c r="J1342" s="237"/>
      <c r="K1342" s="310" t="s">
        <v>5845</v>
      </c>
      <c r="L1342" s="237"/>
      <c r="M1342" s="237"/>
      <c r="N1342" s="237"/>
      <c r="O1342" s="237"/>
      <c r="P1342" s="237"/>
      <c r="Q1342" s="237"/>
      <c r="R1342" s="237"/>
      <c r="S1342" s="237"/>
      <c r="T1342" s="237"/>
      <c r="U1342" s="237"/>
      <c r="V1342" s="237"/>
      <c r="W1342" s="237"/>
      <c r="X1342" s="237"/>
      <c r="Y1342" s="237"/>
      <c r="Z1342" s="237"/>
    </row>
    <row r="1343">
      <c r="A1343" s="305">
        <v>1342.0</v>
      </c>
      <c r="B1343" s="306" t="s">
        <v>11325</v>
      </c>
      <c r="C1343" s="307" t="s">
        <v>1420</v>
      </c>
      <c r="D1343" s="308" t="s">
        <v>2211</v>
      </c>
      <c r="E1343" s="305" t="s">
        <v>11327</v>
      </c>
      <c r="F1343" s="309" t="s">
        <v>11328</v>
      </c>
      <c r="G1343" s="236"/>
      <c r="H1343" s="307" t="s">
        <v>1420</v>
      </c>
      <c r="I1343" s="237"/>
      <c r="J1343" s="237"/>
      <c r="K1343" s="310" t="s">
        <v>11326</v>
      </c>
      <c r="L1343" s="237"/>
      <c r="M1343" s="237"/>
      <c r="N1343" s="237"/>
      <c r="O1343" s="237"/>
      <c r="P1343" s="237"/>
      <c r="Q1343" s="237"/>
      <c r="R1343" s="237"/>
      <c r="S1343" s="237"/>
      <c r="T1343" s="237"/>
      <c r="U1343" s="237"/>
      <c r="V1343" s="237"/>
      <c r="W1343" s="237"/>
      <c r="X1343" s="237"/>
      <c r="Y1343" s="237"/>
      <c r="Z1343" s="237"/>
    </row>
    <row r="1344">
      <c r="A1344" s="305">
        <v>1343.0</v>
      </c>
      <c r="B1344" s="306" t="s">
        <v>11329</v>
      </c>
      <c r="C1344" s="307" t="s">
        <v>1420</v>
      </c>
      <c r="D1344" s="308" t="s">
        <v>2212</v>
      </c>
      <c r="E1344" s="305" t="s">
        <v>11331</v>
      </c>
      <c r="F1344" s="309" t="s">
        <v>11332</v>
      </c>
      <c r="G1344" s="236"/>
      <c r="H1344" s="307" t="s">
        <v>1420</v>
      </c>
      <c r="I1344" s="237"/>
      <c r="J1344" s="237"/>
      <c r="K1344" s="310" t="s">
        <v>11330</v>
      </c>
      <c r="L1344" s="237"/>
      <c r="M1344" s="237"/>
      <c r="N1344" s="237"/>
      <c r="O1344" s="237"/>
      <c r="P1344" s="237"/>
      <c r="Q1344" s="237"/>
      <c r="R1344" s="237"/>
      <c r="S1344" s="237"/>
      <c r="T1344" s="237"/>
      <c r="U1344" s="237"/>
      <c r="V1344" s="237"/>
      <c r="W1344" s="237"/>
      <c r="X1344" s="237"/>
      <c r="Y1344" s="237"/>
      <c r="Z1344" s="237"/>
    </row>
    <row r="1345">
      <c r="A1345" s="305">
        <v>1344.0</v>
      </c>
      <c r="B1345" s="306" t="s">
        <v>11357</v>
      </c>
      <c r="C1345" s="307" t="s">
        <v>1420</v>
      </c>
      <c r="D1345" s="308" t="s">
        <v>2213</v>
      </c>
      <c r="E1345" s="305" t="s">
        <v>11359</v>
      </c>
      <c r="F1345" s="309" t="s">
        <v>11360</v>
      </c>
      <c r="G1345" s="236"/>
      <c r="H1345" s="307" t="s">
        <v>1420</v>
      </c>
      <c r="I1345" s="237"/>
      <c r="J1345" s="237"/>
      <c r="K1345" s="310" t="s">
        <v>11358</v>
      </c>
      <c r="L1345" s="237"/>
      <c r="M1345" s="237"/>
      <c r="N1345" s="237"/>
      <c r="O1345" s="237"/>
      <c r="P1345" s="237"/>
      <c r="Q1345" s="237"/>
      <c r="R1345" s="237"/>
      <c r="S1345" s="237"/>
      <c r="T1345" s="237"/>
      <c r="U1345" s="237"/>
      <c r="V1345" s="237"/>
      <c r="W1345" s="237"/>
      <c r="X1345" s="237"/>
      <c r="Y1345" s="237"/>
      <c r="Z1345" s="237"/>
    </row>
    <row r="1346">
      <c r="A1346" s="305">
        <v>1345.0</v>
      </c>
      <c r="B1346" s="306" t="s">
        <v>11333</v>
      </c>
      <c r="C1346" s="307" t="s">
        <v>1420</v>
      </c>
      <c r="D1346" s="308" t="s">
        <v>2214</v>
      </c>
      <c r="E1346" s="305" t="s">
        <v>11335</v>
      </c>
      <c r="F1346" s="309" t="s">
        <v>11336</v>
      </c>
      <c r="G1346" s="236"/>
      <c r="H1346" s="307" t="s">
        <v>1420</v>
      </c>
      <c r="I1346" s="237"/>
      <c r="J1346" s="237"/>
      <c r="K1346" s="310" t="s">
        <v>11334</v>
      </c>
      <c r="L1346" s="237"/>
      <c r="M1346" s="237"/>
      <c r="N1346" s="237"/>
      <c r="O1346" s="237"/>
      <c r="P1346" s="237"/>
      <c r="Q1346" s="237"/>
      <c r="R1346" s="237"/>
      <c r="S1346" s="237"/>
      <c r="T1346" s="237"/>
      <c r="U1346" s="237"/>
      <c r="V1346" s="237"/>
      <c r="W1346" s="237"/>
      <c r="X1346" s="237"/>
      <c r="Y1346" s="237"/>
      <c r="Z1346" s="237"/>
    </row>
    <row r="1347">
      <c r="A1347" s="305">
        <v>1346.0</v>
      </c>
      <c r="B1347" s="236"/>
      <c r="C1347" s="307" t="s">
        <v>13452</v>
      </c>
      <c r="D1347" s="308" t="s">
        <v>1865</v>
      </c>
      <c r="E1347" s="305" t="s">
        <v>13759</v>
      </c>
      <c r="F1347" s="236"/>
      <c r="G1347" s="236"/>
      <c r="H1347" s="307" t="s">
        <v>13452</v>
      </c>
      <c r="I1347" s="237"/>
      <c r="J1347" s="237"/>
      <c r="K1347" s="310" t="s">
        <v>13758</v>
      </c>
      <c r="L1347" s="237"/>
      <c r="M1347" s="237"/>
      <c r="N1347" s="237"/>
      <c r="O1347" s="237"/>
      <c r="P1347" s="237"/>
      <c r="Q1347" s="237"/>
      <c r="R1347" s="237"/>
      <c r="S1347" s="237"/>
      <c r="T1347" s="237"/>
      <c r="U1347" s="237"/>
      <c r="V1347" s="237"/>
      <c r="W1347" s="237"/>
      <c r="X1347" s="237"/>
      <c r="Y1347" s="237"/>
      <c r="Z1347" s="237"/>
    </row>
    <row r="1348">
      <c r="A1348" s="305">
        <v>1347.0</v>
      </c>
      <c r="B1348" s="236"/>
      <c r="C1348" s="307" t="s">
        <v>1420</v>
      </c>
      <c r="D1348" s="308" t="s">
        <v>1872</v>
      </c>
      <c r="E1348" s="305" t="s">
        <v>13767</v>
      </c>
      <c r="F1348" s="236"/>
      <c r="G1348" s="236"/>
      <c r="H1348" s="307" t="s">
        <v>1420</v>
      </c>
      <c r="I1348" s="237"/>
      <c r="J1348" s="237"/>
      <c r="K1348" s="310" t="s">
        <v>13766</v>
      </c>
      <c r="L1348" s="237"/>
      <c r="M1348" s="237"/>
      <c r="N1348" s="237"/>
      <c r="O1348" s="237"/>
      <c r="P1348" s="237"/>
      <c r="Q1348" s="237"/>
      <c r="R1348" s="237"/>
      <c r="S1348" s="237"/>
      <c r="T1348" s="237"/>
      <c r="U1348" s="237"/>
      <c r="V1348" s="237"/>
      <c r="W1348" s="237"/>
      <c r="X1348" s="237"/>
      <c r="Y1348" s="237"/>
      <c r="Z1348" s="237"/>
    </row>
    <row r="1349">
      <c r="A1349" s="305">
        <v>1348.0</v>
      </c>
      <c r="B1349" s="306" t="s">
        <v>11104</v>
      </c>
      <c r="C1349" s="307" t="s">
        <v>1420</v>
      </c>
      <c r="D1349" s="308" t="s">
        <v>2431</v>
      </c>
      <c r="E1349" s="305" t="s">
        <v>11106</v>
      </c>
      <c r="F1349" s="309" t="s">
        <v>11107</v>
      </c>
      <c r="G1349" s="236"/>
      <c r="H1349" s="307" t="s">
        <v>1420</v>
      </c>
      <c r="I1349" s="237"/>
      <c r="J1349" s="237"/>
      <c r="K1349" s="310" t="s">
        <v>11105</v>
      </c>
      <c r="L1349" s="237"/>
      <c r="M1349" s="237"/>
      <c r="N1349" s="237"/>
      <c r="O1349" s="237"/>
      <c r="P1349" s="237"/>
      <c r="Q1349" s="237"/>
      <c r="R1349" s="237"/>
      <c r="S1349" s="237"/>
      <c r="T1349" s="237"/>
      <c r="U1349" s="237"/>
      <c r="V1349" s="237"/>
      <c r="W1349" s="237"/>
      <c r="X1349" s="237"/>
      <c r="Y1349" s="237"/>
      <c r="Z1349" s="237"/>
    </row>
    <row r="1350">
      <c r="A1350" s="305">
        <v>1349.0</v>
      </c>
      <c r="B1350" s="306" t="s">
        <v>11108</v>
      </c>
      <c r="C1350" s="307" t="s">
        <v>1420</v>
      </c>
      <c r="D1350" s="308" t="s">
        <v>2432</v>
      </c>
      <c r="E1350" s="305" t="s">
        <v>11110</v>
      </c>
      <c r="F1350" s="309" t="s">
        <v>11111</v>
      </c>
      <c r="G1350" s="236"/>
      <c r="H1350" s="307" t="s">
        <v>1420</v>
      </c>
      <c r="I1350" s="237"/>
      <c r="J1350" s="237"/>
      <c r="K1350" s="310" t="s">
        <v>11109</v>
      </c>
      <c r="L1350" s="237"/>
      <c r="M1350" s="237"/>
      <c r="N1350" s="237"/>
      <c r="O1350" s="237"/>
      <c r="P1350" s="237"/>
      <c r="Q1350" s="237"/>
      <c r="R1350" s="237"/>
      <c r="S1350" s="237"/>
      <c r="T1350" s="237"/>
      <c r="U1350" s="237"/>
      <c r="V1350" s="237"/>
      <c r="W1350" s="237"/>
      <c r="X1350" s="237"/>
      <c r="Y1350" s="237"/>
      <c r="Z1350" s="237"/>
    </row>
    <row r="1351">
      <c r="A1351" s="305">
        <v>1350.0</v>
      </c>
      <c r="B1351" s="306" t="s">
        <v>11112</v>
      </c>
      <c r="C1351" s="307" t="s">
        <v>1420</v>
      </c>
      <c r="D1351" s="308" t="s">
        <v>2433</v>
      </c>
      <c r="E1351" s="305" t="s">
        <v>11114</v>
      </c>
      <c r="F1351" s="309" t="s">
        <v>11115</v>
      </c>
      <c r="G1351" s="236"/>
      <c r="H1351" s="307" t="s">
        <v>1420</v>
      </c>
      <c r="I1351" s="237"/>
      <c r="J1351" s="237"/>
      <c r="K1351" s="310" t="s">
        <v>11113</v>
      </c>
      <c r="L1351" s="237"/>
      <c r="M1351" s="237"/>
      <c r="N1351" s="237"/>
      <c r="O1351" s="237"/>
      <c r="P1351" s="237"/>
      <c r="Q1351" s="237"/>
      <c r="R1351" s="237"/>
      <c r="S1351" s="237"/>
      <c r="T1351" s="237"/>
      <c r="U1351" s="237"/>
      <c r="V1351" s="237"/>
      <c r="W1351" s="237"/>
      <c r="X1351" s="237"/>
      <c r="Y1351" s="237"/>
      <c r="Z1351" s="237"/>
    </row>
    <row r="1352">
      <c r="A1352" s="305">
        <v>1351.0</v>
      </c>
      <c r="B1352" s="306" t="s">
        <v>11124</v>
      </c>
      <c r="C1352" s="307" t="s">
        <v>1420</v>
      </c>
      <c r="D1352" s="308" t="s">
        <v>2434</v>
      </c>
      <c r="E1352" s="305" t="s">
        <v>11126</v>
      </c>
      <c r="F1352" s="309" t="s">
        <v>11127</v>
      </c>
      <c r="G1352" s="236"/>
      <c r="H1352" s="307" t="s">
        <v>1420</v>
      </c>
      <c r="I1352" s="237"/>
      <c r="J1352" s="237"/>
      <c r="K1352" s="310" t="s">
        <v>11125</v>
      </c>
      <c r="L1352" s="237"/>
      <c r="M1352" s="237"/>
      <c r="N1352" s="237"/>
      <c r="O1352" s="237"/>
      <c r="P1352" s="237"/>
      <c r="Q1352" s="237"/>
      <c r="R1352" s="237"/>
      <c r="S1352" s="237"/>
      <c r="T1352" s="237"/>
      <c r="U1352" s="237"/>
      <c r="V1352" s="237"/>
      <c r="W1352" s="237"/>
      <c r="X1352" s="237"/>
      <c r="Y1352" s="237"/>
      <c r="Z1352" s="237"/>
    </row>
    <row r="1353">
      <c r="A1353" s="305">
        <v>1352.0</v>
      </c>
      <c r="B1353" s="306" t="s">
        <v>11120</v>
      </c>
      <c r="C1353" s="307" t="s">
        <v>1420</v>
      </c>
      <c r="D1353" s="308" t="s">
        <v>2435</v>
      </c>
      <c r="E1353" s="305" t="s">
        <v>11122</v>
      </c>
      <c r="F1353" s="309" t="s">
        <v>11123</v>
      </c>
      <c r="G1353" s="236"/>
      <c r="H1353" s="307" t="s">
        <v>1420</v>
      </c>
      <c r="I1353" s="237"/>
      <c r="J1353" s="237"/>
      <c r="K1353" s="310" t="s">
        <v>11121</v>
      </c>
      <c r="L1353" s="237"/>
      <c r="M1353" s="237"/>
      <c r="N1353" s="237"/>
      <c r="O1353" s="237"/>
      <c r="P1353" s="237"/>
      <c r="Q1353" s="237"/>
      <c r="R1353" s="237"/>
      <c r="S1353" s="237"/>
      <c r="T1353" s="237"/>
      <c r="U1353" s="237"/>
      <c r="V1353" s="237"/>
      <c r="W1353" s="237"/>
      <c r="X1353" s="237"/>
      <c r="Y1353" s="237"/>
      <c r="Z1353" s="237"/>
    </row>
    <row r="1354">
      <c r="A1354" s="305">
        <v>1353.0</v>
      </c>
      <c r="B1354" s="306" t="s">
        <v>11116</v>
      </c>
      <c r="C1354" s="307" t="s">
        <v>1420</v>
      </c>
      <c r="D1354" s="308" t="s">
        <v>2436</v>
      </c>
      <c r="E1354" s="305" t="s">
        <v>11118</v>
      </c>
      <c r="F1354" s="309" t="s">
        <v>11119</v>
      </c>
      <c r="G1354" s="236"/>
      <c r="H1354" s="307" t="s">
        <v>1420</v>
      </c>
      <c r="I1354" s="237"/>
      <c r="J1354" s="237"/>
      <c r="K1354" s="310" t="s">
        <v>11117</v>
      </c>
      <c r="L1354" s="237"/>
      <c r="M1354" s="237"/>
      <c r="N1354" s="237"/>
      <c r="O1354" s="237"/>
      <c r="P1354" s="237"/>
      <c r="Q1354" s="237"/>
      <c r="R1354" s="237"/>
      <c r="S1354" s="237"/>
      <c r="T1354" s="237"/>
      <c r="U1354" s="237"/>
      <c r="V1354" s="237"/>
      <c r="W1354" s="237"/>
      <c r="X1354" s="237"/>
      <c r="Y1354" s="237"/>
      <c r="Z1354" s="237"/>
    </row>
    <row r="1355">
      <c r="A1355" s="305">
        <v>1354.0</v>
      </c>
      <c r="B1355" s="306" t="s">
        <v>11080</v>
      </c>
      <c r="C1355" s="307" t="s">
        <v>1420</v>
      </c>
      <c r="D1355" s="308" t="s">
        <v>11082</v>
      </c>
      <c r="E1355" s="305" t="s">
        <v>11083</v>
      </c>
      <c r="F1355" s="309" t="s">
        <v>11084</v>
      </c>
      <c r="G1355" s="236"/>
      <c r="H1355" s="307" t="s">
        <v>1420</v>
      </c>
      <c r="I1355" s="237"/>
      <c r="J1355" s="237"/>
      <c r="K1355" s="310" t="s">
        <v>11081</v>
      </c>
      <c r="L1355" s="237"/>
      <c r="M1355" s="237"/>
      <c r="N1355" s="237"/>
      <c r="O1355" s="237"/>
      <c r="P1355" s="237"/>
      <c r="Q1355" s="237"/>
      <c r="R1355" s="237"/>
      <c r="S1355" s="237"/>
      <c r="T1355" s="237"/>
      <c r="U1355" s="237"/>
      <c r="V1355" s="237"/>
      <c r="W1355" s="237"/>
      <c r="X1355" s="237"/>
      <c r="Y1355" s="237"/>
      <c r="Z1355" s="237"/>
    </row>
    <row r="1356">
      <c r="A1356" s="305">
        <v>1355.0</v>
      </c>
      <c r="B1356" s="306" t="s">
        <v>11075</v>
      </c>
      <c r="C1356" s="307" t="s">
        <v>1420</v>
      </c>
      <c r="D1356" s="308" t="s">
        <v>11077</v>
      </c>
      <c r="E1356" s="305" t="s">
        <v>11078</v>
      </c>
      <c r="F1356" s="309" t="s">
        <v>11079</v>
      </c>
      <c r="G1356" s="236"/>
      <c r="H1356" s="307" t="s">
        <v>1420</v>
      </c>
      <c r="I1356" s="237"/>
      <c r="J1356" s="237"/>
      <c r="K1356" s="310" t="s">
        <v>11076</v>
      </c>
      <c r="L1356" s="237"/>
      <c r="M1356" s="237"/>
      <c r="N1356" s="237"/>
      <c r="O1356" s="237"/>
      <c r="P1356" s="237"/>
      <c r="Q1356" s="237"/>
      <c r="R1356" s="237"/>
      <c r="S1356" s="237"/>
      <c r="T1356" s="237"/>
      <c r="U1356" s="237"/>
      <c r="V1356" s="237"/>
      <c r="W1356" s="237"/>
      <c r="X1356" s="237"/>
      <c r="Y1356" s="237"/>
      <c r="Z1356" s="237"/>
    </row>
    <row r="1357">
      <c r="A1357" s="305">
        <v>1356.0</v>
      </c>
      <c r="B1357" s="306" t="s">
        <v>11085</v>
      </c>
      <c r="C1357" s="307" t="s">
        <v>1420</v>
      </c>
      <c r="D1357" s="308" t="s">
        <v>2545</v>
      </c>
      <c r="E1357" s="305" t="s">
        <v>11087</v>
      </c>
      <c r="F1357" s="309" t="s">
        <v>11088</v>
      </c>
      <c r="G1357" s="236"/>
      <c r="H1357" s="307" t="s">
        <v>1420</v>
      </c>
      <c r="I1357" s="237"/>
      <c r="J1357" s="237"/>
      <c r="K1357" s="310" t="s">
        <v>11086</v>
      </c>
      <c r="L1357" s="237"/>
      <c r="M1357" s="237"/>
      <c r="N1357" s="237"/>
      <c r="O1357" s="237"/>
      <c r="P1357" s="237"/>
      <c r="Q1357" s="237"/>
      <c r="R1357" s="237"/>
      <c r="S1357" s="237"/>
      <c r="T1357" s="237"/>
      <c r="U1357" s="237"/>
      <c r="V1357" s="237"/>
      <c r="W1357" s="237"/>
      <c r="X1357" s="237"/>
      <c r="Y1357" s="237"/>
      <c r="Z1357" s="237"/>
    </row>
    <row r="1358">
      <c r="A1358" s="305">
        <v>1357.0</v>
      </c>
      <c r="B1358" s="306" t="s">
        <v>11089</v>
      </c>
      <c r="C1358" s="307" t="s">
        <v>1420</v>
      </c>
      <c r="D1358" s="308" t="s">
        <v>11091</v>
      </c>
      <c r="E1358" s="305" t="s">
        <v>11092</v>
      </c>
      <c r="F1358" s="309" t="s">
        <v>11093</v>
      </c>
      <c r="G1358" s="236"/>
      <c r="H1358" s="307" t="s">
        <v>1420</v>
      </c>
      <c r="I1358" s="237"/>
      <c r="J1358" s="237"/>
      <c r="K1358" s="310" t="s">
        <v>11090</v>
      </c>
      <c r="L1358" s="237"/>
      <c r="M1358" s="237"/>
      <c r="N1358" s="237"/>
      <c r="O1358" s="237"/>
      <c r="P1358" s="237"/>
      <c r="Q1358" s="237"/>
      <c r="R1358" s="237"/>
      <c r="S1358" s="237"/>
      <c r="T1358" s="237"/>
      <c r="U1358" s="237"/>
      <c r="V1358" s="237"/>
      <c r="W1358" s="237"/>
      <c r="X1358" s="237"/>
      <c r="Y1358" s="237"/>
      <c r="Z1358" s="237"/>
    </row>
    <row r="1359">
      <c r="A1359" s="305">
        <v>1358.0</v>
      </c>
      <c r="B1359" s="306" t="s">
        <v>11099</v>
      </c>
      <c r="C1359" s="307" t="s">
        <v>1420</v>
      </c>
      <c r="D1359" s="308" t="s">
        <v>11101</v>
      </c>
      <c r="E1359" s="305" t="s">
        <v>11102</v>
      </c>
      <c r="F1359" s="309" t="s">
        <v>11103</v>
      </c>
      <c r="G1359" s="236"/>
      <c r="H1359" s="307" t="s">
        <v>1420</v>
      </c>
      <c r="I1359" s="237"/>
      <c r="J1359" s="237"/>
      <c r="K1359" s="310" t="s">
        <v>11100</v>
      </c>
      <c r="L1359" s="237"/>
      <c r="M1359" s="237"/>
      <c r="N1359" s="237"/>
      <c r="O1359" s="237"/>
      <c r="P1359" s="237"/>
      <c r="Q1359" s="237"/>
      <c r="R1359" s="237"/>
      <c r="S1359" s="237"/>
      <c r="T1359" s="237"/>
      <c r="U1359" s="237"/>
      <c r="V1359" s="237"/>
      <c r="W1359" s="237"/>
      <c r="X1359" s="237"/>
      <c r="Y1359" s="237"/>
      <c r="Z1359" s="237"/>
    </row>
    <row r="1360">
      <c r="A1360" s="305">
        <v>1359.0</v>
      </c>
      <c r="B1360" s="306" t="s">
        <v>11094</v>
      </c>
      <c r="C1360" s="307" t="s">
        <v>1420</v>
      </c>
      <c r="D1360" s="308" t="s">
        <v>11096</v>
      </c>
      <c r="E1360" s="305" t="s">
        <v>11097</v>
      </c>
      <c r="F1360" s="309" t="s">
        <v>11098</v>
      </c>
      <c r="G1360" s="236"/>
      <c r="H1360" s="307" t="s">
        <v>1420</v>
      </c>
      <c r="I1360" s="237"/>
      <c r="J1360" s="237"/>
      <c r="K1360" s="310" t="s">
        <v>11095</v>
      </c>
      <c r="L1360" s="237"/>
      <c r="M1360" s="237"/>
      <c r="N1360" s="237"/>
      <c r="O1360" s="237"/>
      <c r="P1360" s="237"/>
      <c r="Q1360" s="237"/>
      <c r="R1360" s="237"/>
      <c r="S1360" s="237"/>
      <c r="T1360" s="237"/>
      <c r="U1360" s="237"/>
      <c r="V1360" s="237"/>
      <c r="W1360" s="237"/>
      <c r="X1360" s="237"/>
      <c r="Y1360" s="237"/>
      <c r="Z1360" s="237"/>
    </row>
    <row r="1361">
      <c r="A1361" s="305">
        <v>1360.0</v>
      </c>
      <c r="B1361" s="306" t="s">
        <v>11215</v>
      </c>
      <c r="C1361" s="307" t="s">
        <v>1420</v>
      </c>
      <c r="D1361" s="308" t="s">
        <v>11217</v>
      </c>
      <c r="E1361" s="305" t="s">
        <v>11218</v>
      </c>
      <c r="F1361" s="309" t="s">
        <v>11219</v>
      </c>
      <c r="G1361" s="236"/>
      <c r="H1361" s="307" t="s">
        <v>1420</v>
      </c>
      <c r="I1361" s="237"/>
      <c r="J1361" s="237"/>
      <c r="K1361" s="310" t="s">
        <v>11216</v>
      </c>
      <c r="L1361" s="237"/>
      <c r="M1361" s="237"/>
      <c r="N1361" s="237"/>
      <c r="O1361" s="237"/>
      <c r="P1361" s="237"/>
      <c r="Q1361" s="237"/>
      <c r="R1361" s="237"/>
      <c r="S1361" s="237"/>
      <c r="T1361" s="237"/>
      <c r="U1361" s="237"/>
      <c r="V1361" s="237"/>
      <c r="W1361" s="237"/>
      <c r="X1361" s="237"/>
      <c r="Y1361" s="237"/>
      <c r="Z1361" s="237"/>
    </row>
    <row r="1362">
      <c r="A1362" s="305">
        <v>1361.0</v>
      </c>
      <c r="B1362" s="236"/>
      <c r="C1362" s="307" t="s">
        <v>1420</v>
      </c>
      <c r="D1362" s="308" t="s">
        <v>4041</v>
      </c>
      <c r="E1362" s="305" t="s">
        <v>4042</v>
      </c>
      <c r="F1362" s="309" t="s">
        <v>4043</v>
      </c>
      <c r="G1362" s="236"/>
      <c r="H1362" s="307" t="s">
        <v>1420</v>
      </c>
      <c r="I1362" s="237"/>
      <c r="J1362" s="237"/>
      <c r="K1362" s="310" t="s">
        <v>4040</v>
      </c>
      <c r="L1362" s="237"/>
      <c r="M1362" s="237"/>
      <c r="N1362" s="237"/>
      <c r="O1362" s="237"/>
      <c r="P1362" s="237"/>
      <c r="Q1362" s="237"/>
      <c r="R1362" s="237"/>
      <c r="S1362" s="237"/>
      <c r="T1362" s="237"/>
      <c r="U1362" s="237"/>
      <c r="V1362" s="237"/>
      <c r="W1362" s="237"/>
      <c r="X1362" s="237"/>
      <c r="Y1362" s="237"/>
      <c r="Z1362" s="237"/>
    </row>
    <row r="1363">
      <c r="A1363" s="305">
        <v>1362.0</v>
      </c>
      <c r="B1363" s="306" t="s">
        <v>11184</v>
      </c>
      <c r="C1363" s="307" t="s">
        <v>1420</v>
      </c>
      <c r="D1363" s="308" t="s">
        <v>2270</v>
      </c>
      <c r="E1363" s="305" t="s">
        <v>11186</v>
      </c>
      <c r="F1363" s="309" t="s">
        <v>11187</v>
      </c>
      <c r="G1363" s="236"/>
      <c r="H1363" s="307" t="s">
        <v>1420</v>
      </c>
      <c r="I1363" s="237"/>
      <c r="J1363" s="237"/>
      <c r="K1363" s="310" t="s">
        <v>11185</v>
      </c>
      <c r="L1363" s="237"/>
      <c r="M1363" s="237"/>
      <c r="N1363" s="237"/>
      <c r="O1363" s="237"/>
      <c r="P1363" s="237"/>
      <c r="Q1363" s="237"/>
      <c r="R1363" s="237"/>
      <c r="S1363" s="237"/>
      <c r="T1363" s="237"/>
      <c r="U1363" s="237"/>
      <c r="V1363" s="237"/>
      <c r="W1363" s="237"/>
      <c r="X1363" s="237"/>
      <c r="Y1363" s="237"/>
      <c r="Z1363" s="237"/>
    </row>
    <row r="1364">
      <c r="A1364" s="305">
        <v>1363.0</v>
      </c>
      <c r="B1364" s="306" t="s">
        <v>11188</v>
      </c>
      <c r="C1364" s="307" t="s">
        <v>1420</v>
      </c>
      <c r="D1364" s="308" t="s">
        <v>2271</v>
      </c>
      <c r="E1364" s="305" t="s">
        <v>11190</v>
      </c>
      <c r="F1364" s="309" t="s">
        <v>11191</v>
      </c>
      <c r="G1364" s="236"/>
      <c r="H1364" s="307" t="s">
        <v>1420</v>
      </c>
      <c r="I1364" s="237"/>
      <c r="J1364" s="237"/>
      <c r="K1364" s="310" t="s">
        <v>11189</v>
      </c>
      <c r="L1364" s="237"/>
      <c r="M1364" s="237"/>
      <c r="N1364" s="237"/>
      <c r="O1364" s="237"/>
      <c r="P1364" s="237"/>
      <c r="Q1364" s="237"/>
      <c r="R1364" s="237"/>
      <c r="S1364" s="237"/>
      <c r="T1364" s="237"/>
      <c r="U1364" s="237"/>
      <c r="V1364" s="237"/>
      <c r="W1364" s="237"/>
      <c r="X1364" s="237"/>
      <c r="Y1364" s="237"/>
      <c r="Z1364" s="237"/>
    </row>
    <row r="1365">
      <c r="A1365" s="305">
        <v>1364.0</v>
      </c>
      <c r="B1365" s="306" t="s">
        <v>11192</v>
      </c>
      <c r="C1365" s="307" t="s">
        <v>1420</v>
      </c>
      <c r="D1365" s="308" t="s">
        <v>2272</v>
      </c>
      <c r="E1365" s="305" t="s">
        <v>11194</v>
      </c>
      <c r="F1365" s="309" t="s">
        <v>11195</v>
      </c>
      <c r="G1365" s="236"/>
      <c r="H1365" s="307" t="s">
        <v>1420</v>
      </c>
      <c r="I1365" s="237"/>
      <c r="J1365" s="237"/>
      <c r="K1365" s="310" t="s">
        <v>11193</v>
      </c>
      <c r="L1365" s="237"/>
      <c r="M1365" s="237"/>
      <c r="N1365" s="237"/>
      <c r="O1365" s="237"/>
      <c r="P1365" s="237"/>
      <c r="Q1365" s="237"/>
      <c r="R1365" s="237"/>
      <c r="S1365" s="237"/>
      <c r="T1365" s="237"/>
      <c r="U1365" s="237"/>
      <c r="V1365" s="237"/>
      <c r="W1365" s="237"/>
      <c r="X1365" s="237"/>
      <c r="Y1365" s="237"/>
      <c r="Z1365" s="237"/>
    </row>
    <row r="1366">
      <c r="A1366" s="305">
        <v>1365.0</v>
      </c>
      <c r="B1366" s="306" t="s">
        <v>11152</v>
      </c>
      <c r="C1366" s="307" t="s">
        <v>1420</v>
      </c>
      <c r="D1366" s="308" t="s">
        <v>2274</v>
      </c>
      <c r="E1366" s="305" t="s">
        <v>11154</v>
      </c>
      <c r="F1366" s="309" t="s">
        <v>11155</v>
      </c>
      <c r="G1366" s="236"/>
      <c r="H1366" s="307" t="s">
        <v>1420</v>
      </c>
      <c r="I1366" s="237"/>
      <c r="J1366" s="237"/>
      <c r="K1366" s="310" t="s">
        <v>11153</v>
      </c>
      <c r="L1366" s="237"/>
      <c r="M1366" s="237"/>
      <c r="N1366" s="237"/>
      <c r="O1366" s="237"/>
      <c r="P1366" s="237"/>
      <c r="Q1366" s="237"/>
      <c r="R1366" s="237"/>
      <c r="S1366" s="237"/>
      <c r="T1366" s="237"/>
      <c r="U1366" s="237"/>
      <c r="V1366" s="237"/>
      <c r="W1366" s="237"/>
      <c r="X1366" s="237"/>
      <c r="Y1366" s="237"/>
      <c r="Z1366" s="237"/>
    </row>
    <row r="1367">
      <c r="A1367" s="305">
        <v>1366.0</v>
      </c>
      <c r="B1367" s="306" t="s">
        <v>11156</v>
      </c>
      <c r="C1367" s="307" t="s">
        <v>1420</v>
      </c>
      <c r="D1367" s="308" t="s">
        <v>2273</v>
      </c>
      <c r="E1367" s="305" t="s">
        <v>11158</v>
      </c>
      <c r="F1367" s="309" t="s">
        <v>11159</v>
      </c>
      <c r="G1367" s="236"/>
      <c r="H1367" s="307" t="s">
        <v>1420</v>
      </c>
      <c r="I1367" s="237"/>
      <c r="J1367" s="237"/>
      <c r="K1367" s="310" t="s">
        <v>11157</v>
      </c>
      <c r="L1367" s="237"/>
      <c r="M1367" s="237"/>
      <c r="N1367" s="237"/>
      <c r="O1367" s="237"/>
      <c r="P1367" s="237"/>
      <c r="Q1367" s="237"/>
      <c r="R1367" s="237"/>
      <c r="S1367" s="237"/>
      <c r="T1367" s="237"/>
      <c r="U1367" s="237"/>
      <c r="V1367" s="237"/>
      <c r="W1367" s="237"/>
      <c r="X1367" s="237"/>
      <c r="Y1367" s="237"/>
      <c r="Z1367" s="237"/>
    </row>
    <row r="1368">
      <c r="A1368" s="305">
        <v>1367.0</v>
      </c>
      <c r="B1368" s="306" t="s">
        <v>11196</v>
      </c>
      <c r="C1368" s="307" t="s">
        <v>1420</v>
      </c>
      <c r="D1368" s="308" t="s">
        <v>2276</v>
      </c>
      <c r="E1368" s="305" t="s">
        <v>11198</v>
      </c>
      <c r="F1368" s="309" t="s">
        <v>11199</v>
      </c>
      <c r="G1368" s="236"/>
      <c r="H1368" s="307" t="s">
        <v>1420</v>
      </c>
      <c r="I1368" s="237"/>
      <c r="J1368" s="237"/>
      <c r="K1368" s="310" t="s">
        <v>11197</v>
      </c>
      <c r="L1368" s="237"/>
      <c r="M1368" s="237"/>
      <c r="N1368" s="237"/>
      <c r="O1368" s="237"/>
      <c r="P1368" s="237"/>
      <c r="Q1368" s="237"/>
      <c r="R1368" s="237"/>
      <c r="S1368" s="237"/>
      <c r="T1368" s="237"/>
      <c r="U1368" s="237"/>
      <c r="V1368" s="237"/>
      <c r="W1368" s="237"/>
      <c r="X1368" s="237"/>
      <c r="Y1368" s="237"/>
      <c r="Z1368" s="237"/>
    </row>
    <row r="1369">
      <c r="A1369" s="305">
        <v>1368.0</v>
      </c>
      <c r="B1369" s="306" t="s">
        <v>11160</v>
      </c>
      <c r="C1369" s="307" t="s">
        <v>1420</v>
      </c>
      <c r="D1369" s="308" t="s">
        <v>2277</v>
      </c>
      <c r="E1369" s="305" t="s">
        <v>11162</v>
      </c>
      <c r="F1369" s="309" t="s">
        <v>11163</v>
      </c>
      <c r="G1369" s="236"/>
      <c r="H1369" s="307" t="s">
        <v>1420</v>
      </c>
      <c r="I1369" s="237"/>
      <c r="J1369" s="237"/>
      <c r="K1369" s="310" t="s">
        <v>11161</v>
      </c>
      <c r="L1369" s="237"/>
      <c r="M1369" s="237"/>
      <c r="N1369" s="237"/>
      <c r="O1369" s="237"/>
      <c r="P1369" s="237"/>
      <c r="Q1369" s="237"/>
      <c r="R1369" s="237"/>
      <c r="S1369" s="237"/>
      <c r="T1369" s="237"/>
      <c r="U1369" s="237"/>
      <c r="V1369" s="237"/>
      <c r="W1369" s="237"/>
      <c r="X1369" s="237"/>
      <c r="Y1369" s="237"/>
      <c r="Z1369" s="237"/>
    </row>
    <row r="1370">
      <c r="A1370" s="305">
        <v>1369.0</v>
      </c>
      <c r="B1370" s="306" t="s">
        <v>11180</v>
      </c>
      <c r="C1370" s="307" t="s">
        <v>1420</v>
      </c>
      <c r="D1370" s="308" t="s">
        <v>2278</v>
      </c>
      <c r="E1370" s="305" t="s">
        <v>11182</v>
      </c>
      <c r="F1370" s="309" t="s">
        <v>11183</v>
      </c>
      <c r="G1370" s="236"/>
      <c r="H1370" s="307" t="s">
        <v>1420</v>
      </c>
      <c r="I1370" s="237"/>
      <c r="J1370" s="237"/>
      <c r="K1370" s="310" t="s">
        <v>11181</v>
      </c>
      <c r="L1370" s="237"/>
      <c r="M1370" s="237"/>
      <c r="N1370" s="237"/>
      <c r="O1370" s="237"/>
      <c r="P1370" s="237"/>
      <c r="Q1370" s="237"/>
      <c r="R1370" s="237"/>
      <c r="S1370" s="237"/>
      <c r="T1370" s="237"/>
      <c r="U1370" s="237"/>
      <c r="V1370" s="237"/>
      <c r="W1370" s="237"/>
      <c r="X1370" s="237"/>
      <c r="Y1370" s="237"/>
      <c r="Z1370" s="237"/>
    </row>
    <row r="1371">
      <c r="A1371" s="305">
        <v>1370.0</v>
      </c>
      <c r="B1371" s="306" t="s">
        <v>11168</v>
      </c>
      <c r="C1371" s="307" t="s">
        <v>1420</v>
      </c>
      <c r="D1371" s="308" t="s">
        <v>2279</v>
      </c>
      <c r="E1371" s="305" t="s">
        <v>11170</v>
      </c>
      <c r="F1371" s="309" t="s">
        <v>11171</v>
      </c>
      <c r="G1371" s="236"/>
      <c r="H1371" s="307" t="s">
        <v>1420</v>
      </c>
      <c r="I1371" s="237"/>
      <c r="J1371" s="237"/>
      <c r="K1371" s="310" t="s">
        <v>11169</v>
      </c>
      <c r="L1371" s="237"/>
      <c r="M1371" s="237"/>
      <c r="N1371" s="237"/>
      <c r="O1371" s="237"/>
      <c r="P1371" s="237"/>
      <c r="Q1371" s="237"/>
      <c r="R1371" s="237"/>
      <c r="S1371" s="237"/>
      <c r="T1371" s="237"/>
      <c r="U1371" s="237"/>
      <c r="V1371" s="237"/>
      <c r="W1371" s="237"/>
      <c r="X1371" s="237"/>
      <c r="Y1371" s="237"/>
      <c r="Z1371" s="237"/>
    </row>
    <row r="1372">
      <c r="A1372" s="305">
        <v>1371.0</v>
      </c>
      <c r="B1372" s="306" t="s">
        <v>11176</v>
      </c>
      <c r="C1372" s="307" t="s">
        <v>1420</v>
      </c>
      <c r="D1372" s="308" t="s">
        <v>2280</v>
      </c>
      <c r="E1372" s="305" t="s">
        <v>11178</v>
      </c>
      <c r="F1372" s="309" t="s">
        <v>11179</v>
      </c>
      <c r="G1372" s="236"/>
      <c r="H1372" s="307" t="s">
        <v>1420</v>
      </c>
      <c r="I1372" s="237"/>
      <c r="J1372" s="237"/>
      <c r="K1372" s="310" t="s">
        <v>11177</v>
      </c>
      <c r="L1372" s="237"/>
      <c r="M1372" s="237"/>
      <c r="N1372" s="237"/>
      <c r="O1372" s="237"/>
      <c r="P1372" s="237"/>
      <c r="Q1372" s="237"/>
      <c r="R1372" s="237"/>
      <c r="S1372" s="237"/>
      <c r="T1372" s="237"/>
      <c r="U1372" s="237"/>
      <c r="V1372" s="237"/>
      <c r="W1372" s="237"/>
      <c r="X1372" s="237"/>
      <c r="Y1372" s="237"/>
      <c r="Z1372" s="237"/>
    </row>
    <row r="1373">
      <c r="A1373" s="305">
        <v>1372.0</v>
      </c>
      <c r="B1373" s="306" t="s">
        <v>11172</v>
      </c>
      <c r="C1373" s="307" t="s">
        <v>1420</v>
      </c>
      <c r="D1373" s="308" t="s">
        <v>2281</v>
      </c>
      <c r="E1373" s="305" t="s">
        <v>11174</v>
      </c>
      <c r="F1373" s="309" t="s">
        <v>11175</v>
      </c>
      <c r="G1373" s="236"/>
      <c r="H1373" s="307" t="s">
        <v>1420</v>
      </c>
      <c r="I1373" s="237"/>
      <c r="J1373" s="237"/>
      <c r="K1373" s="310" t="s">
        <v>11173</v>
      </c>
      <c r="L1373" s="237"/>
      <c r="M1373" s="237"/>
      <c r="N1373" s="237"/>
      <c r="O1373" s="237"/>
      <c r="P1373" s="237"/>
      <c r="Q1373" s="237"/>
      <c r="R1373" s="237"/>
      <c r="S1373" s="237"/>
      <c r="T1373" s="237"/>
      <c r="U1373" s="237"/>
      <c r="V1373" s="237"/>
      <c r="W1373" s="237"/>
      <c r="X1373" s="237"/>
      <c r="Y1373" s="237"/>
      <c r="Z1373" s="237"/>
    </row>
    <row r="1374">
      <c r="A1374" s="305">
        <v>1373.0</v>
      </c>
      <c r="B1374" s="306" t="s">
        <v>11164</v>
      </c>
      <c r="C1374" s="307" t="s">
        <v>1420</v>
      </c>
      <c r="D1374" s="308" t="s">
        <v>2283</v>
      </c>
      <c r="E1374" s="305" t="s">
        <v>11166</v>
      </c>
      <c r="F1374" s="309" t="s">
        <v>11167</v>
      </c>
      <c r="G1374" s="236"/>
      <c r="H1374" s="307" t="s">
        <v>1420</v>
      </c>
      <c r="I1374" s="237"/>
      <c r="J1374" s="237"/>
      <c r="K1374" s="310" t="s">
        <v>11165</v>
      </c>
      <c r="L1374" s="237"/>
      <c r="M1374" s="237"/>
      <c r="N1374" s="237"/>
      <c r="O1374" s="237"/>
      <c r="P1374" s="237"/>
      <c r="Q1374" s="237"/>
      <c r="R1374" s="237"/>
      <c r="S1374" s="237"/>
      <c r="T1374" s="237"/>
      <c r="U1374" s="237"/>
      <c r="V1374" s="237"/>
      <c r="W1374" s="237"/>
      <c r="X1374" s="237"/>
      <c r="Y1374" s="237"/>
      <c r="Z1374" s="237"/>
    </row>
    <row r="1375">
      <c r="A1375" s="305">
        <v>1374.0</v>
      </c>
      <c r="B1375" s="306" t="s">
        <v>11205</v>
      </c>
      <c r="C1375" s="307" t="s">
        <v>1420</v>
      </c>
      <c r="D1375" s="308" t="s">
        <v>11207</v>
      </c>
      <c r="E1375" s="305" t="s">
        <v>11208</v>
      </c>
      <c r="F1375" s="309" t="s">
        <v>11209</v>
      </c>
      <c r="G1375" s="236"/>
      <c r="H1375" s="307" t="s">
        <v>1420</v>
      </c>
      <c r="I1375" s="237"/>
      <c r="J1375" s="237"/>
      <c r="K1375" s="310" t="s">
        <v>11206</v>
      </c>
      <c r="L1375" s="237"/>
      <c r="M1375" s="237"/>
      <c r="N1375" s="237"/>
      <c r="O1375" s="237"/>
      <c r="P1375" s="237"/>
      <c r="Q1375" s="237"/>
      <c r="R1375" s="237"/>
      <c r="S1375" s="237"/>
      <c r="T1375" s="237"/>
      <c r="U1375" s="237"/>
      <c r="V1375" s="237"/>
      <c r="W1375" s="237"/>
      <c r="X1375" s="237"/>
      <c r="Y1375" s="237"/>
      <c r="Z1375" s="237"/>
    </row>
    <row r="1376">
      <c r="A1376" s="305">
        <v>1375.0</v>
      </c>
      <c r="B1376" s="306" t="s">
        <v>11065</v>
      </c>
      <c r="C1376" s="307" t="s">
        <v>1420</v>
      </c>
      <c r="D1376" s="308" t="s">
        <v>11067</v>
      </c>
      <c r="E1376" s="305" t="s">
        <v>11068</v>
      </c>
      <c r="F1376" s="309" t="s">
        <v>11069</v>
      </c>
      <c r="G1376" s="236"/>
      <c r="H1376" s="307" t="s">
        <v>1420</v>
      </c>
      <c r="I1376" s="237"/>
      <c r="J1376" s="237"/>
      <c r="K1376" s="310" t="s">
        <v>11066</v>
      </c>
      <c r="L1376" s="237"/>
      <c r="M1376" s="237"/>
      <c r="N1376" s="237"/>
      <c r="O1376" s="237"/>
      <c r="P1376" s="237"/>
      <c r="Q1376" s="237"/>
      <c r="R1376" s="237"/>
      <c r="S1376" s="237"/>
      <c r="T1376" s="237"/>
      <c r="U1376" s="237"/>
      <c r="V1376" s="237"/>
      <c r="W1376" s="237"/>
      <c r="X1376" s="237"/>
      <c r="Y1376" s="237"/>
      <c r="Z1376" s="237"/>
    </row>
    <row r="1377">
      <c r="A1377" s="305">
        <v>1376.0</v>
      </c>
      <c r="B1377" s="306" t="s">
        <v>11070</v>
      </c>
      <c r="C1377" s="307" t="s">
        <v>1420</v>
      </c>
      <c r="D1377" s="308" t="s">
        <v>11072</v>
      </c>
      <c r="E1377" s="305" t="s">
        <v>11073</v>
      </c>
      <c r="F1377" s="309" t="s">
        <v>11074</v>
      </c>
      <c r="G1377" s="236"/>
      <c r="H1377" s="307" t="s">
        <v>1420</v>
      </c>
      <c r="I1377" s="237"/>
      <c r="J1377" s="237"/>
      <c r="K1377" s="310" t="s">
        <v>11071</v>
      </c>
      <c r="L1377" s="237"/>
      <c r="M1377" s="237"/>
      <c r="N1377" s="237"/>
      <c r="O1377" s="237"/>
      <c r="P1377" s="237"/>
      <c r="Q1377" s="237"/>
      <c r="R1377" s="237"/>
      <c r="S1377" s="237"/>
      <c r="T1377" s="237"/>
      <c r="U1377" s="237"/>
      <c r="V1377" s="237"/>
      <c r="W1377" s="237"/>
      <c r="X1377" s="237"/>
      <c r="Y1377" s="237"/>
      <c r="Z1377" s="237"/>
    </row>
    <row r="1378">
      <c r="A1378" s="305">
        <v>1377.0</v>
      </c>
      <c r="B1378" s="306" t="s">
        <v>11313</v>
      </c>
      <c r="C1378" s="307" t="s">
        <v>1420</v>
      </c>
      <c r="D1378" s="308" t="s">
        <v>11315</v>
      </c>
      <c r="E1378" s="305" t="s">
        <v>5800</v>
      </c>
      <c r="F1378" s="309" t="s">
        <v>11316</v>
      </c>
      <c r="G1378" s="236"/>
      <c r="H1378" s="307" t="s">
        <v>1420</v>
      </c>
      <c r="I1378" s="237"/>
      <c r="J1378" s="237"/>
      <c r="K1378" s="310" t="s">
        <v>11314</v>
      </c>
      <c r="L1378" s="237"/>
      <c r="M1378" s="237"/>
      <c r="N1378" s="237"/>
      <c r="O1378" s="237"/>
      <c r="P1378" s="237"/>
      <c r="Q1378" s="237"/>
      <c r="R1378" s="237"/>
      <c r="S1378" s="237"/>
      <c r="T1378" s="237"/>
      <c r="U1378" s="237"/>
      <c r="V1378" s="237"/>
      <c r="W1378" s="237"/>
      <c r="X1378" s="237"/>
      <c r="Y1378" s="237"/>
      <c r="Z1378" s="237"/>
    </row>
    <row r="1379">
      <c r="A1379" s="305">
        <v>1378.0</v>
      </c>
      <c r="B1379" s="306" t="s">
        <v>11200</v>
      </c>
      <c r="C1379" s="307" t="s">
        <v>1420</v>
      </c>
      <c r="D1379" s="308" t="s">
        <v>11202</v>
      </c>
      <c r="E1379" s="305" t="s">
        <v>11203</v>
      </c>
      <c r="F1379" s="309" t="s">
        <v>11204</v>
      </c>
      <c r="G1379" s="236"/>
      <c r="H1379" s="307" t="s">
        <v>1420</v>
      </c>
      <c r="I1379" s="237"/>
      <c r="J1379" s="237"/>
      <c r="K1379" s="310" t="s">
        <v>11201</v>
      </c>
      <c r="L1379" s="237"/>
      <c r="M1379" s="237"/>
      <c r="N1379" s="237"/>
      <c r="O1379" s="237"/>
      <c r="P1379" s="237"/>
      <c r="Q1379" s="237"/>
      <c r="R1379" s="237"/>
      <c r="S1379" s="237"/>
      <c r="T1379" s="237"/>
      <c r="U1379" s="237"/>
      <c r="V1379" s="237"/>
      <c r="W1379" s="237"/>
      <c r="X1379" s="237"/>
      <c r="Y1379" s="237"/>
      <c r="Z1379" s="237"/>
    </row>
    <row r="1380">
      <c r="A1380" s="305">
        <v>1379.0</v>
      </c>
      <c r="B1380" s="306" t="s">
        <v>11005</v>
      </c>
      <c r="C1380" s="307" t="s">
        <v>1420</v>
      </c>
      <c r="D1380" s="308" t="s">
        <v>11007</v>
      </c>
      <c r="E1380" s="305" t="s">
        <v>11008</v>
      </c>
      <c r="F1380" s="309" t="s">
        <v>11009</v>
      </c>
      <c r="G1380" s="236"/>
      <c r="H1380" s="307" t="s">
        <v>1420</v>
      </c>
      <c r="I1380" s="237"/>
      <c r="J1380" s="237"/>
      <c r="K1380" s="310" t="s">
        <v>11006</v>
      </c>
      <c r="L1380" s="237"/>
      <c r="M1380" s="237"/>
      <c r="N1380" s="237"/>
      <c r="O1380" s="237"/>
      <c r="P1380" s="237"/>
      <c r="Q1380" s="237"/>
      <c r="R1380" s="237"/>
      <c r="S1380" s="237"/>
      <c r="T1380" s="237"/>
      <c r="U1380" s="237"/>
      <c r="V1380" s="237"/>
      <c r="W1380" s="237"/>
      <c r="X1380" s="237"/>
      <c r="Y1380" s="237"/>
      <c r="Z1380" s="237"/>
    </row>
    <row r="1381">
      <c r="A1381" s="305">
        <v>1380.0</v>
      </c>
      <c r="B1381" s="306" t="s">
        <v>11005</v>
      </c>
      <c r="C1381" s="307" t="s">
        <v>1420</v>
      </c>
      <c r="D1381" s="308" t="s">
        <v>11007</v>
      </c>
      <c r="E1381" s="305" t="s">
        <v>11051</v>
      </c>
      <c r="F1381" s="309" t="s">
        <v>11052</v>
      </c>
      <c r="G1381" s="236"/>
      <c r="H1381" s="307" t="s">
        <v>1420</v>
      </c>
      <c r="I1381" s="237"/>
      <c r="J1381" s="237"/>
      <c r="K1381" s="310" t="s">
        <v>11050</v>
      </c>
      <c r="L1381" s="237"/>
      <c r="M1381" s="237"/>
      <c r="N1381" s="237"/>
      <c r="O1381" s="237"/>
      <c r="P1381" s="237"/>
      <c r="Q1381" s="237"/>
      <c r="R1381" s="237"/>
      <c r="S1381" s="237"/>
      <c r="T1381" s="237"/>
      <c r="U1381" s="237"/>
      <c r="V1381" s="237"/>
      <c r="W1381" s="237"/>
      <c r="X1381" s="237"/>
      <c r="Y1381" s="237"/>
      <c r="Z1381" s="237"/>
    </row>
    <row r="1382">
      <c r="A1382" s="305">
        <v>1381.0</v>
      </c>
      <c r="B1382" s="306" t="s">
        <v>11000</v>
      </c>
      <c r="C1382" s="307" t="s">
        <v>1420</v>
      </c>
      <c r="D1382" s="308" t="s">
        <v>11002</v>
      </c>
      <c r="E1382" s="305" t="s">
        <v>11003</v>
      </c>
      <c r="F1382" s="309" t="s">
        <v>11004</v>
      </c>
      <c r="G1382" s="236"/>
      <c r="H1382" s="307" t="s">
        <v>1420</v>
      </c>
      <c r="I1382" s="237"/>
      <c r="J1382" s="237"/>
      <c r="K1382" s="310" t="s">
        <v>11001</v>
      </c>
      <c r="L1382" s="237"/>
      <c r="M1382" s="237"/>
      <c r="N1382" s="237"/>
      <c r="O1382" s="237"/>
      <c r="P1382" s="237"/>
      <c r="Q1382" s="237"/>
      <c r="R1382" s="237"/>
      <c r="S1382" s="237"/>
      <c r="T1382" s="237"/>
      <c r="U1382" s="237"/>
      <c r="V1382" s="237"/>
      <c r="W1382" s="237"/>
      <c r="X1382" s="237"/>
      <c r="Y1382" s="237"/>
      <c r="Z1382" s="237"/>
    </row>
    <row r="1383">
      <c r="A1383" s="305">
        <v>1382.0</v>
      </c>
      <c r="B1383" s="306" t="s">
        <v>11015</v>
      </c>
      <c r="C1383" s="307" t="s">
        <v>1420</v>
      </c>
      <c r="D1383" s="308" t="s">
        <v>11017</v>
      </c>
      <c r="E1383" s="305" t="s">
        <v>11018</v>
      </c>
      <c r="F1383" s="309" t="s">
        <v>11019</v>
      </c>
      <c r="G1383" s="236"/>
      <c r="H1383" s="307" t="s">
        <v>1420</v>
      </c>
      <c r="I1383" s="237"/>
      <c r="J1383" s="237"/>
      <c r="K1383" s="310" t="s">
        <v>11016</v>
      </c>
      <c r="L1383" s="237"/>
      <c r="M1383" s="237"/>
      <c r="N1383" s="237"/>
      <c r="O1383" s="237"/>
      <c r="P1383" s="237"/>
      <c r="Q1383" s="237"/>
      <c r="R1383" s="237"/>
      <c r="S1383" s="237"/>
      <c r="T1383" s="237"/>
      <c r="U1383" s="237"/>
      <c r="V1383" s="237"/>
      <c r="W1383" s="237"/>
      <c r="X1383" s="237"/>
      <c r="Y1383" s="237"/>
      <c r="Z1383" s="237"/>
    </row>
    <row r="1384">
      <c r="A1384" s="305">
        <v>1383.0</v>
      </c>
      <c r="B1384" s="306" t="s">
        <v>11015</v>
      </c>
      <c r="C1384" s="307" t="s">
        <v>1420</v>
      </c>
      <c r="D1384" s="308" t="s">
        <v>11017</v>
      </c>
      <c r="E1384" s="305" t="s">
        <v>11057</v>
      </c>
      <c r="F1384" s="309" t="s">
        <v>11058</v>
      </c>
      <c r="G1384" s="236"/>
      <c r="H1384" s="307" t="s">
        <v>1420</v>
      </c>
      <c r="I1384" s="237"/>
      <c r="J1384" s="237"/>
      <c r="K1384" s="310" t="s">
        <v>11056</v>
      </c>
      <c r="L1384" s="237"/>
      <c r="M1384" s="237"/>
      <c r="N1384" s="237"/>
      <c r="O1384" s="237"/>
      <c r="P1384" s="237"/>
      <c r="Q1384" s="237"/>
      <c r="R1384" s="237"/>
      <c r="S1384" s="237"/>
      <c r="T1384" s="237"/>
      <c r="U1384" s="237"/>
      <c r="V1384" s="237"/>
      <c r="W1384" s="237"/>
      <c r="X1384" s="237"/>
      <c r="Y1384" s="237"/>
      <c r="Z1384" s="237"/>
    </row>
    <row r="1385">
      <c r="A1385" s="305">
        <v>1384.0</v>
      </c>
      <c r="B1385" s="306" t="s">
        <v>11010</v>
      </c>
      <c r="C1385" s="307" t="s">
        <v>1420</v>
      </c>
      <c r="D1385" s="308" t="s">
        <v>11012</v>
      </c>
      <c r="E1385" s="305" t="s">
        <v>11013</v>
      </c>
      <c r="F1385" s="309" t="s">
        <v>11014</v>
      </c>
      <c r="G1385" s="236"/>
      <c r="H1385" s="307" t="s">
        <v>1420</v>
      </c>
      <c r="I1385" s="237"/>
      <c r="J1385" s="237"/>
      <c r="K1385" s="310" t="s">
        <v>11011</v>
      </c>
      <c r="L1385" s="237"/>
      <c r="M1385" s="237"/>
      <c r="N1385" s="237"/>
      <c r="O1385" s="237"/>
      <c r="P1385" s="237"/>
      <c r="Q1385" s="237"/>
      <c r="R1385" s="237"/>
      <c r="S1385" s="237"/>
      <c r="T1385" s="237"/>
      <c r="U1385" s="237"/>
      <c r="V1385" s="237"/>
      <c r="W1385" s="237"/>
      <c r="X1385" s="237"/>
      <c r="Y1385" s="237"/>
      <c r="Z1385" s="237"/>
    </row>
    <row r="1386">
      <c r="A1386" s="305">
        <v>1385.0</v>
      </c>
      <c r="B1386" s="306" t="s">
        <v>11010</v>
      </c>
      <c r="C1386" s="307" t="s">
        <v>1420</v>
      </c>
      <c r="D1386" s="308" t="s">
        <v>11012</v>
      </c>
      <c r="E1386" s="305" t="s">
        <v>11054</v>
      </c>
      <c r="F1386" s="309" t="s">
        <v>11055</v>
      </c>
      <c r="G1386" s="236"/>
      <c r="H1386" s="307" t="s">
        <v>1420</v>
      </c>
      <c r="I1386" s="237"/>
      <c r="J1386" s="237"/>
      <c r="K1386" s="310" t="s">
        <v>11053</v>
      </c>
      <c r="L1386" s="237"/>
      <c r="M1386" s="237"/>
      <c r="N1386" s="237"/>
      <c r="O1386" s="237"/>
      <c r="P1386" s="237"/>
      <c r="Q1386" s="237"/>
      <c r="R1386" s="237"/>
      <c r="S1386" s="237"/>
      <c r="T1386" s="237"/>
      <c r="U1386" s="237"/>
      <c r="V1386" s="237"/>
      <c r="W1386" s="237"/>
      <c r="X1386" s="237"/>
      <c r="Y1386" s="237"/>
      <c r="Z1386" s="237"/>
    </row>
    <row r="1387">
      <c r="A1387" s="305">
        <v>1386.0</v>
      </c>
      <c r="B1387" s="306" t="s">
        <v>10985</v>
      </c>
      <c r="C1387" s="307" t="s">
        <v>1420</v>
      </c>
      <c r="D1387" s="308" t="s">
        <v>10987</v>
      </c>
      <c r="E1387" s="305" t="s">
        <v>10988</v>
      </c>
      <c r="F1387" s="309" t="s">
        <v>10989</v>
      </c>
      <c r="G1387" s="236"/>
      <c r="H1387" s="307" t="s">
        <v>1420</v>
      </c>
      <c r="I1387" s="237"/>
      <c r="J1387" s="237"/>
      <c r="K1387" s="310" t="s">
        <v>10986</v>
      </c>
      <c r="L1387" s="237"/>
      <c r="M1387" s="237"/>
      <c r="N1387" s="237"/>
      <c r="O1387" s="237"/>
      <c r="P1387" s="237"/>
      <c r="Q1387" s="237"/>
      <c r="R1387" s="237"/>
      <c r="S1387" s="237"/>
      <c r="T1387" s="237"/>
      <c r="U1387" s="237"/>
      <c r="V1387" s="237"/>
      <c r="W1387" s="237"/>
      <c r="X1387" s="237"/>
      <c r="Y1387" s="237"/>
      <c r="Z1387" s="237"/>
    </row>
    <row r="1388">
      <c r="A1388" s="305">
        <v>1387.0</v>
      </c>
      <c r="B1388" s="306" t="s">
        <v>10980</v>
      </c>
      <c r="C1388" s="307" t="s">
        <v>1420</v>
      </c>
      <c r="D1388" s="308" t="s">
        <v>10982</v>
      </c>
      <c r="E1388" s="305" t="s">
        <v>10983</v>
      </c>
      <c r="F1388" s="309" t="s">
        <v>10984</v>
      </c>
      <c r="G1388" s="236"/>
      <c r="H1388" s="307" t="s">
        <v>1420</v>
      </c>
      <c r="I1388" s="237"/>
      <c r="J1388" s="237"/>
      <c r="K1388" s="310" t="s">
        <v>10981</v>
      </c>
      <c r="L1388" s="237"/>
      <c r="M1388" s="237"/>
      <c r="N1388" s="237"/>
      <c r="O1388" s="237"/>
      <c r="P1388" s="237"/>
      <c r="Q1388" s="237"/>
      <c r="R1388" s="237"/>
      <c r="S1388" s="237"/>
      <c r="T1388" s="237"/>
      <c r="U1388" s="237"/>
      <c r="V1388" s="237"/>
      <c r="W1388" s="237"/>
      <c r="X1388" s="237"/>
      <c r="Y1388" s="237"/>
      <c r="Z1388" s="237"/>
    </row>
    <row r="1389">
      <c r="A1389" s="305">
        <v>1388.0</v>
      </c>
      <c r="B1389" s="306" t="s">
        <v>10995</v>
      </c>
      <c r="C1389" s="307" t="s">
        <v>1420</v>
      </c>
      <c r="D1389" s="308" t="s">
        <v>10997</v>
      </c>
      <c r="E1389" s="305" t="s">
        <v>10998</v>
      </c>
      <c r="F1389" s="309" t="s">
        <v>10999</v>
      </c>
      <c r="G1389" s="236"/>
      <c r="H1389" s="307" t="s">
        <v>1420</v>
      </c>
      <c r="I1389" s="237"/>
      <c r="J1389" s="237"/>
      <c r="K1389" s="310" t="s">
        <v>10996</v>
      </c>
      <c r="L1389" s="237"/>
      <c r="M1389" s="237"/>
      <c r="N1389" s="237"/>
      <c r="O1389" s="237"/>
      <c r="P1389" s="237"/>
      <c r="Q1389" s="237"/>
      <c r="R1389" s="237"/>
      <c r="S1389" s="237"/>
      <c r="T1389" s="237"/>
      <c r="U1389" s="237"/>
      <c r="V1389" s="237"/>
      <c r="W1389" s="237"/>
      <c r="X1389" s="237"/>
      <c r="Y1389" s="237"/>
      <c r="Z1389" s="237"/>
    </row>
    <row r="1390">
      <c r="A1390" s="305">
        <v>1389.0</v>
      </c>
      <c r="B1390" s="306" t="s">
        <v>10990</v>
      </c>
      <c r="C1390" s="307" t="s">
        <v>1420</v>
      </c>
      <c r="D1390" s="308" t="s">
        <v>10992</v>
      </c>
      <c r="E1390" s="305" t="s">
        <v>10993</v>
      </c>
      <c r="F1390" s="309" t="s">
        <v>10994</v>
      </c>
      <c r="G1390" s="236"/>
      <c r="H1390" s="307" t="s">
        <v>1420</v>
      </c>
      <c r="I1390" s="237"/>
      <c r="J1390" s="237"/>
      <c r="K1390" s="310" t="s">
        <v>10991</v>
      </c>
      <c r="L1390" s="237"/>
      <c r="M1390" s="237"/>
      <c r="N1390" s="237"/>
      <c r="O1390" s="237"/>
      <c r="P1390" s="237"/>
      <c r="Q1390" s="237"/>
      <c r="R1390" s="237"/>
      <c r="S1390" s="237"/>
      <c r="T1390" s="237"/>
      <c r="U1390" s="237"/>
      <c r="V1390" s="237"/>
      <c r="W1390" s="237"/>
      <c r="X1390" s="237"/>
      <c r="Y1390" s="237"/>
      <c r="Z1390" s="237"/>
    </row>
    <row r="1391">
      <c r="A1391" s="305">
        <v>1390.0</v>
      </c>
      <c r="B1391" s="306" t="s">
        <v>11220</v>
      </c>
      <c r="C1391" s="307" t="s">
        <v>1420</v>
      </c>
      <c r="D1391" s="308" t="s">
        <v>11222</v>
      </c>
      <c r="E1391" s="305" t="s">
        <v>11223</v>
      </c>
      <c r="F1391" s="309" t="s">
        <v>11224</v>
      </c>
      <c r="G1391" s="236"/>
      <c r="H1391" s="307" t="s">
        <v>1420</v>
      </c>
      <c r="I1391" s="237"/>
      <c r="J1391" s="237"/>
      <c r="K1391" s="310" t="s">
        <v>11221</v>
      </c>
      <c r="L1391" s="237"/>
      <c r="M1391" s="237"/>
      <c r="N1391" s="237"/>
      <c r="O1391" s="237"/>
      <c r="P1391" s="237"/>
      <c r="Q1391" s="237"/>
      <c r="R1391" s="237"/>
      <c r="S1391" s="237"/>
      <c r="T1391" s="237"/>
      <c r="U1391" s="237"/>
      <c r="V1391" s="237"/>
      <c r="W1391" s="237"/>
      <c r="X1391" s="237"/>
      <c r="Y1391" s="237"/>
      <c r="Z1391" s="237"/>
    </row>
    <row r="1392">
      <c r="A1392" s="305">
        <v>1391.0</v>
      </c>
      <c r="B1392" s="306" t="s">
        <v>11136</v>
      </c>
      <c r="C1392" s="307" t="s">
        <v>1420</v>
      </c>
      <c r="D1392" s="308" t="s">
        <v>2441</v>
      </c>
      <c r="E1392" s="305" t="s">
        <v>11138</v>
      </c>
      <c r="F1392" s="309" t="s">
        <v>11139</v>
      </c>
      <c r="G1392" s="236"/>
      <c r="H1392" s="307" t="s">
        <v>1420</v>
      </c>
      <c r="I1392" s="237"/>
      <c r="J1392" s="237"/>
      <c r="K1392" s="310" t="s">
        <v>11137</v>
      </c>
      <c r="L1392" s="237"/>
      <c r="M1392" s="237"/>
      <c r="N1392" s="237"/>
      <c r="O1392" s="237"/>
      <c r="P1392" s="237"/>
      <c r="Q1392" s="237"/>
      <c r="R1392" s="237"/>
      <c r="S1392" s="237"/>
      <c r="T1392" s="237"/>
      <c r="U1392" s="237"/>
      <c r="V1392" s="237"/>
      <c r="W1392" s="237"/>
      <c r="X1392" s="237"/>
      <c r="Y1392" s="237"/>
      <c r="Z1392" s="237"/>
    </row>
    <row r="1393">
      <c r="A1393" s="305">
        <v>1392.0</v>
      </c>
      <c r="B1393" s="306" t="s">
        <v>11143</v>
      </c>
      <c r="C1393" s="307" t="s">
        <v>1420</v>
      </c>
      <c r="D1393" s="308" t="s">
        <v>2442</v>
      </c>
      <c r="E1393" s="305" t="s">
        <v>11145</v>
      </c>
      <c r="F1393" s="309" t="s">
        <v>11146</v>
      </c>
      <c r="G1393" s="236"/>
      <c r="H1393" s="307" t="s">
        <v>1420</v>
      </c>
      <c r="I1393" s="237"/>
      <c r="J1393" s="237"/>
      <c r="K1393" s="310" t="s">
        <v>11144</v>
      </c>
      <c r="L1393" s="237"/>
      <c r="M1393" s="237"/>
      <c r="N1393" s="237"/>
      <c r="O1393" s="237"/>
      <c r="P1393" s="237"/>
      <c r="Q1393" s="237"/>
      <c r="R1393" s="237"/>
      <c r="S1393" s="237"/>
      <c r="T1393" s="237"/>
      <c r="U1393" s="237"/>
      <c r="V1393" s="237"/>
      <c r="W1393" s="237"/>
      <c r="X1393" s="237"/>
      <c r="Y1393" s="237"/>
      <c r="Z1393" s="237"/>
    </row>
    <row r="1394">
      <c r="A1394" s="305">
        <v>1393.0</v>
      </c>
      <c r="B1394" s="306" t="s">
        <v>11147</v>
      </c>
      <c r="C1394" s="307" t="s">
        <v>1420</v>
      </c>
      <c r="D1394" s="308" t="s">
        <v>11149</v>
      </c>
      <c r="E1394" s="305" t="s">
        <v>11150</v>
      </c>
      <c r="F1394" s="309" t="s">
        <v>11151</v>
      </c>
      <c r="G1394" s="236"/>
      <c r="H1394" s="307" t="s">
        <v>1420</v>
      </c>
      <c r="I1394" s="237"/>
      <c r="J1394" s="237"/>
      <c r="K1394" s="310" t="s">
        <v>11148</v>
      </c>
      <c r="L1394" s="237"/>
      <c r="M1394" s="237"/>
      <c r="N1394" s="237"/>
      <c r="O1394" s="237"/>
      <c r="P1394" s="237"/>
      <c r="Q1394" s="237"/>
      <c r="R1394" s="237"/>
      <c r="S1394" s="237"/>
      <c r="T1394" s="237"/>
      <c r="U1394" s="237"/>
      <c r="V1394" s="237"/>
      <c r="W1394" s="237"/>
      <c r="X1394" s="237"/>
      <c r="Y1394" s="237"/>
      <c r="Z1394" s="237"/>
    </row>
    <row r="1395">
      <c r="A1395" s="305">
        <v>1394.0</v>
      </c>
      <c r="B1395" s="306" t="s">
        <v>11132</v>
      </c>
      <c r="C1395" s="307" t="s">
        <v>1420</v>
      </c>
      <c r="D1395" s="308" t="s">
        <v>2440</v>
      </c>
      <c r="E1395" s="305" t="s">
        <v>11134</v>
      </c>
      <c r="F1395" s="309" t="s">
        <v>11135</v>
      </c>
      <c r="G1395" s="236"/>
      <c r="H1395" s="307" t="s">
        <v>1420</v>
      </c>
      <c r="I1395" s="237"/>
      <c r="J1395" s="237"/>
      <c r="K1395" s="310" t="s">
        <v>11133</v>
      </c>
      <c r="L1395" s="237"/>
      <c r="M1395" s="237"/>
      <c r="N1395" s="237"/>
      <c r="O1395" s="237"/>
      <c r="P1395" s="237"/>
      <c r="Q1395" s="237"/>
      <c r="R1395" s="237"/>
      <c r="S1395" s="237"/>
      <c r="T1395" s="237"/>
      <c r="U1395" s="237"/>
      <c r="V1395" s="237"/>
      <c r="W1395" s="237"/>
      <c r="X1395" s="237"/>
      <c r="Y1395" s="237"/>
      <c r="Z1395" s="237"/>
    </row>
    <row r="1396">
      <c r="A1396" s="305">
        <v>1395.0</v>
      </c>
      <c r="B1396" s="306" t="s">
        <v>11132</v>
      </c>
      <c r="C1396" s="307" t="s">
        <v>1420</v>
      </c>
      <c r="D1396" s="308" t="s">
        <v>2440</v>
      </c>
      <c r="E1396" s="305" t="s">
        <v>11141</v>
      </c>
      <c r="F1396" s="309" t="s">
        <v>11142</v>
      </c>
      <c r="G1396" s="236"/>
      <c r="H1396" s="307" t="s">
        <v>1420</v>
      </c>
      <c r="I1396" s="237"/>
      <c r="J1396" s="237"/>
      <c r="K1396" s="310" t="s">
        <v>11140</v>
      </c>
      <c r="L1396" s="237"/>
      <c r="M1396" s="237"/>
      <c r="N1396" s="237"/>
      <c r="O1396" s="237"/>
      <c r="P1396" s="237"/>
      <c r="Q1396" s="237"/>
      <c r="R1396" s="237"/>
      <c r="S1396" s="237"/>
      <c r="T1396" s="237"/>
      <c r="U1396" s="237"/>
      <c r="V1396" s="237"/>
      <c r="W1396" s="237"/>
      <c r="X1396" s="237"/>
      <c r="Y1396" s="237"/>
      <c r="Z1396" s="237"/>
    </row>
    <row r="1397">
      <c r="A1397" s="305">
        <v>1396.0</v>
      </c>
      <c r="B1397" s="306" t="s">
        <v>11128</v>
      </c>
      <c r="C1397" s="307" t="s">
        <v>1420</v>
      </c>
      <c r="D1397" s="308" t="s">
        <v>2439</v>
      </c>
      <c r="E1397" s="305" t="s">
        <v>11130</v>
      </c>
      <c r="F1397" s="309" t="s">
        <v>11131</v>
      </c>
      <c r="G1397" s="236"/>
      <c r="H1397" s="307" t="s">
        <v>1420</v>
      </c>
      <c r="I1397" s="237"/>
      <c r="J1397" s="237"/>
      <c r="K1397" s="310" t="s">
        <v>11129</v>
      </c>
      <c r="L1397" s="237"/>
      <c r="M1397" s="237"/>
      <c r="N1397" s="237"/>
      <c r="O1397" s="237"/>
      <c r="P1397" s="237"/>
      <c r="Q1397" s="237"/>
      <c r="R1397" s="237"/>
      <c r="S1397" s="237"/>
      <c r="T1397" s="237"/>
      <c r="U1397" s="237"/>
      <c r="V1397" s="237"/>
      <c r="W1397" s="237"/>
      <c r="X1397" s="237"/>
      <c r="Y1397" s="237"/>
      <c r="Z1397" s="237"/>
    </row>
    <row r="1398">
      <c r="A1398" s="305">
        <v>1397.0</v>
      </c>
      <c r="B1398" s="306">
        <v>5.0010097E7</v>
      </c>
      <c r="C1398" s="307" t="s">
        <v>1420</v>
      </c>
      <c r="D1398" s="308" t="s">
        <v>5166</v>
      </c>
      <c r="E1398" s="305" t="s">
        <v>5167</v>
      </c>
      <c r="F1398" s="309" t="s">
        <v>5168</v>
      </c>
      <c r="G1398" s="236"/>
      <c r="H1398" s="307" t="s">
        <v>1420</v>
      </c>
      <c r="I1398" s="237"/>
      <c r="J1398" s="237"/>
      <c r="K1398" s="310" t="s">
        <v>5165</v>
      </c>
      <c r="L1398" s="237"/>
      <c r="M1398" s="237"/>
      <c r="N1398" s="237"/>
      <c r="O1398" s="237"/>
      <c r="P1398" s="237"/>
      <c r="Q1398" s="237"/>
      <c r="R1398" s="237"/>
      <c r="S1398" s="237"/>
      <c r="T1398" s="237"/>
      <c r="U1398" s="237"/>
      <c r="V1398" s="237"/>
      <c r="W1398" s="237"/>
      <c r="X1398" s="237"/>
      <c r="Y1398" s="237"/>
      <c r="Z1398" s="237"/>
    </row>
    <row r="1399">
      <c r="A1399" s="305">
        <v>1398.0</v>
      </c>
      <c r="B1399" s="306">
        <v>5.0010103E7</v>
      </c>
      <c r="C1399" s="307" t="s">
        <v>1420</v>
      </c>
      <c r="D1399" s="308" t="s">
        <v>5161</v>
      </c>
      <c r="E1399" s="305" t="s">
        <v>5162</v>
      </c>
      <c r="F1399" s="309" t="s">
        <v>5163</v>
      </c>
      <c r="G1399" s="236"/>
      <c r="H1399" s="307" t="s">
        <v>1420</v>
      </c>
      <c r="I1399" s="237"/>
      <c r="J1399" s="237"/>
      <c r="K1399" s="310" t="s">
        <v>5160</v>
      </c>
      <c r="L1399" s="237"/>
      <c r="M1399" s="237"/>
      <c r="N1399" s="237"/>
      <c r="O1399" s="237"/>
      <c r="P1399" s="237"/>
      <c r="Q1399" s="237"/>
      <c r="R1399" s="237"/>
      <c r="S1399" s="237"/>
      <c r="T1399" s="237"/>
      <c r="U1399" s="237"/>
      <c r="V1399" s="237"/>
      <c r="W1399" s="237"/>
      <c r="X1399" s="237"/>
      <c r="Y1399" s="237"/>
      <c r="Z1399" s="237"/>
    </row>
    <row r="1400">
      <c r="A1400" s="305">
        <v>1399.0</v>
      </c>
      <c r="B1400" s="306">
        <v>5.0010104E7</v>
      </c>
      <c r="C1400" s="307" t="s">
        <v>1420</v>
      </c>
      <c r="D1400" s="308" t="s">
        <v>5156</v>
      </c>
      <c r="E1400" s="305" t="s">
        <v>5157</v>
      </c>
      <c r="F1400" s="309" t="s">
        <v>5158</v>
      </c>
      <c r="G1400" s="236"/>
      <c r="H1400" s="307" t="s">
        <v>1420</v>
      </c>
      <c r="I1400" s="237"/>
      <c r="J1400" s="237"/>
      <c r="K1400" s="310" t="s">
        <v>5155</v>
      </c>
      <c r="L1400" s="237"/>
      <c r="M1400" s="237"/>
      <c r="N1400" s="237"/>
      <c r="O1400" s="237"/>
      <c r="P1400" s="237"/>
      <c r="Q1400" s="237"/>
      <c r="R1400" s="237"/>
      <c r="S1400" s="237"/>
      <c r="T1400" s="237"/>
      <c r="U1400" s="237"/>
      <c r="V1400" s="237"/>
      <c r="W1400" s="237"/>
      <c r="X1400" s="237"/>
      <c r="Y1400" s="237"/>
      <c r="Z1400" s="237"/>
    </row>
    <row r="1401">
      <c r="A1401" s="305">
        <v>1400.0</v>
      </c>
      <c r="B1401" s="306" t="s">
        <v>5149</v>
      </c>
      <c r="C1401" s="307" t="s">
        <v>1420</v>
      </c>
      <c r="D1401" s="308" t="s">
        <v>5151</v>
      </c>
      <c r="E1401" s="305" t="s">
        <v>5152</v>
      </c>
      <c r="F1401" s="309" t="s">
        <v>5153</v>
      </c>
      <c r="G1401" s="236"/>
      <c r="H1401" s="307" t="s">
        <v>1420</v>
      </c>
      <c r="I1401" s="237"/>
      <c r="J1401" s="237"/>
      <c r="K1401" s="310" t="s">
        <v>5150</v>
      </c>
      <c r="L1401" s="237"/>
      <c r="M1401" s="237"/>
      <c r="N1401" s="237"/>
      <c r="O1401" s="237"/>
      <c r="P1401" s="237"/>
      <c r="Q1401" s="237"/>
      <c r="R1401" s="237"/>
      <c r="S1401" s="237"/>
      <c r="T1401" s="237"/>
      <c r="U1401" s="237"/>
      <c r="V1401" s="237"/>
      <c r="W1401" s="237"/>
      <c r="X1401" s="237"/>
      <c r="Y1401" s="237"/>
      <c r="Z1401" s="237"/>
    </row>
    <row r="1402">
      <c r="A1402" s="305">
        <v>1401.0</v>
      </c>
      <c r="B1402" s="306" t="s">
        <v>5762</v>
      </c>
      <c r="C1402" s="307" t="s">
        <v>1420</v>
      </c>
      <c r="D1402" s="308" t="s">
        <v>5764</v>
      </c>
      <c r="E1402" s="305" t="s">
        <v>5765</v>
      </c>
      <c r="F1402" s="309" t="s">
        <v>5766</v>
      </c>
      <c r="G1402" s="236"/>
      <c r="H1402" s="307" t="s">
        <v>1420</v>
      </c>
      <c r="I1402" s="237"/>
      <c r="J1402" s="237"/>
      <c r="K1402" s="310" t="s">
        <v>5763</v>
      </c>
      <c r="L1402" s="237"/>
      <c r="M1402" s="237"/>
      <c r="N1402" s="237"/>
      <c r="O1402" s="237"/>
      <c r="P1402" s="237"/>
      <c r="Q1402" s="237"/>
      <c r="R1402" s="237"/>
      <c r="S1402" s="237"/>
      <c r="T1402" s="237"/>
      <c r="U1402" s="237"/>
      <c r="V1402" s="237"/>
      <c r="W1402" s="237"/>
      <c r="X1402" s="237"/>
      <c r="Y1402" s="237"/>
      <c r="Z1402" s="237"/>
    </row>
    <row r="1403">
      <c r="A1403" s="305">
        <v>1402.0</v>
      </c>
      <c r="B1403" s="306">
        <v>5.0010834E7</v>
      </c>
      <c r="C1403" s="307" t="s">
        <v>1420</v>
      </c>
      <c r="D1403" s="308" t="s">
        <v>6292</v>
      </c>
      <c r="E1403" s="305" t="s">
        <v>6293</v>
      </c>
      <c r="F1403" s="309" t="s">
        <v>6294</v>
      </c>
      <c r="G1403" s="236"/>
      <c r="H1403" s="307" t="s">
        <v>1420</v>
      </c>
      <c r="I1403" s="237"/>
      <c r="J1403" s="237"/>
      <c r="K1403" s="310" t="s">
        <v>6291</v>
      </c>
      <c r="L1403" s="237"/>
      <c r="M1403" s="237"/>
      <c r="N1403" s="237"/>
      <c r="O1403" s="237"/>
      <c r="P1403" s="237"/>
      <c r="Q1403" s="237"/>
      <c r="R1403" s="237"/>
      <c r="S1403" s="237"/>
      <c r="T1403" s="237"/>
      <c r="U1403" s="237"/>
      <c r="V1403" s="237"/>
      <c r="W1403" s="237"/>
      <c r="X1403" s="237"/>
      <c r="Y1403" s="237"/>
      <c r="Z1403" s="237"/>
    </row>
    <row r="1404">
      <c r="A1404" s="305">
        <v>1403.0</v>
      </c>
      <c r="B1404" s="306">
        <v>5.0010865E7</v>
      </c>
      <c r="C1404" s="307" t="s">
        <v>1420</v>
      </c>
      <c r="D1404" s="308" t="s">
        <v>6205</v>
      </c>
      <c r="E1404" s="305" t="s">
        <v>6206</v>
      </c>
      <c r="F1404" s="309" t="s">
        <v>6207</v>
      </c>
      <c r="G1404" s="236"/>
      <c r="H1404" s="307" t="s">
        <v>1420</v>
      </c>
      <c r="I1404" s="237"/>
      <c r="J1404" s="237"/>
      <c r="K1404" s="310" t="s">
        <v>6204</v>
      </c>
      <c r="L1404" s="237"/>
      <c r="M1404" s="237"/>
      <c r="N1404" s="237"/>
      <c r="O1404" s="237"/>
      <c r="P1404" s="237"/>
      <c r="Q1404" s="237"/>
      <c r="R1404" s="237"/>
      <c r="S1404" s="237"/>
      <c r="T1404" s="237"/>
      <c r="U1404" s="237"/>
      <c r="V1404" s="237"/>
      <c r="W1404" s="237"/>
      <c r="X1404" s="237"/>
      <c r="Y1404" s="237"/>
      <c r="Z1404" s="237"/>
    </row>
    <row r="1405">
      <c r="A1405" s="305">
        <v>1404.0</v>
      </c>
      <c r="B1405" s="306">
        <v>5.0010835E7</v>
      </c>
      <c r="C1405" s="307" t="s">
        <v>1420</v>
      </c>
      <c r="D1405" s="308" t="s">
        <v>6297</v>
      </c>
      <c r="E1405" s="305" t="s">
        <v>6298</v>
      </c>
      <c r="F1405" s="309" t="s">
        <v>6299</v>
      </c>
      <c r="G1405" s="236"/>
      <c r="H1405" s="307" t="s">
        <v>1420</v>
      </c>
      <c r="I1405" s="237"/>
      <c r="J1405" s="237"/>
      <c r="K1405" s="310" t="s">
        <v>6296</v>
      </c>
      <c r="L1405" s="237"/>
      <c r="M1405" s="237"/>
      <c r="N1405" s="237"/>
      <c r="O1405" s="237"/>
      <c r="P1405" s="237"/>
      <c r="Q1405" s="237"/>
      <c r="R1405" s="237"/>
      <c r="S1405" s="237"/>
      <c r="T1405" s="237"/>
      <c r="U1405" s="237"/>
      <c r="V1405" s="237"/>
      <c r="W1405" s="237"/>
      <c r="X1405" s="237"/>
      <c r="Y1405" s="237"/>
      <c r="Z1405" s="237"/>
    </row>
    <row r="1406">
      <c r="A1406" s="305">
        <v>1405.0</v>
      </c>
      <c r="B1406" s="306">
        <v>5.0010866E7</v>
      </c>
      <c r="C1406" s="307" t="s">
        <v>1420</v>
      </c>
      <c r="D1406" s="308" t="s">
        <v>1418</v>
      </c>
      <c r="E1406" s="305" t="s">
        <v>6201</v>
      </c>
      <c r="F1406" s="309" t="s">
        <v>14427</v>
      </c>
      <c r="G1406" s="236"/>
      <c r="H1406" s="307" t="s">
        <v>1420</v>
      </c>
      <c r="I1406" s="237"/>
      <c r="J1406" s="237"/>
      <c r="K1406" s="310" t="s">
        <v>6200</v>
      </c>
      <c r="L1406" s="237"/>
      <c r="M1406" s="237"/>
      <c r="N1406" s="237"/>
      <c r="O1406" s="237"/>
      <c r="P1406" s="237"/>
      <c r="Q1406" s="237"/>
      <c r="R1406" s="237"/>
      <c r="S1406" s="237"/>
      <c r="T1406" s="237"/>
      <c r="U1406" s="237"/>
      <c r="V1406" s="237"/>
      <c r="W1406" s="237"/>
      <c r="X1406" s="237"/>
      <c r="Y1406" s="237"/>
      <c r="Z1406" s="237"/>
    </row>
    <row r="1407">
      <c r="A1407" s="305">
        <v>1406.0</v>
      </c>
      <c r="B1407" s="236"/>
      <c r="C1407" s="307" t="s">
        <v>1420</v>
      </c>
      <c r="D1407" s="308" t="s">
        <v>1586</v>
      </c>
      <c r="E1407" s="305" t="s">
        <v>13182</v>
      </c>
      <c r="F1407" s="236"/>
      <c r="G1407" s="236"/>
      <c r="H1407" s="307" t="s">
        <v>1420</v>
      </c>
      <c r="I1407" s="237"/>
      <c r="J1407" s="237"/>
      <c r="K1407" s="310" t="s">
        <v>13181</v>
      </c>
      <c r="L1407" s="237"/>
      <c r="M1407" s="237"/>
      <c r="N1407" s="237"/>
      <c r="O1407" s="237"/>
      <c r="P1407" s="237"/>
      <c r="Q1407" s="237"/>
      <c r="R1407" s="237"/>
      <c r="S1407" s="237"/>
      <c r="T1407" s="237"/>
      <c r="U1407" s="237"/>
      <c r="V1407" s="237"/>
      <c r="W1407" s="237"/>
      <c r="X1407" s="237"/>
      <c r="Y1407" s="237"/>
      <c r="Z1407" s="237"/>
    </row>
    <row r="1408">
      <c r="A1408" s="305">
        <v>1407.0</v>
      </c>
      <c r="B1408" s="306" t="s">
        <v>5757</v>
      </c>
      <c r="C1408" s="307" t="s">
        <v>1420</v>
      </c>
      <c r="D1408" s="308" t="s">
        <v>5759</v>
      </c>
      <c r="E1408" s="305" t="s">
        <v>5760</v>
      </c>
      <c r="F1408" s="309" t="s">
        <v>5761</v>
      </c>
      <c r="G1408" s="236"/>
      <c r="H1408" s="307" t="s">
        <v>1420</v>
      </c>
      <c r="I1408" s="237"/>
      <c r="J1408" s="237"/>
      <c r="K1408" s="310" t="s">
        <v>5758</v>
      </c>
      <c r="L1408" s="237"/>
      <c r="M1408" s="237"/>
      <c r="N1408" s="237"/>
      <c r="O1408" s="237"/>
      <c r="P1408" s="237"/>
      <c r="Q1408" s="237"/>
      <c r="R1408" s="237"/>
      <c r="S1408" s="237"/>
      <c r="T1408" s="237"/>
      <c r="U1408" s="237"/>
      <c r="V1408" s="237"/>
      <c r="W1408" s="237"/>
      <c r="X1408" s="237"/>
      <c r="Y1408" s="237"/>
      <c r="Z1408" s="237"/>
    </row>
    <row r="1409">
      <c r="A1409" s="305">
        <v>1408.0</v>
      </c>
      <c r="B1409" s="236"/>
      <c r="C1409" s="307" t="s">
        <v>1420</v>
      </c>
      <c r="D1409" s="308" t="s">
        <v>8380</v>
      </c>
      <c r="E1409" s="305" t="s">
        <v>8381</v>
      </c>
      <c r="F1409" s="309" t="s">
        <v>8382</v>
      </c>
      <c r="G1409" s="236"/>
      <c r="H1409" s="307" t="s">
        <v>1420</v>
      </c>
      <c r="I1409" s="237"/>
      <c r="J1409" s="237"/>
      <c r="K1409" s="310" t="s">
        <v>8379</v>
      </c>
      <c r="L1409" s="237"/>
      <c r="M1409" s="237"/>
      <c r="N1409" s="237"/>
      <c r="O1409" s="237"/>
      <c r="P1409" s="237"/>
      <c r="Q1409" s="237"/>
      <c r="R1409" s="237"/>
      <c r="S1409" s="237"/>
      <c r="T1409" s="237"/>
      <c r="U1409" s="237"/>
      <c r="V1409" s="237"/>
      <c r="W1409" s="237"/>
      <c r="X1409" s="237"/>
      <c r="Y1409" s="237"/>
      <c r="Z1409" s="237"/>
    </row>
    <row r="1410">
      <c r="A1410" s="305">
        <v>1409.0</v>
      </c>
      <c r="B1410" s="236"/>
      <c r="C1410" s="307" t="s">
        <v>1420</v>
      </c>
      <c r="D1410" s="308" t="s">
        <v>8339</v>
      </c>
      <c r="E1410" s="305" t="s">
        <v>8340</v>
      </c>
      <c r="F1410" s="309" t="s">
        <v>8341</v>
      </c>
      <c r="G1410" s="236"/>
      <c r="H1410" s="307" t="s">
        <v>1420</v>
      </c>
      <c r="I1410" s="237"/>
      <c r="J1410" s="237"/>
      <c r="K1410" s="310" t="s">
        <v>8338</v>
      </c>
      <c r="L1410" s="237"/>
      <c r="M1410" s="237"/>
      <c r="N1410" s="237"/>
      <c r="O1410" s="237"/>
      <c r="P1410" s="237"/>
      <c r="Q1410" s="237"/>
      <c r="R1410" s="237"/>
      <c r="S1410" s="237"/>
      <c r="T1410" s="237"/>
      <c r="U1410" s="237"/>
      <c r="V1410" s="237"/>
      <c r="W1410" s="237"/>
      <c r="X1410" s="237"/>
      <c r="Y1410" s="237"/>
      <c r="Z1410" s="237"/>
    </row>
    <row r="1411">
      <c r="A1411" s="305">
        <v>1410.0</v>
      </c>
      <c r="B1411" s="236"/>
      <c r="C1411" s="307" t="s">
        <v>1420</v>
      </c>
      <c r="D1411" s="308" t="s">
        <v>8343</v>
      </c>
      <c r="E1411" s="305" t="s">
        <v>8344</v>
      </c>
      <c r="F1411" s="309" t="s">
        <v>8345</v>
      </c>
      <c r="G1411" s="236"/>
      <c r="H1411" s="307" t="s">
        <v>1420</v>
      </c>
      <c r="I1411" s="237"/>
      <c r="J1411" s="237"/>
      <c r="K1411" s="310" t="s">
        <v>8342</v>
      </c>
      <c r="L1411" s="237"/>
      <c r="M1411" s="237"/>
      <c r="N1411" s="237"/>
      <c r="O1411" s="237"/>
      <c r="P1411" s="237"/>
      <c r="Q1411" s="237"/>
      <c r="R1411" s="237"/>
      <c r="S1411" s="237"/>
      <c r="T1411" s="237"/>
      <c r="U1411" s="237"/>
      <c r="V1411" s="237"/>
      <c r="W1411" s="237"/>
      <c r="X1411" s="237"/>
      <c r="Y1411" s="237"/>
      <c r="Z1411" s="237"/>
    </row>
    <row r="1412">
      <c r="A1412" s="305">
        <v>1411.0</v>
      </c>
      <c r="B1412" s="236"/>
      <c r="C1412" s="307" t="s">
        <v>1420</v>
      </c>
      <c r="D1412" s="308" t="s">
        <v>8347</v>
      </c>
      <c r="E1412" s="305" t="s">
        <v>8348</v>
      </c>
      <c r="F1412" s="309" t="s">
        <v>8349</v>
      </c>
      <c r="G1412" s="236"/>
      <c r="H1412" s="307" t="s">
        <v>1420</v>
      </c>
      <c r="I1412" s="237"/>
      <c r="J1412" s="237"/>
      <c r="K1412" s="310" t="s">
        <v>8346</v>
      </c>
      <c r="L1412" s="237"/>
      <c r="M1412" s="237"/>
      <c r="N1412" s="237"/>
      <c r="O1412" s="237"/>
      <c r="P1412" s="237"/>
      <c r="Q1412" s="237"/>
      <c r="R1412" s="237"/>
      <c r="S1412" s="237"/>
      <c r="T1412" s="237"/>
      <c r="U1412" s="237"/>
      <c r="V1412" s="237"/>
      <c r="W1412" s="237"/>
      <c r="X1412" s="237"/>
      <c r="Y1412" s="237"/>
      <c r="Z1412" s="237"/>
    </row>
    <row r="1413">
      <c r="A1413" s="305">
        <v>1412.0</v>
      </c>
      <c r="B1413" s="236"/>
      <c r="C1413" s="307" t="s">
        <v>1420</v>
      </c>
      <c r="D1413" s="308" t="s">
        <v>8351</v>
      </c>
      <c r="E1413" s="305" t="s">
        <v>8352</v>
      </c>
      <c r="F1413" s="309" t="s">
        <v>8353</v>
      </c>
      <c r="G1413" s="236"/>
      <c r="H1413" s="307" t="s">
        <v>1420</v>
      </c>
      <c r="I1413" s="237"/>
      <c r="J1413" s="237"/>
      <c r="K1413" s="310" t="s">
        <v>8350</v>
      </c>
      <c r="L1413" s="237"/>
      <c r="M1413" s="237"/>
      <c r="N1413" s="237"/>
      <c r="O1413" s="237"/>
      <c r="P1413" s="237"/>
      <c r="Q1413" s="237"/>
      <c r="R1413" s="237"/>
      <c r="S1413" s="237"/>
      <c r="T1413" s="237"/>
      <c r="U1413" s="237"/>
      <c r="V1413" s="237"/>
      <c r="W1413" s="237"/>
      <c r="X1413" s="237"/>
      <c r="Y1413" s="237"/>
      <c r="Z1413" s="237"/>
    </row>
    <row r="1414">
      <c r="A1414" s="305">
        <v>1413.0</v>
      </c>
      <c r="B1414" s="236"/>
      <c r="C1414" s="307" t="s">
        <v>1420</v>
      </c>
      <c r="D1414" s="308" t="s">
        <v>8360</v>
      </c>
      <c r="E1414" s="305" t="s">
        <v>8361</v>
      </c>
      <c r="F1414" s="309" t="s">
        <v>8362</v>
      </c>
      <c r="G1414" s="236"/>
      <c r="H1414" s="307" t="s">
        <v>1420</v>
      </c>
      <c r="I1414" s="237"/>
      <c r="J1414" s="237"/>
      <c r="K1414" s="310" t="s">
        <v>8359</v>
      </c>
      <c r="L1414" s="237"/>
      <c r="M1414" s="237"/>
      <c r="N1414" s="237"/>
      <c r="O1414" s="237"/>
      <c r="P1414" s="237"/>
      <c r="Q1414" s="237"/>
      <c r="R1414" s="237"/>
      <c r="S1414" s="237"/>
      <c r="T1414" s="237"/>
      <c r="U1414" s="237"/>
      <c r="V1414" s="237"/>
      <c r="W1414" s="237"/>
      <c r="X1414" s="237"/>
      <c r="Y1414" s="237"/>
      <c r="Z1414" s="237"/>
    </row>
    <row r="1415">
      <c r="A1415" s="305">
        <v>1414.0</v>
      </c>
      <c r="B1415" s="306" t="s">
        <v>8354</v>
      </c>
      <c r="C1415" s="307" t="s">
        <v>1420</v>
      </c>
      <c r="D1415" s="308" t="s">
        <v>8356</v>
      </c>
      <c r="E1415" s="305" t="s">
        <v>8357</v>
      </c>
      <c r="F1415" s="309" t="s">
        <v>8358</v>
      </c>
      <c r="G1415" s="236"/>
      <c r="H1415" s="307" t="s">
        <v>1420</v>
      </c>
      <c r="I1415" s="237"/>
      <c r="J1415" s="237"/>
      <c r="K1415" s="310" t="s">
        <v>8355</v>
      </c>
      <c r="L1415" s="237"/>
      <c r="M1415" s="237"/>
      <c r="N1415" s="237"/>
      <c r="O1415" s="237"/>
      <c r="P1415" s="237"/>
      <c r="Q1415" s="237"/>
      <c r="R1415" s="237"/>
      <c r="S1415" s="237"/>
      <c r="T1415" s="237"/>
      <c r="U1415" s="237"/>
      <c r="V1415" s="237"/>
      <c r="W1415" s="237"/>
      <c r="X1415" s="237"/>
      <c r="Y1415" s="237"/>
      <c r="Z1415" s="237"/>
    </row>
    <row r="1416">
      <c r="A1416" s="305">
        <v>1415.0</v>
      </c>
      <c r="B1416" s="236"/>
      <c r="C1416" s="307" t="s">
        <v>1420</v>
      </c>
      <c r="D1416" s="308" t="s">
        <v>8364</v>
      </c>
      <c r="E1416" s="305" t="s">
        <v>8365</v>
      </c>
      <c r="F1416" s="309" t="s">
        <v>8366</v>
      </c>
      <c r="G1416" s="236"/>
      <c r="H1416" s="307" t="s">
        <v>1420</v>
      </c>
      <c r="I1416" s="237"/>
      <c r="J1416" s="237"/>
      <c r="K1416" s="310" t="s">
        <v>8363</v>
      </c>
      <c r="L1416" s="237"/>
      <c r="M1416" s="237"/>
      <c r="N1416" s="237"/>
      <c r="O1416" s="237"/>
      <c r="P1416" s="237"/>
      <c r="Q1416" s="237"/>
      <c r="R1416" s="237"/>
      <c r="S1416" s="237"/>
      <c r="T1416" s="237"/>
      <c r="U1416" s="237"/>
      <c r="V1416" s="237"/>
      <c r="W1416" s="237"/>
      <c r="X1416" s="237"/>
      <c r="Y1416" s="237"/>
      <c r="Z1416" s="237"/>
    </row>
    <row r="1417">
      <c r="A1417" s="305">
        <v>1416.0</v>
      </c>
      <c r="B1417" s="236"/>
      <c r="C1417" s="307" t="s">
        <v>1420</v>
      </c>
      <c r="D1417" s="308" t="s">
        <v>8372</v>
      </c>
      <c r="E1417" s="305" t="s">
        <v>8373</v>
      </c>
      <c r="F1417" s="309" t="s">
        <v>8374</v>
      </c>
      <c r="G1417" s="236"/>
      <c r="H1417" s="307" t="s">
        <v>1420</v>
      </c>
      <c r="I1417" s="237"/>
      <c r="J1417" s="237"/>
      <c r="K1417" s="310" t="s">
        <v>8371</v>
      </c>
      <c r="L1417" s="237"/>
      <c r="M1417" s="237"/>
      <c r="N1417" s="237"/>
      <c r="O1417" s="237"/>
      <c r="P1417" s="237"/>
      <c r="Q1417" s="237"/>
      <c r="R1417" s="237"/>
      <c r="S1417" s="237"/>
      <c r="T1417" s="237"/>
      <c r="U1417" s="237"/>
      <c r="V1417" s="237"/>
      <c r="W1417" s="237"/>
      <c r="X1417" s="237"/>
      <c r="Y1417" s="237"/>
      <c r="Z1417" s="237"/>
    </row>
    <row r="1418">
      <c r="A1418" s="305">
        <v>1417.0</v>
      </c>
      <c r="B1418" s="236"/>
      <c r="C1418" s="307" t="s">
        <v>1420</v>
      </c>
      <c r="D1418" s="308" t="s">
        <v>8368</v>
      </c>
      <c r="E1418" s="305" t="s">
        <v>8369</v>
      </c>
      <c r="F1418" s="309" t="s">
        <v>8370</v>
      </c>
      <c r="G1418" s="236"/>
      <c r="H1418" s="307" t="s">
        <v>1420</v>
      </c>
      <c r="I1418" s="237"/>
      <c r="J1418" s="237"/>
      <c r="K1418" s="310" t="s">
        <v>8367</v>
      </c>
      <c r="L1418" s="237"/>
      <c r="M1418" s="237"/>
      <c r="N1418" s="237"/>
      <c r="O1418" s="237"/>
      <c r="P1418" s="237"/>
      <c r="Q1418" s="237"/>
      <c r="R1418" s="237"/>
      <c r="S1418" s="237"/>
      <c r="T1418" s="237"/>
      <c r="U1418" s="237"/>
      <c r="V1418" s="237"/>
      <c r="W1418" s="237"/>
      <c r="X1418" s="237"/>
      <c r="Y1418" s="237"/>
      <c r="Z1418" s="237"/>
    </row>
    <row r="1419">
      <c r="A1419" s="305">
        <v>1418.0</v>
      </c>
      <c r="B1419" s="236"/>
      <c r="C1419" s="307" t="s">
        <v>1420</v>
      </c>
      <c r="D1419" s="308" t="s">
        <v>8376</v>
      </c>
      <c r="E1419" s="305" t="s">
        <v>8377</v>
      </c>
      <c r="F1419" s="309" t="s">
        <v>8378</v>
      </c>
      <c r="G1419" s="236"/>
      <c r="H1419" s="307" t="s">
        <v>1420</v>
      </c>
      <c r="I1419" s="237"/>
      <c r="J1419" s="237"/>
      <c r="K1419" s="310" t="s">
        <v>8375</v>
      </c>
      <c r="L1419" s="237"/>
      <c r="M1419" s="237"/>
      <c r="N1419" s="237"/>
      <c r="O1419" s="237"/>
      <c r="P1419" s="237"/>
      <c r="Q1419" s="237"/>
      <c r="R1419" s="237"/>
      <c r="S1419" s="237"/>
      <c r="T1419" s="237"/>
      <c r="U1419" s="237"/>
      <c r="V1419" s="237"/>
      <c r="W1419" s="237"/>
      <c r="X1419" s="237"/>
      <c r="Y1419" s="237"/>
      <c r="Z1419" s="237"/>
    </row>
    <row r="1420">
      <c r="A1420" s="305">
        <v>1419.0</v>
      </c>
      <c r="B1420" s="236"/>
      <c r="C1420" s="307" t="s">
        <v>1420</v>
      </c>
      <c r="D1420" s="308" t="s">
        <v>8384</v>
      </c>
      <c r="E1420" s="305" t="s">
        <v>8385</v>
      </c>
      <c r="F1420" s="309" t="s">
        <v>8386</v>
      </c>
      <c r="G1420" s="236"/>
      <c r="H1420" s="307" t="s">
        <v>1420</v>
      </c>
      <c r="I1420" s="237"/>
      <c r="J1420" s="237"/>
      <c r="K1420" s="310" t="s">
        <v>8383</v>
      </c>
      <c r="L1420" s="237"/>
      <c r="M1420" s="237"/>
      <c r="N1420" s="237"/>
      <c r="O1420" s="237"/>
      <c r="P1420" s="237"/>
      <c r="Q1420" s="237"/>
      <c r="R1420" s="237"/>
      <c r="S1420" s="237"/>
      <c r="T1420" s="237"/>
      <c r="U1420" s="237"/>
      <c r="V1420" s="237"/>
      <c r="W1420" s="237"/>
      <c r="X1420" s="237"/>
      <c r="Y1420" s="237"/>
      <c r="Z1420" s="237"/>
    </row>
    <row r="1421">
      <c r="A1421" s="305">
        <v>1420.0</v>
      </c>
      <c r="B1421" s="236"/>
      <c r="C1421" s="307" t="s">
        <v>1420</v>
      </c>
      <c r="D1421" s="308" t="s">
        <v>8388</v>
      </c>
      <c r="E1421" s="305" t="s">
        <v>8389</v>
      </c>
      <c r="F1421" s="309" t="s">
        <v>8390</v>
      </c>
      <c r="G1421" s="236"/>
      <c r="H1421" s="307" t="s">
        <v>1420</v>
      </c>
      <c r="I1421" s="237"/>
      <c r="J1421" s="237"/>
      <c r="K1421" s="310" t="s">
        <v>8387</v>
      </c>
      <c r="L1421" s="237"/>
      <c r="M1421" s="237"/>
      <c r="N1421" s="237"/>
      <c r="O1421" s="237"/>
      <c r="P1421" s="237"/>
      <c r="Q1421" s="237"/>
      <c r="R1421" s="237"/>
      <c r="S1421" s="237"/>
      <c r="T1421" s="237"/>
      <c r="U1421" s="237"/>
      <c r="V1421" s="237"/>
      <c r="W1421" s="237"/>
      <c r="X1421" s="237"/>
      <c r="Y1421" s="237"/>
      <c r="Z1421" s="237"/>
    </row>
    <row r="1422">
      <c r="A1422" s="305">
        <v>1421.0</v>
      </c>
      <c r="B1422" s="236"/>
      <c r="C1422" s="307" t="s">
        <v>1420</v>
      </c>
      <c r="D1422" s="308" t="s">
        <v>8397</v>
      </c>
      <c r="E1422" s="305" t="s">
        <v>8398</v>
      </c>
      <c r="F1422" s="309" t="s">
        <v>8399</v>
      </c>
      <c r="G1422" s="236"/>
      <c r="H1422" s="307" t="s">
        <v>1420</v>
      </c>
      <c r="I1422" s="237"/>
      <c r="J1422" s="237"/>
      <c r="K1422" s="310" t="s">
        <v>8396</v>
      </c>
      <c r="L1422" s="237"/>
      <c r="M1422" s="237"/>
      <c r="N1422" s="237"/>
      <c r="O1422" s="237"/>
      <c r="P1422" s="237"/>
      <c r="Q1422" s="237"/>
      <c r="R1422" s="237"/>
      <c r="S1422" s="237"/>
      <c r="T1422" s="237"/>
      <c r="U1422" s="237"/>
      <c r="V1422" s="237"/>
      <c r="W1422" s="237"/>
      <c r="X1422" s="237"/>
      <c r="Y1422" s="237"/>
      <c r="Z1422" s="237"/>
    </row>
    <row r="1423">
      <c r="A1423" s="305">
        <v>1422.0</v>
      </c>
      <c r="B1423" s="306" t="s">
        <v>8391</v>
      </c>
      <c r="C1423" s="307" t="s">
        <v>1420</v>
      </c>
      <c r="D1423" s="308" t="s">
        <v>8393</v>
      </c>
      <c r="E1423" s="305" t="s">
        <v>8394</v>
      </c>
      <c r="F1423" s="309" t="s">
        <v>8395</v>
      </c>
      <c r="G1423" s="236"/>
      <c r="H1423" s="307" t="s">
        <v>1420</v>
      </c>
      <c r="I1423" s="237"/>
      <c r="J1423" s="237"/>
      <c r="K1423" s="310" t="s">
        <v>8392</v>
      </c>
      <c r="L1423" s="237"/>
      <c r="M1423" s="237"/>
      <c r="N1423" s="237"/>
      <c r="O1423" s="237"/>
      <c r="P1423" s="237"/>
      <c r="Q1423" s="237"/>
      <c r="R1423" s="237"/>
      <c r="S1423" s="237"/>
      <c r="T1423" s="237"/>
      <c r="U1423" s="237"/>
      <c r="V1423" s="237"/>
      <c r="W1423" s="237"/>
      <c r="X1423" s="237"/>
      <c r="Y1423" s="237"/>
      <c r="Z1423" s="237"/>
    </row>
    <row r="1424">
      <c r="A1424" s="305">
        <v>1423.0</v>
      </c>
      <c r="B1424" s="236"/>
      <c r="C1424" s="307" t="s">
        <v>1420</v>
      </c>
      <c r="D1424" s="308" t="s">
        <v>8406</v>
      </c>
      <c r="E1424" s="305" t="s">
        <v>8407</v>
      </c>
      <c r="F1424" s="309" t="s">
        <v>8408</v>
      </c>
      <c r="G1424" s="236"/>
      <c r="H1424" s="307" t="s">
        <v>1420</v>
      </c>
      <c r="I1424" s="237"/>
      <c r="J1424" s="237"/>
      <c r="K1424" s="310" t="s">
        <v>8405</v>
      </c>
      <c r="L1424" s="237"/>
      <c r="M1424" s="237"/>
      <c r="N1424" s="237"/>
      <c r="O1424" s="237"/>
      <c r="P1424" s="237"/>
      <c r="Q1424" s="237"/>
      <c r="R1424" s="237"/>
      <c r="S1424" s="237"/>
      <c r="T1424" s="237"/>
      <c r="U1424" s="237"/>
      <c r="V1424" s="237"/>
      <c r="W1424" s="237"/>
      <c r="X1424" s="237"/>
      <c r="Y1424" s="237"/>
      <c r="Z1424" s="237"/>
    </row>
    <row r="1425">
      <c r="A1425" s="305">
        <v>1424.0</v>
      </c>
      <c r="B1425" s="306" t="s">
        <v>8400</v>
      </c>
      <c r="C1425" s="307" t="s">
        <v>1420</v>
      </c>
      <c r="D1425" s="308" t="s">
        <v>8402</v>
      </c>
      <c r="E1425" s="305" t="s">
        <v>8403</v>
      </c>
      <c r="F1425" s="309" t="s">
        <v>8404</v>
      </c>
      <c r="G1425" s="236"/>
      <c r="H1425" s="307" t="s">
        <v>1420</v>
      </c>
      <c r="I1425" s="237"/>
      <c r="J1425" s="237"/>
      <c r="K1425" s="310" t="s">
        <v>8401</v>
      </c>
      <c r="L1425" s="237"/>
      <c r="M1425" s="237"/>
      <c r="N1425" s="237"/>
      <c r="O1425" s="237"/>
      <c r="P1425" s="237"/>
      <c r="Q1425" s="237"/>
      <c r="R1425" s="237"/>
      <c r="S1425" s="237"/>
      <c r="T1425" s="237"/>
      <c r="U1425" s="237"/>
      <c r="V1425" s="237"/>
      <c r="W1425" s="237"/>
      <c r="X1425" s="237"/>
      <c r="Y1425" s="237"/>
      <c r="Z1425" s="237"/>
    </row>
    <row r="1426">
      <c r="A1426" s="305">
        <v>1425.0</v>
      </c>
      <c r="B1426" s="236"/>
      <c r="C1426" s="307" t="s">
        <v>1420</v>
      </c>
      <c r="D1426" s="308" t="s">
        <v>8414</v>
      </c>
      <c r="E1426" s="305" t="s">
        <v>8415</v>
      </c>
      <c r="F1426" s="309" t="s">
        <v>8416</v>
      </c>
      <c r="G1426" s="236"/>
      <c r="H1426" s="307" t="s">
        <v>1420</v>
      </c>
      <c r="I1426" s="237"/>
      <c r="J1426" s="237"/>
      <c r="K1426" s="310" t="s">
        <v>8413</v>
      </c>
      <c r="L1426" s="237"/>
      <c r="M1426" s="237"/>
      <c r="N1426" s="237"/>
      <c r="O1426" s="237"/>
      <c r="P1426" s="237"/>
      <c r="Q1426" s="237"/>
      <c r="R1426" s="237"/>
      <c r="S1426" s="237"/>
      <c r="T1426" s="237"/>
      <c r="U1426" s="237"/>
      <c r="V1426" s="237"/>
      <c r="W1426" s="237"/>
      <c r="X1426" s="237"/>
      <c r="Y1426" s="237"/>
      <c r="Z1426" s="237"/>
    </row>
    <row r="1427">
      <c r="A1427" s="305">
        <v>1426.0</v>
      </c>
      <c r="B1427" s="236"/>
      <c r="C1427" s="307" t="s">
        <v>1420</v>
      </c>
      <c r="D1427" s="308" t="s">
        <v>8410</v>
      </c>
      <c r="E1427" s="305" t="s">
        <v>8411</v>
      </c>
      <c r="F1427" s="309" t="s">
        <v>8412</v>
      </c>
      <c r="G1427" s="236"/>
      <c r="H1427" s="307" t="s">
        <v>1420</v>
      </c>
      <c r="I1427" s="237"/>
      <c r="J1427" s="237"/>
      <c r="K1427" s="310" t="s">
        <v>8409</v>
      </c>
      <c r="L1427" s="237"/>
      <c r="M1427" s="237"/>
      <c r="N1427" s="237"/>
      <c r="O1427" s="237"/>
      <c r="P1427" s="237"/>
      <c r="Q1427" s="237"/>
      <c r="R1427" s="237"/>
      <c r="S1427" s="237"/>
      <c r="T1427" s="237"/>
      <c r="U1427" s="237"/>
      <c r="V1427" s="237"/>
      <c r="W1427" s="237"/>
      <c r="X1427" s="237"/>
      <c r="Y1427" s="237"/>
      <c r="Z1427" s="237"/>
    </row>
    <row r="1428">
      <c r="A1428" s="305">
        <v>1427.0</v>
      </c>
      <c r="B1428" s="306">
        <v>12809.0</v>
      </c>
      <c r="C1428" s="307" t="s">
        <v>1420</v>
      </c>
      <c r="D1428" s="308" t="s">
        <v>4064</v>
      </c>
      <c r="E1428" s="305" t="s">
        <v>4065</v>
      </c>
      <c r="F1428" s="309" t="s">
        <v>4066</v>
      </c>
      <c r="G1428" s="236"/>
      <c r="H1428" s="307" t="s">
        <v>1420</v>
      </c>
      <c r="I1428" s="237"/>
      <c r="J1428" s="237"/>
      <c r="K1428" s="310" t="s">
        <v>4063</v>
      </c>
      <c r="L1428" s="237"/>
      <c r="M1428" s="237"/>
      <c r="N1428" s="237"/>
      <c r="O1428" s="237"/>
      <c r="P1428" s="237"/>
      <c r="Q1428" s="237"/>
      <c r="R1428" s="237"/>
      <c r="S1428" s="237"/>
      <c r="T1428" s="237"/>
      <c r="U1428" s="237"/>
      <c r="V1428" s="237"/>
      <c r="W1428" s="237"/>
      <c r="X1428" s="237"/>
      <c r="Y1428" s="237"/>
      <c r="Z1428" s="237"/>
    </row>
    <row r="1429">
      <c r="A1429" s="305">
        <v>1428.0</v>
      </c>
      <c r="B1429" s="306">
        <v>5.0010107E7</v>
      </c>
      <c r="C1429" s="307" t="s">
        <v>1420</v>
      </c>
      <c r="D1429" s="308" t="s">
        <v>5187</v>
      </c>
      <c r="E1429" s="305" t="s">
        <v>5188</v>
      </c>
      <c r="F1429" s="309" t="s">
        <v>5189</v>
      </c>
      <c r="G1429" s="236"/>
      <c r="H1429" s="307" t="s">
        <v>1420</v>
      </c>
      <c r="I1429" s="237"/>
      <c r="J1429" s="237"/>
      <c r="K1429" s="310" t="s">
        <v>5186</v>
      </c>
      <c r="L1429" s="237"/>
      <c r="M1429" s="237"/>
      <c r="N1429" s="237"/>
      <c r="O1429" s="237"/>
      <c r="P1429" s="237"/>
      <c r="Q1429" s="237"/>
      <c r="R1429" s="237"/>
      <c r="S1429" s="237"/>
      <c r="T1429" s="237"/>
      <c r="U1429" s="237"/>
      <c r="V1429" s="237"/>
      <c r="W1429" s="237"/>
      <c r="X1429" s="237"/>
      <c r="Y1429" s="237"/>
      <c r="Z1429" s="237"/>
    </row>
    <row r="1430">
      <c r="A1430" s="305">
        <v>1429.0</v>
      </c>
      <c r="B1430" s="306">
        <v>5.0010109E7</v>
      </c>
      <c r="C1430" s="307" t="s">
        <v>1420</v>
      </c>
      <c r="D1430" s="308" t="s">
        <v>2472</v>
      </c>
      <c r="E1430" s="305" t="s">
        <v>5179</v>
      </c>
      <c r="F1430" s="309" t="s">
        <v>5180</v>
      </c>
      <c r="G1430" s="236"/>
      <c r="H1430" s="307" t="s">
        <v>1420</v>
      </c>
      <c r="I1430" s="237"/>
      <c r="J1430" s="237"/>
      <c r="K1430" s="310" t="s">
        <v>5178</v>
      </c>
      <c r="L1430" s="237"/>
      <c r="M1430" s="237"/>
      <c r="N1430" s="237"/>
      <c r="O1430" s="237"/>
      <c r="P1430" s="237"/>
      <c r="Q1430" s="237"/>
      <c r="R1430" s="237"/>
      <c r="S1430" s="237"/>
      <c r="T1430" s="237"/>
      <c r="U1430" s="237"/>
      <c r="V1430" s="237"/>
      <c r="W1430" s="237"/>
      <c r="X1430" s="237"/>
      <c r="Y1430" s="237"/>
      <c r="Z1430" s="237"/>
    </row>
    <row r="1431">
      <c r="A1431" s="305">
        <v>1430.0</v>
      </c>
      <c r="B1431" s="306">
        <v>5.0010108E7</v>
      </c>
      <c r="C1431" s="307" t="s">
        <v>1420</v>
      </c>
      <c r="D1431" s="308" t="s">
        <v>2204</v>
      </c>
      <c r="E1431" s="305" t="s">
        <v>5183</v>
      </c>
      <c r="F1431" s="309" t="s">
        <v>5184</v>
      </c>
      <c r="G1431" s="236"/>
      <c r="H1431" s="307" t="s">
        <v>1420</v>
      </c>
      <c r="I1431" s="237"/>
      <c r="J1431" s="237"/>
      <c r="K1431" s="310" t="s">
        <v>5182</v>
      </c>
      <c r="L1431" s="237"/>
      <c r="M1431" s="237"/>
      <c r="N1431" s="237"/>
      <c r="O1431" s="237"/>
      <c r="P1431" s="237"/>
      <c r="Q1431" s="237"/>
      <c r="R1431" s="237"/>
      <c r="S1431" s="237"/>
      <c r="T1431" s="237"/>
      <c r="U1431" s="237"/>
      <c r="V1431" s="237"/>
      <c r="W1431" s="237"/>
      <c r="X1431" s="237"/>
      <c r="Y1431" s="237"/>
      <c r="Z1431" s="237"/>
    </row>
    <row r="1432">
      <c r="A1432" s="305">
        <v>1431.0</v>
      </c>
      <c r="B1432" s="306">
        <v>5.001011E7</v>
      </c>
      <c r="C1432" s="307" t="s">
        <v>1420</v>
      </c>
      <c r="D1432" s="308" t="s">
        <v>5174</v>
      </c>
      <c r="E1432" s="305" t="s">
        <v>5175</v>
      </c>
      <c r="F1432" s="309" t="s">
        <v>5176</v>
      </c>
      <c r="G1432" s="236"/>
      <c r="H1432" s="307" t="s">
        <v>1420</v>
      </c>
      <c r="I1432" s="237"/>
      <c r="J1432" s="237"/>
      <c r="K1432" s="310" t="s">
        <v>5173</v>
      </c>
      <c r="L1432" s="237"/>
      <c r="M1432" s="237"/>
      <c r="N1432" s="237"/>
      <c r="O1432" s="237"/>
      <c r="P1432" s="237"/>
      <c r="Q1432" s="237"/>
      <c r="R1432" s="237"/>
      <c r="S1432" s="237"/>
      <c r="T1432" s="237"/>
      <c r="U1432" s="237"/>
      <c r="V1432" s="237"/>
      <c r="W1432" s="237"/>
      <c r="X1432" s="237"/>
      <c r="Y1432" s="237"/>
      <c r="Z1432" s="237"/>
    </row>
    <row r="1433">
      <c r="A1433" s="305">
        <v>1432.0</v>
      </c>
      <c r="B1433" s="236"/>
      <c r="C1433" s="307" t="s">
        <v>1420</v>
      </c>
      <c r="D1433" s="308" t="s">
        <v>14428</v>
      </c>
      <c r="E1433" s="305" t="s">
        <v>5170</v>
      </c>
      <c r="F1433" s="309" t="s">
        <v>5171</v>
      </c>
      <c r="G1433" s="236"/>
      <c r="H1433" s="307" t="s">
        <v>1420</v>
      </c>
      <c r="I1433" s="237"/>
      <c r="J1433" s="237"/>
      <c r="K1433" s="310" t="s">
        <v>5169</v>
      </c>
      <c r="L1433" s="237"/>
      <c r="M1433" s="237"/>
      <c r="N1433" s="237"/>
      <c r="O1433" s="237"/>
      <c r="P1433" s="237"/>
      <c r="Q1433" s="237"/>
      <c r="R1433" s="237"/>
      <c r="S1433" s="237"/>
      <c r="T1433" s="237"/>
      <c r="U1433" s="237"/>
      <c r="V1433" s="237"/>
      <c r="W1433" s="237"/>
      <c r="X1433" s="237"/>
      <c r="Y1433" s="237"/>
      <c r="Z1433" s="237"/>
    </row>
    <row r="1434">
      <c r="A1434" s="305">
        <v>1433.0</v>
      </c>
      <c r="B1434" s="236"/>
      <c r="C1434" s="307" t="s">
        <v>1420</v>
      </c>
      <c r="D1434" s="308" t="s">
        <v>7898</v>
      </c>
      <c r="E1434" s="305" t="s">
        <v>7899</v>
      </c>
      <c r="F1434" s="309" t="s">
        <v>7900</v>
      </c>
      <c r="G1434" s="236"/>
      <c r="H1434" s="307" t="s">
        <v>1420</v>
      </c>
      <c r="I1434" s="237"/>
      <c r="J1434" s="237"/>
      <c r="K1434" s="310" t="s">
        <v>7897</v>
      </c>
      <c r="L1434" s="237"/>
      <c r="M1434" s="237"/>
      <c r="N1434" s="237"/>
      <c r="O1434" s="237"/>
      <c r="P1434" s="237"/>
      <c r="Q1434" s="237"/>
      <c r="R1434" s="237"/>
      <c r="S1434" s="237"/>
      <c r="T1434" s="237"/>
      <c r="U1434" s="237"/>
      <c r="V1434" s="237"/>
      <c r="W1434" s="237"/>
      <c r="X1434" s="237"/>
      <c r="Y1434" s="237"/>
      <c r="Z1434" s="237"/>
    </row>
    <row r="1435">
      <c r="A1435" s="305">
        <v>1434.0</v>
      </c>
      <c r="B1435" s="236"/>
      <c r="C1435" s="307" t="s">
        <v>1420</v>
      </c>
      <c r="D1435" s="308" t="s">
        <v>7894</v>
      </c>
      <c r="E1435" s="305" t="s">
        <v>7895</v>
      </c>
      <c r="F1435" s="309" t="s">
        <v>7896</v>
      </c>
      <c r="G1435" s="236"/>
      <c r="H1435" s="307" t="s">
        <v>1420</v>
      </c>
      <c r="I1435" s="237"/>
      <c r="J1435" s="237"/>
      <c r="K1435" s="310" t="s">
        <v>7893</v>
      </c>
      <c r="L1435" s="237"/>
      <c r="M1435" s="237"/>
      <c r="N1435" s="237"/>
      <c r="O1435" s="237"/>
      <c r="P1435" s="237"/>
      <c r="Q1435" s="237"/>
      <c r="R1435" s="237"/>
      <c r="S1435" s="237"/>
      <c r="T1435" s="237"/>
      <c r="U1435" s="237"/>
      <c r="V1435" s="237"/>
      <c r="W1435" s="237"/>
      <c r="X1435" s="237"/>
      <c r="Y1435" s="237"/>
      <c r="Z1435" s="237"/>
    </row>
    <row r="1436">
      <c r="A1436" s="305">
        <v>1435.0</v>
      </c>
      <c r="B1436" s="236"/>
      <c r="C1436" s="307" t="s">
        <v>1420</v>
      </c>
      <c r="D1436" s="308" t="s">
        <v>8607</v>
      </c>
      <c r="E1436" s="305" t="s">
        <v>8608</v>
      </c>
      <c r="F1436" s="309" t="s">
        <v>8609</v>
      </c>
      <c r="G1436" s="236"/>
      <c r="H1436" s="307" t="s">
        <v>1420</v>
      </c>
      <c r="I1436" s="237"/>
      <c r="J1436" s="237"/>
      <c r="K1436" s="310" t="s">
        <v>8606</v>
      </c>
      <c r="L1436" s="237"/>
      <c r="M1436" s="237"/>
      <c r="N1436" s="237"/>
      <c r="O1436" s="237"/>
      <c r="P1436" s="237"/>
      <c r="Q1436" s="237"/>
      <c r="R1436" s="237"/>
      <c r="S1436" s="237"/>
      <c r="T1436" s="237"/>
      <c r="U1436" s="237"/>
      <c r="V1436" s="237"/>
      <c r="W1436" s="237"/>
      <c r="X1436" s="237"/>
      <c r="Y1436" s="237"/>
      <c r="Z1436" s="237"/>
    </row>
    <row r="1437">
      <c r="A1437" s="305">
        <v>1436.0</v>
      </c>
      <c r="B1437" s="236"/>
      <c r="C1437" s="307" t="s">
        <v>1420</v>
      </c>
      <c r="D1437" s="308" t="s">
        <v>8611</v>
      </c>
      <c r="E1437" s="305" t="s">
        <v>8612</v>
      </c>
      <c r="F1437" s="309" t="s">
        <v>8609</v>
      </c>
      <c r="G1437" s="236"/>
      <c r="H1437" s="307" t="s">
        <v>1420</v>
      </c>
      <c r="I1437" s="237"/>
      <c r="J1437" s="237"/>
      <c r="K1437" s="310" t="s">
        <v>8610</v>
      </c>
      <c r="L1437" s="237"/>
      <c r="M1437" s="237"/>
      <c r="N1437" s="237"/>
      <c r="O1437" s="237"/>
      <c r="P1437" s="237"/>
      <c r="Q1437" s="237"/>
      <c r="R1437" s="237"/>
      <c r="S1437" s="237"/>
      <c r="T1437" s="237"/>
      <c r="U1437" s="237"/>
      <c r="V1437" s="237"/>
      <c r="W1437" s="237"/>
      <c r="X1437" s="237"/>
      <c r="Y1437" s="237"/>
      <c r="Z1437" s="237"/>
    </row>
    <row r="1438">
      <c r="A1438" s="305">
        <v>1437.0</v>
      </c>
      <c r="B1438" s="236"/>
      <c r="C1438" s="307" t="s">
        <v>1420</v>
      </c>
      <c r="D1438" s="308" t="s">
        <v>8614</v>
      </c>
      <c r="E1438" s="305" t="s">
        <v>8615</v>
      </c>
      <c r="F1438" s="236"/>
      <c r="G1438" s="236"/>
      <c r="H1438" s="307" t="s">
        <v>1420</v>
      </c>
      <c r="I1438" s="237"/>
      <c r="J1438" s="237"/>
      <c r="K1438" s="310" t="s">
        <v>8613</v>
      </c>
      <c r="L1438" s="237"/>
      <c r="M1438" s="237"/>
      <c r="N1438" s="237"/>
      <c r="O1438" s="237"/>
      <c r="P1438" s="237"/>
      <c r="Q1438" s="237"/>
      <c r="R1438" s="237"/>
      <c r="S1438" s="237"/>
      <c r="T1438" s="237"/>
      <c r="U1438" s="237"/>
      <c r="V1438" s="237"/>
      <c r="W1438" s="237"/>
      <c r="X1438" s="237"/>
      <c r="Y1438" s="237"/>
      <c r="Z1438" s="237"/>
    </row>
    <row r="1439">
      <c r="A1439" s="305">
        <v>1438.0</v>
      </c>
      <c r="B1439" s="306">
        <v>5.0012951E7</v>
      </c>
      <c r="C1439" s="307" t="s">
        <v>1420</v>
      </c>
      <c r="D1439" s="308" t="s">
        <v>10096</v>
      </c>
      <c r="E1439" s="305" t="s">
        <v>10097</v>
      </c>
      <c r="F1439" s="309" t="s">
        <v>10098</v>
      </c>
      <c r="G1439" s="236"/>
      <c r="H1439" s="307" t="s">
        <v>1420</v>
      </c>
      <c r="I1439" s="237"/>
      <c r="J1439" s="237"/>
      <c r="K1439" s="310" t="s">
        <v>10095</v>
      </c>
      <c r="L1439" s="237"/>
      <c r="M1439" s="237"/>
      <c r="N1439" s="237"/>
      <c r="O1439" s="237"/>
      <c r="P1439" s="237"/>
      <c r="Q1439" s="237"/>
      <c r="R1439" s="237"/>
      <c r="S1439" s="237"/>
      <c r="T1439" s="237"/>
      <c r="U1439" s="237"/>
      <c r="V1439" s="237"/>
      <c r="W1439" s="237"/>
      <c r="X1439" s="237"/>
      <c r="Y1439" s="237"/>
      <c r="Z1439" s="237"/>
    </row>
    <row r="1440">
      <c r="A1440" s="305">
        <v>1439.0</v>
      </c>
      <c r="B1440" s="306">
        <v>5.0010836E7</v>
      </c>
      <c r="C1440" s="307" t="s">
        <v>1420</v>
      </c>
      <c r="D1440" s="308" t="s">
        <v>6079</v>
      </c>
      <c r="E1440" s="305" t="s">
        <v>6080</v>
      </c>
      <c r="F1440" s="309" t="s">
        <v>6081</v>
      </c>
      <c r="G1440" s="236"/>
      <c r="H1440" s="307" t="s">
        <v>1420</v>
      </c>
      <c r="I1440" s="237"/>
      <c r="J1440" s="237"/>
      <c r="K1440" s="310" t="s">
        <v>6078</v>
      </c>
      <c r="L1440" s="237"/>
      <c r="M1440" s="237"/>
      <c r="N1440" s="237"/>
      <c r="O1440" s="237"/>
      <c r="P1440" s="237"/>
      <c r="Q1440" s="237"/>
      <c r="R1440" s="237"/>
      <c r="S1440" s="237"/>
      <c r="T1440" s="237"/>
      <c r="U1440" s="237"/>
      <c r="V1440" s="237"/>
      <c r="W1440" s="237"/>
      <c r="X1440" s="237"/>
      <c r="Y1440" s="237"/>
      <c r="Z1440" s="237"/>
    </row>
    <row r="1441">
      <c r="A1441" s="305">
        <v>1440.0</v>
      </c>
      <c r="B1441" s="306">
        <v>5.0010846E7</v>
      </c>
      <c r="C1441" s="307" t="s">
        <v>1420</v>
      </c>
      <c r="D1441" s="308" t="s">
        <v>6139</v>
      </c>
      <c r="E1441" s="305" t="s">
        <v>6140</v>
      </c>
      <c r="F1441" s="309" t="s">
        <v>6141</v>
      </c>
      <c r="G1441" s="236"/>
      <c r="H1441" s="307" t="s">
        <v>1420</v>
      </c>
      <c r="I1441" s="237"/>
      <c r="J1441" s="237"/>
      <c r="K1441" s="310" t="s">
        <v>6138</v>
      </c>
      <c r="L1441" s="237"/>
      <c r="M1441" s="237"/>
      <c r="N1441" s="237"/>
      <c r="O1441" s="237"/>
      <c r="P1441" s="237"/>
      <c r="Q1441" s="237"/>
      <c r="R1441" s="237"/>
      <c r="S1441" s="237"/>
      <c r="T1441" s="237"/>
      <c r="U1441" s="237"/>
      <c r="V1441" s="237"/>
      <c r="W1441" s="237"/>
      <c r="X1441" s="237"/>
      <c r="Y1441" s="237"/>
      <c r="Z1441" s="237"/>
    </row>
    <row r="1442">
      <c r="A1442" s="305">
        <v>1441.0</v>
      </c>
      <c r="B1442" s="306">
        <v>5.0010847E7</v>
      </c>
      <c r="C1442" s="307" t="s">
        <v>1420</v>
      </c>
      <c r="D1442" s="308" t="s">
        <v>6084</v>
      </c>
      <c r="E1442" s="305" t="s">
        <v>6085</v>
      </c>
      <c r="F1442" s="309" t="s">
        <v>6086</v>
      </c>
      <c r="G1442" s="236"/>
      <c r="H1442" s="307" t="s">
        <v>1420</v>
      </c>
      <c r="I1442" s="237"/>
      <c r="J1442" s="237"/>
      <c r="K1442" s="310" t="s">
        <v>6083</v>
      </c>
      <c r="L1442" s="237"/>
      <c r="M1442" s="237"/>
      <c r="N1442" s="237"/>
      <c r="O1442" s="237"/>
      <c r="P1442" s="237"/>
      <c r="Q1442" s="237"/>
      <c r="R1442" s="237"/>
      <c r="S1442" s="237"/>
      <c r="T1442" s="237"/>
      <c r="U1442" s="237"/>
      <c r="V1442" s="237"/>
      <c r="W1442" s="237"/>
      <c r="X1442" s="237"/>
      <c r="Y1442" s="237"/>
      <c r="Z1442" s="237"/>
    </row>
    <row r="1443">
      <c r="A1443" s="305">
        <v>1442.0</v>
      </c>
      <c r="B1443" s="306">
        <v>5.0005673E7</v>
      </c>
      <c r="C1443" s="307" t="s">
        <v>1420</v>
      </c>
      <c r="D1443" s="308" t="s">
        <v>6144</v>
      </c>
      <c r="E1443" s="305" t="s">
        <v>6145</v>
      </c>
      <c r="F1443" s="309" t="s">
        <v>6146</v>
      </c>
      <c r="G1443" s="236"/>
      <c r="H1443" s="307" t="s">
        <v>1420</v>
      </c>
      <c r="I1443" s="237"/>
      <c r="J1443" s="237"/>
      <c r="K1443" s="310" t="s">
        <v>6143</v>
      </c>
      <c r="L1443" s="237"/>
      <c r="M1443" s="237"/>
      <c r="N1443" s="237"/>
      <c r="O1443" s="237"/>
      <c r="P1443" s="237"/>
      <c r="Q1443" s="237"/>
      <c r="R1443" s="237"/>
      <c r="S1443" s="237"/>
      <c r="T1443" s="237"/>
      <c r="U1443" s="237"/>
      <c r="V1443" s="237"/>
      <c r="W1443" s="237"/>
      <c r="X1443" s="237"/>
      <c r="Y1443" s="237"/>
      <c r="Z1443" s="237"/>
    </row>
    <row r="1444">
      <c r="A1444" s="305">
        <v>1443.0</v>
      </c>
      <c r="B1444" s="306">
        <v>424182.0</v>
      </c>
      <c r="C1444" s="307" t="s">
        <v>1420</v>
      </c>
      <c r="D1444" s="308" t="s">
        <v>6388</v>
      </c>
      <c r="E1444" s="305" t="s">
        <v>6389</v>
      </c>
      <c r="F1444" s="309" t="s">
        <v>6390</v>
      </c>
      <c r="G1444" s="236"/>
      <c r="H1444" s="307" t="s">
        <v>1420</v>
      </c>
      <c r="I1444" s="237"/>
      <c r="J1444" s="237"/>
      <c r="K1444" s="310" t="s">
        <v>6387</v>
      </c>
      <c r="L1444" s="237"/>
      <c r="M1444" s="237"/>
      <c r="N1444" s="237"/>
      <c r="O1444" s="237"/>
      <c r="P1444" s="237"/>
      <c r="Q1444" s="237"/>
      <c r="R1444" s="237"/>
      <c r="S1444" s="237"/>
      <c r="T1444" s="237"/>
      <c r="U1444" s="237"/>
      <c r="V1444" s="237"/>
      <c r="W1444" s="237"/>
      <c r="X1444" s="237"/>
      <c r="Y1444" s="237"/>
      <c r="Z1444" s="237"/>
    </row>
    <row r="1445">
      <c r="A1445" s="305">
        <v>1444.0</v>
      </c>
      <c r="B1445" s="306">
        <v>424181.0</v>
      </c>
      <c r="C1445" s="307" t="s">
        <v>1420</v>
      </c>
      <c r="D1445" s="308" t="s">
        <v>6383</v>
      </c>
      <c r="E1445" s="305" t="s">
        <v>6384</v>
      </c>
      <c r="F1445" s="309" t="s">
        <v>6385</v>
      </c>
      <c r="G1445" s="236"/>
      <c r="H1445" s="307" t="s">
        <v>1420</v>
      </c>
      <c r="I1445" s="237"/>
      <c r="J1445" s="237"/>
      <c r="K1445" s="310" t="s">
        <v>6382</v>
      </c>
      <c r="L1445" s="237"/>
      <c r="M1445" s="237"/>
      <c r="N1445" s="237"/>
      <c r="O1445" s="237"/>
      <c r="P1445" s="237"/>
      <c r="Q1445" s="237"/>
      <c r="R1445" s="237"/>
      <c r="S1445" s="237"/>
      <c r="T1445" s="237"/>
      <c r="U1445" s="237"/>
      <c r="V1445" s="237"/>
      <c r="W1445" s="237"/>
      <c r="X1445" s="237"/>
      <c r="Y1445" s="237"/>
      <c r="Z1445" s="237"/>
    </row>
    <row r="1446">
      <c r="A1446" s="305">
        <v>1445.0</v>
      </c>
      <c r="B1446" s="306">
        <v>424180.0</v>
      </c>
      <c r="C1446" s="307" t="s">
        <v>1420</v>
      </c>
      <c r="D1446" s="308" t="s">
        <v>6378</v>
      </c>
      <c r="E1446" s="305" t="s">
        <v>6379</v>
      </c>
      <c r="F1446" s="309" t="s">
        <v>6380</v>
      </c>
      <c r="G1446" s="236"/>
      <c r="H1446" s="307" t="s">
        <v>1420</v>
      </c>
      <c r="I1446" s="237"/>
      <c r="J1446" s="237"/>
      <c r="K1446" s="310" t="s">
        <v>6377</v>
      </c>
      <c r="L1446" s="237"/>
      <c r="M1446" s="237"/>
      <c r="N1446" s="237"/>
      <c r="O1446" s="237"/>
      <c r="P1446" s="237"/>
      <c r="Q1446" s="237"/>
      <c r="R1446" s="237"/>
      <c r="S1446" s="237"/>
      <c r="T1446" s="237"/>
      <c r="U1446" s="237"/>
      <c r="V1446" s="237"/>
      <c r="W1446" s="237"/>
      <c r="X1446" s="237"/>
      <c r="Y1446" s="237"/>
      <c r="Z1446" s="237"/>
    </row>
    <row r="1447">
      <c r="A1447" s="305">
        <v>1446.0</v>
      </c>
      <c r="B1447" s="306">
        <v>424185.0</v>
      </c>
      <c r="C1447" s="307" t="s">
        <v>1420</v>
      </c>
      <c r="D1447" s="308" t="s">
        <v>6348</v>
      </c>
      <c r="E1447" s="305" t="s">
        <v>6349</v>
      </c>
      <c r="F1447" s="309" t="s">
        <v>6350</v>
      </c>
      <c r="G1447" s="236"/>
      <c r="H1447" s="307" t="s">
        <v>1420</v>
      </c>
      <c r="I1447" s="237"/>
      <c r="J1447" s="237"/>
      <c r="K1447" s="310" t="s">
        <v>6347</v>
      </c>
      <c r="L1447" s="237"/>
      <c r="M1447" s="237"/>
      <c r="N1447" s="237"/>
      <c r="O1447" s="237"/>
      <c r="P1447" s="237"/>
      <c r="Q1447" s="237"/>
      <c r="R1447" s="237"/>
      <c r="S1447" s="237"/>
      <c r="T1447" s="237"/>
      <c r="U1447" s="237"/>
      <c r="V1447" s="237"/>
      <c r="W1447" s="237"/>
      <c r="X1447" s="237"/>
      <c r="Y1447" s="237"/>
      <c r="Z1447" s="237"/>
    </row>
    <row r="1448">
      <c r="A1448" s="305">
        <v>1447.0</v>
      </c>
      <c r="B1448" s="306">
        <v>11657.0</v>
      </c>
      <c r="C1448" s="307" t="s">
        <v>1420</v>
      </c>
      <c r="D1448" s="308" t="s">
        <v>6574</v>
      </c>
      <c r="E1448" s="305" t="s">
        <v>6575</v>
      </c>
      <c r="F1448" s="309" t="s">
        <v>6576</v>
      </c>
      <c r="G1448" s="236"/>
      <c r="H1448" s="307" t="s">
        <v>1420</v>
      </c>
      <c r="I1448" s="237"/>
      <c r="J1448" s="237"/>
      <c r="K1448" s="310" t="s">
        <v>6573</v>
      </c>
      <c r="L1448" s="237"/>
      <c r="M1448" s="237"/>
      <c r="N1448" s="237"/>
      <c r="O1448" s="237"/>
      <c r="P1448" s="237"/>
      <c r="Q1448" s="237"/>
      <c r="R1448" s="237"/>
      <c r="S1448" s="237"/>
      <c r="T1448" s="237"/>
      <c r="U1448" s="237"/>
      <c r="V1448" s="237"/>
      <c r="W1448" s="237"/>
      <c r="X1448" s="237"/>
      <c r="Y1448" s="237"/>
      <c r="Z1448" s="237"/>
    </row>
    <row r="1449">
      <c r="A1449" s="305">
        <v>1448.0</v>
      </c>
      <c r="B1449" s="306">
        <v>12952.0</v>
      </c>
      <c r="C1449" s="307" t="s">
        <v>1420</v>
      </c>
      <c r="D1449" s="308" t="s">
        <v>4019</v>
      </c>
      <c r="E1449" s="305" t="s">
        <v>4020</v>
      </c>
      <c r="F1449" s="309" t="s">
        <v>4021</v>
      </c>
      <c r="G1449" s="236"/>
      <c r="H1449" s="307" t="s">
        <v>1420</v>
      </c>
      <c r="I1449" s="237"/>
      <c r="J1449" s="237"/>
      <c r="K1449" s="310" t="s">
        <v>4018</v>
      </c>
      <c r="L1449" s="237"/>
      <c r="M1449" s="237"/>
      <c r="N1449" s="237"/>
      <c r="O1449" s="237"/>
      <c r="P1449" s="237"/>
      <c r="Q1449" s="237"/>
      <c r="R1449" s="237"/>
      <c r="S1449" s="237"/>
      <c r="T1449" s="237"/>
      <c r="U1449" s="237"/>
      <c r="V1449" s="237"/>
      <c r="W1449" s="237"/>
      <c r="X1449" s="237"/>
      <c r="Y1449" s="237"/>
      <c r="Z1449" s="237"/>
    </row>
    <row r="1450">
      <c r="A1450" s="305">
        <v>1449.0</v>
      </c>
      <c r="B1450" s="306">
        <v>17036.0</v>
      </c>
      <c r="C1450" s="307" t="s">
        <v>1420</v>
      </c>
      <c r="D1450" s="308" t="s">
        <v>4014</v>
      </c>
      <c r="E1450" s="305" t="s">
        <v>4015</v>
      </c>
      <c r="F1450" s="309" t="s">
        <v>4016</v>
      </c>
      <c r="G1450" s="236"/>
      <c r="H1450" s="307" t="s">
        <v>1420</v>
      </c>
      <c r="I1450" s="237"/>
      <c r="J1450" s="237"/>
      <c r="K1450" s="310" t="s">
        <v>4013</v>
      </c>
      <c r="L1450" s="237"/>
      <c r="M1450" s="237"/>
      <c r="N1450" s="237"/>
      <c r="O1450" s="237"/>
      <c r="P1450" s="237"/>
      <c r="Q1450" s="237"/>
      <c r="R1450" s="237"/>
      <c r="S1450" s="237"/>
      <c r="T1450" s="237"/>
      <c r="U1450" s="237"/>
      <c r="V1450" s="237"/>
      <c r="W1450" s="237"/>
      <c r="X1450" s="237"/>
      <c r="Y1450" s="237"/>
      <c r="Z1450" s="237"/>
    </row>
    <row r="1451">
      <c r="A1451" s="305">
        <v>1450.0</v>
      </c>
      <c r="B1451" s="236"/>
      <c r="C1451" s="307" t="s">
        <v>1420</v>
      </c>
      <c r="D1451" s="308" t="s">
        <v>12416</v>
      </c>
      <c r="E1451" s="305" t="s">
        <v>12417</v>
      </c>
      <c r="F1451" s="309" t="s">
        <v>12418</v>
      </c>
      <c r="G1451" s="236"/>
      <c r="H1451" s="307" t="s">
        <v>1420</v>
      </c>
      <c r="I1451" s="237"/>
      <c r="J1451" s="237"/>
      <c r="K1451" s="310" t="s">
        <v>12415</v>
      </c>
      <c r="L1451" s="237"/>
      <c r="M1451" s="237"/>
      <c r="N1451" s="237"/>
      <c r="O1451" s="237"/>
      <c r="P1451" s="237"/>
      <c r="Q1451" s="237"/>
      <c r="R1451" s="237"/>
      <c r="S1451" s="237"/>
      <c r="T1451" s="237"/>
      <c r="U1451" s="237"/>
      <c r="V1451" s="237"/>
      <c r="W1451" s="237"/>
      <c r="X1451" s="237"/>
      <c r="Y1451" s="237"/>
      <c r="Z1451" s="237"/>
    </row>
    <row r="1452">
      <c r="A1452" s="305">
        <v>1451.0</v>
      </c>
      <c r="B1452" s="236"/>
      <c r="C1452" s="307" t="s">
        <v>1420</v>
      </c>
      <c r="D1452" s="308" t="s">
        <v>8826</v>
      </c>
      <c r="E1452" s="305" t="s">
        <v>8827</v>
      </c>
      <c r="F1452" s="309" t="s">
        <v>8828</v>
      </c>
      <c r="G1452" s="236"/>
      <c r="H1452" s="307" t="s">
        <v>1420</v>
      </c>
      <c r="I1452" s="237"/>
      <c r="J1452" s="237"/>
      <c r="K1452" s="310" t="s">
        <v>8825</v>
      </c>
      <c r="L1452" s="237"/>
      <c r="M1452" s="237"/>
      <c r="N1452" s="237"/>
      <c r="O1452" s="237"/>
      <c r="P1452" s="237"/>
      <c r="Q1452" s="237"/>
      <c r="R1452" s="237"/>
      <c r="S1452" s="237"/>
      <c r="T1452" s="237"/>
      <c r="U1452" s="237"/>
      <c r="V1452" s="237"/>
      <c r="W1452" s="237"/>
      <c r="X1452" s="237"/>
      <c r="Y1452" s="237"/>
      <c r="Z1452" s="237"/>
    </row>
    <row r="1453">
      <c r="A1453" s="305">
        <v>1452.0</v>
      </c>
      <c r="B1453" s="236"/>
      <c r="C1453" s="307" t="s">
        <v>1420</v>
      </c>
      <c r="D1453" s="308" t="s">
        <v>8830</v>
      </c>
      <c r="E1453" s="305" t="s">
        <v>8831</v>
      </c>
      <c r="F1453" s="309" t="s">
        <v>8832</v>
      </c>
      <c r="G1453" s="236"/>
      <c r="H1453" s="307" t="s">
        <v>1420</v>
      </c>
      <c r="I1453" s="237"/>
      <c r="J1453" s="237"/>
      <c r="K1453" s="310" t="s">
        <v>8829</v>
      </c>
      <c r="L1453" s="237"/>
      <c r="M1453" s="237"/>
      <c r="N1453" s="237"/>
      <c r="O1453" s="237"/>
      <c r="P1453" s="237"/>
      <c r="Q1453" s="237"/>
      <c r="R1453" s="237"/>
      <c r="S1453" s="237"/>
      <c r="T1453" s="237"/>
      <c r="U1453" s="237"/>
      <c r="V1453" s="237"/>
      <c r="W1453" s="237"/>
      <c r="X1453" s="237"/>
      <c r="Y1453" s="237"/>
      <c r="Z1453" s="237"/>
    </row>
    <row r="1454">
      <c r="A1454" s="305">
        <v>1453.0</v>
      </c>
      <c r="B1454" s="236"/>
      <c r="C1454" s="307" t="s">
        <v>1420</v>
      </c>
      <c r="D1454" s="308" t="s">
        <v>2566</v>
      </c>
      <c r="E1454" s="305" t="s">
        <v>4052</v>
      </c>
      <c r="F1454" s="309" t="s">
        <v>4053</v>
      </c>
      <c r="G1454" s="236"/>
      <c r="H1454" s="307" t="s">
        <v>1420</v>
      </c>
      <c r="I1454" s="237"/>
      <c r="J1454" s="237"/>
      <c r="K1454" s="310" t="s">
        <v>4051</v>
      </c>
      <c r="L1454" s="237"/>
      <c r="M1454" s="237"/>
      <c r="N1454" s="237"/>
      <c r="O1454" s="237"/>
      <c r="P1454" s="237"/>
      <c r="Q1454" s="237"/>
      <c r="R1454" s="237"/>
      <c r="S1454" s="237"/>
      <c r="T1454" s="237"/>
      <c r="U1454" s="237"/>
      <c r="V1454" s="237"/>
      <c r="W1454" s="237"/>
      <c r="X1454" s="237"/>
      <c r="Y1454" s="237"/>
      <c r="Z1454" s="237"/>
    </row>
    <row r="1455">
      <c r="A1455" s="305">
        <v>1454.0</v>
      </c>
      <c r="B1455" s="236"/>
      <c r="C1455" s="307" t="s">
        <v>1420</v>
      </c>
      <c r="D1455" s="308" t="s">
        <v>2563</v>
      </c>
      <c r="E1455" s="305" t="s">
        <v>4026</v>
      </c>
      <c r="F1455" s="309" t="s">
        <v>4027</v>
      </c>
      <c r="G1455" s="236"/>
      <c r="H1455" s="307" t="s">
        <v>1420</v>
      </c>
      <c r="I1455" s="237"/>
      <c r="J1455" s="237"/>
      <c r="K1455" s="310" t="s">
        <v>4025</v>
      </c>
      <c r="L1455" s="237"/>
      <c r="M1455" s="237"/>
      <c r="N1455" s="237"/>
      <c r="O1455" s="237"/>
      <c r="P1455" s="237"/>
      <c r="Q1455" s="237"/>
      <c r="R1455" s="237"/>
      <c r="S1455" s="237"/>
      <c r="T1455" s="237"/>
      <c r="U1455" s="237"/>
      <c r="V1455" s="237"/>
      <c r="W1455" s="237"/>
      <c r="X1455" s="237"/>
      <c r="Y1455" s="237"/>
      <c r="Z1455" s="237"/>
    </row>
    <row r="1456">
      <c r="A1456" s="305">
        <v>1455.0</v>
      </c>
      <c r="B1456" s="306">
        <v>13676.0</v>
      </c>
      <c r="C1456" s="307" t="s">
        <v>1420</v>
      </c>
      <c r="D1456" s="308" t="s">
        <v>5685</v>
      </c>
      <c r="E1456" s="305" t="s">
        <v>5686</v>
      </c>
      <c r="F1456" s="309" t="s">
        <v>5842</v>
      </c>
      <c r="G1456" s="236"/>
      <c r="H1456" s="307" t="s">
        <v>1420</v>
      </c>
      <c r="I1456" s="237"/>
      <c r="J1456" s="237"/>
      <c r="K1456" s="310" t="s">
        <v>5841</v>
      </c>
      <c r="L1456" s="237"/>
      <c r="M1456" s="237"/>
      <c r="N1456" s="237"/>
      <c r="O1456" s="237"/>
      <c r="P1456" s="237"/>
      <c r="Q1456" s="237"/>
      <c r="R1456" s="237"/>
      <c r="S1456" s="237"/>
      <c r="T1456" s="237"/>
      <c r="U1456" s="237"/>
      <c r="V1456" s="237"/>
      <c r="W1456" s="237"/>
      <c r="X1456" s="237"/>
      <c r="Y1456" s="237"/>
      <c r="Z1456" s="237"/>
    </row>
    <row r="1457">
      <c r="A1457" s="305">
        <v>1456.0</v>
      </c>
      <c r="B1457" s="306">
        <v>11285.0</v>
      </c>
      <c r="C1457" s="307" t="s">
        <v>1420</v>
      </c>
      <c r="D1457" s="308" t="s">
        <v>4056</v>
      </c>
      <c r="E1457" s="305" t="s">
        <v>4057</v>
      </c>
      <c r="F1457" s="309" t="s">
        <v>4058</v>
      </c>
      <c r="G1457" s="236"/>
      <c r="H1457" s="307" t="s">
        <v>1420</v>
      </c>
      <c r="I1457" s="237"/>
      <c r="J1457" s="237"/>
      <c r="K1457" s="310" t="s">
        <v>4055</v>
      </c>
      <c r="L1457" s="237"/>
      <c r="M1457" s="237"/>
      <c r="N1457" s="237"/>
      <c r="O1457" s="237"/>
      <c r="P1457" s="237"/>
      <c r="Q1457" s="237"/>
      <c r="R1457" s="237"/>
      <c r="S1457" s="237"/>
      <c r="T1457" s="237"/>
      <c r="U1457" s="237"/>
      <c r="V1457" s="237"/>
      <c r="W1457" s="237"/>
      <c r="X1457" s="237"/>
      <c r="Y1457" s="237"/>
      <c r="Z1457" s="237"/>
    </row>
    <row r="1458">
      <c r="A1458" s="305">
        <v>1457.0</v>
      </c>
      <c r="B1458" s="236"/>
      <c r="C1458" s="307" t="s">
        <v>1420</v>
      </c>
      <c r="D1458" s="308" t="s">
        <v>1567</v>
      </c>
      <c r="E1458" s="305" t="s">
        <v>13583</v>
      </c>
      <c r="F1458" s="309" t="s">
        <v>13584</v>
      </c>
      <c r="G1458" s="236"/>
      <c r="H1458" s="307" t="s">
        <v>1420</v>
      </c>
      <c r="I1458" s="237"/>
      <c r="J1458" s="237"/>
      <c r="K1458" s="310" t="s">
        <v>14429</v>
      </c>
      <c r="L1458" s="237"/>
      <c r="M1458" s="237"/>
      <c r="N1458" s="237"/>
      <c r="O1458" s="237"/>
      <c r="P1458" s="237"/>
      <c r="Q1458" s="237"/>
      <c r="R1458" s="237"/>
      <c r="S1458" s="237"/>
      <c r="T1458" s="237"/>
      <c r="U1458" s="237"/>
      <c r="V1458" s="237"/>
      <c r="W1458" s="237"/>
      <c r="X1458" s="237"/>
      <c r="Y1458" s="237"/>
      <c r="Z1458" s="237"/>
    </row>
    <row r="1459">
      <c r="A1459" s="305">
        <v>1458.0</v>
      </c>
      <c r="B1459" s="236"/>
      <c r="C1459" s="307" t="s">
        <v>1420</v>
      </c>
      <c r="D1459" s="308" t="s">
        <v>14430</v>
      </c>
      <c r="E1459" s="305" t="s">
        <v>14431</v>
      </c>
      <c r="F1459" s="309" t="s">
        <v>14432</v>
      </c>
      <c r="G1459" s="236"/>
      <c r="H1459" s="307" t="s">
        <v>1420</v>
      </c>
      <c r="I1459" s="237"/>
      <c r="J1459" s="237"/>
      <c r="K1459" s="310" t="s">
        <v>14433</v>
      </c>
      <c r="L1459" s="237"/>
      <c r="M1459" s="237"/>
      <c r="N1459" s="237"/>
      <c r="O1459" s="237"/>
      <c r="P1459" s="237"/>
      <c r="Q1459" s="237"/>
      <c r="R1459" s="237"/>
      <c r="S1459" s="237"/>
      <c r="T1459" s="237"/>
      <c r="U1459" s="237"/>
      <c r="V1459" s="237"/>
      <c r="W1459" s="237"/>
      <c r="X1459" s="237"/>
      <c r="Y1459" s="237"/>
      <c r="Z1459" s="237"/>
    </row>
    <row r="1460">
      <c r="A1460" s="305">
        <v>1459.0</v>
      </c>
      <c r="B1460" s="236"/>
      <c r="C1460" s="307" t="s">
        <v>1420</v>
      </c>
      <c r="D1460" s="308" t="s">
        <v>14434</v>
      </c>
      <c r="E1460" s="305" t="s">
        <v>14435</v>
      </c>
      <c r="F1460" s="309" t="s">
        <v>14436</v>
      </c>
      <c r="G1460" s="236"/>
      <c r="H1460" s="307" t="s">
        <v>1420</v>
      </c>
      <c r="I1460" s="237"/>
      <c r="J1460" s="237"/>
      <c r="K1460" s="310" t="s">
        <v>14437</v>
      </c>
      <c r="L1460" s="237"/>
      <c r="M1460" s="237"/>
      <c r="N1460" s="237"/>
      <c r="O1460" s="237"/>
      <c r="P1460" s="237"/>
      <c r="Q1460" s="237"/>
      <c r="R1460" s="237"/>
      <c r="S1460" s="237"/>
      <c r="T1460" s="237"/>
      <c r="U1460" s="237"/>
      <c r="V1460" s="237"/>
      <c r="W1460" s="237"/>
      <c r="X1460" s="237"/>
      <c r="Y1460" s="237"/>
      <c r="Z1460" s="237"/>
    </row>
    <row r="1461">
      <c r="A1461" s="305">
        <v>1460.0</v>
      </c>
      <c r="B1461" s="236"/>
      <c r="C1461" s="307" t="s">
        <v>1420</v>
      </c>
      <c r="D1461" s="308" t="s">
        <v>1537</v>
      </c>
      <c r="E1461" s="305" t="s">
        <v>14438</v>
      </c>
      <c r="F1461" s="309" t="s">
        <v>14439</v>
      </c>
      <c r="G1461" s="236"/>
      <c r="H1461" s="307" t="s">
        <v>1420</v>
      </c>
      <c r="I1461" s="237"/>
      <c r="J1461" s="237"/>
      <c r="K1461" s="310" t="s">
        <v>14440</v>
      </c>
      <c r="L1461" s="237"/>
      <c r="M1461" s="237"/>
      <c r="N1461" s="237"/>
      <c r="O1461" s="237"/>
      <c r="P1461" s="237"/>
      <c r="Q1461" s="237"/>
      <c r="R1461" s="237"/>
      <c r="S1461" s="237"/>
      <c r="T1461" s="237"/>
      <c r="U1461" s="237"/>
      <c r="V1461" s="237"/>
      <c r="W1461" s="237"/>
      <c r="X1461" s="237"/>
      <c r="Y1461" s="237"/>
      <c r="Z1461" s="237"/>
    </row>
    <row r="1462">
      <c r="A1462" s="305">
        <v>1461.0</v>
      </c>
      <c r="B1462" s="236"/>
      <c r="C1462" s="307" t="s">
        <v>1420</v>
      </c>
      <c r="D1462" s="308" t="s">
        <v>14441</v>
      </c>
      <c r="E1462" s="305" t="s">
        <v>14442</v>
      </c>
      <c r="F1462" s="309" t="s">
        <v>12385</v>
      </c>
      <c r="G1462" s="236"/>
      <c r="H1462" s="307" t="s">
        <v>1420</v>
      </c>
      <c r="I1462" s="237"/>
      <c r="J1462" s="237"/>
      <c r="K1462" s="310" t="s">
        <v>12384</v>
      </c>
      <c r="L1462" s="237"/>
      <c r="M1462" s="237"/>
      <c r="N1462" s="237"/>
      <c r="O1462" s="237"/>
      <c r="P1462" s="237"/>
      <c r="Q1462" s="237"/>
      <c r="R1462" s="237"/>
      <c r="S1462" s="237"/>
      <c r="T1462" s="237"/>
      <c r="U1462" s="237"/>
      <c r="V1462" s="237"/>
      <c r="W1462" s="237"/>
      <c r="X1462" s="237"/>
      <c r="Y1462" s="237"/>
      <c r="Z1462" s="237"/>
    </row>
    <row r="1463">
      <c r="A1463" s="305">
        <v>1462.0</v>
      </c>
      <c r="B1463" s="236"/>
      <c r="C1463" s="307" t="s">
        <v>1420</v>
      </c>
      <c r="D1463" s="308" t="s">
        <v>14443</v>
      </c>
      <c r="E1463" s="305" t="s">
        <v>14442</v>
      </c>
      <c r="F1463" s="309" t="s">
        <v>14444</v>
      </c>
      <c r="G1463" s="236"/>
      <c r="H1463" s="307" t="s">
        <v>1420</v>
      </c>
      <c r="I1463" s="237"/>
      <c r="J1463" s="237"/>
      <c r="K1463" s="310" t="s">
        <v>14445</v>
      </c>
      <c r="L1463" s="237"/>
      <c r="M1463" s="237"/>
      <c r="N1463" s="237"/>
      <c r="O1463" s="237"/>
      <c r="P1463" s="237"/>
      <c r="Q1463" s="237"/>
      <c r="R1463" s="237"/>
      <c r="S1463" s="237"/>
      <c r="T1463" s="237"/>
      <c r="U1463" s="237"/>
      <c r="V1463" s="237"/>
      <c r="W1463" s="237"/>
      <c r="X1463" s="237"/>
      <c r="Y1463" s="237"/>
      <c r="Z1463" s="237"/>
    </row>
    <row r="1464">
      <c r="A1464" s="305">
        <v>1463.0</v>
      </c>
      <c r="B1464" s="236"/>
      <c r="C1464" s="307" t="s">
        <v>1420</v>
      </c>
      <c r="D1464" s="308" t="s">
        <v>12196</v>
      </c>
      <c r="E1464" s="305" t="s">
        <v>12197</v>
      </c>
      <c r="F1464" s="309" t="s">
        <v>12385</v>
      </c>
      <c r="G1464" s="236"/>
      <c r="H1464" s="307" t="s">
        <v>1420</v>
      </c>
      <c r="I1464" s="237"/>
      <c r="J1464" s="237"/>
      <c r="K1464" s="310" t="s">
        <v>12384</v>
      </c>
      <c r="L1464" s="237"/>
      <c r="M1464" s="237"/>
      <c r="N1464" s="237"/>
      <c r="O1464" s="237"/>
      <c r="P1464" s="237"/>
      <c r="Q1464" s="237"/>
      <c r="R1464" s="237"/>
      <c r="S1464" s="237"/>
      <c r="T1464" s="237"/>
      <c r="U1464" s="237"/>
      <c r="V1464" s="237"/>
      <c r="W1464" s="237"/>
      <c r="X1464" s="237"/>
      <c r="Y1464" s="237"/>
      <c r="Z1464" s="237"/>
    </row>
    <row r="1465">
      <c r="A1465" s="305">
        <v>1464.0</v>
      </c>
      <c r="B1465" s="236"/>
      <c r="C1465" s="307" t="s">
        <v>1420</v>
      </c>
      <c r="D1465" s="308" t="s">
        <v>14446</v>
      </c>
      <c r="E1465" s="305" t="s">
        <v>14447</v>
      </c>
      <c r="F1465" s="309" t="s">
        <v>14448</v>
      </c>
      <c r="G1465" s="236"/>
      <c r="H1465" s="307" t="s">
        <v>1420</v>
      </c>
      <c r="I1465" s="237"/>
      <c r="J1465" s="237"/>
      <c r="K1465" s="310" t="s">
        <v>14449</v>
      </c>
      <c r="L1465" s="237"/>
      <c r="M1465" s="237"/>
      <c r="N1465" s="237"/>
      <c r="O1465" s="237"/>
      <c r="P1465" s="237"/>
      <c r="Q1465" s="237"/>
      <c r="R1465" s="237"/>
      <c r="S1465" s="237"/>
      <c r="T1465" s="237"/>
      <c r="U1465" s="237"/>
      <c r="V1465" s="237"/>
      <c r="W1465" s="237"/>
      <c r="X1465" s="237"/>
      <c r="Y1465" s="237"/>
      <c r="Z1465" s="237"/>
    </row>
    <row r="1466">
      <c r="A1466" s="305">
        <v>1465.0</v>
      </c>
      <c r="B1466" s="236"/>
      <c r="C1466" s="307" t="s">
        <v>1420</v>
      </c>
      <c r="D1466" s="308" t="s">
        <v>14450</v>
      </c>
      <c r="E1466" s="305" t="s">
        <v>14451</v>
      </c>
      <c r="F1466" s="309" t="s">
        <v>14452</v>
      </c>
      <c r="G1466" s="236"/>
      <c r="H1466" s="307" t="s">
        <v>1420</v>
      </c>
      <c r="I1466" s="237"/>
      <c r="J1466" s="237"/>
      <c r="K1466" s="310" t="s">
        <v>14453</v>
      </c>
      <c r="L1466" s="237"/>
      <c r="M1466" s="237"/>
      <c r="N1466" s="237"/>
      <c r="O1466" s="237"/>
      <c r="P1466" s="237"/>
      <c r="Q1466" s="237"/>
      <c r="R1466" s="237"/>
      <c r="S1466" s="237"/>
      <c r="T1466" s="237"/>
      <c r="U1466" s="237"/>
      <c r="V1466" s="237"/>
      <c r="W1466" s="237"/>
      <c r="X1466" s="237"/>
      <c r="Y1466" s="237"/>
      <c r="Z1466" s="237"/>
    </row>
    <row r="1467">
      <c r="A1467" s="305">
        <v>1466.0</v>
      </c>
      <c r="B1467" s="236"/>
      <c r="C1467" s="307" t="s">
        <v>1420</v>
      </c>
      <c r="D1467" s="308" t="s">
        <v>13482</v>
      </c>
      <c r="E1467" s="305" t="s">
        <v>14454</v>
      </c>
      <c r="F1467" s="309" t="s">
        <v>14155</v>
      </c>
      <c r="G1467" s="236"/>
      <c r="H1467" s="307" t="s">
        <v>1420</v>
      </c>
      <c r="I1467" s="237"/>
      <c r="J1467" s="237"/>
      <c r="K1467" s="310" t="s">
        <v>14455</v>
      </c>
      <c r="L1467" s="237"/>
      <c r="M1467" s="237"/>
      <c r="N1467" s="237"/>
      <c r="O1467" s="237"/>
      <c r="P1467" s="237"/>
      <c r="Q1467" s="237"/>
      <c r="R1467" s="237"/>
      <c r="S1467" s="237"/>
      <c r="T1467" s="237"/>
      <c r="U1467" s="237"/>
      <c r="V1467" s="237"/>
      <c r="W1467" s="237"/>
      <c r="X1467" s="237"/>
      <c r="Y1467" s="237"/>
      <c r="Z1467" s="237"/>
    </row>
    <row r="1468">
      <c r="A1468" s="305">
        <v>1467.0</v>
      </c>
      <c r="B1468" s="236"/>
      <c r="C1468" s="307" t="s">
        <v>1420</v>
      </c>
      <c r="D1468" s="308" t="s">
        <v>14456</v>
      </c>
      <c r="E1468" s="305" t="s">
        <v>14454</v>
      </c>
      <c r="F1468" s="309" t="s">
        <v>14457</v>
      </c>
      <c r="G1468" s="236"/>
      <c r="H1468" s="307" t="s">
        <v>1420</v>
      </c>
      <c r="I1468" s="237"/>
      <c r="J1468" s="237"/>
      <c r="K1468" s="310" t="s">
        <v>12375</v>
      </c>
      <c r="L1468" s="237"/>
      <c r="M1468" s="237"/>
      <c r="N1468" s="237"/>
      <c r="O1468" s="237"/>
      <c r="P1468" s="237"/>
      <c r="Q1468" s="237"/>
      <c r="R1468" s="237"/>
      <c r="S1468" s="237"/>
      <c r="T1468" s="237"/>
      <c r="U1468" s="237"/>
      <c r="V1468" s="237"/>
      <c r="W1468" s="237"/>
      <c r="X1468" s="237"/>
      <c r="Y1468" s="237"/>
      <c r="Z1468" s="237"/>
    </row>
    <row r="1469">
      <c r="A1469" s="305">
        <v>1468.0</v>
      </c>
      <c r="B1469" s="236"/>
      <c r="C1469" s="307" t="s">
        <v>1420</v>
      </c>
      <c r="D1469" s="308" t="s">
        <v>12181</v>
      </c>
      <c r="E1469" s="305" t="s">
        <v>12182</v>
      </c>
      <c r="F1469" s="236"/>
      <c r="G1469" s="236"/>
      <c r="H1469" s="307" t="s">
        <v>1420</v>
      </c>
      <c r="I1469" s="237"/>
      <c r="J1469" s="237"/>
      <c r="K1469" s="310" t="s">
        <v>12375</v>
      </c>
      <c r="L1469" s="237"/>
      <c r="M1469" s="237"/>
      <c r="N1469" s="237"/>
      <c r="O1469" s="237"/>
      <c r="P1469" s="237"/>
      <c r="Q1469" s="237"/>
      <c r="R1469" s="237"/>
      <c r="S1469" s="237"/>
      <c r="T1469" s="237"/>
      <c r="U1469" s="237"/>
      <c r="V1469" s="237"/>
      <c r="W1469" s="237"/>
      <c r="X1469" s="237"/>
      <c r="Y1469" s="237"/>
      <c r="Z1469" s="237"/>
    </row>
    <row r="1470">
      <c r="A1470" s="305">
        <v>1469.0</v>
      </c>
      <c r="B1470" s="236"/>
      <c r="C1470" s="307" t="s">
        <v>1420</v>
      </c>
      <c r="D1470" s="308" t="s">
        <v>14458</v>
      </c>
      <c r="E1470" s="305" t="s">
        <v>14459</v>
      </c>
      <c r="F1470" s="309" t="s">
        <v>12387</v>
      </c>
      <c r="G1470" s="236"/>
      <c r="H1470" s="307" t="s">
        <v>1420</v>
      </c>
      <c r="I1470" s="237"/>
      <c r="J1470" s="237"/>
      <c r="K1470" s="310" t="s">
        <v>12386</v>
      </c>
      <c r="L1470" s="237"/>
      <c r="M1470" s="237"/>
      <c r="N1470" s="237"/>
      <c r="O1470" s="237"/>
      <c r="P1470" s="237"/>
      <c r="Q1470" s="237"/>
      <c r="R1470" s="237"/>
      <c r="S1470" s="237"/>
      <c r="T1470" s="237"/>
      <c r="U1470" s="237"/>
      <c r="V1470" s="237"/>
      <c r="W1470" s="237"/>
      <c r="X1470" s="237"/>
      <c r="Y1470" s="237"/>
      <c r="Z1470" s="237"/>
    </row>
    <row r="1471">
      <c r="A1471" s="305">
        <v>1470.0</v>
      </c>
      <c r="B1471" s="236"/>
      <c r="C1471" s="307" t="s">
        <v>1420</v>
      </c>
      <c r="D1471" s="308" t="s">
        <v>14460</v>
      </c>
      <c r="E1471" s="305" t="s">
        <v>14459</v>
      </c>
      <c r="F1471" s="309" t="s">
        <v>14461</v>
      </c>
      <c r="G1471" s="236"/>
      <c r="H1471" s="307" t="s">
        <v>1420</v>
      </c>
      <c r="I1471" s="237"/>
      <c r="J1471" s="237"/>
      <c r="K1471" s="310" t="s">
        <v>14462</v>
      </c>
      <c r="L1471" s="237"/>
      <c r="M1471" s="237"/>
      <c r="N1471" s="237"/>
      <c r="O1471" s="237"/>
      <c r="P1471" s="237"/>
      <c r="Q1471" s="237"/>
      <c r="R1471" s="237"/>
      <c r="S1471" s="237"/>
      <c r="T1471" s="237"/>
      <c r="U1471" s="237"/>
      <c r="V1471" s="237"/>
      <c r="W1471" s="237"/>
      <c r="X1471" s="237"/>
      <c r="Y1471" s="237"/>
      <c r="Z1471" s="237"/>
    </row>
    <row r="1472">
      <c r="A1472" s="305">
        <v>1471.0</v>
      </c>
      <c r="B1472" s="236"/>
      <c r="C1472" s="307" t="s">
        <v>1420</v>
      </c>
      <c r="D1472" s="308" t="s">
        <v>12199</v>
      </c>
      <c r="E1472" s="305" t="s">
        <v>12200</v>
      </c>
      <c r="F1472" s="309" t="s">
        <v>12387</v>
      </c>
      <c r="G1472" s="236"/>
      <c r="H1472" s="307" t="s">
        <v>1420</v>
      </c>
      <c r="I1472" s="237"/>
      <c r="J1472" s="237"/>
      <c r="K1472" s="310" t="s">
        <v>12386</v>
      </c>
      <c r="L1472" s="237"/>
      <c r="M1472" s="237"/>
      <c r="N1472" s="237"/>
      <c r="O1472" s="237"/>
      <c r="P1472" s="237"/>
      <c r="Q1472" s="237"/>
      <c r="R1472" s="237"/>
      <c r="S1472" s="237"/>
      <c r="T1472" s="237"/>
      <c r="U1472" s="237"/>
      <c r="V1472" s="237"/>
      <c r="W1472" s="237"/>
      <c r="X1472" s="237"/>
      <c r="Y1472" s="237"/>
      <c r="Z1472" s="237"/>
    </row>
    <row r="1473">
      <c r="A1473" s="305">
        <v>1472.0</v>
      </c>
      <c r="B1473" s="236"/>
      <c r="C1473" s="307" t="s">
        <v>1420</v>
      </c>
      <c r="D1473" s="308" t="s">
        <v>14463</v>
      </c>
      <c r="E1473" s="305" t="s">
        <v>14464</v>
      </c>
      <c r="F1473" s="309" t="s">
        <v>14465</v>
      </c>
      <c r="G1473" s="236"/>
      <c r="H1473" s="307" t="s">
        <v>1420</v>
      </c>
      <c r="I1473" s="237"/>
      <c r="J1473" s="237"/>
      <c r="K1473" s="310" t="s">
        <v>14466</v>
      </c>
      <c r="L1473" s="237"/>
      <c r="M1473" s="237"/>
      <c r="N1473" s="237"/>
      <c r="O1473" s="237"/>
      <c r="P1473" s="237"/>
      <c r="Q1473" s="237"/>
      <c r="R1473" s="237"/>
      <c r="S1473" s="237"/>
      <c r="T1473" s="237"/>
      <c r="U1473" s="237"/>
      <c r="V1473" s="237"/>
      <c r="W1473" s="237"/>
      <c r="X1473" s="237"/>
      <c r="Y1473" s="237"/>
      <c r="Z1473" s="237"/>
    </row>
    <row r="1474">
      <c r="A1474" s="305">
        <v>1473.0</v>
      </c>
      <c r="B1474" s="236"/>
      <c r="C1474" s="307" t="s">
        <v>1420</v>
      </c>
      <c r="D1474" s="308" t="s">
        <v>1556</v>
      </c>
      <c r="E1474" s="305" t="s">
        <v>14467</v>
      </c>
      <c r="F1474" s="309" t="s">
        <v>14468</v>
      </c>
      <c r="G1474" s="236"/>
      <c r="H1474" s="307" t="s">
        <v>1420</v>
      </c>
      <c r="I1474" s="237"/>
      <c r="J1474" s="237"/>
      <c r="K1474" s="310" t="s">
        <v>14469</v>
      </c>
      <c r="L1474" s="237"/>
      <c r="M1474" s="237"/>
      <c r="N1474" s="237"/>
      <c r="O1474" s="237"/>
      <c r="P1474" s="237"/>
      <c r="Q1474" s="237"/>
      <c r="R1474" s="237"/>
      <c r="S1474" s="237"/>
      <c r="T1474" s="237"/>
      <c r="U1474" s="237"/>
      <c r="V1474" s="237"/>
      <c r="W1474" s="237"/>
      <c r="X1474" s="237"/>
      <c r="Y1474" s="237"/>
      <c r="Z1474" s="237"/>
    </row>
    <row r="1475">
      <c r="A1475" s="305">
        <v>1474.0</v>
      </c>
      <c r="B1475" s="236"/>
      <c r="C1475" s="307" t="s">
        <v>1420</v>
      </c>
      <c r="D1475" s="308" t="s">
        <v>1528</v>
      </c>
      <c r="E1475" s="305" t="s">
        <v>14470</v>
      </c>
      <c r="F1475" s="309" t="s">
        <v>12377</v>
      </c>
      <c r="G1475" s="236"/>
      <c r="H1475" s="307" t="s">
        <v>1420</v>
      </c>
      <c r="I1475" s="237"/>
      <c r="J1475" s="237"/>
      <c r="K1475" s="310" t="s">
        <v>12376</v>
      </c>
      <c r="L1475" s="237"/>
      <c r="M1475" s="237"/>
      <c r="N1475" s="237"/>
      <c r="O1475" s="237"/>
      <c r="P1475" s="237"/>
      <c r="Q1475" s="237"/>
      <c r="R1475" s="237"/>
      <c r="S1475" s="237"/>
      <c r="T1475" s="237"/>
      <c r="U1475" s="237"/>
      <c r="V1475" s="237"/>
      <c r="W1475" s="237"/>
      <c r="X1475" s="237"/>
      <c r="Y1475" s="237"/>
      <c r="Z1475" s="237"/>
    </row>
    <row r="1476">
      <c r="A1476" s="305">
        <v>1475.0</v>
      </c>
      <c r="B1476" s="236"/>
      <c r="C1476" s="307" t="s">
        <v>1420</v>
      </c>
      <c r="D1476" s="308" t="s">
        <v>13401</v>
      </c>
      <c r="E1476" s="305" t="s">
        <v>14470</v>
      </c>
      <c r="F1476" s="309" t="s">
        <v>14471</v>
      </c>
      <c r="G1476" s="236"/>
      <c r="H1476" s="307" t="s">
        <v>1420</v>
      </c>
      <c r="I1476" s="237"/>
      <c r="J1476" s="237"/>
      <c r="K1476" s="310" t="s">
        <v>14472</v>
      </c>
      <c r="L1476" s="237"/>
      <c r="M1476" s="237"/>
      <c r="N1476" s="237"/>
      <c r="O1476" s="237"/>
      <c r="P1476" s="237"/>
      <c r="Q1476" s="237"/>
      <c r="R1476" s="237"/>
      <c r="S1476" s="237"/>
      <c r="T1476" s="237"/>
      <c r="U1476" s="237"/>
      <c r="V1476" s="237"/>
      <c r="W1476" s="237"/>
      <c r="X1476" s="237"/>
      <c r="Y1476" s="237"/>
      <c r="Z1476" s="237"/>
    </row>
    <row r="1477">
      <c r="A1477" s="305">
        <v>1476.0</v>
      </c>
      <c r="B1477" s="236"/>
      <c r="C1477" s="307" t="s">
        <v>1420</v>
      </c>
      <c r="D1477" s="308" t="s">
        <v>12184</v>
      </c>
      <c r="E1477" s="305" t="s">
        <v>12185</v>
      </c>
      <c r="F1477" s="309" t="s">
        <v>12377</v>
      </c>
      <c r="G1477" s="236"/>
      <c r="H1477" s="307" t="s">
        <v>1420</v>
      </c>
      <c r="I1477" s="237"/>
      <c r="J1477" s="237"/>
      <c r="K1477" s="310" t="s">
        <v>12376</v>
      </c>
      <c r="L1477" s="237"/>
      <c r="M1477" s="237"/>
      <c r="N1477" s="237"/>
      <c r="O1477" s="237"/>
      <c r="P1477" s="237"/>
      <c r="Q1477" s="237"/>
      <c r="R1477" s="237"/>
      <c r="S1477" s="237"/>
      <c r="T1477" s="237"/>
      <c r="U1477" s="237"/>
      <c r="V1477" s="237"/>
      <c r="W1477" s="237"/>
      <c r="X1477" s="237"/>
      <c r="Y1477" s="237"/>
      <c r="Z1477" s="237"/>
    </row>
    <row r="1478">
      <c r="A1478" s="305">
        <v>1477.0</v>
      </c>
      <c r="B1478" s="236"/>
      <c r="C1478" s="307" t="s">
        <v>1420</v>
      </c>
      <c r="D1478" s="308" t="s">
        <v>14473</v>
      </c>
      <c r="E1478" s="305" t="s">
        <v>14474</v>
      </c>
      <c r="F1478" s="309" t="s">
        <v>14475</v>
      </c>
      <c r="G1478" s="236"/>
      <c r="H1478" s="307" t="s">
        <v>1420</v>
      </c>
      <c r="I1478" s="237"/>
      <c r="J1478" s="237"/>
      <c r="K1478" s="310" t="s">
        <v>14476</v>
      </c>
      <c r="L1478" s="237"/>
      <c r="M1478" s="237"/>
      <c r="N1478" s="237"/>
      <c r="O1478" s="237"/>
      <c r="P1478" s="237"/>
      <c r="Q1478" s="237"/>
      <c r="R1478" s="237"/>
      <c r="S1478" s="237"/>
      <c r="T1478" s="237"/>
      <c r="U1478" s="237"/>
      <c r="V1478" s="237"/>
      <c r="W1478" s="237"/>
      <c r="X1478" s="237"/>
      <c r="Y1478" s="237"/>
      <c r="Z1478" s="237"/>
    </row>
    <row r="1479">
      <c r="A1479" s="305">
        <v>1478.0</v>
      </c>
      <c r="B1479" s="236"/>
      <c r="C1479" s="307" t="s">
        <v>1420</v>
      </c>
      <c r="D1479" s="308" t="s">
        <v>12202</v>
      </c>
      <c r="E1479" s="305" t="s">
        <v>12374</v>
      </c>
      <c r="F1479" s="236"/>
      <c r="G1479" s="236"/>
      <c r="H1479" s="307" t="s">
        <v>1420</v>
      </c>
      <c r="I1479" s="237"/>
      <c r="J1479" s="237"/>
      <c r="K1479" s="310" t="s">
        <v>12373</v>
      </c>
      <c r="L1479" s="237"/>
      <c r="M1479" s="237"/>
      <c r="N1479" s="237"/>
      <c r="O1479" s="237"/>
      <c r="P1479" s="237"/>
      <c r="Q1479" s="237"/>
      <c r="R1479" s="237"/>
      <c r="S1479" s="237"/>
      <c r="T1479" s="237"/>
      <c r="U1479" s="237"/>
      <c r="V1479" s="237"/>
      <c r="W1479" s="237"/>
      <c r="X1479" s="237"/>
      <c r="Y1479" s="237"/>
      <c r="Z1479" s="237"/>
    </row>
    <row r="1480">
      <c r="A1480" s="305">
        <v>1479.0</v>
      </c>
      <c r="B1480" s="236"/>
      <c r="C1480" s="307" t="s">
        <v>1420</v>
      </c>
      <c r="D1480" s="308" t="s">
        <v>14477</v>
      </c>
      <c r="E1480" s="305" t="s">
        <v>14478</v>
      </c>
      <c r="F1480" s="309" t="s">
        <v>12383</v>
      </c>
      <c r="G1480" s="236"/>
      <c r="H1480" s="307" t="s">
        <v>1420</v>
      </c>
      <c r="I1480" s="237"/>
      <c r="J1480" s="237"/>
      <c r="K1480" s="310" t="s">
        <v>12382</v>
      </c>
      <c r="L1480" s="237"/>
      <c r="M1480" s="237"/>
      <c r="N1480" s="237"/>
      <c r="O1480" s="237"/>
      <c r="P1480" s="237"/>
      <c r="Q1480" s="237"/>
      <c r="R1480" s="237"/>
      <c r="S1480" s="237"/>
      <c r="T1480" s="237"/>
      <c r="U1480" s="237"/>
      <c r="V1480" s="237"/>
      <c r="W1480" s="237"/>
      <c r="X1480" s="237"/>
      <c r="Y1480" s="237"/>
      <c r="Z1480" s="237"/>
    </row>
    <row r="1481">
      <c r="A1481" s="305">
        <v>1480.0</v>
      </c>
      <c r="B1481" s="236"/>
      <c r="C1481" s="307" t="s">
        <v>1420</v>
      </c>
      <c r="D1481" s="308" t="s">
        <v>14479</v>
      </c>
      <c r="E1481" s="305" t="s">
        <v>14478</v>
      </c>
      <c r="F1481" s="309" t="s">
        <v>14480</v>
      </c>
      <c r="G1481" s="236"/>
      <c r="H1481" s="307" t="s">
        <v>1420</v>
      </c>
      <c r="I1481" s="237"/>
      <c r="J1481" s="237"/>
      <c r="K1481" s="310" t="s">
        <v>14481</v>
      </c>
      <c r="L1481" s="237"/>
      <c r="M1481" s="237"/>
      <c r="N1481" s="237"/>
      <c r="O1481" s="237"/>
      <c r="P1481" s="237"/>
      <c r="Q1481" s="237"/>
      <c r="R1481" s="237"/>
      <c r="S1481" s="237"/>
      <c r="T1481" s="237"/>
      <c r="U1481" s="237"/>
      <c r="V1481" s="237"/>
      <c r="W1481" s="237"/>
      <c r="X1481" s="237"/>
      <c r="Y1481" s="237"/>
      <c r="Z1481" s="237"/>
    </row>
    <row r="1482">
      <c r="A1482" s="305">
        <v>1481.0</v>
      </c>
      <c r="B1482" s="236"/>
      <c r="C1482" s="307" t="s">
        <v>1420</v>
      </c>
      <c r="D1482" s="308" t="s">
        <v>12193</v>
      </c>
      <c r="E1482" s="305" t="s">
        <v>12194</v>
      </c>
      <c r="F1482" s="309" t="s">
        <v>12383</v>
      </c>
      <c r="G1482" s="236"/>
      <c r="H1482" s="307" t="s">
        <v>1420</v>
      </c>
      <c r="I1482" s="237"/>
      <c r="J1482" s="237"/>
      <c r="K1482" s="310" t="s">
        <v>12382</v>
      </c>
      <c r="L1482" s="237"/>
      <c r="M1482" s="237"/>
      <c r="N1482" s="237"/>
      <c r="O1482" s="237"/>
      <c r="P1482" s="237"/>
      <c r="Q1482" s="237"/>
      <c r="R1482" s="237"/>
      <c r="S1482" s="237"/>
      <c r="T1482" s="237"/>
      <c r="U1482" s="237"/>
      <c r="V1482" s="237"/>
      <c r="W1482" s="237"/>
      <c r="X1482" s="237"/>
      <c r="Y1482" s="237"/>
      <c r="Z1482" s="237"/>
    </row>
    <row r="1483">
      <c r="A1483" s="305">
        <v>1482.0</v>
      </c>
      <c r="B1483" s="236"/>
      <c r="C1483" s="307" t="s">
        <v>1420</v>
      </c>
      <c r="D1483" s="308" t="s">
        <v>14482</v>
      </c>
      <c r="E1483" s="305" t="s">
        <v>14483</v>
      </c>
      <c r="F1483" s="309" t="s">
        <v>12381</v>
      </c>
      <c r="G1483" s="236"/>
      <c r="H1483" s="307" t="s">
        <v>1420</v>
      </c>
      <c r="I1483" s="237"/>
      <c r="J1483" s="237"/>
      <c r="K1483" s="310" t="s">
        <v>12380</v>
      </c>
      <c r="L1483" s="237"/>
      <c r="M1483" s="237"/>
      <c r="N1483" s="237"/>
      <c r="O1483" s="237"/>
      <c r="P1483" s="237"/>
      <c r="Q1483" s="237"/>
      <c r="R1483" s="237"/>
      <c r="S1483" s="237"/>
      <c r="T1483" s="237"/>
      <c r="U1483" s="237"/>
      <c r="V1483" s="237"/>
      <c r="W1483" s="237"/>
      <c r="X1483" s="237"/>
      <c r="Y1483" s="237"/>
      <c r="Z1483" s="237"/>
    </row>
    <row r="1484">
      <c r="A1484" s="305">
        <v>1483.0</v>
      </c>
      <c r="B1484" s="236"/>
      <c r="C1484" s="307" t="s">
        <v>1420</v>
      </c>
      <c r="D1484" s="308" t="s">
        <v>14484</v>
      </c>
      <c r="E1484" s="305" t="s">
        <v>14483</v>
      </c>
      <c r="F1484" s="309" t="s">
        <v>14485</v>
      </c>
      <c r="G1484" s="236"/>
      <c r="H1484" s="307" t="s">
        <v>1420</v>
      </c>
      <c r="I1484" s="237"/>
      <c r="J1484" s="237"/>
      <c r="K1484" s="310" t="s">
        <v>14486</v>
      </c>
      <c r="L1484" s="237"/>
      <c r="M1484" s="237"/>
      <c r="N1484" s="237"/>
      <c r="O1484" s="237"/>
      <c r="P1484" s="237"/>
      <c r="Q1484" s="237"/>
      <c r="R1484" s="237"/>
      <c r="S1484" s="237"/>
      <c r="T1484" s="237"/>
      <c r="U1484" s="237"/>
      <c r="V1484" s="237"/>
      <c r="W1484" s="237"/>
      <c r="X1484" s="237"/>
      <c r="Y1484" s="237"/>
      <c r="Z1484" s="237"/>
    </row>
    <row r="1485">
      <c r="A1485" s="305">
        <v>1484.0</v>
      </c>
      <c r="B1485" s="236"/>
      <c r="C1485" s="307" t="s">
        <v>1420</v>
      </c>
      <c r="D1485" s="308" t="s">
        <v>12190</v>
      </c>
      <c r="E1485" s="305" t="s">
        <v>12191</v>
      </c>
      <c r="F1485" s="309" t="s">
        <v>12381</v>
      </c>
      <c r="G1485" s="236"/>
      <c r="H1485" s="307" t="s">
        <v>1420</v>
      </c>
      <c r="I1485" s="237"/>
      <c r="J1485" s="237"/>
      <c r="K1485" s="310" t="s">
        <v>12380</v>
      </c>
      <c r="L1485" s="237"/>
      <c r="M1485" s="237"/>
      <c r="N1485" s="237"/>
      <c r="O1485" s="237"/>
      <c r="P1485" s="237"/>
      <c r="Q1485" s="237"/>
      <c r="R1485" s="237"/>
      <c r="S1485" s="237"/>
      <c r="T1485" s="237"/>
      <c r="U1485" s="237"/>
      <c r="V1485" s="237"/>
      <c r="W1485" s="237"/>
      <c r="X1485" s="237"/>
      <c r="Y1485" s="237"/>
      <c r="Z1485" s="237"/>
    </row>
    <row r="1486">
      <c r="A1486" s="305">
        <v>1485.0</v>
      </c>
      <c r="B1486" s="236"/>
      <c r="C1486" s="307" t="s">
        <v>1420</v>
      </c>
      <c r="D1486" s="308" t="s">
        <v>14487</v>
      </c>
      <c r="E1486" s="305" t="s">
        <v>14488</v>
      </c>
      <c r="F1486" s="309" t="s">
        <v>14489</v>
      </c>
      <c r="G1486" s="236"/>
      <c r="H1486" s="307" t="s">
        <v>1420</v>
      </c>
      <c r="I1486" s="237"/>
      <c r="J1486" s="237"/>
      <c r="K1486" s="310" t="s">
        <v>14490</v>
      </c>
      <c r="L1486" s="237"/>
      <c r="M1486" s="237"/>
      <c r="N1486" s="237"/>
      <c r="O1486" s="237"/>
      <c r="P1486" s="237"/>
      <c r="Q1486" s="237"/>
      <c r="R1486" s="237"/>
      <c r="S1486" s="237"/>
      <c r="T1486" s="237"/>
      <c r="U1486" s="237"/>
      <c r="V1486" s="237"/>
      <c r="W1486" s="237"/>
      <c r="X1486" s="237"/>
      <c r="Y1486" s="237"/>
      <c r="Z1486" s="237"/>
    </row>
    <row r="1487">
      <c r="A1487" s="305">
        <v>1486.0</v>
      </c>
      <c r="B1487" s="236"/>
      <c r="C1487" s="307" t="s">
        <v>1420</v>
      </c>
      <c r="D1487" s="308" t="s">
        <v>14491</v>
      </c>
      <c r="E1487" s="305" t="s">
        <v>14492</v>
      </c>
      <c r="F1487" s="309" t="s">
        <v>14493</v>
      </c>
      <c r="G1487" s="236"/>
      <c r="H1487" s="307" t="s">
        <v>1420</v>
      </c>
      <c r="I1487" s="237"/>
      <c r="J1487" s="237"/>
      <c r="K1487" s="310" t="s">
        <v>14494</v>
      </c>
      <c r="L1487" s="237"/>
      <c r="M1487" s="237"/>
      <c r="N1487" s="237"/>
      <c r="O1487" s="237"/>
      <c r="P1487" s="237"/>
      <c r="Q1487" s="237"/>
      <c r="R1487" s="237"/>
      <c r="S1487" s="237"/>
      <c r="T1487" s="237"/>
      <c r="U1487" s="237"/>
      <c r="V1487" s="237"/>
      <c r="W1487" s="237"/>
      <c r="X1487" s="237"/>
      <c r="Y1487" s="237"/>
      <c r="Z1487" s="237"/>
    </row>
    <row r="1488">
      <c r="A1488" s="305">
        <v>1487.0</v>
      </c>
      <c r="B1488" s="236"/>
      <c r="C1488" s="307" t="s">
        <v>1420</v>
      </c>
      <c r="D1488" s="308" t="s">
        <v>14495</v>
      </c>
      <c r="E1488" s="305" t="s">
        <v>14496</v>
      </c>
      <c r="F1488" s="309" t="s">
        <v>14497</v>
      </c>
      <c r="G1488" s="236"/>
      <c r="H1488" s="307" t="s">
        <v>1420</v>
      </c>
      <c r="I1488" s="237"/>
      <c r="J1488" s="237"/>
      <c r="K1488" s="310" t="s">
        <v>14498</v>
      </c>
      <c r="L1488" s="237"/>
      <c r="M1488" s="237"/>
      <c r="N1488" s="237"/>
      <c r="O1488" s="237"/>
      <c r="P1488" s="237"/>
      <c r="Q1488" s="237"/>
      <c r="R1488" s="237"/>
      <c r="S1488" s="237"/>
      <c r="T1488" s="237"/>
      <c r="U1488" s="237"/>
      <c r="V1488" s="237"/>
      <c r="W1488" s="237"/>
      <c r="X1488" s="237"/>
      <c r="Y1488" s="237"/>
      <c r="Z1488" s="237"/>
    </row>
    <row r="1489">
      <c r="A1489" s="305">
        <v>1488.0</v>
      </c>
      <c r="B1489" s="236"/>
      <c r="C1489" s="307" t="s">
        <v>1420</v>
      </c>
      <c r="D1489" s="308" t="s">
        <v>1550</v>
      </c>
      <c r="E1489" s="305" t="s">
        <v>14499</v>
      </c>
      <c r="F1489" s="309" t="s">
        <v>14500</v>
      </c>
      <c r="G1489" s="236"/>
      <c r="H1489" s="307" t="s">
        <v>1420</v>
      </c>
      <c r="I1489" s="237"/>
      <c r="J1489" s="237"/>
      <c r="K1489" s="310" t="s">
        <v>14501</v>
      </c>
      <c r="L1489" s="237"/>
      <c r="M1489" s="237"/>
      <c r="N1489" s="237"/>
      <c r="O1489" s="237"/>
      <c r="P1489" s="237"/>
      <c r="Q1489" s="237"/>
      <c r="R1489" s="237"/>
      <c r="S1489" s="237"/>
      <c r="T1489" s="237"/>
      <c r="U1489" s="237"/>
      <c r="V1489" s="237"/>
      <c r="W1489" s="237"/>
      <c r="X1489" s="237"/>
      <c r="Y1489" s="237"/>
      <c r="Z1489" s="237"/>
    </row>
    <row r="1490">
      <c r="A1490" s="305">
        <v>1489.0</v>
      </c>
      <c r="B1490" s="236"/>
      <c r="C1490" s="307" t="s">
        <v>1420</v>
      </c>
      <c r="D1490" s="308" t="s">
        <v>14502</v>
      </c>
      <c r="E1490" s="305" t="s">
        <v>14503</v>
      </c>
      <c r="F1490" s="309" t="s">
        <v>14504</v>
      </c>
      <c r="G1490" s="236"/>
      <c r="H1490" s="307" t="s">
        <v>1420</v>
      </c>
      <c r="I1490" s="237"/>
      <c r="J1490" s="237"/>
      <c r="K1490" s="310" t="s">
        <v>14505</v>
      </c>
      <c r="L1490" s="237"/>
      <c r="M1490" s="237"/>
      <c r="N1490" s="237"/>
      <c r="O1490" s="237"/>
      <c r="P1490" s="237"/>
      <c r="Q1490" s="237"/>
      <c r="R1490" s="237"/>
      <c r="S1490" s="237"/>
      <c r="T1490" s="237"/>
      <c r="U1490" s="237"/>
      <c r="V1490" s="237"/>
      <c r="W1490" s="237"/>
      <c r="X1490" s="237"/>
      <c r="Y1490" s="237"/>
      <c r="Z1490" s="237"/>
    </row>
    <row r="1491">
      <c r="A1491" s="305">
        <v>1490.0</v>
      </c>
      <c r="B1491" s="236"/>
      <c r="C1491" s="307" t="s">
        <v>1420</v>
      </c>
      <c r="D1491" s="308" t="s">
        <v>14506</v>
      </c>
      <c r="E1491" s="305" t="s">
        <v>14507</v>
      </c>
      <c r="F1491" s="309" t="s">
        <v>14508</v>
      </c>
      <c r="G1491" s="236"/>
      <c r="H1491" s="307" t="s">
        <v>1420</v>
      </c>
      <c r="I1491" s="237"/>
      <c r="J1491" s="237"/>
      <c r="K1491" s="310" t="s">
        <v>14509</v>
      </c>
      <c r="L1491" s="237"/>
      <c r="M1491" s="237"/>
      <c r="N1491" s="237"/>
      <c r="O1491" s="237"/>
      <c r="P1491" s="237"/>
      <c r="Q1491" s="237"/>
      <c r="R1491" s="237"/>
      <c r="S1491" s="237"/>
      <c r="T1491" s="237"/>
      <c r="U1491" s="237"/>
      <c r="V1491" s="237"/>
      <c r="W1491" s="237"/>
      <c r="X1491" s="237"/>
      <c r="Y1491" s="237"/>
      <c r="Z1491" s="237"/>
    </row>
    <row r="1492">
      <c r="A1492" s="305">
        <v>1491.0</v>
      </c>
      <c r="B1492" s="236"/>
      <c r="C1492" s="307" t="s">
        <v>1420</v>
      </c>
      <c r="D1492" s="308" t="s">
        <v>14510</v>
      </c>
      <c r="E1492" s="305" t="s">
        <v>14511</v>
      </c>
      <c r="F1492" s="309" t="s">
        <v>14512</v>
      </c>
      <c r="G1492" s="236"/>
      <c r="H1492" s="307" t="s">
        <v>1420</v>
      </c>
      <c r="I1492" s="237"/>
      <c r="J1492" s="237"/>
      <c r="K1492" s="310" t="s">
        <v>14513</v>
      </c>
      <c r="L1492" s="237"/>
      <c r="M1492" s="237"/>
      <c r="N1492" s="237"/>
      <c r="O1492" s="237"/>
      <c r="P1492" s="237"/>
      <c r="Q1492" s="237"/>
      <c r="R1492" s="237"/>
      <c r="S1492" s="237"/>
      <c r="T1492" s="237"/>
      <c r="U1492" s="237"/>
      <c r="V1492" s="237"/>
      <c r="W1492" s="237"/>
      <c r="X1492" s="237"/>
      <c r="Y1492" s="237"/>
      <c r="Z1492" s="237"/>
    </row>
    <row r="1493">
      <c r="A1493" s="305">
        <v>1492.0</v>
      </c>
      <c r="B1493" s="236"/>
      <c r="C1493" s="307" t="s">
        <v>1420</v>
      </c>
      <c r="D1493" s="308" t="s">
        <v>14514</v>
      </c>
      <c r="E1493" s="305" t="s">
        <v>14515</v>
      </c>
      <c r="F1493" s="309" t="s">
        <v>14516</v>
      </c>
      <c r="G1493" s="236"/>
      <c r="H1493" s="307" t="s">
        <v>1420</v>
      </c>
      <c r="I1493" s="237"/>
      <c r="J1493" s="237"/>
      <c r="K1493" s="310" t="s">
        <v>14517</v>
      </c>
      <c r="L1493" s="237"/>
      <c r="M1493" s="237"/>
      <c r="N1493" s="237"/>
      <c r="O1493" s="237"/>
      <c r="P1493" s="237"/>
      <c r="Q1493" s="237"/>
      <c r="R1493" s="237"/>
      <c r="S1493" s="237"/>
      <c r="T1493" s="237"/>
      <c r="U1493" s="237"/>
      <c r="V1493" s="237"/>
      <c r="W1493" s="237"/>
      <c r="X1493" s="237"/>
      <c r="Y1493" s="237"/>
      <c r="Z1493" s="237"/>
    </row>
    <row r="1494">
      <c r="A1494" s="305">
        <v>1493.0</v>
      </c>
      <c r="B1494" s="236"/>
      <c r="C1494" s="307" t="s">
        <v>1420</v>
      </c>
      <c r="D1494" s="308" t="s">
        <v>1547</v>
      </c>
      <c r="E1494" s="305" t="s">
        <v>14518</v>
      </c>
      <c r="F1494" s="309" t="s">
        <v>14519</v>
      </c>
      <c r="G1494" s="236"/>
      <c r="H1494" s="307" t="s">
        <v>1420</v>
      </c>
      <c r="I1494" s="237"/>
      <c r="J1494" s="237"/>
      <c r="K1494" s="310" t="s">
        <v>14520</v>
      </c>
      <c r="L1494" s="237"/>
      <c r="M1494" s="237"/>
      <c r="N1494" s="237"/>
      <c r="O1494" s="237"/>
      <c r="P1494" s="237"/>
      <c r="Q1494" s="237"/>
      <c r="R1494" s="237"/>
      <c r="S1494" s="237"/>
      <c r="T1494" s="237"/>
      <c r="U1494" s="237"/>
      <c r="V1494" s="237"/>
      <c r="W1494" s="237"/>
      <c r="X1494" s="237"/>
      <c r="Y1494" s="237"/>
      <c r="Z1494" s="237"/>
    </row>
    <row r="1495">
      <c r="A1495" s="305">
        <v>1494.0</v>
      </c>
      <c r="B1495" s="236"/>
      <c r="C1495" s="307" t="s">
        <v>1420</v>
      </c>
      <c r="D1495" s="308" t="s">
        <v>1549</v>
      </c>
      <c r="E1495" s="305" t="s">
        <v>14521</v>
      </c>
      <c r="F1495" s="309" t="s">
        <v>14522</v>
      </c>
      <c r="G1495" s="236"/>
      <c r="H1495" s="307" t="s">
        <v>1420</v>
      </c>
      <c r="I1495" s="237"/>
      <c r="J1495" s="237"/>
      <c r="K1495" s="310" t="s">
        <v>14523</v>
      </c>
      <c r="L1495" s="237"/>
      <c r="M1495" s="237"/>
      <c r="N1495" s="237"/>
      <c r="O1495" s="237"/>
      <c r="P1495" s="237"/>
      <c r="Q1495" s="237"/>
      <c r="R1495" s="237"/>
      <c r="S1495" s="237"/>
      <c r="T1495" s="237"/>
      <c r="U1495" s="237"/>
      <c r="V1495" s="237"/>
      <c r="W1495" s="237"/>
      <c r="X1495" s="237"/>
      <c r="Y1495" s="237"/>
      <c r="Z1495" s="237"/>
    </row>
    <row r="1496">
      <c r="A1496" s="305">
        <v>1495.0</v>
      </c>
      <c r="B1496" s="236"/>
      <c r="C1496" s="307" t="s">
        <v>1420</v>
      </c>
      <c r="D1496" s="308" t="s">
        <v>14524</v>
      </c>
      <c r="E1496" s="305" t="s">
        <v>14525</v>
      </c>
      <c r="F1496" s="309" t="s">
        <v>14526</v>
      </c>
      <c r="G1496" s="236"/>
      <c r="H1496" s="307" t="s">
        <v>1420</v>
      </c>
      <c r="I1496" s="237"/>
      <c r="J1496" s="237"/>
      <c r="K1496" s="310" t="s">
        <v>14527</v>
      </c>
      <c r="L1496" s="237"/>
      <c r="M1496" s="237"/>
      <c r="N1496" s="237"/>
      <c r="O1496" s="237"/>
      <c r="P1496" s="237"/>
      <c r="Q1496" s="237"/>
      <c r="R1496" s="237"/>
      <c r="S1496" s="237"/>
      <c r="T1496" s="237"/>
      <c r="U1496" s="237"/>
      <c r="V1496" s="237"/>
      <c r="W1496" s="237"/>
      <c r="X1496" s="237"/>
      <c r="Y1496" s="237"/>
      <c r="Z1496" s="237"/>
    </row>
    <row r="1497">
      <c r="A1497" s="305">
        <v>1496.0</v>
      </c>
      <c r="B1497" s="236"/>
      <c r="C1497" s="307" t="s">
        <v>1420</v>
      </c>
      <c r="D1497" s="308" t="s">
        <v>1546</v>
      </c>
      <c r="E1497" s="305" t="s">
        <v>14528</v>
      </c>
      <c r="F1497" s="309" t="s">
        <v>14529</v>
      </c>
      <c r="G1497" s="236"/>
      <c r="H1497" s="307" t="s">
        <v>1420</v>
      </c>
      <c r="I1497" s="237"/>
      <c r="J1497" s="237"/>
      <c r="K1497" s="310" t="s">
        <v>14530</v>
      </c>
      <c r="L1497" s="237"/>
      <c r="M1497" s="237"/>
      <c r="N1497" s="237"/>
      <c r="O1497" s="237"/>
      <c r="P1497" s="237"/>
      <c r="Q1497" s="237"/>
      <c r="R1497" s="237"/>
      <c r="S1497" s="237"/>
      <c r="T1497" s="237"/>
      <c r="U1497" s="237"/>
      <c r="V1497" s="237"/>
      <c r="W1497" s="237"/>
      <c r="X1497" s="237"/>
      <c r="Y1497" s="237"/>
      <c r="Z1497" s="237"/>
    </row>
    <row r="1498">
      <c r="A1498" s="305">
        <v>1497.0</v>
      </c>
      <c r="B1498" s="236"/>
      <c r="C1498" s="307" t="s">
        <v>1420</v>
      </c>
      <c r="D1498" s="308" t="s">
        <v>1548</v>
      </c>
      <c r="E1498" s="305" t="s">
        <v>14531</v>
      </c>
      <c r="F1498" s="309" t="s">
        <v>14532</v>
      </c>
      <c r="G1498" s="236"/>
      <c r="H1498" s="307" t="s">
        <v>1420</v>
      </c>
      <c r="I1498" s="237"/>
      <c r="J1498" s="237"/>
      <c r="K1498" s="310" t="s">
        <v>14533</v>
      </c>
      <c r="L1498" s="237"/>
      <c r="M1498" s="237"/>
      <c r="N1498" s="237"/>
      <c r="O1498" s="237"/>
      <c r="P1498" s="237"/>
      <c r="Q1498" s="237"/>
      <c r="R1498" s="237"/>
      <c r="S1498" s="237"/>
      <c r="T1498" s="237"/>
      <c r="U1498" s="237"/>
      <c r="V1498" s="237"/>
      <c r="W1498" s="237"/>
      <c r="X1498" s="237"/>
      <c r="Y1498" s="237"/>
      <c r="Z1498" s="237"/>
    </row>
    <row r="1499">
      <c r="A1499" s="305">
        <v>1498.0</v>
      </c>
      <c r="B1499" s="236"/>
      <c r="C1499" s="307" t="s">
        <v>1420</v>
      </c>
      <c r="D1499" s="308" t="s">
        <v>14534</v>
      </c>
      <c r="E1499" s="236"/>
      <c r="F1499" s="309" t="s">
        <v>14161</v>
      </c>
      <c r="G1499" s="236"/>
      <c r="H1499" s="307" t="s">
        <v>1420</v>
      </c>
      <c r="I1499" s="237"/>
      <c r="J1499" s="237"/>
      <c r="K1499" s="310" t="s">
        <v>14162</v>
      </c>
      <c r="L1499" s="237"/>
      <c r="M1499" s="237"/>
      <c r="N1499" s="237"/>
      <c r="O1499" s="237"/>
      <c r="P1499" s="237"/>
      <c r="Q1499" s="237"/>
      <c r="R1499" s="237"/>
      <c r="S1499" s="237"/>
      <c r="T1499" s="237"/>
      <c r="U1499" s="237"/>
      <c r="V1499" s="237"/>
      <c r="W1499" s="237"/>
      <c r="X1499" s="237"/>
      <c r="Y1499" s="237"/>
      <c r="Z1499" s="237"/>
    </row>
    <row r="1500">
      <c r="A1500" s="305">
        <v>1499.0</v>
      </c>
      <c r="B1500" s="236"/>
      <c r="C1500" s="307" t="s">
        <v>1420</v>
      </c>
      <c r="D1500" s="308" t="s">
        <v>14535</v>
      </c>
      <c r="E1500" s="305" t="s">
        <v>14536</v>
      </c>
      <c r="F1500" s="309" t="s">
        <v>14159</v>
      </c>
      <c r="G1500" s="236"/>
      <c r="H1500" s="307" t="s">
        <v>1420</v>
      </c>
      <c r="I1500" s="237"/>
      <c r="J1500" s="237"/>
      <c r="K1500" s="310" t="s">
        <v>14537</v>
      </c>
      <c r="L1500" s="237"/>
      <c r="M1500" s="237"/>
      <c r="N1500" s="237"/>
      <c r="O1500" s="237"/>
      <c r="P1500" s="237"/>
      <c r="Q1500" s="237"/>
      <c r="R1500" s="237"/>
      <c r="S1500" s="237"/>
      <c r="T1500" s="237"/>
      <c r="U1500" s="237"/>
      <c r="V1500" s="237"/>
      <c r="W1500" s="237"/>
      <c r="X1500" s="237"/>
      <c r="Y1500" s="237"/>
      <c r="Z1500" s="237"/>
    </row>
    <row r="1501">
      <c r="A1501" s="305">
        <v>1500.0</v>
      </c>
      <c r="B1501" s="236"/>
      <c r="C1501" s="307" t="s">
        <v>1420</v>
      </c>
      <c r="D1501" s="308" t="s">
        <v>14538</v>
      </c>
      <c r="E1501" s="305" t="s">
        <v>14539</v>
      </c>
      <c r="F1501" s="309" t="s">
        <v>14540</v>
      </c>
      <c r="G1501" s="236"/>
      <c r="H1501" s="307" t="s">
        <v>1420</v>
      </c>
      <c r="I1501" s="237"/>
      <c r="J1501" s="237"/>
      <c r="K1501" s="310" t="s">
        <v>14541</v>
      </c>
      <c r="L1501" s="237"/>
      <c r="M1501" s="237"/>
      <c r="N1501" s="237"/>
      <c r="O1501" s="237"/>
      <c r="P1501" s="237"/>
      <c r="Q1501" s="237"/>
      <c r="R1501" s="237"/>
      <c r="S1501" s="237"/>
      <c r="T1501" s="237"/>
      <c r="U1501" s="237"/>
      <c r="V1501" s="237"/>
      <c r="W1501" s="237"/>
      <c r="X1501" s="237"/>
      <c r="Y1501" s="237"/>
      <c r="Z1501" s="237"/>
    </row>
    <row r="1502">
      <c r="A1502" s="305">
        <v>1501.0</v>
      </c>
      <c r="B1502" s="236"/>
      <c r="C1502" s="307" t="s">
        <v>1420</v>
      </c>
      <c r="D1502" s="308" t="s">
        <v>14542</v>
      </c>
      <c r="E1502" s="305" t="s">
        <v>14543</v>
      </c>
      <c r="F1502" s="309" t="s">
        <v>14544</v>
      </c>
      <c r="G1502" s="236"/>
      <c r="H1502" s="307" t="s">
        <v>1420</v>
      </c>
      <c r="I1502" s="237"/>
      <c r="J1502" s="237"/>
      <c r="K1502" s="310" t="s">
        <v>14545</v>
      </c>
      <c r="L1502" s="237"/>
      <c r="M1502" s="237"/>
      <c r="N1502" s="237"/>
      <c r="O1502" s="237"/>
      <c r="P1502" s="237"/>
      <c r="Q1502" s="237"/>
      <c r="R1502" s="237"/>
      <c r="S1502" s="237"/>
      <c r="T1502" s="237"/>
      <c r="U1502" s="237"/>
      <c r="V1502" s="237"/>
      <c r="W1502" s="237"/>
      <c r="X1502" s="237"/>
      <c r="Y1502" s="237"/>
      <c r="Z1502" s="237"/>
    </row>
    <row r="1503">
      <c r="A1503" s="305">
        <v>1502.0</v>
      </c>
      <c r="B1503" s="236"/>
      <c r="C1503" s="307" t="s">
        <v>1420</v>
      </c>
      <c r="D1503" s="308" t="s">
        <v>14542</v>
      </c>
      <c r="E1503" s="305" t="s">
        <v>14546</v>
      </c>
      <c r="F1503" s="309" t="s">
        <v>14547</v>
      </c>
      <c r="G1503" s="236"/>
      <c r="H1503" s="307" t="s">
        <v>1420</v>
      </c>
      <c r="I1503" s="237"/>
      <c r="J1503" s="237"/>
      <c r="K1503" s="310" t="s">
        <v>14548</v>
      </c>
      <c r="L1503" s="237"/>
      <c r="M1503" s="237"/>
      <c r="N1503" s="237"/>
      <c r="O1503" s="237"/>
      <c r="P1503" s="237"/>
      <c r="Q1503" s="237"/>
      <c r="R1503" s="237"/>
      <c r="S1503" s="237"/>
      <c r="T1503" s="237"/>
      <c r="U1503" s="237"/>
      <c r="V1503" s="237"/>
      <c r="W1503" s="237"/>
      <c r="X1503" s="237"/>
      <c r="Y1503" s="237"/>
      <c r="Z1503" s="237"/>
    </row>
    <row r="1504">
      <c r="A1504" s="305">
        <v>1503.0</v>
      </c>
      <c r="B1504" s="236"/>
      <c r="C1504" s="307" t="s">
        <v>1420</v>
      </c>
      <c r="D1504" s="308" t="s">
        <v>14549</v>
      </c>
      <c r="E1504" s="305" t="s">
        <v>14550</v>
      </c>
      <c r="F1504" s="309" t="s">
        <v>14551</v>
      </c>
      <c r="G1504" s="236"/>
      <c r="H1504" s="307" t="s">
        <v>1420</v>
      </c>
      <c r="I1504" s="237"/>
      <c r="J1504" s="237"/>
      <c r="K1504" s="310" t="s">
        <v>14552</v>
      </c>
      <c r="L1504" s="237"/>
      <c r="M1504" s="237"/>
      <c r="N1504" s="237"/>
      <c r="O1504" s="237"/>
      <c r="P1504" s="237"/>
      <c r="Q1504" s="237"/>
      <c r="R1504" s="237"/>
      <c r="S1504" s="237"/>
      <c r="T1504" s="237"/>
      <c r="U1504" s="237"/>
      <c r="V1504" s="237"/>
      <c r="W1504" s="237"/>
      <c r="X1504" s="237"/>
      <c r="Y1504" s="237"/>
      <c r="Z1504" s="237"/>
    </row>
    <row r="1505">
      <c r="A1505" s="305">
        <v>1504.0</v>
      </c>
      <c r="B1505" s="236"/>
      <c r="C1505" s="307" t="s">
        <v>1420</v>
      </c>
      <c r="D1505" s="308" t="s">
        <v>14553</v>
      </c>
      <c r="E1505" s="305" t="s">
        <v>14554</v>
      </c>
      <c r="F1505" s="309" t="s">
        <v>14555</v>
      </c>
      <c r="G1505" s="236"/>
      <c r="H1505" s="307" t="s">
        <v>1420</v>
      </c>
      <c r="I1505" s="237"/>
      <c r="J1505" s="237"/>
      <c r="K1505" s="310" t="s">
        <v>14556</v>
      </c>
      <c r="L1505" s="237"/>
      <c r="M1505" s="237"/>
      <c r="N1505" s="237"/>
      <c r="O1505" s="237"/>
      <c r="P1505" s="237"/>
      <c r="Q1505" s="237"/>
      <c r="R1505" s="237"/>
      <c r="S1505" s="237"/>
      <c r="T1505" s="237"/>
      <c r="U1505" s="237"/>
      <c r="V1505" s="237"/>
      <c r="W1505" s="237"/>
      <c r="X1505" s="237"/>
      <c r="Y1505" s="237"/>
      <c r="Z1505" s="237"/>
    </row>
    <row r="1506">
      <c r="A1506" s="305">
        <v>1505.0</v>
      </c>
      <c r="B1506" s="236"/>
      <c r="C1506" s="307" t="s">
        <v>1420</v>
      </c>
      <c r="D1506" s="308" t="s">
        <v>14557</v>
      </c>
      <c r="E1506" s="305" t="s">
        <v>14558</v>
      </c>
      <c r="F1506" s="309" t="s">
        <v>14559</v>
      </c>
      <c r="G1506" s="236"/>
      <c r="H1506" s="307" t="s">
        <v>1420</v>
      </c>
      <c r="I1506" s="237"/>
      <c r="J1506" s="237"/>
      <c r="K1506" s="310" t="s">
        <v>14560</v>
      </c>
      <c r="L1506" s="237"/>
      <c r="M1506" s="237"/>
      <c r="N1506" s="237"/>
      <c r="O1506" s="237"/>
      <c r="P1506" s="237"/>
      <c r="Q1506" s="237"/>
      <c r="R1506" s="237"/>
      <c r="S1506" s="237"/>
      <c r="T1506" s="237"/>
      <c r="U1506" s="237"/>
      <c r="V1506" s="237"/>
      <c r="W1506" s="237"/>
      <c r="X1506" s="237"/>
      <c r="Y1506" s="237"/>
      <c r="Z1506" s="237"/>
    </row>
    <row r="1507">
      <c r="A1507" s="305">
        <v>1506.0</v>
      </c>
      <c r="B1507" s="236"/>
      <c r="C1507" s="307" t="s">
        <v>1420</v>
      </c>
      <c r="D1507" s="308" t="s">
        <v>14561</v>
      </c>
      <c r="E1507" s="305" t="s">
        <v>14511</v>
      </c>
      <c r="F1507" s="309" t="s">
        <v>14562</v>
      </c>
      <c r="G1507" s="236"/>
      <c r="H1507" s="307" t="s">
        <v>1420</v>
      </c>
      <c r="I1507" s="237"/>
      <c r="J1507" s="237"/>
      <c r="K1507" s="310" t="s">
        <v>14563</v>
      </c>
      <c r="L1507" s="237"/>
      <c r="M1507" s="237"/>
      <c r="N1507" s="237"/>
      <c r="O1507" s="237"/>
      <c r="P1507" s="237"/>
      <c r="Q1507" s="237"/>
      <c r="R1507" s="237"/>
      <c r="S1507" s="237"/>
      <c r="T1507" s="237"/>
      <c r="U1507" s="237"/>
      <c r="V1507" s="237"/>
      <c r="W1507" s="237"/>
      <c r="X1507" s="237"/>
      <c r="Y1507" s="237"/>
      <c r="Z1507" s="237"/>
    </row>
    <row r="1508">
      <c r="A1508" s="305">
        <v>1507.0</v>
      </c>
      <c r="B1508" s="236"/>
      <c r="C1508" s="307" t="s">
        <v>1420</v>
      </c>
      <c r="D1508" s="308" t="s">
        <v>14564</v>
      </c>
      <c r="E1508" s="305" t="s">
        <v>14565</v>
      </c>
      <c r="F1508" s="309" t="s">
        <v>14566</v>
      </c>
      <c r="G1508" s="236"/>
      <c r="H1508" s="307" t="s">
        <v>1420</v>
      </c>
      <c r="I1508" s="237"/>
      <c r="J1508" s="237"/>
      <c r="K1508" s="310" t="s">
        <v>14567</v>
      </c>
      <c r="L1508" s="237"/>
      <c r="M1508" s="237"/>
      <c r="N1508" s="237"/>
      <c r="O1508" s="237"/>
      <c r="P1508" s="237"/>
      <c r="Q1508" s="237"/>
      <c r="R1508" s="237"/>
      <c r="S1508" s="237"/>
      <c r="T1508" s="237"/>
      <c r="U1508" s="237"/>
      <c r="V1508" s="237"/>
      <c r="W1508" s="237"/>
      <c r="X1508" s="237"/>
      <c r="Y1508" s="237"/>
      <c r="Z1508" s="237"/>
    </row>
    <row r="1509">
      <c r="A1509" s="305">
        <v>1508.0</v>
      </c>
      <c r="B1509" s="236"/>
      <c r="C1509" s="307" t="s">
        <v>1420</v>
      </c>
      <c r="D1509" s="308" t="s">
        <v>14568</v>
      </c>
      <c r="E1509" s="305" t="s">
        <v>14569</v>
      </c>
      <c r="F1509" s="309" t="s">
        <v>14570</v>
      </c>
      <c r="G1509" s="236"/>
      <c r="H1509" s="307" t="s">
        <v>1420</v>
      </c>
      <c r="I1509" s="237"/>
      <c r="J1509" s="237"/>
      <c r="K1509" s="310" t="s">
        <v>14571</v>
      </c>
      <c r="L1509" s="237"/>
      <c r="M1509" s="237"/>
      <c r="N1509" s="237"/>
      <c r="O1509" s="237"/>
      <c r="P1509" s="237"/>
      <c r="Q1509" s="237"/>
      <c r="R1509" s="237"/>
      <c r="S1509" s="237"/>
      <c r="T1509" s="237"/>
      <c r="U1509" s="237"/>
      <c r="V1509" s="237"/>
      <c r="W1509" s="237"/>
      <c r="X1509" s="237"/>
      <c r="Y1509" s="237"/>
      <c r="Z1509" s="237"/>
    </row>
    <row r="1510">
      <c r="A1510" s="305">
        <v>1509.0</v>
      </c>
      <c r="B1510" s="236"/>
      <c r="C1510" s="307" t="s">
        <v>1420</v>
      </c>
      <c r="D1510" s="308" t="s">
        <v>14568</v>
      </c>
      <c r="E1510" s="305" t="s">
        <v>14572</v>
      </c>
      <c r="F1510" s="309" t="s">
        <v>14573</v>
      </c>
      <c r="G1510" s="236"/>
      <c r="H1510" s="307" t="s">
        <v>1420</v>
      </c>
      <c r="I1510" s="237"/>
      <c r="J1510" s="237"/>
      <c r="K1510" s="310" t="s">
        <v>14574</v>
      </c>
      <c r="L1510" s="237"/>
      <c r="M1510" s="237"/>
      <c r="N1510" s="237"/>
      <c r="O1510" s="237"/>
      <c r="P1510" s="237"/>
      <c r="Q1510" s="237"/>
      <c r="R1510" s="237"/>
      <c r="S1510" s="237"/>
      <c r="T1510" s="237"/>
      <c r="U1510" s="237"/>
      <c r="V1510" s="237"/>
      <c r="W1510" s="237"/>
      <c r="X1510" s="237"/>
      <c r="Y1510" s="237"/>
      <c r="Z1510" s="237"/>
    </row>
    <row r="1511">
      <c r="A1511" s="305">
        <v>1510.0</v>
      </c>
      <c r="B1511" s="236"/>
      <c r="C1511" s="307" t="s">
        <v>1420</v>
      </c>
      <c r="D1511" s="308" t="s">
        <v>14575</v>
      </c>
      <c r="E1511" s="305" t="s">
        <v>14576</v>
      </c>
      <c r="F1511" s="309" t="s">
        <v>14577</v>
      </c>
      <c r="G1511" s="236"/>
      <c r="H1511" s="307" t="s">
        <v>1420</v>
      </c>
      <c r="I1511" s="237"/>
      <c r="J1511" s="237"/>
      <c r="K1511" s="310" t="s">
        <v>14578</v>
      </c>
      <c r="L1511" s="237"/>
      <c r="M1511" s="237"/>
      <c r="N1511" s="237"/>
      <c r="O1511" s="237"/>
      <c r="P1511" s="237"/>
      <c r="Q1511" s="237"/>
      <c r="R1511" s="237"/>
      <c r="S1511" s="237"/>
      <c r="T1511" s="237"/>
      <c r="U1511" s="237"/>
      <c r="V1511" s="237"/>
      <c r="W1511" s="237"/>
      <c r="X1511" s="237"/>
      <c r="Y1511" s="237"/>
      <c r="Z1511" s="237"/>
    </row>
    <row r="1512">
      <c r="A1512" s="305">
        <v>1511.0</v>
      </c>
      <c r="B1512" s="236"/>
      <c r="C1512" s="307" t="s">
        <v>1420</v>
      </c>
      <c r="D1512" s="308" t="s">
        <v>14575</v>
      </c>
      <c r="E1512" s="305" t="s">
        <v>14576</v>
      </c>
      <c r="F1512" s="309" t="s">
        <v>14579</v>
      </c>
      <c r="G1512" s="236"/>
      <c r="H1512" s="307" t="s">
        <v>1420</v>
      </c>
      <c r="I1512" s="237"/>
      <c r="J1512" s="237"/>
      <c r="K1512" s="310" t="s">
        <v>14580</v>
      </c>
      <c r="L1512" s="237"/>
      <c r="M1512" s="237"/>
      <c r="N1512" s="237"/>
      <c r="O1512" s="237"/>
      <c r="P1512" s="237"/>
      <c r="Q1512" s="237"/>
      <c r="R1512" s="237"/>
      <c r="S1512" s="237"/>
      <c r="T1512" s="237"/>
      <c r="U1512" s="237"/>
      <c r="V1512" s="237"/>
      <c r="W1512" s="237"/>
      <c r="X1512" s="237"/>
      <c r="Y1512" s="237"/>
      <c r="Z1512" s="237"/>
    </row>
    <row r="1513">
      <c r="A1513" s="305">
        <v>1512.0</v>
      </c>
      <c r="B1513" s="236"/>
      <c r="C1513" s="307" t="s">
        <v>1420</v>
      </c>
      <c r="D1513" s="308" t="s">
        <v>14581</v>
      </c>
      <c r="E1513" s="305" t="s">
        <v>14582</v>
      </c>
      <c r="F1513" s="309" t="s">
        <v>14583</v>
      </c>
      <c r="G1513" s="236"/>
      <c r="H1513" s="307" t="s">
        <v>1420</v>
      </c>
      <c r="I1513" s="237"/>
      <c r="J1513" s="237"/>
      <c r="K1513" s="310" t="s">
        <v>14584</v>
      </c>
      <c r="L1513" s="237"/>
      <c r="M1513" s="237"/>
      <c r="N1513" s="237"/>
      <c r="O1513" s="237"/>
      <c r="P1513" s="237"/>
      <c r="Q1513" s="237"/>
      <c r="R1513" s="237"/>
      <c r="S1513" s="237"/>
      <c r="T1513" s="237"/>
      <c r="U1513" s="237"/>
      <c r="V1513" s="237"/>
      <c r="W1513" s="237"/>
      <c r="X1513" s="237"/>
      <c r="Y1513" s="237"/>
      <c r="Z1513" s="237"/>
    </row>
    <row r="1514">
      <c r="A1514" s="305">
        <v>1513.0</v>
      </c>
      <c r="B1514" s="236"/>
      <c r="C1514" s="307" t="s">
        <v>1420</v>
      </c>
      <c r="D1514" s="308" t="s">
        <v>12187</v>
      </c>
      <c r="E1514" s="305" t="s">
        <v>12188</v>
      </c>
      <c r="F1514" s="309" t="s">
        <v>12379</v>
      </c>
      <c r="G1514" s="236"/>
      <c r="H1514" s="307" t="s">
        <v>1420</v>
      </c>
      <c r="I1514" s="237"/>
      <c r="J1514" s="237"/>
      <c r="K1514" s="310" t="s">
        <v>12378</v>
      </c>
      <c r="L1514" s="237"/>
      <c r="M1514" s="237"/>
      <c r="N1514" s="237"/>
      <c r="O1514" s="237"/>
      <c r="P1514" s="237"/>
      <c r="Q1514" s="237"/>
      <c r="R1514" s="237"/>
      <c r="S1514" s="237"/>
      <c r="T1514" s="237"/>
      <c r="U1514" s="237"/>
      <c r="V1514" s="237"/>
      <c r="W1514" s="237"/>
      <c r="X1514" s="237"/>
      <c r="Y1514" s="237"/>
      <c r="Z1514" s="237"/>
    </row>
    <row r="1515">
      <c r="A1515" s="305">
        <v>1514.0</v>
      </c>
      <c r="B1515" s="236"/>
      <c r="C1515" s="307" t="s">
        <v>1420</v>
      </c>
      <c r="D1515" s="308" t="s">
        <v>14585</v>
      </c>
      <c r="E1515" s="305" t="s">
        <v>14586</v>
      </c>
      <c r="F1515" s="309" t="s">
        <v>14587</v>
      </c>
      <c r="G1515" s="236"/>
      <c r="H1515" s="307" t="s">
        <v>1420</v>
      </c>
      <c r="I1515" s="237"/>
      <c r="J1515" s="237"/>
      <c r="K1515" s="310" t="s">
        <v>14588</v>
      </c>
      <c r="L1515" s="237"/>
      <c r="M1515" s="237"/>
      <c r="N1515" s="237"/>
      <c r="O1515" s="237"/>
      <c r="P1515" s="237"/>
      <c r="Q1515" s="237"/>
      <c r="R1515" s="237"/>
      <c r="S1515" s="237"/>
      <c r="T1515" s="237"/>
      <c r="U1515" s="237"/>
      <c r="V1515" s="237"/>
      <c r="W1515" s="237"/>
      <c r="X1515" s="237"/>
      <c r="Y1515" s="237"/>
      <c r="Z1515" s="237"/>
    </row>
    <row r="1516">
      <c r="A1516" s="305">
        <v>1515.0</v>
      </c>
      <c r="B1516" s="236"/>
      <c r="C1516" s="307" t="s">
        <v>1427</v>
      </c>
      <c r="D1516" s="308" t="s">
        <v>12205</v>
      </c>
      <c r="E1516" s="305" t="s">
        <v>12206</v>
      </c>
      <c r="F1516" s="236"/>
      <c r="G1516" s="236"/>
      <c r="H1516" s="307" t="s">
        <v>1427</v>
      </c>
      <c r="I1516" s="237"/>
      <c r="J1516" s="237"/>
      <c r="K1516" s="310" t="s">
        <v>12204</v>
      </c>
      <c r="L1516" s="237"/>
      <c r="M1516" s="237"/>
      <c r="N1516" s="237"/>
      <c r="O1516" s="237"/>
      <c r="P1516" s="237"/>
      <c r="Q1516" s="237"/>
      <c r="R1516" s="237"/>
      <c r="S1516" s="237"/>
      <c r="T1516" s="237"/>
      <c r="U1516" s="237"/>
      <c r="V1516" s="237"/>
      <c r="W1516" s="237"/>
      <c r="X1516" s="237"/>
      <c r="Y1516" s="237"/>
      <c r="Z1516" s="237"/>
    </row>
    <row r="1517">
      <c r="A1517" s="305">
        <v>1516.0</v>
      </c>
      <c r="B1517" s="236"/>
      <c r="C1517" s="307" t="s">
        <v>1420</v>
      </c>
      <c r="D1517" s="308" t="s">
        <v>14589</v>
      </c>
      <c r="E1517" s="305" t="s">
        <v>14590</v>
      </c>
      <c r="F1517" s="309" t="s">
        <v>14591</v>
      </c>
      <c r="G1517" s="236"/>
      <c r="H1517" s="307" t="s">
        <v>1420</v>
      </c>
      <c r="I1517" s="237"/>
      <c r="J1517" s="237"/>
      <c r="K1517" s="310" t="s">
        <v>14592</v>
      </c>
      <c r="L1517" s="237"/>
      <c r="M1517" s="237"/>
      <c r="N1517" s="237"/>
      <c r="O1517" s="237"/>
      <c r="P1517" s="237"/>
      <c r="Q1517" s="237"/>
      <c r="R1517" s="237"/>
      <c r="S1517" s="237"/>
      <c r="T1517" s="237"/>
      <c r="U1517" s="237"/>
      <c r="V1517" s="237"/>
      <c r="W1517" s="237"/>
      <c r="X1517" s="237"/>
      <c r="Y1517" s="237"/>
      <c r="Z1517" s="237"/>
    </row>
    <row r="1518">
      <c r="A1518" s="305">
        <v>1517.0</v>
      </c>
      <c r="B1518" s="236"/>
      <c r="C1518" s="307" t="s">
        <v>1420</v>
      </c>
      <c r="D1518" s="308" t="s">
        <v>14593</v>
      </c>
      <c r="E1518" s="305" t="s">
        <v>14594</v>
      </c>
      <c r="F1518" s="309" t="s">
        <v>14595</v>
      </c>
      <c r="G1518" s="236"/>
      <c r="H1518" s="307" t="s">
        <v>1420</v>
      </c>
      <c r="I1518" s="237"/>
      <c r="J1518" s="237"/>
      <c r="K1518" s="310" t="s">
        <v>14596</v>
      </c>
      <c r="L1518" s="237"/>
      <c r="M1518" s="237"/>
      <c r="N1518" s="237"/>
      <c r="O1518" s="237"/>
      <c r="P1518" s="237"/>
      <c r="Q1518" s="237"/>
      <c r="R1518" s="237"/>
      <c r="S1518" s="237"/>
      <c r="T1518" s="237"/>
      <c r="U1518" s="237"/>
      <c r="V1518" s="237"/>
      <c r="W1518" s="237"/>
      <c r="X1518" s="237"/>
      <c r="Y1518" s="237"/>
      <c r="Z1518" s="237"/>
    </row>
    <row r="1519">
      <c r="A1519" s="305">
        <v>1518.0</v>
      </c>
      <c r="B1519" s="236"/>
      <c r="C1519" s="307" t="s">
        <v>1420</v>
      </c>
      <c r="D1519" s="308" t="s">
        <v>14593</v>
      </c>
      <c r="E1519" s="305" t="s">
        <v>14594</v>
      </c>
      <c r="F1519" s="309" t="s">
        <v>14597</v>
      </c>
      <c r="G1519" s="236"/>
      <c r="H1519" s="307" t="s">
        <v>1420</v>
      </c>
      <c r="I1519" s="237"/>
      <c r="J1519" s="237"/>
      <c r="K1519" s="310" t="s">
        <v>14598</v>
      </c>
      <c r="L1519" s="237"/>
      <c r="M1519" s="237"/>
      <c r="N1519" s="237"/>
      <c r="O1519" s="237"/>
      <c r="P1519" s="237"/>
      <c r="Q1519" s="237"/>
      <c r="R1519" s="237"/>
      <c r="S1519" s="237"/>
      <c r="T1519" s="237"/>
      <c r="U1519" s="237"/>
      <c r="V1519" s="237"/>
      <c r="W1519" s="237"/>
      <c r="X1519" s="237"/>
      <c r="Y1519" s="237"/>
      <c r="Z1519" s="237"/>
    </row>
    <row r="1520">
      <c r="A1520" s="305">
        <v>1519.0</v>
      </c>
      <c r="B1520" s="236"/>
      <c r="C1520" s="307" t="s">
        <v>1420</v>
      </c>
      <c r="D1520" s="308" t="s">
        <v>14599</v>
      </c>
      <c r="E1520" s="305" t="s">
        <v>14600</v>
      </c>
      <c r="F1520" s="309" t="s">
        <v>14601</v>
      </c>
      <c r="G1520" s="236"/>
      <c r="H1520" s="307" t="s">
        <v>1420</v>
      </c>
      <c r="I1520" s="237"/>
      <c r="J1520" s="237"/>
      <c r="K1520" s="310" t="s">
        <v>14602</v>
      </c>
      <c r="L1520" s="237"/>
      <c r="M1520" s="237"/>
      <c r="N1520" s="237"/>
      <c r="O1520" s="237"/>
      <c r="P1520" s="237"/>
      <c r="Q1520" s="237"/>
      <c r="R1520" s="237"/>
      <c r="S1520" s="237"/>
      <c r="T1520" s="237"/>
      <c r="U1520" s="237"/>
      <c r="V1520" s="237"/>
      <c r="W1520" s="237"/>
      <c r="X1520" s="237"/>
      <c r="Y1520" s="237"/>
      <c r="Z1520" s="237"/>
    </row>
    <row r="1521">
      <c r="A1521" s="305">
        <v>1520.0</v>
      </c>
      <c r="B1521" s="236"/>
      <c r="C1521" s="307" t="s">
        <v>1420</v>
      </c>
      <c r="D1521" s="308" t="s">
        <v>14603</v>
      </c>
      <c r="E1521" s="305" t="s">
        <v>14604</v>
      </c>
      <c r="F1521" s="309" t="s">
        <v>14605</v>
      </c>
      <c r="G1521" s="236"/>
      <c r="H1521" s="307" t="s">
        <v>1420</v>
      </c>
      <c r="I1521" s="237"/>
      <c r="J1521" s="237"/>
      <c r="K1521" s="310" t="s">
        <v>14606</v>
      </c>
      <c r="L1521" s="237"/>
      <c r="M1521" s="237"/>
      <c r="N1521" s="237"/>
      <c r="O1521" s="237"/>
      <c r="P1521" s="237"/>
      <c r="Q1521" s="237"/>
      <c r="R1521" s="237"/>
      <c r="S1521" s="237"/>
      <c r="T1521" s="237"/>
      <c r="U1521" s="237"/>
      <c r="V1521" s="237"/>
      <c r="W1521" s="237"/>
      <c r="X1521" s="237"/>
      <c r="Y1521" s="237"/>
      <c r="Z1521" s="237"/>
    </row>
    <row r="1522">
      <c r="A1522" s="305">
        <v>1521.0</v>
      </c>
      <c r="B1522" s="306">
        <v>461434.0</v>
      </c>
      <c r="C1522" s="307" t="s">
        <v>1420</v>
      </c>
      <c r="D1522" s="308" t="s">
        <v>6425</v>
      </c>
      <c r="E1522" s="305" t="s">
        <v>6426</v>
      </c>
      <c r="F1522" s="309" t="s">
        <v>6427</v>
      </c>
      <c r="G1522" s="236"/>
      <c r="H1522" s="307" t="s">
        <v>1420</v>
      </c>
      <c r="I1522" s="237"/>
      <c r="J1522" s="237"/>
      <c r="K1522" s="310" t="s">
        <v>6424</v>
      </c>
      <c r="L1522" s="237"/>
      <c r="M1522" s="237"/>
      <c r="N1522" s="237"/>
      <c r="O1522" s="237"/>
      <c r="P1522" s="237"/>
      <c r="Q1522" s="237"/>
      <c r="R1522" s="237"/>
      <c r="S1522" s="237"/>
      <c r="T1522" s="237"/>
      <c r="U1522" s="237"/>
      <c r="V1522" s="237"/>
      <c r="W1522" s="237"/>
      <c r="X1522" s="237"/>
      <c r="Y1522" s="237"/>
      <c r="Z1522" s="237"/>
    </row>
    <row r="1523">
      <c r="A1523" s="305">
        <v>1522.0</v>
      </c>
      <c r="B1523" s="306">
        <v>461435.0</v>
      </c>
      <c r="C1523" s="307" t="s">
        <v>1420</v>
      </c>
      <c r="D1523" s="308" t="s">
        <v>6430</v>
      </c>
      <c r="E1523" s="305" t="s">
        <v>6431</v>
      </c>
      <c r="F1523" s="309" t="s">
        <v>6432</v>
      </c>
      <c r="G1523" s="236"/>
      <c r="H1523" s="307" t="s">
        <v>1420</v>
      </c>
      <c r="I1523" s="237"/>
      <c r="J1523" s="237"/>
      <c r="K1523" s="310" t="s">
        <v>6429</v>
      </c>
      <c r="L1523" s="237"/>
      <c r="M1523" s="237"/>
      <c r="N1523" s="237"/>
      <c r="O1523" s="237"/>
      <c r="P1523" s="237"/>
      <c r="Q1523" s="237"/>
      <c r="R1523" s="237"/>
      <c r="S1523" s="237"/>
      <c r="T1523" s="237"/>
      <c r="U1523" s="237"/>
      <c r="V1523" s="237"/>
      <c r="W1523" s="237"/>
      <c r="X1523" s="237"/>
      <c r="Y1523" s="237"/>
      <c r="Z1523" s="237"/>
    </row>
    <row r="1524">
      <c r="A1524" s="305">
        <v>1523.0</v>
      </c>
      <c r="B1524" s="306">
        <v>461437.0</v>
      </c>
      <c r="C1524" s="307" t="s">
        <v>1420</v>
      </c>
      <c r="D1524" s="308" t="s">
        <v>6435</v>
      </c>
      <c r="E1524" s="305" t="s">
        <v>6436</v>
      </c>
      <c r="F1524" s="309" t="s">
        <v>6437</v>
      </c>
      <c r="G1524" s="236"/>
      <c r="H1524" s="307" t="s">
        <v>1420</v>
      </c>
      <c r="I1524" s="237"/>
      <c r="J1524" s="237"/>
      <c r="K1524" s="310" t="s">
        <v>6434</v>
      </c>
      <c r="L1524" s="237"/>
      <c r="M1524" s="237"/>
      <c r="N1524" s="237"/>
      <c r="O1524" s="237"/>
      <c r="P1524" s="237"/>
      <c r="Q1524" s="237"/>
      <c r="R1524" s="237"/>
      <c r="S1524" s="237"/>
      <c r="T1524" s="237"/>
      <c r="U1524" s="237"/>
      <c r="V1524" s="237"/>
      <c r="W1524" s="237"/>
      <c r="X1524" s="237"/>
      <c r="Y1524" s="237"/>
      <c r="Z1524" s="237"/>
    </row>
    <row r="1525">
      <c r="A1525" s="305">
        <v>1524.0</v>
      </c>
      <c r="B1525" s="306">
        <v>461433.0</v>
      </c>
      <c r="C1525" s="307" t="s">
        <v>1420</v>
      </c>
      <c r="D1525" s="308" t="s">
        <v>6440</v>
      </c>
      <c r="E1525" s="305" t="s">
        <v>6441</v>
      </c>
      <c r="F1525" s="309" t="s">
        <v>6442</v>
      </c>
      <c r="G1525" s="236"/>
      <c r="H1525" s="307" t="s">
        <v>1420</v>
      </c>
      <c r="I1525" s="237"/>
      <c r="J1525" s="237"/>
      <c r="K1525" s="310" t="s">
        <v>6439</v>
      </c>
      <c r="L1525" s="237"/>
      <c r="M1525" s="237"/>
      <c r="N1525" s="237"/>
      <c r="O1525" s="237"/>
      <c r="P1525" s="237"/>
      <c r="Q1525" s="237"/>
      <c r="R1525" s="237"/>
      <c r="S1525" s="237"/>
      <c r="T1525" s="237"/>
      <c r="U1525" s="237"/>
      <c r="V1525" s="237"/>
      <c r="W1525" s="237"/>
      <c r="X1525" s="237"/>
      <c r="Y1525" s="237"/>
      <c r="Z1525" s="237"/>
    </row>
    <row r="1526">
      <c r="A1526" s="305">
        <v>1525.0</v>
      </c>
      <c r="B1526" s="306">
        <v>424194.0</v>
      </c>
      <c r="C1526" s="307" t="s">
        <v>1420</v>
      </c>
      <c r="D1526" s="308" t="s">
        <v>6405</v>
      </c>
      <c r="E1526" s="305" t="s">
        <v>6406</v>
      </c>
      <c r="F1526" s="309" t="s">
        <v>6407</v>
      </c>
      <c r="G1526" s="236"/>
      <c r="H1526" s="307" t="s">
        <v>1420</v>
      </c>
      <c r="I1526" s="237"/>
      <c r="J1526" s="237"/>
      <c r="K1526" s="310" t="s">
        <v>6404</v>
      </c>
      <c r="L1526" s="237"/>
      <c r="M1526" s="237"/>
      <c r="N1526" s="237"/>
      <c r="O1526" s="237"/>
      <c r="P1526" s="237"/>
      <c r="Q1526" s="237"/>
      <c r="R1526" s="237"/>
      <c r="S1526" s="237"/>
      <c r="T1526" s="237"/>
      <c r="U1526" s="237"/>
      <c r="V1526" s="237"/>
      <c r="W1526" s="237"/>
      <c r="X1526" s="237"/>
      <c r="Y1526" s="237"/>
      <c r="Z1526" s="237"/>
    </row>
    <row r="1527">
      <c r="A1527" s="305">
        <v>1526.0</v>
      </c>
      <c r="B1527" s="306">
        <v>424192.0</v>
      </c>
      <c r="C1527" s="307" t="s">
        <v>1420</v>
      </c>
      <c r="D1527" s="308" t="s">
        <v>6410</v>
      </c>
      <c r="E1527" s="305" t="s">
        <v>6411</v>
      </c>
      <c r="F1527" s="309" t="s">
        <v>6412</v>
      </c>
      <c r="G1527" s="236"/>
      <c r="H1527" s="307" t="s">
        <v>1420</v>
      </c>
      <c r="I1527" s="237"/>
      <c r="J1527" s="237"/>
      <c r="K1527" s="310" t="s">
        <v>6409</v>
      </c>
      <c r="L1527" s="237"/>
      <c r="M1527" s="237"/>
      <c r="N1527" s="237"/>
      <c r="O1527" s="237"/>
      <c r="P1527" s="237"/>
      <c r="Q1527" s="237"/>
      <c r="R1527" s="237"/>
      <c r="S1527" s="237"/>
      <c r="T1527" s="237"/>
      <c r="U1527" s="237"/>
      <c r="V1527" s="237"/>
      <c r="W1527" s="237"/>
      <c r="X1527" s="237"/>
      <c r="Y1527" s="237"/>
      <c r="Z1527" s="237"/>
    </row>
    <row r="1528">
      <c r="A1528" s="305">
        <v>1527.0</v>
      </c>
      <c r="B1528" s="306">
        <v>424193.0</v>
      </c>
      <c r="C1528" s="307" t="s">
        <v>1420</v>
      </c>
      <c r="D1528" s="308" t="s">
        <v>6415</v>
      </c>
      <c r="E1528" s="305" t="s">
        <v>6416</v>
      </c>
      <c r="F1528" s="309" t="s">
        <v>6417</v>
      </c>
      <c r="G1528" s="236"/>
      <c r="H1528" s="307" t="s">
        <v>1420</v>
      </c>
      <c r="I1528" s="237"/>
      <c r="J1528" s="237"/>
      <c r="K1528" s="310" t="s">
        <v>6414</v>
      </c>
      <c r="L1528" s="237"/>
      <c r="M1528" s="237"/>
      <c r="N1528" s="237"/>
      <c r="O1528" s="237"/>
      <c r="P1528" s="237"/>
      <c r="Q1528" s="237"/>
      <c r="R1528" s="237"/>
      <c r="S1528" s="237"/>
      <c r="T1528" s="237"/>
      <c r="U1528" s="237"/>
      <c r="V1528" s="237"/>
      <c r="W1528" s="237"/>
      <c r="X1528" s="237"/>
      <c r="Y1528" s="237"/>
      <c r="Z1528" s="237"/>
    </row>
    <row r="1529">
      <c r="A1529" s="305">
        <v>1528.0</v>
      </c>
      <c r="B1529" s="306">
        <v>5.0010112E7</v>
      </c>
      <c r="C1529" s="307" t="s">
        <v>1420</v>
      </c>
      <c r="D1529" s="308" t="s">
        <v>5211</v>
      </c>
      <c r="E1529" s="305" t="s">
        <v>5212</v>
      </c>
      <c r="F1529" s="309" t="s">
        <v>5213</v>
      </c>
      <c r="G1529" s="236"/>
      <c r="H1529" s="307" t="s">
        <v>1420</v>
      </c>
      <c r="I1529" s="237"/>
      <c r="J1529" s="237"/>
      <c r="K1529" s="310" t="s">
        <v>5210</v>
      </c>
      <c r="L1529" s="237"/>
      <c r="M1529" s="237"/>
      <c r="N1529" s="237"/>
      <c r="O1529" s="237"/>
      <c r="P1529" s="237"/>
      <c r="Q1529" s="237"/>
      <c r="R1529" s="237"/>
      <c r="S1529" s="237"/>
      <c r="T1529" s="237"/>
      <c r="U1529" s="237"/>
      <c r="V1529" s="237"/>
      <c r="W1529" s="237"/>
      <c r="X1529" s="237"/>
      <c r="Y1529" s="237"/>
      <c r="Z1529" s="237"/>
    </row>
    <row r="1530">
      <c r="A1530" s="305">
        <v>1529.0</v>
      </c>
      <c r="B1530" s="306">
        <v>5.0010114E7</v>
      </c>
      <c r="C1530" s="307" t="s">
        <v>1420</v>
      </c>
      <c r="D1530" s="308" t="s">
        <v>5201</v>
      </c>
      <c r="E1530" s="305" t="s">
        <v>5202</v>
      </c>
      <c r="F1530" s="309" t="s">
        <v>5203</v>
      </c>
      <c r="G1530" s="236"/>
      <c r="H1530" s="307" t="s">
        <v>1420</v>
      </c>
      <c r="I1530" s="237"/>
      <c r="J1530" s="237"/>
      <c r="K1530" s="310" t="s">
        <v>5200</v>
      </c>
      <c r="L1530" s="237"/>
      <c r="M1530" s="237"/>
      <c r="N1530" s="237"/>
      <c r="O1530" s="237"/>
      <c r="P1530" s="237"/>
      <c r="Q1530" s="237"/>
      <c r="R1530" s="237"/>
      <c r="S1530" s="237"/>
      <c r="T1530" s="237"/>
      <c r="U1530" s="237"/>
      <c r="V1530" s="237"/>
      <c r="W1530" s="237"/>
      <c r="X1530" s="237"/>
      <c r="Y1530" s="237"/>
      <c r="Z1530" s="237"/>
    </row>
    <row r="1531">
      <c r="A1531" s="305">
        <v>1530.0</v>
      </c>
      <c r="B1531" s="306">
        <v>5.0010113E7</v>
      </c>
      <c r="C1531" s="307" t="s">
        <v>1420</v>
      </c>
      <c r="D1531" s="308" t="s">
        <v>5206</v>
      </c>
      <c r="E1531" s="305" t="s">
        <v>5207</v>
      </c>
      <c r="F1531" s="309" t="s">
        <v>5208</v>
      </c>
      <c r="G1531" s="236"/>
      <c r="H1531" s="307" t="s">
        <v>1420</v>
      </c>
      <c r="I1531" s="237"/>
      <c r="J1531" s="237"/>
      <c r="K1531" s="310" t="s">
        <v>5205</v>
      </c>
      <c r="L1531" s="237"/>
      <c r="M1531" s="237"/>
      <c r="N1531" s="237"/>
      <c r="O1531" s="237"/>
      <c r="P1531" s="237"/>
      <c r="Q1531" s="237"/>
      <c r="R1531" s="237"/>
      <c r="S1531" s="237"/>
      <c r="T1531" s="237"/>
      <c r="U1531" s="237"/>
      <c r="V1531" s="237"/>
      <c r="W1531" s="237"/>
      <c r="X1531" s="237"/>
      <c r="Y1531" s="237"/>
      <c r="Z1531" s="237"/>
    </row>
    <row r="1532">
      <c r="A1532" s="305">
        <v>1531.0</v>
      </c>
      <c r="B1532" s="306">
        <v>5.0010115E7</v>
      </c>
      <c r="C1532" s="307" t="s">
        <v>1420</v>
      </c>
      <c r="D1532" s="308" t="s">
        <v>5196</v>
      </c>
      <c r="E1532" s="305" t="s">
        <v>5197</v>
      </c>
      <c r="F1532" s="309" t="s">
        <v>5198</v>
      </c>
      <c r="G1532" s="236"/>
      <c r="H1532" s="307" t="s">
        <v>1420</v>
      </c>
      <c r="I1532" s="237"/>
      <c r="J1532" s="237"/>
      <c r="K1532" s="310" t="s">
        <v>5195</v>
      </c>
      <c r="L1532" s="237"/>
      <c r="M1532" s="237"/>
      <c r="N1532" s="237"/>
      <c r="O1532" s="237"/>
      <c r="P1532" s="237"/>
      <c r="Q1532" s="237"/>
      <c r="R1532" s="237"/>
      <c r="S1532" s="237"/>
      <c r="T1532" s="237"/>
      <c r="U1532" s="237"/>
      <c r="V1532" s="237"/>
      <c r="W1532" s="237"/>
      <c r="X1532" s="237"/>
      <c r="Y1532" s="237"/>
      <c r="Z1532" s="237"/>
    </row>
    <row r="1533">
      <c r="A1533" s="305">
        <v>1532.0</v>
      </c>
      <c r="B1533" s="306" t="s">
        <v>5190</v>
      </c>
      <c r="C1533" s="307" t="s">
        <v>1420</v>
      </c>
      <c r="D1533" s="308" t="s">
        <v>2474</v>
      </c>
      <c r="E1533" s="305" t="s">
        <v>5192</v>
      </c>
      <c r="F1533" s="309" t="s">
        <v>5193</v>
      </c>
      <c r="G1533" s="236"/>
      <c r="H1533" s="307" t="s">
        <v>1420</v>
      </c>
      <c r="I1533" s="237"/>
      <c r="J1533" s="237"/>
      <c r="K1533" s="310" t="s">
        <v>5191</v>
      </c>
      <c r="L1533" s="237"/>
      <c r="M1533" s="237"/>
      <c r="N1533" s="237"/>
      <c r="O1533" s="237"/>
      <c r="P1533" s="237"/>
      <c r="Q1533" s="237"/>
      <c r="R1533" s="237"/>
      <c r="S1533" s="237"/>
      <c r="T1533" s="237"/>
      <c r="U1533" s="237"/>
      <c r="V1533" s="237"/>
      <c r="W1533" s="237"/>
      <c r="X1533" s="237"/>
      <c r="Y1533" s="237"/>
      <c r="Z1533" s="237"/>
    </row>
    <row r="1534">
      <c r="A1534" s="305">
        <v>1533.0</v>
      </c>
      <c r="B1534" s="236"/>
      <c r="C1534" s="307" t="s">
        <v>1420</v>
      </c>
      <c r="D1534" s="308" t="s">
        <v>14607</v>
      </c>
      <c r="E1534" s="305" t="s">
        <v>5215</v>
      </c>
      <c r="F1534" s="309" t="s">
        <v>5216</v>
      </c>
      <c r="G1534" s="236"/>
      <c r="H1534" s="307" t="s">
        <v>1420</v>
      </c>
      <c r="I1534" s="237"/>
      <c r="J1534" s="237"/>
      <c r="K1534" s="310" t="s">
        <v>5214</v>
      </c>
      <c r="L1534" s="237"/>
      <c r="M1534" s="237"/>
      <c r="N1534" s="237"/>
      <c r="O1534" s="237"/>
      <c r="P1534" s="237"/>
      <c r="Q1534" s="237"/>
      <c r="R1534" s="237"/>
      <c r="S1534" s="237"/>
      <c r="T1534" s="237"/>
      <c r="U1534" s="237"/>
      <c r="V1534" s="237"/>
      <c r="W1534" s="237"/>
      <c r="X1534" s="237"/>
      <c r="Y1534" s="237"/>
      <c r="Z1534" s="237"/>
    </row>
    <row r="1535">
      <c r="A1535" s="305">
        <v>1534.0</v>
      </c>
      <c r="B1535" s="306">
        <v>5.0010117E7</v>
      </c>
      <c r="C1535" s="307" t="s">
        <v>1420</v>
      </c>
      <c r="D1535" s="308" t="s">
        <v>5234</v>
      </c>
      <c r="E1535" s="305" t="s">
        <v>5235</v>
      </c>
      <c r="F1535" s="309" t="s">
        <v>5236</v>
      </c>
      <c r="G1535" s="236"/>
      <c r="H1535" s="307" t="s">
        <v>1420</v>
      </c>
      <c r="I1535" s="237"/>
      <c r="J1535" s="237"/>
      <c r="K1535" s="310" t="s">
        <v>5233</v>
      </c>
      <c r="L1535" s="237"/>
      <c r="M1535" s="237"/>
      <c r="N1535" s="237"/>
      <c r="O1535" s="237"/>
      <c r="P1535" s="237"/>
      <c r="Q1535" s="237"/>
      <c r="R1535" s="237"/>
      <c r="S1535" s="237"/>
      <c r="T1535" s="237"/>
      <c r="U1535" s="237"/>
      <c r="V1535" s="237"/>
      <c r="W1535" s="237"/>
      <c r="X1535" s="237"/>
      <c r="Y1535" s="237"/>
      <c r="Z1535" s="237"/>
    </row>
    <row r="1536">
      <c r="A1536" s="305">
        <v>1535.0</v>
      </c>
      <c r="B1536" s="306">
        <v>5.0010119E7</v>
      </c>
      <c r="C1536" s="307" t="s">
        <v>1420</v>
      </c>
      <c r="D1536" s="308" t="s">
        <v>5224</v>
      </c>
      <c r="E1536" s="305" t="s">
        <v>5225</v>
      </c>
      <c r="F1536" s="309" t="s">
        <v>5226</v>
      </c>
      <c r="G1536" s="236"/>
      <c r="H1536" s="307" t="s">
        <v>1420</v>
      </c>
      <c r="I1536" s="237"/>
      <c r="J1536" s="237"/>
      <c r="K1536" s="310" t="s">
        <v>5223</v>
      </c>
      <c r="L1536" s="237"/>
      <c r="M1536" s="237"/>
      <c r="N1536" s="237"/>
      <c r="O1536" s="237"/>
      <c r="P1536" s="237"/>
      <c r="Q1536" s="237"/>
      <c r="R1536" s="237"/>
      <c r="S1536" s="237"/>
      <c r="T1536" s="237"/>
      <c r="U1536" s="237"/>
      <c r="V1536" s="237"/>
      <c r="W1536" s="237"/>
      <c r="X1536" s="237"/>
      <c r="Y1536" s="237"/>
      <c r="Z1536" s="237"/>
    </row>
    <row r="1537">
      <c r="A1537" s="305">
        <v>1536.0</v>
      </c>
      <c r="B1537" s="306">
        <v>5.0010118E7</v>
      </c>
      <c r="C1537" s="307" t="s">
        <v>1420</v>
      </c>
      <c r="D1537" s="308" t="s">
        <v>5229</v>
      </c>
      <c r="E1537" s="305" t="s">
        <v>5230</v>
      </c>
      <c r="F1537" s="309" t="s">
        <v>5231</v>
      </c>
      <c r="G1537" s="236"/>
      <c r="H1537" s="307" t="s">
        <v>1420</v>
      </c>
      <c r="I1537" s="237"/>
      <c r="J1537" s="237"/>
      <c r="K1537" s="310" t="s">
        <v>5228</v>
      </c>
      <c r="L1537" s="237"/>
      <c r="M1537" s="237"/>
      <c r="N1537" s="237"/>
      <c r="O1537" s="237"/>
      <c r="P1537" s="237"/>
      <c r="Q1537" s="237"/>
      <c r="R1537" s="237"/>
      <c r="S1537" s="237"/>
      <c r="T1537" s="237"/>
      <c r="U1537" s="237"/>
      <c r="V1537" s="237"/>
      <c r="W1537" s="237"/>
      <c r="X1537" s="237"/>
      <c r="Y1537" s="237"/>
      <c r="Z1537" s="237"/>
    </row>
    <row r="1538">
      <c r="A1538" s="305">
        <v>1537.0</v>
      </c>
      <c r="B1538" s="306">
        <v>5.001012E7</v>
      </c>
      <c r="C1538" s="307" t="s">
        <v>1420</v>
      </c>
      <c r="D1538" s="308" t="s">
        <v>5219</v>
      </c>
      <c r="E1538" s="305" t="s">
        <v>5220</v>
      </c>
      <c r="F1538" s="309" t="s">
        <v>5221</v>
      </c>
      <c r="G1538" s="236"/>
      <c r="H1538" s="307" t="s">
        <v>1420</v>
      </c>
      <c r="I1538" s="237"/>
      <c r="J1538" s="237"/>
      <c r="K1538" s="310" t="s">
        <v>5218</v>
      </c>
      <c r="L1538" s="237"/>
      <c r="M1538" s="237"/>
      <c r="N1538" s="237"/>
      <c r="O1538" s="237"/>
      <c r="P1538" s="237"/>
      <c r="Q1538" s="237"/>
      <c r="R1538" s="237"/>
      <c r="S1538" s="237"/>
      <c r="T1538" s="237"/>
      <c r="U1538" s="237"/>
      <c r="V1538" s="237"/>
      <c r="W1538" s="237"/>
      <c r="X1538" s="237"/>
      <c r="Y1538" s="237"/>
      <c r="Z1538" s="237"/>
    </row>
    <row r="1539">
      <c r="A1539" s="305">
        <v>1538.0</v>
      </c>
      <c r="B1539" s="236"/>
      <c r="C1539" s="307" t="s">
        <v>1420</v>
      </c>
      <c r="D1539" s="308" t="s">
        <v>8595</v>
      </c>
      <c r="E1539" s="305" t="s">
        <v>8596</v>
      </c>
      <c r="F1539" s="309" t="s">
        <v>8597</v>
      </c>
      <c r="G1539" s="236"/>
      <c r="H1539" s="307" t="s">
        <v>1420</v>
      </c>
      <c r="I1539" s="237"/>
      <c r="J1539" s="237"/>
      <c r="K1539" s="310" t="s">
        <v>8594</v>
      </c>
      <c r="L1539" s="237"/>
      <c r="M1539" s="237"/>
      <c r="N1539" s="237"/>
      <c r="O1539" s="237"/>
      <c r="P1539" s="237"/>
      <c r="Q1539" s="237"/>
      <c r="R1539" s="237"/>
      <c r="S1539" s="237"/>
      <c r="T1539" s="237"/>
      <c r="U1539" s="237"/>
      <c r="V1539" s="237"/>
      <c r="W1539" s="237"/>
      <c r="X1539" s="237"/>
      <c r="Y1539" s="237"/>
      <c r="Z1539" s="237"/>
    </row>
    <row r="1540">
      <c r="A1540" s="305">
        <v>1539.0</v>
      </c>
      <c r="B1540" s="236"/>
      <c r="C1540" s="307" t="s">
        <v>1420</v>
      </c>
      <c r="D1540" s="308" t="s">
        <v>14608</v>
      </c>
      <c r="E1540" s="305" t="s">
        <v>5332</v>
      </c>
      <c r="F1540" s="309" t="s">
        <v>5333</v>
      </c>
      <c r="G1540" s="236"/>
      <c r="H1540" s="307" t="s">
        <v>1420</v>
      </c>
      <c r="I1540" s="237"/>
      <c r="J1540" s="237"/>
      <c r="K1540" s="310" t="s">
        <v>5331</v>
      </c>
      <c r="L1540" s="237"/>
      <c r="M1540" s="237"/>
      <c r="N1540" s="237"/>
      <c r="O1540" s="237"/>
      <c r="P1540" s="237"/>
      <c r="Q1540" s="237"/>
      <c r="R1540" s="237"/>
      <c r="S1540" s="237"/>
      <c r="T1540" s="237"/>
      <c r="U1540" s="237"/>
      <c r="V1540" s="237"/>
      <c r="W1540" s="237"/>
      <c r="X1540" s="237"/>
      <c r="Y1540" s="237"/>
      <c r="Z1540" s="237"/>
    </row>
    <row r="1541">
      <c r="A1541" s="305">
        <v>1540.0</v>
      </c>
      <c r="B1541" s="306">
        <v>422098.0</v>
      </c>
      <c r="C1541" s="307" t="s">
        <v>1420</v>
      </c>
      <c r="D1541" s="308" t="s">
        <v>6328</v>
      </c>
      <c r="E1541" s="305" t="s">
        <v>6329</v>
      </c>
      <c r="F1541" s="309" t="s">
        <v>6330</v>
      </c>
      <c r="G1541" s="236"/>
      <c r="H1541" s="307" t="s">
        <v>1420</v>
      </c>
      <c r="I1541" s="237"/>
      <c r="J1541" s="237"/>
      <c r="K1541" s="310" t="s">
        <v>6327</v>
      </c>
      <c r="L1541" s="237"/>
      <c r="M1541" s="237"/>
      <c r="N1541" s="237"/>
      <c r="O1541" s="237"/>
      <c r="P1541" s="237"/>
      <c r="Q1541" s="237"/>
      <c r="R1541" s="237"/>
      <c r="S1541" s="237"/>
      <c r="T1541" s="237"/>
      <c r="U1541" s="237"/>
      <c r="V1541" s="237"/>
      <c r="W1541" s="237"/>
      <c r="X1541" s="237"/>
      <c r="Y1541" s="237"/>
      <c r="Z1541" s="237"/>
    </row>
    <row r="1542">
      <c r="A1542" s="305">
        <v>1541.0</v>
      </c>
      <c r="B1542" s="306">
        <v>422097.0</v>
      </c>
      <c r="C1542" s="307" t="s">
        <v>1420</v>
      </c>
      <c r="D1542" s="308" t="s">
        <v>6302</v>
      </c>
      <c r="E1542" s="305" t="s">
        <v>6303</v>
      </c>
      <c r="F1542" s="309" t="s">
        <v>6304</v>
      </c>
      <c r="G1542" s="236"/>
      <c r="H1542" s="307" t="s">
        <v>1420</v>
      </c>
      <c r="I1542" s="237"/>
      <c r="J1542" s="237"/>
      <c r="K1542" s="310" t="s">
        <v>6301</v>
      </c>
      <c r="L1542" s="237"/>
      <c r="M1542" s="237"/>
      <c r="N1542" s="237"/>
      <c r="O1542" s="237"/>
      <c r="P1542" s="237"/>
      <c r="Q1542" s="237"/>
      <c r="R1542" s="237"/>
      <c r="S1542" s="237"/>
      <c r="T1542" s="237"/>
      <c r="U1542" s="237"/>
      <c r="V1542" s="237"/>
      <c r="W1542" s="237"/>
      <c r="X1542" s="237"/>
      <c r="Y1542" s="237"/>
      <c r="Z1542" s="237"/>
    </row>
    <row r="1543">
      <c r="A1543" s="305">
        <v>1542.0</v>
      </c>
      <c r="B1543" s="306">
        <v>422097.0</v>
      </c>
      <c r="C1543" s="307" t="s">
        <v>1420</v>
      </c>
      <c r="D1543" s="308" t="s">
        <v>6302</v>
      </c>
      <c r="E1543" s="305" t="s">
        <v>6303</v>
      </c>
      <c r="F1543" s="309" t="s">
        <v>7283</v>
      </c>
      <c r="G1543" s="236"/>
      <c r="H1543" s="307" t="s">
        <v>1420</v>
      </c>
      <c r="I1543" s="237"/>
      <c r="J1543" s="237"/>
      <c r="K1543" s="310" t="s">
        <v>7282</v>
      </c>
      <c r="L1543" s="237"/>
      <c r="M1543" s="237"/>
      <c r="N1543" s="237"/>
      <c r="O1543" s="237"/>
      <c r="P1543" s="237"/>
      <c r="Q1543" s="237"/>
      <c r="R1543" s="237"/>
      <c r="S1543" s="237"/>
      <c r="T1543" s="237"/>
      <c r="U1543" s="237"/>
      <c r="V1543" s="237"/>
      <c r="W1543" s="237"/>
      <c r="X1543" s="237"/>
      <c r="Y1543" s="237"/>
      <c r="Z1543" s="237"/>
    </row>
    <row r="1544">
      <c r="A1544" s="305">
        <v>1543.0</v>
      </c>
      <c r="B1544" s="306">
        <v>422170.0</v>
      </c>
      <c r="C1544" s="307" t="s">
        <v>1420</v>
      </c>
      <c r="D1544" s="308" t="s">
        <v>7286</v>
      </c>
      <c r="E1544" s="305" t="s">
        <v>7287</v>
      </c>
      <c r="F1544" s="309" t="s">
        <v>7288</v>
      </c>
      <c r="G1544" s="236"/>
      <c r="H1544" s="307" t="s">
        <v>1420</v>
      </c>
      <c r="I1544" s="237"/>
      <c r="J1544" s="237"/>
      <c r="K1544" s="310" t="s">
        <v>7285</v>
      </c>
      <c r="L1544" s="237"/>
      <c r="M1544" s="237"/>
      <c r="N1544" s="237"/>
      <c r="O1544" s="237"/>
      <c r="P1544" s="237"/>
      <c r="Q1544" s="237"/>
      <c r="R1544" s="237"/>
      <c r="S1544" s="237"/>
      <c r="T1544" s="237"/>
      <c r="U1544" s="237"/>
      <c r="V1544" s="237"/>
      <c r="W1544" s="237"/>
      <c r="X1544" s="237"/>
      <c r="Y1544" s="237"/>
      <c r="Z1544" s="237"/>
    </row>
    <row r="1545">
      <c r="A1545" s="305">
        <v>1544.0</v>
      </c>
      <c r="B1545" s="306">
        <v>422172.0</v>
      </c>
      <c r="C1545" s="307" t="s">
        <v>1420</v>
      </c>
      <c r="D1545" s="308" t="s">
        <v>6333</v>
      </c>
      <c r="E1545" s="305" t="s">
        <v>6334</v>
      </c>
      <c r="F1545" s="309" t="s">
        <v>6335</v>
      </c>
      <c r="G1545" s="236"/>
      <c r="H1545" s="307" t="s">
        <v>1420</v>
      </c>
      <c r="I1545" s="237"/>
      <c r="J1545" s="237"/>
      <c r="K1545" s="310" t="s">
        <v>6332</v>
      </c>
      <c r="L1545" s="237"/>
      <c r="M1545" s="237"/>
      <c r="N1545" s="237"/>
      <c r="O1545" s="237"/>
      <c r="P1545" s="237"/>
      <c r="Q1545" s="237"/>
      <c r="R1545" s="237"/>
      <c r="S1545" s="237"/>
      <c r="T1545" s="237"/>
      <c r="U1545" s="237"/>
      <c r="V1545" s="237"/>
      <c r="W1545" s="237"/>
      <c r="X1545" s="237"/>
      <c r="Y1545" s="237"/>
      <c r="Z1545" s="237"/>
    </row>
    <row r="1546">
      <c r="A1546" s="305">
        <v>1545.0</v>
      </c>
      <c r="B1546" s="306">
        <v>422012.0</v>
      </c>
      <c r="C1546" s="307" t="s">
        <v>1420</v>
      </c>
      <c r="D1546" s="308" t="s">
        <v>6307</v>
      </c>
      <c r="E1546" s="305" t="s">
        <v>6308</v>
      </c>
      <c r="F1546" s="309" t="s">
        <v>6309</v>
      </c>
      <c r="G1546" s="236"/>
      <c r="H1546" s="307" t="s">
        <v>1420</v>
      </c>
      <c r="I1546" s="237"/>
      <c r="J1546" s="237"/>
      <c r="K1546" s="310" t="s">
        <v>6306</v>
      </c>
      <c r="L1546" s="237"/>
      <c r="M1546" s="237"/>
      <c r="N1546" s="237"/>
      <c r="O1546" s="237"/>
      <c r="P1546" s="237"/>
      <c r="Q1546" s="237"/>
      <c r="R1546" s="237"/>
      <c r="S1546" s="237"/>
      <c r="T1546" s="237"/>
      <c r="U1546" s="237"/>
      <c r="V1546" s="237"/>
      <c r="W1546" s="237"/>
      <c r="X1546" s="237"/>
      <c r="Y1546" s="237"/>
      <c r="Z1546" s="237"/>
    </row>
    <row r="1547">
      <c r="A1547" s="305">
        <v>1546.0</v>
      </c>
      <c r="B1547" s="306">
        <v>422012.0</v>
      </c>
      <c r="C1547" s="307" t="s">
        <v>1420</v>
      </c>
      <c r="D1547" s="308" t="s">
        <v>6307</v>
      </c>
      <c r="E1547" s="305" t="s">
        <v>6308</v>
      </c>
      <c r="F1547" s="309" t="s">
        <v>7290</v>
      </c>
      <c r="G1547" s="236"/>
      <c r="H1547" s="307" t="s">
        <v>1420</v>
      </c>
      <c r="I1547" s="237"/>
      <c r="J1547" s="237"/>
      <c r="K1547" s="310" t="s">
        <v>7289</v>
      </c>
      <c r="L1547" s="237"/>
      <c r="M1547" s="237"/>
      <c r="N1547" s="237"/>
      <c r="O1547" s="237"/>
      <c r="P1547" s="237"/>
      <c r="Q1547" s="237"/>
      <c r="R1547" s="237"/>
      <c r="S1547" s="237"/>
      <c r="T1547" s="237"/>
      <c r="U1547" s="237"/>
      <c r="V1547" s="237"/>
      <c r="W1547" s="237"/>
      <c r="X1547" s="237"/>
      <c r="Y1547" s="237"/>
      <c r="Z1547" s="237"/>
    </row>
    <row r="1548">
      <c r="A1548" s="305">
        <v>1547.0</v>
      </c>
      <c r="B1548" s="306">
        <v>422082.0</v>
      </c>
      <c r="C1548" s="307" t="s">
        <v>1420</v>
      </c>
      <c r="D1548" s="308" t="s">
        <v>6338</v>
      </c>
      <c r="E1548" s="305" t="s">
        <v>6339</v>
      </c>
      <c r="F1548" s="309" t="s">
        <v>6340</v>
      </c>
      <c r="G1548" s="236"/>
      <c r="H1548" s="307" t="s">
        <v>1420</v>
      </c>
      <c r="I1548" s="237"/>
      <c r="J1548" s="237"/>
      <c r="K1548" s="310" t="s">
        <v>6337</v>
      </c>
      <c r="L1548" s="237"/>
      <c r="M1548" s="237"/>
      <c r="N1548" s="237"/>
      <c r="O1548" s="237"/>
      <c r="P1548" s="237"/>
      <c r="Q1548" s="237"/>
      <c r="R1548" s="237"/>
      <c r="S1548" s="237"/>
      <c r="T1548" s="237"/>
      <c r="U1548" s="237"/>
      <c r="V1548" s="237"/>
      <c r="W1548" s="237"/>
      <c r="X1548" s="237"/>
      <c r="Y1548" s="237"/>
      <c r="Z1548" s="237"/>
    </row>
    <row r="1549">
      <c r="A1549" s="305">
        <v>1548.0</v>
      </c>
      <c r="B1549" s="306">
        <v>422081.0</v>
      </c>
      <c r="C1549" s="307" t="s">
        <v>1420</v>
      </c>
      <c r="D1549" s="308" t="s">
        <v>6312</v>
      </c>
      <c r="E1549" s="305" t="s">
        <v>6313</v>
      </c>
      <c r="F1549" s="309" t="s">
        <v>6314</v>
      </c>
      <c r="G1549" s="236"/>
      <c r="H1549" s="307" t="s">
        <v>1420</v>
      </c>
      <c r="I1549" s="237"/>
      <c r="J1549" s="237"/>
      <c r="K1549" s="310" t="s">
        <v>6311</v>
      </c>
      <c r="L1549" s="237"/>
      <c r="M1549" s="237"/>
      <c r="N1549" s="237"/>
      <c r="O1549" s="237"/>
      <c r="P1549" s="237"/>
      <c r="Q1549" s="237"/>
      <c r="R1549" s="237"/>
      <c r="S1549" s="237"/>
      <c r="T1549" s="237"/>
      <c r="U1549" s="237"/>
      <c r="V1549" s="237"/>
      <c r="W1549" s="237"/>
      <c r="X1549" s="237"/>
      <c r="Y1549" s="237"/>
      <c r="Z1549" s="237"/>
    </row>
    <row r="1550">
      <c r="A1550" s="305">
        <v>1549.0</v>
      </c>
      <c r="B1550" s="306">
        <v>422173.0</v>
      </c>
      <c r="C1550" s="307" t="s">
        <v>1420</v>
      </c>
      <c r="D1550" s="308" t="s">
        <v>7293</v>
      </c>
      <c r="E1550" s="305" t="s">
        <v>7294</v>
      </c>
      <c r="F1550" s="309" t="s">
        <v>7295</v>
      </c>
      <c r="G1550" s="236"/>
      <c r="H1550" s="307" t="s">
        <v>1420</v>
      </c>
      <c r="I1550" s="237"/>
      <c r="J1550" s="237"/>
      <c r="K1550" s="310" t="s">
        <v>7292</v>
      </c>
      <c r="L1550" s="237"/>
      <c r="M1550" s="237"/>
      <c r="N1550" s="237"/>
      <c r="O1550" s="237"/>
      <c r="P1550" s="237"/>
      <c r="Q1550" s="237"/>
      <c r="R1550" s="237"/>
      <c r="S1550" s="237"/>
      <c r="T1550" s="237"/>
      <c r="U1550" s="237"/>
      <c r="V1550" s="237"/>
      <c r="W1550" s="237"/>
      <c r="X1550" s="237"/>
      <c r="Y1550" s="237"/>
      <c r="Z1550" s="237"/>
    </row>
    <row r="1551">
      <c r="A1551" s="305">
        <v>1550.0</v>
      </c>
      <c r="B1551" s="306">
        <v>422015.0</v>
      </c>
      <c r="C1551" s="307" t="s">
        <v>1420</v>
      </c>
      <c r="D1551" s="308" t="s">
        <v>6343</v>
      </c>
      <c r="E1551" s="305" t="s">
        <v>6344</v>
      </c>
      <c r="F1551" s="309" t="s">
        <v>6345</v>
      </c>
      <c r="G1551" s="236"/>
      <c r="H1551" s="307" t="s">
        <v>1420</v>
      </c>
      <c r="I1551" s="237"/>
      <c r="J1551" s="237"/>
      <c r="K1551" s="310" t="s">
        <v>6342</v>
      </c>
      <c r="L1551" s="237"/>
      <c r="M1551" s="237"/>
      <c r="N1551" s="237"/>
      <c r="O1551" s="237"/>
      <c r="P1551" s="237"/>
      <c r="Q1551" s="237"/>
      <c r="R1551" s="237"/>
      <c r="S1551" s="237"/>
      <c r="T1551" s="237"/>
      <c r="U1551" s="237"/>
      <c r="V1551" s="237"/>
      <c r="W1551" s="237"/>
      <c r="X1551" s="237"/>
      <c r="Y1551" s="237"/>
      <c r="Z1551" s="237"/>
    </row>
    <row r="1552">
      <c r="A1552" s="305">
        <v>1551.0</v>
      </c>
      <c r="B1552" s="306">
        <v>422015.0</v>
      </c>
      <c r="C1552" s="307" t="s">
        <v>1420</v>
      </c>
      <c r="D1552" s="308" t="s">
        <v>6343</v>
      </c>
      <c r="E1552" s="305" t="s">
        <v>6344</v>
      </c>
      <c r="F1552" s="309" t="s">
        <v>7299</v>
      </c>
      <c r="G1552" s="236"/>
      <c r="H1552" s="307" t="s">
        <v>1420</v>
      </c>
      <c r="I1552" s="237"/>
      <c r="J1552" s="237"/>
      <c r="K1552" s="310" t="s">
        <v>7298</v>
      </c>
      <c r="L1552" s="237"/>
      <c r="M1552" s="237"/>
      <c r="N1552" s="237"/>
      <c r="O1552" s="237"/>
      <c r="P1552" s="237"/>
      <c r="Q1552" s="237"/>
      <c r="R1552" s="237"/>
      <c r="S1552" s="237"/>
      <c r="T1552" s="237"/>
      <c r="U1552" s="237"/>
      <c r="V1552" s="237"/>
      <c r="W1552" s="237"/>
      <c r="X1552" s="237"/>
      <c r="Y1552" s="237"/>
      <c r="Z1552" s="237"/>
    </row>
    <row r="1553">
      <c r="A1553" s="305">
        <v>1552.0</v>
      </c>
      <c r="B1553" s="306">
        <v>422010.0</v>
      </c>
      <c r="C1553" s="307" t="s">
        <v>1420</v>
      </c>
      <c r="D1553" s="308" t="s">
        <v>6317</v>
      </c>
      <c r="E1553" s="305" t="s">
        <v>6318</v>
      </c>
      <c r="F1553" s="309" t="s">
        <v>6319</v>
      </c>
      <c r="G1553" s="236"/>
      <c r="H1553" s="307" t="s">
        <v>1420</v>
      </c>
      <c r="I1553" s="237"/>
      <c r="J1553" s="237"/>
      <c r="K1553" s="310" t="s">
        <v>6316</v>
      </c>
      <c r="L1553" s="237"/>
      <c r="M1553" s="237"/>
      <c r="N1553" s="237"/>
      <c r="O1553" s="237"/>
      <c r="P1553" s="237"/>
      <c r="Q1553" s="237"/>
      <c r="R1553" s="237"/>
      <c r="S1553" s="237"/>
      <c r="T1553" s="237"/>
      <c r="U1553" s="237"/>
      <c r="V1553" s="237"/>
      <c r="W1553" s="237"/>
      <c r="X1553" s="237"/>
      <c r="Y1553" s="237"/>
      <c r="Z1553" s="237"/>
    </row>
    <row r="1554">
      <c r="A1554" s="305">
        <v>1553.0</v>
      </c>
      <c r="B1554" s="306">
        <v>422010.0</v>
      </c>
      <c r="C1554" s="307" t="s">
        <v>1420</v>
      </c>
      <c r="D1554" s="308" t="s">
        <v>6317</v>
      </c>
      <c r="E1554" s="305" t="s">
        <v>6318</v>
      </c>
      <c r="F1554" s="309" t="s">
        <v>7297</v>
      </c>
      <c r="G1554" s="236"/>
      <c r="H1554" s="307" t="s">
        <v>1420</v>
      </c>
      <c r="I1554" s="237"/>
      <c r="J1554" s="237"/>
      <c r="K1554" s="310" t="s">
        <v>7296</v>
      </c>
      <c r="L1554" s="237"/>
      <c r="M1554" s="237"/>
      <c r="N1554" s="237"/>
      <c r="O1554" s="237"/>
      <c r="P1554" s="237"/>
      <c r="Q1554" s="237"/>
      <c r="R1554" s="237"/>
      <c r="S1554" s="237"/>
      <c r="T1554" s="237"/>
      <c r="U1554" s="237"/>
      <c r="V1554" s="237"/>
      <c r="W1554" s="237"/>
      <c r="X1554" s="237"/>
      <c r="Y1554" s="237"/>
      <c r="Z1554" s="237"/>
    </row>
    <row r="1555">
      <c r="A1555" s="305">
        <v>1554.0</v>
      </c>
      <c r="B1555" s="306">
        <v>422176.0</v>
      </c>
      <c r="C1555" s="307" t="s">
        <v>1420</v>
      </c>
      <c r="D1555" s="308" t="s">
        <v>7302</v>
      </c>
      <c r="E1555" s="305" t="s">
        <v>7303</v>
      </c>
      <c r="F1555" s="309" t="s">
        <v>7304</v>
      </c>
      <c r="G1555" s="236"/>
      <c r="H1555" s="307" t="s">
        <v>1420</v>
      </c>
      <c r="I1555" s="237"/>
      <c r="J1555" s="237"/>
      <c r="K1555" s="310" t="s">
        <v>7301</v>
      </c>
      <c r="L1555" s="237"/>
      <c r="M1555" s="237"/>
      <c r="N1555" s="237"/>
      <c r="O1555" s="237"/>
      <c r="P1555" s="237"/>
      <c r="Q1555" s="237"/>
      <c r="R1555" s="237"/>
      <c r="S1555" s="237"/>
      <c r="T1555" s="237"/>
      <c r="U1555" s="237"/>
      <c r="V1555" s="237"/>
      <c r="W1555" s="237"/>
      <c r="X1555" s="237"/>
      <c r="Y1555" s="237"/>
      <c r="Z1555" s="237"/>
    </row>
    <row r="1556">
      <c r="A1556" s="305">
        <v>1555.0</v>
      </c>
      <c r="B1556" s="306" t="s">
        <v>7308</v>
      </c>
      <c r="C1556" s="307" t="s">
        <v>1420</v>
      </c>
      <c r="D1556" s="308" t="s">
        <v>7310</v>
      </c>
      <c r="E1556" s="305" t="s">
        <v>7311</v>
      </c>
      <c r="F1556" s="236"/>
      <c r="G1556" s="236"/>
      <c r="H1556" s="307" t="s">
        <v>1420</v>
      </c>
      <c r="I1556" s="237"/>
      <c r="J1556" s="237"/>
      <c r="K1556" s="310" t="s">
        <v>7309</v>
      </c>
      <c r="L1556" s="237"/>
      <c r="M1556" s="237"/>
      <c r="N1556" s="237"/>
      <c r="O1556" s="237"/>
      <c r="P1556" s="237"/>
      <c r="Q1556" s="237"/>
      <c r="R1556" s="237"/>
      <c r="S1556" s="237"/>
      <c r="T1556" s="237"/>
      <c r="U1556" s="237"/>
      <c r="V1556" s="237"/>
      <c r="W1556" s="237"/>
      <c r="X1556" s="237"/>
      <c r="Y1556" s="237"/>
      <c r="Z1556" s="237"/>
    </row>
    <row r="1557">
      <c r="A1557" s="305">
        <v>1556.0</v>
      </c>
      <c r="B1557" s="306" t="s">
        <v>7312</v>
      </c>
      <c r="C1557" s="307" t="s">
        <v>1420</v>
      </c>
      <c r="D1557" s="308" t="s">
        <v>7314</v>
      </c>
      <c r="E1557" s="305" t="s">
        <v>7315</v>
      </c>
      <c r="F1557" s="309" t="s">
        <v>7316</v>
      </c>
      <c r="G1557" s="236"/>
      <c r="H1557" s="307" t="s">
        <v>1420</v>
      </c>
      <c r="I1557" s="237"/>
      <c r="J1557" s="237"/>
      <c r="K1557" s="310" t="s">
        <v>7313</v>
      </c>
      <c r="L1557" s="237"/>
      <c r="M1557" s="237"/>
      <c r="N1557" s="237"/>
      <c r="O1557" s="237"/>
      <c r="P1557" s="237"/>
      <c r="Q1557" s="237"/>
      <c r="R1557" s="237"/>
      <c r="S1557" s="237"/>
      <c r="T1557" s="237"/>
      <c r="U1557" s="237"/>
      <c r="V1557" s="237"/>
      <c r="W1557" s="237"/>
      <c r="X1557" s="237"/>
      <c r="Y1557" s="237"/>
      <c r="Z1557" s="237"/>
    </row>
    <row r="1558">
      <c r="A1558" s="305">
        <v>1557.0</v>
      </c>
      <c r="B1558" s="306" t="s">
        <v>7317</v>
      </c>
      <c r="C1558" s="307" t="s">
        <v>1420</v>
      </c>
      <c r="D1558" s="308" t="s">
        <v>7319</v>
      </c>
      <c r="E1558" s="305" t="s">
        <v>7320</v>
      </c>
      <c r="F1558" s="309" t="s">
        <v>7321</v>
      </c>
      <c r="G1558" s="236"/>
      <c r="H1558" s="307" t="s">
        <v>1420</v>
      </c>
      <c r="I1558" s="237"/>
      <c r="J1558" s="237"/>
      <c r="K1558" s="310" t="s">
        <v>7318</v>
      </c>
      <c r="L1558" s="237"/>
      <c r="M1558" s="237"/>
      <c r="N1558" s="237"/>
      <c r="O1558" s="237"/>
      <c r="P1558" s="237"/>
      <c r="Q1558" s="237"/>
      <c r="R1558" s="237"/>
      <c r="S1558" s="237"/>
      <c r="T1558" s="237"/>
      <c r="U1558" s="237"/>
      <c r="V1558" s="237"/>
      <c r="W1558" s="237"/>
      <c r="X1558" s="237"/>
      <c r="Y1558" s="237"/>
      <c r="Z1558" s="237"/>
    </row>
    <row r="1559">
      <c r="A1559" s="305">
        <v>1558.0</v>
      </c>
      <c r="B1559" s="306" t="s">
        <v>7322</v>
      </c>
      <c r="C1559" s="307" t="s">
        <v>1420</v>
      </c>
      <c r="D1559" s="308" t="s">
        <v>7324</v>
      </c>
      <c r="E1559" s="305" t="s">
        <v>7287</v>
      </c>
      <c r="F1559" s="309" t="s">
        <v>7325</v>
      </c>
      <c r="G1559" s="236"/>
      <c r="H1559" s="307" t="s">
        <v>1420</v>
      </c>
      <c r="I1559" s="237"/>
      <c r="J1559" s="237"/>
      <c r="K1559" s="310" t="s">
        <v>7323</v>
      </c>
      <c r="L1559" s="237"/>
      <c r="M1559" s="237"/>
      <c r="N1559" s="237"/>
      <c r="O1559" s="237"/>
      <c r="P1559" s="237"/>
      <c r="Q1559" s="237"/>
      <c r="R1559" s="237"/>
      <c r="S1559" s="237"/>
      <c r="T1559" s="237"/>
      <c r="U1559" s="237"/>
      <c r="V1559" s="237"/>
      <c r="W1559" s="237"/>
      <c r="X1559" s="237"/>
      <c r="Y1559" s="237"/>
      <c r="Z1559" s="237"/>
    </row>
    <row r="1560">
      <c r="A1560" s="305">
        <v>1559.0</v>
      </c>
      <c r="B1560" s="306" t="s">
        <v>7341</v>
      </c>
      <c r="C1560" s="307" t="s">
        <v>1420</v>
      </c>
      <c r="D1560" s="308" t="s">
        <v>7343</v>
      </c>
      <c r="E1560" s="305" t="s">
        <v>7344</v>
      </c>
      <c r="F1560" s="309" t="s">
        <v>7345</v>
      </c>
      <c r="G1560" s="236"/>
      <c r="H1560" s="307" t="s">
        <v>1420</v>
      </c>
      <c r="I1560" s="237"/>
      <c r="J1560" s="237"/>
      <c r="K1560" s="310" t="s">
        <v>7342</v>
      </c>
      <c r="L1560" s="237"/>
      <c r="M1560" s="237"/>
      <c r="N1560" s="237"/>
      <c r="O1560" s="237"/>
      <c r="P1560" s="237"/>
      <c r="Q1560" s="237"/>
      <c r="R1560" s="237"/>
      <c r="S1560" s="237"/>
      <c r="T1560" s="237"/>
      <c r="U1560" s="237"/>
      <c r="V1560" s="237"/>
      <c r="W1560" s="237"/>
      <c r="X1560" s="237"/>
      <c r="Y1560" s="237"/>
      <c r="Z1560" s="237"/>
    </row>
    <row r="1561">
      <c r="A1561" s="305">
        <v>1560.0</v>
      </c>
      <c r="B1561" s="306">
        <v>422122.0</v>
      </c>
      <c r="C1561" s="307" t="s">
        <v>1420</v>
      </c>
      <c r="D1561" s="308" t="s">
        <v>7338</v>
      </c>
      <c r="E1561" s="305" t="s">
        <v>7339</v>
      </c>
      <c r="F1561" s="309" t="s">
        <v>7340</v>
      </c>
      <c r="G1561" s="236"/>
      <c r="H1561" s="307" t="s">
        <v>1420</v>
      </c>
      <c r="I1561" s="237"/>
      <c r="J1561" s="237"/>
      <c r="K1561" s="310" t="s">
        <v>7337</v>
      </c>
      <c r="L1561" s="237"/>
      <c r="M1561" s="237"/>
      <c r="N1561" s="237"/>
      <c r="O1561" s="237"/>
      <c r="P1561" s="237"/>
      <c r="Q1561" s="237"/>
      <c r="R1561" s="237"/>
      <c r="S1561" s="237"/>
      <c r="T1561" s="237"/>
      <c r="U1561" s="237"/>
      <c r="V1561" s="237"/>
      <c r="W1561" s="237"/>
      <c r="X1561" s="237"/>
      <c r="Y1561" s="237"/>
      <c r="Z1561" s="237"/>
    </row>
    <row r="1562">
      <c r="A1562" s="305">
        <v>1561.0</v>
      </c>
      <c r="B1562" s="306" t="s">
        <v>7326</v>
      </c>
      <c r="C1562" s="307" t="s">
        <v>1420</v>
      </c>
      <c r="D1562" s="308" t="s">
        <v>7328</v>
      </c>
      <c r="E1562" s="305" t="s">
        <v>7329</v>
      </c>
      <c r="F1562" s="309" t="s">
        <v>7330</v>
      </c>
      <c r="G1562" s="236"/>
      <c r="H1562" s="307" t="s">
        <v>1420</v>
      </c>
      <c r="I1562" s="237"/>
      <c r="J1562" s="237"/>
      <c r="K1562" s="310" t="s">
        <v>7327</v>
      </c>
      <c r="L1562" s="237"/>
      <c r="M1562" s="237"/>
      <c r="N1562" s="237"/>
      <c r="O1562" s="237"/>
      <c r="P1562" s="237"/>
      <c r="Q1562" s="237"/>
      <c r="R1562" s="237"/>
      <c r="S1562" s="237"/>
      <c r="T1562" s="237"/>
      <c r="U1562" s="237"/>
      <c r="V1562" s="237"/>
      <c r="W1562" s="237"/>
      <c r="X1562" s="237"/>
      <c r="Y1562" s="237"/>
      <c r="Z1562" s="237"/>
    </row>
    <row r="1563">
      <c r="A1563" s="305">
        <v>1562.0</v>
      </c>
      <c r="B1563" s="306" t="s">
        <v>7331</v>
      </c>
      <c r="C1563" s="307" t="s">
        <v>1420</v>
      </c>
      <c r="D1563" s="308" t="s">
        <v>7333</v>
      </c>
      <c r="E1563" s="305" t="s">
        <v>7334</v>
      </c>
      <c r="F1563" s="309" t="s">
        <v>7335</v>
      </c>
      <c r="G1563" s="236"/>
      <c r="H1563" s="307" t="s">
        <v>1420</v>
      </c>
      <c r="I1563" s="237"/>
      <c r="J1563" s="237"/>
      <c r="K1563" s="310" t="s">
        <v>7332</v>
      </c>
      <c r="L1563" s="237"/>
      <c r="M1563" s="237"/>
      <c r="N1563" s="237"/>
      <c r="O1563" s="237"/>
      <c r="P1563" s="237"/>
      <c r="Q1563" s="237"/>
      <c r="R1563" s="237"/>
      <c r="S1563" s="237"/>
      <c r="T1563" s="237"/>
      <c r="U1563" s="237"/>
      <c r="V1563" s="237"/>
      <c r="W1563" s="237"/>
      <c r="X1563" s="237"/>
      <c r="Y1563" s="237"/>
      <c r="Z1563" s="237"/>
    </row>
    <row r="1564">
      <c r="A1564" s="305">
        <v>1563.0</v>
      </c>
      <c r="B1564" s="306">
        <v>209282.0</v>
      </c>
      <c r="C1564" s="307" t="s">
        <v>1420</v>
      </c>
      <c r="D1564" s="308" t="s">
        <v>8175</v>
      </c>
      <c r="E1564" s="305" t="s">
        <v>8176</v>
      </c>
      <c r="F1564" s="309" t="s">
        <v>8177</v>
      </c>
      <c r="G1564" s="236"/>
      <c r="H1564" s="307" t="s">
        <v>1420</v>
      </c>
      <c r="I1564" s="237"/>
      <c r="J1564" s="237"/>
      <c r="K1564" s="310" t="s">
        <v>8174</v>
      </c>
      <c r="L1564" s="237"/>
      <c r="M1564" s="237"/>
      <c r="N1564" s="237"/>
      <c r="O1564" s="237"/>
      <c r="P1564" s="237"/>
      <c r="Q1564" s="237"/>
      <c r="R1564" s="237"/>
      <c r="S1564" s="237"/>
      <c r="T1564" s="237"/>
      <c r="U1564" s="237"/>
      <c r="V1564" s="237"/>
      <c r="W1564" s="237"/>
      <c r="X1564" s="237"/>
      <c r="Y1564" s="237"/>
      <c r="Z1564" s="237"/>
    </row>
    <row r="1565">
      <c r="A1565" s="305">
        <v>1564.0</v>
      </c>
      <c r="B1565" s="306">
        <v>209284.0</v>
      </c>
      <c r="C1565" s="307" t="s">
        <v>1420</v>
      </c>
      <c r="D1565" s="308" t="s">
        <v>8180</v>
      </c>
      <c r="E1565" s="305" t="s">
        <v>8181</v>
      </c>
      <c r="F1565" s="309" t="s">
        <v>8182</v>
      </c>
      <c r="G1565" s="236"/>
      <c r="H1565" s="307" t="s">
        <v>1420</v>
      </c>
      <c r="I1565" s="237"/>
      <c r="J1565" s="237"/>
      <c r="K1565" s="310" t="s">
        <v>8179</v>
      </c>
      <c r="L1565" s="237"/>
      <c r="M1565" s="237"/>
      <c r="N1565" s="237"/>
      <c r="O1565" s="237"/>
      <c r="P1565" s="237"/>
      <c r="Q1565" s="237"/>
      <c r="R1565" s="237"/>
      <c r="S1565" s="237"/>
      <c r="T1565" s="237"/>
      <c r="U1565" s="237"/>
      <c r="V1565" s="237"/>
      <c r="W1565" s="237"/>
      <c r="X1565" s="237"/>
      <c r="Y1565" s="237"/>
      <c r="Z1565" s="237"/>
    </row>
    <row r="1566">
      <c r="A1566" s="305">
        <v>1565.0</v>
      </c>
      <c r="B1566" s="306">
        <v>137127.0</v>
      </c>
      <c r="C1566" s="307" t="s">
        <v>1420</v>
      </c>
      <c r="D1566" s="308" t="s">
        <v>8160</v>
      </c>
      <c r="E1566" s="305" t="s">
        <v>8161</v>
      </c>
      <c r="F1566" s="309" t="s">
        <v>8162</v>
      </c>
      <c r="G1566" s="236"/>
      <c r="H1566" s="307" t="s">
        <v>1420</v>
      </c>
      <c r="I1566" s="237"/>
      <c r="J1566" s="237"/>
      <c r="K1566" s="310" t="s">
        <v>8159</v>
      </c>
      <c r="L1566" s="237"/>
      <c r="M1566" s="237"/>
      <c r="N1566" s="237"/>
      <c r="O1566" s="237"/>
      <c r="P1566" s="237"/>
      <c r="Q1566" s="237"/>
      <c r="R1566" s="237"/>
      <c r="S1566" s="237"/>
      <c r="T1566" s="237"/>
      <c r="U1566" s="237"/>
      <c r="V1566" s="237"/>
      <c r="W1566" s="237"/>
      <c r="X1566" s="237"/>
      <c r="Y1566" s="237"/>
      <c r="Z1566" s="237"/>
    </row>
    <row r="1567">
      <c r="A1567" s="305">
        <v>1566.0</v>
      </c>
      <c r="B1567" s="306">
        <v>209287.0</v>
      </c>
      <c r="C1567" s="307" t="s">
        <v>1420</v>
      </c>
      <c r="D1567" s="308" t="s">
        <v>8185</v>
      </c>
      <c r="E1567" s="305" t="s">
        <v>8186</v>
      </c>
      <c r="F1567" s="309" t="s">
        <v>8187</v>
      </c>
      <c r="G1567" s="236"/>
      <c r="H1567" s="307" t="s">
        <v>1420</v>
      </c>
      <c r="I1567" s="237"/>
      <c r="J1567" s="237"/>
      <c r="K1567" s="310" t="s">
        <v>8184</v>
      </c>
      <c r="L1567" s="237"/>
      <c r="M1567" s="237"/>
      <c r="N1567" s="237"/>
      <c r="O1567" s="237"/>
      <c r="P1567" s="237"/>
      <c r="Q1567" s="237"/>
      <c r="R1567" s="237"/>
      <c r="S1567" s="237"/>
      <c r="T1567" s="237"/>
      <c r="U1567" s="237"/>
      <c r="V1567" s="237"/>
      <c r="W1567" s="237"/>
      <c r="X1567" s="237"/>
      <c r="Y1567" s="237"/>
      <c r="Z1567" s="237"/>
    </row>
    <row r="1568">
      <c r="A1568" s="305">
        <v>1567.0</v>
      </c>
      <c r="B1568" s="306">
        <v>137129.0</v>
      </c>
      <c r="C1568" s="307" t="s">
        <v>1420</v>
      </c>
      <c r="D1568" s="308" t="s">
        <v>8170</v>
      </c>
      <c r="E1568" s="305" t="s">
        <v>8171</v>
      </c>
      <c r="F1568" s="309" t="s">
        <v>8172</v>
      </c>
      <c r="G1568" s="236"/>
      <c r="H1568" s="307" t="s">
        <v>1420</v>
      </c>
      <c r="I1568" s="237"/>
      <c r="J1568" s="237"/>
      <c r="K1568" s="310" t="s">
        <v>8169</v>
      </c>
      <c r="L1568" s="237"/>
      <c r="M1568" s="237"/>
      <c r="N1568" s="237"/>
      <c r="O1568" s="237"/>
      <c r="P1568" s="237"/>
      <c r="Q1568" s="237"/>
      <c r="R1568" s="237"/>
      <c r="S1568" s="237"/>
      <c r="T1568" s="237"/>
      <c r="U1568" s="237"/>
      <c r="V1568" s="237"/>
      <c r="W1568" s="237"/>
      <c r="X1568" s="237"/>
      <c r="Y1568" s="237"/>
      <c r="Z1568" s="237"/>
    </row>
    <row r="1569">
      <c r="A1569" s="305">
        <v>1568.0</v>
      </c>
      <c r="B1569" s="306">
        <v>137128.0</v>
      </c>
      <c r="C1569" s="307" t="s">
        <v>1420</v>
      </c>
      <c r="D1569" s="308" t="s">
        <v>8165</v>
      </c>
      <c r="E1569" s="305" t="s">
        <v>8166</v>
      </c>
      <c r="F1569" s="309" t="s">
        <v>8167</v>
      </c>
      <c r="G1569" s="236"/>
      <c r="H1569" s="307" t="s">
        <v>1420</v>
      </c>
      <c r="I1569" s="237"/>
      <c r="J1569" s="237"/>
      <c r="K1569" s="310" t="s">
        <v>8164</v>
      </c>
      <c r="L1569" s="237"/>
      <c r="M1569" s="237"/>
      <c r="N1569" s="237"/>
      <c r="O1569" s="237"/>
      <c r="P1569" s="237"/>
      <c r="Q1569" s="237"/>
      <c r="R1569" s="237"/>
      <c r="S1569" s="237"/>
      <c r="T1569" s="237"/>
      <c r="U1569" s="237"/>
      <c r="V1569" s="237"/>
      <c r="W1569" s="237"/>
      <c r="X1569" s="237"/>
      <c r="Y1569" s="237"/>
      <c r="Z1569" s="237"/>
    </row>
    <row r="1570">
      <c r="A1570" s="305">
        <v>1569.0</v>
      </c>
      <c r="B1570" s="236"/>
      <c r="C1570" s="307" t="s">
        <v>1420</v>
      </c>
      <c r="D1570" s="308" t="s">
        <v>7690</v>
      </c>
      <c r="E1570" s="305" t="s">
        <v>7691</v>
      </c>
      <c r="F1570" s="309" t="s">
        <v>7692</v>
      </c>
      <c r="G1570" s="236"/>
      <c r="H1570" s="307" t="s">
        <v>1420</v>
      </c>
      <c r="I1570" s="237"/>
      <c r="J1570" s="237"/>
      <c r="K1570" s="310" t="s">
        <v>7689</v>
      </c>
      <c r="L1570" s="237"/>
      <c r="M1570" s="237"/>
      <c r="N1570" s="237"/>
      <c r="O1570" s="237"/>
      <c r="P1570" s="237"/>
      <c r="Q1570" s="237"/>
      <c r="R1570" s="237"/>
      <c r="S1570" s="237"/>
      <c r="T1570" s="237"/>
      <c r="U1570" s="237"/>
      <c r="V1570" s="237"/>
      <c r="W1570" s="237"/>
      <c r="X1570" s="237"/>
      <c r="Y1570" s="237"/>
      <c r="Z1570" s="237"/>
    </row>
    <row r="1571">
      <c r="A1571" s="305">
        <v>1570.0</v>
      </c>
      <c r="B1571" s="306">
        <v>139083.0</v>
      </c>
      <c r="C1571" s="307" t="s">
        <v>1420</v>
      </c>
      <c r="D1571" s="308" t="s">
        <v>7603</v>
      </c>
      <c r="E1571" s="305" t="s">
        <v>7604</v>
      </c>
      <c r="F1571" s="236"/>
      <c r="G1571" s="236"/>
      <c r="H1571" s="307" t="s">
        <v>1420</v>
      </c>
      <c r="I1571" s="237"/>
      <c r="J1571" s="237"/>
      <c r="K1571" s="310" t="s">
        <v>7602</v>
      </c>
      <c r="L1571" s="237"/>
      <c r="M1571" s="237"/>
      <c r="N1571" s="237"/>
      <c r="O1571" s="237"/>
      <c r="P1571" s="237"/>
      <c r="Q1571" s="237"/>
      <c r="R1571" s="237"/>
      <c r="S1571" s="237"/>
      <c r="T1571" s="237"/>
      <c r="U1571" s="237"/>
      <c r="V1571" s="237"/>
      <c r="W1571" s="237"/>
      <c r="X1571" s="237"/>
      <c r="Y1571" s="237"/>
      <c r="Z1571" s="237"/>
    </row>
    <row r="1572">
      <c r="A1572" s="305">
        <v>1571.0</v>
      </c>
      <c r="B1572" s="306">
        <v>210203.0</v>
      </c>
      <c r="C1572" s="307" t="s">
        <v>1420</v>
      </c>
      <c r="D1572" s="308" t="s">
        <v>7710</v>
      </c>
      <c r="E1572" s="305" t="s">
        <v>7711</v>
      </c>
      <c r="F1572" s="309" t="s">
        <v>7712</v>
      </c>
      <c r="G1572" s="236"/>
      <c r="H1572" s="307" t="s">
        <v>1420</v>
      </c>
      <c r="I1572" s="237"/>
      <c r="J1572" s="237"/>
      <c r="K1572" s="310" t="s">
        <v>7709</v>
      </c>
      <c r="L1572" s="237"/>
      <c r="M1572" s="237"/>
      <c r="N1572" s="237"/>
      <c r="O1572" s="237"/>
      <c r="P1572" s="237"/>
      <c r="Q1572" s="237"/>
      <c r="R1572" s="237"/>
      <c r="S1572" s="237"/>
      <c r="T1572" s="237"/>
      <c r="U1572" s="237"/>
      <c r="V1572" s="237"/>
      <c r="W1572" s="237"/>
      <c r="X1572" s="237"/>
      <c r="Y1572" s="237"/>
      <c r="Z1572" s="237"/>
    </row>
    <row r="1573">
      <c r="A1573" s="305">
        <v>1572.0</v>
      </c>
      <c r="B1573" s="306">
        <v>139071.0</v>
      </c>
      <c r="C1573" s="307" t="s">
        <v>1420</v>
      </c>
      <c r="D1573" s="308" t="s">
        <v>5316</v>
      </c>
      <c r="E1573" s="305" t="s">
        <v>5317</v>
      </c>
      <c r="F1573" s="309" t="s">
        <v>5318</v>
      </c>
      <c r="G1573" s="236"/>
      <c r="H1573" s="307" t="s">
        <v>1420</v>
      </c>
      <c r="I1573" s="237"/>
      <c r="J1573" s="237"/>
      <c r="K1573" s="310" t="s">
        <v>5315</v>
      </c>
      <c r="L1573" s="237"/>
      <c r="M1573" s="237"/>
      <c r="N1573" s="237"/>
      <c r="O1573" s="237"/>
      <c r="P1573" s="237"/>
      <c r="Q1573" s="237"/>
      <c r="R1573" s="237"/>
      <c r="S1573" s="237"/>
      <c r="T1573" s="237"/>
      <c r="U1573" s="237"/>
      <c r="V1573" s="237"/>
      <c r="W1573" s="237"/>
      <c r="X1573" s="237"/>
      <c r="Y1573" s="237"/>
      <c r="Z1573" s="237"/>
    </row>
    <row r="1574">
      <c r="A1574" s="305">
        <v>1573.0</v>
      </c>
      <c r="B1574" s="236"/>
      <c r="C1574" s="307" t="s">
        <v>1420</v>
      </c>
      <c r="D1574" s="308" t="s">
        <v>5311</v>
      </c>
      <c r="E1574" s="305" t="s">
        <v>5312</v>
      </c>
      <c r="F1574" s="309" t="s">
        <v>5313</v>
      </c>
      <c r="G1574" s="236"/>
      <c r="H1574" s="307" t="s">
        <v>1420</v>
      </c>
      <c r="I1574" s="237"/>
      <c r="J1574" s="237"/>
      <c r="K1574" s="310" t="s">
        <v>5310</v>
      </c>
      <c r="L1574" s="237"/>
      <c r="M1574" s="237"/>
      <c r="N1574" s="237"/>
      <c r="O1574" s="237"/>
      <c r="P1574" s="237"/>
      <c r="Q1574" s="237"/>
      <c r="R1574" s="237"/>
      <c r="S1574" s="237"/>
      <c r="T1574" s="237"/>
      <c r="U1574" s="237"/>
      <c r="V1574" s="237"/>
      <c r="W1574" s="237"/>
      <c r="X1574" s="237"/>
      <c r="Y1574" s="237"/>
      <c r="Z1574" s="237"/>
    </row>
    <row r="1575">
      <c r="A1575" s="305">
        <v>1574.0</v>
      </c>
      <c r="B1575" s="236"/>
      <c r="C1575" s="307" t="s">
        <v>1420</v>
      </c>
      <c r="D1575" s="308" t="s">
        <v>5355</v>
      </c>
      <c r="E1575" s="305" t="s">
        <v>5356</v>
      </c>
      <c r="F1575" s="309" t="s">
        <v>5357</v>
      </c>
      <c r="G1575" s="236"/>
      <c r="H1575" s="307" t="s">
        <v>1420</v>
      </c>
      <c r="I1575" s="237"/>
      <c r="J1575" s="237"/>
      <c r="K1575" s="310" t="s">
        <v>5354</v>
      </c>
      <c r="L1575" s="237"/>
      <c r="M1575" s="237"/>
      <c r="N1575" s="237"/>
      <c r="O1575" s="237"/>
      <c r="P1575" s="237"/>
      <c r="Q1575" s="237"/>
      <c r="R1575" s="237"/>
      <c r="S1575" s="237"/>
      <c r="T1575" s="237"/>
      <c r="U1575" s="237"/>
      <c r="V1575" s="237"/>
      <c r="W1575" s="237"/>
      <c r="X1575" s="237"/>
      <c r="Y1575" s="237"/>
      <c r="Z1575" s="237"/>
    </row>
    <row r="1576">
      <c r="A1576" s="305">
        <v>1575.0</v>
      </c>
      <c r="B1576" s="236"/>
      <c r="C1576" s="307" t="s">
        <v>1420</v>
      </c>
      <c r="D1576" s="308" t="s">
        <v>5351</v>
      </c>
      <c r="E1576" s="305" t="s">
        <v>5352</v>
      </c>
      <c r="F1576" s="309" t="s">
        <v>5353</v>
      </c>
      <c r="G1576" s="236"/>
      <c r="H1576" s="307" t="s">
        <v>1420</v>
      </c>
      <c r="I1576" s="237"/>
      <c r="J1576" s="237"/>
      <c r="K1576" s="310" t="s">
        <v>5350</v>
      </c>
      <c r="L1576" s="237"/>
      <c r="M1576" s="237"/>
      <c r="N1576" s="237"/>
      <c r="O1576" s="237"/>
      <c r="P1576" s="237"/>
      <c r="Q1576" s="237"/>
      <c r="R1576" s="237"/>
      <c r="S1576" s="237"/>
      <c r="T1576" s="237"/>
      <c r="U1576" s="237"/>
      <c r="V1576" s="237"/>
      <c r="W1576" s="237"/>
      <c r="X1576" s="237"/>
      <c r="Y1576" s="237"/>
      <c r="Z1576" s="237"/>
    </row>
    <row r="1577">
      <c r="A1577" s="305">
        <v>1576.0</v>
      </c>
      <c r="B1577" s="236"/>
      <c r="C1577" s="307" t="s">
        <v>1420</v>
      </c>
      <c r="D1577" s="308" t="s">
        <v>5324</v>
      </c>
      <c r="E1577" s="305" t="s">
        <v>5325</v>
      </c>
      <c r="F1577" s="309" t="s">
        <v>5326</v>
      </c>
      <c r="G1577" s="236"/>
      <c r="H1577" s="307" t="s">
        <v>1420</v>
      </c>
      <c r="I1577" s="237"/>
      <c r="J1577" s="237"/>
      <c r="K1577" s="310" t="s">
        <v>5323</v>
      </c>
      <c r="L1577" s="237"/>
      <c r="M1577" s="237"/>
      <c r="N1577" s="237"/>
      <c r="O1577" s="237"/>
      <c r="P1577" s="237"/>
      <c r="Q1577" s="237"/>
      <c r="R1577" s="237"/>
      <c r="S1577" s="237"/>
      <c r="T1577" s="237"/>
      <c r="U1577" s="237"/>
      <c r="V1577" s="237"/>
      <c r="W1577" s="237"/>
      <c r="X1577" s="237"/>
      <c r="Y1577" s="237"/>
      <c r="Z1577" s="237"/>
    </row>
    <row r="1578">
      <c r="A1578" s="305">
        <v>1577.0</v>
      </c>
      <c r="B1578" s="236"/>
      <c r="C1578" s="307" t="s">
        <v>1420</v>
      </c>
      <c r="D1578" s="308" t="s">
        <v>5320</v>
      </c>
      <c r="E1578" s="305" t="s">
        <v>5321</v>
      </c>
      <c r="F1578" s="309" t="s">
        <v>5322</v>
      </c>
      <c r="G1578" s="236"/>
      <c r="H1578" s="307" t="s">
        <v>1420</v>
      </c>
      <c r="I1578" s="237"/>
      <c r="J1578" s="237"/>
      <c r="K1578" s="310" t="s">
        <v>5319</v>
      </c>
      <c r="L1578" s="237"/>
      <c r="M1578" s="237"/>
      <c r="N1578" s="237"/>
      <c r="O1578" s="237"/>
      <c r="P1578" s="237"/>
      <c r="Q1578" s="237"/>
      <c r="R1578" s="237"/>
      <c r="S1578" s="237"/>
      <c r="T1578" s="237"/>
      <c r="U1578" s="237"/>
      <c r="V1578" s="237"/>
      <c r="W1578" s="237"/>
      <c r="X1578" s="237"/>
      <c r="Y1578" s="237"/>
      <c r="Z1578" s="237"/>
    </row>
    <row r="1579">
      <c r="A1579" s="305">
        <v>1578.0</v>
      </c>
      <c r="B1579" s="236"/>
      <c r="C1579" s="307" t="s">
        <v>1420</v>
      </c>
      <c r="D1579" s="308" t="s">
        <v>5359</v>
      </c>
      <c r="E1579" s="305" t="s">
        <v>5360</v>
      </c>
      <c r="F1579" s="309" t="s">
        <v>6032</v>
      </c>
      <c r="G1579" s="236"/>
      <c r="H1579" s="307" t="s">
        <v>1420</v>
      </c>
      <c r="I1579" s="237"/>
      <c r="J1579" s="237"/>
      <c r="K1579" s="310" t="s">
        <v>6031</v>
      </c>
      <c r="L1579" s="237"/>
      <c r="M1579" s="237"/>
      <c r="N1579" s="237"/>
      <c r="O1579" s="237"/>
      <c r="P1579" s="237"/>
      <c r="Q1579" s="237"/>
      <c r="R1579" s="237"/>
      <c r="S1579" s="237"/>
      <c r="T1579" s="237"/>
      <c r="U1579" s="237"/>
      <c r="V1579" s="237"/>
      <c r="W1579" s="237"/>
      <c r="X1579" s="237"/>
      <c r="Y1579" s="237"/>
      <c r="Z1579" s="237"/>
    </row>
    <row r="1580">
      <c r="A1580" s="305">
        <v>1579.0</v>
      </c>
      <c r="B1580" s="236"/>
      <c r="C1580" s="307" t="s">
        <v>1420</v>
      </c>
      <c r="D1580" s="308" t="s">
        <v>5339</v>
      </c>
      <c r="E1580" s="305" t="s">
        <v>5340</v>
      </c>
      <c r="F1580" s="309" t="s">
        <v>5341</v>
      </c>
      <c r="G1580" s="236"/>
      <c r="H1580" s="307" t="s">
        <v>1420</v>
      </c>
      <c r="I1580" s="237"/>
      <c r="J1580" s="237"/>
      <c r="K1580" s="310" t="s">
        <v>5338</v>
      </c>
      <c r="L1580" s="237"/>
      <c r="M1580" s="237"/>
      <c r="N1580" s="237"/>
      <c r="O1580" s="237"/>
      <c r="P1580" s="237"/>
      <c r="Q1580" s="237"/>
      <c r="R1580" s="237"/>
      <c r="S1580" s="237"/>
      <c r="T1580" s="237"/>
      <c r="U1580" s="237"/>
      <c r="V1580" s="237"/>
      <c r="W1580" s="237"/>
      <c r="X1580" s="237"/>
      <c r="Y1580" s="237"/>
      <c r="Z1580" s="237"/>
    </row>
    <row r="1581">
      <c r="A1581" s="305">
        <v>1580.0</v>
      </c>
      <c r="B1581" s="236"/>
      <c r="C1581" s="307" t="s">
        <v>1420</v>
      </c>
      <c r="D1581" s="308" t="s">
        <v>5335</v>
      </c>
      <c r="E1581" s="305" t="s">
        <v>5336</v>
      </c>
      <c r="F1581" s="309" t="s">
        <v>5337</v>
      </c>
      <c r="G1581" s="236"/>
      <c r="H1581" s="307" t="s">
        <v>1420</v>
      </c>
      <c r="I1581" s="237"/>
      <c r="J1581" s="237"/>
      <c r="K1581" s="310" t="s">
        <v>5334</v>
      </c>
      <c r="L1581" s="237"/>
      <c r="M1581" s="237"/>
      <c r="N1581" s="237"/>
      <c r="O1581" s="237"/>
      <c r="P1581" s="237"/>
      <c r="Q1581" s="237"/>
      <c r="R1581" s="237"/>
      <c r="S1581" s="237"/>
      <c r="T1581" s="237"/>
      <c r="U1581" s="237"/>
      <c r="V1581" s="237"/>
      <c r="W1581" s="237"/>
      <c r="X1581" s="237"/>
      <c r="Y1581" s="237"/>
      <c r="Z1581" s="237"/>
    </row>
    <row r="1582">
      <c r="A1582" s="305">
        <v>1581.0</v>
      </c>
      <c r="B1582" s="236"/>
      <c r="C1582" s="307" t="s">
        <v>1420</v>
      </c>
      <c r="D1582" s="308" t="s">
        <v>5328</v>
      </c>
      <c r="E1582" s="305" t="s">
        <v>5329</v>
      </c>
      <c r="F1582" s="309" t="s">
        <v>5330</v>
      </c>
      <c r="G1582" s="236"/>
      <c r="H1582" s="307" t="s">
        <v>1420</v>
      </c>
      <c r="I1582" s="237"/>
      <c r="J1582" s="237"/>
      <c r="K1582" s="310" t="s">
        <v>5327</v>
      </c>
      <c r="L1582" s="237"/>
      <c r="M1582" s="237"/>
      <c r="N1582" s="237"/>
      <c r="O1582" s="237"/>
      <c r="P1582" s="237"/>
      <c r="Q1582" s="237"/>
      <c r="R1582" s="237"/>
      <c r="S1582" s="237"/>
      <c r="T1582" s="237"/>
      <c r="U1582" s="237"/>
      <c r="V1582" s="237"/>
      <c r="W1582" s="237"/>
      <c r="X1582" s="237"/>
      <c r="Y1582" s="237"/>
      <c r="Z1582" s="237"/>
    </row>
    <row r="1583">
      <c r="A1583" s="305">
        <v>1582.0</v>
      </c>
      <c r="B1583" s="236"/>
      <c r="C1583" s="307" t="s">
        <v>1420</v>
      </c>
      <c r="D1583" s="308" t="s">
        <v>5347</v>
      </c>
      <c r="E1583" s="305" t="s">
        <v>5348</v>
      </c>
      <c r="F1583" s="309" t="s">
        <v>5349</v>
      </c>
      <c r="G1583" s="236"/>
      <c r="H1583" s="307" t="s">
        <v>1420</v>
      </c>
      <c r="I1583" s="237"/>
      <c r="J1583" s="237"/>
      <c r="K1583" s="310" t="s">
        <v>5346</v>
      </c>
      <c r="L1583" s="237"/>
      <c r="M1583" s="237"/>
      <c r="N1583" s="237"/>
      <c r="O1583" s="237"/>
      <c r="P1583" s="237"/>
      <c r="Q1583" s="237"/>
      <c r="R1583" s="237"/>
      <c r="S1583" s="237"/>
      <c r="T1583" s="237"/>
      <c r="U1583" s="237"/>
      <c r="V1583" s="237"/>
      <c r="W1583" s="237"/>
      <c r="X1583" s="237"/>
      <c r="Y1583" s="237"/>
      <c r="Z1583" s="237"/>
    </row>
    <row r="1584">
      <c r="A1584" s="305">
        <v>1583.0</v>
      </c>
      <c r="B1584" s="236"/>
      <c r="C1584" s="307" t="s">
        <v>1420</v>
      </c>
      <c r="D1584" s="308" t="s">
        <v>5343</v>
      </c>
      <c r="E1584" s="305" t="s">
        <v>5344</v>
      </c>
      <c r="F1584" s="309" t="s">
        <v>5345</v>
      </c>
      <c r="G1584" s="236"/>
      <c r="H1584" s="307" t="s">
        <v>1420</v>
      </c>
      <c r="I1584" s="237"/>
      <c r="J1584" s="237"/>
      <c r="K1584" s="310" t="s">
        <v>5342</v>
      </c>
      <c r="L1584" s="237"/>
      <c r="M1584" s="237"/>
      <c r="N1584" s="237"/>
      <c r="O1584" s="237"/>
      <c r="P1584" s="237"/>
      <c r="Q1584" s="237"/>
      <c r="R1584" s="237"/>
      <c r="S1584" s="237"/>
      <c r="T1584" s="237"/>
      <c r="U1584" s="237"/>
      <c r="V1584" s="237"/>
      <c r="W1584" s="237"/>
      <c r="X1584" s="237"/>
      <c r="Y1584" s="237"/>
      <c r="Z1584" s="237"/>
    </row>
    <row r="1585">
      <c r="A1585" s="305">
        <v>1584.0</v>
      </c>
      <c r="B1585" s="306">
        <v>137126.0</v>
      </c>
      <c r="C1585" s="307" t="s">
        <v>1420</v>
      </c>
      <c r="D1585" s="308" t="s">
        <v>8155</v>
      </c>
      <c r="E1585" s="305" t="s">
        <v>8156</v>
      </c>
      <c r="F1585" s="309" t="s">
        <v>8281</v>
      </c>
      <c r="G1585" s="236"/>
      <c r="H1585" s="307" t="s">
        <v>1420</v>
      </c>
      <c r="I1585" s="237"/>
      <c r="J1585" s="237"/>
      <c r="K1585" s="310" t="s">
        <v>8280</v>
      </c>
      <c r="L1585" s="237"/>
      <c r="M1585" s="237"/>
      <c r="N1585" s="237"/>
      <c r="O1585" s="237"/>
      <c r="P1585" s="237"/>
      <c r="Q1585" s="237"/>
      <c r="R1585" s="237"/>
      <c r="S1585" s="237"/>
      <c r="T1585" s="237"/>
      <c r="U1585" s="237"/>
      <c r="V1585" s="237"/>
      <c r="W1585" s="237"/>
      <c r="X1585" s="237"/>
      <c r="Y1585" s="237"/>
      <c r="Z1585" s="237"/>
    </row>
    <row r="1586">
      <c r="A1586" s="305">
        <v>1585.0</v>
      </c>
      <c r="B1586" s="236"/>
      <c r="C1586" s="307" t="s">
        <v>1420</v>
      </c>
      <c r="D1586" s="308" t="s">
        <v>1854</v>
      </c>
      <c r="E1586" s="305" t="s">
        <v>13796</v>
      </c>
      <c r="F1586" s="236"/>
      <c r="G1586" s="236"/>
      <c r="H1586" s="307" t="s">
        <v>1420</v>
      </c>
      <c r="I1586" s="237"/>
      <c r="J1586" s="237"/>
      <c r="K1586" s="310" t="s">
        <v>13795</v>
      </c>
      <c r="L1586" s="237"/>
      <c r="M1586" s="237"/>
      <c r="N1586" s="237"/>
      <c r="O1586" s="237"/>
      <c r="P1586" s="237"/>
      <c r="Q1586" s="237"/>
      <c r="R1586" s="237"/>
      <c r="S1586" s="237"/>
      <c r="T1586" s="237"/>
      <c r="U1586" s="237"/>
      <c r="V1586" s="237"/>
      <c r="W1586" s="237"/>
      <c r="X1586" s="237"/>
      <c r="Y1586" s="237"/>
      <c r="Z1586" s="237"/>
    </row>
    <row r="1587">
      <c r="A1587" s="305">
        <v>1586.0</v>
      </c>
      <c r="B1587" s="236"/>
      <c r="C1587" s="307" t="s">
        <v>13452</v>
      </c>
      <c r="D1587" s="308" t="s">
        <v>1853</v>
      </c>
      <c r="E1587" s="305" t="s">
        <v>13794</v>
      </c>
      <c r="F1587" s="236"/>
      <c r="G1587" s="236"/>
      <c r="H1587" s="307" t="s">
        <v>13452</v>
      </c>
      <c r="I1587" s="237"/>
      <c r="J1587" s="237"/>
      <c r="K1587" s="310" t="s">
        <v>13793</v>
      </c>
      <c r="L1587" s="237"/>
      <c r="M1587" s="237"/>
      <c r="N1587" s="237"/>
      <c r="O1587" s="237"/>
      <c r="P1587" s="237"/>
      <c r="Q1587" s="237"/>
      <c r="R1587" s="237"/>
      <c r="S1587" s="237"/>
      <c r="T1587" s="237"/>
      <c r="U1587" s="237"/>
      <c r="V1587" s="237"/>
      <c r="W1587" s="237"/>
      <c r="X1587" s="237"/>
      <c r="Y1587" s="237"/>
      <c r="Z1587" s="237"/>
    </row>
    <row r="1588">
      <c r="A1588" s="305">
        <v>1587.0</v>
      </c>
      <c r="B1588" s="236"/>
      <c r="C1588" s="307" t="s">
        <v>1420</v>
      </c>
      <c r="D1588" s="308" t="s">
        <v>1847</v>
      </c>
      <c r="E1588" s="305" t="s">
        <v>13781</v>
      </c>
      <c r="F1588" s="309" t="s">
        <v>14609</v>
      </c>
      <c r="G1588" s="236"/>
      <c r="H1588" s="307" t="s">
        <v>1420</v>
      </c>
      <c r="I1588" s="237"/>
      <c r="J1588" s="237"/>
      <c r="K1588" s="310" t="s">
        <v>14610</v>
      </c>
      <c r="L1588" s="237"/>
      <c r="M1588" s="237"/>
      <c r="N1588" s="237"/>
      <c r="O1588" s="237"/>
      <c r="P1588" s="237"/>
      <c r="Q1588" s="237"/>
      <c r="R1588" s="237"/>
      <c r="S1588" s="237"/>
      <c r="T1588" s="237"/>
      <c r="U1588" s="237"/>
      <c r="V1588" s="237"/>
      <c r="W1588" s="237"/>
      <c r="X1588" s="237"/>
      <c r="Y1588" s="237"/>
      <c r="Z1588" s="237"/>
    </row>
    <row r="1589">
      <c r="A1589" s="305">
        <v>1588.0</v>
      </c>
      <c r="B1589" s="236"/>
      <c r="C1589" s="307" t="s">
        <v>1420</v>
      </c>
      <c r="D1589" s="308" t="s">
        <v>1846</v>
      </c>
      <c r="E1589" s="305" t="s">
        <v>13778</v>
      </c>
      <c r="F1589" s="309" t="s">
        <v>14611</v>
      </c>
      <c r="G1589" s="236"/>
      <c r="H1589" s="307" t="s">
        <v>1420</v>
      </c>
      <c r="I1589" s="237"/>
      <c r="J1589" s="237"/>
      <c r="K1589" s="310" t="s">
        <v>14612</v>
      </c>
      <c r="L1589" s="237"/>
      <c r="M1589" s="237"/>
      <c r="N1589" s="237"/>
      <c r="O1589" s="237"/>
      <c r="P1589" s="237"/>
      <c r="Q1589" s="237"/>
      <c r="R1589" s="237"/>
      <c r="S1589" s="237"/>
      <c r="T1589" s="237"/>
      <c r="U1589" s="237"/>
      <c r="V1589" s="237"/>
      <c r="W1589" s="237"/>
      <c r="X1589" s="237"/>
      <c r="Y1589" s="237"/>
      <c r="Z1589" s="237"/>
    </row>
    <row r="1590">
      <c r="A1590" s="305">
        <v>1589.0</v>
      </c>
      <c r="B1590" s="236"/>
      <c r="C1590" s="307" t="s">
        <v>1420</v>
      </c>
      <c r="D1590" s="308" t="s">
        <v>1848</v>
      </c>
      <c r="E1590" s="305" t="s">
        <v>13783</v>
      </c>
      <c r="F1590" s="309" t="s">
        <v>14613</v>
      </c>
      <c r="G1590" s="236"/>
      <c r="H1590" s="307" t="s">
        <v>1420</v>
      </c>
      <c r="I1590" s="237"/>
      <c r="J1590" s="237"/>
      <c r="K1590" s="310" t="s">
        <v>14614</v>
      </c>
      <c r="L1590" s="237"/>
      <c r="M1590" s="237"/>
      <c r="N1590" s="237"/>
      <c r="O1590" s="237"/>
      <c r="P1590" s="237"/>
      <c r="Q1590" s="237"/>
      <c r="R1590" s="237"/>
      <c r="S1590" s="237"/>
      <c r="T1590" s="237"/>
      <c r="U1590" s="237"/>
      <c r="V1590" s="237"/>
      <c r="W1590" s="237"/>
      <c r="X1590" s="237"/>
      <c r="Y1590" s="237"/>
      <c r="Z1590" s="237"/>
    </row>
    <row r="1591">
      <c r="A1591" s="305">
        <v>1590.0</v>
      </c>
      <c r="B1591" s="236"/>
      <c r="C1591" s="307" t="s">
        <v>13452</v>
      </c>
      <c r="D1591" s="308" t="s">
        <v>1855</v>
      </c>
      <c r="E1591" s="305" t="s">
        <v>13798</v>
      </c>
      <c r="F1591" s="236"/>
      <c r="G1591" s="236"/>
      <c r="H1591" s="307" t="s">
        <v>13452</v>
      </c>
      <c r="I1591" s="237"/>
      <c r="J1591" s="237"/>
      <c r="K1591" s="310" t="s">
        <v>13797</v>
      </c>
      <c r="L1591" s="237"/>
      <c r="M1591" s="237"/>
      <c r="N1591" s="237"/>
      <c r="O1591" s="237"/>
      <c r="P1591" s="237"/>
      <c r="Q1591" s="237"/>
      <c r="R1591" s="237"/>
      <c r="S1591" s="237"/>
      <c r="T1591" s="237"/>
      <c r="U1591" s="237"/>
      <c r="V1591" s="237"/>
      <c r="W1591" s="237"/>
      <c r="X1591" s="237"/>
      <c r="Y1591" s="237"/>
      <c r="Z1591" s="237"/>
    </row>
    <row r="1592">
      <c r="A1592" s="305">
        <v>1591.0</v>
      </c>
      <c r="B1592" s="236"/>
      <c r="C1592" s="307" t="s">
        <v>13452</v>
      </c>
      <c r="D1592" s="308" t="s">
        <v>1850</v>
      </c>
      <c r="E1592" s="305" t="s">
        <v>13788</v>
      </c>
      <c r="F1592" s="236"/>
      <c r="G1592" s="307" t="s">
        <v>14615</v>
      </c>
      <c r="H1592" s="307" t="s">
        <v>13452</v>
      </c>
      <c r="I1592" s="237"/>
      <c r="J1592" s="237"/>
      <c r="K1592" s="262"/>
      <c r="L1592" s="237"/>
      <c r="M1592" s="237"/>
      <c r="N1592" s="237"/>
      <c r="O1592" s="237"/>
      <c r="P1592" s="237"/>
      <c r="Q1592" s="237"/>
      <c r="R1592" s="237"/>
      <c r="S1592" s="237"/>
      <c r="T1592" s="237"/>
      <c r="U1592" s="237"/>
      <c r="V1592" s="237"/>
      <c r="W1592" s="237"/>
      <c r="X1592" s="237"/>
      <c r="Y1592" s="237"/>
      <c r="Z1592" s="237"/>
    </row>
    <row r="1593">
      <c r="A1593" s="305">
        <v>1592.0</v>
      </c>
      <c r="B1593" s="236"/>
      <c r="C1593" s="307" t="s">
        <v>1420</v>
      </c>
      <c r="D1593" s="308" t="s">
        <v>1849</v>
      </c>
      <c r="E1593" s="305" t="s">
        <v>13785</v>
      </c>
      <c r="F1593" s="309" t="s">
        <v>14616</v>
      </c>
      <c r="G1593" s="236"/>
      <c r="H1593" s="307" t="s">
        <v>1420</v>
      </c>
      <c r="I1593" s="237"/>
      <c r="J1593" s="237"/>
      <c r="K1593" s="310" t="s">
        <v>14617</v>
      </c>
      <c r="L1593" s="237"/>
      <c r="M1593" s="237"/>
      <c r="N1593" s="237"/>
      <c r="O1593" s="237"/>
      <c r="P1593" s="237"/>
      <c r="Q1593" s="237"/>
      <c r="R1593" s="237"/>
      <c r="S1593" s="237"/>
      <c r="T1593" s="237"/>
      <c r="U1593" s="237"/>
      <c r="V1593" s="237"/>
      <c r="W1593" s="237"/>
      <c r="X1593" s="237"/>
      <c r="Y1593" s="237"/>
      <c r="Z1593" s="237"/>
    </row>
    <row r="1594">
      <c r="A1594" s="305">
        <v>1593.0</v>
      </c>
      <c r="B1594" s="236"/>
      <c r="C1594" s="307" t="s">
        <v>1420</v>
      </c>
      <c r="D1594" s="308" t="s">
        <v>1851</v>
      </c>
      <c r="E1594" s="305" t="s">
        <v>13790</v>
      </c>
      <c r="F1594" s="309" t="s">
        <v>14618</v>
      </c>
      <c r="G1594" s="236"/>
      <c r="H1594" s="307" t="s">
        <v>1420</v>
      </c>
      <c r="I1594" s="237"/>
      <c r="J1594" s="237"/>
      <c r="K1594" s="310" t="s">
        <v>14619</v>
      </c>
      <c r="L1594" s="237"/>
      <c r="M1594" s="237"/>
      <c r="N1594" s="237"/>
      <c r="O1594" s="237"/>
      <c r="P1594" s="237"/>
      <c r="Q1594" s="237"/>
      <c r="R1594" s="237"/>
      <c r="S1594" s="237"/>
      <c r="T1594" s="237"/>
      <c r="U1594" s="237"/>
      <c r="V1594" s="237"/>
      <c r="W1594" s="237"/>
      <c r="X1594" s="237"/>
      <c r="Y1594" s="237"/>
      <c r="Z1594" s="237"/>
    </row>
    <row r="1595">
      <c r="A1595" s="305">
        <v>1594.0</v>
      </c>
      <c r="B1595" s="236"/>
      <c r="C1595" s="307" t="s">
        <v>13452</v>
      </c>
      <c r="D1595" s="308" t="s">
        <v>1857</v>
      </c>
      <c r="E1595" s="305" t="s">
        <v>13802</v>
      </c>
      <c r="F1595" s="236"/>
      <c r="G1595" s="236"/>
      <c r="H1595" s="307" t="s">
        <v>13452</v>
      </c>
      <c r="I1595" s="237"/>
      <c r="J1595" s="237"/>
      <c r="K1595" s="310" t="s">
        <v>13787</v>
      </c>
      <c r="L1595" s="237"/>
      <c r="M1595" s="237"/>
      <c r="N1595" s="237"/>
      <c r="O1595" s="237"/>
      <c r="P1595" s="237"/>
      <c r="Q1595" s="237"/>
      <c r="R1595" s="237"/>
      <c r="S1595" s="237"/>
      <c r="T1595" s="237"/>
      <c r="U1595" s="237"/>
      <c r="V1595" s="237"/>
      <c r="W1595" s="237"/>
      <c r="X1595" s="237"/>
      <c r="Y1595" s="237"/>
      <c r="Z1595" s="237"/>
    </row>
    <row r="1596">
      <c r="A1596" s="305">
        <v>1595.0</v>
      </c>
      <c r="B1596" s="236"/>
      <c r="C1596" s="307" t="s">
        <v>1420</v>
      </c>
      <c r="D1596" s="308" t="s">
        <v>1856</v>
      </c>
      <c r="E1596" s="305" t="s">
        <v>13800</v>
      </c>
      <c r="F1596" s="236"/>
      <c r="G1596" s="236"/>
      <c r="H1596" s="307" t="s">
        <v>1420</v>
      </c>
      <c r="I1596" s="237"/>
      <c r="J1596" s="237"/>
      <c r="K1596" s="310" t="s">
        <v>13799</v>
      </c>
      <c r="L1596" s="237"/>
      <c r="M1596" s="237"/>
      <c r="N1596" s="237"/>
      <c r="O1596" s="237"/>
      <c r="P1596" s="237"/>
      <c r="Q1596" s="237"/>
      <c r="R1596" s="237"/>
      <c r="S1596" s="237"/>
      <c r="T1596" s="237"/>
      <c r="U1596" s="237"/>
      <c r="V1596" s="237"/>
      <c r="W1596" s="237"/>
      <c r="X1596" s="237"/>
      <c r="Y1596" s="237"/>
      <c r="Z1596" s="237"/>
    </row>
    <row r="1597">
      <c r="A1597" s="305">
        <v>1596.0</v>
      </c>
      <c r="B1597" s="236"/>
      <c r="C1597" s="307" t="s">
        <v>1420</v>
      </c>
      <c r="D1597" s="308" t="s">
        <v>1852</v>
      </c>
      <c r="E1597" s="305" t="s">
        <v>13792</v>
      </c>
      <c r="F1597" s="309" t="s">
        <v>14620</v>
      </c>
      <c r="G1597" s="236"/>
      <c r="H1597" s="307" t="s">
        <v>1420</v>
      </c>
      <c r="I1597" s="237"/>
      <c r="J1597" s="237"/>
      <c r="K1597" s="310" t="s">
        <v>14621</v>
      </c>
      <c r="L1597" s="237"/>
      <c r="M1597" s="237"/>
      <c r="N1597" s="237"/>
      <c r="O1597" s="237"/>
      <c r="P1597" s="237"/>
      <c r="Q1597" s="237"/>
      <c r="R1597" s="237"/>
      <c r="S1597" s="237"/>
      <c r="T1597" s="237"/>
      <c r="U1597" s="237"/>
      <c r="V1597" s="237"/>
      <c r="W1597" s="237"/>
      <c r="X1597" s="237"/>
      <c r="Y1597" s="237"/>
      <c r="Z1597" s="237"/>
    </row>
    <row r="1598">
      <c r="A1598" s="305">
        <v>1597.0</v>
      </c>
      <c r="B1598" s="306">
        <v>210198.0</v>
      </c>
      <c r="C1598" s="307" t="s">
        <v>1420</v>
      </c>
      <c r="D1598" s="308" t="s">
        <v>7681</v>
      </c>
      <c r="E1598" s="305" t="s">
        <v>7682</v>
      </c>
      <c r="F1598" s="309" t="s">
        <v>7683</v>
      </c>
      <c r="G1598" s="236"/>
      <c r="H1598" s="307" t="s">
        <v>1420</v>
      </c>
      <c r="I1598" s="237"/>
      <c r="J1598" s="237"/>
      <c r="K1598" s="310" t="s">
        <v>7680</v>
      </c>
      <c r="L1598" s="237"/>
      <c r="M1598" s="237"/>
      <c r="N1598" s="237"/>
      <c r="O1598" s="237"/>
      <c r="P1598" s="237"/>
      <c r="Q1598" s="237"/>
      <c r="R1598" s="237"/>
      <c r="S1598" s="237"/>
      <c r="T1598" s="237"/>
      <c r="U1598" s="237"/>
      <c r="V1598" s="237"/>
      <c r="W1598" s="237"/>
      <c r="X1598" s="237"/>
      <c r="Y1598" s="237"/>
      <c r="Z1598" s="237"/>
    </row>
    <row r="1599">
      <c r="A1599" s="305">
        <v>1598.0</v>
      </c>
      <c r="B1599" s="306">
        <v>210232.0</v>
      </c>
      <c r="C1599" s="307" t="s">
        <v>1420</v>
      </c>
      <c r="D1599" s="308" t="s">
        <v>7686</v>
      </c>
      <c r="E1599" s="305" t="s">
        <v>7687</v>
      </c>
      <c r="F1599" s="309" t="s">
        <v>7688</v>
      </c>
      <c r="G1599" s="236"/>
      <c r="H1599" s="307" t="s">
        <v>1420</v>
      </c>
      <c r="I1599" s="237"/>
      <c r="J1599" s="237"/>
      <c r="K1599" s="310" t="s">
        <v>7685</v>
      </c>
      <c r="L1599" s="237"/>
      <c r="M1599" s="237"/>
      <c r="N1599" s="237"/>
      <c r="O1599" s="237"/>
      <c r="P1599" s="237"/>
      <c r="Q1599" s="237"/>
      <c r="R1599" s="237"/>
      <c r="S1599" s="237"/>
      <c r="T1599" s="237"/>
      <c r="U1599" s="237"/>
      <c r="V1599" s="237"/>
      <c r="W1599" s="237"/>
      <c r="X1599" s="237"/>
      <c r="Y1599" s="237"/>
      <c r="Z1599" s="237"/>
    </row>
    <row r="1600">
      <c r="A1600" s="305">
        <v>1599.0</v>
      </c>
      <c r="B1600" s="306">
        <v>210197.0</v>
      </c>
      <c r="C1600" s="307" t="s">
        <v>1420</v>
      </c>
      <c r="D1600" s="308" t="s">
        <v>7676</v>
      </c>
      <c r="E1600" s="305" t="s">
        <v>7677</v>
      </c>
      <c r="F1600" s="309" t="s">
        <v>7678</v>
      </c>
      <c r="G1600" s="236"/>
      <c r="H1600" s="307" t="s">
        <v>1420</v>
      </c>
      <c r="I1600" s="237"/>
      <c r="J1600" s="237"/>
      <c r="K1600" s="310" t="s">
        <v>7675</v>
      </c>
      <c r="L1600" s="237"/>
      <c r="M1600" s="237"/>
      <c r="N1600" s="237"/>
      <c r="O1600" s="237"/>
      <c r="P1600" s="237"/>
      <c r="Q1600" s="237"/>
      <c r="R1600" s="237"/>
      <c r="S1600" s="237"/>
      <c r="T1600" s="237"/>
      <c r="U1600" s="237"/>
      <c r="V1600" s="237"/>
      <c r="W1600" s="237"/>
      <c r="X1600" s="237"/>
      <c r="Y1600" s="237"/>
      <c r="Z1600" s="237"/>
    </row>
    <row r="1601">
      <c r="A1601" s="305">
        <v>1600.0</v>
      </c>
      <c r="B1601" s="306">
        <v>210200.0</v>
      </c>
      <c r="C1601" s="307" t="s">
        <v>1420</v>
      </c>
      <c r="D1601" s="308" t="s">
        <v>7666</v>
      </c>
      <c r="E1601" s="305" t="s">
        <v>7667</v>
      </c>
      <c r="F1601" s="309" t="s">
        <v>7668</v>
      </c>
      <c r="G1601" s="236"/>
      <c r="H1601" s="307" t="s">
        <v>1420</v>
      </c>
      <c r="I1601" s="237"/>
      <c r="J1601" s="237"/>
      <c r="K1601" s="310" t="s">
        <v>7665</v>
      </c>
      <c r="L1601" s="237"/>
      <c r="M1601" s="237"/>
      <c r="N1601" s="237"/>
      <c r="O1601" s="237"/>
      <c r="P1601" s="237"/>
      <c r="Q1601" s="237"/>
      <c r="R1601" s="237"/>
      <c r="S1601" s="237"/>
      <c r="T1601" s="237"/>
      <c r="U1601" s="237"/>
      <c r="V1601" s="237"/>
      <c r="W1601" s="237"/>
      <c r="X1601" s="237"/>
      <c r="Y1601" s="237"/>
      <c r="Z1601" s="237"/>
    </row>
    <row r="1602">
      <c r="A1602" s="305">
        <v>1601.0</v>
      </c>
      <c r="B1602" s="306">
        <v>210233.0</v>
      </c>
      <c r="C1602" s="307" t="s">
        <v>1420</v>
      </c>
      <c r="D1602" s="308" t="s">
        <v>7671</v>
      </c>
      <c r="E1602" s="305" t="s">
        <v>7672</v>
      </c>
      <c r="F1602" s="309" t="s">
        <v>7673</v>
      </c>
      <c r="G1602" s="236"/>
      <c r="H1602" s="307" t="s">
        <v>1420</v>
      </c>
      <c r="I1602" s="237"/>
      <c r="J1602" s="237"/>
      <c r="K1602" s="310" t="s">
        <v>7670</v>
      </c>
      <c r="L1602" s="237"/>
      <c r="M1602" s="237"/>
      <c r="N1602" s="237"/>
      <c r="O1602" s="237"/>
      <c r="P1602" s="237"/>
      <c r="Q1602" s="237"/>
      <c r="R1602" s="237"/>
      <c r="S1602" s="237"/>
      <c r="T1602" s="237"/>
      <c r="U1602" s="237"/>
      <c r="V1602" s="237"/>
      <c r="W1602" s="237"/>
      <c r="X1602" s="237"/>
      <c r="Y1602" s="237"/>
      <c r="Z1602" s="237"/>
    </row>
    <row r="1603">
      <c r="A1603" s="305">
        <v>1602.0</v>
      </c>
      <c r="B1603" s="306">
        <v>210199.0</v>
      </c>
      <c r="C1603" s="307" t="s">
        <v>1420</v>
      </c>
      <c r="D1603" s="308" t="s">
        <v>7661</v>
      </c>
      <c r="E1603" s="305" t="s">
        <v>7662</v>
      </c>
      <c r="F1603" s="309" t="s">
        <v>7663</v>
      </c>
      <c r="G1603" s="236"/>
      <c r="H1603" s="307" t="s">
        <v>1420</v>
      </c>
      <c r="I1603" s="237"/>
      <c r="J1603" s="237"/>
      <c r="K1603" s="310" t="s">
        <v>7660</v>
      </c>
      <c r="L1603" s="237"/>
      <c r="M1603" s="237"/>
      <c r="N1603" s="237"/>
      <c r="O1603" s="237"/>
      <c r="P1603" s="237"/>
      <c r="Q1603" s="237"/>
      <c r="R1603" s="237"/>
      <c r="S1603" s="237"/>
      <c r="T1603" s="237"/>
      <c r="U1603" s="237"/>
      <c r="V1603" s="237"/>
      <c r="W1603" s="237"/>
      <c r="X1603" s="237"/>
      <c r="Y1603" s="237"/>
      <c r="Z1603" s="237"/>
    </row>
    <row r="1604">
      <c r="A1604" s="305">
        <v>1603.0</v>
      </c>
      <c r="B1604" s="306">
        <v>139082.0</v>
      </c>
      <c r="C1604" s="307" t="s">
        <v>1420</v>
      </c>
      <c r="D1604" s="308" t="s">
        <v>7597</v>
      </c>
      <c r="E1604" s="305" t="s">
        <v>7598</v>
      </c>
      <c r="F1604" s="309" t="s">
        <v>7599</v>
      </c>
      <c r="G1604" s="236"/>
      <c r="H1604" s="307" t="s">
        <v>1420</v>
      </c>
      <c r="I1604" s="237"/>
      <c r="J1604" s="237"/>
      <c r="K1604" s="310" t="s">
        <v>7596</v>
      </c>
      <c r="L1604" s="237"/>
      <c r="M1604" s="237"/>
      <c r="N1604" s="237"/>
      <c r="O1604" s="237"/>
      <c r="P1604" s="237"/>
      <c r="Q1604" s="237"/>
      <c r="R1604" s="237"/>
      <c r="S1604" s="237"/>
      <c r="T1604" s="237"/>
      <c r="U1604" s="237"/>
      <c r="V1604" s="237"/>
      <c r="W1604" s="237"/>
      <c r="X1604" s="237"/>
      <c r="Y1604" s="237"/>
      <c r="Z1604" s="237"/>
    </row>
    <row r="1605">
      <c r="A1605" s="305">
        <v>1604.0</v>
      </c>
      <c r="B1605" s="306">
        <v>139085.0</v>
      </c>
      <c r="C1605" s="307" t="s">
        <v>1420</v>
      </c>
      <c r="D1605" s="308" t="s">
        <v>7612</v>
      </c>
      <c r="E1605" s="305" t="s">
        <v>7613</v>
      </c>
      <c r="F1605" s="236"/>
      <c r="G1605" s="236"/>
      <c r="H1605" s="307" t="s">
        <v>1420</v>
      </c>
      <c r="I1605" s="237"/>
      <c r="J1605" s="237"/>
      <c r="K1605" s="310" t="s">
        <v>7611</v>
      </c>
      <c r="L1605" s="237"/>
      <c r="M1605" s="237"/>
      <c r="N1605" s="237"/>
      <c r="O1605" s="237"/>
      <c r="P1605" s="237"/>
      <c r="Q1605" s="237"/>
      <c r="R1605" s="237"/>
      <c r="S1605" s="237"/>
      <c r="T1605" s="237"/>
      <c r="U1605" s="237"/>
      <c r="V1605" s="237"/>
      <c r="W1605" s="237"/>
      <c r="X1605" s="237"/>
      <c r="Y1605" s="237"/>
      <c r="Z1605" s="237"/>
    </row>
    <row r="1606">
      <c r="A1606" s="305">
        <v>1605.0</v>
      </c>
      <c r="B1606" s="306">
        <v>139084.0</v>
      </c>
      <c r="C1606" s="307" t="s">
        <v>1420</v>
      </c>
      <c r="D1606" s="308" t="s">
        <v>7607</v>
      </c>
      <c r="E1606" s="305" t="s">
        <v>7608</v>
      </c>
      <c r="F1606" s="309" t="s">
        <v>7609</v>
      </c>
      <c r="G1606" s="236"/>
      <c r="H1606" s="307" t="s">
        <v>1420</v>
      </c>
      <c r="I1606" s="237"/>
      <c r="J1606" s="237"/>
      <c r="K1606" s="310" t="s">
        <v>7606</v>
      </c>
      <c r="L1606" s="237"/>
      <c r="M1606" s="237"/>
      <c r="N1606" s="237"/>
      <c r="O1606" s="237"/>
      <c r="P1606" s="237"/>
      <c r="Q1606" s="237"/>
      <c r="R1606" s="237"/>
      <c r="S1606" s="237"/>
      <c r="T1606" s="237"/>
      <c r="U1606" s="237"/>
      <c r="V1606" s="237"/>
      <c r="W1606" s="237"/>
      <c r="X1606" s="237"/>
      <c r="Y1606" s="237"/>
      <c r="Z1606" s="237"/>
    </row>
    <row r="1607">
      <c r="A1607" s="305">
        <v>1606.0</v>
      </c>
      <c r="B1607" s="306">
        <v>210202.0</v>
      </c>
      <c r="C1607" s="307" t="s">
        <v>1420</v>
      </c>
      <c r="D1607" s="308" t="s">
        <v>7705</v>
      </c>
      <c r="E1607" s="305" t="s">
        <v>7706</v>
      </c>
      <c r="F1607" s="309" t="s">
        <v>7707</v>
      </c>
      <c r="G1607" s="236"/>
      <c r="H1607" s="307" t="s">
        <v>1420</v>
      </c>
      <c r="I1607" s="237"/>
      <c r="J1607" s="237"/>
      <c r="K1607" s="310" t="s">
        <v>7704</v>
      </c>
      <c r="L1607" s="237"/>
      <c r="M1607" s="237"/>
      <c r="N1607" s="237"/>
      <c r="O1607" s="237"/>
      <c r="P1607" s="237"/>
      <c r="Q1607" s="237"/>
      <c r="R1607" s="237"/>
      <c r="S1607" s="237"/>
      <c r="T1607" s="237"/>
      <c r="U1607" s="237"/>
      <c r="V1607" s="237"/>
      <c r="W1607" s="237"/>
      <c r="X1607" s="237"/>
      <c r="Y1607" s="237"/>
      <c r="Z1607" s="237"/>
    </row>
    <row r="1608">
      <c r="A1608" s="305">
        <v>1607.0</v>
      </c>
      <c r="B1608" s="306">
        <v>210201.0</v>
      </c>
      <c r="C1608" s="307" t="s">
        <v>1420</v>
      </c>
      <c r="D1608" s="308" t="s">
        <v>7700</v>
      </c>
      <c r="E1608" s="305" t="s">
        <v>7701</v>
      </c>
      <c r="F1608" s="309" t="s">
        <v>7702</v>
      </c>
      <c r="G1608" s="236"/>
      <c r="H1608" s="307" t="s">
        <v>1420</v>
      </c>
      <c r="I1608" s="237"/>
      <c r="J1608" s="237"/>
      <c r="K1608" s="310" t="s">
        <v>7699</v>
      </c>
      <c r="L1608" s="237"/>
      <c r="M1608" s="237"/>
      <c r="N1608" s="237"/>
      <c r="O1608" s="237"/>
      <c r="P1608" s="237"/>
      <c r="Q1608" s="237"/>
      <c r="R1608" s="237"/>
      <c r="S1608" s="237"/>
      <c r="T1608" s="237"/>
      <c r="U1608" s="237"/>
      <c r="V1608" s="237"/>
      <c r="W1608" s="237"/>
      <c r="X1608" s="237"/>
      <c r="Y1608" s="237"/>
      <c r="Z1608" s="237"/>
    </row>
    <row r="1609">
      <c r="A1609" s="305">
        <v>1608.0</v>
      </c>
      <c r="B1609" s="306">
        <v>210204.0</v>
      </c>
      <c r="C1609" s="307" t="s">
        <v>1420</v>
      </c>
      <c r="D1609" s="308" t="s">
        <v>7715</v>
      </c>
      <c r="E1609" s="305" t="s">
        <v>7716</v>
      </c>
      <c r="F1609" s="309" t="s">
        <v>7717</v>
      </c>
      <c r="G1609" s="236"/>
      <c r="H1609" s="307" t="s">
        <v>1420</v>
      </c>
      <c r="I1609" s="237"/>
      <c r="J1609" s="237"/>
      <c r="K1609" s="310" t="s">
        <v>7714</v>
      </c>
      <c r="L1609" s="237"/>
      <c r="M1609" s="237"/>
      <c r="N1609" s="237"/>
      <c r="O1609" s="237"/>
      <c r="P1609" s="237"/>
      <c r="Q1609" s="237"/>
      <c r="R1609" s="237"/>
      <c r="S1609" s="237"/>
      <c r="T1609" s="237"/>
      <c r="U1609" s="237"/>
      <c r="V1609" s="237"/>
      <c r="W1609" s="237"/>
      <c r="X1609" s="237"/>
      <c r="Y1609" s="237"/>
      <c r="Z1609" s="237"/>
    </row>
    <row r="1610">
      <c r="A1610" s="305">
        <v>1609.0</v>
      </c>
      <c r="B1610" s="306">
        <v>210208.0</v>
      </c>
      <c r="C1610" s="307" t="s">
        <v>1420</v>
      </c>
      <c r="D1610" s="308" t="s">
        <v>7695</v>
      </c>
      <c r="E1610" s="305" t="s">
        <v>7696</v>
      </c>
      <c r="F1610" s="309" t="s">
        <v>7697</v>
      </c>
      <c r="G1610" s="236"/>
      <c r="H1610" s="307" t="s">
        <v>1420</v>
      </c>
      <c r="I1610" s="237"/>
      <c r="J1610" s="237"/>
      <c r="K1610" s="310" t="s">
        <v>7694</v>
      </c>
      <c r="L1610" s="237"/>
      <c r="M1610" s="237"/>
      <c r="N1610" s="237"/>
      <c r="O1610" s="237"/>
      <c r="P1610" s="237"/>
      <c r="Q1610" s="237"/>
      <c r="R1610" s="237"/>
      <c r="S1610" s="237"/>
      <c r="T1610" s="237"/>
      <c r="U1610" s="237"/>
      <c r="V1610" s="237"/>
      <c r="W1610" s="237"/>
      <c r="X1610" s="237"/>
      <c r="Y1610" s="237"/>
      <c r="Z1610" s="237"/>
    </row>
    <row r="1611">
      <c r="A1611" s="305">
        <v>1610.0</v>
      </c>
      <c r="B1611" s="306">
        <v>210194.0</v>
      </c>
      <c r="C1611" s="307" t="s">
        <v>1420</v>
      </c>
      <c r="D1611" s="308" t="s">
        <v>7646</v>
      </c>
      <c r="E1611" s="305" t="s">
        <v>7647</v>
      </c>
      <c r="F1611" s="309" t="s">
        <v>7648</v>
      </c>
      <c r="G1611" s="236"/>
      <c r="H1611" s="307" t="s">
        <v>1420</v>
      </c>
      <c r="I1611" s="237"/>
      <c r="J1611" s="237"/>
      <c r="K1611" s="310" t="s">
        <v>7645</v>
      </c>
      <c r="L1611" s="237"/>
      <c r="M1611" s="237"/>
      <c r="N1611" s="237"/>
      <c r="O1611" s="237"/>
      <c r="P1611" s="237"/>
      <c r="Q1611" s="237"/>
      <c r="R1611" s="237"/>
      <c r="S1611" s="237"/>
      <c r="T1611" s="237"/>
      <c r="U1611" s="237"/>
      <c r="V1611" s="237"/>
      <c r="W1611" s="237"/>
      <c r="X1611" s="237"/>
      <c r="Y1611" s="237"/>
      <c r="Z1611" s="237"/>
    </row>
    <row r="1612">
      <c r="A1612" s="305">
        <v>1611.0</v>
      </c>
      <c r="B1612" s="306">
        <v>210196.0</v>
      </c>
      <c r="C1612" s="307" t="s">
        <v>1420</v>
      </c>
      <c r="D1612" s="308" t="s">
        <v>7656</v>
      </c>
      <c r="E1612" s="305" t="s">
        <v>7657</v>
      </c>
      <c r="F1612" s="309" t="s">
        <v>7658</v>
      </c>
      <c r="G1612" s="236"/>
      <c r="H1612" s="307" t="s">
        <v>1420</v>
      </c>
      <c r="I1612" s="237"/>
      <c r="J1612" s="237"/>
      <c r="K1612" s="310" t="s">
        <v>7655</v>
      </c>
      <c r="L1612" s="237"/>
      <c r="M1612" s="237"/>
      <c r="N1612" s="237"/>
      <c r="O1612" s="237"/>
      <c r="P1612" s="237"/>
      <c r="Q1612" s="237"/>
      <c r="R1612" s="237"/>
      <c r="S1612" s="237"/>
      <c r="T1612" s="237"/>
      <c r="U1612" s="237"/>
      <c r="V1612" s="237"/>
      <c r="W1612" s="237"/>
      <c r="X1612" s="237"/>
      <c r="Y1612" s="237"/>
      <c r="Z1612" s="237"/>
    </row>
    <row r="1613">
      <c r="A1613" s="305">
        <v>1612.0</v>
      </c>
      <c r="B1613" s="306">
        <v>210195.0</v>
      </c>
      <c r="C1613" s="307" t="s">
        <v>1420</v>
      </c>
      <c r="D1613" s="308" t="s">
        <v>7651</v>
      </c>
      <c r="E1613" s="305" t="s">
        <v>7652</v>
      </c>
      <c r="F1613" s="309" t="s">
        <v>7653</v>
      </c>
      <c r="G1613" s="236"/>
      <c r="H1613" s="307" t="s">
        <v>1420</v>
      </c>
      <c r="I1613" s="237"/>
      <c r="J1613" s="237"/>
      <c r="K1613" s="310" t="s">
        <v>7650</v>
      </c>
      <c r="L1613" s="237"/>
      <c r="M1613" s="237"/>
      <c r="N1613" s="237"/>
      <c r="O1613" s="237"/>
      <c r="P1613" s="237"/>
      <c r="Q1613" s="237"/>
      <c r="R1613" s="237"/>
      <c r="S1613" s="237"/>
      <c r="T1613" s="237"/>
      <c r="U1613" s="237"/>
      <c r="V1613" s="237"/>
      <c r="W1613" s="237"/>
      <c r="X1613" s="237"/>
      <c r="Y1613" s="237"/>
      <c r="Z1613" s="237"/>
    </row>
    <row r="1614">
      <c r="A1614" s="305">
        <v>1613.0</v>
      </c>
      <c r="B1614" s="306">
        <v>139089.0</v>
      </c>
      <c r="C1614" s="307" t="s">
        <v>1420</v>
      </c>
      <c r="D1614" s="308" t="s">
        <v>7631</v>
      </c>
      <c r="E1614" s="305" t="s">
        <v>7632</v>
      </c>
      <c r="F1614" s="309" t="s">
        <v>7633</v>
      </c>
      <c r="G1614" s="236"/>
      <c r="H1614" s="307" t="s">
        <v>1420</v>
      </c>
      <c r="I1614" s="237"/>
      <c r="J1614" s="237"/>
      <c r="K1614" s="310" t="s">
        <v>7630</v>
      </c>
      <c r="L1614" s="237"/>
      <c r="M1614" s="237"/>
      <c r="N1614" s="237"/>
      <c r="O1614" s="237"/>
      <c r="P1614" s="237"/>
      <c r="Q1614" s="237"/>
      <c r="R1614" s="237"/>
      <c r="S1614" s="237"/>
      <c r="T1614" s="237"/>
      <c r="U1614" s="237"/>
      <c r="V1614" s="237"/>
      <c r="W1614" s="237"/>
      <c r="X1614" s="237"/>
      <c r="Y1614" s="237"/>
      <c r="Z1614" s="237"/>
    </row>
    <row r="1615">
      <c r="A1615" s="305">
        <v>1614.0</v>
      </c>
      <c r="B1615" s="306">
        <v>139088.0</v>
      </c>
      <c r="C1615" s="307" t="s">
        <v>1420</v>
      </c>
      <c r="D1615" s="308" t="s">
        <v>7626</v>
      </c>
      <c r="E1615" s="305" t="s">
        <v>7627</v>
      </c>
      <c r="F1615" s="309" t="s">
        <v>7628</v>
      </c>
      <c r="G1615" s="236"/>
      <c r="H1615" s="307" t="s">
        <v>1420</v>
      </c>
      <c r="I1615" s="237"/>
      <c r="J1615" s="237"/>
      <c r="K1615" s="310" t="s">
        <v>7625</v>
      </c>
      <c r="L1615" s="237"/>
      <c r="M1615" s="237"/>
      <c r="N1615" s="237"/>
      <c r="O1615" s="237"/>
      <c r="P1615" s="237"/>
      <c r="Q1615" s="237"/>
      <c r="R1615" s="237"/>
      <c r="S1615" s="237"/>
      <c r="T1615" s="237"/>
      <c r="U1615" s="237"/>
      <c r="V1615" s="237"/>
      <c r="W1615" s="237"/>
      <c r="X1615" s="237"/>
      <c r="Y1615" s="237"/>
      <c r="Z1615" s="237"/>
    </row>
    <row r="1616">
      <c r="A1616" s="305">
        <v>1615.0</v>
      </c>
      <c r="B1616" s="306">
        <v>139087.0</v>
      </c>
      <c r="C1616" s="307" t="s">
        <v>1420</v>
      </c>
      <c r="D1616" s="308" t="s">
        <v>7621</v>
      </c>
      <c r="E1616" s="305" t="s">
        <v>7622</v>
      </c>
      <c r="F1616" s="309" t="s">
        <v>7623</v>
      </c>
      <c r="G1616" s="236"/>
      <c r="H1616" s="307" t="s">
        <v>1420</v>
      </c>
      <c r="I1616" s="237"/>
      <c r="J1616" s="237"/>
      <c r="K1616" s="310" t="s">
        <v>7620</v>
      </c>
      <c r="L1616" s="237"/>
      <c r="M1616" s="237"/>
      <c r="N1616" s="237"/>
      <c r="O1616" s="237"/>
      <c r="P1616" s="237"/>
      <c r="Q1616" s="237"/>
      <c r="R1616" s="237"/>
      <c r="S1616" s="237"/>
      <c r="T1616" s="237"/>
      <c r="U1616" s="237"/>
      <c r="V1616" s="237"/>
      <c r="W1616" s="237"/>
      <c r="X1616" s="237"/>
      <c r="Y1616" s="237"/>
      <c r="Z1616" s="237"/>
    </row>
    <row r="1617">
      <c r="A1617" s="305">
        <v>1616.0</v>
      </c>
      <c r="B1617" s="306">
        <v>139086.0</v>
      </c>
      <c r="C1617" s="307" t="s">
        <v>1420</v>
      </c>
      <c r="D1617" s="308" t="s">
        <v>7616</v>
      </c>
      <c r="E1617" s="305" t="s">
        <v>7617</v>
      </c>
      <c r="F1617" s="309" t="s">
        <v>7618</v>
      </c>
      <c r="G1617" s="236"/>
      <c r="H1617" s="307" t="s">
        <v>1420</v>
      </c>
      <c r="I1617" s="237"/>
      <c r="J1617" s="237"/>
      <c r="K1617" s="310" t="s">
        <v>7615</v>
      </c>
      <c r="L1617" s="237"/>
      <c r="M1617" s="237"/>
      <c r="N1617" s="237"/>
      <c r="O1617" s="237"/>
      <c r="P1617" s="237"/>
      <c r="Q1617" s="237"/>
      <c r="R1617" s="237"/>
      <c r="S1617" s="237"/>
      <c r="T1617" s="237"/>
      <c r="U1617" s="237"/>
      <c r="V1617" s="237"/>
      <c r="W1617" s="237"/>
      <c r="X1617" s="237"/>
      <c r="Y1617" s="237"/>
      <c r="Z1617" s="237"/>
    </row>
    <row r="1618">
      <c r="A1618" s="305">
        <v>1617.0</v>
      </c>
      <c r="B1618" s="306">
        <v>139091.0</v>
      </c>
      <c r="C1618" s="307" t="s">
        <v>1420</v>
      </c>
      <c r="D1618" s="308" t="s">
        <v>7641</v>
      </c>
      <c r="E1618" s="305" t="s">
        <v>7642</v>
      </c>
      <c r="F1618" s="309" t="s">
        <v>7643</v>
      </c>
      <c r="G1618" s="236"/>
      <c r="H1618" s="307" t="s">
        <v>1420</v>
      </c>
      <c r="I1618" s="237"/>
      <c r="J1618" s="237"/>
      <c r="K1618" s="310" t="s">
        <v>7640</v>
      </c>
      <c r="L1618" s="237"/>
      <c r="M1618" s="237"/>
      <c r="N1618" s="237"/>
      <c r="O1618" s="237"/>
      <c r="P1618" s="237"/>
      <c r="Q1618" s="237"/>
      <c r="R1618" s="237"/>
      <c r="S1618" s="237"/>
      <c r="T1618" s="237"/>
      <c r="U1618" s="237"/>
      <c r="V1618" s="237"/>
      <c r="W1618" s="237"/>
      <c r="X1618" s="237"/>
      <c r="Y1618" s="237"/>
      <c r="Z1618" s="237"/>
    </row>
    <row r="1619">
      <c r="A1619" s="305">
        <v>1618.0</v>
      </c>
      <c r="B1619" s="306">
        <v>139090.0</v>
      </c>
      <c r="C1619" s="307" t="s">
        <v>1420</v>
      </c>
      <c r="D1619" s="308" t="s">
        <v>7636</v>
      </c>
      <c r="E1619" s="305" t="s">
        <v>7637</v>
      </c>
      <c r="F1619" s="309" t="s">
        <v>7638</v>
      </c>
      <c r="G1619" s="236"/>
      <c r="H1619" s="307" t="s">
        <v>1420</v>
      </c>
      <c r="I1619" s="237"/>
      <c r="J1619" s="237"/>
      <c r="K1619" s="310" t="s">
        <v>7635</v>
      </c>
      <c r="L1619" s="237"/>
      <c r="M1619" s="237"/>
      <c r="N1619" s="237"/>
      <c r="O1619" s="237"/>
      <c r="P1619" s="237"/>
      <c r="Q1619" s="237"/>
      <c r="R1619" s="237"/>
      <c r="S1619" s="237"/>
      <c r="T1619" s="237"/>
      <c r="U1619" s="237"/>
      <c r="V1619" s="237"/>
      <c r="W1619" s="237"/>
      <c r="X1619" s="237"/>
      <c r="Y1619" s="237"/>
      <c r="Z1619" s="237"/>
    </row>
    <row r="1620">
      <c r="A1620" s="305">
        <v>1619.0</v>
      </c>
      <c r="B1620" s="306">
        <v>1001036.0</v>
      </c>
      <c r="C1620" s="307" t="s">
        <v>1420</v>
      </c>
      <c r="D1620" s="308" t="s">
        <v>6657</v>
      </c>
      <c r="E1620" s="305" t="s">
        <v>6658</v>
      </c>
      <c r="F1620" s="309" t="s">
        <v>6659</v>
      </c>
      <c r="G1620" s="236"/>
      <c r="H1620" s="307" t="s">
        <v>1420</v>
      </c>
      <c r="I1620" s="237"/>
      <c r="J1620" s="237"/>
      <c r="K1620" s="310" t="s">
        <v>6656</v>
      </c>
      <c r="L1620" s="237"/>
      <c r="M1620" s="237"/>
      <c r="N1620" s="237"/>
      <c r="O1620" s="237"/>
      <c r="P1620" s="237"/>
      <c r="Q1620" s="237"/>
      <c r="R1620" s="237"/>
      <c r="S1620" s="237"/>
      <c r="T1620" s="237"/>
      <c r="U1620" s="237"/>
      <c r="V1620" s="237"/>
      <c r="W1620" s="237"/>
      <c r="X1620" s="237"/>
      <c r="Y1620" s="237"/>
      <c r="Z1620" s="237"/>
    </row>
    <row r="1621">
      <c r="A1621" s="305">
        <v>1620.0</v>
      </c>
      <c r="B1621" s="306" t="s">
        <v>6811</v>
      </c>
      <c r="C1621" s="307" t="s">
        <v>1420</v>
      </c>
      <c r="D1621" s="308" t="s">
        <v>6813</v>
      </c>
      <c r="E1621" s="305" t="s">
        <v>6814</v>
      </c>
      <c r="F1621" s="309" t="s">
        <v>6815</v>
      </c>
      <c r="G1621" s="236"/>
      <c r="H1621" s="307" t="s">
        <v>1420</v>
      </c>
      <c r="I1621" s="237"/>
      <c r="J1621" s="237"/>
      <c r="K1621" s="310" t="s">
        <v>6812</v>
      </c>
      <c r="L1621" s="237"/>
      <c r="M1621" s="237"/>
      <c r="N1621" s="237"/>
      <c r="O1621" s="237"/>
      <c r="P1621" s="237"/>
      <c r="Q1621" s="237"/>
      <c r="R1621" s="237"/>
      <c r="S1621" s="237"/>
      <c r="T1621" s="237"/>
      <c r="U1621" s="237"/>
      <c r="V1621" s="237"/>
      <c r="W1621" s="237"/>
      <c r="X1621" s="237"/>
      <c r="Y1621" s="237"/>
      <c r="Z1621" s="237"/>
    </row>
    <row r="1622">
      <c r="A1622" s="305">
        <v>1621.0</v>
      </c>
      <c r="B1622" s="306">
        <v>1001006.0</v>
      </c>
      <c r="C1622" s="307" t="s">
        <v>1420</v>
      </c>
      <c r="D1622" s="308" t="s">
        <v>6627</v>
      </c>
      <c r="E1622" s="305" t="s">
        <v>6628</v>
      </c>
      <c r="F1622" s="309" t="s">
        <v>6629</v>
      </c>
      <c r="G1622" s="236"/>
      <c r="H1622" s="307" t="s">
        <v>1420</v>
      </c>
      <c r="I1622" s="237"/>
      <c r="J1622" s="237"/>
      <c r="K1622" s="310" t="s">
        <v>6626</v>
      </c>
      <c r="L1622" s="237"/>
      <c r="M1622" s="237"/>
      <c r="N1622" s="237"/>
      <c r="O1622" s="237"/>
      <c r="P1622" s="237"/>
      <c r="Q1622" s="237"/>
      <c r="R1622" s="237"/>
      <c r="S1622" s="237"/>
      <c r="T1622" s="237"/>
      <c r="U1622" s="237"/>
      <c r="V1622" s="237"/>
      <c r="W1622" s="237"/>
      <c r="X1622" s="237"/>
      <c r="Y1622" s="237"/>
      <c r="Z1622" s="237"/>
    </row>
    <row r="1623">
      <c r="A1623" s="305">
        <v>1622.0</v>
      </c>
      <c r="B1623" s="306">
        <v>1001017.0</v>
      </c>
      <c r="C1623" s="307" t="s">
        <v>1420</v>
      </c>
      <c r="D1623" s="308" t="s">
        <v>6647</v>
      </c>
      <c r="E1623" s="305" t="s">
        <v>6648</v>
      </c>
      <c r="F1623" s="309" t="s">
        <v>6649</v>
      </c>
      <c r="G1623" s="236"/>
      <c r="H1623" s="307" t="s">
        <v>1420</v>
      </c>
      <c r="I1623" s="237"/>
      <c r="J1623" s="237"/>
      <c r="K1623" s="310" t="s">
        <v>6646</v>
      </c>
      <c r="L1623" s="237"/>
      <c r="M1623" s="237"/>
      <c r="N1623" s="237"/>
      <c r="O1623" s="237"/>
      <c r="P1623" s="237"/>
      <c r="Q1623" s="237"/>
      <c r="R1623" s="237"/>
      <c r="S1623" s="237"/>
      <c r="T1623" s="237"/>
      <c r="U1623" s="237"/>
      <c r="V1623" s="237"/>
      <c r="W1623" s="237"/>
      <c r="X1623" s="237"/>
      <c r="Y1623" s="237"/>
      <c r="Z1623" s="237"/>
    </row>
    <row r="1624">
      <c r="A1624" s="305">
        <v>1623.0</v>
      </c>
      <c r="B1624" s="306">
        <v>1001061.0</v>
      </c>
      <c r="C1624" s="307" t="s">
        <v>1420</v>
      </c>
      <c r="D1624" s="308" t="s">
        <v>6667</v>
      </c>
      <c r="E1624" s="305" t="s">
        <v>6668</v>
      </c>
      <c r="F1624" s="309" t="s">
        <v>6669</v>
      </c>
      <c r="G1624" s="236"/>
      <c r="H1624" s="307" t="s">
        <v>1420</v>
      </c>
      <c r="I1624" s="237"/>
      <c r="J1624" s="237"/>
      <c r="K1624" s="310" t="s">
        <v>6666</v>
      </c>
      <c r="L1624" s="237"/>
      <c r="M1624" s="237"/>
      <c r="N1624" s="237"/>
      <c r="O1624" s="237"/>
      <c r="P1624" s="237"/>
      <c r="Q1624" s="237"/>
      <c r="R1624" s="237"/>
      <c r="S1624" s="237"/>
      <c r="T1624" s="237"/>
      <c r="U1624" s="237"/>
      <c r="V1624" s="237"/>
      <c r="W1624" s="237"/>
      <c r="X1624" s="237"/>
      <c r="Y1624" s="237"/>
      <c r="Z1624" s="237"/>
    </row>
    <row r="1625">
      <c r="A1625" s="305">
        <v>1624.0</v>
      </c>
      <c r="B1625" s="306">
        <v>1001060.0</v>
      </c>
      <c r="C1625" s="307" t="s">
        <v>1420</v>
      </c>
      <c r="D1625" s="308" t="s">
        <v>6662</v>
      </c>
      <c r="E1625" s="305" t="s">
        <v>6663</v>
      </c>
      <c r="F1625" s="309" t="s">
        <v>6664</v>
      </c>
      <c r="G1625" s="236"/>
      <c r="H1625" s="307" t="s">
        <v>1420</v>
      </c>
      <c r="I1625" s="237"/>
      <c r="J1625" s="237"/>
      <c r="K1625" s="310" t="s">
        <v>6661</v>
      </c>
      <c r="L1625" s="237"/>
      <c r="M1625" s="237"/>
      <c r="N1625" s="237"/>
      <c r="O1625" s="237"/>
      <c r="P1625" s="237"/>
      <c r="Q1625" s="237"/>
      <c r="R1625" s="237"/>
      <c r="S1625" s="237"/>
      <c r="T1625" s="237"/>
      <c r="U1625" s="237"/>
      <c r="V1625" s="237"/>
      <c r="W1625" s="237"/>
      <c r="X1625" s="237"/>
      <c r="Y1625" s="237"/>
      <c r="Z1625" s="237"/>
    </row>
    <row r="1626">
      <c r="A1626" s="305">
        <v>1625.0</v>
      </c>
      <c r="B1626" s="306">
        <v>1001009.0</v>
      </c>
      <c r="C1626" s="307" t="s">
        <v>1420</v>
      </c>
      <c r="D1626" s="308" t="s">
        <v>6632</v>
      </c>
      <c r="E1626" s="305" t="s">
        <v>6633</v>
      </c>
      <c r="F1626" s="309" t="s">
        <v>6634</v>
      </c>
      <c r="G1626" s="236"/>
      <c r="H1626" s="307" t="s">
        <v>1420</v>
      </c>
      <c r="I1626" s="237"/>
      <c r="J1626" s="237"/>
      <c r="K1626" s="310" t="s">
        <v>6631</v>
      </c>
      <c r="L1626" s="237"/>
      <c r="M1626" s="237"/>
      <c r="N1626" s="237"/>
      <c r="O1626" s="237"/>
      <c r="P1626" s="237"/>
      <c r="Q1626" s="237"/>
      <c r="R1626" s="237"/>
      <c r="S1626" s="237"/>
      <c r="T1626" s="237"/>
      <c r="U1626" s="237"/>
      <c r="V1626" s="237"/>
      <c r="W1626" s="237"/>
      <c r="X1626" s="237"/>
      <c r="Y1626" s="237"/>
      <c r="Z1626" s="237"/>
    </row>
    <row r="1627">
      <c r="A1627" s="305">
        <v>1626.0</v>
      </c>
      <c r="B1627" s="306">
        <v>1001011.0</v>
      </c>
      <c r="C1627" s="307" t="s">
        <v>1420</v>
      </c>
      <c r="D1627" s="308" t="s">
        <v>6786</v>
      </c>
      <c r="E1627" s="305" t="s">
        <v>6787</v>
      </c>
      <c r="F1627" s="309" t="s">
        <v>6788</v>
      </c>
      <c r="G1627" s="236"/>
      <c r="H1627" s="307" t="s">
        <v>1420</v>
      </c>
      <c r="I1627" s="237"/>
      <c r="J1627" s="237"/>
      <c r="K1627" s="310" t="s">
        <v>6785</v>
      </c>
      <c r="L1627" s="237"/>
      <c r="M1627" s="237"/>
      <c r="N1627" s="237"/>
      <c r="O1627" s="237"/>
      <c r="P1627" s="237"/>
      <c r="Q1627" s="237"/>
      <c r="R1627" s="237"/>
      <c r="S1627" s="237"/>
      <c r="T1627" s="237"/>
      <c r="U1627" s="237"/>
      <c r="V1627" s="237"/>
      <c r="W1627" s="237"/>
      <c r="X1627" s="237"/>
      <c r="Y1627" s="237"/>
      <c r="Z1627" s="237"/>
    </row>
    <row r="1628">
      <c r="A1628" s="305">
        <v>1627.0</v>
      </c>
      <c r="B1628" s="306" t="s">
        <v>6806</v>
      </c>
      <c r="C1628" s="307" t="s">
        <v>1420</v>
      </c>
      <c r="D1628" s="308" t="s">
        <v>6808</v>
      </c>
      <c r="E1628" s="305" t="s">
        <v>6809</v>
      </c>
      <c r="F1628" s="309" t="s">
        <v>6810</v>
      </c>
      <c r="G1628" s="236"/>
      <c r="H1628" s="307" t="s">
        <v>1420</v>
      </c>
      <c r="I1628" s="237"/>
      <c r="J1628" s="237"/>
      <c r="K1628" s="310" t="s">
        <v>6807</v>
      </c>
      <c r="L1628" s="237"/>
      <c r="M1628" s="237"/>
      <c r="N1628" s="237"/>
      <c r="O1628" s="237"/>
      <c r="P1628" s="237"/>
      <c r="Q1628" s="237"/>
      <c r="R1628" s="237"/>
      <c r="S1628" s="237"/>
      <c r="T1628" s="237"/>
      <c r="U1628" s="237"/>
      <c r="V1628" s="237"/>
      <c r="W1628" s="237"/>
      <c r="X1628" s="237"/>
      <c r="Y1628" s="237"/>
      <c r="Z1628" s="237"/>
    </row>
    <row r="1629">
      <c r="A1629" s="305">
        <v>1628.0</v>
      </c>
      <c r="B1629" s="306">
        <v>1001014.0</v>
      </c>
      <c r="C1629" s="307" t="s">
        <v>1420</v>
      </c>
      <c r="D1629" s="308" t="s">
        <v>6637</v>
      </c>
      <c r="E1629" s="305" t="s">
        <v>6638</v>
      </c>
      <c r="F1629" s="309" t="s">
        <v>6639</v>
      </c>
      <c r="G1629" s="236"/>
      <c r="H1629" s="307" t="s">
        <v>1420</v>
      </c>
      <c r="I1629" s="237"/>
      <c r="J1629" s="237"/>
      <c r="K1629" s="310" t="s">
        <v>6636</v>
      </c>
      <c r="L1629" s="237"/>
      <c r="M1629" s="237"/>
      <c r="N1629" s="237"/>
      <c r="O1629" s="237"/>
      <c r="P1629" s="237"/>
      <c r="Q1629" s="237"/>
      <c r="R1629" s="237"/>
      <c r="S1629" s="237"/>
      <c r="T1629" s="237"/>
      <c r="U1629" s="237"/>
      <c r="V1629" s="237"/>
      <c r="W1629" s="237"/>
      <c r="X1629" s="237"/>
      <c r="Y1629" s="237"/>
      <c r="Z1629" s="237"/>
    </row>
    <row r="1630">
      <c r="A1630" s="305">
        <v>1629.0</v>
      </c>
      <c r="B1630" s="306">
        <v>1001015.0</v>
      </c>
      <c r="C1630" s="307" t="s">
        <v>1420</v>
      </c>
      <c r="D1630" s="308" t="s">
        <v>6642</v>
      </c>
      <c r="E1630" s="305" t="s">
        <v>6643</v>
      </c>
      <c r="F1630" s="309" t="s">
        <v>6644</v>
      </c>
      <c r="G1630" s="236"/>
      <c r="H1630" s="307" t="s">
        <v>1420</v>
      </c>
      <c r="I1630" s="237"/>
      <c r="J1630" s="237"/>
      <c r="K1630" s="310" t="s">
        <v>6641</v>
      </c>
      <c r="L1630" s="237"/>
      <c r="M1630" s="237"/>
      <c r="N1630" s="237"/>
      <c r="O1630" s="237"/>
      <c r="P1630" s="237"/>
      <c r="Q1630" s="237"/>
      <c r="R1630" s="237"/>
      <c r="S1630" s="237"/>
      <c r="T1630" s="237"/>
      <c r="U1630" s="237"/>
      <c r="V1630" s="237"/>
      <c r="W1630" s="237"/>
      <c r="X1630" s="237"/>
      <c r="Y1630" s="237"/>
      <c r="Z1630" s="237"/>
    </row>
    <row r="1631">
      <c r="A1631" s="305">
        <v>1630.0</v>
      </c>
      <c r="B1631" s="306">
        <v>1001020.0</v>
      </c>
      <c r="C1631" s="307" t="s">
        <v>1420</v>
      </c>
      <c r="D1631" s="308" t="s">
        <v>6804</v>
      </c>
      <c r="E1631" s="305" t="s">
        <v>6805</v>
      </c>
      <c r="F1631" s="309" t="s">
        <v>6817</v>
      </c>
      <c r="G1631" s="236"/>
      <c r="H1631" s="307" t="s">
        <v>1420</v>
      </c>
      <c r="I1631" s="237"/>
      <c r="J1631" s="237"/>
      <c r="K1631" s="310" t="s">
        <v>6816</v>
      </c>
      <c r="L1631" s="237"/>
      <c r="M1631" s="237"/>
      <c r="N1631" s="237"/>
      <c r="O1631" s="237"/>
      <c r="P1631" s="237"/>
      <c r="Q1631" s="237"/>
      <c r="R1631" s="237"/>
      <c r="S1631" s="237"/>
      <c r="T1631" s="237"/>
      <c r="U1631" s="237"/>
      <c r="V1631" s="237"/>
      <c r="W1631" s="237"/>
      <c r="X1631" s="237"/>
      <c r="Y1631" s="237"/>
      <c r="Z1631" s="237"/>
    </row>
    <row r="1632">
      <c r="A1632" s="305">
        <v>1631.0</v>
      </c>
      <c r="B1632" s="306">
        <v>1001021.0</v>
      </c>
      <c r="C1632" s="307" t="s">
        <v>1420</v>
      </c>
      <c r="D1632" s="308" t="s">
        <v>6652</v>
      </c>
      <c r="E1632" s="305" t="s">
        <v>6653</v>
      </c>
      <c r="F1632" s="309" t="s">
        <v>6654</v>
      </c>
      <c r="G1632" s="236"/>
      <c r="H1632" s="307" t="s">
        <v>1420</v>
      </c>
      <c r="I1632" s="237"/>
      <c r="J1632" s="237"/>
      <c r="K1632" s="310" t="s">
        <v>6651</v>
      </c>
      <c r="L1632" s="237"/>
      <c r="M1632" s="237"/>
      <c r="N1632" s="237"/>
      <c r="O1632" s="237"/>
      <c r="P1632" s="237"/>
      <c r="Q1632" s="237"/>
      <c r="R1632" s="237"/>
      <c r="S1632" s="237"/>
      <c r="T1632" s="237"/>
      <c r="U1632" s="237"/>
      <c r="V1632" s="237"/>
      <c r="W1632" s="237"/>
      <c r="X1632" s="237"/>
      <c r="Y1632" s="237"/>
      <c r="Z1632" s="237"/>
    </row>
    <row r="1633">
      <c r="A1633" s="305">
        <v>1632.0</v>
      </c>
      <c r="B1633" s="306">
        <v>1001100.0</v>
      </c>
      <c r="C1633" s="307" t="s">
        <v>1420</v>
      </c>
      <c r="D1633" s="308" t="s">
        <v>6677</v>
      </c>
      <c r="E1633" s="305" t="s">
        <v>6678</v>
      </c>
      <c r="F1633" s="309" t="s">
        <v>6679</v>
      </c>
      <c r="G1633" s="236"/>
      <c r="H1633" s="307" t="s">
        <v>1420</v>
      </c>
      <c r="I1633" s="237"/>
      <c r="J1633" s="237"/>
      <c r="K1633" s="310" t="s">
        <v>6676</v>
      </c>
      <c r="L1633" s="237"/>
      <c r="M1633" s="237"/>
      <c r="N1633" s="237"/>
      <c r="O1633" s="237"/>
      <c r="P1633" s="237"/>
      <c r="Q1633" s="237"/>
      <c r="R1633" s="237"/>
      <c r="S1633" s="237"/>
      <c r="T1633" s="237"/>
      <c r="U1633" s="237"/>
      <c r="V1633" s="237"/>
      <c r="W1633" s="237"/>
      <c r="X1633" s="237"/>
      <c r="Y1633" s="237"/>
      <c r="Z1633" s="237"/>
    </row>
    <row r="1634">
      <c r="A1634" s="305">
        <v>1633.0</v>
      </c>
      <c r="B1634" s="306">
        <v>1001099.0</v>
      </c>
      <c r="C1634" s="307" t="s">
        <v>1420</v>
      </c>
      <c r="D1634" s="308" t="s">
        <v>6672</v>
      </c>
      <c r="E1634" s="305" t="s">
        <v>6673</v>
      </c>
      <c r="F1634" s="309" t="s">
        <v>6674</v>
      </c>
      <c r="G1634" s="236"/>
      <c r="H1634" s="307" t="s">
        <v>1420</v>
      </c>
      <c r="I1634" s="237"/>
      <c r="J1634" s="237"/>
      <c r="K1634" s="310" t="s">
        <v>6671</v>
      </c>
      <c r="L1634" s="237"/>
      <c r="M1634" s="237"/>
      <c r="N1634" s="237"/>
      <c r="O1634" s="237"/>
      <c r="P1634" s="237"/>
      <c r="Q1634" s="237"/>
      <c r="R1634" s="237"/>
      <c r="S1634" s="237"/>
      <c r="T1634" s="237"/>
      <c r="U1634" s="237"/>
      <c r="V1634" s="237"/>
      <c r="W1634" s="237"/>
      <c r="X1634" s="237"/>
      <c r="Y1634" s="237"/>
      <c r="Z1634" s="237"/>
    </row>
    <row r="1635">
      <c r="A1635" s="305">
        <v>1634.0</v>
      </c>
      <c r="B1635" s="306">
        <v>1071705.0</v>
      </c>
      <c r="C1635" s="307" t="s">
        <v>1420</v>
      </c>
      <c r="D1635" s="308" t="s">
        <v>7423</v>
      </c>
      <c r="E1635" s="305" t="s">
        <v>7424</v>
      </c>
      <c r="F1635" s="309" t="s">
        <v>7425</v>
      </c>
      <c r="G1635" s="236"/>
      <c r="H1635" s="307" t="s">
        <v>1420</v>
      </c>
      <c r="I1635" s="237"/>
      <c r="J1635" s="237"/>
      <c r="K1635" s="310" t="s">
        <v>7422</v>
      </c>
      <c r="L1635" s="237"/>
      <c r="M1635" s="237"/>
      <c r="N1635" s="237"/>
      <c r="O1635" s="237"/>
      <c r="P1635" s="237"/>
      <c r="Q1635" s="237"/>
      <c r="R1635" s="237"/>
      <c r="S1635" s="237"/>
      <c r="T1635" s="237"/>
      <c r="U1635" s="237"/>
      <c r="V1635" s="237"/>
      <c r="W1635" s="237"/>
      <c r="X1635" s="237"/>
      <c r="Y1635" s="237"/>
      <c r="Z1635" s="237"/>
    </row>
    <row r="1636">
      <c r="A1636" s="305">
        <v>1635.0</v>
      </c>
      <c r="B1636" s="306">
        <v>5.0010852E7</v>
      </c>
      <c r="C1636" s="307" t="s">
        <v>1420</v>
      </c>
      <c r="D1636" s="308" t="s">
        <v>6089</v>
      </c>
      <c r="E1636" s="305" t="s">
        <v>6090</v>
      </c>
      <c r="F1636" s="309" t="s">
        <v>6091</v>
      </c>
      <c r="G1636" s="236"/>
      <c r="H1636" s="307" t="s">
        <v>1420</v>
      </c>
      <c r="I1636" s="237"/>
      <c r="J1636" s="237"/>
      <c r="K1636" s="310" t="s">
        <v>6088</v>
      </c>
      <c r="L1636" s="237"/>
      <c r="M1636" s="237"/>
      <c r="N1636" s="237"/>
      <c r="O1636" s="237"/>
      <c r="P1636" s="237"/>
      <c r="Q1636" s="237"/>
      <c r="R1636" s="237"/>
      <c r="S1636" s="237"/>
      <c r="T1636" s="237"/>
      <c r="U1636" s="237"/>
      <c r="V1636" s="237"/>
      <c r="W1636" s="237"/>
      <c r="X1636" s="237"/>
      <c r="Y1636" s="237"/>
      <c r="Z1636" s="237"/>
    </row>
    <row r="1637">
      <c r="A1637" s="305">
        <v>1636.0</v>
      </c>
      <c r="B1637" s="306">
        <v>5.0010853E7</v>
      </c>
      <c r="C1637" s="307" t="s">
        <v>1420</v>
      </c>
      <c r="D1637" s="308" t="s">
        <v>6149</v>
      </c>
      <c r="E1637" s="305" t="s">
        <v>6150</v>
      </c>
      <c r="F1637" s="309" t="s">
        <v>6151</v>
      </c>
      <c r="G1637" s="236"/>
      <c r="H1637" s="307" t="s">
        <v>1420</v>
      </c>
      <c r="I1637" s="237"/>
      <c r="J1637" s="237"/>
      <c r="K1637" s="310" t="s">
        <v>6148</v>
      </c>
      <c r="L1637" s="237"/>
      <c r="M1637" s="237"/>
      <c r="N1637" s="237"/>
      <c r="O1637" s="237"/>
      <c r="P1637" s="237"/>
      <c r="Q1637" s="237"/>
      <c r="R1637" s="237"/>
      <c r="S1637" s="237"/>
      <c r="T1637" s="237"/>
      <c r="U1637" s="237"/>
      <c r="V1637" s="237"/>
      <c r="W1637" s="237"/>
      <c r="X1637" s="237"/>
      <c r="Y1637" s="237"/>
      <c r="Z1637" s="237"/>
    </row>
    <row r="1638">
      <c r="A1638" s="305">
        <v>1637.0</v>
      </c>
      <c r="B1638" s="236"/>
      <c r="C1638" s="307" t="s">
        <v>1420</v>
      </c>
      <c r="D1638" s="308" t="s">
        <v>12543</v>
      </c>
      <c r="E1638" s="305" t="s">
        <v>12544</v>
      </c>
      <c r="F1638" s="309" t="s">
        <v>12545</v>
      </c>
      <c r="G1638" s="236"/>
      <c r="H1638" s="307" t="s">
        <v>1420</v>
      </c>
      <c r="I1638" s="237"/>
      <c r="J1638" s="237"/>
      <c r="K1638" s="310" t="s">
        <v>12542</v>
      </c>
      <c r="L1638" s="237"/>
      <c r="M1638" s="237"/>
      <c r="N1638" s="237"/>
      <c r="O1638" s="237"/>
      <c r="P1638" s="237"/>
      <c r="Q1638" s="237"/>
      <c r="R1638" s="237"/>
      <c r="S1638" s="237"/>
      <c r="T1638" s="237"/>
      <c r="U1638" s="237"/>
      <c r="V1638" s="237"/>
      <c r="W1638" s="237"/>
      <c r="X1638" s="237"/>
      <c r="Y1638" s="237"/>
      <c r="Z1638" s="237"/>
    </row>
    <row r="1639">
      <c r="A1639" s="305">
        <v>1638.0</v>
      </c>
      <c r="B1639" s="236"/>
      <c r="C1639" s="307" t="s">
        <v>1420</v>
      </c>
      <c r="D1639" s="308" t="s">
        <v>1755</v>
      </c>
      <c r="E1639" s="236"/>
      <c r="F1639" s="309" t="s">
        <v>14622</v>
      </c>
      <c r="G1639" s="236"/>
      <c r="H1639" s="307" t="s">
        <v>1420</v>
      </c>
      <c r="I1639" s="237"/>
      <c r="J1639" s="237"/>
      <c r="K1639" s="310" t="s">
        <v>13676</v>
      </c>
      <c r="L1639" s="237"/>
      <c r="M1639" s="237"/>
      <c r="N1639" s="237"/>
      <c r="O1639" s="237"/>
      <c r="P1639" s="237"/>
      <c r="Q1639" s="237"/>
      <c r="R1639" s="237"/>
      <c r="S1639" s="237"/>
      <c r="T1639" s="237"/>
      <c r="U1639" s="237"/>
      <c r="V1639" s="237"/>
      <c r="W1639" s="237"/>
      <c r="X1639" s="237"/>
      <c r="Y1639" s="237"/>
      <c r="Z1639" s="237"/>
    </row>
    <row r="1640">
      <c r="A1640" s="305">
        <v>1639.0</v>
      </c>
      <c r="B1640" s="236"/>
      <c r="C1640" s="307" t="s">
        <v>1420</v>
      </c>
      <c r="D1640" s="308" t="s">
        <v>1754</v>
      </c>
      <c r="E1640" s="305" t="s">
        <v>12548</v>
      </c>
      <c r="F1640" s="309" t="s">
        <v>12549</v>
      </c>
      <c r="G1640" s="236"/>
      <c r="H1640" s="307" t="s">
        <v>1420</v>
      </c>
      <c r="I1640" s="237"/>
      <c r="J1640" s="237"/>
      <c r="K1640" s="310" t="s">
        <v>12547</v>
      </c>
      <c r="L1640" s="237"/>
      <c r="M1640" s="237"/>
      <c r="N1640" s="237"/>
      <c r="O1640" s="237"/>
      <c r="P1640" s="237"/>
      <c r="Q1640" s="237"/>
      <c r="R1640" s="237"/>
      <c r="S1640" s="237"/>
      <c r="T1640" s="237"/>
      <c r="U1640" s="237"/>
      <c r="V1640" s="237"/>
      <c r="W1640" s="237"/>
      <c r="X1640" s="237"/>
      <c r="Y1640" s="237"/>
      <c r="Z1640" s="237"/>
    </row>
    <row r="1641">
      <c r="A1641" s="305">
        <v>1640.0</v>
      </c>
      <c r="B1641" s="236"/>
      <c r="C1641" s="307" t="s">
        <v>1420</v>
      </c>
      <c r="D1641" s="308" t="s">
        <v>1762</v>
      </c>
      <c r="E1641" s="305" t="s">
        <v>12551</v>
      </c>
      <c r="F1641" s="309" t="s">
        <v>12552</v>
      </c>
      <c r="G1641" s="236"/>
      <c r="H1641" s="307" t="s">
        <v>1420</v>
      </c>
      <c r="I1641" s="237"/>
      <c r="J1641" s="237"/>
      <c r="K1641" s="310" t="s">
        <v>12550</v>
      </c>
      <c r="L1641" s="237"/>
      <c r="M1641" s="237"/>
      <c r="N1641" s="237"/>
      <c r="O1641" s="237"/>
      <c r="P1641" s="237"/>
      <c r="Q1641" s="237"/>
      <c r="R1641" s="237"/>
      <c r="S1641" s="237"/>
      <c r="T1641" s="237"/>
      <c r="U1641" s="237"/>
      <c r="V1641" s="237"/>
      <c r="W1641" s="237"/>
      <c r="X1641" s="237"/>
      <c r="Y1641" s="237"/>
      <c r="Z1641" s="237"/>
    </row>
    <row r="1642">
      <c r="A1642" s="305">
        <v>1641.0</v>
      </c>
      <c r="B1642" s="236"/>
      <c r="C1642" s="307" t="s">
        <v>1420</v>
      </c>
      <c r="D1642" s="308" t="s">
        <v>1761</v>
      </c>
      <c r="E1642" s="236"/>
      <c r="F1642" s="236"/>
      <c r="G1642" s="236"/>
      <c r="H1642" s="307" t="s">
        <v>1420</v>
      </c>
      <c r="I1642" s="237"/>
      <c r="J1642" s="237"/>
      <c r="K1642" s="310" t="s">
        <v>13678</v>
      </c>
      <c r="L1642" s="237"/>
      <c r="M1642" s="237"/>
      <c r="N1642" s="237"/>
      <c r="O1642" s="237"/>
      <c r="P1642" s="237"/>
      <c r="Q1642" s="237"/>
      <c r="R1642" s="237"/>
      <c r="S1642" s="237"/>
      <c r="T1642" s="237"/>
      <c r="U1642" s="237"/>
      <c r="V1642" s="237"/>
      <c r="W1642" s="237"/>
      <c r="X1642" s="237"/>
      <c r="Y1642" s="237"/>
      <c r="Z1642" s="237"/>
    </row>
    <row r="1643">
      <c r="A1643" s="305">
        <v>1642.0</v>
      </c>
      <c r="B1643" s="236"/>
      <c r="C1643" s="307" t="s">
        <v>1420</v>
      </c>
      <c r="D1643" s="308" t="s">
        <v>1766</v>
      </c>
      <c r="E1643" s="305" t="s">
        <v>12554</v>
      </c>
      <c r="F1643" s="309" t="s">
        <v>14623</v>
      </c>
      <c r="G1643" s="236"/>
      <c r="H1643" s="307" t="s">
        <v>1420</v>
      </c>
      <c r="I1643" s="237"/>
      <c r="J1643" s="237"/>
      <c r="K1643" s="310" t="s">
        <v>12553</v>
      </c>
      <c r="L1643" s="237"/>
      <c r="M1643" s="237"/>
      <c r="N1643" s="237"/>
      <c r="O1643" s="237"/>
      <c r="P1643" s="237"/>
      <c r="Q1643" s="237"/>
      <c r="R1643" s="237"/>
      <c r="S1643" s="237"/>
      <c r="T1643" s="237"/>
      <c r="U1643" s="237"/>
      <c r="V1643" s="237"/>
      <c r="W1643" s="237"/>
      <c r="X1643" s="237"/>
      <c r="Y1643" s="237"/>
      <c r="Z1643" s="237"/>
    </row>
    <row r="1644">
      <c r="A1644" s="305">
        <v>1643.0</v>
      </c>
      <c r="B1644" s="236"/>
      <c r="C1644" s="307" t="s">
        <v>1420</v>
      </c>
      <c r="D1644" s="308" t="s">
        <v>1765</v>
      </c>
      <c r="E1644" s="236"/>
      <c r="F1644" s="309" t="s">
        <v>14624</v>
      </c>
      <c r="G1644" s="236"/>
      <c r="H1644" s="307" t="s">
        <v>1420</v>
      </c>
      <c r="I1644" s="237"/>
      <c r="J1644" s="237"/>
      <c r="K1644" s="310" t="s">
        <v>13679</v>
      </c>
      <c r="L1644" s="237"/>
      <c r="M1644" s="237"/>
      <c r="N1644" s="237"/>
      <c r="O1644" s="237"/>
      <c r="P1644" s="237"/>
      <c r="Q1644" s="237"/>
      <c r="R1644" s="237"/>
      <c r="S1644" s="237"/>
      <c r="T1644" s="237"/>
      <c r="U1644" s="237"/>
      <c r="V1644" s="237"/>
      <c r="W1644" s="237"/>
      <c r="X1644" s="237"/>
      <c r="Y1644" s="237"/>
      <c r="Z1644" s="237"/>
    </row>
    <row r="1645">
      <c r="A1645" s="305">
        <v>1644.0</v>
      </c>
      <c r="B1645" s="236"/>
      <c r="C1645" s="307" t="s">
        <v>1420</v>
      </c>
      <c r="D1645" s="308" t="s">
        <v>12557</v>
      </c>
      <c r="E1645" s="305" t="s">
        <v>12558</v>
      </c>
      <c r="F1645" s="309" t="s">
        <v>12559</v>
      </c>
      <c r="G1645" s="236"/>
      <c r="H1645" s="307" t="s">
        <v>1420</v>
      </c>
      <c r="I1645" s="237"/>
      <c r="J1645" s="237"/>
      <c r="K1645" s="310" t="s">
        <v>12556</v>
      </c>
      <c r="L1645" s="237"/>
      <c r="M1645" s="237"/>
      <c r="N1645" s="237"/>
      <c r="O1645" s="237"/>
      <c r="P1645" s="237"/>
      <c r="Q1645" s="237"/>
      <c r="R1645" s="237"/>
      <c r="S1645" s="237"/>
      <c r="T1645" s="237"/>
      <c r="U1645" s="237"/>
      <c r="V1645" s="237"/>
      <c r="W1645" s="237"/>
      <c r="X1645" s="237"/>
      <c r="Y1645" s="237"/>
      <c r="Z1645" s="237"/>
    </row>
    <row r="1646">
      <c r="A1646" s="305">
        <v>1645.0</v>
      </c>
      <c r="B1646" s="236"/>
      <c r="C1646" s="307" t="s">
        <v>1420</v>
      </c>
      <c r="D1646" s="308" t="s">
        <v>1760</v>
      </c>
      <c r="E1646" s="305" t="s">
        <v>12562</v>
      </c>
      <c r="F1646" s="309" t="s">
        <v>12563</v>
      </c>
      <c r="G1646" s="236"/>
      <c r="H1646" s="307" t="s">
        <v>1420</v>
      </c>
      <c r="I1646" s="237"/>
      <c r="J1646" s="237"/>
      <c r="K1646" s="310" t="s">
        <v>12561</v>
      </c>
      <c r="L1646" s="237"/>
      <c r="M1646" s="237"/>
      <c r="N1646" s="237"/>
      <c r="O1646" s="237"/>
      <c r="P1646" s="237"/>
      <c r="Q1646" s="237"/>
      <c r="R1646" s="237"/>
      <c r="S1646" s="237"/>
      <c r="T1646" s="237"/>
      <c r="U1646" s="237"/>
      <c r="V1646" s="237"/>
      <c r="W1646" s="237"/>
      <c r="X1646" s="237"/>
      <c r="Y1646" s="237"/>
      <c r="Z1646" s="237"/>
    </row>
    <row r="1647">
      <c r="A1647" s="305">
        <v>1646.0</v>
      </c>
      <c r="B1647" s="236"/>
      <c r="C1647" s="307" t="s">
        <v>1420</v>
      </c>
      <c r="D1647" s="308" t="s">
        <v>1759</v>
      </c>
      <c r="E1647" s="236"/>
      <c r="F1647" s="309" t="s">
        <v>14625</v>
      </c>
      <c r="G1647" s="236"/>
      <c r="H1647" s="307" t="s">
        <v>1420</v>
      </c>
      <c r="I1647" s="237"/>
      <c r="J1647" s="237"/>
      <c r="K1647" s="310" t="s">
        <v>13681</v>
      </c>
      <c r="L1647" s="237"/>
      <c r="M1647" s="237"/>
      <c r="N1647" s="237"/>
      <c r="O1647" s="237"/>
      <c r="P1647" s="237"/>
      <c r="Q1647" s="237"/>
      <c r="R1647" s="237"/>
      <c r="S1647" s="237"/>
      <c r="T1647" s="237"/>
      <c r="U1647" s="237"/>
      <c r="V1647" s="237"/>
      <c r="W1647" s="237"/>
      <c r="X1647" s="237"/>
      <c r="Y1647" s="237"/>
      <c r="Z1647" s="237"/>
    </row>
    <row r="1648">
      <c r="A1648" s="305">
        <v>1647.0</v>
      </c>
      <c r="B1648" s="236"/>
      <c r="C1648" s="307" t="s">
        <v>1420</v>
      </c>
      <c r="D1648" s="308" t="s">
        <v>1750</v>
      </c>
      <c r="E1648" s="305" t="s">
        <v>12565</v>
      </c>
      <c r="F1648" s="309" t="s">
        <v>12566</v>
      </c>
      <c r="G1648" s="236"/>
      <c r="H1648" s="307" t="s">
        <v>1420</v>
      </c>
      <c r="I1648" s="237"/>
      <c r="J1648" s="237"/>
      <c r="K1648" s="310" t="s">
        <v>12564</v>
      </c>
      <c r="L1648" s="237"/>
      <c r="M1648" s="237"/>
      <c r="N1648" s="237"/>
      <c r="O1648" s="237"/>
      <c r="P1648" s="237"/>
      <c r="Q1648" s="237"/>
      <c r="R1648" s="237"/>
      <c r="S1648" s="237"/>
      <c r="T1648" s="237"/>
      <c r="U1648" s="237"/>
      <c r="V1648" s="237"/>
      <c r="W1648" s="237"/>
      <c r="X1648" s="237"/>
      <c r="Y1648" s="237"/>
      <c r="Z1648" s="237"/>
    </row>
    <row r="1649">
      <c r="A1649" s="305">
        <v>1648.0</v>
      </c>
      <c r="B1649" s="236"/>
      <c r="C1649" s="307" t="s">
        <v>1420</v>
      </c>
      <c r="D1649" s="308" t="s">
        <v>1751</v>
      </c>
      <c r="E1649" s="236"/>
      <c r="F1649" s="309" t="s">
        <v>14626</v>
      </c>
      <c r="G1649" s="236"/>
      <c r="H1649" s="307" t="s">
        <v>1420</v>
      </c>
      <c r="I1649" s="237"/>
      <c r="J1649" s="237"/>
      <c r="K1649" s="310" t="s">
        <v>13683</v>
      </c>
      <c r="L1649" s="237"/>
      <c r="M1649" s="237"/>
      <c r="N1649" s="237"/>
      <c r="O1649" s="237"/>
      <c r="P1649" s="237"/>
      <c r="Q1649" s="237"/>
      <c r="R1649" s="237"/>
      <c r="S1649" s="237"/>
      <c r="T1649" s="237"/>
      <c r="U1649" s="237"/>
      <c r="V1649" s="237"/>
      <c r="W1649" s="237"/>
      <c r="X1649" s="237"/>
      <c r="Y1649" s="237"/>
      <c r="Z1649" s="237"/>
    </row>
    <row r="1650">
      <c r="A1650" s="305">
        <v>1649.0</v>
      </c>
      <c r="B1650" s="236"/>
      <c r="C1650" s="307" t="s">
        <v>1420</v>
      </c>
      <c r="D1650" s="308" t="s">
        <v>1746</v>
      </c>
      <c r="E1650" s="236"/>
      <c r="F1650" s="309" t="s">
        <v>14627</v>
      </c>
      <c r="G1650" s="236"/>
      <c r="H1650" s="307" t="s">
        <v>1420</v>
      </c>
      <c r="I1650" s="237"/>
      <c r="J1650" s="237"/>
      <c r="K1650" s="310" t="s">
        <v>13685</v>
      </c>
      <c r="L1650" s="237"/>
      <c r="M1650" s="237"/>
      <c r="N1650" s="237"/>
      <c r="O1650" s="237"/>
      <c r="P1650" s="237"/>
      <c r="Q1650" s="237"/>
      <c r="R1650" s="237"/>
      <c r="S1650" s="237"/>
      <c r="T1650" s="237"/>
      <c r="U1650" s="237"/>
      <c r="V1650" s="237"/>
      <c r="W1650" s="237"/>
      <c r="X1650" s="237"/>
      <c r="Y1650" s="237"/>
      <c r="Z1650" s="237"/>
    </row>
    <row r="1651">
      <c r="A1651" s="305">
        <v>1650.0</v>
      </c>
      <c r="B1651" s="236"/>
      <c r="C1651" s="307" t="s">
        <v>1420</v>
      </c>
      <c r="D1651" s="308" t="s">
        <v>1744</v>
      </c>
      <c r="E1651" s="305" t="s">
        <v>12568</v>
      </c>
      <c r="F1651" s="309" t="s">
        <v>12569</v>
      </c>
      <c r="G1651" s="236"/>
      <c r="H1651" s="307" t="s">
        <v>1420</v>
      </c>
      <c r="I1651" s="237"/>
      <c r="J1651" s="237"/>
      <c r="K1651" s="310" t="s">
        <v>12567</v>
      </c>
      <c r="L1651" s="237"/>
      <c r="M1651" s="237"/>
      <c r="N1651" s="237"/>
      <c r="O1651" s="237"/>
      <c r="P1651" s="237"/>
      <c r="Q1651" s="237"/>
      <c r="R1651" s="237"/>
      <c r="S1651" s="237"/>
      <c r="T1651" s="237"/>
      <c r="U1651" s="237"/>
      <c r="V1651" s="237"/>
      <c r="W1651" s="237"/>
      <c r="X1651" s="237"/>
      <c r="Y1651" s="237"/>
      <c r="Z1651" s="237"/>
    </row>
    <row r="1652">
      <c r="A1652" s="305">
        <v>1651.0</v>
      </c>
      <c r="B1652" s="236"/>
      <c r="C1652" s="307" t="s">
        <v>1420</v>
      </c>
      <c r="D1652" s="308" t="s">
        <v>1745</v>
      </c>
      <c r="E1652" s="305" t="s">
        <v>12571</v>
      </c>
      <c r="F1652" s="309" t="s">
        <v>12572</v>
      </c>
      <c r="G1652" s="236"/>
      <c r="H1652" s="307" t="s">
        <v>1420</v>
      </c>
      <c r="I1652" s="237"/>
      <c r="J1652" s="237"/>
      <c r="K1652" s="310" t="s">
        <v>12570</v>
      </c>
      <c r="L1652" s="237"/>
      <c r="M1652" s="237"/>
      <c r="N1652" s="237"/>
      <c r="O1652" s="237"/>
      <c r="P1652" s="237"/>
      <c r="Q1652" s="237"/>
      <c r="R1652" s="237"/>
      <c r="S1652" s="237"/>
      <c r="T1652" s="237"/>
      <c r="U1652" s="237"/>
      <c r="V1652" s="237"/>
      <c r="W1652" s="237"/>
      <c r="X1652" s="237"/>
      <c r="Y1652" s="237"/>
      <c r="Z1652" s="237"/>
    </row>
    <row r="1653">
      <c r="A1653" s="305">
        <v>1652.0</v>
      </c>
      <c r="B1653" s="236"/>
      <c r="C1653" s="307" t="s">
        <v>1420</v>
      </c>
      <c r="D1653" s="308" t="s">
        <v>1757</v>
      </c>
      <c r="E1653" s="236"/>
      <c r="F1653" s="309" t="s">
        <v>14628</v>
      </c>
      <c r="G1653" s="236"/>
      <c r="H1653" s="307" t="s">
        <v>1420</v>
      </c>
      <c r="I1653" s="237"/>
      <c r="J1653" s="237"/>
      <c r="K1653" s="310" t="s">
        <v>13687</v>
      </c>
      <c r="L1653" s="237"/>
      <c r="M1653" s="237"/>
      <c r="N1653" s="237"/>
      <c r="O1653" s="237"/>
      <c r="P1653" s="237"/>
      <c r="Q1653" s="237"/>
      <c r="R1653" s="237"/>
      <c r="S1653" s="237"/>
      <c r="T1653" s="237"/>
      <c r="U1653" s="237"/>
      <c r="V1653" s="237"/>
      <c r="W1653" s="237"/>
      <c r="X1653" s="237"/>
      <c r="Y1653" s="237"/>
      <c r="Z1653" s="237"/>
    </row>
    <row r="1654">
      <c r="A1654" s="305">
        <v>1653.0</v>
      </c>
      <c r="B1654" s="236"/>
      <c r="C1654" s="307" t="s">
        <v>1420</v>
      </c>
      <c r="D1654" s="308" t="s">
        <v>1756</v>
      </c>
      <c r="E1654" s="305" t="s">
        <v>12574</v>
      </c>
      <c r="F1654" s="309" t="s">
        <v>12575</v>
      </c>
      <c r="G1654" s="236"/>
      <c r="H1654" s="307" t="s">
        <v>1420</v>
      </c>
      <c r="I1654" s="237"/>
      <c r="J1654" s="237"/>
      <c r="K1654" s="310" t="s">
        <v>12573</v>
      </c>
      <c r="L1654" s="237"/>
      <c r="M1654" s="237"/>
      <c r="N1654" s="237"/>
      <c r="O1654" s="237"/>
      <c r="P1654" s="237"/>
      <c r="Q1654" s="237"/>
      <c r="R1654" s="237"/>
      <c r="S1654" s="237"/>
      <c r="T1654" s="237"/>
      <c r="U1654" s="237"/>
      <c r="V1654" s="237"/>
      <c r="W1654" s="237"/>
      <c r="X1654" s="237"/>
      <c r="Y1654" s="237"/>
      <c r="Z1654" s="237"/>
    </row>
    <row r="1655">
      <c r="A1655" s="305">
        <v>1654.0</v>
      </c>
      <c r="B1655" s="236"/>
      <c r="C1655" s="307" t="s">
        <v>1420</v>
      </c>
      <c r="D1655" s="308" t="s">
        <v>1764</v>
      </c>
      <c r="E1655" s="305" t="s">
        <v>12577</v>
      </c>
      <c r="F1655" s="309" t="s">
        <v>12578</v>
      </c>
      <c r="G1655" s="236"/>
      <c r="H1655" s="307" t="s">
        <v>1420</v>
      </c>
      <c r="I1655" s="237"/>
      <c r="J1655" s="237"/>
      <c r="K1655" s="310" t="s">
        <v>12576</v>
      </c>
      <c r="L1655" s="237"/>
      <c r="M1655" s="237"/>
      <c r="N1655" s="237"/>
      <c r="O1655" s="237"/>
      <c r="P1655" s="237"/>
      <c r="Q1655" s="237"/>
      <c r="R1655" s="237"/>
      <c r="S1655" s="237"/>
      <c r="T1655" s="237"/>
      <c r="U1655" s="237"/>
      <c r="V1655" s="237"/>
      <c r="W1655" s="237"/>
      <c r="X1655" s="237"/>
      <c r="Y1655" s="237"/>
      <c r="Z1655" s="237"/>
    </row>
    <row r="1656">
      <c r="A1656" s="305">
        <v>1655.0</v>
      </c>
      <c r="B1656" s="236"/>
      <c r="C1656" s="307" t="s">
        <v>1420</v>
      </c>
      <c r="D1656" s="308" t="s">
        <v>1763</v>
      </c>
      <c r="E1656" s="236"/>
      <c r="F1656" s="309" t="s">
        <v>14629</v>
      </c>
      <c r="G1656" s="236"/>
      <c r="H1656" s="307" t="s">
        <v>1420</v>
      </c>
      <c r="I1656" s="237"/>
      <c r="J1656" s="237"/>
      <c r="K1656" s="310" t="s">
        <v>13689</v>
      </c>
      <c r="L1656" s="237"/>
      <c r="M1656" s="237"/>
      <c r="N1656" s="237"/>
      <c r="O1656" s="237"/>
      <c r="P1656" s="237"/>
      <c r="Q1656" s="237"/>
      <c r="R1656" s="237"/>
      <c r="S1656" s="237"/>
      <c r="T1656" s="237"/>
      <c r="U1656" s="237"/>
      <c r="V1656" s="237"/>
      <c r="W1656" s="237"/>
      <c r="X1656" s="237"/>
      <c r="Y1656" s="237"/>
      <c r="Z1656" s="237"/>
    </row>
    <row r="1657">
      <c r="A1657" s="305">
        <v>1656.0</v>
      </c>
      <c r="B1657" s="236"/>
      <c r="C1657" s="307" t="s">
        <v>1420</v>
      </c>
      <c r="D1657" s="308" t="s">
        <v>1752</v>
      </c>
      <c r="E1657" s="305" t="s">
        <v>12580</v>
      </c>
      <c r="F1657" s="309" t="s">
        <v>12581</v>
      </c>
      <c r="G1657" s="236"/>
      <c r="H1657" s="307" t="s">
        <v>1420</v>
      </c>
      <c r="I1657" s="237"/>
      <c r="J1657" s="237"/>
      <c r="K1657" s="310" t="s">
        <v>12579</v>
      </c>
      <c r="L1657" s="237"/>
      <c r="M1657" s="237"/>
      <c r="N1657" s="237"/>
      <c r="O1657" s="237"/>
      <c r="P1657" s="237"/>
      <c r="Q1657" s="237"/>
      <c r="R1657" s="237"/>
      <c r="S1657" s="237"/>
      <c r="T1657" s="237"/>
      <c r="U1657" s="237"/>
      <c r="V1657" s="237"/>
      <c r="W1657" s="237"/>
      <c r="X1657" s="237"/>
      <c r="Y1657" s="237"/>
      <c r="Z1657" s="237"/>
    </row>
    <row r="1658">
      <c r="A1658" s="305">
        <v>1657.0</v>
      </c>
      <c r="B1658" s="236"/>
      <c r="C1658" s="307" t="s">
        <v>1420</v>
      </c>
      <c r="D1658" s="308" t="s">
        <v>1753</v>
      </c>
      <c r="E1658" s="236"/>
      <c r="F1658" s="309" t="s">
        <v>14630</v>
      </c>
      <c r="G1658" s="236"/>
      <c r="H1658" s="307" t="s">
        <v>1420</v>
      </c>
      <c r="I1658" s="237"/>
      <c r="J1658" s="237"/>
      <c r="K1658" s="310" t="s">
        <v>13691</v>
      </c>
      <c r="L1658" s="237"/>
      <c r="M1658" s="237"/>
      <c r="N1658" s="237"/>
      <c r="O1658" s="237"/>
      <c r="P1658" s="237"/>
      <c r="Q1658" s="237"/>
      <c r="R1658" s="237"/>
      <c r="S1658" s="237"/>
      <c r="T1658" s="237"/>
      <c r="U1658" s="237"/>
      <c r="V1658" s="237"/>
      <c r="W1658" s="237"/>
      <c r="X1658" s="237"/>
      <c r="Y1658" s="237"/>
      <c r="Z1658" s="237"/>
    </row>
    <row r="1659">
      <c r="A1659" s="305">
        <v>1658.0</v>
      </c>
      <c r="B1659" s="236"/>
      <c r="C1659" s="307" t="s">
        <v>1420</v>
      </c>
      <c r="D1659" s="308" t="s">
        <v>1747</v>
      </c>
      <c r="E1659" s="305" t="s">
        <v>12583</v>
      </c>
      <c r="F1659" s="309" t="s">
        <v>14631</v>
      </c>
      <c r="G1659" s="236"/>
      <c r="H1659" s="307" t="s">
        <v>1420</v>
      </c>
      <c r="I1659" s="237"/>
      <c r="J1659" s="237"/>
      <c r="K1659" s="310" t="s">
        <v>12582</v>
      </c>
      <c r="L1659" s="237"/>
      <c r="M1659" s="237"/>
      <c r="N1659" s="237"/>
      <c r="O1659" s="237"/>
      <c r="P1659" s="237"/>
      <c r="Q1659" s="237"/>
      <c r="R1659" s="237"/>
      <c r="S1659" s="237"/>
      <c r="T1659" s="237"/>
      <c r="U1659" s="237"/>
      <c r="V1659" s="237"/>
      <c r="W1659" s="237"/>
      <c r="X1659" s="237"/>
      <c r="Y1659" s="237"/>
      <c r="Z1659" s="237"/>
    </row>
    <row r="1660">
      <c r="A1660" s="305">
        <v>1659.0</v>
      </c>
      <c r="B1660" s="236"/>
      <c r="C1660" s="307" t="s">
        <v>1420</v>
      </c>
      <c r="D1660" s="308" t="s">
        <v>12586</v>
      </c>
      <c r="E1660" s="305" t="s">
        <v>12587</v>
      </c>
      <c r="F1660" s="309" t="s">
        <v>12588</v>
      </c>
      <c r="G1660" s="236"/>
      <c r="H1660" s="307" t="s">
        <v>1420</v>
      </c>
      <c r="I1660" s="237"/>
      <c r="J1660" s="237"/>
      <c r="K1660" s="310" t="s">
        <v>12585</v>
      </c>
      <c r="L1660" s="237"/>
      <c r="M1660" s="237"/>
      <c r="N1660" s="237"/>
      <c r="O1660" s="237"/>
      <c r="P1660" s="237"/>
      <c r="Q1660" s="237"/>
      <c r="R1660" s="237"/>
      <c r="S1660" s="237"/>
      <c r="T1660" s="237"/>
      <c r="U1660" s="237"/>
      <c r="V1660" s="237"/>
      <c r="W1660" s="237"/>
      <c r="X1660" s="237"/>
      <c r="Y1660" s="237"/>
      <c r="Z1660" s="237"/>
    </row>
    <row r="1661">
      <c r="A1661" s="305">
        <v>1660.0</v>
      </c>
      <c r="B1661" s="236"/>
      <c r="C1661" s="307" t="s">
        <v>1420</v>
      </c>
      <c r="D1661" s="308" t="s">
        <v>1749</v>
      </c>
      <c r="E1661" s="236"/>
      <c r="F1661" s="309" t="s">
        <v>14632</v>
      </c>
      <c r="G1661" s="236"/>
      <c r="H1661" s="307" t="s">
        <v>1420</v>
      </c>
      <c r="I1661" s="237"/>
      <c r="J1661" s="237"/>
      <c r="K1661" s="310" t="s">
        <v>13693</v>
      </c>
      <c r="L1661" s="237"/>
      <c r="M1661" s="237"/>
      <c r="N1661" s="237"/>
      <c r="O1661" s="237"/>
      <c r="P1661" s="237"/>
      <c r="Q1661" s="237"/>
      <c r="R1661" s="237"/>
      <c r="S1661" s="237"/>
      <c r="T1661" s="237"/>
      <c r="U1661" s="237"/>
      <c r="V1661" s="237"/>
      <c r="W1661" s="237"/>
      <c r="X1661" s="237"/>
      <c r="Y1661" s="237"/>
      <c r="Z1661" s="237"/>
    </row>
    <row r="1662">
      <c r="A1662" s="305">
        <v>1661.0</v>
      </c>
      <c r="B1662" s="236"/>
      <c r="C1662" s="307" t="s">
        <v>1420</v>
      </c>
      <c r="D1662" s="308" t="s">
        <v>12590</v>
      </c>
      <c r="E1662" s="305" t="s">
        <v>12591</v>
      </c>
      <c r="F1662" s="309" t="s">
        <v>12592</v>
      </c>
      <c r="G1662" s="236"/>
      <c r="H1662" s="307" t="s">
        <v>1420</v>
      </c>
      <c r="I1662" s="237"/>
      <c r="J1662" s="237"/>
      <c r="K1662" s="310" t="s">
        <v>12589</v>
      </c>
      <c r="L1662" s="237"/>
      <c r="M1662" s="237"/>
      <c r="N1662" s="237"/>
      <c r="O1662" s="237"/>
      <c r="P1662" s="237"/>
      <c r="Q1662" s="237"/>
      <c r="R1662" s="237"/>
      <c r="S1662" s="237"/>
      <c r="T1662" s="237"/>
      <c r="U1662" s="237"/>
      <c r="V1662" s="237"/>
      <c r="W1662" s="237"/>
      <c r="X1662" s="237"/>
      <c r="Y1662" s="237"/>
      <c r="Z1662" s="237"/>
    </row>
    <row r="1663">
      <c r="A1663" s="305">
        <v>1662.0</v>
      </c>
      <c r="B1663" s="306" t="s">
        <v>7346</v>
      </c>
      <c r="C1663" s="307" t="s">
        <v>1420</v>
      </c>
      <c r="D1663" s="308" t="s">
        <v>7348</v>
      </c>
      <c r="E1663" s="305" t="s">
        <v>7349</v>
      </c>
      <c r="F1663" s="309" t="s">
        <v>7350</v>
      </c>
      <c r="G1663" s="236"/>
      <c r="H1663" s="307" t="s">
        <v>1420</v>
      </c>
      <c r="I1663" s="237"/>
      <c r="J1663" s="237"/>
      <c r="K1663" s="310" t="s">
        <v>7347</v>
      </c>
      <c r="L1663" s="237"/>
      <c r="M1663" s="237"/>
      <c r="N1663" s="237"/>
      <c r="O1663" s="237"/>
      <c r="P1663" s="237"/>
      <c r="Q1663" s="237"/>
      <c r="R1663" s="237"/>
      <c r="S1663" s="237"/>
      <c r="T1663" s="237"/>
      <c r="U1663" s="237"/>
      <c r="V1663" s="237"/>
      <c r="W1663" s="237"/>
      <c r="X1663" s="237"/>
      <c r="Y1663" s="237"/>
      <c r="Z1663" s="237"/>
    </row>
    <row r="1664">
      <c r="A1664" s="305">
        <v>1663.0</v>
      </c>
      <c r="B1664" s="306" t="s">
        <v>7351</v>
      </c>
      <c r="C1664" s="307" t="s">
        <v>1420</v>
      </c>
      <c r="D1664" s="308" t="s">
        <v>7353</v>
      </c>
      <c r="E1664" s="305" t="s">
        <v>7354</v>
      </c>
      <c r="F1664" s="309" t="s">
        <v>7355</v>
      </c>
      <c r="G1664" s="236"/>
      <c r="H1664" s="307" t="s">
        <v>1420</v>
      </c>
      <c r="I1664" s="237"/>
      <c r="J1664" s="237"/>
      <c r="K1664" s="310" t="s">
        <v>7352</v>
      </c>
      <c r="L1664" s="237"/>
      <c r="M1664" s="237"/>
      <c r="N1664" s="237"/>
      <c r="O1664" s="237"/>
      <c r="P1664" s="237"/>
      <c r="Q1664" s="237"/>
      <c r="R1664" s="237"/>
      <c r="S1664" s="237"/>
      <c r="T1664" s="237"/>
      <c r="U1664" s="237"/>
      <c r="V1664" s="237"/>
      <c r="W1664" s="237"/>
      <c r="X1664" s="237"/>
      <c r="Y1664" s="237"/>
      <c r="Z1664" s="237"/>
    </row>
    <row r="1665">
      <c r="A1665" s="305">
        <v>1664.0</v>
      </c>
      <c r="B1665" s="306">
        <v>424211.0</v>
      </c>
      <c r="C1665" s="307" t="s">
        <v>1420</v>
      </c>
      <c r="D1665" s="308" t="s">
        <v>7358</v>
      </c>
      <c r="E1665" s="305" t="s">
        <v>7359</v>
      </c>
      <c r="F1665" s="309" t="s">
        <v>7360</v>
      </c>
      <c r="G1665" s="236"/>
      <c r="H1665" s="307" t="s">
        <v>1420</v>
      </c>
      <c r="I1665" s="237"/>
      <c r="J1665" s="237"/>
      <c r="K1665" s="310" t="s">
        <v>7357</v>
      </c>
      <c r="L1665" s="237"/>
      <c r="M1665" s="237"/>
      <c r="N1665" s="237"/>
      <c r="O1665" s="237"/>
      <c r="P1665" s="237"/>
      <c r="Q1665" s="237"/>
      <c r="R1665" s="237"/>
      <c r="S1665" s="237"/>
      <c r="T1665" s="237"/>
      <c r="U1665" s="237"/>
      <c r="V1665" s="237"/>
      <c r="W1665" s="237"/>
      <c r="X1665" s="237"/>
      <c r="Y1665" s="237"/>
      <c r="Z1665" s="237"/>
    </row>
    <row r="1666">
      <c r="A1666" s="305">
        <v>1665.0</v>
      </c>
      <c r="B1666" s="306" t="s">
        <v>7371</v>
      </c>
      <c r="C1666" s="307" t="s">
        <v>1420</v>
      </c>
      <c r="D1666" s="308" t="s">
        <v>7373</v>
      </c>
      <c r="E1666" s="305" t="s">
        <v>7374</v>
      </c>
      <c r="F1666" s="309" t="s">
        <v>7375</v>
      </c>
      <c r="G1666" s="236"/>
      <c r="H1666" s="307" t="s">
        <v>1420</v>
      </c>
      <c r="I1666" s="237"/>
      <c r="J1666" s="237"/>
      <c r="K1666" s="310" t="s">
        <v>7372</v>
      </c>
      <c r="L1666" s="237"/>
      <c r="M1666" s="237"/>
      <c r="N1666" s="237"/>
      <c r="O1666" s="237"/>
      <c r="P1666" s="237"/>
      <c r="Q1666" s="237"/>
      <c r="R1666" s="237"/>
      <c r="S1666" s="237"/>
      <c r="T1666" s="237"/>
      <c r="U1666" s="237"/>
      <c r="V1666" s="237"/>
      <c r="W1666" s="237"/>
      <c r="X1666" s="237"/>
      <c r="Y1666" s="237"/>
      <c r="Z1666" s="237"/>
    </row>
    <row r="1667">
      <c r="A1667" s="305">
        <v>1666.0</v>
      </c>
      <c r="B1667" s="306" t="s">
        <v>7366</v>
      </c>
      <c r="C1667" s="307" t="s">
        <v>1420</v>
      </c>
      <c r="D1667" s="308" t="s">
        <v>7368</v>
      </c>
      <c r="E1667" s="305" t="s">
        <v>7369</v>
      </c>
      <c r="F1667" s="309" t="s">
        <v>7370</v>
      </c>
      <c r="G1667" s="236"/>
      <c r="H1667" s="307" t="s">
        <v>1420</v>
      </c>
      <c r="I1667" s="237"/>
      <c r="J1667" s="237"/>
      <c r="K1667" s="310" t="s">
        <v>7367</v>
      </c>
      <c r="L1667" s="237"/>
      <c r="M1667" s="237"/>
      <c r="N1667" s="237"/>
      <c r="O1667" s="237"/>
      <c r="P1667" s="237"/>
      <c r="Q1667" s="237"/>
      <c r="R1667" s="237"/>
      <c r="S1667" s="237"/>
      <c r="T1667" s="237"/>
      <c r="U1667" s="237"/>
      <c r="V1667" s="237"/>
      <c r="W1667" s="237"/>
      <c r="X1667" s="237"/>
      <c r="Y1667" s="237"/>
      <c r="Z1667" s="237"/>
    </row>
    <row r="1668">
      <c r="A1668" s="305">
        <v>1667.0</v>
      </c>
      <c r="B1668" s="306" t="s">
        <v>7361</v>
      </c>
      <c r="C1668" s="307" t="s">
        <v>1420</v>
      </c>
      <c r="D1668" s="308" t="s">
        <v>7363</v>
      </c>
      <c r="E1668" s="305" t="s">
        <v>7364</v>
      </c>
      <c r="F1668" s="309" t="s">
        <v>7365</v>
      </c>
      <c r="G1668" s="236"/>
      <c r="H1668" s="307" t="s">
        <v>1420</v>
      </c>
      <c r="I1668" s="237"/>
      <c r="J1668" s="237"/>
      <c r="K1668" s="310" t="s">
        <v>7362</v>
      </c>
      <c r="L1668" s="237"/>
      <c r="M1668" s="237"/>
      <c r="N1668" s="237"/>
      <c r="O1668" s="237"/>
      <c r="P1668" s="237"/>
      <c r="Q1668" s="237"/>
      <c r="R1668" s="237"/>
      <c r="S1668" s="237"/>
      <c r="T1668" s="237"/>
      <c r="U1668" s="237"/>
      <c r="V1668" s="237"/>
      <c r="W1668" s="237"/>
      <c r="X1668" s="237"/>
      <c r="Y1668" s="237"/>
      <c r="Z1668" s="237"/>
    </row>
    <row r="1669">
      <c r="A1669" s="305">
        <v>1668.0</v>
      </c>
      <c r="B1669" s="306">
        <v>424049.0</v>
      </c>
      <c r="C1669" s="307" t="s">
        <v>1420</v>
      </c>
      <c r="D1669" s="308" t="s">
        <v>6549</v>
      </c>
      <c r="E1669" s="305" t="s">
        <v>6550</v>
      </c>
      <c r="F1669" s="309" t="s">
        <v>6551</v>
      </c>
      <c r="G1669" s="236"/>
      <c r="H1669" s="307" t="s">
        <v>1420</v>
      </c>
      <c r="I1669" s="237"/>
      <c r="J1669" s="237"/>
      <c r="K1669" s="310" t="s">
        <v>6548</v>
      </c>
      <c r="L1669" s="237"/>
      <c r="M1669" s="237"/>
      <c r="N1669" s="237"/>
      <c r="O1669" s="237"/>
      <c r="P1669" s="237"/>
      <c r="Q1669" s="237"/>
      <c r="R1669" s="237"/>
      <c r="S1669" s="237"/>
      <c r="T1669" s="237"/>
      <c r="U1669" s="237"/>
      <c r="V1669" s="237"/>
      <c r="W1669" s="237"/>
      <c r="X1669" s="237"/>
      <c r="Y1669" s="237"/>
      <c r="Z1669" s="237"/>
    </row>
    <row r="1670">
      <c r="A1670" s="305">
        <v>1669.0</v>
      </c>
      <c r="B1670" s="306">
        <v>424046.0</v>
      </c>
      <c r="C1670" s="307" t="s">
        <v>1420</v>
      </c>
      <c r="D1670" s="308" t="s">
        <v>6544</v>
      </c>
      <c r="E1670" s="305" t="s">
        <v>6545</v>
      </c>
      <c r="F1670" s="309" t="s">
        <v>6546</v>
      </c>
      <c r="G1670" s="236"/>
      <c r="H1670" s="307" t="s">
        <v>1420</v>
      </c>
      <c r="I1670" s="237"/>
      <c r="J1670" s="237"/>
      <c r="K1670" s="310" t="s">
        <v>6543</v>
      </c>
      <c r="L1670" s="237"/>
      <c r="M1670" s="237"/>
      <c r="N1670" s="237"/>
      <c r="O1670" s="237"/>
      <c r="P1670" s="237"/>
      <c r="Q1670" s="237"/>
      <c r="R1670" s="237"/>
      <c r="S1670" s="237"/>
      <c r="T1670" s="237"/>
      <c r="U1670" s="237"/>
      <c r="V1670" s="237"/>
      <c r="W1670" s="237"/>
      <c r="X1670" s="237"/>
      <c r="Y1670" s="237"/>
      <c r="Z1670" s="237"/>
    </row>
    <row r="1671">
      <c r="A1671" s="305">
        <v>1670.0</v>
      </c>
      <c r="B1671" s="236"/>
      <c r="C1671" s="307" t="s">
        <v>1420</v>
      </c>
      <c r="D1671" s="308" t="s">
        <v>7246</v>
      </c>
      <c r="E1671" s="305" t="s">
        <v>7247</v>
      </c>
      <c r="F1671" s="309" t="s">
        <v>7248</v>
      </c>
      <c r="G1671" s="236"/>
      <c r="H1671" s="307" t="s">
        <v>1420</v>
      </c>
      <c r="I1671" s="237"/>
      <c r="J1671" s="237"/>
      <c r="K1671" s="310" t="s">
        <v>7245</v>
      </c>
      <c r="L1671" s="237"/>
      <c r="M1671" s="237"/>
      <c r="N1671" s="237"/>
      <c r="O1671" s="237"/>
      <c r="P1671" s="237"/>
      <c r="Q1671" s="237"/>
      <c r="R1671" s="237"/>
      <c r="S1671" s="237"/>
      <c r="T1671" s="237"/>
      <c r="U1671" s="237"/>
      <c r="V1671" s="237"/>
      <c r="W1671" s="237"/>
      <c r="X1671" s="237"/>
      <c r="Y1671" s="237"/>
      <c r="Z1671" s="237"/>
    </row>
    <row r="1672">
      <c r="A1672" s="305">
        <v>1671.0</v>
      </c>
      <c r="B1672" s="306">
        <v>460214.0</v>
      </c>
      <c r="C1672" s="307" t="s">
        <v>1420</v>
      </c>
      <c r="D1672" s="308" t="s">
        <v>7251</v>
      </c>
      <c r="E1672" s="305" t="s">
        <v>7252</v>
      </c>
      <c r="F1672" s="309" t="s">
        <v>7253</v>
      </c>
      <c r="G1672" s="236"/>
      <c r="H1672" s="307" t="s">
        <v>1420</v>
      </c>
      <c r="I1672" s="237"/>
      <c r="J1672" s="237"/>
      <c r="K1672" s="310" t="s">
        <v>7250</v>
      </c>
      <c r="L1672" s="237"/>
      <c r="M1672" s="237"/>
      <c r="N1672" s="237"/>
      <c r="O1672" s="237"/>
      <c r="P1672" s="237"/>
      <c r="Q1672" s="237"/>
      <c r="R1672" s="237"/>
      <c r="S1672" s="237"/>
      <c r="T1672" s="237"/>
      <c r="U1672" s="237"/>
      <c r="V1672" s="237"/>
      <c r="W1672" s="237"/>
      <c r="X1672" s="237"/>
      <c r="Y1672" s="237"/>
      <c r="Z1672" s="237"/>
    </row>
    <row r="1673">
      <c r="A1673" s="305">
        <v>1672.0</v>
      </c>
      <c r="B1673" s="236"/>
      <c r="C1673" s="307" t="s">
        <v>1420</v>
      </c>
      <c r="D1673" s="308" t="s">
        <v>6448</v>
      </c>
      <c r="E1673" s="305" t="s">
        <v>6449</v>
      </c>
      <c r="F1673" s="309" t="s">
        <v>6450</v>
      </c>
      <c r="G1673" s="236"/>
      <c r="H1673" s="307" t="s">
        <v>1420</v>
      </c>
      <c r="I1673" s="237"/>
      <c r="J1673" s="237"/>
      <c r="K1673" s="310" t="s">
        <v>6447</v>
      </c>
      <c r="L1673" s="237"/>
      <c r="M1673" s="237"/>
      <c r="N1673" s="237"/>
      <c r="O1673" s="237"/>
      <c r="P1673" s="237"/>
      <c r="Q1673" s="237"/>
      <c r="R1673" s="237"/>
      <c r="S1673" s="237"/>
      <c r="T1673" s="237"/>
      <c r="U1673" s="237"/>
      <c r="V1673" s="237"/>
      <c r="W1673" s="237"/>
      <c r="X1673" s="237"/>
      <c r="Y1673" s="237"/>
      <c r="Z1673" s="237"/>
    </row>
    <row r="1674">
      <c r="A1674" s="305">
        <v>1673.0</v>
      </c>
      <c r="B1674" s="236"/>
      <c r="C1674" s="307" t="s">
        <v>1420</v>
      </c>
      <c r="D1674" s="308" t="s">
        <v>6444</v>
      </c>
      <c r="E1674" s="305" t="s">
        <v>6445</v>
      </c>
      <c r="F1674" s="309" t="s">
        <v>6446</v>
      </c>
      <c r="G1674" s="236"/>
      <c r="H1674" s="307" t="s">
        <v>1420</v>
      </c>
      <c r="I1674" s="237"/>
      <c r="J1674" s="237"/>
      <c r="K1674" s="310" t="s">
        <v>6443</v>
      </c>
      <c r="L1674" s="237"/>
      <c r="M1674" s="237"/>
      <c r="N1674" s="237"/>
      <c r="O1674" s="237"/>
      <c r="P1674" s="237"/>
      <c r="Q1674" s="237"/>
      <c r="R1674" s="237"/>
      <c r="S1674" s="237"/>
      <c r="T1674" s="237"/>
      <c r="U1674" s="237"/>
      <c r="V1674" s="237"/>
      <c r="W1674" s="237"/>
      <c r="X1674" s="237"/>
      <c r="Y1674" s="237"/>
      <c r="Z1674" s="237"/>
    </row>
    <row r="1675">
      <c r="A1675" s="305">
        <v>1674.0</v>
      </c>
      <c r="B1675" s="306">
        <v>460208.0</v>
      </c>
      <c r="C1675" s="307" t="s">
        <v>1420</v>
      </c>
      <c r="D1675" s="308" t="s">
        <v>6458</v>
      </c>
      <c r="E1675" s="305" t="s">
        <v>6459</v>
      </c>
      <c r="F1675" s="309" t="s">
        <v>6460</v>
      </c>
      <c r="G1675" s="236"/>
      <c r="H1675" s="307" t="s">
        <v>1420</v>
      </c>
      <c r="I1675" s="237"/>
      <c r="J1675" s="237"/>
      <c r="K1675" s="310" t="s">
        <v>6457</v>
      </c>
      <c r="L1675" s="237"/>
      <c r="M1675" s="237"/>
      <c r="N1675" s="237"/>
      <c r="O1675" s="237"/>
      <c r="P1675" s="237"/>
      <c r="Q1675" s="237"/>
      <c r="R1675" s="237"/>
      <c r="S1675" s="237"/>
      <c r="T1675" s="237"/>
      <c r="U1675" s="237"/>
      <c r="V1675" s="237"/>
      <c r="W1675" s="237"/>
      <c r="X1675" s="237"/>
      <c r="Y1675" s="237"/>
      <c r="Z1675" s="237"/>
    </row>
    <row r="1676">
      <c r="A1676" s="305">
        <v>1675.0</v>
      </c>
      <c r="B1676" s="306">
        <v>460207.0</v>
      </c>
      <c r="C1676" s="307" t="s">
        <v>1420</v>
      </c>
      <c r="D1676" s="308" t="s">
        <v>6453</v>
      </c>
      <c r="E1676" s="305" t="s">
        <v>6454</v>
      </c>
      <c r="F1676" s="309" t="s">
        <v>6455</v>
      </c>
      <c r="G1676" s="236"/>
      <c r="H1676" s="307" t="s">
        <v>1420</v>
      </c>
      <c r="I1676" s="237"/>
      <c r="J1676" s="237"/>
      <c r="K1676" s="310" t="s">
        <v>6452</v>
      </c>
      <c r="L1676" s="237"/>
      <c r="M1676" s="237"/>
      <c r="N1676" s="237"/>
      <c r="O1676" s="237"/>
      <c r="P1676" s="237"/>
      <c r="Q1676" s="237"/>
      <c r="R1676" s="237"/>
      <c r="S1676" s="237"/>
      <c r="T1676" s="237"/>
      <c r="U1676" s="237"/>
      <c r="V1676" s="237"/>
      <c r="W1676" s="237"/>
      <c r="X1676" s="237"/>
      <c r="Y1676" s="237"/>
      <c r="Z1676" s="237"/>
    </row>
    <row r="1677">
      <c r="A1677" s="305">
        <v>1676.0</v>
      </c>
      <c r="B1677" s="306">
        <v>460204.0</v>
      </c>
      <c r="C1677" s="307" t="s">
        <v>1420</v>
      </c>
      <c r="D1677" s="308" t="s">
        <v>6468</v>
      </c>
      <c r="E1677" s="305" t="s">
        <v>6469</v>
      </c>
      <c r="F1677" s="309" t="s">
        <v>6470</v>
      </c>
      <c r="G1677" s="236"/>
      <c r="H1677" s="307" t="s">
        <v>1420</v>
      </c>
      <c r="I1677" s="237"/>
      <c r="J1677" s="237"/>
      <c r="K1677" s="310" t="s">
        <v>6467</v>
      </c>
      <c r="L1677" s="237"/>
      <c r="M1677" s="237"/>
      <c r="N1677" s="237"/>
      <c r="O1677" s="237"/>
      <c r="P1677" s="237"/>
      <c r="Q1677" s="237"/>
      <c r="R1677" s="237"/>
      <c r="S1677" s="237"/>
      <c r="T1677" s="237"/>
      <c r="U1677" s="237"/>
      <c r="V1677" s="237"/>
      <c r="W1677" s="237"/>
      <c r="X1677" s="237"/>
      <c r="Y1677" s="237"/>
      <c r="Z1677" s="237"/>
    </row>
    <row r="1678">
      <c r="A1678" s="305">
        <v>1677.0</v>
      </c>
      <c r="B1678" s="306">
        <v>460203.0</v>
      </c>
      <c r="C1678" s="307" t="s">
        <v>1420</v>
      </c>
      <c r="D1678" s="308" t="s">
        <v>6463</v>
      </c>
      <c r="E1678" s="305" t="s">
        <v>6464</v>
      </c>
      <c r="F1678" s="309" t="s">
        <v>6465</v>
      </c>
      <c r="G1678" s="236"/>
      <c r="H1678" s="307" t="s">
        <v>1420</v>
      </c>
      <c r="I1678" s="237"/>
      <c r="J1678" s="237"/>
      <c r="K1678" s="310" t="s">
        <v>6462</v>
      </c>
      <c r="L1678" s="237"/>
      <c r="M1678" s="237"/>
      <c r="N1678" s="237"/>
      <c r="O1678" s="237"/>
      <c r="P1678" s="237"/>
      <c r="Q1678" s="237"/>
      <c r="R1678" s="237"/>
      <c r="S1678" s="237"/>
      <c r="T1678" s="237"/>
      <c r="U1678" s="237"/>
      <c r="V1678" s="237"/>
      <c r="W1678" s="237"/>
      <c r="X1678" s="237"/>
      <c r="Y1678" s="237"/>
      <c r="Z1678" s="237"/>
    </row>
    <row r="1679">
      <c r="A1679" s="305">
        <v>1678.0</v>
      </c>
      <c r="B1679" s="306">
        <v>460221.0</v>
      </c>
      <c r="C1679" s="307" t="s">
        <v>1420</v>
      </c>
      <c r="D1679" s="308" t="s">
        <v>8698</v>
      </c>
      <c r="E1679" s="305" t="s">
        <v>8699</v>
      </c>
      <c r="F1679" s="309" t="s">
        <v>8700</v>
      </c>
      <c r="G1679" s="236"/>
      <c r="H1679" s="307" t="s">
        <v>1420</v>
      </c>
      <c r="I1679" s="237"/>
      <c r="J1679" s="237"/>
      <c r="K1679" s="310" t="s">
        <v>8697</v>
      </c>
      <c r="L1679" s="237"/>
      <c r="M1679" s="237"/>
      <c r="N1679" s="237"/>
      <c r="O1679" s="237"/>
      <c r="P1679" s="237"/>
      <c r="Q1679" s="237"/>
      <c r="R1679" s="237"/>
      <c r="S1679" s="237"/>
      <c r="T1679" s="237"/>
      <c r="U1679" s="237"/>
      <c r="V1679" s="237"/>
      <c r="W1679" s="237"/>
      <c r="X1679" s="237"/>
      <c r="Y1679" s="237"/>
      <c r="Z1679" s="237"/>
    </row>
    <row r="1680">
      <c r="A1680" s="305">
        <v>1679.0</v>
      </c>
      <c r="B1680" s="236"/>
      <c r="C1680" s="307" t="s">
        <v>1420</v>
      </c>
      <c r="D1680" s="308" t="s">
        <v>5607</v>
      </c>
      <c r="E1680" s="305" t="s">
        <v>5608</v>
      </c>
      <c r="F1680" s="309" t="s">
        <v>5609</v>
      </c>
      <c r="G1680" s="236"/>
      <c r="H1680" s="307" t="s">
        <v>1420</v>
      </c>
      <c r="I1680" s="237"/>
      <c r="J1680" s="237"/>
      <c r="K1680" s="310" t="s">
        <v>5606</v>
      </c>
      <c r="L1680" s="237"/>
      <c r="M1680" s="237"/>
      <c r="N1680" s="237"/>
      <c r="O1680" s="237"/>
      <c r="P1680" s="237"/>
      <c r="Q1680" s="237"/>
      <c r="R1680" s="237"/>
      <c r="S1680" s="237"/>
      <c r="T1680" s="237"/>
      <c r="U1680" s="237"/>
      <c r="V1680" s="237"/>
      <c r="W1680" s="237"/>
      <c r="X1680" s="237"/>
      <c r="Y1680" s="237"/>
      <c r="Z1680" s="237"/>
    </row>
    <row r="1681">
      <c r="A1681" s="305">
        <v>1680.0</v>
      </c>
      <c r="B1681" s="236"/>
      <c r="C1681" s="307" t="s">
        <v>1420</v>
      </c>
      <c r="D1681" s="308" t="s">
        <v>5654</v>
      </c>
      <c r="E1681" s="305" t="s">
        <v>5655</v>
      </c>
      <c r="F1681" s="309" t="s">
        <v>5656</v>
      </c>
      <c r="G1681" s="236"/>
      <c r="H1681" s="307" t="s">
        <v>1420</v>
      </c>
      <c r="I1681" s="237"/>
      <c r="J1681" s="237"/>
      <c r="K1681" s="310" t="s">
        <v>5653</v>
      </c>
      <c r="L1681" s="237"/>
      <c r="M1681" s="237"/>
      <c r="N1681" s="237"/>
      <c r="O1681" s="237"/>
      <c r="P1681" s="237"/>
      <c r="Q1681" s="237"/>
      <c r="R1681" s="237"/>
      <c r="S1681" s="237"/>
      <c r="T1681" s="237"/>
      <c r="U1681" s="237"/>
      <c r="V1681" s="237"/>
      <c r="W1681" s="237"/>
      <c r="X1681" s="237"/>
      <c r="Y1681" s="237"/>
      <c r="Z1681" s="237"/>
    </row>
    <row r="1682">
      <c r="A1682" s="305">
        <v>1681.0</v>
      </c>
      <c r="B1682" s="236"/>
      <c r="C1682" s="307" t="s">
        <v>1420</v>
      </c>
      <c r="D1682" s="308" t="s">
        <v>8806</v>
      </c>
      <c r="E1682" s="305" t="s">
        <v>8807</v>
      </c>
      <c r="F1682" s="309" t="s">
        <v>8808</v>
      </c>
      <c r="G1682" s="236"/>
      <c r="H1682" s="307" t="s">
        <v>1420</v>
      </c>
      <c r="I1682" s="237"/>
      <c r="J1682" s="237"/>
      <c r="K1682" s="310" t="s">
        <v>8805</v>
      </c>
      <c r="L1682" s="237"/>
      <c r="M1682" s="237"/>
      <c r="N1682" s="237"/>
      <c r="O1682" s="237"/>
      <c r="P1682" s="237"/>
      <c r="Q1682" s="237"/>
      <c r="R1682" s="237"/>
      <c r="S1682" s="237"/>
      <c r="T1682" s="237"/>
      <c r="U1682" s="237"/>
      <c r="V1682" s="237"/>
      <c r="W1682" s="237"/>
      <c r="X1682" s="237"/>
      <c r="Y1682" s="237"/>
      <c r="Z1682" s="237"/>
    </row>
    <row r="1683">
      <c r="A1683" s="305">
        <v>1682.0</v>
      </c>
      <c r="B1683" s="236"/>
      <c r="C1683" s="307" t="s">
        <v>1420</v>
      </c>
      <c r="D1683" s="308" t="s">
        <v>8810</v>
      </c>
      <c r="E1683" s="305" t="s">
        <v>8811</v>
      </c>
      <c r="F1683" s="309" t="s">
        <v>8812</v>
      </c>
      <c r="G1683" s="236"/>
      <c r="H1683" s="307" t="s">
        <v>1420</v>
      </c>
      <c r="I1683" s="237"/>
      <c r="J1683" s="237"/>
      <c r="K1683" s="310" t="s">
        <v>8809</v>
      </c>
      <c r="L1683" s="237"/>
      <c r="M1683" s="237"/>
      <c r="N1683" s="237"/>
      <c r="O1683" s="237"/>
      <c r="P1683" s="237"/>
      <c r="Q1683" s="237"/>
      <c r="R1683" s="237"/>
      <c r="S1683" s="237"/>
      <c r="T1683" s="237"/>
      <c r="U1683" s="237"/>
      <c r="V1683" s="237"/>
      <c r="W1683" s="237"/>
      <c r="X1683" s="237"/>
      <c r="Y1683" s="237"/>
      <c r="Z1683" s="237"/>
    </row>
    <row r="1684">
      <c r="A1684" s="305">
        <v>1683.0</v>
      </c>
      <c r="B1684" s="236"/>
      <c r="C1684" s="307" t="s">
        <v>1420</v>
      </c>
      <c r="D1684" s="308" t="s">
        <v>8719</v>
      </c>
      <c r="E1684" s="305" t="s">
        <v>8720</v>
      </c>
      <c r="F1684" s="309" t="s">
        <v>8721</v>
      </c>
      <c r="G1684" s="236"/>
      <c r="H1684" s="307" t="s">
        <v>1420</v>
      </c>
      <c r="I1684" s="237"/>
      <c r="J1684" s="237"/>
      <c r="K1684" s="310" t="s">
        <v>8718</v>
      </c>
      <c r="L1684" s="237"/>
      <c r="M1684" s="237"/>
      <c r="N1684" s="237"/>
      <c r="O1684" s="237"/>
      <c r="P1684" s="237"/>
      <c r="Q1684" s="237"/>
      <c r="R1684" s="237"/>
      <c r="S1684" s="237"/>
      <c r="T1684" s="237"/>
      <c r="U1684" s="237"/>
      <c r="V1684" s="237"/>
      <c r="W1684" s="237"/>
      <c r="X1684" s="237"/>
      <c r="Y1684" s="237"/>
      <c r="Z1684" s="237"/>
    </row>
    <row r="1685">
      <c r="A1685" s="305">
        <v>1684.0</v>
      </c>
      <c r="B1685" s="236"/>
      <c r="C1685" s="307" t="s">
        <v>1420</v>
      </c>
      <c r="D1685" s="308" t="s">
        <v>8814</v>
      </c>
      <c r="E1685" s="305" t="s">
        <v>8815</v>
      </c>
      <c r="F1685" s="309" t="s">
        <v>8816</v>
      </c>
      <c r="G1685" s="236"/>
      <c r="H1685" s="307" t="s">
        <v>1420</v>
      </c>
      <c r="I1685" s="237"/>
      <c r="J1685" s="237"/>
      <c r="K1685" s="310" t="s">
        <v>8813</v>
      </c>
      <c r="L1685" s="237"/>
      <c r="M1685" s="237"/>
      <c r="N1685" s="237"/>
      <c r="O1685" s="237"/>
      <c r="P1685" s="237"/>
      <c r="Q1685" s="237"/>
      <c r="R1685" s="237"/>
      <c r="S1685" s="237"/>
      <c r="T1685" s="237"/>
      <c r="U1685" s="237"/>
      <c r="V1685" s="237"/>
      <c r="W1685" s="237"/>
      <c r="X1685" s="237"/>
      <c r="Y1685" s="237"/>
      <c r="Z1685" s="237"/>
    </row>
    <row r="1686">
      <c r="A1686" s="305">
        <v>1685.0</v>
      </c>
      <c r="B1686" s="236"/>
      <c r="C1686" s="307" t="s">
        <v>1420</v>
      </c>
      <c r="D1686" s="308" t="s">
        <v>8818</v>
      </c>
      <c r="E1686" s="305" t="s">
        <v>8819</v>
      </c>
      <c r="F1686" s="309" t="s">
        <v>8820</v>
      </c>
      <c r="G1686" s="236"/>
      <c r="H1686" s="307" t="s">
        <v>1420</v>
      </c>
      <c r="I1686" s="237"/>
      <c r="J1686" s="237"/>
      <c r="K1686" s="310" t="s">
        <v>8817</v>
      </c>
      <c r="L1686" s="237"/>
      <c r="M1686" s="237"/>
      <c r="N1686" s="237"/>
      <c r="O1686" s="237"/>
      <c r="P1686" s="237"/>
      <c r="Q1686" s="237"/>
      <c r="R1686" s="237"/>
      <c r="S1686" s="237"/>
      <c r="T1686" s="237"/>
      <c r="U1686" s="237"/>
      <c r="V1686" s="237"/>
      <c r="W1686" s="237"/>
      <c r="X1686" s="237"/>
      <c r="Y1686" s="237"/>
      <c r="Z1686" s="237"/>
    </row>
    <row r="1687">
      <c r="A1687" s="305">
        <v>1686.0</v>
      </c>
      <c r="B1687" s="236"/>
      <c r="C1687" s="307" t="s">
        <v>1420</v>
      </c>
      <c r="D1687" s="308" t="s">
        <v>8822</v>
      </c>
      <c r="E1687" s="305" t="s">
        <v>8823</v>
      </c>
      <c r="F1687" s="309" t="s">
        <v>8824</v>
      </c>
      <c r="G1687" s="236"/>
      <c r="H1687" s="307" t="s">
        <v>1420</v>
      </c>
      <c r="I1687" s="237"/>
      <c r="J1687" s="237"/>
      <c r="K1687" s="310" t="s">
        <v>8821</v>
      </c>
      <c r="L1687" s="237"/>
      <c r="M1687" s="237"/>
      <c r="N1687" s="237"/>
      <c r="O1687" s="237"/>
      <c r="P1687" s="237"/>
      <c r="Q1687" s="237"/>
      <c r="R1687" s="237"/>
      <c r="S1687" s="237"/>
      <c r="T1687" s="237"/>
      <c r="U1687" s="237"/>
      <c r="V1687" s="237"/>
      <c r="W1687" s="237"/>
      <c r="X1687" s="237"/>
      <c r="Y1687" s="237"/>
      <c r="Z1687" s="237"/>
    </row>
    <row r="1688">
      <c r="A1688" s="305">
        <v>1687.0</v>
      </c>
      <c r="B1688" s="236"/>
      <c r="C1688" s="307" t="s">
        <v>1366</v>
      </c>
      <c r="D1688" s="308" t="s">
        <v>2034</v>
      </c>
      <c r="E1688" s="236"/>
      <c r="F1688" s="236"/>
      <c r="G1688" s="236"/>
      <c r="H1688" s="307" t="s">
        <v>1366</v>
      </c>
      <c r="I1688" s="237"/>
      <c r="J1688" s="237"/>
      <c r="K1688" s="310" t="s">
        <v>14633</v>
      </c>
      <c r="L1688" s="237"/>
      <c r="M1688" s="237"/>
      <c r="N1688" s="237"/>
      <c r="O1688" s="237"/>
      <c r="P1688" s="237"/>
      <c r="Q1688" s="237"/>
      <c r="R1688" s="237"/>
      <c r="S1688" s="237"/>
      <c r="T1688" s="237"/>
      <c r="U1688" s="237"/>
      <c r="V1688" s="237"/>
      <c r="W1688" s="237"/>
      <c r="X1688" s="237"/>
      <c r="Y1688" s="237"/>
      <c r="Z1688" s="237"/>
    </row>
    <row r="1689">
      <c r="A1689" s="305">
        <v>1688.0</v>
      </c>
      <c r="B1689" s="306">
        <v>170550.0</v>
      </c>
      <c r="C1689" s="307" t="s">
        <v>1420</v>
      </c>
      <c r="D1689" s="308" t="s">
        <v>6534</v>
      </c>
      <c r="E1689" s="305" t="s">
        <v>6535</v>
      </c>
      <c r="F1689" s="309" t="s">
        <v>6536</v>
      </c>
      <c r="G1689" s="236"/>
      <c r="H1689" s="307" t="s">
        <v>1420</v>
      </c>
      <c r="I1689" s="237"/>
      <c r="J1689" s="237"/>
      <c r="K1689" s="310" t="s">
        <v>6533</v>
      </c>
      <c r="L1689" s="237"/>
      <c r="M1689" s="237"/>
      <c r="N1689" s="237"/>
      <c r="O1689" s="237"/>
      <c r="P1689" s="237"/>
      <c r="Q1689" s="237"/>
      <c r="R1689" s="237"/>
      <c r="S1689" s="237"/>
      <c r="T1689" s="237"/>
      <c r="U1689" s="237"/>
      <c r="V1689" s="237"/>
      <c r="W1689" s="237"/>
      <c r="X1689" s="237"/>
      <c r="Y1689" s="237"/>
      <c r="Z1689" s="237"/>
    </row>
    <row r="1690">
      <c r="A1690" s="305">
        <v>1689.0</v>
      </c>
      <c r="B1690" s="306">
        <v>170569.0</v>
      </c>
      <c r="C1690" s="307" t="s">
        <v>1420</v>
      </c>
      <c r="D1690" s="308" t="s">
        <v>6539</v>
      </c>
      <c r="E1690" s="305" t="s">
        <v>6540</v>
      </c>
      <c r="F1690" s="309" t="s">
        <v>6541</v>
      </c>
      <c r="G1690" s="236"/>
      <c r="H1690" s="307" t="s">
        <v>1420</v>
      </c>
      <c r="I1690" s="237"/>
      <c r="J1690" s="237"/>
      <c r="K1690" s="310" t="s">
        <v>6538</v>
      </c>
      <c r="L1690" s="237"/>
      <c r="M1690" s="237"/>
      <c r="N1690" s="237"/>
      <c r="O1690" s="237"/>
      <c r="P1690" s="237"/>
      <c r="Q1690" s="237"/>
      <c r="R1690" s="237"/>
      <c r="S1690" s="237"/>
      <c r="T1690" s="237"/>
      <c r="U1690" s="237"/>
      <c r="V1690" s="237"/>
      <c r="W1690" s="237"/>
      <c r="X1690" s="237"/>
      <c r="Y1690" s="237"/>
      <c r="Z1690" s="237"/>
    </row>
    <row r="1691">
      <c r="A1691" s="305">
        <v>1690.0</v>
      </c>
      <c r="B1691" s="306">
        <v>111389.0</v>
      </c>
      <c r="C1691" s="307" t="s">
        <v>1420</v>
      </c>
      <c r="D1691" s="308" t="s">
        <v>6514</v>
      </c>
      <c r="E1691" s="305" t="s">
        <v>6515</v>
      </c>
      <c r="F1691" s="309" t="s">
        <v>6516</v>
      </c>
      <c r="G1691" s="236"/>
      <c r="H1691" s="307" t="s">
        <v>1420</v>
      </c>
      <c r="I1691" s="237"/>
      <c r="J1691" s="237"/>
      <c r="K1691" s="310" t="s">
        <v>6513</v>
      </c>
      <c r="L1691" s="237"/>
      <c r="M1691" s="237"/>
      <c r="N1691" s="237"/>
      <c r="O1691" s="237"/>
      <c r="P1691" s="237"/>
      <c r="Q1691" s="237"/>
      <c r="R1691" s="237"/>
      <c r="S1691" s="237"/>
      <c r="T1691" s="237"/>
      <c r="U1691" s="237"/>
      <c r="V1691" s="237"/>
      <c r="W1691" s="237"/>
      <c r="X1691" s="237"/>
      <c r="Y1691" s="237"/>
      <c r="Z1691" s="237"/>
    </row>
    <row r="1692">
      <c r="A1692" s="305">
        <v>1691.0</v>
      </c>
      <c r="B1692" s="306">
        <v>100290.0</v>
      </c>
      <c r="C1692" s="307" t="s">
        <v>1420</v>
      </c>
      <c r="D1692" s="308" t="s">
        <v>6499</v>
      </c>
      <c r="E1692" s="305" t="s">
        <v>6500</v>
      </c>
      <c r="F1692" s="309" t="s">
        <v>6501</v>
      </c>
      <c r="G1692" s="236"/>
      <c r="H1692" s="307" t="s">
        <v>1420</v>
      </c>
      <c r="I1692" s="237"/>
      <c r="J1692" s="237"/>
      <c r="K1692" s="310" t="s">
        <v>6498</v>
      </c>
      <c r="L1692" s="237"/>
      <c r="M1692" s="237"/>
      <c r="N1692" s="237"/>
      <c r="O1692" s="237"/>
      <c r="P1692" s="237"/>
      <c r="Q1692" s="237"/>
      <c r="R1692" s="237"/>
      <c r="S1692" s="237"/>
      <c r="T1692" s="237"/>
      <c r="U1692" s="237"/>
      <c r="V1692" s="237"/>
      <c r="W1692" s="237"/>
      <c r="X1692" s="237"/>
      <c r="Y1692" s="237"/>
      <c r="Z1692" s="237"/>
    </row>
    <row r="1693">
      <c r="A1693" s="305">
        <v>1692.0</v>
      </c>
      <c r="B1693" s="306">
        <v>100291.0</v>
      </c>
      <c r="C1693" s="307" t="s">
        <v>1420</v>
      </c>
      <c r="D1693" s="308" t="s">
        <v>6504</v>
      </c>
      <c r="E1693" s="305" t="s">
        <v>6505</v>
      </c>
      <c r="F1693" s="309" t="s">
        <v>6506</v>
      </c>
      <c r="G1693" s="236"/>
      <c r="H1693" s="307" t="s">
        <v>1420</v>
      </c>
      <c r="I1693" s="237"/>
      <c r="J1693" s="237"/>
      <c r="K1693" s="310" t="s">
        <v>6503</v>
      </c>
      <c r="L1693" s="237"/>
      <c r="M1693" s="237"/>
      <c r="N1693" s="237"/>
      <c r="O1693" s="237"/>
      <c r="P1693" s="237"/>
      <c r="Q1693" s="237"/>
      <c r="R1693" s="237"/>
      <c r="S1693" s="237"/>
      <c r="T1693" s="237"/>
      <c r="U1693" s="237"/>
      <c r="V1693" s="237"/>
      <c r="W1693" s="237"/>
      <c r="X1693" s="237"/>
      <c r="Y1693" s="237"/>
      <c r="Z1693" s="237"/>
    </row>
    <row r="1694">
      <c r="A1694" s="305">
        <v>1693.0</v>
      </c>
      <c r="B1694" s="306">
        <v>100292.0</v>
      </c>
      <c r="C1694" s="307" t="s">
        <v>1420</v>
      </c>
      <c r="D1694" s="308" t="s">
        <v>6509</v>
      </c>
      <c r="E1694" s="305" t="s">
        <v>6510</v>
      </c>
      <c r="F1694" s="309" t="s">
        <v>6511</v>
      </c>
      <c r="G1694" s="236"/>
      <c r="H1694" s="307" t="s">
        <v>1420</v>
      </c>
      <c r="I1694" s="237"/>
      <c r="J1694" s="237"/>
      <c r="K1694" s="310" t="s">
        <v>6508</v>
      </c>
      <c r="L1694" s="237"/>
      <c r="M1694" s="237"/>
      <c r="N1694" s="237"/>
      <c r="O1694" s="237"/>
      <c r="P1694" s="237"/>
      <c r="Q1694" s="237"/>
      <c r="R1694" s="237"/>
      <c r="S1694" s="237"/>
      <c r="T1694" s="237"/>
      <c r="U1694" s="237"/>
      <c r="V1694" s="237"/>
      <c r="W1694" s="237"/>
      <c r="X1694" s="237"/>
      <c r="Y1694" s="237"/>
      <c r="Z1694" s="237"/>
    </row>
    <row r="1695">
      <c r="A1695" s="305">
        <v>1694.0</v>
      </c>
      <c r="B1695" s="306">
        <v>170548.0</v>
      </c>
      <c r="C1695" s="307" t="s">
        <v>1420</v>
      </c>
      <c r="D1695" s="308" t="s">
        <v>6529</v>
      </c>
      <c r="E1695" s="305" t="s">
        <v>6530</v>
      </c>
      <c r="F1695" s="309" t="s">
        <v>6531</v>
      </c>
      <c r="G1695" s="236"/>
      <c r="H1695" s="307" t="s">
        <v>1420</v>
      </c>
      <c r="I1695" s="237"/>
      <c r="J1695" s="237"/>
      <c r="K1695" s="310" t="s">
        <v>6528</v>
      </c>
      <c r="L1695" s="237"/>
      <c r="M1695" s="237"/>
      <c r="N1695" s="237"/>
      <c r="O1695" s="237"/>
      <c r="P1695" s="237"/>
      <c r="Q1695" s="237"/>
      <c r="R1695" s="237"/>
      <c r="S1695" s="237"/>
      <c r="T1695" s="237"/>
      <c r="U1695" s="237"/>
      <c r="V1695" s="237"/>
      <c r="W1695" s="237"/>
      <c r="X1695" s="237"/>
      <c r="Y1695" s="237"/>
      <c r="Z1695" s="237"/>
    </row>
    <row r="1696">
      <c r="A1696" s="305">
        <v>1695.0</v>
      </c>
      <c r="B1696" s="306">
        <v>111390.0</v>
      </c>
      <c r="C1696" s="307" t="s">
        <v>1420</v>
      </c>
      <c r="D1696" s="308" t="s">
        <v>6519</v>
      </c>
      <c r="E1696" s="305" t="s">
        <v>6520</v>
      </c>
      <c r="F1696" s="309" t="s">
        <v>6521</v>
      </c>
      <c r="G1696" s="236"/>
      <c r="H1696" s="307" t="s">
        <v>1420</v>
      </c>
      <c r="I1696" s="237"/>
      <c r="J1696" s="237"/>
      <c r="K1696" s="310" t="s">
        <v>6518</v>
      </c>
      <c r="L1696" s="237"/>
      <c r="M1696" s="237"/>
      <c r="N1696" s="237"/>
      <c r="O1696" s="237"/>
      <c r="P1696" s="237"/>
      <c r="Q1696" s="237"/>
      <c r="R1696" s="237"/>
      <c r="S1696" s="237"/>
      <c r="T1696" s="237"/>
      <c r="U1696" s="237"/>
      <c r="V1696" s="237"/>
      <c r="W1696" s="237"/>
      <c r="X1696" s="237"/>
      <c r="Y1696" s="237"/>
      <c r="Z1696" s="237"/>
    </row>
    <row r="1697">
      <c r="A1697" s="305">
        <v>1696.0</v>
      </c>
      <c r="B1697" s="306">
        <v>111391.0</v>
      </c>
      <c r="C1697" s="307" t="s">
        <v>1420</v>
      </c>
      <c r="D1697" s="308" t="s">
        <v>6524</v>
      </c>
      <c r="E1697" s="305" t="s">
        <v>6525</v>
      </c>
      <c r="F1697" s="309" t="s">
        <v>6526</v>
      </c>
      <c r="G1697" s="236"/>
      <c r="H1697" s="307" t="s">
        <v>1420</v>
      </c>
      <c r="I1697" s="237"/>
      <c r="J1697" s="237"/>
      <c r="K1697" s="310" t="s">
        <v>6523</v>
      </c>
      <c r="L1697" s="237"/>
      <c r="M1697" s="237"/>
      <c r="N1697" s="237"/>
      <c r="O1697" s="237"/>
      <c r="P1697" s="237"/>
      <c r="Q1697" s="237"/>
      <c r="R1697" s="237"/>
      <c r="S1697" s="237"/>
      <c r="T1697" s="237"/>
      <c r="U1697" s="237"/>
      <c r="V1697" s="237"/>
      <c r="W1697" s="237"/>
      <c r="X1697" s="237"/>
      <c r="Y1697" s="237"/>
      <c r="Z1697" s="237"/>
    </row>
    <row r="1698">
      <c r="A1698" s="305">
        <v>1697.0</v>
      </c>
      <c r="B1698" s="306">
        <v>5.0012956E7</v>
      </c>
      <c r="C1698" s="307" t="s">
        <v>1420</v>
      </c>
      <c r="D1698" s="308" t="s">
        <v>10091</v>
      </c>
      <c r="E1698" s="305" t="s">
        <v>10092</v>
      </c>
      <c r="F1698" s="309" t="s">
        <v>10093</v>
      </c>
      <c r="G1698" s="236"/>
      <c r="H1698" s="307" t="s">
        <v>1420</v>
      </c>
      <c r="I1698" s="237"/>
      <c r="J1698" s="237"/>
      <c r="K1698" s="310" t="s">
        <v>10090</v>
      </c>
      <c r="L1698" s="237"/>
      <c r="M1698" s="237"/>
      <c r="N1698" s="237"/>
      <c r="O1698" s="237"/>
      <c r="P1698" s="237"/>
      <c r="Q1698" s="237"/>
      <c r="R1698" s="237"/>
      <c r="S1698" s="237"/>
      <c r="T1698" s="237"/>
      <c r="U1698" s="237"/>
      <c r="V1698" s="237"/>
      <c r="W1698" s="237"/>
      <c r="X1698" s="237"/>
      <c r="Y1698" s="237"/>
      <c r="Z1698" s="237"/>
    </row>
    <row r="1699">
      <c r="A1699" s="305">
        <v>1698.0</v>
      </c>
      <c r="B1699" s="306">
        <v>17119.0</v>
      </c>
      <c r="C1699" s="307" t="s">
        <v>1420</v>
      </c>
      <c r="D1699" s="308" t="s">
        <v>4004</v>
      </c>
      <c r="E1699" s="305" t="s">
        <v>4005</v>
      </c>
      <c r="F1699" s="309" t="s">
        <v>4006</v>
      </c>
      <c r="G1699" s="236"/>
      <c r="H1699" s="307" t="s">
        <v>1420</v>
      </c>
      <c r="I1699" s="237"/>
      <c r="J1699" s="237"/>
      <c r="K1699" s="310" t="s">
        <v>4003</v>
      </c>
      <c r="L1699" s="237"/>
      <c r="M1699" s="237"/>
      <c r="N1699" s="237"/>
      <c r="O1699" s="237"/>
      <c r="P1699" s="237"/>
      <c r="Q1699" s="237"/>
      <c r="R1699" s="237"/>
      <c r="S1699" s="237"/>
      <c r="T1699" s="237"/>
      <c r="U1699" s="237"/>
      <c r="V1699" s="237"/>
      <c r="W1699" s="237"/>
      <c r="X1699" s="237"/>
      <c r="Y1699" s="237"/>
      <c r="Z1699" s="237"/>
    </row>
    <row r="1700">
      <c r="A1700" s="305">
        <v>1699.0</v>
      </c>
      <c r="B1700" s="306">
        <v>5.0010854E7</v>
      </c>
      <c r="C1700" s="307" t="s">
        <v>1420</v>
      </c>
      <c r="D1700" s="308" t="s">
        <v>6192</v>
      </c>
      <c r="E1700" s="305" t="s">
        <v>6193</v>
      </c>
      <c r="F1700" s="309" t="s">
        <v>6194</v>
      </c>
      <c r="G1700" s="236"/>
      <c r="H1700" s="307" t="s">
        <v>1420</v>
      </c>
      <c r="I1700" s="237"/>
      <c r="J1700" s="237"/>
      <c r="K1700" s="310" t="s">
        <v>6191</v>
      </c>
      <c r="L1700" s="237"/>
      <c r="M1700" s="237"/>
      <c r="N1700" s="237"/>
      <c r="O1700" s="237"/>
      <c r="P1700" s="237"/>
      <c r="Q1700" s="237"/>
      <c r="R1700" s="237"/>
      <c r="S1700" s="237"/>
      <c r="T1700" s="237"/>
      <c r="U1700" s="237"/>
      <c r="V1700" s="237"/>
      <c r="W1700" s="237"/>
      <c r="X1700" s="237"/>
      <c r="Y1700" s="237"/>
      <c r="Z1700" s="237"/>
    </row>
    <row r="1701">
      <c r="A1701" s="305">
        <v>1700.0</v>
      </c>
      <c r="B1701" s="306">
        <v>5.0010854E7</v>
      </c>
      <c r="C1701" s="307" t="s">
        <v>1420</v>
      </c>
      <c r="D1701" s="308" t="s">
        <v>6287</v>
      </c>
      <c r="E1701" s="305" t="s">
        <v>6288</v>
      </c>
      <c r="F1701" s="309" t="s">
        <v>6289</v>
      </c>
      <c r="G1701" s="236"/>
      <c r="H1701" s="307" t="s">
        <v>1420</v>
      </c>
      <c r="I1701" s="237"/>
      <c r="J1701" s="237"/>
      <c r="K1701" s="310" t="s">
        <v>6286</v>
      </c>
      <c r="L1701" s="237"/>
      <c r="M1701" s="237"/>
      <c r="N1701" s="237"/>
      <c r="O1701" s="237"/>
      <c r="P1701" s="237"/>
      <c r="Q1701" s="237"/>
      <c r="R1701" s="237"/>
      <c r="S1701" s="237"/>
      <c r="T1701" s="237"/>
      <c r="U1701" s="237"/>
      <c r="V1701" s="237"/>
      <c r="W1701" s="237"/>
      <c r="X1701" s="237"/>
      <c r="Y1701" s="237"/>
      <c r="Z1701" s="237"/>
    </row>
    <row r="1702">
      <c r="A1702" s="305">
        <v>1701.0</v>
      </c>
      <c r="B1702" s="306">
        <v>5.0010855E7</v>
      </c>
      <c r="C1702" s="307" t="s">
        <v>1420</v>
      </c>
      <c r="D1702" s="308" t="s">
        <v>1417</v>
      </c>
      <c r="E1702" s="305" t="s">
        <v>6197</v>
      </c>
      <c r="F1702" s="309" t="s">
        <v>14634</v>
      </c>
      <c r="G1702" s="236"/>
      <c r="H1702" s="307" t="s">
        <v>1420</v>
      </c>
      <c r="I1702" s="237"/>
      <c r="J1702" s="237"/>
      <c r="K1702" s="310" t="s">
        <v>6196</v>
      </c>
      <c r="L1702" s="237"/>
      <c r="M1702" s="237"/>
      <c r="N1702" s="237"/>
      <c r="O1702" s="237"/>
      <c r="P1702" s="237"/>
      <c r="Q1702" s="237"/>
      <c r="R1702" s="237"/>
      <c r="S1702" s="237"/>
      <c r="T1702" s="237"/>
      <c r="U1702" s="237"/>
      <c r="V1702" s="237"/>
      <c r="W1702" s="237"/>
      <c r="X1702" s="237"/>
      <c r="Y1702" s="237"/>
      <c r="Z1702" s="237"/>
    </row>
    <row r="1703">
      <c r="A1703" s="305">
        <v>1702.0</v>
      </c>
      <c r="B1703" s="306">
        <v>422219.0</v>
      </c>
      <c r="C1703" s="307" t="s">
        <v>1420</v>
      </c>
      <c r="D1703" s="308" t="s">
        <v>3766</v>
      </c>
      <c r="E1703" s="305" t="s">
        <v>3767</v>
      </c>
      <c r="F1703" s="309" t="s">
        <v>3768</v>
      </c>
      <c r="G1703" s="236"/>
      <c r="H1703" s="307" t="s">
        <v>1420</v>
      </c>
      <c r="I1703" s="237"/>
      <c r="J1703" s="237"/>
      <c r="K1703" s="310" t="s">
        <v>3765</v>
      </c>
      <c r="L1703" s="237"/>
      <c r="M1703" s="237"/>
      <c r="N1703" s="237"/>
      <c r="O1703" s="237"/>
      <c r="P1703" s="237"/>
      <c r="Q1703" s="237"/>
      <c r="R1703" s="237"/>
      <c r="S1703" s="237"/>
      <c r="T1703" s="237"/>
      <c r="U1703" s="237"/>
      <c r="V1703" s="237"/>
      <c r="W1703" s="237"/>
      <c r="X1703" s="237"/>
      <c r="Y1703" s="237"/>
      <c r="Z1703" s="237"/>
    </row>
    <row r="1704">
      <c r="A1704" s="305">
        <v>1703.0</v>
      </c>
      <c r="B1704" s="306">
        <v>421880.0</v>
      </c>
      <c r="C1704" s="307" t="s">
        <v>1420</v>
      </c>
      <c r="D1704" s="308" t="s">
        <v>3807</v>
      </c>
      <c r="E1704" s="305" t="s">
        <v>3808</v>
      </c>
      <c r="F1704" s="309" t="s">
        <v>3809</v>
      </c>
      <c r="G1704" s="236"/>
      <c r="H1704" s="307" t="s">
        <v>1420</v>
      </c>
      <c r="I1704" s="237"/>
      <c r="J1704" s="237"/>
      <c r="K1704" s="310" t="s">
        <v>3806</v>
      </c>
      <c r="L1704" s="237"/>
      <c r="M1704" s="237"/>
      <c r="N1704" s="237"/>
      <c r="O1704" s="237"/>
      <c r="P1704" s="237"/>
      <c r="Q1704" s="237"/>
      <c r="R1704" s="237"/>
      <c r="S1704" s="237"/>
      <c r="T1704" s="237"/>
      <c r="U1704" s="237"/>
      <c r="V1704" s="237"/>
      <c r="W1704" s="237"/>
      <c r="X1704" s="237"/>
      <c r="Y1704" s="237"/>
      <c r="Z1704" s="237"/>
    </row>
    <row r="1705">
      <c r="A1705" s="305">
        <v>1704.0</v>
      </c>
      <c r="B1705" s="306">
        <v>421881.0</v>
      </c>
      <c r="C1705" s="307" t="s">
        <v>1420</v>
      </c>
      <c r="D1705" s="308" t="s">
        <v>3812</v>
      </c>
      <c r="E1705" s="305" t="s">
        <v>3813</v>
      </c>
      <c r="F1705" s="309" t="s">
        <v>3814</v>
      </c>
      <c r="G1705" s="236"/>
      <c r="H1705" s="307" t="s">
        <v>1420</v>
      </c>
      <c r="I1705" s="237"/>
      <c r="J1705" s="237"/>
      <c r="K1705" s="310" t="s">
        <v>3811</v>
      </c>
      <c r="L1705" s="237"/>
      <c r="M1705" s="237"/>
      <c r="N1705" s="237"/>
      <c r="O1705" s="237"/>
      <c r="P1705" s="237"/>
      <c r="Q1705" s="237"/>
      <c r="R1705" s="237"/>
      <c r="S1705" s="237"/>
      <c r="T1705" s="237"/>
      <c r="U1705" s="237"/>
      <c r="V1705" s="237"/>
      <c r="W1705" s="237"/>
      <c r="X1705" s="237"/>
      <c r="Y1705" s="237"/>
      <c r="Z1705" s="237"/>
    </row>
    <row r="1706">
      <c r="A1706" s="305">
        <v>1705.0</v>
      </c>
      <c r="B1706" s="236"/>
      <c r="C1706" s="307" t="s">
        <v>1420</v>
      </c>
      <c r="D1706" s="308" t="s">
        <v>8919</v>
      </c>
      <c r="E1706" s="305" t="s">
        <v>8920</v>
      </c>
      <c r="F1706" s="309" t="s">
        <v>8921</v>
      </c>
      <c r="G1706" s="236"/>
      <c r="H1706" s="307" t="s">
        <v>1420</v>
      </c>
      <c r="I1706" s="237"/>
      <c r="J1706" s="237"/>
      <c r="K1706" s="310" t="s">
        <v>8918</v>
      </c>
      <c r="L1706" s="237"/>
      <c r="M1706" s="237"/>
      <c r="N1706" s="237"/>
      <c r="O1706" s="237"/>
      <c r="P1706" s="237"/>
      <c r="Q1706" s="237"/>
      <c r="R1706" s="237"/>
      <c r="S1706" s="237"/>
      <c r="T1706" s="237"/>
      <c r="U1706" s="237"/>
      <c r="V1706" s="237"/>
      <c r="W1706" s="237"/>
      <c r="X1706" s="237"/>
      <c r="Y1706" s="237"/>
      <c r="Z1706" s="237"/>
    </row>
    <row r="1707">
      <c r="A1707" s="305">
        <v>1706.0</v>
      </c>
      <c r="B1707" s="306">
        <v>421905.0</v>
      </c>
      <c r="C1707" s="307" t="s">
        <v>1420</v>
      </c>
      <c r="D1707" s="308" t="s">
        <v>8911</v>
      </c>
      <c r="E1707" s="305" t="s">
        <v>8912</v>
      </c>
      <c r="F1707" s="309" t="s">
        <v>8913</v>
      </c>
      <c r="G1707" s="236"/>
      <c r="H1707" s="307" t="s">
        <v>1420</v>
      </c>
      <c r="I1707" s="237"/>
      <c r="J1707" s="237"/>
      <c r="K1707" s="310" t="s">
        <v>8910</v>
      </c>
      <c r="L1707" s="237"/>
      <c r="M1707" s="237"/>
      <c r="N1707" s="237"/>
      <c r="O1707" s="237"/>
      <c r="P1707" s="237"/>
      <c r="Q1707" s="237"/>
      <c r="R1707" s="237"/>
      <c r="S1707" s="237"/>
      <c r="T1707" s="237"/>
      <c r="U1707" s="237"/>
      <c r="V1707" s="237"/>
      <c r="W1707" s="237"/>
      <c r="X1707" s="237"/>
      <c r="Y1707" s="237"/>
      <c r="Z1707" s="237"/>
    </row>
    <row r="1708">
      <c r="A1708" s="305">
        <v>1707.0</v>
      </c>
      <c r="B1708" s="306">
        <v>421620.0</v>
      </c>
      <c r="C1708" s="307" t="s">
        <v>1420</v>
      </c>
      <c r="D1708" s="308" t="s">
        <v>3771</v>
      </c>
      <c r="E1708" s="305" t="s">
        <v>3772</v>
      </c>
      <c r="F1708" s="309" t="s">
        <v>3773</v>
      </c>
      <c r="G1708" s="236"/>
      <c r="H1708" s="307" t="s">
        <v>1420</v>
      </c>
      <c r="I1708" s="237"/>
      <c r="J1708" s="237"/>
      <c r="K1708" s="310" t="s">
        <v>3770</v>
      </c>
      <c r="L1708" s="237"/>
      <c r="M1708" s="237"/>
      <c r="N1708" s="237"/>
      <c r="O1708" s="237"/>
      <c r="P1708" s="237"/>
      <c r="Q1708" s="237"/>
      <c r="R1708" s="237"/>
      <c r="S1708" s="237"/>
      <c r="T1708" s="237"/>
      <c r="U1708" s="237"/>
      <c r="V1708" s="237"/>
      <c r="W1708" s="237"/>
      <c r="X1708" s="237"/>
      <c r="Y1708" s="237"/>
      <c r="Z1708" s="237"/>
    </row>
    <row r="1709">
      <c r="A1709" s="305">
        <v>1708.0</v>
      </c>
      <c r="B1709" s="306">
        <v>421621.0</v>
      </c>
      <c r="C1709" s="307" t="s">
        <v>1420</v>
      </c>
      <c r="D1709" s="308" t="s">
        <v>3776</v>
      </c>
      <c r="E1709" s="305" t="s">
        <v>3777</v>
      </c>
      <c r="F1709" s="309" t="s">
        <v>3778</v>
      </c>
      <c r="G1709" s="236"/>
      <c r="H1709" s="307" t="s">
        <v>1420</v>
      </c>
      <c r="I1709" s="237"/>
      <c r="J1709" s="237"/>
      <c r="K1709" s="310" t="s">
        <v>3775</v>
      </c>
      <c r="L1709" s="237"/>
      <c r="M1709" s="237"/>
      <c r="N1709" s="237"/>
      <c r="O1709" s="237"/>
      <c r="P1709" s="237"/>
      <c r="Q1709" s="237"/>
      <c r="R1709" s="237"/>
      <c r="S1709" s="237"/>
      <c r="T1709" s="237"/>
      <c r="U1709" s="237"/>
      <c r="V1709" s="237"/>
      <c r="W1709" s="237"/>
      <c r="X1709" s="237"/>
      <c r="Y1709" s="237"/>
      <c r="Z1709" s="237"/>
    </row>
    <row r="1710">
      <c r="A1710" s="305">
        <v>1709.0</v>
      </c>
      <c r="B1710" s="236"/>
      <c r="C1710" s="307" t="s">
        <v>1420</v>
      </c>
      <c r="D1710" s="308" t="s">
        <v>8854</v>
      </c>
      <c r="E1710" s="305" t="s">
        <v>8855</v>
      </c>
      <c r="F1710" s="309" t="s">
        <v>8856</v>
      </c>
      <c r="G1710" s="236"/>
      <c r="H1710" s="307" t="s">
        <v>1420</v>
      </c>
      <c r="I1710" s="237"/>
      <c r="J1710" s="237"/>
      <c r="K1710" s="310" t="s">
        <v>8853</v>
      </c>
      <c r="L1710" s="237"/>
      <c r="M1710" s="237"/>
      <c r="N1710" s="237"/>
      <c r="O1710" s="237"/>
      <c r="P1710" s="237"/>
      <c r="Q1710" s="237"/>
      <c r="R1710" s="237"/>
      <c r="S1710" s="237"/>
      <c r="T1710" s="237"/>
      <c r="U1710" s="237"/>
      <c r="V1710" s="237"/>
      <c r="W1710" s="237"/>
      <c r="X1710" s="237"/>
      <c r="Y1710" s="237"/>
      <c r="Z1710" s="237"/>
    </row>
    <row r="1711">
      <c r="A1711" s="305">
        <v>1710.0</v>
      </c>
      <c r="B1711" s="306">
        <v>421641.0</v>
      </c>
      <c r="C1711" s="307" t="s">
        <v>1420</v>
      </c>
      <c r="D1711" s="308" t="s">
        <v>8859</v>
      </c>
      <c r="E1711" s="305" t="s">
        <v>8860</v>
      </c>
      <c r="F1711" s="309" t="s">
        <v>8861</v>
      </c>
      <c r="G1711" s="236"/>
      <c r="H1711" s="307" t="s">
        <v>1420</v>
      </c>
      <c r="I1711" s="237"/>
      <c r="J1711" s="237"/>
      <c r="K1711" s="310" t="s">
        <v>8858</v>
      </c>
      <c r="L1711" s="237"/>
      <c r="M1711" s="237"/>
      <c r="N1711" s="237"/>
      <c r="O1711" s="237"/>
      <c r="P1711" s="237"/>
      <c r="Q1711" s="237"/>
      <c r="R1711" s="237"/>
      <c r="S1711" s="237"/>
      <c r="T1711" s="237"/>
      <c r="U1711" s="237"/>
      <c r="V1711" s="237"/>
      <c r="W1711" s="237"/>
      <c r="X1711" s="237"/>
      <c r="Y1711" s="237"/>
      <c r="Z1711" s="237"/>
    </row>
    <row r="1712">
      <c r="A1712" s="305">
        <v>1711.0</v>
      </c>
      <c r="B1712" s="236"/>
      <c r="C1712" s="307" t="s">
        <v>1420</v>
      </c>
      <c r="D1712" s="308" t="s">
        <v>8923</v>
      </c>
      <c r="E1712" s="305" t="s">
        <v>8924</v>
      </c>
      <c r="F1712" s="309" t="s">
        <v>8925</v>
      </c>
      <c r="G1712" s="236"/>
      <c r="H1712" s="307" t="s">
        <v>1420</v>
      </c>
      <c r="I1712" s="237"/>
      <c r="J1712" s="237"/>
      <c r="K1712" s="310" t="s">
        <v>8922</v>
      </c>
      <c r="L1712" s="237"/>
      <c r="M1712" s="237"/>
      <c r="N1712" s="237"/>
      <c r="O1712" s="237"/>
      <c r="P1712" s="237"/>
      <c r="Q1712" s="237"/>
      <c r="R1712" s="237"/>
      <c r="S1712" s="237"/>
      <c r="T1712" s="237"/>
      <c r="U1712" s="237"/>
      <c r="V1712" s="237"/>
      <c r="W1712" s="237"/>
      <c r="X1712" s="237"/>
      <c r="Y1712" s="237"/>
      <c r="Z1712" s="237"/>
    </row>
    <row r="1713">
      <c r="A1713" s="305">
        <v>1712.0</v>
      </c>
      <c r="B1713" s="236"/>
      <c r="C1713" s="307" t="s">
        <v>1420</v>
      </c>
      <c r="D1713" s="308" t="s">
        <v>8915</v>
      </c>
      <c r="E1713" s="305" t="s">
        <v>8916</v>
      </c>
      <c r="F1713" s="309" t="s">
        <v>8917</v>
      </c>
      <c r="G1713" s="236"/>
      <c r="H1713" s="307" t="s">
        <v>1420</v>
      </c>
      <c r="I1713" s="237"/>
      <c r="J1713" s="237"/>
      <c r="K1713" s="310" t="s">
        <v>8914</v>
      </c>
      <c r="L1713" s="237"/>
      <c r="M1713" s="237"/>
      <c r="N1713" s="237"/>
      <c r="O1713" s="237"/>
      <c r="P1713" s="237"/>
      <c r="Q1713" s="237"/>
      <c r="R1713" s="237"/>
      <c r="S1713" s="237"/>
      <c r="T1713" s="237"/>
      <c r="U1713" s="237"/>
      <c r="V1713" s="237"/>
      <c r="W1713" s="237"/>
      <c r="X1713" s="237"/>
      <c r="Y1713" s="237"/>
      <c r="Z1713" s="237"/>
    </row>
    <row r="1714">
      <c r="A1714" s="305">
        <v>1713.0</v>
      </c>
      <c r="B1714" s="306">
        <v>421040.0</v>
      </c>
      <c r="C1714" s="307" t="s">
        <v>1420</v>
      </c>
      <c r="D1714" s="308" t="s">
        <v>2296</v>
      </c>
      <c r="E1714" s="305" t="s">
        <v>3793</v>
      </c>
      <c r="F1714" s="309" t="s">
        <v>3794</v>
      </c>
      <c r="G1714" s="236"/>
      <c r="H1714" s="307" t="s">
        <v>1420</v>
      </c>
      <c r="I1714" s="237"/>
      <c r="J1714" s="237"/>
      <c r="K1714" s="310" t="s">
        <v>3792</v>
      </c>
      <c r="L1714" s="237"/>
      <c r="M1714" s="237"/>
      <c r="N1714" s="237"/>
      <c r="O1714" s="237"/>
      <c r="P1714" s="237"/>
      <c r="Q1714" s="237"/>
      <c r="R1714" s="237"/>
      <c r="S1714" s="237"/>
      <c r="T1714" s="237"/>
      <c r="U1714" s="237"/>
      <c r="V1714" s="237"/>
      <c r="W1714" s="237"/>
      <c r="X1714" s="237"/>
      <c r="Y1714" s="237"/>
      <c r="Z1714" s="237"/>
    </row>
    <row r="1715">
      <c r="A1715" s="305">
        <v>1714.0</v>
      </c>
      <c r="B1715" s="306">
        <v>421041.0</v>
      </c>
      <c r="C1715" s="307" t="s">
        <v>1420</v>
      </c>
      <c r="D1715" s="308" t="s">
        <v>2297</v>
      </c>
      <c r="E1715" s="305" t="s">
        <v>3827</v>
      </c>
      <c r="F1715" s="309" t="s">
        <v>3828</v>
      </c>
      <c r="G1715" s="236"/>
      <c r="H1715" s="307" t="s">
        <v>1420</v>
      </c>
      <c r="I1715" s="237"/>
      <c r="J1715" s="237"/>
      <c r="K1715" s="310" t="s">
        <v>3826</v>
      </c>
      <c r="L1715" s="237"/>
      <c r="M1715" s="237"/>
      <c r="N1715" s="237"/>
      <c r="O1715" s="237"/>
      <c r="P1715" s="237"/>
      <c r="Q1715" s="237"/>
      <c r="R1715" s="237"/>
      <c r="S1715" s="237"/>
      <c r="T1715" s="237"/>
      <c r="U1715" s="237"/>
      <c r="V1715" s="237"/>
      <c r="W1715" s="237"/>
      <c r="X1715" s="237"/>
      <c r="Y1715" s="237"/>
      <c r="Z1715" s="237"/>
    </row>
    <row r="1716">
      <c r="A1716" s="305">
        <v>1715.0</v>
      </c>
      <c r="B1716" s="306">
        <v>421239.0</v>
      </c>
      <c r="C1716" s="307" t="s">
        <v>1420</v>
      </c>
      <c r="D1716" s="308" t="s">
        <v>3831</v>
      </c>
      <c r="E1716" s="305" t="s">
        <v>3832</v>
      </c>
      <c r="F1716" s="309" t="s">
        <v>3833</v>
      </c>
      <c r="G1716" s="236"/>
      <c r="H1716" s="307" t="s">
        <v>1420</v>
      </c>
      <c r="I1716" s="237"/>
      <c r="J1716" s="237"/>
      <c r="K1716" s="310" t="s">
        <v>3830</v>
      </c>
      <c r="L1716" s="237"/>
      <c r="M1716" s="237"/>
      <c r="N1716" s="237"/>
      <c r="O1716" s="237"/>
      <c r="P1716" s="237"/>
      <c r="Q1716" s="237"/>
      <c r="R1716" s="237"/>
      <c r="S1716" s="237"/>
      <c r="T1716" s="237"/>
      <c r="U1716" s="237"/>
      <c r="V1716" s="237"/>
      <c r="W1716" s="237"/>
      <c r="X1716" s="237"/>
      <c r="Y1716" s="237"/>
      <c r="Z1716" s="237"/>
    </row>
    <row r="1717">
      <c r="A1717" s="305">
        <v>1716.0</v>
      </c>
      <c r="B1717" s="306">
        <v>422223.0</v>
      </c>
      <c r="C1717" s="307" t="s">
        <v>1420</v>
      </c>
      <c r="D1717" s="308" t="s">
        <v>7261</v>
      </c>
      <c r="E1717" s="305" t="s">
        <v>7262</v>
      </c>
      <c r="F1717" s="309" t="s">
        <v>7263</v>
      </c>
      <c r="G1717" s="236"/>
      <c r="H1717" s="307" t="s">
        <v>1420</v>
      </c>
      <c r="I1717" s="237"/>
      <c r="J1717" s="237"/>
      <c r="K1717" s="310" t="s">
        <v>7260</v>
      </c>
      <c r="L1717" s="237"/>
      <c r="M1717" s="237"/>
      <c r="N1717" s="237"/>
      <c r="O1717" s="237"/>
      <c r="P1717" s="237"/>
      <c r="Q1717" s="237"/>
      <c r="R1717" s="237"/>
      <c r="S1717" s="237"/>
      <c r="T1717" s="237"/>
      <c r="U1717" s="237"/>
      <c r="V1717" s="237"/>
      <c r="W1717" s="237"/>
      <c r="X1717" s="237"/>
      <c r="Y1717" s="237"/>
      <c r="Z1717" s="237"/>
    </row>
    <row r="1718">
      <c r="A1718" s="305">
        <v>1717.0</v>
      </c>
      <c r="B1718" s="306">
        <v>422220.0</v>
      </c>
      <c r="C1718" s="307" t="s">
        <v>1420</v>
      </c>
      <c r="D1718" s="308" t="s">
        <v>7256</v>
      </c>
      <c r="E1718" s="305" t="s">
        <v>7257</v>
      </c>
      <c r="F1718" s="309" t="s">
        <v>7258</v>
      </c>
      <c r="G1718" s="236"/>
      <c r="H1718" s="307" t="s">
        <v>1420</v>
      </c>
      <c r="I1718" s="237"/>
      <c r="J1718" s="237"/>
      <c r="K1718" s="310" t="s">
        <v>7255</v>
      </c>
      <c r="L1718" s="237"/>
      <c r="M1718" s="237"/>
      <c r="N1718" s="237"/>
      <c r="O1718" s="237"/>
      <c r="P1718" s="237"/>
      <c r="Q1718" s="237"/>
      <c r="R1718" s="237"/>
      <c r="S1718" s="237"/>
      <c r="T1718" s="237"/>
      <c r="U1718" s="237"/>
      <c r="V1718" s="237"/>
      <c r="W1718" s="237"/>
      <c r="X1718" s="237"/>
      <c r="Y1718" s="237"/>
      <c r="Z1718" s="237"/>
    </row>
    <row r="1719">
      <c r="A1719" s="305">
        <v>1718.0</v>
      </c>
      <c r="B1719" s="236"/>
      <c r="C1719" s="307" t="s">
        <v>1420</v>
      </c>
      <c r="D1719" s="308" t="s">
        <v>3600</v>
      </c>
      <c r="E1719" s="305" t="s">
        <v>3601</v>
      </c>
      <c r="F1719" s="309" t="s">
        <v>4037</v>
      </c>
      <c r="G1719" s="236"/>
      <c r="H1719" s="307" t="s">
        <v>1420</v>
      </c>
      <c r="I1719" s="237"/>
      <c r="J1719" s="237"/>
      <c r="K1719" s="310" t="s">
        <v>4036</v>
      </c>
      <c r="L1719" s="237"/>
      <c r="M1719" s="237"/>
      <c r="N1719" s="237"/>
      <c r="O1719" s="237"/>
      <c r="P1719" s="237"/>
      <c r="Q1719" s="237"/>
      <c r="R1719" s="237"/>
      <c r="S1719" s="237"/>
      <c r="T1719" s="237"/>
      <c r="U1719" s="237"/>
      <c r="V1719" s="237"/>
      <c r="W1719" s="237"/>
      <c r="X1719" s="237"/>
      <c r="Y1719" s="237"/>
      <c r="Z1719" s="237"/>
    </row>
    <row r="1720">
      <c r="A1720" s="305">
        <v>1719.0</v>
      </c>
      <c r="B1720" s="236"/>
      <c r="C1720" s="307" t="s">
        <v>1420</v>
      </c>
      <c r="D1720" s="308" t="s">
        <v>3603</v>
      </c>
      <c r="E1720" s="305" t="s">
        <v>3604</v>
      </c>
      <c r="F1720" s="309" t="s">
        <v>4039</v>
      </c>
      <c r="G1720" s="236"/>
      <c r="H1720" s="307" t="s">
        <v>1420</v>
      </c>
      <c r="I1720" s="237"/>
      <c r="J1720" s="237"/>
      <c r="K1720" s="310" t="s">
        <v>4038</v>
      </c>
      <c r="L1720" s="237"/>
      <c r="M1720" s="237"/>
      <c r="N1720" s="237"/>
      <c r="O1720" s="237"/>
      <c r="P1720" s="237"/>
      <c r="Q1720" s="237"/>
      <c r="R1720" s="237"/>
      <c r="S1720" s="237"/>
      <c r="T1720" s="237"/>
      <c r="U1720" s="237"/>
      <c r="V1720" s="237"/>
      <c r="W1720" s="237"/>
      <c r="X1720" s="237"/>
      <c r="Y1720" s="237"/>
      <c r="Z1720" s="237"/>
    </row>
    <row r="1721">
      <c r="A1721" s="305">
        <v>1720.0</v>
      </c>
      <c r="B1721" s="306">
        <v>422207.0</v>
      </c>
      <c r="C1721" s="307" t="s">
        <v>1420</v>
      </c>
      <c r="D1721" s="308" t="s">
        <v>7274</v>
      </c>
      <c r="E1721" s="305" t="s">
        <v>7275</v>
      </c>
      <c r="F1721" s="309" t="s">
        <v>7276</v>
      </c>
      <c r="G1721" s="236"/>
      <c r="H1721" s="307" t="s">
        <v>1420</v>
      </c>
      <c r="I1721" s="237"/>
      <c r="J1721" s="237"/>
      <c r="K1721" s="310" t="s">
        <v>7273</v>
      </c>
      <c r="L1721" s="237"/>
      <c r="M1721" s="237"/>
      <c r="N1721" s="237"/>
      <c r="O1721" s="237"/>
      <c r="P1721" s="237"/>
      <c r="Q1721" s="237"/>
      <c r="R1721" s="237"/>
      <c r="S1721" s="237"/>
      <c r="T1721" s="237"/>
      <c r="U1721" s="237"/>
      <c r="V1721" s="237"/>
      <c r="W1721" s="237"/>
      <c r="X1721" s="237"/>
      <c r="Y1721" s="237"/>
      <c r="Z1721" s="237"/>
    </row>
    <row r="1722">
      <c r="A1722" s="305">
        <v>1721.0</v>
      </c>
      <c r="B1722" s="306">
        <v>422201.0</v>
      </c>
      <c r="C1722" s="307" t="s">
        <v>1420</v>
      </c>
      <c r="D1722" s="308" t="s">
        <v>7266</v>
      </c>
      <c r="E1722" s="305" t="s">
        <v>7267</v>
      </c>
      <c r="F1722" s="309" t="s">
        <v>7268</v>
      </c>
      <c r="G1722" s="236"/>
      <c r="H1722" s="307" t="s">
        <v>1420</v>
      </c>
      <c r="I1722" s="237"/>
      <c r="J1722" s="237"/>
      <c r="K1722" s="310" t="s">
        <v>7265</v>
      </c>
      <c r="L1722" s="237"/>
      <c r="M1722" s="237"/>
      <c r="N1722" s="237"/>
      <c r="O1722" s="237"/>
      <c r="P1722" s="237"/>
      <c r="Q1722" s="237"/>
      <c r="R1722" s="237"/>
      <c r="S1722" s="237"/>
      <c r="T1722" s="237"/>
      <c r="U1722" s="237"/>
      <c r="V1722" s="237"/>
      <c r="W1722" s="237"/>
      <c r="X1722" s="237"/>
      <c r="Y1722" s="237"/>
      <c r="Z1722" s="237"/>
    </row>
    <row r="1723">
      <c r="A1723" s="305">
        <v>1722.0</v>
      </c>
      <c r="B1723" s="306">
        <v>422208.0</v>
      </c>
      <c r="C1723" s="307" t="s">
        <v>1420</v>
      </c>
      <c r="D1723" s="308" t="s">
        <v>3607</v>
      </c>
      <c r="E1723" s="305" t="s">
        <v>3608</v>
      </c>
      <c r="F1723" s="309" t="s">
        <v>4035</v>
      </c>
      <c r="G1723" s="236"/>
      <c r="H1723" s="307" t="s">
        <v>1420</v>
      </c>
      <c r="I1723" s="237"/>
      <c r="J1723" s="237"/>
      <c r="K1723" s="310" t="s">
        <v>4034</v>
      </c>
      <c r="L1723" s="237"/>
      <c r="M1723" s="237"/>
      <c r="N1723" s="237"/>
      <c r="O1723" s="237"/>
      <c r="P1723" s="237"/>
      <c r="Q1723" s="237"/>
      <c r="R1723" s="237"/>
      <c r="S1723" s="237"/>
      <c r="T1723" s="237"/>
      <c r="U1723" s="237"/>
      <c r="V1723" s="237"/>
      <c r="W1723" s="237"/>
      <c r="X1723" s="237"/>
      <c r="Y1723" s="237"/>
      <c r="Z1723" s="237"/>
    </row>
    <row r="1724">
      <c r="A1724" s="305">
        <v>1723.0</v>
      </c>
      <c r="B1724" s="306">
        <v>422211.0</v>
      </c>
      <c r="C1724" s="307" t="s">
        <v>1420</v>
      </c>
      <c r="D1724" s="308" t="s">
        <v>3611</v>
      </c>
      <c r="E1724" s="305" t="s">
        <v>3612</v>
      </c>
      <c r="F1724" s="309" t="s">
        <v>3613</v>
      </c>
      <c r="G1724" s="236"/>
      <c r="H1724" s="307" t="s">
        <v>1420</v>
      </c>
      <c r="I1724" s="237"/>
      <c r="J1724" s="237"/>
      <c r="K1724" s="310" t="s">
        <v>3610</v>
      </c>
      <c r="L1724" s="237"/>
      <c r="M1724" s="237"/>
      <c r="N1724" s="237"/>
      <c r="O1724" s="237"/>
      <c r="P1724" s="237"/>
      <c r="Q1724" s="237"/>
      <c r="R1724" s="237"/>
      <c r="S1724" s="237"/>
      <c r="T1724" s="237"/>
      <c r="U1724" s="237"/>
      <c r="V1724" s="237"/>
      <c r="W1724" s="237"/>
      <c r="X1724" s="237"/>
      <c r="Y1724" s="237"/>
      <c r="Z1724" s="237"/>
    </row>
    <row r="1725">
      <c r="A1725" s="305">
        <v>1724.0</v>
      </c>
      <c r="B1725" s="306">
        <v>422225.0</v>
      </c>
      <c r="C1725" s="307" t="s">
        <v>1420</v>
      </c>
      <c r="D1725" s="308" t="s">
        <v>3980</v>
      </c>
      <c r="E1725" s="305" t="s">
        <v>3981</v>
      </c>
      <c r="F1725" s="309" t="s">
        <v>3982</v>
      </c>
      <c r="G1725" s="236"/>
      <c r="H1725" s="307" t="s">
        <v>1420</v>
      </c>
      <c r="I1725" s="237"/>
      <c r="J1725" s="237"/>
      <c r="K1725" s="310" t="s">
        <v>3979</v>
      </c>
      <c r="L1725" s="237"/>
      <c r="M1725" s="237"/>
      <c r="N1725" s="237"/>
      <c r="O1725" s="237"/>
      <c r="P1725" s="237"/>
      <c r="Q1725" s="237"/>
      <c r="R1725" s="237"/>
      <c r="S1725" s="237"/>
      <c r="T1725" s="237"/>
      <c r="U1725" s="237"/>
      <c r="V1725" s="237"/>
      <c r="W1725" s="237"/>
      <c r="X1725" s="237"/>
      <c r="Y1725" s="237"/>
      <c r="Z1725" s="237"/>
    </row>
    <row r="1726">
      <c r="A1726" s="305">
        <v>1725.0</v>
      </c>
      <c r="B1726" s="306">
        <v>422228.0</v>
      </c>
      <c r="C1726" s="307" t="s">
        <v>1420</v>
      </c>
      <c r="D1726" s="308" t="s">
        <v>3989</v>
      </c>
      <c r="E1726" s="305" t="s">
        <v>3990</v>
      </c>
      <c r="F1726" s="309" t="s">
        <v>3991</v>
      </c>
      <c r="G1726" s="236"/>
      <c r="H1726" s="307" t="s">
        <v>1420</v>
      </c>
      <c r="I1726" s="237"/>
      <c r="J1726" s="237"/>
      <c r="K1726" s="310" t="s">
        <v>3988</v>
      </c>
      <c r="L1726" s="237"/>
      <c r="M1726" s="237"/>
      <c r="N1726" s="237"/>
      <c r="O1726" s="237"/>
      <c r="P1726" s="237"/>
      <c r="Q1726" s="237"/>
      <c r="R1726" s="237"/>
      <c r="S1726" s="237"/>
      <c r="T1726" s="237"/>
      <c r="U1726" s="237"/>
      <c r="V1726" s="237"/>
      <c r="W1726" s="237"/>
      <c r="X1726" s="237"/>
      <c r="Y1726" s="237"/>
      <c r="Z1726" s="237"/>
    </row>
    <row r="1727">
      <c r="A1727" s="305">
        <v>1726.0</v>
      </c>
      <c r="B1727" s="306">
        <v>422212.0</v>
      </c>
      <c r="C1727" s="307" t="s">
        <v>1420</v>
      </c>
      <c r="D1727" s="308" t="s">
        <v>2306</v>
      </c>
      <c r="E1727" s="305" t="s">
        <v>3616</v>
      </c>
      <c r="F1727" s="309" t="s">
        <v>4033</v>
      </c>
      <c r="G1727" s="236"/>
      <c r="H1727" s="307" t="s">
        <v>1420</v>
      </c>
      <c r="I1727" s="237"/>
      <c r="J1727" s="237"/>
      <c r="K1727" s="310" t="s">
        <v>4032</v>
      </c>
      <c r="L1727" s="237"/>
      <c r="M1727" s="237"/>
      <c r="N1727" s="237"/>
      <c r="O1727" s="237"/>
      <c r="P1727" s="237"/>
      <c r="Q1727" s="237"/>
      <c r="R1727" s="237"/>
      <c r="S1727" s="237"/>
      <c r="T1727" s="237"/>
      <c r="U1727" s="237"/>
      <c r="V1727" s="237"/>
      <c r="W1727" s="237"/>
      <c r="X1727" s="237"/>
      <c r="Y1727" s="237"/>
      <c r="Z1727" s="237"/>
    </row>
    <row r="1728">
      <c r="A1728" s="305">
        <v>1727.0</v>
      </c>
      <c r="B1728" s="306">
        <v>451343.0</v>
      </c>
      <c r="C1728" s="307" t="s">
        <v>1420</v>
      </c>
      <c r="D1728" s="308" t="s">
        <v>6393</v>
      </c>
      <c r="E1728" s="305" t="s">
        <v>6394</v>
      </c>
      <c r="F1728" s="309" t="s">
        <v>6472</v>
      </c>
      <c r="G1728" s="236"/>
      <c r="H1728" s="307" t="s">
        <v>1420</v>
      </c>
      <c r="I1728" s="237"/>
      <c r="J1728" s="237"/>
      <c r="K1728" s="310" t="s">
        <v>6471</v>
      </c>
      <c r="L1728" s="237"/>
      <c r="M1728" s="237"/>
      <c r="N1728" s="237"/>
      <c r="O1728" s="237"/>
      <c r="P1728" s="237"/>
      <c r="Q1728" s="237"/>
      <c r="R1728" s="237"/>
      <c r="S1728" s="237"/>
      <c r="T1728" s="237"/>
      <c r="U1728" s="237"/>
      <c r="V1728" s="237"/>
      <c r="W1728" s="237"/>
      <c r="X1728" s="237"/>
      <c r="Y1728" s="237"/>
      <c r="Z1728" s="237"/>
    </row>
    <row r="1729">
      <c r="A1729" s="305">
        <v>1728.0</v>
      </c>
      <c r="B1729" s="306">
        <v>451321.0</v>
      </c>
      <c r="C1729" s="307" t="s">
        <v>1420</v>
      </c>
      <c r="D1729" s="308" t="s">
        <v>6401</v>
      </c>
      <c r="E1729" s="305" t="s">
        <v>6402</v>
      </c>
      <c r="F1729" s="309" t="s">
        <v>6476</v>
      </c>
      <c r="G1729" s="236"/>
      <c r="H1729" s="307" t="s">
        <v>1420</v>
      </c>
      <c r="I1729" s="237"/>
      <c r="J1729" s="237"/>
      <c r="K1729" s="310" t="s">
        <v>6475</v>
      </c>
      <c r="L1729" s="237"/>
      <c r="M1729" s="237"/>
      <c r="N1729" s="237"/>
      <c r="O1729" s="237"/>
      <c r="P1729" s="237"/>
      <c r="Q1729" s="237"/>
      <c r="R1729" s="237"/>
      <c r="S1729" s="237"/>
      <c r="T1729" s="237"/>
      <c r="U1729" s="237"/>
      <c r="V1729" s="237"/>
      <c r="W1729" s="237"/>
      <c r="X1729" s="237"/>
      <c r="Y1729" s="237"/>
      <c r="Z1729" s="237"/>
    </row>
    <row r="1730">
      <c r="A1730" s="305">
        <v>1729.0</v>
      </c>
      <c r="B1730" s="306">
        <v>451330.0</v>
      </c>
      <c r="C1730" s="307" t="s">
        <v>1420</v>
      </c>
      <c r="D1730" s="308" t="s">
        <v>6397</v>
      </c>
      <c r="E1730" s="305" t="s">
        <v>6398</v>
      </c>
      <c r="F1730" s="309" t="s">
        <v>6474</v>
      </c>
      <c r="G1730" s="236"/>
      <c r="H1730" s="307" t="s">
        <v>1420</v>
      </c>
      <c r="I1730" s="237"/>
      <c r="J1730" s="237"/>
      <c r="K1730" s="310" t="s">
        <v>6473</v>
      </c>
      <c r="L1730" s="237"/>
      <c r="M1730" s="237"/>
      <c r="N1730" s="237"/>
      <c r="O1730" s="237"/>
      <c r="P1730" s="237"/>
      <c r="Q1730" s="237"/>
      <c r="R1730" s="237"/>
      <c r="S1730" s="237"/>
      <c r="T1730" s="237"/>
      <c r="U1730" s="237"/>
      <c r="V1730" s="237"/>
      <c r="W1730" s="237"/>
      <c r="X1730" s="237"/>
      <c r="Y1730" s="237"/>
      <c r="Z1730" s="237"/>
    </row>
    <row r="1731">
      <c r="A1731" s="305">
        <v>1730.0</v>
      </c>
      <c r="B1731" s="306">
        <v>451344.0</v>
      </c>
      <c r="C1731" s="307" t="s">
        <v>1420</v>
      </c>
      <c r="D1731" s="308" t="s">
        <v>6210</v>
      </c>
      <c r="E1731" s="305" t="s">
        <v>6211</v>
      </c>
      <c r="F1731" s="309" t="s">
        <v>6212</v>
      </c>
      <c r="G1731" s="236"/>
      <c r="H1731" s="307" t="s">
        <v>1420</v>
      </c>
      <c r="I1731" s="237"/>
      <c r="J1731" s="237"/>
      <c r="K1731" s="310" t="s">
        <v>6209</v>
      </c>
      <c r="L1731" s="237"/>
      <c r="M1731" s="237"/>
      <c r="N1731" s="237"/>
      <c r="O1731" s="237"/>
      <c r="P1731" s="237"/>
      <c r="Q1731" s="237"/>
      <c r="R1731" s="237"/>
      <c r="S1731" s="237"/>
      <c r="T1731" s="237"/>
      <c r="U1731" s="237"/>
      <c r="V1731" s="237"/>
      <c r="W1731" s="237"/>
      <c r="X1731" s="237"/>
      <c r="Y1731" s="237"/>
      <c r="Z1731" s="237"/>
    </row>
    <row r="1732">
      <c r="A1732" s="305">
        <v>1731.0</v>
      </c>
      <c r="B1732" s="306">
        <v>421795.0</v>
      </c>
      <c r="C1732" s="307" t="s">
        <v>1420</v>
      </c>
      <c r="D1732" s="308" t="s">
        <v>3797</v>
      </c>
      <c r="E1732" s="305" t="s">
        <v>3798</v>
      </c>
      <c r="F1732" s="309" t="s">
        <v>3799</v>
      </c>
      <c r="G1732" s="236"/>
      <c r="H1732" s="307" t="s">
        <v>1420</v>
      </c>
      <c r="I1732" s="237"/>
      <c r="J1732" s="237"/>
      <c r="K1732" s="310" t="s">
        <v>3796</v>
      </c>
      <c r="L1732" s="237"/>
      <c r="M1732" s="237"/>
      <c r="N1732" s="237"/>
      <c r="O1732" s="237"/>
      <c r="P1732" s="237"/>
      <c r="Q1732" s="237"/>
      <c r="R1732" s="237"/>
      <c r="S1732" s="237"/>
      <c r="T1732" s="237"/>
      <c r="U1732" s="237"/>
      <c r="V1732" s="237"/>
      <c r="W1732" s="237"/>
      <c r="X1732" s="237"/>
      <c r="Y1732" s="237"/>
      <c r="Z1732" s="237"/>
    </row>
    <row r="1733">
      <c r="A1733" s="305">
        <v>1732.0</v>
      </c>
      <c r="B1733" s="306">
        <v>421796.0</v>
      </c>
      <c r="C1733" s="307" t="s">
        <v>1420</v>
      </c>
      <c r="D1733" s="308" t="s">
        <v>3802</v>
      </c>
      <c r="E1733" s="305" t="s">
        <v>3803</v>
      </c>
      <c r="F1733" s="309" t="s">
        <v>3804</v>
      </c>
      <c r="G1733" s="236"/>
      <c r="H1733" s="307" t="s">
        <v>1420</v>
      </c>
      <c r="I1733" s="237"/>
      <c r="J1733" s="237"/>
      <c r="K1733" s="310" t="s">
        <v>3801</v>
      </c>
      <c r="L1733" s="237"/>
      <c r="M1733" s="237"/>
      <c r="N1733" s="237"/>
      <c r="O1733" s="237"/>
      <c r="P1733" s="237"/>
      <c r="Q1733" s="237"/>
      <c r="R1733" s="237"/>
      <c r="S1733" s="237"/>
      <c r="T1733" s="237"/>
      <c r="U1733" s="237"/>
      <c r="V1733" s="237"/>
      <c r="W1733" s="237"/>
      <c r="X1733" s="237"/>
      <c r="Y1733" s="237"/>
      <c r="Z1733" s="237"/>
    </row>
    <row r="1734">
      <c r="A1734" s="305">
        <v>1733.0</v>
      </c>
      <c r="B1734" s="236"/>
      <c r="C1734" s="307" t="s">
        <v>1420</v>
      </c>
      <c r="D1734" s="308" t="s">
        <v>8850</v>
      </c>
      <c r="E1734" s="305" t="s">
        <v>8851</v>
      </c>
      <c r="F1734" s="309" t="s">
        <v>8852</v>
      </c>
      <c r="G1734" s="236"/>
      <c r="H1734" s="307" t="s">
        <v>1420</v>
      </c>
      <c r="I1734" s="237"/>
      <c r="J1734" s="237"/>
      <c r="K1734" s="310" t="s">
        <v>8849</v>
      </c>
      <c r="L1734" s="237"/>
      <c r="M1734" s="237"/>
      <c r="N1734" s="237"/>
      <c r="O1734" s="237"/>
      <c r="P1734" s="237"/>
      <c r="Q1734" s="237"/>
      <c r="R1734" s="237"/>
      <c r="S1734" s="237"/>
      <c r="T1734" s="237"/>
      <c r="U1734" s="237"/>
      <c r="V1734" s="237"/>
      <c r="W1734" s="237"/>
      <c r="X1734" s="237"/>
      <c r="Y1734" s="237"/>
      <c r="Z1734" s="237"/>
    </row>
    <row r="1735">
      <c r="A1735" s="305">
        <v>1734.0</v>
      </c>
      <c r="B1735" s="236"/>
      <c r="C1735" s="307" t="s">
        <v>1420</v>
      </c>
      <c r="D1735" s="308" t="s">
        <v>8850</v>
      </c>
      <c r="E1735" s="305" t="s">
        <v>8851</v>
      </c>
      <c r="F1735" s="309" t="s">
        <v>14635</v>
      </c>
      <c r="G1735" s="236"/>
      <c r="H1735" s="307" t="s">
        <v>1420</v>
      </c>
      <c r="I1735" s="237"/>
      <c r="J1735" s="237"/>
      <c r="K1735" s="310" t="s">
        <v>14636</v>
      </c>
      <c r="L1735" s="237"/>
      <c r="M1735" s="237"/>
      <c r="N1735" s="237"/>
      <c r="O1735" s="237"/>
      <c r="P1735" s="237"/>
      <c r="Q1735" s="237"/>
      <c r="R1735" s="237"/>
      <c r="S1735" s="237"/>
      <c r="T1735" s="237"/>
      <c r="U1735" s="237"/>
      <c r="V1735" s="237"/>
      <c r="W1735" s="237"/>
      <c r="X1735" s="237"/>
      <c r="Y1735" s="237"/>
      <c r="Z1735" s="237"/>
    </row>
    <row r="1736">
      <c r="A1736" s="305">
        <v>1735.0</v>
      </c>
      <c r="B1736" s="306">
        <v>421700.0</v>
      </c>
      <c r="C1736" s="307" t="s">
        <v>1420</v>
      </c>
      <c r="D1736" s="308" t="s">
        <v>3558</v>
      </c>
      <c r="E1736" s="305" t="s">
        <v>3559</v>
      </c>
      <c r="F1736" s="309" t="s">
        <v>3560</v>
      </c>
      <c r="G1736" s="236"/>
      <c r="H1736" s="307" t="s">
        <v>1420</v>
      </c>
      <c r="I1736" s="237"/>
      <c r="J1736" s="237"/>
      <c r="K1736" s="310" t="s">
        <v>3557</v>
      </c>
      <c r="L1736" s="237"/>
      <c r="M1736" s="237"/>
      <c r="N1736" s="237"/>
      <c r="O1736" s="237"/>
      <c r="P1736" s="237"/>
      <c r="Q1736" s="237"/>
      <c r="R1736" s="237"/>
      <c r="S1736" s="237"/>
      <c r="T1736" s="237"/>
      <c r="U1736" s="237"/>
      <c r="V1736" s="237"/>
      <c r="W1736" s="237"/>
      <c r="X1736" s="237"/>
      <c r="Y1736" s="237"/>
      <c r="Z1736" s="237"/>
    </row>
    <row r="1737">
      <c r="A1737" s="305">
        <v>1736.0</v>
      </c>
      <c r="B1737" s="306">
        <v>421699.0</v>
      </c>
      <c r="C1737" s="307" t="s">
        <v>1420</v>
      </c>
      <c r="D1737" s="308" t="s">
        <v>3553</v>
      </c>
      <c r="E1737" s="305" t="s">
        <v>3554</v>
      </c>
      <c r="F1737" s="309" t="s">
        <v>3555</v>
      </c>
      <c r="G1737" s="236"/>
      <c r="H1737" s="307" t="s">
        <v>1420</v>
      </c>
      <c r="I1737" s="237"/>
      <c r="J1737" s="237"/>
      <c r="K1737" s="310" t="s">
        <v>3552</v>
      </c>
      <c r="L1737" s="237"/>
      <c r="M1737" s="237"/>
      <c r="N1737" s="237"/>
      <c r="O1737" s="237"/>
      <c r="P1737" s="237"/>
      <c r="Q1737" s="237"/>
      <c r="R1737" s="237"/>
      <c r="S1737" s="237"/>
      <c r="T1737" s="237"/>
      <c r="U1737" s="237"/>
      <c r="V1737" s="237"/>
      <c r="W1737" s="237"/>
      <c r="X1737" s="237"/>
      <c r="Y1737" s="237"/>
      <c r="Z1737" s="237"/>
    </row>
    <row r="1738">
      <c r="A1738" s="305">
        <v>1737.0</v>
      </c>
      <c r="B1738" s="306">
        <v>421701.0</v>
      </c>
      <c r="C1738" s="307" t="s">
        <v>1420</v>
      </c>
      <c r="D1738" s="308" t="s">
        <v>8846</v>
      </c>
      <c r="E1738" s="305" t="s">
        <v>8847</v>
      </c>
      <c r="F1738" s="309" t="s">
        <v>8848</v>
      </c>
      <c r="G1738" s="236"/>
      <c r="H1738" s="307" t="s">
        <v>1420</v>
      </c>
      <c r="I1738" s="237"/>
      <c r="J1738" s="237"/>
      <c r="K1738" s="310" t="s">
        <v>8845</v>
      </c>
      <c r="L1738" s="237"/>
      <c r="M1738" s="237"/>
      <c r="N1738" s="237"/>
      <c r="O1738" s="237"/>
      <c r="P1738" s="237"/>
      <c r="Q1738" s="237"/>
      <c r="R1738" s="237"/>
      <c r="S1738" s="237"/>
      <c r="T1738" s="237"/>
      <c r="U1738" s="237"/>
      <c r="V1738" s="237"/>
      <c r="W1738" s="237"/>
      <c r="X1738" s="237"/>
      <c r="Y1738" s="237"/>
      <c r="Z1738" s="237"/>
    </row>
    <row r="1739">
      <c r="A1739" s="305">
        <v>1738.0</v>
      </c>
      <c r="B1739" s="236"/>
      <c r="C1739" s="307" t="s">
        <v>1420</v>
      </c>
      <c r="D1739" s="308" t="s">
        <v>8841</v>
      </c>
      <c r="E1739" s="305" t="s">
        <v>8842</v>
      </c>
      <c r="F1739" s="309" t="s">
        <v>8843</v>
      </c>
      <c r="G1739" s="236"/>
      <c r="H1739" s="307" t="s">
        <v>1420</v>
      </c>
      <c r="I1739" s="237"/>
      <c r="J1739" s="237"/>
      <c r="K1739" s="310" t="s">
        <v>8840</v>
      </c>
      <c r="L1739" s="237"/>
      <c r="M1739" s="237"/>
      <c r="N1739" s="237"/>
      <c r="O1739" s="237"/>
      <c r="P1739" s="237"/>
      <c r="Q1739" s="237"/>
      <c r="R1739" s="237"/>
      <c r="S1739" s="237"/>
      <c r="T1739" s="237"/>
      <c r="U1739" s="237"/>
      <c r="V1739" s="237"/>
      <c r="W1739" s="237"/>
      <c r="X1739" s="237"/>
      <c r="Y1739" s="237"/>
      <c r="Z1739" s="237"/>
    </row>
    <row r="1740">
      <c r="A1740" s="305">
        <v>1739.0</v>
      </c>
      <c r="B1740" s="306">
        <v>421172.0</v>
      </c>
      <c r="C1740" s="307" t="s">
        <v>1420</v>
      </c>
      <c r="D1740" s="308" t="s">
        <v>3548</v>
      </c>
      <c r="E1740" s="305" t="s">
        <v>3549</v>
      </c>
      <c r="F1740" s="309" t="s">
        <v>3550</v>
      </c>
      <c r="G1740" s="236"/>
      <c r="H1740" s="307" t="s">
        <v>1420</v>
      </c>
      <c r="I1740" s="237"/>
      <c r="J1740" s="237"/>
      <c r="K1740" s="310" t="s">
        <v>3547</v>
      </c>
      <c r="L1740" s="237"/>
      <c r="M1740" s="237"/>
      <c r="N1740" s="237"/>
      <c r="O1740" s="237"/>
      <c r="P1740" s="237"/>
      <c r="Q1740" s="237"/>
      <c r="R1740" s="237"/>
      <c r="S1740" s="237"/>
      <c r="T1740" s="237"/>
      <c r="U1740" s="237"/>
      <c r="V1740" s="237"/>
      <c r="W1740" s="237"/>
      <c r="X1740" s="237"/>
      <c r="Y1740" s="237"/>
      <c r="Z1740" s="237"/>
    </row>
    <row r="1741">
      <c r="A1741" s="305">
        <v>1740.0</v>
      </c>
      <c r="B1741" s="306">
        <v>421171.0</v>
      </c>
      <c r="C1741" s="307" t="s">
        <v>1420</v>
      </c>
      <c r="D1741" s="308" t="s">
        <v>3542</v>
      </c>
      <c r="E1741" s="305" t="s">
        <v>3543</v>
      </c>
      <c r="F1741" s="309" t="s">
        <v>3544</v>
      </c>
      <c r="G1741" s="236"/>
      <c r="H1741" s="307" t="s">
        <v>1420</v>
      </c>
      <c r="I1741" s="237"/>
      <c r="J1741" s="237"/>
      <c r="K1741" s="310" t="s">
        <v>3541</v>
      </c>
      <c r="L1741" s="237"/>
      <c r="M1741" s="237"/>
      <c r="N1741" s="237"/>
      <c r="O1741" s="237"/>
      <c r="P1741" s="237"/>
      <c r="Q1741" s="237"/>
      <c r="R1741" s="237"/>
      <c r="S1741" s="237"/>
      <c r="T1741" s="237"/>
      <c r="U1741" s="237"/>
      <c r="V1741" s="237"/>
      <c r="W1741" s="237"/>
      <c r="X1741" s="237"/>
      <c r="Y1741" s="237"/>
      <c r="Z1741" s="237"/>
    </row>
    <row r="1742">
      <c r="A1742" s="305">
        <v>1741.0</v>
      </c>
      <c r="B1742" s="306">
        <v>421913.0</v>
      </c>
      <c r="C1742" s="307" t="s">
        <v>1420</v>
      </c>
      <c r="D1742" s="308" t="s">
        <v>2265</v>
      </c>
      <c r="E1742" s="305" t="s">
        <v>3568</v>
      </c>
      <c r="F1742" s="309" t="s">
        <v>3569</v>
      </c>
      <c r="G1742" s="236"/>
      <c r="H1742" s="307" t="s">
        <v>1420</v>
      </c>
      <c r="I1742" s="237"/>
      <c r="J1742" s="237"/>
      <c r="K1742" s="310" t="s">
        <v>3567</v>
      </c>
      <c r="L1742" s="237"/>
      <c r="M1742" s="237"/>
      <c r="N1742" s="237"/>
      <c r="O1742" s="237"/>
      <c r="P1742" s="237"/>
      <c r="Q1742" s="237"/>
      <c r="R1742" s="237"/>
      <c r="S1742" s="237"/>
      <c r="T1742" s="237"/>
      <c r="U1742" s="237"/>
      <c r="V1742" s="237"/>
      <c r="W1742" s="237"/>
      <c r="X1742" s="237"/>
      <c r="Y1742" s="237"/>
      <c r="Z1742" s="237"/>
    </row>
    <row r="1743">
      <c r="A1743" s="305">
        <v>1742.0</v>
      </c>
      <c r="B1743" s="236"/>
      <c r="C1743" s="307" t="s">
        <v>1420</v>
      </c>
      <c r="D1743" s="308" t="s">
        <v>8837</v>
      </c>
      <c r="E1743" s="305" t="s">
        <v>8838</v>
      </c>
      <c r="F1743" s="309" t="s">
        <v>8839</v>
      </c>
      <c r="G1743" s="236"/>
      <c r="H1743" s="307" t="s">
        <v>1420</v>
      </c>
      <c r="I1743" s="237"/>
      <c r="J1743" s="237"/>
      <c r="K1743" s="310" t="s">
        <v>8836</v>
      </c>
      <c r="L1743" s="237"/>
      <c r="M1743" s="237"/>
      <c r="N1743" s="237"/>
      <c r="O1743" s="237"/>
      <c r="P1743" s="237"/>
      <c r="Q1743" s="237"/>
      <c r="R1743" s="237"/>
      <c r="S1743" s="237"/>
      <c r="T1743" s="237"/>
      <c r="U1743" s="237"/>
      <c r="V1743" s="237"/>
      <c r="W1743" s="237"/>
      <c r="X1743" s="237"/>
      <c r="Y1743" s="237"/>
      <c r="Z1743" s="237"/>
    </row>
    <row r="1744">
      <c r="A1744" s="305">
        <v>1743.0</v>
      </c>
      <c r="B1744" s="306">
        <v>421512.0</v>
      </c>
      <c r="C1744" s="307" t="s">
        <v>1420</v>
      </c>
      <c r="D1744" s="308" t="s">
        <v>3563</v>
      </c>
      <c r="E1744" s="305" t="s">
        <v>3564</v>
      </c>
      <c r="F1744" s="309" t="s">
        <v>3565</v>
      </c>
      <c r="G1744" s="236"/>
      <c r="H1744" s="307" t="s">
        <v>1420</v>
      </c>
      <c r="I1744" s="237"/>
      <c r="J1744" s="237"/>
      <c r="K1744" s="310" t="s">
        <v>3562</v>
      </c>
      <c r="L1744" s="237"/>
      <c r="M1744" s="237"/>
      <c r="N1744" s="237"/>
      <c r="O1744" s="237"/>
      <c r="P1744" s="237"/>
      <c r="Q1744" s="237"/>
      <c r="R1744" s="237"/>
      <c r="S1744" s="237"/>
      <c r="T1744" s="237"/>
      <c r="U1744" s="237"/>
      <c r="V1744" s="237"/>
      <c r="W1744" s="237"/>
      <c r="X1744" s="237"/>
      <c r="Y1744" s="237"/>
      <c r="Z1744" s="237"/>
    </row>
    <row r="1745">
      <c r="A1745" s="305">
        <v>1744.0</v>
      </c>
      <c r="B1745" s="306">
        <v>422259.0</v>
      </c>
      <c r="C1745" s="307" t="s">
        <v>1420</v>
      </c>
      <c r="D1745" s="308" t="s">
        <v>6283</v>
      </c>
      <c r="E1745" s="305" t="s">
        <v>6284</v>
      </c>
      <c r="F1745" s="309" t="s">
        <v>6285</v>
      </c>
      <c r="G1745" s="236"/>
      <c r="H1745" s="307" t="s">
        <v>1420</v>
      </c>
      <c r="I1745" s="237"/>
      <c r="J1745" s="237"/>
      <c r="K1745" s="310" t="s">
        <v>6282</v>
      </c>
      <c r="L1745" s="237"/>
      <c r="M1745" s="237"/>
      <c r="N1745" s="237"/>
      <c r="O1745" s="237"/>
      <c r="P1745" s="237"/>
      <c r="Q1745" s="237"/>
      <c r="R1745" s="237"/>
      <c r="S1745" s="237"/>
      <c r="T1745" s="237"/>
      <c r="U1745" s="237"/>
      <c r="V1745" s="237"/>
      <c r="W1745" s="237"/>
      <c r="X1745" s="237"/>
      <c r="Y1745" s="237"/>
      <c r="Z1745" s="237"/>
    </row>
    <row r="1746">
      <c r="A1746" s="305">
        <v>1745.0</v>
      </c>
      <c r="B1746" s="306">
        <v>422258.0</v>
      </c>
      <c r="C1746" s="307" t="s">
        <v>1420</v>
      </c>
      <c r="D1746" s="308" t="s">
        <v>6358</v>
      </c>
      <c r="E1746" s="305" t="s">
        <v>6359</v>
      </c>
      <c r="F1746" s="309" t="s">
        <v>6360</v>
      </c>
      <c r="G1746" s="236"/>
      <c r="H1746" s="307" t="s">
        <v>1420</v>
      </c>
      <c r="I1746" s="237"/>
      <c r="J1746" s="237"/>
      <c r="K1746" s="310" t="s">
        <v>6357</v>
      </c>
      <c r="L1746" s="237"/>
      <c r="M1746" s="237"/>
      <c r="N1746" s="237"/>
      <c r="O1746" s="237"/>
      <c r="P1746" s="237"/>
      <c r="Q1746" s="237"/>
      <c r="R1746" s="237"/>
      <c r="S1746" s="237"/>
      <c r="T1746" s="237"/>
      <c r="U1746" s="237"/>
      <c r="V1746" s="237"/>
      <c r="W1746" s="237"/>
      <c r="X1746" s="237"/>
      <c r="Y1746" s="237"/>
      <c r="Z1746" s="237"/>
    </row>
    <row r="1747">
      <c r="A1747" s="305">
        <v>1746.0</v>
      </c>
      <c r="B1747" s="306">
        <v>422255.0</v>
      </c>
      <c r="C1747" s="307" t="s">
        <v>1420</v>
      </c>
      <c r="D1747" s="308" t="s">
        <v>6353</v>
      </c>
      <c r="E1747" s="305" t="s">
        <v>6354</v>
      </c>
      <c r="F1747" s="309" t="s">
        <v>6355</v>
      </c>
      <c r="G1747" s="236"/>
      <c r="H1747" s="307" t="s">
        <v>1420</v>
      </c>
      <c r="I1747" s="237"/>
      <c r="J1747" s="237"/>
      <c r="K1747" s="310" t="s">
        <v>6352</v>
      </c>
      <c r="L1747" s="237"/>
      <c r="M1747" s="237"/>
      <c r="N1747" s="237"/>
      <c r="O1747" s="237"/>
      <c r="P1747" s="237"/>
      <c r="Q1747" s="237"/>
      <c r="R1747" s="237"/>
      <c r="S1747" s="237"/>
      <c r="T1747" s="237"/>
      <c r="U1747" s="237"/>
      <c r="V1747" s="237"/>
      <c r="W1747" s="237"/>
      <c r="X1747" s="237"/>
      <c r="Y1747" s="237"/>
      <c r="Z1747" s="237"/>
    </row>
    <row r="1748">
      <c r="A1748" s="305">
        <v>1747.0</v>
      </c>
      <c r="B1748" s="306">
        <v>422257.0</v>
      </c>
      <c r="C1748" s="307" t="s">
        <v>1420</v>
      </c>
      <c r="D1748" s="308" t="s">
        <v>6363</v>
      </c>
      <c r="E1748" s="305" t="s">
        <v>6364</v>
      </c>
      <c r="F1748" s="309" t="s">
        <v>6365</v>
      </c>
      <c r="G1748" s="236"/>
      <c r="H1748" s="307" t="s">
        <v>1420</v>
      </c>
      <c r="I1748" s="237"/>
      <c r="J1748" s="237"/>
      <c r="K1748" s="310" t="s">
        <v>6362</v>
      </c>
      <c r="L1748" s="237"/>
      <c r="M1748" s="237"/>
      <c r="N1748" s="237"/>
      <c r="O1748" s="237"/>
      <c r="P1748" s="237"/>
      <c r="Q1748" s="237"/>
      <c r="R1748" s="237"/>
      <c r="S1748" s="237"/>
      <c r="T1748" s="237"/>
      <c r="U1748" s="237"/>
      <c r="V1748" s="237"/>
      <c r="W1748" s="237"/>
      <c r="X1748" s="237"/>
      <c r="Y1748" s="237"/>
      <c r="Z1748" s="237"/>
    </row>
    <row r="1749">
      <c r="A1749" s="305">
        <v>1748.0</v>
      </c>
      <c r="B1749" s="306">
        <v>422256.0</v>
      </c>
      <c r="C1749" s="307" t="s">
        <v>1420</v>
      </c>
      <c r="D1749" s="308" t="s">
        <v>6368</v>
      </c>
      <c r="E1749" s="305" t="s">
        <v>6369</v>
      </c>
      <c r="F1749" s="309" t="s">
        <v>6370</v>
      </c>
      <c r="G1749" s="236"/>
      <c r="H1749" s="307" t="s">
        <v>1420</v>
      </c>
      <c r="I1749" s="237"/>
      <c r="J1749" s="237"/>
      <c r="K1749" s="310" t="s">
        <v>6367</v>
      </c>
      <c r="L1749" s="237"/>
      <c r="M1749" s="237"/>
      <c r="N1749" s="237"/>
      <c r="O1749" s="237"/>
      <c r="P1749" s="237"/>
      <c r="Q1749" s="237"/>
      <c r="R1749" s="237"/>
      <c r="S1749" s="237"/>
      <c r="T1749" s="237"/>
      <c r="U1749" s="237"/>
      <c r="V1749" s="237"/>
      <c r="W1749" s="237"/>
      <c r="X1749" s="237"/>
      <c r="Y1749" s="237"/>
      <c r="Z1749" s="237"/>
    </row>
    <row r="1750">
      <c r="A1750" s="305">
        <v>1749.0</v>
      </c>
      <c r="B1750" s="306">
        <v>421520.0</v>
      </c>
      <c r="C1750" s="307" t="s">
        <v>1420</v>
      </c>
      <c r="D1750" s="308" t="s">
        <v>3822</v>
      </c>
      <c r="E1750" s="305" t="s">
        <v>3823</v>
      </c>
      <c r="F1750" s="309" t="s">
        <v>3824</v>
      </c>
      <c r="G1750" s="236"/>
      <c r="H1750" s="307" t="s">
        <v>1420</v>
      </c>
      <c r="I1750" s="237"/>
      <c r="J1750" s="237"/>
      <c r="K1750" s="310" t="s">
        <v>3821</v>
      </c>
      <c r="L1750" s="237"/>
      <c r="M1750" s="237"/>
      <c r="N1750" s="237"/>
      <c r="O1750" s="237"/>
      <c r="P1750" s="237"/>
      <c r="Q1750" s="237"/>
      <c r="R1750" s="237"/>
      <c r="S1750" s="237"/>
      <c r="T1750" s="237"/>
      <c r="U1750" s="237"/>
      <c r="V1750" s="237"/>
      <c r="W1750" s="237"/>
      <c r="X1750" s="237"/>
      <c r="Y1750" s="237"/>
      <c r="Z1750" s="237"/>
    </row>
    <row r="1751">
      <c r="A1751" s="305">
        <v>1750.0</v>
      </c>
      <c r="B1751" s="306">
        <v>421521.0</v>
      </c>
      <c r="C1751" s="307" t="s">
        <v>1420</v>
      </c>
      <c r="D1751" s="308" t="s">
        <v>3817</v>
      </c>
      <c r="E1751" s="305" t="s">
        <v>3818</v>
      </c>
      <c r="F1751" s="309" t="s">
        <v>3819</v>
      </c>
      <c r="G1751" s="236"/>
      <c r="H1751" s="307" t="s">
        <v>1420</v>
      </c>
      <c r="I1751" s="237"/>
      <c r="J1751" s="237"/>
      <c r="K1751" s="310" t="s">
        <v>3816</v>
      </c>
      <c r="L1751" s="237"/>
      <c r="M1751" s="237"/>
      <c r="N1751" s="237"/>
      <c r="O1751" s="237"/>
      <c r="P1751" s="237"/>
      <c r="Q1751" s="237"/>
      <c r="R1751" s="237"/>
      <c r="S1751" s="237"/>
      <c r="T1751" s="237"/>
      <c r="U1751" s="237"/>
      <c r="V1751" s="237"/>
      <c r="W1751" s="237"/>
      <c r="X1751" s="237"/>
      <c r="Y1751" s="237"/>
      <c r="Z1751" s="237"/>
    </row>
    <row r="1752">
      <c r="A1752" s="305">
        <v>1751.0</v>
      </c>
      <c r="B1752" s="236"/>
      <c r="C1752" s="307" t="s">
        <v>1420</v>
      </c>
      <c r="D1752" s="308" t="s">
        <v>9203</v>
      </c>
      <c r="E1752" s="305" t="s">
        <v>9204</v>
      </c>
      <c r="F1752" s="309" t="s">
        <v>9205</v>
      </c>
      <c r="G1752" s="236"/>
      <c r="H1752" s="307" t="s">
        <v>1420</v>
      </c>
      <c r="I1752" s="237"/>
      <c r="J1752" s="237"/>
      <c r="K1752" s="310" t="s">
        <v>9202</v>
      </c>
      <c r="L1752" s="237"/>
      <c r="M1752" s="237"/>
      <c r="N1752" s="237"/>
      <c r="O1752" s="237"/>
      <c r="P1752" s="237"/>
      <c r="Q1752" s="237"/>
      <c r="R1752" s="237"/>
      <c r="S1752" s="237"/>
      <c r="T1752" s="237"/>
      <c r="U1752" s="237"/>
      <c r="V1752" s="237"/>
      <c r="W1752" s="237"/>
      <c r="X1752" s="237"/>
      <c r="Y1752" s="237"/>
      <c r="Z1752" s="237"/>
    </row>
    <row r="1753">
      <c r="A1753" s="305">
        <v>1752.0</v>
      </c>
      <c r="B1753" s="236"/>
      <c r="C1753" s="307" t="s">
        <v>1420</v>
      </c>
      <c r="D1753" s="308" t="s">
        <v>9210</v>
      </c>
      <c r="E1753" s="305" t="s">
        <v>9211</v>
      </c>
      <c r="F1753" s="309" t="s">
        <v>9212</v>
      </c>
      <c r="G1753" s="236"/>
      <c r="H1753" s="307" t="s">
        <v>1420</v>
      </c>
      <c r="I1753" s="237"/>
      <c r="J1753" s="237"/>
      <c r="K1753" s="310" t="s">
        <v>9209</v>
      </c>
      <c r="L1753" s="237"/>
      <c r="M1753" s="237"/>
      <c r="N1753" s="237"/>
      <c r="O1753" s="237"/>
      <c r="P1753" s="237"/>
      <c r="Q1753" s="237"/>
      <c r="R1753" s="237"/>
      <c r="S1753" s="237"/>
      <c r="T1753" s="237"/>
      <c r="U1753" s="237"/>
      <c r="V1753" s="237"/>
      <c r="W1753" s="237"/>
      <c r="X1753" s="237"/>
      <c r="Y1753" s="237"/>
      <c r="Z1753" s="237"/>
    </row>
    <row r="1754">
      <c r="A1754" s="305">
        <v>1753.0</v>
      </c>
      <c r="B1754" s="236"/>
      <c r="C1754" s="307" t="s">
        <v>1420</v>
      </c>
      <c r="D1754" s="308" t="s">
        <v>9207</v>
      </c>
      <c r="E1754" s="305" t="s">
        <v>9208</v>
      </c>
      <c r="F1754" s="309" t="s">
        <v>8929</v>
      </c>
      <c r="G1754" s="236"/>
      <c r="H1754" s="307" t="s">
        <v>1420</v>
      </c>
      <c r="I1754" s="237"/>
      <c r="J1754" s="237"/>
      <c r="K1754" s="310" t="s">
        <v>9206</v>
      </c>
      <c r="L1754" s="237"/>
      <c r="M1754" s="237"/>
      <c r="N1754" s="237"/>
      <c r="O1754" s="237"/>
      <c r="P1754" s="237"/>
      <c r="Q1754" s="237"/>
      <c r="R1754" s="237"/>
      <c r="S1754" s="237"/>
      <c r="T1754" s="237"/>
      <c r="U1754" s="237"/>
      <c r="V1754" s="237"/>
      <c r="W1754" s="237"/>
      <c r="X1754" s="237"/>
      <c r="Y1754" s="237"/>
      <c r="Z1754" s="237"/>
    </row>
    <row r="1755">
      <c r="A1755" s="305">
        <v>1754.0</v>
      </c>
      <c r="B1755" s="236"/>
      <c r="C1755" s="307" t="s">
        <v>1420</v>
      </c>
      <c r="D1755" s="308" t="s">
        <v>9214</v>
      </c>
      <c r="E1755" s="305" t="s">
        <v>9215</v>
      </c>
      <c r="F1755" s="309" t="s">
        <v>9216</v>
      </c>
      <c r="G1755" s="236"/>
      <c r="H1755" s="307" t="s">
        <v>1420</v>
      </c>
      <c r="I1755" s="237"/>
      <c r="J1755" s="237"/>
      <c r="K1755" s="310" t="s">
        <v>9213</v>
      </c>
      <c r="L1755" s="237"/>
      <c r="M1755" s="237"/>
      <c r="N1755" s="237"/>
      <c r="O1755" s="237"/>
      <c r="P1755" s="237"/>
      <c r="Q1755" s="237"/>
      <c r="R1755" s="237"/>
      <c r="S1755" s="237"/>
      <c r="T1755" s="237"/>
      <c r="U1755" s="237"/>
      <c r="V1755" s="237"/>
      <c r="W1755" s="237"/>
      <c r="X1755" s="237"/>
      <c r="Y1755" s="237"/>
      <c r="Z1755" s="237"/>
    </row>
    <row r="1756">
      <c r="A1756" s="305">
        <v>1755.0</v>
      </c>
      <c r="B1756" s="236"/>
      <c r="C1756" s="307" t="s">
        <v>1420</v>
      </c>
      <c r="D1756" s="308" t="s">
        <v>9200</v>
      </c>
      <c r="E1756" s="305" t="s">
        <v>9201</v>
      </c>
      <c r="F1756" s="309" t="s">
        <v>9198</v>
      </c>
      <c r="G1756" s="236"/>
      <c r="H1756" s="307" t="s">
        <v>1420</v>
      </c>
      <c r="I1756" s="237"/>
      <c r="J1756" s="237"/>
      <c r="K1756" s="310" t="s">
        <v>9199</v>
      </c>
      <c r="L1756" s="237"/>
      <c r="M1756" s="237"/>
      <c r="N1756" s="237"/>
      <c r="O1756" s="237"/>
      <c r="P1756" s="237"/>
      <c r="Q1756" s="237"/>
      <c r="R1756" s="237"/>
      <c r="S1756" s="237"/>
      <c r="T1756" s="237"/>
      <c r="U1756" s="237"/>
      <c r="V1756" s="237"/>
      <c r="W1756" s="237"/>
      <c r="X1756" s="237"/>
      <c r="Y1756" s="237"/>
      <c r="Z1756" s="237"/>
    </row>
    <row r="1757">
      <c r="A1757" s="305">
        <v>1756.0</v>
      </c>
      <c r="B1757" s="236"/>
      <c r="C1757" s="307" t="s">
        <v>1420</v>
      </c>
      <c r="D1757" s="308" t="s">
        <v>9196</v>
      </c>
      <c r="E1757" s="305" t="s">
        <v>9197</v>
      </c>
      <c r="F1757" s="309" t="s">
        <v>9198</v>
      </c>
      <c r="G1757" s="236"/>
      <c r="H1757" s="307" t="s">
        <v>1420</v>
      </c>
      <c r="I1757" s="237"/>
      <c r="J1757" s="237"/>
      <c r="K1757" s="310" t="s">
        <v>9195</v>
      </c>
      <c r="L1757" s="237"/>
      <c r="M1757" s="237"/>
      <c r="N1757" s="237"/>
      <c r="O1757" s="237"/>
      <c r="P1757" s="237"/>
      <c r="Q1757" s="237"/>
      <c r="R1757" s="237"/>
      <c r="S1757" s="237"/>
      <c r="T1757" s="237"/>
      <c r="U1757" s="237"/>
      <c r="V1757" s="237"/>
      <c r="W1757" s="237"/>
      <c r="X1757" s="237"/>
      <c r="Y1757" s="237"/>
      <c r="Z1757" s="237"/>
    </row>
    <row r="1758">
      <c r="A1758" s="305">
        <v>1757.0</v>
      </c>
      <c r="B1758" s="236"/>
      <c r="C1758" s="307" t="s">
        <v>1420</v>
      </c>
      <c r="D1758" s="308" t="s">
        <v>10800</v>
      </c>
      <c r="E1758" s="305" t="s">
        <v>10801</v>
      </c>
      <c r="F1758" s="309" t="s">
        <v>10802</v>
      </c>
      <c r="G1758" s="236"/>
      <c r="H1758" s="307" t="s">
        <v>1420</v>
      </c>
      <c r="I1758" s="237"/>
      <c r="J1758" s="237"/>
      <c r="K1758" s="310" t="s">
        <v>10799</v>
      </c>
      <c r="L1758" s="237"/>
      <c r="M1758" s="237"/>
      <c r="N1758" s="237"/>
      <c r="O1758" s="237"/>
      <c r="P1758" s="237"/>
      <c r="Q1758" s="237"/>
      <c r="R1758" s="237"/>
      <c r="S1758" s="237"/>
      <c r="T1758" s="237"/>
      <c r="U1758" s="237"/>
      <c r="V1758" s="237"/>
      <c r="W1758" s="237"/>
      <c r="X1758" s="237"/>
      <c r="Y1758" s="237"/>
      <c r="Z1758" s="237"/>
    </row>
    <row r="1759">
      <c r="A1759" s="305">
        <v>1758.0</v>
      </c>
      <c r="B1759" s="236"/>
      <c r="C1759" s="307" t="s">
        <v>1420</v>
      </c>
      <c r="D1759" s="308" t="s">
        <v>10782</v>
      </c>
      <c r="E1759" s="305" t="s">
        <v>10783</v>
      </c>
      <c r="F1759" s="309" t="s">
        <v>10784</v>
      </c>
      <c r="G1759" s="236"/>
      <c r="H1759" s="307" t="s">
        <v>1420</v>
      </c>
      <c r="I1759" s="237"/>
      <c r="J1759" s="237"/>
      <c r="K1759" s="310" t="s">
        <v>10781</v>
      </c>
      <c r="L1759" s="237"/>
      <c r="M1759" s="237"/>
      <c r="N1759" s="237"/>
      <c r="O1759" s="237"/>
      <c r="P1759" s="237"/>
      <c r="Q1759" s="237"/>
      <c r="R1759" s="237"/>
      <c r="S1759" s="237"/>
      <c r="T1759" s="237"/>
      <c r="U1759" s="237"/>
      <c r="V1759" s="237"/>
      <c r="W1759" s="237"/>
      <c r="X1759" s="237"/>
      <c r="Y1759" s="237"/>
      <c r="Z1759" s="237"/>
    </row>
    <row r="1760">
      <c r="A1760" s="305">
        <v>1759.0</v>
      </c>
      <c r="B1760" s="306" t="s">
        <v>10776</v>
      </c>
      <c r="C1760" s="307" t="s">
        <v>1420</v>
      </c>
      <c r="D1760" s="308" t="s">
        <v>10778</v>
      </c>
      <c r="E1760" s="305" t="s">
        <v>10779</v>
      </c>
      <c r="F1760" s="309" t="s">
        <v>14637</v>
      </c>
      <c r="G1760" s="236"/>
      <c r="H1760" s="307" t="s">
        <v>1420</v>
      </c>
      <c r="I1760" s="237"/>
      <c r="J1760" s="237"/>
      <c r="K1760" s="310" t="s">
        <v>10777</v>
      </c>
      <c r="L1760" s="237"/>
      <c r="M1760" s="237"/>
      <c r="N1760" s="237"/>
      <c r="O1760" s="237"/>
      <c r="P1760" s="237"/>
      <c r="Q1760" s="237"/>
      <c r="R1760" s="237"/>
      <c r="S1760" s="237"/>
      <c r="T1760" s="237"/>
      <c r="U1760" s="237"/>
      <c r="V1760" s="237"/>
      <c r="W1760" s="237"/>
      <c r="X1760" s="237"/>
      <c r="Y1760" s="237"/>
      <c r="Z1760" s="237"/>
    </row>
    <row r="1761">
      <c r="A1761" s="305">
        <v>1760.0</v>
      </c>
      <c r="B1761" s="236"/>
      <c r="C1761" s="307" t="s">
        <v>1420</v>
      </c>
      <c r="D1761" s="308" t="s">
        <v>10796</v>
      </c>
      <c r="E1761" s="305" t="s">
        <v>10797</v>
      </c>
      <c r="F1761" s="309" t="s">
        <v>10798</v>
      </c>
      <c r="G1761" s="236"/>
      <c r="H1761" s="307" t="s">
        <v>1420</v>
      </c>
      <c r="I1761" s="237"/>
      <c r="J1761" s="237"/>
      <c r="K1761" s="310" t="s">
        <v>10795</v>
      </c>
      <c r="L1761" s="237"/>
      <c r="M1761" s="237"/>
      <c r="N1761" s="237"/>
      <c r="O1761" s="237"/>
      <c r="P1761" s="237"/>
      <c r="Q1761" s="237"/>
      <c r="R1761" s="237"/>
      <c r="S1761" s="237"/>
      <c r="T1761" s="237"/>
      <c r="U1761" s="237"/>
      <c r="V1761" s="237"/>
      <c r="W1761" s="237"/>
      <c r="X1761" s="237"/>
      <c r="Y1761" s="237"/>
      <c r="Z1761" s="237"/>
    </row>
    <row r="1762">
      <c r="A1762" s="305">
        <v>1761.0</v>
      </c>
      <c r="B1762" s="236"/>
      <c r="C1762" s="307" t="s">
        <v>1420</v>
      </c>
      <c r="D1762" s="308" t="s">
        <v>11677</v>
      </c>
      <c r="E1762" s="305" t="s">
        <v>11678</v>
      </c>
      <c r="F1762" s="309" t="s">
        <v>11679</v>
      </c>
      <c r="G1762" s="236"/>
      <c r="H1762" s="307" t="s">
        <v>1420</v>
      </c>
      <c r="I1762" s="237"/>
      <c r="J1762" s="237"/>
      <c r="K1762" s="310" t="s">
        <v>14638</v>
      </c>
      <c r="L1762" s="237"/>
      <c r="M1762" s="237"/>
      <c r="N1762" s="237"/>
      <c r="O1762" s="237"/>
      <c r="P1762" s="237"/>
      <c r="Q1762" s="237"/>
      <c r="R1762" s="237"/>
      <c r="S1762" s="237"/>
      <c r="T1762" s="237"/>
      <c r="U1762" s="237"/>
      <c r="V1762" s="237"/>
      <c r="W1762" s="237"/>
      <c r="X1762" s="237"/>
      <c r="Y1762" s="237"/>
      <c r="Z1762" s="237"/>
    </row>
    <row r="1763">
      <c r="A1763" s="305">
        <v>1762.0</v>
      </c>
      <c r="B1763" s="236"/>
      <c r="C1763" s="307" t="s">
        <v>1420</v>
      </c>
      <c r="D1763" s="308" t="s">
        <v>8945</v>
      </c>
      <c r="E1763" s="305" t="s">
        <v>8946</v>
      </c>
      <c r="F1763" s="309" t="s">
        <v>8947</v>
      </c>
      <c r="G1763" s="236"/>
      <c r="H1763" s="307" t="s">
        <v>1420</v>
      </c>
      <c r="I1763" s="237"/>
      <c r="J1763" s="237"/>
      <c r="K1763" s="310" t="s">
        <v>8944</v>
      </c>
      <c r="L1763" s="237"/>
      <c r="M1763" s="237"/>
      <c r="N1763" s="237"/>
      <c r="O1763" s="237"/>
      <c r="P1763" s="237"/>
      <c r="Q1763" s="237"/>
      <c r="R1763" s="237"/>
      <c r="S1763" s="237"/>
      <c r="T1763" s="237"/>
      <c r="U1763" s="237"/>
      <c r="V1763" s="237"/>
      <c r="W1763" s="237"/>
      <c r="X1763" s="237"/>
      <c r="Y1763" s="237"/>
      <c r="Z1763" s="237"/>
    </row>
    <row r="1764">
      <c r="A1764" s="305">
        <v>1763.0</v>
      </c>
      <c r="B1764" s="236"/>
      <c r="C1764" s="307" t="s">
        <v>1420</v>
      </c>
      <c r="D1764" s="308" t="s">
        <v>8988</v>
      </c>
      <c r="E1764" s="305" t="s">
        <v>8989</v>
      </c>
      <c r="F1764" s="309" t="s">
        <v>8990</v>
      </c>
      <c r="G1764" s="236"/>
      <c r="H1764" s="307" t="s">
        <v>1420</v>
      </c>
      <c r="I1764" s="237"/>
      <c r="J1764" s="237"/>
      <c r="K1764" s="310" t="s">
        <v>8987</v>
      </c>
      <c r="L1764" s="237"/>
      <c r="M1764" s="237"/>
      <c r="N1764" s="237"/>
      <c r="O1764" s="237"/>
      <c r="P1764" s="237"/>
      <c r="Q1764" s="237"/>
      <c r="R1764" s="237"/>
      <c r="S1764" s="237"/>
      <c r="T1764" s="237"/>
      <c r="U1764" s="237"/>
      <c r="V1764" s="237"/>
      <c r="W1764" s="237"/>
      <c r="X1764" s="237"/>
      <c r="Y1764" s="237"/>
      <c r="Z1764" s="237"/>
    </row>
    <row r="1765">
      <c r="A1765" s="305">
        <v>1764.0</v>
      </c>
      <c r="B1765" s="236"/>
      <c r="C1765" s="307" t="s">
        <v>1420</v>
      </c>
      <c r="D1765" s="308" t="s">
        <v>8992</v>
      </c>
      <c r="E1765" s="305" t="s">
        <v>8993</v>
      </c>
      <c r="F1765" s="309" t="s">
        <v>8994</v>
      </c>
      <c r="G1765" s="236"/>
      <c r="H1765" s="307" t="s">
        <v>1420</v>
      </c>
      <c r="I1765" s="237"/>
      <c r="J1765" s="237"/>
      <c r="K1765" s="310" t="s">
        <v>8991</v>
      </c>
      <c r="L1765" s="237"/>
      <c r="M1765" s="237"/>
      <c r="N1765" s="237"/>
      <c r="O1765" s="237"/>
      <c r="P1765" s="237"/>
      <c r="Q1765" s="237"/>
      <c r="R1765" s="237"/>
      <c r="S1765" s="237"/>
      <c r="T1765" s="237"/>
      <c r="U1765" s="237"/>
      <c r="V1765" s="237"/>
      <c r="W1765" s="237"/>
      <c r="X1765" s="237"/>
      <c r="Y1765" s="237"/>
      <c r="Z1765" s="237"/>
    </row>
    <row r="1766">
      <c r="A1766" s="305">
        <v>1765.0</v>
      </c>
      <c r="B1766" s="236"/>
      <c r="C1766" s="307" t="s">
        <v>1420</v>
      </c>
      <c r="D1766" s="308" t="s">
        <v>8957</v>
      </c>
      <c r="E1766" s="305" t="s">
        <v>8958</v>
      </c>
      <c r="F1766" s="309" t="s">
        <v>8959</v>
      </c>
      <c r="G1766" s="236"/>
      <c r="H1766" s="307" t="s">
        <v>1420</v>
      </c>
      <c r="I1766" s="237"/>
      <c r="J1766" s="237"/>
      <c r="K1766" s="310" t="s">
        <v>8956</v>
      </c>
      <c r="L1766" s="237"/>
      <c r="M1766" s="237"/>
      <c r="N1766" s="237"/>
      <c r="O1766" s="237"/>
      <c r="P1766" s="237"/>
      <c r="Q1766" s="237"/>
      <c r="R1766" s="237"/>
      <c r="S1766" s="237"/>
      <c r="T1766" s="237"/>
      <c r="U1766" s="237"/>
      <c r="V1766" s="237"/>
      <c r="W1766" s="237"/>
      <c r="X1766" s="237"/>
      <c r="Y1766" s="237"/>
      <c r="Z1766" s="237"/>
    </row>
    <row r="1767">
      <c r="A1767" s="305">
        <v>1766.0</v>
      </c>
      <c r="B1767" s="236"/>
      <c r="C1767" s="307" t="s">
        <v>1420</v>
      </c>
      <c r="D1767" s="308" t="s">
        <v>8965</v>
      </c>
      <c r="E1767" s="305" t="s">
        <v>8958</v>
      </c>
      <c r="F1767" s="309" t="s">
        <v>8966</v>
      </c>
      <c r="G1767" s="236"/>
      <c r="H1767" s="307" t="s">
        <v>1420</v>
      </c>
      <c r="I1767" s="237"/>
      <c r="J1767" s="237"/>
      <c r="K1767" s="310" t="s">
        <v>8964</v>
      </c>
      <c r="L1767" s="237"/>
      <c r="M1767" s="237"/>
      <c r="N1767" s="237"/>
      <c r="O1767" s="237"/>
      <c r="P1767" s="237"/>
      <c r="Q1767" s="237"/>
      <c r="R1767" s="237"/>
      <c r="S1767" s="237"/>
      <c r="T1767" s="237"/>
      <c r="U1767" s="237"/>
      <c r="V1767" s="237"/>
      <c r="W1767" s="237"/>
      <c r="X1767" s="237"/>
      <c r="Y1767" s="237"/>
      <c r="Z1767" s="237"/>
    </row>
    <row r="1768">
      <c r="A1768" s="305">
        <v>1767.0</v>
      </c>
      <c r="B1768" s="236"/>
      <c r="C1768" s="307" t="s">
        <v>1420</v>
      </c>
      <c r="D1768" s="308" t="s">
        <v>8935</v>
      </c>
      <c r="E1768" s="305" t="s">
        <v>8936</v>
      </c>
      <c r="F1768" s="309" t="s">
        <v>14639</v>
      </c>
      <c r="G1768" s="236"/>
      <c r="H1768" s="307" t="s">
        <v>1420</v>
      </c>
      <c r="I1768" s="237"/>
      <c r="J1768" s="237"/>
      <c r="K1768" s="310" t="s">
        <v>8934</v>
      </c>
      <c r="L1768" s="237"/>
      <c r="M1768" s="237"/>
      <c r="N1768" s="237"/>
      <c r="O1768" s="237"/>
      <c r="P1768" s="237"/>
      <c r="Q1768" s="237"/>
      <c r="R1768" s="237"/>
      <c r="S1768" s="237"/>
      <c r="T1768" s="237"/>
      <c r="U1768" s="237"/>
      <c r="V1768" s="237"/>
      <c r="W1768" s="237"/>
      <c r="X1768" s="237"/>
      <c r="Y1768" s="237"/>
      <c r="Z1768" s="237"/>
    </row>
    <row r="1769">
      <c r="A1769" s="305">
        <v>1768.0</v>
      </c>
      <c r="B1769" s="236"/>
      <c r="C1769" s="307" t="s">
        <v>1420</v>
      </c>
      <c r="D1769" s="308" t="s">
        <v>8931</v>
      </c>
      <c r="E1769" s="305" t="s">
        <v>8932</v>
      </c>
      <c r="F1769" s="309" t="s">
        <v>8933</v>
      </c>
      <c r="G1769" s="236"/>
      <c r="H1769" s="307" t="s">
        <v>1420</v>
      </c>
      <c r="I1769" s="237"/>
      <c r="J1769" s="237"/>
      <c r="K1769" s="310" t="s">
        <v>8930</v>
      </c>
      <c r="L1769" s="237"/>
      <c r="M1769" s="237"/>
      <c r="N1769" s="237"/>
      <c r="O1769" s="237"/>
      <c r="P1769" s="237"/>
      <c r="Q1769" s="237"/>
      <c r="R1769" s="237"/>
      <c r="S1769" s="237"/>
      <c r="T1769" s="237"/>
      <c r="U1769" s="237"/>
      <c r="V1769" s="237"/>
      <c r="W1769" s="237"/>
      <c r="X1769" s="237"/>
      <c r="Y1769" s="237"/>
      <c r="Z1769" s="237"/>
    </row>
    <row r="1770">
      <c r="A1770" s="305">
        <v>1769.0</v>
      </c>
      <c r="B1770" s="236"/>
      <c r="C1770" s="307" t="s">
        <v>1420</v>
      </c>
      <c r="D1770" s="308" t="s">
        <v>8968</v>
      </c>
      <c r="E1770" s="305" t="s">
        <v>8969</v>
      </c>
      <c r="F1770" s="309" t="s">
        <v>8970</v>
      </c>
      <c r="G1770" s="236"/>
      <c r="H1770" s="307" t="s">
        <v>1420</v>
      </c>
      <c r="I1770" s="237"/>
      <c r="J1770" s="237"/>
      <c r="K1770" s="310" t="s">
        <v>8967</v>
      </c>
      <c r="L1770" s="237"/>
      <c r="M1770" s="237"/>
      <c r="N1770" s="237"/>
      <c r="O1770" s="237"/>
      <c r="P1770" s="237"/>
      <c r="Q1770" s="237"/>
      <c r="R1770" s="237"/>
      <c r="S1770" s="237"/>
      <c r="T1770" s="237"/>
      <c r="U1770" s="237"/>
      <c r="V1770" s="237"/>
      <c r="W1770" s="237"/>
      <c r="X1770" s="237"/>
      <c r="Y1770" s="237"/>
      <c r="Z1770" s="237"/>
    </row>
    <row r="1771">
      <c r="A1771" s="305">
        <v>1770.0</v>
      </c>
      <c r="B1771" s="236"/>
      <c r="C1771" s="307" t="s">
        <v>1420</v>
      </c>
      <c r="D1771" s="308" t="s">
        <v>8927</v>
      </c>
      <c r="E1771" s="305" t="s">
        <v>8928</v>
      </c>
      <c r="F1771" s="309" t="s">
        <v>8929</v>
      </c>
      <c r="G1771" s="236"/>
      <c r="H1771" s="307" t="s">
        <v>1420</v>
      </c>
      <c r="I1771" s="237"/>
      <c r="J1771" s="237"/>
      <c r="K1771" s="310" t="s">
        <v>8926</v>
      </c>
      <c r="L1771" s="237"/>
      <c r="M1771" s="237"/>
      <c r="N1771" s="237"/>
      <c r="O1771" s="237"/>
      <c r="P1771" s="237"/>
      <c r="Q1771" s="237"/>
      <c r="R1771" s="237"/>
      <c r="S1771" s="237"/>
      <c r="T1771" s="237"/>
      <c r="U1771" s="237"/>
      <c r="V1771" s="237"/>
      <c r="W1771" s="237"/>
      <c r="X1771" s="237"/>
      <c r="Y1771" s="237"/>
      <c r="Z1771" s="237"/>
    </row>
    <row r="1772">
      <c r="A1772" s="305">
        <v>1771.0</v>
      </c>
      <c r="B1772" s="236"/>
      <c r="C1772" s="307" t="s">
        <v>1420</v>
      </c>
      <c r="D1772" s="308" t="s">
        <v>8961</v>
      </c>
      <c r="E1772" s="305" t="s">
        <v>8962</v>
      </c>
      <c r="F1772" s="309" t="s">
        <v>8963</v>
      </c>
      <c r="G1772" s="236"/>
      <c r="H1772" s="307" t="s">
        <v>1420</v>
      </c>
      <c r="I1772" s="237"/>
      <c r="J1772" s="237"/>
      <c r="K1772" s="310" t="s">
        <v>8960</v>
      </c>
      <c r="L1772" s="237"/>
      <c r="M1772" s="237"/>
      <c r="N1772" s="237"/>
      <c r="O1772" s="237"/>
      <c r="P1772" s="237"/>
      <c r="Q1772" s="237"/>
      <c r="R1772" s="237"/>
      <c r="S1772" s="237"/>
      <c r="T1772" s="237"/>
      <c r="U1772" s="237"/>
      <c r="V1772" s="237"/>
      <c r="W1772" s="237"/>
      <c r="X1772" s="237"/>
      <c r="Y1772" s="237"/>
      <c r="Z1772" s="237"/>
    </row>
    <row r="1773">
      <c r="A1773" s="305">
        <v>1772.0</v>
      </c>
      <c r="B1773" s="236"/>
      <c r="C1773" s="307" t="s">
        <v>1420</v>
      </c>
      <c r="D1773" s="308" t="s">
        <v>8949</v>
      </c>
      <c r="E1773" s="305" t="s">
        <v>8950</v>
      </c>
      <c r="F1773" s="309" t="s">
        <v>8951</v>
      </c>
      <c r="G1773" s="236"/>
      <c r="H1773" s="307" t="s">
        <v>1420</v>
      </c>
      <c r="I1773" s="237"/>
      <c r="J1773" s="237"/>
      <c r="K1773" s="310" t="s">
        <v>8948</v>
      </c>
      <c r="L1773" s="237"/>
      <c r="M1773" s="237"/>
      <c r="N1773" s="237"/>
      <c r="O1773" s="237"/>
      <c r="P1773" s="237"/>
      <c r="Q1773" s="237"/>
      <c r="R1773" s="237"/>
      <c r="S1773" s="237"/>
      <c r="T1773" s="237"/>
      <c r="U1773" s="237"/>
      <c r="V1773" s="237"/>
      <c r="W1773" s="237"/>
      <c r="X1773" s="237"/>
      <c r="Y1773" s="237"/>
      <c r="Z1773" s="237"/>
    </row>
    <row r="1774">
      <c r="A1774" s="305">
        <v>1773.0</v>
      </c>
      <c r="B1774" s="236"/>
      <c r="C1774" s="307" t="s">
        <v>1420</v>
      </c>
      <c r="D1774" s="308" t="s">
        <v>8941</v>
      </c>
      <c r="E1774" s="305" t="s">
        <v>8942</v>
      </c>
      <c r="F1774" s="309" t="s">
        <v>8943</v>
      </c>
      <c r="G1774" s="236"/>
      <c r="H1774" s="307" t="s">
        <v>1420</v>
      </c>
      <c r="I1774" s="237"/>
      <c r="J1774" s="237"/>
      <c r="K1774" s="310" t="s">
        <v>8940</v>
      </c>
      <c r="L1774" s="237"/>
      <c r="M1774" s="237"/>
      <c r="N1774" s="237"/>
      <c r="O1774" s="237"/>
      <c r="P1774" s="237"/>
      <c r="Q1774" s="237"/>
      <c r="R1774" s="237"/>
      <c r="S1774" s="237"/>
      <c r="T1774" s="237"/>
      <c r="U1774" s="237"/>
      <c r="V1774" s="237"/>
      <c r="W1774" s="237"/>
      <c r="X1774" s="237"/>
      <c r="Y1774" s="237"/>
      <c r="Z1774" s="237"/>
    </row>
    <row r="1775">
      <c r="A1775" s="305">
        <v>1774.0</v>
      </c>
      <c r="B1775" s="236"/>
      <c r="C1775" s="307" t="s">
        <v>1420</v>
      </c>
      <c r="D1775" s="308" t="s">
        <v>8953</v>
      </c>
      <c r="E1775" s="305" t="s">
        <v>8954</v>
      </c>
      <c r="F1775" s="309" t="s">
        <v>8955</v>
      </c>
      <c r="G1775" s="236"/>
      <c r="H1775" s="307" t="s">
        <v>1420</v>
      </c>
      <c r="I1775" s="237"/>
      <c r="J1775" s="237"/>
      <c r="K1775" s="310" t="s">
        <v>8952</v>
      </c>
      <c r="L1775" s="237"/>
      <c r="M1775" s="237"/>
      <c r="N1775" s="237"/>
      <c r="O1775" s="237"/>
      <c r="P1775" s="237"/>
      <c r="Q1775" s="237"/>
      <c r="R1775" s="237"/>
      <c r="S1775" s="237"/>
      <c r="T1775" s="237"/>
      <c r="U1775" s="237"/>
      <c r="V1775" s="237"/>
      <c r="W1775" s="237"/>
      <c r="X1775" s="237"/>
      <c r="Y1775" s="237"/>
      <c r="Z1775" s="237"/>
    </row>
    <row r="1776">
      <c r="A1776" s="305">
        <v>1775.0</v>
      </c>
      <c r="B1776" s="236"/>
      <c r="C1776" s="307" t="s">
        <v>1420</v>
      </c>
      <c r="D1776" s="308" t="s">
        <v>9085</v>
      </c>
      <c r="E1776" s="305" t="s">
        <v>9086</v>
      </c>
      <c r="F1776" s="309" t="s">
        <v>9087</v>
      </c>
      <c r="G1776" s="236"/>
      <c r="H1776" s="307" t="s">
        <v>1420</v>
      </c>
      <c r="I1776" s="237"/>
      <c r="J1776" s="237"/>
      <c r="K1776" s="310" t="s">
        <v>9084</v>
      </c>
      <c r="L1776" s="237"/>
      <c r="M1776" s="237"/>
      <c r="N1776" s="237"/>
      <c r="O1776" s="237"/>
      <c r="P1776" s="237"/>
      <c r="Q1776" s="237"/>
      <c r="R1776" s="237"/>
      <c r="S1776" s="237"/>
      <c r="T1776" s="237"/>
      <c r="U1776" s="237"/>
      <c r="V1776" s="237"/>
      <c r="W1776" s="237"/>
      <c r="X1776" s="237"/>
      <c r="Y1776" s="237"/>
      <c r="Z1776" s="237"/>
    </row>
    <row r="1777">
      <c r="A1777" s="305">
        <v>1776.0</v>
      </c>
      <c r="B1777" s="236"/>
      <c r="C1777" s="307" t="s">
        <v>1420</v>
      </c>
      <c r="D1777" s="308" t="s">
        <v>9077</v>
      </c>
      <c r="E1777" s="305" t="s">
        <v>9078</v>
      </c>
      <c r="F1777" s="309" t="s">
        <v>9079</v>
      </c>
      <c r="G1777" s="236"/>
      <c r="H1777" s="307" t="s">
        <v>1420</v>
      </c>
      <c r="I1777" s="237"/>
      <c r="J1777" s="237"/>
      <c r="K1777" s="310" t="s">
        <v>9076</v>
      </c>
      <c r="L1777" s="237"/>
      <c r="M1777" s="237"/>
      <c r="N1777" s="237"/>
      <c r="O1777" s="237"/>
      <c r="P1777" s="237"/>
      <c r="Q1777" s="237"/>
      <c r="R1777" s="237"/>
      <c r="S1777" s="237"/>
      <c r="T1777" s="237"/>
      <c r="U1777" s="237"/>
      <c r="V1777" s="237"/>
      <c r="W1777" s="237"/>
      <c r="X1777" s="237"/>
      <c r="Y1777" s="237"/>
      <c r="Z1777" s="237"/>
    </row>
    <row r="1778">
      <c r="A1778" s="305">
        <v>1777.0</v>
      </c>
      <c r="B1778" s="236"/>
      <c r="C1778" s="307" t="s">
        <v>1420</v>
      </c>
      <c r="D1778" s="308" t="s">
        <v>9073</v>
      </c>
      <c r="E1778" s="305" t="s">
        <v>9074</v>
      </c>
      <c r="F1778" s="309" t="s">
        <v>9075</v>
      </c>
      <c r="G1778" s="236"/>
      <c r="H1778" s="307" t="s">
        <v>1420</v>
      </c>
      <c r="I1778" s="237"/>
      <c r="J1778" s="237"/>
      <c r="K1778" s="310" t="s">
        <v>9072</v>
      </c>
      <c r="L1778" s="237"/>
      <c r="M1778" s="237"/>
      <c r="N1778" s="237"/>
      <c r="O1778" s="237"/>
      <c r="P1778" s="237"/>
      <c r="Q1778" s="237"/>
      <c r="R1778" s="237"/>
      <c r="S1778" s="237"/>
      <c r="T1778" s="237"/>
      <c r="U1778" s="237"/>
      <c r="V1778" s="237"/>
      <c r="W1778" s="237"/>
      <c r="X1778" s="237"/>
      <c r="Y1778" s="237"/>
      <c r="Z1778" s="237"/>
    </row>
    <row r="1779">
      <c r="A1779" s="305">
        <v>1778.0</v>
      </c>
      <c r="B1779" s="236"/>
      <c r="C1779" s="307" t="s">
        <v>1420</v>
      </c>
      <c r="D1779" s="308" t="s">
        <v>9069</v>
      </c>
      <c r="E1779" s="305" t="s">
        <v>9070</v>
      </c>
      <c r="F1779" s="309" t="s">
        <v>9071</v>
      </c>
      <c r="G1779" s="236"/>
      <c r="H1779" s="307" t="s">
        <v>1420</v>
      </c>
      <c r="I1779" s="237"/>
      <c r="J1779" s="237"/>
      <c r="K1779" s="310" t="s">
        <v>9068</v>
      </c>
      <c r="L1779" s="237"/>
      <c r="M1779" s="237"/>
      <c r="N1779" s="237"/>
      <c r="O1779" s="237"/>
      <c r="P1779" s="237"/>
      <c r="Q1779" s="237"/>
      <c r="R1779" s="237"/>
      <c r="S1779" s="237"/>
      <c r="T1779" s="237"/>
      <c r="U1779" s="237"/>
      <c r="V1779" s="237"/>
      <c r="W1779" s="237"/>
      <c r="X1779" s="237"/>
      <c r="Y1779" s="237"/>
      <c r="Z1779" s="237"/>
    </row>
    <row r="1780">
      <c r="A1780" s="305">
        <v>1779.0</v>
      </c>
      <c r="B1780" s="236"/>
      <c r="C1780" s="307" t="s">
        <v>1420</v>
      </c>
      <c r="D1780" s="308" t="s">
        <v>9081</v>
      </c>
      <c r="E1780" s="305" t="s">
        <v>9082</v>
      </c>
      <c r="F1780" s="309" t="s">
        <v>9083</v>
      </c>
      <c r="G1780" s="236"/>
      <c r="H1780" s="307" t="s">
        <v>1420</v>
      </c>
      <c r="I1780" s="237"/>
      <c r="J1780" s="237"/>
      <c r="K1780" s="310" t="s">
        <v>9080</v>
      </c>
      <c r="L1780" s="237"/>
      <c r="M1780" s="237"/>
      <c r="N1780" s="237"/>
      <c r="O1780" s="237"/>
      <c r="P1780" s="237"/>
      <c r="Q1780" s="237"/>
      <c r="R1780" s="237"/>
      <c r="S1780" s="237"/>
      <c r="T1780" s="237"/>
      <c r="U1780" s="237"/>
      <c r="V1780" s="237"/>
      <c r="W1780" s="237"/>
      <c r="X1780" s="237"/>
      <c r="Y1780" s="237"/>
      <c r="Z1780" s="237"/>
    </row>
    <row r="1781">
      <c r="A1781" s="305">
        <v>1780.0</v>
      </c>
      <c r="B1781" s="236"/>
      <c r="C1781" s="307" t="s">
        <v>1420</v>
      </c>
      <c r="D1781" s="308" t="s">
        <v>8972</v>
      </c>
      <c r="E1781" s="305" t="s">
        <v>8973</v>
      </c>
      <c r="F1781" s="309" t="s">
        <v>8974</v>
      </c>
      <c r="G1781" s="236"/>
      <c r="H1781" s="307" t="s">
        <v>1420</v>
      </c>
      <c r="I1781" s="237"/>
      <c r="J1781" s="237"/>
      <c r="K1781" s="310" t="s">
        <v>8971</v>
      </c>
      <c r="L1781" s="237"/>
      <c r="M1781" s="237"/>
      <c r="N1781" s="237"/>
      <c r="O1781" s="237"/>
      <c r="P1781" s="237"/>
      <c r="Q1781" s="237"/>
      <c r="R1781" s="237"/>
      <c r="S1781" s="237"/>
      <c r="T1781" s="237"/>
      <c r="U1781" s="237"/>
      <c r="V1781" s="237"/>
      <c r="W1781" s="237"/>
      <c r="X1781" s="237"/>
      <c r="Y1781" s="237"/>
      <c r="Z1781" s="237"/>
    </row>
    <row r="1782">
      <c r="A1782" s="305">
        <v>1781.0</v>
      </c>
      <c r="B1782" s="236"/>
      <c r="C1782" s="307" t="s">
        <v>1420</v>
      </c>
      <c r="D1782" s="308" t="s">
        <v>8976</v>
      </c>
      <c r="E1782" s="305" t="s">
        <v>8977</v>
      </c>
      <c r="F1782" s="309" t="s">
        <v>8978</v>
      </c>
      <c r="G1782" s="236"/>
      <c r="H1782" s="307" t="s">
        <v>1420</v>
      </c>
      <c r="I1782" s="237"/>
      <c r="J1782" s="237"/>
      <c r="K1782" s="310" t="s">
        <v>8975</v>
      </c>
      <c r="L1782" s="237"/>
      <c r="M1782" s="237"/>
      <c r="N1782" s="237"/>
      <c r="O1782" s="237"/>
      <c r="P1782" s="237"/>
      <c r="Q1782" s="237"/>
      <c r="R1782" s="237"/>
      <c r="S1782" s="237"/>
      <c r="T1782" s="237"/>
      <c r="U1782" s="237"/>
      <c r="V1782" s="237"/>
      <c r="W1782" s="237"/>
      <c r="X1782" s="237"/>
      <c r="Y1782" s="237"/>
      <c r="Z1782" s="237"/>
    </row>
    <row r="1783">
      <c r="A1783" s="305">
        <v>1782.0</v>
      </c>
      <c r="B1783" s="236"/>
      <c r="C1783" s="307" t="s">
        <v>1420</v>
      </c>
      <c r="D1783" s="308" t="s">
        <v>8984</v>
      </c>
      <c r="E1783" s="305" t="s">
        <v>8985</v>
      </c>
      <c r="F1783" s="309" t="s">
        <v>8986</v>
      </c>
      <c r="G1783" s="236"/>
      <c r="H1783" s="307" t="s">
        <v>1420</v>
      </c>
      <c r="I1783" s="237"/>
      <c r="J1783" s="237"/>
      <c r="K1783" s="310" t="s">
        <v>8983</v>
      </c>
      <c r="L1783" s="237"/>
      <c r="M1783" s="237"/>
      <c r="N1783" s="237"/>
      <c r="O1783" s="237"/>
      <c r="P1783" s="237"/>
      <c r="Q1783" s="237"/>
      <c r="R1783" s="237"/>
      <c r="S1783" s="237"/>
      <c r="T1783" s="237"/>
      <c r="U1783" s="237"/>
      <c r="V1783" s="237"/>
      <c r="W1783" s="237"/>
      <c r="X1783" s="237"/>
      <c r="Y1783" s="237"/>
      <c r="Z1783" s="237"/>
    </row>
    <row r="1784">
      <c r="A1784" s="305">
        <v>1783.0</v>
      </c>
      <c r="B1784" s="236"/>
      <c r="C1784" s="307" t="s">
        <v>1420</v>
      </c>
      <c r="D1784" s="308" t="s">
        <v>8980</v>
      </c>
      <c r="E1784" s="305" t="s">
        <v>8981</v>
      </c>
      <c r="F1784" s="309" t="s">
        <v>14640</v>
      </c>
      <c r="G1784" s="236"/>
      <c r="H1784" s="307" t="s">
        <v>1420</v>
      </c>
      <c r="I1784" s="237"/>
      <c r="J1784" s="237"/>
      <c r="K1784" s="310" t="s">
        <v>8979</v>
      </c>
      <c r="L1784" s="237"/>
      <c r="M1784" s="237"/>
      <c r="N1784" s="237"/>
      <c r="O1784" s="237"/>
      <c r="P1784" s="237"/>
      <c r="Q1784" s="237"/>
      <c r="R1784" s="237"/>
      <c r="S1784" s="237"/>
      <c r="T1784" s="237"/>
      <c r="U1784" s="237"/>
      <c r="V1784" s="237"/>
      <c r="W1784" s="237"/>
      <c r="X1784" s="237"/>
      <c r="Y1784" s="237"/>
      <c r="Z1784" s="237"/>
    </row>
    <row r="1785">
      <c r="A1785" s="305">
        <v>1784.0</v>
      </c>
      <c r="B1785" s="306" t="s">
        <v>9088</v>
      </c>
      <c r="C1785" s="307" t="s">
        <v>1420</v>
      </c>
      <c r="D1785" s="308" t="s">
        <v>9090</v>
      </c>
      <c r="E1785" s="305" t="s">
        <v>9091</v>
      </c>
      <c r="F1785" s="309" t="s">
        <v>9092</v>
      </c>
      <c r="G1785" s="236"/>
      <c r="H1785" s="307" t="s">
        <v>1420</v>
      </c>
      <c r="I1785" s="237"/>
      <c r="J1785" s="237"/>
      <c r="K1785" s="310" t="s">
        <v>9089</v>
      </c>
      <c r="L1785" s="237"/>
      <c r="M1785" s="237"/>
      <c r="N1785" s="237"/>
      <c r="O1785" s="237"/>
      <c r="P1785" s="237"/>
      <c r="Q1785" s="237"/>
      <c r="R1785" s="237"/>
      <c r="S1785" s="237"/>
      <c r="T1785" s="237"/>
      <c r="U1785" s="237"/>
      <c r="V1785" s="237"/>
      <c r="W1785" s="237"/>
      <c r="X1785" s="237"/>
      <c r="Y1785" s="237"/>
      <c r="Z1785" s="237"/>
    </row>
    <row r="1786">
      <c r="A1786" s="305">
        <v>1785.0</v>
      </c>
      <c r="B1786" s="306" t="s">
        <v>9088</v>
      </c>
      <c r="C1786" s="307" t="s">
        <v>1420</v>
      </c>
      <c r="D1786" s="308" t="s">
        <v>9090</v>
      </c>
      <c r="E1786" s="305" t="s">
        <v>9091</v>
      </c>
      <c r="F1786" s="309" t="s">
        <v>9119</v>
      </c>
      <c r="G1786" s="236"/>
      <c r="H1786" s="307" t="s">
        <v>1420</v>
      </c>
      <c r="I1786" s="237"/>
      <c r="J1786" s="237"/>
      <c r="K1786" s="310" t="s">
        <v>9118</v>
      </c>
      <c r="L1786" s="237"/>
      <c r="M1786" s="237"/>
      <c r="N1786" s="237"/>
      <c r="O1786" s="237"/>
      <c r="P1786" s="237"/>
      <c r="Q1786" s="237"/>
      <c r="R1786" s="237"/>
      <c r="S1786" s="237"/>
      <c r="T1786" s="237"/>
      <c r="U1786" s="237"/>
      <c r="V1786" s="237"/>
      <c r="W1786" s="237"/>
      <c r="X1786" s="237"/>
      <c r="Y1786" s="237"/>
      <c r="Z1786" s="237"/>
    </row>
    <row r="1787">
      <c r="A1787" s="305">
        <v>1786.0</v>
      </c>
      <c r="B1787" s="306" t="s">
        <v>9113</v>
      </c>
      <c r="C1787" s="307" t="s">
        <v>1420</v>
      </c>
      <c r="D1787" s="308" t="s">
        <v>9115</v>
      </c>
      <c r="E1787" s="305" t="s">
        <v>9116</v>
      </c>
      <c r="F1787" s="309" t="s">
        <v>9117</v>
      </c>
      <c r="G1787" s="236"/>
      <c r="H1787" s="307" t="s">
        <v>1420</v>
      </c>
      <c r="I1787" s="237"/>
      <c r="J1787" s="237"/>
      <c r="K1787" s="310" t="s">
        <v>9114</v>
      </c>
      <c r="L1787" s="237"/>
      <c r="M1787" s="237"/>
      <c r="N1787" s="237"/>
      <c r="O1787" s="237"/>
      <c r="P1787" s="237"/>
      <c r="Q1787" s="237"/>
      <c r="R1787" s="237"/>
      <c r="S1787" s="237"/>
      <c r="T1787" s="237"/>
      <c r="U1787" s="237"/>
      <c r="V1787" s="237"/>
      <c r="W1787" s="237"/>
      <c r="X1787" s="237"/>
      <c r="Y1787" s="237"/>
      <c r="Z1787" s="237"/>
    </row>
    <row r="1788">
      <c r="A1788" s="305">
        <v>1787.0</v>
      </c>
      <c r="B1788" s="306" t="s">
        <v>9103</v>
      </c>
      <c r="C1788" s="307" t="s">
        <v>1420</v>
      </c>
      <c r="D1788" s="308" t="s">
        <v>9105</v>
      </c>
      <c r="E1788" s="305" t="s">
        <v>9106</v>
      </c>
      <c r="F1788" s="309" t="s">
        <v>9107</v>
      </c>
      <c r="G1788" s="236"/>
      <c r="H1788" s="307" t="s">
        <v>1420</v>
      </c>
      <c r="I1788" s="237"/>
      <c r="J1788" s="237"/>
      <c r="K1788" s="310" t="s">
        <v>9104</v>
      </c>
      <c r="L1788" s="237"/>
      <c r="M1788" s="237"/>
      <c r="N1788" s="237"/>
      <c r="O1788" s="237"/>
      <c r="P1788" s="237"/>
      <c r="Q1788" s="237"/>
      <c r="R1788" s="237"/>
      <c r="S1788" s="237"/>
      <c r="T1788" s="237"/>
      <c r="U1788" s="237"/>
      <c r="V1788" s="237"/>
      <c r="W1788" s="237"/>
      <c r="X1788" s="237"/>
      <c r="Y1788" s="237"/>
      <c r="Z1788" s="237"/>
    </row>
    <row r="1789">
      <c r="A1789" s="305">
        <v>1788.0</v>
      </c>
      <c r="B1789" s="306" t="s">
        <v>9093</v>
      </c>
      <c r="C1789" s="307" t="s">
        <v>1420</v>
      </c>
      <c r="D1789" s="308" t="s">
        <v>9095</v>
      </c>
      <c r="E1789" s="305" t="s">
        <v>9096</v>
      </c>
      <c r="F1789" s="309" t="s">
        <v>9097</v>
      </c>
      <c r="G1789" s="236"/>
      <c r="H1789" s="307" t="s">
        <v>1420</v>
      </c>
      <c r="I1789" s="237"/>
      <c r="J1789" s="237"/>
      <c r="K1789" s="310" t="s">
        <v>9094</v>
      </c>
      <c r="L1789" s="237"/>
      <c r="M1789" s="237"/>
      <c r="N1789" s="237"/>
      <c r="O1789" s="237"/>
      <c r="P1789" s="237"/>
      <c r="Q1789" s="237"/>
      <c r="R1789" s="237"/>
      <c r="S1789" s="237"/>
      <c r="T1789" s="237"/>
      <c r="U1789" s="237"/>
      <c r="V1789" s="237"/>
      <c r="W1789" s="237"/>
      <c r="X1789" s="237"/>
      <c r="Y1789" s="237"/>
      <c r="Z1789" s="237"/>
    </row>
    <row r="1790">
      <c r="A1790" s="305">
        <v>1789.0</v>
      </c>
      <c r="B1790" s="306" t="s">
        <v>9093</v>
      </c>
      <c r="C1790" s="307" t="s">
        <v>1420</v>
      </c>
      <c r="D1790" s="308" t="s">
        <v>9095</v>
      </c>
      <c r="E1790" s="305" t="s">
        <v>9096</v>
      </c>
      <c r="F1790" s="309" t="s">
        <v>9121</v>
      </c>
      <c r="G1790" s="236"/>
      <c r="H1790" s="307" t="s">
        <v>1420</v>
      </c>
      <c r="I1790" s="237"/>
      <c r="J1790" s="237"/>
      <c r="K1790" s="310" t="s">
        <v>9120</v>
      </c>
      <c r="L1790" s="237"/>
      <c r="M1790" s="237"/>
      <c r="N1790" s="237"/>
      <c r="O1790" s="237"/>
      <c r="P1790" s="237"/>
      <c r="Q1790" s="237"/>
      <c r="R1790" s="237"/>
      <c r="S1790" s="237"/>
      <c r="T1790" s="237"/>
      <c r="U1790" s="237"/>
      <c r="V1790" s="237"/>
      <c r="W1790" s="237"/>
      <c r="X1790" s="237"/>
      <c r="Y1790" s="237"/>
      <c r="Z1790" s="237"/>
    </row>
    <row r="1791">
      <c r="A1791" s="305">
        <v>1790.0</v>
      </c>
      <c r="B1791" s="306" t="s">
        <v>9098</v>
      </c>
      <c r="C1791" s="307" t="s">
        <v>1420</v>
      </c>
      <c r="D1791" s="308" t="s">
        <v>9100</v>
      </c>
      <c r="E1791" s="305" t="s">
        <v>9101</v>
      </c>
      <c r="F1791" s="309" t="s">
        <v>9102</v>
      </c>
      <c r="G1791" s="236"/>
      <c r="H1791" s="307" t="s">
        <v>1420</v>
      </c>
      <c r="I1791" s="237"/>
      <c r="J1791" s="237"/>
      <c r="K1791" s="310" t="s">
        <v>9099</v>
      </c>
      <c r="L1791" s="237"/>
      <c r="M1791" s="237"/>
      <c r="N1791" s="237"/>
      <c r="O1791" s="237"/>
      <c r="P1791" s="237"/>
      <c r="Q1791" s="237"/>
      <c r="R1791" s="237"/>
      <c r="S1791" s="237"/>
      <c r="T1791" s="237"/>
      <c r="U1791" s="237"/>
      <c r="V1791" s="237"/>
      <c r="W1791" s="237"/>
      <c r="X1791" s="237"/>
      <c r="Y1791" s="237"/>
      <c r="Z1791" s="237"/>
    </row>
    <row r="1792">
      <c r="A1792" s="305">
        <v>1791.0</v>
      </c>
      <c r="B1792" s="236"/>
      <c r="C1792" s="307" t="s">
        <v>1420</v>
      </c>
      <c r="D1792" s="308" t="s">
        <v>9109</v>
      </c>
      <c r="E1792" s="305" t="s">
        <v>9110</v>
      </c>
      <c r="F1792" s="309" t="s">
        <v>9111</v>
      </c>
      <c r="G1792" s="236"/>
      <c r="H1792" s="307" t="s">
        <v>1420</v>
      </c>
      <c r="I1792" s="237"/>
      <c r="J1792" s="237"/>
      <c r="K1792" s="310" t="s">
        <v>9108</v>
      </c>
      <c r="L1792" s="237"/>
      <c r="M1792" s="237"/>
      <c r="N1792" s="237"/>
      <c r="O1792" s="237"/>
      <c r="P1792" s="237"/>
      <c r="Q1792" s="237"/>
      <c r="R1792" s="237"/>
      <c r="S1792" s="237"/>
      <c r="T1792" s="237"/>
      <c r="U1792" s="237"/>
      <c r="V1792" s="237"/>
      <c r="W1792" s="237"/>
      <c r="X1792" s="237"/>
      <c r="Y1792" s="237"/>
      <c r="Z1792" s="237"/>
    </row>
    <row r="1793">
      <c r="A1793" s="305">
        <v>1792.0</v>
      </c>
      <c r="B1793" s="306" t="s">
        <v>8999</v>
      </c>
      <c r="C1793" s="307" t="s">
        <v>1420</v>
      </c>
      <c r="D1793" s="308" t="s">
        <v>9001</v>
      </c>
      <c r="E1793" s="305" t="s">
        <v>9002</v>
      </c>
      <c r="F1793" s="309" t="s">
        <v>9003</v>
      </c>
      <c r="G1793" s="236"/>
      <c r="H1793" s="307" t="s">
        <v>1420</v>
      </c>
      <c r="I1793" s="237"/>
      <c r="J1793" s="237"/>
      <c r="K1793" s="310" t="s">
        <v>9000</v>
      </c>
      <c r="L1793" s="237"/>
      <c r="M1793" s="237"/>
      <c r="N1793" s="237"/>
      <c r="O1793" s="237"/>
      <c r="P1793" s="237"/>
      <c r="Q1793" s="237"/>
      <c r="R1793" s="237"/>
      <c r="S1793" s="237"/>
      <c r="T1793" s="237"/>
      <c r="U1793" s="237"/>
      <c r="V1793" s="237"/>
      <c r="W1793" s="237"/>
      <c r="X1793" s="237"/>
      <c r="Y1793" s="237"/>
      <c r="Z1793" s="237"/>
    </row>
    <row r="1794">
      <c r="A1794" s="305">
        <v>1793.0</v>
      </c>
      <c r="B1794" s="306" t="s">
        <v>9019</v>
      </c>
      <c r="C1794" s="307" t="s">
        <v>1420</v>
      </c>
      <c r="D1794" s="308" t="s">
        <v>9021</v>
      </c>
      <c r="E1794" s="305" t="s">
        <v>9022</v>
      </c>
      <c r="F1794" s="309" t="s">
        <v>9023</v>
      </c>
      <c r="G1794" s="236"/>
      <c r="H1794" s="307" t="s">
        <v>1420</v>
      </c>
      <c r="I1794" s="237"/>
      <c r="J1794" s="237"/>
      <c r="K1794" s="310" t="s">
        <v>9020</v>
      </c>
      <c r="L1794" s="237"/>
      <c r="M1794" s="237"/>
      <c r="N1794" s="237"/>
      <c r="O1794" s="237"/>
      <c r="P1794" s="237"/>
      <c r="Q1794" s="237"/>
      <c r="R1794" s="237"/>
      <c r="S1794" s="237"/>
      <c r="T1794" s="237"/>
      <c r="U1794" s="237"/>
      <c r="V1794" s="237"/>
      <c r="W1794" s="237"/>
      <c r="X1794" s="237"/>
      <c r="Y1794" s="237"/>
      <c r="Z1794" s="237"/>
    </row>
    <row r="1795">
      <c r="A1795" s="305">
        <v>1794.0</v>
      </c>
      <c r="B1795" s="306" t="s">
        <v>9009</v>
      </c>
      <c r="C1795" s="307" t="s">
        <v>1420</v>
      </c>
      <c r="D1795" s="308" t="s">
        <v>9011</v>
      </c>
      <c r="E1795" s="305" t="s">
        <v>9012</v>
      </c>
      <c r="F1795" s="309" t="s">
        <v>9013</v>
      </c>
      <c r="G1795" s="236"/>
      <c r="H1795" s="307" t="s">
        <v>1420</v>
      </c>
      <c r="I1795" s="237"/>
      <c r="J1795" s="237"/>
      <c r="K1795" s="310" t="s">
        <v>9010</v>
      </c>
      <c r="L1795" s="237"/>
      <c r="M1795" s="237"/>
      <c r="N1795" s="237"/>
      <c r="O1795" s="237"/>
      <c r="P1795" s="237"/>
      <c r="Q1795" s="237"/>
      <c r="R1795" s="237"/>
      <c r="S1795" s="237"/>
      <c r="T1795" s="237"/>
      <c r="U1795" s="237"/>
      <c r="V1795" s="237"/>
      <c r="W1795" s="237"/>
      <c r="X1795" s="237"/>
      <c r="Y1795" s="237"/>
      <c r="Z1795" s="237"/>
    </row>
    <row r="1796">
      <c r="A1796" s="305">
        <v>1795.0</v>
      </c>
      <c r="B1796" s="236"/>
      <c r="C1796" s="307" t="s">
        <v>1420</v>
      </c>
      <c r="D1796" s="308" t="s">
        <v>8996</v>
      </c>
      <c r="E1796" s="305" t="s">
        <v>8997</v>
      </c>
      <c r="F1796" s="309" t="s">
        <v>8998</v>
      </c>
      <c r="G1796" s="236"/>
      <c r="H1796" s="307" t="s">
        <v>1420</v>
      </c>
      <c r="I1796" s="237"/>
      <c r="J1796" s="237"/>
      <c r="K1796" s="310" t="s">
        <v>8995</v>
      </c>
      <c r="L1796" s="237"/>
      <c r="M1796" s="237"/>
      <c r="N1796" s="237"/>
      <c r="O1796" s="237"/>
      <c r="P1796" s="237"/>
      <c r="Q1796" s="237"/>
      <c r="R1796" s="237"/>
      <c r="S1796" s="237"/>
      <c r="T1796" s="237"/>
      <c r="U1796" s="237"/>
      <c r="V1796" s="237"/>
      <c r="W1796" s="237"/>
      <c r="X1796" s="237"/>
      <c r="Y1796" s="237"/>
      <c r="Z1796" s="237"/>
    </row>
    <row r="1797">
      <c r="A1797" s="305">
        <v>1796.0</v>
      </c>
      <c r="B1797" s="306" t="s">
        <v>9014</v>
      </c>
      <c r="C1797" s="307" t="s">
        <v>1420</v>
      </c>
      <c r="D1797" s="308" t="s">
        <v>9016</v>
      </c>
      <c r="E1797" s="305" t="s">
        <v>9017</v>
      </c>
      <c r="F1797" s="309" t="s">
        <v>9018</v>
      </c>
      <c r="G1797" s="236"/>
      <c r="H1797" s="307" t="s">
        <v>1420</v>
      </c>
      <c r="I1797" s="237"/>
      <c r="J1797" s="237"/>
      <c r="K1797" s="310" t="s">
        <v>9015</v>
      </c>
      <c r="L1797" s="237"/>
      <c r="M1797" s="237"/>
      <c r="N1797" s="237"/>
      <c r="O1797" s="237"/>
      <c r="P1797" s="237"/>
      <c r="Q1797" s="237"/>
      <c r="R1797" s="237"/>
      <c r="S1797" s="237"/>
      <c r="T1797" s="237"/>
      <c r="U1797" s="237"/>
      <c r="V1797" s="237"/>
      <c r="W1797" s="237"/>
      <c r="X1797" s="237"/>
      <c r="Y1797" s="237"/>
      <c r="Z1797" s="237"/>
    </row>
    <row r="1798">
      <c r="A1798" s="305">
        <v>1797.0</v>
      </c>
      <c r="B1798" s="306" t="s">
        <v>9004</v>
      </c>
      <c r="C1798" s="307" t="s">
        <v>1420</v>
      </c>
      <c r="D1798" s="308" t="s">
        <v>14641</v>
      </c>
      <c r="E1798" s="305" t="s">
        <v>9007</v>
      </c>
      <c r="F1798" s="309" t="s">
        <v>9008</v>
      </c>
      <c r="G1798" s="236"/>
      <c r="H1798" s="307" t="s">
        <v>1420</v>
      </c>
      <c r="I1798" s="237"/>
      <c r="J1798" s="237"/>
      <c r="K1798" s="310" t="s">
        <v>9005</v>
      </c>
      <c r="L1798" s="237"/>
      <c r="M1798" s="237"/>
      <c r="N1798" s="237"/>
      <c r="O1798" s="237"/>
      <c r="P1798" s="237"/>
      <c r="Q1798" s="237"/>
      <c r="R1798" s="237"/>
      <c r="S1798" s="237"/>
      <c r="T1798" s="237"/>
      <c r="U1798" s="237"/>
      <c r="V1798" s="237"/>
      <c r="W1798" s="237"/>
      <c r="X1798" s="237"/>
      <c r="Y1798" s="237"/>
      <c r="Z1798" s="237"/>
    </row>
    <row r="1799">
      <c r="A1799" s="305">
        <v>1798.0</v>
      </c>
      <c r="B1799" s="236"/>
      <c r="C1799" s="307" t="s">
        <v>1420</v>
      </c>
      <c r="D1799" s="308" t="s">
        <v>9025</v>
      </c>
      <c r="E1799" s="305" t="s">
        <v>9026</v>
      </c>
      <c r="F1799" s="309" t="s">
        <v>9027</v>
      </c>
      <c r="G1799" s="236"/>
      <c r="H1799" s="307" t="s">
        <v>1420</v>
      </c>
      <c r="I1799" s="237"/>
      <c r="J1799" s="237"/>
      <c r="K1799" s="310" t="s">
        <v>9024</v>
      </c>
      <c r="L1799" s="237"/>
      <c r="M1799" s="237"/>
      <c r="N1799" s="237"/>
      <c r="O1799" s="237"/>
      <c r="P1799" s="237"/>
      <c r="Q1799" s="237"/>
      <c r="R1799" s="237"/>
      <c r="S1799" s="237"/>
      <c r="T1799" s="237"/>
      <c r="U1799" s="237"/>
      <c r="V1799" s="237"/>
      <c r="W1799" s="237"/>
      <c r="X1799" s="237"/>
      <c r="Y1799" s="237"/>
      <c r="Z1799" s="237"/>
    </row>
    <row r="1800">
      <c r="A1800" s="305">
        <v>1799.0</v>
      </c>
      <c r="B1800" s="306" t="s">
        <v>9033</v>
      </c>
      <c r="C1800" s="307" t="s">
        <v>1420</v>
      </c>
      <c r="D1800" s="308" t="s">
        <v>9035</v>
      </c>
      <c r="E1800" s="305" t="s">
        <v>9036</v>
      </c>
      <c r="F1800" s="309" t="s">
        <v>9037</v>
      </c>
      <c r="G1800" s="236"/>
      <c r="H1800" s="307" t="s">
        <v>1420</v>
      </c>
      <c r="I1800" s="237"/>
      <c r="J1800" s="237"/>
      <c r="K1800" s="310" t="s">
        <v>9034</v>
      </c>
      <c r="L1800" s="237"/>
      <c r="M1800" s="237"/>
      <c r="N1800" s="237"/>
      <c r="O1800" s="237"/>
      <c r="P1800" s="237"/>
      <c r="Q1800" s="237"/>
      <c r="R1800" s="237"/>
      <c r="S1800" s="237"/>
      <c r="T1800" s="237"/>
      <c r="U1800" s="237"/>
      <c r="V1800" s="237"/>
      <c r="W1800" s="237"/>
      <c r="X1800" s="237"/>
      <c r="Y1800" s="237"/>
      <c r="Z1800" s="237"/>
    </row>
    <row r="1801">
      <c r="A1801" s="305">
        <v>1800.0</v>
      </c>
      <c r="B1801" s="306" t="s">
        <v>9043</v>
      </c>
      <c r="C1801" s="307" t="s">
        <v>1420</v>
      </c>
      <c r="D1801" s="308" t="s">
        <v>9045</v>
      </c>
      <c r="E1801" s="305" t="s">
        <v>9046</v>
      </c>
      <c r="F1801" s="309" t="s">
        <v>9047</v>
      </c>
      <c r="G1801" s="236"/>
      <c r="H1801" s="307" t="s">
        <v>1420</v>
      </c>
      <c r="I1801" s="237"/>
      <c r="J1801" s="237"/>
      <c r="K1801" s="310" t="s">
        <v>9044</v>
      </c>
      <c r="L1801" s="237"/>
      <c r="M1801" s="237"/>
      <c r="N1801" s="237"/>
      <c r="O1801" s="237"/>
      <c r="P1801" s="237"/>
      <c r="Q1801" s="237"/>
      <c r="R1801" s="237"/>
      <c r="S1801" s="237"/>
      <c r="T1801" s="237"/>
      <c r="U1801" s="237"/>
      <c r="V1801" s="237"/>
      <c r="W1801" s="237"/>
      <c r="X1801" s="237"/>
      <c r="Y1801" s="237"/>
      <c r="Z1801" s="237"/>
    </row>
    <row r="1802">
      <c r="A1802" s="305">
        <v>1801.0</v>
      </c>
      <c r="B1802" s="306" t="s">
        <v>9038</v>
      </c>
      <c r="C1802" s="307" t="s">
        <v>1420</v>
      </c>
      <c r="D1802" s="308" t="s">
        <v>9040</v>
      </c>
      <c r="E1802" s="305" t="s">
        <v>9041</v>
      </c>
      <c r="F1802" s="309" t="s">
        <v>9042</v>
      </c>
      <c r="G1802" s="236"/>
      <c r="H1802" s="307" t="s">
        <v>1420</v>
      </c>
      <c r="I1802" s="237"/>
      <c r="J1802" s="237"/>
      <c r="K1802" s="310" t="s">
        <v>9039</v>
      </c>
      <c r="L1802" s="237"/>
      <c r="M1802" s="237"/>
      <c r="N1802" s="237"/>
      <c r="O1802" s="237"/>
      <c r="P1802" s="237"/>
      <c r="Q1802" s="237"/>
      <c r="R1802" s="237"/>
      <c r="S1802" s="237"/>
      <c r="T1802" s="237"/>
      <c r="U1802" s="237"/>
      <c r="V1802" s="237"/>
      <c r="W1802" s="237"/>
      <c r="X1802" s="237"/>
      <c r="Y1802" s="237"/>
      <c r="Z1802" s="237"/>
    </row>
    <row r="1803">
      <c r="A1803" s="305">
        <v>1802.0</v>
      </c>
      <c r="B1803" s="306" t="s">
        <v>9028</v>
      </c>
      <c r="C1803" s="307" t="s">
        <v>1420</v>
      </c>
      <c r="D1803" s="308" t="s">
        <v>9030</v>
      </c>
      <c r="E1803" s="305" t="s">
        <v>9031</v>
      </c>
      <c r="F1803" s="309" t="s">
        <v>9032</v>
      </c>
      <c r="G1803" s="236"/>
      <c r="H1803" s="307" t="s">
        <v>1420</v>
      </c>
      <c r="I1803" s="237"/>
      <c r="J1803" s="237"/>
      <c r="K1803" s="310" t="s">
        <v>9029</v>
      </c>
      <c r="L1803" s="237"/>
      <c r="M1803" s="237"/>
      <c r="N1803" s="237"/>
      <c r="O1803" s="237"/>
      <c r="P1803" s="237"/>
      <c r="Q1803" s="237"/>
      <c r="R1803" s="237"/>
      <c r="S1803" s="237"/>
      <c r="T1803" s="237"/>
      <c r="U1803" s="237"/>
      <c r="V1803" s="237"/>
      <c r="W1803" s="237"/>
      <c r="X1803" s="237"/>
      <c r="Y1803" s="237"/>
      <c r="Z1803" s="237"/>
    </row>
    <row r="1804">
      <c r="A1804" s="305">
        <v>1803.0</v>
      </c>
      <c r="B1804" s="236"/>
      <c r="C1804" s="307" t="s">
        <v>1420</v>
      </c>
      <c r="D1804" s="308" t="s">
        <v>10222</v>
      </c>
      <c r="E1804" s="305" t="s">
        <v>10223</v>
      </c>
      <c r="F1804" s="309" t="s">
        <v>10312</v>
      </c>
      <c r="G1804" s="236"/>
      <c r="H1804" s="307" t="s">
        <v>1420</v>
      </c>
      <c r="I1804" s="237"/>
      <c r="J1804" s="237"/>
      <c r="K1804" s="310" t="s">
        <v>10311</v>
      </c>
      <c r="L1804" s="237"/>
      <c r="M1804" s="237"/>
      <c r="N1804" s="237"/>
      <c r="O1804" s="237"/>
      <c r="P1804" s="237"/>
      <c r="Q1804" s="237"/>
      <c r="R1804" s="237"/>
      <c r="S1804" s="237"/>
      <c r="T1804" s="237"/>
      <c r="U1804" s="237"/>
      <c r="V1804" s="237"/>
      <c r="W1804" s="237"/>
      <c r="X1804" s="237"/>
      <c r="Y1804" s="237"/>
      <c r="Z1804" s="237"/>
    </row>
    <row r="1805">
      <c r="A1805" s="305">
        <v>1804.0</v>
      </c>
      <c r="B1805" s="236"/>
      <c r="C1805" s="307" t="s">
        <v>1420</v>
      </c>
      <c r="D1805" s="308" t="s">
        <v>10222</v>
      </c>
      <c r="E1805" s="305" t="s">
        <v>10223</v>
      </c>
      <c r="F1805" s="236"/>
      <c r="G1805" s="236"/>
      <c r="H1805" s="307" t="s">
        <v>1420</v>
      </c>
      <c r="I1805" s="237"/>
      <c r="J1805" s="237"/>
      <c r="K1805" s="310" t="s">
        <v>10468</v>
      </c>
      <c r="L1805" s="237"/>
      <c r="M1805" s="237"/>
      <c r="N1805" s="237"/>
      <c r="O1805" s="237"/>
      <c r="P1805" s="237"/>
      <c r="Q1805" s="237"/>
      <c r="R1805" s="237"/>
      <c r="S1805" s="237"/>
      <c r="T1805" s="237"/>
      <c r="U1805" s="237"/>
      <c r="V1805" s="237"/>
      <c r="W1805" s="237"/>
      <c r="X1805" s="237"/>
      <c r="Y1805" s="237"/>
      <c r="Z1805" s="237"/>
    </row>
    <row r="1806">
      <c r="A1806" s="305">
        <v>1805.0</v>
      </c>
      <c r="B1806" s="236"/>
      <c r="C1806" s="307" t="s">
        <v>1420</v>
      </c>
      <c r="D1806" s="308" t="s">
        <v>10788</v>
      </c>
      <c r="E1806" s="305" t="s">
        <v>10789</v>
      </c>
      <c r="F1806" s="309" t="s">
        <v>10790</v>
      </c>
      <c r="G1806" s="236"/>
      <c r="H1806" s="307" t="s">
        <v>1420</v>
      </c>
      <c r="I1806" s="237"/>
      <c r="J1806" s="237"/>
      <c r="K1806" s="310" t="s">
        <v>10787</v>
      </c>
      <c r="L1806" s="237"/>
      <c r="M1806" s="237"/>
      <c r="N1806" s="237"/>
      <c r="O1806" s="237"/>
      <c r="P1806" s="237"/>
      <c r="Q1806" s="237"/>
      <c r="R1806" s="237"/>
      <c r="S1806" s="237"/>
      <c r="T1806" s="237"/>
      <c r="U1806" s="237"/>
      <c r="V1806" s="237"/>
      <c r="W1806" s="237"/>
      <c r="X1806" s="237"/>
      <c r="Y1806" s="237"/>
      <c r="Z1806" s="237"/>
    </row>
    <row r="1807">
      <c r="A1807" s="305">
        <v>1806.0</v>
      </c>
      <c r="B1807" s="236"/>
      <c r="C1807" s="307" t="s">
        <v>1420</v>
      </c>
      <c r="D1807" s="308" t="s">
        <v>10226</v>
      </c>
      <c r="E1807" s="305" t="s">
        <v>10227</v>
      </c>
      <c r="F1807" s="309" t="s">
        <v>10310</v>
      </c>
      <c r="G1807" s="236"/>
      <c r="H1807" s="307" t="s">
        <v>1420</v>
      </c>
      <c r="I1807" s="237"/>
      <c r="J1807" s="237"/>
      <c r="K1807" s="310" t="s">
        <v>10309</v>
      </c>
      <c r="L1807" s="237"/>
      <c r="M1807" s="237"/>
      <c r="N1807" s="237"/>
      <c r="O1807" s="237"/>
      <c r="P1807" s="237"/>
      <c r="Q1807" s="237"/>
      <c r="R1807" s="237"/>
      <c r="S1807" s="237"/>
      <c r="T1807" s="237"/>
      <c r="U1807" s="237"/>
      <c r="V1807" s="237"/>
      <c r="W1807" s="237"/>
      <c r="X1807" s="237"/>
      <c r="Y1807" s="237"/>
      <c r="Z1807" s="237"/>
    </row>
    <row r="1808">
      <c r="A1808" s="305">
        <v>1807.0</v>
      </c>
      <c r="B1808" s="236"/>
      <c r="C1808" s="307" t="s">
        <v>1420</v>
      </c>
      <c r="D1808" s="308" t="s">
        <v>10226</v>
      </c>
      <c r="E1808" s="305" t="s">
        <v>10227</v>
      </c>
      <c r="F1808" s="236"/>
      <c r="G1808" s="236"/>
      <c r="H1808" s="307" t="s">
        <v>1420</v>
      </c>
      <c r="I1808" s="237"/>
      <c r="J1808" s="237"/>
      <c r="K1808" s="310" t="s">
        <v>10469</v>
      </c>
      <c r="L1808" s="237"/>
      <c r="M1808" s="237"/>
      <c r="N1808" s="237"/>
      <c r="O1808" s="237"/>
      <c r="P1808" s="237"/>
      <c r="Q1808" s="237"/>
      <c r="R1808" s="237"/>
      <c r="S1808" s="237"/>
      <c r="T1808" s="237"/>
      <c r="U1808" s="237"/>
      <c r="V1808" s="237"/>
      <c r="W1808" s="237"/>
      <c r="X1808" s="237"/>
      <c r="Y1808" s="237"/>
      <c r="Z1808" s="237"/>
    </row>
    <row r="1809">
      <c r="A1809" s="305">
        <v>1808.0</v>
      </c>
      <c r="B1809" s="236"/>
      <c r="C1809" s="307" t="s">
        <v>1420</v>
      </c>
      <c r="D1809" s="308" t="s">
        <v>1492</v>
      </c>
      <c r="E1809" s="305" t="s">
        <v>14642</v>
      </c>
      <c r="F1809" s="236"/>
      <c r="G1809" s="236"/>
      <c r="H1809" s="307" t="s">
        <v>1420</v>
      </c>
      <c r="I1809" s="237"/>
      <c r="J1809" s="237"/>
      <c r="K1809" s="310" t="s">
        <v>14643</v>
      </c>
      <c r="L1809" s="237"/>
      <c r="M1809" s="237"/>
      <c r="N1809" s="237"/>
      <c r="O1809" s="237"/>
      <c r="P1809" s="237"/>
      <c r="Q1809" s="237"/>
      <c r="R1809" s="237"/>
      <c r="S1809" s="237"/>
      <c r="T1809" s="237"/>
      <c r="U1809" s="237"/>
      <c r="V1809" s="237"/>
      <c r="W1809" s="237"/>
      <c r="X1809" s="237"/>
      <c r="Y1809" s="237"/>
      <c r="Z1809" s="237"/>
    </row>
    <row r="1810">
      <c r="A1810" s="305">
        <v>1809.0</v>
      </c>
      <c r="B1810" s="236"/>
      <c r="C1810" s="307" t="s">
        <v>1420</v>
      </c>
      <c r="D1810" s="308" t="s">
        <v>1493</v>
      </c>
      <c r="E1810" s="305" t="s">
        <v>14644</v>
      </c>
      <c r="F1810" s="309" t="s">
        <v>14645</v>
      </c>
      <c r="G1810" s="236"/>
      <c r="H1810" s="307" t="s">
        <v>1420</v>
      </c>
      <c r="I1810" s="237"/>
      <c r="J1810" s="237"/>
      <c r="K1810" s="310" t="s">
        <v>13059</v>
      </c>
      <c r="L1810" s="237"/>
      <c r="M1810" s="237"/>
      <c r="N1810" s="237"/>
      <c r="O1810" s="237"/>
      <c r="P1810" s="237"/>
      <c r="Q1810" s="237"/>
      <c r="R1810" s="237"/>
      <c r="S1810" s="237"/>
      <c r="T1810" s="237"/>
      <c r="U1810" s="237"/>
      <c r="V1810" s="237"/>
      <c r="W1810" s="237"/>
      <c r="X1810" s="237"/>
      <c r="Y1810" s="237"/>
      <c r="Z1810" s="237"/>
    </row>
    <row r="1811">
      <c r="A1811" s="305">
        <v>1810.0</v>
      </c>
      <c r="B1811" s="236"/>
      <c r="C1811" s="307" t="s">
        <v>1420</v>
      </c>
      <c r="D1811" s="308" t="s">
        <v>10229</v>
      </c>
      <c r="E1811" s="305" t="s">
        <v>10230</v>
      </c>
      <c r="F1811" s="236"/>
      <c r="G1811" s="236"/>
      <c r="H1811" s="307" t="s">
        <v>1420</v>
      </c>
      <c r="I1811" s="237"/>
      <c r="J1811" s="237"/>
      <c r="K1811" s="310" t="s">
        <v>10308</v>
      </c>
      <c r="L1811" s="237"/>
      <c r="M1811" s="237"/>
      <c r="N1811" s="237"/>
      <c r="O1811" s="237"/>
      <c r="P1811" s="237"/>
      <c r="Q1811" s="237"/>
      <c r="R1811" s="237"/>
      <c r="S1811" s="237"/>
      <c r="T1811" s="237"/>
      <c r="U1811" s="237"/>
      <c r="V1811" s="237"/>
      <c r="W1811" s="237"/>
      <c r="X1811" s="237"/>
      <c r="Y1811" s="237"/>
      <c r="Z1811" s="237"/>
    </row>
    <row r="1812">
      <c r="A1812" s="305">
        <v>1811.0</v>
      </c>
      <c r="B1812" s="236"/>
      <c r="C1812" s="307" t="s">
        <v>1420</v>
      </c>
      <c r="D1812" s="308" t="s">
        <v>10229</v>
      </c>
      <c r="E1812" s="305" t="s">
        <v>10230</v>
      </c>
      <c r="F1812" s="236"/>
      <c r="G1812" s="236"/>
      <c r="H1812" s="307" t="s">
        <v>1420</v>
      </c>
      <c r="I1812" s="237"/>
      <c r="J1812" s="237"/>
      <c r="K1812" s="310" t="s">
        <v>10466</v>
      </c>
      <c r="L1812" s="237"/>
      <c r="M1812" s="237"/>
      <c r="N1812" s="237"/>
      <c r="O1812" s="237"/>
      <c r="P1812" s="237"/>
      <c r="Q1812" s="237"/>
      <c r="R1812" s="237"/>
      <c r="S1812" s="237"/>
      <c r="T1812" s="237"/>
      <c r="U1812" s="237"/>
      <c r="V1812" s="237"/>
      <c r="W1812" s="237"/>
      <c r="X1812" s="237"/>
      <c r="Y1812" s="237"/>
      <c r="Z1812" s="237"/>
    </row>
    <row r="1813">
      <c r="A1813" s="305">
        <v>1812.0</v>
      </c>
      <c r="B1813" s="236"/>
      <c r="C1813" s="307" t="s">
        <v>1420</v>
      </c>
      <c r="D1813" s="308" t="s">
        <v>10229</v>
      </c>
      <c r="E1813" s="305" t="s">
        <v>10230</v>
      </c>
      <c r="F1813" s="236"/>
      <c r="G1813" s="236"/>
      <c r="H1813" s="307" t="s">
        <v>1420</v>
      </c>
      <c r="I1813" s="237"/>
      <c r="J1813" s="237"/>
      <c r="K1813" s="310" t="s">
        <v>10467</v>
      </c>
      <c r="L1813" s="237"/>
      <c r="M1813" s="237"/>
      <c r="N1813" s="237"/>
      <c r="O1813" s="237"/>
      <c r="P1813" s="237"/>
      <c r="Q1813" s="237"/>
      <c r="R1813" s="237"/>
      <c r="S1813" s="237"/>
      <c r="T1813" s="237"/>
      <c r="U1813" s="237"/>
      <c r="V1813" s="237"/>
      <c r="W1813" s="237"/>
      <c r="X1813" s="237"/>
      <c r="Y1813" s="237"/>
      <c r="Z1813" s="237"/>
    </row>
    <row r="1814">
      <c r="A1814" s="305">
        <v>1813.0</v>
      </c>
      <c r="B1814" s="236"/>
      <c r="C1814" s="307" t="s">
        <v>1420</v>
      </c>
      <c r="D1814" s="308" t="s">
        <v>10792</v>
      </c>
      <c r="E1814" s="305" t="s">
        <v>10793</v>
      </c>
      <c r="F1814" s="309" t="s">
        <v>10794</v>
      </c>
      <c r="G1814" s="236"/>
      <c r="H1814" s="307" t="s">
        <v>1420</v>
      </c>
      <c r="I1814" s="237"/>
      <c r="J1814" s="237"/>
      <c r="K1814" s="310" t="s">
        <v>10791</v>
      </c>
      <c r="L1814" s="237"/>
      <c r="M1814" s="237"/>
      <c r="N1814" s="237"/>
      <c r="O1814" s="237"/>
      <c r="P1814" s="237"/>
      <c r="Q1814" s="237"/>
      <c r="R1814" s="237"/>
      <c r="S1814" s="237"/>
      <c r="T1814" s="237"/>
      <c r="U1814" s="237"/>
      <c r="V1814" s="237"/>
      <c r="W1814" s="237"/>
      <c r="X1814" s="237"/>
      <c r="Y1814" s="237"/>
      <c r="Z1814" s="237"/>
    </row>
    <row r="1815">
      <c r="A1815" s="305">
        <v>1814.0</v>
      </c>
      <c r="B1815" s="236"/>
      <c r="C1815" s="307" t="s">
        <v>1420</v>
      </c>
      <c r="D1815" s="308" t="s">
        <v>9057</v>
      </c>
      <c r="E1815" s="305" t="s">
        <v>9058</v>
      </c>
      <c r="F1815" s="309" t="s">
        <v>9059</v>
      </c>
      <c r="G1815" s="236"/>
      <c r="H1815" s="307" t="s">
        <v>1420</v>
      </c>
      <c r="I1815" s="237"/>
      <c r="J1815" s="237"/>
      <c r="K1815" s="310" t="s">
        <v>9056</v>
      </c>
      <c r="L1815" s="237"/>
      <c r="M1815" s="237"/>
      <c r="N1815" s="237"/>
      <c r="O1815" s="237"/>
      <c r="P1815" s="237"/>
      <c r="Q1815" s="237"/>
      <c r="R1815" s="237"/>
      <c r="S1815" s="237"/>
      <c r="T1815" s="237"/>
      <c r="U1815" s="237"/>
      <c r="V1815" s="237"/>
      <c r="W1815" s="237"/>
      <c r="X1815" s="237"/>
      <c r="Y1815" s="237"/>
      <c r="Z1815" s="237"/>
    </row>
    <row r="1816">
      <c r="A1816" s="305">
        <v>1815.0</v>
      </c>
      <c r="B1816" s="236"/>
      <c r="C1816" s="307" t="s">
        <v>1420</v>
      </c>
      <c r="D1816" s="308" t="s">
        <v>9053</v>
      </c>
      <c r="E1816" s="305" t="s">
        <v>9054</v>
      </c>
      <c r="F1816" s="309" t="s">
        <v>9055</v>
      </c>
      <c r="G1816" s="236"/>
      <c r="H1816" s="307" t="s">
        <v>1420</v>
      </c>
      <c r="I1816" s="237"/>
      <c r="J1816" s="237"/>
      <c r="K1816" s="310" t="s">
        <v>9052</v>
      </c>
      <c r="L1816" s="237"/>
      <c r="M1816" s="237"/>
      <c r="N1816" s="237"/>
      <c r="O1816" s="237"/>
      <c r="P1816" s="237"/>
      <c r="Q1816" s="237"/>
      <c r="R1816" s="237"/>
      <c r="S1816" s="237"/>
      <c r="T1816" s="237"/>
      <c r="U1816" s="237"/>
      <c r="V1816" s="237"/>
      <c r="W1816" s="237"/>
      <c r="X1816" s="237"/>
      <c r="Y1816" s="237"/>
      <c r="Z1816" s="237"/>
    </row>
    <row r="1817">
      <c r="A1817" s="305">
        <v>1816.0</v>
      </c>
      <c r="B1817" s="236"/>
      <c r="C1817" s="307" t="s">
        <v>1420</v>
      </c>
      <c r="D1817" s="308" t="s">
        <v>9061</v>
      </c>
      <c r="E1817" s="305" t="s">
        <v>9062</v>
      </c>
      <c r="F1817" s="309" t="s">
        <v>9063</v>
      </c>
      <c r="G1817" s="236"/>
      <c r="H1817" s="307" t="s">
        <v>1420</v>
      </c>
      <c r="I1817" s="237"/>
      <c r="J1817" s="237"/>
      <c r="K1817" s="310" t="s">
        <v>9060</v>
      </c>
      <c r="L1817" s="237"/>
      <c r="M1817" s="237"/>
      <c r="N1817" s="237"/>
      <c r="O1817" s="237"/>
      <c r="P1817" s="237"/>
      <c r="Q1817" s="237"/>
      <c r="R1817" s="237"/>
      <c r="S1817" s="237"/>
      <c r="T1817" s="237"/>
      <c r="U1817" s="237"/>
      <c r="V1817" s="237"/>
      <c r="W1817" s="237"/>
      <c r="X1817" s="237"/>
      <c r="Y1817" s="237"/>
      <c r="Z1817" s="237"/>
    </row>
    <row r="1818">
      <c r="A1818" s="305">
        <v>1817.0</v>
      </c>
      <c r="B1818" s="236"/>
      <c r="C1818" s="307" t="s">
        <v>1420</v>
      </c>
      <c r="D1818" s="308" t="s">
        <v>9049</v>
      </c>
      <c r="E1818" s="305" t="s">
        <v>9050</v>
      </c>
      <c r="F1818" s="309" t="s">
        <v>9051</v>
      </c>
      <c r="G1818" s="236"/>
      <c r="H1818" s="307" t="s">
        <v>1420</v>
      </c>
      <c r="I1818" s="237"/>
      <c r="J1818" s="237"/>
      <c r="K1818" s="310" t="s">
        <v>9048</v>
      </c>
      <c r="L1818" s="237"/>
      <c r="M1818" s="237"/>
      <c r="N1818" s="237"/>
      <c r="O1818" s="237"/>
      <c r="P1818" s="237"/>
      <c r="Q1818" s="237"/>
      <c r="R1818" s="237"/>
      <c r="S1818" s="237"/>
      <c r="T1818" s="237"/>
      <c r="U1818" s="237"/>
      <c r="V1818" s="237"/>
      <c r="W1818" s="237"/>
      <c r="X1818" s="237"/>
      <c r="Y1818" s="237"/>
      <c r="Z1818" s="237"/>
    </row>
    <row r="1819">
      <c r="A1819" s="305">
        <v>1818.0</v>
      </c>
      <c r="B1819" s="236"/>
      <c r="C1819" s="307" t="s">
        <v>1420</v>
      </c>
      <c r="D1819" s="308" t="s">
        <v>9065</v>
      </c>
      <c r="E1819" s="305" t="s">
        <v>9066</v>
      </c>
      <c r="F1819" s="309" t="s">
        <v>9067</v>
      </c>
      <c r="G1819" s="236"/>
      <c r="H1819" s="307" t="s">
        <v>1420</v>
      </c>
      <c r="I1819" s="237"/>
      <c r="J1819" s="237"/>
      <c r="K1819" s="310" t="s">
        <v>9064</v>
      </c>
      <c r="L1819" s="237"/>
      <c r="M1819" s="237"/>
      <c r="N1819" s="237"/>
      <c r="O1819" s="237"/>
      <c r="P1819" s="237"/>
      <c r="Q1819" s="237"/>
      <c r="R1819" s="237"/>
      <c r="S1819" s="237"/>
      <c r="T1819" s="237"/>
      <c r="U1819" s="237"/>
      <c r="V1819" s="237"/>
      <c r="W1819" s="237"/>
      <c r="X1819" s="237"/>
      <c r="Y1819" s="237"/>
      <c r="Z1819" s="237"/>
    </row>
    <row r="1820">
      <c r="A1820" s="305">
        <v>1819.0</v>
      </c>
      <c r="B1820" s="306">
        <v>170541.0</v>
      </c>
      <c r="C1820" s="307" t="s">
        <v>1420</v>
      </c>
      <c r="D1820" s="308" t="s">
        <v>3836</v>
      </c>
      <c r="E1820" s="305" t="s">
        <v>3837</v>
      </c>
      <c r="F1820" s="309" t="s">
        <v>3838</v>
      </c>
      <c r="G1820" s="236"/>
      <c r="H1820" s="307" t="s">
        <v>1420</v>
      </c>
      <c r="I1820" s="237"/>
      <c r="J1820" s="237"/>
      <c r="K1820" s="310" t="s">
        <v>3835</v>
      </c>
      <c r="L1820" s="237"/>
      <c r="M1820" s="237"/>
      <c r="N1820" s="237"/>
      <c r="O1820" s="237"/>
      <c r="P1820" s="237"/>
      <c r="Q1820" s="237"/>
      <c r="R1820" s="237"/>
      <c r="S1820" s="237"/>
      <c r="T1820" s="237"/>
      <c r="U1820" s="237"/>
      <c r="V1820" s="237"/>
      <c r="W1820" s="237"/>
      <c r="X1820" s="237"/>
      <c r="Y1820" s="237"/>
      <c r="Z1820" s="237"/>
    </row>
    <row r="1821">
      <c r="A1821" s="305">
        <v>1820.0</v>
      </c>
      <c r="B1821" s="306">
        <v>170540.0</v>
      </c>
      <c r="C1821" s="307" t="s">
        <v>1420</v>
      </c>
      <c r="D1821" s="308" t="s">
        <v>5497</v>
      </c>
      <c r="E1821" s="305" t="s">
        <v>5498</v>
      </c>
      <c r="F1821" s="309" t="s">
        <v>5499</v>
      </c>
      <c r="G1821" s="236"/>
      <c r="H1821" s="307" t="s">
        <v>1420</v>
      </c>
      <c r="I1821" s="237"/>
      <c r="J1821" s="237"/>
      <c r="K1821" s="310" t="s">
        <v>5496</v>
      </c>
      <c r="L1821" s="237"/>
      <c r="M1821" s="237"/>
      <c r="N1821" s="237"/>
      <c r="O1821" s="237"/>
      <c r="P1821" s="237"/>
      <c r="Q1821" s="237"/>
      <c r="R1821" s="237"/>
      <c r="S1821" s="237"/>
      <c r="T1821" s="237"/>
      <c r="U1821" s="237"/>
      <c r="V1821" s="237"/>
      <c r="W1821" s="237"/>
      <c r="X1821" s="237"/>
      <c r="Y1821" s="237"/>
      <c r="Z1821" s="237"/>
    </row>
    <row r="1822">
      <c r="A1822" s="305">
        <v>1821.0</v>
      </c>
      <c r="B1822" s="236"/>
      <c r="C1822" s="307" t="s">
        <v>1420</v>
      </c>
      <c r="D1822" s="308" t="s">
        <v>14646</v>
      </c>
      <c r="E1822" s="305" t="s">
        <v>5493</v>
      </c>
      <c r="F1822" s="309" t="s">
        <v>5494</v>
      </c>
      <c r="G1822" s="236"/>
      <c r="H1822" s="307" t="s">
        <v>1420</v>
      </c>
      <c r="I1822" s="237"/>
      <c r="J1822" s="237"/>
      <c r="K1822" s="310" t="s">
        <v>5492</v>
      </c>
      <c r="L1822" s="237"/>
      <c r="M1822" s="237"/>
      <c r="N1822" s="237"/>
      <c r="O1822" s="237"/>
      <c r="P1822" s="237"/>
      <c r="Q1822" s="237"/>
      <c r="R1822" s="237"/>
      <c r="S1822" s="237"/>
      <c r="T1822" s="237"/>
      <c r="U1822" s="237"/>
      <c r="V1822" s="237"/>
      <c r="W1822" s="237"/>
      <c r="X1822" s="237"/>
      <c r="Y1822" s="237"/>
      <c r="Z1822" s="237"/>
    </row>
    <row r="1823">
      <c r="A1823" s="305">
        <v>1822.0</v>
      </c>
      <c r="B1823" s="306">
        <v>170549.0</v>
      </c>
      <c r="C1823" s="307" t="s">
        <v>1420</v>
      </c>
      <c r="D1823" s="308" t="s">
        <v>3847</v>
      </c>
      <c r="E1823" s="305" t="s">
        <v>3848</v>
      </c>
      <c r="F1823" s="309" t="s">
        <v>3849</v>
      </c>
      <c r="G1823" s="236"/>
      <c r="H1823" s="307" t="s">
        <v>1420</v>
      </c>
      <c r="I1823" s="237"/>
      <c r="J1823" s="237"/>
      <c r="K1823" s="310" t="s">
        <v>3846</v>
      </c>
      <c r="L1823" s="237"/>
      <c r="M1823" s="237"/>
      <c r="N1823" s="237"/>
      <c r="O1823" s="237"/>
      <c r="P1823" s="237"/>
      <c r="Q1823" s="237"/>
      <c r="R1823" s="237"/>
      <c r="S1823" s="237"/>
      <c r="T1823" s="237"/>
      <c r="U1823" s="237"/>
      <c r="V1823" s="237"/>
      <c r="W1823" s="237"/>
      <c r="X1823" s="237"/>
      <c r="Y1823" s="237"/>
      <c r="Z1823" s="237"/>
    </row>
    <row r="1824">
      <c r="A1824" s="305">
        <v>1823.0</v>
      </c>
      <c r="B1824" s="306">
        <v>170553.0</v>
      </c>
      <c r="C1824" s="307" t="s">
        <v>1420</v>
      </c>
      <c r="D1824" s="308" t="s">
        <v>5513</v>
      </c>
      <c r="E1824" s="305" t="s">
        <v>5514</v>
      </c>
      <c r="F1824" s="309" t="s">
        <v>5515</v>
      </c>
      <c r="G1824" s="236"/>
      <c r="H1824" s="307" t="s">
        <v>1420</v>
      </c>
      <c r="I1824" s="237"/>
      <c r="J1824" s="237"/>
      <c r="K1824" s="310" t="s">
        <v>5512</v>
      </c>
      <c r="L1824" s="237"/>
      <c r="M1824" s="237"/>
      <c r="N1824" s="237"/>
      <c r="O1824" s="237"/>
      <c r="P1824" s="237"/>
      <c r="Q1824" s="237"/>
      <c r="R1824" s="237"/>
      <c r="S1824" s="237"/>
      <c r="T1824" s="237"/>
      <c r="U1824" s="237"/>
      <c r="V1824" s="237"/>
      <c r="W1824" s="237"/>
      <c r="X1824" s="237"/>
      <c r="Y1824" s="237"/>
      <c r="Z1824" s="237"/>
    </row>
    <row r="1825">
      <c r="A1825" s="305">
        <v>1824.0</v>
      </c>
      <c r="B1825" s="306">
        <v>170536.0</v>
      </c>
      <c r="C1825" s="307" t="s">
        <v>1420</v>
      </c>
      <c r="D1825" s="308" t="s">
        <v>5484</v>
      </c>
      <c r="E1825" s="305" t="s">
        <v>5485</v>
      </c>
      <c r="F1825" s="309" t="s">
        <v>5486</v>
      </c>
      <c r="G1825" s="236"/>
      <c r="H1825" s="307" t="s">
        <v>1420</v>
      </c>
      <c r="I1825" s="237"/>
      <c r="J1825" s="237"/>
      <c r="K1825" s="310" t="s">
        <v>5483</v>
      </c>
      <c r="L1825" s="237"/>
      <c r="M1825" s="237"/>
      <c r="N1825" s="237"/>
      <c r="O1825" s="237"/>
      <c r="P1825" s="237"/>
      <c r="Q1825" s="237"/>
      <c r="R1825" s="237"/>
      <c r="S1825" s="237"/>
      <c r="T1825" s="237"/>
      <c r="U1825" s="237"/>
      <c r="V1825" s="237"/>
      <c r="W1825" s="237"/>
      <c r="X1825" s="237"/>
      <c r="Y1825" s="237"/>
      <c r="Z1825" s="237"/>
    </row>
    <row r="1826">
      <c r="A1826" s="305">
        <v>1825.0</v>
      </c>
      <c r="B1826" s="306">
        <v>170537.0</v>
      </c>
      <c r="C1826" s="307" t="s">
        <v>1420</v>
      </c>
      <c r="D1826" s="308" t="s">
        <v>5489</v>
      </c>
      <c r="E1826" s="305" t="s">
        <v>5490</v>
      </c>
      <c r="F1826" s="309" t="s">
        <v>5491</v>
      </c>
      <c r="G1826" s="236"/>
      <c r="H1826" s="307" t="s">
        <v>1420</v>
      </c>
      <c r="I1826" s="237"/>
      <c r="J1826" s="237"/>
      <c r="K1826" s="310" t="s">
        <v>5488</v>
      </c>
      <c r="L1826" s="237"/>
      <c r="M1826" s="237"/>
      <c r="N1826" s="237"/>
      <c r="O1826" s="237"/>
      <c r="P1826" s="237"/>
      <c r="Q1826" s="237"/>
      <c r="R1826" s="237"/>
      <c r="S1826" s="237"/>
      <c r="T1826" s="237"/>
      <c r="U1826" s="237"/>
      <c r="V1826" s="237"/>
      <c r="W1826" s="237"/>
      <c r="X1826" s="237"/>
      <c r="Y1826" s="237"/>
      <c r="Z1826" s="237"/>
    </row>
    <row r="1827">
      <c r="A1827" s="305">
        <v>1826.0</v>
      </c>
      <c r="B1827" s="306">
        <v>170572.0</v>
      </c>
      <c r="C1827" s="307" t="s">
        <v>1420</v>
      </c>
      <c r="D1827" s="308" t="s">
        <v>3892</v>
      </c>
      <c r="E1827" s="305" t="s">
        <v>3893</v>
      </c>
      <c r="F1827" s="309" t="s">
        <v>3894</v>
      </c>
      <c r="G1827" s="236"/>
      <c r="H1827" s="307" t="s">
        <v>1420</v>
      </c>
      <c r="I1827" s="237"/>
      <c r="J1827" s="237"/>
      <c r="K1827" s="310" t="s">
        <v>3891</v>
      </c>
      <c r="L1827" s="237"/>
      <c r="M1827" s="237"/>
      <c r="N1827" s="237"/>
      <c r="O1827" s="237"/>
      <c r="P1827" s="237"/>
      <c r="Q1827" s="237"/>
      <c r="R1827" s="237"/>
      <c r="S1827" s="237"/>
      <c r="T1827" s="237"/>
      <c r="U1827" s="237"/>
      <c r="V1827" s="237"/>
      <c r="W1827" s="237"/>
      <c r="X1827" s="237"/>
      <c r="Y1827" s="237"/>
      <c r="Z1827" s="237"/>
    </row>
    <row r="1828">
      <c r="A1828" s="305">
        <v>1827.0</v>
      </c>
      <c r="B1828" s="306">
        <v>170572.0</v>
      </c>
      <c r="C1828" s="307" t="s">
        <v>1420</v>
      </c>
      <c r="D1828" s="308" t="s">
        <v>3892</v>
      </c>
      <c r="E1828" s="305" t="s">
        <v>3896</v>
      </c>
      <c r="F1828" s="309" t="s">
        <v>3897</v>
      </c>
      <c r="G1828" s="236"/>
      <c r="H1828" s="307" t="s">
        <v>1420</v>
      </c>
      <c r="I1828" s="237"/>
      <c r="J1828" s="237"/>
      <c r="K1828" s="310" t="s">
        <v>3895</v>
      </c>
      <c r="L1828" s="237"/>
      <c r="M1828" s="237"/>
      <c r="N1828" s="237"/>
      <c r="O1828" s="237"/>
      <c r="P1828" s="237"/>
      <c r="Q1828" s="237"/>
      <c r="R1828" s="237"/>
      <c r="S1828" s="237"/>
      <c r="T1828" s="237"/>
      <c r="U1828" s="237"/>
      <c r="V1828" s="237"/>
      <c r="W1828" s="237"/>
      <c r="X1828" s="237"/>
      <c r="Y1828" s="237"/>
      <c r="Z1828" s="237"/>
    </row>
    <row r="1829">
      <c r="A1829" s="305">
        <v>1828.0</v>
      </c>
      <c r="B1829" s="306">
        <v>170576.0</v>
      </c>
      <c r="C1829" s="307" t="s">
        <v>1420</v>
      </c>
      <c r="D1829" s="308" t="s">
        <v>6484</v>
      </c>
      <c r="E1829" s="305" t="s">
        <v>6485</v>
      </c>
      <c r="F1829" s="309" t="s">
        <v>6486</v>
      </c>
      <c r="G1829" s="236"/>
      <c r="H1829" s="307" t="s">
        <v>1420</v>
      </c>
      <c r="I1829" s="237"/>
      <c r="J1829" s="237"/>
      <c r="K1829" s="310" t="s">
        <v>6483</v>
      </c>
      <c r="L1829" s="237"/>
      <c r="M1829" s="237"/>
      <c r="N1829" s="237"/>
      <c r="O1829" s="237"/>
      <c r="P1829" s="237"/>
      <c r="Q1829" s="237"/>
      <c r="R1829" s="237"/>
      <c r="S1829" s="237"/>
      <c r="T1829" s="237"/>
      <c r="U1829" s="237"/>
      <c r="V1829" s="237"/>
      <c r="W1829" s="237"/>
      <c r="X1829" s="237"/>
      <c r="Y1829" s="237"/>
      <c r="Z1829" s="237"/>
    </row>
    <row r="1830">
      <c r="A1830" s="305">
        <v>1829.0</v>
      </c>
      <c r="B1830" s="306">
        <v>170575.0</v>
      </c>
      <c r="C1830" s="307" t="s">
        <v>1420</v>
      </c>
      <c r="D1830" s="308" t="s">
        <v>6479</v>
      </c>
      <c r="E1830" s="305" t="s">
        <v>6480</v>
      </c>
      <c r="F1830" s="309" t="s">
        <v>6481</v>
      </c>
      <c r="G1830" s="236"/>
      <c r="H1830" s="307" t="s">
        <v>1420</v>
      </c>
      <c r="I1830" s="237"/>
      <c r="J1830" s="237"/>
      <c r="K1830" s="310" t="s">
        <v>6478</v>
      </c>
      <c r="L1830" s="237"/>
      <c r="M1830" s="237"/>
      <c r="N1830" s="237"/>
      <c r="O1830" s="237"/>
      <c r="P1830" s="237"/>
      <c r="Q1830" s="237"/>
      <c r="R1830" s="237"/>
      <c r="S1830" s="237"/>
      <c r="T1830" s="237"/>
      <c r="U1830" s="237"/>
      <c r="V1830" s="237"/>
      <c r="W1830" s="237"/>
      <c r="X1830" s="237"/>
      <c r="Y1830" s="237"/>
      <c r="Z1830" s="237"/>
    </row>
    <row r="1831">
      <c r="A1831" s="305">
        <v>1830.0</v>
      </c>
      <c r="B1831" s="306">
        <v>170567.0</v>
      </c>
      <c r="C1831" s="307" t="s">
        <v>1420</v>
      </c>
      <c r="D1831" s="308" t="s">
        <v>3915</v>
      </c>
      <c r="E1831" s="305" t="s">
        <v>3916</v>
      </c>
      <c r="F1831" s="309" t="s">
        <v>3917</v>
      </c>
      <c r="G1831" s="236"/>
      <c r="H1831" s="307" t="s">
        <v>1420</v>
      </c>
      <c r="I1831" s="237"/>
      <c r="J1831" s="237"/>
      <c r="K1831" s="310" t="s">
        <v>3914</v>
      </c>
      <c r="L1831" s="237"/>
      <c r="M1831" s="237"/>
      <c r="N1831" s="237"/>
      <c r="O1831" s="237"/>
      <c r="P1831" s="237"/>
      <c r="Q1831" s="237"/>
      <c r="R1831" s="237"/>
      <c r="S1831" s="237"/>
      <c r="T1831" s="237"/>
      <c r="U1831" s="237"/>
      <c r="V1831" s="237"/>
      <c r="W1831" s="237"/>
      <c r="X1831" s="237"/>
      <c r="Y1831" s="237"/>
      <c r="Z1831" s="237"/>
    </row>
    <row r="1832">
      <c r="A1832" s="305">
        <v>1831.0</v>
      </c>
      <c r="B1832" s="306">
        <v>170565.0</v>
      </c>
      <c r="C1832" s="307" t="s">
        <v>1420</v>
      </c>
      <c r="D1832" s="308" t="s">
        <v>3920</v>
      </c>
      <c r="E1832" s="305" t="s">
        <v>3921</v>
      </c>
      <c r="F1832" s="309" t="s">
        <v>3922</v>
      </c>
      <c r="G1832" s="236"/>
      <c r="H1832" s="307" t="s">
        <v>1420</v>
      </c>
      <c r="I1832" s="237"/>
      <c r="J1832" s="237"/>
      <c r="K1832" s="310" t="s">
        <v>3919</v>
      </c>
      <c r="L1832" s="237"/>
      <c r="M1832" s="237"/>
      <c r="N1832" s="237"/>
      <c r="O1832" s="237"/>
      <c r="P1832" s="237"/>
      <c r="Q1832" s="237"/>
      <c r="R1832" s="237"/>
      <c r="S1832" s="237"/>
      <c r="T1832" s="237"/>
      <c r="U1832" s="237"/>
      <c r="V1832" s="237"/>
      <c r="W1832" s="237"/>
      <c r="X1832" s="237"/>
      <c r="Y1832" s="237"/>
      <c r="Z1832" s="237"/>
    </row>
    <row r="1833">
      <c r="A1833" s="305">
        <v>1832.0</v>
      </c>
      <c r="B1833" s="306">
        <v>170564.0</v>
      </c>
      <c r="C1833" s="307" t="s">
        <v>1420</v>
      </c>
      <c r="D1833" s="308" t="s">
        <v>3882</v>
      </c>
      <c r="E1833" s="305" t="s">
        <v>3883</v>
      </c>
      <c r="F1833" s="309" t="s">
        <v>3884</v>
      </c>
      <c r="G1833" s="236"/>
      <c r="H1833" s="307" t="s">
        <v>1420</v>
      </c>
      <c r="I1833" s="237"/>
      <c r="J1833" s="237"/>
      <c r="K1833" s="310" t="s">
        <v>3881</v>
      </c>
      <c r="L1833" s="237"/>
      <c r="M1833" s="237"/>
      <c r="N1833" s="237"/>
      <c r="O1833" s="237"/>
      <c r="P1833" s="237"/>
      <c r="Q1833" s="237"/>
      <c r="R1833" s="237"/>
      <c r="S1833" s="237"/>
      <c r="T1833" s="237"/>
      <c r="U1833" s="237"/>
      <c r="V1833" s="237"/>
      <c r="W1833" s="237"/>
      <c r="X1833" s="237"/>
      <c r="Y1833" s="237"/>
      <c r="Z1833" s="237"/>
    </row>
    <row r="1834">
      <c r="A1834" s="305">
        <v>1833.0</v>
      </c>
      <c r="B1834" s="306">
        <v>170563.0</v>
      </c>
      <c r="C1834" s="307" t="s">
        <v>1420</v>
      </c>
      <c r="D1834" s="308" t="s">
        <v>3877</v>
      </c>
      <c r="E1834" s="305" t="s">
        <v>3878</v>
      </c>
      <c r="F1834" s="309" t="s">
        <v>3879</v>
      </c>
      <c r="G1834" s="236"/>
      <c r="H1834" s="307" t="s">
        <v>1420</v>
      </c>
      <c r="I1834" s="237"/>
      <c r="J1834" s="237"/>
      <c r="K1834" s="310" t="s">
        <v>3876</v>
      </c>
      <c r="L1834" s="237"/>
      <c r="M1834" s="237"/>
      <c r="N1834" s="237"/>
      <c r="O1834" s="237"/>
      <c r="P1834" s="237"/>
      <c r="Q1834" s="237"/>
      <c r="R1834" s="237"/>
      <c r="S1834" s="237"/>
      <c r="T1834" s="237"/>
      <c r="U1834" s="237"/>
      <c r="V1834" s="237"/>
      <c r="W1834" s="237"/>
      <c r="X1834" s="237"/>
      <c r="Y1834" s="237"/>
      <c r="Z1834" s="237"/>
    </row>
    <row r="1835">
      <c r="A1835" s="305">
        <v>1834.0</v>
      </c>
      <c r="B1835" s="306">
        <v>100414.0</v>
      </c>
      <c r="C1835" s="307" t="s">
        <v>1420</v>
      </c>
      <c r="D1835" s="308" t="s">
        <v>6858</v>
      </c>
      <c r="E1835" s="305" t="s">
        <v>5509</v>
      </c>
      <c r="F1835" s="309" t="s">
        <v>6859</v>
      </c>
      <c r="G1835" s="236"/>
      <c r="H1835" s="307" t="s">
        <v>1420</v>
      </c>
      <c r="I1835" s="237"/>
      <c r="J1835" s="237"/>
      <c r="K1835" s="310" t="s">
        <v>6857</v>
      </c>
      <c r="L1835" s="237"/>
      <c r="M1835" s="237"/>
      <c r="N1835" s="237"/>
      <c r="O1835" s="237"/>
      <c r="P1835" s="237"/>
      <c r="Q1835" s="237"/>
      <c r="R1835" s="237"/>
      <c r="S1835" s="237"/>
      <c r="T1835" s="237"/>
      <c r="U1835" s="237"/>
      <c r="V1835" s="237"/>
      <c r="W1835" s="237"/>
      <c r="X1835" s="237"/>
      <c r="Y1835" s="237"/>
      <c r="Z1835" s="237"/>
    </row>
    <row r="1836">
      <c r="A1836" s="305">
        <v>1835.0</v>
      </c>
      <c r="B1836" s="306">
        <v>170543.0</v>
      </c>
      <c r="C1836" s="307" t="s">
        <v>1420</v>
      </c>
      <c r="D1836" s="308" t="s">
        <v>3842</v>
      </c>
      <c r="E1836" s="305" t="s">
        <v>3843</v>
      </c>
      <c r="F1836" s="309" t="s">
        <v>3844</v>
      </c>
      <c r="G1836" s="236"/>
      <c r="H1836" s="307" t="s">
        <v>1420</v>
      </c>
      <c r="I1836" s="237"/>
      <c r="J1836" s="237"/>
      <c r="K1836" s="310" t="s">
        <v>3841</v>
      </c>
      <c r="L1836" s="237"/>
      <c r="M1836" s="237"/>
      <c r="N1836" s="237"/>
      <c r="O1836" s="237"/>
      <c r="P1836" s="237"/>
      <c r="Q1836" s="237"/>
      <c r="R1836" s="237"/>
      <c r="S1836" s="237"/>
      <c r="T1836" s="237"/>
      <c r="U1836" s="237"/>
      <c r="V1836" s="237"/>
      <c r="W1836" s="237"/>
      <c r="X1836" s="237"/>
      <c r="Y1836" s="237"/>
      <c r="Z1836" s="237"/>
    </row>
    <row r="1837">
      <c r="A1837" s="305">
        <v>1836.0</v>
      </c>
      <c r="B1837" s="306">
        <v>170544.0</v>
      </c>
      <c r="C1837" s="307" t="s">
        <v>1420</v>
      </c>
      <c r="D1837" s="308" t="s">
        <v>5503</v>
      </c>
      <c r="E1837" s="305" t="s">
        <v>5504</v>
      </c>
      <c r="F1837" s="309" t="s">
        <v>5505</v>
      </c>
      <c r="G1837" s="236"/>
      <c r="H1837" s="307" t="s">
        <v>1420</v>
      </c>
      <c r="I1837" s="237"/>
      <c r="J1837" s="237"/>
      <c r="K1837" s="310" t="s">
        <v>5502</v>
      </c>
      <c r="L1837" s="237"/>
      <c r="M1837" s="237"/>
      <c r="N1837" s="237"/>
      <c r="O1837" s="237"/>
      <c r="P1837" s="237"/>
      <c r="Q1837" s="237"/>
      <c r="R1837" s="237"/>
      <c r="S1837" s="237"/>
      <c r="T1837" s="237"/>
      <c r="U1837" s="237"/>
      <c r="V1837" s="237"/>
      <c r="W1837" s="237"/>
      <c r="X1837" s="237"/>
      <c r="Y1837" s="237"/>
      <c r="Z1837" s="237"/>
    </row>
    <row r="1838">
      <c r="A1838" s="305">
        <v>1837.0</v>
      </c>
      <c r="B1838" s="306">
        <v>100289.0</v>
      </c>
      <c r="C1838" s="307" t="s">
        <v>1420</v>
      </c>
      <c r="D1838" s="308" t="s">
        <v>6494</v>
      </c>
      <c r="E1838" s="305" t="s">
        <v>6495</v>
      </c>
      <c r="F1838" s="309" t="s">
        <v>6496</v>
      </c>
      <c r="G1838" s="236"/>
      <c r="H1838" s="307" t="s">
        <v>1420</v>
      </c>
      <c r="I1838" s="237"/>
      <c r="J1838" s="237"/>
      <c r="K1838" s="310" t="s">
        <v>6493</v>
      </c>
      <c r="L1838" s="237"/>
      <c r="M1838" s="237"/>
      <c r="N1838" s="237"/>
      <c r="O1838" s="237"/>
      <c r="P1838" s="237"/>
      <c r="Q1838" s="237"/>
      <c r="R1838" s="237"/>
      <c r="S1838" s="237"/>
      <c r="T1838" s="237"/>
      <c r="U1838" s="237"/>
      <c r="V1838" s="237"/>
      <c r="W1838" s="237"/>
      <c r="X1838" s="237"/>
      <c r="Y1838" s="237"/>
      <c r="Z1838" s="237"/>
    </row>
    <row r="1839">
      <c r="A1839" s="305">
        <v>1838.0</v>
      </c>
      <c r="B1839" s="306">
        <v>100293.0</v>
      </c>
      <c r="C1839" s="307" t="s">
        <v>1420</v>
      </c>
      <c r="D1839" s="308" t="s">
        <v>6489</v>
      </c>
      <c r="E1839" s="305" t="s">
        <v>6490</v>
      </c>
      <c r="F1839" s="309" t="s">
        <v>6491</v>
      </c>
      <c r="G1839" s="236"/>
      <c r="H1839" s="307" t="s">
        <v>1420</v>
      </c>
      <c r="I1839" s="237"/>
      <c r="J1839" s="237"/>
      <c r="K1839" s="310" t="s">
        <v>6488</v>
      </c>
      <c r="L1839" s="237"/>
      <c r="M1839" s="237"/>
      <c r="N1839" s="237"/>
      <c r="O1839" s="237"/>
      <c r="P1839" s="237"/>
      <c r="Q1839" s="237"/>
      <c r="R1839" s="237"/>
      <c r="S1839" s="237"/>
      <c r="T1839" s="237"/>
      <c r="U1839" s="237"/>
      <c r="V1839" s="237"/>
      <c r="W1839" s="237"/>
      <c r="X1839" s="237"/>
      <c r="Y1839" s="237"/>
      <c r="Z1839" s="237"/>
    </row>
    <row r="1840">
      <c r="A1840" s="305">
        <v>1839.0</v>
      </c>
      <c r="B1840" s="306">
        <v>170534.0</v>
      </c>
      <c r="C1840" s="307" t="s">
        <v>1420</v>
      </c>
      <c r="D1840" s="308" t="s">
        <v>5479</v>
      </c>
      <c r="E1840" s="305" t="s">
        <v>5480</v>
      </c>
      <c r="F1840" s="309" t="s">
        <v>5481</v>
      </c>
      <c r="G1840" s="236"/>
      <c r="H1840" s="307" t="s">
        <v>1420</v>
      </c>
      <c r="I1840" s="237"/>
      <c r="J1840" s="237"/>
      <c r="K1840" s="310" t="s">
        <v>5478</v>
      </c>
      <c r="L1840" s="237"/>
      <c r="M1840" s="237"/>
      <c r="N1840" s="237"/>
      <c r="O1840" s="237"/>
      <c r="P1840" s="237"/>
      <c r="Q1840" s="237"/>
      <c r="R1840" s="237"/>
      <c r="S1840" s="237"/>
      <c r="T1840" s="237"/>
      <c r="U1840" s="237"/>
      <c r="V1840" s="237"/>
      <c r="W1840" s="237"/>
      <c r="X1840" s="237"/>
      <c r="Y1840" s="237"/>
      <c r="Z1840" s="237"/>
    </row>
    <row r="1841">
      <c r="A1841" s="305">
        <v>1840.0</v>
      </c>
      <c r="B1841" s="306">
        <v>170561.0</v>
      </c>
      <c r="C1841" s="307" t="s">
        <v>1420</v>
      </c>
      <c r="D1841" s="308" t="s">
        <v>3862</v>
      </c>
      <c r="E1841" s="305" t="s">
        <v>3863</v>
      </c>
      <c r="F1841" s="309" t="s">
        <v>3864</v>
      </c>
      <c r="G1841" s="236"/>
      <c r="H1841" s="307" t="s">
        <v>1420</v>
      </c>
      <c r="I1841" s="237"/>
      <c r="J1841" s="237"/>
      <c r="K1841" s="310" t="s">
        <v>3861</v>
      </c>
      <c r="L1841" s="237"/>
      <c r="M1841" s="237"/>
      <c r="N1841" s="237"/>
      <c r="O1841" s="237"/>
      <c r="P1841" s="237"/>
      <c r="Q1841" s="237"/>
      <c r="R1841" s="237"/>
      <c r="S1841" s="237"/>
      <c r="T1841" s="237"/>
      <c r="U1841" s="237"/>
      <c r="V1841" s="237"/>
      <c r="W1841" s="237"/>
      <c r="X1841" s="237"/>
      <c r="Y1841" s="237"/>
      <c r="Z1841" s="237"/>
    </row>
    <row r="1842">
      <c r="A1842" s="305">
        <v>1841.0</v>
      </c>
      <c r="B1842" s="306">
        <v>170560.0</v>
      </c>
      <c r="C1842" s="307" t="s">
        <v>1420</v>
      </c>
      <c r="D1842" s="308" t="s">
        <v>3867</v>
      </c>
      <c r="E1842" s="305" t="s">
        <v>3868</v>
      </c>
      <c r="F1842" s="309" t="s">
        <v>3869</v>
      </c>
      <c r="G1842" s="236"/>
      <c r="H1842" s="307" t="s">
        <v>1420</v>
      </c>
      <c r="I1842" s="237"/>
      <c r="J1842" s="237"/>
      <c r="K1842" s="310" t="s">
        <v>3866</v>
      </c>
      <c r="L1842" s="237"/>
      <c r="M1842" s="237"/>
      <c r="N1842" s="237"/>
      <c r="O1842" s="237"/>
      <c r="P1842" s="237"/>
      <c r="Q1842" s="237"/>
      <c r="R1842" s="237"/>
      <c r="S1842" s="237"/>
      <c r="T1842" s="237"/>
      <c r="U1842" s="237"/>
      <c r="V1842" s="237"/>
      <c r="W1842" s="237"/>
      <c r="X1842" s="237"/>
      <c r="Y1842" s="237"/>
      <c r="Z1842" s="237"/>
    </row>
    <row r="1843">
      <c r="A1843" s="305">
        <v>1842.0</v>
      </c>
      <c r="B1843" s="306">
        <v>170559.0</v>
      </c>
      <c r="C1843" s="307" t="s">
        <v>1420</v>
      </c>
      <c r="D1843" s="308" t="s">
        <v>3872</v>
      </c>
      <c r="E1843" s="305" t="s">
        <v>3873</v>
      </c>
      <c r="F1843" s="309" t="s">
        <v>3874</v>
      </c>
      <c r="G1843" s="236"/>
      <c r="H1843" s="307" t="s">
        <v>1420</v>
      </c>
      <c r="I1843" s="237"/>
      <c r="J1843" s="237"/>
      <c r="K1843" s="310" t="s">
        <v>3871</v>
      </c>
      <c r="L1843" s="237"/>
      <c r="M1843" s="237"/>
      <c r="N1843" s="237"/>
      <c r="O1843" s="237"/>
      <c r="P1843" s="237"/>
      <c r="Q1843" s="237"/>
      <c r="R1843" s="237"/>
      <c r="S1843" s="237"/>
      <c r="T1843" s="237"/>
      <c r="U1843" s="237"/>
      <c r="V1843" s="237"/>
      <c r="W1843" s="237"/>
      <c r="X1843" s="237"/>
      <c r="Y1843" s="237"/>
      <c r="Z1843" s="237"/>
    </row>
    <row r="1844">
      <c r="A1844" s="305">
        <v>1843.0</v>
      </c>
      <c r="B1844" s="306">
        <v>100415.0</v>
      </c>
      <c r="C1844" s="307" t="s">
        <v>1420</v>
      </c>
      <c r="D1844" s="308" t="s">
        <v>6862</v>
      </c>
      <c r="E1844" s="305" t="s">
        <v>6863</v>
      </c>
      <c r="F1844" s="309" t="s">
        <v>6864</v>
      </c>
      <c r="G1844" s="236"/>
      <c r="H1844" s="307" t="s">
        <v>1420</v>
      </c>
      <c r="I1844" s="237"/>
      <c r="J1844" s="237"/>
      <c r="K1844" s="310" t="s">
        <v>6861</v>
      </c>
      <c r="L1844" s="237"/>
      <c r="M1844" s="237"/>
      <c r="N1844" s="237"/>
      <c r="O1844" s="237"/>
      <c r="P1844" s="237"/>
      <c r="Q1844" s="237"/>
      <c r="R1844" s="237"/>
      <c r="S1844" s="237"/>
      <c r="T1844" s="237"/>
      <c r="U1844" s="237"/>
      <c r="V1844" s="237"/>
      <c r="W1844" s="237"/>
      <c r="X1844" s="237"/>
      <c r="Y1844" s="237"/>
      <c r="Z1844" s="237"/>
    </row>
    <row r="1845">
      <c r="A1845" s="305">
        <v>1844.0</v>
      </c>
      <c r="B1845" s="306">
        <v>170551.0</v>
      </c>
      <c r="C1845" s="307" t="s">
        <v>1420</v>
      </c>
      <c r="D1845" s="308" t="s">
        <v>5508</v>
      </c>
      <c r="E1845" s="305" t="s">
        <v>5509</v>
      </c>
      <c r="F1845" s="309" t="s">
        <v>5510</v>
      </c>
      <c r="G1845" s="236"/>
      <c r="H1845" s="307" t="s">
        <v>1420</v>
      </c>
      <c r="I1845" s="237"/>
      <c r="J1845" s="237"/>
      <c r="K1845" s="310" t="s">
        <v>5507</v>
      </c>
      <c r="L1845" s="237"/>
      <c r="M1845" s="237"/>
      <c r="N1845" s="237"/>
      <c r="O1845" s="237"/>
      <c r="P1845" s="237"/>
      <c r="Q1845" s="237"/>
      <c r="R1845" s="237"/>
      <c r="S1845" s="237"/>
      <c r="T1845" s="237"/>
      <c r="U1845" s="237"/>
      <c r="V1845" s="237"/>
      <c r="W1845" s="237"/>
      <c r="X1845" s="237"/>
      <c r="Y1845" s="237"/>
      <c r="Z1845" s="237"/>
    </row>
    <row r="1846">
      <c r="A1846" s="305">
        <v>1845.0</v>
      </c>
      <c r="B1846" s="306">
        <v>170532.0</v>
      </c>
      <c r="C1846" s="307" t="s">
        <v>1420</v>
      </c>
      <c r="D1846" s="308" t="s">
        <v>3852</v>
      </c>
      <c r="E1846" s="305" t="s">
        <v>3853</v>
      </c>
      <c r="F1846" s="309" t="s">
        <v>3854</v>
      </c>
      <c r="G1846" s="236"/>
      <c r="H1846" s="307" t="s">
        <v>1420</v>
      </c>
      <c r="I1846" s="237"/>
      <c r="J1846" s="237"/>
      <c r="K1846" s="310" t="s">
        <v>3851</v>
      </c>
      <c r="L1846" s="237"/>
      <c r="M1846" s="237"/>
      <c r="N1846" s="237"/>
      <c r="O1846" s="237"/>
      <c r="P1846" s="237"/>
      <c r="Q1846" s="237"/>
      <c r="R1846" s="237"/>
      <c r="S1846" s="237"/>
      <c r="T1846" s="237"/>
      <c r="U1846" s="237"/>
      <c r="V1846" s="237"/>
      <c r="W1846" s="237"/>
      <c r="X1846" s="237"/>
      <c r="Y1846" s="237"/>
      <c r="Z1846" s="237"/>
    </row>
    <row r="1847">
      <c r="A1847" s="305">
        <v>1846.0</v>
      </c>
      <c r="B1847" s="306">
        <v>170533.0</v>
      </c>
      <c r="C1847" s="307" t="s">
        <v>1420</v>
      </c>
      <c r="D1847" s="308" t="s">
        <v>5474</v>
      </c>
      <c r="E1847" s="305" t="s">
        <v>5475</v>
      </c>
      <c r="F1847" s="309" t="s">
        <v>5476</v>
      </c>
      <c r="G1847" s="236"/>
      <c r="H1847" s="307" t="s">
        <v>1420</v>
      </c>
      <c r="I1847" s="237"/>
      <c r="J1847" s="237"/>
      <c r="K1847" s="310" t="s">
        <v>5473</v>
      </c>
      <c r="L1847" s="237"/>
      <c r="M1847" s="237"/>
      <c r="N1847" s="237"/>
      <c r="O1847" s="237"/>
      <c r="P1847" s="237"/>
      <c r="Q1847" s="237"/>
      <c r="R1847" s="237"/>
      <c r="S1847" s="237"/>
      <c r="T1847" s="237"/>
      <c r="U1847" s="237"/>
      <c r="V1847" s="237"/>
      <c r="W1847" s="237"/>
      <c r="X1847" s="237"/>
      <c r="Y1847" s="237"/>
      <c r="Z1847" s="237"/>
    </row>
    <row r="1848">
      <c r="A1848" s="305">
        <v>1847.0</v>
      </c>
      <c r="B1848" s="306">
        <v>170547.0</v>
      </c>
      <c r="C1848" s="307" t="s">
        <v>1420</v>
      </c>
      <c r="D1848" s="308" t="s">
        <v>3857</v>
      </c>
      <c r="E1848" s="305" t="s">
        <v>3858</v>
      </c>
      <c r="F1848" s="309" t="s">
        <v>3859</v>
      </c>
      <c r="G1848" s="236"/>
      <c r="H1848" s="307" t="s">
        <v>1420</v>
      </c>
      <c r="I1848" s="237"/>
      <c r="J1848" s="237"/>
      <c r="K1848" s="310" t="s">
        <v>3856</v>
      </c>
      <c r="L1848" s="237"/>
      <c r="M1848" s="237"/>
      <c r="N1848" s="237"/>
      <c r="O1848" s="237"/>
      <c r="P1848" s="237"/>
      <c r="Q1848" s="237"/>
      <c r="R1848" s="237"/>
      <c r="S1848" s="237"/>
      <c r="T1848" s="237"/>
      <c r="U1848" s="237"/>
      <c r="V1848" s="237"/>
      <c r="W1848" s="237"/>
      <c r="X1848" s="237"/>
      <c r="Y1848" s="237"/>
      <c r="Z1848" s="237"/>
    </row>
    <row r="1849">
      <c r="A1849" s="305">
        <v>1848.0</v>
      </c>
      <c r="B1849" s="306">
        <v>100416.0</v>
      </c>
      <c r="C1849" s="307" t="s">
        <v>1420</v>
      </c>
      <c r="D1849" s="308" t="s">
        <v>6867</v>
      </c>
      <c r="E1849" s="305" t="s">
        <v>6868</v>
      </c>
      <c r="F1849" s="309" t="s">
        <v>6869</v>
      </c>
      <c r="G1849" s="236"/>
      <c r="H1849" s="307" t="s">
        <v>1420</v>
      </c>
      <c r="I1849" s="237"/>
      <c r="J1849" s="237"/>
      <c r="K1849" s="310" t="s">
        <v>6866</v>
      </c>
      <c r="L1849" s="237"/>
      <c r="M1849" s="237"/>
      <c r="N1849" s="237"/>
      <c r="O1849" s="237"/>
      <c r="P1849" s="237"/>
      <c r="Q1849" s="237"/>
      <c r="R1849" s="237"/>
      <c r="S1849" s="237"/>
      <c r="T1849" s="237"/>
      <c r="U1849" s="237"/>
      <c r="V1849" s="237"/>
      <c r="W1849" s="237"/>
      <c r="X1849" s="237"/>
      <c r="Y1849" s="237"/>
      <c r="Z1849" s="237"/>
    </row>
    <row r="1850">
      <c r="A1850" s="305">
        <v>1849.0</v>
      </c>
      <c r="B1850" s="306">
        <v>170562.0</v>
      </c>
      <c r="C1850" s="307" t="s">
        <v>1420</v>
      </c>
      <c r="D1850" s="308" t="s">
        <v>3887</v>
      </c>
      <c r="E1850" s="305" t="s">
        <v>3888</v>
      </c>
      <c r="F1850" s="309" t="s">
        <v>3889</v>
      </c>
      <c r="G1850" s="236"/>
      <c r="H1850" s="307" t="s">
        <v>1420</v>
      </c>
      <c r="I1850" s="237"/>
      <c r="J1850" s="237"/>
      <c r="K1850" s="310" t="s">
        <v>3886</v>
      </c>
      <c r="L1850" s="237"/>
      <c r="M1850" s="237"/>
      <c r="N1850" s="237"/>
      <c r="O1850" s="237"/>
      <c r="P1850" s="237"/>
      <c r="Q1850" s="237"/>
      <c r="R1850" s="237"/>
      <c r="S1850" s="237"/>
      <c r="T1850" s="237"/>
      <c r="U1850" s="237"/>
      <c r="V1850" s="237"/>
      <c r="W1850" s="237"/>
      <c r="X1850" s="237"/>
      <c r="Y1850" s="237"/>
      <c r="Z1850" s="237"/>
    </row>
    <row r="1851">
      <c r="A1851" s="305">
        <v>1850.0</v>
      </c>
      <c r="B1851" s="236"/>
      <c r="C1851" s="307" t="s">
        <v>1420</v>
      </c>
      <c r="D1851" s="308" t="s">
        <v>7915</v>
      </c>
      <c r="E1851" s="305" t="s">
        <v>7916</v>
      </c>
      <c r="F1851" s="309" t="s">
        <v>7917</v>
      </c>
      <c r="G1851" s="236"/>
      <c r="H1851" s="307" t="s">
        <v>1420</v>
      </c>
      <c r="I1851" s="237"/>
      <c r="J1851" s="237"/>
      <c r="K1851" s="310" t="s">
        <v>7914</v>
      </c>
      <c r="L1851" s="237"/>
      <c r="M1851" s="237"/>
      <c r="N1851" s="237"/>
      <c r="O1851" s="237"/>
      <c r="P1851" s="237"/>
      <c r="Q1851" s="237"/>
      <c r="R1851" s="237"/>
      <c r="S1851" s="237"/>
      <c r="T1851" s="237"/>
      <c r="U1851" s="237"/>
      <c r="V1851" s="237"/>
      <c r="W1851" s="237"/>
      <c r="X1851" s="237"/>
      <c r="Y1851" s="237"/>
      <c r="Z1851" s="237"/>
    </row>
    <row r="1852">
      <c r="A1852" s="305">
        <v>1851.0</v>
      </c>
      <c r="B1852" s="306" t="s">
        <v>4478</v>
      </c>
      <c r="C1852" s="307" t="s">
        <v>1420</v>
      </c>
      <c r="D1852" s="308" t="s">
        <v>4480</v>
      </c>
      <c r="E1852" s="305" t="s">
        <v>4481</v>
      </c>
      <c r="F1852" s="309" t="s">
        <v>4482</v>
      </c>
      <c r="G1852" s="236"/>
      <c r="H1852" s="307" t="s">
        <v>1420</v>
      </c>
      <c r="I1852" s="237"/>
      <c r="J1852" s="237"/>
      <c r="K1852" s="310" t="s">
        <v>4479</v>
      </c>
      <c r="L1852" s="237"/>
      <c r="M1852" s="237"/>
      <c r="N1852" s="237"/>
      <c r="O1852" s="237"/>
      <c r="P1852" s="237"/>
      <c r="Q1852" s="237"/>
      <c r="R1852" s="237"/>
      <c r="S1852" s="237"/>
      <c r="T1852" s="237"/>
      <c r="U1852" s="237"/>
      <c r="V1852" s="237"/>
      <c r="W1852" s="237"/>
      <c r="X1852" s="237"/>
      <c r="Y1852" s="237"/>
      <c r="Z1852" s="237"/>
    </row>
    <row r="1853">
      <c r="A1853" s="305">
        <v>1852.0</v>
      </c>
      <c r="B1853" s="306" t="s">
        <v>4483</v>
      </c>
      <c r="C1853" s="307" t="s">
        <v>1420</v>
      </c>
      <c r="D1853" s="308" t="s">
        <v>4485</v>
      </c>
      <c r="E1853" s="305" t="s">
        <v>4486</v>
      </c>
      <c r="F1853" s="309" t="s">
        <v>4487</v>
      </c>
      <c r="G1853" s="236"/>
      <c r="H1853" s="307" t="s">
        <v>1420</v>
      </c>
      <c r="I1853" s="237"/>
      <c r="J1853" s="237"/>
      <c r="K1853" s="310" t="s">
        <v>4484</v>
      </c>
      <c r="L1853" s="237"/>
      <c r="M1853" s="237"/>
      <c r="N1853" s="237"/>
      <c r="O1853" s="237"/>
      <c r="P1853" s="237"/>
      <c r="Q1853" s="237"/>
      <c r="R1853" s="237"/>
      <c r="S1853" s="237"/>
      <c r="T1853" s="237"/>
      <c r="U1853" s="237"/>
      <c r="V1853" s="237"/>
      <c r="W1853" s="237"/>
      <c r="X1853" s="237"/>
      <c r="Y1853" s="237"/>
      <c r="Z1853" s="237"/>
    </row>
    <row r="1854">
      <c r="A1854" s="305">
        <v>1853.0</v>
      </c>
      <c r="B1854" s="236"/>
      <c r="C1854" s="307" t="s">
        <v>1420</v>
      </c>
      <c r="D1854" s="308" t="s">
        <v>9335</v>
      </c>
      <c r="E1854" s="305" t="s">
        <v>9336</v>
      </c>
      <c r="F1854" s="236"/>
      <c r="G1854" s="236"/>
      <c r="H1854" s="307" t="s">
        <v>1420</v>
      </c>
      <c r="I1854" s="237"/>
      <c r="J1854" s="237"/>
      <c r="K1854" s="310" t="s">
        <v>9334</v>
      </c>
      <c r="L1854" s="237"/>
      <c r="M1854" s="237"/>
      <c r="N1854" s="237"/>
      <c r="O1854" s="237"/>
      <c r="P1854" s="237"/>
      <c r="Q1854" s="237"/>
      <c r="R1854" s="237"/>
      <c r="S1854" s="237"/>
      <c r="T1854" s="237"/>
      <c r="U1854" s="237"/>
      <c r="V1854" s="237"/>
      <c r="W1854" s="237"/>
      <c r="X1854" s="237"/>
      <c r="Y1854" s="237"/>
      <c r="Z1854" s="237"/>
    </row>
    <row r="1855">
      <c r="A1855" s="305">
        <v>1854.0</v>
      </c>
      <c r="B1855" s="236"/>
      <c r="C1855" s="307" t="s">
        <v>1420</v>
      </c>
      <c r="D1855" s="308" t="s">
        <v>9332</v>
      </c>
      <c r="E1855" s="305" t="s">
        <v>9333</v>
      </c>
      <c r="F1855" s="236"/>
      <c r="G1855" s="236"/>
      <c r="H1855" s="307" t="s">
        <v>1420</v>
      </c>
      <c r="I1855" s="237"/>
      <c r="J1855" s="237"/>
      <c r="K1855" s="310" t="s">
        <v>9331</v>
      </c>
      <c r="L1855" s="237"/>
      <c r="M1855" s="237"/>
      <c r="N1855" s="237"/>
      <c r="O1855" s="237"/>
      <c r="P1855" s="237"/>
      <c r="Q1855" s="237"/>
      <c r="R1855" s="237"/>
      <c r="S1855" s="237"/>
      <c r="T1855" s="237"/>
      <c r="U1855" s="237"/>
      <c r="V1855" s="237"/>
      <c r="W1855" s="237"/>
      <c r="X1855" s="237"/>
      <c r="Y1855" s="237"/>
      <c r="Z1855" s="237"/>
    </row>
    <row r="1856">
      <c r="A1856" s="305">
        <v>1855.0</v>
      </c>
      <c r="B1856" s="236"/>
      <c r="C1856" s="307" t="s">
        <v>1420</v>
      </c>
      <c r="D1856" s="308" t="s">
        <v>9341</v>
      </c>
      <c r="E1856" s="305" t="s">
        <v>9342</v>
      </c>
      <c r="F1856" s="236"/>
      <c r="G1856" s="236"/>
      <c r="H1856" s="307" t="s">
        <v>1420</v>
      </c>
      <c r="I1856" s="237"/>
      <c r="J1856" s="237"/>
      <c r="K1856" s="310" t="s">
        <v>9340</v>
      </c>
      <c r="L1856" s="237"/>
      <c r="M1856" s="237"/>
      <c r="N1856" s="237"/>
      <c r="O1856" s="237"/>
      <c r="P1856" s="237"/>
      <c r="Q1856" s="237"/>
      <c r="R1856" s="237"/>
      <c r="S1856" s="237"/>
      <c r="T1856" s="237"/>
      <c r="U1856" s="237"/>
      <c r="V1856" s="237"/>
      <c r="W1856" s="237"/>
      <c r="X1856" s="237"/>
      <c r="Y1856" s="237"/>
      <c r="Z1856" s="237"/>
    </row>
    <row r="1857">
      <c r="A1857" s="305">
        <v>1856.0</v>
      </c>
      <c r="B1857" s="236"/>
      <c r="C1857" s="307" t="s">
        <v>1420</v>
      </c>
      <c r="D1857" s="308" t="s">
        <v>9338</v>
      </c>
      <c r="E1857" s="305" t="s">
        <v>9339</v>
      </c>
      <c r="F1857" s="236"/>
      <c r="G1857" s="236"/>
      <c r="H1857" s="307" t="s">
        <v>1420</v>
      </c>
      <c r="I1857" s="237"/>
      <c r="J1857" s="237"/>
      <c r="K1857" s="310" t="s">
        <v>9337</v>
      </c>
      <c r="L1857" s="237"/>
      <c r="M1857" s="237"/>
      <c r="N1857" s="237"/>
      <c r="O1857" s="237"/>
      <c r="P1857" s="237"/>
      <c r="Q1857" s="237"/>
      <c r="R1857" s="237"/>
      <c r="S1857" s="237"/>
      <c r="T1857" s="237"/>
      <c r="U1857" s="237"/>
      <c r="V1857" s="237"/>
      <c r="W1857" s="237"/>
      <c r="X1857" s="237"/>
      <c r="Y1857" s="237"/>
      <c r="Z1857" s="237"/>
    </row>
    <row r="1858">
      <c r="A1858" s="305">
        <v>1857.0</v>
      </c>
      <c r="B1858" s="236"/>
      <c r="C1858" s="307" t="s">
        <v>1420</v>
      </c>
      <c r="D1858" s="308" t="s">
        <v>9344</v>
      </c>
      <c r="E1858" s="305" t="s">
        <v>9345</v>
      </c>
      <c r="F1858" s="236"/>
      <c r="G1858" s="236"/>
      <c r="H1858" s="307" t="s">
        <v>1420</v>
      </c>
      <c r="I1858" s="237"/>
      <c r="J1858" s="237"/>
      <c r="K1858" s="310" t="s">
        <v>9343</v>
      </c>
      <c r="L1858" s="237"/>
      <c r="M1858" s="237"/>
      <c r="N1858" s="237"/>
      <c r="O1858" s="237"/>
      <c r="P1858" s="237"/>
      <c r="Q1858" s="237"/>
      <c r="R1858" s="237"/>
      <c r="S1858" s="237"/>
      <c r="T1858" s="237"/>
      <c r="U1858" s="237"/>
      <c r="V1858" s="237"/>
      <c r="W1858" s="237"/>
      <c r="X1858" s="237"/>
      <c r="Y1858" s="237"/>
      <c r="Z1858" s="237"/>
    </row>
    <row r="1859">
      <c r="A1859" s="305">
        <v>1858.0</v>
      </c>
      <c r="B1859" s="236"/>
      <c r="C1859" s="307" t="s">
        <v>1420</v>
      </c>
      <c r="D1859" s="308" t="s">
        <v>9670</v>
      </c>
      <c r="E1859" s="305" t="s">
        <v>9671</v>
      </c>
      <c r="F1859" s="309" t="s">
        <v>9672</v>
      </c>
      <c r="G1859" s="236"/>
      <c r="H1859" s="307" t="s">
        <v>1420</v>
      </c>
      <c r="I1859" s="237"/>
      <c r="J1859" s="237"/>
      <c r="K1859" s="310" t="s">
        <v>9669</v>
      </c>
      <c r="L1859" s="237"/>
      <c r="M1859" s="237"/>
      <c r="N1859" s="237"/>
      <c r="O1859" s="237"/>
      <c r="P1859" s="237"/>
      <c r="Q1859" s="237"/>
      <c r="R1859" s="237"/>
      <c r="S1859" s="237"/>
      <c r="T1859" s="237"/>
      <c r="U1859" s="237"/>
      <c r="V1859" s="237"/>
      <c r="W1859" s="237"/>
      <c r="X1859" s="237"/>
      <c r="Y1859" s="237"/>
      <c r="Z1859" s="237"/>
    </row>
    <row r="1860">
      <c r="A1860" s="305">
        <v>1859.0</v>
      </c>
      <c r="B1860" s="236"/>
      <c r="C1860" s="307" t="s">
        <v>1420</v>
      </c>
      <c r="D1860" s="308" t="s">
        <v>9350</v>
      </c>
      <c r="E1860" s="305" t="s">
        <v>9351</v>
      </c>
      <c r="F1860" s="236"/>
      <c r="G1860" s="236"/>
      <c r="H1860" s="307" t="s">
        <v>1420</v>
      </c>
      <c r="I1860" s="237"/>
      <c r="J1860" s="237"/>
      <c r="K1860" s="310" t="s">
        <v>9349</v>
      </c>
      <c r="L1860" s="237"/>
      <c r="M1860" s="237"/>
      <c r="N1860" s="237"/>
      <c r="O1860" s="237"/>
      <c r="P1860" s="237"/>
      <c r="Q1860" s="237"/>
      <c r="R1860" s="237"/>
      <c r="S1860" s="237"/>
      <c r="T1860" s="237"/>
      <c r="U1860" s="237"/>
      <c r="V1860" s="237"/>
      <c r="W1860" s="237"/>
      <c r="X1860" s="237"/>
      <c r="Y1860" s="237"/>
      <c r="Z1860" s="237"/>
    </row>
    <row r="1861">
      <c r="A1861" s="305">
        <v>1860.0</v>
      </c>
      <c r="B1861" s="236"/>
      <c r="C1861" s="307" t="s">
        <v>1420</v>
      </c>
      <c r="D1861" s="308" t="s">
        <v>9347</v>
      </c>
      <c r="E1861" s="305" t="s">
        <v>9348</v>
      </c>
      <c r="F1861" s="236"/>
      <c r="G1861" s="236"/>
      <c r="H1861" s="307" t="s">
        <v>1420</v>
      </c>
      <c r="I1861" s="237"/>
      <c r="J1861" s="237"/>
      <c r="K1861" s="310" t="s">
        <v>9346</v>
      </c>
      <c r="L1861" s="237"/>
      <c r="M1861" s="237"/>
      <c r="N1861" s="237"/>
      <c r="O1861" s="237"/>
      <c r="P1861" s="237"/>
      <c r="Q1861" s="237"/>
      <c r="R1861" s="237"/>
      <c r="S1861" s="237"/>
      <c r="T1861" s="237"/>
      <c r="U1861" s="237"/>
      <c r="V1861" s="237"/>
      <c r="W1861" s="237"/>
      <c r="X1861" s="237"/>
      <c r="Y1861" s="237"/>
      <c r="Z1861" s="237"/>
    </row>
    <row r="1862">
      <c r="A1862" s="305">
        <v>1861.0</v>
      </c>
      <c r="B1862" s="236"/>
      <c r="C1862" s="307" t="s">
        <v>1420</v>
      </c>
      <c r="D1862" s="308" t="s">
        <v>9357</v>
      </c>
      <c r="E1862" s="305" t="s">
        <v>9358</v>
      </c>
      <c r="F1862" s="309" t="s">
        <v>9359</v>
      </c>
      <c r="G1862" s="236"/>
      <c r="H1862" s="307" t="s">
        <v>1420</v>
      </c>
      <c r="I1862" s="237"/>
      <c r="J1862" s="237"/>
      <c r="K1862" s="310" t="s">
        <v>9356</v>
      </c>
      <c r="L1862" s="237"/>
      <c r="M1862" s="237"/>
      <c r="N1862" s="237"/>
      <c r="O1862" s="237"/>
      <c r="P1862" s="237"/>
      <c r="Q1862" s="237"/>
      <c r="R1862" s="237"/>
      <c r="S1862" s="237"/>
      <c r="T1862" s="237"/>
      <c r="U1862" s="237"/>
      <c r="V1862" s="237"/>
      <c r="W1862" s="237"/>
      <c r="X1862" s="237"/>
      <c r="Y1862" s="237"/>
      <c r="Z1862" s="237"/>
    </row>
    <row r="1863">
      <c r="A1863" s="305">
        <v>1862.0</v>
      </c>
      <c r="B1863" s="236"/>
      <c r="C1863" s="307" t="s">
        <v>1420</v>
      </c>
      <c r="D1863" s="308" t="s">
        <v>9353</v>
      </c>
      <c r="E1863" s="305" t="s">
        <v>9354</v>
      </c>
      <c r="F1863" s="309" t="s">
        <v>9355</v>
      </c>
      <c r="G1863" s="236"/>
      <c r="H1863" s="307" t="s">
        <v>1420</v>
      </c>
      <c r="I1863" s="237"/>
      <c r="J1863" s="237"/>
      <c r="K1863" s="310" t="s">
        <v>9352</v>
      </c>
      <c r="L1863" s="237"/>
      <c r="M1863" s="237"/>
      <c r="N1863" s="237"/>
      <c r="O1863" s="237"/>
      <c r="P1863" s="237"/>
      <c r="Q1863" s="237"/>
      <c r="R1863" s="237"/>
      <c r="S1863" s="237"/>
      <c r="T1863" s="237"/>
      <c r="U1863" s="237"/>
      <c r="V1863" s="237"/>
      <c r="W1863" s="237"/>
      <c r="X1863" s="237"/>
      <c r="Y1863" s="237"/>
      <c r="Z1863" s="237"/>
    </row>
    <row r="1864">
      <c r="A1864" s="305">
        <v>1863.0</v>
      </c>
      <c r="B1864" s="236"/>
      <c r="C1864" s="307" t="s">
        <v>1420</v>
      </c>
      <c r="D1864" s="308" t="s">
        <v>9568</v>
      </c>
      <c r="E1864" s="305" t="s">
        <v>9569</v>
      </c>
      <c r="F1864" s="309" t="s">
        <v>9570</v>
      </c>
      <c r="G1864" s="236"/>
      <c r="H1864" s="307" t="s">
        <v>1420</v>
      </c>
      <c r="I1864" s="237"/>
      <c r="J1864" s="237"/>
      <c r="K1864" s="310" t="s">
        <v>9567</v>
      </c>
      <c r="L1864" s="237"/>
      <c r="M1864" s="237"/>
      <c r="N1864" s="237"/>
      <c r="O1864" s="237"/>
      <c r="P1864" s="237"/>
      <c r="Q1864" s="237"/>
      <c r="R1864" s="237"/>
      <c r="S1864" s="237"/>
      <c r="T1864" s="237"/>
      <c r="U1864" s="237"/>
      <c r="V1864" s="237"/>
      <c r="W1864" s="237"/>
      <c r="X1864" s="237"/>
      <c r="Y1864" s="237"/>
      <c r="Z1864" s="237"/>
    </row>
    <row r="1865">
      <c r="A1865" s="305">
        <v>1864.0</v>
      </c>
      <c r="B1865" s="236"/>
      <c r="C1865" s="307" t="s">
        <v>1420</v>
      </c>
      <c r="D1865" s="308" t="s">
        <v>9564</v>
      </c>
      <c r="E1865" s="305" t="s">
        <v>9565</v>
      </c>
      <c r="F1865" s="309" t="s">
        <v>9566</v>
      </c>
      <c r="G1865" s="236"/>
      <c r="H1865" s="307" t="s">
        <v>1420</v>
      </c>
      <c r="I1865" s="237"/>
      <c r="J1865" s="237"/>
      <c r="K1865" s="310" t="s">
        <v>9563</v>
      </c>
      <c r="L1865" s="237"/>
      <c r="M1865" s="237"/>
      <c r="N1865" s="237"/>
      <c r="O1865" s="237"/>
      <c r="P1865" s="237"/>
      <c r="Q1865" s="237"/>
      <c r="R1865" s="237"/>
      <c r="S1865" s="237"/>
      <c r="T1865" s="237"/>
      <c r="U1865" s="237"/>
      <c r="V1865" s="237"/>
      <c r="W1865" s="237"/>
      <c r="X1865" s="237"/>
      <c r="Y1865" s="237"/>
      <c r="Z1865" s="237"/>
    </row>
    <row r="1866">
      <c r="A1866" s="305">
        <v>1865.0</v>
      </c>
      <c r="B1866" s="236"/>
      <c r="C1866" s="307" t="s">
        <v>1420</v>
      </c>
      <c r="D1866" s="308" t="s">
        <v>9560</v>
      </c>
      <c r="E1866" s="305" t="s">
        <v>9561</v>
      </c>
      <c r="F1866" s="309" t="s">
        <v>9562</v>
      </c>
      <c r="G1866" s="236"/>
      <c r="H1866" s="307" t="s">
        <v>1420</v>
      </c>
      <c r="I1866" s="237"/>
      <c r="J1866" s="237"/>
      <c r="K1866" s="310" t="s">
        <v>9559</v>
      </c>
      <c r="L1866" s="237"/>
      <c r="M1866" s="237"/>
      <c r="N1866" s="237"/>
      <c r="O1866" s="237"/>
      <c r="P1866" s="237"/>
      <c r="Q1866" s="237"/>
      <c r="R1866" s="237"/>
      <c r="S1866" s="237"/>
      <c r="T1866" s="237"/>
      <c r="U1866" s="237"/>
      <c r="V1866" s="237"/>
      <c r="W1866" s="237"/>
      <c r="X1866" s="237"/>
      <c r="Y1866" s="237"/>
      <c r="Z1866" s="237"/>
    </row>
    <row r="1867">
      <c r="A1867" s="305">
        <v>1866.0</v>
      </c>
      <c r="B1867" s="236"/>
      <c r="C1867" s="307" t="s">
        <v>1420</v>
      </c>
      <c r="D1867" s="308" t="s">
        <v>9556</v>
      </c>
      <c r="E1867" s="305" t="s">
        <v>9557</v>
      </c>
      <c r="F1867" s="309" t="s">
        <v>9558</v>
      </c>
      <c r="G1867" s="236"/>
      <c r="H1867" s="307" t="s">
        <v>1420</v>
      </c>
      <c r="I1867" s="237"/>
      <c r="J1867" s="237"/>
      <c r="K1867" s="310" t="s">
        <v>9555</v>
      </c>
      <c r="L1867" s="237"/>
      <c r="M1867" s="237"/>
      <c r="N1867" s="237"/>
      <c r="O1867" s="237"/>
      <c r="P1867" s="237"/>
      <c r="Q1867" s="237"/>
      <c r="R1867" s="237"/>
      <c r="S1867" s="237"/>
      <c r="T1867" s="237"/>
      <c r="U1867" s="237"/>
      <c r="V1867" s="237"/>
      <c r="W1867" s="237"/>
      <c r="X1867" s="237"/>
      <c r="Y1867" s="237"/>
      <c r="Z1867" s="237"/>
    </row>
    <row r="1868">
      <c r="A1868" s="305">
        <v>1867.0</v>
      </c>
      <c r="B1868" s="236"/>
      <c r="C1868" s="307" t="s">
        <v>1420</v>
      </c>
      <c r="D1868" s="308" t="s">
        <v>9600</v>
      </c>
      <c r="E1868" s="305" t="s">
        <v>9601</v>
      </c>
      <c r="F1868" s="309" t="s">
        <v>9602</v>
      </c>
      <c r="G1868" s="236"/>
      <c r="H1868" s="307" t="s">
        <v>1420</v>
      </c>
      <c r="I1868" s="237"/>
      <c r="J1868" s="237"/>
      <c r="K1868" s="310" t="s">
        <v>9599</v>
      </c>
      <c r="L1868" s="237"/>
      <c r="M1868" s="237"/>
      <c r="N1868" s="237"/>
      <c r="O1868" s="237"/>
      <c r="P1868" s="237"/>
      <c r="Q1868" s="237"/>
      <c r="R1868" s="237"/>
      <c r="S1868" s="237"/>
      <c r="T1868" s="237"/>
      <c r="U1868" s="237"/>
      <c r="V1868" s="237"/>
      <c r="W1868" s="237"/>
      <c r="X1868" s="237"/>
      <c r="Y1868" s="237"/>
      <c r="Z1868" s="237"/>
    </row>
    <row r="1869">
      <c r="A1869" s="305">
        <v>1868.0</v>
      </c>
      <c r="B1869" s="236"/>
      <c r="C1869" s="307" t="s">
        <v>1420</v>
      </c>
      <c r="D1869" s="308" t="s">
        <v>9596</v>
      </c>
      <c r="E1869" s="305" t="s">
        <v>9597</v>
      </c>
      <c r="F1869" s="309" t="s">
        <v>9598</v>
      </c>
      <c r="G1869" s="236"/>
      <c r="H1869" s="307" t="s">
        <v>1420</v>
      </c>
      <c r="I1869" s="237"/>
      <c r="J1869" s="237"/>
      <c r="K1869" s="310" t="s">
        <v>9595</v>
      </c>
      <c r="L1869" s="237"/>
      <c r="M1869" s="237"/>
      <c r="N1869" s="237"/>
      <c r="O1869" s="237"/>
      <c r="P1869" s="237"/>
      <c r="Q1869" s="237"/>
      <c r="R1869" s="237"/>
      <c r="S1869" s="237"/>
      <c r="T1869" s="237"/>
      <c r="U1869" s="237"/>
      <c r="V1869" s="237"/>
      <c r="W1869" s="237"/>
      <c r="X1869" s="237"/>
      <c r="Y1869" s="237"/>
      <c r="Z1869" s="237"/>
    </row>
    <row r="1870">
      <c r="A1870" s="305">
        <v>1869.0</v>
      </c>
      <c r="B1870" s="236"/>
      <c r="C1870" s="307" t="s">
        <v>1420</v>
      </c>
      <c r="D1870" s="308" t="s">
        <v>9592</v>
      </c>
      <c r="E1870" s="305" t="s">
        <v>9593</v>
      </c>
      <c r="F1870" s="309" t="s">
        <v>9594</v>
      </c>
      <c r="G1870" s="236"/>
      <c r="H1870" s="307" t="s">
        <v>1420</v>
      </c>
      <c r="I1870" s="237"/>
      <c r="J1870" s="237"/>
      <c r="K1870" s="310" t="s">
        <v>9591</v>
      </c>
      <c r="L1870" s="237"/>
      <c r="M1870" s="237"/>
      <c r="N1870" s="237"/>
      <c r="O1870" s="237"/>
      <c r="P1870" s="237"/>
      <c r="Q1870" s="237"/>
      <c r="R1870" s="237"/>
      <c r="S1870" s="237"/>
      <c r="T1870" s="237"/>
      <c r="U1870" s="237"/>
      <c r="V1870" s="237"/>
      <c r="W1870" s="237"/>
      <c r="X1870" s="237"/>
      <c r="Y1870" s="237"/>
      <c r="Z1870" s="237"/>
    </row>
    <row r="1871">
      <c r="A1871" s="305">
        <v>1870.0</v>
      </c>
      <c r="B1871" s="306">
        <v>654773.0</v>
      </c>
      <c r="C1871" s="307" t="s">
        <v>1420</v>
      </c>
      <c r="D1871" s="308" t="s">
        <v>9366</v>
      </c>
      <c r="E1871" s="305" t="s">
        <v>9367</v>
      </c>
      <c r="F1871" s="309" t="s">
        <v>9368</v>
      </c>
      <c r="G1871" s="236"/>
      <c r="H1871" s="307" t="s">
        <v>1420</v>
      </c>
      <c r="I1871" s="237"/>
      <c r="J1871" s="237"/>
      <c r="K1871" s="310" t="s">
        <v>9365</v>
      </c>
      <c r="L1871" s="237"/>
      <c r="M1871" s="237"/>
      <c r="N1871" s="237"/>
      <c r="O1871" s="237"/>
      <c r="P1871" s="237"/>
      <c r="Q1871" s="237"/>
      <c r="R1871" s="237"/>
      <c r="S1871" s="237"/>
      <c r="T1871" s="237"/>
      <c r="U1871" s="237"/>
      <c r="V1871" s="237"/>
      <c r="W1871" s="237"/>
      <c r="X1871" s="237"/>
      <c r="Y1871" s="237"/>
      <c r="Z1871" s="237"/>
    </row>
    <row r="1872">
      <c r="A1872" s="305">
        <v>1871.0</v>
      </c>
      <c r="B1872" s="236"/>
      <c r="C1872" s="307" t="s">
        <v>1420</v>
      </c>
      <c r="D1872" s="308" t="s">
        <v>9361</v>
      </c>
      <c r="E1872" s="305" t="s">
        <v>9362</v>
      </c>
      <c r="F1872" s="309" t="s">
        <v>9363</v>
      </c>
      <c r="G1872" s="236"/>
      <c r="H1872" s="307" t="s">
        <v>1420</v>
      </c>
      <c r="I1872" s="237"/>
      <c r="J1872" s="237"/>
      <c r="K1872" s="310" t="s">
        <v>9360</v>
      </c>
      <c r="L1872" s="237"/>
      <c r="M1872" s="237"/>
      <c r="N1872" s="237"/>
      <c r="O1872" s="237"/>
      <c r="P1872" s="237"/>
      <c r="Q1872" s="237"/>
      <c r="R1872" s="237"/>
      <c r="S1872" s="237"/>
      <c r="T1872" s="237"/>
      <c r="U1872" s="237"/>
      <c r="V1872" s="237"/>
      <c r="W1872" s="237"/>
      <c r="X1872" s="237"/>
      <c r="Y1872" s="237"/>
      <c r="Z1872" s="237"/>
    </row>
    <row r="1873">
      <c r="A1873" s="305">
        <v>1872.0</v>
      </c>
      <c r="B1873" s="306">
        <v>654770.0</v>
      </c>
      <c r="C1873" s="307" t="s">
        <v>1420</v>
      </c>
      <c r="D1873" s="308" t="s">
        <v>9376</v>
      </c>
      <c r="E1873" s="305" t="s">
        <v>9377</v>
      </c>
      <c r="F1873" s="309" t="s">
        <v>9378</v>
      </c>
      <c r="G1873" s="236"/>
      <c r="H1873" s="307" t="s">
        <v>1420</v>
      </c>
      <c r="I1873" s="237"/>
      <c r="J1873" s="237"/>
      <c r="K1873" s="310" t="s">
        <v>9375</v>
      </c>
      <c r="L1873" s="237"/>
      <c r="M1873" s="237"/>
      <c r="N1873" s="237"/>
      <c r="O1873" s="237"/>
      <c r="P1873" s="237"/>
      <c r="Q1873" s="237"/>
      <c r="R1873" s="237"/>
      <c r="S1873" s="237"/>
      <c r="T1873" s="237"/>
      <c r="U1873" s="237"/>
      <c r="V1873" s="237"/>
      <c r="W1873" s="237"/>
      <c r="X1873" s="237"/>
      <c r="Y1873" s="237"/>
      <c r="Z1873" s="237"/>
    </row>
    <row r="1874">
      <c r="A1874" s="305">
        <v>1873.0</v>
      </c>
      <c r="B1874" s="306">
        <v>654769.0</v>
      </c>
      <c r="C1874" s="307" t="s">
        <v>1420</v>
      </c>
      <c r="D1874" s="308" t="s">
        <v>9371</v>
      </c>
      <c r="E1874" s="305" t="s">
        <v>9372</v>
      </c>
      <c r="F1874" s="309" t="s">
        <v>9373</v>
      </c>
      <c r="G1874" s="236"/>
      <c r="H1874" s="307" t="s">
        <v>1420</v>
      </c>
      <c r="I1874" s="237"/>
      <c r="J1874" s="237"/>
      <c r="K1874" s="310" t="s">
        <v>9370</v>
      </c>
      <c r="L1874" s="237"/>
      <c r="M1874" s="237"/>
      <c r="N1874" s="237"/>
      <c r="O1874" s="237"/>
      <c r="P1874" s="237"/>
      <c r="Q1874" s="237"/>
      <c r="R1874" s="237"/>
      <c r="S1874" s="237"/>
      <c r="T1874" s="237"/>
      <c r="U1874" s="237"/>
      <c r="V1874" s="237"/>
      <c r="W1874" s="237"/>
      <c r="X1874" s="237"/>
      <c r="Y1874" s="237"/>
      <c r="Z1874" s="237"/>
    </row>
    <row r="1875">
      <c r="A1875" s="305">
        <v>1874.0</v>
      </c>
      <c r="B1875" s="236"/>
      <c r="C1875" s="307" t="s">
        <v>1420</v>
      </c>
      <c r="D1875" s="308" t="s">
        <v>9548</v>
      </c>
      <c r="E1875" s="305" t="s">
        <v>9549</v>
      </c>
      <c r="F1875" s="309" t="s">
        <v>9550</v>
      </c>
      <c r="G1875" s="236"/>
      <c r="H1875" s="307" t="s">
        <v>1420</v>
      </c>
      <c r="I1875" s="237"/>
      <c r="J1875" s="237"/>
      <c r="K1875" s="310" t="s">
        <v>9547</v>
      </c>
      <c r="L1875" s="237"/>
      <c r="M1875" s="237"/>
      <c r="N1875" s="237"/>
      <c r="O1875" s="237"/>
      <c r="P1875" s="237"/>
      <c r="Q1875" s="237"/>
      <c r="R1875" s="237"/>
      <c r="S1875" s="237"/>
      <c r="T1875" s="237"/>
      <c r="U1875" s="237"/>
      <c r="V1875" s="237"/>
      <c r="W1875" s="237"/>
      <c r="X1875" s="237"/>
      <c r="Y1875" s="237"/>
      <c r="Z1875" s="237"/>
    </row>
    <row r="1876">
      <c r="A1876" s="305">
        <v>1875.0</v>
      </c>
      <c r="B1876" s="236"/>
      <c r="C1876" s="307" t="s">
        <v>1420</v>
      </c>
      <c r="D1876" s="308" t="s">
        <v>9552</v>
      </c>
      <c r="E1876" s="305" t="s">
        <v>9553</v>
      </c>
      <c r="F1876" s="309" t="s">
        <v>9554</v>
      </c>
      <c r="G1876" s="236"/>
      <c r="H1876" s="307" t="s">
        <v>1420</v>
      </c>
      <c r="I1876" s="237"/>
      <c r="J1876" s="237"/>
      <c r="K1876" s="310" t="s">
        <v>9551</v>
      </c>
      <c r="L1876" s="237"/>
      <c r="M1876" s="237"/>
      <c r="N1876" s="237"/>
      <c r="O1876" s="237"/>
      <c r="P1876" s="237"/>
      <c r="Q1876" s="237"/>
      <c r="R1876" s="237"/>
      <c r="S1876" s="237"/>
      <c r="T1876" s="237"/>
      <c r="U1876" s="237"/>
      <c r="V1876" s="237"/>
      <c r="W1876" s="237"/>
      <c r="X1876" s="237"/>
      <c r="Y1876" s="237"/>
      <c r="Z1876" s="237"/>
    </row>
    <row r="1877">
      <c r="A1877" s="305">
        <v>1876.0</v>
      </c>
      <c r="B1877" s="236"/>
      <c r="C1877" s="307" t="s">
        <v>1420</v>
      </c>
      <c r="D1877" s="308" t="s">
        <v>9519</v>
      </c>
      <c r="E1877" s="305" t="s">
        <v>9520</v>
      </c>
      <c r="F1877" s="309" t="s">
        <v>9521</v>
      </c>
      <c r="G1877" s="236"/>
      <c r="H1877" s="307" t="s">
        <v>1420</v>
      </c>
      <c r="I1877" s="237"/>
      <c r="J1877" s="237"/>
      <c r="K1877" s="310" t="s">
        <v>9518</v>
      </c>
      <c r="L1877" s="237"/>
      <c r="M1877" s="237"/>
      <c r="N1877" s="237"/>
      <c r="O1877" s="237"/>
      <c r="P1877" s="237"/>
      <c r="Q1877" s="237"/>
      <c r="R1877" s="237"/>
      <c r="S1877" s="237"/>
      <c r="T1877" s="237"/>
      <c r="U1877" s="237"/>
      <c r="V1877" s="237"/>
      <c r="W1877" s="237"/>
      <c r="X1877" s="237"/>
      <c r="Y1877" s="237"/>
      <c r="Z1877" s="237"/>
    </row>
    <row r="1878">
      <c r="A1878" s="305">
        <v>1877.0</v>
      </c>
      <c r="B1878" s="236"/>
      <c r="C1878" s="307" t="s">
        <v>1420</v>
      </c>
      <c r="D1878" s="308" t="s">
        <v>9531</v>
      </c>
      <c r="E1878" s="305" t="s">
        <v>9532</v>
      </c>
      <c r="F1878" s="309" t="s">
        <v>9533</v>
      </c>
      <c r="G1878" s="236"/>
      <c r="H1878" s="307" t="s">
        <v>1420</v>
      </c>
      <c r="I1878" s="237"/>
      <c r="J1878" s="237"/>
      <c r="K1878" s="310" t="s">
        <v>9530</v>
      </c>
      <c r="L1878" s="237"/>
      <c r="M1878" s="237"/>
      <c r="N1878" s="237"/>
      <c r="O1878" s="237"/>
      <c r="P1878" s="237"/>
      <c r="Q1878" s="237"/>
      <c r="R1878" s="237"/>
      <c r="S1878" s="237"/>
      <c r="T1878" s="237"/>
      <c r="U1878" s="237"/>
      <c r="V1878" s="237"/>
      <c r="W1878" s="237"/>
      <c r="X1878" s="237"/>
      <c r="Y1878" s="237"/>
      <c r="Z1878" s="237"/>
    </row>
    <row r="1879">
      <c r="A1879" s="305">
        <v>1878.0</v>
      </c>
      <c r="B1879" s="306">
        <v>654749.0</v>
      </c>
      <c r="C1879" s="307" t="s">
        <v>1420</v>
      </c>
      <c r="D1879" s="308" t="s">
        <v>9381</v>
      </c>
      <c r="E1879" s="305" t="s">
        <v>9382</v>
      </c>
      <c r="F1879" s="309" t="s">
        <v>9383</v>
      </c>
      <c r="G1879" s="236"/>
      <c r="H1879" s="307" t="s">
        <v>1420</v>
      </c>
      <c r="I1879" s="237"/>
      <c r="J1879" s="237"/>
      <c r="K1879" s="310" t="s">
        <v>9380</v>
      </c>
      <c r="L1879" s="237"/>
      <c r="M1879" s="237"/>
      <c r="N1879" s="237"/>
      <c r="O1879" s="237"/>
      <c r="P1879" s="237"/>
      <c r="Q1879" s="237"/>
      <c r="R1879" s="237"/>
      <c r="S1879" s="237"/>
      <c r="T1879" s="237"/>
      <c r="U1879" s="237"/>
      <c r="V1879" s="237"/>
      <c r="W1879" s="237"/>
      <c r="X1879" s="237"/>
      <c r="Y1879" s="237"/>
      <c r="Z1879" s="237"/>
    </row>
    <row r="1880">
      <c r="A1880" s="305">
        <v>1879.0</v>
      </c>
      <c r="B1880" s="236"/>
      <c r="C1880" s="307" t="s">
        <v>1420</v>
      </c>
      <c r="D1880" s="308" t="s">
        <v>9584</v>
      </c>
      <c r="E1880" s="305" t="s">
        <v>9585</v>
      </c>
      <c r="F1880" s="309" t="s">
        <v>9586</v>
      </c>
      <c r="G1880" s="236"/>
      <c r="H1880" s="307" t="s">
        <v>1420</v>
      </c>
      <c r="I1880" s="237"/>
      <c r="J1880" s="237"/>
      <c r="K1880" s="310" t="s">
        <v>9583</v>
      </c>
      <c r="L1880" s="237"/>
      <c r="M1880" s="237"/>
      <c r="N1880" s="237"/>
      <c r="O1880" s="237"/>
      <c r="P1880" s="237"/>
      <c r="Q1880" s="237"/>
      <c r="R1880" s="237"/>
      <c r="S1880" s="237"/>
      <c r="T1880" s="237"/>
      <c r="U1880" s="237"/>
      <c r="V1880" s="237"/>
      <c r="W1880" s="237"/>
      <c r="X1880" s="237"/>
      <c r="Y1880" s="237"/>
      <c r="Z1880" s="237"/>
    </row>
    <row r="1881">
      <c r="A1881" s="305">
        <v>1880.0</v>
      </c>
      <c r="B1881" s="236"/>
      <c r="C1881" s="307" t="s">
        <v>1420</v>
      </c>
      <c r="D1881" s="308" t="s">
        <v>9588</v>
      </c>
      <c r="E1881" s="305" t="s">
        <v>9589</v>
      </c>
      <c r="F1881" s="309" t="s">
        <v>9590</v>
      </c>
      <c r="G1881" s="236"/>
      <c r="H1881" s="307" t="s">
        <v>1420</v>
      </c>
      <c r="I1881" s="237"/>
      <c r="J1881" s="237"/>
      <c r="K1881" s="310" t="s">
        <v>9587</v>
      </c>
      <c r="L1881" s="237"/>
      <c r="M1881" s="237"/>
      <c r="N1881" s="237"/>
      <c r="O1881" s="237"/>
      <c r="P1881" s="237"/>
      <c r="Q1881" s="237"/>
      <c r="R1881" s="237"/>
      <c r="S1881" s="237"/>
      <c r="T1881" s="237"/>
      <c r="U1881" s="237"/>
      <c r="V1881" s="237"/>
      <c r="W1881" s="237"/>
      <c r="X1881" s="237"/>
      <c r="Y1881" s="237"/>
      <c r="Z1881" s="237"/>
    </row>
    <row r="1882">
      <c r="A1882" s="305">
        <v>1881.0</v>
      </c>
      <c r="B1882" s="236"/>
      <c r="C1882" s="307" t="s">
        <v>1420</v>
      </c>
      <c r="D1882" s="308" t="s">
        <v>9572</v>
      </c>
      <c r="E1882" s="305" t="s">
        <v>9573</v>
      </c>
      <c r="F1882" s="309" t="s">
        <v>9574</v>
      </c>
      <c r="G1882" s="236"/>
      <c r="H1882" s="307" t="s">
        <v>1420</v>
      </c>
      <c r="I1882" s="237"/>
      <c r="J1882" s="237"/>
      <c r="K1882" s="310" t="s">
        <v>9571</v>
      </c>
      <c r="L1882" s="237"/>
      <c r="M1882" s="237"/>
      <c r="N1882" s="237"/>
      <c r="O1882" s="237"/>
      <c r="P1882" s="237"/>
      <c r="Q1882" s="237"/>
      <c r="R1882" s="237"/>
      <c r="S1882" s="237"/>
      <c r="T1882" s="237"/>
      <c r="U1882" s="237"/>
      <c r="V1882" s="237"/>
      <c r="W1882" s="237"/>
      <c r="X1882" s="237"/>
      <c r="Y1882" s="237"/>
      <c r="Z1882" s="237"/>
    </row>
    <row r="1883">
      <c r="A1883" s="305">
        <v>1882.0</v>
      </c>
      <c r="B1883" s="236"/>
      <c r="C1883" s="307" t="s">
        <v>1420</v>
      </c>
      <c r="D1883" s="308" t="s">
        <v>9580</v>
      </c>
      <c r="E1883" s="305" t="s">
        <v>9581</v>
      </c>
      <c r="F1883" s="309" t="s">
        <v>9582</v>
      </c>
      <c r="G1883" s="236"/>
      <c r="H1883" s="307" t="s">
        <v>1420</v>
      </c>
      <c r="I1883" s="237"/>
      <c r="J1883" s="237"/>
      <c r="K1883" s="310" t="s">
        <v>9579</v>
      </c>
      <c r="L1883" s="237"/>
      <c r="M1883" s="237"/>
      <c r="N1883" s="237"/>
      <c r="O1883" s="237"/>
      <c r="P1883" s="237"/>
      <c r="Q1883" s="237"/>
      <c r="R1883" s="237"/>
      <c r="S1883" s="237"/>
      <c r="T1883" s="237"/>
      <c r="U1883" s="237"/>
      <c r="V1883" s="237"/>
      <c r="W1883" s="237"/>
      <c r="X1883" s="237"/>
      <c r="Y1883" s="237"/>
      <c r="Z1883" s="237"/>
    </row>
    <row r="1884">
      <c r="A1884" s="305">
        <v>1883.0</v>
      </c>
      <c r="B1884" s="236"/>
      <c r="C1884" s="307" t="s">
        <v>1420</v>
      </c>
      <c r="D1884" s="308" t="s">
        <v>9576</v>
      </c>
      <c r="E1884" s="305" t="s">
        <v>9577</v>
      </c>
      <c r="F1884" s="309" t="s">
        <v>9578</v>
      </c>
      <c r="G1884" s="236"/>
      <c r="H1884" s="307" t="s">
        <v>1420</v>
      </c>
      <c r="I1884" s="237"/>
      <c r="J1884" s="237"/>
      <c r="K1884" s="310" t="s">
        <v>9575</v>
      </c>
      <c r="L1884" s="237"/>
      <c r="M1884" s="237"/>
      <c r="N1884" s="237"/>
      <c r="O1884" s="237"/>
      <c r="P1884" s="237"/>
      <c r="Q1884" s="237"/>
      <c r="R1884" s="237"/>
      <c r="S1884" s="237"/>
      <c r="T1884" s="237"/>
      <c r="U1884" s="237"/>
      <c r="V1884" s="237"/>
      <c r="W1884" s="237"/>
      <c r="X1884" s="237"/>
      <c r="Y1884" s="237"/>
      <c r="Z1884" s="237"/>
    </row>
    <row r="1885">
      <c r="A1885" s="305">
        <v>1884.0</v>
      </c>
      <c r="B1885" s="306">
        <v>654943.0</v>
      </c>
      <c r="C1885" s="307" t="s">
        <v>1420</v>
      </c>
      <c r="D1885" s="308" t="s">
        <v>14647</v>
      </c>
      <c r="E1885" s="305" t="s">
        <v>11740</v>
      </c>
      <c r="F1885" s="309" t="s">
        <v>11741</v>
      </c>
      <c r="G1885" s="236"/>
      <c r="H1885" s="307" t="s">
        <v>1420</v>
      </c>
      <c r="I1885" s="237"/>
      <c r="J1885" s="237"/>
      <c r="K1885" s="310" t="s">
        <v>11737</v>
      </c>
      <c r="L1885" s="237"/>
      <c r="M1885" s="237"/>
      <c r="N1885" s="237"/>
      <c r="O1885" s="237"/>
      <c r="P1885" s="237"/>
      <c r="Q1885" s="237"/>
      <c r="R1885" s="237"/>
      <c r="S1885" s="237"/>
      <c r="T1885" s="237"/>
      <c r="U1885" s="237"/>
      <c r="V1885" s="237"/>
      <c r="W1885" s="237"/>
      <c r="X1885" s="237"/>
      <c r="Y1885" s="237"/>
      <c r="Z1885" s="237"/>
    </row>
    <row r="1886">
      <c r="A1886" s="305">
        <v>1885.0</v>
      </c>
      <c r="B1886" s="306">
        <v>654944.0</v>
      </c>
      <c r="C1886" s="307" t="s">
        <v>1420</v>
      </c>
      <c r="D1886" s="308" t="s">
        <v>14648</v>
      </c>
      <c r="E1886" s="305" t="s">
        <v>11745</v>
      </c>
      <c r="F1886" s="309" t="s">
        <v>11746</v>
      </c>
      <c r="G1886" s="236"/>
      <c r="H1886" s="307" t="s">
        <v>1420</v>
      </c>
      <c r="I1886" s="237"/>
      <c r="J1886" s="237"/>
      <c r="K1886" s="310" t="s">
        <v>11743</v>
      </c>
      <c r="L1886" s="237"/>
      <c r="M1886" s="237"/>
      <c r="N1886" s="237"/>
      <c r="O1886" s="237"/>
      <c r="P1886" s="237"/>
      <c r="Q1886" s="237"/>
      <c r="R1886" s="237"/>
      <c r="S1886" s="237"/>
      <c r="T1886" s="237"/>
      <c r="U1886" s="237"/>
      <c r="V1886" s="237"/>
      <c r="W1886" s="237"/>
      <c r="X1886" s="237"/>
      <c r="Y1886" s="237"/>
      <c r="Z1886" s="237"/>
    </row>
    <row r="1887">
      <c r="A1887" s="305">
        <v>1886.0</v>
      </c>
      <c r="B1887" s="236"/>
      <c r="C1887" s="307" t="s">
        <v>1420</v>
      </c>
      <c r="D1887" s="308" t="s">
        <v>9495</v>
      </c>
      <c r="E1887" s="305" t="s">
        <v>9496</v>
      </c>
      <c r="F1887" s="309" t="s">
        <v>9497</v>
      </c>
      <c r="G1887" s="236"/>
      <c r="H1887" s="307" t="s">
        <v>1420</v>
      </c>
      <c r="I1887" s="237"/>
      <c r="J1887" s="237"/>
      <c r="K1887" s="310" t="s">
        <v>9494</v>
      </c>
      <c r="L1887" s="237"/>
      <c r="M1887" s="237"/>
      <c r="N1887" s="237"/>
      <c r="O1887" s="237"/>
      <c r="P1887" s="237"/>
      <c r="Q1887" s="237"/>
      <c r="R1887" s="237"/>
      <c r="S1887" s="237"/>
      <c r="T1887" s="237"/>
      <c r="U1887" s="237"/>
      <c r="V1887" s="237"/>
      <c r="W1887" s="237"/>
      <c r="X1887" s="237"/>
      <c r="Y1887" s="237"/>
      <c r="Z1887" s="237"/>
    </row>
    <row r="1888">
      <c r="A1888" s="305">
        <v>1887.0</v>
      </c>
      <c r="B1888" s="236"/>
      <c r="C1888" s="307" t="s">
        <v>1420</v>
      </c>
      <c r="D1888" s="308" t="s">
        <v>9507</v>
      </c>
      <c r="E1888" s="305" t="s">
        <v>9508</v>
      </c>
      <c r="F1888" s="309" t="s">
        <v>9509</v>
      </c>
      <c r="G1888" s="236"/>
      <c r="H1888" s="307" t="s">
        <v>1420</v>
      </c>
      <c r="I1888" s="237"/>
      <c r="J1888" s="237"/>
      <c r="K1888" s="310" t="s">
        <v>9506</v>
      </c>
      <c r="L1888" s="237"/>
      <c r="M1888" s="237"/>
      <c r="N1888" s="237"/>
      <c r="O1888" s="237"/>
      <c r="P1888" s="237"/>
      <c r="Q1888" s="237"/>
      <c r="R1888" s="237"/>
      <c r="S1888" s="237"/>
      <c r="T1888" s="237"/>
      <c r="U1888" s="237"/>
      <c r="V1888" s="237"/>
      <c r="W1888" s="237"/>
      <c r="X1888" s="237"/>
      <c r="Y1888" s="237"/>
      <c r="Z1888" s="237"/>
    </row>
    <row r="1889">
      <c r="A1889" s="305">
        <v>1888.0</v>
      </c>
      <c r="B1889" s="236"/>
      <c r="C1889" s="307" t="s">
        <v>1420</v>
      </c>
      <c r="D1889" s="308" t="s">
        <v>9487</v>
      </c>
      <c r="E1889" s="305" t="s">
        <v>9488</v>
      </c>
      <c r="F1889" s="309" t="s">
        <v>9489</v>
      </c>
      <c r="G1889" s="236"/>
      <c r="H1889" s="307" t="s">
        <v>1420</v>
      </c>
      <c r="I1889" s="237"/>
      <c r="J1889" s="237"/>
      <c r="K1889" s="310" t="s">
        <v>9486</v>
      </c>
      <c r="L1889" s="237"/>
      <c r="M1889" s="237"/>
      <c r="N1889" s="237"/>
      <c r="O1889" s="237"/>
      <c r="P1889" s="237"/>
      <c r="Q1889" s="237"/>
      <c r="R1889" s="237"/>
      <c r="S1889" s="237"/>
      <c r="T1889" s="237"/>
      <c r="U1889" s="237"/>
      <c r="V1889" s="237"/>
      <c r="W1889" s="237"/>
      <c r="X1889" s="237"/>
      <c r="Y1889" s="237"/>
      <c r="Z1889" s="237"/>
    </row>
    <row r="1890">
      <c r="A1890" s="305">
        <v>1889.0</v>
      </c>
      <c r="B1890" s="236"/>
      <c r="C1890" s="307" t="s">
        <v>1420</v>
      </c>
      <c r="D1890" s="308" t="s">
        <v>9471</v>
      </c>
      <c r="E1890" s="305" t="s">
        <v>9472</v>
      </c>
      <c r="F1890" s="309" t="s">
        <v>9473</v>
      </c>
      <c r="G1890" s="236"/>
      <c r="H1890" s="307" t="s">
        <v>1420</v>
      </c>
      <c r="I1890" s="237"/>
      <c r="J1890" s="237"/>
      <c r="K1890" s="310" t="s">
        <v>9470</v>
      </c>
      <c r="L1890" s="237"/>
      <c r="M1890" s="237"/>
      <c r="N1890" s="237"/>
      <c r="O1890" s="237"/>
      <c r="P1890" s="237"/>
      <c r="Q1890" s="237"/>
      <c r="R1890" s="237"/>
      <c r="S1890" s="237"/>
      <c r="T1890" s="237"/>
      <c r="U1890" s="237"/>
      <c r="V1890" s="237"/>
      <c r="W1890" s="237"/>
      <c r="X1890" s="237"/>
      <c r="Y1890" s="237"/>
      <c r="Z1890" s="237"/>
    </row>
    <row r="1891">
      <c r="A1891" s="305">
        <v>1890.0</v>
      </c>
      <c r="B1891" s="236"/>
      <c r="C1891" s="307" t="s">
        <v>1420</v>
      </c>
      <c r="D1891" s="308" t="s">
        <v>9389</v>
      </c>
      <c r="E1891" s="305" t="s">
        <v>9390</v>
      </c>
      <c r="F1891" s="309" t="s">
        <v>9391</v>
      </c>
      <c r="G1891" s="236"/>
      <c r="H1891" s="307" t="s">
        <v>1420</v>
      </c>
      <c r="I1891" s="237"/>
      <c r="J1891" s="237"/>
      <c r="K1891" s="310" t="s">
        <v>9388</v>
      </c>
      <c r="L1891" s="237"/>
      <c r="M1891" s="237"/>
      <c r="N1891" s="237"/>
      <c r="O1891" s="237"/>
      <c r="P1891" s="237"/>
      <c r="Q1891" s="237"/>
      <c r="R1891" s="237"/>
      <c r="S1891" s="237"/>
      <c r="T1891" s="237"/>
      <c r="U1891" s="237"/>
      <c r="V1891" s="237"/>
      <c r="W1891" s="237"/>
      <c r="X1891" s="237"/>
      <c r="Y1891" s="237"/>
      <c r="Z1891" s="237"/>
    </row>
    <row r="1892">
      <c r="A1892" s="305">
        <v>1891.0</v>
      </c>
      <c r="B1892" s="236"/>
      <c r="C1892" s="307" t="s">
        <v>1420</v>
      </c>
      <c r="D1892" s="308" t="s">
        <v>9385</v>
      </c>
      <c r="E1892" s="305" t="s">
        <v>9386</v>
      </c>
      <c r="F1892" s="309" t="s">
        <v>9387</v>
      </c>
      <c r="G1892" s="236"/>
      <c r="H1892" s="307" t="s">
        <v>1420</v>
      </c>
      <c r="I1892" s="237"/>
      <c r="J1892" s="237"/>
      <c r="K1892" s="310" t="s">
        <v>9384</v>
      </c>
      <c r="L1892" s="237"/>
      <c r="M1892" s="237"/>
      <c r="N1892" s="237"/>
      <c r="O1892" s="237"/>
      <c r="P1892" s="237"/>
      <c r="Q1892" s="237"/>
      <c r="R1892" s="237"/>
      <c r="S1892" s="237"/>
      <c r="T1892" s="237"/>
      <c r="U1892" s="237"/>
      <c r="V1892" s="237"/>
      <c r="W1892" s="237"/>
      <c r="X1892" s="237"/>
      <c r="Y1892" s="237"/>
      <c r="Z1892" s="237"/>
    </row>
    <row r="1893">
      <c r="A1893" s="305">
        <v>1892.0</v>
      </c>
      <c r="B1893" s="236"/>
      <c r="C1893" s="307" t="s">
        <v>1420</v>
      </c>
      <c r="D1893" s="308" t="s">
        <v>9604</v>
      </c>
      <c r="E1893" s="305" t="s">
        <v>9605</v>
      </c>
      <c r="F1893" s="309" t="s">
        <v>9606</v>
      </c>
      <c r="G1893" s="236"/>
      <c r="H1893" s="307" t="s">
        <v>1420</v>
      </c>
      <c r="I1893" s="237"/>
      <c r="J1893" s="237"/>
      <c r="K1893" s="310" t="s">
        <v>9603</v>
      </c>
      <c r="L1893" s="237"/>
      <c r="M1893" s="237"/>
      <c r="N1893" s="237"/>
      <c r="O1893" s="237"/>
      <c r="P1893" s="237"/>
      <c r="Q1893" s="237"/>
      <c r="R1893" s="237"/>
      <c r="S1893" s="237"/>
      <c r="T1893" s="237"/>
      <c r="U1893" s="237"/>
      <c r="V1893" s="237"/>
      <c r="W1893" s="237"/>
      <c r="X1893" s="237"/>
      <c r="Y1893" s="237"/>
      <c r="Z1893" s="237"/>
    </row>
    <row r="1894">
      <c r="A1894" s="305">
        <v>1893.0</v>
      </c>
      <c r="B1894" s="236"/>
      <c r="C1894" s="307" t="s">
        <v>1420</v>
      </c>
      <c r="D1894" s="308" t="s">
        <v>9393</v>
      </c>
      <c r="E1894" s="305" t="s">
        <v>9394</v>
      </c>
      <c r="F1894" s="309" t="s">
        <v>9395</v>
      </c>
      <c r="G1894" s="236"/>
      <c r="H1894" s="307" t="s">
        <v>1420</v>
      </c>
      <c r="I1894" s="237"/>
      <c r="J1894" s="237"/>
      <c r="K1894" s="310" t="s">
        <v>9392</v>
      </c>
      <c r="L1894" s="237"/>
      <c r="M1894" s="237"/>
      <c r="N1894" s="237"/>
      <c r="O1894" s="237"/>
      <c r="P1894" s="237"/>
      <c r="Q1894" s="237"/>
      <c r="R1894" s="237"/>
      <c r="S1894" s="237"/>
      <c r="T1894" s="237"/>
      <c r="U1894" s="237"/>
      <c r="V1894" s="237"/>
      <c r="W1894" s="237"/>
      <c r="X1894" s="237"/>
      <c r="Y1894" s="237"/>
      <c r="Z1894" s="237"/>
    </row>
    <row r="1895">
      <c r="A1895" s="305">
        <v>1894.0</v>
      </c>
      <c r="B1895" s="236"/>
      <c r="C1895" s="307" t="s">
        <v>1420</v>
      </c>
      <c r="D1895" s="308" t="s">
        <v>9523</v>
      </c>
      <c r="E1895" s="305" t="s">
        <v>9524</v>
      </c>
      <c r="F1895" s="309" t="s">
        <v>9525</v>
      </c>
      <c r="G1895" s="236"/>
      <c r="H1895" s="307" t="s">
        <v>1420</v>
      </c>
      <c r="I1895" s="237"/>
      <c r="J1895" s="237"/>
      <c r="K1895" s="310" t="s">
        <v>9522</v>
      </c>
      <c r="L1895" s="237"/>
      <c r="M1895" s="237"/>
      <c r="N1895" s="237"/>
      <c r="O1895" s="237"/>
      <c r="P1895" s="237"/>
      <c r="Q1895" s="237"/>
      <c r="R1895" s="237"/>
      <c r="S1895" s="237"/>
      <c r="T1895" s="237"/>
      <c r="U1895" s="237"/>
      <c r="V1895" s="237"/>
      <c r="W1895" s="237"/>
      <c r="X1895" s="237"/>
      <c r="Y1895" s="237"/>
      <c r="Z1895" s="237"/>
    </row>
    <row r="1896">
      <c r="A1896" s="305">
        <v>1895.0</v>
      </c>
      <c r="B1896" s="236"/>
      <c r="C1896" s="307" t="s">
        <v>1420</v>
      </c>
      <c r="D1896" s="308" t="s">
        <v>9527</v>
      </c>
      <c r="E1896" s="305" t="s">
        <v>9528</v>
      </c>
      <c r="F1896" s="309" t="s">
        <v>9529</v>
      </c>
      <c r="G1896" s="236"/>
      <c r="H1896" s="307" t="s">
        <v>1420</v>
      </c>
      <c r="I1896" s="237"/>
      <c r="J1896" s="237"/>
      <c r="K1896" s="310" t="s">
        <v>9526</v>
      </c>
      <c r="L1896" s="237"/>
      <c r="M1896" s="237"/>
      <c r="N1896" s="237"/>
      <c r="O1896" s="237"/>
      <c r="P1896" s="237"/>
      <c r="Q1896" s="237"/>
      <c r="R1896" s="237"/>
      <c r="S1896" s="237"/>
      <c r="T1896" s="237"/>
      <c r="U1896" s="237"/>
      <c r="V1896" s="237"/>
      <c r="W1896" s="237"/>
      <c r="X1896" s="237"/>
      <c r="Y1896" s="237"/>
      <c r="Z1896" s="237"/>
    </row>
    <row r="1897">
      <c r="A1897" s="305">
        <v>1896.0</v>
      </c>
      <c r="B1897" s="236"/>
      <c r="C1897" s="307" t="s">
        <v>1420</v>
      </c>
      <c r="D1897" s="308" t="s">
        <v>9491</v>
      </c>
      <c r="E1897" s="305" t="s">
        <v>9492</v>
      </c>
      <c r="F1897" s="309" t="s">
        <v>9493</v>
      </c>
      <c r="G1897" s="236"/>
      <c r="H1897" s="307" t="s">
        <v>1420</v>
      </c>
      <c r="I1897" s="237"/>
      <c r="J1897" s="237"/>
      <c r="K1897" s="310" t="s">
        <v>9490</v>
      </c>
      <c r="L1897" s="237"/>
      <c r="M1897" s="237"/>
      <c r="N1897" s="237"/>
      <c r="O1897" s="237"/>
      <c r="P1897" s="237"/>
      <c r="Q1897" s="237"/>
      <c r="R1897" s="237"/>
      <c r="S1897" s="237"/>
      <c r="T1897" s="237"/>
      <c r="U1897" s="237"/>
      <c r="V1897" s="237"/>
      <c r="W1897" s="237"/>
      <c r="X1897" s="237"/>
      <c r="Y1897" s="237"/>
      <c r="Z1897" s="237"/>
    </row>
    <row r="1898">
      <c r="A1898" s="305">
        <v>1897.0</v>
      </c>
      <c r="B1898" s="236"/>
      <c r="C1898" s="307" t="s">
        <v>1420</v>
      </c>
      <c r="D1898" s="308" t="s">
        <v>9499</v>
      </c>
      <c r="E1898" s="305" t="s">
        <v>9500</v>
      </c>
      <c r="F1898" s="309" t="s">
        <v>9501</v>
      </c>
      <c r="G1898" s="236"/>
      <c r="H1898" s="307" t="s">
        <v>1420</v>
      </c>
      <c r="I1898" s="237"/>
      <c r="J1898" s="237"/>
      <c r="K1898" s="310" t="s">
        <v>9498</v>
      </c>
      <c r="L1898" s="237"/>
      <c r="M1898" s="237"/>
      <c r="N1898" s="237"/>
      <c r="O1898" s="237"/>
      <c r="P1898" s="237"/>
      <c r="Q1898" s="237"/>
      <c r="R1898" s="237"/>
      <c r="S1898" s="237"/>
      <c r="T1898" s="237"/>
      <c r="U1898" s="237"/>
      <c r="V1898" s="237"/>
      <c r="W1898" s="237"/>
      <c r="X1898" s="237"/>
      <c r="Y1898" s="237"/>
      <c r="Z1898" s="237"/>
    </row>
    <row r="1899">
      <c r="A1899" s="305">
        <v>1898.0</v>
      </c>
      <c r="B1899" s="236"/>
      <c r="C1899" s="307" t="s">
        <v>1420</v>
      </c>
      <c r="D1899" s="308" t="s">
        <v>9503</v>
      </c>
      <c r="E1899" s="305" t="s">
        <v>9504</v>
      </c>
      <c r="F1899" s="309" t="s">
        <v>9505</v>
      </c>
      <c r="G1899" s="236"/>
      <c r="H1899" s="307" t="s">
        <v>1420</v>
      </c>
      <c r="I1899" s="237"/>
      <c r="J1899" s="237"/>
      <c r="K1899" s="310" t="s">
        <v>9502</v>
      </c>
      <c r="L1899" s="237"/>
      <c r="M1899" s="237"/>
      <c r="N1899" s="237"/>
      <c r="O1899" s="237"/>
      <c r="P1899" s="237"/>
      <c r="Q1899" s="237"/>
      <c r="R1899" s="237"/>
      <c r="S1899" s="237"/>
      <c r="T1899" s="237"/>
      <c r="U1899" s="237"/>
      <c r="V1899" s="237"/>
      <c r="W1899" s="237"/>
      <c r="X1899" s="237"/>
      <c r="Y1899" s="237"/>
      <c r="Z1899" s="237"/>
    </row>
    <row r="1900">
      <c r="A1900" s="305">
        <v>1899.0</v>
      </c>
      <c r="B1900" s="236"/>
      <c r="C1900" s="307" t="s">
        <v>1420</v>
      </c>
      <c r="D1900" s="308" t="s">
        <v>9511</v>
      </c>
      <c r="E1900" s="305" t="s">
        <v>9512</v>
      </c>
      <c r="F1900" s="309" t="s">
        <v>9513</v>
      </c>
      <c r="G1900" s="236"/>
      <c r="H1900" s="307" t="s">
        <v>1420</v>
      </c>
      <c r="I1900" s="237"/>
      <c r="J1900" s="237"/>
      <c r="K1900" s="310" t="s">
        <v>9510</v>
      </c>
      <c r="L1900" s="237"/>
      <c r="M1900" s="237"/>
      <c r="N1900" s="237"/>
      <c r="O1900" s="237"/>
      <c r="P1900" s="237"/>
      <c r="Q1900" s="237"/>
      <c r="R1900" s="237"/>
      <c r="S1900" s="237"/>
      <c r="T1900" s="237"/>
      <c r="U1900" s="237"/>
      <c r="V1900" s="237"/>
      <c r="W1900" s="237"/>
      <c r="X1900" s="237"/>
      <c r="Y1900" s="237"/>
      <c r="Z1900" s="237"/>
    </row>
    <row r="1901">
      <c r="A1901" s="305">
        <v>1900.0</v>
      </c>
      <c r="B1901" s="236"/>
      <c r="C1901" s="307" t="s">
        <v>1420</v>
      </c>
      <c r="D1901" s="308" t="s">
        <v>9463</v>
      </c>
      <c r="E1901" s="305" t="s">
        <v>9464</v>
      </c>
      <c r="F1901" s="309" t="s">
        <v>9465</v>
      </c>
      <c r="G1901" s="236"/>
      <c r="H1901" s="307" t="s">
        <v>1420</v>
      </c>
      <c r="I1901" s="237"/>
      <c r="J1901" s="237"/>
      <c r="K1901" s="310" t="s">
        <v>9462</v>
      </c>
      <c r="L1901" s="237"/>
      <c r="M1901" s="237"/>
      <c r="N1901" s="237"/>
      <c r="O1901" s="237"/>
      <c r="P1901" s="237"/>
      <c r="Q1901" s="237"/>
      <c r="R1901" s="237"/>
      <c r="S1901" s="237"/>
      <c r="T1901" s="237"/>
      <c r="U1901" s="237"/>
      <c r="V1901" s="237"/>
      <c r="W1901" s="237"/>
      <c r="X1901" s="237"/>
      <c r="Y1901" s="237"/>
      <c r="Z1901" s="237"/>
    </row>
    <row r="1902">
      <c r="A1902" s="305">
        <v>1901.0</v>
      </c>
      <c r="B1902" s="236"/>
      <c r="C1902" s="307" t="s">
        <v>1420</v>
      </c>
      <c r="D1902" s="308" t="s">
        <v>9483</v>
      </c>
      <c r="E1902" s="305" t="s">
        <v>9484</v>
      </c>
      <c r="F1902" s="309" t="s">
        <v>9485</v>
      </c>
      <c r="G1902" s="236"/>
      <c r="H1902" s="307" t="s">
        <v>1420</v>
      </c>
      <c r="I1902" s="237"/>
      <c r="J1902" s="237"/>
      <c r="K1902" s="310" t="s">
        <v>9482</v>
      </c>
      <c r="L1902" s="237"/>
      <c r="M1902" s="237"/>
      <c r="N1902" s="237"/>
      <c r="O1902" s="237"/>
      <c r="P1902" s="237"/>
      <c r="Q1902" s="237"/>
      <c r="R1902" s="237"/>
      <c r="S1902" s="237"/>
      <c r="T1902" s="237"/>
      <c r="U1902" s="237"/>
      <c r="V1902" s="237"/>
      <c r="W1902" s="237"/>
      <c r="X1902" s="237"/>
      <c r="Y1902" s="237"/>
      <c r="Z1902" s="237"/>
    </row>
    <row r="1903">
      <c r="A1903" s="305">
        <v>1902.0</v>
      </c>
      <c r="B1903" s="236"/>
      <c r="C1903" s="307" t="s">
        <v>1420</v>
      </c>
      <c r="D1903" s="308" t="s">
        <v>9479</v>
      </c>
      <c r="E1903" s="305" t="s">
        <v>9480</v>
      </c>
      <c r="F1903" s="309" t="s">
        <v>9481</v>
      </c>
      <c r="G1903" s="236"/>
      <c r="H1903" s="307" t="s">
        <v>1420</v>
      </c>
      <c r="I1903" s="237"/>
      <c r="J1903" s="237"/>
      <c r="K1903" s="310" t="s">
        <v>9478</v>
      </c>
      <c r="L1903" s="237"/>
      <c r="M1903" s="237"/>
      <c r="N1903" s="237"/>
      <c r="O1903" s="237"/>
      <c r="P1903" s="237"/>
      <c r="Q1903" s="237"/>
      <c r="R1903" s="237"/>
      <c r="S1903" s="237"/>
      <c r="T1903" s="237"/>
      <c r="U1903" s="237"/>
      <c r="V1903" s="237"/>
      <c r="W1903" s="237"/>
      <c r="X1903" s="237"/>
      <c r="Y1903" s="237"/>
      <c r="Z1903" s="237"/>
    </row>
    <row r="1904">
      <c r="A1904" s="305">
        <v>1903.0</v>
      </c>
      <c r="B1904" s="236"/>
      <c r="C1904" s="307" t="s">
        <v>1420</v>
      </c>
      <c r="D1904" s="308" t="s">
        <v>9475</v>
      </c>
      <c r="E1904" s="305" t="s">
        <v>9476</v>
      </c>
      <c r="F1904" s="309" t="s">
        <v>9477</v>
      </c>
      <c r="G1904" s="236"/>
      <c r="H1904" s="307" t="s">
        <v>1420</v>
      </c>
      <c r="I1904" s="237"/>
      <c r="J1904" s="237"/>
      <c r="K1904" s="310" t="s">
        <v>9474</v>
      </c>
      <c r="L1904" s="237"/>
      <c r="M1904" s="237"/>
      <c r="N1904" s="237"/>
      <c r="O1904" s="237"/>
      <c r="P1904" s="237"/>
      <c r="Q1904" s="237"/>
      <c r="R1904" s="237"/>
      <c r="S1904" s="237"/>
      <c r="T1904" s="237"/>
      <c r="U1904" s="237"/>
      <c r="V1904" s="237"/>
      <c r="W1904" s="237"/>
      <c r="X1904" s="237"/>
      <c r="Y1904" s="237"/>
      <c r="Z1904" s="237"/>
    </row>
    <row r="1905">
      <c r="A1905" s="305">
        <v>1904.0</v>
      </c>
      <c r="B1905" s="236"/>
      <c r="C1905" s="307" t="s">
        <v>1420</v>
      </c>
      <c r="D1905" s="308" t="s">
        <v>9467</v>
      </c>
      <c r="E1905" s="305" t="s">
        <v>9468</v>
      </c>
      <c r="F1905" s="309" t="s">
        <v>9469</v>
      </c>
      <c r="G1905" s="236"/>
      <c r="H1905" s="307" t="s">
        <v>1420</v>
      </c>
      <c r="I1905" s="237"/>
      <c r="J1905" s="237"/>
      <c r="K1905" s="310" t="s">
        <v>9466</v>
      </c>
      <c r="L1905" s="237"/>
      <c r="M1905" s="237"/>
      <c r="N1905" s="237"/>
      <c r="O1905" s="237"/>
      <c r="P1905" s="237"/>
      <c r="Q1905" s="237"/>
      <c r="R1905" s="237"/>
      <c r="S1905" s="237"/>
      <c r="T1905" s="237"/>
      <c r="U1905" s="237"/>
      <c r="V1905" s="237"/>
      <c r="W1905" s="237"/>
      <c r="X1905" s="237"/>
      <c r="Y1905" s="237"/>
      <c r="Z1905" s="237"/>
    </row>
    <row r="1906">
      <c r="A1906" s="305">
        <v>1905.0</v>
      </c>
      <c r="B1906" s="236"/>
      <c r="C1906" s="307" t="s">
        <v>1420</v>
      </c>
      <c r="D1906" s="308" t="s">
        <v>9515</v>
      </c>
      <c r="E1906" s="305" t="s">
        <v>9516</v>
      </c>
      <c r="F1906" s="309" t="s">
        <v>9517</v>
      </c>
      <c r="G1906" s="236"/>
      <c r="H1906" s="307" t="s">
        <v>1420</v>
      </c>
      <c r="I1906" s="237"/>
      <c r="J1906" s="237"/>
      <c r="K1906" s="310" t="s">
        <v>9514</v>
      </c>
      <c r="L1906" s="237"/>
      <c r="M1906" s="237"/>
      <c r="N1906" s="237"/>
      <c r="O1906" s="237"/>
      <c r="P1906" s="237"/>
      <c r="Q1906" s="237"/>
      <c r="R1906" s="237"/>
      <c r="S1906" s="237"/>
      <c r="T1906" s="237"/>
      <c r="U1906" s="237"/>
      <c r="V1906" s="237"/>
      <c r="W1906" s="237"/>
      <c r="X1906" s="237"/>
      <c r="Y1906" s="237"/>
      <c r="Z1906" s="237"/>
    </row>
    <row r="1907">
      <c r="A1907" s="305">
        <v>1906.0</v>
      </c>
      <c r="B1907" s="236"/>
      <c r="C1907" s="307" t="s">
        <v>1420</v>
      </c>
      <c r="D1907" s="308" t="s">
        <v>9535</v>
      </c>
      <c r="E1907" s="305" t="s">
        <v>9536</v>
      </c>
      <c r="F1907" s="309" t="s">
        <v>9537</v>
      </c>
      <c r="G1907" s="236"/>
      <c r="H1907" s="307" t="s">
        <v>1420</v>
      </c>
      <c r="I1907" s="237"/>
      <c r="J1907" s="237"/>
      <c r="K1907" s="310" t="s">
        <v>9534</v>
      </c>
      <c r="L1907" s="237"/>
      <c r="M1907" s="237"/>
      <c r="N1907" s="237"/>
      <c r="O1907" s="237"/>
      <c r="P1907" s="237"/>
      <c r="Q1907" s="237"/>
      <c r="R1907" s="237"/>
      <c r="S1907" s="237"/>
      <c r="T1907" s="237"/>
      <c r="U1907" s="237"/>
      <c r="V1907" s="237"/>
      <c r="W1907" s="237"/>
      <c r="X1907" s="237"/>
      <c r="Y1907" s="237"/>
      <c r="Z1907" s="237"/>
    </row>
    <row r="1908">
      <c r="A1908" s="305">
        <v>1907.0</v>
      </c>
      <c r="B1908" s="236"/>
      <c r="C1908" s="307" t="s">
        <v>1420</v>
      </c>
      <c r="D1908" s="308" t="s">
        <v>9544</v>
      </c>
      <c r="E1908" s="305" t="s">
        <v>9545</v>
      </c>
      <c r="F1908" s="309" t="s">
        <v>9546</v>
      </c>
      <c r="G1908" s="236"/>
      <c r="H1908" s="307" t="s">
        <v>1420</v>
      </c>
      <c r="I1908" s="237"/>
      <c r="J1908" s="237"/>
      <c r="K1908" s="310" t="s">
        <v>9543</v>
      </c>
      <c r="L1908" s="237"/>
      <c r="M1908" s="237"/>
      <c r="N1908" s="237"/>
      <c r="O1908" s="237"/>
      <c r="P1908" s="237"/>
      <c r="Q1908" s="237"/>
      <c r="R1908" s="237"/>
      <c r="S1908" s="237"/>
      <c r="T1908" s="237"/>
      <c r="U1908" s="237"/>
      <c r="V1908" s="237"/>
      <c r="W1908" s="237"/>
      <c r="X1908" s="237"/>
      <c r="Y1908" s="237"/>
      <c r="Z1908" s="237"/>
    </row>
    <row r="1909">
      <c r="A1909" s="305">
        <v>1908.0</v>
      </c>
      <c r="B1909" s="306">
        <v>654859.0</v>
      </c>
      <c r="C1909" s="307" t="s">
        <v>1420</v>
      </c>
      <c r="D1909" s="308" t="s">
        <v>9540</v>
      </c>
      <c r="E1909" s="305" t="s">
        <v>9541</v>
      </c>
      <c r="F1909" s="309" t="s">
        <v>9542</v>
      </c>
      <c r="G1909" s="236"/>
      <c r="H1909" s="307" t="s">
        <v>1420</v>
      </c>
      <c r="I1909" s="237"/>
      <c r="J1909" s="237"/>
      <c r="K1909" s="310" t="s">
        <v>9539</v>
      </c>
      <c r="L1909" s="237"/>
      <c r="M1909" s="237"/>
      <c r="N1909" s="237"/>
      <c r="O1909" s="237"/>
      <c r="P1909" s="237"/>
      <c r="Q1909" s="237"/>
      <c r="R1909" s="237"/>
      <c r="S1909" s="237"/>
      <c r="T1909" s="237"/>
      <c r="U1909" s="237"/>
      <c r="V1909" s="237"/>
      <c r="W1909" s="237"/>
      <c r="X1909" s="237"/>
      <c r="Y1909" s="237"/>
      <c r="Z1909" s="237"/>
    </row>
    <row r="1910">
      <c r="A1910" s="305">
        <v>1909.0</v>
      </c>
      <c r="B1910" s="236"/>
      <c r="C1910" s="307" t="s">
        <v>1420</v>
      </c>
      <c r="D1910" s="308" t="s">
        <v>9401</v>
      </c>
      <c r="E1910" s="305" t="s">
        <v>9402</v>
      </c>
      <c r="F1910" s="309" t="s">
        <v>9403</v>
      </c>
      <c r="G1910" s="236"/>
      <c r="H1910" s="307" t="s">
        <v>1420</v>
      </c>
      <c r="I1910" s="237"/>
      <c r="J1910" s="237"/>
      <c r="K1910" s="310" t="s">
        <v>9400</v>
      </c>
      <c r="L1910" s="237"/>
      <c r="M1910" s="237"/>
      <c r="N1910" s="237"/>
      <c r="O1910" s="237"/>
      <c r="P1910" s="237"/>
      <c r="Q1910" s="237"/>
      <c r="R1910" s="237"/>
      <c r="S1910" s="237"/>
      <c r="T1910" s="237"/>
      <c r="U1910" s="237"/>
      <c r="V1910" s="237"/>
      <c r="W1910" s="237"/>
      <c r="X1910" s="237"/>
      <c r="Y1910" s="237"/>
      <c r="Z1910" s="237"/>
    </row>
    <row r="1911">
      <c r="A1911" s="305">
        <v>1910.0</v>
      </c>
      <c r="B1911" s="236"/>
      <c r="C1911" s="307" t="s">
        <v>1420</v>
      </c>
      <c r="D1911" s="308" t="s">
        <v>9397</v>
      </c>
      <c r="E1911" s="305" t="s">
        <v>9398</v>
      </c>
      <c r="F1911" s="309" t="s">
        <v>9399</v>
      </c>
      <c r="G1911" s="236"/>
      <c r="H1911" s="307" t="s">
        <v>1420</v>
      </c>
      <c r="I1911" s="237"/>
      <c r="J1911" s="237"/>
      <c r="K1911" s="310" t="s">
        <v>9396</v>
      </c>
      <c r="L1911" s="237"/>
      <c r="M1911" s="237"/>
      <c r="N1911" s="237"/>
      <c r="O1911" s="237"/>
      <c r="P1911" s="237"/>
      <c r="Q1911" s="237"/>
      <c r="R1911" s="237"/>
      <c r="S1911" s="237"/>
      <c r="T1911" s="237"/>
      <c r="U1911" s="237"/>
      <c r="V1911" s="237"/>
      <c r="W1911" s="237"/>
      <c r="X1911" s="237"/>
      <c r="Y1911" s="237"/>
      <c r="Z1911" s="237"/>
    </row>
    <row r="1912">
      <c r="A1912" s="305">
        <v>1911.0</v>
      </c>
      <c r="B1912" s="306">
        <v>5.0012128E7</v>
      </c>
      <c r="C1912" s="307" t="s">
        <v>1420</v>
      </c>
      <c r="D1912" s="308" t="s">
        <v>8003</v>
      </c>
      <c r="E1912" s="305" t="s">
        <v>8004</v>
      </c>
      <c r="F1912" s="309" t="s">
        <v>8005</v>
      </c>
      <c r="G1912" s="236"/>
      <c r="H1912" s="307" t="s">
        <v>1420</v>
      </c>
      <c r="I1912" s="237"/>
      <c r="J1912" s="237"/>
      <c r="K1912" s="310" t="s">
        <v>8002</v>
      </c>
      <c r="L1912" s="237"/>
      <c r="M1912" s="237"/>
      <c r="N1912" s="237"/>
      <c r="O1912" s="237"/>
      <c r="P1912" s="237"/>
      <c r="Q1912" s="237"/>
      <c r="R1912" s="237"/>
      <c r="S1912" s="237"/>
      <c r="T1912" s="237"/>
      <c r="U1912" s="237"/>
      <c r="V1912" s="237"/>
      <c r="W1912" s="237"/>
      <c r="X1912" s="237"/>
      <c r="Y1912" s="237"/>
      <c r="Z1912" s="237"/>
    </row>
    <row r="1913">
      <c r="A1913" s="305">
        <v>1912.0</v>
      </c>
      <c r="B1913" s="236"/>
      <c r="C1913" s="307" t="s">
        <v>14007</v>
      </c>
      <c r="D1913" s="308" t="s">
        <v>13147</v>
      </c>
      <c r="E1913" s="236"/>
      <c r="F1913" s="236"/>
      <c r="G1913" s="307" t="s">
        <v>13128</v>
      </c>
      <c r="H1913" s="307" t="s">
        <v>14007</v>
      </c>
      <c r="I1913" s="237"/>
      <c r="J1913" s="237"/>
      <c r="K1913" s="262"/>
      <c r="L1913" s="237"/>
      <c r="M1913" s="237"/>
      <c r="N1913" s="237"/>
      <c r="O1913" s="237"/>
      <c r="P1913" s="237"/>
      <c r="Q1913" s="237"/>
      <c r="R1913" s="237"/>
      <c r="S1913" s="237"/>
      <c r="T1913" s="237"/>
      <c r="U1913" s="237"/>
      <c r="V1913" s="237"/>
      <c r="W1913" s="237"/>
      <c r="X1913" s="237"/>
      <c r="Y1913" s="237"/>
      <c r="Z1913" s="237"/>
    </row>
    <row r="1914">
      <c r="A1914" s="305">
        <v>1913.0</v>
      </c>
      <c r="B1914" s="306" t="s">
        <v>5523</v>
      </c>
      <c r="C1914" s="307" t="s">
        <v>1420</v>
      </c>
      <c r="D1914" s="308" t="s">
        <v>5525</v>
      </c>
      <c r="E1914" s="305" t="s">
        <v>5526</v>
      </c>
      <c r="F1914" s="309" t="s">
        <v>5527</v>
      </c>
      <c r="G1914" s="236"/>
      <c r="H1914" s="307" t="s">
        <v>1420</v>
      </c>
      <c r="I1914" s="237"/>
      <c r="J1914" s="237"/>
      <c r="K1914" s="310" t="s">
        <v>5524</v>
      </c>
      <c r="L1914" s="237"/>
      <c r="M1914" s="237"/>
      <c r="N1914" s="237"/>
      <c r="O1914" s="237"/>
      <c r="P1914" s="237"/>
      <c r="Q1914" s="237"/>
      <c r="R1914" s="237"/>
      <c r="S1914" s="237"/>
      <c r="T1914" s="237"/>
      <c r="U1914" s="237"/>
      <c r="V1914" s="237"/>
      <c r="W1914" s="237"/>
      <c r="X1914" s="237"/>
      <c r="Y1914" s="237"/>
      <c r="Z1914" s="237"/>
    </row>
    <row r="1915">
      <c r="A1915" s="305">
        <v>1914.0</v>
      </c>
      <c r="B1915" s="306">
        <v>1068120.0</v>
      </c>
      <c r="C1915" s="307" t="s">
        <v>1420</v>
      </c>
      <c r="D1915" s="308" t="s">
        <v>6712</v>
      </c>
      <c r="E1915" s="305" t="s">
        <v>6713</v>
      </c>
      <c r="F1915" s="309" t="s">
        <v>6714</v>
      </c>
      <c r="G1915" s="236"/>
      <c r="H1915" s="307" t="s">
        <v>1420</v>
      </c>
      <c r="I1915" s="237"/>
      <c r="J1915" s="237"/>
      <c r="K1915" s="310" t="s">
        <v>6711</v>
      </c>
      <c r="L1915" s="237"/>
      <c r="M1915" s="237"/>
      <c r="N1915" s="237"/>
      <c r="O1915" s="237"/>
      <c r="P1915" s="237"/>
      <c r="Q1915" s="237"/>
      <c r="R1915" s="237"/>
      <c r="S1915" s="237"/>
      <c r="T1915" s="237"/>
      <c r="U1915" s="237"/>
      <c r="V1915" s="237"/>
      <c r="W1915" s="237"/>
      <c r="X1915" s="237"/>
      <c r="Y1915" s="237"/>
      <c r="Z1915" s="237"/>
    </row>
    <row r="1916">
      <c r="A1916" s="305">
        <v>1915.0</v>
      </c>
      <c r="B1916" s="236"/>
      <c r="C1916" s="307" t="s">
        <v>1420</v>
      </c>
      <c r="D1916" s="308" t="s">
        <v>13098</v>
      </c>
      <c r="E1916" s="236"/>
      <c r="F1916" s="309" t="s">
        <v>13099</v>
      </c>
      <c r="G1916" s="236"/>
      <c r="H1916" s="307" t="s">
        <v>1420</v>
      </c>
      <c r="I1916" s="237"/>
      <c r="J1916" s="237"/>
      <c r="K1916" s="262"/>
      <c r="L1916" s="237"/>
      <c r="M1916" s="237"/>
      <c r="N1916" s="237"/>
      <c r="O1916" s="237"/>
      <c r="P1916" s="237"/>
      <c r="Q1916" s="237"/>
      <c r="R1916" s="237"/>
      <c r="S1916" s="237"/>
      <c r="T1916" s="237"/>
      <c r="U1916" s="237"/>
      <c r="V1916" s="237"/>
      <c r="W1916" s="237"/>
      <c r="X1916" s="237"/>
      <c r="Y1916" s="237"/>
      <c r="Z1916" s="237"/>
    </row>
    <row r="1917">
      <c r="A1917" s="305">
        <v>1916.0</v>
      </c>
      <c r="B1917" s="306" t="s">
        <v>3679</v>
      </c>
      <c r="C1917" s="307" t="s">
        <v>1420</v>
      </c>
      <c r="D1917" s="308" t="s">
        <v>14649</v>
      </c>
      <c r="E1917" s="305" t="s">
        <v>3682</v>
      </c>
      <c r="F1917" s="309" t="s">
        <v>3683</v>
      </c>
      <c r="G1917" s="236"/>
      <c r="H1917" s="307" t="s">
        <v>1420</v>
      </c>
      <c r="I1917" s="237"/>
      <c r="J1917" s="237"/>
      <c r="K1917" s="310" t="s">
        <v>3680</v>
      </c>
      <c r="L1917" s="237"/>
      <c r="M1917" s="237"/>
      <c r="N1917" s="237"/>
      <c r="O1917" s="237"/>
      <c r="P1917" s="237"/>
      <c r="Q1917" s="237"/>
      <c r="R1917" s="237"/>
      <c r="S1917" s="237"/>
      <c r="T1917" s="237"/>
      <c r="U1917" s="237"/>
      <c r="V1917" s="237"/>
      <c r="W1917" s="237"/>
      <c r="X1917" s="237"/>
      <c r="Y1917" s="237"/>
      <c r="Z1917" s="237"/>
    </row>
    <row r="1918">
      <c r="A1918" s="305">
        <v>1917.0</v>
      </c>
      <c r="B1918" s="236"/>
      <c r="C1918" s="307" t="s">
        <v>1420</v>
      </c>
      <c r="D1918" s="308" t="s">
        <v>14649</v>
      </c>
      <c r="E1918" s="305" t="s">
        <v>5768</v>
      </c>
      <c r="F1918" s="309" t="s">
        <v>5769</v>
      </c>
      <c r="G1918" s="236"/>
      <c r="H1918" s="307" t="s">
        <v>1420</v>
      </c>
      <c r="I1918" s="237"/>
      <c r="J1918" s="237"/>
      <c r="K1918" s="310" t="s">
        <v>5767</v>
      </c>
      <c r="L1918" s="237"/>
      <c r="M1918" s="237"/>
      <c r="N1918" s="237"/>
      <c r="O1918" s="237"/>
      <c r="P1918" s="237"/>
      <c r="Q1918" s="237"/>
      <c r="R1918" s="237"/>
      <c r="S1918" s="237"/>
      <c r="T1918" s="237"/>
      <c r="U1918" s="237"/>
      <c r="V1918" s="237"/>
      <c r="W1918" s="237"/>
      <c r="X1918" s="237"/>
      <c r="Y1918" s="237"/>
      <c r="Z1918" s="237"/>
    </row>
    <row r="1919">
      <c r="A1919" s="305">
        <v>1918.0</v>
      </c>
      <c r="B1919" s="306">
        <v>170566.0</v>
      </c>
      <c r="C1919" s="307" t="s">
        <v>1420</v>
      </c>
      <c r="D1919" s="308" t="s">
        <v>14649</v>
      </c>
      <c r="E1919" s="305" t="s">
        <v>3911</v>
      </c>
      <c r="F1919" s="309" t="s">
        <v>3912</v>
      </c>
      <c r="G1919" s="236"/>
      <c r="H1919" s="307" t="s">
        <v>1420</v>
      </c>
      <c r="I1919" s="237"/>
      <c r="J1919" s="237"/>
      <c r="K1919" s="310" t="s">
        <v>3909</v>
      </c>
      <c r="L1919" s="237"/>
      <c r="M1919" s="237"/>
      <c r="N1919" s="237"/>
      <c r="O1919" s="237"/>
      <c r="P1919" s="237"/>
      <c r="Q1919" s="237"/>
      <c r="R1919" s="237"/>
      <c r="S1919" s="237"/>
      <c r="T1919" s="237"/>
      <c r="U1919" s="237"/>
      <c r="V1919" s="237"/>
      <c r="W1919" s="237"/>
      <c r="X1919" s="237"/>
      <c r="Y1919" s="237"/>
      <c r="Z1919" s="237"/>
    </row>
    <row r="1920">
      <c r="A1920" s="305">
        <v>1919.0</v>
      </c>
      <c r="B1920" s="306">
        <v>422224.0</v>
      </c>
      <c r="C1920" s="307" t="s">
        <v>1420</v>
      </c>
      <c r="D1920" s="308" t="s">
        <v>14649</v>
      </c>
      <c r="E1920" s="305" t="s">
        <v>3976</v>
      </c>
      <c r="F1920" s="309" t="s">
        <v>3977</v>
      </c>
      <c r="G1920" s="236"/>
      <c r="H1920" s="307" t="s">
        <v>1420</v>
      </c>
      <c r="I1920" s="237"/>
      <c r="J1920" s="237"/>
      <c r="K1920" s="310" t="s">
        <v>3974</v>
      </c>
      <c r="L1920" s="237"/>
      <c r="M1920" s="237"/>
      <c r="N1920" s="237"/>
      <c r="O1920" s="237"/>
      <c r="P1920" s="237"/>
      <c r="Q1920" s="237"/>
      <c r="R1920" s="237"/>
      <c r="S1920" s="237"/>
      <c r="T1920" s="237"/>
      <c r="U1920" s="237"/>
      <c r="V1920" s="237"/>
      <c r="W1920" s="237"/>
      <c r="X1920" s="237"/>
      <c r="Y1920" s="237"/>
      <c r="Z1920" s="237"/>
    </row>
    <row r="1921">
      <c r="A1921" s="305">
        <v>1920.0</v>
      </c>
      <c r="B1921" s="236"/>
      <c r="C1921" s="307" t="s">
        <v>1420</v>
      </c>
      <c r="D1921" s="308" t="s">
        <v>14649</v>
      </c>
      <c r="E1921" s="305" t="s">
        <v>4010</v>
      </c>
      <c r="F1921" s="309" t="s">
        <v>5891</v>
      </c>
      <c r="G1921" s="236"/>
      <c r="H1921" s="307" t="s">
        <v>1420</v>
      </c>
      <c r="I1921" s="237"/>
      <c r="J1921" s="237"/>
      <c r="K1921" s="310" t="s">
        <v>5890</v>
      </c>
      <c r="L1921" s="237"/>
      <c r="M1921" s="237"/>
      <c r="N1921" s="237"/>
      <c r="O1921" s="237"/>
      <c r="P1921" s="237"/>
      <c r="Q1921" s="237"/>
      <c r="R1921" s="237"/>
      <c r="S1921" s="237"/>
      <c r="T1921" s="237"/>
      <c r="U1921" s="237"/>
      <c r="V1921" s="237"/>
      <c r="W1921" s="237"/>
      <c r="X1921" s="237"/>
      <c r="Y1921" s="237"/>
      <c r="Z1921" s="237"/>
    </row>
    <row r="1922">
      <c r="A1922" s="305">
        <v>1921.0</v>
      </c>
      <c r="B1922" s="306">
        <v>17120.0</v>
      </c>
      <c r="C1922" s="307" t="s">
        <v>1420</v>
      </c>
      <c r="D1922" s="308" t="s">
        <v>4009</v>
      </c>
      <c r="E1922" s="305" t="s">
        <v>4010</v>
      </c>
      <c r="F1922" s="309" t="s">
        <v>4011</v>
      </c>
      <c r="G1922" s="236"/>
      <c r="H1922" s="307" t="s">
        <v>1420</v>
      </c>
      <c r="I1922" s="237"/>
      <c r="J1922" s="237"/>
      <c r="K1922" s="310" t="s">
        <v>4008</v>
      </c>
      <c r="L1922" s="237"/>
      <c r="M1922" s="237"/>
      <c r="N1922" s="237"/>
      <c r="O1922" s="237"/>
      <c r="P1922" s="237"/>
      <c r="Q1922" s="237"/>
      <c r="R1922" s="237"/>
      <c r="S1922" s="237"/>
      <c r="T1922" s="237"/>
      <c r="U1922" s="237"/>
      <c r="V1922" s="237"/>
      <c r="W1922" s="237"/>
      <c r="X1922" s="237"/>
      <c r="Y1922" s="237"/>
      <c r="Z1922" s="237"/>
    </row>
    <row r="1923">
      <c r="A1923" s="305">
        <v>1922.0</v>
      </c>
      <c r="B1923" s="306">
        <v>1068121.0</v>
      </c>
      <c r="C1923" s="307" t="s">
        <v>1420</v>
      </c>
      <c r="D1923" s="308" t="s">
        <v>6718</v>
      </c>
      <c r="E1923" s="305" t="s">
        <v>6719</v>
      </c>
      <c r="F1923" s="309" t="s">
        <v>6720</v>
      </c>
      <c r="G1923" s="236"/>
      <c r="H1923" s="307" t="s">
        <v>1420</v>
      </c>
      <c r="I1923" s="237"/>
      <c r="J1923" s="237"/>
      <c r="K1923" s="310" t="s">
        <v>6717</v>
      </c>
      <c r="L1923" s="237"/>
      <c r="M1923" s="237"/>
      <c r="N1923" s="237"/>
      <c r="O1923" s="237"/>
      <c r="P1923" s="237"/>
      <c r="Q1923" s="237"/>
      <c r="R1923" s="237"/>
      <c r="S1923" s="237"/>
      <c r="T1923" s="237"/>
      <c r="U1923" s="237"/>
      <c r="V1923" s="237"/>
      <c r="W1923" s="237"/>
      <c r="X1923" s="237"/>
      <c r="Y1923" s="237"/>
      <c r="Z1923" s="237"/>
    </row>
    <row r="1924">
      <c r="A1924" s="305">
        <v>1923.0</v>
      </c>
      <c r="B1924" s="236"/>
      <c r="C1924" s="307" t="s">
        <v>1420</v>
      </c>
      <c r="D1924" s="308" t="s">
        <v>6729</v>
      </c>
      <c r="E1924" s="305" t="s">
        <v>6730</v>
      </c>
      <c r="F1924" s="309" t="s">
        <v>6731</v>
      </c>
      <c r="G1924" s="236"/>
      <c r="H1924" s="307" t="s">
        <v>1420</v>
      </c>
      <c r="I1924" s="237"/>
      <c r="J1924" s="237"/>
      <c r="K1924" s="310" t="s">
        <v>6728</v>
      </c>
      <c r="L1924" s="237"/>
      <c r="M1924" s="237"/>
      <c r="N1924" s="237"/>
      <c r="O1924" s="237"/>
      <c r="P1924" s="237"/>
      <c r="Q1924" s="237"/>
      <c r="R1924" s="237"/>
      <c r="S1924" s="237"/>
      <c r="T1924" s="237"/>
      <c r="U1924" s="237"/>
      <c r="V1924" s="237"/>
      <c r="W1924" s="237"/>
      <c r="X1924" s="237"/>
      <c r="Y1924" s="237"/>
      <c r="Z1924" s="237"/>
    </row>
    <row r="1925">
      <c r="A1925" s="305">
        <v>1924.0</v>
      </c>
      <c r="B1925" s="236"/>
      <c r="C1925" s="307" t="s">
        <v>1420</v>
      </c>
      <c r="D1925" s="308" t="s">
        <v>6726</v>
      </c>
      <c r="E1925" s="305" t="s">
        <v>6727</v>
      </c>
      <c r="F1925" s="236"/>
      <c r="G1925" s="236"/>
      <c r="H1925" s="307" t="s">
        <v>1420</v>
      </c>
      <c r="I1925" s="237"/>
      <c r="J1925" s="237"/>
      <c r="K1925" s="310" t="s">
        <v>6725</v>
      </c>
      <c r="L1925" s="237"/>
      <c r="M1925" s="237"/>
      <c r="N1925" s="237"/>
      <c r="O1925" s="237"/>
      <c r="P1925" s="237"/>
      <c r="Q1925" s="237"/>
      <c r="R1925" s="237"/>
      <c r="S1925" s="237"/>
      <c r="T1925" s="237"/>
      <c r="U1925" s="237"/>
      <c r="V1925" s="237"/>
      <c r="W1925" s="237"/>
      <c r="X1925" s="237"/>
      <c r="Y1925" s="237"/>
      <c r="Z1925" s="237"/>
    </row>
    <row r="1926">
      <c r="A1926" s="305">
        <v>1925.0</v>
      </c>
      <c r="B1926" s="236"/>
      <c r="C1926" s="307" t="s">
        <v>1420</v>
      </c>
      <c r="D1926" s="308" t="s">
        <v>6722</v>
      </c>
      <c r="E1926" s="305" t="s">
        <v>6723</v>
      </c>
      <c r="F1926" s="309" t="s">
        <v>6724</v>
      </c>
      <c r="G1926" s="236"/>
      <c r="H1926" s="307" t="s">
        <v>1420</v>
      </c>
      <c r="I1926" s="237"/>
      <c r="J1926" s="237"/>
      <c r="K1926" s="310" t="s">
        <v>6721</v>
      </c>
      <c r="L1926" s="237"/>
      <c r="M1926" s="237"/>
      <c r="N1926" s="237"/>
      <c r="O1926" s="237"/>
      <c r="P1926" s="237"/>
      <c r="Q1926" s="237"/>
      <c r="R1926" s="237"/>
      <c r="S1926" s="237"/>
      <c r="T1926" s="237"/>
      <c r="U1926" s="237"/>
      <c r="V1926" s="237"/>
      <c r="W1926" s="237"/>
      <c r="X1926" s="237"/>
      <c r="Y1926" s="237"/>
      <c r="Z1926" s="237"/>
    </row>
    <row r="1927">
      <c r="A1927" s="305">
        <v>1926.0</v>
      </c>
      <c r="B1927" s="306" t="s">
        <v>3509</v>
      </c>
      <c r="C1927" s="307" t="s">
        <v>1420</v>
      </c>
      <c r="D1927" s="308" t="s">
        <v>3512</v>
      </c>
      <c r="E1927" s="305" t="s">
        <v>3513</v>
      </c>
      <c r="F1927" s="309" t="s">
        <v>3514</v>
      </c>
      <c r="G1927" s="236"/>
      <c r="H1927" s="307" t="s">
        <v>1420</v>
      </c>
      <c r="I1927" s="237"/>
      <c r="J1927" s="237"/>
      <c r="K1927" s="310" t="s">
        <v>3510</v>
      </c>
      <c r="L1927" s="237"/>
      <c r="M1927" s="237"/>
      <c r="N1927" s="237"/>
      <c r="O1927" s="237"/>
      <c r="P1927" s="237"/>
      <c r="Q1927" s="237"/>
      <c r="R1927" s="237"/>
      <c r="S1927" s="237"/>
      <c r="T1927" s="237"/>
      <c r="U1927" s="237"/>
      <c r="V1927" s="237"/>
      <c r="W1927" s="237"/>
      <c r="X1927" s="237"/>
      <c r="Y1927" s="237"/>
      <c r="Z1927" s="237"/>
    </row>
    <row r="1928">
      <c r="A1928" s="305">
        <v>1927.0</v>
      </c>
      <c r="B1928" s="306" t="s">
        <v>5619</v>
      </c>
      <c r="C1928" s="307" t="s">
        <v>1420</v>
      </c>
      <c r="D1928" s="308" t="s">
        <v>5621</v>
      </c>
      <c r="E1928" s="305" t="s">
        <v>5622</v>
      </c>
      <c r="F1928" s="309" t="s">
        <v>5623</v>
      </c>
      <c r="G1928" s="236"/>
      <c r="H1928" s="307" t="s">
        <v>1420</v>
      </c>
      <c r="I1928" s="237"/>
      <c r="J1928" s="237"/>
      <c r="K1928" s="310" t="s">
        <v>5620</v>
      </c>
      <c r="L1928" s="237"/>
      <c r="M1928" s="237"/>
      <c r="N1928" s="237"/>
      <c r="O1928" s="237"/>
      <c r="P1928" s="237"/>
      <c r="Q1928" s="237"/>
      <c r="R1928" s="237"/>
      <c r="S1928" s="237"/>
      <c r="T1928" s="237"/>
      <c r="U1928" s="237"/>
      <c r="V1928" s="237"/>
      <c r="W1928" s="237"/>
      <c r="X1928" s="237"/>
      <c r="Y1928" s="237"/>
      <c r="Z1928" s="237"/>
    </row>
    <row r="1929">
      <c r="A1929" s="305">
        <v>1928.0</v>
      </c>
      <c r="B1929" s="306" t="s">
        <v>9809</v>
      </c>
      <c r="C1929" s="307" t="s">
        <v>1420</v>
      </c>
      <c r="D1929" s="308" t="s">
        <v>9811</v>
      </c>
      <c r="E1929" s="305" t="s">
        <v>9812</v>
      </c>
      <c r="F1929" s="309" t="s">
        <v>9813</v>
      </c>
      <c r="G1929" s="236"/>
      <c r="H1929" s="307" t="s">
        <v>1420</v>
      </c>
      <c r="I1929" s="237"/>
      <c r="J1929" s="237"/>
      <c r="K1929" s="310" t="s">
        <v>9810</v>
      </c>
      <c r="L1929" s="237"/>
      <c r="M1929" s="237"/>
      <c r="N1929" s="237"/>
      <c r="O1929" s="237"/>
      <c r="P1929" s="237"/>
      <c r="Q1929" s="237"/>
      <c r="R1929" s="237"/>
      <c r="S1929" s="237"/>
      <c r="T1929" s="237"/>
      <c r="U1929" s="237"/>
      <c r="V1929" s="237"/>
      <c r="W1929" s="237"/>
      <c r="X1929" s="237"/>
      <c r="Y1929" s="237"/>
      <c r="Z1929" s="237"/>
    </row>
    <row r="1930">
      <c r="A1930" s="305">
        <v>1929.0</v>
      </c>
      <c r="B1930" s="306" t="s">
        <v>5602</v>
      </c>
      <c r="C1930" s="307" t="s">
        <v>1420</v>
      </c>
      <c r="D1930" s="308" t="s">
        <v>2483</v>
      </c>
      <c r="E1930" s="305" t="s">
        <v>5604</v>
      </c>
      <c r="F1930" s="309" t="s">
        <v>5605</v>
      </c>
      <c r="G1930" s="236"/>
      <c r="H1930" s="307" t="s">
        <v>1420</v>
      </c>
      <c r="I1930" s="237"/>
      <c r="J1930" s="237"/>
      <c r="K1930" s="310" t="s">
        <v>5603</v>
      </c>
      <c r="L1930" s="237"/>
      <c r="M1930" s="237"/>
      <c r="N1930" s="237"/>
      <c r="O1930" s="237"/>
      <c r="P1930" s="237"/>
      <c r="Q1930" s="237"/>
      <c r="R1930" s="237"/>
      <c r="S1930" s="237"/>
      <c r="T1930" s="237"/>
      <c r="U1930" s="237"/>
      <c r="V1930" s="237"/>
      <c r="W1930" s="237"/>
      <c r="X1930" s="237"/>
      <c r="Y1930" s="237"/>
      <c r="Z1930" s="237"/>
    </row>
    <row r="1931">
      <c r="A1931" s="305">
        <v>1930.0</v>
      </c>
      <c r="B1931" s="306" t="s">
        <v>7823</v>
      </c>
      <c r="C1931" s="307" t="s">
        <v>1420</v>
      </c>
      <c r="D1931" s="308" t="s">
        <v>7825</v>
      </c>
      <c r="E1931" s="305" t="s">
        <v>7826</v>
      </c>
      <c r="F1931" s="309" t="s">
        <v>7827</v>
      </c>
      <c r="G1931" s="236"/>
      <c r="H1931" s="307" t="s">
        <v>1420</v>
      </c>
      <c r="I1931" s="237"/>
      <c r="J1931" s="237"/>
      <c r="K1931" s="310" t="s">
        <v>7824</v>
      </c>
      <c r="L1931" s="237"/>
      <c r="M1931" s="237"/>
      <c r="N1931" s="237"/>
      <c r="O1931" s="237"/>
      <c r="P1931" s="237"/>
      <c r="Q1931" s="237"/>
      <c r="R1931" s="237"/>
      <c r="S1931" s="237"/>
      <c r="T1931" s="237"/>
      <c r="U1931" s="237"/>
      <c r="V1931" s="237"/>
      <c r="W1931" s="237"/>
      <c r="X1931" s="237"/>
      <c r="Y1931" s="237"/>
      <c r="Z1931" s="237"/>
    </row>
    <row r="1932">
      <c r="A1932" s="305">
        <v>1931.0</v>
      </c>
      <c r="B1932" s="306" t="s">
        <v>5592</v>
      </c>
      <c r="C1932" s="307" t="s">
        <v>1420</v>
      </c>
      <c r="D1932" s="308" t="s">
        <v>5594</v>
      </c>
      <c r="E1932" s="305" t="s">
        <v>5595</v>
      </c>
      <c r="F1932" s="309" t="s">
        <v>5596</v>
      </c>
      <c r="G1932" s="236"/>
      <c r="H1932" s="307" t="s">
        <v>1420</v>
      </c>
      <c r="I1932" s="237"/>
      <c r="J1932" s="237"/>
      <c r="K1932" s="310" t="s">
        <v>5593</v>
      </c>
      <c r="L1932" s="237"/>
      <c r="M1932" s="237"/>
      <c r="N1932" s="237"/>
      <c r="O1932" s="237"/>
      <c r="P1932" s="237"/>
      <c r="Q1932" s="237"/>
      <c r="R1932" s="237"/>
      <c r="S1932" s="237"/>
      <c r="T1932" s="237"/>
      <c r="U1932" s="237"/>
      <c r="V1932" s="237"/>
      <c r="W1932" s="237"/>
      <c r="X1932" s="237"/>
      <c r="Y1932" s="237"/>
      <c r="Z1932" s="237"/>
    </row>
    <row r="1933">
      <c r="A1933" s="305">
        <v>1932.0</v>
      </c>
      <c r="B1933" s="236"/>
      <c r="C1933" s="307" t="s">
        <v>1420</v>
      </c>
      <c r="D1933" s="308" t="s">
        <v>10811</v>
      </c>
      <c r="E1933" s="305" t="s">
        <v>10812</v>
      </c>
      <c r="F1933" s="309" t="s">
        <v>10813</v>
      </c>
      <c r="G1933" s="236"/>
      <c r="H1933" s="307" t="s">
        <v>1420</v>
      </c>
      <c r="I1933" s="237"/>
      <c r="J1933" s="237"/>
      <c r="K1933" s="310" t="s">
        <v>10810</v>
      </c>
      <c r="L1933" s="237"/>
      <c r="M1933" s="237"/>
      <c r="N1933" s="237"/>
      <c r="O1933" s="237"/>
      <c r="P1933" s="237"/>
      <c r="Q1933" s="237"/>
      <c r="R1933" s="237"/>
      <c r="S1933" s="237"/>
      <c r="T1933" s="237"/>
      <c r="U1933" s="237"/>
      <c r="V1933" s="237"/>
      <c r="W1933" s="237"/>
      <c r="X1933" s="237"/>
      <c r="Y1933" s="237"/>
      <c r="Z1933" s="237"/>
    </row>
    <row r="1934">
      <c r="A1934" s="305">
        <v>1933.0</v>
      </c>
      <c r="B1934" s="236"/>
      <c r="C1934" s="307" t="s">
        <v>1420</v>
      </c>
      <c r="D1934" s="308" t="s">
        <v>10811</v>
      </c>
      <c r="E1934" s="305" t="s">
        <v>10815</v>
      </c>
      <c r="F1934" s="309" t="s">
        <v>10816</v>
      </c>
      <c r="G1934" s="236"/>
      <c r="H1934" s="307" t="s">
        <v>1420</v>
      </c>
      <c r="I1934" s="237"/>
      <c r="J1934" s="237"/>
      <c r="K1934" s="310" t="s">
        <v>10814</v>
      </c>
      <c r="L1934" s="237"/>
      <c r="M1934" s="237"/>
      <c r="N1934" s="237"/>
      <c r="O1934" s="237"/>
      <c r="P1934" s="237"/>
      <c r="Q1934" s="237"/>
      <c r="R1934" s="237"/>
      <c r="S1934" s="237"/>
      <c r="T1934" s="237"/>
      <c r="U1934" s="237"/>
      <c r="V1934" s="237"/>
      <c r="W1934" s="237"/>
      <c r="X1934" s="237"/>
      <c r="Y1934" s="237"/>
      <c r="Z1934" s="237"/>
    </row>
    <row r="1935">
      <c r="A1935" s="305">
        <v>1934.0</v>
      </c>
      <c r="B1935" s="306" t="s">
        <v>5581</v>
      </c>
      <c r="C1935" s="307" t="s">
        <v>1420</v>
      </c>
      <c r="D1935" s="308" t="s">
        <v>5583</v>
      </c>
      <c r="E1935" s="305" t="s">
        <v>5584</v>
      </c>
      <c r="F1935" s="309" t="s">
        <v>5585</v>
      </c>
      <c r="G1935" s="236"/>
      <c r="H1935" s="307" t="s">
        <v>1420</v>
      </c>
      <c r="I1935" s="237"/>
      <c r="J1935" s="237"/>
      <c r="K1935" s="310" t="s">
        <v>5582</v>
      </c>
      <c r="L1935" s="237"/>
      <c r="M1935" s="237"/>
      <c r="N1935" s="237"/>
      <c r="O1935" s="237"/>
      <c r="P1935" s="237"/>
      <c r="Q1935" s="237"/>
      <c r="R1935" s="237"/>
      <c r="S1935" s="237"/>
      <c r="T1935" s="237"/>
      <c r="U1935" s="237"/>
      <c r="V1935" s="237"/>
      <c r="W1935" s="237"/>
      <c r="X1935" s="237"/>
      <c r="Y1935" s="237"/>
      <c r="Z1935" s="237"/>
    </row>
    <row r="1936">
      <c r="A1936" s="305">
        <v>1935.0</v>
      </c>
      <c r="B1936" s="306" t="s">
        <v>7818</v>
      </c>
      <c r="C1936" s="307" t="s">
        <v>1420</v>
      </c>
      <c r="D1936" s="308" t="s">
        <v>7820</v>
      </c>
      <c r="E1936" s="305" t="s">
        <v>7821</v>
      </c>
      <c r="F1936" s="309" t="s">
        <v>7822</v>
      </c>
      <c r="G1936" s="236"/>
      <c r="H1936" s="307" t="s">
        <v>1420</v>
      </c>
      <c r="I1936" s="237"/>
      <c r="J1936" s="237"/>
      <c r="K1936" s="310" t="s">
        <v>7819</v>
      </c>
      <c r="L1936" s="237"/>
      <c r="M1936" s="237"/>
      <c r="N1936" s="237"/>
      <c r="O1936" s="237"/>
      <c r="P1936" s="237"/>
      <c r="Q1936" s="237"/>
      <c r="R1936" s="237"/>
      <c r="S1936" s="237"/>
      <c r="T1936" s="237"/>
      <c r="U1936" s="237"/>
      <c r="V1936" s="237"/>
      <c r="W1936" s="237"/>
      <c r="X1936" s="237"/>
      <c r="Y1936" s="237"/>
      <c r="Z1936" s="237"/>
    </row>
    <row r="1937">
      <c r="A1937" s="305">
        <v>1936.0</v>
      </c>
      <c r="B1937" s="306" t="s">
        <v>3516</v>
      </c>
      <c r="C1937" s="307" t="s">
        <v>1420</v>
      </c>
      <c r="D1937" s="308" t="s">
        <v>3518</v>
      </c>
      <c r="E1937" s="305" t="s">
        <v>3519</v>
      </c>
      <c r="F1937" s="309" t="s">
        <v>3520</v>
      </c>
      <c r="G1937" s="236"/>
      <c r="H1937" s="307" t="s">
        <v>1420</v>
      </c>
      <c r="I1937" s="237"/>
      <c r="J1937" s="237"/>
      <c r="K1937" s="310" t="s">
        <v>3517</v>
      </c>
      <c r="L1937" s="237"/>
      <c r="M1937" s="237"/>
      <c r="N1937" s="237"/>
      <c r="O1937" s="237"/>
      <c r="P1937" s="237"/>
      <c r="Q1937" s="237"/>
      <c r="R1937" s="237"/>
      <c r="S1937" s="237"/>
      <c r="T1937" s="237"/>
      <c r="U1937" s="237"/>
      <c r="V1937" s="237"/>
      <c r="W1937" s="237"/>
      <c r="X1937" s="237"/>
      <c r="Y1937" s="237"/>
      <c r="Z1937" s="237"/>
    </row>
    <row r="1938">
      <c r="A1938" s="305">
        <v>1937.0</v>
      </c>
      <c r="B1938" s="306" t="s">
        <v>5610</v>
      </c>
      <c r="C1938" s="307" t="s">
        <v>1420</v>
      </c>
      <c r="D1938" s="308" t="s">
        <v>5611</v>
      </c>
      <c r="E1938" s="305" t="s">
        <v>5612</v>
      </c>
      <c r="F1938" s="309" t="s">
        <v>5613</v>
      </c>
      <c r="G1938" s="236"/>
      <c r="H1938" s="307" t="s">
        <v>1420</v>
      </c>
      <c r="I1938" s="237"/>
      <c r="J1938" s="237"/>
      <c r="K1938" s="310" t="s">
        <v>5607</v>
      </c>
      <c r="L1938" s="237"/>
      <c r="M1938" s="237"/>
      <c r="N1938" s="237"/>
      <c r="O1938" s="237"/>
      <c r="P1938" s="237"/>
      <c r="Q1938" s="237"/>
      <c r="R1938" s="237"/>
      <c r="S1938" s="237"/>
      <c r="T1938" s="237"/>
      <c r="U1938" s="237"/>
      <c r="V1938" s="237"/>
      <c r="W1938" s="237"/>
      <c r="X1938" s="237"/>
      <c r="Y1938" s="237"/>
      <c r="Z1938" s="237"/>
    </row>
    <row r="1939">
      <c r="A1939" s="305">
        <v>1938.0</v>
      </c>
      <c r="B1939" s="306" t="s">
        <v>3535</v>
      </c>
      <c r="C1939" s="307" t="s">
        <v>1420</v>
      </c>
      <c r="D1939" s="308" t="s">
        <v>3537</v>
      </c>
      <c r="E1939" s="305" t="s">
        <v>3538</v>
      </c>
      <c r="F1939" s="309" t="s">
        <v>3539</v>
      </c>
      <c r="G1939" s="236"/>
      <c r="H1939" s="307" t="s">
        <v>1420</v>
      </c>
      <c r="I1939" s="237"/>
      <c r="J1939" s="237"/>
      <c r="K1939" s="310" t="s">
        <v>3536</v>
      </c>
      <c r="L1939" s="237"/>
      <c r="M1939" s="237"/>
      <c r="N1939" s="237"/>
      <c r="O1939" s="237"/>
      <c r="P1939" s="237"/>
      <c r="Q1939" s="237"/>
      <c r="R1939" s="237"/>
      <c r="S1939" s="237"/>
      <c r="T1939" s="237"/>
      <c r="U1939" s="237"/>
      <c r="V1939" s="237"/>
      <c r="W1939" s="237"/>
      <c r="X1939" s="237"/>
      <c r="Y1939" s="237"/>
      <c r="Z1939" s="237"/>
    </row>
    <row r="1940">
      <c r="A1940" s="305">
        <v>1939.0</v>
      </c>
      <c r="B1940" s="306" t="s">
        <v>7095</v>
      </c>
      <c r="C1940" s="307" t="s">
        <v>1420</v>
      </c>
      <c r="D1940" s="308" t="s">
        <v>7097</v>
      </c>
      <c r="E1940" s="305" t="s">
        <v>7098</v>
      </c>
      <c r="F1940" s="309" t="s">
        <v>7099</v>
      </c>
      <c r="G1940" s="236"/>
      <c r="H1940" s="307" t="s">
        <v>1420</v>
      </c>
      <c r="I1940" s="237"/>
      <c r="J1940" s="237"/>
      <c r="K1940" s="310" t="s">
        <v>7096</v>
      </c>
      <c r="L1940" s="237"/>
      <c r="M1940" s="237"/>
      <c r="N1940" s="237"/>
      <c r="O1940" s="237"/>
      <c r="P1940" s="237"/>
      <c r="Q1940" s="237"/>
      <c r="R1940" s="237"/>
      <c r="S1940" s="237"/>
      <c r="T1940" s="237"/>
      <c r="U1940" s="237"/>
      <c r="V1940" s="237"/>
      <c r="W1940" s="237"/>
      <c r="X1940" s="237"/>
      <c r="Y1940" s="237"/>
      <c r="Z1940" s="237"/>
    </row>
    <row r="1941">
      <c r="A1941" s="305">
        <v>1940.0</v>
      </c>
      <c r="B1941" s="306" t="s">
        <v>7090</v>
      </c>
      <c r="C1941" s="307" t="s">
        <v>1420</v>
      </c>
      <c r="D1941" s="308" t="s">
        <v>7092</v>
      </c>
      <c r="E1941" s="305" t="s">
        <v>7093</v>
      </c>
      <c r="F1941" s="309" t="s">
        <v>7094</v>
      </c>
      <c r="G1941" s="236"/>
      <c r="H1941" s="307" t="s">
        <v>1420</v>
      </c>
      <c r="I1941" s="237"/>
      <c r="J1941" s="237"/>
      <c r="K1941" s="310" t="s">
        <v>7091</v>
      </c>
      <c r="L1941" s="237"/>
      <c r="M1941" s="237"/>
      <c r="N1941" s="237"/>
      <c r="O1941" s="237"/>
      <c r="P1941" s="237"/>
      <c r="Q1941" s="237"/>
      <c r="R1941" s="237"/>
      <c r="S1941" s="237"/>
      <c r="T1941" s="237"/>
      <c r="U1941" s="237"/>
      <c r="V1941" s="237"/>
      <c r="W1941" s="237"/>
      <c r="X1941" s="237"/>
      <c r="Y1941" s="237"/>
      <c r="Z1941" s="237"/>
    </row>
    <row r="1942">
      <c r="A1942" s="305">
        <v>1941.0</v>
      </c>
      <c r="B1942" s="306" t="s">
        <v>3521</v>
      </c>
      <c r="C1942" s="307" t="s">
        <v>1420</v>
      </c>
      <c r="D1942" s="308" t="s">
        <v>2489</v>
      </c>
      <c r="E1942" s="305" t="s">
        <v>3523</v>
      </c>
      <c r="F1942" s="309" t="s">
        <v>3524</v>
      </c>
      <c r="G1942" s="236"/>
      <c r="H1942" s="307" t="s">
        <v>1420</v>
      </c>
      <c r="I1942" s="237"/>
      <c r="J1942" s="237"/>
      <c r="K1942" s="310" t="s">
        <v>3522</v>
      </c>
      <c r="L1942" s="237"/>
      <c r="M1942" s="237"/>
      <c r="N1942" s="237"/>
      <c r="O1942" s="237"/>
      <c r="P1942" s="237"/>
      <c r="Q1942" s="237"/>
      <c r="R1942" s="237"/>
      <c r="S1942" s="237"/>
      <c r="T1942" s="237"/>
      <c r="U1942" s="237"/>
      <c r="V1942" s="237"/>
      <c r="W1942" s="237"/>
      <c r="X1942" s="237"/>
      <c r="Y1942" s="237"/>
      <c r="Z1942" s="237"/>
    </row>
    <row r="1943">
      <c r="A1943" s="305">
        <v>1942.0</v>
      </c>
      <c r="B1943" s="306" t="s">
        <v>6939</v>
      </c>
      <c r="C1943" s="307" t="s">
        <v>1420</v>
      </c>
      <c r="D1943" s="308" t="s">
        <v>6941</v>
      </c>
      <c r="E1943" s="305" t="s">
        <v>6942</v>
      </c>
      <c r="F1943" s="309" t="s">
        <v>6943</v>
      </c>
      <c r="G1943" s="236"/>
      <c r="H1943" s="307" t="s">
        <v>1420</v>
      </c>
      <c r="I1943" s="237"/>
      <c r="J1943" s="237"/>
      <c r="K1943" s="310" t="s">
        <v>6940</v>
      </c>
      <c r="L1943" s="237"/>
      <c r="M1943" s="237"/>
      <c r="N1943" s="237"/>
      <c r="O1943" s="237"/>
      <c r="P1943" s="237"/>
      <c r="Q1943" s="237"/>
      <c r="R1943" s="237"/>
      <c r="S1943" s="237"/>
      <c r="T1943" s="237"/>
      <c r="U1943" s="237"/>
      <c r="V1943" s="237"/>
      <c r="W1943" s="237"/>
      <c r="X1943" s="237"/>
      <c r="Y1943" s="237"/>
      <c r="Z1943" s="237"/>
    </row>
    <row r="1944">
      <c r="A1944" s="305">
        <v>1943.0</v>
      </c>
      <c r="B1944" s="306" t="s">
        <v>6930</v>
      </c>
      <c r="C1944" s="307" t="s">
        <v>1420</v>
      </c>
      <c r="D1944" s="308" t="s">
        <v>6932</v>
      </c>
      <c r="E1944" s="305" t="s">
        <v>6933</v>
      </c>
      <c r="F1944" s="309" t="s">
        <v>6934</v>
      </c>
      <c r="G1944" s="236"/>
      <c r="H1944" s="307" t="s">
        <v>1420</v>
      </c>
      <c r="I1944" s="237"/>
      <c r="J1944" s="237"/>
      <c r="K1944" s="310" t="s">
        <v>6931</v>
      </c>
      <c r="L1944" s="237"/>
      <c r="M1944" s="237"/>
      <c r="N1944" s="237"/>
      <c r="O1944" s="237"/>
      <c r="P1944" s="237"/>
      <c r="Q1944" s="237"/>
      <c r="R1944" s="237"/>
      <c r="S1944" s="237"/>
      <c r="T1944" s="237"/>
      <c r="U1944" s="237"/>
      <c r="V1944" s="237"/>
      <c r="W1944" s="237"/>
      <c r="X1944" s="237"/>
      <c r="Y1944" s="237"/>
      <c r="Z1944" s="237"/>
    </row>
    <row r="1945">
      <c r="A1945" s="305">
        <v>1944.0</v>
      </c>
      <c r="B1945" s="306" t="s">
        <v>6919</v>
      </c>
      <c r="C1945" s="307" t="s">
        <v>1420</v>
      </c>
      <c r="D1945" s="308" t="s">
        <v>6921</v>
      </c>
      <c r="E1945" s="305" t="s">
        <v>6922</v>
      </c>
      <c r="F1945" s="309" t="s">
        <v>6923</v>
      </c>
      <c r="G1945" s="236"/>
      <c r="H1945" s="307" t="s">
        <v>1420</v>
      </c>
      <c r="I1945" s="237"/>
      <c r="J1945" s="237"/>
      <c r="K1945" s="310" t="s">
        <v>6920</v>
      </c>
      <c r="L1945" s="237"/>
      <c r="M1945" s="237"/>
      <c r="N1945" s="237"/>
      <c r="O1945" s="237"/>
      <c r="P1945" s="237"/>
      <c r="Q1945" s="237"/>
      <c r="R1945" s="237"/>
      <c r="S1945" s="237"/>
      <c r="T1945" s="237"/>
      <c r="U1945" s="237"/>
      <c r="V1945" s="237"/>
      <c r="W1945" s="237"/>
      <c r="X1945" s="237"/>
      <c r="Y1945" s="237"/>
      <c r="Z1945" s="237"/>
    </row>
    <row r="1946">
      <c r="A1946" s="305">
        <v>1945.0</v>
      </c>
      <c r="B1946" s="306" t="s">
        <v>6954</v>
      </c>
      <c r="C1946" s="307" t="s">
        <v>1420</v>
      </c>
      <c r="D1946" s="308" t="s">
        <v>6956</v>
      </c>
      <c r="E1946" s="305" t="s">
        <v>6957</v>
      </c>
      <c r="F1946" s="309" t="s">
        <v>6958</v>
      </c>
      <c r="G1946" s="236"/>
      <c r="H1946" s="307" t="s">
        <v>1420</v>
      </c>
      <c r="I1946" s="237"/>
      <c r="J1946" s="237"/>
      <c r="K1946" s="310" t="s">
        <v>6955</v>
      </c>
      <c r="L1946" s="237"/>
      <c r="M1946" s="237"/>
      <c r="N1946" s="237"/>
      <c r="O1946" s="237"/>
      <c r="P1946" s="237"/>
      <c r="Q1946" s="237"/>
      <c r="R1946" s="237"/>
      <c r="S1946" s="237"/>
      <c r="T1946" s="237"/>
      <c r="U1946" s="237"/>
      <c r="V1946" s="237"/>
      <c r="W1946" s="237"/>
      <c r="X1946" s="237"/>
      <c r="Y1946" s="237"/>
      <c r="Z1946" s="237"/>
    </row>
    <row r="1947">
      <c r="A1947" s="305">
        <v>1946.0</v>
      </c>
      <c r="B1947" s="306" t="s">
        <v>6949</v>
      </c>
      <c r="C1947" s="307" t="s">
        <v>1420</v>
      </c>
      <c r="D1947" s="308" t="s">
        <v>6951</v>
      </c>
      <c r="E1947" s="305" t="s">
        <v>6952</v>
      </c>
      <c r="F1947" s="309" t="s">
        <v>6953</v>
      </c>
      <c r="G1947" s="236"/>
      <c r="H1947" s="307" t="s">
        <v>1420</v>
      </c>
      <c r="I1947" s="237"/>
      <c r="J1947" s="237"/>
      <c r="K1947" s="310" t="s">
        <v>6950</v>
      </c>
      <c r="L1947" s="237"/>
      <c r="M1947" s="237"/>
      <c r="N1947" s="237"/>
      <c r="O1947" s="237"/>
      <c r="P1947" s="237"/>
      <c r="Q1947" s="237"/>
      <c r="R1947" s="237"/>
      <c r="S1947" s="237"/>
      <c r="T1947" s="237"/>
      <c r="U1947" s="237"/>
      <c r="V1947" s="237"/>
      <c r="W1947" s="237"/>
      <c r="X1947" s="237"/>
      <c r="Y1947" s="237"/>
      <c r="Z1947" s="237"/>
    </row>
    <row r="1948">
      <c r="A1948" s="305">
        <v>1947.0</v>
      </c>
      <c r="B1948" s="306" t="s">
        <v>6925</v>
      </c>
      <c r="C1948" s="307" t="s">
        <v>1420</v>
      </c>
      <c r="D1948" s="308" t="s">
        <v>6927</v>
      </c>
      <c r="E1948" s="305" t="s">
        <v>6928</v>
      </c>
      <c r="F1948" s="309" t="s">
        <v>6929</v>
      </c>
      <c r="G1948" s="236"/>
      <c r="H1948" s="307" t="s">
        <v>1420</v>
      </c>
      <c r="I1948" s="237"/>
      <c r="J1948" s="237"/>
      <c r="K1948" s="310" t="s">
        <v>6926</v>
      </c>
      <c r="L1948" s="237"/>
      <c r="M1948" s="237"/>
      <c r="N1948" s="237"/>
      <c r="O1948" s="237"/>
      <c r="P1948" s="237"/>
      <c r="Q1948" s="237"/>
      <c r="R1948" s="237"/>
      <c r="S1948" s="237"/>
      <c r="T1948" s="237"/>
      <c r="U1948" s="237"/>
      <c r="V1948" s="237"/>
      <c r="W1948" s="237"/>
      <c r="X1948" s="237"/>
      <c r="Y1948" s="237"/>
      <c r="Z1948" s="237"/>
    </row>
    <row r="1949">
      <c r="A1949" s="305">
        <v>1948.0</v>
      </c>
      <c r="B1949" s="306" t="s">
        <v>6944</v>
      </c>
      <c r="C1949" s="307" t="s">
        <v>1420</v>
      </c>
      <c r="D1949" s="308" t="s">
        <v>6946</v>
      </c>
      <c r="E1949" s="305" t="s">
        <v>6947</v>
      </c>
      <c r="F1949" s="309" t="s">
        <v>6948</v>
      </c>
      <c r="G1949" s="236"/>
      <c r="H1949" s="307" t="s">
        <v>1420</v>
      </c>
      <c r="I1949" s="237"/>
      <c r="J1949" s="237"/>
      <c r="K1949" s="310" t="s">
        <v>6945</v>
      </c>
      <c r="L1949" s="237"/>
      <c r="M1949" s="237"/>
      <c r="N1949" s="237"/>
      <c r="O1949" s="237"/>
      <c r="P1949" s="237"/>
      <c r="Q1949" s="237"/>
      <c r="R1949" s="237"/>
      <c r="S1949" s="237"/>
      <c r="T1949" s="237"/>
      <c r="U1949" s="237"/>
      <c r="V1949" s="237"/>
      <c r="W1949" s="237"/>
      <c r="X1949" s="237"/>
      <c r="Y1949" s="237"/>
      <c r="Z1949" s="237"/>
    </row>
    <row r="1950">
      <c r="A1950" s="305">
        <v>1949.0</v>
      </c>
      <c r="B1950" s="236"/>
      <c r="C1950" s="307" t="s">
        <v>1420</v>
      </c>
      <c r="D1950" s="308" t="s">
        <v>1390</v>
      </c>
      <c r="E1950" s="305" t="s">
        <v>12834</v>
      </c>
      <c r="F1950" s="309" t="s">
        <v>12835</v>
      </c>
      <c r="G1950" s="236"/>
      <c r="H1950" s="307" t="s">
        <v>1420</v>
      </c>
      <c r="I1950" s="237"/>
      <c r="J1950" s="237"/>
      <c r="K1950" s="310" t="s">
        <v>12833</v>
      </c>
      <c r="L1950" s="237"/>
      <c r="M1950" s="237"/>
      <c r="N1950" s="237"/>
      <c r="O1950" s="237"/>
      <c r="P1950" s="237"/>
      <c r="Q1950" s="237"/>
      <c r="R1950" s="237"/>
      <c r="S1950" s="237"/>
      <c r="T1950" s="237"/>
      <c r="U1950" s="237"/>
      <c r="V1950" s="237"/>
      <c r="W1950" s="237"/>
      <c r="X1950" s="237"/>
      <c r="Y1950" s="237"/>
      <c r="Z1950" s="237"/>
    </row>
    <row r="1951">
      <c r="A1951" s="305">
        <v>1950.0</v>
      </c>
      <c r="B1951" s="236"/>
      <c r="C1951" s="307" t="s">
        <v>1420</v>
      </c>
      <c r="D1951" s="308" t="s">
        <v>1391</v>
      </c>
      <c r="E1951" s="305" t="s">
        <v>12837</v>
      </c>
      <c r="F1951" s="309" t="s">
        <v>12838</v>
      </c>
      <c r="G1951" s="236"/>
      <c r="H1951" s="307" t="s">
        <v>1420</v>
      </c>
      <c r="I1951" s="237"/>
      <c r="J1951" s="237"/>
      <c r="K1951" s="310" t="s">
        <v>12836</v>
      </c>
      <c r="L1951" s="237"/>
      <c r="M1951" s="237"/>
      <c r="N1951" s="237"/>
      <c r="O1951" s="237"/>
      <c r="P1951" s="237"/>
      <c r="Q1951" s="237"/>
      <c r="R1951" s="237"/>
      <c r="S1951" s="237"/>
      <c r="T1951" s="237"/>
      <c r="U1951" s="237"/>
      <c r="V1951" s="237"/>
      <c r="W1951" s="237"/>
      <c r="X1951" s="237"/>
      <c r="Y1951" s="237"/>
      <c r="Z1951" s="237"/>
    </row>
    <row r="1952">
      <c r="A1952" s="305">
        <v>1951.0</v>
      </c>
      <c r="B1952" s="306" t="s">
        <v>6935</v>
      </c>
      <c r="C1952" s="307" t="s">
        <v>1420</v>
      </c>
      <c r="D1952" s="308" t="s">
        <v>6937</v>
      </c>
      <c r="E1952" s="305" t="s">
        <v>5595</v>
      </c>
      <c r="F1952" s="309" t="s">
        <v>6938</v>
      </c>
      <c r="G1952" s="236"/>
      <c r="H1952" s="307" t="s">
        <v>1420</v>
      </c>
      <c r="I1952" s="237"/>
      <c r="J1952" s="237"/>
      <c r="K1952" s="310" t="s">
        <v>6936</v>
      </c>
      <c r="L1952" s="237"/>
      <c r="M1952" s="237"/>
      <c r="N1952" s="237"/>
      <c r="O1952" s="237"/>
      <c r="P1952" s="237"/>
      <c r="Q1952" s="237"/>
      <c r="R1952" s="237"/>
      <c r="S1952" s="237"/>
      <c r="T1952" s="237"/>
      <c r="U1952" s="237"/>
      <c r="V1952" s="237"/>
      <c r="W1952" s="237"/>
      <c r="X1952" s="237"/>
      <c r="Y1952" s="237"/>
      <c r="Z1952" s="237"/>
    </row>
    <row r="1953">
      <c r="A1953" s="305">
        <v>1952.0</v>
      </c>
      <c r="B1953" s="236"/>
      <c r="C1953" s="307" t="s">
        <v>1420</v>
      </c>
      <c r="D1953" s="308" t="s">
        <v>1392</v>
      </c>
      <c r="E1953" s="305" t="s">
        <v>12840</v>
      </c>
      <c r="F1953" s="309" t="s">
        <v>12841</v>
      </c>
      <c r="G1953" s="236"/>
      <c r="H1953" s="307" t="s">
        <v>1420</v>
      </c>
      <c r="I1953" s="237"/>
      <c r="J1953" s="237"/>
      <c r="K1953" s="310" t="s">
        <v>12839</v>
      </c>
      <c r="L1953" s="237"/>
      <c r="M1953" s="237"/>
      <c r="N1953" s="237"/>
      <c r="O1953" s="237"/>
      <c r="P1953" s="237"/>
      <c r="Q1953" s="237"/>
      <c r="R1953" s="237"/>
      <c r="S1953" s="237"/>
      <c r="T1953" s="237"/>
      <c r="U1953" s="237"/>
      <c r="V1953" s="237"/>
      <c r="W1953" s="237"/>
      <c r="X1953" s="237"/>
      <c r="Y1953" s="237"/>
      <c r="Z1953" s="237"/>
    </row>
    <row r="1954">
      <c r="A1954" s="305">
        <v>1953.0</v>
      </c>
      <c r="B1954" s="306" t="s">
        <v>7848</v>
      </c>
      <c r="C1954" s="307" t="s">
        <v>1420</v>
      </c>
      <c r="D1954" s="308" t="s">
        <v>7850</v>
      </c>
      <c r="E1954" s="305" t="s">
        <v>7851</v>
      </c>
      <c r="F1954" s="309" t="s">
        <v>7852</v>
      </c>
      <c r="G1954" s="236"/>
      <c r="H1954" s="307" t="s">
        <v>1420</v>
      </c>
      <c r="I1954" s="237"/>
      <c r="J1954" s="237"/>
      <c r="K1954" s="310" t="s">
        <v>7849</v>
      </c>
      <c r="L1954" s="237"/>
      <c r="M1954" s="237"/>
      <c r="N1954" s="237"/>
      <c r="O1954" s="237"/>
      <c r="P1954" s="237"/>
      <c r="Q1954" s="237"/>
      <c r="R1954" s="237"/>
      <c r="S1954" s="237"/>
      <c r="T1954" s="237"/>
      <c r="U1954" s="237"/>
      <c r="V1954" s="237"/>
      <c r="W1954" s="237"/>
      <c r="X1954" s="237"/>
      <c r="Y1954" s="237"/>
      <c r="Z1954" s="237"/>
    </row>
    <row r="1955">
      <c r="A1955" s="305">
        <v>1954.0</v>
      </c>
      <c r="B1955" s="236"/>
      <c r="C1955" s="307" t="s">
        <v>1420</v>
      </c>
      <c r="D1955" s="308" t="s">
        <v>1393</v>
      </c>
      <c r="E1955" s="305" t="s">
        <v>12843</v>
      </c>
      <c r="F1955" s="309" t="s">
        <v>12844</v>
      </c>
      <c r="G1955" s="236"/>
      <c r="H1955" s="307" t="s">
        <v>1420</v>
      </c>
      <c r="I1955" s="237"/>
      <c r="J1955" s="237"/>
      <c r="K1955" s="310" t="s">
        <v>12842</v>
      </c>
      <c r="L1955" s="237"/>
      <c r="M1955" s="237"/>
      <c r="N1955" s="237"/>
      <c r="O1955" s="237"/>
      <c r="P1955" s="237"/>
      <c r="Q1955" s="237"/>
      <c r="R1955" s="237"/>
      <c r="S1955" s="237"/>
      <c r="T1955" s="237"/>
      <c r="U1955" s="237"/>
      <c r="V1955" s="237"/>
      <c r="W1955" s="237"/>
      <c r="X1955" s="237"/>
      <c r="Y1955" s="237"/>
      <c r="Z1955" s="237"/>
    </row>
    <row r="1956">
      <c r="A1956" s="305">
        <v>1955.0</v>
      </c>
      <c r="B1956" s="306" t="s">
        <v>5648</v>
      </c>
      <c r="C1956" s="307" t="s">
        <v>1420</v>
      </c>
      <c r="D1956" s="308" t="s">
        <v>5650</v>
      </c>
      <c r="E1956" s="305" t="s">
        <v>5651</v>
      </c>
      <c r="F1956" s="309" t="s">
        <v>5652</v>
      </c>
      <c r="G1956" s="236"/>
      <c r="H1956" s="307" t="s">
        <v>1420</v>
      </c>
      <c r="I1956" s="237"/>
      <c r="J1956" s="237"/>
      <c r="K1956" s="310" t="s">
        <v>5649</v>
      </c>
      <c r="L1956" s="237"/>
      <c r="M1956" s="237"/>
      <c r="N1956" s="237"/>
      <c r="O1956" s="237"/>
      <c r="P1956" s="237"/>
      <c r="Q1956" s="237"/>
      <c r="R1956" s="237"/>
      <c r="S1956" s="237"/>
      <c r="T1956" s="237"/>
      <c r="U1956" s="237"/>
      <c r="V1956" s="237"/>
      <c r="W1956" s="237"/>
      <c r="X1956" s="237"/>
      <c r="Y1956" s="237"/>
      <c r="Z1956" s="237"/>
    </row>
    <row r="1957">
      <c r="A1957" s="305">
        <v>1956.0</v>
      </c>
      <c r="B1957" s="306" t="s">
        <v>5657</v>
      </c>
      <c r="C1957" s="307" t="s">
        <v>1420</v>
      </c>
      <c r="D1957" s="308" t="s">
        <v>2498</v>
      </c>
      <c r="E1957" s="305" t="s">
        <v>5658</v>
      </c>
      <c r="F1957" s="309" t="s">
        <v>5659</v>
      </c>
      <c r="G1957" s="236"/>
      <c r="H1957" s="307" t="s">
        <v>1420</v>
      </c>
      <c r="I1957" s="237"/>
      <c r="J1957" s="237"/>
      <c r="K1957" s="310" t="s">
        <v>5654</v>
      </c>
      <c r="L1957" s="237"/>
      <c r="M1957" s="237"/>
      <c r="N1957" s="237"/>
      <c r="O1957" s="237"/>
      <c r="P1957" s="237"/>
      <c r="Q1957" s="237"/>
      <c r="R1957" s="237"/>
      <c r="S1957" s="237"/>
      <c r="T1957" s="237"/>
      <c r="U1957" s="237"/>
      <c r="V1957" s="237"/>
      <c r="W1957" s="237"/>
      <c r="X1957" s="237"/>
      <c r="Y1957" s="237"/>
      <c r="Z1957" s="237"/>
    </row>
    <row r="1958">
      <c r="A1958" s="305">
        <v>1957.0</v>
      </c>
      <c r="B1958" s="306" t="s">
        <v>3530</v>
      </c>
      <c r="C1958" s="307" t="s">
        <v>1420</v>
      </c>
      <c r="D1958" s="308" t="s">
        <v>3532</v>
      </c>
      <c r="E1958" s="305" t="s">
        <v>3533</v>
      </c>
      <c r="F1958" s="309" t="s">
        <v>3534</v>
      </c>
      <c r="G1958" s="236"/>
      <c r="H1958" s="307" t="s">
        <v>1420</v>
      </c>
      <c r="I1958" s="237"/>
      <c r="J1958" s="237"/>
      <c r="K1958" s="310" t="s">
        <v>3531</v>
      </c>
      <c r="L1958" s="237"/>
      <c r="M1958" s="237"/>
      <c r="N1958" s="237"/>
      <c r="O1958" s="237"/>
      <c r="P1958" s="237"/>
      <c r="Q1958" s="237"/>
      <c r="R1958" s="237"/>
      <c r="S1958" s="237"/>
      <c r="T1958" s="237"/>
      <c r="U1958" s="237"/>
      <c r="V1958" s="237"/>
      <c r="W1958" s="237"/>
      <c r="X1958" s="237"/>
      <c r="Y1958" s="237"/>
      <c r="Z1958" s="237"/>
    </row>
    <row r="1959">
      <c r="A1959" s="305">
        <v>1958.0</v>
      </c>
      <c r="B1959" s="306" t="s">
        <v>3525</v>
      </c>
      <c r="C1959" s="307" t="s">
        <v>1420</v>
      </c>
      <c r="D1959" s="308" t="s">
        <v>3527</v>
      </c>
      <c r="E1959" s="305" t="s">
        <v>3528</v>
      </c>
      <c r="F1959" s="309" t="s">
        <v>3529</v>
      </c>
      <c r="G1959" s="236"/>
      <c r="H1959" s="307" t="s">
        <v>1420</v>
      </c>
      <c r="I1959" s="237"/>
      <c r="J1959" s="237"/>
      <c r="K1959" s="310" t="s">
        <v>3526</v>
      </c>
      <c r="L1959" s="237"/>
      <c r="M1959" s="237"/>
      <c r="N1959" s="237"/>
      <c r="O1959" s="237"/>
      <c r="P1959" s="237"/>
      <c r="Q1959" s="237"/>
      <c r="R1959" s="237"/>
      <c r="S1959" s="237"/>
      <c r="T1959" s="237"/>
      <c r="U1959" s="237"/>
      <c r="V1959" s="237"/>
      <c r="W1959" s="237"/>
      <c r="X1959" s="237"/>
      <c r="Y1959" s="237"/>
      <c r="Z1959" s="237"/>
    </row>
    <row r="1960">
      <c r="A1960" s="305">
        <v>1959.0</v>
      </c>
      <c r="B1960" s="306" t="s">
        <v>5597</v>
      </c>
      <c r="C1960" s="307" t="s">
        <v>1420</v>
      </c>
      <c r="D1960" s="308" t="s">
        <v>5599</v>
      </c>
      <c r="E1960" s="305" t="s">
        <v>5600</v>
      </c>
      <c r="F1960" s="309" t="s">
        <v>5601</v>
      </c>
      <c r="G1960" s="236"/>
      <c r="H1960" s="307" t="s">
        <v>1420</v>
      </c>
      <c r="I1960" s="237"/>
      <c r="J1960" s="237"/>
      <c r="K1960" s="310" t="s">
        <v>5598</v>
      </c>
      <c r="L1960" s="237"/>
      <c r="M1960" s="237"/>
      <c r="N1960" s="237"/>
      <c r="O1960" s="237"/>
      <c r="P1960" s="237"/>
      <c r="Q1960" s="237"/>
      <c r="R1960" s="237"/>
      <c r="S1960" s="237"/>
      <c r="T1960" s="237"/>
      <c r="U1960" s="237"/>
      <c r="V1960" s="237"/>
      <c r="W1960" s="237"/>
      <c r="X1960" s="237"/>
      <c r="Y1960" s="237"/>
      <c r="Z1960" s="237"/>
    </row>
    <row r="1961">
      <c r="A1961" s="305">
        <v>1960.0</v>
      </c>
      <c r="B1961" s="306" t="s">
        <v>5587</v>
      </c>
      <c r="C1961" s="307" t="s">
        <v>1420</v>
      </c>
      <c r="D1961" s="308" t="s">
        <v>5589</v>
      </c>
      <c r="E1961" s="305" t="s">
        <v>5590</v>
      </c>
      <c r="F1961" s="309" t="s">
        <v>5591</v>
      </c>
      <c r="G1961" s="236"/>
      <c r="H1961" s="307" t="s">
        <v>1420</v>
      </c>
      <c r="I1961" s="237"/>
      <c r="J1961" s="237"/>
      <c r="K1961" s="310" t="s">
        <v>5588</v>
      </c>
      <c r="L1961" s="237"/>
      <c r="M1961" s="237"/>
      <c r="N1961" s="237"/>
      <c r="O1961" s="237"/>
      <c r="P1961" s="237"/>
      <c r="Q1961" s="237"/>
      <c r="R1961" s="237"/>
      <c r="S1961" s="237"/>
      <c r="T1961" s="237"/>
      <c r="U1961" s="237"/>
      <c r="V1961" s="237"/>
      <c r="W1961" s="237"/>
      <c r="X1961" s="237"/>
      <c r="Y1961" s="237"/>
      <c r="Z1961" s="237"/>
    </row>
    <row r="1962">
      <c r="A1962" s="305">
        <v>1961.0</v>
      </c>
      <c r="B1962" s="306" t="s">
        <v>7813</v>
      </c>
      <c r="C1962" s="307" t="s">
        <v>1420</v>
      </c>
      <c r="D1962" s="308" t="s">
        <v>7815</v>
      </c>
      <c r="E1962" s="305" t="s">
        <v>7816</v>
      </c>
      <c r="F1962" s="309" t="s">
        <v>7817</v>
      </c>
      <c r="G1962" s="236"/>
      <c r="H1962" s="307" t="s">
        <v>1420</v>
      </c>
      <c r="I1962" s="237"/>
      <c r="J1962" s="237"/>
      <c r="K1962" s="310" t="s">
        <v>7814</v>
      </c>
      <c r="L1962" s="237"/>
      <c r="M1962" s="237"/>
      <c r="N1962" s="237"/>
      <c r="O1962" s="237"/>
      <c r="P1962" s="237"/>
      <c r="Q1962" s="237"/>
      <c r="R1962" s="237"/>
      <c r="S1962" s="237"/>
      <c r="T1962" s="237"/>
      <c r="U1962" s="237"/>
      <c r="V1962" s="237"/>
      <c r="W1962" s="237"/>
      <c r="X1962" s="237"/>
      <c r="Y1962" s="237"/>
      <c r="Z1962" s="237"/>
    </row>
    <row r="1963">
      <c r="A1963" s="305">
        <v>1962.0</v>
      </c>
      <c r="B1963" s="306" t="s">
        <v>7833</v>
      </c>
      <c r="C1963" s="307" t="s">
        <v>1420</v>
      </c>
      <c r="D1963" s="308" t="s">
        <v>7835</v>
      </c>
      <c r="E1963" s="305" t="s">
        <v>7836</v>
      </c>
      <c r="F1963" s="309" t="s">
        <v>7837</v>
      </c>
      <c r="G1963" s="236"/>
      <c r="H1963" s="307" t="s">
        <v>1420</v>
      </c>
      <c r="I1963" s="237"/>
      <c r="J1963" s="237"/>
      <c r="K1963" s="310" t="s">
        <v>7834</v>
      </c>
      <c r="L1963" s="237"/>
      <c r="M1963" s="237"/>
      <c r="N1963" s="237"/>
      <c r="O1963" s="237"/>
      <c r="P1963" s="237"/>
      <c r="Q1963" s="237"/>
      <c r="R1963" s="237"/>
      <c r="S1963" s="237"/>
      <c r="T1963" s="237"/>
      <c r="U1963" s="237"/>
      <c r="V1963" s="237"/>
      <c r="W1963" s="237"/>
      <c r="X1963" s="237"/>
      <c r="Y1963" s="237"/>
      <c r="Z1963" s="237"/>
    </row>
    <row r="1964">
      <c r="A1964" s="305">
        <v>1963.0</v>
      </c>
      <c r="B1964" s="306" t="s">
        <v>7828</v>
      </c>
      <c r="C1964" s="307" t="s">
        <v>1420</v>
      </c>
      <c r="D1964" s="308" t="s">
        <v>7830</v>
      </c>
      <c r="E1964" s="305" t="s">
        <v>7831</v>
      </c>
      <c r="F1964" s="309" t="s">
        <v>7832</v>
      </c>
      <c r="G1964" s="236"/>
      <c r="H1964" s="307" t="s">
        <v>1420</v>
      </c>
      <c r="I1964" s="237"/>
      <c r="J1964" s="237"/>
      <c r="K1964" s="310" t="s">
        <v>7829</v>
      </c>
      <c r="L1964" s="237"/>
      <c r="M1964" s="237"/>
      <c r="N1964" s="237"/>
      <c r="O1964" s="237"/>
      <c r="P1964" s="237"/>
      <c r="Q1964" s="237"/>
      <c r="R1964" s="237"/>
      <c r="S1964" s="237"/>
      <c r="T1964" s="237"/>
      <c r="U1964" s="237"/>
      <c r="V1964" s="237"/>
      <c r="W1964" s="237"/>
      <c r="X1964" s="237"/>
      <c r="Y1964" s="237"/>
      <c r="Z1964" s="237"/>
    </row>
    <row r="1965">
      <c r="A1965" s="305">
        <v>1964.0</v>
      </c>
      <c r="B1965" s="306" t="s">
        <v>5614</v>
      </c>
      <c r="C1965" s="307" t="s">
        <v>1420</v>
      </c>
      <c r="D1965" s="308" t="s">
        <v>5616</v>
      </c>
      <c r="E1965" s="305" t="s">
        <v>5617</v>
      </c>
      <c r="F1965" s="309" t="s">
        <v>5618</v>
      </c>
      <c r="G1965" s="236"/>
      <c r="H1965" s="307" t="s">
        <v>1420</v>
      </c>
      <c r="I1965" s="237"/>
      <c r="J1965" s="237"/>
      <c r="K1965" s="310" t="s">
        <v>5615</v>
      </c>
      <c r="L1965" s="237"/>
      <c r="M1965" s="237"/>
      <c r="N1965" s="237"/>
      <c r="O1965" s="237"/>
      <c r="P1965" s="237"/>
      <c r="Q1965" s="237"/>
      <c r="R1965" s="237"/>
      <c r="S1965" s="237"/>
      <c r="T1965" s="237"/>
      <c r="U1965" s="237"/>
      <c r="V1965" s="237"/>
      <c r="W1965" s="237"/>
      <c r="X1965" s="237"/>
      <c r="Y1965" s="237"/>
      <c r="Z1965" s="237"/>
    </row>
    <row r="1966">
      <c r="A1966" s="305">
        <v>1965.0</v>
      </c>
      <c r="B1966" s="306" t="s">
        <v>5643</v>
      </c>
      <c r="C1966" s="307" t="s">
        <v>1420</v>
      </c>
      <c r="D1966" s="308" t="s">
        <v>5645</v>
      </c>
      <c r="E1966" s="305" t="s">
        <v>5646</v>
      </c>
      <c r="F1966" s="309" t="s">
        <v>5647</v>
      </c>
      <c r="G1966" s="236"/>
      <c r="H1966" s="307" t="s">
        <v>1420</v>
      </c>
      <c r="I1966" s="237"/>
      <c r="J1966" s="237"/>
      <c r="K1966" s="310" t="s">
        <v>5644</v>
      </c>
      <c r="L1966" s="237"/>
      <c r="M1966" s="237"/>
      <c r="N1966" s="237"/>
      <c r="O1966" s="237"/>
      <c r="P1966" s="237"/>
      <c r="Q1966" s="237"/>
      <c r="R1966" s="237"/>
      <c r="S1966" s="237"/>
      <c r="T1966" s="237"/>
      <c r="U1966" s="237"/>
      <c r="V1966" s="237"/>
      <c r="W1966" s="237"/>
      <c r="X1966" s="237"/>
      <c r="Y1966" s="237"/>
      <c r="Z1966" s="237"/>
    </row>
    <row r="1967">
      <c r="A1967" s="305">
        <v>1966.0</v>
      </c>
      <c r="B1967" s="306" t="s">
        <v>7838</v>
      </c>
      <c r="C1967" s="307" t="s">
        <v>1420</v>
      </c>
      <c r="D1967" s="308" t="s">
        <v>7840</v>
      </c>
      <c r="E1967" s="305" t="s">
        <v>7841</v>
      </c>
      <c r="F1967" s="309" t="s">
        <v>7842</v>
      </c>
      <c r="G1967" s="236"/>
      <c r="H1967" s="307" t="s">
        <v>1420</v>
      </c>
      <c r="I1967" s="237"/>
      <c r="J1967" s="237"/>
      <c r="K1967" s="310" t="s">
        <v>7839</v>
      </c>
      <c r="L1967" s="237"/>
      <c r="M1967" s="237"/>
      <c r="N1967" s="237"/>
      <c r="O1967" s="237"/>
      <c r="P1967" s="237"/>
      <c r="Q1967" s="237"/>
      <c r="R1967" s="237"/>
      <c r="S1967" s="237"/>
      <c r="T1967" s="237"/>
      <c r="U1967" s="237"/>
      <c r="V1967" s="237"/>
      <c r="W1967" s="237"/>
      <c r="X1967" s="237"/>
      <c r="Y1967" s="237"/>
      <c r="Z1967" s="237"/>
    </row>
    <row r="1968">
      <c r="A1968" s="305">
        <v>1967.0</v>
      </c>
      <c r="B1968" s="306" t="s">
        <v>7843</v>
      </c>
      <c r="C1968" s="307" t="s">
        <v>1420</v>
      </c>
      <c r="D1968" s="308" t="s">
        <v>7845</v>
      </c>
      <c r="E1968" s="305" t="s">
        <v>7846</v>
      </c>
      <c r="F1968" s="309" t="s">
        <v>7847</v>
      </c>
      <c r="G1968" s="236"/>
      <c r="H1968" s="307" t="s">
        <v>1420</v>
      </c>
      <c r="I1968" s="237"/>
      <c r="J1968" s="237"/>
      <c r="K1968" s="310" t="s">
        <v>7844</v>
      </c>
      <c r="L1968" s="237"/>
      <c r="M1968" s="237"/>
      <c r="N1968" s="237"/>
      <c r="O1968" s="237"/>
      <c r="P1968" s="237"/>
      <c r="Q1968" s="237"/>
      <c r="R1968" s="237"/>
      <c r="S1968" s="237"/>
      <c r="T1968" s="237"/>
      <c r="U1968" s="237"/>
      <c r="V1968" s="237"/>
      <c r="W1968" s="237"/>
      <c r="X1968" s="237"/>
      <c r="Y1968" s="237"/>
      <c r="Z1968" s="237"/>
    </row>
    <row r="1969">
      <c r="A1969" s="305">
        <v>1968.0</v>
      </c>
      <c r="B1969" s="306" t="s">
        <v>3589</v>
      </c>
      <c r="C1969" s="307" t="s">
        <v>1420</v>
      </c>
      <c r="D1969" s="308" t="s">
        <v>3591</v>
      </c>
      <c r="E1969" s="305" t="s">
        <v>3592</v>
      </c>
      <c r="F1969" s="309" t="s">
        <v>3593</v>
      </c>
      <c r="G1969" s="236"/>
      <c r="H1969" s="307" t="s">
        <v>1420</v>
      </c>
      <c r="I1969" s="237"/>
      <c r="J1969" s="237"/>
      <c r="K1969" s="310" t="s">
        <v>3590</v>
      </c>
      <c r="L1969" s="237"/>
      <c r="M1969" s="237"/>
      <c r="N1969" s="237"/>
      <c r="O1969" s="237"/>
      <c r="P1969" s="237"/>
      <c r="Q1969" s="237"/>
      <c r="R1969" s="237"/>
      <c r="S1969" s="237"/>
      <c r="T1969" s="237"/>
      <c r="U1969" s="237"/>
      <c r="V1969" s="237"/>
      <c r="W1969" s="237"/>
      <c r="X1969" s="237"/>
      <c r="Y1969" s="237"/>
      <c r="Z1969" s="237"/>
    </row>
    <row r="1970">
      <c r="A1970" s="305">
        <v>1969.0</v>
      </c>
      <c r="B1970" s="306" t="s">
        <v>5628</v>
      </c>
      <c r="C1970" s="307" t="s">
        <v>1420</v>
      </c>
      <c r="D1970" s="308" t="s">
        <v>5630</v>
      </c>
      <c r="E1970" s="305" t="s">
        <v>5631</v>
      </c>
      <c r="F1970" s="309" t="s">
        <v>5632</v>
      </c>
      <c r="G1970" s="236"/>
      <c r="H1970" s="307" t="s">
        <v>1420</v>
      </c>
      <c r="I1970" s="237"/>
      <c r="J1970" s="237"/>
      <c r="K1970" s="310" t="s">
        <v>5629</v>
      </c>
      <c r="L1970" s="237"/>
      <c r="M1970" s="237"/>
      <c r="N1970" s="237"/>
      <c r="O1970" s="237"/>
      <c r="P1970" s="237"/>
      <c r="Q1970" s="237"/>
      <c r="R1970" s="237"/>
      <c r="S1970" s="237"/>
      <c r="T1970" s="237"/>
      <c r="U1970" s="237"/>
      <c r="V1970" s="237"/>
      <c r="W1970" s="237"/>
      <c r="X1970" s="237"/>
      <c r="Y1970" s="237"/>
      <c r="Z1970" s="237"/>
    </row>
    <row r="1971">
      <c r="A1971" s="305">
        <v>1970.0</v>
      </c>
      <c r="B1971" s="306" t="s">
        <v>3594</v>
      </c>
      <c r="C1971" s="307" t="s">
        <v>1420</v>
      </c>
      <c r="D1971" s="308" t="s">
        <v>3596</v>
      </c>
      <c r="E1971" s="305" t="s">
        <v>3597</v>
      </c>
      <c r="F1971" s="309" t="s">
        <v>3598</v>
      </c>
      <c r="G1971" s="236"/>
      <c r="H1971" s="307" t="s">
        <v>1420</v>
      </c>
      <c r="I1971" s="237"/>
      <c r="J1971" s="237"/>
      <c r="K1971" s="310" t="s">
        <v>3595</v>
      </c>
      <c r="L1971" s="237"/>
      <c r="M1971" s="237"/>
      <c r="N1971" s="237"/>
      <c r="O1971" s="237"/>
      <c r="P1971" s="237"/>
      <c r="Q1971" s="237"/>
      <c r="R1971" s="237"/>
      <c r="S1971" s="237"/>
      <c r="T1971" s="237"/>
      <c r="U1971" s="237"/>
      <c r="V1971" s="237"/>
      <c r="W1971" s="237"/>
      <c r="X1971" s="237"/>
      <c r="Y1971" s="237"/>
      <c r="Z1971" s="237"/>
    </row>
    <row r="1972">
      <c r="A1972" s="305">
        <v>1971.0</v>
      </c>
      <c r="B1972" s="306" t="s">
        <v>3575</v>
      </c>
      <c r="C1972" s="307" t="s">
        <v>1420</v>
      </c>
      <c r="D1972" s="308" t="s">
        <v>14650</v>
      </c>
      <c r="E1972" s="305" t="s">
        <v>3577</v>
      </c>
      <c r="F1972" s="309" t="s">
        <v>3578</v>
      </c>
      <c r="G1972" s="236"/>
      <c r="H1972" s="307" t="s">
        <v>1420</v>
      </c>
      <c r="I1972" s="237"/>
      <c r="J1972" s="237"/>
      <c r="K1972" s="310" t="s">
        <v>3576</v>
      </c>
      <c r="L1972" s="237"/>
      <c r="M1972" s="237"/>
      <c r="N1972" s="237"/>
      <c r="O1972" s="237"/>
      <c r="P1972" s="237"/>
      <c r="Q1972" s="237"/>
      <c r="R1972" s="237"/>
      <c r="S1972" s="237"/>
      <c r="T1972" s="237"/>
      <c r="U1972" s="237"/>
      <c r="V1972" s="237"/>
      <c r="W1972" s="237"/>
      <c r="X1972" s="237"/>
      <c r="Y1972" s="237"/>
      <c r="Z1972" s="237"/>
    </row>
    <row r="1973">
      <c r="A1973" s="305">
        <v>1972.0</v>
      </c>
      <c r="B1973" s="306" t="s">
        <v>3584</v>
      </c>
      <c r="C1973" s="307" t="s">
        <v>1420</v>
      </c>
      <c r="D1973" s="308" t="s">
        <v>3586</v>
      </c>
      <c r="E1973" s="305" t="s">
        <v>3587</v>
      </c>
      <c r="F1973" s="309" t="s">
        <v>3588</v>
      </c>
      <c r="G1973" s="236"/>
      <c r="H1973" s="307" t="s">
        <v>1420</v>
      </c>
      <c r="I1973" s="237"/>
      <c r="J1973" s="237"/>
      <c r="K1973" s="310" t="s">
        <v>3585</v>
      </c>
      <c r="L1973" s="237"/>
      <c r="M1973" s="237"/>
      <c r="N1973" s="237"/>
      <c r="O1973" s="237"/>
      <c r="P1973" s="237"/>
      <c r="Q1973" s="237"/>
      <c r="R1973" s="237"/>
      <c r="S1973" s="237"/>
      <c r="T1973" s="237"/>
      <c r="U1973" s="237"/>
      <c r="V1973" s="237"/>
      <c r="W1973" s="237"/>
      <c r="X1973" s="237"/>
      <c r="Y1973" s="237"/>
      <c r="Z1973" s="237"/>
    </row>
    <row r="1974">
      <c r="A1974" s="305">
        <v>1973.0</v>
      </c>
      <c r="B1974" s="306" t="s">
        <v>3575</v>
      </c>
      <c r="C1974" s="307" t="s">
        <v>1420</v>
      </c>
      <c r="D1974" s="308" t="s">
        <v>3572</v>
      </c>
      <c r="E1974" s="305" t="s">
        <v>3573</v>
      </c>
      <c r="F1974" s="309" t="s">
        <v>3574</v>
      </c>
      <c r="G1974" s="236"/>
      <c r="H1974" s="307" t="s">
        <v>1420</v>
      </c>
      <c r="I1974" s="237"/>
      <c r="J1974" s="237"/>
      <c r="K1974" s="310" t="s">
        <v>3571</v>
      </c>
      <c r="L1974" s="237"/>
      <c r="M1974" s="237"/>
      <c r="N1974" s="237"/>
      <c r="O1974" s="237"/>
      <c r="P1974" s="237"/>
      <c r="Q1974" s="237"/>
      <c r="R1974" s="237"/>
      <c r="S1974" s="237"/>
      <c r="T1974" s="237"/>
      <c r="U1974" s="237"/>
      <c r="V1974" s="237"/>
      <c r="W1974" s="237"/>
      <c r="X1974" s="237"/>
      <c r="Y1974" s="237"/>
      <c r="Z1974" s="237"/>
    </row>
    <row r="1975">
      <c r="A1975" s="305">
        <v>1974.0</v>
      </c>
      <c r="B1975" s="306" t="s">
        <v>3579</v>
      </c>
      <c r="C1975" s="307" t="s">
        <v>1420</v>
      </c>
      <c r="D1975" s="308" t="s">
        <v>3581</v>
      </c>
      <c r="E1975" s="305" t="s">
        <v>3582</v>
      </c>
      <c r="F1975" s="309" t="s">
        <v>3583</v>
      </c>
      <c r="G1975" s="236"/>
      <c r="H1975" s="307" t="s">
        <v>1420</v>
      </c>
      <c r="I1975" s="237"/>
      <c r="J1975" s="237"/>
      <c r="K1975" s="310" t="s">
        <v>3580</v>
      </c>
      <c r="L1975" s="237"/>
      <c r="M1975" s="237"/>
      <c r="N1975" s="237"/>
      <c r="O1975" s="237"/>
      <c r="P1975" s="237"/>
      <c r="Q1975" s="237"/>
      <c r="R1975" s="237"/>
      <c r="S1975" s="237"/>
      <c r="T1975" s="237"/>
      <c r="U1975" s="237"/>
      <c r="V1975" s="237"/>
      <c r="W1975" s="237"/>
      <c r="X1975" s="237"/>
      <c r="Y1975" s="237"/>
      <c r="Z1975" s="237"/>
    </row>
    <row r="1976">
      <c r="A1976" s="305">
        <v>1975.0</v>
      </c>
      <c r="B1976" s="306" t="s">
        <v>5638</v>
      </c>
      <c r="C1976" s="307" t="s">
        <v>1420</v>
      </c>
      <c r="D1976" s="308" t="s">
        <v>5640</v>
      </c>
      <c r="E1976" s="305" t="s">
        <v>5641</v>
      </c>
      <c r="F1976" s="309" t="s">
        <v>5642</v>
      </c>
      <c r="G1976" s="236"/>
      <c r="H1976" s="307" t="s">
        <v>1420</v>
      </c>
      <c r="I1976" s="237"/>
      <c r="J1976" s="237"/>
      <c r="K1976" s="310" t="s">
        <v>5639</v>
      </c>
      <c r="L1976" s="237"/>
      <c r="M1976" s="237"/>
      <c r="N1976" s="237"/>
      <c r="O1976" s="237"/>
      <c r="P1976" s="237"/>
      <c r="Q1976" s="237"/>
      <c r="R1976" s="237"/>
      <c r="S1976" s="237"/>
      <c r="T1976" s="237"/>
      <c r="U1976" s="237"/>
      <c r="V1976" s="237"/>
      <c r="W1976" s="237"/>
      <c r="X1976" s="237"/>
      <c r="Y1976" s="237"/>
      <c r="Z1976" s="237"/>
    </row>
    <row r="1977">
      <c r="A1977" s="305">
        <v>1976.0</v>
      </c>
      <c r="B1977" s="306" t="s">
        <v>6873</v>
      </c>
      <c r="C1977" s="307" t="s">
        <v>1420</v>
      </c>
      <c r="D1977" s="308" t="s">
        <v>6875</v>
      </c>
      <c r="E1977" s="305" t="s">
        <v>6876</v>
      </c>
      <c r="F1977" s="309" t="s">
        <v>6877</v>
      </c>
      <c r="G1977" s="236"/>
      <c r="H1977" s="307" t="s">
        <v>1420</v>
      </c>
      <c r="I1977" s="237"/>
      <c r="J1977" s="237"/>
      <c r="K1977" s="310" t="s">
        <v>6874</v>
      </c>
      <c r="L1977" s="237"/>
      <c r="M1977" s="237"/>
      <c r="N1977" s="237"/>
      <c r="O1977" s="237"/>
      <c r="P1977" s="237"/>
      <c r="Q1977" s="237"/>
      <c r="R1977" s="237"/>
      <c r="S1977" s="237"/>
      <c r="T1977" s="237"/>
      <c r="U1977" s="237"/>
      <c r="V1977" s="237"/>
      <c r="W1977" s="237"/>
      <c r="X1977" s="237"/>
      <c r="Y1977" s="237"/>
      <c r="Z1977" s="237"/>
    </row>
    <row r="1978">
      <c r="A1978" s="305">
        <v>1977.0</v>
      </c>
      <c r="B1978" s="236"/>
      <c r="C1978" s="307" t="s">
        <v>1420</v>
      </c>
      <c r="D1978" s="308" t="s">
        <v>14651</v>
      </c>
      <c r="E1978" s="305" t="s">
        <v>5579</v>
      </c>
      <c r="F1978" s="309" t="s">
        <v>5580</v>
      </c>
      <c r="G1978" s="236"/>
      <c r="H1978" s="307" t="s">
        <v>1420</v>
      </c>
      <c r="I1978" s="237"/>
      <c r="J1978" s="237"/>
      <c r="K1978" s="310" t="s">
        <v>5578</v>
      </c>
      <c r="L1978" s="237"/>
      <c r="M1978" s="237"/>
      <c r="N1978" s="237"/>
      <c r="O1978" s="237"/>
      <c r="P1978" s="237"/>
      <c r="Q1978" s="237"/>
      <c r="R1978" s="237"/>
      <c r="S1978" s="237"/>
      <c r="T1978" s="237"/>
      <c r="U1978" s="237"/>
      <c r="V1978" s="237"/>
      <c r="W1978" s="237"/>
      <c r="X1978" s="237"/>
      <c r="Y1978" s="237"/>
      <c r="Z1978" s="237"/>
    </row>
    <row r="1979">
      <c r="A1979" s="305">
        <v>1978.0</v>
      </c>
      <c r="B1979" s="306" t="s">
        <v>7808</v>
      </c>
      <c r="C1979" s="307" t="s">
        <v>1420</v>
      </c>
      <c r="D1979" s="308" t="s">
        <v>7810</v>
      </c>
      <c r="E1979" s="305" t="s">
        <v>7811</v>
      </c>
      <c r="F1979" s="309" t="s">
        <v>7812</v>
      </c>
      <c r="G1979" s="236"/>
      <c r="H1979" s="307" t="s">
        <v>1420</v>
      </c>
      <c r="I1979" s="237"/>
      <c r="J1979" s="237"/>
      <c r="K1979" s="310" t="s">
        <v>7809</v>
      </c>
      <c r="L1979" s="237"/>
      <c r="M1979" s="237"/>
      <c r="N1979" s="237"/>
      <c r="O1979" s="237"/>
      <c r="P1979" s="237"/>
      <c r="Q1979" s="237"/>
      <c r="R1979" s="237"/>
      <c r="S1979" s="237"/>
      <c r="T1979" s="237"/>
      <c r="U1979" s="237"/>
      <c r="V1979" s="237"/>
      <c r="W1979" s="237"/>
      <c r="X1979" s="237"/>
      <c r="Y1979" s="237"/>
      <c r="Z1979" s="237"/>
    </row>
    <row r="1980">
      <c r="A1980" s="305">
        <v>1979.0</v>
      </c>
      <c r="B1980" s="306" t="s">
        <v>5633</v>
      </c>
      <c r="C1980" s="307" t="s">
        <v>1420</v>
      </c>
      <c r="D1980" s="308" t="s">
        <v>5635</v>
      </c>
      <c r="E1980" s="305" t="s">
        <v>5636</v>
      </c>
      <c r="F1980" s="309" t="s">
        <v>5637</v>
      </c>
      <c r="G1980" s="236"/>
      <c r="H1980" s="307" t="s">
        <v>1420</v>
      </c>
      <c r="I1980" s="237"/>
      <c r="J1980" s="237"/>
      <c r="K1980" s="310" t="s">
        <v>5634</v>
      </c>
      <c r="L1980" s="237"/>
      <c r="M1980" s="237"/>
      <c r="N1980" s="237"/>
      <c r="O1980" s="237"/>
      <c r="P1980" s="237"/>
      <c r="Q1980" s="237"/>
      <c r="R1980" s="237"/>
      <c r="S1980" s="237"/>
      <c r="T1980" s="237"/>
      <c r="U1980" s="237"/>
      <c r="V1980" s="237"/>
      <c r="W1980" s="237"/>
      <c r="X1980" s="237"/>
      <c r="Y1980" s="237"/>
      <c r="Z1980" s="237"/>
    </row>
    <row r="1981">
      <c r="A1981" s="305">
        <v>1980.0</v>
      </c>
      <c r="B1981" s="236"/>
      <c r="C1981" s="307" t="s">
        <v>1420</v>
      </c>
      <c r="D1981" s="308" t="s">
        <v>2814</v>
      </c>
      <c r="E1981" s="305" t="s">
        <v>7109</v>
      </c>
      <c r="F1981" s="309" t="s">
        <v>7110</v>
      </c>
      <c r="G1981" s="236"/>
      <c r="H1981" s="307" t="s">
        <v>1420</v>
      </c>
      <c r="I1981" s="237"/>
      <c r="J1981" s="237"/>
      <c r="K1981" s="310" t="s">
        <v>7108</v>
      </c>
      <c r="L1981" s="237"/>
      <c r="M1981" s="237"/>
      <c r="N1981" s="237"/>
      <c r="O1981" s="237"/>
      <c r="P1981" s="237"/>
      <c r="Q1981" s="237"/>
      <c r="R1981" s="237"/>
      <c r="S1981" s="237"/>
      <c r="T1981" s="237"/>
      <c r="U1981" s="237"/>
      <c r="V1981" s="237"/>
      <c r="W1981" s="237"/>
      <c r="X1981" s="237"/>
      <c r="Y1981" s="237"/>
      <c r="Z1981" s="237"/>
    </row>
    <row r="1982">
      <c r="A1982" s="305">
        <v>1981.0</v>
      </c>
      <c r="B1982" s="236"/>
      <c r="C1982" s="307" t="s">
        <v>1420</v>
      </c>
      <c r="D1982" s="308" t="s">
        <v>2814</v>
      </c>
      <c r="E1982" s="305" t="s">
        <v>8880</v>
      </c>
      <c r="F1982" s="309" t="s">
        <v>8881</v>
      </c>
      <c r="G1982" s="236"/>
      <c r="H1982" s="307" t="s">
        <v>1420</v>
      </c>
      <c r="I1982" s="237"/>
      <c r="J1982" s="237"/>
      <c r="K1982" s="310" t="s">
        <v>8879</v>
      </c>
      <c r="L1982" s="237"/>
      <c r="M1982" s="237"/>
      <c r="N1982" s="237"/>
      <c r="O1982" s="237"/>
      <c r="P1982" s="237"/>
      <c r="Q1982" s="237"/>
      <c r="R1982" s="237"/>
      <c r="S1982" s="237"/>
      <c r="T1982" s="237"/>
      <c r="U1982" s="237"/>
      <c r="V1982" s="237"/>
      <c r="W1982" s="237"/>
      <c r="X1982" s="237"/>
      <c r="Y1982" s="237"/>
      <c r="Z1982" s="237"/>
    </row>
    <row r="1983">
      <c r="A1983" s="305">
        <v>1982.0</v>
      </c>
      <c r="B1983" s="236"/>
      <c r="C1983" s="307" t="s">
        <v>1420</v>
      </c>
      <c r="D1983" s="308" t="s">
        <v>2814</v>
      </c>
      <c r="E1983" s="305" t="s">
        <v>10014</v>
      </c>
      <c r="F1983" s="309" t="s">
        <v>10015</v>
      </c>
      <c r="G1983" s="236"/>
      <c r="H1983" s="307" t="s">
        <v>1420</v>
      </c>
      <c r="I1983" s="237"/>
      <c r="J1983" s="237"/>
      <c r="K1983" s="310" t="s">
        <v>10013</v>
      </c>
      <c r="L1983" s="237"/>
      <c r="M1983" s="237"/>
      <c r="N1983" s="237"/>
      <c r="O1983" s="237"/>
      <c r="P1983" s="237"/>
      <c r="Q1983" s="237"/>
      <c r="R1983" s="237"/>
      <c r="S1983" s="237"/>
      <c r="T1983" s="237"/>
      <c r="U1983" s="237"/>
      <c r="V1983" s="237"/>
      <c r="W1983" s="237"/>
      <c r="X1983" s="237"/>
      <c r="Y1983" s="237"/>
      <c r="Z1983" s="237"/>
    </row>
    <row r="1984">
      <c r="A1984" s="305">
        <v>1983.0</v>
      </c>
      <c r="B1984" s="236"/>
      <c r="C1984" s="307" t="s">
        <v>1420</v>
      </c>
      <c r="D1984" s="308" t="s">
        <v>9975</v>
      </c>
      <c r="E1984" s="305" t="s">
        <v>9976</v>
      </c>
      <c r="F1984" s="309" t="s">
        <v>9977</v>
      </c>
      <c r="G1984" s="236"/>
      <c r="H1984" s="307" t="s">
        <v>1420</v>
      </c>
      <c r="I1984" s="237"/>
      <c r="J1984" s="237"/>
      <c r="K1984" s="310" t="s">
        <v>9974</v>
      </c>
      <c r="L1984" s="237"/>
      <c r="M1984" s="237"/>
      <c r="N1984" s="237"/>
      <c r="O1984" s="237"/>
      <c r="P1984" s="237"/>
      <c r="Q1984" s="237"/>
      <c r="R1984" s="237"/>
      <c r="S1984" s="237"/>
      <c r="T1984" s="237"/>
      <c r="U1984" s="237"/>
      <c r="V1984" s="237"/>
      <c r="W1984" s="237"/>
      <c r="X1984" s="237"/>
      <c r="Y1984" s="237"/>
      <c r="Z1984" s="237"/>
    </row>
    <row r="1985">
      <c r="A1985" s="305">
        <v>1984.0</v>
      </c>
      <c r="B1985" s="236"/>
      <c r="C1985" s="307" t="s">
        <v>1420</v>
      </c>
      <c r="D1985" s="308" t="s">
        <v>9966</v>
      </c>
      <c r="E1985" s="305" t="s">
        <v>9967</v>
      </c>
      <c r="F1985" s="309" t="s">
        <v>9968</v>
      </c>
      <c r="G1985" s="236"/>
      <c r="H1985" s="307" t="s">
        <v>1420</v>
      </c>
      <c r="I1985" s="237"/>
      <c r="J1985" s="237"/>
      <c r="K1985" s="310" t="s">
        <v>9965</v>
      </c>
      <c r="L1985" s="237"/>
      <c r="M1985" s="237"/>
      <c r="N1985" s="237"/>
      <c r="O1985" s="237"/>
      <c r="P1985" s="237"/>
      <c r="Q1985" s="237"/>
      <c r="R1985" s="237"/>
      <c r="S1985" s="237"/>
      <c r="T1985" s="237"/>
      <c r="U1985" s="237"/>
      <c r="V1985" s="237"/>
      <c r="W1985" s="237"/>
      <c r="X1985" s="237"/>
      <c r="Y1985" s="237"/>
      <c r="Z1985" s="237"/>
    </row>
    <row r="1986">
      <c r="A1986" s="305">
        <v>1985.0</v>
      </c>
      <c r="B1986" s="306">
        <v>2.1112252E7</v>
      </c>
      <c r="C1986" s="307" t="s">
        <v>1420</v>
      </c>
      <c r="D1986" s="308" t="s">
        <v>9980</v>
      </c>
      <c r="E1986" s="305" t="s">
        <v>9981</v>
      </c>
      <c r="F1986" s="309" t="s">
        <v>9982</v>
      </c>
      <c r="G1986" s="236"/>
      <c r="H1986" s="307" t="s">
        <v>1420</v>
      </c>
      <c r="I1986" s="237"/>
      <c r="J1986" s="237"/>
      <c r="K1986" s="310" t="s">
        <v>9979</v>
      </c>
      <c r="L1986" s="237"/>
      <c r="M1986" s="237"/>
      <c r="N1986" s="237"/>
      <c r="O1986" s="237"/>
      <c r="P1986" s="237"/>
      <c r="Q1986" s="237"/>
      <c r="R1986" s="237"/>
      <c r="S1986" s="237"/>
      <c r="T1986" s="237"/>
      <c r="U1986" s="237"/>
      <c r="V1986" s="237"/>
      <c r="W1986" s="237"/>
      <c r="X1986" s="237"/>
      <c r="Y1986" s="237"/>
      <c r="Z1986" s="237"/>
    </row>
    <row r="1987">
      <c r="A1987" s="305">
        <v>1986.0</v>
      </c>
      <c r="B1987" s="236"/>
      <c r="C1987" s="307" t="s">
        <v>1420</v>
      </c>
      <c r="D1987" s="308" t="s">
        <v>9957</v>
      </c>
      <c r="E1987" s="305" t="s">
        <v>9958</v>
      </c>
      <c r="F1987" s="309" t="s">
        <v>9959</v>
      </c>
      <c r="G1987" s="236"/>
      <c r="H1987" s="307" t="s">
        <v>1420</v>
      </c>
      <c r="I1987" s="237"/>
      <c r="J1987" s="237"/>
      <c r="K1987" s="310" t="s">
        <v>9956</v>
      </c>
      <c r="L1987" s="237"/>
      <c r="M1987" s="237"/>
      <c r="N1987" s="237"/>
      <c r="O1987" s="237"/>
      <c r="P1987" s="237"/>
      <c r="Q1987" s="237"/>
      <c r="R1987" s="237"/>
      <c r="S1987" s="237"/>
      <c r="T1987" s="237"/>
      <c r="U1987" s="237"/>
      <c r="V1987" s="237"/>
      <c r="W1987" s="237"/>
      <c r="X1987" s="237"/>
      <c r="Y1987" s="237"/>
      <c r="Z1987" s="237"/>
    </row>
    <row r="1988">
      <c r="A1988" s="305">
        <v>1987.0</v>
      </c>
      <c r="B1988" s="306">
        <v>2.1112352E7</v>
      </c>
      <c r="C1988" s="307" t="s">
        <v>1420</v>
      </c>
      <c r="D1988" s="308" t="s">
        <v>9985</v>
      </c>
      <c r="E1988" s="305" t="s">
        <v>9986</v>
      </c>
      <c r="F1988" s="309" t="s">
        <v>9987</v>
      </c>
      <c r="G1988" s="236"/>
      <c r="H1988" s="307" t="s">
        <v>1420</v>
      </c>
      <c r="I1988" s="237"/>
      <c r="J1988" s="237"/>
      <c r="K1988" s="310" t="s">
        <v>9984</v>
      </c>
      <c r="L1988" s="237"/>
      <c r="M1988" s="237"/>
      <c r="N1988" s="237"/>
      <c r="O1988" s="237"/>
      <c r="P1988" s="237"/>
      <c r="Q1988" s="237"/>
      <c r="R1988" s="237"/>
      <c r="S1988" s="237"/>
      <c r="T1988" s="237"/>
      <c r="U1988" s="237"/>
      <c r="V1988" s="237"/>
      <c r="W1988" s="237"/>
      <c r="X1988" s="237"/>
      <c r="Y1988" s="237"/>
      <c r="Z1988" s="237"/>
    </row>
    <row r="1989">
      <c r="A1989" s="305">
        <v>1988.0</v>
      </c>
      <c r="B1989" s="306">
        <v>2.1232452E7</v>
      </c>
      <c r="C1989" s="307" t="s">
        <v>1420</v>
      </c>
      <c r="D1989" s="308" t="s">
        <v>9962</v>
      </c>
      <c r="E1989" s="305" t="s">
        <v>9963</v>
      </c>
      <c r="F1989" s="309" t="s">
        <v>9964</v>
      </c>
      <c r="G1989" s="236"/>
      <c r="H1989" s="307" t="s">
        <v>1420</v>
      </c>
      <c r="I1989" s="237"/>
      <c r="J1989" s="237"/>
      <c r="K1989" s="310" t="s">
        <v>9961</v>
      </c>
      <c r="L1989" s="237"/>
      <c r="M1989" s="237"/>
      <c r="N1989" s="237"/>
      <c r="O1989" s="237"/>
      <c r="P1989" s="237"/>
      <c r="Q1989" s="237"/>
      <c r="R1989" s="237"/>
      <c r="S1989" s="237"/>
      <c r="T1989" s="237"/>
      <c r="U1989" s="237"/>
      <c r="V1989" s="237"/>
      <c r="W1989" s="237"/>
      <c r="X1989" s="237"/>
      <c r="Y1989" s="237"/>
      <c r="Z1989" s="237"/>
    </row>
    <row r="1990">
      <c r="A1990" s="305">
        <v>1989.0</v>
      </c>
      <c r="B1990" s="306">
        <v>2.1112152E7</v>
      </c>
      <c r="C1990" s="307" t="s">
        <v>1420</v>
      </c>
      <c r="D1990" s="308" t="s">
        <v>9971</v>
      </c>
      <c r="E1990" s="305" t="s">
        <v>9972</v>
      </c>
      <c r="F1990" s="309" t="s">
        <v>9973</v>
      </c>
      <c r="G1990" s="236"/>
      <c r="H1990" s="307" t="s">
        <v>1420</v>
      </c>
      <c r="I1990" s="237"/>
      <c r="J1990" s="237"/>
      <c r="K1990" s="310" t="s">
        <v>9970</v>
      </c>
      <c r="L1990" s="237"/>
      <c r="M1990" s="237"/>
      <c r="N1990" s="237"/>
      <c r="O1990" s="237"/>
      <c r="P1990" s="237"/>
      <c r="Q1990" s="237"/>
      <c r="R1990" s="237"/>
      <c r="S1990" s="237"/>
      <c r="T1990" s="237"/>
      <c r="U1990" s="237"/>
      <c r="V1990" s="237"/>
      <c r="W1990" s="237"/>
      <c r="X1990" s="237"/>
      <c r="Y1990" s="237"/>
      <c r="Z1990" s="237"/>
    </row>
    <row r="1991">
      <c r="A1991" s="305">
        <v>1990.0</v>
      </c>
      <c r="B1991" s="236"/>
      <c r="C1991" s="307" t="s">
        <v>1420</v>
      </c>
      <c r="D1991" s="308" t="s">
        <v>9953</v>
      </c>
      <c r="E1991" s="305" t="s">
        <v>9954</v>
      </c>
      <c r="F1991" s="309" t="s">
        <v>9955</v>
      </c>
      <c r="G1991" s="236"/>
      <c r="H1991" s="307" t="s">
        <v>1420</v>
      </c>
      <c r="I1991" s="237"/>
      <c r="J1991" s="237"/>
      <c r="K1991" s="310" t="s">
        <v>9952</v>
      </c>
      <c r="L1991" s="237"/>
      <c r="M1991" s="237"/>
      <c r="N1991" s="237"/>
      <c r="O1991" s="237"/>
      <c r="P1991" s="237"/>
      <c r="Q1991" s="237"/>
      <c r="R1991" s="237"/>
      <c r="S1991" s="237"/>
      <c r="T1991" s="237"/>
      <c r="U1991" s="237"/>
      <c r="V1991" s="237"/>
      <c r="W1991" s="237"/>
      <c r="X1991" s="237"/>
      <c r="Y1991" s="237"/>
      <c r="Z1991" s="237"/>
    </row>
    <row r="1992">
      <c r="A1992" s="305">
        <v>1991.0</v>
      </c>
      <c r="B1992" s="306">
        <v>2.1232152E7</v>
      </c>
      <c r="C1992" s="307" t="s">
        <v>1420</v>
      </c>
      <c r="D1992" s="308" t="s">
        <v>9945</v>
      </c>
      <c r="E1992" s="305" t="s">
        <v>9946</v>
      </c>
      <c r="F1992" s="309" t="s">
        <v>9947</v>
      </c>
      <c r="G1992" s="236"/>
      <c r="H1992" s="307" t="s">
        <v>1420</v>
      </c>
      <c r="I1992" s="237"/>
      <c r="J1992" s="237"/>
      <c r="K1992" s="310" t="s">
        <v>9944</v>
      </c>
      <c r="L1992" s="237"/>
      <c r="M1992" s="237"/>
      <c r="N1992" s="237"/>
      <c r="O1992" s="237"/>
      <c r="P1992" s="237"/>
      <c r="Q1992" s="237"/>
      <c r="R1992" s="237"/>
      <c r="S1992" s="237"/>
      <c r="T1992" s="237"/>
      <c r="U1992" s="237"/>
      <c r="V1992" s="237"/>
      <c r="W1992" s="237"/>
      <c r="X1992" s="237"/>
      <c r="Y1992" s="237"/>
      <c r="Z1992" s="237"/>
    </row>
    <row r="1993">
      <c r="A1993" s="305">
        <v>1992.0</v>
      </c>
      <c r="B1993" s="306">
        <v>2.1232352E7</v>
      </c>
      <c r="C1993" s="307" t="s">
        <v>1420</v>
      </c>
      <c r="D1993" s="308" t="s">
        <v>9940</v>
      </c>
      <c r="E1993" s="305" t="s">
        <v>9941</v>
      </c>
      <c r="F1993" s="309" t="s">
        <v>9942</v>
      </c>
      <c r="G1993" s="236"/>
      <c r="H1993" s="307" t="s">
        <v>1420</v>
      </c>
      <c r="I1993" s="237"/>
      <c r="J1993" s="237"/>
      <c r="K1993" s="310" t="s">
        <v>9939</v>
      </c>
      <c r="L1993" s="237"/>
      <c r="M1993" s="237"/>
      <c r="N1993" s="237"/>
      <c r="O1993" s="237"/>
      <c r="P1993" s="237"/>
      <c r="Q1993" s="237"/>
      <c r="R1993" s="237"/>
      <c r="S1993" s="237"/>
      <c r="T1993" s="237"/>
      <c r="U1993" s="237"/>
      <c r="V1993" s="237"/>
      <c r="W1993" s="237"/>
      <c r="X1993" s="237"/>
      <c r="Y1993" s="237"/>
      <c r="Z1993" s="237"/>
    </row>
    <row r="1994">
      <c r="A1994" s="305">
        <v>1993.0</v>
      </c>
      <c r="B1994" s="236"/>
      <c r="C1994" s="307" t="s">
        <v>1420</v>
      </c>
      <c r="D1994" s="308" t="s">
        <v>9949</v>
      </c>
      <c r="E1994" s="305" t="s">
        <v>9950</v>
      </c>
      <c r="F1994" s="309" t="s">
        <v>9951</v>
      </c>
      <c r="G1994" s="236"/>
      <c r="H1994" s="307" t="s">
        <v>1420</v>
      </c>
      <c r="I1994" s="237"/>
      <c r="J1994" s="237"/>
      <c r="K1994" s="310" t="s">
        <v>9948</v>
      </c>
      <c r="L1994" s="237"/>
      <c r="M1994" s="237"/>
      <c r="N1994" s="237"/>
      <c r="O1994" s="237"/>
      <c r="P1994" s="237"/>
      <c r="Q1994" s="237"/>
      <c r="R1994" s="237"/>
      <c r="S1994" s="237"/>
      <c r="T1994" s="237"/>
      <c r="U1994" s="237"/>
      <c r="V1994" s="237"/>
      <c r="W1994" s="237"/>
      <c r="X1994" s="237"/>
      <c r="Y1994" s="237"/>
      <c r="Z1994" s="237"/>
    </row>
    <row r="1995">
      <c r="A1995" s="305">
        <v>1994.0</v>
      </c>
      <c r="B1995" s="306">
        <v>2.1232252E7</v>
      </c>
      <c r="C1995" s="307" t="s">
        <v>1420</v>
      </c>
      <c r="D1995" s="308" t="s">
        <v>9935</v>
      </c>
      <c r="E1995" s="305" t="s">
        <v>9936</v>
      </c>
      <c r="F1995" s="309" t="s">
        <v>9937</v>
      </c>
      <c r="G1995" s="236"/>
      <c r="H1995" s="307" t="s">
        <v>1420</v>
      </c>
      <c r="I1995" s="237"/>
      <c r="J1995" s="237"/>
      <c r="K1995" s="310" t="s">
        <v>9934</v>
      </c>
      <c r="L1995" s="237"/>
      <c r="M1995" s="237"/>
      <c r="N1995" s="237"/>
      <c r="O1995" s="237"/>
      <c r="P1995" s="237"/>
      <c r="Q1995" s="237"/>
      <c r="R1995" s="237"/>
      <c r="S1995" s="237"/>
      <c r="T1995" s="237"/>
      <c r="U1995" s="237"/>
      <c r="V1995" s="237"/>
      <c r="W1995" s="237"/>
      <c r="X1995" s="237"/>
      <c r="Y1995" s="237"/>
      <c r="Z1995" s="237"/>
    </row>
    <row r="1996">
      <c r="A1996" s="305">
        <v>1995.0</v>
      </c>
      <c r="B1996" s="306">
        <v>2.1111052E7</v>
      </c>
      <c r="C1996" s="307" t="s">
        <v>1420</v>
      </c>
      <c r="D1996" s="308" t="s">
        <v>9995</v>
      </c>
      <c r="E1996" s="305" t="s">
        <v>9996</v>
      </c>
      <c r="F1996" s="309" t="s">
        <v>9997</v>
      </c>
      <c r="G1996" s="236"/>
      <c r="H1996" s="307" t="s">
        <v>1420</v>
      </c>
      <c r="I1996" s="237"/>
      <c r="J1996" s="237"/>
      <c r="K1996" s="310" t="s">
        <v>9994</v>
      </c>
      <c r="L1996" s="237"/>
      <c r="M1996" s="237"/>
      <c r="N1996" s="237"/>
      <c r="O1996" s="237"/>
      <c r="P1996" s="237"/>
      <c r="Q1996" s="237"/>
      <c r="R1996" s="237"/>
      <c r="S1996" s="237"/>
      <c r="T1996" s="237"/>
      <c r="U1996" s="237"/>
      <c r="V1996" s="237"/>
      <c r="W1996" s="237"/>
      <c r="X1996" s="237"/>
      <c r="Y1996" s="237"/>
      <c r="Z1996" s="237"/>
    </row>
    <row r="1997">
      <c r="A1997" s="305">
        <v>1996.0</v>
      </c>
      <c r="B1997" s="306">
        <v>2.1630152E7</v>
      </c>
      <c r="C1997" s="307" t="s">
        <v>1420</v>
      </c>
      <c r="D1997" s="308" t="s">
        <v>10000</v>
      </c>
      <c r="E1997" s="305" t="s">
        <v>10001</v>
      </c>
      <c r="F1997" s="309" t="s">
        <v>10002</v>
      </c>
      <c r="G1997" s="236"/>
      <c r="H1997" s="307" t="s">
        <v>1420</v>
      </c>
      <c r="I1997" s="237"/>
      <c r="J1997" s="237"/>
      <c r="K1997" s="310" t="s">
        <v>9999</v>
      </c>
      <c r="L1997" s="237"/>
      <c r="M1997" s="237"/>
      <c r="N1997" s="237"/>
      <c r="O1997" s="237"/>
      <c r="P1997" s="237"/>
      <c r="Q1997" s="237"/>
      <c r="R1997" s="237"/>
      <c r="S1997" s="237"/>
      <c r="T1997" s="237"/>
      <c r="U1997" s="237"/>
      <c r="V1997" s="237"/>
      <c r="W1997" s="237"/>
      <c r="X1997" s="237"/>
      <c r="Y1997" s="237"/>
      <c r="Z1997" s="237"/>
    </row>
    <row r="1998">
      <c r="A1998" s="305">
        <v>1997.0</v>
      </c>
      <c r="B1998" s="306">
        <v>2.1239152E7</v>
      </c>
      <c r="C1998" s="307" t="s">
        <v>1420</v>
      </c>
      <c r="D1998" s="308" t="s">
        <v>9990</v>
      </c>
      <c r="E1998" s="305" t="s">
        <v>9991</v>
      </c>
      <c r="F1998" s="309" t="s">
        <v>9992</v>
      </c>
      <c r="G1998" s="236"/>
      <c r="H1998" s="307" t="s">
        <v>1420</v>
      </c>
      <c r="I1998" s="237"/>
      <c r="J1998" s="237"/>
      <c r="K1998" s="310" t="s">
        <v>9989</v>
      </c>
      <c r="L1998" s="237"/>
      <c r="M1998" s="237"/>
      <c r="N1998" s="237"/>
      <c r="O1998" s="237"/>
      <c r="P1998" s="237"/>
      <c r="Q1998" s="237"/>
      <c r="R1998" s="237"/>
      <c r="S1998" s="237"/>
      <c r="T1998" s="237"/>
      <c r="U1998" s="237"/>
      <c r="V1998" s="237"/>
      <c r="W1998" s="237"/>
      <c r="X1998" s="237"/>
      <c r="Y1998" s="237"/>
      <c r="Z1998" s="237"/>
    </row>
    <row r="1999">
      <c r="A1999" s="305">
        <v>1998.0</v>
      </c>
      <c r="B1999" s="306">
        <v>2.1239052E7</v>
      </c>
      <c r="C1999" s="307" t="s">
        <v>1420</v>
      </c>
      <c r="D1999" s="308" t="s">
        <v>10031</v>
      </c>
      <c r="E1999" s="305" t="s">
        <v>10032</v>
      </c>
      <c r="F1999" s="309" t="s">
        <v>10033</v>
      </c>
      <c r="G1999" s="236"/>
      <c r="H1999" s="307" t="s">
        <v>1420</v>
      </c>
      <c r="I1999" s="237"/>
      <c r="J1999" s="237"/>
      <c r="K1999" s="310" t="s">
        <v>10030</v>
      </c>
      <c r="L1999" s="237"/>
      <c r="M1999" s="237"/>
      <c r="N1999" s="237"/>
      <c r="O1999" s="237"/>
      <c r="P1999" s="237"/>
      <c r="Q1999" s="237"/>
      <c r="R1999" s="237"/>
      <c r="S1999" s="237"/>
      <c r="T1999" s="237"/>
      <c r="U1999" s="237"/>
      <c r="V1999" s="237"/>
      <c r="W1999" s="237"/>
      <c r="X1999" s="237"/>
      <c r="Y1999" s="237"/>
      <c r="Z1999" s="237"/>
    </row>
    <row r="2000">
      <c r="A2000" s="305">
        <v>1999.0</v>
      </c>
      <c r="B2000" s="236"/>
      <c r="C2000" s="307" t="s">
        <v>1420</v>
      </c>
      <c r="D2000" s="308" t="s">
        <v>10035</v>
      </c>
      <c r="E2000" s="305" t="s">
        <v>10036</v>
      </c>
      <c r="F2000" s="309" t="s">
        <v>10037</v>
      </c>
      <c r="G2000" s="236"/>
      <c r="H2000" s="307" t="s">
        <v>1420</v>
      </c>
      <c r="I2000" s="237"/>
      <c r="J2000" s="237"/>
      <c r="K2000" s="310" t="s">
        <v>10034</v>
      </c>
      <c r="L2000" s="237"/>
      <c r="M2000" s="237"/>
      <c r="N2000" s="237"/>
      <c r="O2000" s="237"/>
      <c r="P2000" s="237"/>
      <c r="Q2000" s="237"/>
      <c r="R2000" s="237"/>
      <c r="S2000" s="237"/>
      <c r="T2000" s="237"/>
      <c r="U2000" s="237"/>
      <c r="V2000" s="237"/>
      <c r="W2000" s="237"/>
      <c r="X2000" s="237"/>
      <c r="Y2000" s="237"/>
      <c r="Z2000" s="237"/>
    </row>
    <row r="2001">
      <c r="A2001" s="305">
        <v>2000.0</v>
      </c>
      <c r="B2001" s="306">
        <v>2.5200152E7</v>
      </c>
      <c r="C2001" s="307" t="s">
        <v>1420</v>
      </c>
      <c r="D2001" s="308" t="s">
        <v>10061</v>
      </c>
      <c r="E2001" s="305" t="s">
        <v>10062</v>
      </c>
      <c r="F2001" s="309" t="s">
        <v>10063</v>
      </c>
      <c r="G2001" s="236"/>
      <c r="H2001" s="307" t="s">
        <v>1420</v>
      </c>
      <c r="I2001" s="237"/>
      <c r="J2001" s="237"/>
      <c r="K2001" s="310" t="s">
        <v>10060</v>
      </c>
      <c r="L2001" s="237"/>
      <c r="M2001" s="237"/>
      <c r="N2001" s="237"/>
      <c r="O2001" s="237"/>
      <c r="P2001" s="237"/>
      <c r="Q2001" s="237"/>
      <c r="R2001" s="237"/>
      <c r="S2001" s="237"/>
      <c r="T2001" s="237"/>
      <c r="U2001" s="237"/>
      <c r="V2001" s="237"/>
      <c r="W2001" s="237"/>
      <c r="X2001" s="237"/>
      <c r="Y2001" s="237"/>
      <c r="Z2001" s="237"/>
    </row>
    <row r="2002">
      <c r="A2002" s="305">
        <v>2001.0</v>
      </c>
      <c r="B2002" s="236"/>
      <c r="C2002" s="307" t="s">
        <v>1420</v>
      </c>
      <c r="D2002" s="308" t="s">
        <v>10056</v>
      </c>
      <c r="E2002" s="305" t="s">
        <v>10057</v>
      </c>
      <c r="F2002" s="309" t="s">
        <v>10058</v>
      </c>
      <c r="G2002" s="236"/>
      <c r="H2002" s="307" t="s">
        <v>1420</v>
      </c>
      <c r="I2002" s="237"/>
      <c r="J2002" s="237"/>
      <c r="K2002" s="310" t="s">
        <v>10055</v>
      </c>
      <c r="L2002" s="237"/>
      <c r="M2002" s="237"/>
      <c r="N2002" s="237"/>
      <c r="O2002" s="237"/>
      <c r="P2002" s="237"/>
      <c r="Q2002" s="237"/>
      <c r="R2002" s="237"/>
      <c r="S2002" s="237"/>
      <c r="T2002" s="237"/>
      <c r="U2002" s="237"/>
      <c r="V2002" s="237"/>
      <c r="W2002" s="237"/>
      <c r="X2002" s="237"/>
      <c r="Y2002" s="237"/>
      <c r="Z2002" s="237"/>
    </row>
    <row r="2003">
      <c r="A2003" s="305">
        <v>2002.0</v>
      </c>
      <c r="B2003" s="306" t="s">
        <v>7162</v>
      </c>
      <c r="C2003" s="307" t="s">
        <v>1420</v>
      </c>
      <c r="D2003" s="308" t="s">
        <v>7164</v>
      </c>
      <c r="E2003" s="305" t="s">
        <v>7102</v>
      </c>
      <c r="F2003" s="309" t="s">
        <v>7165</v>
      </c>
      <c r="G2003" s="236"/>
      <c r="H2003" s="307" t="s">
        <v>1420</v>
      </c>
      <c r="I2003" s="237"/>
      <c r="J2003" s="237"/>
      <c r="K2003" s="310" t="s">
        <v>7163</v>
      </c>
      <c r="L2003" s="237"/>
      <c r="M2003" s="237"/>
      <c r="N2003" s="237"/>
      <c r="O2003" s="237"/>
      <c r="P2003" s="237"/>
      <c r="Q2003" s="237"/>
      <c r="R2003" s="237"/>
      <c r="S2003" s="237"/>
      <c r="T2003" s="237"/>
      <c r="U2003" s="237"/>
      <c r="V2003" s="237"/>
      <c r="W2003" s="237"/>
      <c r="X2003" s="237"/>
      <c r="Y2003" s="237"/>
      <c r="Z2003" s="237"/>
    </row>
    <row r="2004">
      <c r="A2004" s="305">
        <v>2003.0</v>
      </c>
      <c r="B2004" s="306">
        <v>1069015.0</v>
      </c>
      <c r="C2004" s="307" t="s">
        <v>1420</v>
      </c>
      <c r="D2004" s="308" t="s">
        <v>7118</v>
      </c>
      <c r="E2004" s="305" t="s">
        <v>7119</v>
      </c>
      <c r="F2004" s="309" t="s">
        <v>7120</v>
      </c>
      <c r="G2004" s="236"/>
      <c r="H2004" s="307" t="s">
        <v>1420</v>
      </c>
      <c r="I2004" s="237"/>
      <c r="J2004" s="237"/>
      <c r="K2004" s="310" t="s">
        <v>7117</v>
      </c>
      <c r="L2004" s="237"/>
      <c r="M2004" s="237"/>
      <c r="N2004" s="237"/>
      <c r="O2004" s="237"/>
      <c r="P2004" s="237"/>
      <c r="Q2004" s="237"/>
      <c r="R2004" s="237"/>
      <c r="S2004" s="237"/>
      <c r="T2004" s="237"/>
      <c r="U2004" s="237"/>
      <c r="V2004" s="237"/>
      <c r="W2004" s="237"/>
      <c r="X2004" s="237"/>
      <c r="Y2004" s="237"/>
      <c r="Z2004" s="237"/>
    </row>
    <row r="2005">
      <c r="A2005" s="305">
        <v>2004.0</v>
      </c>
      <c r="B2005" s="306">
        <v>1069010.0</v>
      </c>
      <c r="C2005" s="307" t="s">
        <v>1420</v>
      </c>
      <c r="D2005" s="308" t="s">
        <v>7123</v>
      </c>
      <c r="E2005" s="305" t="s">
        <v>7124</v>
      </c>
      <c r="F2005" s="309" t="s">
        <v>7125</v>
      </c>
      <c r="G2005" s="236"/>
      <c r="H2005" s="307" t="s">
        <v>1420</v>
      </c>
      <c r="I2005" s="237"/>
      <c r="J2005" s="237"/>
      <c r="K2005" s="310" t="s">
        <v>7122</v>
      </c>
      <c r="L2005" s="237"/>
      <c r="M2005" s="237"/>
      <c r="N2005" s="237"/>
      <c r="O2005" s="237"/>
      <c r="P2005" s="237"/>
      <c r="Q2005" s="237"/>
      <c r="R2005" s="237"/>
      <c r="S2005" s="237"/>
      <c r="T2005" s="237"/>
      <c r="U2005" s="237"/>
      <c r="V2005" s="237"/>
      <c r="W2005" s="237"/>
      <c r="X2005" s="237"/>
      <c r="Y2005" s="237"/>
      <c r="Z2005" s="237"/>
    </row>
    <row r="2006">
      <c r="A2006" s="305">
        <v>2005.0</v>
      </c>
      <c r="B2006" s="306">
        <v>1071820.0</v>
      </c>
      <c r="C2006" s="307" t="s">
        <v>1420</v>
      </c>
      <c r="D2006" s="308" t="s">
        <v>7150</v>
      </c>
      <c r="E2006" s="305" t="s">
        <v>7151</v>
      </c>
      <c r="F2006" s="309" t="s">
        <v>7152</v>
      </c>
      <c r="G2006" s="236"/>
      <c r="H2006" s="307" t="s">
        <v>1420</v>
      </c>
      <c r="I2006" s="237"/>
      <c r="J2006" s="237"/>
      <c r="K2006" s="310" t="s">
        <v>7149</v>
      </c>
      <c r="L2006" s="237"/>
      <c r="M2006" s="237"/>
      <c r="N2006" s="237"/>
      <c r="O2006" s="237"/>
      <c r="P2006" s="237"/>
      <c r="Q2006" s="237"/>
      <c r="R2006" s="237"/>
      <c r="S2006" s="237"/>
      <c r="T2006" s="237"/>
      <c r="U2006" s="237"/>
      <c r="V2006" s="237"/>
      <c r="W2006" s="237"/>
      <c r="X2006" s="237"/>
      <c r="Y2006" s="237"/>
      <c r="Z2006" s="237"/>
    </row>
    <row r="2007">
      <c r="A2007" s="305">
        <v>2006.0</v>
      </c>
      <c r="B2007" s="306">
        <v>1071810.0</v>
      </c>
      <c r="C2007" s="307" t="s">
        <v>1420</v>
      </c>
      <c r="D2007" s="308" t="s">
        <v>7140</v>
      </c>
      <c r="E2007" s="305" t="s">
        <v>7141</v>
      </c>
      <c r="F2007" s="309" t="s">
        <v>7142</v>
      </c>
      <c r="G2007" s="236"/>
      <c r="H2007" s="307" t="s">
        <v>1420</v>
      </c>
      <c r="I2007" s="237"/>
      <c r="J2007" s="237"/>
      <c r="K2007" s="310" t="s">
        <v>7139</v>
      </c>
      <c r="L2007" s="237"/>
      <c r="M2007" s="237"/>
      <c r="N2007" s="237"/>
      <c r="O2007" s="237"/>
      <c r="P2007" s="237"/>
      <c r="Q2007" s="237"/>
      <c r="R2007" s="237"/>
      <c r="S2007" s="237"/>
      <c r="T2007" s="237"/>
      <c r="U2007" s="237"/>
      <c r="V2007" s="237"/>
      <c r="W2007" s="237"/>
      <c r="X2007" s="237"/>
      <c r="Y2007" s="237"/>
      <c r="Z2007" s="237"/>
    </row>
    <row r="2008">
      <c r="A2008" s="305">
        <v>2007.0</v>
      </c>
      <c r="B2008" s="306">
        <v>1071800.0</v>
      </c>
      <c r="C2008" s="307" t="s">
        <v>1420</v>
      </c>
      <c r="D2008" s="308" t="s">
        <v>7145</v>
      </c>
      <c r="E2008" s="305" t="s">
        <v>7146</v>
      </c>
      <c r="F2008" s="309" t="s">
        <v>7147</v>
      </c>
      <c r="G2008" s="236"/>
      <c r="H2008" s="307" t="s">
        <v>1420</v>
      </c>
      <c r="I2008" s="237"/>
      <c r="J2008" s="237"/>
      <c r="K2008" s="310" t="s">
        <v>7144</v>
      </c>
      <c r="L2008" s="237"/>
      <c r="M2008" s="237"/>
      <c r="N2008" s="237"/>
      <c r="O2008" s="237"/>
      <c r="P2008" s="237"/>
      <c r="Q2008" s="237"/>
      <c r="R2008" s="237"/>
      <c r="S2008" s="237"/>
      <c r="T2008" s="237"/>
      <c r="U2008" s="237"/>
      <c r="V2008" s="237"/>
      <c r="W2008" s="237"/>
      <c r="X2008" s="237"/>
      <c r="Y2008" s="237"/>
      <c r="Z2008" s="237"/>
    </row>
    <row r="2009">
      <c r="A2009" s="305">
        <v>2008.0</v>
      </c>
      <c r="B2009" s="236"/>
      <c r="C2009" s="307" t="s">
        <v>1420</v>
      </c>
      <c r="D2009" s="308" t="s">
        <v>6693</v>
      </c>
      <c r="E2009" s="305" t="s">
        <v>6694</v>
      </c>
      <c r="F2009" s="309" t="s">
        <v>6695</v>
      </c>
      <c r="G2009" s="236"/>
      <c r="H2009" s="307" t="s">
        <v>1420</v>
      </c>
      <c r="I2009" s="237"/>
      <c r="J2009" s="237"/>
      <c r="K2009" s="310" t="s">
        <v>6692</v>
      </c>
      <c r="L2009" s="237"/>
      <c r="M2009" s="237"/>
      <c r="N2009" s="237"/>
      <c r="O2009" s="237"/>
      <c r="P2009" s="237"/>
      <c r="Q2009" s="237"/>
      <c r="R2009" s="237"/>
      <c r="S2009" s="237"/>
      <c r="T2009" s="237"/>
      <c r="U2009" s="237"/>
      <c r="V2009" s="237"/>
      <c r="W2009" s="237"/>
      <c r="X2009" s="237"/>
      <c r="Y2009" s="237"/>
      <c r="Z2009" s="237"/>
    </row>
    <row r="2010">
      <c r="A2010" s="305">
        <v>2009.0</v>
      </c>
      <c r="B2010" s="306" t="s">
        <v>6705</v>
      </c>
      <c r="C2010" s="307" t="s">
        <v>1420</v>
      </c>
      <c r="D2010" s="308" t="s">
        <v>6707</v>
      </c>
      <c r="E2010" s="305" t="s">
        <v>6708</v>
      </c>
      <c r="F2010" s="309" t="s">
        <v>6709</v>
      </c>
      <c r="G2010" s="236"/>
      <c r="H2010" s="307" t="s">
        <v>1420</v>
      </c>
      <c r="I2010" s="237"/>
      <c r="J2010" s="237"/>
      <c r="K2010" s="310" t="s">
        <v>6706</v>
      </c>
      <c r="L2010" s="237"/>
      <c r="M2010" s="237"/>
      <c r="N2010" s="237"/>
      <c r="O2010" s="237"/>
      <c r="P2010" s="237"/>
      <c r="Q2010" s="237"/>
      <c r="R2010" s="237"/>
      <c r="S2010" s="237"/>
      <c r="T2010" s="237"/>
      <c r="U2010" s="237"/>
      <c r="V2010" s="237"/>
      <c r="W2010" s="237"/>
      <c r="X2010" s="237"/>
      <c r="Y2010" s="237"/>
      <c r="Z2010" s="237"/>
    </row>
    <row r="2011">
      <c r="A2011" s="305">
        <v>2010.0</v>
      </c>
      <c r="B2011" s="236"/>
      <c r="C2011" s="307" t="s">
        <v>1420</v>
      </c>
      <c r="D2011" s="308" t="s">
        <v>6702</v>
      </c>
      <c r="E2011" s="305" t="s">
        <v>6703</v>
      </c>
      <c r="F2011" s="309" t="s">
        <v>6704</v>
      </c>
      <c r="G2011" s="236"/>
      <c r="H2011" s="307" t="s">
        <v>1420</v>
      </c>
      <c r="I2011" s="237"/>
      <c r="J2011" s="237"/>
      <c r="K2011" s="310" t="s">
        <v>6701</v>
      </c>
      <c r="L2011" s="237"/>
      <c r="M2011" s="237"/>
      <c r="N2011" s="237"/>
      <c r="O2011" s="237"/>
      <c r="P2011" s="237"/>
      <c r="Q2011" s="237"/>
      <c r="R2011" s="237"/>
      <c r="S2011" s="237"/>
      <c r="T2011" s="237"/>
      <c r="U2011" s="237"/>
      <c r="V2011" s="237"/>
      <c r="W2011" s="237"/>
      <c r="X2011" s="237"/>
      <c r="Y2011" s="237"/>
      <c r="Z2011" s="237"/>
    </row>
    <row r="2012">
      <c r="A2012" s="305">
        <v>2011.0</v>
      </c>
      <c r="B2012" s="306" t="s">
        <v>6696</v>
      </c>
      <c r="C2012" s="307" t="s">
        <v>1420</v>
      </c>
      <c r="D2012" s="308" t="s">
        <v>6698</v>
      </c>
      <c r="E2012" s="305" t="s">
        <v>6699</v>
      </c>
      <c r="F2012" s="309" t="s">
        <v>6700</v>
      </c>
      <c r="G2012" s="236"/>
      <c r="H2012" s="307" t="s">
        <v>1420</v>
      </c>
      <c r="I2012" s="237"/>
      <c r="J2012" s="237"/>
      <c r="K2012" s="310" t="s">
        <v>6697</v>
      </c>
      <c r="L2012" s="237"/>
      <c r="M2012" s="237"/>
      <c r="N2012" s="237"/>
      <c r="O2012" s="237"/>
      <c r="P2012" s="237"/>
      <c r="Q2012" s="237"/>
      <c r="R2012" s="237"/>
      <c r="S2012" s="237"/>
      <c r="T2012" s="237"/>
      <c r="U2012" s="237"/>
      <c r="V2012" s="237"/>
      <c r="W2012" s="237"/>
      <c r="X2012" s="237"/>
      <c r="Y2012" s="237"/>
      <c r="Z2012" s="237"/>
    </row>
    <row r="2013">
      <c r="A2013" s="305">
        <v>2012.0</v>
      </c>
      <c r="B2013" s="236"/>
      <c r="C2013" s="307" t="s">
        <v>1420</v>
      </c>
      <c r="D2013" s="308" t="s">
        <v>6685</v>
      </c>
      <c r="E2013" s="305" t="s">
        <v>6686</v>
      </c>
      <c r="F2013" s="309" t="s">
        <v>6687</v>
      </c>
      <c r="G2013" s="236"/>
      <c r="H2013" s="307" t="s">
        <v>1420</v>
      </c>
      <c r="I2013" s="237"/>
      <c r="J2013" s="237"/>
      <c r="K2013" s="310" t="s">
        <v>6684</v>
      </c>
      <c r="L2013" s="237"/>
      <c r="M2013" s="237"/>
      <c r="N2013" s="237"/>
      <c r="O2013" s="237"/>
      <c r="P2013" s="237"/>
      <c r="Q2013" s="237"/>
      <c r="R2013" s="237"/>
      <c r="S2013" s="237"/>
      <c r="T2013" s="237"/>
      <c r="U2013" s="237"/>
      <c r="V2013" s="237"/>
      <c r="W2013" s="237"/>
      <c r="X2013" s="237"/>
      <c r="Y2013" s="237"/>
      <c r="Z2013" s="237"/>
    </row>
    <row r="2014">
      <c r="A2014" s="305">
        <v>2013.0</v>
      </c>
      <c r="B2014" s="236"/>
      <c r="C2014" s="307" t="s">
        <v>1420</v>
      </c>
      <c r="D2014" s="308" t="s">
        <v>6689</v>
      </c>
      <c r="E2014" s="305" t="s">
        <v>6690</v>
      </c>
      <c r="F2014" s="309" t="s">
        <v>6691</v>
      </c>
      <c r="G2014" s="236"/>
      <c r="H2014" s="307" t="s">
        <v>1420</v>
      </c>
      <c r="I2014" s="237"/>
      <c r="J2014" s="237"/>
      <c r="K2014" s="310" t="s">
        <v>6688</v>
      </c>
      <c r="L2014" s="237"/>
      <c r="M2014" s="237"/>
      <c r="N2014" s="237"/>
      <c r="O2014" s="237"/>
      <c r="P2014" s="237"/>
      <c r="Q2014" s="237"/>
      <c r="R2014" s="237"/>
      <c r="S2014" s="237"/>
      <c r="T2014" s="237"/>
      <c r="U2014" s="237"/>
      <c r="V2014" s="237"/>
      <c r="W2014" s="237"/>
      <c r="X2014" s="237"/>
      <c r="Y2014" s="237"/>
      <c r="Z2014" s="237"/>
    </row>
    <row r="2015">
      <c r="A2015" s="305">
        <v>2014.0</v>
      </c>
      <c r="B2015" s="236"/>
      <c r="C2015" s="307" t="s">
        <v>1420</v>
      </c>
      <c r="D2015" s="308" t="s">
        <v>6681</v>
      </c>
      <c r="E2015" s="305" t="s">
        <v>6682</v>
      </c>
      <c r="F2015" s="309" t="s">
        <v>6683</v>
      </c>
      <c r="G2015" s="236"/>
      <c r="H2015" s="307" t="s">
        <v>1420</v>
      </c>
      <c r="I2015" s="237"/>
      <c r="J2015" s="237"/>
      <c r="K2015" s="310" t="s">
        <v>6680</v>
      </c>
      <c r="L2015" s="237"/>
      <c r="M2015" s="237"/>
      <c r="N2015" s="237"/>
      <c r="O2015" s="237"/>
      <c r="P2015" s="237"/>
      <c r="Q2015" s="237"/>
      <c r="R2015" s="237"/>
      <c r="S2015" s="237"/>
      <c r="T2015" s="237"/>
      <c r="U2015" s="237"/>
      <c r="V2015" s="237"/>
      <c r="W2015" s="237"/>
      <c r="X2015" s="237"/>
      <c r="Y2015" s="237"/>
      <c r="Z2015" s="237"/>
    </row>
    <row r="2016">
      <c r="A2016" s="305">
        <v>2015.0</v>
      </c>
      <c r="B2016" s="306" t="s">
        <v>7918</v>
      </c>
      <c r="C2016" s="307" t="s">
        <v>1420</v>
      </c>
      <c r="D2016" s="308" t="s">
        <v>7920</v>
      </c>
      <c r="E2016" s="305" t="s">
        <v>7921</v>
      </c>
      <c r="F2016" s="309" t="s">
        <v>7922</v>
      </c>
      <c r="G2016" s="236"/>
      <c r="H2016" s="307" t="s">
        <v>1420</v>
      </c>
      <c r="I2016" s="237"/>
      <c r="J2016" s="237"/>
      <c r="K2016" s="310" t="s">
        <v>7919</v>
      </c>
      <c r="L2016" s="237"/>
      <c r="M2016" s="237"/>
      <c r="N2016" s="237"/>
      <c r="O2016" s="237"/>
      <c r="P2016" s="237"/>
      <c r="Q2016" s="237"/>
      <c r="R2016" s="237"/>
      <c r="S2016" s="237"/>
      <c r="T2016" s="237"/>
      <c r="U2016" s="237"/>
      <c r="V2016" s="237"/>
      <c r="W2016" s="237"/>
      <c r="X2016" s="237"/>
      <c r="Y2016" s="237"/>
      <c r="Z2016" s="237"/>
    </row>
    <row r="2017">
      <c r="A2017" s="305">
        <v>2016.0</v>
      </c>
      <c r="B2017" s="306" t="s">
        <v>7928</v>
      </c>
      <c r="C2017" s="307" t="s">
        <v>1420</v>
      </c>
      <c r="D2017" s="308" t="s">
        <v>7930</v>
      </c>
      <c r="E2017" s="305" t="s">
        <v>7931</v>
      </c>
      <c r="F2017" s="309" t="s">
        <v>7932</v>
      </c>
      <c r="G2017" s="236"/>
      <c r="H2017" s="307" t="s">
        <v>1420</v>
      </c>
      <c r="I2017" s="237"/>
      <c r="J2017" s="237"/>
      <c r="K2017" s="310" t="s">
        <v>7929</v>
      </c>
      <c r="L2017" s="237"/>
      <c r="M2017" s="237"/>
      <c r="N2017" s="237"/>
      <c r="O2017" s="237"/>
      <c r="P2017" s="237"/>
      <c r="Q2017" s="237"/>
      <c r="R2017" s="237"/>
      <c r="S2017" s="237"/>
      <c r="T2017" s="237"/>
      <c r="U2017" s="237"/>
      <c r="V2017" s="237"/>
      <c r="W2017" s="237"/>
      <c r="X2017" s="237"/>
      <c r="Y2017" s="237"/>
      <c r="Z2017" s="237"/>
    </row>
    <row r="2018">
      <c r="A2018" s="305">
        <v>2017.0</v>
      </c>
      <c r="B2018" s="306" t="s">
        <v>7923</v>
      </c>
      <c r="C2018" s="307" t="s">
        <v>1420</v>
      </c>
      <c r="D2018" s="308" t="s">
        <v>7925</v>
      </c>
      <c r="E2018" s="305" t="s">
        <v>7926</v>
      </c>
      <c r="F2018" s="309" t="s">
        <v>7927</v>
      </c>
      <c r="G2018" s="236"/>
      <c r="H2018" s="307" t="s">
        <v>1420</v>
      </c>
      <c r="I2018" s="237"/>
      <c r="J2018" s="237"/>
      <c r="K2018" s="310" t="s">
        <v>7924</v>
      </c>
      <c r="L2018" s="237"/>
      <c r="M2018" s="237"/>
      <c r="N2018" s="237"/>
      <c r="O2018" s="237"/>
      <c r="P2018" s="237"/>
      <c r="Q2018" s="237"/>
      <c r="R2018" s="237"/>
      <c r="S2018" s="237"/>
      <c r="T2018" s="237"/>
      <c r="U2018" s="237"/>
      <c r="V2018" s="237"/>
      <c r="W2018" s="237"/>
      <c r="X2018" s="237"/>
      <c r="Y2018" s="237"/>
      <c r="Z2018" s="237"/>
    </row>
    <row r="2019">
      <c r="A2019" s="305">
        <v>2018.0</v>
      </c>
      <c r="B2019" s="306" t="s">
        <v>7933</v>
      </c>
      <c r="C2019" s="307" t="s">
        <v>1420</v>
      </c>
      <c r="D2019" s="308" t="s">
        <v>7935</v>
      </c>
      <c r="E2019" s="305" t="s">
        <v>7936</v>
      </c>
      <c r="F2019" s="309" t="s">
        <v>7937</v>
      </c>
      <c r="G2019" s="236"/>
      <c r="H2019" s="307" t="s">
        <v>1420</v>
      </c>
      <c r="I2019" s="237"/>
      <c r="J2019" s="237"/>
      <c r="K2019" s="310" t="s">
        <v>7934</v>
      </c>
      <c r="L2019" s="237"/>
      <c r="M2019" s="237"/>
      <c r="N2019" s="237"/>
      <c r="O2019" s="237"/>
      <c r="P2019" s="237"/>
      <c r="Q2019" s="237"/>
      <c r="R2019" s="237"/>
      <c r="S2019" s="237"/>
      <c r="T2019" s="237"/>
      <c r="U2019" s="237"/>
      <c r="V2019" s="237"/>
      <c r="W2019" s="237"/>
      <c r="X2019" s="237"/>
      <c r="Y2019" s="237"/>
      <c r="Z2019" s="237"/>
    </row>
    <row r="2020">
      <c r="A2020" s="305">
        <v>2019.0</v>
      </c>
      <c r="B2020" s="306" t="s">
        <v>5450</v>
      </c>
      <c r="C2020" s="307" t="s">
        <v>1420</v>
      </c>
      <c r="D2020" s="308" t="s">
        <v>5452</v>
      </c>
      <c r="E2020" s="305" t="s">
        <v>5453</v>
      </c>
      <c r="F2020" s="309" t="s">
        <v>5454</v>
      </c>
      <c r="G2020" s="236"/>
      <c r="H2020" s="307" t="s">
        <v>1420</v>
      </c>
      <c r="I2020" s="237"/>
      <c r="J2020" s="237"/>
      <c r="K2020" s="310" t="s">
        <v>5451</v>
      </c>
      <c r="L2020" s="237"/>
      <c r="M2020" s="237"/>
      <c r="N2020" s="237"/>
      <c r="O2020" s="237"/>
      <c r="P2020" s="237"/>
      <c r="Q2020" s="237"/>
      <c r="R2020" s="237"/>
      <c r="S2020" s="237"/>
      <c r="T2020" s="237"/>
      <c r="U2020" s="237"/>
      <c r="V2020" s="237"/>
      <c r="W2020" s="237"/>
      <c r="X2020" s="237"/>
      <c r="Y2020" s="237"/>
      <c r="Z2020" s="237"/>
    </row>
    <row r="2021">
      <c r="A2021" s="305">
        <v>2020.0</v>
      </c>
      <c r="B2021" s="236"/>
      <c r="C2021" s="307" t="s">
        <v>1420</v>
      </c>
      <c r="D2021" s="308" t="s">
        <v>5860</v>
      </c>
      <c r="E2021" s="305" t="s">
        <v>5861</v>
      </c>
      <c r="F2021" s="309" t="s">
        <v>5862</v>
      </c>
      <c r="G2021" s="236"/>
      <c r="H2021" s="307" t="s">
        <v>1420</v>
      </c>
      <c r="I2021" s="237"/>
      <c r="J2021" s="237"/>
      <c r="K2021" s="310" t="s">
        <v>5859</v>
      </c>
      <c r="L2021" s="237"/>
      <c r="M2021" s="237"/>
      <c r="N2021" s="237"/>
      <c r="O2021" s="237"/>
      <c r="P2021" s="237"/>
      <c r="Q2021" s="237"/>
      <c r="R2021" s="237"/>
      <c r="S2021" s="237"/>
      <c r="T2021" s="237"/>
      <c r="U2021" s="237"/>
      <c r="V2021" s="237"/>
      <c r="W2021" s="237"/>
      <c r="X2021" s="237"/>
      <c r="Y2021" s="237"/>
      <c r="Z2021" s="237"/>
    </row>
    <row r="2022">
      <c r="A2022" s="305">
        <v>2021.0</v>
      </c>
      <c r="B2022" s="236"/>
      <c r="C2022" s="307" t="s">
        <v>1420</v>
      </c>
      <c r="D2022" s="308" t="s">
        <v>5860</v>
      </c>
      <c r="E2022" s="305" t="s">
        <v>5861</v>
      </c>
      <c r="F2022" s="309" t="s">
        <v>5871</v>
      </c>
      <c r="G2022" s="236"/>
      <c r="H2022" s="307" t="s">
        <v>1420</v>
      </c>
      <c r="I2022" s="237"/>
      <c r="J2022" s="237"/>
      <c r="K2022" s="310" t="s">
        <v>5870</v>
      </c>
      <c r="L2022" s="237"/>
      <c r="M2022" s="237"/>
      <c r="N2022" s="237"/>
      <c r="O2022" s="237"/>
      <c r="P2022" s="237"/>
      <c r="Q2022" s="237"/>
      <c r="R2022" s="237"/>
      <c r="S2022" s="237"/>
      <c r="T2022" s="237"/>
      <c r="U2022" s="237"/>
      <c r="V2022" s="237"/>
      <c r="W2022" s="237"/>
      <c r="X2022" s="237"/>
      <c r="Y2022" s="237"/>
      <c r="Z2022" s="237"/>
    </row>
    <row r="2023">
      <c r="A2023" s="305">
        <v>2022.0</v>
      </c>
      <c r="B2023" s="236"/>
      <c r="C2023" s="307" t="s">
        <v>1420</v>
      </c>
      <c r="D2023" s="308" t="s">
        <v>5887</v>
      </c>
      <c r="E2023" s="305" t="s">
        <v>5888</v>
      </c>
      <c r="F2023" s="309" t="s">
        <v>5889</v>
      </c>
      <c r="G2023" s="236"/>
      <c r="H2023" s="307" t="s">
        <v>1420</v>
      </c>
      <c r="I2023" s="237"/>
      <c r="J2023" s="237"/>
      <c r="K2023" s="310" t="s">
        <v>5886</v>
      </c>
      <c r="L2023" s="237"/>
      <c r="M2023" s="237"/>
      <c r="N2023" s="237"/>
      <c r="O2023" s="237"/>
      <c r="P2023" s="237"/>
      <c r="Q2023" s="237"/>
      <c r="R2023" s="237"/>
      <c r="S2023" s="237"/>
      <c r="T2023" s="237"/>
      <c r="U2023" s="237"/>
      <c r="V2023" s="237"/>
      <c r="W2023" s="237"/>
      <c r="X2023" s="237"/>
      <c r="Y2023" s="237"/>
      <c r="Z2023" s="237"/>
    </row>
    <row r="2024">
      <c r="A2024" s="305">
        <v>2023.0</v>
      </c>
      <c r="B2024" s="236"/>
      <c r="C2024" s="307" t="s">
        <v>1420</v>
      </c>
      <c r="D2024" s="308" t="s">
        <v>5873</v>
      </c>
      <c r="E2024" s="305" t="s">
        <v>5874</v>
      </c>
      <c r="F2024" s="309" t="s">
        <v>5875</v>
      </c>
      <c r="G2024" s="236"/>
      <c r="H2024" s="307" t="s">
        <v>1420</v>
      </c>
      <c r="I2024" s="237"/>
      <c r="J2024" s="237"/>
      <c r="K2024" s="310" t="s">
        <v>5872</v>
      </c>
      <c r="L2024" s="237"/>
      <c r="M2024" s="237"/>
      <c r="N2024" s="237"/>
      <c r="O2024" s="237"/>
      <c r="P2024" s="237"/>
      <c r="Q2024" s="237"/>
      <c r="R2024" s="237"/>
      <c r="S2024" s="237"/>
      <c r="T2024" s="237"/>
      <c r="U2024" s="237"/>
      <c r="V2024" s="237"/>
      <c r="W2024" s="237"/>
      <c r="X2024" s="237"/>
      <c r="Y2024" s="237"/>
      <c r="Z2024" s="237"/>
    </row>
    <row r="2025">
      <c r="A2025" s="305">
        <v>2024.0</v>
      </c>
      <c r="B2025" s="306" t="s">
        <v>5445</v>
      </c>
      <c r="C2025" s="307" t="s">
        <v>1420</v>
      </c>
      <c r="D2025" s="308" t="s">
        <v>5447</v>
      </c>
      <c r="E2025" s="305" t="s">
        <v>5448</v>
      </c>
      <c r="F2025" s="309" t="s">
        <v>5449</v>
      </c>
      <c r="G2025" s="236"/>
      <c r="H2025" s="307" t="s">
        <v>1420</v>
      </c>
      <c r="I2025" s="237"/>
      <c r="J2025" s="237"/>
      <c r="K2025" s="310" t="s">
        <v>5446</v>
      </c>
      <c r="L2025" s="237"/>
      <c r="M2025" s="237"/>
      <c r="N2025" s="237"/>
      <c r="O2025" s="237"/>
      <c r="P2025" s="237"/>
      <c r="Q2025" s="237"/>
      <c r="R2025" s="237"/>
      <c r="S2025" s="237"/>
      <c r="T2025" s="237"/>
      <c r="U2025" s="237"/>
      <c r="V2025" s="237"/>
      <c r="W2025" s="237"/>
      <c r="X2025" s="237"/>
      <c r="Y2025" s="237"/>
      <c r="Z2025" s="237"/>
    </row>
    <row r="2026">
      <c r="A2026" s="305">
        <v>2025.0</v>
      </c>
      <c r="B2026" s="306" t="s">
        <v>5430</v>
      </c>
      <c r="C2026" s="307" t="s">
        <v>1420</v>
      </c>
      <c r="D2026" s="308" t="s">
        <v>5432</v>
      </c>
      <c r="E2026" s="305" t="s">
        <v>5433</v>
      </c>
      <c r="F2026" s="309" t="s">
        <v>5897</v>
      </c>
      <c r="G2026" s="236"/>
      <c r="H2026" s="307" t="s">
        <v>1420</v>
      </c>
      <c r="I2026" s="237"/>
      <c r="J2026" s="237"/>
      <c r="K2026" s="310" t="s">
        <v>5896</v>
      </c>
      <c r="L2026" s="237"/>
      <c r="M2026" s="237"/>
      <c r="N2026" s="237"/>
      <c r="O2026" s="237"/>
      <c r="P2026" s="237"/>
      <c r="Q2026" s="237"/>
      <c r="R2026" s="237"/>
      <c r="S2026" s="237"/>
      <c r="T2026" s="237"/>
      <c r="U2026" s="237"/>
      <c r="V2026" s="237"/>
      <c r="W2026" s="237"/>
      <c r="X2026" s="237"/>
      <c r="Y2026" s="237"/>
      <c r="Z2026" s="237"/>
    </row>
    <row r="2027">
      <c r="A2027" s="305">
        <v>2026.0</v>
      </c>
      <c r="B2027" s="306" t="s">
        <v>6552</v>
      </c>
      <c r="C2027" s="307" t="s">
        <v>1420</v>
      </c>
      <c r="D2027" s="308" t="s">
        <v>6554</v>
      </c>
      <c r="E2027" s="305" t="s">
        <v>6555</v>
      </c>
      <c r="F2027" s="309" t="s">
        <v>6556</v>
      </c>
      <c r="G2027" s="236"/>
      <c r="H2027" s="307" t="s">
        <v>1420</v>
      </c>
      <c r="I2027" s="237"/>
      <c r="J2027" s="237"/>
      <c r="K2027" s="310" t="s">
        <v>6553</v>
      </c>
      <c r="L2027" s="237"/>
      <c r="M2027" s="237"/>
      <c r="N2027" s="237"/>
      <c r="O2027" s="237"/>
      <c r="P2027" s="237"/>
      <c r="Q2027" s="237"/>
      <c r="R2027" s="237"/>
      <c r="S2027" s="237"/>
      <c r="T2027" s="237"/>
      <c r="U2027" s="237"/>
      <c r="V2027" s="237"/>
      <c r="W2027" s="237"/>
      <c r="X2027" s="237"/>
      <c r="Y2027" s="237"/>
      <c r="Z2027" s="237"/>
    </row>
    <row r="2028">
      <c r="A2028" s="305">
        <v>2027.0</v>
      </c>
      <c r="B2028" s="306" t="s">
        <v>5262</v>
      </c>
      <c r="C2028" s="307" t="s">
        <v>1420</v>
      </c>
      <c r="D2028" s="308" t="s">
        <v>5264</v>
      </c>
      <c r="E2028" s="305" t="s">
        <v>5265</v>
      </c>
      <c r="F2028" s="309" t="s">
        <v>5266</v>
      </c>
      <c r="G2028" s="236"/>
      <c r="H2028" s="307" t="s">
        <v>1420</v>
      </c>
      <c r="I2028" s="237"/>
      <c r="J2028" s="237"/>
      <c r="K2028" s="310" t="s">
        <v>5263</v>
      </c>
      <c r="L2028" s="237"/>
      <c r="M2028" s="237"/>
      <c r="N2028" s="237"/>
      <c r="O2028" s="237"/>
      <c r="P2028" s="237"/>
      <c r="Q2028" s="237"/>
      <c r="R2028" s="237"/>
      <c r="S2028" s="237"/>
      <c r="T2028" s="237"/>
      <c r="U2028" s="237"/>
      <c r="V2028" s="237"/>
      <c r="W2028" s="237"/>
      <c r="X2028" s="237"/>
      <c r="Y2028" s="237"/>
      <c r="Z2028" s="237"/>
    </row>
    <row r="2029">
      <c r="A2029" s="305">
        <v>2028.0</v>
      </c>
      <c r="B2029" s="306" t="s">
        <v>5423</v>
      </c>
      <c r="C2029" s="307" t="s">
        <v>1420</v>
      </c>
      <c r="D2029" s="308" t="s">
        <v>5425</v>
      </c>
      <c r="E2029" s="305" t="s">
        <v>5426</v>
      </c>
      <c r="F2029" s="309" t="s">
        <v>5893</v>
      </c>
      <c r="G2029" s="236"/>
      <c r="H2029" s="307" t="s">
        <v>1420</v>
      </c>
      <c r="I2029" s="237"/>
      <c r="J2029" s="237"/>
      <c r="K2029" s="310" t="s">
        <v>5892</v>
      </c>
      <c r="L2029" s="237"/>
      <c r="M2029" s="237"/>
      <c r="N2029" s="237"/>
      <c r="O2029" s="237"/>
      <c r="P2029" s="237"/>
      <c r="Q2029" s="237"/>
      <c r="R2029" s="237"/>
      <c r="S2029" s="237"/>
      <c r="T2029" s="237"/>
      <c r="U2029" s="237"/>
      <c r="V2029" s="237"/>
      <c r="W2029" s="237"/>
      <c r="X2029" s="237"/>
      <c r="Y2029" s="237"/>
      <c r="Z2029" s="237"/>
    </row>
    <row r="2030">
      <c r="A2030" s="305">
        <v>2029.0</v>
      </c>
      <c r="B2030" s="306" t="s">
        <v>5423</v>
      </c>
      <c r="C2030" s="307" t="s">
        <v>1420</v>
      </c>
      <c r="D2030" s="308" t="s">
        <v>5425</v>
      </c>
      <c r="E2030" s="305" t="s">
        <v>5426</v>
      </c>
      <c r="F2030" s="309" t="s">
        <v>6563</v>
      </c>
      <c r="G2030" s="236"/>
      <c r="H2030" s="307" t="s">
        <v>1420</v>
      </c>
      <c r="I2030" s="237"/>
      <c r="J2030" s="237"/>
      <c r="K2030" s="310" t="s">
        <v>6562</v>
      </c>
      <c r="L2030" s="237"/>
      <c r="M2030" s="237"/>
      <c r="N2030" s="237"/>
      <c r="O2030" s="237"/>
      <c r="P2030" s="237"/>
      <c r="Q2030" s="237"/>
      <c r="R2030" s="237"/>
      <c r="S2030" s="237"/>
      <c r="T2030" s="237"/>
      <c r="U2030" s="237"/>
      <c r="V2030" s="237"/>
      <c r="W2030" s="237"/>
      <c r="X2030" s="237"/>
      <c r="Y2030" s="237"/>
      <c r="Z2030" s="237"/>
    </row>
    <row r="2031">
      <c r="A2031" s="305">
        <v>2030.0</v>
      </c>
      <c r="B2031" s="236"/>
      <c r="C2031" s="307" t="s">
        <v>1420</v>
      </c>
      <c r="D2031" s="308" t="s">
        <v>5883</v>
      </c>
      <c r="E2031" s="305" t="s">
        <v>5884</v>
      </c>
      <c r="F2031" s="309" t="s">
        <v>5885</v>
      </c>
      <c r="G2031" s="236"/>
      <c r="H2031" s="307" t="s">
        <v>1420</v>
      </c>
      <c r="I2031" s="237"/>
      <c r="J2031" s="237"/>
      <c r="K2031" s="310" t="s">
        <v>5882</v>
      </c>
      <c r="L2031" s="237"/>
      <c r="M2031" s="237"/>
      <c r="N2031" s="237"/>
      <c r="O2031" s="237"/>
      <c r="P2031" s="237"/>
      <c r="Q2031" s="237"/>
      <c r="R2031" s="237"/>
      <c r="S2031" s="237"/>
      <c r="T2031" s="237"/>
      <c r="U2031" s="237"/>
      <c r="V2031" s="237"/>
      <c r="W2031" s="237"/>
      <c r="X2031" s="237"/>
      <c r="Y2031" s="237"/>
      <c r="Z2031" s="237"/>
    </row>
    <row r="2032">
      <c r="A2032" s="305">
        <v>2031.0</v>
      </c>
      <c r="B2032" s="236"/>
      <c r="C2032" s="307" t="s">
        <v>1420</v>
      </c>
      <c r="D2032" s="308" t="s">
        <v>14652</v>
      </c>
      <c r="E2032" s="305" t="s">
        <v>5280</v>
      </c>
      <c r="F2032" s="309" t="s">
        <v>5290</v>
      </c>
      <c r="G2032" s="236"/>
      <c r="H2032" s="307" t="s">
        <v>1420</v>
      </c>
      <c r="I2032" s="237"/>
      <c r="J2032" s="237"/>
      <c r="K2032" s="310" t="s">
        <v>5289</v>
      </c>
      <c r="L2032" s="237"/>
      <c r="M2032" s="237"/>
      <c r="N2032" s="237"/>
      <c r="O2032" s="237"/>
      <c r="P2032" s="237"/>
      <c r="Q2032" s="237"/>
      <c r="R2032" s="237"/>
      <c r="S2032" s="237"/>
      <c r="T2032" s="237"/>
      <c r="U2032" s="237"/>
      <c r="V2032" s="237"/>
      <c r="W2032" s="237"/>
      <c r="X2032" s="237"/>
      <c r="Y2032" s="237"/>
      <c r="Z2032" s="237"/>
    </row>
    <row r="2033">
      <c r="A2033" s="305">
        <v>2032.0</v>
      </c>
      <c r="B2033" s="236"/>
      <c r="C2033" s="307" t="s">
        <v>1420</v>
      </c>
      <c r="D2033" s="308" t="s">
        <v>14653</v>
      </c>
      <c r="E2033" s="305" t="s">
        <v>5456</v>
      </c>
      <c r="F2033" s="309" t="s">
        <v>5457</v>
      </c>
      <c r="G2033" s="236"/>
      <c r="H2033" s="307" t="s">
        <v>1420</v>
      </c>
      <c r="I2033" s="237"/>
      <c r="J2033" s="237"/>
      <c r="K2033" s="310" t="s">
        <v>5455</v>
      </c>
      <c r="L2033" s="237"/>
      <c r="M2033" s="237"/>
      <c r="N2033" s="237"/>
      <c r="O2033" s="237"/>
      <c r="P2033" s="237"/>
      <c r="Q2033" s="237"/>
      <c r="R2033" s="237"/>
      <c r="S2033" s="237"/>
      <c r="T2033" s="237"/>
      <c r="U2033" s="237"/>
      <c r="V2033" s="237"/>
      <c r="W2033" s="237"/>
      <c r="X2033" s="237"/>
      <c r="Y2033" s="237"/>
      <c r="Z2033" s="237"/>
    </row>
    <row r="2034">
      <c r="A2034" s="305">
        <v>2033.0</v>
      </c>
      <c r="B2034" s="306" t="s">
        <v>3674</v>
      </c>
      <c r="C2034" s="307" t="s">
        <v>1420</v>
      </c>
      <c r="D2034" s="308" t="s">
        <v>14654</v>
      </c>
      <c r="E2034" s="305" t="s">
        <v>3677</v>
      </c>
      <c r="F2034" s="309" t="s">
        <v>3678</v>
      </c>
      <c r="G2034" s="236"/>
      <c r="H2034" s="307" t="s">
        <v>1420</v>
      </c>
      <c r="I2034" s="237"/>
      <c r="J2034" s="237"/>
      <c r="K2034" s="310" t="s">
        <v>3675</v>
      </c>
      <c r="L2034" s="237"/>
      <c r="M2034" s="237"/>
      <c r="N2034" s="237"/>
      <c r="O2034" s="237"/>
      <c r="P2034" s="237"/>
      <c r="Q2034" s="237"/>
      <c r="R2034" s="237"/>
      <c r="S2034" s="237"/>
      <c r="T2034" s="237"/>
      <c r="U2034" s="237"/>
      <c r="V2034" s="237"/>
      <c r="W2034" s="237"/>
      <c r="X2034" s="237"/>
      <c r="Y2034" s="237"/>
      <c r="Z2034" s="237"/>
    </row>
    <row r="2035">
      <c r="A2035" s="305">
        <v>2034.0</v>
      </c>
      <c r="B2035" s="236"/>
      <c r="C2035" s="307" t="s">
        <v>1420</v>
      </c>
      <c r="D2035" s="308" t="s">
        <v>14654</v>
      </c>
      <c r="E2035" s="305" t="s">
        <v>3735</v>
      </c>
      <c r="F2035" s="309" t="s">
        <v>5727</v>
      </c>
      <c r="G2035" s="236"/>
      <c r="H2035" s="307" t="s">
        <v>1420</v>
      </c>
      <c r="I2035" s="237"/>
      <c r="J2035" s="237"/>
      <c r="K2035" s="310" t="s">
        <v>5726</v>
      </c>
      <c r="L2035" s="237"/>
      <c r="M2035" s="237"/>
      <c r="N2035" s="237"/>
      <c r="O2035" s="237"/>
      <c r="P2035" s="237"/>
      <c r="Q2035" s="237"/>
      <c r="R2035" s="237"/>
      <c r="S2035" s="237"/>
      <c r="T2035" s="237"/>
      <c r="U2035" s="237"/>
      <c r="V2035" s="237"/>
      <c r="W2035" s="237"/>
      <c r="X2035" s="237"/>
      <c r="Y2035" s="237"/>
      <c r="Z2035" s="237"/>
    </row>
    <row r="2036">
      <c r="A2036" s="305">
        <v>2035.0</v>
      </c>
      <c r="B2036" s="306">
        <v>170571.0</v>
      </c>
      <c r="C2036" s="307" t="s">
        <v>1420</v>
      </c>
      <c r="D2036" s="308" t="s">
        <v>14654</v>
      </c>
      <c r="E2036" s="305" t="s">
        <v>3906</v>
      </c>
      <c r="F2036" s="309" t="s">
        <v>3907</v>
      </c>
      <c r="G2036" s="236"/>
      <c r="H2036" s="307" t="s">
        <v>1420</v>
      </c>
      <c r="I2036" s="237"/>
      <c r="J2036" s="237"/>
      <c r="K2036" s="310" t="s">
        <v>3904</v>
      </c>
      <c r="L2036" s="237"/>
      <c r="M2036" s="237"/>
      <c r="N2036" s="237"/>
      <c r="O2036" s="237"/>
      <c r="P2036" s="237"/>
      <c r="Q2036" s="237"/>
      <c r="R2036" s="237"/>
      <c r="S2036" s="237"/>
      <c r="T2036" s="237"/>
      <c r="U2036" s="237"/>
      <c r="V2036" s="237"/>
      <c r="W2036" s="237"/>
      <c r="X2036" s="237"/>
      <c r="Y2036" s="237"/>
      <c r="Z2036" s="237"/>
    </row>
    <row r="2037">
      <c r="A2037" s="305">
        <v>2036.0</v>
      </c>
      <c r="B2037" s="306" t="s">
        <v>3968</v>
      </c>
      <c r="C2037" s="307" t="s">
        <v>1420</v>
      </c>
      <c r="D2037" s="308" t="s">
        <v>14654</v>
      </c>
      <c r="E2037" s="305" t="s">
        <v>3971</v>
      </c>
      <c r="F2037" s="309" t="s">
        <v>3972</v>
      </c>
      <c r="G2037" s="236"/>
      <c r="H2037" s="307" t="s">
        <v>1420</v>
      </c>
      <c r="I2037" s="237"/>
      <c r="J2037" s="237"/>
      <c r="K2037" s="310" t="s">
        <v>3969</v>
      </c>
      <c r="L2037" s="237"/>
      <c r="M2037" s="237"/>
      <c r="N2037" s="237"/>
      <c r="O2037" s="237"/>
      <c r="P2037" s="237"/>
      <c r="Q2037" s="237"/>
      <c r="R2037" s="237"/>
      <c r="S2037" s="237"/>
      <c r="T2037" s="237"/>
      <c r="U2037" s="237"/>
      <c r="V2037" s="237"/>
      <c r="W2037" s="237"/>
      <c r="X2037" s="237"/>
      <c r="Y2037" s="237"/>
      <c r="Z2037" s="237"/>
    </row>
    <row r="2038">
      <c r="A2038" s="305">
        <v>2037.0</v>
      </c>
      <c r="B2038" s="236"/>
      <c r="C2038" s="307" t="s">
        <v>1420</v>
      </c>
      <c r="D2038" s="308" t="s">
        <v>14654</v>
      </c>
      <c r="E2038" s="305" t="s">
        <v>5287</v>
      </c>
      <c r="F2038" s="309" t="s">
        <v>5858</v>
      </c>
      <c r="G2038" s="236"/>
      <c r="H2038" s="307" t="s">
        <v>1420</v>
      </c>
      <c r="I2038" s="237"/>
      <c r="J2038" s="237"/>
      <c r="K2038" s="310" t="s">
        <v>5857</v>
      </c>
      <c r="L2038" s="237"/>
      <c r="M2038" s="237"/>
      <c r="N2038" s="237"/>
      <c r="O2038" s="237"/>
      <c r="P2038" s="237"/>
      <c r="Q2038" s="237"/>
      <c r="R2038" s="237"/>
      <c r="S2038" s="237"/>
      <c r="T2038" s="237"/>
      <c r="U2038" s="237"/>
      <c r="V2038" s="237"/>
      <c r="W2038" s="237"/>
      <c r="X2038" s="237"/>
      <c r="Y2038" s="237"/>
      <c r="Z2038" s="237"/>
    </row>
    <row r="2039">
      <c r="A2039" s="305">
        <v>2038.0</v>
      </c>
      <c r="B2039" s="306" t="s">
        <v>5272</v>
      </c>
      <c r="C2039" s="307" t="s">
        <v>1420</v>
      </c>
      <c r="D2039" s="308" t="s">
        <v>5274</v>
      </c>
      <c r="E2039" s="305" t="s">
        <v>5275</v>
      </c>
      <c r="F2039" s="309" t="s">
        <v>5276</v>
      </c>
      <c r="G2039" s="236"/>
      <c r="H2039" s="307" t="s">
        <v>1420</v>
      </c>
      <c r="I2039" s="237"/>
      <c r="J2039" s="237"/>
      <c r="K2039" s="310" t="s">
        <v>5273</v>
      </c>
      <c r="L2039" s="237"/>
      <c r="M2039" s="237"/>
      <c r="N2039" s="237"/>
      <c r="O2039" s="237"/>
      <c r="P2039" s="237"/>
      <c r="Q2039" s="237"/>
      <c r="R2039" s="237"/>
      <c r="S2039" s="237"/>
      <c r="T2039" s="237"/>
      <c r="U2039" s="237"/>
      <c r="V2039" s="237"/>
      <c r="W2039" s="237"/>
      <c r="X2039" s="237"/>
      <c r="Y2039" s="237"/>
      <c r="Z2039" s="237"/>
    </row>
    <row r="2040">
      <c r="A2040" s="305">
        <v>2039.0</v>
      </c>
      <c r="B2040" s="306" t="s">
        <v>5272</v>
      </c>
      <c r="C2040" s="307" t="s">
        <v>1420</v>
      </c>
      <c r="D2040" s="308" t="s">
        <v>5274</v>
      </c>
      <c r="E2040" s="305" t="s">
        <v>5280</v>
      </c>
      <c r="F2040" s="309" t="s">
        <v>5281</v>
      </c>
      <c r="G2040" s="236"/>
      <c r="H2040" s="307" t="s">
        <v>1420</v>
      </c>
      <c r="I2040" s="237"/>
      <c r="J2040" s="237"/>
      <c r="K2040" s="310" t="s">
        <v>5279</v>
      </c>
      <c r="L2040" s="237"/>
      <c r="M2040" s="237"/>
      <c r="N2040" s="237"/>
      <c r="O2040" s="237"/>
      <c r="P2040" s="237"/>
      <c r="Q2040" s="237"/>
      <c r="R2040" s="237"/>
      <c r="S2040" s="237"/>
      <c r="T2040" s="237"/>
      <c r="U2040" s="237"/>
      <c r="V2040" s="237"/>
      <c r="W2040" s="237"/>
      <c r="X2040" s="237"/>
      <c r="Y2040" s="237"/>
      <c r="Z2040" s="237"/>
    </row>
    <row r="2041">
      <c r="A2041" s="305">
        <v>2040.0</v>
      </c>
      <c r="B2041" s="236"/>
      <c r="C2041" s="307" t="s">
        <v>1420</v>
      </c>
      <c r="D2041" s="308" t="s">
        <v>5864</v>
      </c>
      <c r="E2041" s="305" t="s">
        <v>5865</v>
      </c>
      <c r="F2041" s="309" t="s">
        <v>5866</v>
      </c>
      <c r="G2041" s="236"/>
      <c r="H2041" s="307" t="s">
        <v>1420</v>
      </c>
      <c r="I2041" s="237"/>
      <c r="J2041" s="237"/>
      <c r="K2041" s="310" t="s">
        <v>5863</v>
      </c>
      <c r="L2041" s="237"/>
      <c r="M2041" s="237"/>
      <c r="N2041" s="237"/>
      <c r="O2041" s="237"/>
      <c r="P2041" s="237"/>
      <c r="Q2041" s="237"/>
      <c r="R2041" s="237"/>
      <c r="S2041" s="237"/>
      <c r="T2041" s="237"/>
      <c r="U2041" s="237"/>
      <c r="V2041" s="237"/>
      <c r="W2041" s="237"/>
      <c r="X2041" s="237"/>
      <c r="Y2041" s="237"/>
      <c r="Z2041" s="237"/>
    </row>
    <row r="2042">
      <c r="A2042" s="305">
        <v>2041.0</v>
      </c>
      <c r="B2042" s="236"/>
      <c r="C2042" s="307" t="s">
        <v>1420</v>
      </c>
      <c r="D2042" s="308" t="s">
        <v>6118</v>
      </c>
      <c r="E2042" s="305" t="s">
        <v>6119</v>
      </c>
      <c r="F2042" s="309" t="s">
        <v>6121</v>
      </c>
      <c r="G2042" s="236"/>
      <c r="H2042" s="307" t="s">
        <v>1420</v>
      </c>
      <c r="I2042" s="237"/>
      <c r="J2042" s="237"/>
      <c r="K2042" s="310" t="s">
        <v>6120</v>
      </c>
      <c r="L2042" s="237"/>
      <c r="M2042" s="237"/>
      <c r="N2042" s="237"/>
      <c r="O2042" s="237"/>
      <c r="P2042" s="237"/>
      <c r="Q2042" s="237"/>
      <c r="R2042" s="237"/>
      <c r="S2042" s="237"/>
      <c r="T2042" s="237"/>
      <c r="U2042" s="237"/>
      <c r="V2042" s="237"/>
      <c r="W2042" s="237"/>
      <c r="X2042" s="237"/>
      <c r="Y2042" s="237"/>
      <c r="Z2042" s="237"/>
    </row>
    <row r="2043">
      <c r="A2043" s="305">
        <v>2042.0</v>
      </c>
      <c r="B2043" s="236"/>
      <c r="C2043" s="307" t="s">
        <v>1420</v>
      </c>
      <c r="D2043" s="308" t="s">
        <v>6118</v>
      </c>
      <c r="E2043" s="305" t="s">
        <v>6119</v>
      </c>
      <c r="F2043" s="309" t="s">
        <v>6169</v>
      </c>
      <c r="G2043" s="236"/>
      <c r="H2043" s="307" t="s">
        <v>1420</v>
      </c>
      <c r="I2043" s="237"/>
      <c r="J2043" s="237"/>
      <c r="K2043" s="310" t="s">
        <v>6168</v>
      </c>
      <c r="L2043" s="237"/>
      <c r="M2043" s="237"/>
      <c r="N2043" s="237"/>
      <c r="O2043" s="237"/>
      <c r="P2043" s="237"/>
      <c r="Q2043" s="237"/>
      <c r="R2043" s="237"/>
      <c r="S2043" s="237"/>
      <c r="T2043" s="237"/>
      <c r="U2043" s="237"/>
      <c r="V2043" s="237"/>
      <c r="W2043" s="237"/>
      <c r="X2043" s="237"/>
      <c r="Y2043" s="237"/>
      <c r="Z2043" s="237"/>
    </row>
    <row r="2044">
      <c r="A2044" s="305">
        <v>2043.0</v>
      </c>
      <c r="B2044" s="306" t="s">
        <v>5305</v>
      </c>
      <c r="C2044" s="307" t="s">
        <v>1420</v>
      </c>
      <c r="D2044" s="308" t="s">
        <v>5307</v>
      </c>
      <c r="E2044" s="305" t="s">
        <v>5308</v>
      </c>
      <c r="F2044" s="309" t="s">
        <v>5309</v>
      </c>
      <c r="G2044" s="236"/>
      <c r="H2044" s="307" t="s">
        <v>1420</v>
      </c>
      <c r="I2044" s="237"/>
      <c r="J2044" s="237"/>
      <c r="K2044" s="310" t="s">
        <v>5306</v>
      </c>
      <c r="L2044" s="237"/>
      <c r="M2044" s="237"/>
      <c r="N2044" s="237"/>
      <c r="O2044" s="237"/>
      <c r="P2044" s="237"/>
      <c r="Q2044" s="237"/>
      <c r="R2044" s="237"/>
      <c r="S2044" s="237"/>
      <c r="T2044" s="237"/>
      <c r="U2044" s="237"/>
      <c r="V2044" s="237"/>
      <c r="W2044" s="237"/>
      <c r="X2044" s="237"/>
      <c r="Y2044" s="237"/>
      <c r="Z2044" s="237"/>
    </row>
    <row r="2045">
      <c r="A2045" s="305">
        <v>2044.0</v>
      </c>
      <c r="B2045" s="306" t="s">
        <v>5284</v>
      </c>
      <c r="C2045" s="307" t="s">
        <v>1420</v>
      </c>
      <c r="D2045" s="308" t="s">
        <v>5286</v>
      </c>
      <c r="E2045" s="305" t="s">
        <v>5287</v>
      </c>
      <c r="F2045" s="309" t="s">
        <v>5288</v>
      </c>
      <c r="G2045" s="236"/>
      <c r="H2045" s="307" t="s">
        <v>1420</v>
      </c>
      <c r="I2045" s="237"/>
      <c r="J2045" s="237"/>
      <c r="K2045" s="310" t="s">
        <v>5285</v>
      </c>
      <c r="L2045" s="237"/>
      <c r="M2045" s="237"/>
      <c r="N2045" s="237"/>
      <c r="O2045" s="237"/>
      <c r="P2045" s="237"/>
      <c r="Q2045" s="237"/>
      <c r="R2045" s="237"/>
      <c r="S2045" s="237"/>
      <c r="T2045" s="237"/>
      <c r="U2045" s="237"/>
      <c r="V2045" s="237"/>
      <c r="W2045" s="237"/>
      <c r="X2045" s="237"/>
      <c r="Y2045" s="237"/>
      <c r="Z2045" s="237"/>
    </row>
    <row r="2046">
      <c r="A2046" s="305">
        <v>2045.0</v>
      </c>
      <c r="B2046" s="306" t="s">
        <v>6557</v>
      </c>
      <c r="C2046" s="307" t="s">
        <v>1420</v>
      </c>
      <c r="D2046" s="308" t="s">
        <v>6559</v>
      </c>
      <c r="E2046" s="305" t="s">
        <v>6560</v>
      </c>
      <c r="F2046" s="309" t="s">
        <v>6561</v>
      </c>
      <c r="G2046" s="236"/>
      <c r="H2046" s="307" t="s">
        <v>1420</v>
      </c>
      <c r="I2046" s="237"/>
      <c r="J2046" s="237"/>
      <c r="K2046" s="310" t="s">
        <v>6558</v>
      </c>
      <c r="L2046" s="237"/>
      <c r="M2046" s="237"/>
      <c r="N2046" s="237"/>
      <c r="O2046" s="237"/>
      <c r="P2046" s="237"/>
      <c r="Q2046" s="237"/>
      <c r="R2046" s="237"/>
      <c r="S2046" s="237"/>
      <c r="T2046" s="237"/>
      <c r="U2046" s="237"/>
      <c r="V2046" s="237"/>
      <c r="W2046" s="237"/>
      <c r="X2046" s="237"/>
      <c r="Y2046" s="237"/>
      <c r="Z2046" s="237"/>
    </row>
    <row r="2047">
      <c r="A2047" s="305">
        <v>2046.0</v>
      </c>
      <c r="B2047" s="236"/>
      <c r="C2047" s="307" t="s">
        <v>1420</v>
      </c>
      <c r="D2047" s="308" t="s">
        <v>5868</v>
      </c>
      <c r="E2047" s="305" t="s">
        <v>5265</v>
      </c>
      <c r="F2047" s="309" t="s">
        <v>5869</v>
      </c>
      <c r="G2047" s="236"/>
      <c r="H2047" s="307" t="s">
        <v>1420</v>
      </c>
      <c r="I2047" s="237"/>
      <c r="J2047" s="237"/>
      <c r="K2047" s="310" t="s">
        <v>5867</v>
      </c>
      <c r="L2047" s="237"/>
      <c r="M2047" s="237"/>
      <c r="N2047" s="237"/>
      <c r="O2047" s="237"/>
      <c r="P2047" s="237"/>
      <c r="Q2047" s="237"/>
      <c r="R2047" s="237"/>
      <c r="S2047" s="237"/>
      <c r="T2047" s="237"/>
      <c r="U2047" s="237"/>
      <c r="V2047" s="237"/>
      <c r="W2047" s="237"/>
      <c r="X2047" s="237"/>
      <c r="Y2047" s="237"/>
      <c r="Z2047" s="237"/>
    </row>
    <row r="2048">
      <c r="A2048" s="305">
        <v>2047.0</v>
      </c>
      <c r="B2048" s="236"/>
      <c r="C2048" s="307" t="s">
        <v>1420</v>
      </c>
      <c r="D2048" s="308" t="s">
        <v>5868</v>
      </c>
      <c r="E2048" s="305" t="s">
        <v>5877</v>
      </c>
      <c r="F2048" s="309" t="s">
        <v>5878</v>
      </c>
      <c r="G2048" s="236"/>
      <c r="H2048" s="307" t="s">
        <v>1420</v>
      </c>
      <c r="I2048" s="237"/>
      <c r="J2048" s="237"/>
      <c r="K2048" s="310" t="s">
        <v>5876</v>
      </c>
      <c r="L2048" s="237"/>
      <c r="M2048" s="237"/>
      <c r="N2048" s="237"/>
      <c r="O2048" s="237"/>
      <c r="P2048" s="237"/>
      <c r="Q2048" s="237"/>
      <c r="R2048" s="237"/>
      <c r="S2048" s="237"/>
      <c r="T2048" s="237"/>
      <c r="U2048" s="237"/>
      <c r="V2048" s="237"/>
      <c r="W2048" s="237"/>
      <c r="X2048" s="237"/>
      <c r="Y2048" s="237"/>
      <c r="Z2048" s="237"/>
    </row>
    <row r="2049">
      <c r="A2049" s="305">
        <v>2048.0</v>
      </c>
      <c r="B2049" s="306" t="s">
        <v>5301</v>
      </c>
      <c r="C2049" s="307" t="s">
        <v>1420</v>
      </c>
      <c r="D2049" s="308" t="s">
        <v>5303</v>
      </c>
      <c r="E2049" s="305" t="s">
        <v>5265</v>
      </c>
      <c r="F2049" s="309" t="s">
        <v>5304</v>
      </c>
      <c r="G2049" s="236"/>
      <c r="H2049" s="307" t="s">
        <v>1420</v>
      </c>
      <c r="I2049" s="237"/>
      <c r="J2049" s="237"/>
      <c r="K2049" s="310" t="s">
        <v>5302</v>
      </c>
      <c r="L2049" s="237"/>
      <c r="M2049" s="237"/>
      <c r="N2049" s="237"/>
      <c r="O2049" s="237"/>
      <c r="P2049" s="237"/>
      <c r="Q2049" s="237"/>
      <c r="R2049" s="237"/>
      <c r="S2049" s="237"/>
      <c r="T2049" s="237"/>
      <c r="U2049" s="237"/>
      <c r="V2049" s="237"/>
      <c r="W2049" s="237"/>
      <c r="X2049" s="237"/>
      <c r="Y2049" s="237"/>
      <c r="Z2049" s="237"/>
    </row>
    <row r="2050">
      <c r="A2050" s="305">
        <v>2049.0</v>
      </c>
      <c r="B2050" s="306" t="s">
        <v>5438</v>
      </c>
      <c r="C2050" s="307" t="s">
        <v>1420</v>
      </c>
      <c r="D2050" s="308" t="s">
        <v>5440</v>
      </c>
      <c r="E2050" s="305" t="s">
        <v>5441</v>
      </c>
      <c r="F2050" s="309" t="s">
        <v>5459</v>
      </c>
      <c r="G2050" s="236"/>
      <c r="H2050" s="307" t="s">
        <v>1420</v>
      </c>
      <c r="I2050" s="237"/>
      <c r="J2050" s="237"/>
      <c r="K2050" s="310" t="s">
        <v>5458</v>
      </c>
      <c r="L2050" s="237"/>
      <c r="M2050" s="237"/>
      <c r="N2050" s="237"/>
      <c r="O2050" s="237"/>
      <c r="P2050" s="237"/>
      <c r="Q2050" s="237"/>
      <c r="R2050" s="237"/>
      <c r="S2050" s="237"/>
      <c r="T2050" s="237"/>
      <c r="U2050" s="237"/>
      <c r="V2050" s="237"/>
      <c r="W2050" s="237"/>
      <c r="X2050" s="237"/>
      <c r="Y2050" s="237"/>
      <c r="Z2050" s="237"/>
    </row>
    <row r="2051">
      <c r="A2051" s="305">
        <v>2050.0</v>
      </c>
      <c r="B2051" s="306" t="s">
        <v>5267</v>
      </c>
      <c r="C2051" s="307" t="s">
        <v>1420</v>
      </c>
      <c r="D2051" s="308" t="s">
        <v>5269</v>
      </c>
      <c r="E2051" s="305" t="s">
        <v>5270</v>
      </c>
      <c r="F2051" s="309" t="s">
        <v>5271</v>
      </c>
      <c r="G2051" s="236"/>
      <c r="H2051" s="307" t="s">
        <v>1420</v>
      </c>
      <c r="I2051" s="237"/>
      <c r="J2051" s="237"/>
      <c r="K2051" s="310" t="s">
        <v>5268</v>
      </c>
      <c r="L2051" s="237"/>
      <c r="M2051" s="237"/>
      <c r="N2051" s="237"/>
      <c r="O2051" s="237"/>
      <c r="P2051" s="237"/>
      <c r="Q2051" s="237"/>
      <c r="R2051" s="237"/>
      <c r="S2051" s="237"/>
      <c r="T2051" s="237"/>
      <c r="U2051" s="237"/>
      <c r="V2051" s="237"/>
      <c r="W2051" s="237"/>
      <c r="X2051" s="237"/>
      <c r="Y2051" s="237"/>
      <c r="Z2051" s="237"/>
    </row>
    <row r="2052">
      <c r="A2052" s="305">
        <v>2051.0</v>
      </c>
      <c r="B2052" s="306" t="s">
        <v>5267</v>
      </c>
      <c r="C2052" s="307" t="s">
        <v>1420</v>
      </c>
      <c r="D2052" s="308" t="s">
        <v>5269</v>
      </c>
      <c r="E2052" s="305" t="s">
        <v>5270</v>
      </c>
      <c r="F2052" s="309" t="s">
        <v>5278</v>
      </c>
      <c r="G2052" s="236"/>
      <c r="H2052" s="307" t="s">
        <v>1420</v>
      </c>
      <c r="I2052" s="237"/>
      <c r="J2052" s="237"/>
      <c r="K2052" s="310" t="s">
        <v>5277</v>
      </c>
      <c r="L2052" s="237"/>
      <c r="M2052" s="237"/>
      <c r="N2052" s="237"/>
      <c r="O2052" s="237"/>
      <c r="P2052" s="237"/>
      <c r="Q2052" s="237"/>
      <c r="R2052" s="237"/>
      <c r="S2052" s="237"/>
      <c r="T2052" s="237"/>
      <c r="U2052" s="237"/>
      <c r="V2052" s="237"/>
      <c r="W2052" s="237"/>
      <c r="X2052" s="237"/>
      <c r="Y2052" s="237"/>
      <c r="Z2052" s="237"/>
    </row>
    <row r="2053">
      <c r="A2053" s="305">
        <v>2052.0</v>
      </c>
      <c r="B2053" s="306" t="s">
        <v>5267</v>
      </c>
      <c r="C2053" s="307" t="s">
        <v>1420</v>
      </c>
      <c r="D2053" s="308" t="s">
        <v>5269</v>
      </c>
      <c r="E2053" s="305" t="s">
        <v>5270</v>
      </c>
      <c r="F2053" s="309" t="s">
        <v>5283</v>
      </c>
      <c r="G2053" s="236"/>
      <c r="H2053" s="307" t="s">
        <v>1420</v>
      </c>
      <c r="I2053" s="237"/>
      <c r="J2053" s="237"/>
      <c r="K2053" s="310" t="s">
        <v>5282</v>
      </c>
      <c r="L2053" s="237"/>
      <c r="M2053" s="237"/>
      <c r="N2053" s="237"/>
      <c r="O2053" s="237"/>
      <c r="P2053" s="237"/>
      <c r="Q2053" s="237"/>
      <c r="R2053" s="237"/>
      <c r="S2053" s="237"/>
      <c r="T2053" s="237"/>
      <c r="U2053" s="237"/>
      <c r="V2053" s="237"/>
      <c r="W2053" s="237"/>
      <c r="X2053" s="237"/>
      <c r="Y2053" s="237"/>
      <c r="Z2053" s="237"/>
    </row>
    <row r="2054">
      <c r="A2054" s="305">
        <v>2053.0</v>
      </c>
      <c r="B2054" s="306" t="s">
        <v>5427</v>
      </c>
      <c r="C2054" s="307" t="s">
        <v>1420</v>
      </c>
      <c r="D2054" s="308" t="s">
        <v>5429</v>
      </c>
      <c r="E2054" s="305" t="s">
        <v>4542</v>
      </c>
      <c r="F2054" s="309" t="s">
        <v>5895</v>
      </c>
      <c r="G2054" s="236"/>
      <c r="H2054" s="307" t="s">
        <v>1420</v>
      </c>
      <c r="I2054" s="237"/>
      <c r="J2054" s="237"/>
      <c r="K2054" s="310" t="s">
        <v>5894</v>
      </c>
      <c r="L2054" s="237"/>
      <c r="M2054" s="237"/>
      <c r="N2054" s="237"/>
      <c r="O2054" s="237"/>
      <c r="P2054" s="237"/>
      <c r="Q2054" s="237"/>
      <c r="R2054" s="237"/>
      <c r="S2054" s="237"/>
      <c r="T2054" s="237"/>
      <c r="U2054" s="237"/>
      <c r="V2054" s="237"/>
      <c r="W2054" s="237"/>
      <c r="X2054" s="237"/>
      <c r="Y2054" s="237"/>
      <c r="Z2054" s="237"/>
    </row>
    <row r="2055">
      <c r="A2055" s="305">
        <v>2054.0</v>
      </c>
      <c r="B2055" s="306" t="s">
        <v>5427</v>
      </c>
      <c r="C2055" s="307" t="s">
        <v>1420</v>
      </c>
      <c r="D2055" s="308" t="s">
        <v>5429</v>
      </c>
      <c r="E2055" s="305" t="s">
        <v>6565</v>
      </c>
      <c r="F2055" s="309" t="s">
        <v>6566</v>
      </c>
      <c r="G2055" s="236"/>
      <c r="H2055" s="307" t="s">
        <v>1420</v>
      </c>
      <c r="I2055" s="237"/>
      <c r="J2055" s="237"/>
      <c r="K2055" s="310" t="s">
        <v>6564</v>
      </c>
      <c r="L2055" s="237"/>
      <c r="M2055" s="237"/>
      <c r="N2055" s="237"/>
      <c r="O2055" s="237"/>
      <c r="P2055" s="237"/>
      <c r="Q2055" s="237"/>
      <c r="R2055" s="237"/>
      <c r="S2055" s="237"/>
      <c r="T2055" s="237"/>
      <c r="U2055" s="237"/>
      <c r="V2055" s="237"/>
      <c r="W2055" s="237"/>
      <c r="X2055" s="237"/>
      <c r="Y2055" s="237"/>
      <c r="Z2055" s="237"/>
    </row>
    <row r="2056">
      <c r="A2056" s="305">
        <v>2055.0</v>
      </c>
      <c r="B2056" s="306" t="s">
        <v>5291</v>
      </c>
      <c r="C2056" s="307" t="s">
        <v>1420</v>
      </c>
      <c r="D2056" s="308" t="s">
        <v>5293</v>
      </c>
      <c r="E2056" s="305" t="s">
        <v>5294</v>
      </c>
      <c r="F2056" s="309" t="s">
        <v>5295</v>
      </c>
      <c r="G2056" s="236"/>
      <c r="H2056" s="307" t="s">
        <v>1420</v>
      </c>
      <c r="I2056" s="237"/>
      <c r="J2056" s="237"/>
      <c r="K2056" s="310" t="s">
        <v>5292</v>
      </c>
      <c r="L2056" s="237"/>
      <c r="M2056" s="237"/>
      <c r="N2056" s="237"/>
      <c r="O2056" s="237"/>
      <c r="P2056" s="237"/>
      <c r="Q2056" s="237"/>
      <c r="R2056" s="237"/>
      <c r="S2056" s="237"/>
      <c r="T2056" s="237"/>
      <c r="U2056" s="237"/>
      <c r="V2056" s="237"/>
      <c r="W2056" s="237"/>
      <c r="X2056" s="237"/>
      <c r="Y2056" s="237"/>
      <c r="Z2056" s="237"/>
    </row>
    <row r="2057">
      <c r="A2057" s="305">
        <v>2056.0</v>
      </c>
      <c r="B2057" s="306" t="s">
        <v>5291</v>
      </c>
      <c r="C2057" s="307" t="s">
        <v>1420</v>
      </c>
      <c r="D2057" s="308" t="s">
        <v>5293</v>
      </c>
      <c r="E2057" s="305" t="s">
        <v>5880</v>
      </c>
      <c r="F2057" s="309" t="s">
        <v>5881</v>
      </c>
      <c r="G2057" s="236"/>
      <c r="H2057" s="307" t="s">
        <v>1420</v>
      </c>
      <c r="I2057" s="237"/>
      <c r="J2057" s="237"/>
      <c r="K2057" s="310" t="s">
        <v>5879</v>
      </c>
      <c r="L2057" s="237"/>
      <c r="M2057" s="237"/>
      <c r="N2057" s="237"/>
      <c r="O2057" s="237"/>
      <c r="P2057" s="237"/>
      <c r="Q2057" s="237"/>
      <c r="R2057" s="237"/>
      <c r="S2057" s="237"/>
      <c r="T2057" s="237"/>
      <c r="U2057" s="237"/>
      <c r="V2057" s="237"/>
      <c r="W2057" s="237"/>
      <c r="X2057" s="237"/>
      <c r="Y2057" s="237"/>
      <c r="Z2057" s="237"/>
    </row>
    <row r="2058">
      <c r="A2058" s="305">
        <v>2057.0</v>
      </c>
      <c r="B2058" s="236"/>
      <c r="C2058" s="307" t="s">
        <v>1420</v>
      </c>
      <c r="D2058" s="308" t="s">
        <v>6113</v>
      </c>
      <c r="E2058" s="305" t="s">
        <v>6114</v>
      </c>
      <c r="F2058" s="309" t="s">
        <v>6116</v>
      </c>
      <c r="G2058" s="236"/>
      <c r="H2058" s="307" t="s">
        <v>1420</v>
      </c>
      <c r="I2058" s="237"/>
      <c r="J2058" s="237"/>
      <c r="K2058" s="310" t="s">
        <v>6115</v>
      </c>
      <c r="L2058" s="237"/>
      <c r="M2058" s="237"/>
      <c r="N2058" s="237"/>
      <c r="O2058" s="237"/>
      <c r="P2058" s="237"/>
      <c r="Q2058" s="237"/>
      <c r="R2058" s="237"/>
      <c r="S2058" s="237"/>
      <c r="T2058" s="237"/>
      <c r="U2058" s="237"/>
      <c r="V2058" s="237"/>
      <c r="W2058" s="237"/>
      <c r="X2058" s="237"/>
      <c r="Y2058" s="237"/>
      <c r="Z2058" s="237"/>
    </row>
    <row r="2059">
      <c r="A2059" s="305">
        <v>2058.0</v>
      </c>
      <c r="B2059" s="236"/>
      <c r="C2059" s="307" t="s">
        <v>1420</v>
      </c>
      <c r="D2059" s="308" t="s">
        <v>6113</v>
      </c>
      <c r="E2059" s="305" t="s">
        <v>6114</v>
      </c>
      <c r="F2059" s="309" t="s">
        <v>6167</v>
      </c>
      <c r="G2059" s="236"/>
      <c r="H2059" s="307" t="s">
        <v>1420</v>
      </c>
      <c r="I2059" s="237"/>
      <c r="J2059" s="237"/>
      <c r="K2059" s="310" t="s">
        <v>6166</v>
      </c>
      <c r="L2059" s="237"/>
      <c r="M2059" s="237"/>
      <c r="N2059" s="237"/>
      <c r="O2059" s="237"/>
      <c r="P2059" s="237"/>
      <c r="Q2059" s="237"/>
      <c r="R2059" s="237"/>
      <c r="S2059" s="237"/>
      <c r="T2059" s="237"/>
      <c r="U2059" s="237"/>
      <c r="V2059" s="237"/>
      <c r="W2059" s="237"/>
      <c r="X2059" s="237"/>
      <c r="Y2059" s="237"/>
      <c r="Z2059" s="237"/>
    </row>
    <row r="2060">
      <c r="A2060" s="305">
        <v>2059.0</v>
      </c>
      <c r="B2060" s="306" t="s">
        <v>5297</v>
      </c>
      <c r="C2060" s="307" t="s">
        <v>1420</v>
      </c>
      <c r="D2060" s="308" t="s">
        <v>5299</v>
      </c>
      <c r="E2060" s="305" t="s">
        <v>5300</v>
      </c>
      <c r="F2060" s="309" t="s">
        <v>5461</v>
      </c>
      <c r="G2060" s="236"/>
      <c r="H2060" s="307" t="s">
        <v>1420</v>
      </c>
      <c r="I2060" s="237"/>
      <c r="J2060" s="237"/>
      <c r="K2060" s="310" t="s">
        <v>5460</v>
      </c>
      <c r="L2060" s="237"/>
      <c r="M2060" s="237"/>
      <c r="N2060" s="237"/>
      <c r="O2060" s="237"/>
      <c r="P2060" s="237"/>
      <c r="Q2060" s="237"/>
      <c r="R2060" s="237"/>
      <c r="S2060" s="237"/>
      <c r="T2060" s="237"/>
      <c r="U2060" s="237"/>
      <c r="V2060" s="237"/>
      <c r="W2060" s="237"/>
      <c r="X2060" s="237"/>
      <c r="Y2060" s="237"/>
      <c r="Z2060" s="237"/>
    </row>
    <row r="2061">
      <c r="A2061" s="305">
        <v>2060.0</v>
      </c>
      <c r="B2061" s="236"/>
      <c r="C2061" s="307" t="s">
        <v>1420</v>
      </c>
      <c r="D2061" s="308" t="s">
        <v>7135</v>
      </c>
      <c r="E2061" s="305" t="s">
        <v>7136</v>
      </c>
      <c r="F2061" s="309" t="s">
        <v>7137</v>
      </c>
      <c r="G2061" s="236"/>
      <c r="H2061" s="307" t="s">
        <v>1420</v>
      </c>
      <c r="I2061" s="237"/>
      <c r="J2061" s="237"/>
      <c r="K2061" s="310" t="s">
        <v>7134</v>
      </c>
      <c r="L2061" s="237"/>
      <c r="M2061" s="237"/>
      <c r="N2061" s="237"/>
      <c r="O2061" s="237"/>
      <c r="P2061" s="237"/>
      <c r="Q2061" s="237"/>
      <c r="R2061" s="237"/>
      <c r="S2061" s="237"/>
      <c r="T2061" s="237"/>
      <c r="U2061" s="237"/>
      <c r="V2061" s="237"/>
      <c r="W2061" s="237"/>
      <c r="X2061" s="237"/>
      <c r="Y2061" s="237"/>
      <c r="Z2061" s="237"/>
    </row>
    <row r="2062">
      <c r="A2062" s="305">
        <v>2061.0</v>
      </c>
      <c r="B2062" s="306" t="s">
        <v>8887</v>
      </c>
      <c r="C2062" s="307" t="s">
        <v>1420</v>
      </c>
      <c r="D2062" s="308" t="s">
        <v>8889</v>
      </c>
      <c r="E2062" s="305" t="s">
        <v>8890</v>
      </c>
      <c r="F2062" s="236"/>
      <c r="G2062" s="236"/>
      <c r="H2062" s="307" t="s">
        <v>1420</v>
      </c>
      <c r="I2062" s="237"/>
      <c r="J2062" s="237"/>
      <c r="K2062" s="310" t="s">
        <v>8888</v>
      </c>
      <c r="L2062" s="237"/>
      <c r="M2062" s="237"/>
      <c r="N2062" s="237"/>
      <c r="O2062" s="237"/>
      <c r="P2062" s="237"/>
      <c r="Q2062" s="237"/>
      <c r="R2062" s="237"/>
      <c r="S2062" s="237"/>
      <c r="T2062" s="237"/>
      <c r="U2062" s="237"/>
      <c r="V2062" s="237"/>
      <c r="W2062" s="237"/>
      <c r="X2062" s="237"/>
      <c r="Y2062" s="237"/>
      <c r="Z2062" s="237"/>
    </row>
    <row r="2063">
      <c r="A2063" s="305">
        <v>2062.0</v>
      </c>
      <c r="B2063" s="306" t="s">
        <v>8882</v>
      </c>
      <c r="C2063" s="307" t="s">
        <v>1420</v>
      </c>
      <c r="D2063" s="308" t="s">
        <v>8884</v>
      </c>
      <c r="E2063" s="305" t="s">
        <v>8885</v>
      </c>
      <c r="F2063" s="309" t="s">
        <v>8886</v>
      </c>
      <c r="G2063" s="236"/>
      <c r="H2063" s="307" t="s">
        <v>1420</v>
      </c>
      <c r="I2063" s="237"/>
      <c r="J2063" s="237"/>
      <c r="K2063" s="310" t="s">
        <v>8883</v>
      </c>
      <c r="L2063" s="237"/>
      <c r="M2063" s="237"/>
      <c r="N2063" s="237"/>
      <c r="O2063" s="237"/>
      <c r="P2063" s="237"/>
      <c r="Q2063" s="237"/>
      <c r="R2063" s="237"/>
      <c r="S2063" s="237"/>
      <c r="T2063" s="237"/>
      <c r="U2063" s="237"/>
      <c r="V2063" s="237"/>
      <c r="W2063" s="237"/>
      <c r="X2063" s="237"/>
      <c r="Y2063" s="237"/>
      <c r="Z2063" s="237"/>
    </row>
    <row r="2064">
      <c r="A2064" s="305">
        <v>2063.0</v>
      </c>
      <c r="B2064" s="306" t="s">
        <v>8891</v>
      </c>
      <c r="C2064" s="307" t="s">
        <v>1420</v>
      </c>
      <c r="D2064" s="308" t="s">
        <v>8893</v>
      </c>
      <c r="E2064" s="305" t="s">
        <v>8894</v>
      </c>
      <c r="F2064" s="309" t="s">
        <v>8895</v>
      </c>
      <c r="G2064" s="236"/>
      <c r="H2064" s="307" t="s">
        <v>1420</v>
      </c>
      <c r="I2064" s="237"/>
      <c r="J2064" s="237"/>
      <c r="K2064" s="310" t="s">
        <v>8892</v>
      </c>
      <c r="L2064" s="237"/>
      <c r="M2064" s="237"/>
      <c r="N2064" s="237"/>
      <c r="O2064" s="237"/>
      <c r="P2064" s="237"/>
      <c r="Q2064" s="237"/>
      <c r="R2064" s="237"/>
      <c r="S2064" s="237"/>
      <c r="T2064" s="237"/>
      <c r="U2064" s="237"/>
      <c r="V2064" s="237"/>
      <c r="W2064" s="237"/>
      <c r="X2064" s="237"/>
      <c r="Y2064" s="237"/>
      <c r="Z2064" s="237"/>
    </row>
    <row r="2065">
      <c r="A2065" s="305">
        <v>2064.0</v>
      </c>
      <c r="B2065" s="306" t="s">
        <v>8874</v>
      </c>
      <c r="C2065" s="307" t="s">
        <v>1420</v>
      </c>
      <c r="D2065" s="308" t="s">
        <v>8876</v>
      </c>
      <c r="E2065" s="305" t="s">
        <v>8877</v>
      </c>
      <c r="F2065" s="309" t="s">
        <v>8878</v>
      </c>
      <c r="G2065" s="236"/>
      <c r="H2065" s="307" t="s">
        <v>1420</v>
      </c>
      <c r="I2065" s="237"/>
      <c r="J2065" s="237"/>
      <c r="K2065" s="310" t="s">
        <v>8875</v>
      </c>
      <c r="L2065" s="237"/>
      <c r="M2065" s="237"/>
      <c r="N2065" s="237"/>
      <c r="O2065" s="237"/>
      <c r="P2065" s="237"/>
      <c r="Q2065" s="237"/>
      <c r="R2065" s="237"/>
      <c r="S2065" s="237"/>
      <c r="T2065" s="237"/>
      <c r="U2065" s="237"/>
      <c r="V2065" s="237"/>
      <c r="W2065" s="237"/>
      <c r="X2065" s="237"/>
      <c r="Y2065" s="237"/>
      <c r="Z2065" s="237"/>
    </row>
    <row r="2066">
      <c r="A2066" s="305">
        <v>2065.0</v>
      </c>
      <c r="B2066" s="306" t="s">
        <v>8869</v>
      </c>
      <c r="C2066" s="307" t="s">
        <v>1420</v>
      </c>
      <c r="D2066" s="308" t="s">
        <v>8871</v>
      </c>
      <c r="E2066" s="305" t="s">
        <v>8872</v>
      </c>
      <c r="F2066" s="309" t="s">
        <v>8873</v>
      </c>
      <c r="G2066" s="236"/>
      <c r="H2066" s="307" t="s">
        <v>1420</v>
      </c>
      <c r="I2066" s="237"/>
      <c r="J2066" s="237"/>
      <c r="K2066" s="310" t="s">
        <v>8870</v>
      </c>
      <c r="L2066" s="237"/>
      <c r="M2066" s="237"/>
      <c r="N2066" s="237"/>
      <c r="O2066" s="237"/>
      <c r="P2066" s="237"/>
      <c r="Q2066" s="237"/>
      <c r="R2066" s="237"/>
      <c r="S2066" s="237"/>
      <c r="T2066" s="237"/>
      <c r="U2066" s="237"/>
      <c r="V2066" s="237"/>
      <c r="W2066" s="237"/>
      <c r="X2066" s="237"/>
      <c r="Y2066" s="237"/>
      <c r="Z2066" s="237"/>
    </row>
    <row r="2067">
      <c r="A2067" s="305">
        <v>2066.0</v>
      </c>
      <c r="B2067" s="306" t="s">
        <v>8900</v>
      </c>
      <c r="C2067" s="307" t="s">
        <v>1420</v>
      </c>
      <c r="D2067" s="308" t="s">
        <v>8902</v>
      </c>
      <c r="E2067" s="305" t="s">
        <v>8903</v>
      </c>
      <c r="F2067" s="236"/>
      <c r="G2067" s="236"/>
      <c r="H2067" s="307" t="s">
        <v>1420</v>
      </c>
      <c r="I2067" s="237"/>
      <c r="J2067" s="237"/>
      <c r="K2067" s="310" t="s">
        <v>8901</v>
      </c>
      <c r="L2067" s="237"/>
      <c r="M2067" s="237"/>
      <c r="N2067" s="237"/>
      <c r="O2067" s="237"/>
      <c r="P2067" s="237"/>
      <c r="Q2067" s="237"/>
      <c r="R2067" s="237"/>
      <c r="S2067" s="237"/>
      <c r="T2067" s="237"/>
      <c r="U2067" s="237"/>
      <c r="V2067" s="237"/>
      <c r="W2067" s="237"/>
      <c r="X2067" s="237"/>
      <c r="Y2067" s="237"/>
      <c r="Z2067" s="237"/>
    </row>
    <row r="2068">
      <c r="A2068" s="305">
        <v>2067.0</v>
      </c>
      <c r="B2068" s="306" t="s">
        <v>8896</v>
      </c>
      <c r="C2068" s="307" t="s">
        <v>1420</v>
      </c>
      <c r="D2068" s="308" t="s">
        <v>8898</v>
      </c>
      <c r="E2068" s="305" t="s">
        <v>8899</v>
      </c>
      <c r="F2068" s="236"/>
      <c r="G2068" s="236"/>
      <c r="H2068" s="307" t="s">
        <v>1420</v>
      </c>
      <c r="I2068" s="237"/>
      <c r="J2068" s="237"/>
      <c r="K2068" s="310" t="s">
        <v>8897</v>
      </c>
      <c r="L2068" s="237"/>
      <c r="M2068" s="237"/>
      <c r="N2068" s="237"/>
      <c r="O2068" s="237"/>
      <c r="P2068" s="237"/>
      <c r="Q2068" s="237"/>
      <c r="R2068" s="237"/>
      <c r="S2068" s="237"/>
      <c r="T2068" s="237"/>
      <c r="U2068" s="237"/>
      <c r="V2068" s="237"/>
      <c r="W2068" s="237"/>
      <c r="X2068" s="237"/>
      <c r="Y2068" s="237"/>
      <c r="Z2068" s="237"/>
    </row>
    <row r="2069">
      <c r="A2069" s="305">
        <v>2068.0</v>
      </c>
      <c r="B2069" s="306">
        <v>2.1100152E7</v>
      </c>
      <c r="C2069" s="307" t="s">
        <v>1420</v>
      </c>
      <c r="D2069" s="308" t="s">
        <v>10010</v>
      </c>
      <c r="E2069" s="305" t="s">
        <v>10011</v>
      </c>
      <c r="F2069" s="309" t="s">
        <v>10012</v>
      </c>
      <c r="G2069" s="236"/>
      <c r="H2069" s="307" t="s">
        <v>1420</v>
      </c>
      <c r="I2069" s="237"/>
      <c r="J2069" s="237"/>
      <c r="K2069" s="310" t="s">
        <v>10009</v>
      </c>
      <c r="L2069" s="237"/>
      <c r="M2069" s="237"/>
      <c r="N2069" s="237"/>
      <c r="O2069" s="237"/>
      <c r="P2069" s="237"/>
      <c r="Q2069" s="237"/>
      <c r="R2069" s="237"/>
      <c r="S2069" s="237"/>
      <c r="T2069" s="237"/>
      <c r="U2069" s="237"/>
      <c r="V2069" s="237"/>
      <c r="W2069" s="237"/>
      <c r="X2069" s="237"/>
      <c r="Y2069" s="237"/>
      <c r="Z2069" s="237"/>
    </row>
    <row r="2070">
      <c r="A2070" s="305">
        <v>2069.0</v>
      </c>
      <c r="B2070" s="236"/>
      <c r="C2070" s="307" t="s">
        <v>1420</v>
      </c>
      <c r="D2070" s="308" t="s">
        <v>10065</v>
      </c>
      <c r="E2070" s="305" t="s">
        <v>10066</v>
      </c>
      <c r="F2070" s="309" t="s">
        <v>10067</v>
      </c>
      <c r="G2070" s="236"/>
      <c r="H2070" s="307" t="s">
        <v>1420</v>
      </c>
      <c r="I2070" s="237"/>
      <c r="J2070" s="237"/>
      <c r="K2070" s="310" t="s">
        <v>10064</v>
      </c>
      <c r="L2070" s="237"/>
      <c r="M2070" s="237"/>
      <c r="N2070" s="237"/>
      <c r="O2070" s="237"/>
      <c r="P2070" s="237"/>
      <c r="Q2070" s="237"/>
      <c r="R2070" s="237"/>
      <c r="S2070" s="237"/>
      <c r="T2070" s="237"/>
      <c r="U2070" s="237"/>
      <c r="V2070" s="237"/>
      <c r="W2070" s="237"/>
      <c r="X2070" s="237"/>
      <c r="Y2070" s="237"/>
      <c r="Z2070" s="237"/>
    </row>
    <row r="2071">
      <c r="A2071" s="305">
        <v>2070.0</v>
      </c>
      <c r="B2071" s="236"/>
      <c r="C2071" s="307" t="s">
        <v>1420</v>
      </c>
      <c r="D2071" s="308" t="s">
        <v>10069</v>
      </c>
      <c r="E2071" s="305" t="s">
        <v>10070</v>
      </c>
      <c r="F2071" s="309" t="s">
        <v>10071</v>
      </c>
      <c r="G2071" s="236"/>
      <c r="H2071" s="307" t="s">
        <v>1420</v>
      </c>
      <c r="I2071" s="237"/>
      <c r="J2071" s="237"/>
      <c r="K2071" s="310" t="s">
        <v>10068</v>
      </c>
      <c r="L2071" s="237"/>
      <c r="M2071" s="237"/>
      <c r="N2071" s="237"/>
      <c r="O2071" s="237"/>
      <c r="P2071" s="237"/>
      <c r="Q2071" s="237"/>
      <c r="R2071" s="237"/>
      <c r="S2071" s="237"/>
      <c r="T2071" s="237"/>
      <c r="U2071" s="237"/>
      <c r="V2071" s="237"/>
      <c r="W2071" s="237"/>
      <c r="X2071" s="237"/>
      <c r="Y2071" s="237"/>
      <c r="Z2071" s="237"/>
    </row>
    <row r="2072">
      <c r="A2072" s="305">
        <v>2071.0</v>
      </c>
      <c r="B2072" s="306">
        <v>2.1113152E7</v>
      </c>
      <c r="C2072" s="307" t="s">
        <v>1420</v>
      </c>
      <c r="D2072" s="308" t="s">
        <v>10005</v>
      </c>
      <c r="E2072" s="305" t="s">
        <v>10006</v>
      </c>
      <c r="F2072" s="309" t="s">
        <v>10007</v>
      </c>
      <c r="G2072" s="236"/>
      <c r="H2072" s="307" t="s">
        <v>1420</v>
      </c>
      <c r="I2072" s="237"/>
      <c r="J2072" s="237"/>
      <c r="K2072" s="310" t="s">
        <v>10004</v>
      </c>
      <c r="L2072" s="237"/>
      <c r="M2072" s="237"/>
      <c r="N2072" s="237"/>
      <c r="O2072" s="237"/>
      <c r="P2072" s="237"/>
      <c r="Q2072" s="237"/>
      <c r="R2072" s="237"/>
      <c r="S2072" s="237"/>
      <c r="T2072" s="237"/>
      <c r="U2072" s="237"/>
      <c r="V2072" s="237"/>
      <c r="W2072" s="237"/>
      <c r="X2072" s="237"/>
      <c r="Y2072" s="237"/>
      <c r="Z2072" s="237"/>
    </row>
    <row r="2073">
      <c r="A2073" s="305">
        <v>2072.0</v>
      </c>
      <c r="B2073" s="236"/>
      <c r="C2073" s="307" t="s">
        <v>1420</v>
      </c>
      <c r="D2073" s="308" t="s">
        <v>10022</v>
      </c>
      <c r="E2073" s="305" t="s">
        <v>10023</v>
      </c>
      <c r="F2073" s="309" t="s">
        <v>10024</v>
      </c>
      <c r="G2073" s="236"/>
      <c r="H2073" s="307" t="s">
        <v>1420</v>
      </c>
      <c r="I2073" s="237"/>
      <c r="J2073" s="237"/>
      <c r="K2073" s="310" t="s">
        <v>10021</v>
      </c>
      <c r="L2073" s="237"/>
      <c r="M2073" s="237"/>
      <c r="N2073" s="237"/>
      <c r="O2073" s="237"/>
      <c r="P2073" s="237"/>
      <c r="Q2073" s="237"/>
      <c r="R2073" s="237"/>
      <c r="S2073" s="237"/>
      <c r="T2073" s="237"/>
      <c r="U2073" s="237"/>
      <c r="V2073" s="237"/>
      <c r="W2073" s="237"/>
      <c r="X2073" s="237"/>
      <c r="Y2073" s="237"/>
      <c r="Z2073" s="237"/>
    </row>
    <row r="2074">
      <c r="A2074" s="305">
        <v>2073.0</v>
      </c>
      <c r="B2074" s="306">
        <v>2.1231052E7</v>
      </c>
      <c r="C2074" s="307" t="s">
        <v>1420</v>
      </c>
      <c r="D2074" s="308" t="s">
        <v>10018</v>
      </c>
      <c r="E2074" s="305" t="s">
        <v>10019</v>
      </c>
      <c r="F2074" s="309" t="s">
        <v>10020</v>
      </c>
      <c r="G2074" s="236"/>
      <c r="H2074" s="307" t="s">
        <v>1420</v>
      </c>
      <c r="I2074" s="237"/>
      <c r="J2074" s="237"/>
      <c r="K2074" s="310" t="s">
        <v>10017</v>
      </c>
      <c r="L2074" s="237"/>
      <c r="M2074" s="237"/>
      <c r="N2074" s="237"/>
      <c r="O2074" s="237"/>
      <c r="P2074" s="237"/>
      <c r="Q2074" s="237"/>
      <c r="R2074" s="237"/>
      <c r="S2074" s="237"/>
      <c r="T2074" s="237"/>
      <c r="U2074" s="237"/>
      <c r="V2074" s="237"/>
      <c r="W2074" s="237"/>
      <c r="X2074" s="237"/>
      <c r="Y2074" s="237"/>
      <c r="Z2074" s="237"/>
    </row>
    <row r="2075">
      <c r="A2075" s="305">
        <v>2074.0</v>
      </c>
      <c r="B2075" s="236"/>
      <c r="C2075" s="307" t="s">
        <v>1420</v>
      </c>
      <c r="D2075" s="308" t="s">
        <v>10026</v>
      </c>
      <c r="E2075" s="305" t="s">
        <v>10027</v>
      </c>
      <c r="F2075" s="309" t="s">
        <v>10028</v>
      </c>
      <c r="G2075" s="236"/>
      <c r="H2075" s="307" t="s">
        <v>1420</v>
      </c>
      <c r="I2075" s="237"/>
      <c r="J2075" s="237"/>
      <c r="K2075" s="310" t="s">
        <v>10025</v>
      </c>
      <c r="L2075" s="237"/>
      <c r="M2075" s="237"/>
      <c r="N2075" s="237"/>
      <c r="O2075" s="237"/>
      <c r="P2075" s="237"/>
      <c r="Q2075" s="237"/>
      <c r="R2075" s="237"/>
      <c r="S2075" s="237"/>
      <c r="T2075" s="237"/>
      <c r="U2075" s="237"/>
      <c r="V2075" s="237"/>
      <c r="W2075" s="237"/>
      <c r="X2075" s="237"/>
      <c r="Y2075" s="237"/>
      <c r="Z2075" s="237"/>
    </row>
    <row r="2076">
      <c r="A2076" s="305">
        <v>2075.0</v>
      </c>
      <c r="B2076" s="236"/>
      <c r="C2076" s="307" t="s">
        <v>1420</v>
      </c>
      <c r="D2076" s="308" t="s">
        <v>10043</v>
      </c>
      <c r="E2076" s="305" t="s">
        <v>10044</v>
      </c>
      <c r="F2076" s="309" t="s">
        <v>10045</v>
      </c>
      <c r="G2076" s="236"/>
      <c r="H2076" s="307" t="s">
        <v>1420</v>
      </c>
      <c r="I2076" s="237"/>
      <c r="J2076" s="237"/>
      <c r="K2076" s="310" t="s">
        <v>10042</v>
      </c>
      <c r="L2076" s="237"/>
      <c r="M2076" s="237"/>
      <c r="N2076" s="237"/>
      <c r="O2076" s="237"/>
      <c r="P2076" s="237"/>
      <c r="Q2076" s="237"/>
      <c r="R2076" s="237"/>
      <c r="S2076" s="237"/>
      <c r="T2076" s="237"/>
      <c r="U2076" s="237"/>
      <c r="V2076" s="237"/>
      <c r="W2076" s="237"/>
      <c r="X2076" s="237"/>
      <c r="Y2076" s="237"/>
      <c r="Z2076" s="237"/>
    </row>
    <row r="2077">
      <c r="A2077" s="305">
        <v>2076.0</v>
      </c>
      <c r="B2077" s="236"/>
      <c r="C2077" s="307" t="s">
        <v>1420</v>
      </c>
      <c r="D2077" s="308" t="s">
        <v>10052</v>
      </c>
      <c r="E2077" s="305" t="s">
        <v>10053</v>
      </c>
      <c r="F2077" s="309" t="s">
        <v>10054</v>
      </c>
      <c r="G2077" s="236"/>
      <c r="H2077" s="307" t="s">
        <v>1420</v>
      </c>
      <c r="I2077" s="237"/>
      <c r="J2077" s="237"/>
      <c r="K2077" s="310" t="s">
        <v>10051</v>
      </c>
      <c r="L2077" s="237"/>
      <c r="M2077" s="237"/>
      <c r="N2077" s="237"/>
      <c r="O2077" s="237"/>
      <c r="P2077" s="237"/>
      <c r="Q2077" s="237"/>
      <c r="R2077" s="237"/>
      <c r="S2077" s="237"/>
      <c r="T2077" s="237"/>
      <c r="U2077" s="237"/>
      <c r="V2077" s="237"/>
      <c r="W2077" s="237"/>
      <c r="X2077" s="237"/>
      <c r="Y2077" s="237"/>
      <c r="Z2077" s="237"/>
    </row>
    <row r="2078">
      <c r="A2078" s="305">
        <v>2077.0</v>
      </c>
      <c r="B2078" s="236"/>
      <c r="C2078" s="307" t="s">
        <v>1420</v>
      </c>
      <c r="D2078" s="308" t="s">
        <v>10039</v>
      </c>
      <c r="E2078" s="305" t="s">
        <v>10040</v>
      </c>
      <c r="F2078" s="309" t="s">
        <v>10041</v>
      </c>
      <c r="G2078" s="236"/>
      <c r="H2078" s="307" t="s">
        <v>1420</v>
      </c>
      <c r="I2078" s="237"/>
      <c r="J2078" s="237"/>
      <c r="K2078" s="310" t="s">
        <v>10038</v>
      </c>
      <c r="L2078" s="237"/>
      <c r="M2078" s="237"/>
      <c r="N2078" s="237"/>
      <c r="O2078" s="237"/>
      <c r="P2078" s="237"/>
      <c r="Q2078" s="237"/>
      <c r="R2078" s="237"/>
      <c r="S2078" s="237"/>
      <c r="T2078" s="237"/>
      <c r="U2078" s="237"/>
      <c r="V2078" s="237"/>
      <c r="W2078" s="237"/>
      <c r="X2078" s="237"/>
      <c r="Y2078" s="237"/>
      <c r="Z2078" s="237"/>
    </row>
    <row r="2079">
      <c r="A2079" s="305">
        <v>2078.0</v>
      </c>
      <c r="B2079" s="306">
        <v>2.5231452E7</v>
      </c>
      <c r="C2079" s="307" t="s">
        <v>1420</v>
      </c>
      <c r="D2079" s="308" t="s">
        <v>10048</v>
      </c>
      <c r="E2079" s="305" t="s">
        <v>10049</v>
      </c>
      <c r="F2079" s="309" t="s">
        <v>10050</v>
      </c>
      <c r="G2079" s="236"/>
      <c r="H2079" s="307" t="s">
        <v>1420</v>
      </c>
      <c r="I2079" s="237"/>
      <c r="J2079" s="237"/>
      <c r="K2079" s="310" t="s">
        <v>10047</v>
      </c>
      <c r="L2079" s="237"/>
      <c r="M2079" s="237"/>
      <c r="N2079" s="237"/>
      <c r="O2079" s="237"/>
      <c r="P2079" s="237"/>
      <c r="Q2079" s="237"/>
      <c r="R2079" s="237"/>
      <c r="S2079" s="237"/>
      <c r="T2079" s="237"/>
      <c r="U2079" s="237"/>
      <c r="V2079" s="237"/>
      <c r="W2079" s="237"/>
      <c r="X2079" s="237"/>
      <c r="Y2079" s="237"/>
      <c r="Z2079" s="237"/>
    </row>
    <row r="2080">
      <c r="A2080" s="305">
        <v>2079.0</v>
      </c>
      <c r="B2080" s="306" t="s">
        <v>8904</v>
      </c>
      <c r="C2080" s="307" t="s">
        <v>1420</v>
      </c>
      <c r="D2080" s="308" t="s">
        <v>8906</v>
      </c>
      <c r="E2080" s="305" t="s">
        <v>8907</v>
      </c>
      <c r="F2080" s="309" t="s">
        <v>8908</v>
      </c>
      <c r="G2080" s="236"/>
      <c r="H2080" s="307" t="s">
        <v>1420</v>
      </c>
      <c r="I2080" s="237"/>
      <c r="J2080" s="237"/>
      <c r="K2080" s="310" t="s">
        <v>8905</v>
      </c>
      <c r="L2080" s="237"/>
      <c r="M2080" s="237"/>
      <c r="N2080" s="237"/>
      <c r="O2080" s="237"/>
      <c r="P2080" s="237"/>
      <c r="Q2080" s="237"/>
      <c r="R2080" s="237"/>
      <c r="S2080" s="237"/>
      <c r="T2080" s="237"/>
      <c r="U2080" s="237"/>
      <c r="V2080" s="237"/>
      <c r="W2080" s="237"/>
      <c r="X2080" s="237"/>
      <c r="Y2080" s="237"/>
      <c r="Z2080" s="237"/>
    </row>
    <row r="2081">
      <c r="A2081" s="305">
        <v>2080.0</v>
      </c>
      <c r="B2081" s="306">
        <v>1069014.0</v>
      </c>
      <c r="C2081" s="307" t="s">
        <v>1420</v>
      </c>
      <c r="D2081" s="308" t="s">
        <v>7106</v>
      </c>
      <c r="E2081" s="305" t="s">
        <v>5265</v>
      </c>
      <c r="F2081" s="309" t="s">
        <v>7107</v>
      </c>
      <c r="G2081" s="236"/>
      <c r="H2081" s="307" t="s">
        <v>1420</v>
      </c>
      <c r="I2081" s="237"/>
      <c r="J2081" s="237"/>
      <c r="K2081" s="310" t="s">
        <v>7105</v>
      </c>
      <c r="L2081" s="237"/>
      <c r="M2081" s="237"/>
      <c r="N2081" s="237"/>
      <c r="O2081" s="237"/>
      <c r="P2081" s="237"/>
      <c r="Q2081" s="237"/>
      <c r="R2081" s="237"/>
      <c r="S2081" s="237"/>
      <c r="T2081" s="237"/>
      <c r="U2081" s="237"/>
      <c r="V2081" s="237"/>
      <c r="W2081" s="237"/>
      <c r="X2081" s="237"/>
      <c r="Y2081" s="237"/>
      <c r="Z2081" s="237"/>
    </row>
    <row r="2082">
      <c r="A2082" s="305">
        <v>2081.0</v>
      </c>
      <c r="B2082" s="306">
        <v>1071830.0</v>
      </c>
      <c r="C2082" s="307" t="s">
        <v>1420</v>
      </c>
      <c r="D2082" s="308" t="s">
        <v>7128</v>
      </c>
      <c r="E2082" s="305" t="s">
        <v>7129</v>
      </c>
      <c r="F2082" s="309" t="s">
        <v>7130</v>
      </c>
      <c r="G2082" s="236"/>
      <c r="H2082" s="307" t="s">
        <v>1420</v>
      </c>
      <c r="I2082" s="237"/>
      <c r="J2082" s="237"/>
      <c r="K2082" s="310" t="s">
        <v>7127</v>
      </c>
      <c r="L2082" s="237"/>
      <c r="M2082" s="237"/>
      <c r="N2082" s="237"/>
      <c r="O2082" s="237"/>
      <c r="P2082" s="237"/>
      <c r="Q2082" s="237"/>
      <c r="R2082" s="237"/>
      <c r="S2082" s="237"/>
      <c r="T2082" s="237"/>
      <c r="U2082" s="237"/>
      <c r="V2082" s="237"/>
      <c r="W2082" s="237"/>
      <c r="X2082" s="237"/>
      <c r="Y2082" s="237"/>
      <c r="Z2082" s="237"/>
    </row>
    <row r="2083">
      <c r="A2083" s="305">
        <v>2082.0</v>
      </c>
      <c r="B2083" s="306">
        <v>1069012.0</v>
      </c>
      <c r="C2083" s="307" t="s">
        <v>1420</v>
      </c>
      <c r="D2083" s="308" t="s">
        <v>7113</v>
      </c>
      <c r="E2083" s="305" t="s">
        <v>7114</v>
      </c>
      <c r="F2083" s="309" t="s">
        <v>7115</v>
      </c>
      <c r="G2083" s="236"/>
      <c r="H2083" s="307" t="s">
        <v>1420</v>
      </c>
      <c r="I2083" s="237"/>
      <c r="J2083" s="237"/>
      <c r="K2083" s="310" t="s">
        <v>7112</v>
      </c>
      <c r="L2083" s="237"/>
      <c r="M2083" s="237"/>
      <c r="N2083" s="237"/>
      <c r="O2083" s="237"/>
      <c r="P2083" s="237"/>
      <c r="Q2083" s="237"/>
      <c r="R2083" s="237"/>
      <c r="S2083" s="237"/>
      <c r="T2083" s="237"/>
      <c r="U2083" s="237"/>
      <c r="V2083" s="237"/>
      <c r="W2083" s="237"/>
      <c r="X2083" s="237"/>
      <c r="Y2083" s="237"/>
      <c r="Z2083" s="237"/>
    </row>
    <row r="2084">
      <c r="A2084" s="305">
        <v>2083.0</v>
      </c>
      <c r="B2084" s="306" t="s">
        <v>14655</v>
      </c>
      <c r="C2084" s="307" t="s">
        <v>14007</v>
      </c>
      <c r="D2084" s="308" t="s">
        <v>1949</v>
      </c>
      <c r="E2084" s="236"/>
      <c r="F2084" s="236"/>
      <c r="G2084" s="236"/>
      <c r="H2084" s="307" t="s">
        <v>14007</v>
      </c>
      <c r="I2084" s="237"/>
      <c r="J2084" s="237"/>
      <c r="K2084" s="310" t="s">
        <v>13874</v>
      </c>
      <c r="L2084" s="237"/>
      <c r="M2084" s="237"/>
      <c r="N2084" s="237"/>
      <c r="O2084" s="237"/>
      <c r="P2084" s="237"/>
      <c r="Q2084" s="237"/>
      <c r="R2084" s="237"/>
      <c r="S2084" s="237"/>
      <c r="T2084" s="237"/>
      <c r="U2084" s="237"/>
      <c r="V2084" s="237"/>
      <c r="W2084" s="237"/>
      <c r="X2084" s="237"/>
      <c r="Y2084" s="237"/>
      <c r="Z2084" s="237"/>
    </row>
    <row r="2085">
      <c r="A2085" s="305">
        <v>2084.0</v>
      </c>
      <c r="B2085" s="306" t="s">
        <v>14656</v>
      </c>
      <c r="C2085" s="307" t="s">
        <v>1427</v>
      </c>
      <c r="D2085" s="308" t="s">
        <v>1953</v>
      </c>
      <c r="E2085" s="236"/>
      <c r="F2085" s="236"/>
      <c r="G2085" s="236"/>
      <c r="H2085" s="307" t="s">
        <v>1427</v>
      </c>
      <c r="I2085" s="237"/>
      <c r="J2085" s="237"/>
      <c r="K2085" s="310" t="s">
        <v>13879</v>
      </c>
      <c r="L2085" s="237"/>
      <c r="M2085" s="237"/>
      <c r="N2085" s="237"/>
      <c r="O2085" s="237"/>
      <c r="P2085" s="237"/>
      <c r="Q2085" s="237"/>
      <c r="R2085" s="237"/>
      <c r="S2085" s="237"/>
      <c r="T2085" s="237"/>
      <c r="U2085" s="237"/>
      <c r="V2085" s="237"/>
      <c r="W2085" s="237"/>
      <c r="X2085" s="237"/>
      <c r="Y2085" s="237"/>
      <c r="Z2085" s="237"/>
    </row>
    <row r="2086">
      <c r="A2086" s="305">
        <v>2085.0</v>
      </c>
      <c r="B2086" s="306" t="s">
        <v>14655</v>
      </c>
      <c r="C2086" s="307" t="s">
        <v>14007</v>
      </c>
      <c r="D2086" s="308" t="s">
        <v>1948</v>
      </c>
      <c r="E2086" s="236"/>
      <c r="F2086" s="236"/>
      <c r="G2086" s="236"/>
      <c r="H2086" s="307" t="s">
        <v>14007</v>
      </c>
      <c r="I2086" s="237"/>
      <c r="J2086" s="237"/>
      <c r="K2086" s="310" t="s">
        <v>13873</v>
      </c>
      <c r="L2086" s="237"/>
      <c r="M2086" s="237"/>
      <c r="N2086" s="237"/>
      <c r="O2086" s="237"/>
      <c r="P2086" s="237"/>
      <c r="Q2086" s="237"/>
      <c r="R2086" s="237"/>
      <c r="S2086" s="237"/>
      <c r="T2086" s="237"/>
      <c r="U2086" s="237"/>
      <c r="V2086" s="237"/>
      <c r="W2086" s="237"/>
      <c r="X2086" s="237"/>
      <c r="Y2086" s="237"/>
      <c r="Z2086" s="237"/>
    </row>
    <row r="2087">
      <c r="A2087" s="305">
        <v>2086.0</v>
      </c>
      <c r="B2087" s="306" t="s">
        <v>14655</v>
      </c>
      <c r="C2087" s="307" t="s">
        <v>14007</v>
      </c>
      <c r="D2087" s="308" t="s">
        <v>1947</v>
      </c>
      <c r="E2087" s="236"/>
      <c r="F2087" s="236"/>
      <c r="G2087" s="236"/>
      <c r="H2087" s="307" t="s">
        <v>14007</v>
      </c>
      <c r="I2087" s="237"/>
      <c r="J2087" s="237"/>
      <c r="K2087" s="310" t="s">
        <v>13872</v>
      </c>
      <c r="L2087" s="237"/>
      <c r="M2087" s="237"/>
      <c r="N2087" s="237"/>
      <c r="O2087" s="237"/>
      <c r="P2087" s="237"/>
      <c r="Q2087" s="237"/>
      <c r="R2087" s="237"/>
      <c r="S2087" s="237"/>
      <c r="T2087" s="237"/>
      <c r="U2087" s="237"/>
      <c r="V2087" s="237"/>
      <c r="W2087" s="237"/>
      <c r="X2087" s="237"/>
      <c r="Y2087" s="237"/>
      <c r="Z2087" s="237"/>
    </row>
    <row r="2088">
      <c r="A2088" s="305">
        <v>2087.0</v>
      </c>
      <c r="B2088" s="306" t="s">
        <v>14655</v>
      </c>
      <c r="C2088" s="307" t="s">
        <v>14007</v>
      </c>
      <c r="D2088" s="308" t="s">
        <v>1946</v>
      </c>
      <c r="E2088" s="236"/>
      <c r="F2088" s="236"/>
      <c r="G2088" s="236"/>
      <c r="H2088" s="307" t="s">
        <v>14007</v>
      </c>
      <c r="I2088" s="237"/>
      <c r="J2088" s="237"/>
      <c r="K2088" s="310" t="s">
        <v>13871</v>
      </c>
      <c r="L2088" s="237"/>
      <c r="M2088" s="237"/>
      <c r="N2088" s="237"/>
      <c r="O2088" s="237"/>
      <c r="P2088" s="237"/>
      <c r="Q2088" s="237"/>
      <c r="R2088" s="237"/>
      <c r="S2088" s="237"/>
      <c r="T2088" s="237"/>
      <c r="U2088" s="237"/>
      <c r="V2088" s="237"/>
      <c r="W2088" s="237"/>
      <c r="X2088" s="237"/>
      <c r="Y2088" s="237"/>
      <c r="Z2088" s="237"/>
    </row>
    <row r="2089">
      <c r="A2089" s="305">
        <v>2088.0</v>
      </c>
      <c r="B2089" s="306">
        <v>5.0011364E7</v>
      </c>
      <c r="C2089" s="307" t="s">
        <v>1420</v>
      </c>
      <c r="D2089" s="308" t="s">
        <v>6094</v>
      </c>
      <c r="E2089" s="305" t="s">
        <v>6095</v>
      </c>
      <c r="F2089" s="309" t="s">
        <v>6096</v>
      </c>
      <c r="G2089" s="236"/>
      <c r="H2089" s="307" t="s">
        <v>1420</v>
      </c>
      <c r="I2089" s="237"/>
      <c r="J2089" s="237"/>
      <c r="K2089" s="310" t="s">
        <v>6093</v>
      </c>
      <c r="L2089" s="237"/>
      <c r="M2089" s="237"/>
      <c r="N2089" s="237"/>
      <c r="O2089" s="237"/>
      <c r="P2089" s="237"/>
      <c r="Q2089" s="237"/>
      <c r="R2089" s="237"/>
      <c r="S2089" s="237"/>
      <c r="T2089" s="237"/>
      <c r="U2089" s="237"/>
      <c r="V2089" s="237"/>
      <c r="W2089" s="237"/>
      <c r="X2089" s="237"/>
      <c r="Y2089" s="237"/>
      <c r="Z2089" s="237"/>
    </row>
    <row r="2090">
      <c r="A2090" s="305">
        <v>2089.0</v>
      </c>
      <c r="B2090" s="236"/>
      <c r="C2090" s="307" t="s">
        <v>1420</v>
      </c>
      <c r="D2090" s="308" t="s">
        <v>14657</v>
      </c>
      <c r="E2090" s="305" t="s">
        <v>6882</v>
      </c>
      <c r="F2090" s="309" t="s">
        <v>6883</v>
      </c>
      <c r="G2090" s="236"/>
      <c r="H2090" s="307" t="s">
        <v>1420</v>
      </c>
      <c r="I2090" s="237"/>
      <c r="J2090" s="237"/>
      <c r="K2090" s="310" t="s">
        <v>6881</v>
      </c>
      <c r="L2090" s="237"/>
      <c r="M2090" s="237"/>
      <c r="N2090" s="237"/>
      <c r="O2090" s="237"/>
      <c r="P2090" s="237"/>
      <c r="Q2090" s="237"/>
      <c r="R2090" s="237"/>
      <c r="S2090" s="237"/>
      <c r="T2090" s="237"/>
      <c r="U2090" s="237"/>
      <c r="V2090" s="237"/>
      <c r="W2090" s="237"/>
      <c r="X2090" s="237"/>
      <c r="Y2090" s="237"/>
      <c r="Z2090" s="237"/>
    </row>
    <row r="2091">
      <c r="A2091" s="305">
        <v>2090.0</v>
      </c>
      <c r="B2091" s="236"/>
      <c r="C2091" s="307" t="s">
        <v>1420</v>
      </c>
      <c r="D2091" s="308" t="s">
        <v>14658</v>
      </c>
      <c r="E2091" s="305" t="s">
        <v>5084</v>
      </c>
      <c r="F2091" s="309" t="s">
        <v>5085</v>
      </c>
      <c r="G2091" s="236"/>
      <c r="H2091" s="307" t="s">
        <v>1420</v>
      </c>
      <c r="I2091" s="237"/>
      <c r="J2091" s="237"/>
      <c r="K2091" s="310" t="s">
        <v>5083</v>
      </c>
      <c r="L2091" s="237"/>
      <c r="M2091" s="237"/>
      <c r="N2091" s="237"/>
      <c r="O2091" s="237"/>
      <c r="P2091" s="237"/>
      <c r="Q2091" s="237"/>
      <c r="R2091" s="237"/>
      <c r="S2091" s="237"/>
      <c r="T2091" s="237"/>
      <c r="U2091" s="237"/>
      <c r="V2091" s="237"/>
      <c r="W2091" s="237"/>
      <c r="X2091" s="237"/>
      <c r="Y2091" s="237"/>
      <c r="Z2091" s="237"/>
    </row>
    <row r="2092">
      <c r="A2092" s="305">
        <v>2091.0</v>
      </c>
      <c r="B2092" s="306">
        <v>5.0010857E7</v>
      </c>
      <c r="C2092" s="307" t="s">
        <v>1420</v>
      </c>
      <c r="D2092" s="308" t="s">
        <v>6099</v>
      </c>
      <c r="E2092" s="305" t="s">
        <v>6100</v>
      </c>
      <c r="F2092" s="309" t="s">
        <v>6101</v>
      </c>
      <c r="G2092" s="236"/>
      <c r="H2092" s="307" t="s">
        <v>1420</v>
      </c>
      <c r="I2092" s="237"/>
      <c r="J2092" s="237"/>
      <c r="K2092" s="310" t="s">
        <v>6098</v>
      </c>
      <c r="L2092" s="237"/>
      <c r="M2092" s="237"/>
      <c r="N2092" s="237"/>
      <c r="O2092" s="237"/>
      <c r="P2092" s="237"/>
      <c r="Q2092" s="237"/>
      <c r="R2092" s="237"/>
      <c r="S2092" s="237"/>
      <c r="T2092" s="237"/>
      <c r="U2092" s="237"/>
      <c r="V2092" s="237"/>
      <c r="W2092" s="237"/>
      <c r="X2092" s="237"/>
      <c r="Y2092" s="237"/>
      <c r="Z2092" s="237"/>
    </row>
    <row r="2093">
      <c r="A2093" s="305">
        <v>2092.0</v>
      </c>
      <c r="B2093" s="236"/>
      <c r="C2093" s="307" t="s">
        <v>1420</v>
      </c>
      <c r="D2093" s="308" t="s">
        <v>6153</v>
      </c>
      <c r="E2093" s="305" t="s">
        <v>6154</v>
      </c>
      <c r="F2093" s="309" t="s">
        <v>6155</v>
      </c>
      <c r="G2093" s="236"/>
      <c r="H2093" s="307" t="s">
        <v>1420</v>
      </c>
      <c r="I2093" s="237"/>
      <c r="J2093" s="237"/>
      <c r="K2093" s="310" t="s">
        <v>6152</v>
      </c>
      <c r="L2093" s="237"/>
      <c r="M2093" s="237"/>
      <c r="N2093" s="237"/>
      <c r="O2093" s="237"/>
      <c r="P2093" s="237"/>
      <c r="Q2093" s="237"/>
      <c r="R2093" s="237"/>
      <c r="S2093" s="237"/>
      <c r="T2093" s="237"/>
      <c r="U2093" s="237"/>
      <c r="V2093" s="237"/>
      <c r="W2093" s="237"/>
      <c r="X2093" s="237"/>
      <c r="Y2093" s="237"/>
      <c r="Z2093" s="237"/>
    </row>
    <row r="2094">
      <c r="A2094" s="305">
        <v>2093.0</v>
      </c>
      <c r="B2094" s="306">
        <v>5.0010859E7</v>
      </c>
      <c r="C2094" s="307" t="s">
        <v>1420</v>
      </c>
      <c r="D2094" s="308" t="s">
        <v>6104</v>
      </c>
      <c r="E2094" s="305" t="s">
        <v>6105</v>
      </c>
      <c r="F2094" s="309" t="s">
        <v>6106</v>
      </c>
      <c r="G2094" s="236"/>
      <c r="H2094" s="307" t="s">
        <v>1420</v>
      </c>
      <c r="I2094" s="237"/>
      <c r="J2094" s="237"/>
      <c r="K2094" s="310" t="s">
        <v>6103</v>
      </c>
      <c r="L2094" s="237"/>
      <c r="M2094" s="237"/>
      <c r="N2094" s="237"/>
      <c r="O2094" s="237"/>
      <c r="P2094" s="237"/>
      <c r="Q2094" s="237"/>
      <c r="R2094" s="237"/>
      <c r="S2094" s="237"/>
      <c r="T2094" s="237"/>
      <c r="U2094" s="237"/>
      <c r="V2094" s="237"/>
      <c r="W2094" s="237"/>
      <c r="X2094" s="237"/>
      <c r="Y2094" s="237"/>
      <c r="Z2094" s="237"/>
    </row>
    <row r="2095">
      <c r="A2095" s="305">
        <v>2094.0</v>
      </c>
      <c r="B2095" s="306">
        <v>5.001086E7</v>
      </c>
      <c r="C2095" s="307" t="s">
        <v>1420</v>
      </c>
      <c r="D2095" s="308" t="s">
        <v>6158</v>
      </c>
      <c r="E2095" s="305" t="s">
        <v>6159</v>
      </c>
      <c r="F2095" s="309" t="s">
        <v>6160</v>
      </c>
      <c r="G2095" s="236"/>
      <c r="H2095" s="307" t="s">
        <v>1420</v>
      </c>
      <c r="I2095" s="237"/>
      <c r="J2095" s="237"/>
      <c r="K2095" s="310" t="s">
        <v>6157</v>
      </c>
      <c r="L2095" s="237"/>
      <c r="M2095" s="237"/>
      <c r="N2095" s="237"/>
      <c r="O2095" s="237"/>
      <c r="P2095" s="237"/>
      <c r="Q2095" s="237"/>
      <c r="R2095" s="237"/>
      <c r="S2095" s="237"/>
      <c r="T2095" s="237"/>
      <c r="U2095" s="237"/>
      <c r="V2095" s="237"/>
      <c r="W2095" s="237"/>
      <c r="X2095" s="237"/>
      <c r="Y2095" s="237"/>
      <c r="Z2095" s="237"/>
    </row>
    <row r="2096">
      <c r="A2096" s="305">
        <v>2095.0</v>
      </c>
      <c r="B2096" s="236"/>
      <c r="C2096" s="307" t="s">
        <v>1420</v>
      </c>
      <c r="D2096" s="308" t="s">
        <v>12321</v>
      </c>
      <c r="E2096" s="305" t="s">
        <v>12322</v>
      </c>
      <c r="F2096" s="309" t="s">
        <v>12323</v>
      </c>
      <c r="G2096" s="236"/>
      <c r="H2096" s="307" t="s">
        <v>1420</v>
      </c>
      <c r="I2096" s="237"/>
      <c r="J2096" s="237"/>
      <c r="K2096" s="310" t="s">
        <v>12319</v>
      </c>
      <c r="L2096" s="237"/>
      <c r="M2096" s="237"/>
      <c r="N2096" s="237"/>
      <c r="O2096" s="237"/>
      <c r="P2096" s="237"/>
      <c r="Q2096" s="237"/>
      <c r="R2096" s="237"/>
      <c r="S2096" s="237"/>
      <c r="T2096" s="237"/>
      <c r="U2096" s="237"/>
      <c r="V2096" s="237"/>
      <c r="W2096" s="237"/>
      <c r="X2096" s="237"/>
      <c r="Y2096" s="237"/>
      <c r="Z2096" s="237"/>
    </row>
    <row r="2097">
      <c r="A2097" s="305">
        <v>2096.0</v>
      </c>
      <c r="B2097" s="236"/>
      <c r="C2097" s="307" t="s">
        <v>1427</v>
      </c>
      <c r="D2097" s="308" t="s">
        <v>12041</v>
      </c>
      <c r="E2097" s="305" t="s">
        <v>12042</v>
      </c>
      <c r="F2097" s="236"/>
      <c r="G2097" s="236"/>
      <c r="H2097" s="307" t="s">
        <v>1427</v>
      </c>
      <c r="I2097" s="237"/>
      <c r="J2097" s="237"/>
      <c r="K2097" s="310" t="s">
        <v>12040</v>
      </c>
      <c r="L2097" s="237"/>
      <c r="M2097" s="237"/>
      <c r="N2097" s="237"/>
      <c r="O2097" s="237"/>
      <c r="P2097" s="237"/>
      <c r="Q2097" s="237"/>
      <c r="R2097" s="237"/>
      <c r="S2097" s="237"/>
      <c r="T2097" s="237"/>
      <c r="U2097" s="237"/>
      <c r="V2097" s="237"/>
      <c r="W2097" s="237"/>
      <c r="X2097" s="237"/>
      <c r="Y2097" s="237"/>
      <c r="Z2097" s="237"/>
    </row>
    <row r="2098">
      <c r="A2098" s="305">
        <v>2097.0</v>
      </c>
      <c r="B2098" s="236"/>
      <c r="C2098" s="307" t="s">
        <v>1420</v>
      </c>
      <c r="D2098" s="308" t="s">
        <v>12335</v>
      </c>
      <c r="E2098" s="305" t="s">
        <v>12336</v>
      </c>
      <c r="F2098" s="309" t="s">
        <v>12337</v>
      </c>
      <c r="G2098" s="236"/>
      <c r="H2098" s="307" t="s">
        <v>1420</v>
      </c>
      <c r="I2098" s="237"/>
      <c r="J2098" s="237"/>
      <c r="K2098" s="310" t="s">
        <v>12333</v>
      </c>
      <c r="L2098" s="237"/>
      <c r="M2098" s="237"/>
      <c r="N2098" s="237"/>
      <c r="O2098" s="237"/>
      <c r="P2098" s="237"/>
      <c r="Q2098" s="237"/>
      <c r="R2098" s="237"/>
      <c r="S2098" s="237"/>
      <c r="T2098" s="237"/>
      <c r="U2098" s="237"/>
      <c r="V2098" s="237"/>
      <c r="W2098" s="237"/>
      <c r="X2098" s="237"/>
      <c r="Y2098" s="237"/>
      <c r="Z2098" s="237"/>
    </row>
    <row r="2099">
      <c r="A2099" s="305">
        <v>2098.0</v>
      </c>
      <c r="B2099" s="306">
        <v>482779.0</v>
      </c>
      <c r="C2099" s="307" t="s">
        <v>1420</v>
      </c>
      <c r="D2099" s="308" t="s">
        <v>5382</v>
      </c>
      <c r="E2099" s="305" t="s">
        <v>5383</v>
      </c>
      <c r="F2099" s="309" t="s">
        <v>5384</v>
      </c>
      <c r="G2099" s="236"/>
      <c r="H2099" s="307" t="s">
        <v>1420</v>
      </c>
      <c r="I2099" s="237"/>
      <c r="J2099" s="237"/>
      <c r="K2099" s="310" t="s">
        <v>5381</v>
      </c>
      <c r="L2099" s="237"/>
      <c r="M2099" s="237"/>
      <c r="N2099" s="237"/>
      <c r="O2099" s="237"/>
      <c r="P2099" s="237"/>
      <c r="Q2099" s="237"/>
      <c r="R2099" s="237"/>
      <c r="S2099" s="237"/>
      <c r="T2099" s="237"/>
      <c r="U2099" s="237"/>
      <c r="V2099" s="237"/>
      <c r="W2099" s="237"/>
      <c r="X2099" s="237"/>
      <c r="Y2099" s="237"/>
      <c r="Z2099" s="237"/>
    </row>
    <row r="2100">
      <c r="A2100" s="305">
        <v>2099.0</v>
      </c>
      <c r="B2100" s="306">
        <v>482777.0</v>
      </c>
      <c r="C2100" s="307" t="s">
        <v>1420</v>
      </c>
      <c r="D2100" s="308" t="s">
        <v>5376</v>
      </c>
      <c r="E2100" s="305" t="s">
        <v>5377</v>
      </c>
      <c r="F2100" s="309" t="s">
        <v>5378</v>
      </c>
      <c r="G2100" s="236"/>
      <c r="H2100" s="307" t="s">
        <v>1420</v>
      </c>
      <c r="I2100" s="237"/>
      <c r="J2100" s="237"/>
      <c r="K2100" s="310" t="s">
        <v>5375</v>
      </c>
      <c r="L2100" s="237"/>
      <c r="M2100" s="237"/>
      <c r="N2100" s="237"/>
      <c r="O2100" s="237"/>
      <c r="P2100" s="237"/>
      <c r="Q2100" s="237"/>
      <c r="R2100" s="237"/>
      <c r="S2100" s="237"/>
      <c r="T2100" s="237"/>
      <c r="U2100" s="237"/>
      <c r="V2100" s="237"/>
      <c r="W2100" s="237"/>
      <c r="X2100" s="237"/>
      <c r="Y2100" s="237"/>
      <c r="Z2100" s="237"/>
    </row>
    <row r="2101">
      <c r="A2101" s="305">
        <v>2100.0</v>
      </c>
      <c r="B2101" s="306">
        <v>482775.0</v>
      </c>
      <c r="C2101" s="307" t="s">
        <v>1420</v>
      </c>
      <c r="D2101" s="308" t="s">
        <v>5369</v>
      </c>
      <c r="E2101" s="305" t="s">
        <v>6588</v>
      </c>
      <c r="F2101" s="309" t="s">
        <v>6589</v>
      </c>
      <c r="G2101" s="236"/>
      <c r="H2101" s="307" t="s">
        <v>1420</v>
      </c>
      <c r="I2101" s="237"/>
      <c r="J2101" s="237"/>
      <c r="K2101" s="310" t="s">
        <v>6587</v>
      </c>
      <c r="L2101" s="237"/>
      <c r="M2101" s="237"/>
      <c r="N2101" s="237"/>
      <c r="O2101" s="237"/>
      <c r="P2101" s="237"/>
      <c r="Q2101" s="237"/>
      <c r="R2101" s="237"/>
      <c r="S2101" s="237"/>
      <c r="T2101" s="237"/>
      <c r="U2101" s="237"/>
      <c r="V2101" s="237"/>
      <c r="W2101" s="237"/>
      <c r="X2101" s="237"/>
      <c r="Y2101" s="237"/>
      <c r="Z2101" s="237"/>
    </row>
    <row r="2102">
      <c r="A2102" s="305">
        <v>2101.0</v>
      </c>
      <c r="B2102" s="306">
        <v>482770.0</v>
      </c>
      <c r="C2102" s="307" t="s">
        <v>1420</v>
      </c>
      <c r="D2102" s="308" t="s">
        <v>5363</v>
      </c>
      <c r="E2102" s="305" t="s">
        <v>5364</v>
      </c>
      <c r="F2102" s="309" t="s">
        <v>5365</v>
      </c>
      <c r="G2102" s="236"/>
      <c r="H2102" s="307" t="s">
        <v>1420</v>
      </c>
      <c r="I2102" s="237"/>
      <c r="J2102" s="237"/>
      <c r="K2102" s="310" t="s">
        <v>5362</v>
      </c>
      <c r="L2102" s="237"/>
      <c r="M2102" s="237"/>
      <c r="N2102" s="237"/>
      <c r="O2102" s="237"/>
      <c r="P2102" s="237"/>
      <c r="Q2102" s="237"/>
      <c r="R2102" s="237"/>
      <c r="S2102" s="237"/>
      <c r="T2102" s="237"/>
      <c r="U2102" s="237"/>
      <c r="V2102" s="237"/>
      <c r="W2102" s="237"/>
      <c r="X2102" s="237"/>
      <c r="Y2102" s="237"/>
      <c r="Z2102" s="237"/>
    </row>
    <row r="2103">
      <c r="A2103" s="305">
        <v>2102.0</v>
      </c>
      <c r="B2103" s="306">
        <v>482785.0</v>
      </c>
      <c r="C2103" s="307" t="s">
        <v>1420</v>
      </c>
      <c r="D2103" s="308" t="s">
        <v>6597</v>
      </c>
      <c r="E2103" s="305" t="s">
        <v>6598</v>
      </c>
      <c r="F2103" s="309" t="s">
        <v>6599</v>
      </c>
      <c r="G2103" s="236"/>
      <c r="H2103" s="307" t="s">
        <v>1420</v>
      </c>
      <c r="I2103" s="237"/>
      <c r="J2103" s="237"/>
      <c r="K2103" s="310" t="s">
        <v>6596</v>
      </c>
      <c r="L2103" s="237"/>
      <c r="M2103" s="237"/>
      <c r="N2103" s="237"/>
      <c r="O2103" s="237"/>
      <c r="P2103" s="237"/>
      <c r="Q2103" s="237"/>
      <c r="R2103" s="237"/>
      <c r="S2103" s="237"/>
      <c r="T2103" s="237"/>
      <c r="U2103" s="237"/>
      <c r="V2103" s="237"/>
      <c r="W2103" s="237"/>
      <c r="X2103" s="237"/>
      <c r="Y2103" s="237"/>
      <c r="Z2103" s="237"/>
    </row>
    <row r="2104">
      <c r="A2104" s="305">
        <v>2103.0</v>
      </c>
      <c r="B2104" s="306">
        <v>482784.0</v>
      </c>
      <c r="C2104" s="307" t="s">
        <v>1420</v>
      </c>
      <c r="D2104" s="308" t="s">
        <v>6592</v>
      </c>
      <c r="E2104" s="305" t="s">
        <v>6593</v>
      </c>
      <c r="F2104" s="309" t="s">
        <v>6594</v>
      </c>
      <c r="G2104" s="236"/>
      <c r="H2104" s="307" t="s">
        <v>1420</v>
      </c>
      <c r="I2104" s="237"/>
      <c r="J2104" s="237"/>
      <c r="K2104" s="310" t="s">
        <v>6591</v>
      </c>
      <c r="L2104" s="237"/>
      <c r="M2104" s="237"/>
      <c r="N2104" s="237"/>
      <c r="O2104" s="237"/>
      <c r="P2104" s="237"/>
      <c r="Q2104" s="237"/>
      <c r="R2104" s="237"/>
      <c r="S2104" s="237"/>
      <c r="T2104" s="237"/>
      <c r="U2104" s="237"/>
      <c r="V2104" s="237"/>
      <c r="W2104" s="237"/>
      <c r="X2104" s="237"/>
      <c r="Y2104" s="237"/>
      <c r="Z2104" s="237"/>
    </row>
    <row r="2105">
      <c r="A2105" s="305">
        <v>2104.0</v>
      </c>
      <c r="B2105" s="306">
        <v>482786.0</v>
      </c>
      <c r="C2105" s="307" t="s">
        <v>1420</v>
      </c>
      <c r="D2105" s="308" t="s">
        <v>6602</v>
      </c>
      <c r="E2105" s="305" t="s">
        <v>6603</v>
      </c>
      <c r="F2105" s="309" t="s">
        <v>6604</v>
      </c>
      <c r="G2105" s="236"/>
      <c r="H2105" s="307" t="s">
        <v>1420</v>
      </c>
      <c r="I2105" s="237"/>
      <c r="J2105" s="237"/>
      <c r="K2105" s="310" t="s">
        <v>6601</v>
      </c>
      <c r="L2105" s="237"/>
      <c r="M2105" s="237"/>
      <c r="N2105" s="237"/>
      <c r="O2105" s="237"/>
      <c r="P2105" s="237"/>
      <c r="Q2105" s="237"/>
      <c r="R2105" s="237"/>
      <c r="S2105" s="237"/>
      <c r="T2105" s="237"/>
      <c r="U2105" s="237"/>
      <c r="V2105" s="237"/>
      <c r="W2105" s="237"/>
      <c r="X2105" s="237"/>
      <c r="Y2105" s="237"/>
      <c r="Z2105" s="237"/>
    </row>
    <row r="2106">
      <c r="A2106" s="305">
        <v>2105.0</v>
      </c>
      <c r="B2106" s="306">
        <v>482774.0</v>
      </c>
      <c r="C2106" s="307" t="s">
        <v>1420</v>
      </c>
      <c r="D2106" s="308" t="s">
        <v>6584</v>
      </c>
      <c r="E2106" s="305" t="s">
        <v>6585</v>
      </c>
      <c r="F2106" s="309" t="s">
        <v>6586</v>
      </c>
      <c r="G2106" s="236"/>
      <c r="H2106" s="307" t="s">
        <v>1420</v>
      </c>
      <c r="I2106" s="237"/>
      <c r="J2106" s="237"/>
      <c r="K2106" s="310" t="s">
        <v>6583</v>
      </c>
      <c r="L2106" s="237"/>
      <c r="M2106" s="237"/>
      <c r="N2106" s="237"/>
      <c r="O2106" s="237"/>
      <c r="P2106" s="237"/>
      <c r="Q2106" s="237"/>
      <c r="R2106" s="237"/>
      <c r="S2106" s="237"/>
      <c r="T2106" s="237"/>
      <c r="U2106" s="237"/>
      <c r="V2106" s="237"/>
      <c r="W2106" s="237"/>
      <c r="X2106" s="237"/>
      <c r="Y2106" s="237"/>
      <c r="Z2106" s="237"/>
    </row>
    <row r="2107">
      <c r="A2107" s="305">
        <v>2106.0</v>
      </c>
      <c r="B2107" s="306">
        <v>482772.0</v>
      </c>
      <c r="C2107" s="307" t="s">
        <v>1420</v>
      </c>
      <c r="D2107" s="308" t="s">
        <v>6579</v>
      </c>
      <c r="E2107" s="305" t="s">
        <v>6580</v>
      </c>
      <c r="F2107" s="309" t="s">
        <v>6581</v>
      </c>
      <c r="G2107" s="236"/>
      <c r="H2107" s="307" t="s">
        <v>1420</v>
      </c>
      <c r="I2107" s="237"/>
      <c r="J2107" s="237"/>
      <c r="K2107" s="310" t="s">
        <v>6578</v>
      </c>
      <c r="L2107" s="237"/>
      <c r="M2107" s="237"/>
      <c r="N2107" s="237"/>
      <c r="O2107" s="237"/>
      <c r="P2107" s="237"/>
      <c r="Q2107" s="237"/>
      <c r="R2107" s="237"/>
      <c r="S2107" s="237"/>
      <c r="T2107" s="237"/>
      <c r="U2107" s="237"/>
      <c r="V2107" s="237"/>
      <c r="W2107" s="237"/>
      <c r="X2107" s="237"/>
      <c r="Y2107" s="237"/>
      <c r="Z2107" s="237"/>
    </row>
    <row r="2108">
      <c r="A2108" s="305">
        <v>2107.0</v>
      </c>
      <c r="B2108" s="306">
        <v>582150.0</v>
      </c>
      <c r="C2108" s="307" t="s">
        <v>1420</v>
      </c>
      <c r="D2108" s="308" t="s">
        <v>6607</v>
      </c>
      <c r="E2108" s="305" t="s">
        <v>6608</v>
      </c>
      <c r="F2108" s="309" t="s">
        <v>6609</v>
      </c>
      <c r="G2108" s="236"/>
      <c r="H2108" s="307" t="s">
        <v>1420</v>
      </c>
      <c r="I2108" s="237"/>
      <c r="J2108" s="237"/>
      <c r="K2108" s="310" t="s">
        <v>6606</v>
      </c>
      <c r="L2108" s="237"/>
      <c r="M2108" s="237"/>
      <c r="N2108" s="237"/>
      <c r="O2108" s="237"/>
      <c r="P2108" s="237"/>
      <c r="Q2108" s="237"/>
      <c r="R2108" s="237"/>
      <c r="S2108" s="237"/>
      <c r="T2108" s="237"/>
      <c r="U2108" s="237"/>
      <c r="V2108" s="237"/>
      <c r="W2108" s="237"/>
      <c r="X2108" s="237"/>
      <c r="Y2108" s="237"/>
      <c r="Z2108" s="237"/>
    </row>
    <row r="2109">
      <c r="A2109" s="305">
        <v>2108.0</v>
      </c>
      <c r="B2109" s="306">
        <v>582152.0</v>
      </c>
      <c r="C2109" s="307" t="s">
        <v>1420</v>
      </c>
      <c r="D2109" s="308" t="s">
        <v>6617</v>
      </c>
      <c r="E2109" s="305" t="s">
        <v>6618</v>
      </c>
      <c r="F2109" s="309" t="s">
        <v>6619</v>
      </c>
      <c r="G2109" s="236"/>
      <c r="H2109" s="307" t="s">
        <v>1420</v>
      </c>
      <c r="I2109" s="237"/>
      <c r="J2109" s="237"/>
      <c r="K2109" s="310" t="s">
        <v>6616</v>
      </c>
      <c r="L2109" s="237"/>
      <c r="M2109" s="237"/>
      <c r="N2109" s="237"/>
      <c r="O2109" s="237"/>
      <c r="P2109" s="237"/>
      <c r="Q2109" s="237"/>
      <c r="R2109" s="237"/>
      <c r="S2109" s="237"/>
      <c r="T2109" s="237"/>
      <c r="U2109" s="237"/>
      <c r="V2109" s="237"/>
      <c r="W2109" s="237"/>
      <c r="X2109" s="237"/>
      <c r="Y2109" s="237"/>
      <c r="Z2109" s="237"/>
    </row>
    <row r="2110">
      <c r="A2110" s="305">
        <v>2109.0</v>
      </c>
      <c r="B2110" s="306">
        <v>582153.0</v>
      </c>
      <c r="C2110" s="307" t="s">
        <v>1420</v>
      </c>
      <c r="D2110" s="308" t="s">
        <v>6622</v>
      </c>
      <c r="E2110" s="305" t="s">
        <v>6623</v>
      </c>
      <c r="F2110" s="309" t="s">
        <v>6624</v>
      </c>
      <c r="G2110" s="236"/>
      <c r="H2110" s="307" t="s">
        <v>1420</v>
      </c>
      <c r="I2110" s="237"/>
      <c r="J2110" s="237"/>
      <c r="K2110" s="310" t="s">
        <v>6621</v>
      </c>
      <c r="L2110" s="237"/>
      <c r="M2110" s="237"/>
      <c r="N2110" s="237"/>
      <c r="O2110" s="237"/>
      <c r="P2110" s="237"/>
      <c r="Q2110" s="237"/>
      <c r="R2110" s="237"/>
      <c r="S2110" s="237"/>
      <c r="T2110" s="237"/>
      <c r="U2110" s="237"/>
      <c r="V2110" s="237"/>
      <c r="W2110" s="237"/>
      <c r="X2110" s="237"/>
      <c r="Y2110" s="237"/>
      <c r="Z2110" s="237"/>
    </row>
    <row r="2111">
      <c r="A2111" s="305">
        <v>2110.0</v>
      </c>
      <c r="B2111" s="306">
        <v>582151.0</v>
      </c>
      <c r="C2111" s="307" t="s">
        <v>1420</v>
      </c>
      <c r="D2111" s="308" t="s">
        <v>6612</v>
      </c>
      <c r="E2111" s="305" t="s">
        <v>6613</v>
      </c>
      <c r="F2111" s="309" t="s">
        <v>6614</v>
      </c>
      <c r="G2111" s="236"/>
      <c r="H2111" s="307" t="s">
        <v>1420</v>
      </c>
      <c r="I2111" s="237"/>
      <c r="J2111" s="237"/>
      <c r="K2111" s="310" t="s">
        <v>6611</v>
      </c>
      <c r="L2111" s="237"/>
      <c r="M2111" s="237"/>
      <c r="N2111" s="237"/>
      <c r="O2111" s="237"/>
      <c r="P2111" s="237"/>
      <c r="Q2111" s="237"/>
      <c r="R2111" s="237"/>
      <c r="S2111" s="237"/>
      <c r="T2111" s="237"/>
      <c r="U2111" s="237"/>
      <c r="V2111" s="237"/>
      <c r="W2111" s="237"/>
      <c r="X2111" s="237"/>
      <c r="Y2111" s="237"/>
      <c r="Z2111" s="237"/>
    </row>
    <row r="2112">
      <c r="A2112" s="305">
        <v>2111.0</v>
      </c>
      <c r="B2112" s="236"/>
      <c r="C2112" s="307" t="s">
        <v>1420</v>
      </c>
      <c r="D2112" s="308" t="s">
        <v>11996</v>
      </c>
      <c r="E2112" s="305" t="s">
        <v>12268</v>
      </c>
      <c r="F2112" s="309" t="s">
        <v>12269</v>
      </c>
      <c r="G2112" s="236"/>
      <c r="H2112" s="307" t="s">
        <v>1420</v>
      </c>
      <c r="I2112" s="237"/>
      <c r="J2112" s="237"/>
      <c r="K2112" s="310" t="s">
        <v>14659</v>
      </c>
      <c r="L2112" s="237"/>
      <c r="M2112" s="237"/>
      <c r="N2112" s="237"/>
      <c r="O2112" s="237"/>
      <c r="P2112" s="237"/>
      <c r="Q2112" s="237"/>
      <c r="R2112" s="237"/>
      <c r="S2112" s="237"/>
      <c r="T2112" s="237"/>
      <c r="U2112" s="237"/>
      <c r="V2112" s="237"/>
      <c r="W2112" s="237"/>
      <c r="X2112" s="237"/>
      <c r="Y2112" s="237"/>
      <c r="Z2112" s="237"/>
    </row>
    <row r="2113">
      <c r="A2113" s="305">
        <v>2112.0</v>
      </c>
      <c r="B2113" s="306">
        <v>21203.0</v>
      </c>
      <c r="C2113" s="307" t="s">
        <v>1420</v>
      </c>
      <c r="D2113" s="308" t="s">
        <v>10104</v>
      </c>
      <c r="E2113" s="305" t="s">
        <v>10105</v>
      </c>
      <c r="F2113" s="309" t="s">
        <v>10106</v>
      </c>
      <c r="G2113" s="236"/>
      <c r="H2113" s="307" t="s">
        <v>1420</v>
      </c>
      <c r="I2113" s="237"/>
      <c r="J2113" s="237"/>
      <c r="K2113" s="310" t="s">
        <v>10103</v>
      </c>
      <c r="L2113" s="237"/>
      <c r="M2113" s="237"/>
      <c r="N2113" s="237"/>
      <c r="O2113" s="237"/>
      <c r="P2113" s="237"/>
      <c r="Q2113" s="237"/>
      <c r="R2113" s="237"/>
      <c r="S2113" s="237"/>
      <c r="T2113" s="237"/>
      <c r="U2113" s="237"/>
      <c r="V2113" s="237"/>
      <c r="W2113" s="237"/>
      <c r="X2113" s="237"/>
      <c r="Y2113" s="237"/>
      <c r="Z2113" s="237"/>
    </row>
    <row r="2114">
      <c r="A2114" s="305">
        <v>2113.0</v>
      </c>
      <c r="B2114" s="236"/>
      <c r="C2114" s="307" t="s">
        <v>1420</v>
      </c>
      <c r="D2114" s="308" t="s">
        <v>12265</v>
      </c>
      <c r="E2114" s="305" t="s">
        <v>12266</v>
      </c>
      <c r="F2114" s="309" t="s">
        <v>12267</v>
      </c>
      <c r="G2114" s="236"/>
      <c r="H2114" s="307" t="s">
        <v>1420</v>
      </c>
      <c r="I2114" s="237"/>
      <c r="J2114" s="237"/>
      <c r="K2114" s="310" t="s">
        <v>14660</v>
      </c>
      <c r="L2114" s="237"/>
      <c r="M2114" s="237"/>
      <c r="N2114" s="237"/>
      <c r="O2114" s="237"/>
      <c r="P2114" s="237"/>
      <c r="Q2114" s="237"/>
      <c r="R2114" s="237"/>
      <c r="S2114" s="237"/>
      <c r="T2114" s="237"/>
      <c r="U2114" s="237"/>
      <c r="V2114" s="237"/>
      <c r="W2114" s="237"/>
      <c r="X2114" s="237"/>
      <c r="Y2114" s="237"/>
      <c r="Z2114" s="237"/>
    </row>
    <row r="2115">
      <c r="A2115" s="305">
        <v>2114.0</v>
      </c>
      <c r="B2115" s="236"/>
      <c r="C2115" s="307" t="s">
        <v>1420</v>
      </c>
      <c r="D2115" s="308" t="s">
        <v>11989</v>
      </c>
      <c r="E2115" s="305" t="s">
        <v>11990</v>
      </c>
      <c r="F2115" s="309" t="s">
        <v>11991</v>
      </c>
      <c r="G2115" s="236"/>
      <c r="H2115" s="307" t="s">
        <v>1420</v>
      </c>
      <c r="I2115" s="237"/>
      <c r="J2115" s="237"/>
      <c r="K2115" s="310" t="s">
        <v>11987</v>
      </c>
      <c r="L2115" s="237"/>
      <c r="M2115" s="237"/>
      <c r="N2115" s="237"/>
      <c r="O2115" s="237"/>
      <c r="P2115" s="237"/>
      <c r="Q2115" s="237"/>
      <c r="R2115" s="237"/>
      <c r="S2115" s="237"/>
      <c r="T2115" s="237"/>
      <c r="U2115" s="237"/>
      <c r="V2115" s="237"/>
      <c r="W2115" s="237"/>
      <c r="X2115" s="237"/>
      <c r="Y2115" s="237"/>
      <c r="Z2115" s="237"/>
    </row>
    <row r="2116">
      <c r="A2116" s="305">
        <v>2115.0</v>
      </c>
      <c r="B2116" s="306">
        <v>11004.0</v>
      </c>
      <c r="C2116" s="307" t="s">
        <v>1420</v>
      </c>
      <c r="D2116" s="308" t="s">
        <v>10109</v>
      </c>
      <c r="E2116" s="305" t="s">
        <v>10110</v>
      </c>
      <c r="F2116" s="309" t="s">
        <v>10111</v>
      </c>
      <c r="G2116" s="236"/>
      <c r="H2116" s="307" t="s">
        <v>1420</v>
      </c>
      <c r="I2116" s="237"/>
      <c r="J2116" s="237"/>
      <c r="K2116" s="310" t="s">
        <v>10108</v>
      </c>
      <c r="L2116" s="237"/>
      <c r="M2116" s="237"/>
      <c r="N2116" s="237"/>
      <c r="O2116" s="237"/>
      <c r="P2116" s="237"/>
      <c r="Q2116" s="237"/>
      <c r="R2116" s="237"/>
      <c r="S2116" s="237"/>
      <c r="T2116" s="237"/>
      <c r="U2116" s="237"/>
      <c r="V2116" s="237"/>
      <c r="W2116" s="237"/>
      <c r="X2116" s="237"/>
      <c r="Y2116" s="237"/>
      <c r="Z2116" s="237"/>
    </row>
    <row r="2117">
      <c r="A2117" s="305">
        <v>2116.0</v>
      </c>
      <c r="B2117" s="306">
        <v>11024.0</v>
      </c>
      <c r="C2117" s="307" t="s">
        <v>1420</v>
      </c>
      <c r="D2117" s="308" t="s">
        <v>10124</v>
      </c>
      <c r="E2117" s="305" t="s">
        <v>10125</v>
      </c>
      <c r="F2117" s="309" t="s">
        <v>10126</v>
      </c>
      <c r="G2117" s="236"/>
      <c r="H2117" s="307" t="s">
        <v>1420</v>
      </c>
      <c r="I2117" s="237"/>
      <c r="J2117" s="237"/>
      <c r="K2117" s="310" t="s">
        <v>10123</v>
      </c>
      <c r="L2117" s="237"/>
      <c r="M2117" s="237"/>
      <c r="N2117" s="237"/>
      <c r="O2117" s="237"/>
      <c r="P2117" s="237"/>
      <c r="Q2117" s="237"/>
      <c r="R2117" s="237"/>
      <c r="S2117" s="237"/>
      <c r="T2117" s="237"/>
      <c r="U2117" s="237"/>
      <c r="V2117" s="237"/>
      <c r="W2117" s="237"/>
      <c r="X2117" s="237"/>
      <c r="Y2117" s="237"/>
      <c r="Z2117" s="237"/>
    </row>
    <row r="2118">
      <c r="A2118" s="305">
        <v>2117.0</v>
      </c>
      <c r="B2118" s="236"/>
      <c r="C2118" s="307" t="s">
        <v>1420</v>
      </c>
      <c r="D2118" s="308" t="s">
        <v>10119</v>
      </c>
      <c r="E2118" s="305" t="s">
        <v>10120</v>
      </c>
      <c r="F2118" s="309" t="s">
        <v>10121</v>
      </c>
      <c r="G2118" s="236"/>
      <c r="H2118" s="307" t="s">
        <v>1420</v>
      </c>
      <c r="I2118" s="237"/>
      <c r="J2118" s="237"/>
      <c r="K2118" s="310" t="s">
        <v>10118</v>
      </c>
      <c r="L2118" s="237"/>
      <c r="M2118" s="237"/>
      <c r="N2118" s="237"/>
      <c r="O2118" s="237"/>
      <c r="P2118" s="237"/>
      <c r="Q2118" s="237"/>
      <c r="R2118" s="237"/>
      <c r="S2118" s="237"/>
      <c r="T2118" s="237"/>
      <c r="U2118" s="237"/>
      <c r="V2118" s="237"/>
      <c r="W2118" s="237"/>
      <c r="X2118" s="237"/>
      <c r="Y2118" s="237"/>
      <c r="Z2118" s="237"/>
    </row>
    <row r="2119">
      <c r="A2119" s="305">
        <v>2118.0</v>
      </c>
      <c r="B2119" s="236"/>
      <c r="C2119" s="307" t="s">
        <v>1420</v>
      </c>
      <c r="D2119" s="308" t="s">
        <v>11984</v>
      </c>
      <c r="E2119" s="305" t="s">
        <v>11985</v>
      </c>
      <c r="F2119" s="309" t="s">
        <v>14661</v>
      </c>
      <c r="G2119" s="236"/>
      <c r="H2119" s="307" t="s">
        <v>1420</v>
      </c>
      <c r="I2119" s="237"/>
      <c r="J2119" s="237"/>
      <c r="K2119" s="310" t="s">
        <v>11982</v>
      </c>
      <c r="L2119" s="237"/>
      <c r="M2119" s="237"/>
      <c r="N2119" s="237"/>
      <c r="O2119" s="237"/>
      <c r="P2119" s="237"/>
      <c r="Q2119" s="237"/>
      <c r="R2119" s="237"/>
      <c r="S2119" s="237"/>
      <c r="T2119" s="237"/>
      <c r="U2119" s="237"/>
      <c r="V2119" s="237"/>
      <c r="W2119" s="237"/>
      <c r="X2119" s="237"/>
      <c r="Y2119" s="237"/>
      <c r="Z2119" s="237"/>
    </row>
    <row r="2120">
      <c r="A2120" s="305">
        <v>2119.0</v>
      </c>
      <c r="B2120" s="236"/>
      <c r="C2120" s="307" t="s">
        <v>1420</v>
      </c>
      <c r="D2120" s="308" t="s">
        <v>11979</v>
      </c>
      <c r="E2120" s="305" t="s">
        <v>11980</v>
      </c>
      <c r="F2120" s="309" t="s">
        <v>11981</v>
      </c>
      <c r="G2120" s="236"/>
      <c r="H2120" s="307" t="s">
        <v>1420</v>
      </c>
      <c r="I2120" s="237"/>
      <c r="J2120" s="237"/>
      <c r="K2120" s="310" t="s">
        <v>11977</v>
      </c>
      <c r="L2120" s="237"/>
      <c r="M2120" s="237"/>
      <c r="N2120" s="237"/>
      <c r="O2120" s="237"/>
      <c r="P2120" s="237"/>
      <c r="Q2120" s="237"/>
      <c r="R2120" s="237"/>
      <c r="S2120" s="237"/>
      <c r="T2120" s="237"/>
      <c r="U2120" s="237"/>
      <c r="V2120" s="237"/>
      <c r="W2120" s="237"/>
      <c r="X2120" s="237"/>
      <c r="Y2120" s="237"/>
      <c r="Z2120" s="237"/>
    </row>
    <row r="2121">
      <c r="A2121" s="305">
        <v>2120.0</v>
      </c>
      <c r="B2121" s="236"/>
      <c r="C2121" s="307" t="s">
        <v>1420</v>
      </c>
      <c r="D2121" s="308" t="s">
        <v>12066</v>
      </c>
      <c r="E2121" s="305" t="s">
        <v>12067</v>
      </c>
      <c r="F2121" s="309" t="s">
        <v>14662</v>
      </c>
      <c r="G2121" s="236"/>
      <c r="H2121" s="307" t="s">
        <v>1420</v>
      </c>
      <c r="I2121" s="237"/>
      <c r="J2121" s="237"/>
      <c r="K2121" s="310" t="s">
        <v>12064</v>
      </c>
      <c r="L2121" s="237"/>
      <c r="M2121" s="237"/>
      <c r="N2121" s="237"/>
      <c r="O2121" s="237"/>
      <c r="P2121" s="237"/>
      <c r="Q2121" s="237"/>
      <c r="R2121" s="237"/>
      <c r="S2121" s="237"/>
      <c r="T2121" s="237"/>
      <c r="U2121" s="237"/>
      <c r="V2121" s="237"/>
      <c r="W2121" s="237"/>
      <c r="X2121" s="237"/>
      <c r="Y2121" s="237"/>
      <c r="Z2121" s="237"/>
    </row>
    <row r="2122">
      <c r="A2122" s="305">
        <v>2121.0</v>
      </c>
      <c r="B2122" s="306">
        <v>23003.0</v>
      </c>
      <c r="C2122" s="307" t="s">
        <v>1420</v>
      </c>
      <c r="D2122" s="308" t="s">
        <v>10129</v>
      </c>
      <c r="E2122" s="305" t="s">
        <v>10130</v>
      </c>
      <c r="F2122" s="309" t="s">
        <v>10131</v>
      </c>
      <c r="G2122" s="236"/>
      <c r="H2122" s="307" t="s">
        <v>1420</v>
      </c>
      <c r="I2122" s="237"/>
      <c r="J2122" s="237"/>
      <c r="K2122" s="310" t="s">
        <v>10128</v>
      </c>
      <c r="L2122" s="237"/>
      <c r="M2122" s="237"/>
      <c r="N2122" s="237"/>
      <c r="O2122" s="237"/>
      <c r="P2122" s="237"/>
      <c r="Q2122" s="237"/>
      <c r="R2122" s="237"/>
      <c r="S2122" s="237"/>
      <c r="T2122" s="237"/>
      <c r="U2122" s="237"/>
      <c r="V2122" s="237"/>
      <c r="W2122" s="237"/>
      <c r="X2122" s="237"/>
      <c r="Y2122" s="237"/>
      <c r="Z2122" s="237"/>
    </row>
    <row r="2123">
      <c r="A2123" s="305">
        <v>2122.0</v>
      </c>
      <c r="B2123" s="306">
        <v>23006.0</v>
      </c>
      <c r="C2123" s="307" t="s">
        <v>1420</v>
      </c>
      <c r="D2123" s="308" t="s">
        <v>10134</v>
      </c>
      <c r="E2123" s="305" t="s">
        <v>10135</v>
      </c>
      <c r="F2123" s="309" t="s">
        <v>10136</v>
      </c>
      <c r="G2123" s="236"/>
      <c r="H2123" s="307" t="s">
        <v>1420</v>
      </c>
      <c r="I2123" s="237"/>
      <c r="J2123" s="237"/>
      <c r="K2123" s="310" t="s">
        <v>10133</v>
      </c>
      <c r="L2123" s="237"/>
      <c r="M2123" s="237"/>
      <c r="N2123" s="237"/>
      <c r="O2123" s="237"/>
      <c r="P2123" s="237"/>
      <c r="Q2123" s="237"/>
      <c r="R2123" s="237"/>
      <c r="S2123" s="237"/>
      <c r="T2123" s="237"/>
      <c r="U2123" s="237"/>
      <c r="V2123" s="237"/>
      <c r="W2123" s="237"/>
      <c r="X2123" s="237"/>
      <c r="Y2123" s="237"/>
      <c r="Z2123" s="237"/>
    </row>
    <row r="2124">
      <c r="A2124" s="305">
        <v>2123.0</v>
      </c>
      <c r="B2124" s="306">
        <v>23012.0</v>
      </c>
      <c r="C2124" s="307" t="s">
        <v>1420</v>
      </c>
      <c r="D2124" s="308" t="s">
        <v>10139</v>
      </c>
      <c r="E2124" s="305" t="s">
        <v>10140</v>
      </c>
      <c r="F2124" s="309" t="s">
        <v>10141</v>
      </c>
      <c r="G2124" s="236"/>
      <c r="H2124" s="307" t="s">
        <v>1420</v>
      </c>
      <c r="I2124" s="237"/>
      <c r="J2124" s="237"/>
      <c r="K2124" s="310" t="s">
        <v>10138</v>
      </c>
      <c r="L2124" s="237"/>
      <c r="M2124" s="237"/>
      <c r="N2124" s="237"/>
      <c r="O2124" s="237"/>
      <c r="P2124" s="237"/>
      <c r="Q2124" s="237"/>
      <c r="R2124" s="237"/>
      <c r="S2124" s="237"/>
      <c r="T2124" s="237"/>
      <c r="U2124" s="237"/>
      <c r="V2124" s="237"/>
      <c r="W2124" s="237"/>
      <c r="X2124" s="237"/>
      <c r="Y2124" s="237"/>
      <c r="Z2124" s="237"/>
    </row>
    <row r="2125">
      <c r="A2125" s="305">
        <v>2124.0</v>
      </c>
      <c r="B2125" s="236"/>
      <c r="C2125" s="307" t="s">
        <v>1420</v>
      </c>
      <c r="D2125" s="308" t="s">
        <v>12071</v>
      </c>
      <c r="E2125" s="305" t="s">
        <v>12072</v>
      </c>
      <c r="F2125" s="309" t="s">
        <v>14663</v>
      </c>
      <c r="G2125" s="236"/>
      <c r="H2125" s="307" t="s">
        <v>1420</v>
      </c>
      <c r="I2125" s="237"/>
      <c r="J2125" s="237"/>
      <c r="K2125" s="310" t="s">
        <v>12069</v>
      </c>
      <c r="L2125" s="237"/>
      <c r="M2125" s="237"/>
      <c r="N2125" s="237"/>
      <c r="O2125" s="237"/>
      <c r="P2125" s="237"/>
      <c r="Q2125" s="237"/>
      <c r="R2125" s="237"/>
      <c r="S2125" s="237"/>
      <c r="T2125" s="237"/>
      <c r="U2125" s="237"/>
      <c r="V2125" s="237"/>
      <c r="W2125" s="237"/>
      <c r="X2125" s="237"/>
      <c r="Y2125" s="237"/>
      <c r="Z2125" s="237"/>
    </row>
    <row r="2126">
      <c r="A2126" s="305">
        <v>2125.0</v>
      </c>
      <c r="B2126" s="236"/>
      <c r="C2126" s="307" t="s">
        <v>1420</v>
      </c>
      <c r="D2126" s="308" t="s">
        <v>12076</v>
      </c>
      <c r="E2126" s="305" t="s">
        <v>12077</v>
      </c>
      <c r="F2126" s="309" t="s">
        <v>14664</v>
      </c>
      <c r="G2126" s="236"/>
      <c r="H2126" s="307" t="s">
        <v>1420</v>
      </c>
      <c r="I2126" s="237"/>
      <c r="J2126" s="237"/>
      <c r="K2126" s="310" t="s">
        <v>12074</v>
      </c>
      <c r="L2126" s="237"/>
      <c r="M2126" s="237"/>
      <c r="N2126" s="237"/>
      <c r="O2126" s="237"/>
      <c r="P2126" s="237"/>
      <c r="Q2126" s="237"/>
      <c r="R2126" s="237"/>
      <c r="S2126" s="237"/>
      <c r="T2126" s="237"/>
      <c r="U2126" s="237"/>
      <c r="V2126" s="237"/>
      <c r="W2126" s="237"/>
      <c r="X2126" s="237"/>
      <c r="Y2126" s="237"/>
      <c r="Z2126" s="237"/>
    </row>
    <row r="2127">
      <c r="A2127" s="305">
        <v>2126.0</v>
      </c>
      <c r="B2127" s="236"/>
      <c r="C2127" s="307" t="s">
        <v>1420</v>
      </c>
      <c r="D2127" s="308" t="s">
        <v>13036</v>
      </c>
      <c r="E2127" s="236"/>
      <c r="F2127" s="309" t="s">
        <v>13037</v>
      </c>
      <c r="G2127" s="236"/>
      <c r="H2127" s="307" t="s">
        <v>1420</v>
      </c>
      <c r="I2127" s="237"/>
      <c r="J2127" s="237"/>
      <c r="K2127" s="310" t="s">
        <v>13035</v>
      </c>
      <c r="L2127" s="237"/>
      <c r="M2127" s="237"/>
      <c r="N2127" s="237"/>
      <c r="O2127" s="237"/>
      <c r="P2127" s="237"/>
      <c r="Q2127" s="237"/>
      <c r="R2127" s="237"/>
      <c r="S2127" s="237"/>
      <c r="T2127" s="237"/>
      <c r="U2127" s="237"/>
      <c r="V2127" s="237"/>
      <c r="W2127" s="237"/>
      <c r="X2127" s="237"/>
      <c r="Y2127" s="237"/>
      <c r="Z2127" s="237"/>
    </row>
    <row r="2128">
      <c r="A2128" s="305">
        <v>2127.0</v>
      </c>
      <c r="B2128" s="236"/>
      <c r="C2128" s="307" t="s">
        <v>1420</v>
      </c>
      <c r="D2128" s="308" t="s">
        <v>12085</v>
      </c>
      <c r="E2128" s="305" t="s">
        <v>12086</v>
      </c>
      <c r="F2128" s="309" t="s">
        <v>12087</v>
      </c>
      <c r="G2128" s="236"/>
      <c r="H2128" s="307" t="s">
        <v>1420</v>
      </c>
      <c r="I2128" s="237"/>
      <c r="J2128" s="237"/>
      <c r="K2128" s="310" t="s">
        <v>12083</v>
      </c>
      <c r="L2128" s="237"/>
      <c r="M2128" s="237"/>
      <c r="N2128" s="237"/>
      <c r="O2128" s="237"/>
      <c r="P2128" s="237"/>
      <c r="Q2128" s="237"/>
      <c r="R2128" s="237"/>
      <c r="S2128" s="237"/>
      <c r="T2128" s="237"/>
      <c r="U2128" s="237"/>
      <c r="V2128" s="237"/>
      <c r="W2128" s="237"/>
      <c r="X2128" s="237"/>
      <c r="Y2128" s="237"/>
      <c r="Z2128" s="237"/>
    </row>
    <row r="2129">
      <c r="A2129" s="305">
        <v>2128.0</v>
      </c>
      <c r="B2129" s="236"/>
      <c r="C2129" s="307" t="s">
        <v>1420</v>
      </c>
      <c r="D2129" s="308" t="s">
        <v>12080</v>
      </c>
      <c r="E2129" s="305" t="s">
        <v>14665</v>
      </c>
      <c r="F2129" s="309" t="s">
        <v>14666</v>
      </c>
      <c r="G2129" s="236"/>
      <c r="H2129" s="307" t="s">
        <v>1420</v>
      </c>
      <c r="I2129" s="237"/>
      <c r="J2129" s="237"/>
      <c r="K2129" s="310" t="s">
        <v>12079</v>
      </c>
      <c r="L2129" s="237"/>
      <c r="M2129" s="237"/>
      <c r="N2129" s="237"/>
      <c r="O2129" s="237"/>
      <c r="P2129" s="237"/>
      <c r="Q2129" s="237"/>
      <c r="R2129" s="237"/>
      <c r="S2129" s="237"/>
      <c r="T2129" s="237"/>
      <c r="U2129" s="237"/>
      <c r="V2129" s="237"/>
      <c r="W2129" s="237"/>
      <c r="X2129" s="237"/>
      <c r="Y2129" s="237"/>
      <c r="Z2129" s="237"/>
    </row>
    <row r="2130">
      <c r="A2130" s="305">
        <v>2129.0</v>
      </c>
      <c r="B2130" s="306">
        <v>21703.0</v>
      </c>
      <c r="C2130" s="307" t="s">
        <v>1420</v>
      </c>
      <c r="D2130" s="308" t="s">
        <v>9793</v>
      </c>
      <c r="E2130" s="305" t="s">
        <v>9794</v>
      </c>
      <c r="F2130" s="309" t="s">
        <v>9795</v>
      </c>
      <c r="G2130" s="236"/>
      <c r="H2130" s="307" t="s">
        <v>1420</v>
      </c>
      <c r="I2130" s="237"/>
      <c r="J2130" s="237"/>
      <c r="K2130" s="310" t="s">
        <v>9792</v>
      </c>
      <c r="L2130" s="237"/>
      <c r="M2130" s="237"/>
      <c r="N2130" s="237"/>
      <c r="O2130" s="237"/>
      <c r="P2130" s="237"/>
      <c r="Q2130" s="237"/>
      <c r="R2130" s="237"/>
      <c r="S2130" s="237"/>
      <c r="T2130" s="237"/>
      <c r="U2130" s="237"/>
      <c r="V2130" s="237"/>
      <c r="W2130" s="237"/>
      <c r="X2130" s="237"/>
      <c r="Y2130" s="237"/>
      <c r="Z2130" s="237"/>
    </row>
    <row r="2131">
      <c r="A2131" s="305">
        <v>2130.0</v>
      </c>
      <c r="B2131" s="306">
        <v>21706.0</v>
      </c>
      <c r="C2131" s="307" t="s">
        <v>1420</v>
      </c>
      <c r="D2131" s="308" t="s">
        <v>9798</v>
      </c>
      <c r="E2131" s="305" t="s">
        <v>9799</v>
      </c>
      <c r="F2131" s="309" t="s">
        <v>9800</v>
      </c>
      <c r="G2131" s="236"/>
      <c r="H2131" s="307" t="s">
        <v>1420</v>
      </c>
      <c r="I2131" s="237"/>
      <c r="J2131" s="237"/>
      <c r="K2131" s="310" t="s">
        <v>9797</v>
      </c>
      <c r="L2131" s="237"/>
      <c r="M2131" s="237"/>
      <c r="N2131" s="237"/>
      <c r="O2131" s="237"/>
      <c r="P2131" s="237"/>
      <c r="Q2131" s="237"/>
      <c r="R2131" s="237"/>
      <c r="S2131" s="237"/>
      <c r="T2131" s="237"/>
      <c r="U2131" s="237"/>
      <c r="V2131" s="237"/>
      <c r="W2131" s="237"/>
      <c r="X2131" s="237"/>
      <c r="Y2131" s="237"/>
      <c r="Z2131" s="237"/>
    </row>
    <row r="2132">
      <c r="A2132" s="305">
        <v>2131.0</v>
      </c>
      <c r="B2132" s="306">
        <v>21712.0</v>
      </c>
      <c r="C2132" s="307" t="s">
        <v>1420</v>
      </c>
      <c r="D2132" s="308" t="s">
        <v>9803</v>
      </c>
      <c r="E2132" s="305" t="s">
        <v>9804</v>
      </c>
      <c r="F2132" s="309" t="s">
        <v>9805</v>
      </c>
      <c r="G2132" s="236"/>
      <c r="H2132" s="307" t="s">
        <v>1420</v>
      </c>
      <c r="I2132" s="237"/>
      <c r="J2132" s="237"/>
      <c r="K2132" s="310" t="s">
        <v>9802</v>
      </c>
      <c r="L2132" s="237"/>
      <c r="M2132" s="237"/>
      <c r="N2132" s="237"/>
      <c r="O2132" s="237"/>
      <c r="P2132" s="237"/>
      <c r="Q2132" s="237"/>
      <c r="R2132" s="237"/>
      <c r="S2132" s="237"/>
      <c r="T2132" s="237"/>
      <c r="U2132" s="237"/>
      <c r="V2132" s="237"/>
      <c r="W2132" s="237"/>
      <c r="X2132" s="237"/>
      <c r="Y2132" s="237"/>
      <c r="Z2132" s="237"/>
    </row>
    <row r="2133">
      <c r="A2133" s="305">
        <v>2132.0</v>
      </c>
      <c r="B2133" s="236"/>
      <c r="C2133" s="307" t="s">
        <v>1420</v>
      </c>
      <c r="D2133" s="308" t="s">
        <v>9762</v>
      </c>
      <c r="E2133" s="305" t="s">
        <v>9763</v>
      </c>
      <c r="F2133" s="309" t="s">
        <v>9764</v>
      </c>
      <c r="G2133" s="236"/>
      <c r="H2133" s="307" t="s">
        <v>1420</v>
      </c>
      <c r="I2133" s="237"/>
      <c r="J2133" s="237"/>
      <c r="K2133" s="310" t="s">
        <v>9760</v>
      </c>
      <c r="L2133" s="237"/>
      <c r="M2133" s="237"/>
      <c r="N2133" s="237"/>
      <c r="O2133" s="237"/>
      <c r="P2133" s="237"/>
      <c r="Q2133" s="237"/>
      <c r="R2133" s="237"/>
      <c r="S2133" s="237"/>
      <c r="T2133" s="237"/>
      <c r="U2133" s="237"/>
      <c r="V2133" s="237"/>
      <c r="W2133" s="237"/>
      <c r="X2133" s="237"/>
      <c r="Y2133" s="237"/>
      <c r="Z2133" s="237"/>
    </row>
    <row r="2134">
      <c r="A2134" s="305">
        <v>2133.0</v>
      </c>
      <c r="B2134" s="236"/>
      <c r="C2134" s="307" t="s">
        <v>1420</v>
      </c>
      <c r="D2134" s="308" t="s">
        <v>9755</v>
      </c>
      <c r="E2134" s="305" t="s">
        <v>9756</v>
      </c>
      <c r="F2134" s="309" t="s">
        <v>9757</v>
      </c>
      <c r="G2134" s="236"/>
      <c r="H2134" s="307" t="s">
        <v>1420</v>
      </c>
      <c r="I2134" s="237"/>
      <c r="J2134" s="237"/>
      <c r="K2134" s="310" t="s">
        <v>9753</v>
      </c>
      <c r="L2134" s="237"/>
      <c r="M2134" s="237"/>
      <c r="N2134" s="237"/>
      <c r="O2134" s="237"/>
      <c r="P2134" s="237"/>
      <c r="Q2134" s="237"/>
      <c r="R2134" s="237"/>
      <c r="S2134" s="237"/>
      <c r="T2134" s="237"/>
      <c r="U2134" s="237"/>
      <c r="V2134" s="237"/>
      <c r="W2134" s="237"/>
      <c r="X2134" s="237"/>
      <c r="Y2134" s="237"/>
      <c r="Z2134" s="237"/>
    </row>
    <row r="2135">
      <c r="A2135" s="305">
        <v>2134.0</v>
      </c>
      <c r="B2135" s="236"/>
      <c r="C2135" s="307" t="s">
        <v>1420</v>
      </c>
      <c r="D2135" s="308" t="s">
        <v>9778</v>
      </c>
      <c r="E2135" s="305" t="s">
        <v>9779</v>
      </c>
      <c r="F2135" s="309" t="s">
        <v>9780</v>
      </c>
      <c r="G2135" s="236"/>
      <c r="H2135" s="307" t="s">
        <v>1420</v>
      </c>
      <c r="I2135" s="237"/>
      <c r="J2135" s="237"/>
      <c r="K2135" s="310" t="s">
        <v>9777</v>
      </c>
      <c r="L2135" s="237"/>
      <c r="M2135" s="237"/>
      <c r="N2135" s="237"/>
      <c r="O2135" s="237"/>
      <c r="P2135" s="237"/>
      <c r="Q2135" s="237"/>
      <c r="R2135" s="237"/>
      <c r="S2135" s="237"/>
      <c r="T2135" s="237"/>
      <c r="U2135" s="237"/>
      <c r="V2135" s="237"/>
      <c r="W2135" s="237"/>
      <c r="X2135" s="237"/>
      <c r="Y2135" s="237"/>
      <c r="Z2135" s="237"/>
    </row>
    <row r="2136">
      <c r="A2136" s="305">
        <v>2135.0</v>
      </c>
      <c r="B2136" s="236"/>
      <c r="C2136" s="307" t="s">
        <v>1420</v>
      </c>
      <c r="D2136" s="308" t="s">
        <v>9778</v>
      </c>
      <c r="E2136" s="305" t="s">
        <v>9779</v>
      </c>
      <c r="F2136" s="309" t="s">
        <v>10086</v>
      </c>
      <c r="G2136" s="236"/>
      <c r="H2136" s="307" t="s">
        <v>1420</v>
      </c>
      <c r="I2136" s="237"/>
      <c r="J2136" s="237"/>
      <c r="K2136" s="310" t="s">
        <v>10085</v>
      </c>
      <c r="L2136" s="237"/>
      <c r="M2136" s="237"/>
      <c r="N2136" s="237"/>
      <c r="O2136" s="237"/>
      <c r="P2136" s="237"/>
      <c r="Q2136" s="237"/>
      <c r="R2136" s="237"/>
      <c r="S2136" s="237"/>
      <c r="T2136" s="237"/>
      <c r="U2136" s="237"/>
      <c r="V2136" s="237"/>
      <c r="W2136" s="237"/>
      <c r="X2136" s="237"/>
      <c r="Y2136" s="237"/>
      <c r="Z2136" s="237"/>
    </row>
    <row r="2137">
      <c r="A2137" s="305">
        <v>2136.0</v>
      </c>
      <c r="B2137" s="236"/>
      <c r="C2137" s="307" t="s">
        <v>1420</v>
      </c>
      <c r="D2137" s="308" t="s">
        <v>9782</v>
      </c>
      <c r="E2137" s="305" t="s">
        <v>9783</v>
      </c>
      <c r="F2137" s="309" t="s">
        <v>12092</v>
      </c>
      <c r="G2137" s="236"/>
      <c r="H2137" s="307" t="s">
        <v>1420</v>
      </c>
      <c r="I2137" s="237"/>
      <c r="J2137" s="237"/>
      <c r="K2137" s="310" t="s">
        <v>9781</v>
      </c>
      <c r="L2137" s="237"/>
      <c r="M2137" s="237"/>
      <c r="N2137" s="237"/>
      <c r="O2137" s="237"/>
      <c r="P2137" s="237"/>
      <c r="Q2137" s="237"/>
      <c r="R2137" s="237"/>
      <c r="S2137" s="237"/>
      <c r="T2137" s="237"/>
      <c r="U2137" s="237"/>
      <c r="V2137" s="237"/>
      <c r="W2137" s="237"/>
      <c r="X2137" s="237"/>
      <c r="Y2137" s="237"/>
      <c r="Z2137" s="237"/>
    </row>
    <row r="2138">
      <c r="A2138" s="305">
        <v>2137.0</v>
      </c>
      <c r="B2138" s="236"/>
      <c r="C2138" s="307" t="s">
        <v>1420</v>
      </c>
      <c r="D2138" s="308" t="s">
        <v>12090</v>
      </c>
      <c r="E2138" s="305" t="s">
        <v>12091</v>
      </c>
      <c r="F2138" s="309" t="s">
        <v>12092</v>
      </c>
      <c r="G2138" s="236"/>
      <c r="H2138" s="307" t="s">
        <v>1420</v>
      </c>
      <c r="I2138" s="237"/>
      <c r="J2138" s="237"/>
      <c r="K2138" s="310" t="s">
        <v>12088</v>
      </c>
      <c r="L2138" s="237"/>
      <c r="M2138" s="237"/>
      <c r="N2138" s="237"/>
      <c r="O2138" s="237"/>
      <c r="P2138" s="237"/>
      <c r="Q2138" s="237"/>
      <c r="R2138" s="237"/>
      <c r="S2138" s="237"/>
      <c r="T2138" s="237"/>
      <c r="U2138" s="237"/>
      <c r="V2138" s="237"/>
      <c r="W2138" s="237"/>
      <c r="X2138" s="237"/>
      <c r="Y2138" s="237"/>
      <c r="Z2138" s="237"/>
    </row>
    <row r="2139">
      <c r="A2139" s="305">
        <v>2138.0</v>
      </c>
      <c r="B2139" s="236"/>
      <c r="C2139" s="307" t="s">
        <v>1420</v>
      </c>
      <c r="D2139" s="308" t="s">
        <v>9787</v>
      </c>
      <c r="E2139" s="305" t="s">
        <v>9788</v>
      </c>
      <c r="F2139" s="309" t="s">
        <v>14667</v>
      </c>
      <c r="G2139" s="236"/>
      <c r="H2139" s="307" t="s">
        <v>1420</v>
      </c>
      <c r="I2139" s="237"/>
      <c r="J2139" s="237"/>
      <c r="K2139" s="310" t="s">
        <v>9785</v>
      </c>
      <c r="L2139" s="237"/>
      <c r="M2139" s="237"/>
      <c r="N2139" s="237"/>
      <c r="O2139" s="237"/>
      <c r="P2139" s="237"/>
      <c r="Q2139" s="237"/>
      <c r="R2139" s="237"/>
      <c r="S2139" s="237"/>
      <c r="T2139" s="237"/>
      <c r="U2139" s="237"/>
      <c r="V2139" s="237"/>
      <c r="W2139" s="237"/>
      <c r="X2139" s="237"/>
      <c r="Y2139" s="237"/>
      <c r="Z2139" s="237"/>
    </row>
    <row r="2140">
      <c r="A2140" s="305">
        <v>2139.0</v>
      </c>
      <c r="B2140" s="236"/>
      <c r="C2140" s="307" t="s">
        <v>1420</v>
      </c>
      <c r="D2140" s="308" t="s">
        <v>9787</v>
      </c>
      <c r="E2140" s="305" t="s">
        <v>10073</v>
      </c>
      <c r="F2140" s="309" t="s">
        <v>10074</v>
      </c>
      <c r="G2140" s="236"/>
      <c r="H2140" s="307" t="s">
        <v>1420</v>
      </c>
      <c r="I2140" s="237"/>
      <c r="J2140" s="237"/>
      <c r="K2140" s="310" t="s">
        <v>10072</v>
      </c>
      <c r="L2140" s="237"/>
      <c r="M2140" s="237"/>
      <c r="N2140" s="237"/>
      <c r="O2140" s="237"/>
      <c r="P2140" s="237"/>
      <c r="Q2140" s="237"/>
      <c r="R2140" s="237"/>
      <c r="S2140" s="237"/>
      <c r="T2140" s="237"/>
      <c r="U2140" s="237"/>
      <c r="V2140" s="237"/>
      <c r="W2140" s="237"/>
      <c r="X2140" s="237"/>
      <c r="Y2140" s="237"/>
      <c r="Z2140" s="237"/>
    </row>
    <row r="2141">
      <c r="A2141" s="305">
        <v>2140.0</v>
      </c>
      <c r="B2141" s="236"/>
      <c r="C2141" s="307" t="s">
        <v>1420</v>
      </c>
      <c r="D2141" s="308" t="s">
        <v>12154</v>
      </c>
      <c r="E2141" s="305" t="s">
        <v>12155</v>
      </c>
      <c r="F2141" s="309" t="s">
        <v>14668</v>
      </c>
      <c r="G2141" s="236"/>
      <c r="H2141" s="307" t="s">
        <v>1420</v>
      </c>
      <c r="I2141" s="237"/>
      <c r="J2141" s="237"/>
      <c r="K2141" s="310" t="s">
        <v>14669</v>
      </c>
      <c r="L2141" s="237"/>
      <c r="M2141" s="237"/>
      <c r="N2141" s="237"/>
      <c r="O2141" s="237"/>
      <c r="P2141" s="237"/>
      <c r="Q2141" s="237"/>
      <c r="R2141" s="237"/>
      <c r="S2141" s="237"/>
      <c r="T2141" s="237"/>
      <c r="U2141" s="237"/>
      <c r="V2141" s="237"/>
      <c r="W2141" s="237"/>
      <c r="X2141" s="237"/>
      <c r="Y2141" s="237"/>
      <c r="Z2141" s="237"/>
    </row>
    <row r="2142">
      <c r="A2142" s="305">
        <v>2141.0</v>
      </c>
      <c r="B2142" s="236"/>
      <c r="C2142" s="307" t="s">
        <v>1420</v>
      </c>
      <c r="D2142" s="308" t="s">
        <v>12094</v>
      </c>
      <c r="E2142" s="305" t="s">
        <v>12095</v>
      </c>
      <c r="F2142" s="309" t="s">
        <v>12096</v>
      </c>
      <c r="G2142" s="236"/>
      <c r="H2142" s="307" t="s">
        <v>1420</v>
      </c>
      <c r="I2142" s="237"/>
      <c r="J2142" s="237"/>
      <c r="K2142" s="310" t="s">
        <v>14670</v>
      </c>
      <c r="L2142" s="237"/>
      <c r="M2142" s="237"/>
      <c r="N2142" s="237"/>
      <c r="O2142" s="237"/>
      <c r="P2142" s="237"/>
      <c r="Q2142" s="237"/>
      <c r="R2142" s="237"/>
      <c r="S2142" s="237"/>
      <c r="T2142" s="237"/>
      <c r="U2142" s="237"/>
      <c r="V2142" s="237"/>
      <c r="W2142" s="237"/>
      <c r="X2142" s="237"/>
      <c r="Y2142" s="237"/>
      <c r="Z2142" s="237"/>
    </row>
    <row r="2143">
      <c r="A2143" s="305">
        <v>2142.0</v>
      </c>
      <c r="B2143" s="236"/>
      <c r="C2143" s="307" t="s">
        <v>1427</v>
      </c>
      <c r="D2143" s="308" t="s">
        <v>12098</v>
      </c>
      <c r="E2143" s="305" t="s">
        <v>12099</v>
      </c>
      <c r="F2143" s="236"/>
      <c r="G2143" s="236"/>
      <c r="H2143" s="307" t="s">
        <v>1427</v>
      </c>
      <c r="I2143" s="237"/>
      <c r="J2143" s="237"/>
      <c r="K2143" s="310" t="s">
        <v>12097</v>
      </c>
      <c r="L2143" s="237"/>
      <c r="M2143" s="237"/>
      <c r="N2143" s="237"/>
      <c r="O2143" s="237"/>
      <c r="P2143" s="237"/>
      <c r="Q2143" s="237"/>
      <c r="R2143" s="237"/>
      <c r="S2143" s="237"/>
      <c r="T2143" s="237"/>
      <c r="U2143" s="237"/>
      <c r="V2143" s="237"/>
      <c r="W2143" s="237"/>
      <c r="X2143" s="237"/>
      <c r="Y2143" s="237"/>
      <c r="Z2143" s="237"/>
    </row>
    <row r="2144">
      <c r="A2144" s="305">
        <v>2143.0</v>
      </c>
      <c r="B2144" s="236"/>
      <c r="C2144" s="307" t="s">
        <v>1420</v>
      </c>
      <c r="D2144" s="308" t="s">
        <v>12160</v>
      </c>
      <c r="E2144" s="305" t="s">
        <v>12161</v>
      </c>
      <c r="F2144" s="309" t="s">
        <v>12162</v>
      </c>
      <c r="G2144" s="236"/>
      <c r="H2144" s="307" t="s">
        <v>1420</v>
      </c>
      <c r="I2144" s="237"/>
      <c r="J2144" s="237"/>
      <c r="K2144" s="310" t="s">
        <v>12158</v>
      </c>
      <c r="L2144" s="237"/>
      <c r="M2144" s="237"/>
      <c r="N2144" s="237"/>
      <c r="O2144" s="237"/>
      <c r="P2144" s="237"/>
      <c r="Q2144" s="237"/>
      <c r="R2144" s="237"/>
      <c r="S2144" s="237"/>
      <c r="T2144" s="237"/>
      <c r="U2144" s="237"/>
      <c r="V2144" s="237"/>
      <c r="W2144" s="237"/>
      <c r="X2144" s="237"/>
      <c r="Y2144" s="237"/>
      <c r="Z2144" s="237"/>
    </row>
    <row r="2145">
      <c r="A2145" s="305">
        <v>2144.0</v>
      </c>
      <c r="B2145" s="236"/>
      <c r="C2145" s="307" t="s">
        <v>1420</v>
      </c>
      <c r="D2145" s="308" t="s">
        <v>13039</v>
      </c>
      <c r="E2145" s="236"/>
      <c r="F2145" s="309" t="s">
        <v>13040</v>
      </c>
      <c r="G2145" s="236"/>
      <c r="H2145" s="307" t="s">
        <v>1420</v>
      </c>
      <c r="I2145" s="237"/>
      <c r="J2145" s="237"/>
      <c r="K2145" s="310" t="s">
        <v>13038</v>
      </c>
      <c r="L2145" s="237"/>
      <c r="M2145" s="237"/>
      <c r="N2145" s="237"/>
      <c r="O2145" s="237"/>
      <c r="P2145" s="237"/>
      <c r="Q2145" s="237"/>
      <c r="R2145" s="237"/>
      <c r="S2145" s="237"/>
      <c r="T2145" s="237"/>
      <c r="U2145" s="237"/>
      <c r="V2145" s="237"/>
      <c r="W2145" s="237"/>
      <c r="X2145" s="237"/>
      <c r="Y2145" s="237"/>
      <c r="Z2145" s="237"/>
    </row>
    <row r="2146">
      <c r="A2146" s="305">
        <v>2145.0</v>
      </c>
      <c r="B2146" s="306">
        <v>12703.0</v>
      </c>
      <c r="C2146" s="307" t="s">
        <v>1420</v>
      </c>
      <c r="D2146" s="308" t="s">
        <v>9769</v>
      </c>
      <c r="E2146" s="305" t="s">
        <v>9770</v>
      </c>
      <c r="F2146" s="309" t="s">
        <v>10079</v>
      </c>
      <c r="G2146" s="236"/>
      <c r="H2146" s="307" t="s">
        <v>1420</v>
      </c>
      <c r="I2146" s="237"/>
      <c r="J2146" s="237"/>
      <c r="K2146" s="310" t="s">
        <v>10078</v>
      </c>
      <c r="L2146" s="237"/>
      <c r="M2146" s="237"/>
      <c r="N2146" s="237"/>
      <c r="O2146" s="237"/>
      <c r="P2146" s="237"/>
      <c r="Q2146" s="237"/>
      <c r="R2146" s="237"/>
      <c r="S2146" s="237"/>
      <c r="T2146" s="237"/>
      <c r="U2146" s="237"/>
      <c r="V2146" s="237"/>
      <c r="W2146" s="237"/>
      <c r="X2146" s="237"/>
      <c r="Y2146" s="237"/>
      <c r="Z2146" s="237"/>
    </row>
    <row r="2147">
      <c r="A2147" s="305">
        <v>2146.0</v>
      </c>
      <c r="B2147" s="236"/>
      <c r="C2147" s="307" t="s">
        <v>1420</v>
      </c>
      <c r="D2147" s="308" t="s">
        <v>9766</v>
      </c>
      <c r="E2147" s="305" t="s">
        <v>9767</v>
      </c>
      <c r="F2147" s="309" t="s">
        <v>10076</v>
      </c>
      <c r="G2147" s="236"/>
      <c r="H2147" s="307" t="s">
        <v>1420</v>
      </c>
      <c r="I2147" s="237"/>
      <c r="J2147" s="237"/>
      <c r="K2147" s="310" t="s">
        <v>10075</v>
      </c>
      <c r="L2147" s="237"/>
      <c r="M2147" s="237"/>
      <c r="N2147" s="237"/>
      <c r="O2147" s="237"/>
      <c r="P2147" s="237"/>
      <c r="Q2147" s="237"/>
      <c r="R2147" s="237"/>
      <c r="S2147" s="237"/>
      <c r="T2147" s="237"/>
      <c r="U2147" s="237"/>
      <c r="V2147" s="237"/>
      <c r="W2147" s="237"/>
      <c r="X2147" s="237"/>
      <c r="Y2147" s="237"/>
      <c r="Z2147" s="237"/>
    </row>
    <row r="2148">
      <c r="A2148" s="305">
        <v>2147.0</v>
      </c>
      <c r="B2148" s="236"/>
      <c r="C2148" s="307" t="s">
        <v>1420</v>
      </c>
      <c r="D2148" s="308" t="s">
        <v>9773</v>
      </c>
      <c r="E2148" s="305" t="s">
        <v>9774</v>
      </c>
      <c r="F2148" s="309" t="s">
        <v>9775</v>
      </c>
      <c r="G2148" s="236"/>
      <c r="H2148" s="307" t="s">
        <v>1420</v>
      </c>
      <c r="I2148" s="237"/>
      <c r="J2148" s="237"/>
      <c r="K2148" s="310" t="s">
        <v>9771</v>
      </c>
      <c r="L2148" s="237"/>
      <c r="M2148" s="237"/>
      <c r="N2148" s="237"/>
      <c r="O2148" s="237"/>
      <c r="P2148" s="237"/>
      <c r="Q2148" s="237"/>
      <c r="R2148" s="237"/>
      <c r="S2148" s="237"/>
      <c r="T2148" s="237"/>
      <c r="U2148" s="237"/>
      <c r="V2148" s="237"/>
      <c r="W2148" s="237"/>
      <c r="X2148" s="237"/>
      <c r="Y2148" s="237"/>
      <c r="Z2148" s="237"/>
    </row>
    <row r="2149">
      <c r="A2149" s="305">
        <v>2148.0</v>
      </c>
      <c r="B2149" s="306">
        <v>15511.0</v>
      </c>
      <c r="C2149" s="307" t="s">
        <v>1420</v>
      </c>
      <c r="D2149" s="308" t="s">
        <v>10082</v>
      </c>
      <c r="E2149" s="305" t="s">
        <v>10083</v>
      </c>
      <c r="F2149" s="309" t="s">
        <v>10084</v>
      </c>
      <c r="G2149" s="236"/>
      <c r="H2149" s="307" t="s">
        <v>1420</v>
      </c>
      <c r="I2149" s="237"/>
      <c r="J2149" s="237"/>
      <c r="K2149" s="310" t="s">
        <v>10081</v>
      </c>
      <c r="L2149" s="237"/>
      <c r="M2149" s="237"/>
      <c r="N2149" s="237"/>
      <c r="O2149" s="237"/>
      <c r="P2149" s="237"/>
      <c r="Q2149" s="237"/>
      <c r="R2149" s="237"/>
      <c r="S2149" s="237"/>
      <c r="T2149" s="237"/>
      <c r="U2149" s="237"/>
      <c r="V2149" s="237"/>
      <c r="W2149" s="237"/>
      <c r="X2149" s="237"/>
      <c r="Y2149" s="237"/>
      <c r="Z2149" s="237"/>
    </row>
    <row r="2150">
      <c r="A2150" s="305">
        <v>2149.0</v>
      </c>
      <c r="B2150" s="236"/>
      <c r="C2150" s="307" t="s">
        <v>1420</v>
      </c>
      <c r="D2150" s="308" t="s">
        <v>12145</v>
      </c>
      <c r="E2150" s="305" t="s">
        <v>12146</v>
      </c>
      <c r="F2150" s="309" t="s">
        <v>12147</v>
      </c>
      <c r="G2150" s="236"/>
      <c r="H2150" s="307" t="s">
        <v>1420</v>
      </c>
      <c r="I2150" s="237"/>
      <c r="J2150" s="237"/>
      <c r="K2150" s="310" t="s">
        <v>12143</v>
      </c>
      <c r="L2150" s="237"/>
      <c r="M2150" s="237"/>
      <c r="N2150" s="237"/>
      <c r="O2150" s="237"/>
      <c r="P2150" s="237"/>
      <c r="Q2150" s="237"/>
      <c r="R2150" s="237"/>
      <c r="S2150" s="237"/>
      <c r="T2150" s="237"/>
      <c r="U2150" s="237"/>
      <c r="V2150" s="237"/>
      <c r="W2150" s="237"/>
      <c r="X2150" s="237"/>
      <c r="Y2150" s="237"/>
      <c r="Z2150" s="237"/>
    </row>
    <row r="2151">
      <c r="A2151" s="305">
        <v>2150.0</v>
      </c>
      <c r="B2151" s="236"/>
      <c r="C2151" s="307" t="s">
        <v>1420</v>
      </c>
      <c r="D2151" s="308" t="s">
        <v>12150</v>
      </c>
      <c r="E2151" s="305" t="s">
        <v>12151</v>
      </c>
      <c r="F2151" s="309" t="s">
        <v>12152</v>
      </c>
      <c r="G2151" s="236"/>
      <c r="H2151" s="307" t="s">
        <v>1420</v>
      </c>
      <c r="I2151" s="237"/>
      <c r="J2151" s="237"/>
      <c r="K2151" s="310" t="s">
        <v>12148</v>
      </c>
      <c r="L2151" s="237"/>
      <c r="M2151" s="237"/>
      <c r="N2151" s="237"/>
      <c r="O2151" s="237"/>
      <c r="P2151" s="237"/>
      <c r="Q2151" s="237"/>
      <c r="R2151" s="237"/>
      <c r="S2151" s="237"/>
      <c r="T2151" s="237"/>
      <c r="U2151" s="237"/>
      <c r="V2151" s="237"/>
      <c r="W2151" s="237"/>
      <c r="X2151" s="237"/>
      <c r="Y2151" s="237"/>
      <c r="Z2151" s="237"/>
    </row>
    <row r="2152">
      <c r="A2152" s="305">
        <v>2151.0</v>
      </c>
      <c r="B2152" s="236"/>
      <c r="C2152" s="307" t="s">
        <v>1420</v>
      </c>
      <c r="D2152" s="308" t="s">
        <v>12102</v>
      </c>
      <c r="E2152" s="305" t="s">
        <v>12103</v>
      </c>
      <c r="F2152" s="309" t="s">
        <v>12104</v>
      </c>
      <c r="G2152" s="236"/>
      <c r="H2152" s="307" t="s">
        <v>1420</v>
      </c>
      <c r="I2152" s="237"/>
      <c r="J2152" s="237"/>
      <c r="K2152" s="310" t="s">
        <v>12100</v>
      </c>
      <c r="L2152" s="237"/>
      <c r="M2152" s="237"/>
      <c r="N2152" s="237"/>
      <c r="O2152" s="237"/>
      <c r="P2152" s="237"/>
      <c r="Q2152" s="237"/>
      <c r="R2152" s="237"/>
      <c r="S2152" s="237"/>
      <c r="T2152" s="237"/>
      <c r="U2152" s="237"/>
      <c r="V2152" s="237"/>
      <c r="W2152" s="237"/>
      <c r="X2152" s="237"/>
      <c r="Y2152" s="237"/>
      <c r="Z2152" s="237"/>
    </row>
    <row r="2153">
      <c r="A2153" s="305">
        <v>2152.0</v>
      </c>
      <c r="B2153" s="236"/>
      <c r="C2153" s="307" t="s">
        <v>1420</v>
      </c>
      <c r="D2153" s="308" t="s">
        <v>12107</v>
      </c>
      <c r="E2153" s="305" t="s">
        <v>12108</v>
      </c>
      <c r="F2153" s="309" t="s">
        <v>12109</v>
      </c>
      <c r="G2153" s="236"/>
      <c r="H2153" s="307" t="s">
        <v>1420</v>
      </c>
      <c r="I2153" s="237"/>
      <c r="J2153" s="237"/>
      <c r="K2153" s="310" t="s">
        <v>12105</v>
      </c>
      <c r="L2153" s="237"/>
      <c r="M2153" s="237"/>
      <c r="N2153" s="237"/>
      <c r="O2153" s="237"/>
      <c r="P2153" s="237"/>
      <c r="Q2153" s="237"/>
      <c r="R2153" s="237"/>
      <c r="S2153" s="237"/>
      <c r="T2153" s="237"/>
      <c r="U2153" s="237"/>
      <c r="V2153" s="237"/>
      <c r="W2153" s="237"/>
      <c r="X2153" s="237"/>
      <c r="Y2153" s="237"/>
      <c r="Z2153" s="237"/>
    </row>
    <row r="2154">
      <c r="A2154" s="305">
        <v>2153.0</v>
      </c>
      <c r="B2154" s="236"/>
      <c r="C2154" s="307" t="s">
        <v>1420</v>
      </c>
      <c r="D2154" s="308" t="s">
        <v>10148</v>
      </c>
      <c r="E2154" s="236"/>
      <c r="F2154" s="309" t="s">
        <v>13034</v>
      </c>
      <c r="G2154" s="236"/>
      <c r="H2154" s="307" t="s">
        <v>1420</v>
      </c>
      <c r="I2154" s="237"/>
      <c r="J2154" s="237"/>
      <c r="K2154" s="310" t="s">
        <v>13033</v>
      </c>
      <c r="L2154" s="237"/>
      <c r="M2154" s="237"/>
      <c r="N2154" s="237"/>
      <c r="O2154" s="237"/>
      <c r="P2154" s="237"/>
      <c r="Q2154" s="237"/>
      <c r="R2154" s="237"/>
      <c r="S2154" s="237"/>
      <c r="T2154" s="237"/>
      <c r="U2154" s="237"/>
      <c r="V2154" s="237"/>
      <c r="W2154" s="237"/>
      <c r="X2154" s="237"/>
      <c r="Y2154" s="237"/>
      <c r="Z2154" s="237"/>
    </row>
    <row r="2155">
      <c r="A2155" s="305">
        <v>2154.0</v>
      </c>
      <c r="B2155" s="236"/>
      <c r="C2155" s="307" t="s">
        <v>1420</v>
      </c>
      <c r="D2155" s="308" t="s">
        <v>12112</v>
      </c>
      <c r="E2155" s="305" t="s">
        <v>12113</v>
      </c>
      <c r="F2155" s="309" t="s">
        <v>12114</v>
      </c>
      <c r="G2155" s="236"/>
      <c r="H2155" s="307" t="s">
        <v>1420</v>
      </c>
      <c r="I2155" s="237"/>
      <c r="J2155" s="237"/>
      <c r="K2155" s="310" t="s">
        <v>12110</v>
      </c>
      <c r="L2155" s="237"/>
      <c r="M2155" s="237"/>
      <c r="N2155" s="237"/>
      <c r="O2155" s="237"/>
      <c r="P2155" s="237"/>
      <c r="Q2155" s="237"/>
      <c r="R2155" s="237"/>
      <c r="S2155" s="237"/>
      <c r="T2155" s="237"/>
      <c r="U2155" s="237"/>
      <c r="V2155" s="237"/>
      <c r="W2155" s="237"/>
      <c r="X2155" s="237"/>
      <c r="Y2155" s="237"/>
      <c r="Z2155" s="237"/>
    </row>
    <row r="2156">
      <c r="A2156" s="305">
        <v>2155.0</v>
      </c>
      <c r="B2156" s="236"/>
      <c r="C2156" s="307" t="s">
        <v>1420</v>
      </c>
      <c r="D2156" s="308" t="s">
        <v>12124</v>
      </c>
      <c r="E2156" s="305" t="s">
        <v>12125</v>
      </c>
      <c r="F2156" s="309" t="s">
        <v>14671</v>
      </c>
      <c r="G2156" s="236"/>
      <c r="H2156" s="307" t="s">
        <v>1420</v>
      </c>
      <c r="I2156" s="237"/>
      <c r="J2156" s="237"/>
      <c r="K2156" s="310" t="s">
        <v>12123</v>
      </c>
      <c r="L2156" s="237"/>
      <c r="M2156" s="237"/>
      <c r="N2156" s="237"/>
      <c r="O2156" s="237"/>
      <c r="P2156" s="237"/>
      <c r="Q2156" s="237"/>
      <c r="R2156" s="237"/>
      <c r="S2156" s="237"/>
      <c r="T2156" s="237"/>
      <c r="U2156" s="237"/>
      <c r="V2156" s="237"/>
      <c r="W2156" s="237"/>
      <c r="X2156" s="237"/>
      <c r="Y2156" s="237"/>
      <c r="Z2156" s="237"/>
    </row>
    <row r="2157">
      <c r="A2157" s="305">
        <v>2156.0</v>
      </c>
      <c r="B2157" s="306">
        <v>21106.0</v>
      </c>
      <c r="C2157" s="307" t="s">
        <v>1420</v>
      </c>
      <c r="D2157" s="308" t="s">
        <v>10144</v>
      </c>
      <c r="E2157" s="305" t="s">
        <v>10145</v>
      </c>
      <c r="F2157" s="309" t="s">
        <v>10146</v>
      </c>
      <c r="G2157" s="236"/>
      <c r="H2157" s="307" t="s">
        <v>1420</v>
      </c>
      <c r="I2157" s="237"/>
      <c r="J2157" s="237"/>
      <c r="K2157" s="310" t="s">
        <v>10143</v>
      </c>
      <c r="L2157" s="237"/>
      <c r="M2157" s="237"/>
      <c r="N2157" s="237"/>
      <c r="O2157" s="237"/>
      <c r="P2157" s="237"/>
      <c r="Q2157" s="237"/>
      <c r="R2157" s="237"/>
      <c r="S2157" s="237"/>
      <c r="T2157" s="237"/>
      <c r="U2157" s="237"/>
      <c r="V2157" s="237"/>
      <c r="W2157" s="237"/>
      <c r="X2157" s="237"/>
      <c r="Y2157" s="237"/>
      <c r="Z2157" s="237"/>
    </row>
    <row r="2158">
      <c r="A2158" s="305">
        <v>2157.0</v>
      </c>
      <c r="B2158" s="236"/>
      <c r="C2158" s="307" t="s">
        <v>1420</v>
      </c>
      <c r="D2158" s="308" t="s">
        <v>12120</v>
      </c>
      <c r="E2158" s="305" t="s">
        <v>12121</v>
      </c>
      <c r="F2158" s="309" t="s">
        <v>14672</v>
      </c>
      <c r="G2158" s="236"/>
      <c r="H2158" s="307" t="s">
        <v>1420</v>
      </c>
      <c r="I2158" s="237"/>
      <c r="J2158" s="237"/>
      <c r="K2158" s="310" t="s">
        <v>12118</v>
      </c>
      <c r="L2158" s="237"/>
      <c r="M2158" s="237"/>
      <c r="N2158" s="237"/>
      <c r="O2158" s="237"/>
      <c r="P2158" s="237"/>
      <c r="Q2158" s="237"/>
      <c r="R2158" s="237"/>
      <c r="S2158" s="237"/>
      <c r="T2158" s="237"/>
      <c r="U2158" s="237"/>
      <c r="V2158" s="237"/>
      <c r="W2158" s="237"/>
      <c r="X2158" s="237"/>
      <c r="Y2158" s="237"/>
      <c r="Z2158" s="237"/>
    </row>
    <row r="2159">
      <c r="A2159" s="305">
        <v>2158.0</v>
      </c>
      <c r="B2159" s="236"/>
      <c r="C2159" s="307" t="s">
        <v>1420</v>
      </c>
      <c r="D2159" s="308" t="s">
        <v>8834</v>
      </c>
      <c r="E2159" s="305" t="s">
        <v>8835</v>
      </c>
      <c r="F2159" s="309" t="s">
        <v>8868</v>
      </c>
      <c r="G2159" s="236"/>
      <c r="H2159" s="307" t="s">
        <v>1420</v>
      </c>
      <c r="I2159" s="237"/>
      <c r="J2159" s="237"/>
      <c r="K2159" s="310" t="s">
        <v>8867</v>
      </c>
      <c r="L2159" s="237"/>
      <c r="M2159" s="237"/>
      <c r="N2159" s="237"/>
      <c r="O2159" s="237"/>
      <c r="P2159" s="237"/>
      <c r="Q2159" s="237"/>
      <c r="R2159" s="237"/>
      <c r="S2159" s="237"/>
      <c r="T2159" s="237"/>
      <c r="U2159" s="237"/>
      <c r="V2159" s="237"/>
      <c r="W2159" s="237"/>
      <c r="X2159" s="237"/>
      <c r="Y2159" s="237"/>
      <c r="Z2159" s="237"/>
    </row>
    <row r="2160">
      <c r="A2160" s="305">
        <v>2159.0</v>
      </c>
      <c r="B2160" s="236"/>
      <c r="C2160" s="307" t="s">
        <v>1366</v>
      </c>
      <c r="D2160" s="308" t="s">
        <v>2033</v>
      </c>
      <c r="E2160" s="236"/>
      <c r="F2160" s="236"/>
      <c r="G2160" s="236"/>
      <c r="H2160" s="307" t="s">
        <v>1366</v>
      </c>
      <c r="I2160" s="237"/>
      <c r="J2160" s="237"/>
      <c r="K2160" s="310" t="s">
        <v>14673</v>
      </c>
      <c r="L2160" s="237"/>
      <c r="M2160" s="237"/>
      <c r="N2160" s="237"/>
      <c r="O2160" s="237"/>
      <c r="P2160" s="237"/>
      <c r="Q2160" s="237"/>
      <c r="R2160" s="237"/>
      <c r="S2160" s="237"/>
      <c r="T2160" s="237"/>
      <c r="U2160" s="237"/>
      <c r="V2160" s="237"/>
      <c r="W2160" s="237"/>
      <c r="X2160" s="237"/>
      <c r="Y2160" s="237"/>
      <c r="Z2160" s="237"/>
    </row>
    <row r="2161">
      <c r="A2161" s="305">
        <v>2160.0</v>
      </c>
      <c r="B2161" s="306">
        <v>422312.0</v>
      </c>
      <c r="C2161" s="307" t="s">
        <v>1420</v>
      </c>
      <c r="D2161" s="308" t="s">
        <v>6220</v>
      </c>
      <c r="E2161" s="305" t="s">
        <v>6221</v>
      </c>
      <c r="F2161" s="309" t="s">
        <v>6222</v>
      </c>
      <c r="G2161" s="236"/>
      <c r="H2161" s="307" t="s">
        <v>1420</v>
      </c>
      <c r="I2161" s="237"/>
      <c r="J2161" s="237"/>
      <c r="K2161" s="310" t="s">
        <v>6219</v>
      </c>
      <c r="L2161" s="237"/>
      <c r="M2161" s="237"/>
      <c r="N2161" s="237"/>
      <c r="O2161" s="237"/>
      <c r="P2161" s="237"/>
      <c r="Q2161" s="237"/>
      <c r="R2161" s="237"/>
      <c r="S2161" s="237"/>
      <c r="T2161" s="237"/>
      <c r="U2161" s="237"/>
      <c r="V2161" s="237"/>
      <c r="W2161" s="237"/>
      <c r="X2161" s="237"/>
      <c r="Y2161" s="237"/>
      <c r="Z2161" s="237"/>
    </row>
    <row r="2162">
      <c r="A2162" s="305">
        <v>2161.0</v>
      </c>
      <c r="B2162" s="306">
        <v>422313.0</v>
      </c>
      <c r="C2162" s="307" t="s">
        <v>1420</v>
      </c>
      <c r="D2162" s="308" t="s">
        <v>6225</v>
      </c>
      <c r="E2162" s="305" t="s">
        <v>6226</v>
      </c>
      <c r="F2162" s="309" t="s">
        <v>6227</v>
      </c>
      <c r="G2162" s="236"/>
      <c r="H2162" s="307" t="s">
        <v>1420</v>
      </c>
      <c r="I2162" s="237"/>
      <c r="J2162" s="237"/>
      <c r="K2162" s="310" t="s">
        <v>6224</v>
      </c>
      <c r="L2162" s="237"/>
      <c r="M2162" s="237"/>
      <c r="N2162" s="237"/>
      <c r="O2162" s="237"/>
      <c r="P2162" s="237"/>
      <c r="Q2162" s="237"/>
      <c r="R2162" s="237"/>
      <c r="S2162" s="237"/>
      <c r="T2162" s="237"/>
      <c r="U2162" s="237"/>
      <c r="V2162" s="237"/>
      <c r="W2162" s="237"/>
      <c r="X2162" s="237"/>
      <c r="Y2162" s="237"/>
      <c r="Z2162" s="237"/>
    </row>
    <row r="2163">
      <c r="A2163" s="305">
        <v>2162.0</v>
      </c>
      <c r="B2163" s="236"/>
      <c r="C2163" s="307" t="s">
        <v>1420</v>
      </c>
      <c r="D2163" s="308" t="s">
        <v>6249</v>
      </c>
      <c r="E2163" s="305" t="s">
        <v>6250</v>
      </c>
      <c r="F2163" s="309" t="s">
        <v>6251</v>
      </c>
      <c r="G2163" s="236"/>
      <c r="H2163" s="307" t="s">
        <v>1420</v>
      </c>
      <c r="I2163" s="237"/>
      <c r="J2163" s="237"/>
      <c r="K2163" s="310" t="s">
        <v>6248</v>
      </c>
      <c r="L2163" s="237"/>
      <c r="M2163" s="237"/>
      <c r="N2163" s="237"/>
      <c r="O2163" s="237"/>
      <c r="P2163" s="237"/>
      <c r="Q2163" s="237"/>
      <c r="R2163" s="237"/>
      <c r="S2163" s="237"/>
      <c r="T2163" s="237"/>
      <c r="U2163" s="237"/>
      <c r="V2163" s="237"/>
      <c r="W2163" s="237"/>
      <c r="X2163" s="237"/>
      <c r="Y2163" s="237"/>
      <c r="Z2163" s="237"/>
    </row>
    <row r="2164">
      <c r="A2164" s="305">
        <v>2163.0</v>
      </c>
      <c r="B2164" s="306">
        <v>422323.0</v>
      </c>
      <c r="C2164" s="307" t="s">
        <v>1420</v>
      </c>
      <c r="D2164" s="308" t="s">
        <v>6230</v>
      </c>
      <c r="E2164" s="305" t="s">
        <v>6231</v>
      </c>
      <c r="F2164" s="309" t="s">
        <v>6232</v>
      </c>
      <c r="G2164" s="236"/>
      <c r="H2164" s="307" t="s">
        <v>1420</v>
      </c>
      <c r="I2164" s="237"/>
      <c r="J2164" s="237"/>
      <c r="K2164" s="310" t="s">
        <v>6229</v>
      </c>
      <c r="L2164" s="237"/>
      <c r="M2164" s="237"/>
      <c r="N2164" s="237"/>
      <c r="O2164" s="237"/>
      <c r="P2164" s="237"/>
      <c r="Q2164" s="237"/>
      <c r="R2164" s="237"/>
      <c r="S2164" s="237"/>
      <c r="T2164" s="237"/>
      <c r="U2164" s="237"/>
      <c r="V2164" s="237"/>
      <c r="W2164" s="237"/>
      <c r="X2164" s="237"/>
      <c r="Y2164" s="237"/>
      <c r="Z2164" s="237"/>
    </row>
    <row r="2165">
      <c r="A2165" s="305">
        <v>2164.0</v>
      </c>
      <c r="B2165" s="306">
        <v>422309.0</v>
      </c>
      <c r="C2165" s="307" t="s">
        <v>1420</v>
      </c>
      <c r="D2165" s="308" t="s">
        <v>6235</v>
      </c>
      <c r="E2165" s="305" t="s">
        <v>6236</v>
      </c>
      <c r="F2165" s="309" t="s">
        <v>6237</v>
      </c>
      <c r="G2165" s="236"/>
      <c r="H2165" s="307" t="s">
        <v>1420</v>
      </c>
      <c r="I2165" s="237"/>
      <c r="J2165" s="237"/>
      <c r="K2165" s="310" t="s">
        <v>6234</v>
      </c>
      <c r="L2165" s="237"/>
      <c r="M2165" s="237"/>
      <c r="N2165" s="237"/>
      <c r="O2165" s="237"/>
      <c r="P2165" s="237"/>
      <c r="Q2165" s="237"/>
      <c r="R2165" s="237"/>
      <c r="S2165" s="237"/>
      <c r="T2165" s="237"/>
      <c r="U2165" s="237"/>
      <c r="V2165" s="237"/>
      <c r="W2165" s="237"/>
      <c r="X2165" s="237"/>
      <c r="Y2165" s="237"/>
      <c r="Z2165" s="237"/>
    </row>
    <row r="2166">
      <c r="A2166" s="305">
        <v>2165.0</v>
      </c>
      <c r="B2166" s="306">
        <v>422310.0</v>
      </c>
      <c r="C2166" s="307" t="s">
        <v>1420</v>
      </c>
      <c r="D2166" s="308" t="s">
        <v>6240</v>
      </c>
      <c r="E2166" s="305" t="s">
        <v>6241</v>
      </c>
      <c r="F2166" s="309" t="s">
        <v>6242</v>
      </c>
      <c r="G2166" s="236"/>
      <c r="H2166" s="307" t="s">
        <v>1420</v>
      </c>
      <c r="I2166" s="237"/>
      <c r="J2166" s="237"/>
      <c r="K2166" s="310" t="s">
        <v>6239</v>
      </c>
      <c r="L2166" s="237"/>
      <c r="M2166" s="237"/>
      <c r="N2166" s="237"/>
      <c r="O2166" s="237"/>
      <c r="P2166" s="237"/>
      <c r="Q2166" s="237"/>
      <c r="R2166" s="237"/>
      <c r="S2166" s="237"/>
      <c r="T2166" s="237"/>
      <c r="U2166" s="237"/>
      <c r="V2166" s="237"/>
      <c r="W2166" s="237"/>
      <c r="X2166" s="237"/>
      <c r="Y2166" s="237"/>
      <c r="Z2166" s="237"/>
    </row>
    <row r="2167">
      <c r="A2167" s="305">
        <v>2166.0</v>
      </c>
      <c r="B2167" s="306">
        <v>422308.0</v>
      </c>
      <c r="C2167" s="307" t="s">
        <v>1420</v>
      </c>
      <c r="D2167" s="308" t="s">
        <v>6245</v>
      </c>
      <c r="E2167" s="305" t="s">
        <v>6246</v>
      </c>
      <c r="F2167" s="309" t="s">
        <v>6247</v>
      </c>
      <c r="G2167" s="236"/>
      <c r="H2167" s="307" t="s">
        <v>1420</v>
      </c>
      <c r="I2167" s="237"/>
      <c r="J2167" s="237"/>
      <c r="K2167" s="310" t="s">
        <v>6244</v>
      </c>
      <c r="L2167" s="237"/>
      <c r="M2167" s="237"/>
      <c r="N2167" s="237"/>
      <c r="O2167" s="237"/>
      <c r="P2167" s="237"/>
      <c r="Q2167" s="237"/>
      <c r="R2167" s="237"/>
      <c r="S2167" s="237"/>
      <c r="T2167" s="237"/>
      <c r="U2167" s="237"/>
      <c r="V2167" s="237"/>
      <c r="W2167" s="237"/>
      <c r="X2167" s="237"/>
      <c r="Y2167" s="237"/>
      <c r="Z2167" s="237"/>
    </row>
    <row r="2168">
      <c r="A2168" s="305">
        <v>2167.0</v>
      </c>
      <c r="B2168" s="236"/>
      <c r="C2168" s="307" t="s">
        <v>1420</v>
      </c>
      <c r="D2168" s="308" t="s">
        <v>6257</v>
      </c>
      <c r="E2168" s="305" t="s">
        <v>6258</v>
      </c>
      <c r="F2168" s="309" t="s">
        <v>6259</v>
      </c>
      <c r="G2168" s="236"/>
      <c r="H2168" s="307" t="s">
        <v>1420</v>
      </c>
      <c r="I2168" s="237"/>
      <c r="J2168" s="237"/>
      <c r="K2168" s="310" t="s">
        <v>6256</v>
      </c>
      <c r="L2168" s="237"/>
      <c r="M2168" s="237"/>
      <c r="N2168" s="237"/>
      <c r="O2168" s="237"/>
      <c r="P2168" s="237"/>
      <c r="Q2168" s="237"/>
      <c r="R2168" s="237"/>
      <c r="S2168" s="237"/>
      <c r="T2168" s="237"/>
      <c r="U2168" s="237"/>
      <c r="V2168" s="237"/>
      <c r="W2168" s="237"/>
      <c r="X2168" s="237"/>
      <c r="Y2168" s="237"/>
      <c r="Z2168" s="237"/>
    </row>
    <row r="2169">
      <c r="A2169" s="305">
        <v>2168.0</v>
      </c>
      <c r="B2169" s="236"/>
      <c r="C2169" s="307" t="s">
        <v>1420</v>
      </c>
      <c r="D2169" s="308" t="s">
        <v>6261</v>
      </c>
      <c r="E2169" s="305" t="s">
        <v>6262</v>
      </c>
      <c r="F2169" s="309" t="s">
        <v>6263</v>
      </c>
      <c r="G2169" s="236"/>
      <c r="H2169" s="307" t="s">
        <v>1420</v>
      </c>
      <c r="I2169" s="237"/>
      <c r="J2169" s="237"/>
      <c r="K2169" s="310" t="s">
        <v>6260</v>
      </c>
      <c r="L2169" s="237"/>
      <c r="M2169" s="237"/>
      <c r="N2169" s="237"/>
      <c r="O2169" s="237"/>
      <c r="P2169" s="237"/>
      <c r="Q2169" s="237"/>
      <c r="R2169" s="237"/>
      <c r="S2169" s="237"/>
      <c r="T2169" s="237"/>
      <c r="U2169" s="237"/>
      <c r="V2169" s="237"/>
      <c r="W2169" s="237"/>
      <c r="X2169" s="237"/>
      <c r="Y2169" s="237"/>
      <c r="Z2169" s="237"/>
    </row>
    <row r="2170">
      <c r="A2170" s="305">
        <v>2169.0</v>
      </c>
      <c r="B2170" s="236"/>
      <c r="C2170" s="307" t="s">
        <v>1420</v>
      </c>
      <c r="D2170" s="308" t="s">
        <v>6265</v>
      </c>
      <c r="E2170" s="305" t="s">
        <v>6266</v>
      </c>
      <c r="F2170" s="309" t="s">
        <v>6267</v>
      </c>
      <c r="G2170" s="236"/>
      <c r="H2170" s="307" t="s">
        <v>1420</v>
      </c>
      <c r="I2170" s="237"/>
      <c r="J2170" s="237"/>
      <c r="K2170" s="310" t="s">
        <v>6264</v>
      </c>
      <c r="L2170" s="237"/>
      <c r="M2170" s="237"/>
      <c r="N2170" s="237"/>
      <c r="O2170" s="237"/>
      <c r="P2170" s="237"/>
      <c r="Q2170" s="237"/>
      <c r="R2170" s="237"/>
      <c r="S2170" s="237"/>
      <c r="T2170" s="237"/>
      <c r="U2170" s="237"/>
      <c r="V2170" s="237"/>
      <c r="W2170" s="237"/>
      <c r="X2170" s="237"/>
      <c r="Y2170" s="237"/>
      <c r="Z2170" s="237"/>
    </row>
    <row r="2171">
      <c r="A2171" s="305">
        <v>2170.0</v>
      </c>
      <c r="B2171" s="236"/>
      <c r="C2171" s="307" t="s">
        <v>1420</v>
      </c>
      <c r="D2171" s="308" t="s">
        <v>6253</v>
      </c>
      <c r="E2171" s="305" t="s">
        <v>6254</v>
      </c>
      <c r="F2171" s="309" t="s">
        <v>6255</v>
      </c>
      <c r="G2171" s="236"/>
      <c r="H2171" s="307" t="s">
        <v>1420</v>
      </c>
      <c r="I2171" s="237"/>
      <c r="J2171" s="237"/>
      <c r="K2171" s="310" t="s">
        <v>6252</v>
      </c>
      <c r="L2171" s="237"/>
      <c r="M2171" s="237"/>
      <c r="N2171" s="237"/>
      <c r="O2171" s="237"/>
      <c r="P2171" s="237"/>
      <c r="Q2171" s="237"/>
      <c r="R2171" s="237"/>
      <c r="S2171" s="237"/>
      <c r="T2171" s="237"/>
      <c r="U2171" s="237"/>
      <c r="V2171" s="237"/>
      <c r="W2171" s="237"/>
      <c r="X2171" s="237"/>
      <c r="Y2171" s="237"/>
      <c r="Z2171" s="237"/>
    </row>
    <row r="2172">
      <c r="A2172" s="305">
        <v>2171.0</v>
      </c>
      <c r="B2172" s="236"/>
      <c r="C2172" s="307" t="s">
        <v>1420</v>
      </c>
      <c r="D2172" s="308" t="s">
        <v>6269</v>
      </c>
      <c r="E2172" s="305" t="s">
        <v>6270</v>
      </c>
      <c r="F2172" s="309" t="s">
        <v>6271</v>
      </c>
      <c r="G2172" s="236"/>
      <c r="H2172" s="307" t="s">
        <v>1420</v>
      </c>
      <c r="I2172" s="237"/>
      <c r="J2172" s="237"/>
      <c r="K2172" s="310" t="s">
        <v>6268</v>
      </c>
      <c r="L2172" s="237"/>
      <c r="M2172" s="237"/>
      <c r="N2172" s="237"/>
      <c r="O2172" s="237"/>
      <c r="P2172" s="237"/>
      <c r="Q2172" s="237"/>
      <c r="R2172" s="237"/>
      <c r="S2172" s="237"/>
      <c r="T2172" s="237"/>
      <c r="U2172" s="237"/>
      <c r="V2172" s="237"/>
      <c r="W2172" s="237"/>
      <c r="X2172" s="237"/>
      <c r="Y2172" s="237"/>
      <c r="Z2172" s="237"/>
    </row>
    <row r="2173">
      <c r="A2173" s="305">
        <v>2172.0</v>
      </c>
      <c r="B2173" s="306">
        <v>422311.0</v>
      </c>
      <c r="C2173" s="307" t="s">
        <v>1420</v>
      </c>
      <c r="D2173" s="308" t="s">
        <v>6373</v>
      </c>
      <c r="E2173" s="305" t="s">
        <v>6374</v>
      </c>
      <c r="F2173" s="309" t="s">
        <v>6375</v>
      </c>
      <c r="G2173" s="236"/>
      <c r="H2173" s="307" t="s">
        <v>1420</v>
      </c>
      <c r="I2173" s="237"/>
      <c r="J2173" s="237"/>
      <c r="K2173" s="310" t="s">
        <v>6372</v>
      </c>
      <c r="L2173" s="237"/>
      <c r="M2173" s="237"/>
      <c r="N2173" s="237"/>
      <c r="O2173" s="237"/>
      <c r="P2173" s="237"/>
      <c r="Q2173" s="237"/>
      <c r="R2173" s="237"/>
      <c r="S2173" s="237"/>
      <c r="T2173" s="237"/>
      <c r="U2173" s="237"/>
      <c r="V2173" s="237"/>
      <c r="W2173" s="237"/>
      <c r="X2173" s="237"/>
      <c r="Y2173" s="237"/>
      <c r="Z2173" s="237"/>
    </row>
    <row r="2174">
      <c r="A2174" s="305">
        <v>2173.0</v>
      </c>
      <c r="B2174" s="236"/>
      <c r="C2174" s="307" t="s">
        <v>1420</v>
      </c>
      <c r="D2174" s="308" t="s">
        <v>6274</v>
      </c>
      <c r="E2174" s="305" t="s">
        <v>6275</v>
      </c>
      <c r="F2174" s="309" t="s">
        <v>6276</v>
      </c>
      <c r="G2174" s="236"/>
      <c r="H2174" s="307" t="s">
        <v>1420</v>
      </c>
      <c r="I2174" s="237"/>
      <c r="J2174" s="237"/>
      <c r="K2174" s="310" t="s">
        <v>6273</v>
      </c>
      <c r="L2174" s="237"/>
      <c r="M2174" s="237"/>
      <c r="N2174" s="237"/>
      <c r="O2174" s="237"/>
      <c r="P2174" s="237"/>
      <c r="Q2174" s="237"/>
      <c r="R2174" s="237"/>
      <c r="S2174" s="237"/>
      <c r="T2174" s="237"/>
      <c r="U2174" s="237"/>
      <c r="V2174" s="237"/>
      <c r="W2174" s="237"/>
      <c r="X2174" s="237"/>
      <c r="Y2174" s="237"/>
      <c r="Z2174" s="237"/>
    </row>
    <row r="2175">
      <c r="A2175" s="305">
        <v>2174.0</v>
      </c>
      <c r="B2175" s="236"/>
      <c r="C2175" s="307" t="s">
        <v>1420</v>
      </c>
      <c r="D2175" s="308" t="s">
        <v>6278</v>
      </c>
      <c r="E2175" s="305" t="s">
        <v>6279</v>
      </c>
      <c r="F2175" s="309" t="s">
        <v>6280</v>
      </c>
      <c r="G2175" s="236"/>
      <c r="H2175" s="307" t="s">
        <v>1420</v>
      </c>
      <c r="I2175" s="237"/>
      <c r="J2175" s="237"/>
      <c r="K2175" s="310" t="s">
        <v>6277</v>
      </c>
      <c r="L2175" s="237"/>
      <c r="M2175" s="237"/>
      <c r="N2175" s="237"/>
      <c r="O2175" s="237"/>
      <c r="P2175" s="237"/>
      <c r="Q2175" s="237"/>
      <c r="R2175" s="237"/>
      <c r="S2175" s="237"/>
      <c r="T2175" s="237"/>
      <c r="U2175" s="237"/>
      <c r="V2175" s="237"/>
      <c r="W2175" s="237"/>
      <c r="X2175" s="237"/>
      <c r="Y2175" s="237"/>
      <c r="Z2175" s="237"/>
    </row>
    <row r="2176">
      <c r="A2176" s="305">
        <v>2175.0</v>
      </c>
      <c r="B2176" s="306" t="s">
        <v>3653</v>
      </c>
      <c r="C2176" s="307" t="s">
        <v>1420</v>
      </c>
      <c r="D2176" s="308" t="s">
        <v>7902</v>
      </c>
      <c r="E2176" s="305" t="s">
        <v>7903</v>
      </c>
      <c r="F2176" s="309" t="s">
        <v>7904</v>
      </c>
      <c r="G2176" s="236"/>
      <c r="H2176" s="307" t="s">
        <v>1420</v>
      </c>
      <c r="I2176" s="237"/>
      <c r="J2176" s="237"/>
      <c r="K2176" s="310" t="s">
        <v>7901</v>
      </c>
      <c r="L2176" s="237"/>
      <c r="M2176" s="237"/>
      <c r="N2176" s="237"/>
      <c r="O2176" s="237"/>
      <c r="P2176" s="237"/>
      <c r="Q2176" s="237"/>
      <c r="R2176" s="237"/>
      <c r="S2176" s="237"/>
      <c r="T2176" s="237"/>
      <c r="U2176" s="237"/>
      <c r="V2176" s="237"/>
      <c r="W2176" s="237"/>
      <c r="X2176" s="237"/>
      <c r="Y2176" s="237"/>
      <c r="Z2176" s="237"/>
    </row>
    <row r="2177">
      <c r="A2177" s="305">
        <v>2176.0</v>
      </c>
      <c r="B2177" s="236"/>
      <c r="C2177" s="307" t="s">
        <v>1420</v>
      </c>
      <c r="D2177" s="308" t="s">
        <v>7906</v>
      </c>
      <c r="E2177" s="305" t="s">
        <v>7907</v>
      </c>
      <c r="F2177" s="309" t="s">
        <v>7908</v>
      </c>
      <c r="G2177" s="236"/>
      <c r="H2177" s="307" t="s">
        <v>1420</v>
      </c>
      <c r="I2177" s="237"/>
      <c r="J2177" s="237"/>
      <c r="K2177" s="310" t="s">
        <v>7905</v>
      </c>
      <c r="L2177" s="237"/>
      <c r="M2177" s="237"/>
      <c r="N2177" s="237"/>
      <c r="O2177" s="237"/>
      <c r="P2177" s="237"/>
      <c r="Q2177" s="237"/>
      <c r="R2177" s="237"/>
      <c r="S2177" s="237"/>
      <c r="T2177" s="237"/>
      <c r="U2177" s="237"/>
      <c r="V2177" s="237"/>
      <c r="W2177" s="237"/>
      <c r="X2177" s="237"/>
      <c r="Y2177" s="237"/>
      <c r="Z2177" s="237"/>
    </row>
    <row r="2178">
      <c r="A2178" s="305">
        <v>2177.0</v>
      </c>
      <c r="B2178" s="306" t="s">
        <v>7909</v>
      </c>
      <c r="C2178" s="307" t="s">
        <v>1420</v>
      </c>
      <c r="D2178" s="308" t="s">
        <v>7911</v>
      </c>
      <c r="E2178" s="305" t="s">
        <v>7912</v>
      </c>
      <c r="F2178" s="309" t="s">
        <v>7913</v>
      </c>
      <c r="G2178" s="236"/>
      <c r="H2178" s="307" t="s">
        <v>1420</v>
      </c>
      <c r="I2178" s="237"/>
      <c r="J2178" s="237"/>
      <c r="K2178" s="310" t="s">
        <v>7910</v>
      </c>
      <c r="L2178" s="237"/>
      <c r="M2178" s="237"/>
      <c r="N2178" s="237"/>
      <c r="O2178" s="237"/>
      <c r="P2178" s="237"/>
      <c r="Q2178" s="237"/>
      <c r="R2178" s="237"/>
      <c r="S2178" s="237"/>
      <c r="T2178" s="237"/>
      <c r="U2178" s="237"/>
      <c r="V2178" s="237"/>
      <c r="W2178" s="237"/>
      <c r="X2178" s="237"/>
      <c r="Y2178" s="237"/>
      <c r="Z2178" s="237"/>
    </row>
    <row r="2179">
      <c r="A2179" s="305">
        <v>2178.0</v>
      </c>
      <c r="B2179" s="236"/>
      <c r="C2179" s="307" t="s">
        <v>1420</v>
      </c>
      <c r="D2179" s="308" t="s">
        <v>12316</v>
      </c>
      <c r="E2179" s="305" t="s">
        <v>12317</v>
      </c>
      <c r="F2179" s="309" t="s">
        <v>12318</v>
      </c>
      <c r="G2179" s="236"/>
      <c r="H2179" s="307" t="s">
        <v>1420</v>
      </c>
      <c r="I2179" s="237"/>
      <c r="J2179" s="237"/>
      <c r="K2179" s="310" t="s">
        <v>12314</v>
      </c>
      <c r="L2179" s="237"/>
      <c r="M2179" s="237"/>
      <c r="N2179" s="237"/>
      <c r="O2179" s="237"/>
      <c r="P2179" s="237"/>
      <c r="Q2179" s="237"/>
      <c r="R2179" s="237"/>
      <c r="S2179" s="237"/>
      <c r="T2179" s="237"/>
      <c r="U2179" s="237"/>
      <c r="V2179" s="237"/>
      <c r="W2179" s="237"/>
      <c r="X2179" s="237"/>
      <c r="Y2179" s="237"/>
      <c r="Z2179" s="237"/>
    </row>
    <row r="2180">
      <c r="A2180" s="305">
        <v>2179.0</v>
      </c>
      <c r="B2180" s="236"/>
      <c r="C2180" s="307" t="s">
        <v>1420</v>
      </c>
      <c r="D2180" s="308" t="s">
        <v>12311</v>
      </c>
      <c r="E2180" s="305" t="s">
        <v>12312</v>
      </c>
      <c r="F2180" s="309" t="s">
        <v>12313</v>
      </c>
      <c r="G2180" s="236"/>
      <c r="H2180" s="307" t="s">
        <v>1420</v>
      </c>
      <c r="I2180" s="237"/>
      <c r="J2180" s="237"/>
      <c r="K2180" s="310" t="s">
        <v>12309</v>
      </c>
      <c r="L2180" s="237"/>
      <c r="M2180" s="237"/>
      <c r="N2180" s="237"/>
      <c r="O2180" s="237"/>
      <c r="P2180" s="237"/>
      <c r="Q2180" s="237"/>
      <c r="R2180" s="237"/>
      <c r="S2180" s="237"/>
      <c r="T2180" s="237"/>
      <c r="U2180" s="237"/>
      <c r="V2180" s="237"/>
      <c r="W2180" s="237"/>
      <c r="X2180" s="237"/>
      <c r="Y2180" s="237"/>
      <c r="Z2180" s="237"/>
    </row>
    <row r="2181">
      <c r="A2181" s="305">
        <v>2180.0</v>
      </c>
      <c r="B2181" s="236"/>
      <c r="C2181" s="307" t="s">
        <v>1420</v>
      </c>
      <c r="D2181" s="308" t="s">
        <v>7470</v>
      </c>
      <c r="E2181" s="305" t="s">
        <v>7471</v>
      </c>
      <c r="F2181" s="236"/>
      <c r="G2181" s="236"/>
      <c r="H2181" s="307" t="s">
        <v>1420</v>
      </c>
      <c r="I2181" s="237"/>
      <c r="J2181" s="237"/>
      <c r="K2181" s="310" t="s">
        <v>7469</v>
      </c>
      <c r="L2181" s="237"/>
      <c r="M2181" s="237"/>
      <c r="N2181" s="237"/>
      <c r="O2181" s="237"/>
      <c r="P2181" s="237"/>
      <c r="Q2181" s="237"/>
      <c r="R2181" s="237"/>
      <c r="S2181" s="237"/>
      <c r="T2181" s="237"/>
      <c r="U2181" s="237"/>
      <c r="V2181" s="237"/>
      <c r="W2181" s="237"/>
      <c r="X2181" s="237"/>
      <c r="Y2181" s="237"/>
      <c r="Z2181" s="237"/>
    </row>
    <row r="2182">
      <c r="A2182" s="305">
        <v>2181.0</v>
      </c>
      <c r="B2182" s="306" t="s">
        <v>7513</v>
      </c>
      <c r="C2182" s="307" t="s">
        <v>1420</v>
      </c>
      <c r="D2182" s="308" t="s">
        <v>7515</v>
      </c>
      <c r="E2182" s="305" t="s">
        <v>7516</v>
      </c>
      <c r="F2182" s="309" t="s">
        <v>7517</v>
      </c>
      <c r="G2182" s="236"/>
      <c r="H2182" s="307" t="s">
        <v>1420</v>
      </c>
      <c r="I2182" s="237"/>
      <c r="J2182" s="237"/>
      <c r="K2182" s="310" t="s">
        <v>7514</v>
      </c>
      <c r="L2182" s="237"/>
      <c r="M2182" s="237"/>
      <c r="N2182" s="237"/>
      <c r="O2182" s="237"/>
      <c r="P2182" s="237"/>
      <c r="Q2182" s="237"/>
      <c r="R2182" s="237"/>
      <c r="S2182" s="237"/>
      <c r="T2182" s="237"/>
      <c r="U2182" s="237"/>
      <c r="V2182" s="237"/>
      <c r="W2182" s="237"/>
      <c r="X2182" s="237"/>
      <c r="Y2182" s="237"/>
      <c r="Z2182" s="237"/>
    </row>
    <row r="2183">
      <c r="A2183" s="305">
        <v>2182.0</v>
      </c>
      <c r="B2183" s="306" t="s">
        <v>7528</v>
      </c>
      <c r="C2183" s="307" t="s">
        <v>1420</v>
      </c>
      <c r="D2183" s="308" t="s">
        <v>7530</v>
      </c>
      <c r="E2183" s="305" t="s">
        <v>7531</v>
      </c>
      <c r="F2183" s="236"/>
      <c r="G2183" s="236"/>
      <c r="H2183" s="307" t="s">
        <v>1420</v>
      </c>
      <c r="I2183" s="237"/>
      <c r="J2183" s="237"/>
      <c r="K2183" s="310" t="s">
        <v>7529</v>
      </c>
      <c r="L2183" s="237"/>
      <c r="M2183" s="237"/>
      <c r="N2183" s="237"/>
      <c r="O2183" s="237"/>
      <c r="P2183" s="237"/>
      <c r="Q2183" s="237"/>
      <c r="R2183" s="237"/>
      <c r="S2183" s="237"/>
      <c r="T2183" s="237"/>
      <c r="U2183" s="237"/>
      <c r="V2183" s="237"/>
      <c r="W2183" s="237"/>
      <c r="X2183" s="237"/>
      <c r="Y2183" s="237"/>
      <c r="Z2183" s="237"/>
    </row>
    <row r="2184">
      <c r="A2184" s="305">
        <v>2183.0</v>
      </c>
      <c r="B2184" s="306" t="s">
        <v>7518</v>
      </c>
      <c r="C2184" s="307" t="s">
        <v>1420</v>
      </c>
      <c r="D2184" s="308" t="s">
        <v>7520</v>
      </c>
      <c r="E2184" s="305" t="s">
        <v>7521</v>
      </c>
      <c r="F2184" s="309" t="s">
        <v>7522</v>
      </c>
      <c r="G2184" s="236"/>
      <c r="H2184" s="307" t="s">
        <v>1420</v>
      </c>
      <c r="I2184" s="237"/>
      <c r="J2184" s="237"/>
      <c r="K2184" s="310" t="s">
        <v>7519</v>
      </c>
      <c r="L2184" s="237"/>
      <c r="M2184" s="237"/>
      <c r="N2184" s="237"/>
      <c r="O2184" s="237"/>
      <c r="P2184" s="237"/>
      <c r="Q2184" s="237"/>
      <c r="R2184" s="237"/>
      <c r="S2184" s="237"/>
      <c r="T2184" s="237"/>
      <c r="U2184" s="237"/>
      <c r="V2184" s="237"/>
      <c r="W2184" s="237"/>
      <c r="X2184" s="237"/>
      <c r="Y2184" s="237"/>
      <c r="Z2184" s="237"/>
    </row>
    <row r="2185">
      <c r="A2185" s="305">
        <v>2184.0</v>
      </c>
      <c r="B2185" s="306" t="s">
        <v>7532</v>
      </c>
      <c r="C2185" s="307" t="s">
        <v>1420</v>
      </c>
      <c r="D2185" s="308" t="s">
        <v>7534</v>
      </c>
      <c r="E2185" s="305" t="s">
        <v>7535</v>
      </c>
      <c r="F2185" s="236"/>
      <c r="G2185" s="236"/>
      <c r="H2185" s="307" t="s">
        <v>1420</v>
      </c>
      <c r="I2185" s="237"/>
      <c r="J2185" s="237"/>
      <c r="K2185" s="310" t="s">
        <v>7533</v>
      </c>
      <c r="L2185" s="237"/>
      <c r="M2185" s="237"/>
      <c r="N2185" s="237"/>
      <c r="O2185" s="237"/>
      <c r="P2185" s="237"/>
      <c r="Q2185" s="237"/>
      <c r="R2185" s="237"/>
      <c r="S2185" s="237"/>
      <c r="T2185" s="237"/>
      <c r="U2185" s="237"/>
      <c r="V2185" s="237"/>
      <c r="W2185" s="237"/>
      <c r="X2185" s="237"/>
      <c r="Y2185" s="237"/>
      <c r="Z2185" s="237"/>
    </row>
    <row r="2186">
      <c r="A2186" s="305">
        <v>2185.0</v>
      </c>
      <c r="B2186" s="306" t="s">
        <v>7523</v>
      </c>
      <c r="C2186" s="307" t="s">
        <v>1420</v>
      </c>
      <c r="D2186" s="308" t="s">
        <v>7525</v>
      </c>
      <c r="E2186" s="305" t="s">
        <v>7526</v>
      </c>
      <c r="F2186" s="309" t="s">
        <v>7527</v>
      </c>
      <c r="G2186" s="236"/>
      <c r="H2186" s="307" t="s">
        <v>1420</v>
      </c>
      <c r="I2186" s="237"/>
      <c r="J2186" s="237"/>
      <c r="K2186" s="310" t="s">
        <v>7524</v>
      </c>
      <c r="L2186" s="237"/>
      <c r="M2186" s="237"/>
      <c r="N2186" s="237"/>
      <c r="O2186" s="237"/>
      <c r="P2186" s="237"/>
      <c r="Q2186" s="237"/>
      <c r="R2186" s="237"/>
      <c r="S2186" s="237"/>
      <c r="T2186" s="237"/>
      <c r="U2186" s="237"/>
      <c r="V2186" s="237"/>
      <c r="W2186" s="237"/>
      <c r="X2186" s="237"/>
      <c r="Y2186" s="237"/>
      <c r="Z2186" s="237"/>
    </row>
    <row r="2187">
      <c r="A2187" s="305">
        <v>2186.0</v>
      </c>
      <c r="B2187" s="306" t="s">
        <v>7556</v>
      </c>
      <c r="C2187" s="307" t="s">
        <v>1420</v>
      </c>
      <c r="D2187" s="308" t="s">
        <v>7558</v>
      </c>
      <c r="E2187" s="305" t="s">
        <v>7559</v>
      </c>
      <c r="F2187" s="309" t="s">
        <v>7560</v>
      </c>
      <c r="G2187" s="236"/>
      <c r="H2187" s="307" t="s">
        <v>1420</v>
      </c>
      <c r="I2187" s="237"/>
      <c r="J2187" s="237"/>
      <c r="K2187" s="310" t="s">
        <v>7557</v>
      </c>
      <c r="L2187" s="237"/>
      <c r="M2187" s="237"/>
      <c r="N2187" s="237"/>
      <c r="O2187" s="237"/>
      <c r="P2187" s="237"/>
      <c r="Q2187" s="237"/>
      <c r="R2187" s="237"/>
      <c r="S2187" s="237"/>
      <c r="T2187" s="237"/>
      <c r="U2187" s="237"/>
      <c r="V2187" s="237"/>
      <c r="W2187" s="237"/>
      <c r="X2187" s="237"/>
      <c r="Y2187" s="237"/>
      <c r="Z2187" s="237"/>
    </row>
    <row r="2188">
      <c r="A2188" s="305">
        <v>2187.0</v>
      </c>
      <c r="B2188" s="306" t="s">
        <v>7566</v>
      </c>
      <c r="C2188" s="307" t="s">
        <v>1420</v>
      </c>
      <c r="D2188" s="308" t="s">
        <v>7568</v>
      </c>
      <c r="E2188" s="305" t="s">
        <v>7569</v>
      </c>
      <c r="F2188" s="309" t="s">
        <v>7570</v>
      </c>
      <c r="G2188" s="236"/>
      <c r="H2188" s="307" t="s">
        <v>1420</v>
      </c>
      <c r="I2188" s="237"/>
      <c r="J2188" s="237"/>
      <c r="K2188" s="310" t="s">
        <v>7567</v>
      </c>
      <c r="L2188" s="237"/>
      <c r="M2188" s="237"/>
      <c r="N2188" s="237"/>
      <c r="O2188" s="237"/>
      <c r="P2188" s="237"/>
      <c r="Q2188" s="237"/>
      <c r="R2188" s="237"/>
      <c r="S2188" s="237"/>
      <c r="T2188" s="237"/>
      <c r="U2188" s="237"/>
      <c r="V2188" s="237"/>
      <c r="W2188" s="237"/>
      <c r="X2188" s="237"/>
      <c r="Y2188" s="237"/>
      <c r="Z2188" s="237"/>
    </row>
    <row r="2189">
      <c r="A2189" s="305">
        <v>2188.0</v>
      </c>
      <c r="B2189" s="306" t="s">
        <v>7561</v>
      </c>
      <c r="C2189" s="307" t="s">
        <v>1420</v>
      </c>
      <c r="D2189" s="308" t="s">
        <v>7563</v>
      </c>
      <c r="E2189" s="305" t="s">
        <v>7564</v>
      </c>
      <c r="F2189" s="309" t="s">
        <v>7565</v>
      </c>
      <c r="G2189" s="236"/>
      <c r="H2189" s="307" t="s">
        <v>1420</v>
      </c>
      <c r="I2189" s="237"/>
      <c r="J2189" s="237"/>
      <c r="K2189" s="310" t="s">
        <v>7562</v>
      </c>
      <c r="L2189" s="237"/>
      <c r="M2189" s="237"/>
      <c r="N2189" s="237"/>
      <c r="O2189" s="237"/>
      <c r="P2189" s="237"/>
      <c r="Q2189" s="237"/>
      <c r="R2189" s="237"/>
      <c r="S2189" s="237"/>
      <c r="T2189" s="237"/>
      <c r="U2189" s="237"/>
      <c r="V2189" s="237"/>
      <c r="W2189" s="237"/>
      <c r="X2189" s="237"/>
      <c r="Y2189" s="237"/>
      <c r="Z2189" s="237"/>
    </row>
    <row r="2190">
      <c r="A2190" s="305">
        <v>2189.0</v>
      </c>
      <c r="B2190" s="306" t="s">
        <v>7551</v>
      </c>
      <c r="C2190" s="307" t="s">
        <v>1420</v>
      </c>
      <c r="D2190" s="308" t="s">
        <v>7553</v>
      </c>
      <c r="E2190" s="305" t="s">
        <v>7554</v>
      </c>
      <c r="F2190" s="309" t="s">
        <v>7555</v>
      </c>
      <c r="G2190" s="236"/>
      <c r="H2190" s="307" t="s">
        <v>1420</v>
      </c>
      <c r="I2190" s="237"/>
      <c r="J2190" s="237"/>
      <c r="K2190" s="310" t="s">
        <v>7552</v>
      </c>
      <c r="L2190" s="237"/>
      <c r="M2190" s="237"/>
      <c r="N2190" s="237"/>
      <c r="O2190" s="237"/>
      <c r="P2190" s="237"/>
      <c r="Q2190" s="237"/>
      <c r="R2190" s="237"/>
      <c r="S2190" s="237"/>
      <c r="T2190" s="237"/>
      <c r="U2190" s="237"/>
      <c r="V2190" s="237"/>
      <c r="W2190" s="237"/>
      <c r="X2190" s="237"/>
      <c r="Y2190" s="237"/>
      <c r="Z2190" s="237"/>
    </row>
    <row r="2191">
      <c r="A2191" s="305">
        <v>2190.0</v>
      </c>
      <c r="B2191" s="306" t="s">
        <v>7072</v>
      </c>
      <c r="C2191" s="307" t="s">
        <v>1420</v>
      </c>
      <c r="D2191" s="308" t="s">
        <v>7074</v>
      </c>
      <c r="E2191" s="305" t="s">
        <v>7075</v>
      </c>
      <c r="F2191" s="309" t="s">
        <v>7087</v>
      </c>
      <c r="G2191" s="236"/>
      <c r="H2191" s="307" t="s">
        <v>1420</v>
      </c>
      <c r="I2191" s="237"/>
      <c r="J2191" s="237"/>
      <c r="K2191" s="310" t="s">
        <v>7086</v>
      </c>
      <c r="L2191" s="237"/>
      <c r="M2191" s="237"/>
      <c r="N2191" s="237"/>
      <c r="O2191" s="237"/>
      <c r="P2191" s="237"/>
      <c r="Q2191" s="237"/>
      <c r="R2191" s="237"/>
      <c r="S2191" s="237"/>
      <c r="T2191" s="237"/>
      <c r="U2191" s="237"/>
      <c r="V2191" s="237"/>
      <c r="W2191" s="237"/>
      <c r="X2191" s="237"/>
      <c r="Y2191" s="237"/>
      <c r="Z2191" s="237"/>
    </row>
    <row r="2192">
      <c r="A2192" s="305">
        <v>2191.0</v>
      </c>
      <c r="B2192" s="306" t="s">
        <v>7064</v>
      </c>
      <c r="C2192" s="307" t="s">
        <v>1420</v>
      </c>
      <c r="D2192" s="308" t="s">
        <v>7066</v>
      </c>
      <c r="E2192" s="305" t="s">
        <v>7067</v>
      </c>
      <c r="F2192" s="309" t="s">
        <v>7083</v>
      </c>
      <c r="G2192" s="236"/>
      <c r="H2192" s="307" t="s">
        <v>1420</v>
      </c>
      <c r="I2192" s="237"/>
      <c r="J2192" s="237"/>
      <c r="K2192" s="310" t="s">
        <v>7082</v>
      </c>
      <c r="L2192" s="237"/>
      <c r="M2192" s="237"/>
      <c r="N2192" s="237"/>
      <c r="O2192" s="237"/>
      <c r="P2192" s="237"/>
      <c r="Q2192" s="237"/>
      <c r="R2192" s="237"/>
      <c r="S2192" s="237"/>
      <c r="T2192" s="237"/>
      <c r="U2192" s="237"/>
      <c r="V2192" s="237"/>
      <c r="W2192" s="237"/>
      <c r="X2192" s="237"/>
      <c r="Y2192" s="237"/>
      <c r="Z2192" s="237"/>
    </row>
    <row r="2193">
      <c r="A2193" s="305">
        <v>2192.0</v>
      </c>
      <c r="B2193" s="306" t="s">
        <v>7068</v>
      </c>
      <c r="C2193" s="307" t="s">
        <v>1420</v>
      </c>
      <c r="D2193" s="308" t="s">
        <v>7070</v>
      </c>
      <c r="E2193" s="305" t="s">
        <v>7071</v>
      </c>
      <c r="F2193" s="309" t="s">
        <v>7085</v>
      </c>
      <c r="G2193" s="236"/>
      <c r="H2193" s="307" t="s">
        <v>1420</v>
      </c>
      <c r="I2193" s="237"/>
      <c r="J2193" s="237"/>
      <c r="K2193" s="310" t="s">
        <v>7084</v>
      </c>
      <c r="L2193" s="237"/>
      <c r="M2193" s="237"/>
      <c r="N2193" s="237"/>
      <c r="O2193" s="237"/>
      <c r="P2193" s="237"/>
      <c r="Q2193" s="237"/>
      <c r="R2193" s="237"/>
      <c r="S2193" s="237"/>
      <c r="T2193" s="237"/>
      <c r="U2193" s="237"/>
      <c r="V2193" s="237"/>
      <c r="W2193" s="237"/>
      <c r="X2193" s="237"/>
      <c r="Y2193" s="237"/>
      <c r="Z2193" s="237"/>
    </row>
    <row r="2194">
      <c r="A2194" s="305">
        <v>2193.0</v>
      </c>
      <c r="B2194" s="306" t="s">
        <v>7060</v>
      </c>
      <c r="C2194" s="307" t="s">
        <v>1420</v>
      </c>
      <c r="D2194" s="308" t="s">
        <v>7062</v>
      </c>
      <c r="E2194" s="305" t="s">
        <v>7063</v>
      </c>
      <c r="F2194" s="309" t="s">
        <v>7081</v>
      </c>
      <c r="G2194" s="236"/>
      <c r="H2194" s="307" t="s">
        <v>1420</v>
      </c>
      <c r="I2194" s="237"/>
      <c r="J2194" s="237"/>
      <c r="K2194" s="310" t="s">
        <v>7080</v>
      </c>
      <c r="L2194" s="237"/>
      <c r="M2194" s="237"/>
      <c r="N2194" s="237"/>
      <c r="O2194" s="237"/>
      <c r="P2194" s="237"/>
      <c r="Q2194" s="237"/>
      <c r="R2194" s="237"/>
      <c r="S2194" s="237"/>
      <c r="T2194" s="237"/>
      <c r="U2194" s="237"/>
      <c r="V2194" s="237"/>
      <c r="W2194" s="237"/>
      <c r="X2194" s="237"/>
      <c r="Y2194" s="237"/>
      <c r="Z2194" s="237"/>
    </row>
    <row r="2195">
      <c r="A2195" s="305">
        <v>2194.0</v>
      </c>
      <c r="B2195" s="236"/>
      <c r="C2195" s="307" t="s">
        <v>1420</v>
      </c>
      <c r="D2195" s="308" t="s">
        <v>14674</v>
      </c>
      <c r="E2195" s="305" t="s">
        <v>7079</v>
      </c>
      <c r="F2195" s="309" t="s">
        <v>7089</v>
      </c>
      <c r="G2195" s="236"/>
      <c r="H2195" s="307" t="s">
        <v>1420</v>
      </c>
      <c r="I2195" s="237"/>
      <c r="J2195" s="237"/>
      <c r="K2195" s="310" t="s">
        <v>7088</v>
      </c>
      <c r="L2195" s="237"/>
      <c r="M2195" s="237"/>
      <c r="N2195" s="237"/>
      <c r="O2195" s="237"/>
      <c r="P2195" s="237"/>
      <c r="Q2195" s="237"/>
      <c r="R2195" s="237"/>
      <c r="S2195" s="237"/>
      <c r="T2195" s="237"/>
      <c r="U2195" s="237"/>
      <c r="V2195" s="237"/>
      <c r="W2195" s="237"/>
      <c r="X2195" s="237"/>
      <c r="Y2195" s="237"/>
      <c r="Z2195" s="237"/>
    </row>
    <row r="2196">
      <c r="A2196" s="305">
        <v>2195.0</v>
      </c>
      <c r="B2196" s="306" t="s">
        <v>7202</v>
      </c>
      <c r="C2196" s="307" t="s">
        <v>1420</v>
      </c>
      <c r="D2196" s="308" t="s">
        <v>7204</v>
      </c>
      <c r="E2196" s="305" t="s">
        <v>7205</v>
      </c>
      <c r="F2196" s="309" t="s">
        <v>7206</v>
      </c>
      <c r="G2196" s="236"/>
      <c r="H2196" s="307" t="s">
        <v>1420</v>
      </c>
      <c r="I2196" s="237"/>
      <c r="J2196" s="237"/>
      <c r="K2196" s="310" t="s">
        <v>7203</v>
      </c>
      <c r="L2196" s="237"/>
      <c r="M2196" s="237"/>
      <c r="N2196" s="237"/>
      <c r="O2196" s="237"/>
      <c r="P2196" s="237"/>
      <c r="Q2196" s="237"/>
      <c r="R2196" s="237"/>
      <c r="S2196" s="237"/>
      <c r="T2196" s="237"/>
      <c r="U2196" s="237"/>
      <c r="V2196" s="237"/>
      <c r="W2196" s="237"/>
      <c r="X2196" s="237"/>
      <c r="Y2196" s="237"/>
      <c r="Z2196" s="237"/>
    </row>
    <row r="2197">
      <c r="A2197" s="305">
        <v>2196.0</v>
      </c>
      <c r="B2197" s="306" t="s">
        <v>7509</v>
      </c>
      <c r="C2197" s="307" t="s">
        <v>1420</v>
      </c>
      <c r="D2197" s="308" t="s">
        <v>7511</v>
      </c>
      <c r="E2197" s="305" t="s">
        <v>7512</v>
      </c>
      <c r="F2197" s="236"/>
      <c r="G2197" s="236"/>
      <c r="H2197" s="307" t="s">
        <v>1420</v>
      </c>
      <c r="I2197" s="237"/>
      <c r="J2197" s="237"/>
      <c r="K2197" s="310" t="s">
        <v>7510</v>
      </c>
      <c r="L2197" s="237"/>
      <c r="M2197" s="237"/>
      <c r="N2197" s="237"/>
      <c r="O2197" s="237"/>
      <c r="P2197" s="237"/>
      <c r="Q2197" s="237"/>
      <c r="R2197" s="237"/>
      <c r="S2197" s="237"/>
      <c r="T2197" s="237"/>
      <c r="U2197" s="237"/>
      <c r="V2197" s="237"/>
      <c r="W2197" s="237"/>
      <c r="X2197" s="237"/>
      <c r="Y2197" s="237"/>
      <c r="Z2197" s="237"/>
    </row>
    <row r="2198">
      <c r="A2198" s="305">
        <v>2197.0</v>
      </c>
      <c r="B2198" s="306" t="s">
        <v>7445</v>
      </c>
      <c r="C2198" s="307" t="s">
        <v>1420</v>
      </c>
      <c r="D2198" s="308" t="s">
        <v>7447</v>
      </c>
      <c r="E2198" s="305" t="s">
        <v>7448</v>
      </c>
      <c r="F2198" s="309" t="s">
        <v>7449</v>
      </c>
      <c r="G2198" s="236"/>
      <c r="H2198" s="307" t="s">
        <v>1420</v>
      </c>
      <c r="I2198" s="237"/>
      <c r="J2198" s="237"/>
      <c r="K2198" s="310" t="s">
        <v>7446</v>
      </c>
      <c r="L2198" s="237"/>
      <c r="M2198" s="237"/>
      <c r="N2198" s="237"/>
      <c r="O2198" s="237"/>
      <c r="P2198" s="237"/>
      <c r="Q2198" s="237"/>
      <c r="R2198" s="237"/>
      <c r="S2198" s="237"/>
      <c r="T2198" s="237"/>
      <c r="U2198" s="237"/>
      <c r="V2198" s="237"/>
      <c r="W2198" s="237"/>
      <c r="X2198" s="237"/>
      <c r="Y2198" s="237"/>
      <c r="Z2198" s="237"/>
    </row>
    <row r="2199">
      <c r="A2199" s="305">
        <v>2198.0</v>
      </c>
      <c r="B2199" s="306" t="s">
        <v>7571</v>
      </c>
      <c r="C2199" s="307" t="s">
        <v>1420</v>
      </c>
      <c r="D2199" s="308" t="s">
        <v>7573</v>
      </c>
      <c r="E2199" s="305" t="s">
        <v>7574</v>
      </c>
      <c r="F2199" s="309" t="s">
        <v>7575</v>
      </c>
      <c r="G2199" s="236"/>
      <c r="H2199" s="307" t="s">
        <v>1420</v>
      </c>
      <c r="I2199" s="237"/>
      <c r="J2199" s="237"/>
      <c r="K2199" s="310" t="s">
        <v>7572</v>
      </c>
      <c r="L2199" s="237"/>
      <c r="M2199" s="237"/>
      <c r="N2199" s="237"/>
      <c r="O2199" s="237"/>
      <c r="P2199" s="237"/>
      <c r="Q2199" s="237"/>
      <c r="R2199" s="237"/>
      <c r="S2199" s="237"/>
      <c r="T2199" s="237"/>
      <c r="U2199" s="237"/>
      <c r="V2199" s="237"/>
      <c r="W2199" s="237"/>
      <c r="X2199" s="237"/>
      <c r="Y2199" s="237"/>
      <c r="Z2199" s="237"/>
    </row>
    <row r="2200">
      <c r="A2200" s="305">
        <v>2199.0</v>
      </c>
      <c r="B2200" s="306" t="s">
        <v>7166</v>
      </c>
      <c r="C2200" s="307" t="s">
        <v>1420</v>
      </c>
      <c r="D2200" s="308" t="s">
        <v>7168</v>
      </c>
      <c r="E2200" s="305" t="s">
        <v>7169</v>
      </c>
      <c r="F2200" s="309" t="s">
        <v>7170</v>
      </c>
      <c r="G2200" s="236"/>
      <c r="H2200" s="307" t="s">
        <v>1420</v>
      </c>
      <c r="I2200" s="237"/>
      <c r="J2200" s="237"/>
      <c r="K2200" s="310" t="s">
        <v>7167</v>
      </c>
      <c r="L2200" s="237"/>
      <c r="M2200" s="237"/>
      <c r="N2200" s="237"/>
      <c r="O2200" s="237"/>
      <c r="P2200" s="237"/>
      <c r="Q2200" s="237"/>
      <c r="R2200" s="237"/>
      <c r="S2200" s="237"/>
      <c r="T2200" s="237"/>
      <c r="U2200" s="237"/>
      <c r="V2200" s="237"/>
      <c r="W2200" s="237"/>
      <c r="X2200" s="237"/>
      <c r="Y2200" s="237"/>
      <c r="Z2200" s="237"/>
    </row>
    <row r="2201">
      <c r="A2201" s="305">
        <v>2200.0</v>
      </c>
      <c r="B2201" s="306" t="s">
        <v>7171</v>
      </c>
      <c r="C2201" s="307" t="s">
        <v>1420</v>
      </c>
      <c r="D2201" s="308" t="s">
        <v>7173</v>
      </c>
      <c r="E2201" s="305" t="s">
        <v>7174</v>
      </c>
      <c r="F2201" s="309" t="s">
        <v>7175</v>
      </c>
      <c r="G2201" s="236"/>
      <c r="H2201" s="307" t="s">
        <v>1420</v>
      </c>
      <c r="I2201" s="237"/>
      <c r="J2201" s="237"/>
      <c r="K2201" s="310" t="s">
        <v>7172</v>
      </c>
      <c r="L2201" s="237"/>
      <c r="M2201" s="237"/>
      <c r="N2201" s="237"/>
      <c r="O2201" s="237"/>
      <c r="P2201" s="237"/>
      <c r="Q2201" s="237"/>
      <c r="R2201" s="237"/>
      <c r="S2201" s="237"/>
      <c r="T2201" s="237"/>
      <c r="U2201" s="237"/>
      <c r="V2201" s="237"/>
      <c r="W2201" s="237"/>
      <c r="X2201" s="237"/>
      <c r="Y2201" s="237"/>
      <c r="Z2201" s="237"/>
    </row>
    <row r="2202">
      <c r="A2202" s="305">
        <v>2201.0</v>
      </c>
      <c r="B2202" s="306" t="s">
        <v>7581</v>
      </c>
      <c r="C2202" s="307" t="s">
        <v>1420</v>
      </c>
      <c r="D2202" s="308" t="s">
        <v>7583</v>
      </c>
      <c r="E2202" s="305" t="s">
        <v>7584</v>
      </c>
      <c r="F2202" s="309" t="s">
        <v>7585</v>
      </c>
      <c r="G2202" s="236"/>
      <c r="H2202" s="307" t="s">
        <v>1420</v>
      </c>
      <c r="I2202" s="237"/>
      <c r="J2202" s="237"/>
      <c r="K2202" s="310" t="s">
        <v>7582</v>
      </c>
      <c r="L2202" s="237"/>
      <c r="M2202" s="237"/>
      <c r="N2202" s="237"/>
      <c r="O2202" s="237"/>
      <c r="P2202" s="237"/>
      <c r="Q2202" s="237"/>
      <c r="R2202" s="237"/>
      <c r="S2202" s="237"/>
      <c r="T2202" s="237"/>
      <c r="U2202" s="237"/>
      <c r="V2202" s="237"/>
      <c r="W2202" s="237"/>
      <c r="X2202" s="237"/>
      <c r="Y2202" s="237"/>
      <c r="Z2202" s="237"/>
    </row>
    <row r="2203">
      <c r="A2203" s="305">
        <v>2202.0</v>
      </c>
      <c r="B2203" s="306" t="s">
        <v>7576</v>
      </c>
      <c r="C2203" s="307" t="s">
        <v>1420</v>
      </c>
      <c r="D2203" s="308" t="s">
        <v>7578</v>
      </c>
      <c r="E2203" s="305" t="s">
        <v>7579</v>
      </c>
      <c r="F2203" s="309" t="s">
        <v>7580</v>
      </c>
      <c r="G2203" s="236"/>
      <c r="H2203" s="307" t="s">
        <v>1420</v>
      </c>
      <c r="I2203" s="237"/>
      <c r="J2203" s="237"/>
      <c r="K2203" s="310" t="s">
        <v>7577</v>
      </c>
      <c r="L2203" s="237"/>
      <c r="M2203" s="237"/>
      <c r="N2203" s="237"/>
      <c r="O2203" s="237"/>
      <c r="P2203" s="237"/>
      <c r="Q2203" s="237"/>
      <c r="R2203" s="237"/>
      <c r="S2203" s="237"/>
      <c r="T2203" s="237"/>
      <c r="U2203" s="237"/>
      <c r="V2203" s="237"/>
      <c r="W2203" s="237"/>
      <c r="X2203" s="237"/>
      <c r="Y2203" s="237"/>
      <c r="Z2203" s="237"/>
    </row>
    <row r="2204">
      <c r="A2204" s="305">
        <v>2203.0</v>
      </c>
      <c r="B2204" s="306" t="s">
        <v>7217</v>
      </c>
      <c r="C2204" s="307" t="s">
        <v>1420</v>
      </c>
      <c r="D2204" s="308" t="s">
        <v>7219</v>
      </c>
      <c r="E2204" s="305" t="s">
        <v>7220</v>
      </c>
      <c r="F2204" s="309" t="s">
        <v>7221</v>
      </c>
      <c r="G2204" s="236"/>
      <c r="H2204" s="307" t="s">
        <v>1420</v>
      </c>
      <c r="I2204" s="237"/>
      <c r="J2204" s="237"/>
      <c r="K2204" s="310" t="s">
        <v>7218</v>
      </c>
      <c r="L2204" s="237"/>
      <c r="M2204" s="237"/>
      <c r="N2204" s="237"/>
      <c r="O2204" s="237"/>
      <c r="P2204" s="237"/>
      <c r="Q2204" s="237"/>
      <c r="R2204" s="237"/>
      <c r="S2204" s="237"/>
      <c r="T2204" s="237"/>
      <c r="U2204" s="237"/>
      <c r="V2204" s="237"/>
      <c r="W2204" s="237"/>
      <c r="X2204" s="237"/>
      <c r="Y2204" s="237"/>
      <c r="Z2204" s="237"/>
    </row>
    <row r="2205">
      <c r="A2205" s="305">
        <v>2204.0</v>
      </c>
      <c r="B2205" s="306" t="s">
        <v>7212</v>
      </c>
      <c r="C2205" s="307" t="s">
        <v>1420</v>
      </c>
      <c r="D2205" s="308" t="s">
        <v>7214</v>
      </c>
      <c r="E2205" s="305" t="s">
        <v>7215</v>
      </c>
      <c r="F2205" s="309" t="s">
        <v>7216</v>
      </c>
      <c r="G2205" s="236"/>
      <c r="H2205" s="307" t="s">
        <v>1420</v>
      </c>
      <c r="I2205" s="237"/>
      <c r="J2205" s="237"/>
      <c r="K2205" s="310" t="s">
        <v>7213</v>
      </c>
      <c r="L2205" s="237"/>
      <c r="M2205" s="237"/>
      <c r="N2205" s="237"/>
      <c r="O2205" s="237"/>
      <c r="P2205" s="237"/>
      <c r="Q2205" s="237"/>
      <c r="R2205" s="237"/>
      <c r="S2205" s="237"/>
      <c r="T2205" s="237"/>
      <c r="U2205" s="237"/>
      <c r="V2205" s="237"/>
      <c r="W2205" s="237"/>
      <c r="X2205" s="237"/>
      <c r="Y2205" s="237"/>
      <c r="Z2205" s="237"/>
    </row>
    <row r="2206">
      <c r="A2206" s="305">
        <v>2205.0</v>
      </c>
      <c r="B2206" s="306" t="s">
        <v>7207</v>
      </c>
      <c r="C2206" s="307" t="s">
        <v>1420</v>
      </c>
      <c r="D2206" s="308" t="s">
        <v>7209</v>
      </c>
      <c r="E2206" s="305" t="s">
        <v>7210</v>
      </c>
      <c r="F2206" s="309" t="s">
        <v>7211</v>
      </c>
      <c r="G2206" s="236"/>
      <c r="H2206" s="307" t="s">
        <v>1420</v>
      </c>
      <c r="I2206" s="237"/>
      <c r="J2206" s="237"/>
      <c r="K2206" s="310" t="s">
        <v>7208</v>
      </c>
      <c r="L2206" s="237"/>
      <c r="M2206" s="237"/>
      <c r="N2206" s="237"/>
      <c r="O2206" s="237"/>
      <c r="P2206" s="237"/>
      <c r="Q2206" s="237"/>
      <c r="R2206" s="237"/>
      <c r="S2206" s="237"/>
      <c r="T2206" s="237"/>
      <c r="U2206" s="237"/>
      <c r="V2206" s="237"/>
      <c r="W2206" s="237"/>
      <c r="X2206" s="237"/>
      <c r="Y2206" s="237"/>
      <c r="Z2206" s="237"/>
    </row>
    <row r="2207">
      <c r="A2207" s="305">
        <v>2206.0</v>
      </c>
      <c r="B2207" s="306" t="s">
        <v>7179</v>
      </c>
      <c r="C2207" s="307" t="s">
        <v>1420</v>
      </c>
      <c r="D2207" s="308" t="s">
        <v>7181</v>
      </c>
      <c r="E2207" s="305" t="s">
        <v>7182</v>
      </c>
      <c r="F2207" s="309" t="s">
        <v>7183</v>
      </c>
      <c r="G2207" s="236"/>
      <c r="H2207" s="307" t="s">
        <v>1420</v>
      </c>
      <c r="I2207" s="237"/>
      <c r="J2207" s="237"/>
      <c r="K2207" s="310" t="s">
        <v>7180</v>
      </c>
      <c r="L2207" s="237"/>
      <c r="M2207" s="237"/>
      <c r="N2207" s="237"/>
      <c r="O2207" s="237"/>
      <c r="P2207" s="237"/>
      <c r="Q2207" s="237"/>
      <c r="R2207" s="237"/>
      <c r="S2207" s="237"/>
      <c r="T2207" s="237"/>
      <c r="U2207" s="237"/>
      <c r="V2207" s="237"/>
      <c r="W2207" s="237"/>
      <c r="X2207" s="237"/>
      <c r="Y2207" s="237"/>
      <c r="Z2207" s="237"/>
    </row>
    <row r="2208">
      <c r="A2208" s="305">
        <v>2207.0</v>
      </c>
      <c r="B2208" s="306" t="s">
        <v>7184</v>
      </c>
      <c r="C2208" s="307" t="s">
        <v>1420</v>
      </c>
      <c r="D2208" s="308" t="s">
        <v>7186</v>
      </c>
      <c r="E2208" s="305" t="s">
        <v>7187</v>
      </c>
      <c r="F2208" s="309" t="s">
        <v>7188</v>
      </c>
      <c r="G2208" s="236"/>
      <c r="H2208" s="307" t="s">
        <v>1420</v>
      </c>
      <c r="I2208" s="237"/>
      <c r="J2208" s="237"/>
      <c r="K2208" s="310" t="s">
        <v>7185</v>
      </c>
      <c r="L2208" s="237"/>
      <c r="M2208" s="237"/>
      <c r="N2208" s="237"/>
      <c r="O2208" s="237"/>
      <c r="P2208" s="237"/>
      <c r="Q2208" s="237"/>
      <c r="R2208" s="237"/>
      <c r="S2208" s="237"/>
      <c r="T2208" s="237"/>
      <c r="U2208" s="237"/>
      <c r="V2208" s="237"/>
      <c r="W2208" s="237"/>
      <c r="X2208" s="237"/>
      <c r="Y2208" s="237"/>
      <c r="Z2208" s="237"/>
    </row>
    <row r="2209">
      <c r="A2209" s="305">
        <v>2208.0</v>
      </c>
      <c r="B2209" s="306" t="s">
        <v>5905</v>
      </c>
      <c r="C2209" s="307" t="s">
        <v>1420</v>
      </c>
      <c r="D2209" s="308" t="s">
        <v>5907</v>
      </c>
      <c r="E2209" s="305" t="s">
        <v>5444</v>
      </c>
      <c r="F2209" s="309" t="s">
        <v>5908</v>
      </c>
      <c r="G2209" s="236"/>
      <c r="H2209" s="307" t="s">
        <v>1420</v>
      </c>
      <c r="I2209" s="237"/>
      <c r="J2209" s="237"/>
      <c r="K2209" s="310" t="s">
        <v>5906</v>
      </c>
      <c r="L2209" s="237"/>
      <c r="M2209" s="237"/>
      <c r="N2209" s="237"/>
      <c r="O2209" s="237"/>
      <c r="P2209" s="237"/>
      <c r="Q2209" s="237"/>
      <c r="R2209" s="237"/>
      <c r="S2209" s="237"/>
      <c r="T2209" s="237"/>
      <c r="U2209" s="237"/>
      <c r="V2209" s="237"/>
      <c r="W2209" s="237"/>
      <c r="X2209" s="237"/>
      <c r="Y2209" s="237"/>
      <c r="Z2209" s="237"/>
    </row>
    <row r="2210">
      <c r="A2210" s="305">
        <v>2209.0</v>
      </c>
      <c r="B2210" s="236"/>
      <c r="C2210" s="307" t="s">
        <v>1420</v>
      </c>
      <c r="D2210" s="308" t="s">
        <v>5907</v>
      </c>
      <c r="E2210" s="305" t="s">
        <v>7190</v>
      </c>
      <c r="F2210" s="309" t="s">
        <v>7191</v>
      </c>
      <c r="G2210" s="236"/>
      <c r="H2210" s="307" t="s">
        <v>1420</v>
      </c>
      <c r="I2210" s="237"/>
      <c r="J2210" s="237"/>
      <c r="K2210" s="310" t="s">
        <v>7189</v>
      </c>
      <c r="L2210" s="237"/>
      <c r="M2210" s="237"/>
      <c r="N2210" s="237"/>
      <c r="O2210" s="237"/>
      <c r="P2210" s="237"/>
      <c r="Q2210" s="237"/>
      <c r="R2210" s="237"/>
      <c r="S2210" s="237"/>
      <c r="T2210" s="237"/>
      <c r="U2210" s="237"/>
      <c r="V2210" s="237"/>
      <c r="W2210" s="237"/>
      <c r="X2210" s="237"/>
      <c r="Y2210" s="237"/>
      <c r="Z2210" s="237"/>
    </row>
    <row r="2211">
      <c r="A2211" s="305">
        <v>2210.0</v>
      </c>
      <c r="B2211" s="306" t="s">
        <v>7536</v>
      </c>
      <c r="C2211" s="307" t="s">
        <v>1420</v>
      </c>
      <c r="D2211" s="308" t="s">
        <v>7538</v>
      </c>
      <c r="E2211" s="305" t="s">
        <v>7539</v>
      </c>
      <c r="F2211" s="309" t="s">
        <v>7540</v>
      </c>
      <c r="G2211" s="236"/>
      <c r="H2211" s="307" t="s">
        <v>1420</v>
      </c>
      <c r="I2211" s="237"/>
      <c r="J2211" s="237"/>
      <c r="K2211" s="310" t="s">
        <v>7537</v>
      </c>
      <c r="L2211" s="237"/>
      <c r="M2211" s="237"/>
      <c r="N2211" s="237"/>
      <c r="O2211" s="237"/>
      <c r="P2211" s="237"/>
      <c r="Q2211" s="237"/>
      <c r="R2211" s="237"/>
      <c r="S2211" s="237"/>
      <c r="T2211" s="237"/>
      <c r="U2211" s="237"/>
      <c r="V2211" s="237"/>
      <c r="W2211" s="237"/>
      <c r="X2211" s="237"/>
      <c r="Y2211" s="237"/>
      <c r="Z2211" s="237"/>
    </row>
    <row r="2212">
      <c r="A2212" s="305">
        <v>2211.0</v>
      </c>
      <c r="B2212" s="306" t="s">
        <v>7192</v>
      </c>
      <c r="C2212" s="307" t="s">
        <v>1420</v>
      </c>
      <c r="D2212" s="308" t="s">
        <v>7194</v>
      </c>
      <c r="E2212" s="305" t="s">
        <v>7195</v>
      </c>
      <c r="F2212" s="309" t="s">
        <v>7196</v>
      </c>
      <c r="G2212" s="236"/>
      <c r="H2212" s="307" t="s">
        <v>1420</v>
      </c>
      <c r="I2212" s="237"/>
      <c r="J2212" s="237"/>
      <c r="K2212" s="310" t="s">
        <v>7193</v>
      </c>
      <c r="L2212" s="237"/>
      <c r="M2212" s="237"/>
      <c r="N2212" s="237"/>
      <c r="O2212" s="237"/>
      <c r="P2212" s="237"/>
      <c r="Q2212" s="237"/>
      <c r="R2212" s="237"/>
      <c r="S2212" s="237"/>
      <c r="T2212" s="237"/>
      <c r="U2212" s="237"/>
      <c r="V2212" s="237"/>
      <c r="W2212" s="237"/>
      <c r="X2212" s="237"/>
      <c r="Y2212" s="237"/>
      <c r="Z2212" s="237"/>
    </row>
    <row r="2213">
      <c r="A2213" s="305">
        <v>2212.0</v>
      </c>
      <c r="B2213" s="306" t="s">
        <v>7197</v>
      </c>
      <c r="C2213" s="307" t="s">
        <v>1420</v>
      </c>
      <c r="D2213" s="308" t="s">
        <v>7199</v>
      </c>
      <c r="E2213" s="305" t="s">
        <v>7200</v>
      </c>
      <c r="F2213" s="309" t="s">
        <v>7201</v>
      </c>
      <c r="G2213" s="236"/>
      <c r="H2213" s="307" t="s">
        <v>1420</v>
      </c>
      <c r="I2213" s="237"/>
      <c r="J2213" s="237"/>
      <c r="K2213" s="310" t="s">
        <v>7198</v>
      </c>
      <c r="L2213" s="237"/>
      <c r="M2213" s="237"/>
      <c r="N2213" s="237"/>
      <c r="O2213" s="237"/>
      <c r="P2213" s="237"/>
      <c r="Q2213" s="237"/>
      <c r="R2213" s="237"/>
      <c r="S2213" s="237"/>
      <c r="T2213" s="237"/>
      <c r="U2213" s="237"/>
      <c r="V2213" s="237"/>
      <c r="W2213" s="237"/>
      <c r="X2213" s="237"/>
      <c r="Y2213" s="237"/>
      <c r="Z2213" s="237"/>
    </row>
    <row r="2214">
      <c r="A2214" s="305">
        <v>2213.0</v>
      </c>
      <c r="B2214" s="306" t="s">
        <v>7541</v>
      </c>
      <c r="C2214" s="307" t="s">
        <v>1420</v>
      </c>
      <c r="D2214" s="308" t="s">
        <v>7543</v>
      </c>
      <c r="E2214" s="305" t="s">
        <v>7544</v>
      </c>
      <c r="F2214" s="309" t="s">
        <v>7545</v>
      </c>
      <c r="G2214" s="236"/>
      <c r="H2214" s="307" t="s">
        <v>1420</v>
      </c>
      <c r="I2214" s="237"/>
      <c r="J2214" s="237"/>
      <c r="K2214" s="310" t="s">
        <v>7542</v>
      </c>
      <c r="L2214" s="237"/>
      <c r="M2214" s="237"/>
      <c r="N2214" s="237"/>
      <c r="O2214" s="237"/>
      <c r="P2214" s="237"/>
      <c r="Q2214" s="237"/>
      <c r="R2214" s="237"/>
      <c r="S2214" s="237"/>
      <c r="T2214" s="237"/>
      <c r="U2214" s="237"/>
      <c r="V2214" s="237"/>
      <c r="W2214" s="237"/>
      <c r="X2214" s="237"/>
      <c r="Y2214" s="237"/>
      <c r="Z2214" s="237"/>
    </row>
    <row r="2215">
      <c r="A2215" s="305">
        <v>2214.0</v>
      </c>
      <c r="B2215" s="306" t="s">
        <v>7546</v>
      </c>
      <c r="C2215" s="307" t="s">
        <v>1420</v>
      </c>
      <c r="D2215" s="308" t="s">
        <v>7548</v>
      </c>
      <c r="E2215" s="305" t="s">
        <v>7549</v>
      </c>
      <c r="F2215" s="309" t="s">
        <v>7550</v>
      </c>
      <c r="G2215" s="236"/>
      <c r="H2215" s="307" t="s">
        <v>1420</v>
      </c>
      <c r="I2215" s="237"/>
      <c r="J2215" s="237"/>
      <c r="K2215" s="310" t="s">
        <v>7547</v>
      </c>
      <c r="L2215" s="237"/>
      <c r="M2215" s="237"/>
      <c r="N2215" s="237"/>
      <c r="O2215" s="237"/>
      <c r="P2215" s="237"/>
      <c r="Q2215" s="237"/>
      <c r="R2215" s="237"/>
      <c r="S2215" s="237"/>
      <c r="T2215" s="237"/>
      <c r="U2215" s="237"/>
      <c r="V2215" s="237"/>
      <c r="W2215" s="237"/>
      <c r="X2215" s="237"/>
      <c r="Y2215" s="237"/>
      <c r="Z2215" s="237"/>
    </row>
    <row r="2216">
      <c r="A2216" s="305">
        <v>2215.0</v>
      </c>
      <c r="B2216" s="306" t="s">
        <v>7489</v>
      </c>
      <c r="C2216" s="307" t="s">
        <v>1420</v>
      </c>
      <c r="D2216" s="308" t="s">
        <v>7491</v>
      </c>
      <c r="E2216" s="305" t="s">
        <v>7492</v>
      </c>
      <c r="F2216" s="236"/>
      <c r="G2216" s="236"/>
      <c r="H2216" s="307" t="s">
        <v>1420</v>
      </c>
      <c r="I2216" s="237"/>
      <c r="J2216" s="237"/>
      <c r="K2216" s="310" t="s">
        <v>7490</v>
      </c>
      <c r="L2216" s="237"/>
      <c r="M2216" s="237"/>
      <c r="N2216" s="237"/>
      <c r="O2216" s="237"/>
      <c r="P2216" s="237"/>
      <c r="Q2216" s="237"/>
      <c r="R2216" s="237"/>
      <c r="S2216" s="237"/>
      <c r="T2216" s="237"/>
      <c r="U2216" s="237"/>
      <c r="V2216" s="237"/>
      <c r="W2216" s="237"/>
      <c r="X2216" s="237"/>
      <c r="Y2216" s="237"/>
      <c r="Z2216" s="237"/>
    </row>
    <row r="2217">
      <c r="A2217" s="305">
        <v>2216.0</v>
      </c>
      <c r="B2217" s="306" t="s">
        <v>7493</v>
      </c>
      <c r="C2217" s="307" t="s">
        <v>1420</v>
      </c>
      <c r="D2217" s="308" t="s">
        <v>7495</v>
      </c>
      <c r="E2217" s="305" t="s">
        <v>7496</v>
      </c>
      <c r="F2217" s="236"/>
      <c r="G2217" s="236"/>
      <c r="H2217" s="307" t="s">
        <v>1420</v>
      </c>
      <c r="I2217" s="237"/>
      <c r="J2217" s="237"/>
      <c r="K2217" s="310" t="s">
        <v>7494</v>
      </c>
      <c r="L2217" s="237"/>
      <c r="M2217" s="237"/>
      <c r="N2217" s="237"/>
      <c r="O2217" s="237"/>
      <c r="P2217" s="237"/>
      <c r="Q2217" s="237"/>
      <c r="R2217" s="237"/>
      <c r="S2217" s="237"/>
      <c r="T2217" s="237"/>
      <c r="U2217" s="237"/>
      <c r="V2217" s="237"/>
      <c r="W2217" s="237"/>
      <c r="X2217" s="237"/>
      <c r="Y2217" s="237"/>
      <c r="Z2217" s="237"/>
    </row>
    <row r="2218">
      <c r="A2218" s="305">
        <v>2217.0</v>
      </c>
      <c r="B2218" s="306" t="s">
        <v>7497</v>
      </c>
      <c r="C2218" s="307" t="s">
        <v>1420</v>
      </c>
      <c r="D2218" s="308" t="s">
        <v>7499</v>
      </c>
      <c r="E2218" s="305" t="s">
        <v>7500</v>
      </c>
      <c r="F2218" s="236"/>
      <c r="G2218" s="236"/>
      <c r="H2218" s="307" t="s">
        <v>1420</v>
      </c>
      <c r="I2218" s="237"/>
      <c r="J2218" s="237"/>
      <c r="K2218" s="310" t="s">
        <v>7498</v>
      </c>
      <c r="L2218" s="237"/>
      <c r="M2218" s="237"/>
      <c r="N2218" s="237"/>
      <c r="O2218" s="237"/>
      <c r="P2218" s="237"/>
      <c r="Q2218" s="237"/>
      <c r="R2218" s="237"/>
      <c r="S2218" s="237"/>
      <c r="T2218" s="237"/>
      <c r="U2218" s="237"/>
      <c r="V2218" s="237"/>
      <c r="W2218" s="237"/>
      <c r="X2218" s="237"/>
      <c r="Y2218" s="237"/>
      <c r="Z2218" s="237"/>
    </row>
    <row r="2219">
      <c r="A2219" s="305">
        <v>2218.0</v>
      </c>
      <c r="B2219" s="306" t="s">
        <v>7472</v>
      </c>
      <c r="C2219" s="307" t="s">
        <v>1420</v>
      </c>
      <c r="D2219" s="308" t="s">
        <v>7474</v>
      </c>
      <c r="E2219" s="305" t="s">
        <v>7475</v>
      </c>
      <c r="F2219" s="309" t="s">
        <v>7476</v>
      </c>
      <c r="G2219" s="236"/>
      <c r="H2219" s="307" t="s">
        <v>1420</v>
      </c>
      <c r="I2219" s="237"/>
      <c r="J2219" s="237"/>
      <c r="K2219" s="310" t="s">
        <v>7473</v>
      </c>
      <c r="L2219" s="237"/>
      <c r="M2219" s="237"/>
      <c r="N2219" s="237"/>
      <c r="O2219" s="237"/>
      <c r="P2219" s="237"/>
      <c r="Q2219" s="237"/>
      <c r="R2219" s="237"/>
      <c r="S2219" s="237"/>
      <c r="T2219" s="237"/>
      <c r="U2219" s="237"/>
      <c r="V2219" s="237"/>
      <c r="W2219" s="237"/>
      <c r="X2219" s="237"/>
      <c r="Y2219" s="237"/>
      <c r="Z2219" s="237"/>
    </row>
    <row r="2220">
      <c r="A2220" s="305">
        <v>2219.0</v>
      </c>
      <c r="B2220" s="306" t="s">
        <v>7477</v>
      </c>
      <c r="C2220" s="307" t="s">
        <v>1420</v>
      </c>
      <c r="D2220" s="308" t="s">
        <v>7479</v>
      </c>
      <c r="E2220" s="305" t="s">
        <v>7480</v>
      </c>
      <c r="F2220" s="236"/>
      <c r="G2220" s="236"/>
      <c r="H2220" s="307" t="s">
        <v>1420</v>
      </c>
      <c r="I2220" s="237"/>
      <c r="J2220" s="237"/>
      <c r="K2220" s="310" t="s">
        <v>7478</v>
      </c>
      <c r="L2220" s="237"/>
      <c r="M2220" s="237"/>
      <c r="N2220" s="237"/>
      <c r="O2220" s="237"/>
      <c r="P2220" s="237"/>
      <c r="Q2220" s="237"/>
      <c r="R2220" s="237"/>
      <c r="S2220" s="237"/>
      <c r="T2220" s="237"/>
      <c r="U2220" s="237"/>
      <c r="V2220" s="237"/>
      <c r="W2220" s="237"/>
      <c r="X2220" s="237"/>
      <c r="Y2220" s="237"/>
      <c r="Z2220" s="237"/>
    </row>
    <row r="2221">
      <c r="A2221" s="305">
        <v>2220.0</v>
      </c>
      <c r="B2221" s="306" t="s">
        <v>7481</v>
      </c>
      <c r="C2221" s="307" t="s">
        <v>1420</v>
      </c>
      <c r="D2221" s="308" t="s">
        <v>7483</v>
      </c>
      <c r="E2221" s="305" t="s">
        <v>7484</v>
      </c>
      <c r="F2221" s="236"/>
      <c r="G2221" s="236"/>
      <c r="H2221" s="307" t="s">
        <v>1420</v>
      </c>
      <c r="I2221" s="237"/>
      <c r="J2221" s="237"/>
      <c r="K2221" s="310" t="s">
        <v>7482</v>
      </c>
      <c r="L2221" s="237"/>
      <c r="M2221" s="237"/>
      <c r="N2221" s="237"/>
      <c r="O2221" s="237"/>
      <c r="P2221" s="237"/>
      <c r="Q2221" s="237"/>
      <c r="R2221" s="237"/>
      <c r="S2221" s="237"/>
      <c r="T2221" s="237"/>
      <c r="U2221" s="237"/>
      <c r="V2221" s="237"/>
      <c r="W2221" s="237"/>
      <c r="X2221" s="237"/>
      <c r="Y2221" s="237"/>
      <c r="Z2221" s="237"/>
    </row>
    <row r="2222">
      <c r="A2222" s="305">
        <v>2221.0</v>
      </c>
      <c r="B2222" s="306" t="s">
        <v>7485</v>
      </c>
      <c r="C2222" s="307" t="s">
        <v>1420</v>
      </c>
      <c r="D2222" s="308" t="s">
        <v>7487</v>
      </c>
      <c r="E2222" s="305" t="s">
        <v>7488</v>
      </c>
      <c r="F2222" s="236"/>
      <c r="G2222" s="236"/>
      <c r="H2222" s="307" t="s">
        <v>1420</v>
      </c>
      <c r="I2222" s="237"/>
      <c r="J2222" s="237"/>
      <c r="K2222" s="310" t="s">
        <v>7486</v>
      </c>
      <c r="L2222" s="237"/>
      <c r="M2222" s="237"/>
      <c r="N2222" s="237"/>
      <c r="O2222" s="237"/>
      <c r="P2222" s="237"/>
      <c r="Q2222" s="237"/>
      <c r="R2222" s="237"/>
      <c r="S2222" s="237"/>
      <c r="T2222" s="237"/>
      <c r="U2222" s="237"/>
      <c r="V2222" s="237"/>
      <c r="W2222" s="237"/>
      <c r="X2222" s="237"/>
      <c r="Y2222" s="237"/>
      <c r="Z2222" s="237"/>
    </row>
    <row r="2223">
      <c r="A2223" s="305">
        <v>2222.0</v>
      </c>
      <c r="B2223" s="306" t="s">
        <v>7505</v>
      </c>
      <c r="C2223" s="307" t="s">
        <v>1420</v>
      </c>
      <c r="D2223" s="308" t="s">
        <v>7507</v>
      </c>
      <c r="E2223" s="305" t="s">
        <v>7508</v>
      </c>
      <c r="F2223" s="236"/>
      <c r="G2223" s="236"/>
      <c r="H2223" s="307" t="s">
        <v>1420</v>
      </c>
      <c r="I2223" s="237"/>
      <c r="J2223" s="237"/>
      <c r="K2223" s="310" t="s">
        <v>7506</v>
      </c>
      <c r="L2223" s="237"/>
      <c r="M2223" s="237"/>
      <c r="N2223" s="237"/>
      <c r="O2223" s="237"/>
      <c r="P2223" s="237"/>
      <c r="Q2223" s="237"/>
      <c r="R2223" s="237"/>
      <c r="S2223" s="237"/>
      <c r="T2223" s="237"/>
      <c r="U2223" s="237"/>
      <c r="V2223" s="237"/>
      <c r="W2223" s="237"/>
      <c r="X2223" s="237"/>
      <c r="Y2223" s="237"/>
      <c r="Z2223" s="237"/>
    </row>
    <row r="2224">
      <c r="A2224" s="305">
        <v>2223.0</v>
      </c>
      <c r="B2224" s="306" t="s">
        <v>7501</v>
      </c>
      <c r="C2224" s="307" t="s">
        <v>1420</v>
      </c>
      <c r="D2224" s="308" t="s">
        <v>7503</v>
      </c>
      <c r="E2224" s="305" t="s">
        <v>7504</v>
      </c>
      <c r="F2224" s="236"/>
      <c r="G2224" s="236"/>
      <c r="H2224" s="307" t="s">
        <v>1420</v>
      </c>
      <c r="I2224" s="237"/>
      <c r="J2224" s="237"/>
      <c r="K2224" s="310" t="s">
        <v>7502</v>
      </c>
      <c r="L2224" s="237"/>
      <c r="M2224" s="237"/>
      <c r="N2224" s="237"/>
      <c r="O2224" s="237"/>
      <c r="P2224" s="237"/>
      <c r="Q2224" s="237"/>
      <c r="R2224" s="237"/>
      <c r="S2224" s="237"/>
      <c r="T2224" s="237"/>
      <c r="U2224" s="237"/>
      <c r="V2224" s="237"/>
      <c r="W2224" s="237"/>
      <c r="X2224" s="237"/>
      <c r="Y2224" s="237"/>
      <c r="Z2224" s="237"/>
    </row>
    <row r="2225">
      <c r="A2225" s="305">
        <v>2224.0</v>
      </c>
      <c r="B2225" s="306" t="s">
        <v>7450</v>
      </c>
      <c r="C2225" s="307" t="s">
        <v>1420</v>
      </c>
      <c r="D2225" s="308" t="s">
        <v>7452</v>
      </c>
      <c r="E2225" s="305" t="s">
        <v>7453</v>
      </c>
      <c r="F2225" s="309" t="s">
        <v>7454</v>
      </c>
      <c r="G2225" s="236"/>
      <c r="H2225" s="307" t="s">
        <v>1420</v>
      </c>
      <c r="I2225" s="237"/>
      <c r="J2225" s="237"/>
      <c r="K2225" s="310" t="s">
        <v>7451</v>
      </c>
      <c r="L2225" s="237"/>
      <c r="M2225" s="237"/>
      <c r="N2225" s="237"/>
      <c r="O2225" s="237"/>
      <c r="P2225" s="237"/>
      <c r="Q2225" s="237"/>
      <c r="R2225" s="237"/>
      <c r="S2225" s="237"/>
      <c r="T2225" s="237"/>
      <c r="U2225" s="237"/>
      <c r="V2225" s="237"/>
      <c r="W2225" s="237"/>
      <c r="X2225" s="237"/>
      <c r="Y2225" s="237"/>
      <c r="Z2225" s="237"/>
    </row>
    <row r="2226">
      <c r="A2226" s="305">
        <v>2225.0</v>
      </c>
      <c r="B2226" s="306" t="s">
        <v>7455</v>
      </c>
      <c r="C2226" s="307" t="s">
        <v>1420</v>
      </c>
      <c r="D2226" s="308" t="s">
        <v>7457</v>
      </c>
      <c r="E2226" s="305" t="s">
        <v>7458</v>
      </c>
      <c r="F2226" s="309" t="s">
        <v>7459</v>
      </c>
      <c r="G2226" s="236"/>
      <c r="H2226" s="307" t="s">
        <v>1420</v>
      </c>
      <c r="I2226" s="237"/>
      <c r="J2226" s="237"/>
      <c r="K2226" s="310" t="s">
        <v>7456</v>
      </c>
      <c r="L2226" s="237"/>
      <c r="M2226" s="237"/>
      <c r="N2226" s="237"/>
      <c r="O2226" s="237"/>
      <c r="P2226" s="237"/>
      <c r="Q2226" s="237"/>
      <c r="R2226" s="237"/>
      <c r="S2226" s="237"/>
      <c r="T2226" s="237"/>
      <c r="U2226" s="237"/>
      <c r="V2226" s="237"/>
      <c r="W2226" s="237"/>
      <c r="X2226" s="237"/>
      <c r="Y2226" s="237"/>
      <c r="Z2226" s="237"/>
    </row>
    <row r="2227">
      <c r="A2227" s="305">
        <v>2226.0</v>
      </c>
      <c r="B2227" s="306" t="s">
        <v>7460</v>
      </c>
      <c r="C2227" s="307" t="s">
        <v>1420</v>
      </c>
      <c r="D2227" s="308" t="s">
        <v>7462</v>
      </c>
      <c r="E2227" s="305" t="s">
        <v>7463</v>
      </c>
      <c r="F2227" s="236"/>
      <c r="G2227" s="236"/>
      <c r="H2227" s="307" t="s">
        <v>1420</v>
      </c>
      <c r="I2227" s="237"/>
      <c r="J2227" s="237"/>
      <c r="K2227" s="310" t="s">
        <v>7461</v>
      </c>
      <c r="L2227" s="237"/>
      <c r="M2227" s="237"/>
      <c r="N2227" s="237"/>
      <c r="O2227" s="237"/>
      <c r="P2227" s="237"/>
      <c r="Q2227" s="237"/>
      <c r="R2227" s="237"/>
      <c r="S2227" s="237"/>
      <c r="T2227" s="237"/>
      <c r="U2227" s="237"/>
      <c r="V2227" s="237"/>
      <c r="W2227" s="237"/>
      <c r="X2227" s="237"/>
      <c r="Y2227" s="237"/>
      <c r="Z2227" s="237"/>
    </row>
    <row r="2228">
      <c r="A2228" s="305">
        <v>2227.0</v>
      </c>
      <c r="B2228" s="306" t="s">
        <v>7464</v>
      </c>
      <c r="C2228" s="307" t="s">
        <v>1420</v>
      </c>
      <c r="D2228" s="308" t="s">
        <v>7466</v>
      </c>
      <c r="E2228" s="305" t="s">
        <v>7467</v>
      </c>
      <c r="F2228" s="309" t="s">
        <v>7468</v>
      </c>
      <c r="G2228" s="236"/>
      <c r="H2228" s="307" t="s">
        <v>1420</v>
      </c>
      <c r="I2228" s="237"/>
      <c r="J2228" s="237"/>
      <c r="K2228" s="310" t="s">
        <v>7465</v>
      </c>
      <c r="L2228" s="237"/>
      <c r="M2228" s="237"/>
      <c r="N2228" s="237"/>
      <c r="O2228" s="237"/>
      <c r="P2228" s="237"/>
      <c r="Q2228" s="237"/>
      <c r="R2228" s="237"/>
      <c r="S2228" s="237"/>
      <c r="T2228" s="237"/>
      <c r="U2228" s="237"/>
      <c r="V2228" s="237"/>
      <c r="W2228" s="237"/>
      <c r="X2228" s="237"/>
      <c r="Y2228" s="237"/>
      <c r="Z2228" s="237"/>
    </row>
    <row r="2229">
      <c r="A2229" s="305">
        <v>2228.0</v>
      </c>
      <c r="B2229" s="236"/>
      <c r="C2229" s="307" t="s">
        <v>1420</v>
      </c>
      <c r="D2229" s="308" t="s">
        <v>7593</v>
      </c>
      <c r="E2229" s="305" t="s">
        <v>7594</v>
      </c>
      <c r="F2229" s="236"/>
      <c r="G2229" s="236"/>
      <c r="H2229" s="307" t="s">
        <v>1420</v>
      </c>
      <c r="I2229" s="237"/>
      <c r="J2229" s="237"/>
      <c r="K2229" s="310" t="s">
        <v>7592</v>
      </c>
      <c r="L2229" s="237"/>
      <c r="M2229" s="237"/>
      <c r="N2229" s="237"/>
      <c r="O2229" s="237"/>
      <c r="P2229" s="237"/>
      <c r="Q2229" s="237"/>
      <c r="R2229" s="237"/>
      <c r="S2229" s="237"/>
      <c r="T2229" s="237"/>
      <c r="U2229" s="237"/>
      <c r="V2229" s="237"/>
      <c r="W2229" s="237"/>
      <c r="X2229" s="237"/>
      <c r="Y2229" s="237"/>
      <c r="Z2229" s="237"/>
    </row>
    <row r="2230">
      <c r="A2230" s="305">
        <v>2229.0</v>
      </c>
      <c r="B2230" s="306" t="s">
        <v>7406</v>
      </c>
      <c r="C2230" s="307" t="s">
        <v>1420</v>
      </c>
      <c r="D2230" s="308" t="s">
        <v>7408</v>
      </c>
      <c r="E2230" s="305" t="s">
        <v>7409</v>
      </c>
      <c r="F2230" s="309" t="s">
        <v>7410</v>
      </c>
      <c r="G2230" s="236"/>
      <c r="H2230" s="307" t="s">
        <v>1420</v>
      </c>
      <c r="I2230" s="237"/>
      <c r="J2230" s="237"/>
      <c r="K2230" s="310" t="s">
        <v>7407</v>
      </c>
      <c r="L2230" s="237"/>
      <c r="M2230" s="237"/>
      <c r="N2230" s="237"/>
      <c r="O2230" s="237"/>
      <c r="P2230" s="237"/>
      <c r="Q2230" s="237"/>
      <c r="R2230" s="237"/>
      <c r="S2230" s="237"/>
      <c r="T2230" s="237"/>
      <c r="U2230" s="237"/>
      <c r="V2230" s="237"/>
      <c r="W2230" s="237"/>
      <c r="X2230" s="237"/>
      <c r="Y2230" s="237"/>
      <c r="Z2230" s="237"/>
    </row>
    <row r="2231">
      <c r="A2231" s="305">
        <v>2230.0</v>
      </c>
      <c r="B2231" s="306" t="s">
        <v>7411</v>
      </c>
      <c r="C2231" s="307" t="s">
        <v>1420</v>
      </c>
      <c r="D2231" s="308" t="s">
        <v>7413</v>
      </c>
      <c r="E2231" s="305" t="s">
        <v>7414</v>
      </c>
      <c r="F2231" s="309" t="s">
        <v>7415</v>
      </c>
      <c r="G2231" s="236"/>
      <c r="H2231" s="307" t="s">
        <v>1420</v>
      </c>
      <c r="I2231" s="237"/>
      <c r="J2231" s="237"/>
      <c r="K2231" s="310" t="s">
        <v>7412</v>
      </c>
      <c r="L2231" s="237"/>
      <c r="M2231" s="237"/>
      <c r="N2231" s="237"/>
      <c r="O2231" s="237"/>
      <c r="P2231" s="237"/>
      <c r="Q2231" s="237"/>
      <c r="R2231" s="237"/>
      <c r="S2231" s="237"/>
      <c r="T2231" s="237"/>
      <c r="U2231" s="237"/>
      <c r="V2231" s="237"/>
      <c r="W2231" s="237"/>
      <c r="X2231" s="237"/>
      <c r="Y2231" s="237"/>
      <c r="Z2231" s="237"/>
    </row>
    <row r="2232">
      <c r="A2232" s="305">
        <v>2231.0</v>
      </c>
      <c r="B2232" s="236"/>
      <c r="C2232" s="307" t="s">
        <v>1420</v>
      </c>
      <c r="D2232" s="308" t="s">
        <v>14675</v>
      </c>
      <c r="E2232" s="305" t="s">
        <v>14676</v>
      </c>
      <c r="F2232" s="309" t="s">
        <v>11637</v>
      </c>
      <c r="G2232" s="236"/>
      <c r="H2232" s="307" t="s">
        <v>1420</v>
      </c>
      <c r="I2232" s="237"/>
      <c r="J2232" s="237"/>
      <c r="K2232" s="310" t="s">
        <v>11634</v>
      </c>
      <c r="L2232" s="237"/>
      <c r="M2232" s="237"/>
      <c r="N2232" s="237"/>
      <c r="O2232" s="237"/>
      <c r="P2232" s="237"/>
      <c r="Q2232" s="237"/>
      <c r="R2232" s="237"/>
      <c r="S2232" s="237"/>
      <c r="T2232" s="237"/>
      <c r="U2232" s="237"/>
      <c r="V2232" s="237"/>
      <c r="W2232" s="237"/>
      <c r="X2232" s="237"/>
      <c r="Y2232" s="237"/>
      <c r="Z2232" s="237"/>
    </row>
    <row r="2233">
      <c r="A2233" s="305">
        <v>2232.0</v>
      </c>
      <c r="B2233" s="236"/>
      <c r="C2233" s="307" t="s">
        <v>1420</v>
      </c>
      <c r="D2233" s="308" t="s">
        <v>14677</v>
      </c>
      <c r="E2233" s="305" t="s">
        <v>14678</v>
      </c>
      <c r="F2233" s="309" t="s">
        <v>11641</v>
      </c>
      <c r="G2233" s="236"/>
      <c r="H2233" s="307" t="s">
        <v>1420</v>
      </c>
      <c r="I2233" s="237"/>
      <c r="J2233" s="237"/>
      <c r="K2233" s="310" t="s">
        <v>11638</v>
      </c>
      <c r="L2233" s="237"/>
      <c r="M2233" s="237"/>
      <c r="N2233" s="237"/>
      <c r="O2233" s="237"/>
      <c r="P2233" s="237"/>
      <c r="Q2233" s="237"/>
      <c r="R2233" s="237"/>
      <c r="S2233" s="237"/>
      <c r="T2233" s="237"/>
      <c r="U2233" s="237"/>
      <c r="V2233" s="237"/>
      <c r="W2233" s="237"/>
      <c r="X2233" s="237"/>
      <c r="Y2233" s="237"/>
      <c r="Z2233" s="237"/>
    </row>
    <row r="2234">
      <c r="A2234" s="305">
        <v>2233.0</v>
      </c>
      <c r="B2234" s="236"/>
      <c r="C2234" s="307" t="s">
        <v>1420</v>
      </c>
      <c r="D2234" s="308" t="s">
        <v>1581</v>
      </c>
      <c r="E2234" s="305" t="s">
        <v>13160</v>
      </c>
      <c r="F2234" s="309" t="s">
        <v>14679</v>
      </c>
      <c r="G2234" s="307" t="s">
        <v>13183</v>
      </c>
      <c r="H2234" s="307" t="s">
        <v>1420</v>
      </c>
      <c r="I2234" s="237"/>
      <c r="J2234" s="237"/>
      <c r="K2234" s="310" t="s">
        <v>13159</v>
      </c>
      <c r="L2234" s="237"/>
      <c r="M2234" s="237"/>
      <c r="N2234" s="237"/>
      <c r="O2234" s="237"/>
      <c r="P2234" s="237"/>
      <c r="Q2234" s="237"/>
      <c r="R2234" s="237"/>
      <c r="S2234" s="237"/>
      <c r="T2234" s="237"/>
      <c r="U2234" s="237"/>
      <c r="V2234" s="237"/>
      <c r="W2234" s="237"/>
      <c r="X2234" s="237"/>
      <c r="Y2234" s="237"/>
      <c r="Z2234" s="237"/>
    </row>
    <row r="2235">
      <c r="A2235" s="305">
        <v>2234.0</v>
      </c>
      <c r="B2235" s="236"/>
      <c r="C2235" s="307" t="s">
        <v>1420</v>
      </c>
      <c r="D2235" s="308" t="s">
        <v>2303</v>
      </c>
      <c r="E2235" s="305" t="s">
        <v>5416</v>
      </c>
      <c r="F2235" s="309" t="s">
        <v>5417</v>
      </c>
      <c r="G2235" s="236"/>
      <c r="H2235" s="307" t="s">
        <v>1420</v>
      </c>
      <c r="I2235" s="237"/>
      <c r="J2235" s="237"/>
      <c r="K2235" s="310" t="s">
        <v>5415</v>
      </c>
      <c r="L2235" s="237"/>
      <c r="M2235" s="237"/>
      <c r="N2235" s="237"/>
      <c r="O2235" s="237"/>
      <c r="P2235" s="237"/>
      <c r="Q2235" s="237"/>
      <c r="R2235" s="237"/>
      <c r="S2235" s="237"/>
      <c r="T2235" s="237"/>
      <c r="U2235" s="237"/>
      <c r="V2235" s="237"/>
      <c r="W2235" s="237"/>
      <c r="X2235" s="237"/>
      <c r="Y2235" s="237"/>
      <c r="Z2235" s="237"/>
    </row>
    <row r="2236">
      <c r="A2236" s="305">
        <v>2235.0</v>
      </c>
      <c r="B2236" s="306" t="s">
        <v>5411</v>
      </c>
      <c r="C2236" s="307" t="s">
        <v>1420</v>
      </c>
      <c r="D2236" s="308" t="s">
        <v>2300</v>
      </c>
      <c r="E2236" s="305" t="s">
        <v>5413</v>
      </c>
      <c r="F2236" s="309" t="s">
        <v>5414</v>
      </c>
      <c r="G2236" s="236"/>
      <c r="H2236" s="307" t="s">
        <v>1420</v>
      </c>
      <c r="I2236" s="237"/>
      <c r="J2236" s="237"/>
      <c r="K2236" s="310" t="s">
        <v>5412</v>
      </c>
      <c r="L2236" s="237"/>
      <c r="M2236" s="237"/>
      <c r="N2236" s="237"/>
      <c r="O2236" s="237"/>
      <c r="P2236" s="237"/>
      <c r="Q2236" s="237"/>
      <c r="R2236" s="237"/>
      <c r="S2236" s="237"/>
      <c r="T2236" s="237"/>
      <c r="U2236" s="237"/>
      <c r="V2236" s="237"/>
      <c r="W2236" s="237"/>
      <c r="X2236" s="237"/>
      <c r="Y2236" s="237"/>
      <c r="Z2236" s="237"/>
    </row>
    <row r="2237">
      <c r="A2237" s="305">
        <v>2236.0</v>
      </c>
      <c r="B2237" s="236"/>
      <c r="C2237" s="307" t="s">
        <v>14007</v>
      </c>
      <c r="D2237" s="308" t="s">
        <v>13179</v>
      </c>
      <c r="E2237" s="236"/>
      <c r="F2237" s="236"/>
      <c r="G2237" s="307" t="s">
        <v>13128</v>
      </c>
      <c r="H2237" s="307" t="s">
        <v>14007</v>
      </c>
      <c r="I2237" s="237"/>
      <c r="J2237" s="237"/>
      <c r="K2237" s="262"/>
      <c r="L2237" s="237"/>
      <c r="M2237" s="237"/>
      <c r="N2237" s="237"/>
      <c r="O2237" s="237"/>
      <c r="P2237" s="237"/>
      <c r="Q2237" s="237"/>
      <c r="R2237" s="237"/>
      <c r="S2237" s="237"/>
      <c r="T2237" s="237"/>
      <c r="U2237" s="237"/>
      <c r="V2237" s="237"/>
      <c r="W2237" s="237"/>
      <c r="X2237" s="237"/>
      <c r="Y2237" s="237"/>
      <c r="Z2237" s="237"/>
    </row>
    <row r="2238">
      <c r="A2238" s="305">
        <v>2237.0</v>
      </c>
      <c r="B2238" s="236"/>
      <c r="C2238" s="307" t="s">
        <v>14007</v>
      </c>
      <c r="D2238" s="308" t="s">
        <v>13180</v>
      </c>
      <c r="E2238" s="236"/>
      <c r="F2238" s="236"/>
      <c r="G2238" s="307" t="s">
        <v>13128</v>
      </c>
      <c r="H2238" s="307" t="s">
        <v>14007</v>
      </c>
      <c r="I2238" s="237"/>
      <c r="J2238" s="237"/>
      <c r="K2238" s="262"/>
      <c r="L2238" s="237"/>
      <c r="M2238" s="237"/>
      <c r="N2238" s="237"/>
      <c r="O2238" s="237"/>
      <c r="P2238" s="237"/>
      <c r="Q2238" s="237"/>
      <c r="R2238" s="237"/>
      <c r="S2238" s="237"/>
      <c r="T2238" s="237"/>
      <c r="U2238" s="237"/>
      <c r="V2238" s="237"/>
      <c r="W2238" s="237"/>
      <c r="X2238" s="237"/>
      <c r="Y2238" s="237"/>
      <c r="Z2238" s="237"/>
    </row>
    <row r="2239">
      <c r="A2239" s="305">
        <v>2238.0</v>
      </c>
      <c r="B2239" s="236"/>
      <c r="C2239" s="307" t="s">
        <v>1420</v>
      </c>
      <c r="D2239" s="308" t="s">
        <v>7427</v>
      </c>
      <c r="E2239" s="305" t="s">
        <v>7428</v>
      </c>
      <c r="F2239" s="309" t="s">
        <v>7429</v>
      </c>
      <c r="G2239" s="236"/>
      <c r="H2239" s="307" t="s">
        <v>1420</v>
      </c>
      <c r="I2239" s="237"/>
      <c r="J2239" s="237"/>
      <c r="K2239" s="310" t="s">
        <v>7426</v>
      </c>
      <c r="L2239" s="237"/>
      <c r="M2239" s="237"/>
      <c r="N2239" s="237"/>
      <c r="O2239" s="237"/>
      <c r="P2239" s="237"/>
      <c r="Q2239" s="237"/>
      <c r="R2239" s="237"/>
      <c r="S2239" s="237"/>
      <c r="T2239" s="237"/>
      <c r="U2239" s="237"/>
      <c r="V2239" s="237"/>
      <c r="W2239" s="237"/>
      <c r="X2239" s="237"/>
      <c r="Y2239" s="237"/>
      <c r="Z2239" s="237"/>
    </row>
    <row r="2240">
      <c r="A2240" s="305">
        <v>2239.0</v>
      </c>
      <c r="B2240" s="306" t="s">
        <v>4969</v>
      </c>
      <c r="C2240" s="307" t="s">
        <v>1420</v>
      </c>
      <c r="D2240" s="308" t="s">
        <v>4971</v>
      </c>
      <c r="E2240" s="305" t="s">
        <v>4972</v>
      </c>
      <c r="F2240" s="309" t="s">
        <v>5678</v>
      </c>
      <c r="G2240" s="236"/>
      <c r="H2240" s="307" t="s">
        <v>1420</v>
      </c>
      <c r="I2240" s="237"/>
      <c r="J2240" s="237"/>
      <c r="K2240" s="310" t="s">
        <v>5677</v>
      </c>
      <c r="L2240" s="237"/>
      <c r="M2240" s="237"/>
      <c r="N2240" s="237"/>
      <c r="O2240" s="237"/>
      <c r="P2240" s="237"/>
      <c r="Q2240" s="237"/>
      <c r="R2240" s="237"/>
      <c r="S2240" s="237"/>
      <c r="T2240" s="237"/>
      <c r="U2240" s="237"/>
      <c r="V2240" s="237"/>
      <c r="W2240" s="237"/>
      <c r="X2240" s="237"/>
      <c r="Y2240" s="237"/>
      <c r="Z2240" s="237"/>
    </row>
    <row r="2241">
      <c r="A2241" s="305">
        <v>2240.0</v>
      </c>
      <c r="B2241" s="306" t="s">
        <v>4962</v>
      </c>
      <c r="C2241" s="307" t="s">
        <v>1420</v>
      </c>
      <c r="D2241" s="308" t="s">
        <v>4964</v>
      </c>
      <c r="E2241" s="305" t="s">
        <v>4965</v>
      </c>
      <c r="F2241" s="309" t="s">
        <v>5676</v>
      </c>
      <c r="G2241" s="236"/>
      <c r="H2241" s="307" t="s">
        <v>1420</v>
      </c>
      <c r="I2241" s="237"/>
      <c r="J2241" s="237"/>
      <c r="K2241" s="310" t="s">
        <v>5675</v>
      </c>
      <c r="L2241" s="237"/>
      <c r="M2241" s="237"/>
      <c r="N2241" s="237"/>
      <c r="O2241" s="237"/>
      <c r="P2241" s="237"/>
      <c r="Q2241" s="237"/>
      <c r="R2241" s="237"/>
      <c r="S2241" s="237"/>
      <c r="T2241" s="237"/>
      <c r="U2241" s="237"/>
      <c r="V2241" s="237"/>
      <c r="W2241" s="237"/>
      <c r="X2241" s="237"/>
      <c r="Y2241" s="237"/>
      <c r="Z2241" s="237"/>
    </row>
    <row r="2242">
      <c r="A2242" s="305">
        <v>2241.0</v>
      </c>
      <c r="B2242" s="306" t="s">
        <v>4650</v>
      </c>
      <c r="C2242" s="307" t="s">
        <v>1420</v>
      </c>
      <c r="D2242" s="308" t="s">
        <v>4652</v>
      </c>
      <c r="E2242" s="305" t="s">
        <v>4653</v>
      </c>
      <c r="F2242" s="309" t="s">
        <v>4654</v>
      </c>
      <c r="G2242" s="236"/>
      <c r="H2242" s="307" t="s">
        <v>1420</v>
      </c>
      <c r="I2242" s="237"/>
      <c r="J2242" s="237"/>
      <c r="K2242" s="310" t="s">
        <v>4651</v>
      </c>
      <c r="L2242" s="237"/>
      <c r="M2242" s="237"/>
      <c r="N2242" s="237"/>
      <c r="O2242" s="237"/>
      <c r="P2242" s="237"/>
      <c r="Q2242" s="237"/>
      <c r="R2242" s="237"/>
      <c r="S2242" s="237"/>
      <c r="T2242" s="237"/>
      <c r="U2242" s="237"/>
      <c r="V2242" s="237"/>
      <c r="W2242" s="237"/>
      <c r="X2242" s="237"/>
      <c r="Y2242" s="237"/>
      <c r="Z2242" s="237"/>
    </row>
    <row r="2243">
      <c r="A2243" s="305">
        <v>2242.0</v>
      </c>
      <c r="B2243" s="306" t="s">
        <v>4650</v>
      </c>
      <c r="C2243" s="307" t="s">
        <v>1420</v>
      </c>
      <c r="D2243" s="308" t="s">
        <v>5529</v>
      </c>
      <c r="E2243" s="305" t="s">
        <v>5530</v>
      </c>
      <c r="F2243" s="309" t="s">
        <v>5531</v>
      </c>
      <c r="G2243" s="236"/>
      <c r="H2243" s="307" t="s">
        <v>1420</v>
      </c>
      <c r="I2243" s="237"/>
      <c r="J2243" s="237"/>
      <c r="K2243" s="310" t="s">
        <v>5528</v>
      </c>
      <c r="L2243" s="237"/>
      <c r="M2243" s="237"/>
      <c r="N2243" s="237"/>
      <c r="O2243" s="237"/>
      <c r="P2243" s="237"/>
      <c r="Q2243" s="237"/>
      <c r="R2243" s="237"/>
      <c r="S2243" s="237"/>
      <c r="T2243" s="237"/>
      <c r="U2243" s="237"/>
      <c r="V2243" s="237"/>
      <c r="W2243" s="237"/>
      <c r="X2243" s="237"/>
      <c r="Y2243" s="237"/>
      <c r="Z2243" s="237"/>
    </row>
    <row r="2244">
      <c r="A2244" s="305">
        <v>2243.0</v>
      </c>
      <c r="B2244" s="306" t="s">
        <v>4645</v>
      </c>
      <c r="C2244" s="307" t="s">
        <v>1420</v>
      </c>
      <c r="D2244" s="308" t="s">
        <v>4647</v>
      </c>
      <c r="E2244" s="305" t="s">
        <v>4648</v>
      </c>
      <c r="F2244" s="309" t="s">
        <v>4649</v>
      </c>
      <c r="G2244" s="236"/>
      <c r="H2244" s="307" t="s">
        <v>1420</v>
      </c>
      <c r="I2244" s="237"/>
      <c r="J2244" s="237"/>
      <c r="K2244" s="310" t="s">
        <v>4646</v>
      </c>
      <c r="L2244" s="237"/>
      <c r="M2244" s="237"/>
      <c r="N2244" s="237"/>
      <c r="O2244" s="237"/>
      <c r="P2244" s="237"/>
      <c r="Q2244" s="237"/>
      <c r="R2244" s="237"/>
      <c r="S2244" s="237"/>
      <c r="T2244" s="237"/>
      <c r="U2244" s="237"/>
      <c r="V2244" s="237"/>
      <c r="W2244" s="237"/>
      <c r="X2244" s="237"/>
      <c r="Y2244" s="237"/>
      <c r="Z2244" s="237"/>
    </row>
    <row r="2245">
      <c r="A2245" s="305">
        <v>2244.0</v>
      </c>
      <c r="B2245" s="236"/>
      <c r="C2245" s="307" t="s">
        <v>14007</v>
      </c>
      <c r="D2245" s="308" t="s">
        <v>13130</v>
      </c>
      <c r="E2245" s="236"/>
      <c r="F2245" s="236"/>
      <c r="G2245" s="307" t="s">
        <v>13128</v>
      </c>
      <c r="H2245" s="307" t="s">
        <v>14007</v>
      </c>
      <c r="I2245" s="237"/>
      <c r="J2245" s="237"/>
      <c r="K2245" s="262"/>
      <c r="L2245" s="237"/>
      <c r="M2245" s="237"/>
      <c r="N2245" s="237"/>
      <c r="O2245" s="237"/>
      <c r="P2245" s="237"/>
      <c r="Q2245" s="237"/>
      <c r="R2245" s="237"/>
      <c r="S2245" s="237"/>
      <c r="T2245" s="237"/>
      <c r="U2245" s="237"/>
      <c r="V2245" s="237"/>
      <c r="W2245" s="237"/>
      <c r="X2245" s="237"/>
      <c r="Y2245" s="237"/>
      <c r="Z2245" s="237"/>
    </row>
    <row r="2246">
      <c r="A2246" s="305">
        <v>2245.0</v>
      </c>
      <c r="B2246" s="306" t="s">
        <v>4558</v>
      </c>
      <c r="C2246" s="307" t="s">
        <v>1420</v>
      </c>
      <c r="D2246" s="308" t="s">
        <v>4560</v>
      </c>
      <c r="E2246" s="305" t="s">
        <v>4561</v>
      </c>
      <c r="F2246" s="309" t="s">
        <v>4562</v>
      </c>
      <c r="G2246" s="236"/>
      <c r="H2246" s="307" t="s">
        <v>1420</v>
      </c>
      <c r="I2246" s="237"/>
      <c r="J2246" s="237"/>
      <c r="K2246" s="310" t="s">
        <v>4559</v>
      </c>
      <c r="L2246" s="237"/>
      <c r="M2246" s="237"/>
      <c r="N2246" s="237"/>
      <c r="O2246" s="237"/>
      <c r="P2246" s="237"/>
      <c r="Q2246" s="237"/>
      <c r="R2246" s="237"/>
      <c r="S2246" s="237"/>
      <c r="T2246" s="237"/>
      <c r="U2246" s="237"/>
      <c r="V2246" s="237"/>
      <c r="W2246" s="237"/>
      <c r="X2246" s="237"/>
      <c r="Y2246" s="237"/>
      <c r="Z2246" s="237"/>
    </row>
    <row r="2247">
      <c r="A2247" s="305">
        <v>2246.0</v>
      </c>
      <c r="B2247" s="236"/>
      <c r="C2247" s="307" t="s">
        <v>1420</v>
      </c>
      <c r="D2247" s="308" t="s">
        <v>6323</v>
      </c>
      <c r="E2247" s="305" t="s">
        <v>6324</v>
      </c>
      <c r="F2247" s="309" t="s">
        <v>6325</v>
      </c>
      <c r="G2247" s="236"/>
      <c r="H2247" s="307" t="s">
        <v>1420</v>
      </c>
      <c r="I2247" s="237"/>
      <c r="J2247" s="237"/>
      <c r="K2247" s="310" t="s">
        <v>6322</v>
      </c>
      <c r="L2247" s="237"/>
      <c r="M2247" s="237"/>
      <c r="N2247" s="237"/>
      <c r="O2247" s="237"/>
      <c r="P2247" s="237"/>
      <c r="Q2247" s="237"/>
      <c r="R2247" s="237"/>
      <c r="S2247" s="237"/>
      <c r="T2247" s="237"/>
      <c r="U2247" s="237"/>
      <c r="V2247" s="237"/>
      <c r="W2247" s="237"/>
      <c r="X2247" s="237"/>
      <c r="Y2247" s="237"/>
      <c r="Z2247" s="237"/>
    </row>
    <row r="2248">
      <c r="A2248" s="305">
        <v>2247.0</v>
      </c>
      <c r="B2248" s="236"/>
      <c r="C2248" s="307" t="s">
        <v>14007</v>
      </c>
      <c r="D2248" s="308" t="s">
        <v>13129</v>
      </c>
      <c r="E2248" s="236"/>
      <c r="F2248" s="236"/>
      <c r="G2248" s="236"/>
      <c r="H2248" s="307" t="s">
        <v>14007</v>
      </c>
      <c r="I2248" s="237"/>
      <c r="J2248" s="237"/>
      <c r="K2248" s="262"/>
      <c r="L2248" s="237"/>
      <c r="M2248" s="237"/>
      <c r="N2248" s="237"/>
      <c r="O2248" s="237"/>
      <c r="P2248" s="237"/>
      <c r="Q2248" s="237"/>
      <c r="R2248" s="237"/>
      <c r="S2248" s="237"/>
      <c r="T2248" s="237"/>
      <c r="U2248" s="237"/>
      <c r="V2248" s="237"/>
      <c r="W2248" s="237"/>
      <c r="X2248" s="237"/>
      <c r="Y2248" s="237"/>
      <c r="Z2248" s="237"/>
    </row>
    <row r="2249">
      <c r="A2249" s="305">
        <v>2248.0</v>
      </c>
      <c r="B2249" s="306" t="s">
        <v>4693</v>
      </c>
      <c r="C2249" s="307" t="s">
        <v>1420</v>
      </c>
      <c r="D2249" s="308" t="s">
        <v>4695</v>
      </c>
      <c r="E2249" s="305" t="s">
        <v>4696</v>
      </c>
      <c r="F2249" s="309" t="s">
        <v>4697</v>
      </c>
      <c r="G2249" s="236"/>
      <c r="H2249" s="307" t="s">
        <v>1420</v>
      </c>
      <c r="I2249" s="237"/>
      <c r="J2249" s="237"/>
      <c r="K2249" s="310" t="s">
        <v>4694</v>
      </c>
      <c r="L2249" s="237"/>
      <c r="M2249" s="237"/>
      <c r="N2249" s="237"/>
      <c r="O2249" s="237"/>
      <c r="P2249" s="237"/>
      <c r="Q2249" s="237"/>
      <c r="R2249" s="237"/>
      <c r="S2249" s="237"/>
      <c r="T2249" s="237"/>
      <c r="U2249" s="237"/>
      <c r="V2249" s="237"/>
      <c r="W2249" s="237"/>
      <c r="X2249" s="237"/>
      <c r="Y2249" s="237"/>
      <c r="Z2249" s="237"/>
    </row>
    <row r="2250">
      <c r="A2250" s="305">
        <v>2249.0</v>
      </c>
      <c r="B2250" s="306" t="s">
        <v>4678</v>
      </c>
      <c r="C2250" s="307" t="s">
        <v>1420</v>
      </c>
      <c r="D2250" s="308" t="s">
        <v>4680</v>
      </c>
      <c r="E2250" s="305" t="s">
        <v>4681</v>
      </c>
      <c r="F2250" s="309" t="s">
        <v>4682</v>
      </c>
      <c r="G2250" s="236"/>
      <c r="H2250" s="307" t="s">
        <v>1420</v>
      </c>
      <c r="I2250" s="237"/>
      <c r="J2250" s="237"/>
      <c r="K2250" s="310" t="s">
        <v>4679</v>
      </c>
      <c r="L2250" s="237"/>
      <c r="M2250" s="237"/>
      <c r="N2250" s="237"/>
      <c r="O2250" s="237"/>
      <c r="P2250" s="237"/>
      <c r="Q2250" s="237"/>
      <c r="R2250" s="237"/>
      <c r="S2250" s="237"/>
      <c r="T2250" s="237"/>
      <c r="U2250" s="237"/>
      <c r="V2250" s="237"/>
      <c r="W2250" s="237"/>
      <c r="X2250" s="237"/>
      <c r="Y2250" s="237"/>
      <c r="Z2250" s="237"/>
    </row>
    <row r="2251">
      <c r="A2251" s="305">
        <v>2250.0</v>
      </c>
      <c r="B2251" s="306" t="s">
        <v>4983</v>
      </c>
      <c r="C2251" s="307" t="s">
        <v>1420</v>
      </c>
      <c r="D2251" s="308" t="s">
        <v>4985</v>
      </c>
      <c r="E2251" s="305" t="s">
        <v>4986</v>
      </c>
      <c r="F2251" s="309" t="s">
        <v>4987</v>
      </c>
      <c r="G2251" s="236"/>
      <c r="H2251" s="307" t="s">
        <v>1420</v>
      </c>
      <c r="I2251" s="237"/>
      <c r="J2251" s="237"/>
      <c r="K2251" s="310" t="s">
        <v>4984</v>
      </c>
      <c r="L2251" s="237"/>
      <c r="M2251" s="237"/>
      <c r="N2251" s="237"/>
      <c r="O2251" s="237"/>
      <c r="P2251" s="237"/>
      <c r="Q2251" s="237"/>
      <c r="R2251" s="237"/>
      <c r="S2251" s="237"/>
      <c r="T2251" s="237"/>
      <c r="U2251" s="237"/>
      <c r="V2251" s="237"/>
      <c r="W2251" s="237"/>
      <c r="X2251" s="237"/>
      <c r="Y2251" s="237"/>
      <c r="Z2251" s="237"/>
    </row>
    <row r="2252">
      <c r="A2252" s="305">
        <v>2251.0</v>
      </c>
      <c r="B2252" s="306" t="s">
        <v>4611</v>
      </c>
      <c r="C2252" s="307" t="s">
        <v>1420</v>
      </c>
      <c r="D2252" s="308" t="s">
        <v>4613</v>
      </c>
      <c r="E2252" s="305" t="s">
        <v>4614</v>
      </c>
      <c r="F2252" s="309" t="s">
        <v>4615</v>
      </c>
      <c r="G2252" s="236"/>
      <c r="H2252" s="307" t="s">
        <v>1420</v>
      </c>
      <c r="I2252" s="237"/>
      <c r="J2252" s="237"/>
      <c r="K2252" s="310" t="s">
        <v>4612</v>
      </c>
      <c r="L2252" s="237"/>
      <c r="M2252" s="237"/>
      <c r="N2252" s="237"/>
      <c r="O2252" s="237"/>
      <c r="P2252" s="237"/>
      <c r="Q2252" s="237"/>
      <c r="R2252" s="237"/>
      <c r="S2252" s="237"/>
      <c r="T2252" s="237"/>
      <c r="U2252" s="237"/>
      <c r="V2252" s="237"/>
      <c r="W2252" s="237"/>
      <c r="X2252" s="237"/>
      <c r="Y2252" s="237"/>
      <c r="Z2252" s="237"/>
    </row>
    <row r="2253">
      <c r="A2253" s="305">
        <v>2252.0</v>
      </c>
      <c r="B2253" s="306" t="s">
        <v>4611</v>
      </c>
      <c r="C2253" s="307" t="s">
        <v>1420</v>
      </c>
      <c r="D2253" s="308" t="s">
        <v>4613</v>
      </c>
      <c r="E2253" s="305" t="s">
        <v>4656</v>
      </c>
      <c r="F2253" s="309" t="s">
        <v>4657</v>
      </c>
      <c r="G2253" s="236"/>
      <c r="H2253" s="307" t="s">
        <v>1420</v>
      </c>
      <c r="I2253" s="237"/>
      <c r="J2253" s="237"/>
      <c r="K2253" s="310" t="s">
        <v>4655</v>
      </c>
      <c r="L2253" s="237"/>
      <c r="M2253" s="237"/>
      <c r="N2253" s="237"/>
      <c r="O2253" s="237"/>
      <c r="P2253" s="237"/>
      <c r="Q2253" s="237"/>
      <c r="R2253" s="237"/>
      <c r="S2253" s="237"/>
      <c r="T2253" s="237"/>
      <c r="U2253" s="237"/>
      <c r="V2253" s="237"/>
      <c r="W2253" s="237"/>
      <c r="X2253" s="237"/>
      <c r="Y2253" s="237"/>
      <c r="Z2253" s="237"/>
    </row>
    <row r="2254">
      <c r="A2254" s="305">
        <v>2253.0</v>
      </c>
      <c r="B2254" s="236"/>
      <c r="C2254" s="307" t="s">
        <v>14007</v>
      </c>
      <c r="D2254" s="308" t="s">
        <v>13131</v>
      </c>
      <c r="E2254" s="236"/>
      <c r="F2254" s="236"/>
      <c r="G2254" s="307" t="s">
        <v>13128</v>
      </c>
      <c r="H2254" s="307" t="s">
        <v>14007</v>
      </c>
      <c r="I2254" s="237"/>
      <c r="J2254" s="237"/>
      <c r="K2254" s="262"/>
      <c r="L2254" s="237"/>
      <c r="M2254" s="237"/>
      <c r="N2254" s="237"/>
      <c r="O2254" s="237"/>
      <c r="P2254" s="237"/>
      <c r="Q2254" s="237"/>
      <c r="R2254" s="237"/>
      <c r="S2254" s="237"/>
      <c r="T2254" s="237"/>
      <c r="U2254" s="237"/>
      <c r="V2254" s="237"/>
      <c r="W2254" s="237"/>
      <c r="X2254" s="237"/>
      <c r="Y2254" s="237"/>
      <c r="Z2254" s="237"/>
    </row>
    <row r="2255">
      <c r="A2255" s="305">
        <v>2254.0</v>
      </c>
      <c r="B2255" s="306" t="s">
        <v>5775</v>
      </c>
      <c r="C2255" s="307" t="s">
        <v>1420</v>
      </c>
      <c r="D2255" s="308" t="s">
        <v>5777</v>
      </c>
      <c r="E2255" s="305" t="s">
        <v>5778</v>
      </c>
      <c r="F2255" s="309" t="s">
        <v>5779</v>
      </c>
      <c r="G2255" s="236"/>
      <c r="H2255" s="307" t="s">
        <v>1420</v>
      </c>
      <c r="I2255" s="237"/>
      <c r="J2255" s="237"/>
      <c r="K2255" s="310" t="s">
        <v>5776</v>
      </c>
      <c r="L2255" s="237"/>
      <c r="M2255" s="237"/>
      <c r="N2255" s="237"/>
      <c r="O2255" s="237"/>
      <c r="P2255" s="237"/>
      <c r="Q2255" s="237"/>
      <c r="R2255" s="237"/>
      <c r="S2255" s="237"/>
      <c r="T2255" s="237"/>
      <c r="U2255" s="237"/>
      <c r="V2255" s="237"/>
      <c r="W2255" s="237"/>
      <c r="X2255" s="237"/>
      <c r="Y2255" s="237"/>
      <c r="Z2255" s="237"/>
    </row>
    <row r="2256">
      <c r="A2256" s="305">
        <v>2255.0</v>
      </c>
      <c r="B2256" s="306" t="s">
        <v>5536</v>
      </c>
      <c r="C2256" s="307" t="s">
        <v>1420</v>
      </c>
      <c r="D2256" s="308" t="s">
        <v>5538</v>
      </c>
      <c r="E2256" s="305" t="s">
        <v>5539</v>
      </c>
      <c r="F2256" s="309" t="s">
        <v>5540</v>
      </c>
      <c r="G2256" s="236"/>
      <c r="H2256" s="307" t="s">
        <v>1420</v>
      </c>
      <c r="I2256" s="237"/>
      <c r="J2256" s="237"/>
      <c r="K2256" s="310" t="s">
        <v>5537</v>
      </c>
      <c r="L2256" s="237"/>
      <c r="M2256" s="237"/>
      <c r="N2256" s="237"/>
      <c r="O2256" s="237"/>
      <c r="P2256" s="237"/>
      <c r="Q2256" s="237"/>
      <c r="R2256" s="237"/>
      <c r="S2256" s="237"/>
      <c r="T2256" s="237"/>
      <c r="U2256" s="237"/>
      <c r="V2256" s="237"/>
      <c r="W2256" s="237"/>
      <c r="X2256" s="237"/>
      <c r="Y2256" s="237"/>
      <c r="Z2256" s="237"/>
    </row>
    <row r="2257">
      <c r="A2257" s="305">
        <v>2256.0</v>
      </c>
      <c r="B2257" s="306" t="s">
        <v>4531</v>
      </c>
      <c r="C2257" s="307" t="s">
        <v>1420</v>
      </c>
      <c r="D2257" s="308" t="s">
        <v>4533</v>
      </c>
      <c r="E2257" s="305" t="s">
        <v>4534</v>
      </c>
      <c r="F2257" s="309" t="s">
        <v>4535</v>
      </c>
      <c r="G2257" s="236"/>
      <c r="H2257" s="307" t="s">
        <v>1420</v>
      </c>
      <c r="I2257" s="237"/>
      <c r="J2257" s="237"/>
      <c r="K2257" s="310" t="s">
        <v>4532</v>
      </c>
      <c r="L2257" s="237"/>
      <c r="M2257" s="237"/>
      <c r="N2257" s="237"/>
      <c r="O2257" s="237"/>
      <c r="P2257" s="237"/>
      <c r="Q2257" s="237"/>
      <c r="R2257" s="237"/>
      <c r="S2257" s="237"/>
      <c r="T2257" s="237"/>
      <c r="U2257" s="237"/>
      <c r="V2257" s="237"/>
      <c r="W2257" s="237"/>
      <c r="X2257" s="237"/>
      <c r="Y2257" s="237"/>
      <c r="Z2257" s="237"/>
    </row>
    <row r="2258">
      <c r="A2258" s="305">
        <v>2257.0</v>
      </c>
      <c r="B2258" s="306" t="s">
        <v>5732</v>
      </c>
      <c r="C2258" s="307" t="s">
        <v>1420</v>
      </c>
      <c r="D2258" s="308" t="s">
        <v>5734</v>
      </c>
      <c r="E2258" s="305" t="s">
        <v>5735</v>
      </c>
      <c r="F2258" s="309" t="s">
        <v>5736</v>
      </c>
      <c r="G2258" s="236"/>
      <c r="H2258" s="307" t="s">
        <v>1420</v>
      </c>
      <c r="I2258" s="237"/>
      <c r="J2258" s="237"/>
      <c r="K2258" s="310" t="s">
        <v>5733</v>
      </c>
      <c r="L2258" s="237"/>
      <c r="M2258" s="237"/>
      <c r="N2258" s="237"/>
      <c r="O2258" s="237"/>
      <c r="P2258" s="237"/>
      <c r="Q2258" s="237"/>
      <c r="R2258" s="237"/>
      <c r="S2258" s="237"/>
      <c r="T2258" s="237"/>
      <c r="U2258" s="237"/>
      <c r="V2258" s="237"/>
      <c r="W2258" s="237"/>
      <c r="X2258" s="237"/>
      <c r="Y2258" s="237"/>
      <c r="Z2258" s="237"/>
    </row>
    <row r="2259">
      <c r="A2259" s="305">
        <v>2258.0</v>
      </c>
      <c r="B2259" s="306" t="s">
        <v>4683</v>
      </c>
      <c r="C2259" s="307" t="s">
        <v>1420</v>
      </c>
      <c r="D2259" s="308" t="s">
        <v>4685</v>
      </c>
      <c r="E2259" s="305" t="s">
        <v>4686</v>
      </c>
      <c r="F2259" s="309" t="s">
        <v>4687</v>
      </c>
      <c r="G2259" s="236"/>
      <c r="H2259" s="307" t="s">
        <v>1420</v>
      </c>
      <c r="I2259" s="237"/>
      <c r="J2259" s="237"/>
      <c r="K2259" s="310" t="s">
        <v>4684</v>
      </c>
      <c r="L2259" s="237"/>
      <c r="M2259" s="237"/>
      <c r="N2259" s="237"/>
      <c r="O2259" s="237"/>
      <c r="P2259" s="237"/>
      <c r="Q2259" s="237"/>
      <c r="R2259" s="237"/>
      <c r="S2259" s="237"/>
      <c r="T2259" s="237"/>
      <c r="U2259" s="237"/>
      <c r="V2259" s="237"/>
      <c r="W2259" s="237"/>
      <c r="X2259" s="237"/>
      <c r="Y2259" s="237"/>
      <c r="Z2259" s="237"/>
    </row>
    <row r="2260">
      <c r="A2260" s="305">
        <v>2259.0</v>
      </c>
      <c r="B2260" s="306" t="s">
        <v>4942</v>
      </c>
      <c r="C2260" s="307" t="s">
        <v>1420</v>
      </c>
      <c r="D2260" s="308" t="s">
        <v>4944</v>
      </c>
      <c r="E2260" s="305" t="s">
        <v>4945</v>
      </c>
      <c r="F2260" s="309" t="s">
        <v>4946</v>
      </c>
      <c r="G2260" s="236"/>
      <c r="H2260" s="307" t="s">
        <v>1420</v>
      </c>
      <c r="I2260" s="237"/>
      <c r="J2260" s="237"/>
      <c r="K2260" s="310" t="s">
        <v>4943</v>
      </c>
      <c r="L2260" s="237"/>
      <c r="M2260" s="237"/>
      <c r="N2260" s="237"/>
      <c r="O2260" s="237"/>
      <c r="P2260" s="237"/>
      <c r="Q2260" s="237"/>
      <c r="R2260" s="237"/>
      <c r="S2260" s="237"/>
      <c r="T2260" s="237"/>
      <c r="U2260" s="237"/>
      <c r="V2260" s="237"/>
      <c r="W2260" s="237"/>
      <c r="X2260" s="237"/>
      <c r="Y2260" s="237"/>
      <c r="Z2260" s="237"/>
    </row>
    <row r="2261">
      <c r="A2261" s="305">
        <v>2260.0</v>
      </c>
      <c r="B2261" s="306" t="s">
        <v>4978</v>
      </c>
      <c r="C2261" s="307" t="s">
        <v>1420</v>
      </c>
      <c r="D2261" s="308" t="s">
        <v>4980</v>
      </c>
      <c r="E2261" s="305" t="s">
        <v>4981</v>
      </c>
      <c r="F2261" s="309" t="s">
        <v>4982</v>
      </c>
      <c r="G2261" s="236"/>
      <c r="H2261" s="307" t="s">
        <v>1420</v>
      </c>
      <c r="I2261" s="237"/>
      <c r="J2261" s="237"/>
      <c r="K2261" s="310" t="s">
        <v>4979</v>
      </c>
      <c r="L2261" s="237"/>
      <c r="M2261" s="237"/>
      <c r="N2261" s="237"/>
      <c r="O2261" s="237"/>
      <c r="P2261" s="237"/>
      <c r="Q2261" s="237"/>
      <c r="R2261" s="237"/>
      <c r="S2261" s="237"/>
      <c r="T2261" s="237"/>
      <c r="U2261" s="237"/>
      <c r="V2261" s="237"/>
      <c r="W2261" s="237"/>
      <c r="X2261" s="237"/>
      <c r="Y2261" s="237"/>
      <c r="Z2261" s="237"/>
    </row>
    <row r="2262">
      <c r="A2262" s="305">
        <v>2261.0</v>
      </c>
      <c r="B2262" s="306" t="s">
        <v>5001</v>
      </c>
      <c r="C2262" s="307" t="s">
        <v>1420</v>
      </c>
      <c r="D2262" s="308" t="s">
        <v>5003</v>
      </c>
      <c r="E2262" s="305" t="s">
        <v>5004</v>
      </c>
      <c r="F2262" s="309" t="s">
        <v>5005</v>
      </c>
      <c r="G2262" s="236"/>
      <c r="H2262" s="307" t="s">
        <v>1420</v>
      </c>
      <c r="I2262" s="237"/>
      <c r="J2262" s="237"/>
      <c r="K2262" s="310" t="s">
        <v>5002</v>
      </c>
      <c r="L2262" s="237"/>
      <c r="M2262" s="237"/>
      <c r="N2262" s="237"/>
      <c r="O2262" s="237"/>
      <c r="P2262" s="237"/>
      <c r="Q2262" s="237"/>
      <c r="R2262" s="237"/>
      <c r="S2262" s="237"/>
      <c r="T2262" s="237"/>
      <c r="U2262" s="237"/>
      <c r="V2262" s="237"/>
      <c r="W2262" s="237"/>
      <c r="X2262" s="237"/>
      <c r="Y2262" s="237"/>
      <c r="Z2262" s="237"/>
    </row>
    <row r="2263">
      <c r="A2263" s="305">
        <v>2262.0</v>
      </c>
      <c r="B2263" s="306" t="s">
        <v>5546</v>
      </c>
      <c r="C2263" s="307" t="s">
        <v>1420</v>
      </c>
      <c r="D2263" s="308" t="s">
        <v>5548</v>
      </c>
      <c r="E2263" s="305" t="s">
        <v>5549</v>
      </c>
      <c r="F2263" s="309" t="s">
        <v>5850</v>
      </c>
      <c r="G2263" s="236"/>
      <c r="H2263" s="307" t="s">
        <v>1420</v>
      </c>
      <c r="I2263" s="237"/>
      <c r="J2263" s="237"/>
      <c r="K2263" s="310" t="s">
        <v>5849</v>
      </c>
      <c r="L2263" s="237"/>
      <c r="M2263" s="237"/>
      <c r="N2263" s="237"/>
      <c r="O2263" s="237"/>
      <c r="P2263" s="237"/>
      <c r="Q2263" s="237"/>
      <c r="R2263" s="237"/>
      <c r="S2263" s="237"/>
      <c r="T2263" s="237"/>
      <c r="U2263" s="237"/>
      <c r="V2263" s="237"/>
      <c r="W2263" s="237"/>
      <c r="X2263" s="237"/>
      <c r="Y2263" s="237"/>
      <c r="Z2263" s="237"/>
    </row>
    <row r="2264">
      <c r="A2264" s="305">
        <v>2263.0</v>
      </c>
      <c r="B2264" s="306" t="s">
        <v>4626</v>
      </c>
      <c r="C2264" s="307" t="s">
        <v>1420</v>
      </c>
      <c r="D2264" s="308" t="s">
        <v>4628</v>
      </c>
      <c r="E2264" s="305" t="s">
        <v>4629</v>
      </c>
      <c r="F2264" s="309" t="s">
        <v>4630</v>
      </c>
      <c r="G2264" s="236"/>
      <c r="H2264" s="307" t="s">
        <v>1420</v>
      </c>
      <c r="I2264" s="237"/>
      <c r="J2264" s="237"/>
      <c r="K2264" s="310" t="s">
        <v>4627</v>
      </c>
      <c r="L2264" s="237"/>
      <c r="M2264" s="237"/>
      <c r="N2264" s="237"/>
      <c r="O2264" s="237"/>
      <c r="P2264" s="237"/>
      <c r="Q2264" s="237"/>
      <c r="R2264" s="237"/>
      <c r="S2264" s="237"/>
      <c r="T2264" s="237"/>
      <c r="U2264" s="237"/>
      <c r="V2264" s="237"/>
      <c r="W2264" s="237"/>
      <c r="X2264" s="237"/>
      <c r="Y2264" s="237"/>
      <c r="Z2264" s="237"/>
    </row>
    <row r="2265">
      <c r="A2265" s="305">
        <v>2264.0</v>
      </c>
      <c r="B2265" s="306" t="s">
        <v>4688</v>
      </c>
      <c r="C2265" s="307" t="s">
        <v>1420</v>
      </c>
      <c r="D2265" s="308" t="s">
        <v>4690</v>
      </c>
      <c r="E2265" s="305" t="s">
        <v>4691</v>
      </c>
      <c r="F2265" s="309" t="s">
        <v>4692</v>
      </c>
      <c r="G2265" s="236"/>
      <c r="H2265" s="307" t="s">
        <v>1420</v>
      </c>
      <c r="I2265" s="237"/>
      <c r="J2265" s="237"/>
      <c r="K2265" s="310" t="s">
        <v>4689</v>
      </c>
      <c r="L2265" s="237"/>
      <c r="M2265" s="237"/>
      <c r="N2265" s="237"/>
      <c r="O2265" s="237"/>
      <c r="P2265" s="237"/>
      <c r="Q2265" s="237"/>
      <c r="R2265" s="237"/>
      <c r="S2265" s="237"/>
      <c r="T2265" s="237"/>
      <c r="U2265" s="237"/>
      <c r="V2265" s="237"/>
      <c r="W2265" s="237"/>
      <c r="X2265" s="237"/>
      <c r="Y2265" s="237"/>
      <c r="Z2265" s="237"/>
    </row>
    <row r="2266">
      <c r="A2266" s="305">
        <v>2265.0</v>
      </c>
      <c r="B2266" s="306" t="s">
        <v>4616</v>
      </c>
      <c r="C2266" s="307" t="s">
        <v>1420</v>
      </c>
      <c r="D2266" s="308" t="s">
        <v>4618</v>
      </c>
      <c r="E2266" s="305" t="s">
        <v>4619</v>
      </c>
      <c r="F2266" s="309" t="s">
        <v>4620</v>
      </c>
      <c r="G2266" s="236"/>
      <c r="H2266" s="307" t="s">
        <v>1420</v>
      </c>
      <c r="I2266" s="237"/>
      <c r="J2266" s="237"/>
      <c r="K2266" s="310" t="s">
        <v>4617</v>
      </c>
      <c r="L2266" s="237"/>
      <c r="M2266" s="237"/>
      <c r="N2266" s="237"/>
      <c r="O2266" s="237"/>
      <c r="P2266" s="237"/>
      <c r="Q2266" s="237"/>
      <c r="R2266" s="237"/>
      <c r="S2266" s="237"/>
      <c r="T2266" s="237"/>
      <c r="U2266" s="237"/>
      <c r="V2266" s="237"/>
      <c r="W2266" s="237"/>
      <c r="X2266" s="237"/>
      <c r="Y2266" s="237"/>
      <c r="Z2266" s="237"/>
    </row>
    <row r="2267">
      <c r="A2267" s="305">
        <v>2266.0</v>
      </c>
      <c r="B2267" s="306" t="s">
        <v>4543</v>
      </c>
      <c r="C2267" s="307" t="s">
        <v>1420</v>
      </c>
      <c r="D2267" s="308" t="s">
        <v>4545</v>
      </c>
      <c r="E2267" s="305" t="s">
        <v>4546</v>
      </c>
      <c r="F2267" s="309" t="s">
        <v>4547</v>
      </c>
      <c r="G2267" s="236"/>
      <c r="H2267" s="307" t="s">
        <v>1420</v>
      </c>
      <c r="I2267" s="237"/>
      <c r="J2267" s="237"/>
      <c r="K2267" s="310" t="s">
        <v>4544</v>
      </c>
      <c r="L2267" s="237"/>
      <c r="M2267" s="237"/>
      <c r="N2267" s="237"/>
      <c r="O2267" s="237"/>
      <c r="P2267" s="237"/>
      <c r="Q2267" s="237"/>
      <c r="R2267" s="237"/>
      <c r="S2267" s="237"/>
      <c r="T2267" s="237"/>
      <c r="U2267" s="237"/>
      <c r="V2267" s="237"/>
      <c r="W2267" s="237"/>
      <c r="X2267" s="237"/>
      <c r="Y2267" s="237"/>
      <c r="Z2267" s="237"/>
    </row>
    <row r="2268">
      <c r="A2268" s="305">
        <v>2267.0</v>
      </c>
      <c r="B2268" s="306" t="s">
        <v>4621</v>
      </c>
      <c r="C2268" s="307" t="s">
        <v>1420</v>
      </c>
      <c r="D2268" s="308" t="s">
        <v>4623</v>
      </c>
      <c r="E2268" s="305" t="s">
        <v>4624</v>
      </c>
      <c r="F2268" s="309" t="s">
        <v>4625</v>
      </c>
      <c r="G2268" s="236"/>
      <c r="H2268" s="307" t="s">
        <v>1420</v>
      </c>
      <c r="I2268" s="237"/>
      <c r="J2268" s="237"/>
      <c r="K2268" s="310" t="s">
        <v>4622</v>
      </c>
      <c r="L2268" s="237"/>
      <c r="M2268" s="237"/>
      <c r="N2268" s="237"/>
      <c r="O2268" s="237"/>
      <c r="P2268" s="237"/>
      <c r="Q2268" s="237"/>
      <c r="R2268" s="237"/>
      <c r="S2268" s="237"/>
      <c r="T2268" s="237"/>
      <c r="U2268" s="237"/>
      <c r="V2268" s="237"/>
      <c r="W2268" s="237"/>
      <c r="X2268" s="237"/>
      <c r="Y2268" s="237"/>
      <c r="Z2268" s="237"/>
    </row>
    <row r="2269">
      <c r="A2269" s="305">
        <v>2268.0</v>
      </c>
      <c r="B2269" s="306" t="s">
        <v>4591</v>
      </c>
      <c r="C2269" s="307" t="s">
        <v>1420</v>
      </c>
      <c r="D2269" s="308" t="s">
        <v>4593</v>
      </c>
      <c r="E2269" s="305" t="s">
        <v>4594</v>
      </c>
      <c r="F2269" s="309" t="s">
        <v>4595</v>
      </c>
      <c r="G2269" s="236"/>
      <c r="H2269" s="307" t="s">
        <v>1420</v>
      </c>
      <c r="I2269" s="237"/>
      <c r="J2269" s="237"/>
      <c r="K2269" s="310" t="s">
        <v>4592</v>
      </c>
      <c r="L2269" s="237"/>
      <c r="M2269" s="237"/>
      <c r="N2269" s="237"/>
      <c r="O2269" s="237"/>
      <c r="P2269" s="237"/>
      <c r="Q2269" s="237"/>
      <c r="R2269" s="237"/>
      <c r="S2269" s="237"/>
      <c r="T2269" s="237"/>
      <c r="U2269" s="237"/>
      <c r="V2269" s="237"/>
      <c r="W2269" s="237"/>
      <c r="X2269" s="237"/>
      <c r="Y2269" s="237"/>
      <c r="Z2269" s="237"/>
    </row>
    <row r="2270">
      <c r="A2270" s="305">
        <v>2269.0</v>
      </c>
      <c r="B2270" s="306" t="s">
        <v>4573</v>
      </c>
      <c r="C2270" s="307" t="s">
        <v>1420</v>
      </c>
      <c r="D2270" s="308" t="s">
        <v>4575</v>
      </c>
      <c r="E2270" s="305" t="s">
        <v>4576</v>
      </c>
      <c r="F2270" s="309" t="s">
        <v>4577</v>
      </c>
      <c r="G2270" s="236"/>
      <c r="H2270" s="307" t="s">
        <v>1420</v>
      </c>
      <c r="I2270" s="237"/>
      <c r="J2270" s="237"/>
      <c r="K2270" s="310" t="s">
        <v>4574</v>
      </c>
      <c r="L2270" s="237"/>
      <c r="M2270" s="237"/>
      <c r="N2270" s="237"/>
      <c r="O2270" s="237"/>
      <c r="P2270" s="237"/>
      <c r="Q2270" s="237"/>
      <c r="R2270" s="237"/>
      <c r="S2270" s="237"/>
      <c r="T2270" s="237"/>
      <c r="U2270" s="237"/>
      <c r="V2270" s="237"/>
      <c r="W2270" s="237"/>
      <c r="X2270" s="237"/>
      <c r="Y2270" s="237"/>
      <c r="Z2270" s="237"/>
    </row>
    <row r="2271">
      <c r="A2271" s="305">
        <v>2270.0</v>
      </c>
      <c r="B2271" s="306" t="s">
        <v>5780</v>
      </c>
      <c r="C2271" s="307" t="s">
        <v>1420</v>
      </c>
      <c r="D2271" s="308" t="s">
        <v>5782</v>
      </c>
      <c r="E2271" s="305" t="s">
        <v>4540</v>
      </c>
      <c r="F2271" s="309" t="s">
        <v>5783</v>
      </c>
      <c r="G2271" s="236"/>
      <c r="H2271" s="307" t="s">
        <v>1420</v>
      </c>
      <c r="I2271" s="237"/>
      <c r="J2271" s="237"/>
      <c r="K2271" s="310" t="s">
        <v>5781</v>
      </c>
      <c r="L2271" s="237"/>
      <c r="M2271" s="237"/>
      <c r="N2271" s="237"/>
      <c r="O2271" s="237"/>
      <c r="P2271" s="237"/>
      <c r="Q2271" s="237"/>
      <c r="R2271" s="237"/>
      <c r="S2271" s="237"/>
      <c r="T2271" s="237"/>
      <c r="U2271" s="237"/>
      <c r="V2271" s="237"/>
      <c r="W2271" s="237"/>
      <c r="X2271" s="237"/>
      <c r="Y2271" s="237"/>
      <c r="Z2271" s="237"/>
    </row>
    <row r="2272">
      <c r="A2272" s="305">
        <v>2271.0</v>
      </c>
      <c r="B2272" s="306" t="s">
        <v>4553</v>
      </c>
      <c r="C2272" s="307" t="s">
        <v>1420</v>
      </c>
      <c r="D2272" s="308" t="s">
        <v>4555</v>
      </c>
      <c r="E2272" s="305" t="s">
        <v>4556</v>
      </c>
      <c r="F2272" s="309" t="s">
        <v>4557</v>
      </c>
      <c r="G2272" s="236"/>
      <c r="H2272" s="307" t="s">
        <v>1420</v>
      </c>
      <c r="I2272" s="237"/>
      <c r="J2272" s="237"/>
      <c r="K2272" s="310" t="s">
        <v>4554</v>
      </c>
      <c r="L2272" s="237"/>
      <c r="M2272" s="237"/>
      <c r="N2272" s="237"/>
      <c r="O2272" s="237"/>
      <c r="P2272" s="237"/>
      <c r="Q2272" s="237"/>
      <c r="R2272" s="237"/>
      <c r="S2272" s="237"/>
      <c r="T2272" s="237"/>
      <c r="U2272" s="237"/>
      <c r="V2272" s="237"/>
      <c r="W2272" s="237"/>
      <c r="X2272" s="237"/>
      <c r="Y2272" s="237"/>
      <c r="Z2272" s="237"/>
    </row>
    <row r="2273">
      <c r="A2273" s="305">
        <v>2272.0</v>
      </c>
      <c r="B2273" s="306" t="s">
        <v>5747</v>
      </c>
      <c r="C2273" s="307" t="s">
        <v>1420</v>
      </c>
      <c r="D2273" s="308" t="s">
        <v>5749</v>
      </c>
      <c r="E2273" s="305" t="s">
        <v>5750</v>
      </c>
      <c r="F2273" s="309" t="s">
        <v>5751</v>
      </c>
      <c r="G2273" s="236"/>
      <c r="H2273" s="307" t="s">
        <v>1420</v>
      </c>
      <c r="I2273" s="237"/>
      <c r="J2273" s="237"/>
      <c r="K2273" s="310" t="s">
        <v>5748</v>
      </c>
      <c r="L2273" s="237"/>
      <c r="M2273" s="237"/>
      <c r="N2273" s="237"/>
      <c r="O2273" s="237"/>
      <c r="P2273" s="237"/>
      <c r="Q2273" s="237"/>
      <c r="R2273" s="237"/>
      <c r="S2273" s="237"/>
      <c r="T2273" s="237"/>
      <c r="U2273" s="237"/>
      <c r="V2273" s="237"/>
      <c r="W2273" s="237"/>
      <c r="X2273" s="237"/>
      <c r="Y2273" s="237"/>
      <c r="Z2273" s="237"/>
    </row>
    <row r="2274">
      <c r="A2274" s="305">
        <v>2273.0</v>
      </c>
      <c r="B2274" s="306" t="s">
        <v>4578</v>
      </c>
      <c r="C2274" s="307" t="s">
        <v>1420</v>
      </c>
      <c r="D2274" s="308" t="s">
        <v>4580</v>
      </c>
      <c r="E2274" s="305" t="s">
        <v>4581</v>
      </c>
      <c r="F2274" s="309" t="s">
        <v>4582</v>
      </c>
      <c r="G2274" s="236"/>
      <c r="H2274" s="307" t="s">
        <v>1420</v>
      </c>
      <c r="I2274" s="237"/>
      <c r="J2274" s="237"/>
      <c r="K2274" s="310" t="s">
        <v>4579</v>
      </c>
      <c r="L2274" s="237"/>
      <c r="M2274" s="237"/>
      <c r="N2274" s="237"/>
      <c r="O2274" s="237"/>
      <c r="P2274" s="237"/>
      <c r="Q2274" s="237"/>
      <c r="R2274" s="237"/>
      <c r="S2274" s="237"/>
      <c r="T2274" s="237"/>
      <c r="U2274" s="237"/>
      <c r="V2274" s="237"/>
      <c r="W2274" s="237"/>
      <c r="X2274" s="237"/>
      <c r="Y2274" s="237"/>
      <c r="Z2274" s="237"/>
    </row>
    <row r="2275">
      <c r="A2275" s="305">
        <v>2274.0</v>
      </c>
      <c r="B2275" s="306" t="s">
        <v>4537</v>
      </c>
      <c r="C2275" s="307" t="s">
        <v>1420</v>
      </c>
      <c r="D2275" s="308" t="s">
        <v>4539</v>
      </c>
      <c r="E2275" s="305" t="s">
        <v>4540</v>
      </c>
      <c r="F2275" s="309" t="s">
        <v>4541</v>
      </c>
      <c r="G2275" s="236"/>
      <c r="H2275" s="307" t="s">
        <v>1420</v>
      </c>
      <c r="I2275" s="237"/>
      <c r="J2275" s="237"/>
      <c r="K2275" s="310" t="s">
        <v>4538</v>
      </c>
      <c r="L2275" s="237"/>
      <c r="M2275" s="237"/>
      <c r="N2275" s="237"/>
      <c r="O2275" s="237"/>
      <c r="P2275" s="237"/>
      <c r="Q2275" s="237"/>
      <c r="R2275" s="237"/>
      <c r="S2275" s="237"/>
      <c r="T2275" s="237"/>
      <c r="U2275" s="237"/>
      <c r="V2275" s="237"/>
      <c r="W2275" s="237"/>
      <c r="X2275" s="237"/>
      <c r="Y2275" s="237"/>
      <c r="Z2275" s="237"/>
    </row>
    <row r="2276">
      <c r="A2276" s="305">
        <v>2275.0</v>
      </c>
      <c r="B2276" s="306" t="s">
        <v>4596</v>
      </c>
      <c r="C2276" s="307" t="s">
        <v>1420</v>
      </c>
      <c r="D2276" s="308" t="s">
        <v>4598</v>
      </c>
      <c r="E2276" s="305" t="s">
        <v>4599</v>
      </c>
      <c r="F2276" s="309" t="s">
        <v>4600</v>
      </c>
      <c r="G2276" s="236"/>
      <c r="H2276" s="307" t="s">
        <v>1420</v>
      </c>
      <c r="I2276" s="237"/>
      <c r="J2276" s="237"/>
      <c r="K2276" s="310" t="s">
        <v>4597</v>
      </c>
      <c r="L2276" s="237"/>
      <c r="M2276" s="237"/>
      <c r="N2276" s="237"/>
      <c r="O2276" s="237"/>
      <c r="P2276" s="237"/>
      <c r="Q2276" s="237"/>
      <c r="R2276" s="237"/>
      <c r="S2276" s="237"/>
      <c r="T2276" s="237"/>
      <c r="U2276" s="237"/>
      <c r="V2276" s="237"/>
      <c r="W2276" s="237"/>
      <c r="X2276" s="237"/>
      <c r="Y2276" s="237"/>
      <c r="Z2276" s="237"/>
    </row>
    <row r="2277">
      <c r="A2277" s="305">
        <v>2276.0</v>
      </c>
      <c r="B2277" s="236"/>
      <c r="C2277" s="307" t="s">
        <v>1420</v>
      </c>
      <c r="D2277" s="308" t="s">
        <v>13149</v>
      </c>
      <c r="E2277" s="305" t="s">
        <v>13150</v>
      </c>
      <c r="F2277" s="309" t="s">
        <v>14680</v>
      </c>
      <c r="G2277" s="307" t="s">
        <v>13128</v>
      </c>
      <c r="H2277" s="307" t="s">
        <v>1420</v>
      </c>
      <c r="I2277" s="237"/>
      <c r="J2277" s="237"/>
      <c r="K2277" s="310" t="s">
        <v>13148</v>
      </c>
      <c r="L2277" s="237"/>
      <c r="M2277" s="237"/>
      <c r="N2277" s="237"/>
      <c r="O2277" s="237"/>
      <c r="P2277" s="237"/>
      <c r="Q2277" s="237"/>
      <c r="R2277" s="237"/>
      <c r="S2277" s="237"/>
      <c r="T2277" s="237"/>
      <c r="U2277" s="237"/>
      <c r="V2277" s="237"/>
      <c r="W2277" s="237"/>
      <c r="X2277" s="237"/>
      <c r="Y2277" s="237"/>
      <c r="Z2277" s="237"/>
    </row>
    <row r="2278">
      <c r="A2278" s="305">
        <v>2277.0</v>
      </c>
      <c r="B2278" s="306" t="s">
        <v>4584</v>
      </c>
      <c r="C2278" s="307" t="s">
        <v>1420</v>
      </c>
      <c r="D2278" s="308" t="s">
        <v>4586</v>
      </c>
      <c r="E2278" s="305" t="s">
        <v>4587</v>
      </c>
      <c r="F2278" s="309" t="s">
        <v>4733</v>
      </c>
      <c r="G2278" s="236"/>
      <c r="H2278" s="307" t="s">
        <v>1420</v>
      </c>
      <c r="I2278" s="237"/>
      <c r="J2278" s="237"/>
      <c r="K2278" s="310" t="s">
        <v>4732</v>
      </c>
      <c r="L2278" s="237"/>
      <c r="M2278" s="237"/>
      <c r="N2278" s="237"/>
      <c r="O2278" s="237"/>
      <c r="P2278" s="237"/>
      <c r="Q2278" s="237"/>
      <c r="R2278" s="237"/>
      <c r="S2278" s="237"/>
      <c r="T2278" s="237"/>
      <c r="U2278" s="237"/>
      <c r="V2278" s="237"/>
      <c r="W2278" s="237"/>
      <c r="X2278" s="237"/>
      <c r="Y2278" s="237"/>
      <c r="Z2278" s="237"/>
    </row>
    <row r="2279">
      <c r="A2279" s="305">
        <v>2278.0</v>
      </c>
      <c r="B2279" s="306" t="s">
        <v>4588</v>
      </c>
      <c r="C2279" s="307" t="s">
        <v>1420</v>
      </c>
      <c r="D2279" s="308" t="s">
        <v>4590</v>
      </c>
      <c r="E2279" s="305" t="s">
        <v>4797</v>
      </c>
      <c r="F2279" s="309" t="s">
        <v>4798</v>
      </c>
      <c r="G2279" s="236"/>
      <c r="H2279" s="307" t="s">
        <v>1420</v>
      </c>
      <c r="I2279" s="237"/>
      <c r="J2279" s="237"/>
      <c r="K2279" s="310" t="s">
        <v>4796</v>
      </c>
      <c r="L2279" s="237"/>
      <c r="M2279" s="237"/>
      <c r="N2279" s="237"/>
      <c r="O2279" s="237"/>
      <c r="P2279" s="237"/>
      <c r="Q2279" s="237"/>
      <c r="R2279" s="237"/>
      <c r="S2279" s="237"/>
      <c r="T2279" s="237"/>
      <c r="U2279" s="237"/>
      <c r="V2279" s="237"/>
      <c r="W2279" s="237"/>
      <c r="X2279" s="237"/>
      <c r="Y2279" s="237"/>
      <c r="Z2279" s="237"/>
    </row>
    <row r="2280">
      <c r="A2280" s="305">
        <v>2279.0</v>
      </c>
      <c r="B2280" s="306" t="s">
        <v>4988</v>
      </c>
      <c r="C2280" s="307" t="s">
        <v>1420</v>
      </c>
      <c r="D2280" s="308" t="s">
        <v>4990</v>
      </c>
      <c r="E2280" s="305" t="s">
        <v>4991</v>
      </c>
      <c r="F2280" s="309" t="s">
        <v>4992</v>
      </c>
      <c r="G2280" s="236"/>
      <c r="H2280" s="307" t="s">
        <v>1420</v>
      </c>
      <c r="I2280" s="237"/>
      <c r="J2280" s="237"/>
      <c r="K2280" s="310" t="s">
        <v>4989</v>
      </c>
      <c r="L2280" s="237"/>
      <c r="M2280" s="237"/>
      <c r="N2280" s="237"/>
      <c r="O2280" s="237"/>
      <c r="P2280" s="237"/>
      <c r="Q2280" s="237"/>
      <c r="R2280" s="237"/>
      <c r="S2280" s="237"/>
      <c r="T2280" s="237"/>
      <c r="U2280" s="237"/>
      <c r="V2280" s="237"/>
      <c r="W2280" s="237"/>
      <c r="X2280" s="237"/>
      <c r="Y2280" s="237"/>
      <c r="Z2280" s="237"/>
    </row>
    <row r="2281">
      <c r="A2281" s="305">
        <v>2280.0</v>
      </c>
      <c r="B2281" s="306" t="s">
        <v>5557</v>
      </c>
      <c r="C2281" s="307" t="s">
        <v>1420</v>
      </c>
      <c r="D2281" s="308" t="s">
        <v>5559</v>
      </c>
      <c r="E2281" s="305" t="s">
        <v>5560</v>
      </c>
      <c r="F2281" s="309" t="s">
        <v>5856</v>
      </c>
      <c r="G2281" s="236"/>
      <c r="H2281" s="307" t="s">
        <v>1420</v>
      </c>
      <c r="I2281" s="237"/>
      <c r="J2281" s="237"/>
      <c r="K2281" s="310" t="s">
        <v>5855</v>
      </c>
      <c r="L2281" s="237"/>
      <c r="M2281" s="237"/>
      <c r="N2281" s="237"/>
      <c r="O2281" s="237"/>
      <c r="P2281" s="237"/>
      <c r="Q2281" s="237"/>
      <c r="R2281" s="237"/>
      <c r="S2281" s="237"/>
      <c r="T2281" s="237"/>
      <c r="U2281" s="237"/>
      <c r="V2281" s="237"/>
      <c r="W2281" s="237"/>
      <c r="X2281" s="237"/>
      <c r="Y2281" s="237"/>
      <c r="Z2281" s="237"/>
    </row>
    <row r="2282">
      <c r="A2282" s="305">
        <v>2281.0</v>
      </c>
      <c r="B2282" s="306" t="s">
        <v>4668</v>
      </c>
      <c r="C2282" s="307" t="s">
        <v>1420</v>
      </c>
      <c r="D2282" s="308" t="s">
        <v>4670</v>
      </c>
      <c r="E2282" s="305" t="s">
        <v>4671</v>
      </c>
      <c r="F2282" s="309" t="s">
        <v>4672</v>
      </c>
      <c r="G2282" s="236"/>
      <c r="H2282" s="307" t="s">
        <v>1420</v>
      </c>
      <c r="I2282" s="237"/>
      <c r="J2282" s="237"/>
      <c r="K2282" s="310" t="s">
        <v>4669</v>
      </c>
      <c r="L2282" s="237"/>
      <c r="M2282" s="237"/>
      <c r="N2282" s="237"/>
      <c r="O2282" s="237"/>
      <c r="P2282" s="237"/>
      <c r="Q2282" s="237"/>
      <c r="R2282" s="237"/>
      <c r="S2282" s="237"/>
      <c r="T2282" s="237"/>
      <c r="U2282" s="237"/>
      <c r="V2282" s="237"/>
      <c r="W2282" s="237"/>
      <c r="X2282" s="237"/>
      <c r="Y2282" s="237"/>
      <c r="Z2282" s="237"/>
    </row>
    <row r="2283">
      <c r="A2283" s="305">
        <v>2282.0</v>
      </c>
      <c r="B2283" s="306" t="s">
        <v>4668</v>
      </c>
      <c r="C2283" s="307" t="s">
        <v>1420</v>
      </c>
      <c r="D2283" s="308" t="s">
        <v>5533</v>
      </c>
      <c r="E2283" s="305" t="s">
        <v>5534</v>
      </c>
      <c r="F2283" s="309" t="s">
        <v>5535</v>
      </c>
      <c r="G2283" s="236"/>
      <c r="H2283" s="307" t="s">
        <v>1420</v>
      </c>
      <c r="I2283" s="237"/>
      <c r="J2283" s="237"/>
      <c r="K2283" s="310" t="s">
        <v>5532</v>
      </c>
      <c r="L2283" s="237"/>
      <c r="M2283" s="237"/>
      <c r="N2283" s="237"/>
      <c r="O2283" s="237"/>
      <c r="P2283" s="237"/>
      <c r="Q2283" s="237"/>
      <c r="R2283" s="237"/>
      <c r="S2283" s="237"/>
      <c r="T2283" s="237"/>
      <c r="U2283" s="237"/>
      <c r="V2283" s="237"/>
      <c r="W2283" s="237"/>
      <c r="X2283" s="237"/>
      <c r="Y2283" s="237"/>
      <c r="Z2283" s="237"/>
    </row>
    <row r="2284">
      <c r="A2284" s="305">
        <v>2283.0</v>
      </c>
      <c r="B2284" s="306" t="s">
        <v>5392</v>
      </c>
      <c r="C2284" s="307" t="s">
        <v>1420</v>
      </c>
      <c r="D2284" s="308" t="s">
        <v>5394</v>
      </c>
      <c r="E2284" s="305" t="s">
        <v>5395</v>
      </c>
      <c r="F2284" s="309" t="s">
        <v>5396</v>
      </c>
      <c r="G2284" s="236"/>
      <c r="H2284" s="307" t="s">
        <v>1420</v>
      </c>
      <c r="I2284" s="237"/>
      <c r="J2284" s="237"/>
      <c r="K2284" s="310" t="s">
        <v>5393</v>
      </c>
      <c r="L2284" s="237"/>
      <c r="M2284" s="237"/>
      <c r="N2284" s="237"/>
      <c r="O2284" s="237"/>
      <c r="P2284" s="237"/>
      <c r="Q2284" s="237"/>
      <c r="R2284" s="237"/>
      <c r="S2284" s="237"/>
      <c r="T2284" s="237"/>
      <c r="U2284" s="237"/>
      <c r="V2284" s="237"/>
      <c r="W2284" s="237"/>
      <c r="X2284" s="237"/>
      <c r="Y2284" s="237"/>
      <c r="Z2284" s="237"/>
    </row>
    <row r="2285">
      <c r="A2285" s="305">
        <v>2284.0</v>
      </c>
      <c r="B2285" s="236"/>
      <c r="C2285" s="307" t="s">
        <v>1420</v>
      </c>
      <c r="D2285" s="308" t="s">
        <v>1584</v>
      </c>
      <c r="E2285" s="305" t="s">
        <v>13171</v>
      </c>
      <c r="F2285" s="236"/>
      <c r="G2285" s="307" t="s">
        <v>13183</v>
      </c>
      <c r="H2285" s="307" t="s">
        <v>1420</v>
      </c>
      <c r="I2285" s="237"/>
      <c r="J2285" s="237"/>
      <c r="K2285" s="310" t="s">
        <v>13170</v>
      </c>
      <c r="L2285" s="237"/>
      <c r="M2285" s="237"/>
      <c r="N2285" s="237"/>
      <c r="O2285" s="237"/>
      <c r="P2285" s="237"/>
      <c r="Q2285" s="237"/>
      <c r="R2285" s="237"/>
      <c r="S2285" s="237"/>
      <c r="T2285" s="237"/>
      <c r="U2285" s="237"/>
      <c r="V2285" s="237"/>
      <c r="W2285" s="237"/>
      <c r="X2285" s="237"/>
      <c r="Y2285" s="237"/>
      <c r="Z2285" s="237"/>
    </row>
    <row r="2286">
      <c r="A2286" s="305">
        <v>2285.0</v>
      </c>
      <c r="B2286" s="306" t="s">
        <v>5737</v>
      </c>
      <c r="C2286" s="307" t="s">
        <v>1420</v>
      </c>
      <c r="D2286" s="308" t="s">
        <v>5739</v>
      </c>
      <c r="E2286" s="305" t="s">
        <v>5740</v>
      </c>
      <c r="F2286" s="309" t="s">
        <v>5741</v>
      </c>
      <c r="G2286" s="236"/>
      <c r="H2286" s="307" t="s">
        <v>1420</v>
      </c>
      <c r="I2286" s="237"/>
      <c r="J2286" s="237"/>
      <c r="K2286" s="310" t="s">
        <v>5738</v>
      </c>
      <c r="L2286" s="237"/>
      <c r="M2286" s="237"/>
      <c r="N2286" s="237"/>
      <c r="O2286" s="237"/>
      <c r="P2286" s="237"/>
      <c r="Q2286" s="237"/>
      <c r="R2286" s="237"/>
      <c r="S2286" s="237"/>
      <c r="T2286" s="237"/>
      <c r="U2286" s="237"/>
      <c r="V2286" s="237"/>
      <c r="W2286" s="237"/>
      <c r="X2286" s="237"/>
      <c r="Y2286" s="237"/>
      <c r="Z2286" s="237"/>
    </row>
    <row r="2287">
      <c r="A2287" s="305">
        <v>2286.0</v>
      </c>
      <c r="B2287" s="306" t="s">
        <v>4601</v>
      </c>
      <c r="C2287" s="307" t="s">
        <v>1420</v>
      </c>
      <c r="D2287" s="308" t="s">
        <v>4603</v>
      </c>
      <c r="E2287" s="305" t="s">
        <v>4604</v>
      </c>
      <c r="F2287" s="309" t="s">
        <v>4605</v>
      </c>
      <c r="G2287" s="236"/>
      <c r="H2287" s="307" t="s">
        <v>1420</v>
      </c>
      <c r="I2287" s="237"/>
      <c r="J2287" s="237"/>
      <c r="K2287" s="310" t="s">
        <v>4602</v>
      </c>
      <c r="L2287" s="237"/>
      <c r="M2287" s="237"/>
      <c r="N2287" s="237"/>
      <c r="O2287" s="237"/>
      <c r="P2287" s="237"/>
      <c r="Q2287" s="237"/>
      <c r="R2287" s="237"/>
      <c r="S2287" s="237"/>
      <c r="T2287" s="237"/>
      <c r="U2287" s="237"/>
      <c r="V2287" s="237"/>
      <c r="W2287" s="237"/>
      <c r="X2287" s="237"/>
      <c r="Y2287" s="237"/>
      <c r="Z2287" s="237"/>
    </row>
    <row r="2288">
      <c r="A2288" s="305">
        <v>2287.0</v>
      </c>
      <c r="B2288" s="236"/>
      <c r="C2288" s="307" t="s">
        <v>1420</v>
      </c>
      <c r="D2288" s="308" t="s">
        <v>10395</v>
      </c>
      <c r="E2288" s="305" t="s">
        <v>10161</v>
      </c>
      <c r="F2288" s="236"/>
      <c r="G2288" s="236"/>
      <c r="H2288" s="307" t="s">
        <v>1420</v>
      </c>
      <c r="I2288" s="237"/>
      <c r="J2288" s="237"/>
      <c r="K2288" s="310" t="s">
        <v>10394</v>
      </c>
      <c r="L2288" s="237"/>
      <c r="M2288" s="237"/>
      <c r="N2288" s="237"/>
      <c r="O2288" s="237"/>
      <c r="P2288" s="237"/>
      <c r="Q2288" s="237"/>
      <c r="R2288" s="237"/>
      <c r="S2288" s="237"/>
      <c r="T2288" s="237"/>
      <c r="U2288" s="237"/>
      <c r="V2288" s="237"/>
      <c r="W2288" s="237"/>
      <c r="X2288" s="237"/>
      <c r="Y2288" s="237"/>
      <c r="Z2288" s="237"/>
    </row>
    <row r="2289">
      <c r="A2289" s="305">
        <v>2288.0</v>
      </c>
      <c r="B2289" s="236"/>
      <c r="C2289" s="307" t="s">
        <v>1420</v>
      </c>
      <c r="D2289" s="308" t="s">
        <v>13121</v>
      </c>
      <c r="E2289" s="305" t="s">
        <v>13122</v>
      </c>
      <c r="F2289" s="309" t="s">
        <v>14681</v>
      </c>
      <c r="G2289" s="236"/>
      <c r="H2289" s="307" t="s">
        <v>1420</v>
      </c>
      <c r="I2289" s="237"/>
      <c r="J2289" s="237"/>
      <c r="K2289" s="310" t="s">
        <v>13120</v>
      </c>
      <c r="L2289" s="237"/>
      <c r="M2289" s="237"/>
      <c r="N2289" s="237"/>
      <c r="O2289" s="237"/>
      <c r="P2289" s="237"/>
      <c r="Q2289" s="237"/>
      <c r="R2289" s="237"/>
      <c r="S2289" s="237"/>
      <c r="T2289" s="237"/>
      <c r="U2289" s="237"/>
      <c r="V2289" s="237"/>
      <c r="W2289" s="237"/>
      <c r="X2289" s="237"/>
      <c r="Y2289" s="237"/>
      <c r="Z2289" s="237"/>
    </row>
    <row r="2290">
      <c r="A2290" s="305">
        <v>2289.0</v>
      </c>
      <c r="B2290" s="236"/>
      <c r="C2290" s="307" t="s">
        <v>1420</v>
      </c>
      <c r="D2290" s="308" t="s">
        <v>13125</v>
      </c>
      <c r="E2290" s="305" t="s">
        <v>13126</v>
      </c>
      <c r="F2290" s="309" t="s">
        <v>14682</v>
      </c>
      <c r="G2290" s="236"/>
      <c r="H2290" s="307" t="s">
        <v>1420</v>
      </c>
      <c r="I2290" s="237"/>
      <c r="J2290" s="237"/>
      <c r="K2290" s="310" t="s">
        <v>13124</v>
      </c>
      <c r="L2290" s="237"/>
      <c r="M2290" s="237"/>
      <c r="N2290" s="237"/>
      <c r="O2290" s="237"/>
      <c r="P2290" s="237"/>
      <c r="Q2290" s="237"/>
      <c r="R2290" s="237"/>
      <c r="S2290" s="237"/>
      <c r="T2290" s="237"/>
      <c r="U2290" s="237"/>
      <c r="V2290" s="237"/>
      <c r="W2290" s="237"/>
      <c r="X2290" s="237"/>
      <c r="Y2290" s="237"/>
      <c r="Z2290" s="237"/>
    </row>
    <row r="2291">
      <c r="A2291" s="305">
        <v>2290.0</v>
      </c>
      <c r="B2291" s="306" t="s">
        <v>5397</v>
      </c>
      <c r="C2291" s="307" t="s">
        <v>1420</v>
      </c>
      <c r="D2291" s="308" t="s">
        <v>5399</v>
      </c>
      <c r="E2291" s="305" t="s">
        <v>5400</v>
      </c>
      <c r="F2291" s="309" t="s">
        <v>5401</v>
      </c>
      <c r="G2291" s="236"/>
      <c r="H2291" s="307" t="s">
        <v>1420</v>
      </c>
      <c r="I2291" s="237"/>
      <c r="J2291" s="237"/>
      <c r="K2291" s="310" t="s">
        <v>5398</v>
      </c>
      <c r="L2291" s="237"/>
      <c r="M2291" s="237"/>
      <c r="N2291" s="237"/>
      <c r="O2291" s="237"/>
      <c r="P2291" s="237"/>
      <c r="Q2291" s="237"/>
      <c r="R2291" s="237"/>
      <c r="S2291" s="237"/>
      <c r="T2291" s="237"/>
      <c r="U2291" s="237"/>
      <c r="V2291" s="237"/>
      <c r="W2291" s="237"/>
      <c r="X2291" s="237"/>
      <c r="Y2291" s="237"/>
      <c r="Z2291" s="237"/>
    </row>
    <row r="2292">
      <c r="A2292" s="305">
        <v>2291.0</v>
      </c>
      <c r="B2292" s="306" t="s">
        <v>5397</v>
      </c>
      <c r="C2292" s="307" t="s">
        <v>1420</v>
      </c>
      <c r="D2292" s="308" t="s">
        <v>5399</v>
      </c>
      <c r="E2292" s="305" t="s">
        <v>5542</v>
      </c>
      <c r="F2292" s="309" t="s">
        <v>5543</v>
      </c>
      <c r="G2292" s="236"/>
      <c r="H2292" s="307" t="s">
        <v>1420</v>
      </c>
      <c r="I2292" s="237"/>
      <c r="J2292" s="237"/>
      <c r="K2292" s="310" t="s">
        <v>5541</v>
      </c>
      <c r="L2292" s="237"/>
      <c r="M2292" s="237"/>
      <c r="N2292" s="237"/>
      <c r="O2292" s="237"/>
      <c r="P2292" s="237"/>
      <c r="Q2292" s="237"/>
      <c r="R2292" s="237"/>
      <c r="S2292" s="237"/>
      <c r="T2292" s="237"/>
      <c r="U2292" s="237"/>
      <c r="V2292" s="237"/>
      <c r="W2292" s="237"/>
      <c r="X2292" s="237"/>
      <c r="Y2292" s="237"/>
      <c r="Z2292" s="237"/>
    </row>
    <row r="2293">
      <c r="A2293" s="305">
        <v>2292.0</v>
      </c>
      <c r="B2293" s="236"/>
      <c r="C2293" s="307" t="s">
        <v>1420</v>
      </c>
      <c r="D2293" s="308" t="s">
        <v>13167</v>
      </c>
      <c r="E2293" s="305" t="s">
        <v>13168</v>
      </c>
      <c r="F2293" s="309" t="s">
        <v>14683</v>
      </c>
      <c r="G2293" s="307" t="s">
        <v>13183</v>
      </c>
      <c r="H2293" s="307" t="s">
        <v>1420</v>
      </c>
      <c r="I2293" s="237"/>
      <c r="J2293" s="237"/>
      <c r="K2293" s="310" t="s">
        <v>13166</v>
      </c>
      <c r="L2293" s="237"/>
      <c r="M2293" s="237"/>
      <c r="N2293" s="237"/>
      <c r="O2293" s="237"/>
      <c r="P2293" s="237"/>
      <c r="Q2293" s="237"/>
      <c r="R2293" s="237"/>
      <c r="S2293" s="237"/>
      <c r="T2293" s="237"/>
      <c r="U2293" s="237"/>
      <c r="V2293" s="237"/>
      <c r="W2293" s="237"/>
      <c r="X2293" s="237"/>
      <c r="Y2293" s="237"/>
      <c r="Z2293" s="237"/>
    </row>
    <row r="2294">
      <c r="A2294" s="305">
        <v>2293.0</v>
      </c>
      <c r="B2294" s="306" t="s">
        <v>4606</v>
      </c>
      <c r="C2294" s="307" t="s">
        <v>1420</v>
      </c>
      <c r="D2294" s="308" t="s">
        <v>4608</v>
      </c>
      <c r="E2294" s="305" t="s">
        <v>4609</v>
      </c>
      <c r="F2294" s="309" t="s">
        <v>4610</v>
      </c>
      <c r="G2294" s="236"/>
      <c r="H2294" s="307" t="s">
        <v>1420</v>
      </c>
      <c r="I2294" s="237"/>
      <c r="J2294" s="237"/>
      <c r="K2294" s="310" t="s">
        <v>4607</v>
      </c>
      <c r="L2294" s="237"/>
      <c r="M2294" s="237"/>
      <c r="N2294" s="237"/>
      <c r="O2294" s="237"/>
      <c r="P2294" s="237"/>
      <c r="Q2294" s="237"/>
      <c r="R2294" s="237"/>
      <c r="S2294" s="237"/>
      <c r="T2294" s="237"/>
      <c r="U2294" s="237"/>
      <c r="V2294" s="237"/>
      <c r="W2294" s="237"/>
      <c r="X2294" s="237"/>
      <c r="Y2294" s="237"/>
      <c r="Z2294" s="237"/>
    </row>
    <row r="2295">
      <c r="A2295" s="305">
        <v>2294.0</v>
      </c>
      <c r="B2295" s="306" t="s">
        <v>8292</v>
      </c>
      <c r="C2295" s="307" t="s">
        <v>1420</v>
      </c>
      <c r="D2295" s="308" t="s">
        <v>8294</v>
      </c>
      <c r="E2295" s="305" t="s">
        <v>8295</v>
      </c>
      <c r="F2295" s="309" t="s">
        <v>8296</v>
      </c>
      <c r="G2295" s="236"/>
      <c r="H2295" s="307" t="s">
        <v>1420</v>
      </c>
      <c r="I2295" s="237"/>
      <c r="J2295" s="237"/>
      <c r="K2295" s="310" t="s">
        <v>8293</v>
      </c>
      <c r="L2295" s="237"/>
      <c r="M2295" s="237"/>
      <c r="N2295" s="237"/>
      <c r="O2295" s="237"/>
      <c r="P2295" s="237"/>
      <c r="Q2295" s="237"/>
      <c r="R2295" s="237"/>
      <c r="S2295" s="237"/>
      <c r="T2295" s="237"/>
      <c r="U2295" s="237"/>
      <c r="V2295" s="237"/>
      <c r="W2295" s="237"/>
      <c r="X2295" s="237"/>
      <c r="Y2295" s="237"/>
      <c r="Z2295" s="237"/>
    </row>
    <row r="2296">
      <c r="A2296" s="305">
        <v>2295.0</v>
      </c>
      <c r="B2296" s="306" t="s">
        <v>8287</v>
      </c>
      <c r="C2296" s="307" t="s">
        <v>1420</v>
      </c>
      <c r="D2296" s="308" t="s">
        <v>8289</v>
      </c>
      <c r="E2296" s="305" t="s">
        <v>8290</v>
      </c>
      <c r="F2296" s="309" t="s">
        <v>8291</v>
      </c>
      <c r="G2296" s="236"/>
      <c r="H2296" s="307" t="s">
        <v>1420</v>
      </c>
      <c r="I2296" s="237"/>
      <c r="J2296" s="237"/>
      <c r="K2296" s="310" t="s">
        <v>8288</v>
      </c>
      <c r="L2296" s="237"/>
      <c r="M2296" s="237"/>
      <c r="N2296" s="237"/>
      <c r="O2296" s="237"/>
      <c r="P2296" s="237"/>
      <c r="Q2296" s="237"/>
      <c r="R2296" s="237"/>
      <c r="S2296" s="237"/>
      <c r="T2296" s="237"/>
      <c r="U2296" s="237"/>
      <c r="V2296" s="237"/>
      <c r="W2296" s="237"/>
      <c r="X2296" s="237"/>
      <c r="Y2296" s="237"/>
      <c r="Z2296" s="237"/>
    </row>
    <row r="2297">
      <c r="A2297" s="305">
        <v>2296.0</v>
      </c>
      <c r="B2297" s="306" t="s">
        <v>8282</v>
      </c>
      <c r="C2297" s="307" t="s">
        <v>1420</v>
      </c>
      <c r="D2297" s="308" t="s">
        <v>8284</v>
      </c>
      <c r="E2297" s="305" t="s">
        <v>8285</v>
      </c>
      <c r="F2297" s="309" t="s">
        <v>8286</v>
      </c>
      <c r="G2297" s="236"/>
      <c r="H2297" s="307" t="s">
        <v>1420</v>
      </c>
      <c r="I2297" s="237"/>
      <c r="J2297" s="237"/>
      <c r="K2297" s="310" t="s">
        <v>8283</v>
      </c>
      <c r="L2297" s="237"/>
      <c r="M2297" s="237"/>
      <c r="N2297" s="237"/>
      <c r="O2297" s="237"/>
      <c r="P2297" s="237"/>
      <c r="Q2297" s="237"/>
      <c r="R2297" s="237"/>
      <c r="S2297" s="237"/>
      <c r="T2297" s="237"/>
      <c r="U2297" s="237"/>
      <c r="V2297" s="237"/>
      <c r="W2297" s="237"/>
      <c r="X2297" s="237"/>
      <c r="Y2297" s="237"/>
      <c r="Z2297" s="237"/>
    </row>
    <row r="2298">
      <c r="A2298" s="305">
        <v>2297.0</v>
      </c>
      <c r="B2298" s="306">
        <v>5.001213E7</v>
      </c>
      <c r="C2298" s="307" t="s">
        <v>1420</v>
      </c>
      <c r="D2298" s="308" t="s">
        <v>8008</v>
      </c>
      <c r="E2298" s="305" t="s">
        <v>8009</v>
      </c>
      <c r="F2298" s="309" t="s">
        <v>8010</v>
      </c>
      <c r="G2298" s="236"/>
      <c r="H2298" s="307" t="s">
        <v>1420</v>
      </c>
      <c r="I2298" s="237"/>
      <c r="J2298" s="237"/>
      <c r="K2298" s="310" t="s">
        <v>8007</v>
      </c>
      <c r="L2298" s="237"/>
      <c r="M2298" s="237"/>
      <c r="N2298" s="237"/>
      <c r="O2298" s="237"/>
      <c r="P2298" s="237"/>
      <c r="Q2298" s="237"/>
      <c r="R2298" s="237"/>
      <c r="S2298" s="237"/>
      <c r="T2298" s="237"/>
      <c r="U2298" s="237"/>
      <c r="V2298" s="237"/>
      <c r="W2298" s="237"/>
      <c r="X2298" s="237"/>
      <c r="Y2298" s="237"/>
      <c r="Z2298" s="237"/>
    </row>
    <row r="2299">
      <c r="A2299" s="305">
        <v>2298.0</v>
      </c>
      <c r="B2299" s="306" t="s">
        <v>3664</v>
      </c>
      <c r="C2299" s="307" t="s">
        <v>1420</v>
      </c>
      <c r="D2299" s="308" t="s">
        <v>14684</v>
      </c>
      <c r="E2299" s="305" t="s">
        <v>3667</v>
      </c>
      <c r="F2299" s="309" t="s">
        <v>3668</v>
      </c>
      <c r="G2299" s="236"/>
      <c r="H2299" s="307" t="s">
        <v>1420</v>
      </c>
      <c r="I2299" s="237"/>
      <c r="J2299" s="237"/>
      <c r="K2299" s="310" t="s">
        <v>3665</v>
      </c>
      <c r="L2299" s="237"/>
      <c r="M2299" s="237"/>
      <c r="N2299" s="237"/>
      <c r="O2299" s="237"/>
      <c r="P2299" s="237"/>
      <c r="Q2299" s="237"/>
      <c r="R2299" s="237"/>
      <c r="S2299" s="237"/>
      <c r="T2299" s="237"/>
      <c r="U2299" s="237"/>
      <c r="V2299" s="237"/>
      <c r="W2299" s="237"/>
      <c r="X2299" s="237"/>
      <c r="Y2299" s="237"/>
      <c r="Z2299" s="237"/>
    </row>
    <row r="2300">
      <c r="A2300" s="305">
        <v>2299.0</v>
      </c>
      <c r="B2300" s="306" t="s">
        <v>3728</v>
      </c>
      <c r="C2300" s="307" t="s">
        <v>1420</v>
      </c>
      <c r="D2300" s="308" t="s">
        <v>14684</v>
      </c>
      <c r="E2300" s="305" t="s">
        <v>3731</v>
      </c>
      <c r="F2300" s="309" t="s">
        <v>3732</v>
      </c>
      <c r="G2300" s="236"/>
      <c r="H2300" s="307" t="s">
        <v>1420</v>
      </c>
      <c r="I2300" s="237"/>
      <c r="J2300" s="237"/>
      <c r="K2300" s="310" t="s">
        <v>3729</v>
      </c>
      <c r="L2300" s="237"/>
      <c r="M2300" s="237"/>
      <c r="N2300" s="237"/>
      <c r="O2300" s="237"/>
      <c r="P2300" s="237"/>
      <c r="Q2300" s="237"/>
      <c r="R2300" s="237"/>
      <c r="S2300" s="237"/>
      <c r="T2300" s="237"/>
      <c r="U2300" s="237"/>
      <c r="V2300" s="237"/>
      <c r="W2300" s="237"/>
      <c r="X2300" s="237"/>
      <c r="Y2300" s="237"/>
      <c r="Z2300" s="237"/>
    </row>
    <row r="2301">
      <c r="A2301" s="305">
        <v>2300.0</v>
      </c>
      <c r="B2301" s="306" t="s">
        <v>6821</v>
      </c>
      <c r="C2301" s="307" t="s">
        <v>1420</v>
      </c>
      <c r="D2301" s="308" t="s">
        <v>6823</v>
      </c>
      <c r="E2301" s="305" t="s">
        <v>6824</v>
      </c>
      <c r="F2301" s="309" t="s">
        <v>6825</v>
      </c>
      <c r="G2301" s="236"/>
      <c r="H2301" s="307" t="s">
        <v>1420</v>
      </c>
      <c r="I2301" s="237"/>
      <c r="J2301" s="237"/>
      <c r="K2301" s="310" t="s">
        <v>6822</v>
      </c>
      <c r="L2301" s="237"/>
      <c r="M2301" s="237"/>
      <c r="N2301" s="237"/>
      <c r="O2301" s="237"/>
      <c r="P2301" s="237"/>
      <c r="Q2301" s="237"/>
      <c r="R2301" s="237"/>
      <c r="S2301" s="237"/>
      <c r="T2301" s="237"/>
      <c r="U2301" s="237"/>
      <c r="V2301" s="237"/>
      <c r="W2301" s="237"/>
      <c r="X2301" s="237"/>
      <c r="Y2301" s="237"/>
      <c r="Z2301" s="237"/>
    </row>
    <row r="2302">
      <c r="A2302" s="305">
        <v>2301.0</v>
      </c>
      <c r="B2302" s="306" t="s">
        <v>6826</v>
      </c>
      <c r="C2302" s="307" t="s">
        <v>1420</v>
      </c>
      <c r="D2302" s="308" t="s">
        <v>6828</v>
      </c>
      <c r="E2302" s="305" t="s">
        <v>6829</v>
      </c>
      <c r="F2302" s="309" t="s">
        <v>6830</v>
      </c>
      <c r="G2302" s="236"/>
      <c r="H2302" s="307" t="s">
        <v>1420</v>
      </c>
      <c r="I2302" s="237"/>
      <c r="J2302" s="237"/>
      <c r="K2302" s="310" t="s">
        <v>6827</v>
      </c>
      <c r="L2302" s="237"/>
      <c r="M2302" s="237"/>
      <c r="N2302" s="237"/>
      <c r="O2302" s="237"/>
      <c r="P2302" s="237"/>
      <c r="Q2302" s="237"/>
      <c r="R2302" s="237"/>
      <c r="S2302" s="237"/>
      <c r="T2302" s="237"/>
      <c r="U2302" s="237"/>
      <c r="V2302" s="237"/>
      <c r="W2302" s="237"/>
      <c r="X2302" s="237"/>
      <c r="Y2302" s="237"/>
      <c r="Z2302" s="237"/>
    </row>
    <row r="2303">
      <c r="A2303" s="305">
        <v>2302.0</v>
      </c>
      <c r="B2303" s="306" t="s">
        <v>6836</v>
      </c>
      <c r="C2303" s="307" t="s">
        <v>1420</v>
      </c>
      <c r="D2303" s="308" t="s">
        <v>6838</v>
      </c>
      <c r="E2303" s="305" t="s">
        <v>6839</v>
      </c>
      <c r="F2303" s="309" t="s">
        <v>6840</v>
      </c>
      <c r="G2303" s="236"/>
      <c r="H2303" s="307" t="s">
        <v>1420</v>
      </c>
      <c r="I2303" s="237"/>
      <c r="J2303" s="237"/>
      <c r="K2303" s="310" t="s">
        <v>6837</v>
      </c>
      <c r="L2303" s="237"/>
      <c r="M2303" s="237"/>
      <c r="N2303" s="237"/>
      <c r="O2303" s="237"/>
      <c r="P2303" s="237"/>
      <c r="Q2303" s="237"/>
      <c r="R2303" s="237"/>
      <c r="S2303" s="237"/>
      <c r="T2303" s="237"/>
      <c r="U2303" s="237"/>
      <c r="V2303" s="237"/>
      <c r="W2303" s="237"/>
      <c r="X2303" s="237"/>
      <c r="Y2303" s="237"/>
      <c r="Z2303" s="237"/>
    </row>
    <row r="2304">
      <c r="A2304" s="305">
        <v>2303.0</v>
      </c>
      <c r="B2304" s="306" t="s">
        <v>6831</v>
      </c>
      <c r="C2304" s="307" t="s">
        <v>1420</v>
      </c>
      <c r="D2304" s="308" t="s">
        <v>6833</v>
      </c>
      <c r="E2304" s="305" t="s">
        <v>6834</v>
      </c>
      <c r="F2304" s="309" t="s">
        <v>6835</v>
      </c>
      <c r="G2304" s="236"/>
      <c r="H2304" s="307" t="s">
        <v>1420</v>
      </c>
      <c r="I2304" s="237"/>
      <c r="J2304" s="237"/>
      <c r="K2304" s="310" t="s">
        <v>6832</v>
      </c>
      <c r="L2304" s="237"/>
      <c r="M2304" s="237"/>
      <c r="N2304" s="237"/>
      <c r="O2304" s="237"/>
      <c r="P2304" s="237"/>
      <c r="Q2304" s="237"/>
      <c r="R2304" s="237"/>
      <c r="S2304" s="237"/>
      <c r="T2304" s="237"/>
      <c r="U2304" s="237"/>
      <c r="V2304" s="237"/>
      <c r="W2304" s="237"/>
      <c r="X2304" s="237"/>
      <c r="Y2304" s="237"/>
      <c r="Z2304" s="237"/>
    </row>
    <row r="2305">
      <c r="A2305" s="305">
        <v>2304.0</v>
      </c>
      <c r="B2305" s="306" t="s">
        <v>6849</v>
      </c>
      <c r="C2305" s="307" t="s">
        <v>1420</v>
      </c>
      <c r="D2305" s="308" t="s">
        <v>6851</v>
      </c>
      <c r="E2305" s="305" t="s">
        <v>6852</v>
      </c>
      <c r="F2305" s="309" t="s">
        <v>6853</v>
      </c>
      <c r="G2305" s="236"/>
      <c r="H2305" s="307" t="s">
        <v>1420</v>
      </c>
      <c r="I2305" s="237"/>
      <c r="J2305" s="237"/>
      <c r="K2305" s="310" t="s">
        <v>6850</v>
      </c>
      <c r="L2305" s="237"/>
      <c r="M2305" s="237"/>
      <c r="N2305" s="237"/>
      <c r="O2305" s="237"/>
      <c r="P2305" s="237"/>
      <c r="Q2305" s="237"/>
      <c r="R2305" s="237"/>
      <c r="S2305" s="237"/>
      <c r="T2305" s="237"/>
      <c r="U2305" s="237"/>
      <c r="V2305" s="237"/>
      <c r="W2305" s="237"/>
      <c r="X2305" s="237"/>
      <c r="Y2305" s="237"/>
      <c r="Z2305" s="237"/>
    </row>
    <row r="2306">
      <c r="A2306" s="305">
        <v>2305.0</v>
      </c>
      <c r="B2306" s="306" t="s">
        <v>6844</v>
      </c>
      <c r="C2306" s="307" t="s">
        <v>1420</v>
      </c>
      <c r="D2306" s="308" t="s">
        <v>6846</v>
      </c>
      <c r="E2306" s="305" t="s">
        <v>6847</v>
      </c>
      <c r="F2306" s="309" t="s">
        <v>6848</v>
      </c>
      <c r="G2306" s="236"/>
      <c r="H2306" s="307" t="s">
        <v>1420</v>
      </c>
      <c r="I2306" s="237"/>
      <c r="J2306" s="237"/>
      <c r="K2306" s="310" t="s">
        <v>6845</v>
      </c>
      <c r="L2306" s="237"/>
      <c r="M2306" s="237"/>
      <c r="N2306" s="237"/>
      <c r="O2306" s="237"/>
      <c r="P2306" s="237"/>
      <c r="Q2306" s="237"/>
      <c r="R2306" s="237"/>
      <c r="S2306" s="237"/>
      <c r="T2306" s="237"/>
      <c r="U2306" s="237"/>
      <c r="V2306" s="237"/>
      <c r="W2306" s="237"/>
      <c r="X2306" s="237"/>
      <c r="Y2306" s="237"/>
      <c r="Z2306" s="237"/>
    </row>
    <row r="2307">
      <c r="A2307" s="305">
        <v>2306.0</v>
      </c>
      <c r="B2307" s="306" t="s">
        <v>3923</v>
      </c>
      <c r="C2307" s="307" t="s">
        <v>1420</v>
      </c>
      <c r="D2307" s="308" t="s">
        <v>3925</v>
      </c>
      <c r="E2307" s="305" t="s">
        <v>3926</v>
      </c>
      <c r="F2307" s="309" t="s">
        <v>3927</v>
      </c>
      <c r="G2307" s="236"/>
      <c r="H2307" s="307" t="s">
        <v>1420</v>
      </c>
      <c r="I2307" s="237"/>
      <c r="J2307" s="237"/>
      <c r="K2307" s="310" t="s">
        <v>3924</v>
      </c>
      <c r="L2307" s="237"/>
      <c r="M2307" s="237"/>
      <c r="N2307" s="237"/>
      <c r="O2307" s="237"/>
      <c r="P2307" s="237"/>
      <c r="Q2307" s="237"/>
      <c r="R2307" s="237"/>
      <c r="S2307" s="237"/>
      <c r="T2307" s="237"/>
      <c r="U2307" s="237"/>
      <c r="V2307" s="237"/>
      <c r="W2307" s="237"/>
      <c r="X2307" s="237"/>
      <c r="Y2307" s="237"/>
      <c r="Z2307" s="237"/>
    </row>
    <row r="2308">
      <c r="A2308" s="305">
        <v>2307.0</v>
      </c>
      <c r="B2308" s="306" t="s">
        <v>3952</v>
      </c>
      <c r="C2308" s="307" t="s">
        <v>1420</v>
      </c>
      <c r="D2308" s="308" t="s">
        <v>3954</v>
      </c>
      <c r="E2308" s="305" t="s">
        <v>3955</v>
      </c>
      <c r="F2308" s="309" t="s">
        <v>14685</v>
      </c>
      <c r="G2308" s="236"/>
      <c r="H2308" s="307" t="s">
        <v>1420</v>
      </c>
      <c r="I2308" s="237"/>
      <c r="J2308" s="237"/>
      <c r="K2308" s="310" t="s">
        <v>3953</v>
      </c>
      <c r="L2308" s="237"/>
      <c r="M2308" s="237"/>
      <c r="N2308" s="237"/>
      <c r="O2308" s="237"/>
      <c r="P2308" s="237"/>
      <c r="Q2308" s="237"/>
      <c r="R2308" s="237"/>
      <c r="S2308" s="237"/>
      <c r="T2308" s="237"/>
      <c r="U2308" s="237"/>
      <c r="V2308" s="237"/>
      <c r="W2308" s="237"/>
      <c r="X2308" s="237"/>
      <c r="Y2308" s="237"/>
      <c r="Z2308" s="237"/>
    </row>
    <row r="2309">
      <c r="A2309" s="305">
        <v>2308.0</v>
      </c>
      <c r="B2309" s="306" t="s">
        <v>3947</v>
      </c>
      <c r="C2309" s="307" t="s">
        <v>1420</v>
      </c>
      <c r="D2309" s="308" t="s">
        <v>3949</v>
      </c>
      <c r="E2309" s="305" t="s">
        <v>3950</v>
      </c>
      <c r="F2309" s="309" t="s">
        <v>3951</v>
      </c>
      <c r="G2309" s="236"/>
      <c r="H2309" s="307" t="s">
        <v>1420</v>
      </c>
      <c r="I2309" s="237"/>
      <c r="J2309" s="237"/>
      <c r="K2309" s="310" t="s">
        <v>3948</v>
      </c>
      <c r="L2309" s="237"/>
      <c r="M2309" s="237"/>
      <c r="N2309" s="237"/>
      <c r="O2309" s="237"/>
      <c r="P2309" s="237"/>
      <c r="Q2309" s="237"/>
      <c r="R2309" s="237"/>
      <c r="S2309" s="237"/>
      <c r="T2309" s="237"/>
      <c r="U2309" s="237"/>
      <c r="V2309" s="237"/>
      <c r="W2309" s="237"/>
      <c r="X2309" s="237"/>
      <c r="Y2309" s="237"/>
      <c r="Z2309" s="237"/>
    </row>
    <row r="2310">
      <c r="A2310" s="305">
        <v>2309.0</v>
      </c>
      <c r="B2310" s="306" t="s">
        <v>3937</v>
      </c>
      <c r="C2310" s="307" t="s">
        <v>1420</v>
      </c>
      <c r="D2310" s="308" t="s">
        <v>3939</v>
      </c>
      <c r="E2310" s="305" t="s">
        <v>3940</v>
      </c>
      <c r="F2310" s="309" t="s">
        <v>3941</v>
      </c>
      <c r="G2310" s="236"/>
      <c r="H2310" s="307" t="s">
        <v>1420</v>
      </c>
      <c r="I2310" s="237"/>
      <c r="J2310" s="237"/>
      <c r="K2310" s="310" t="s">
        <v>3938</v>
      </c>
      <c r="L2310" s="237"/>
      <c r="M2310" s="237"/>
      <c r="N2310" s="237"/>
      <c r="O2310" s="237"/>
      <c r="P2310" s="237"/>
      <c r="Q2310" s="237"/>
      <c r="R2310" s="237"/>
      <c r="S2310" s="237"/>
      <c r="T2310" s="237"/>
      <c r="U2310" s="237"/>
      <c r="V2310" s="237"/>
      <c r="W2310" s="237"/>
      <c r="X2310" s="237"/>
      <c r="Y2310" s="237"/>
      <c r="Z2310" s="237"/>
    </row>
    <row r="2311">
      <c r="A2311" s="305">
        <v>2310.0</v>
      </c>
      <c r="B2311" s="306" t="s">
        <v>3942</v>
      </c>
      <c r="C2311" s="307" t="s">
        <v>1420</v>
      </c>
      <c r="D2311" s="308" t="s">
        <v>3944</v>
      </c>
      <c r="E2311" s="305" t="s">
        <v>3945</v>
      </c>
      <c r="F2311" s="309" t="s">
        <v>3946</v>
      </c>
      <c r="G2311" s="236"/>
      <c r="H2311" s="307" t="s">
        <v>1420</v>
      </c>
      <c r="I2311" s="237"/>
      <c r="J2311" s="237"/>
      <c r="K2311" s="310" t="s">
        <v>3943</v>
      </c>
      <c r="L2311" s="237"/>
      <c r="M2311" s="237"/>
      <c r="N2311" s="237"/>
      <c r="O2311" s="237"/>
      <c r="P2311" s="237"/>
      <c r="Q2311" s="237"/>
      <c r="R2311" s="237"/>
      <c r="S2311" s="237"/>
      <c r="T2311" s="237"/>
      <c r="U2311" s="237"/>
      <c r="V2311" s="237"/>
      <c r="W2311" s="237"/>
      <c r="X2311" s="237"/>
      <c r="Y2311" s="237"/>
      <c r="Z2311" s="237"/>
    </row>
    <row r="2312">
      <c r="A2312" s="305">
        <v>2311.0</v>
      </c>
      <c r="B2312" s="306" t="s">
        <v>3933</v>
      </c>
      <c r="C2312" s="307" t="s">
        <v>1420</v>
      </c>
      <c r="D2312" s="308" t="s">
        <v>2363</v>
      </c>
      <c r="E2312" s="305" t="s">
        <v>3935</v>
      </c>
      <c r="F2312" s="309" t="s">
        <v>3936</v>
      </c>
      <c r="G2312" s="236"/>
      <c r="H2312" s="307" t="s">
        <v>1420</v>
      </c>
      <c r="I2312" s="237"/>
      <c r="J2312" s="237"/>
      <c r="K2312" s="310" t="s">
        <v>3934</v>
      </c>
      <c r="L2312" s="237"/>
      <c r="M2312" s="237"/>
      <c r="N2312" s="237"/>
      <c r="O2312" s="237"/>
      <c r="P2312" s="237"/>
      <c r="Q2312" s="237"/>
      <c r="R2312" s="237"/>
      <c r="S2312" s="237"/>
      <c r="T2312" s="237"/>
      <c r="U2312" s="237"/>
      <c r="V2312" s="237"/>
      <c r="W2312" s="237"/>
      <c r="X2312" s="237"/>
      <c r="Y2312" s="237"/>
      <c r="Z2312" s="237"/>
    </row>
    <row r="2313">
      <c r="A2313" s="305">
        <v>2312.0</v>
      </c>
      <c r="B2313" s="306" t="s">
        <v>3928</v>
      </c>
      <c r="C2313" s="307" t="s">
        <v>1420</v>
      </c>
      <c r="D2313" s="308" t="s">
        <v>3930</v>
      </c>
      <c r="E2313" s="305" t="s">
        <v>3931</v>
      </c>
      <c r="F2313" s="309" t="s">
        <v>3932</v>
      </c>
      <c r="G2313" s="236"/>
      <c r="H2313" s="307" t="s">
        <v>1420</v>
      </c>
      <c r="I2313" s="237"/>
      <c r="J2313" s="237"/>
      <c r="K2313" s="310" t="s">
        <v>3929</v>
      </c>
      <c r="L2313" s="237"/>
      <c r="M2313" s="237"/>
      <c r="N2313" s="237"/>
      <c r="O2313" s="237"/>
      <c r="P2313" s="237"/>
      <c r="Q2313" s="237"/>
      <c r="R2313" s="237"/>
      <c r="S2313" s="237"/>
      <c r="T2313" s="237"/>
      <c r="U2313" s="237"/>
      <c r="V2313" s="237"/>
      <c r="W2313" s="237"/>
      <c r="X2313" s="237"/>
      <c r="Y2313" s="237"/>
      <c r="Z2313" s="237"/>
    </row>
    <row r="2314">
      <c r="A2314" s="305">
        <v>2313.0</v>
      </c>
      <c r="B2314" s="236"/>
      <c r="C2314" s="307" t="s">
        <v>1420</v>
      </c>
      <c r="D2314" s="308" t="s">
        <v>7890</v>
      </c>
      <c r="E2314" s="305" t="s">
        <v>7891</v>
      </c>
      <c r="F2314" s="309" t="s">
        <v>7892</v>
      </c>
      <c r="G2314" s="236"/>
      <c r="H2314" s="307" t="s">
        <v>1420</v>
      </c>
      <c r="I2314" s="237"/>
      <c r="J2314" s="237"/>
      <c r="K2314" s="310" t="s">
        <v>7889</v>
      </c>
      <c r="L2314" s="237"/>
      <c r="M2314" s="237"/>
      <c r="N2314" s="237"/>
      <c r="O2314" s="237"/>
      <c r="P2314" s="237"/>
      <c r="Q2314" s="237"/>
      <c r="R2314" s="237"/>
      <c r="S2314" s="237"/>
      <c r="T2314" s="237"/>
      <c r="U2314" s="237"/>
      <c r="V2314" s="237"/>
      <c r="W2314" s="237"/>
      <c r="X2314" s="237"/>
      <c r="Y2314" s="237"/>
      <c r="Z2314" s="237"/>
    </row>
    <row r="2315">
      <c r="A2315" s="305">
        <v>2314.0</v>
      </c>
      <c r="B2315" s="236"/>
      <c r="C2315" s="307" t="s">
        <v>1420</v>
      </c>
      <c r="D2315" s="308" t="s">
        <v>7886</v>
      </c>
      <c r="E2315" s="305" t="s">
        <v>7887</v>
      </c>
      <c r="F2315" s="309" t="s">
        <v>7888</v>
      </c>
      <c r="G2315" s="236"/>
      <c r="H2315" s="307" t="s">
        <v>1420</v>
      </c>
      <c r="I2315" s="237"/>
      <c r="J2315" s="237"/>
      <c r="K2315" s="310" t="s">
        <v>7885</v>
      </c>
      <c r="L2315" s="237"/>
      <c r="M2315" s="237"/>
      <c r="N2315" s="237"/>
      <c r="O2315" s="237"/>
      <c r="P2315" s="237"/>
      <c r="Q2315" s="237"/>
      <c r="R2315" s="237"/>
      <c r="S2315" s="237"/>
      <c r="T2315" s="237"/>
      <c r="U2315" s="237"/>
      <c r="V2315" s="237"/>
      <c r="W2315" s="237"/>
      <c r="X2315" s="237"/>
      <c r="Y2315" s="237"/>
      <c r="Z2315" s="237"/>
    </row>
    <row r="2316">
      <c r="A2316" s="305">
        <v>2315.0</v>
      </c>
      <c r="B2316" s="236"/>
      <c r="C2316" s="307" t="s">
        <v>1420</v>
      </c>
      <c r="D2316" s="308" t="s">
        <v>7882</v>
      </c>
      <c r="E2316" s="305" t="s">
        <v>7883</v>
      </c>
      <c r="F2316" s="309" t="s">
        <v>7884</v>
      </c>
      <c r="G2316" s="236"/>
      <c r="H2316" s="307" t="s">
        <v>1420</v>
      </c>
      <c r="I2316" s="237"/>
      <c r="J2316" s="237"/>
      <c r="K2316" s="310" t="s">
        <v>7881</v>
      </c>
      <c r="L2316" s="237"/>
      <c r="M2316" s="237"/>
      <c r="N2316" s="237"/>
      <c r="O2316" s="237"/>
      <c r="P2316" s="237"/>
      <c r="Q2316" s="237"/>
      <c r="R2316" s="237"/>
      <c r="S2316" s="237"/>
      <c r="T2316" s="237"/>
      <c r="U2316" s="237"/>
      <c r="V2316" s="237"/>
      <c r="W2316" s="237"/>
      <c r="X2316" s="237"/>
      <c r="Y2316" s="237"/>
      <c r="Z2316" s="237"/>
    </row>
    <row r="2317">
      <c r="A2317" s="305">
        <v>2316.0</v>
      </c>
      <c r="B2317" s="236"/>
      <c r="C2317" s="307" t="s">
        <v>1420</v>
      </c>
      <c r="D2317" s="308" t="s">
        <v>12306</v>
      </c>
      <c r="E2317" s="305" t="s">
        <v>12307</v>
      </c>
      <c r="F2317" s="309" t="s">
        <v>12308</v>
      </c>
      <c r="G2317" s="236"/>
      <c r="H2317" s="307" t="s">
        <v>1420</v>
      </c>
      <c r="I2317" s="237"/>
      <c r="J2317" s="237"/>
      <c r="K2317" s="310" t="s">
        <v>12304</v>
      </c>
      <c r="L2317" s="237"/>
      <c r="M2317" s="237"/>
      <c r="N2317" s="237"/>
      <c r="O2317" s="237"/>
      <c r="P2317" s="237"/>
      <c r="Q2317" s="237"/>
      <c r="R2317" s="237"/>
      <c r="S2317" s="237"/>
      <c r="T2317" s="237"/>
      <c r="U2317" s="237"/>
      <c r="V2317" s="237"/>
      <c r="W2317" s="237"/>
      <c r="X2317" s="237"/>
      <c r="Y2317" s="237"/>
      <c r="Z2317" s="237"/>
    </row>
    <row r="2318">
      <c r="A2318" s="305">
        <v>2317.0</v>
      </c>
      <c r="B2318" s="236"/>
      <c r="C2318" s="307" t="s">
        <v>1420</v>
      </c>
      <c r="D2318" s="308" t="s">
        <v>12271</v>
      </c>
      <c r="E2318" s="305" t="s">
        <v>12272</v>
      </c>
      <c r="F2318" s="309" t="s">
        <v>12273</v>
      </c>
      <c r="G2318" s="236"/>
      <c r="H2318" s="307" t="s">
        <v>1420</v>
      </c>
      <c r="I2318" s="237"/>
      <c r="J2318" s="237"/>
      <c r="K2318" s="310" t="s">
        <v>12270</v>
      </c>
      <c r="L2318" s="237"/>
      <c r="M2318" s="237"/>
      <c r="N2318" s="237"/>
      <c r="O2318" s="237"/>
      <c r="P2318" s="237"/>
      <c r="Q2318" s="237"/>
      <c r="R2318" s="237"/>
      <c r="S2318" s="237"/>
      <c r="T2318" s="237"/>
      <c r="U2318" s="237"/>
      <c r="V2318" s="237"/>
      <c r="W2318" s="237"/>
      <c r="X2318" s="237"/>
      <c r="Y2318" s="237"/>
      <c r="Z2318" s="237"/>
    </row>
    <row r="2319">
      <c r="A2319" s="305">
        <v>2318.0</v>
      </c>
      <c r="B2319" s="236"/>
      <c r="C2319" s="307" t="s">
        <v>1420</v>
      </c>
      <c r="D2319" s="308" t="s">
        <v>12365</v>
      </c>
      <c r="E2319" s="305" t="s">
        <v>12366</v>
      </c>
      <c r="F2319" s="309" t="s">
        <v>12367</v>
      </c>
      <c r="G2319" s="236"/>
      <c r="H2319" s="307" t="s">
        <v>1420</v>
      </c>
      <c r="I2319" s="237"/>
      <c r="J2319" s="237"/>
      <c r="K2319" s="310" t="s">
        <v>12363</v>
      </c>
      <c r="L2319" s="237"/>
      <c r="M2319" s="237"/>
      <c r="N2319" s="237"/>
      <c r="O2319" s="237"/>
      <c r="P2319" s="237"/>
      <c r="Q2319" s="237"/>
      <c r="R2319" s="237"/>
      <c r="S2319" s="237"/>
      <c r="T2319" s="237"/>
      <c r="U2319" s="237"/>
      <c r="V2319" s="237"/>
      <c r="W2319" s="237"/>
      <c r="X2319" s="237"/>
      <c r="Y2319" s="237"/>
      <c r="Z2319" s="237"/>
    </row>
    <row r="2320">
      <c r="A2320" s="305">
        <v>2319.0</v>
      </c>
      <c r="B2320" s="236"/>
      <c r="C2320" s="307" t="s">
        <v>1420</v>
      </c>
      <c r="D2320" s="308" t="s">
        <v>12288</v>
      </c>
      <c r="E2320" s="305" t="s">
        <v>12289</v>
      </c>
      <c r="F2320" s="309" t="s">
        <v>12290</v>
      </c>
      <c r="G2320" s="236"/>
      <c r="H2320" s="307" t="s">
        <v>1420</v>
      </c>
      <c r="I2320" s="237"/>
      <c r="J2320" s="237"/>
      <c r="K2320" s="310" t="s">
        <v>12287</v>
      </c>
      <c r="L2320" s="237"/>
      <c r="M2320" s="237"/>
      <c r="N2320" s="237"/>
      <c r="O2320" s="237"/>
      <c r="P2320" s="237"/>
      <c r="Q2320" s="237"/>
      <c r="R2320" s="237"/>
      <c r="S2320" s="237"/>
      <c r="T2320" s="237"/>
      <c r="U2320" s="237"/>
      <c r="V2320" s="237"/>
      <c r="W2320" s="237"/>
      <c r="X2320" s="237"/>
      <c r="Y2320" s="237"/>
      <c r="Z2320" s="237"/>
    </row>
    <row r="2321">
      <c r="A2321" s="305">
        <v>2320.0</v>
      </c>
      <c r="B2321" s="236"/>
      <c r="C2321" s="307" t="s">
        <v>1420</v>
      </c>
      <c r="D2321" s="308" t="s">
        <v>12292</v>
      </c>
      <c r="E2321" s="305" t="s">
        <v>12293</v>
      </c>
      <c r="F2321" s="309" t="s">
        <v>12294</v>
      </c>
      <c r="G2321" s="236"/>
      <c r="H2321" s="307" t="s">
        <v>1420</v>
      </c>
      <c r="I2321" s="237"/>
      <c r="J2321" s="237"/>
      <c r="K2321" s="310" t="s">
        <v>12291</v>
      </c>
      <c r="L2321" s="237"/>
      <c r="M2321" s="237"/>
      <c r="N2321" s="237"/>
      <c r="O2321" s="237"/>
      <c r="P2321" s="237"/>
      <c r="Q2321" s="237"/>
      <c r="R2321" s="237"/>
      <c r="S2321" s="237"/>
      <c r="T2321" s="237"/>
      <c r="U2321" s="237"/>
      <c r="V2321" s="237"/>
      <c r="W2321" s="237"/>
      <c r="X2321" s="237"/>
      <c r="Y2321" s="237"/>
      <c r="Z2321" s="237"/>
    </row>
    <row r="2322">
      <c r="A2322" s="305">
        <v>2321.0</v>
      </c>
      <c r="B2322" s="236"/>
      <c r="C2322" s="307" t="s">
        <v>1427</v>
      </c>
      <c r="D2322" s="308" t="s">
        <v>12062</v>
      </c>
      <c r="E2322" s="305" t="s">
        <v>12063</v>
      </c>
      <c r="F2322" s="236"/>
      <c r="G2322" s="236"/>
      <c r="H2322" s="307" t="s">
        <v>1427</v>
      </c>
      <c r="I2322" s="237"/>
      <c r="J2322" s="237"/>
      <c r="K2322" s="310" t="s">
        <v>12061</v>
      </c>
      <c r="L2322" s="237"/>
      <c r="M2322" s="237"/>
      <c r="N2322" s="237"/>
      <c r="O2322" s="237"/>
      <c r="P2322" s="237"/>
      <c r="Q2322" s="237"/>
      <c r="R2322" s="237"/>
      <c r="S2322" s="237"/>
      <c r="T2322" s="237"/>
      <c r="U2322" s="237"/>
      <c r="V2322" s="237"/>
      <c r="W2322" s="237"/>
      <c r="X2322" s="237"/>
      <c r="Y2322" s="237"/>
      <c r="Z2322" s="237"/>
    </row>
    <row r="2323">
      <c r="A2323" s="305">
        <v>2322.0</v>
      </c>
      <c r="B2323" s="236"/>
      <c r="C2323" s="307" t="s">
        <v>1420</v>
      </c>
      <c r="D2323" s="308" t="s">
        <v>14686</v>
      </c>
      <c r="E2323" s="305" t="s">
        <v>12285</v>
      </c>
      <c r="F2323" s="309" t="s">
        <v>12286</v>
      </c>
      <c r="G2323" s="236"/>
      <c r="H2323" s="307" t="s">
        <v>1420</v>
      </c>
      <c r="I2323" s="237"/>
      <c r="J2323" s="237"/>
      <c r="K2323" s="310" t="s">
        <v>12283</v>
      </c>
      <c r="L2323" s="237"/>
      <c r="M2323" s="237"/>
      <c r="N2323" s="237"/>
      <c r="O2323" s="237"/>
      <c r="P2323" s="237"/>
      <c r="Q2323" s="237"/>
      <c r="R2323" s="237"/>
      <c r="S2323" s="237"/>
      <c r="T2323" s="237"/>
      <c r="U2323" s="237"/>
      <c r="V2323" s="237"/>
      <c r="W2323" s="237"/>
      <c r="X2323" s="237"/>
      <c r="Y2323" s="237"/>
      <c r="Z2323" s="237"/>
    </row>
    <row r="2324">
      <c r="A2324" s="305">
        <v>2323.0</v>
      </c>
      <c r="B2324" s="236"/>
      <c r="C2324" s="307" t="s">
        <v>1420</v>
      </c>
      <c r="D2324" s="308" t="s">
        <v>12370</v>
      </c>
      <c r="E2324" s="305" t="s">
        <v>12371</v>
      </c>
      <c r="F2324" s="309" t="s">
        <v>12372</v>
      </c>
      <c r="G2324" s="236"/>
      <c r="H2324" s="307" t="s">
        <v>1420</v>
      </c>
      <c r="I2324" s="237"/>
      <c r="J2324" s="237"/>
      <c r="K2324" s="310" t="s">
        <v>12368</v>
      </c>
      <c r="L2324" s="237"/>
      <c r="M2324" s="237"/>
      <c r="N2324" s="237"/>
      <c r="O2324" s="237"/>
      <c r="P2324" s="237"/>
      <c r="Q2324" s="237"/>
      <c r="R2324" s="237"/>
      <c r="S2324" s="237"/>
      <c r="T2324" s="237"/>
      <c r="U2324" s="237"/>
      <c r="V2324" s="237"/>
      <c r="W2324" s="237"/>
      <c r="X2324" s="237"/>
      <c r="Y2324" s="237"/>
      <c r="Z2324" s="237"/>
    </row>
    <row r="2325">
      <c r="A2325" s="305">
        <v>2324.0</v>
      </c>
      <c r="B2325" s="236"/>
      <c r="C2325" s="307" t="s">
        <v>1420</v>
      </c>
      <c r="D2325" s="308" t="s">
        <v>2560</v>
      </c>
      <c r="E2325" s="305" t="s">
        <v>4023</v>
      </c>
      <c r="F2325" s="309" t="s">
        <v>4024</v>
      </c>
      <c r="G2325" s="236"/>
      <c r="H2325" s="307" t="s">
        <v>1420</v>
      </c>
      <c r="I2325" s="237"/>
      <c r="J2325" s="237"/>
      <c r="K2325" s="310" t="s">
        <v>4022</v>
      </c>
      <c r="L2325" s="237"/>
      <c r="M2325" s="237"/>
      <c r="N2325" s="237"/>
      <c r="O2325" s="237"/>
      <c r="P2325" s="237"/>
      <c r="Q2325" s="237"/>
      <c r="R2325" s="237"/>
      <c r="S2325" s="237"/>
      <c r="T2325" s="237"/>
      <c r="U2325" s="237"/>
      <c r="V2325" s="237"/>
      <c r="W2325" s="237"/>
      <c r="X2325" s="237"/>
      <c r="Y2325" s="237"/>
      <c r="Z2325" s="237"/>
    </row>
    <row r="2326">
      <c r="A2326" s="305">
        <v>2325.0</v>
      </c>
      <c r="B2326" s="236"/>
      <c r="C2326" s="307" t="s">
        <v>1420</v>
      </c>
      <c r="D2326" s="308" t="s">
        <v>4029</v>
      </c>
      <c r="E2326" s="305" t="s">
        <v>4030</v>
      </c>
      <c r="F2326" s="309" t="s">
        <v>4031</v>
      </c>
      <c r="G2326" s="236"/>
      <c r="H2326" s="307" t="s">
        <v>1420</v>
      </c>
      <c r="I2326" s="237"/>
      <c r="J2326" s="237"/>
      <c r="K2326" s="310" t="s">
        <v>4028</v>
      </c>
      <c r="L2326" s="237"/>
      <c r="M2326" s="237"/>
      <c r="N2326" s="237"/>
      <c r="O2326" s="237"/>
      <c r="P2326" s="237"/>
      <c r="Q2326" s="237"/>
      <c r="R2326" s="237"/>
      <c r="S2326" s="237"/>
      <c r="T2326" s="237"/>
      <c r="U2326" s="237"/>
      <c r="V2326" s="237"/>
      <c r="W2326" s="237"/>
      <c r="X2326" s="237"/>
      <c r="Y2326" s="237"/>
      <c r="Z2326" s="237"/>
    </row>
    <row r="2327">
      <c r="A2327" s="305">
        <v>2326.0</v>
      </c>
      <c r="B2327" s="236"/>
      <c r="C2327" s="307" t="s">
        <v>1420</v>
      </c>
      <c r="D2327" s="308" t="s">
        <v>7866</v>
      </c>
      <c r="E2327" s="305" t="s">
        <v>7867</v>
      </c>
      <c r="F2327" s="309" t="s">
        <v>7868</v>
      </c>
      <c r="G2327" s="236"/>
      <c r="H2327" s="307" t="s">
        <v>1420</v>
      </c>
      <c r="I2327" s="237"/>
      <c r="J2327" s="237"/>
      <c r="K2327" s="310" t="s">
        <v>7865</v>
      </c>
      <c r="L2327" s="237"/>
      <c r="M2327" s="237"/>
      <c r="N2327" s="237"/>
      <c r="O2327" s="237"/>
      <c r="P2327" s="237"/>
      <c r="Q2327" s="237"/>
      <c r="R2327" s="237"/>
      <c r="S2327" s="237"/>
      <c r="T2327" s="237"/>
      <c r="U2327" s="237"/>
      <c r="V2327" s="237"/>
      <c r="W2327" s="237"/>
      <c r="X2327" s="237"/>
      <c r="Y2327" s="237"/>
      <c r="Z2327" s="237"/>
    </row>
    <row r="2328">
      <c r="A2328" s="305">
        <v>2327.0</v>
      </c>
      <c r="B2328" s="236"/>
      <c r="C2328" s="307" t="s">
        <v>1420</v>
      </c>
      <c r="D2328" s="308" t="s">
        <v>7878</v>
      </c>
      <c r="E2328" s="305" t="s">
        <v>7879</v>
      </c>
      <c r="F2328" s="309" t="s">
        <v>7880</v>
      </c>
      <c r="G2328" s="236"/>
      <c r="H2328" s="307" t="s">
        <v>1420</v>
      </c>
      <c r="I2328" s="237"/>
      <c r="J2328" s="237"/>
      <c r="K2328" s="310" t="s">
        <v>7877</v>
      </c>
      <c r="L2328" s="237"/>
      <c r="M2328" s="237"/>
      <c r="N2328" s="237"/>
      <c r="O2328" s="237"/>
      <c r="P2328" s="237"/>
      <c r="Q2328" s="237"/>
      <c r="R2328" s="237"/>
      <c r="S2328" s="237"/>
      <c r="T2328" s="237"/>
      <c r="U2328" s="237"/>
      <c r="V2328" s="237"/>
      <c r="W2328" s="237"/>
      <c r="X2328" s="237"/>
      <c r="Y2328" s="237"/>
      <c r="Z2328" s="237"/>
    </row>
    <row r="2329">
      <c r="A2329" s="305">
        <v>2328.0</v>
      </c>
      <c r="B2329" s="236"/>
      <c r="C2329" s="307" t="s">
        <v>1420</v>
      </c>
      <c r="D2329" s="308" t="s">
        <v>7874</v>
      </c>
      <c r="E2329" s="305" t="s">
        <v>7875</v>
      </c>
      <c r="F2329" s="309" t="s">
        <v>7876</v>
      </c>
      <c r="G2329" s="236"/>
      <c r="H2329" s="307" t="s">
        <v>1420</v>
      </c>
      <c r="I2329" s="237"/>
      <c r="J2329" s="237"/>
      <c r="K2329" s="310" t="s">
        <v>7873</v>
      </c>
      <c r="L2329" s="237"/>
      <c r="M2329" s="237"/>
      <c r="N2329" s="237"/>
      <c r="O2329" s="237"/>
      <c r="P2329" s="237"/>
      <c r="Q2329" s="237"/>
      <c r="R2329" s="237"/>
      <c r="S2329" s="237"/>
      <c r="T2329" s="237"/>
      <c r="U2329" s="237"/>
      <c r="V2329" s="237"/>
      <c r="W2329" s="237"/>
      <c r="X2329" s="237"/>
      <c r="Y2329" s="237"/>
      <c r="Z2329" s="237"/>
    </row>
    <row r="2330">
      <c r="A2330" s="305">
        <v>2329.0</v>
      </c>
      <c r="B2330" s="236"/>
      <c r="C2330" s="307" t="s">
        <v>1420</v>
      </c>
      <c r="D2330" s="308" t="s">
        <v>7870</v>
      </c>
      <c r="E2330" s="305" t="s">
        <v>7871</v>
      </c>
      <c r="F2330" s="309" t="s">
        <v>7872</v>
      </c>
      <c r="G2330" s="236"/>
      <c r="H2330" s="307" t="s">
        <v>1420</v>
      </c>
      <c r="I2330" s="237"/>
      <c r="J2330" s="237"/>
      <c r="K2330" s="310" t="s">
        <v>7869</v>
      </c>
      <c r="L2330" s="237"/>
      <c r="M2330" s="237"/>
      <c r="N2330" s="237"/>
      <c r="O2330" s="237"/>
      <c r="P2330" s="237"/>
      <c r="Q2330" s="237"/>
      <c r="R2330" s="237"/>
      <c r="S2330" s="237"/>
      <c r="T2330" s="237"/>
      <c r="U2330" s="237"/>
      <c r="V2330" s="237"/>
      <c r="W2330" s="237"/>
      <c r="X2330" s="237"/>
      <c r="Y2330" s="237"/>
      <c r="Z2330" s="237"/>
    </row>
    <row r="2331">
      <c r="A2331" s="305">
        <v>2330.0</v>
      </c>
      <c r="B2331" s="236"/>
      <c r="C2331" s="307" t="s">
        <v>1420</v>
      </c>
      <c r="D2331" s="308" t="s">
        <v>7854</v>
      </c>
      <c r="E2331" s="305" t="s">
        <v>7855</v>
      </c>
      <c r="F2331" s="309" t="s">
        <v>7856</v>
      </c>
      <c r="G2331" s="236"/>
      <c r="H2331" s="307" t="s">
        <v>1420</v>
      </c>
      <c r="I2331" s="237"/>
      <c r="J2331" s="237"/>
      <c r="K2331" s="310" t="s">
        <v>7853</v>
      </c>
      <c r="L2331" s="237"/>
      <c r="M2331" s="237"/>
      <c r="N2331" s="237"/>
      <c r="O2331" s="237"/>
      <c r="P2331" s="237"/>
      <c r="Q2331" s="237"/>
      <c r="R2331" s="237"/>
      <c r="S2331" s="237"/>
      <c r="T2331" s="237"/>
      <c r="U2331" s="237"/>
      <c r="V2331" s="237"/>
      <c r="W2331" s="237"/>
      <c r="X2331" s="237"/>
      <c r="Y2331" s="237"/>
      <c r="Z2331" s="237"/>
    </row>
    <row r="2332">
      <c r="A2332" s="305">
        <v>2331.0</v>
      </c>
      <c r="B2332" s="236"/>
      <c r="C2332" s="307" t="s">
        <v>1420</v>
      </c>
      <c r="D2332" s="308" t="s">
        <v>7858</v>
      </c>
      <c r="E2332" s="305" t="s">
        <v>7859</v>
      </c>
      <c r="F2332" s="309" t="s">
        <v>7860</v>
      </c>
      <c r="G2332" s="236"/>
      <c r="H2332" s="307" t="s">
        <v>1420</v>
      </c>
      <c r="I2332" s="237"/>
      <c r="J2332" s="237"/>
      <c r="K2332" s="310" t="s">
        <v>7857</v>
      </c>
      <c r="L2332" s="237"/>
      <c r="M2332" s="237"/>
      <c r="N2332" s="237"/>
      <c r="O2332" s="237"/>
      <c r="P2332" s="237"/>
      <c r="Q2332" s="237"/>
      <c r="R2332" s="237"/>
      <c r="S2332" s="237"/>
      <c r="T2332" s="237"/>
      <c r="U2332" s="237"/>
      <c r="V2332" s="237"/>
      <c r="W2332" s="237"/>
      <c r="X2332" s="237"/>
      <c r="Y2332" s="237"/>
      <c r="Z2332" s="237"/>
    </row>
    <row r="2333">
      <c r="A2333" s="305">
        <v>2332.0</v>
      </c>
      <c r="B2333" s="236"/>
      <c r="C2333" s="307" t="s">
        <v>1420</v>
      </c>
      <c r="D2333" s="308" t="s">
        <v>7862</v>
      </c>
      <c r="E2333" s="305" t="s">
        <v>7863</v>
      </c>
      <c r="F2333" s="309" t="s">
        <v>7864</v>
      </c>
      <c r="G2333" s="236"/>
      <c r="H2333" s="307" t="s">
        <v>1420</v>
      </c>
      <c r="I2333" s="237"/>
      <c r="J2333" s="237"/>
      <c r="K2333" s="310" t="s">
        <v>7861</v>
      </c>
      <c r="L2333" s="237"/>
      <c r="M2333" s="237"/>
      <c r="N2333" s="237"/>
      <c r="O2333" s="237"/>
      <c r="P2333" s="237"/>
      <c r="Q2333" s="237"/>
      <c r="R2333" s="237"/>
      <c r="S2333" s="237"/>
      <c r="T2333" s="237"/>
      <c r="U2333" s="237"/>
      <c r="V2333" s="237"/>
      <c r="W2333" s="237"/>
      <c r="X2333" s="237"/>
      <c r="Y2333" s="237"/>
      <c r="Z2333" s="237"/>
    </row>
    <row r="2334">
      <c r="A2334" s="305">
        <v>2333.0</v>
      </c>
      <c r="B2334" s="306">
        <v>5.0012132E7</v>
      </c>
      <c r="C2334" s="307" t="s">
        <v>1420</v>
      </c>
      <c r="D2334" s="308" t="s">
        <v>8013</v>
      </c>
      <c r="E2334" s="305" t="s">
        <v>8014</v>
      </c>
      <c r="F2334" s="309" t="s">
        <v>8015</v>
      </c>
      <c r="G2334" s="236"/>
      <c r="H2334" s="307" t="s">
        <v>1420</v>
      </c>
      <c r="I2334" s="237"/>
      <c r="J2334" s="237"/>
      <c r="K2334" s="310" t="s">
        <v>8012</v>
      </c>
      <c r="L2334" s="237"/>
      <c r="M2334" s="237"/>
      <c r="N2334" s="237"/>
      <c r="O2334" s="237"/>
      <c r="P2334" s="237"/>
      <c r="Q2334" s="237"/>
      <c r="R2334" s="237"/>
      <c r="S2334" s="237"/>
      <c r="T2334" s="237"/>
      <c r="U2334" s="237"/>
      <c r="V2334" s="237"/>
      <c r="W2334" s="237"/>
      <c r="X2334" s="237"/>
      <c r="Y2334" s="237"/>
      <c r="Z2334" s="237"/>
    </row>
    <row r="2335">
      <c r="A2335" s="305">
        <v>2334.0</v>
      </c>
      <c r="B2335" s="236"/>
      <c r="C2335" s="307" t="s">
        <v>1420</v>
      </c>
      <c r="D2335" s="308" t="s">
        <v>13012</v>
      </c>
      <c r="E2335" s="236"/>
      <c r="F2335" s="309" t="s">
        <v>13013</v>
      </c>
      <c r="G2335" s="236"/>
      <c r="H2335" s="307" t="s">
        <v>1420</v>
      </c>
      <c r="I2335" s="237"/>
      <c r="J2335" s="237"/>
      <c r="K2335" s="310" t="s">
        <v>13011</v>
      </c>
      <c r="L2335" s="237"/>
      <c r="M2335" s="237"/>
      <c r="N2335" s="237"/>
      <c r="O2335" s="237"/>
      <c r="P2335" s="237"/>
      <c r="Q2335" s="237"/>
      <c r="R2335" s="237"/>
      <c r="S2335" s="237"/>
      <c r="T2335" s="237"/>
      <c r="U2335" s="237"/>
      <c r="V2335" s="237"/>
      <c r="W2335" s="237"/>
      <c r="X2335" s="237"/>
      <c r="Y2335" s="237"/>
      <c r="Z2335" s="237"/>
    </row>
    <row r="2336">
      <c r="A2336" s="305">
        <v>2335.0</v>
      </c>
      <c r="B2336" s="236"/>
      <c r="C2336" s="307" t="s">
        <v>1420</v>
      </c>
      <c r="D2336" s="308" t="s">
        <v>13009</v>
      </c>
      <c r="E2336" s="236"/>
      <c r="F2336" s="309" t="s">
        <v>14687</v>
      </c>
      <c r="G2336" s="236"/>
      <c r="H2336" s="307" t="s">
        <v>1420</v>
      </c>
      <c r="I2336" s="237"/>
      <c r="J2336" s="237"/>
      <c r="K2336" s="310" t="s">
        <v>13008</v>
      </c>
      <c r="L2336" s="237"/>
      <c r="M2336" s="237"/>
      <c r="N2336" s="237"/>
      <c r="O2336" s="237"/>
      <c r="P2336" s="237"/>
      <c r="Q2336" s="237"/>
      <c r="R2336" s="237"/>
      <c r="S2336" s="237"/>
      <c r="T2336" s="237"/>
      <c r="U2336" s="237"/>
      <c r="V2336" s="237"/>
      <c r="W2336" s="237"/>
      <c r="X2336" s="237"/>
      <c r="Y2336" s="237"/>
      <c r="Z2336" s="237"/>
    </row>
    <row r="2337">
      <c r="A2337" s="305">
        <v>2336.0</v>
      </c>
      <c r="B2337" s="236"/>
      <c r="C2337" s="307" t="s">
        <v>1420</v>
      </c>
      <c r="D2337" s="308" t="s">
        <v>1455</v>
      </c>
      <c r="E2337" s="236"/>
      <c r="F2337" s="236"/>
      <c r="G2337" s="236"/>
      <c r="H2337" s="307" t="s">
        <v>1420</v>
      </c>
      <c r="I2337" s="237"/>
      <c r="J2337" s="237"/>
      <c r="K2337" s="310" t="s">
        <v>13000</v>
      </c>
      <c r="L2337" s="237"/>
      <c r="M2337" s="237"/>
      <c r="N2337" s="237"/>
      <c r="O2337" s="237"/>
      <c r="P2337" s="237"/>
      <c r="Q2337" s="237"/>
      <c r="R2337" s="237"/>
      <c r="S2337" s="237"/>
      <c r="T2337" s="237"/>
      <c r="U2337" s="237"/>
      <c r="V2337" s="237"/>
      <c r="W2337" s="237"/>
      <c r="X2337" s="237"/>
      <c r="Y2337" s="237"/>
      <c r="Z2337" s="237"/>
    </row>
    <row r="2338">
      <c r="A2338" s="305">
        <v>2337.0</v>
      </c>
      <c r="B2338" s="236"/>
      <c r="C2338" s="307" t="s">
        <v>1420</v>
      </c>
      <c r="D2338" s="308" t="s">
        <v>13015</v>
      </c>
      <c r="E2338" s="236"/>
      <c r="F2338" s="309" t="s">
        <v>13016</v>
      </c>
      <c r="G2338" s="236"/>
      <c r="H2338" s="307" t="s">
        <v>1420</v>
      </c>
      <c r="I2338" s="237"/>
      <c r="J2338" s="237"/>
      <c r="K2338" s="310" t="s">
        <v>13014</v>
      </c>
      <c r="L2338" s="237"/>
      <c r="M2338" s="237"/>
      <c r="N2338" s="237"/>
      <c r="O2338" s="237"/>
      <c r="P2338" s="237"/>
      <c r="Q2338" s="237"/>
      <c r="R2338" s="237"/>
      <c r="S2338" s="237"/>
      <c r="T2338" s="237"/>
      <c r="U2338" s="237"/>
      <c r="V2338" s="237"/>
      <c r="W2338" s="237"/>
      <c r="X2338" s="237"/>
      <c r="Y2338" s="237"/>
      <c r="Z2338" s="237"/>
    </row>
    <row r="2339">
      <c r="A2339" s="305">
        <v>2338.0</v>
      </c>
      <c r="B2339" s="236"/>
      <c r="C2339" s="307" t="s">
        <v>1420</v>
      </c>
      <c r="D2339" s="308" t="s">
        <v>13003</v>
      </c>
      <c r="E2339" s="236"/>
      <c r="F2339" s="309" t="s">
        <v>13004</v>
      </c>
      <c r="G2339" s="236"/>
      <c r="H2339" s="307" t="s">
        <v>1420</v>
      </c>
      <c r="I2339" s="237"/>
      <c r="J2339" s="237"/>
      <c r="K2339" s="310" t="s">
        <v>13002</v>
      </c>
      <c r="L2339" s="237"/>
      <c r="M2339" s="237"/>
      <c r="N2339" s="237"/>
      <c r="O2339" s="237"/>
      <c r="P2339" s="237"/>
      <c r="Q2339" s="237"/>
      <c r="R2339" s="237"/>
      <c r="S2339" s="237"/>
      <c r="T2339" s="237"/>
      <c r="U2339" s="237"/>
      <c r="V2339" s="237"/>
      <c r="W2339" s="237"/>
      <c r="X2339" s="237"/>
      <c r="Y2339" s="237"/>
      <c r="Z2339" s="237"/>
    </row>
    <row r="2340">
      <c r="A2340" s="305">
        <v>2339.0</v>
      </c>
      <c r="B2340" s="236"/>
      <c r="C2340" s="307" t="s">
        <v>1420</v>
      </c>
      <c r="D2340" s="308" t="s">
        <v>13006</v>
      </c>
      <c r="E2340" s="236"/>
      <c r="F2340" s="309" t="s">
        <v>14688</v>
      </c>
      <c r="G2340" s="236"/>
      <c r="H2340" s="307" t="s">
        <v>1420</v>
      </c>
      <c r="I2340" s="237"/>
      <c r="J2340" s="237"/>
      <c r="K2340" s="310" t="s">
        <v>13005</v>
      </c>
      <c r="L2340" s="237"/>
      <c r="M2340" s="237"/>
      <c r="N2340" s="237"/>
      <c r="O2340" s="237"/>
      <c r="P2340" s="237"/>
      <c r="Q2340" s="237"/>
      <c r="R2340" s="237"/>
      <c r="S2340" s="237"/>
      <c r="T2340" s="237"/>
      <c r="U2340" s="237"/>
      <c r="V2340" s="237"/>
      <c r="W2340" s="237"/>
      <c r="X2340" s="237"/>
      <c r="Y2340" s="237"/>
      <c r="Z2340" s="237"/>
    </row>
    <row r="2341">
      <c r="A2341" s="305">
        <v>2340.0</v>
      </c>
      <c r="B2341" s="236"/>
      <c r="C2341" s="307" t="s">
        <v>1420</v>
      </c>
      <c r="D2341" s="308" t="s">
        <v>12999</v>
      </c>
      <c r="E2341" s="236"/>
      <c r="F2341" s="236"/>
      <c r="G2341" s="236"/>
      <c r="H2341" s="307" t="s">
        <v>1420</v>
      </c>
      <c r="I2341" s="237"/>
      <c r="J2341" s="237"/>
      <c r="K2341" s="310" t="s">
        <v>12998</v>
      </c>
      <c r="L2341" s="237"/>
      <c r="M2341" s="237"/>
      <c r="N2341" s="237"/>
      <c r="O2341" s="237"/>
      <c r="P2341" s="237"/>
      <c r="Q2341" s="237"/>
      <c r="R2341" s="237"/>
      <c r="S2341" s="237"/>
      <c r="T2341" s="237"/>
      <c r="U2341" s="237"/>
      <c r="V2341" s="237"/>
      <c r="W2341" s="237"/>
      <c r="X2341" s="237"/>
      <c r="Y2341" s="237"/>
      <c r="Z2341" s="237"/>
    </row>
    <row r="2342">
      <c r="A2342" s="305">
        <v>2341.0</v>
      </c>
      <c r="B2342" s="236"/>
      <c r="C2342" s="307" t="s">
        <v>1420</v>
      </c>
      <c r="D2342" s="308" t="s">
        <v>12997</v>
      </c>
      <c r="E2342" s="236"/>
      <c r="F2342" s="236"/>
      <c r="G2342" s="236"/>
      <c r="H2342" s="307" t="s">
        <v>1420</v>
      </c>
      <c r="I2342" s="237"/>
      <c r="J2342" s="237"/>
      <c r="K2342" s="310" t="s">
        <v>12996</v>
      </c>
      <c r="L2342" s="237"/>
      <c r="M2342" s="237"/>
      <c r="N2342" s="237"/>
      <c r="O2342" s="237"/>
      <c r="P2342" s="237"/>
      <c r="Q2342" s="237"/>
      <c r="R2342" s="237"/>
      <c r="S2342" s="237"/>
      <c r="T2342" s="237"/>
      <c r="U2342" s="237"/>
      <c r="V2342" s="237"/>
      <c r="W2342" s="237"/>
      <c r="X2342" s="237"/>
      <c r="Y2342" s="237"/>
      <c r="Z2342" s="237"/>
    </row>
    <row r="2343">
      <c r="A2343" s="305">
        <v>2342.0</v>
      </c>
      <c r="B2343" s="236"/>
      <c r="C2343" s="307" t="s">
        <v>1427</v>
      </c>
      <c r="D2343" s="308" t="s">
        <v>12993</v>
      </c>
      <c r="E2343" s="236"/>
      <c r="F2343" s="236"/>
      <c r="G2343" s="236"/>
      <c r="H2343" s="307" t="s">
        <v>1427</v>
      </c>
      <c r="I2343" s="237"/>
      <c r="J2343" s="237"/>
      <c r="K2343" s="310" t="s">
        <v>12992</v>
      </c>
      <c r="L2343" s="237"/>
      <c r="M2343" s="237"/>
      <c r="N2343" s="237"/>
      <c r="O2343" s="237"/>
      <c r="P2343" s="237"/>
      <c r="Q2343" s="237"/>
      <c r="R2343" s="237"/>
      <c r="S2343" s="237"/>
      <c r="T2343" s="237"/>
      <c r="U2343" s="237"/>
      <c r="V2343" s="237"/>
      <c r="W2343" s="237"/>
      <c r="X2343" s="237"/>
      <c r="Y2343" s="237"/>
      <c r="Z2343" s="237"/>
    </row>
    <row r="2344">
      <c r="A2344" s="305">
        <v>2343.0</v>
      </c>
      <c r="B2344" s="236"/>
      <c r="C2344" s="307" t="s">
        <v>1420</v>
      </c>
      <c r="D2344" s="308" t="s">
        <v>14689</v>
      </c>
      <c r="E2344" s="236"/>
      <c r="F2344" s="236"/>
      <c r="G2344" s="236"/>
      <c r="H2344" s="307" t="s">
        <v>1420</v>
      </c>
      <c r="I2344" s="237"/>
      <c r="J2344" s="237"/>
      <c r="K2344" s="310" t="s">
        <v>12994</v>
      </c>
      <c r="L2344" s="237"/>
      <c r="M2344" s="237"/>
      <c r="N2344" s="237"/>
      <c r="O2344" s="237"/>
      <c r="P2344" s="237"/>
      <c r="Q2344" s="237"/>
      <c r="R2344" s="237"/>
      <c r="S2344" s="237"/>
      <c r="T2344" s="237"/>
      <c r="U2344" s="237"/>
      <c r="V2344" s="237"/>
      <c r="W2344" s="237"/>
      <c r="X2344" s="237"/>
      <c r="Y2344" s="237"/>
      <c r="Z2344" s="237"/>
    </row>
    <row r="2345">
      <c r="A2345" s="305">
        <v>2344.0</v>
      </c>
      <c r="B2345" s="236"/>
      <c r="C2345" s="307" t="s">
        <v>1420</v>
      </c>
      <c r="D2345" s="308" t="s">
        <v>12990</v>
      </c>
      <c r="E2345" s="236"/>
      <c r="F2345" s="309" t="s">
        <v>14690</v>
      </c>
      <c r="G2345" s="236"/>
      <c r="H2345" s="307" t="s">
        <v>1420</v>
      </c>
      <c r="I2345" s="237"/>
      <c r="J2345" s="237"/>
      <c r="K2345" s="310" t="s">
        <v>12989</v>
      </c>
      <c r="L2345" s="237"/>
      <c r="M2345" s="237"/>
      <c r="N2345" s="237"/>
      <c r="O2345" s="237"/>
      <c r="P2345" s="237"/>
      <c r="Q2345" s="237"/>
      <c r="R2345" s="237"/>
      <c r="S2345" s="237"/>
      <c r="T2345" s="237"/>
      <c r="U2345" s="237"/>
      <c r="V2345" s="237"/>
      <c r="W2345" s="237"/>
      <c r="X2345" s="237"/>
      <c r="Y2345" s="237"/>
      <c r="Z2345" s="237"/>
    </row>
    <row r="2346">
      <c r="A2346" s="305">
        <v>2345.0</v>
      </c>
      <c r="B2346" s="236"/>
      <c r="C2346" s="307" t="s">
        <v>1420</v>
      </c>
      <c r="D2346" s="308" t="s">
        <v>12988</v>
      </c>
      <c r="E2346" s="236"/>
      <c r="F2346" s="236"/>
      <c r="G2346" s="236"/>
      <c r="H2346" s="307" t="s">
        <v>1420</v>
      </c>
      <c r="I2346" s="237"/>
      <c r="J2346" s="237"/>
      <c r="K2346" s="310" t="s">
        <v>12987</v>
      </c>
      <c r="L2346" s="237"/>
      <c r="M2346" s="237"/>
      <c r="N2346" s="237"/>
      <c r="O2346" s="237"/>
      <c r="P2346" s="237"/>
      <c r="Q2346" s="237"/>
      <c r="R2346" s="237"/>
      <c r="S2346" s="237"/>
      <c r="T2346" s="237"/>
      <c r="U2346" s="237"/>
      <c r="V2346" s="237"/>
      <c r="W2346" s="237"/>
      <c r="X2346" s="237"/>
      <c r="Y2346" s="237"/>
      <c r="Z2346" s="237"/>
    </row>
    <row r="2347">
      <c r="A2347" s="305">
        <v>2346.0</v>
      </c>
      <c r="B2347" s="236"/>
      <c r="C2347" s="307" t="s">
        <v>1427</v>
      </c>
      <c r="D2347" s="308" t="s">
        <v>12978</v>
      </c>
      <c r="E2347" s="236"/>
      <c r="F2347" s="236"/>
      <c r="G2347" s="236"/>
      <c r="H2347" s="307" t="s">
        <v>1427</v>
      </c>
      <c r="I2347" s="237"/>
      <c r="J2347" s="237"/>
      <c r="K2347" s="310" t="s">
        <v>12977</v>
      </c>
      <c r="L2347" s="237"/>
      <c r="M2347" s="237"/>
      <c r="N2347" s="237"/>
      <c r="O2347" s="237"/>
      <c r="P2347" s="237"/>
      <c r="Q2347" s="237"/>
      <c r="R2347" s="237"/>
      <c r="S2347" s="237"/>
      <c r="T2347" s="237"/>
      <c r="U2347" s="237"/>
      <c r="V2347" s="237"/>
      <c r="W2347" s="237"/>
      <c r="X2347" s="237"/>
      <c r="Y2347" s="237"/>
      <c r="Z2347" s="237"/>
    </row>
    <row r="2348">
      <c r="A2348" s="305">
        <v>2347.0</v>
      </c>
      <c r="B2348" s="236"/>
      <c r="C2348" s="307" t="s">
        <v>1420</v>
      </c>
      <c r="D2348" s="308" t="s">
        <v>1465</v>
      </c>
      <c r="E2348" s="236"/>
      <c r="F2348" s="309" t="s">
        <v>14691</v>
      </c>
      <c r="G2348" s="236"/>
      <c r="H2348" s="307" t="s">
        <v>1420</v>
      </c>
      <c r="I2348" s="237"/>
      <c r="J2348" s="237"/>
      <c r="K2348" s="310" t="s">
        <v>13031</v>
      </c>
      <c r="L2348" s="237"/>
      <c r="M2348" s="237"/>
      <c r="N2348" s="237"/>
      <c r="O2348" s="237"/>
      <c r="P2348" s="237"/>
      <c r="Q2348" s="237"/>
      <c r="R2348" s="237"/>
      <c r="S2348" s="237"/>
      <c r="T2348" s="237"/>
      <c r="U2348" s="237"/>
      <c r="V2348" s="237"/>
      <c r="W2348" s="237"/>
      <c r="X2348" s="237"/>
      <c r="Y2348" s="237"/>
      <c r="Z2348" s="237"/>
    </row>
    <row r="2349">
      <c r="A2349" s="305">
        <v>2348.0</v>
      </c>
      <c r="B2349" s="236"/>
      <c r="C2349" s="307" t="s">
        <v>1420</v>
      </c>
      <c r="D2349" s="308" t="s">
        <v>1456</v>
      </c>
      <c r="E2349" s="236"/>
      <c r="F2349" s="309" t="s">
        <v>14692</v>
      </c>
      <c r="G2349" s="236"/>
      <c r="H2349" s="307" t="s">
        <v>1420</v>
      </c>
      <c r="I2349" s="237"/>
      <c r="J2349" s="237"/>
      <c r="K2349" s="310" t="s">
        <v>13026</v>
      </c>
      <c r="L2349" s="237"/>
      <c r="M2349" s="237"/>
      <c r="N2349" s="237"/>
      <c r="O2349" s="237"/>
      <c r="P2349" s="237"/>
      <c r="Q2349" s="237"/>
      <c r="R2349" s="237"/>
      <c r="S2349" s="237"/>
      <c r="T2349" s="237"/>
      <c r="U2349" s="237"/>
      <c r="V2349" s="237"/>
      <c r="W2349" s="237"/>
      <c r="X2349" s="237"/>
      <c r="Y2349" s="237"/>
      <c r="Z2349" s="237"/>
    </row>
    <row r="2350">
      <c r="A2350" s="305">
        <v>2349.0</v>
      </c>
      <c r="B2350" s="236"/>
      <c r="C2350" s="307" t="s">
        <v>1420</v>
      </c>
      <c r="D2350" s="308" t="s">
        <v>1459</v>
      </c>
      <c r="E2350" s="236"/>
      <c r="F2350" s="309" t="s">
        <v>12983</v>
      </c>
      <c r="G2350" s="236"/>
      <c r="H2350" s="307" t="s">
        <v>1420</v>
      </c>
      <c r="I2350" s="237"/>
      <c r="J2350" s="237"/>
      <c r="K2350" s="310" t="s">
        <v>12982</v>
      </c>
      <c r="L2350" s="237"/>
      <c r="M2350" s="237"/>
      <c r="N2350" s="237"/>
      <c r="O2350" s="237"/>
      <c r="P2350" s="237"/>
      <c r="Q2350" s="237"/>
      <c r="R2350" s="237"/>
      <c r="S2350" s="237"/>
      <c r="T2350" s="237"/>
      <c r="U2350" s="237"/>
      <c r="V2350" s="237"/>
      <c r="W2350" s="237"/>
      <c r="X2350" s="237"/>
      <c r="Y2350" s="237"/>
      <c r="Z2350" s="237"/>
    </row>
    <row r="2351">
      <c r="A2351" s="305">
        <v>2350.0</v>
      </c>
      <c r="B2351" s="236"/>
      <c r="C2351" s="307" t="s">
        <v>1420</v>
      </c>
      <c r="D2351" s="308" t="s">
        <v>12980</v>
      </c>
      <c r="E2351" s="236"/>
      <c r="F2351" s="309" t="s">
        <v>12981</v>
      </c>
      <c r="G2351" s="236"/>
      <c r="H2351" s="307" t="s">
        <v>1420</v>
      </c>
      <c r="I2351" s="237"/>
      <c r="J2351" s="237"/>
      <c r="K2351" s="310" t="s">
        <v>12979</v>
      </c>
      <c r="L2351" s="237"/>
      <c r="M2351" s="237"/>
      <c r="N2351" s="237"/>
      <c r="O2351" s="237"/>
      <c r="P2351" s="237"/>
      <c r="Q2351" s="237"/>
      <c r="R2351" s="237"/>
      <c r="S2351" s="237"/>
      <c r="T2351" s="237"/>
      <c r="U2351" s="237"/>
      <c r="V2351" s="237"/>
      <c r="W2351" s="237"/>
      <c r="X2351" s="237"/>
      <c r="Y2351" s="237"/>
      <c r="Z2351" s="237"/>
    </row>
    <row r="2352">
      <c r="A2352" s="305">
        <v>2351.0</v>
      </c>
      <c r="B2352" s="236"/>
      <c r="C2352" s="307" t="s">
        <v>1427</v>
      </c>
      <c r="D2352" s="308" t="s">
        <v>14693</v>
      </c>
      <c r="E2352" s="236"/>
      <c r="F2352" s="236"/>
      <c r="G2352" s="236"/>
      <c r="H2352" s="307" t="s">
        <v>1427</v>
      </c>
      <c r="I2352" s="237"/>
      <c r="J2352" s="237"/>
      <c r="K2352" s="310" t="s">
        <v>12974</v>
      </c>
      <c r="L2352" s="237"/>
      <c r="M2352" s="237"/>
      <c r="N2352" s="237"/>
      <c r="O2352" s="237"/>
      <c r="P2352" s="237"/>
      <c r="Q2352" s="237"/>
      <c r="R2352" s="237"/>
      <c r="S2352" s="237"/>
      <c r="T2352" s="237"/>
      <c r="U2352" s="237"/>
      <c r="V2352" s="237"/>
      <c r="W2352" s="237"/>
      <c r="X2352" s="237"/>
      <c r="Y2352" s="237"/>
      <c r="Z2352" s="237"/>
    </row>
    <row r="2353">
      <c r="A2353" s="305">
        <v>2352.0</v>
      </c>
      <c r="B2353" s="236"/>
      <c r="C2353" s="307" t="s">
        <v>14007</v>
      </c>
      <c r="D2353" s="308" t="s">
        <v>14694</v>
      </c>
      <c r="E2353" s="236"/>
      <c r="F2353" s="236"/>
      <c r="G2353" s="236"/>
      <c r="H2353" s="307" t="s">
        <v>14007</v>
      </c>
      <c r="I2353" s="237"/>
      <c r="J2353" s="237"/>
      <c r="K2353" s="262"/>
      <c r="L2353" s="237"/>
      <c r="M2353" s="237"/>
      <c r="N2353" s="237"/>
      <c r="O2353" s="237"/>
      <c r="P2353" s="237"/>
      <c r="Q2353" s="237"/>
      <c r="R2353" s="237"/>
      <c r="S2353" s="237"/>
      <c r="T2353" s="237"/>
      <c r="U2353" s="237"/>
      <c r="V2353" s="237"/>
      <c r="W2353" s="237"/>
      <c r="X2353" s="237"/>
      <c r="Y2353" s="237"/>
      <c r="Z2353" s="237"/>
    </row>
    <row r="2354">
      <c r="A2354" s="305">
        <v>2353.0</v>
      </c>
      <c r="B2354" s="236"/>
      <c r="C2354" s="307" t="s">
        <v>1420</v>
      </c>
      <c r="D2354" s="308" t="s">
        <v>1458</v>
      </c>
      <c r="E2354" s="236"/>
      <c r="F2354" s="309" t="s">
        <v>14695</v>
      </c>
      <c r="G2354" s="236"/>
      <c r="H2354" s="307" t="s">
        <v>1420</v>
      </c>
      <c r="I2354" s="237"/>
      <c r="J2354" s="237"/>
      <c r="K2354" s="310" t="s">
        <v>13029</v>
      </c>
      <c r="L2354" s="237"/>
      <c r="M2354" s="237"/>
      <c r="N2354" s="237"/>
      <c r="O2354" s="237"/>
      <c r="P2354" s="237"/>
      <c r="Q2354" s="237"/>
      <c r="R2354" s="237"/>
      <c r="S2354" s="237"/>
      <c r="T2354" s="237"/>
      <c r="U2354" s="237"/>
      <c r="V2354" s="237"/>
      <c r="W2354" s="237"/>
      <c r="X2354" s="237"/>
      <c r="Y2354" s="237"/>
      <c r="Z2354" s="237"/>
    </row>
    <row r="2355">
      <c r="A2355" s="305">
        <v>2354.0</v>
      </c>
      <c r="B2355" s="236"/>
      <c r="C2355" s="307" t="s">
        <v>1420</v>
      </c>
      <c r="D2355" s="308" t="s">
        <v>1449</v>
      </c>
      <c r="E2355" s="236"/>
      <c r="F2355" s="309" t="s">
        <v>14696</v>
      </c>
      <c r="G2355" s="236"/>
      <c r="H2355" s="307" t="s">
        <v>1420</v>
      </c>
      <c r="I2355" s="237"/>
      <c r="J2355" s="237"/>
      <c r="K2355" s="310" t="s">
        <v>13019</v>
      </c>
      <c r="L2355" s="237"/>
      <c r="M2355" s="237"/>
      <c r="N2355" s="237"/>
      <c r="O2355" s="237"/>
      <c r="P2355" s="237"/>
      <c r="Q2355" s="237"/>
      <c r="R2355" s="237"/>
      <c r="S2355" s="237"/>
      <c r="T2355" s="237"/>
      <c r="U2355" s="237"/>
      <c r="V2355" s="237"/>
      <c r="W2355" s="237"/>
      <c r="X2355" s="237"/>
      <c r="Y2355" s="237"/>
      <c r="Z2355" s="237"/>
    </row>
    <row r="2356">
      <c r="A2356" s="305">
        <v>2355.0</v>
      </c>
      <c r="B2356" s="236"/>
      <c r="C2356" s="307" t="s">
        <v>1420</v>
      </c>
      <c r="D2356" s="308" t="s">
        <v>13024</v>
      </c>
      <c r="E2356" s="236"/>
      <c r="F2356" s="309" t="s">
        <v>13025</v>
      </c>
      <c r="G2356" s="236"/>
      <c r="H2356" s="307" t="s">
        <v>1420</v>
      </c>
      <c r="I2356" s="237"/>
      <c r="J2356" s="237"/>
      <c r="K2356" s="310" t="s">
        <v>13023</v>
      </c>
      <c r="L2356" s="237"/>
      <c r="M2356" s="237"/>
      <c r="N2356" s="237"/>
      <c r="O2356" s="237"/>
      <c r="P2356" s="237"/>
      <c r="Q2356" s="237"/>
      <c r="R2356" s="237"/>
      <c r="S2356" s="237"/>
      <c r="T2356" s="237"/>
      <c r="U2356" s="237"/>
      <c r="V2356" s="237"/>
      <c r="W2356" s="237"/>
      <c r="X2356" s="237"/>
      <c r="Y2356" s="237"/>
      <c r="Z2356" s="237"/>
    </row>
    <row r="2357">
      <c r="A2357" s="305">
        <v>2356.0</v>
      </c>
      <c r="B2357" s="236"/>
      <c r="C2357" s="307" t="s">
        <v>1420</v>
      </c>
      <c r="D2357" s="308" t="s">
        <v>1448</v>
      </c>
      <c r="E2357" s="236"/>
      <c r="F2357" s="309" t="s">
        <v>14697</v>
      </c>
      <c r="G2357" s="236"/>
      <c r="H2357" s="307" t="s">
        <v>1420</v>
      </c>
      <c r="I2357" s="237"/>
      <c r="J2357" s="237"/>
      <c r="K2357" s="310" t="s">
        <v>13017</v>
      </c>
      <c r="L2357" s="237"/>
      <c r="M2357" s="237"/>
      <c r="N2357" s="237"/>
      <c r="O2357" s="237"/>
      <c r="P2357" s="237"/>
      <c r="Q2357" s="237"/>
      <c r="R2357" s="237"/>
      <c r="S2357" s="237"/>
      <c r="T2357" s="237"/>
      <c r="U2357" s="237"/>
      <c r="V2357" s="237"/>
      <c r="W2357" s="237"/>
      <c r="X2357" s="237"/>
      <c r="Y2357" s="237"/>
      <c r="Z2357" s="237"/>
    </row>
    <row r="2358">
      <c r="A2358" s="305">
        <v>2357.0</v>
      </c>
      <c r="B2358" s="236"/>
      <c r="C2358" s="307" t="s">
        <v>1420</v>
      </c>
      <c r="D2358" s="308" t="s">
        <v>1451</v>
      </c>
      <c r="E2358" s="236"/>
      <c r="F2358" s="309" t="s">
        <v>14698</v>
      </c>
      <c r="G2358" s="236"/>
      <c r="H2358" s="307" t="s">
        <v>1420</v>
      </c>
      <c r="I2358" s="237"/>
      <c r="J2358" s="237"/>
      <c r="K2358" s="310" t="s">
        <v>13021</v>
      </c>
      <c r="L2358" s="237"/>
      <c r="M2358" s="237"/>
      <c r="N2358" s="237"/>
      <c r="O2358" s="237"/>
      <c r="P2358" s="237"/>
      <c r="Q2358" s="237"/>
      <c r="R2358" s="237"/>
      <c r="S2358" s="237"/>
      <c r="T2358" s="237"/>
      <c r="U2358" s="237"/>
      <c r="V2358" s="237"/>
      <c r="W2358" s="237"/>
      <c r="X2358" s="237"/>
      <c r="Y2358" s="237"/>
      <c r="Z2358" s="237"/>
    </row>
    <row r="2359">
      <c r="A2359" s="305">
        <v>2358.0</v>
      </c>
      <c r="B2359" s="236"/>
      <c r="C2359" s="307" t="s">
        <v>1420</v>
      </c>
      <c r="D2359" s="308" t="s">
        <v>12985</v>
      </c>
      <c r="E2359" s="236"/>
      <c r="F2359" s="309" t="s">
        <v>12986</v>
      </c>
      <c r="G2359" s="236"/>
      <c r="H2359" s="307" t="s">
        <v>1420</v>
      </c>
      <c r="I2359" s="237"/>
      <c r="J2359" s="237"/>
      <c r="K2359" s="310" t="s">
        <v>12984</v>
      </c>
      <c r="L2359" s="237"/>
      <c r="M2359" s="237"/>
      <c r="N2359" s="237"/>
      <c r="O2359" s="237"/>
      <c r="P2359" s="237"/>
      <c r="Q2359" s="237"/>
      <c r="R2359" s="237"/>
      <c r="S2359" s="237"/>
      <c r="T2359" s="237"/>
      <c r="U2359" s="237"/>
      <c r="V2359" s="237"/>
      <c r="W2359" s="237"/>
      <c r="X2359" s="237"/>
      <c r="Y2359" s="237"/>
      <c r="Z2359" s="237"/>
    </row>
    <row r="2360">
      <c r="A2360" s="305">
        <v>2359.0</v>
      </c>
      <c r="B2360" s="236"/>
      <c r="C2360" s="307" t="s">
        <v>1420</v>
      </c>
      <c r="D2360" s="308" t="s">
        <v>1317</v>
      </c>
      <c r="E2360" s="305" t="s">
        <v>12662</v>
      </c>
      <c r="F2360" s="309" t="s">
        <v>14699</v>
      </c>
      <c r="G2360" s="236"/>
      <c r="H2360" s="307" t="s">
        <v>1420</v>
      </c>
      <c r="I2360" s="237"/>
      <c r="J2360" s="237"/>
      <c r="K2360" s="310" t="s">
        <v>12661</v>
      </c>
      <c r="L2360" s="237"/>
      <c r="M2360" s="237"/>
      <c r="N2360" s="237"/>
      <c r="O2360" s="237"/>
      <c r="P2360" s="237"/>
      <c r="Q2360" s="237"/>
      <c r="R2360" s="237"/>
      <c r="S2360" s="237"/>
      <c r="T2360" s="237"/>
      <c r="U2360" s="237"/>
      <c r="V2360" s="237"/>
      <c r="W2360" s="237"/>
      <c r="X2360" s="237"/>
      <c r="Y2360" s="237"/>
      <c r="Z2360" s="237"/>
    </row>
    <row r="2361">
      <c r="A2361" s="305">
        <v>2360.0</v>
      </c>
      <c r="B2361" s="236"/>
      <c r="C2361" s="307" t="s">
        <v>1420</v>
      </c>
      <c r="D2361" s="308" t="s">
        <v>1319</v>
      </c>
      <c r="E2361" s="305" t="s">
        <v>12668</v>
      </c>
      <c r="F2361" s="309" t="s">
        <v>12669</v>
      </c>
      <c r="G2361" s="236"/>
      <c r="H2361" s="307" t="s">
        <v>1420</v>
      </c>
      <c r="I2361" s="237"/>
      <c r="J2361" s="237"/>
      <c r="K2361" s="310" t="s">
        <v>12667</v>
      </c>
      <c r="L2361" s="237"/>
      <c r="M2361" s="237"/>
      <c r="N2361" s="237"/>
      <c r="O2361" s="237"/>
      <c r="P2361" s="237"/>
      <c r="Q2361" s="237"/>
      <c r="R2361" s="237"/>
      <c r="S2361" s="237"/>
      <c r="T2361" s="237"/>
      <c r="U2361" s="237"/>
      <c r="V2361" s="237"/>
      <c r="W2361" s="237"/>
      <c r="X2361" s="237"/>
      <c r="Y2361" s="237"/>
      <c r="Z2361" s="237"/>
    </row>
    <row r="2362">
      <c r="A2362" s="305">
        <v>2361.0</v>
      </c>
      <c r="B2362" s="236"/>
      <c r="C2362" s="307" t="s">
        <v>1427</v>
      </c>
      <c r="D2362" s="308" t="s">
        <v>12672</v>
      </c>
      <c r="E2362" s="305" t="s">
        <v>12673</v>
      </c>
      <c r="F2362" s="236"/>
      <c r="G2362" s="307" t="s">
        <v>14700</v>
      </c>
      <c r="H2362" s="307" t="s">
        <v>1427</v>
      </c>
      <c r="I2362" s="237"/>
      <c r="J2362" s="237"/>
      <c r="K2362" s="310" t="s">
        <v>12671</v>
      </c>
      <c r="L2362" s="237"/>
      <c r="M2362" s="237"/>
      <c r="N2362" s="237"/>
      <c r="O2362" s="237"/>
      <c r="P2362" s="237"/>
      <c r="Q2362" s="237"/>
      <c r="R2362" s="237"/>
      <c r="S2362" s="237"/>
      <c r="T2362" s="237"/>
      <c r="U2362" s="237"/>
      <c r="V2362" s="237"/>
      <c r="W2362" s="237"/>
      <c r="X2362" s="237"/>
      <c r="Y2362" s="237"/>
      <c r="Z2362" s="237"/>
    </row>
    <row r="2363">
      <c r="A2363" s="305">
        <v>2362.0</v>
      </c>
      <c r="B2363" s="236"/>
      <c r="C2363" s="307" t="s">
        <v>1420</v>
      </c>
      <c r="D2363" s="308" t="s">
        <v>1318</v>
      </c>
      <c r="E2363" s="305" t="s">
        <v>12665</v>
      </c>
      <c r="F2363" s="309" t="s">
        <v>12666</v>
      </c>
      <c r="G2363" s="236"/>
      <c r="H2363" s="307" t="s">
        <v>1420</v>
      </c>
      <c r="I2363" s="237"/>
      <c r="J2363" s="237"/>
      <c r="K2363" s="310" t="s">
        <v>12664</v>
      </c>
      <c r="L2363" s="237"/>
      <c r="M2363" s="237"/>
      <c r="N2363" s="237"/>
      <c r="O2363" s="237"/>
      <c r="P2363" s="237"/>
      <c r="Q2363" s="237"/>
      <c r="R2363" s="237"/>
      <c r="S2363" s="237"/>
      <c r="T2363" s="237"/>
      <c r="U2363" s="237"/>
      <c r="V2363" s="237"/>
      <c r="W2363" s="237"/>
      <c r="X2363" s="237"/>
      <c r="Y2363" s="237"/>
      <c r="Z2363" s="237"/>
    </row>
    <row r="2364">
      <c r="A2364" s="305">
        <v>2363.0</v>
      </c>
      <c r="B2364" s="236"/>
      <c r="C2364" s="307" t="s">
        <v>1420</v>
      </c>
      <c r="D2364" s="308" t="s">
        <v>1322</v>
      </c>
      <c r="E2364" s="305" t="s">
        <v>12651</v>
      </c>
      <c r="F2364" s="309" t="s">
        <v>14701</v>
      </c>
      <c r="G2364" s="236"/>
      <c r="H2364" s="307" t="s">
        <v>1420</v>
      </c>
      <c r="I2364" s="237"/>
      <c r="J2364" s="237"/>
      <c r="K2364" s="310" t="s">
        <v>12650</v>
      </c>
      <c r="L2364" s="237"/>
      <c r="M2364" s="237"/>
      <c r="N2364" s="237"/>
      <c r="O2364" s="237"/>
      <c r="P2364" s="237"/>
      <c r="Q2364" s="237"/>
      <c r="R2364" s="237"/>
      <c r="S2364" s="237"/>
      <c r="T2364" s="237"/>
      <c r="U2364" s="237"/>
      <c r="V2364" s="237"/>
      <c r="W2364" s="237"/>
      <c r="X2364" s="237"/>
      <c r="Y2364" s="237"/>
      <c r="Z2364" s="237"/>
    </row>
    <row r="2365">
      <c r="A2365" s="305">
        <v>2364.0</v>
      </c>
      <c r="B2365" s="236"/>
      <c r="C2365" s="307" t="s">
        <v>1420</v>
      </c>
      <c r="D2365" s="308" t="s">
        <v>1324</v>
      </c>
      <c r="E2365" s="305" t="s">
        <v>12657</v>
      </c>
      <c r="F2365" s="309" t="s">
        <v>14702</v>
      </c>
      <c r="G2365" s="236"/>
      <c r="H2365" s="307" t="s">
        <v>1420</v>
      </c>
      <c r="I2365" s="237"/>
      <c r="J2365" s="237"/>
      <c r="K2365" s="310" t="s">
        <v>12656</v>
      </c>
      <c r="L2365" s="237"/>
      <c r="M2365" s="237"/>
      <c r="N2365" s="237"/>
      <c r="O2365" s="237"/>
      <c r="P2365" s="237"/>
      <c r="Q2365" s="237"/>
      <c r="R2365" s="237"/>
      <c r="S2365" s="237"/>
      <c r="T2365" s="237"/>
      <c r="U2365" s="237"/>
      <c r="V2365" s="237"/>
      <c r="W2365" s="237"/>
      <c r="X2365" s="237"/>
      <c r="Y2365" s="237"/>
      <c r="Z2365" s="237"/>
    </row>
    <row r="2366">
      <c r="A2366" s="305">
        <v>2365.0</v>
      </c>
      <c r="B2366" s="236"/>
      <c r="C2366" s="307" t="s">
        <v>1420</v>
      </c>
      <c r="D2366" s="308" t="s">
        <v>1321</v>
      </c>
      <c r="E2366" s="305" t="s">
        <v>12648</v>
      </c>
      <c r="F2366" s="309" t="s">
        <v>14703</v>
      </c>
      <c r="G2366" s="236"/>
      <c r="H2366" s="307" t="s">
        <v>1420</v>
      </c>
      <c r="I2366" s="237"/>
      <c r="J2366" s="237"/>
      <c r="K2366" s="310" t="s">
        <v>12647</v>
      </c>
      <c r="L2366" s="237"/>
      <c r="M2366" s="237"/>
      <c r="N2366" s="237"/>
      <c r="O2366" s="237"/>
      <c r="P2366" s="237"/>
      <c r="Q2366" s="237"/>
      <c r="R2366" s="237"/>
      <c r="S2366" s="237"/>
      <c r="T2366" s="237"/>
      <c r="U2366" s="237"/>
      <c r="V2366" s="237"/>
      <c r="W2366" s="237"/>
      <c r="X2366" s="237"/>
      <c r="Y2366" s="237"/>
      <c r="Z2366" s="237"/>
    </row>
    <row r="2367">
      <c r="A2367" s="305">
        <v>2366.0</v>
      </c>
      <c r="B2367" s="306" t="s">
        <v>12212</v>
      </c>
      <c r="C2367" s="307" t="s">
        <v>1420</v>
      </c>
      <c r="D2367" s="308" t="s">
        <v>1325</v>
      </c>
      <c r="E2367" s="305" t="s">
        <v>12660</v>
      </c>
      <c r="F2367" s="236"/>
      <c r="G2367" s="236"/>
      <c r="H2367" s="307" t="s">
        <v>1420</v>
      </c>
      <c r="I2367" s="237"/>
      <c r="J2367" s="237"/>
      <c r="K2367" s="310" t="s">
        <v>12659</v>
      </c>
      <c r="L2367" s="237"/>
      <c r="M2367" s="237"/>
      <c r="N2367" s="237"/>
      <c r="O2367" s="237"/>
      <c r="P2367" s="237"/>
      <c r="Q2367" s="237"/>
      <c r="R2367" s="237"/>
      <c r="S2367" s="237"/>
      <c r="T2367" s="237"/>
      <c r="U2367" s="237"/>
      <c r="V2367" s="237"/>
      <c r="W2367" s="237"/>
      <c r="X2367" s="237"/>
      <c r="Y2367" s="237"/>
      <c r="Z2367" s="237"/>
    </row>
    <row r="2368">
      <c r="A2368" s="305">
        <v>2367.0</v>
      </c>
      <c r="B2368" s="306" t="s">
        <v>12218</v>
      </c>
      <c r="C2368" s="307" t="s">
        <v>1420</v>
      </c>
      <c r="D2368" s="308" t="s">
        <v>1325</v>
      </c>
      <c r="E2368" s="305" t="s">
        <v>12660</v>
      </c>
      <c r="F2368" s="236"/>
      <c r="G2368" s="236"/>
      <c r="H2368" s="307" t="s">
        <v>1420</v>
      </c>
      <c r="I2368" s="237"/>
      <c r="J2368" s="237"/>
      <c r="K2368" s="310" t="s">
        <v>12659</v>
      </c>
      <c r="L2368" s="237"/>
      <c r="M2368" s="237"/>
      <c r="N2368" s="237"/>
      <c r="O2368" s="237"/>
      <c r="P2368" s="237"/>
      <c r="Q2368" s="237"/>
      <c r="R2368" s="237"/>
      <c r="S2368" s="237"/>
      <c r="T2368" s="237"/>
      <c r="U2368" s="237"/>
      <c r="V2368" s="237"/>
      <c r="W2368" s="237"/>
      <c r="X2368" s="237"/>
      <c r="Y2368" s="237"/>
      <c r="Z2368" s="237"/>
    </row>
    <row r="2369">
      <c r="A2369" s="305">
        <v>2368.0</v>
      </c>
      <c r="B2369" s="236"/>
      <c r="C2369" s="307" t="s">
        <v>1420</v>
      </c>
      <c r="D2369" s="308" t="s">
        <v>1323</v>
      </c>
      <c r="E2369" s="305" t="s">
        <v>12654</v>
      </c>
      <c r="F2369" s="309" t="s">
        <v>12655</v>
      </c>
      <c r="G2369" s="236"/>
      <c r="H2369" s="307" t="s">
        <v>1420</v>
      </c>
      <c r="I2369" s="237"/>
      <c r="J2369" s="237"/>
      <c r="K2369" s="310" t="s">
        <v>12653</v>
      </c>
      <c r="L2369" s="237"/>
      <c r="M2369" s="237"/>
      <c r="N2369" s="237"/>
      <c r="O2369" s="237"/>
      <c r="P2369" s="237"/>
      <c r="Q2369" s="237"/>
      <c r="R2369" s="237"/>
      <c r="S2369" s="237"/>
      <c r="T2369" s="237"/>
      <c r="U2369" s="237"/>
      <c r="V2369" s="237"/>
      <c r="W2369" s="237"/>
      <c r="X2369" s="237"/>
      <c r="Y2369" s="237"/>
      <c r="Z2369" s="237"/>
    </row>
    <row r="2370">
      <c r="A2370" s="305">
        <v>2369.0</v>
      </c>
      <c r="B2370" s="236"/>
      <c r="C2370" s="307" t="s">
        <v>1420</v>
      </c>
      <c r="D2370" s="308" t="s">
        <v>1320</v>
      </c>
      <c r="E2370" s="305" t="s">
        <v>12644</v>
      </c>
      <c r="F2370" s="309" t="s">
        <v>12645</v>
      </c>
      <c r="G2370" s="236"/>
      <c r="H2370" s="307" t="s">
        <v>1420</v>
      </c>
      <c r="I2370" s="237"/>
      <c r="J2370" s="237"/>
      <c r="K2370" s="310" t="s">
        <v>12643</v>
      </c>
      <c r="L2370" s="237"/>
      <c r="M2370" s="237"/>
      <c r="N2370" s="237"/>
      <c r="O2370" s="237"/>
      <c r="P2370" s="237"/>
      <c r="Q2370" s="237"/>
      <c r="R2370" s="237"/>
      <c r="S2370" s="237"/>
      <c r="T2370" s="237"/>
      <c r="U2370" s="237"/>
      <c r="V2370" s="237"/>
      <c r="W2370" s="237"/>
      <c r="X2370" s="237"/>
      <c r="Y2370" s="237"/>
      <c r="Z2370" s="237"/>
    </row>
    <row r="2371">
      <c r="A2371" s="305">
        <v>2370.0</v>
      </c>
      <c r="B2371" s="236"/>
      <c r="C2371" s="307" t="s">
        <v>1420</v>
      </c>
      <c r="D2371" s="308" t="s">
        <v>1686</v>
      </c>
      <c r="E2371" s="305" t="s">
        <v>13340</v>
      </c>
      <c r="F2371" s="309" t="s">
        <v>14704</v>
      </c>
      <c r="G2371" s="236"/>
      <c r="H2371" s="307" t="s">
        <v>1420</v>
      </c>
      <c r="I2371" s="237"/>
      <c r="J2371" s="237"/>
      <c r="K2371" s="310" t="s">
        <v>13339</v>
      </c>
      <c r="L2371" s="237"/>
      <c r="M2371" s="237"/>
      <c r="N2371" s="237"/>
      <c r="O2371" s="237"/>
      <c r="P2371" s="237"/>
      <c r="Q2371" s="237"/>
      <c r="R2371" s="237"/>
      <c r="S2371" s="237"/>
      <c r="T2371" s="237"/>
      <c r="U2371" s="237"/>
      <c r="V2371" s="237"/>
      <c r="W2371" s="237"/>
      <c r="X2371" s="237"/>
      <c r="Y2371" s="237"/>
      <c r="Z2371" s="237"/>
    </row>
    <row r="2372">
      <c r="A2372" s="305">
        <v>2371.0</v>
      </c>
      <c r="B2372" s="236"/>
      <c r="C2372" s="307" t="s">
        <v>1420</v>
      </c>
      <c r="D2372" s="308" t="s">
        <v>1326</v>
      </c>
      <c r="E2372" s="305" t="s">
        <v>12675</v>
      </c>
      <c r="F2372" s="309" t="s">
        <v>14705</v>
      </c>
      <c r="G2372" s="236"/>
      <c r="H2372" s="307" t="s">
        <v>1420</v>
      </c>
      <c r="I2372" s="237"/>
      <c r="J2372" s="237"/>
      <c r="K2372" s="310" t="s">
        <v>12674</v>
      </c>
      <c r="L2372" s="237"/>
      <c r="M2372" s="237"/>
      <c r="N2372" s="237"/>
      <c r="O2372" s="237"/>
      <c r="P2372" s="237"/>
      <c r="Q2372" s="237"/>
      <c r="R2372" s="237"/>
      <c r="S2372" s="237"/>
      <c r="T2372" s="237"/>
      <c r="U2372" s="237"/>
      <c r="V2372" s="237"/>
      <c r="W2372" s="237"/>
      <c r="X2372" s="237"/>
      <c r="Y2372" s="237"/>
      <c r="Z2372" s="237"/>
    </row>
    <row r="2373">
      <c r="A2373" s="305">
        <v>2372.0</v>
      </c>
      <c r="B2373" s="236"/>
      <c r="C2373" s="307" t="s">
        <v>1420</v>
      </c>
      <c r="D2373" s="308" t="s">
        <v>1328</v>
      </c>
      <c r="E2373" s="305" t="s">
        <v>12683</v>
      </c>
      <c r="F2373" s="309" t="s">
        <v>14706</v>
      </c>
      <c r="G2373" s="236"/>
      <c r="H2373" s="307" t="s">
        <v>1420</v>
      </c>
      <c r="I2373" s="237"/>
      <c r="J2373" s="237"/>
      <c r="K2373" s="310" t="s">
        <v>12682</v>
      </c>
      <c r="L2373" s="237"/>
      <c r="M2373" s="237"/>
      <c r="N2373" s="237"/>
      <c r="O2373" s="237"/>
      <c r="P2373" s="237"/>
      <c r="Q2373" s="237"/>
      <c r="R2373" s="237"/>
      <c r="S2373" s="237"/>
      <c r="T2373" s="237"/>
      <c r="U2373" s="237"/>
      <c r="V2373" s="237"/>
      <c r="W2373" s="237"/>
      <c r="X2373" s="237"/>
      <c r="Y2373" s="237"/>
      <c r="Z2373" s="237"/>
    </row>
    <row r="2374">
      <c r="A2374" s="305">
        <v>2373.0</v>
      </c>
      <c r="B2374" s="236"/>
      <c r="C2374" s="307" t="s">
        <v>1420</v>
      </c>
      <c r="D2374" s="308" t="s">
        <v>12679</v>
      </c>
      <c r="E2374" s="305" t="s">
        <v>12680</v>
      </c>
      <c r="F2374" s="309" t="s">
        <v>12681</v>
      </c>
      <c r="G2374" s="236"/>
      <c r="H2374" s="307" t="s">
        <v>1420</v>
      </c>
      <c r="I2374" s="237"/>
      <c r="J2374" s="237"/>
      <c r="K2374" s="310" t="s">
        <v>12678</v>
      </c>
      <c r="L2374" s="237"/>
      <c r="M2374" s="237"/>
      <c r="N2374" s="237"/>
      <c r="O2374" s="237"/>
      <c r="P2374" s="237"/>
      <c r="Q2374" s="237"/>
      <c r="R2374" s="237"/>
      <c r="S2374" s="237"/>
      <c r="T2374" s="237"/>
      <c r="U2374" s="237"/>
      <c r="V2374" s="237"/>
      <c r="W2374" s="237"/>
      <c r="X2374" s="237"/>
      <c r="Y2374" s="237"/>
      <c r="Z2374" s="237"/>
    </row>
    <row r="2375">
      <c r="A2375" s="305">
        <v>2374.0</v>
      </c>
      <c r="B2375" s="236"/>
      <c r="C2375" s="307" t="s">
        <v>1420</v>
      </c>
      <c r="D2375" s="308" t="s">
        <v>12686</v>
      </c>
      <c r="E2375" s="305" t="s">
        <v>12687</v>
      </c>
      <c r="F2375" s="309" t="s">
        <v>12688</v>
      </c>
      <c r="G2375" s="236"/>
      <c r="H2375" s="307" t="s">
        <v>1420</v>
      </c>
      <c r="I2375" s="237"/>
      <c r="J2375" s="237"/>
      <c r="K2375" s="310" t="s">
        <v>12685</v>
      </c>
      <c r="L2375" s="237"/>
      <c r="M2375" s="237"/>
      <c r="N2375" s="237"/>
      <c r="O2375" s="237"/>
      <c r="P2375" s="237"/>
      <c r="Q2375" s="237"/>
      <c r="R2375" s="237"/>
      <c r="S2375" s="237"/>
      <c r="T2375" s="237"/>
      <c r="U2375" s="237"/>
      <c r="V2375" s="237"/>
      <c r="W2375" s="237"/>
      <c r="X2375" s="237"/>
      <c r="Y2375" s="237"/>
      <c r="Z2375" s="237"/>
    </row>
    <row r="2376">
      <c r="A2376" s="305">
        <v>2375.0</v>
      </c>
      <c r="B2376" s="236"/>
      <c r="C2376" s="307" t="s">
        <v>1420</v>
      </c>
      <c r="D2376" s="308" t="s">
        <v>1330</v>
      </c>
      <c r="E2376" s="305" t="s">
        <v>12690</v>
      </c>
      <c r="F2376" s="309" t="s">
        <v>12691</v>
      </c>
      <c r="G2376" s="236"/>
      <c r="H2376" s="307" t="s">
        <v>1420</v>
      </c>
      <c r="I2376" s="237"/>
      <c r="J2376" s="237"/>
      <c r="K2376" s="310" t="s">
        <v>12689</v>
      </c>
      <c r="L2376" s="237"/>
      <c r="M2376" s="237"/>
      <c r="N2376" s="237"/>
      <c r="O2376" s="237"/>
      <c r="P2376" s="237"/>
      <c r="Q2376" s="237"/>
      <c r="R2376" s="237"/>
      <c r="S2376" s="237"/>
      <c r="T2376" s="237"/>
      <c r="U2376" s="237"/>
      <c r="V2376" s="237"/>
      <c r="W2376" s="237"/>
      <c r="X2376" s="237"/>
      <c r="Y2376" s="237"/>
      <c r="Z2376" s="237"/>
    </row>
    <row r="2377">
      <c r="A2377" s="305">
        <v>2376.0</v>
      </c>
      <c r="B2377" s="236"/>
      <c r="C2377" s="307" t="s">
        <v>1420</v>
      </c>
      <c r="D2377" s="308" t="s">
        <v>1680</v>
      </c>
      <c r="E2377" s="305" t="s">
        <v>13325</v>
      </c>
      <c r="F2377" s="309" t="s">
        <v>14707</v>
      </c>
      <c r="G2377" s="236"/>
      <c r="H2377" s="307" t="s">
        <v>1420</v>
      </c>
      <c r="I2377" s="237"/>
      <c r="J2377" s="237"/>
      <c r="K2377" s="310" t="s">
        <v>13324</v>
      </c>
      <c r="L2377" s="237"/>
      <c r="M2377" s="237"/>
      <c r="N2377" s="237"/>
      <c r="O2377" s="237"/>
      <c r="P2377" s="237"/>
      <c r="Q2377" s="237"/>
      <c r="R2377" s="237"/>
      <c r="S2377" s="237"/>
      <c r="T2377" s="237"/>
      <c r="U2377" s="237"/>
      <c r="V2377" s="237"/>
      <c r="W2377" s="237"/>
      <c r="X2377" s="237"/>
      <c r="Y2377" s="237"/>
      <c r="Z2377" s="237"/>
    </row>
    <row r="2378">
      <c r="A2378" s="305">
        <v>2377.0</v>
      </c>
      <c r="B2378" s="236"/>
      <c r="C2378" s="307" t="s">
        <v>1420</v>
      </c>
      <c r="D2378" s="308" t="s">
        <v>1681</v>
      </c>
      <c r="E2378" s="305" t="s">
        <v>13328</v>
      </c>
      <c r="F2378" s="309" t="s">
        <v>14708</v>
      </c>
      <c r="G2378" s="236"/>
      <c r="H2378" s="307" t="s">
        <v>1420</v>
      </c>
      <c r="I2378" s="237"/>
      <c r="J2378" s="237"/>
      <c r="K2378" s="310" t="s">
        <v>13327</v>
      </c>
      <c r="L2378" s="237"/>
      <c r="M2378" s="237"/>
      <c r="N2378" s="237"/>
      <c r="O2378" s="237"/>
      <c r="P2378" s="237"/>
      <c r="Q2378" s="237"/>
      <c r="R2378" s="237"/>
      <c r="S2378" s="237"/>
      <c r="T2378" s="237"/>
      <c r="U2378" s="237"/>
      <c r="V2378" s="237"/>
      <c r="W2378" s="237"/>
      <c r="X2378" s="237"/>
      <c r="Y2378" s="237"/>
      <c r="Z2378" s="237"/>
    </row>
    <row r="2379">
      <c r="A2379" s="305">
        <v>2378.0</v>
      </c>
      <c r="B2379" s="236"/>
      <c r="C2379" s="307" t="s">
        <v>1420</v>
      </c>
      <c r="D2379" s="308" t="s">
        <v>1682</v>
      </c>
      <c r="E2379" s="305" t="s">
        <v>13331</v>
      </c>
      <c r="F2379" s="309" t="s">
        <v>14709</v>
      </c>
      <c r="G2379" s="236"/>
      <c r="H2379" s="307" t="s">
        <v>1420</v>
      </c>
      <c r="I2379" s="237"/>
      <c r="J2379" s="237"/>
      <c r="K2379" s="310" t="s">
        <v>13330</v>
      </c>
      <c r="L2379" s="237"/>
      <c r="M2379" s="237"/>
      <c r="N2379" s="237"/>
      <c r="O2379" s="237"/>
      <c r="P2379" s="237"/>
      <c r="Q2379" s="237"/>
      <c r="R2379" s="237"/>
      <c r="S2379" s="237"/>
      <c r="T2379" s="237"/>
      <c r="U2379" s="237"/>
      <c r="V2379" s="237"/>
      <c r="W2379" s="237"/>
      <c r="X2379" s="237"/>
      <c r="Y2379" s="237"/>
      <c r="Z2379" s="237"/>
    </row>
    <row r="2380">
      <c r="A2380" s="305">
        <v>2379.0</v>
      </c>
      <c r="B2380" s="236"/>
      <c r="C2380" s="307" t="s">
        <v>1420</v>
      </c>
      <c r="D2380" s="308" t="s">
        <v>1683</v>
      </c>
      <c r="E2380" s="305" t="s">
        <v>13334</v>
      </c>
      <c r="F2380" s="309" t="s">
        <v>14710</v>
      </c>
      <c r="G2380" s="236"/>
      <c r="H2380" s="307" t="s">
        <v>1420</v>
      </c>
      <c r="I2380" s="237"/>
      <c r="J2380" s="237"/>
      <c r="K2380" s="310" t="s">
        <v>13333</v>
      </c>
      <c r="L2380" s="237"/>
      <c r="M2380" s="237"/>
      <c r="N2380" s="237"/>
      <c r="O2380" s="237"/>
      <c r="P2380" s="237"/>
      <c r="Q2380" s="237"/>
      <c r="R2380" s="237"/>
      <c r="S2380" s="237"/>
      <c r="T2380" s="237"/>
      <c r="U2380" s="237"/>
      <c r="V2380" s="237"/>
      <c r="W2380" s="237"/>
      <c r="X2380" s="237"/>
      <c r="Y2380" s="237"/>
      <c r="Z2380" s="237"/>
    </row>
    <row r="2381">
      <c r="A2381" s="305">
        <v>2380.0</v>
      </c>
      <c r="B2381" s="236"/>
      <c r="C2381" s="307" t="s">
        <v>1420</v>
      </c>
      <c r="D2381" s="308" t="s">
        <v>1334</v>
      </c>
      <c r="E2381" s="305" t="s">
        <v>12698</v>
      </c>
      <c r="F2381" s="309" t="s">
        <v>12699</v>
      </c>
      <c r="G2381" s="236"/>
      <c r="H2381" s="307" t="s">
        <v>1420</v>
      </c>
      <c r="I2381" s="237"/>
      <c r="J2381" s="237"/>
      <c r="K2381" s="310" t="s">
        <v>12697</v>
      </c>
      <c r="L2381" s="237"/>
      <c r="M2381" s="237"/>
      <c r="N2381" s="237"/>
      <c r="O2381" s="237"/>
      <c r="P2381" s="237"/>
      <c r="Q2381" s="237"/>
      <c r="R2381" s="237"/>
      <c r="S2381" s="237"/>
      <c r="T2381" s="237"/>
      <c r="U2381" s="237"/>
      <c r="V2381" s="237"/>
      <c r="W2381" s="237"/>
      <c r="X2381" s="237"/>
      <c r="Y2381" s="237"/>
      <c r="Z2381" s="237"/>
    </row>
    <row r="2382">
      <c r="A2382" s="305">
        <v>2381.0</v>
      </c>
      <c r="B2382" s="236"/>
      <c r="C2382" s="307" t="s">
        <v>1420</v>
      </c>
      <c r="D2382" s="308" t="s">
        <v>1335</v>
      </c>
      <c r="E2382" s="305" t="s">
        <v>12701</v>
      </c>
      <c r="F2382" s="309" t="s">
        <v>12702</v>
      </c>
      <c r="G2382" s="236"/>
      <c r="H2382" s="307" t="s">
        <v>1420</v>
      </c>
      <c r="I2382" s="237"/>
      <c r="J2382" s="237"/>
      <c r="K2382" s="310" t="s">
        <v>12700</v>
      </c>
      <c r="L2382" s="237"/>
      <c r="M2382" s="237"/>
      <c r="N2382" s="237"/>
      <c r="O2382" s="237"/>
      <c r="P2382" s="237"/>
      <c r="Q2382" s="237"/>
      <c r="R2382" s="237"/>
      <c r="S2382" s="237"/>
      <c r="T2382" s="237"/>
      <c r="U2382" s="237"/>
      <c r="V2382" s="237"/>
      <c r="W2382" s="237"/>
      <c r="X2382" s="237"/>
      <c r="Y2382" s="237"/>
      <c r="Z2382" s="237"/>
    </row>
    <row r="2383">
      <c r="A2383" s="305">
        <v>2382.0</v>
      </c>
      <c r="B2383" s="236"/>
      <c r="C2383" s="307" t="s">
        <v>1420</v>
      </c>
      <c r="D2383" s="308" t="s">
        <v>1344</v>
      </c>
      <c r="E2383" s="305" t="s">
        <v>12728</v>
      </c>
      <c r="F2383" s="309" t="s">
        <v>12729</v>
      </c>
      <c r="G2383" s="236"/>
      <c r="H2383" s="307" t="s">
        <v>1420</v>
      </c>
      <c r="I2383" s="237"/>
      <c r="J2383" s="237"/>
      <c r="K2383" s="310" t="s">
        <v>12727</v>
      </c>
      <c r="L2383" s="237"/>
      <c r="M2383" s="237"/>
      <c r="N2383" s="237"/>
      <c r="O2383" s="237"/>
      <c r="P2383" s="237"/>
      <c r="Q2383" s="237"/>
      <c r="R2383" s="237"/>
      <c r="S2383" s="237"/>
      <c r="T2383" s="237"/>
      <c r="U2383" s="237"/>
      <c r="V2383" s="237"/>
      <c r="W2383" s="237"/>
      <c r="X2383" s="237"/>
      <c r="Y2383" s="237"/>
      <c r="Z2383" s="237"/>
    </row>
    <row r="2384">
      <c r="A2384" s="305">
        <v>2383.0</v>
      </c>
      <c r="B2384" s="236"/>
      <c r="C2384" s="307" t="s">
        <v>1420</v>
      </c>
      <c r="D2384" s="308" t="s">
        <v>1338</v>
      </c>
      <c r="E2384" s="305" t="s">
        <v>12732</v>
      </c>
      <c r="F2384" s="309" t="s">
        <v>12733</v>
      </c>
      <c r="G2384" s="236"/>
      <c r="H2384" s="307" t="s">
        <v>1420</v>
      </c>
      <c r="I2384" s="237"/>
      <c r="J2384" s="237"/>
      <c r="K2384" s="310" t="s">
        <v>12731</v>
      </c>
      <c r="L2384" s="237"/>
      <c r="M2384" s="237"/>
      <c r="N2384" s="237"/>
      <c r="O2384" s="237"/>
      <c r="P2384" s="237"/>
      <c r="Q2384" s="237"/>
      <c r="R2384" s="237"/>
      <c r="S2384" s="237"/>
      <c r="T2384" s="237"/>
      <c r="U2384" s="237"/>
      <c r="V2384" s="237"/>
      <c r="W2384" s="237"/>
      <c r="X2384" s="237"/>
      <c r="Y2384" s="237"/>
      <c r="Z2384" s="237"/>
    </row>
    <row r="2385">
      <c r="A2385" s="305">
        <v>2384.0</v>
      </c>
      <c r="B2385" s="236"/>
      <c r="C2385" s="307" t="s">
        <v>1420</v>
      </c>
      <c r="D2385" s="308" t="s">
        <v>1342</v>
      </c>
      <c r="E2385" s="305" t="s">
        <v>12720</v>
      </c>
      <c r="F2385" s="309" t="s">
        <v>12721</v>
      </c>
      <c r="G2385" s="236"/>
      <c r="H2385" s="307" t="s">
        <v>1420</v>
      </c>
      <c r="I2385" s="237"/>
      <c r="J2385" s="237"/>
      <c r="K2385" s="310" t="s">
        <v>12719</v>
      </c>
      <c r="L2385" s="237"/>
      <c r="M2385" s="237"/>
      <c r="N2385" s="237"/>
      <c r="O2385" s="237"/>
      <c r="P2385" s="237"/>
      <c r="Q2385" s="237"/>
      <c r="R2385" s="237"/>
      <c r="S2385" s="237"/>
      <c r="T2385" s="237"/>
      <c r="U2385" s="237"/>
      <c r="V2385" s="237"/>
      <c r="W2385" s="237"/>
      <c r="X2385" s="237"/>
      <c r="Y2385" s="237"/>
      <c r="Z2385" s="237"/>
    </row>
    <row r="2386">
      <c r="A2386" s="305">
        <v>2385.0</v>
      </c>
      <c r="B2386" s="236"/>
      <c r="C2386" s="307" t="s">
        <v>1420</v>
      </c>
      <c r="D2386" s="308" t="s">
        <v>1343</v>
      </c>
      <c r="E2386" s="305" t="s">
        <v>12724</v>
      </c>
      <c r="F2386" s="309" t="s">
        <v>12725</v>
      </c>
      <c r="G2386" s="236"/>
      <c r="H2386" s="307" t="s">
        <v>1420</v>
      </c>
      <c r="I2386" s="237"/>
      <c r="J2386" s="237"/>
      <c r="K2386" s="310" t="s">
        <v>12723</v>
      </c>
      <c r="L2386" s="237"/>
      <c r="M2386" s="237"/>
      <c r="N2386" s="237"/>
      <c r="O2386" s="237"/>
      <c r="P2386" s="237"/>
      <c r="Q2386" s="237"/>
      <c r="R2386" s="237"/>
      <c r="S2386" s="237"/>
      <c r="T2386" s="237"/>
      <c r="U2386" s="237"/>
      <c r="V2386" s="237"/>
      <c r="W2386" s="237"/>
      <c r="X2386" s="237"/>
      <c r="Y2386" s="237"/>
      <c r="Z2386" s="237"/>
    </row>
    <row r="2387">
      <c r="A2387" s="305">
        <v>2386.0</v>
      </c>
      <c r="B2387" s="236"/>
      <c r="C2387" s="307" t="s">
        <v>1420</v>
      </c>
      <c r="D2387" s="308" t="s">
        <v>1340</v>
      </c>
      <c r="E2387" s="305" t="s">
        <v>14711</v>
      </c>
      <c r="F2387" s="309" t="s">
        <v>12715</v>
      </c>
      <c r="G2387" s="236"/>
      <c r="H2387" s="307" t="s">
        <v>1420</v>
      </c>
      <c r="I2387" s="237"/>
      <c r="J2387" s="237"/>
      <c r="K2387" s="310" t="s">
        <v>12713</v>
      </c>
      <c r="L2387" s="237"/>
      <c r="M2387" s="237"/>
      <c r="N2387" s="237"/>
      <c r="O2387" s="237"/>
      <c r="P2387" s="237"/>
      <c r="Q2387" s="237"/>
      <c r="R2387" s="237"/>
      <c r="S2387" s="237"/>
      <c r="T2387" s="237"/>
      <c r="U2387" s="237"/>
      <c r="V2387" s="237"/>
      <c r="W2387" s="237"/>
      <c r="X2387" s="237"/>
      <c r="Y2387" s="237"/>
      <c r="Z2387" s="237"/>
    </row>
    <row r="2388">
      <c r="A2388" s="305">
        <v>2387.0</v>
      </c>
      <c r="B2388" s="236"/>
      <c r="C2388" s="307" t="s">
        <v>1420</v>
      </c>
      <c r="D2388" s="308" t="s">
        <v>1341</v>
      </c>
      <c r="E2388" s="305" t="s">
        <v>12717</v>
      </c>
      <c r="F2388" s="309" t="s">
        <v>12718</v>
      </c>
      <c r="G2388" s="236"/>
      <c r="H2388" s="307" t="s">
        <v>1420</v>
      </c>
      <c r="I2388" s="237"/>
      <c r="J2388" s="237"/>
      <c r="K2388" s="310" t="s">
        <v>12716</v>
      </c>
      <c r="L2388" s="237"/>
      <c r="M2388" s="237"/>
      <c r="N2388" s="237"/>
      <c r="O2388" s="237"/>
      <c r="P2388" s="237"/>
      <c r="Q2388" s="237"/>
      <c r="R2388" s="237"/>
      <c r="S2388" s="237"/>
      <c r="T2388" s="237"/>
      <c r="U2388" s="237"/>
      <c r="V2388" s="237"/>
      <c r="W2388" s="237"/>
      <c r="X2388" s="237"/>
      <c r="Y2388" s="237"/>
      <c r="Z2388" s="237"/>
    </row>
    <row r="2389">
      <c r="A2389" s="305">
        <v>2388.0</v>
      </c>
      <c r="B2389" s="236"/>
      <c r="C2389" s="307" t="s">
        <v>1420</v>
      </c>
      <c r="D2389" s="308" t="s">
        <v>1339</v>
      </c>
      <c r="E2389" s="305" t="s">
        <v>12711</v>
      </c>
      <c r="F2389" s="309" t="s">
        <v>14712</v>
      </c>
      <c r="G2389" s="236"/>
      <c r="H2389" s="307" t="s">
        <v>1420</v>
      </c>
      <c r="I2389" s="237"/>
      <c r="J2389" s="237"/>
      <c r="K2389" s="310" t="s">
        <v>12710</v>
      </c>
      <c r="L2389" s="237"/>
      <c r="M2389" s="237"/>
      <c r="N2389" s="237"/>
      <c r="O2389" s="237"/>
      <c r="P2389" s="237"/>
      <c r="Q2389" s="237"/>
      <c r="R2389" s="237"/>
      <c r="S2389" s="237"/>
      <c r="T2389" s="237"/>
      <c r="U2389" s="237"/>
      <c r="V2389" s="237"/>
      <c r="W2389" s="237"/>
      <c r="X2389" s="237"/>
      <c r="Y2389" s="237"/>
      <c r="Z2389" s="237"/>
    </row>
    <row r="2390">
      <c r="A2390" s="305">
        <v>2389.0</v>
      </c>
      <c r="B2390" s="236"/>
      <c r="C2390" s="307" t="s">
        <v>1420</v>
      </c>
      <c r="D2390" s="308" t="s">
        <v>1336</v>
      </c>
      <c r="E2390" s="305" t="s">
        <v>12704</v>
      </c>
      <c r="F2390" s="309" t="s">
        <v>12705</v>
      </c>
      <c r="G2390" s="236"/>
      <c r="H2390" s="307" t="s">
        <v>1420</v>
      </c>
      <c r="I2390" s="237"/>
      <c r="J2390" s="237"/>
      <c r="K2390" s="310" t="s">
        <v>12703</v>
      </c>
      <c r="L2390" s="237"/>
      <c r="M2390" s="237"/>
      <c r="N2390" s="237"/>
      <c r="O2390" s="237"/>
      <c r="P2390" s="237"/>
      <c r="Q2390" s="237"/>
      <c r="R2390" s="237"/>
      <c r="S2390" s="237"/>
      <c r="T2390" s="237"/>
      <c r="U2390" s="237"/>
      <c r="V2390" s="237"/>
      <c r="W2390" s="237"/>
      <c r="X2390" s="237"/>
      <c r="Y2390" s="237"/>
      <c r="Z2390" s="237"/>
    </row>
    <row r="2391">
      <c r="A2391" s="305">
        <v>2390.0</v>
      </c>
      <c r="B2391" s="236"/>
      <c r="C2391" s="307" t="s">
        <v>1420</v>
      </c>
      <c r="D2391" s="308" t="s">
        <v>1345</v>
      </c>
      <c r="E2391" s="305" t="s">
        <v>12735</v>
      </c>
      <c r="F2391" s="309" t="s">
        <v>14713</v>
      </c>
      <c r="G2391" s="236"/>
      <c r="H2391" s="307" t="s">
        <v>1420</v>
      </c>
      <c r="I2391" s="237"/>
      <c r="J2391" s="237"/>
      <c r="K2391" s="310" t="s">
        <v>12734</v>
      </c>
      <c r="L2391" s="237"/>
      <c r="M2391" s="237"/>
      <c r="N2391" s="237"/>
      <c r="O2391" s="237"/>
      <c r="P2391" s="237"/>
      <c r="Q2391" s="237"/>
      <c r="R2391" s="237"/>
      <c r="S2391" s="237"/>
      <c r="T2391" s="237"/>
      <c r="U2391" s="237"/>
      <c r="V2391" s="237"/>
      <c r="W2391" s="237"/>
      <c r="X2391" s="237"/>
      <c r="Y2391" s="237"/>
      <c r="Z2391" s="237"/>
    </row>
    <row r="2392">
      <c r="A2392" s="305">
        <v>2391.0</v>
      </c>
      <c r="B2392" s="236"/>
      <c r="C2392" s="307" t="s">
        <v>1420</v>
      </c>
      <c r="D2392" s="308" t="s">
        <v>1346</v>
      </c>
      <c r="E2392" s="305" t="s">
        <v>12738</v>
      </c>
      <c r="F2392" s="309" t="s">
        <v>14714</v>
      </c>
      <c r="G2392" s="236"/>
      <c r="H2392" s="307" t="s">
        <v>1420</v>
      </c>
      <c r="I2392" s="237"/>
      <c r="J2392" s="237"/>
      <c r="K2392" s="310" t="s">
        <v>12737</v>
      </c>
      <c r="L2392" s="237"/>
      <c r="M2392" s="237"/>
      <c r="N2392" s="237"/>
      <c r="O2392" s="237"/>
      <c r="P2392" s="237"/>
      <c r="Q2392" s="237"/>
      <c r="R2392" s="237"/>
      <c r="S2392" s="237"/>
      <c r="T2392" s="237"/>
      <c r="U2392" s="237"/>
      <c r="V2392" s="237"/>
      <c r="W2392" s="237"/>
      <c r="X2392" s="237"/>
      <c r="Y2392" s="237"/>
      <c r="Z2392" s="237"/>
    </row>
    <row r="2393">
      <c r="A2393" s="305">
        <v>2392.0</v>
      </c>
      <c r="B2393" s="236"/>
      <c r="C2393" s="307" t="s">
        <v>1420</v>
      </c>
      <c r="D2393" s="308" t="s">
        <v>1333</v>
      </c>
      <c r="E2393" s="305" t="s">
        <v>12693</v>
      </c>
      <c r="F2393" s="309" t="s">
        <v>14715</v>
      </c>
      <c r="G2393" s="236"/>
      <c r="H2393" s="307" t="s">
        <v>1420</v>
      </c>
      <c r="I2393" s="237"/>
      <c r="J2393" s="237"/>
      <c r="K2393" s="310" t="s">
        <v>12692</v>
      </c>
      <c r="L2393" s="237"/>
      <c r="M2393" s="237"/>
      <c r="N2393" s="237"/>
      <c r="O2393" s="237"/>
      <c r="P2393" s="237"/>
      <c r="Q2393" s="237"/>
      <c r="R2393" s="237"/>
      <c r="S2393" s="237"/>
      <c r="T2393" s="237"/>
      <c r="U2393" s="237"/>
      <c r="V2393" s="237"/>
      <c r="W2393" s="237"/>
      <c r="X2393" s="237"/>
      <c r="Y2393" s="237"/>
      <c r="Z2393" s="237"/>
    </row>
    <row r="2394">
      <c r="A2394" s="305">
        <v>2393.0</v>
      </c>
      <c r="B2394" s="236"/>
      <c r="C2394" s="307" t="s">
        <v>1420</v>
      </c>
      <c r="D2394" s="308" t="s">
        <v>1337</v>
      </c>
      <c r="E2394" s="305" t="s">
        <v>12707</v>
      </c>
      <c r="F2394" s="309" t="s">
        <v>12708</v>
      </c>
      <c r="G2394" s="236"/>
      <c r="H2394" s="307" t="s">
        <v>1420</v>
      </c>
      <c r="I2394" s="237"/>
      <c r="J2394" s="237"/>
      <c r="K2394" s="310" t="s">
        <v>12706</v>
      </c>
      <c r="L2394" s="237"/>
      <c r="M2394" s="237"/>
      <c r="N2394" s="237"/>
      <c r="O2394" s="237"/>
      <c r="P2394" s="237"/>
      <c r="Q2394" s="237"/>
      <c r="R2394" s="237"/>
      <c r="S2394" s="237"/>
      <c r="T2394" s="237"/>
      <c r="U2394" s="237"/>
      <c r="V2394" s="237"/>
      <c r="W2394" s="237"/>
      <c r="X2394" s="237"/>
      <c r="Y2394" s="237"/>
      <c r="Z2394" s="237"/>
    </row>
    <row r="2395">
      <c r="A2395" s="305">
        <v>2394.0</v>
      </c>
      <c r="B2395" s="236"/>
      <c r="C2395" s="307" t="s">
        <v>1420</v>
      </c>
      <c r="D2395" s="308" t="s">
        <v>1684</v>
      </c>
      <c r="E2395" s="305" t="s">
        <v>13337</v>
      </c>
      <c r="F2395" s="309" t="s">
        <v>14716</v>
      </c>
      <c r="G2395" s="236"/>
      <c r="H2395" s="307" t="s">
        <v>1420</v>
      </c>
      <c r="I2395" s="237"/>
      <c r="J2395" s="237"/>
      <c r="K2395" s="310" t="s">
        <v>13336</v>
      </c>
      <c r="L2395" s="237"/>
      <c r="M2395" s="237"/>
      <c r="N2395" s="237"/>
      <c r="O2395" s="237"/>
      <c r="P2395" s="237"/>
      <c r="Q2395" s="237"/>
      <c r="R2395" s="237"/>
      <c r="S2395" s="237"/>
      <c r="T2395" s="237"/>
      <c r="U2395" s="237"/>
      <c r="V2395" s="237"/>
      <c r="W2395" s="237"/>
      <c r="X2395" s="237"/>
      <c r="Y2395" s="237"/>
      <c r="Z2395" s="237"/>
    </row>
    <row r="2396">
      <c r="A2396" s="305">
        <v>2395.0</v>
      </c>
      <c r="B2396" s="236"/>
      <c r="C2396" s="307" t="s">
        <v>1420</v>
      </c>
      <c r="D2396" s="308" t="s">
        <v>1685</v>
      </c>
      <c r="E2396" s="305" t="s">
        <v>13343</v>
      </c>
      <c r="F2396" s="309" t="s">
        <v>14717</v>
      </c>
      <c r="G2396" s="236"/>
      <c r="H2396" s="307" t="s">
        <v>1420</v>
      </c>
      <c r="I2396" s="237"/>
      <c r="J2396" s="237"/>
      <c r="K2396" s="310" t="s">
        <v>13342</v>
      </c>
      <c r="L2396" s="237"/>
      <c r="M2396" s="237"/>
      <c r="N2396" s="237"/>
      <c r="O2396" s="237"/>
      <c r="P2396" s="237"/>
      <c r="Q2396" s="237"/>
      <c r="R2396" s="237"/>
      <c r="S2396" s="237"/>
      <c r="T2396" s="237"/>
      <c r="U2396" s="237"/>
      <c r="V2396" s="237"/>
      <c r="W2396" s="237"/>
      <c r="X2396" s="237"/>
      <c r="Y2396" s="237"/>
      <c r="Z2396" s="237"/>
    </row>
    <row r="2397">
      <c r="A2397" s="305">
        <v>2396.0</v>
      </c>
      <c r="B2397" s="306" t="s">
        <v>4887</v>
      </c>
      <c r="C2397" s="307" t="s">
        <v>1420</v>
      </c>
      <c r="D2397" s="308" t="s">
        <v>4889</v>
      </c>
      <c r="E2397" s="305" t="s">
        <v>4890</v>
      </c>
      <c r="F2397" s="309" t="s">
        <v>4891</v>
      </c>
      <c r="G2397" s="236"/>
      <c r="H2397" s="307" t="s">
        <v>1420</v>
      </c>
      <c r="I2397" s="237"/>
      <c r="J2397" s="237"/>
      <c r="K2397" s="310" t="s">
        <v>4888</v>
      </c>
      <c r="L2397" s="237"/>
      <c r="M2397" s="237"/>
      <c r="N2397" s="237"/>
      <c r="O2397" s="237"/>
      <c r="P2397" s="237"/>
      <c r="Q2397" s="237"/>
      <c r="R2397" s="237"/>
      <c r="S2397" s="237"/>
      <c r="T2397" s="237"/>
      <c r="U2397" s="237"/>
      <c r="V2397" s="237"/>
      <c r="W2397" s="237"/>
      <c r="X2397" s="237"/>
      <c r="Y2397" s="237"/>
      <c r="Z2397" s="237"/>
    </row>
    <row r="2398">
      <c r="A2398" s="305">
        <v>2397.0</v>
      </c>
      <c r="B2398" s="306" t="s">
        <v>4882</v>
      </c>
      <c r="C2398" s="307" t="s">
        <v>1420</v>
      </c>
      <c r="D2398" s="308" t="s">
        <v>4884</v>
      </c>
      <c r="E2398" s="305" t="s">
        <v>4885</v>
      </c>
      <c r="F2398" s="309" t="s">
        <v>4886</v>
      </c>
      <c r="G2398" s="236"/>
      <c r="H2398" s="307" t="s">
        <v>1420</v>
      </c>
      <c r="I2398" s="237"/>
      <c r="J2398" s="237"/>
      <c r="K2398" s="310" t="s">
        <v>4883</v>
      </c>
      <c r="L2398" s="237"/>
      <c r="M2398" s="237"/>
      <c r="N2398" s="237"/>
      <c r="O2398" s="237"/>
      <c r="P2398" s="237"/>
      <c r="Q2398" s="237"/>
      <c r="R2398" s="237"/>
      <c r="S2398" s="237"/>
      <c r="T2398" s="237"/>
      <c r="U2398" s="237"/>
      <c r="V2398" s="237"/>
      <c r="W2398" s="237"/>
      <c r="X2398" s="237"/>
      <c r="Y2398" s="237"/>
      <c r="Z2398" s="237"/>
    </row>
    <row r="2399">
      <c r="A2399" s="305">
        <v>2398.0</v>
      </c>
      <c r="B2399" s="236"/>
      <c r="C2399" s="307" t="s">
        <v>1420</v>
      </c>
      <c r="D2399" s="308" t="s">
        <v>1376</v>
      </c>
      <c r="E2399" s="305" t="s">
        <v>12813</v>
      </c>
      <c r="F2399" s="309" t="s">
        <v>12814</v>
      </c>
      <c r="G2399" s="236"/>
      <c r="H2399" s="307" t="s">
        <v>1420</v>
      </c>
      <c r="I2399" s="237"/>
      <c r="J2399" s="237"/>
      <c r="K2399" s="310" t="s">
        <v>12812</v>
      </c>
      <c r="L2399" s="237"/>
      <c r="M2399" s="237"/>
      <c r="N2399" s="237"/>
      <c r="O2399" s="237"/>
      <c r="P2399" s="237"/>
      <c r="Q2399" s="237"/>
      <c r="R2399" s="237"/>
      <c r="S2399" s="237"/>
      <c r="T2399" s="237"/>
      <c r="U2399" s="237"/>
      <c r="V2399" s="237"/>
      <c r="W2399" s="237"/>
      <c r="X2399" s="237"/>
      <c r="Y2399" s="237"/>
      <c r="Z2399" s="237"/>
    </row>
    <row r="2400">
      <c r="A2400" s="305">
        <v>2399.0</v>
      </c>
      <c r="B2400" s="236"/>
      <c r="C2400" s="307" t="s">
        <v>1420</v>
      </c>
      <c r="D2400" s="308" t="s">
        <v>1378</v>
      </c>
      <c r="E2400" s="305" t="s">
        <v>12816</v>
      </c>
      <c r="F2400" s="309" t="s">
        <v>14718</v>
      </c>
      <c r="G2400" s="236"/>
      <c r="H2400" s="307" t="s">
        <v>1420</v>
      </c>
      <c r="I2400" s="237"/>
      <c r="J2400" s="237"/>
      <c r="K2400" s="310" t="s">
        <v>12815</v>
      </c>
      <c r="L2400" s="237"/>
      <c r="M2400" s="237"/>
      <c r="N2400" s="237"/>
      <c r="O2400" s="237"/>
      <c r="P2400" s="237"/>
      <c r="Q2400" s="237"/>
      <c r="R2400" s="237"/>
      <c r="S2400" s="237"/>
      <c r="T2400" s="237"/>
      <c r="U2400" s="237"/>
      <c r="V2400" s="237"/>
      <c r="W2400" s="237"/>
      <c r="X2400" s="237"/>
      <c r="Y2400" s="237"/>
      <c r="Z2400" s="237"/>
    </row>
    <row r="2401">
      <c r="A2401" s="305">
        <v>2400.0</v>
      </c>
      <c r="B2401" s="306" t="s">
        <v>4892</v>
      </c>
      <c r="C2401" s="307" t="s">
        <v>1420</v>
      </c>
      <c r="D2401" s="308" t="s">
        <v>4894</v>
      </c>
      <c r="E2401" s="305" t="s">
        <v>4895</v>
      </c>
      <c r="F2401" s="309" t="s">
        <v>4896</v>
      </c>
      <c r="G2401" s="236"/>
      <c r="H2401" s="307" t="s">
        <v>1420</v>
      </c>
      <c r="I2401" s="237"/>
      <c r="J2401" s="237"/>
      <c r="K2401" s="310" t="s">
        <v>4893</v>
      </c>
      <c r="L2401" s="237"/>
      <c r="M2401" s="237"/>
      <c r="N2401" s="237"/>
      <c r="O2401" s="237"/>
      <c r="P2401" s="237"/>
      <c r="Q2401" s="237"/>
      <c r="R2401" s="237"/>
      <c r="S2401" s="237"/>
      <c r="T2401" s="237"/>
      <c r="U2401" s="237"/>
      <c r="V2401" s="237"/>
      <c r="W2401" s="237"/>
      <c r="X2401" s="237"/>
      <c r="Y2401" s="237"/>
      <c r="Z2401" s="237"/>
    </row>
    <row r="2402">
      <c r="A2402" s="305">
        <v>2401.0</v>
      </c>
      <c r="B2402" s="236"/>
      <c r="C2402" s="307" t="s">
        <v>1420</v>
      </c>
      <c r="D2402" s="308" t="s">
        <v>1368</v>
      </c>
      <c r="E2402" s="305" t="s">
        <v>12801</v>
      </c>
      <c r="F2402" s="309" t="s">
        <v>12802</v>
      </c>
      <c r="G2402" s="236"/>
      <c r="H2402" s="307" t="s">
        <v>1420</v>
      </c>
      <c r="I2402" s="237"/>
      <c r="J2402" s="237"/>
      <c r="K2402" s="310" t="s">
        <v>12800</v>
      </c>
      <c r="L2402" s="237"/>
      <c r="M2402" s="237"/>
      <c r="N2402" s="237"/>
      <c r="O2402" s="237"/>
      <c r="P2402" s="237"/>
      <c r="Q2402" s="237"/>
      <c r="R2402" s="237"/>
      <c r="S2402" s="237"/>
      <c r="T2402" s="237"/>
      <c r="U2402" s="237"/>
      <c r="V2402" s="237"/>
      <c r="W2402" s="237"/>
      <c r="X2402" s="237"/>
      <c r="Y2402" s="237"/>
      <c r="Z2402" s="237"/>
    </row>
    <row r="2403">
      <c r="A2403" s="305">
        <v>2402.0</v>
      </c>
      <c r="B2403" s="306" t="s">
        <v>4913</v>
      </c>
      <c r="C2403" s="307" t="s">
        <v>1420</v>
      </c>
      <c r="D2403" s="308" t="s">
        <v>4915</v>
      </c>
      <c r="E2403" s="305" t="s">
        <v>4916</v>
      </c>
      <c r="F2403" s="309" t="s">
        <v>4917</v>
      </c>
      <c r="G2403" s="236"/>
      <c r="H2403" s="307" t="s">
        <v>1420</v>
      </c>
      <c r="I2403" s="237"/>
      <c r="J2403" s="237"/>
      <c r="K2403" s="310" t="s">
        <v>4914</v>
      </c>
      <c r="L2403" s="237"/>
      <c r="M2403" s="237"/>
      <c r="N2403" s="237"/>
      <c r="O2403" s="237"/>
      <c r="P2403" s="237"/>
      <c r="Q2403" s="237"/>
      <c r="R2403" s="237"/>
      <c r="S2403" s="237"/>
      <c r="T2403" s="237"/>
      <c r="U2403" s="237"/>
      <c r="V2403" s="237"/>
      <c r="W2403" s="237"/>
      <c r="X2403" s="237"/>
      <c r="Y2403" s="237"/>
      <c r="Z2403" s="237"/>
    </row>
    <row r="2404">
      <c r="A2404" s="305">
        <v>2403.0</v>
      </c>
      <c r="B2404" s="306" t="s">
        <v>4908</v>
      </c>
      <c r="C2404" s="307" t="s">
        <v>1420</v>
      </c>
      <c r="D2404" s="308" t="s">
        <v>4910</v>
      </c>
      <c r="E2404" s="305" t="s">
        <v>4911</v>
      </c>
      <c r="F2404" s="309" t="s">
        <v>4912</v>
      </c>
      <c r="G2404" s="236"/>
      <c r="H2404" s="307" t="s">
        <v>1420</v>
      </c>
      <c r="I2404" s="237"/>
      <c r="J2404" s="237"/>
      <c r="K2404" s="310" t="s">
        <v>4909</v>
      </c>
      <c r="L2404" s="237"/>
      <c r="M2404" s="237"/>
      <c r="N2404" s="237"/>
      <c r="O2404" s="237"/>
      <c r="P2404" s="237"/>
      <c r="Q2404" s="237"/>
      <c r="R2404" s="237"/>
      <c r="S2404" s="237"/>
      <c r="T2404" s="237"/>
      <c r="U2404" s="237"/>
      <c r="V2404" s="237"/>
      <c r="W2404" s="237"/>
      <c r="X2404" s="237"/>
      <c r="Y2404" s="237"/>
      <c r="Z2404" s="237"/>
    </row>
    <row r="2405">
      <c r="A2405" s="305">
        <v>2404.0</v>
      </c>
      <c r="B2405" s="306" t="s">
        <v>4898</v>
      </c>
      <c r="C2405" s="307" t="s">
        <v>1420</v>
      </c>
      <c r="D2405" s="308" t="s">
        <v>4900</v>
      </c>
      <c r="E2405" s="305" t="s">
        <v>4901</v>
      </c>
      <c r="F2405" s="309" t="s">
        <v>4902</v>
      </c>
      <c r="G2405" s="236"/>
      <c r="H2405" s="307" t="s">
        <v>1420</v>
      </c>
      <c r="I2405" s="237"/>
      <c r="J2405" s="237"/>
      <c r="K2405" s="310" t="s">
        <v>4899</v>
      </c>
      <c r="L2405" s="237"/>
      <c r="M2405" s="237"/>
      <c r="N2405" s="237"/>
      <c r="O2405" s="237"/>
      <c r="P2405" s="237"/>
      <c r="Q2405" s="237"/>
      <c r="R2405" s="237"/>
      <c r="S2405" s="237"/>
      <c r="T2405" s="237"/>
      <c r="U2405" s="237"/>
      <c r="V2405" s="237"/>
      <c r="W2405" s="237"/>
      <c r="X2405" s="237"/>
      <c r="Y2405" s="237"/>
      <c r="Z2405" s="237"/>
    </row>
    <row r="2406">
      <c r="A2406" s="305">
        <v>2405.0</v>
      </c>
      <c r="B2406" s="306" t="s">
        <v>4903</v>
      </c>
      <c r="C2406" s="307" t="s">
        <v>1420</v>
      </c>
      <c r="D2406" s="308" t="s">
        <v>4905</v>
      </c>
      <c r="E2406" s="305" t="s">
        <v>4906</v>
      </c>
      <c r="F2406" s="309" t="s">
        <v>4907</v>
      </c>
      <c r="G2406" s="236"/>
      <c r="H2406" s="307" t="s">
        <v>1420</v>
      </c>
      <c r="I2406" s="237"/>
      <c r="J2406" s="237"/>
      <c r="K2406" s="310" t="s">
        <v>4904</v>
      </c>
      <c r="L2406" s="237"/>
      <c r="M2406" s="237"/>
      <c r="N2406" s="237"/>
      <c r="O2406" s="237"/>
      <c r="P2406" s="237"/>
      <c r="Q2406" s="237"/>
      <c r="R2406" s="237"/>
      <c r="S2406" s="237"/>
      <c r="T2406" s="237"/>
      <c r="U2406" s="237"/>
      <c r="V2406" s="237"/>
      <c r="W2406" s="237"/>
      <c r="X2406" s="237"/>
      <c r="Y2406" s="237"/>
      <c r="Z2406" s="237"/>
    </row>
    <row r="2407">
      <c r="A2407" s="305">
        <v>2406.0</v>
      </c>
      <c r="B2407" s="236"/>
      <c r="C2407" s="307" t="s">
        <v>1420</v>
      </c>
      <c r="D2407" s="308" t="s">
        <v>1374</v>
      </c>
      <c r="E2407" s="305" t="s">
        <v>12810</v>
      </c>
      <c r="F2407" s="309" t="s">
        <v>14719</v>
      </c>
      <c r="G2407" s="236"/>
      <c r="H2407" s="307" t="s">
        <v>1420</v>
      </c>
      <c r="I2407" s="237"/>
      <c r="J2407" s="237"/>
      <c r="K2407" s="310" t="s">
        <v>12809</v>
      </c>
      <c r="L2407" s="237"/>
      <c r="M2407" s="237"/>
      <c r="N2407" s="237"/>
      <c r="O2407" s="237"/>
      <c r="P2407" s="237"/>
      <c r="Q2407" s="237"/>
      <c r="R2407" s="237"/>
      <c r="S2407" s="237"/>
      <c r="T2407" s="237"/>
      <c r="U2407" s="237"/>
      <c r="V2407" s="237"/>
      <c r="W2407" s="237"/>
      <c r="X2407" s="237"/>
      <c r="Y2407" s="237"/>
      <c r="Z2407" s="237"/>
    </row>
    <row r="2408">
      <c r="A2408" s="305">
        <v>2407.0</v>
      </c>
      <c r="B2408" s="236"/>
      <c r="C2408" s="307" t="s">
        <v>1420</v>
      </c>
      <c r="D2408" s="308" t="s">
        <v>1372</v>
      </c>
      <c r="E2408" s="305" t="s">
        <v>12807</v>
      </c>
      <c r="F2408" s="309" t="s">
        <v>14720</v>
      </c>
      <c r="G2408" s="236"/>
      <c r="H2408" s="307" t="s">
        <v>1420</v>
      </c>
      <c r="I2408" s="237"/>
      <c r="J2408" s="237"/>
      <c r="K2408" s="310" t="s">
        <v>12806</v>
      </c>
      <c r="L2408" s="237"/>
      <c r="M2408" s="237"/>
      <c r="N2408" s="237"/>
      <c r="O2408" s="237"/>
      <c r="P2408" s="237"/>
      <c r="Q2408" s="237"/>
      <c r="R2408" s="237"/>
      <c r="S2408" s="237"/>
      <c r="T2408" s="237"/>
      <c r="U2408" s="237"/>
      <c r="V2408" s="237"/>
      <c r="W2408" s="237"/>
      <c r="X2408" s="237"/>
      <c r="Y2408" s="237"/>
      <c r="Z2408" s="237"/>
    </row>
    <row r="2409">
      <c r="A2409" s="305">
        <v>2408.0</v>
      </c>
      <c r="B2409" s="236"/>
      <c r="C2409" s="307" t="s">
        <v>1420</v>
      </c>
      <c r="D2409" s="308" t="s">
        <v>1370</v>
      </c>
      <c r="E2409" s="305" t="s">
        <v>12805</v>
      </c>
      <c r="F2409" s="236"/>
      <c r="G2409" s="236"/>
      <c r="H2409" s="307" t="s">
        <v>1420</v>
      </c>
      <c r="I2409" s="237"/>
      <c r="J2409" s="237"/>
      <c r="K2409" s="310" t="s">
        <v>12804</v>
      </c>
      <c r="L2409" s="237"/>
      <c r="M2409" s="237"/>
      <c r="N2409" s="237"/>
      <c r="O2409" s="237"/>
      <c r="P2409" s="237"/>
      <c r="Q2409" s="237"/>
      <c r="R2409" s="237"/>
      <c r="S2409" s="237"/>
      <c r="T2409" s="237"/>
      <c r="U2409" s="237"/>
      <c r="V2409" s="237"/>
      <c r="W2409" s="237"/>
      <c r="X2409" s="237"/>
      <c r="Y2409" s="237"/>
      <c r="Z2409" s="237"/>
    </row>
    <row r="2410">
      <c r="A2410" s="305">
        <v>2409.0</v>
      </c>
      <c r="B2410" s="236"/>
      <c r="C2410" s="307" t="s">
        <v>1420</v>
      </c>
      <c r="D2410" s="308" t="s">
        <v>1380</v>
      </c>
      <c r="E2410" s="305" t="s">
        <v>12819</v>
      </c>
      <c r="F2410" s="309" t="s">
        <v>12820</v>
      </c>
      <c r="G2410" s="236"/>
      <c r="H2410" s="307" t="s">
        <v>1420</v>
      </c>
      <c r="I2410" s="237"/>
      <c r="J2410" s="237"/>
      <c r="K2410" s="310" t="s">
        <v>12818</v>
      </c>
      <c r="L2410" s="237"/>
      <c r="M2410" s="237"/>
      <c r="N2410" s="237"/>
      <c r="O2410" s="237"/>
      <c r="P2410" s="237"/>
      <c r="Q2410" s="237"/>
      <c r="R2410" s="237"/>
      <c r="S2410" s="237"/>
      <c r="T2410" s="237"/>
      <c r="U2410" s="237"/>
      <c r="V2410" s="237"/>
      <c r="W2410" s="237"/>
      <c r="X2410" s="237"/>
      <c r="Y2410" s="237"/>
      <c r="Z2410" s="237"/>
    </row>
    <row r="2411">
      <c r="A2411" s="305">
        <v>2410.0</v>
      </c>
      <c r="B2411" s="306" t="s">
        <v>4877</v>
      </c>
      <c r="C2411" s="307" t="s">
        <v>1420</v>
      </c>
      <c r="D2411" s="308" t="s">
        <v>4879</v>
      </c>
      <c r="E2411" s="305" t="s">
        <v>4880</v>
      </c>
      <c r="F2411" s="309" t="s">
        <v>4881</v>
      </c>
      <c r="G2411" s="236"/>
      <c r="H2411" s="307" t="s">
        <v>1420</v>
      </c>
      <c r="I2411" s="237"/>
      <c r="J2411" s="237"/>
      <c r="K2411" s="310" t="s">
        <v>4878</v>
      </c>
      <c r="L2411" s="237"/>
      <c r="M2411" s="237"/>
      <c r="N2411" s="237"/>
      <c r="O2411" s="237"/>
      <c r="P2411" s="237"/>
      <c r="Q2411" s="237"/>
      <c r="R2411" s="237"/>
      <c r="S2411" s="237"/>
      <c r="T2411" s="237"/>
      <c r="U2411" s="237"/>
      <c r="V2411" s="237"/>
      <c r="W2411" s="237"/>
      <c r="X2411" s="237"/>
      <c r="Y2411" s="237"/>
      <c r="Z2411" s="237"/>
    </row>
    <row r="2412">
      <c r="A2412" s="305">
        <v>2411.0</v>
      </c>
      <c r="B2412" s="306" t="s">
        <v>4872</v>
      </c>
      <c r="C2412" s="307" t="s">
        <v>1420</v>
      </c>
      <c r="D2412" s="308" t="s">
        <v>4874</v>
      </c>
      <c r="E2412" s="305" t="s">
        <v>4875</v>
      </c>
      <c r="F2412" s="309" t="s">
        <v>4876</v>
      </c>
      <c r="G2412" s="236"/>
      <c r="H2412" s="307" t="s">
        <v>1420</v>
      </c>
      <c r="I2412" s="237"/>
      <c r="J2412" s="237"/>
      <c r="K2412" s="310" t="s">
        <v>4873</v>
      </c>
      <c r="L2412" s="237"/>
      <c r="M2412" s="237"/>
      <c r="N2412" s="237"/>
      <c r="O2412" s="237"/>
      <c r="P2412" s="237"/>
      <c r="Q2412" s="237"/>
      <c r="R2412" s="237"/>
      <c r="S2412" s="237"/>
      <c r="T2412" s="237"/>
      <c r="U2412" s="237"/>
      <c r="V2412" s="237"/>
      <c r="W2412" s="237"/>
      <c r="X2412" s="237"/>
      <c r="Y2412" s="237"/>
      <c r="Z2412" s="237"/>
    </row>
    <row r="2413">
      <c r="A2413" s="305">
        <v>2412.0</v>
      </c>
      <c r="B2413" s="306" t="s">
        <v>4867</v>
      </c>
      <c r="C2413" s="307" t="s">
        <v>1420</v>
      </c>
      <c r="D2413" s="308" t="s">
        <v>4869</v>
      </c>
      <c r="E2413" s="305" t="s">
        <v>4870</v>
      </c>
      <c r="F2413" s="309" t="s">
        <v>4871</v>
      </c>
      <c r="G2413" s="236"/>
      <c r="H2413" s="307" t="s">
        <v>1420</v>
      </c>
      <c r="I2413" s="237"/>
      <c r="J2413" s="237"/>
      <c r="K2413" s="310" t="s">
        <v>4868</v>
      </c>
      <c r="L2413" s="237"/>
      <c r="M2413" s="237"/>
      <c r="N2413" s="237"/>
      <c r="O2413" s="237"/>
      <c r="P2413" s="237"/>
      <c r="Q2413" s="237"/>
      <c r="R2413" s="237"/>
      <c r="S2413" s="237"/>
      <c r="T2413" s="237"/>
      <c r="U2413" s="237"/>
      <c r="V2413" s="237"/>
      <c r="W2413" s="237"/>
      <c r="X2413" s="237"/>
      <c r="Y2413" s="237"/>
      <c r="Z2413" s="237"/>
    </row>
    <row r="2414">
      <c r="A2414" s="305">
        <v>2413.0</v>
      </c>
      <c r="B2414" s="306" t="s">
        <v>4861</v>
      </c>
      <c r="C2414" s="307" t="s">
        <v>1420</v>
      </c>
      <c r="D2414" s="308" t="s">
        <v>4863</v>
      </c>
      <c r="E2414" s="305" t="s">
        <v>4864</v>
      </c>
      <c r="F2414" s="309" t="s">
        <v>4865</v>
      </c>
      <c r="G2414" s="236"/>
      <c r="H2414" s="307" t="s">
        <v>1420</v>
      </c>
      <c r="I2414" s="237"/>
      <c r="J2414" s="237"/>
      <c r="K2414" s="310" t="s">
        <v>4862</v>
      </c>
      <c r="L2414" s="237"/>
      <c r="M2414" s="237"/>
      <c r="N2414" s="237"/>
      <c r="O2414" s="237"/>
      <c r="P2414" s="237"/>
      <c r="Q2414" s="237"/>
      <c r="R2414" s="237"/>
      <c r="S2414" s="237"/>
      <c r="T2414" s="237"/>
      <c r="U2414" s="237"/>
      <c r="V2414" s="237"/>
      <c r="W2414" s="237"/>
      <c r="X2414" s="237"/>
      <c r="Y2414" s="237"/>
      <c r="Z2414" s="237"/>
    </row>
    <row r="2415">
      <c r="A2415" s="305">
        <v>2414.0</v>
      </c>
      <c r="B2415" s="236"/>
      <c r="C2415" s="307" t="s">
        <v>1420</v>
      </c>
      <c r="D2415" s="308" t="s">
        <v>1388</v>
      </c>
      <c r="E2415" s="305" t="s">
        <v>12831</v>
      </c>
      <c r="F2415" s="309" t="s">
        <v>12832</v>
      </c>
      <c r="G2415" s="236"/>
      <c r="H2415" s="307" t="s">
        <v>1420</v>
      </c>
      <c r="I2415" s="237"/>
      <c r="J2415" s="237"/>
      <c r="K2415" s="310" t="s">
        <v>12830</v>
      </c>
      <c r="L2415" s="237"/>
      <c r="M2415" s="237"/>
      <c r="N2415" s="237"/>
      <c r="O2415" s="237"/>
      <c r="P2415" s="237"/>
      <c r="Q2415" s="237"/>
      <c r="R2415" s="237"/>
      <c r="S2415" s="237"/>
      <c r="T2415" s="237"/>
      <c r="U2415" s="237"/>
      <c r="V2415" s="237"/>
      <c r="W2415" s="237"/>
      <c r="X2415" s="237"/>
      <c r="Y2415" s="237"/>
      <c r="Z2415" s="237"/>
    </row>
    <row r="2416">
      <c r="A2416" s="305">
        <v>2415.0</v>
      </c>
      <c r="B2416" s="236"/>
      <c r="C2416" s="307" t="s">
        <v>1420</v>
      </c>
      <c r="D2416" s="308" t="s">
        <v>1386</v>
      </c>
      <c r="E2416" s="305" t="s">
        <v>12828</v>
      </c>
      <c r="F2416" s="309" t="s">
        <v>12829</v>
      </c>
      <c r="G2416" s="236"/>
      <c r="H2416" s="307" t="s">
        <v>1420</v>
      </c>
      <c r="I2416" s="237"/>
      <c r="J2416" s="237"/>
      <c r="K2416" s="310" t="s">
        <v>12827</v>
      </c>
      <c r="L2416" s="237"/>
      <c r="M2416" s="237"/>
      <c r="N2416" s="237"/>
      <c r="O2416" s="237"/>
      <c r="P2416" s="237"/>
      <c r="Q2416" s="237"/>
      <c r="R2416" s="237"/>
      <c r="S2416" s="237"/>
      <c r="T2416" s="237"/>
      <c r="U2416" s="237"/>
      <c r="V2416" s="237"/>
      <c r="W2416" s="237"/>
      <c r="X2416" s="237"/>
      <c r="Y2416" s="237"/>
      <c r="Z2416" s="237"/>
    </row>
    <row r="2417">
      <c r="A2417" s="305">
        <v>2416.0</v>
      </c>
      <c r="B2417" s="236"/>
      <c r="C2417" s="307" t="s">
        <v>1420</v>
      </c>
      <c r="D2417" s="308" t="s">
        <v>1384</v>
      </c>
      <c r="E2417" s="305" t="s">
        <v>12825</v>
      </c>
      <c r="F2417" s="309" t="s">
        <v>14721</v>
      </c>
      <c r="G2417" s="236"/>
      <c r="H2417" s="307" t="s">
        <v>1420</v>
      </c>
      <c r="I2417" s="237"/>
      <c r="J2417" s="237"/>
      <c r="K2417" s="310" t="s">
        <v>12824</v>
      </c>
      <c r="L2417" s="237"/>
      <c r="M2417" s="237"/>
      <c r="N2417" s="237"/>
      <c r="O2417" s="237"/>
      <c r="P2417" s="237"/>
      <c r="Q2417" s="237"/>
      <c r="R2417" s="237"/>
      <c r="S2417" s="237"/>
      <c r="T2417" s="237"/>
      <c r="U2417" s="237"/>
      <c r="V2417" s="237"/>
      <c r="W2417" s="237"/>
      <c r="X2417" s="237"/>
      <c r="Y2417" s="237"/>
      <c r="Z2417" s="237"/>
    </row>
    <row r="2418">
      <c r="A2418" s="305">
        <v>2417.0</v>
      </c>
      <c r="B2418" s="236"/>
      <c r="C2418" s="307" t="s">
        <v>1420</v>
      </c>
      <c r="D2418" s="308" t="s">
        <v>1382</v>
      </c>
      <c r="E2418" s="305" t="s">
        <v>12822</v>
      </c>
      <c r="F2418" s="309" t="s">
        <v>12823</v>
      </c>
      <c r="G2418" s="236"/>
      <c r="H2418" s="307" t="s">
        <v>1420</v>
      </c>
      <c r="I2418" s="237"/>
      <c r="J2418" s="237"/>
      <c r="K2418" s="310" t="s">
        <v>12821</v>
      </c>
      <c r="L2418" s="237"/>
      <c r="M2418" s="237"/>
      <c r="N2418" s="237"/>
      <c r="O2418" s="237"/>
      <c r="P2418" s="237"/>
      <c r="Q2418" s="237"/>
      <c r="R2418" s="237"/>
      <c r="S2418" s="237"/>
      <c r="T2418" s="237"/>
      <c r="U2418" s="237"/>
      <c r="V2418" s="237"/>
      <c r="W2418" s="237"/>
      <c r="X2418" s="237"/>
      <c r="Y2418" s="237"/>
      <c r="Z2418" s="237"/>
    </row>
    <row r="2419">
      <c r="A2419" s="305">
        <v>2418.0</v>
      </c>
      <c r="B2419" s="306" t="s">
        <v>3653</v>
      </c>
      <c r="C2419" s="307" t="s">
        <v>1420</v>
      </c>
      <c r="D2419" s="308" t="s">
        <v>14722</v>
      </c>
      <c r="E2419" s="305" t="s">
        <v>3656</v>
      </c>
      <c r="F2419" s="309" t="s">
        <v>3657</v>
      </c>
      <c r="G2419" s="236"/>
      <c r="H2419" s="307" t="s">
        <v>1420</v>
      </c>
      <c r="I2419" s="237"/>
      <c r="J2419" s="237"/>
      <c r="K2419" s="310" t="s">
        <v>3654</v>
      </c>
      <c r="L2419" s="237"/>
      <c r="M2419" s="237"/>
      <c r="N2419" s="237"/>
      <c r="O2419" s="237"/>
      <c r="P2419" s="237"/>
      <c r="Q2419" s="237"/>
      <c r="R2419" s="237"/>
      <c r="S2419" s="237"/>
      <c r="T2419" s="237"/>
      <c r="U2419" s="237"/>
      <c r="V2419" s="237"/>
      <c r="W2419" s="237"/>
      <c r="X2419" s="237"/>
      <c r="Y2419" s="237"/>
      <c r="Z2419" s="237"/>
    </row>
    <row r="2420">
      <c r="A2420" s="305">
        <v>2419.0</v>
      </c>
      <c r="B2420" s="306" t="s">
        <v>3718</v>
      </c>
      <c r="C2420" s="307" t="s">
        <v>1420</v>
      </c>
      <c r="D2420" s="308" t="s">
        <v>14722</v>
      </c>
      <c r="E2420" s="305" t="s">
        <v>3721</v>
      </c>
      <c r="F2420" s="309" t="s">
        <v>3722</v>
      </c>
      <c r="G2420" s="236"/>
      <c r="H2420" s="307" t="s">
        <v>1420</v>
      </c>
      <c r="I2420" s="237"/>
      <c r="J2420" s="237"/>
      <c r="K2420" s="310" t="s">
        <v>3719</v>
      </c>
      <c r="L2420" s="237"/>
      <c r="M2420" s="237"/>
      <c r="N2420" s="237"/>
      <c r="O2420" s="237"/>
      <c r="P2420" s="237"/>
      <c r="Q2420" s="237"/>
      <c r="R2420" s="237"/>
      <c r="S2420" s="237"/>
      <c r="T2420" s="237"/>
      <c r="U2420" s="237"/>
      <c r="V2420" s="237"/>
      <c r="W2420" s="237"/>
      <c r="X2420" s="237"/>
      <c r="Y2420" s="237"/>
      <c r="Z2420" s="237"/>
    </row>
    <row r="2421">
      <c r="A2421" s="305">
        <v>2420.0</v>
      </c>
      <c r="B2421" s="306" t="s">
        <v>4751</v>
      </c>
      <c r="C2421" s="307" t="s">
        <v>1420</v>
      </c>
      <c r="D2421" s="308" t="s">
        <v>4753</v>
      </c>
      <c r="E2421" s="305" t="s">
        <v>4754</v>
      </c>
      <c r="F2421" s="309" t="s">
        <v>4755</v>
      </c>
      <c r="G2421" s="236"/>
      <c r="H2421" s="307" t="s">
        <v>1420</v>
      </c>
      <c r="I2421" s="237"/>
      <c r="J2421" s="237"/>
      <c r="K2421" s="310" t="s">
        <v>4752</v>
      </c>
      <c r="L2421" s="237"/>
      <c r="M2421" s="237"/>
      <c r="N2421" s="237"/>
      <c r="O2421" s="237"/>
      <c r="P2421" s="237"/>
      <c r="Q2421" s="237"/>
      <c r="R2421" s="237"/>
      <c r="S2421" s="237"/>
      <c r="T2421" s="237"/>
      <c r="U2421" s="237"/>
      <c r="V2421" s="237"/>
      <c r="W2421" s="237"/>
      <c r="X2421" s="237"/>
      <c r="Y2421" s="237"/>
      <c r="Z2421" s="237"/>
    </row>
    <row r="2422">
      <c r="A2422" s="305">
        <v>2421.0</v>
      </c>
      <c r="B2422" s="306" t="s">
        <v>4756</v>
      </c>
      <c r="C2422" s="307" t="s">
        <v>1420</v>
      </c>
      <c r="D2422" s="308" t="s">
        <v>4758</v>
      </c>
      <c r="E2422" s="305" t="s">
        <v>4759</v>
      </c>
      <c r="F2422" s="309" t="s">
        <v>4760</v>
      </c>
      <c r="G2422" s="236"/>
      <c r="H2422" s="307" t="s">
        <v>1420</v>
      </c>
      <c r="I2422" s="237"/>
      <c r="J2422" s="237"/>
      <c r="K2422" s="310" t="s">
        <v>4757</v>
      </c>
      <c r="L2422" s="237"/>
      <c r="M2422" s="237"/>
      <c r="N2422" s="237"/>
      <c r="O2422" s="237"/>
      <c r="P2422" s="237"/>
      <c r="Q2422" s="237"/>
      <c r="R2422" s="237"/>
      <c r="S2422" s="237"/>
      <c r="T2422" s="237"/>
      <c r="U2422" s="237"/>
      <c r="V2422" s="237"/>
      <c r="W2422" s="237"/>
      <c r="X2422" s="237"/>
      <c r="Y2422" s="237"/>
      <c r="Z2422" s="237"/>
    </row>
    <row r="2423">
      <c r="A2423" s="305">
        <v>2422.0</v>
      </c>
      <c r="B2423" s="306" t="s">
        <v>4761</v>
      </c>
      <c r="C2423" s="307" t="s">
        <v>1420</v>
      </c>
      <c r="D2423" s="308" t="s">
        <v>4763</v>
      </c>
      <c r="E2423" s="305" t="s">
        <v>4764</v>
      </c>
      <c r="F2423" s="309" t="s">
        <v>4765</v>
      </c>
      <c r="G2423" s="236"/>
      <c r="H2423" s="307" t="s">
        <v>1420</v>
      </c>
      <c r="I2423" s="237"/>
      <c r="J2423" s="237"/>
      <c r="K2423" s="310" t="s">
        <v>4762</v>
      </c>
      <c r="L2423" s="237"/>
      <c r="M2423" s="237"/>
      <c r="N2423" s="237"/>
      <c r="O2423" s="237"/>
      <c r="P2423" s="237"/>
      <c r="Q2423" s="237"/>
      <c r="R2423" s="237"/>
      <c r="S2423" s="237"/>
      <c r="T2423" s="237"/>
      <c r="U2423" s="237"/>
      <c r="V2423" s="237"/>
      <c r="W2423" s="237"/>
      <c r="X2423" s="237"/>
      <c r="Y2423" s="237"/>
      <c r="Z2423" s="237"/>
    </row>
    <row r="2424">
      <c r="A2424" s="305">
        <v>2423.0</v>
      </c>
      <c r="B2424" s="306" t="s">
        <v>4776</v>
      </c>
      <c r="C2424" s="307" t="s">
        <v>1420</v>
      </c>
      <c r="D2424" s="308" t="s">
        <v>4778</v>
      </c>
      <c r="E2424" s="305" t="s">
        <v>4779</v>
      </c>
      <c r="F2424" s="309" t="s">
        <v>4780</v>
      </c>
      <c r="G2424" s="236"/>
      <c r="H2424" s="307" t="s">
        <v>1420</v>
      </c>
      <c r="I2424" s="237"/>
      <c r="J2424" s="237"/>
      <c r="K2424" s="310" t="s">
        <v>4777</v>
      </c>
      <c r="L2424" s="237"/>
      <c r="M2424" s="237"/>
      <c r="N2424" s="237"/>
      <c r="O2424" s="237"/>
      <c r="P2424" s="237"/>
      <c r="Q2424" s="237"/>
      <c r="R2424" s="237"/>
      <c r="S2424" s="237"/>
      <c r="T2424" s="237"/>
      <c r="U2424" s="237"/>
      <c r="V2424" s="237"/>
      <c r="W2424" s="237"/>
      <c r="X2424" s="237"/>
      <c r="Y2424" s="237"/>
      <c r="Z2424" s="237"/>
    </row>
    <row r="2425">
      <c r="A2425" s="305">
        <v>2424.0</v>
      </c>
      <c r="B2425" s="306" t="s">
        <v>4786</v>
      </c>
      <c r="C2425" s="307" t="s">
        <v>1420</v>
      </c>
      <c r="D2425" s="308" t="s">
        <v>4788</v>
      </c>
      <c r="E2425" s="305" t="s">
        <v>4789</v>
      </c>
      <c r="F2425" s="309" t="s">
        <v>4790</v>
      </c>
      <c r="G2425" s="236"/>
      <c r="H2425" s="307" t="s">
        <v>1420</v>
      </c>
      <c r="I2425" s="237"/>
      <c r="J2425" s="237"/>
      <c r="K2425" s="310" t="s">
        <v>4787</v>
      </c>
      <c r="L2425" s="237"/>
      <c r="M2425" s="237"/>
      <c r="N2425" s="237"/>
      <c r="O2425" s="237"/>
      <c r="P2425" s="237"/>
      <c r="Q2425" s="237"/>
      <c r="R2425" s="237"/>
      <c r="S2425" s="237"/>
      <c r="T2425" s="237"/>
      <c r="U2425" s="237"/>
      <c r="V2425" s="237"/>
      <c r="W2425" s="237"/>
      <c r="X2425" s="237"/>
      <c r="Y2425" s="237"/>
      <c r="Z2425" s="237"/>
    </row>
    <row r="2426">
      <c r="A2426" s="305">
        <v>2425.0</v>
      </c>
      <c r="B2426" s="306" t="s">
        <v>4781</v>
      </c>
      <c r="C2426" s="307" t="s">
        <v>1420</v>
      </c>
      <c r="D2426" s="308" t="s">
        <v>4783</v>
      </c>
      <c r="E2426" s="305" t="s">
        <v>4784</v>
      </c>
      <c r="F2426" s="309" t="s">
        <v>4785</v>
      </c>
      <c r="G2426" s="236"/>
      <c r="H2426" s="307" t="s">
        <v>1420</v>
      </c>
      <c r="I2426" s="237"/>
      <c r="J2426" s="237"/>
      <c r="K2426" s="310" t="s">
        <v>4782</v>
      </c>
      <c r="L2426" s="237"/>
      <c r="M2426" s="237"/>
      <c r="N2426" s="237"/>
      <c r="O2426" s="237"/>
      <c r="P2426" s="237"/>
      <c r="Q2426" s="237"/>
      <c r="R2426" s="237"/>
      <c r="S2426" s="237"/>
      <c r="T2426" s="237"/>
      <c r="U2426" s="237"/>
      <c r="V2426" s="237"/>
      <c r="W2426" s="237"/>
      <c r="X2426" s="237"/>
      <c r="Y2426" s="237"/>
      <c r="Z2426" s="237"/>
    </row>
    <row r="2427">
      <c r="A2427" s="305">
        <v>2426.0</v>
      </c>
      <c r="B2427" s="306" t="s">
        <v>4791</v>
      </c>
      <c r="C2427" s="307" t="s">
        <v>1420</v>
      </c>
      <c r="D2427" s="308" t="s">
        <v>4793</v>
      </c>
      <c r="E2427" s="305" t="s">
        <v>4794</v>
      </c>
      <c r="F2427" s="309" t="s">
        <v>4795</v>
      </c>
      <c r="G2427" s="236"/>
      <c r="H2427" s="307" t="s">
        <v>1420</v>
      </c>
      <c r="I2427" s="237"/>
      <c r="J2427" s="237"/>
      <c r="K2427" s="310" t="s">
        <v>4792</v>
      </c>
      <c r="L2427" s="237"/>
      <c r="M2427" s="237"/>
      <c r="N2427" s="237"/>
      <c r="O2427" s="237"/>
      <c r="P2427" s="237"/>
      <c r="Q2427" s="237"/>
      <c r="R2427" s="237"/>
      <c r="S2427" s="237"/>
      <c r="T2427" s="237"/>
      <c r="U2427" s="237"/>
      <c r="V2427" s="237"/>
      <c r="W2427" s="237"/>
      <c r="X2427" s="237"/>
      <c r="Y2427" s="237"/>
      <c r="Z2427" s="237"/>
    </row>
    <row r="2428">
      <c r="A2428" s="305">
        <v>2427.0</v>
      </c>
      <c r="B2428" s="306" t="s">
        <v>4766</v>
      </c>
      <c r="C2428" s="307" t="s">
        <v>1420</v>
      </c>
      <c r="D2428" s="308" t="s">
        <v>4768</v>
      </c>
      <c r="E2428" s="305" t="s">
        <v>4769</v>
      </c>
      <c r="F2428" s="309" t="s">
        <v>4770</v>
      </c>
      <c r="G2428" s="236"/>
      <c r="H2428" s="307" t="s">
        <v>1420</v>
      </c>
      <c r="I2428" s="237"/>
      <c r="J2428" s="237"/>
      <c r="K2428" s="310" t="s">
        <v>4767</v>
      </c>
      <c r="L2428" s="237"/>
      <c r="M2428" s="237"/>
      <c r="N2428" s="237"/>
      <c r="O2428" s="237"/>
      <c r="P2428" s="237"/>
      <c r="Q2428" s="237"/>
      <c r="R2428" s="237"/>
      <c r="S2428" s="237"/>
      <c r="T2428" s="237"/>
      <c r="U2428" s="237"/>
      <c r="V2428" s="237"/>
      <c r="W2428" s="237"/>
      <c r="X2428" s="237"/>
      <c r="Y2428" s="237"/>
      <c r="Z2428" s="237"/>
    </row>
    <row r="2429">
      <c r="A2429" s="305">
        <v>2428.0</v>
      </c>
      <c r="B2429" s="306" t="s">
        <v>4771</v>
      </c>
      <c r="C2429" s="307" t="s">
        <v>1420</v>
      </c>
      <c r="D2429" s="308" t="s">
        <v>4773</v>
      </c>
      <c r="E2429" s="305" t="s">
        <v>4774</v>
      </c>
      <c r="F2429" s="309" t="s">
        <v>4775</v>
      </c>
      <c r="G2429" s="236"/>
      <c r="H2429" s="307" t="s">
        <v>1420</v>
      </c>
      <c r="I2429" s="237"/>
      <c r="J2429" s="237"/>
      <c r="K2429" s="310" t="s">
        <v>4772</v>
      </c>
      <c r="L2429" s="237"/>
      <c r="M2429" s="237"/>
      <c r="N2429" s="237"/>
      <c r="O2429" s="237"/>
      <c r="P2429" s="237"/>
      <c r="Q2429" s="237"/>
      <c r="R2429" s="237"/>
      <c r="S2429" s="237"/>
      <c r="T2429" s="237"/>
      <c r="U2429" s="237"/>
      <c r="V2429" s="237"/>
      <c r="W2429" s="237"/>
      <c r="X2429" s="237"/>
      <c r="Y2429" s="237"/>
      <c r="Z2429" s="237"/>
    </row>
    <row r="2430">
      <c r="A2430" s="305">
        <v>2429.0</v>
      </c>
      <c r="B2430" s="236"/>
      <c r="C2430" s="307" t="s">
        <v>1420</v>
      </c>
      <c r="D2430" s="308" t="s">
        <v>12428</v>
      </c>
      <c r="E2430" s="236"/>
      <c r="F2430" s="309" t="s">
        <v>12429</v>
      </c>
      <c r="G2430" s="236"/>
      <c r="H2430" s="307" t="s">
        <v>1420</v>
      </c>
      <c r="I2430" s="237"/>
      <c r="J2430" s="237"/>
      <c r="K2430" s="310" t="s">
        <v>12427</v>
      </c>
      <c r="L2430" s="237"/>
      <c r="M2430" s="237"/>
      <c r="N2430" s="237"/>
      <c r="O2430" s="237"/>
      <c r="P2430" s="237"/>
      <c r="Q2430" s="237"/>
      <c r="R2430" s="237"/>
      <c r="S2430" s="237"/>
      <c r="T2430" s="237"/>
      <c r="U2430" s="237"/>
      <c r="V2430" s="237"/>
      <c r="W2430" s="237"/>
      <c r="X2430" s="237"/>
      <c r="Y2430" s="237"/>
      <c r="Z2430" s="237"/>
    </row>
    <row r="2431">
      <c r="A2431" s="305">
        <v>2430.0</v>
      </c>
      <c r="B2431" s="306">
        <v>5.0010863E7</v>
      </c>
      <c r="C2431" s="307" t="s">
        <v>1420</v>
      </c>
      <c r="D2431" s="308" t="s">
        <v>6109</v>
      </c>
      <c r="E2431" s="305" t="s">
        <v>6110</v>
      </c>
      <c r="F2431" s="309" t="s">
        <v>6111</v>
      </c>
      <c r="G2431" s="236"/>
      <c r="H2431" s="307" t="s">
        <v>1420</v>
      </c>
      <c r="I2431" s="237"/>
      <c r="J2431" s="237"/>
      <c r="K2431" s="310" t="s">
        <v>6108</v>
      </c>
      <c r="L2431" s="237"/>
      <c r="M2431" s="237"/>
      <c r="N2431" s="237"/>
      <c r="O2431" s="237"/>
      <c r="P2431" s="237"/>
      <c r="Q2431" s="237"/>
      <c r="R2431" s="237"/>
      <c r="S2431" s="237"/>
      <c r="T2431" s="237"/>
      <c r="U2431" s="237"/>
      <c r="V2431" s="237"/>
      <c r="W2431" s="237"/>
      <c r="X2431" s="237"/>
      <c r="Y2431" s="237"/>
      <c r="Z2431" s="237"/>
    </row>
    <row r="2432">
      <c r="A2432" s="305">
        <v>2431.0</v>
      </c>
      <c r="B2432" s="306">
        <v>5.0010864E7</v>
      </c>
      <c r="C2432" s="307" t="s">
        <v>1420</v>
      </c>
      <c r="D2432" s="308" t="s">
        <v>6163</v>
      </c>
      <c r="E2432" s="305" t="s">
        <v>6164</v>
      </c>
      <c r="F2432" s="309" t="s">
        <v>6165</v>
      </c>
      <c r="G2432" s="236"/>
      <c r="H2432" s="307" t="s">
        <v>1420</v>
      </c>
      <c r="I2432" s="237"/>
      <c r="J2432" s="237"/>
      <c r="K2432" s="310" t="s">
        <v>6162</v>
      </c>
      <c r="L2432" s="237"/>
      <c r="M2432" s="237"/>
      <c r="N2432" s="237"/>
      <c r="O2432" s="237"/>
      <c r="P2432" s="237"/>
      <c r="Q2432" s="237"/>
      <c r="R2432" s="237"/>
      <c r="S2432" s="237"/>
      <c r="T2432" s="237"/>
      <c r="U2432" s="237"/>
      <c r="V2432" s="237"/>
      <c r="W2432" s="237"/>
      <c r="X2432" s="237"/>
      <c r="Y2432" s="237"/>
      <c r="Z2432" s="237"/>
    </row>
    <row r="2433">
      <c r="A2433" s="305">
        <v>2432.0</v>
      </c>
      <c r="B2433" s="306" t="s">
        <v>9409</v>
      </c>
      <c r="C2433" s="307" t="s">
        <v>1420</v>
      </c>
      <c r="D2433" s="308" t="s">
        <v>9411</v>
      </c>
      <c r="E2433" s="305" t="s">
        <v>9412</v>
      </c>
      <c r="F2433" s="309" t="s">
        <v>9413</v>
      </c>
      <c r="G2433" s="236"/>
      <c r="H2433" s="307" t="s">
        <v>1420</v>
      </c>
      <c r="I2433" s="237"/>
      <c r="J2433" s="237"/>
      <c r="K2433" s="310" t="s">
        <v>9410</v>
      </c>
      <c r="L2433" s="237"/>
      <c r="M2433" s="237"/>
      <c r="N2433" s="237"/>
      <c r="O2433" s="237"/>
      <c r="P2433" s="237"/>
      <c r="Q2433" s="237"/>
      <c r="R2433" s="237"/>
      <c r="S2433" s="237"/>
      <c r="T2433" s="237"/>
      <c r="U2433" s="237"/>
      <c r="V2433" s="237"/>
      <c r="W2433" s="237"/>
      <c r="X2433" s="237"/>
      <c r="Y2433" s="237"/>
      <c r="Z2433" s="237"/>
    </row>
    <row r="2434">
      <c r="A2434" s="305">
        <v>2433.0</v>
      </c>
      <c r="B2434" s="236"/>
      <c r="C2434" s="307" t="s">
        <v>1420</v>
      </c>
      <c r="D2434" s="308" t="s">
        <v>9405</v>
      </c>
      <c r="E2434" s="305" t="s">
        <v>9406</v>
      </c>
      <c r="F2434" s="309" t="s">
        <v>9407</v>
      </c>
      <c r="G2434" s="236"/>
      <c r="H2434" s="307" t="s">
        <v>1420</v>
      </c>
      <c r="I2434" s="237"/>
      <c r="J2434" s="237"/>
      <c r="K2434" s="310" t="s">
        <v>9404</v>
      </c>
      <c r="L2434" s="237"/>
      <c r="M2434" s="237"/>
      <c r="N2434" s="237"/>
      <c r="O2434" s="237"/>
      <c r="P2434" s="237"/>
      <c r="Q2434" s="237"/>
      <c r="R2434" s="237"/>
      <c r="S2434" s="237"/>
      <c r="T2434" s="237"/>
      <c r="U2434" s="237"/>
      <c r="V2434" s="237"/>
      <c r="W2434" s="237"/>
      <c r="X2434" s="237"/>
      <c r="Y2434" s="237"/>
      <c r="Z2434" s="237"/>
    </row>
    <row r="2435">
      <c r="A2435" s="305">
        <v>2434.0</v>
      </c>
      <c r="B2435" s="306" t="s">
        <v>12212</v>
      </c>
      <c r="C2435" s="307" t="s">
        <v>1420</v>
      </c>
      <c r="D2435" s="308" t="s">
        <v>12166</v>
      </c>
      <c r="E2435" s="305" t="s">
        <v>14723</v>
      </c>
      <c r="F2435" s="309" t="s">
        <v>12214</v>
      </c>
      <c r="G2435" s="236"/>
      <c r="H2435" s="307" t="s">
        <v>1420</v>
      </c>
      <c r="I2435" s="237"/>
      <c r="J2435" s="237"/>
      <c r="K2435" s="310" t="s">
        <v>14724</v>
      </c>
      <c r="L2435" s="237"/>
      <c r="M2435" s="237"/>
      <c r="N2435" s="237"/>
      <c r="O2435" s="237"/>
      <c r="P2435" s="237"/>
      <c r="Q2435" s="237"/>
      <c r="R2435" s="237"/>
      <c r="S2435" s="237"/>
      <c r="T2435" s="237"/>
      <c r="U2435" s="237"/>
      <c r="V2435" s="237"/>
      <c r="W2435" s="237"/>
      <c r="X2435" s="237"/>
      <c r="Y2435" s="237"/>
      <c r="Z2435" s="237"/>
    </row>
    <row r="2436">
      <c r="A2436" s="305">
        <v>2435.0</v>
      </c>
      <c r="B2436" s="306" t="s">
        <v>12223</v>
      </c>
      <c r="C2436" s="307" t="s">
        <v>1420</v>
      </c>
      <c r="D2436" s="308" t="s">
        <v>14725</v>
      </c>
      <c r="E2436" s="305" t="s">
        <v>12225</v>
      </c>
      <c r="F2436" s="236"/>
      <c r="G2436" s="236"/>
      <c r="H2436" s="307" t="s">
        <v>1420</v>
      </c>
      <c r="I2436" s="237"/>
      <c r="J2436" s="237"/>
      <c r="K2436" s="310" t="s">
        <v>12222</v>
      </c>
      <c r="L2436" s="237"/>
      <c r="M2436" s="237"/>
      <c r="N2436" s="237"/>
      <c r="O2436" s="237"/>
      <c r="P2436" s="237"/>
      <c r="Q2436" s="237"/>
      <c r="R2436" s="237"/>
      <c r="S2436" s="237"/>
      <c r="T2436" s="237"/>
      <c r="U2436" s="237"/>
      <c r="V2436" s="237"/>
      <c r="W2436" s="237"/>
      <c r="X2436" s="237"/>
      <c r="Y2436" s="237"/>
      <c r="Z2436" s="237"/>
    </row>
    <row r="2437">
      <c r="A2437" s="305">
        <v>2436.0</v>
      </c>
      <c r="B2437" s="236"/>
      <c r="C2437" s="307" t="s">
        <v>1427</v>
      </c>
      <c r="D2437" s="308" t="s">
        <v>12168</v>
      </c>
      <c r="E2437" s="236"/>
      <c r="F2437" s="236"/>
      <c r="G2437" s="236"/>
      <c r="H2437" s="307" t="s">
        <v>1427</v>
      </c>
      <c r="I2437" s="237"/>
      <c r="J2437" s="237"/>
      <c r="K2437" s="310" t="s">
        <v>12167</v>
      </c>
      <c r="L2437" s="237"/>
      <c r="M2437" s="237"/>
      <c r="N2437" s="237"/>
      <c r="O2437" s="237"/>
      <c r="P2437" s="237"/>
      <c r="Q2437" s="237"/>
      <c r="R2437" s="237"/>
      <c r="S2437" s="237"/>
      <c r="T2437" s="237"/>
      <c r="U2437" s="237"/>
      <c r="V2437" s="237"/>
      <c r="W2437" s="237"/>
      <c r="X2437" s="237"/>
      <c r="Y2437" s="237"/>
      <c r="Z2437" s="237"/>
    </row>
    <row r="2438">
      <c r="A2438" s="305">
        <v>2437.0</v>
      </c>
      <c r="B2438" s="306" t="s">
        <v>12218</v>
      </c>
      <c r="C2438" s="307" t="s">
        <v>1420</v>
      </c>
      <c r="D2438" s="308" t="s">
        <v>12164</v>
      </c>
      <c r="E2438" s="305" t="s">
        <v>12219</v>
      </c>
      <c r="F2438" s="309" t="s">
        <v>12220</v>
      </c>
      <c r="G2438" s="236"/>
      <c r="H2438" s="307" t="s">
        <v>1420</v>
      </c>
      <c r="I2438" s="237"/>
      <c r="J2438" s="237"/>
      <c r="K2438" s="310" t="s">
        <v>12217</v>
      </c>
      <c r="L2438" s="237"/>
      <c r="M2438" s="237"/>
      <c r="N2438" s="237"/>
      <c r="O2438" s="237"/>
      <c r="P2438" s="237"/>
      <c r="Q2438" s="237"/>
      <c r="R2438" s="237"/>
      <c r="S2438" s="237"/>
      <c r="T2438" s="237"/>
      <c r="U2438" s="237"/>
      <c r="V2438" s="237"/>
      <c r="W2438" s="237"/>
      <c r="X2438" s="237"/>
      <c r="Y2438" s="237"/>
      <c r="Z2438" s="237"/>
    </row>
    <row r="2439">
      <c r="A2439" s="305">
        <v>2438.0</v>
      </c>
      <c r="B2439" s="236"/>
      <c r="C2439" s="307" t="s">
        <v>1420</v>
      </c>
      <c r="D2439" s="308" t="s">
        <v>10910</v>
      </c>
      <c r="E2439" s="305" t="s">
        <v>10911</v>
      </c>
      <c r="F2439" s="309" t="s">
        <v>10912</v>
      </c>
      <c r="G2439" s="236"/>
      <c r="H2439" s="307" t="s">
        <v>1420</v>
      </c>
      <c r="I2439" s="237"/>
      <c r="J2439" s="237"/>
      <c r="K2439" s="310" t="s">
        <v>10909</v>
      </c>
      <c r="L2439" s="237"/>
      <c r="M2439" s="237"/>
      <c r="N2439" s="237"/>
      <c r="O2439" s="237"/>
      <c r="P2439" s="237"/>
      <c r="Q2439" s="237"/>
      <c r="R2439" s="237"/>
      <c r="S2439" s="237"/>
      <c r="T2439" s="237"/>
      <c r="U2439" s="237"/>
      <c r="V2439" s="237"/>
      <c r="W2439" s="237"/>
      <c r="X2439" s="237"/>
      <c r="Y2439" s="237"/>
      <c r="Z2439" s="237"/>
    </row>
    <row r="2440">
      <c r="A2440" s="305">
        <v>2439.0</v>
      </c>
      <c r="B2440" s="236"/>
      <c r="C2440" s="307" t="s">
        <v>1420</v>
      </c>
      <c r="D2440" s="308" t="s">
        <v>10919</v>
      </c>
      <c r="E2440" s="305" t="s">
        <v>10920</v>
      </c>
      <c r="F2440" s="309" t="s">
        <v>10921</v>
      </c>
      <c r="G2440" s="236"/>
      <c r="H2440" s="307" t="s">
        <v>1420</v>
      </c>
      <c r="I2440" s="237"/>
      <c r="J2440" s="237"/>
      <c r="K2440" s="310" t="s">
        <v>10918</v>
      </c>
      <c r="L2440" s="237"/>
      <c r="M2440" s="237"/>
      <c r="N2440" s="237"/>
      <c r="O2440" s="237"/>
      <c r="P2440" s="237"/>
      <c r="Q2440" s="237"/>
      <c r="R2440" s="237"/>
      <c r="S2440" s="237"/>
      <c r="T2440" s="237"/>
      <c r="U2440" s="237"/>
      <c r="V2440" s="237"/>
      <c r="W2440" s="237"/>
      <c r="X2440" s="237"/>
      <c r="Y2440" s="237"/>
      <c r="Z2440" s="237"/>
    </row>
    <row r="2441">
      <c r="A2441" s="305">
        <v>2440.0</v>
      </c>
      <c r="B2441" s="236"/>
      <c r="C2441" s="307" t="s">
        <v>1420</v>
      </c>
      <c r="D2441" s="308" t="s">
        <v>10923</v>
      </c>
      <c r="E2441" s="305" t="s">
        <v>10924</v>
      </c>
      <c r="F2441" s="309" t="s">
        <v>10925</v>
      </c>
      <c r="G2441" s="236"/>
      <c r="H2441" s="307" t="s">
        <v>1420</v>
      </c>
      <c r="I2441" s="237"/>
      <c r="J2441" s="237"/>
      <c r="K2441" s="310" t="s">
        <v>10922</v>
      </c>
      <c r="L2441" s="237"/>
      <c r="M2441" s="237"/>
      <c r="N2441" s="237"/>
      <c r="O2441" s="237"/>
      <c r="P2441" s="237"/>
      <c r="Q2441" s="237"/>
      <c r="R2441" s="237"/>
      <c r="S2441" s="237"/>
      <c r="T2441" s="237"/>
      <c r="U2441" s="237"/>
      <c r="V2441" s="237"/>
      <c r="W2441" s="237"/>
      <c r="X2441" s="237"/>
      <c r="Y2441" s="237"/>
      <c r="Z2441" s="237"/>
    </row>
    <row r="2442">
      <c r="A2442" s="305">
        <v>2441.0</v>
      </c>
      <c r="B2442" s="236"/>
      <c r="C2442" s="307" t="s">
        <v>1420</v>
      </c>
      <c r="D2442" s="308" t="s">
        <v>10938</v>
      </c>
      <c r="E2442" s="305" t="s">
        <v>10939</v>
      </c>
      <c r="F2442" s="309" t="s">
        <v>10940</v>
      </c>
      <c r="G2442" s="236"/>
      <c r="H2442" s="307" t="s">
        <v>1420</v>
      </c>
      <c r="I2442" s="237"/>
      <c r="J2442" s="237"/>
      <c r="K2442" s="310" t="s">
        <v>14726</v>
      </c>
      <c r="L2442" s="237"/>
      <c r="M2442" s="237"/>
      <c r="N2442" s="237"/>
      <c r="O2442" s="237"/>
      <c r="P2442" s="237"/>
      <c r="Q2442" s="237"/>
      <c r="R2442" s="237"/>
      <c r="S2442" s="237"/>
      <c r="T2442" s="237"/>
      <c r="U2442" s="237"/>
      <c r="V2442" s="237"/>
      <c r="W2442" s="237"/>
      <c r="X2442" s="237"/>
      <c r="Y2442" s="237"/>
      <c r="Z2442" s="237"/>
    </row>
    <row r="2443">
      <c r="A2443" s="305">
        <v>2442.0</v>
      </c>
      <c r="B2443" s="236"/>
      <c r="C2443" s="307" t="s">
        <v>1420</v>
      </c>
      <c r="D2443" s="308" t="s">
        <v>10915</v>
      </c>
      <c r="E2443" s="305" t="s">
        <v>10916</v>
      </c>
      <c r="F2443" s="309" t="s">
        <v>10917</v>
      </c>
      <c r="G2443" s="236"/>
      <c r="H2443" s="307" t="s">
        <v>1420</v>
      </c>
      <c r="I2443" s="237"/>
      <c r="J2443" s="237"/>
      <c r="K2443" s="310" t="s">
        <v>10914</v>
      </c>
      <c r="L2443" s="237"/>
      <c r="M2443" s="237"/>
      <c r="N2443" s="237"/>
      <c r="O2443" s="237"/>
      <c r="P2443" s="237"/>
      <c r="Q2443" s="237"/>
      <c r="R2443" s="237"/>
      <c r="S2443" s="237"/>
      <c r="T2443" s="237"/>
      <c r="U2443" s="237"/>
      <c r="V2443" s="237"/>
      <c r="W2443" s="237"/>
      <c r="X2443" s="237"/>
      <c r="Y2443" s="237"/>
      <c r="Z2443" s="237"/>
    </row>
    <row r="2444">
      <c r="A2444" s="305">
        <v>2443.0</v>
      </c>
      <c r="B2444" s="236"/>
      <c r="C2444" s="307" t="s">
        <v>1420</v>
      </c>
      <c r="D2444" s="308" t="s">
        <v>10927</v>
      </c>
      <c r="E2444" s="305" t="s">
        <v>10928</v>
      </c>
      <c r="F2444" s="309" t="s">
        <v>10929</v>
      </c>
      <c r="G2444" s="236"/>
      <c r="H2444" s="307" t="s">
        <v>1420</v>
      </c>
      <c r="I2444" s="237"/>
      <c r="J2444" s="237"/>
      <c r="K2444" s="310" t="s">
        <v>10926</v>
      </c>
      <c r="L2444" s="237"/>
      <c r="M2444" s="237"/>
      <c r="N2444" s="237"/>
      <c r="O2444" s="237"/>
      <c r="P2444" s="237"/>
      <c r="Q2444" s="237"/>
      <c r="R2444" s="237"/>
      <c r="S2444" s="237"/>
      <c r="T2444" s="237"/>
      <c r="U2444" s="237"/>
      <c r="V2444" s="237"/>
      <c r="W2444" s="237"/>
      <c r="X2444" s="237"/>
      <c r="Y2444" s="237"/>
      <c r="Z2444" s="237"/>
    </row>
    <row r="2445">
      <c r="A2445" s="305">
        <v>2444.0</v>
      </c>
      <c r="B2445" s="236"/>
      <c r="C2445" s="307" t="s">
        <v>1420</v>
      </c>
      <c r="D2445" s="308" t="s">
        <v>10931</v>
      </c>
      <c r="E2445" s="305" t="s">
        <v>10932</v>
      </c>
      <c r="F2445" s="309" t="s">
        <v>10933</v>
      </c>
      <c r="G2445" s="236"/>
      <c r="H2445" s="307" t="s">
        <v>1420</v>
      </c>
      <c r="I2445" s="237"/>
      <c r="J2445" s="237"/>
      <c r="K2445" s="310" t="s">
        <v>10930</v>
      </c>
      <c r="L2445" s="237"/>
      <c r="M2445" s="237"/>
      <c r="N2445" s="237"/>
      <c r="O2445" s="237"/>
      <c r="P2445" s="237"/>
      <c r="Q2445" s="237"/>
      <c r="R2445" s="237"/>
      <c r="S2445" s="237"/>
      <c r="T2445" s="237"/>
      <c r="U2445" s="237"/>
      <c r="V2445" s="237"/>
      <c r="W2445" s="237"/>
      <c r="X2445" s="237"/>
      <c r="Y2445" s="237"/>
      <c r="Z2445" s="237"/>
    </row>
    <row r="2446">
      <c r="A2446" s="305">
        <v>2445.0</v>
      </c>
      <c r="B2446" s="236"/>
      <c r="C2446" s="307" t="s">
        <v>1420</v>
      </c>
      <c r="D2446" s="308" t="s">
        <v>10935</v>
      </c>
      <c r="E2446" s="305" t="s">
        <v>10936</v>
      </c>
      <c r="F2446" s="309" t="s">
        <v>10937</v>
      </c>
      <c r="G2446" s="236"/>
      <c r="H2446" s="307" t="s">
        <v>1420</v>
      </c>
      <c r="I2446" s="237"/>
      <c r="J2446" s="237"/>
      <c r="K2446" s="310" t="s">
        <v>10934</v>
      </c>
      <c r="L2446" s="237"/>
      <c r="M2446" s="237"/>
      <c r="N2446" s="237"/>
      <c r="O2446" s="237"/>
      <c r="P2446" s="237"/>
      <c r="Q2446" s="237"/>
      <c r="R2446" s="237"/>
      <c r="S2446" s="237"/>
      <c r="T2446" s="237"/>
      <c r="U2446" s="237"/>
      <c r="V2446" s="237"/>
      <c r="W2446" s="237"/>
      <c r="X2446" s="237"/>
      <c r="Y2446" s="237"/>
      <c r="Z2446" s="237"/>
    </row>
    <row r="2447">
      <c r="A2447" s="305">
        <v>2446.0</v>
      </c>
      <c r="B2447" s="236"/>
      <c r="C2447" s="307" t="s">
        <v>1420</v>
      </c>
      <c r="D2447" s="308" t="s">
        <v>1712</v>
      </c>
      <c r="E2447" s="305" t="s">
        <v>11716</v>
      </c>
      <c r="F2447" s="309" t="s">
        <v>14727</v>
      </c>
      <c r="G2447" s="236"/>
      <c r="H2447" s="307" t="s">
        <v>1420</v>
      </c>
      <c r="I2447" s="237"/>
      <c r="J2447" s="237"/>
      <c r="K2447" s="310" t="s">
        <v>11714</v>
      </c>
      <c r="L2447" s="237"/>
      <c r="M2447" s="237"/>
      <c r="N2447" s="237"/>
      <c r="O2447" s="237"/>
      <c r="P2447" s="237"/>
      <c r="Q2447" s="237"/>
      <c r="R2447" s="237"/>
      <c r="S2447" s="237"/>
      <c r="T2447" s="237"/>
      <c r="U2447" s="237"/>
      <c r="V2447" s="237"/>
      <c r="W2447" s="237"/>
      <c r="X2447" s="237"/>
      <c r="Y2447" s="237"/>
      <c r="Z2447" s="237"/>
    </row>
    <row r="2448">
      <c r="A2448" s="305">
        <v>2447.0</v>
      </c>
      <c r="B2448" s="236"/>
      <c r="C2448" s="307" t="s">
        <v>1420</v>
      </c>
      <c r="D2448" s="308" t="s">
        <v>11733</v>
      </c>
      <c r="E2448" s="305" t="s">
        <v>11734</v>
      </c>
      <c r="F2448" s="309" t="s">
        <v>14728</v>
      </c>
      <c r="G2448" s="236"/>
      <c r="H2448" s="307" t="s">
        <v>1420</v>
      </c>
      <c r="I2448" s="237"/>
      <c r="J2448" s="237"/>
      <c r="K2448" s="310" t="s">
        <v>11731</v>
      </c>
      <c r="L2448" s="237"/>
      <c r="M2448" s="237"/>
      <c r="N2448" s="237"/>
      <c r="O2448" s="237"/>
      <c r="P2448" s="237"/>
      <c r="Q2448" s="237"/>
      <c r="R2448" s="237"/>
      <c r="S2448" s="237"/>
      <c r="T2448" s="237"/>
      <c r="U2448" s="237"/>
      <c r="V2448" s="237"/>
      <c r="W2448" s="237"/>
      <c r="X2448" s="237"/>
      <c r="Y2448" s="237"/>
      <c r="Z2448" s="237"/>
    </row>
    <row r="2449">
      <c r="A2449" s="305">
        <v>2448.0</v>
      </c>
      <c r="B2449" s="236"/>
      <c r="C2449" s="307" t="s">
        <v>1420</v>
      </c>
      <c r="D2449" s="308" t="s">
        <v>1711</v>
      </c>
      <c r="E2449" s="305" t="s">
        <v>11712</v>
      </c>
      <c r="F2449" s="309" t="s">
        <v>14729</v>
      </c>
      <c r="G2449" s="236"/>
      <c r="H2449" s="307" t="s">
        <v>1420</v>
      </c>
      <c r="I2449" s="237"/>
      <c r="J2449" s="237"/>
      <c r="K2449" s="310" t="s">
        <v>11710</v>
      </c>
      <c r="L2449" s="237"/>
      <c r="M2449" s="237"/>
      <c r="N2449" s="237"/>
      <c r="O2449" s="237"/>
      <c r="P2449" s="237"/>
      <c r="Q2449" s="237"/>
      <c r="R2449" s="237"/>
      <c r="S2449" s="237"/>
      <c r="T2449" s="237"/>
      <c r="U2449" s="237"/>
      <c r="V2449" s="237"/>
      <c r="W2449" s="237"/>
      <c r="X2449" s="237"/>
      <c r="Y2449" s="237"/>
      <c r="Z2449" s="237"/>
    </row>
    <row r="2450">
      <c r="A2450" s="305">
        <v>2449.0</v>
      </c>
      <c r="B2450" s="236"/>
      <c r="C2450" s="307" t="s">
        <v>1420</v>
      </c>
      <c r="D2450" s="308" t="s">
        <v>11728</v>
      </c>
      <c r="E2450" s="305" t="s">
        <v>11729</v>
      </c>
      <c r="F2450" s="309" t="s">
        <v>14730</v>
      </c>
      <c r="G2450" s="236"/>
      <c r="H2450" s="307" t="s">
        <v>1420</v>
      </c>
      <c r="I2450" s="237"/>
      <c r="J2450" s="237"/>
      <c r="K2450" s="310" t="s">
        <v>11726</v>
      </c>
      <c r="L2450" s="237"/>
      <c r="M2450" s="237"/>
      <c r="N2450" s="237"/>
      <c r="O2450" s="237"/>
      <c r="P2450" s="237"/>
      <c r="Q2450" s="237"/>
      <c r="R2450" s="237"/>
      <c r="S2450" s="237"/>
      <c r="T2450" s="237"/>
      <c r="U2450" s="237"/>
      <c r="V2450" s="237"/>
      <c r="W2450" s="237"/>
      <c r="X2450" s="237"/>
      <c r="Y2450" s="237"/>
      <c r="Z2450" s="237"/>
    </row>
    <row r="2451">
      <c r="A2451" s="305">
        <v>2450.0</v>
      </c>
      <c r="B2451" s="236"/>
      <c r="C2451" s="307" t="s">
        <v>1420</v>
      </c>
      <c r="D2451" s="308" t="s">
        <v>1714</v>
      </c>
      <c r="E2451" s="305" t="s">
        <v>11724</v>
      </c>
      <c r="F2451" s="309" t="s">
        <v>14731</v>
      </c>
      <c r="G2451" s="236"/>
      <c r="H2451" s="307" t="s">
        <v>1420</v>
      </c>
      <c r="I2451" s="237"/>
      <c r="J2451" s="237"/>
      <c r="K2451" s="310" t="s">
        <v>11722</v>
      </c>
      <c r="L2451" s="237"/>
      <c r="M2451" s="237"/>
      <c r="N2451" s="237"/>
      <c r="O2451" s="237"/>
      <c r="P2451" s="237"/>
      <c r="Q2451" s="237"/>
      <c r="R2451" s="237"/>
      <c r="S2451" s="237"/>
      <c r="T2451" s="237"/>
      <c r="U2451" s="237"/>
      <c r="V2451" s="237"/>
      <c r="W2451" s="237"/>
      <c r="X2451" s="237"/>
      <c r="Y2451" s="237"/>
      <c r="Z2451" s="237"/>
    </row>
    <row r="2452">
      <c r="A2452" s="305">
        <v>2451.0</v>
      </c>
      <c r="B2452" s="236"/>
      <c r="C2452" s="307" t="s">
        <v>1420</v>
      </c>
      <c r="D2452" s="308" t="s">
        <v>1713</v>
      </c>
      <c r="E2452" s="305" t="s">
        <v>11720</v>
      </c>
      <c r="F2452" s="309" t="s">
        <v>14732</v>
      </c>
      <c r="G2452" s="236"/>
      <c r="H2452" s="307" t="s">
        <v>1420</v>
      </c>
      <c r="I2452" s="237"/>
      <c r="J2452" s="237"/>
      <c r="K2452" s="310" t="s">
        <v>11718</v>
      </c>
      <c r="L2452" s="237"/>
      <c r="M2452" s="237"/>
      <c r="N2452" s="237"/>
      <c r="O2452" s="237"/>
      <c r="P2452" s="237"/>
      <c r="Q2452" s="237"/>
      <c r="R2452" s="237"/>
      <c r="S2452" s="237"/>
      <c r="T2452" s="237"/>
      <c r="U2452" s="237"/>
      <c r="V2452" s="237"/>
      <c r="W2452" s="237"/>
      <c r="X2452" s="237"/>
      <c r="Y2452" s="237"/>
      <c r="Z2452" s="237"/>
    </row>
    <row r="2453">
      <c r="A2453" s="305">
        <v>2452.0</v>
      </c>
      <c r="B2453" s="306">
        <v>482777.0</v>
      </c>
      <c r="C2453" s="307" t="s">
        <v>1420</v>
      </c>
      <c r="D2453" s="308" t="s">
        <v>10758</v>
      </c>
      <c r="E2453" s="305" t="s">
        <v>10759</v>
      </c>
      <c r="F2453" s="309" t="s">
        <v>10760</v>
      </c>
      <c r="G2453" s="236"/>
      <c r="H2453" s="307" t="s">
        <v>1420</v>
      </c>
      <c r="I2453" s="237"/>
      <c r="J2453" s="237"/>
      <c r="K2453" s="310" t="s">
        <v>10757</v>
      </c>
      <c r="L2453" s="237"/>
      <c r="M2453" s="237"/>
      <c r="N2453" s="237"/>
      <c r="O2453" s="237"/>
      <c r="P2453" s="237"/>
      <c r="Q2453" s="237"/>
      <c r="R2453" s="237"/>
      <c r="S2453" s="237"/>
      <c r="T2453" s="237"/>
      <c r="U2453" s="237"/>
      <c r="V2453" s="237"/>
      <c r="W2453" s="237"/>
      <c r="X2453" s="237"/>
      <c r="Y2453" s="237"/>
      <c r="Z2453" s="237"/>
    </row>
    <row r="2454">
      <c r="A2454" s="305">
        <v>2453.0</v>
      </c>
      <c r="B2454" s="306">
        <v>482776.0</v>
      </c>
      <c r="C2454" s="307" t="s">
        <v>1420</v>
      </c>
      <c r="D2454" s="308" t="s">
        <v>10754</v>
      </c>
      <c r="E2454" s="305" t="s">
        <v>10755</v>
      </c>
      <c r="F2454" s="309" t="s">
        <v>10756</v>
      </c>
      <c r="G2454" s="236"/>
      <c r="H2454" s="307" t="s">
        <v>1420</v>
      </c>
      <c r="I2454" s="237"/>
      <c r="J2454" s="237"/>
      <c r="K2454" s="310" t="s">
        <v>10753</v>
      </c>
      <c r="L2454" s="237"/>
      <c r="M2454" s="237"/>
      <c r="N2454" s="237"/>
      <c r="O2454" s="237"/>
      <c r="P2454" s="237"/>
      <c r="Q2454" s="237"/>
      <c r="R2454" s="237"/>
      <c r="S2454" s="237"/>
      <c r="T2454" s="237"/>
      <c r="U2454" s="237"/>
      <c r="V2454" s="237"/>
      <c r="W2454" s="237"/>
      <c r="X2454" s="237"/>
      <c r="Y2454" s="237"/>
      <c r="Z2454" s="237"/>
    </row>
    <row r="2455">
      <c r="A2455" s="305">
        <v>2454.0</v>
      </c>
      <c r="B2455" s="306">
        <v>482775.0</v>
      </c>
      <c r="C2455" s="307" t="s">
        <v>1420</v>
      </c>
      <c r="D2455" s="308" t="s">
        <v>10749</v>
      </c>
      <c r="E2455" s="305" t="s">
        <v>10750</v>
      </c>
      <c r="F2455" s="309" t="s">
        <v>10751</v>
      </c>
      <c r="G2455" s="236"/>
      <c r="H2455" s="307" t="s">
        <v>1420</v>
      </c>
      <c r="I2455" s="237"/>
      <c r="J2455" s="237"/>
      <c r="K2455" s="310" t="s">
        <v>10748</v>
      </c>
      <c r="L2455" s="237"/>
      <c r="M2455" s="237"/>
      <c r="N2455" s="237"/>
      <c r="O2455" s="237"/>
      <c r="P2455" s="237"/>
      <c r="Q2455" s="237"/>
      <c r="R2455" s="237"/>
      <c r="S2455" s="237"/>
      <c r="T2455" s="237"/>
      <c r="U2455" s="237"/>
      <c r="V2455" s="237"/>
      <c r="W2455" s="237"/>
      <c r="X2455" s="237"/>
      <c r="Y2455" s="237"/>
      <c r="Z2455" s="237"/>
    </row>
    <row r="2456">
      <c r="A2456" s="305">
        <v>2455.0</v>
      </c>
      <c r="B2456" s="306">
        <v>482880.0</v>
      </c>
      <c r="C2456" s="307" t="s">
        <v>1420</v>
      </c>
      <c r="D2456" s="308" t="s">
        <v>10740</v>
      </c>
      <c r="E2456" s="305" t="s">
        <v>10741</v>
      </c>
      <c r="F2456" s="309" t="s">
        <v>10742</v>
      </c>
      <c r="G2456" s="236"/>
      <c r="H2456" s="307" t="s">
        <v>1420</v>
      </c>
      <c r="I2456" s="237"/>
      <c r="J2456" s="237"/>
      <c r="K2456" s="310" t="s">
        <v>10739</v>
      </c>
      <c r="L2456" s="237"/>
      <c r="M2456" s="237"/>
      <c r="N2456" s="237"/>
      <c r="O2456" s="237"/>
      <c r="P2456" s="237"/>
      <c r="Q2456" s="237"/>
      <c r="R2456" s="237"/>
      <c r="S2456" s="237"/>
      <c r="T2456" s="237"/>
      <c r="U2456" s="237"/>
      <c r="V2456" s="237"/>
      <c r="W2456" s="237"/>
      <c r="X2456" s="237"/>
      <c r="Y2456" s="237"/>
      <c r="Z2456" s="237"/>
    </row>
    <row r="2457">
      <c r="A2457" s="305">
        <v>2456.0</v>
      </c>
      <c r="B2457" s="306">
        <v>482887.0</v>
      </c>
      <c r="C2457" s="307" t="s">
        <v>1420</v>
      </c>
      <c r="D2457" s="308" t="s">
        <v>10768</v>
      </c>
      <c r="E2457" s="305" t="s">
        <v>10769</v>
      </c>
      <c r="F2457" s="309" t="s">
        <v>10770</v>
      </c>
      <c r="G2457" s="236"/>
      <c r="H2457" s="307" t="s">
        <v>1420</v>
      </c>
      <c r="I2457" s="237"/>
      <c r="J2457" s="237"/>
      <c r="K2457" s="310" t="s">
        <v>10767</v>
      </c>
      <c r="L2457" s="237"/>
      <c r="M2457" s="237"/>
      <c r="N2457" s="237"/>
      <c r="O2457" s="237"/>
      <c r="P2457" s="237"/>
      <c r="Q2457" s="237"/>
      <c r="R2457" s="237"/>
      <c r="S2457" s="237"/>
      <c r="T2457" s="237"/>
      <c r="U2457" s="237"/>
      <c r="V2457" s="237"/>
      <c r="W2457" s="237"/>
      <c r="X2457" s="237"/>
      <c r="Y2457" s="237"/>
      <c r="Z2457" s="237"/>
    </row>
    <row r="2458">
      <c r="A2458" s="305">
        <v>2457.0</v>
      </c>
      <c r="B2458" s="306">
        <v>482886.0</v>
      </c>
      <c r="C2458" s="307" t="s">
        <v>1420</v>
      </c>
      <c r="D2458" s="308" t="s">
        <v>10763</v>
      </c>
      <c r="E2458" s="305" t="s">
        <v>10764</v>
      </c>
      <c r="F2458" s="309" t="s">
        <v>10765</v>
      </c>
      <c r="G2458" s="236"/>
      <c r="H2458" s="307" t="s">
        <v>1420</v>
      </c>
      <c r="I2458" s="237"/>
      <c r="J2458" s="237"/>
      <c r="K2458" s="310" t="s">
        <v>10762</v>
      </c>
      <c r="L2458" s="237"/>
      <c r="M2458" s="237"/>
      <c r="N2458" s="237"/>
      <c r="O2458" s="237"/>
      <c r="P2458" s="237"/>
      <c r="Q2458" s="237"/>
      <c r="R2458" s="237"/>
      <c r="S2458" s="237"/>
      <c r="T2458" s="237"/>
      <c r="U2458" s="237"/>
      <c r="V2458" s="237"/>
      <c r="W2458" s="237"/>
      <c r="X2458" s="237"/>
      <c r="Y2458" s="237"/>
      <c r="Z2458" s="237"/>
    </row>
    <row r="2459">
      <c r="A2459" s="305">
        <v>2458.0</v>
      </c>
      <c r="B2459" s="306">
        <v>482888.0</v>
      </c>
      <c r="C2459" s="307" t="s">
        <v>1420</v>
      </c>
      <c r="D2459" s="308" t="s">
        <v>10773</v>
      </c>
      <c r="E2459" s="305" t="s">
        <v>10774</v>
      </c>
      <c r="F2459" s="309" t="s">
        <v>10775</v>
      </c>
      <c r="G2459" s="236"/>
      <c r="H2459" s="307" t="s">
        <v>1420</v>
      </c>
      <c r="I2459" s="237"/>
      <c r="J2459" s="237"/>
      <c r="K2459" s="310" t="s">
        <v>10772</v>
      </c>
      <c r="L2459" s="237"/>
      <c r="M2459" s="237"/>
      <c r="N2459" s="237"/>
      <c r="O2459" s="237"/>
      <c r="P2459" s="237"/>
      <c r="Q2459" s="237"/>
      <c r="R2459" s="237"/>
      <c r="S2459" s="237"/>
      <c r="T2459" s="237"/>
      <c r="U2459" s="237"/>
      <c r="V2459" s="237"/>
      <c r="W2459" s="237"/>
      <c r="X2459" s="237"/>
      <c r="Y2459" s="237"/>
      <c r="Z2459" s="237"/>
    </row>
    <row r="2460">
      <c r="A2460" s="305">
        <v>2459.0</v>
      </c>
      <c r="B2460" s="236"/>
      <c r="C2460" s="307" t="s">
        <v>1420</v>
      </c>
      <c r="D2460" s="308" t="s">
        <v>1332</v>
      </c>
      <c r="E2460" s="305" t="s">
        <v>12746</v>
      </c>
      <c r="F2460" s="236"/>
      <c r="G2460" s="236"/>
      <c r="H2460" s="307" t="s">
        <v>1420</v>
      </c>
      <c r="I2460" s="237"/>
      <c r="J2460" s="237"/>
      <c r="K2460" s="310" t="s">
        <v>12745</v>
      </c>
      <c r="L2460" s="237"/>
      <c r="M2460" s="237"/>
      <c r="N2460" s="237"/>
      <c r="O2460" s="237"/>
      <c r="P2460" s="237"/>
      <c r="Q2460" s="237"/>
      <c r="R2460" s="237"/>
      <c r="S2460" s="237"/>
      <c r="T2460" s="237"/>
      <c r="U2460" s="237"/>
      <c r="V2460" s="237"/>
      <c r="W2460" s="237"/>
      <c r="X2460" s="237"/>
      <c r="Y2460" s="237"/>
      <c r="Z2460" s="237"/>
    </row>
    <row r="2461">
      <c r="A2461" s="305">
        <v>2460.0</v>
      </c>
      <c r="B2461" s="306" t="s">
        <v>1956</v>
      </c>
      <c r="C2461" s="311" t="s">
        <v>1420</v>
      </c>
      <c r="D2461" s="308" t="s">
        <v>1892</v>
      </c>
      <c r="E2461" s="104" t="s">
        <v>14733</v>
      </c>
      <c r="F2461" s="309" t="s">
        <v>14734</v>
      </c>
      <c r="G2461" s="236"/>
      <c r="H2461" s="311" t="s">
        <v>1420</v>
      </c>
      <c r="I2461" s="237"/>
      <c r="J2461" s="237"/>
      <c r="K2461" s="310" t="s">
        <v>13881</v>
      </c>
      <c r="L2461" s="237"/>
      <c r="M2461" s="237"/>
      <c r="N2461" s="237"/>
      <c r="O2461" s="237"/>
      <c r="P2461" s="237"/>
      <c r="Q2461" s="237"/>
      <c r="R2461" s="237"/>
      <c r="S2461" s="237"/>
      <c r="T2461" s="237"/>
      <c r="U2461" s="237"/>
      <c r="V2461" s="237"/>
      <c r="W2461" s="237"/>
      <c r="X2461" s="237"/>
      <c r="Y2461" s="237"/>
      <c r="Z2461" s="237"/>
    </row>
    <row r="2462">
      <c r="A2462" s="305">
        <v>2461.0</v>
      </c>
      <c r="B2462" s="306" t="s">
        <v>1959</v>
      </c>
      <c r="C2462" s="307" t="s">
        <v>1420</v>
      </c>
      <c r="D2462" s="308" t="s">
        <v>1894</v>
      </c>
      <c r="E2462" s="104" t="s">
        <v>14735</v>
      </c>
      <c r="F2462" s="309" t="s">
        <v>14736</v>
      </c>
      <c r="G2462" s="236"/>
      <c r="H2462" s="307" t="s">
        <v>1420</v>
      </c>
      <c r="I2462" s="237"/>
      <c r="J2462" s="237"/>
      <c r="K2462" s="310" t="s">
        <v>13883</v>
      </c>
      <c r="L2462" s="237"/>
      <c r="M2462" s="237"/>
      <c r="N2462" s="237"/>
      <c r="O2462" s="237"/>
      <c r="P2462" s="237"/>
      <c r="Q2462" s="237"/>
      <c r="R2462" s="237"/>
      <c r="S2462" s="237"/>
      <c r="T2462" s="237"/>
      <c r="U2462" s="237"/>
      <c r="V2462" s="237"/>
      <c r="W2462" s="237"/>
      <c r="X2462" s="237"/>
      <c r="Y2462" s="237"/>
      <c r="Z2462" s="237"/>
    </row>
    <row r="2463">
      <c r="A2463" s="305">
        <v>2462.0</v>
      </c>
      <c r="B2463" s="306" t="s">
        <v>1954</v>
      </c>
      <c r="C2463" s="311" t="s">
        <v>1420</v>
      </c>
      <c r="D2463" s="308" t="s">
        <v>1955</v>
      </c>
      <c r="E2463" s="104" t="s">
        <v>14737</v>
      </c>
      <c r="F2463" s="309" t="s">
        <v>14738</v>
      </c>
      <c r="G2463" s="236"/>
      <c r="H2463" s="311" t="s">
        <v>1420</v>
      </c>
      <c r="I2463" s="237"/>
      <c r="J2463" s="237"/>
      <c r="K2463" s="310" t="s">
        <v>13880</v>
      </c>
      <c r="L2463" s="237"/>
      <c r="M2463" s="237"/>
      <c r="N2463" s="237"/>
      <c r="O2463" s="237"/>
      <c r="P2463" s="237"/>
      <c r="Q2463" s="237"/>
      <c r="R2463" s="237"/>
      <c r="S2463" s="237"/>
      <c r="T2463" s="237"/>
      <c r="U2463" s="237"/>
      <c r="V2463" s="237"/>
      <c r="W2463" s="237"/>
      <c r="X2463" s="237"/>
      <c r="Y2463" s="237"/>
      <c r="Z2463" s="237"/>
    </row>
    <row r="2464">
      <c r="A2464" s="305">
        <v>2463.0</v>
      </c>
      <c r="B2464" s="236"/>
      <c r="C2464" s="307" t="s">
        <v>1420</v>
      </c>
      <c r="D2464" s="308" t="s">
        <v>1709</v>
      </c>
      <c r="E2464" s="305" t="s">
        <v>11704</v>
      </c>
      <c r="F2464" s="309" t="s">
        <v>11705</v>
      </c>
      <c r="G2464" s="236"/>
      <c r="H2464" s="307" t="s">
        <v>1420</v>
      </c>
      <c r="I2464" s="237"/>
      <c r="J2464" s="237"/>
      <c r="K2464" s="310" t="s">
        <v>11702</v>
      </c>
      <c r="L2464" s="237"/>
      <c r="M2464" s="237"/>
      <c r="N2464" s="237"/>
      <c r="O2464" s="237"/>
      <c r="P2464" s="237"/>
      <c r="Q2464" s="237"/>
      <c r="R2464" s="237"/>
      <c r="S2464" s="237"/>
      <c r="T2464" s="237"/>
      <c r="U2464" s="237"/>
      <c r="V2464" s="237"/>
      <c r="W2464" s="237"/>
      <c r="X2464" s="237"/>
      <c r="Y2464" s="237"/>
      <c r="Z2464" s="237"/>
    </row>
    <row r="2465">
      <c r="A2465" s="305">
        <v>2464.0</v>
      </c>
      <c r="B2465" s="236"/>
      <c r="C2465" s="307" t="s">
        <v>1420</v>
      </c>
      <c r="D2465" s="308" t="s">
        <v>1707</v>
      </c>
      <c r="E2465" s="305" t="s">
        <v>11694</v>
      </c>
      <c r="F2465" s="309" t="s">
        <v>11695</v>
      </c>
      <c r="G2465" s="236"/>
      <c r="H2465" s="307" t="s">
        <v>1420</v>
      </c>
      <c r="I2465" s="237"/>
      <c r="J2465" s="237"/>
      <c r="K2465" s="310" t="s">
        <v>11692</v>
      </c>
      <c r="L2465" s="237"/>
      <c r="M2465" s="237"/>
      <c r="N2465" s="237"/>
      <c r="O2465" s="237"/>
      <c r="P2465" s="237"/>
      <c r="Q2465" s="237"/>
      <c r="R2465" s="237"/>
      <c r="S2465" s="237"/>
      <c r="T2465" s="237"/>
      <c r="U2465" s="237"/>
      <c r="V2465" s="237"/>
      <c r="W2465" s="237"/>
      <c r="X2465" s="237"/>
      <c r="Y2465" s="237"/>
      <c r="Z2465" s="237"/>
    </row>
    <row r="2466">
      <c r="A2466" s="305">
        <v>2465.0</v>
      </c>
      <c r="B2466" s="236"/>
      <c r="C2466" s="307" t="s">
        <v>1420</v>
      </c>
      <c r="D2466" s="308" t="s">
        <v>1710</v>
      </c>
      <c r="E2466" s="305" t="s">
        <v>11708</v>
      </c>
      <c r="F2466" s="309" t="s">
        <v>14164</v>
      </c>
      <c r="G2466" s="236"/>
      <c r="H2466" s="307" t="s">
        <v>1420</v>
      </c>
      <c r="I2466" s="237"/>
      <c r="J2466" s="237"/>
      <c r="K2466" s="310" t="s">
        <v>11706</v>
      </c>
      <c r="L2466" s="237"/>
      <c r="M2466" s="237"/>
      <c r="N2466" s="237"/>
      <c r="O2466" s="237"/>
      <c r="P2466" s="237"/>
      <c r="Q2466" s="237"/>
      <c r="R2466" s="237"/>
      <c r="S2466" s="237"/>
      <c r="T2466" s="237"/>
      <c r="U2466" s="237"/>
      <c r="V2466" s="237"/>
      <c r="W2466" s="237"/>
      <c r="X2466" s="237"/>
      <c r="Y2466" s="237"/>
      <c r="Z2466" s="237"/>
    </row>
    <row r="2467">
      <c r="A2467" s="305">
        <v>2466.0</v>
      </c>
      <c r="B2467" s="236"/>
      <c r="C2467" s="307" t="s">
        <v>1420</v>
      </c>
      <c r="D2467" s="308" t="s">
        <v>1708</v>
      </c>
      <c r="E2467" s="305" t="s">
        <v>11700</v>
      </c>
      <c r="F2467" s="309" t="s">
        <v>14739</v>
      </c>
      <c r="G2467" s="236"/>
      <c r="H2467" s="307" t="s">
        <v>1420</v>
      </c>
      <c r="I2467" s="237"/>
      <c r="J2467" s="237"/>
      <c r="K2467" s="310" t="s">
        <v>11698</v>
      </c>
      <c r="L2467" s="237"/>
      <c r="M2467" s="237"/>
      <c r="N2467" s="237"/>
      <c r="O2467" s="237"/>
      <c r="P2467" s="237"/>
      <c r="Q2467" s="237"/>
      <c r="R2467" s="237"/>
      <c r="S2467" s="237"/>
      <c r="T2467" s="237"/>
      <c r="U2467" s="237"/>
      <c r="V2467" s="237"/>
      <c r="W2467" s="237"/>
      <c r="X2467" s="237"/>
      <c r="Y2467" s="237"/>
      <c r="Z2467" s="237"/>
    </row>
    <row r="2468">
      <c r="A2468" s="305">
        <v>2467.0</v>
      </c>
      <c r="B2468" s="306">
        <v>482889.0</v>
      </c>
      <c r="C2468" s="307" t="s">
        <v>1420</v>
      </c>
      <c r="D2468" s="308" t="s">
        <v>10745</v>
      </c>
      <c r="E2468" s="305" t="s">
        <v>10746</v>
      </c>
      <c r="F2468" s="309" t="s">
        <v>10747</v>
      </c>
      <c r="G2468" s="236"/>
      <c r="H2468" s="307" t="s">
        <v>1420</v>
      </c>
      <c r="I2468" s="237"/>
      <c r="J2468" s="237"/>
      <c r="K2468" s="310" t="s">
        <v>10744</v>
      </c>
      <c r="L2468" s="237"/>
      <c r="M2468" s="237"/>
      <c r="N2468" s="237"/>
      <c r="O2468" s="237"/>
      <c r="P2468" s="237"/>
      <c r="Q2468" s="237"/>
      <c r="R2468" s="237"/>
      <c r="S2468" s="237"/>
      <c r="T2468" s="237"/>
      <c r="U2468" s="237"/>
      <c r="V2468" s="237"/>
      <c r="W2468" s="237"/>
      <c r="X2468" s="237"/>
      <c r="Y2468" s="237"/>
      <c r="Z2468" s="237"/>
    </row>
    <row r="2469">
      <c r="A2469" s="305">
        <v>2468.0</v>
      </c>
      <c r="B2469" s="236"/>
      <c r="C2469" s="307" t="s">
        <v>1420</v>
      </c>
      <c r="D2469" s="308" t="s">
        <v>1691</v>
      </c>
      <c r="E2469" s="305" t="s">
        <v>13614</v>
      </c>
      <c r="F2469" s="309" t="s">
        <v>14740</v>
      </c>
      <c r="G2469" s="236"/>
      <c r="H2469" s="307" t="s">
        <v>1420</v>
      </c>
      <c r="I2469" s="237"/>
      <c r="J2469" s="237"/>
      <c r="K2469" s="310" t="s">
        <v>13613</v>
      </c>
      <c r="L2469" s="237"/>
      <c r="M2469" s="237"/>
      <c r="N2469" s="237"/>
      <c r="O2469" s="237"/>
      <c r="P2469" s="237"/>
      <c r="Q2469" s="237"/>
      <c r="R2469" s="237"/>
      <c r="S2469" s="237"/>
      <c r="T2469" s="237"/>
      <c r="U2469" s="237"/>
      <c r="V2469" s="237"/>
      <c r="W2469" s="237"/>
      <c r="X2469" s="237"/>
      <c r="Y2469" s="237"/>
      <c r="Z2469" s="237"/>
    </row>
    <row r="2470">
      <c r="A2470" s="305">
        <v>2469.0</v>
      </c>
      <c r="B2470" s="236"/>
      <c r="C2470" s="307" t="s">
        <v>1420</v>
      </c>
      <c r="D2470" s="308" t="s">
        <v>1690</v>
      </c>
      <c r="E2470" s="305" t="s">
        <v>13611</v>
      </c>
      <c r="F2470" s="309" t="s">
        <v>14741</v>
      </c>
      <c r="G2470" s="236"/>
      <c r="H2470" s="307" t="s">
        <v>1420</v>
      </c>
      <c r="I2470" s="237"/>
      <c r="J2470" s="237"/>
      <c r="K2470" s="310" t="s">
        <v>13610</v>
      </c>
      <c r="L2470" s="237"/>
      <c r="M2470" s="237"/>
      <c r="N2470" s="237"/>
      <c r="O2470" s="237"/>
      <c r="P2470" s="237"/>
      <c r="Q2470" s="237"/>
      <c r="R2470" s="237"/>
      <c r="S2470" s="237"/>
      <c r="T2470" s="237"/>
      <c r="U2470" s="237"/>
      <c r="V2470" s="237"/>
      <c r="W2470" s="237"/>
      <c r="X2470" s="237"/>
      <c r="Y2470" s="237"/>
      <c r="Z2470" s="237"/>
    </row>
    <row r="2471">
      <c r="A2471" s="305">
        <v>2470.0</v>
      </c>
      <c r="B2471" s="236"/>
      <c r="C2471" s="307" t="s">
        <v>14007</v>
      </c>
      <c r="D2471" s="308" t="s">
        <v>1688</v>
      </c>
      <c r="E2471" s="305" t="s">
        <v>13606</v>
      </c>
      <c r="F2471" s="236"/>
      <c r="G2471" s="236"/>
      <c r="H2471" s="307" t="s">
        <v>14007</v>
      </c>
      <c r="I2471" s="237"/>
      <c r="J2471" s="237"/>
      <c r="K2471" s="310" t="s">
        <v>13605</v>
      </c>
      <c r="L2471" s="237"/>
      <c r="M2471" s="237"/>
      <c r="N2471" s="237"/>
      <c r="O2471" s="237"/>
      <c r="P2471" s="237"/>
      <c r="Q2471" s="237"/>
      <c r="R2471" s="237"/>
      <c r="S2471" s="237"/>
      <c r="T2471" s="237"/>
      <c r="U2471" s="237"/>
      <c r="V2471" s="237"/>
      <c r="W2471" s="237"/>
      <c r="X2471" s="237"/>
      <c r="Y2471" s="237"/>
      <c r="Z2471" s="237"/>
    </row>
    <row r="2472">
      <c r="A2472" s="305">
        <v>2471.0</v>
      </c>
      <c r="B2472" s="236"/>
      <c r="C2472" s="307" t="s">
        <v>1420</v>
      </c>
      <c r="D2472" s="308" t="s">
        <v>1692</v>
      </c>
      <c r="E2472" s="305" t="s">
        <v>13617</v>
      </c>
      <c r="F2472" s="309" t="s">
        <v>14742</v>
      </c>
      <c r="G2472" s="236"/>
      <c r="H2472" s="307" t="s">
        <v>1420</v>
      </c>
      <c r="I2472" s="237"/>
      <c r="J2472" s="237"/>
      <c r="K2472" s="310" t="s">
        <v>13616</v>
      </c>
      <c r="L2472" s="237"/>
      <c r="M2472" s="237"/>
      <c r="N2472" s="237"/>
      <c r="O2472" s="237"/>
      <c r="P2472" s="237"/>
      <c r="Q2472" s="237"/>
      <c r="R2472" s="237"/>
      <c r="S2472" s="237"/>
      <c r="T2472" s="237"/>
      <c r="U2472" s="237"/>
      <c r="V2472" s="237"/>
      <c r="W2472" s="237"/>
      <c r="X2472" s="237"/>
      <c r="Y2472" s="237"/>
      <c r="Z2472" s="237"/>
    </row>
    <row r="2473">
      <c r="A2473" s="305">
        <v>2472.0</v>
      </c>
      <c r="B2473" s="236"/>
      <c r="C2473" s="307" t="s">
        <v>1420</v>
      </c>
      <c r="D2473" s="308" t="s">
        <v>1689</v>
      </c>
      <c r="E2473" s="305" t="s">
        <v>13608</v>
      </c>
      <c r="F2473" s="309" t="s">
        <v>14743</v>
      </c>
      <c r="G2473" s="236"/>
      <c r="H2473" s="307" t="s">
        <v>1420</v>
      </c>
      <c r="I2473" s="237"/>
      <c r="J2473" s="237"/>
      <c r="K2473" s="310" t="s">
        <v>13607</v>
      </c>
      <c r="L2473" s="237"/>
      <c r="M2473" s="237"/>
      <c r="N2473" s="237"/>
      <c r="O2473" s="237"/>
      <c r="P2473" s="237"/>
      <c r="Q2473" s="237"/>
      <c r="R2473" s="237"/>
      <c r="S2473" s="237"/>
      <c r="T2473" s="237"/>
      <c r="U2473" s="237"/>
      <c r="V2473" s="237"/>
      <c r="W2473" s="237"/>
      <c r="X2473" s="237"/>
      <c r="Y2473" s="237"/>
      <c r="Z2473" s="237"/>
    </row>
    <row r="2474">
      <c r="A2474" s="305">
        <v>2473.0</v>
      </c>
      <c r="B2474" s="236"/>
      <c r="C2474" s="307" t="s">
        <v>14007</v>
      </c>
      <c r="D2474" s="308" t="s">
        <v>1687</v>
      </c>
      <c r="E2474" s="305" t="s">
        <v>13604</v>
      </c>
      <c r="F2474" s="236"/>
      <c r="G2474" s="236"/>
      <c r="H2474" s="307" t="s">
        <v>14007</v>
      </c>
      <c r="I2474" s="237"/>
      <c r="J2474" s="237"/>
      <c r="K2474" s="310" t="s">
        <v>13603</v>
      </c>
      <c r="L2474" s="237"/>
      <c r="M2474" s="237"/>
      <c r="N2474" s="237"/>
      <c r="O2474" s="237"/>
      <c r="P2474" s="237"/>
      <c r="Q2474" s="237"/>
      <c r="R2474" s="237"/>
      <c r="S2474" s="237"/>
      <c r="T2474" s="237"/>
      <c r="U2474" s="237"/>
      <c r="V2474" s="237"/>
      <c r="W2474" s="237"/>
      <c r="X2474" s="237"/>
      <c r="Y2474" s="237"/>
      <c r="Z2474" s="237"/>
    </row>
    <row r="2475">
      <c r="A2475" s="305">
        <v>2474.0</v>
      </c>
      <c r="B2475" s="236"/>
      <c r="C2475" s="307" t="s">
        <v>1420</v>
      </c>
      <c r="D2475" s="308" t="s">
        <v>8641</v>
      </c>
      <c r="E2475" s="305" t="s">
        <v>8642</v>
      </c>
      <c r="F2475" s="236"/>
      <c r="G2475" s="236"/>
      <c r="H2475" s="307" t="s">
        <v>1420</v>
      </c>
      <c r="I2475" s="237"/>
      <c r="J2475" s="237"/>
      <c r="K2475" s="310" t="s">
        <v>8640</v>
      </c>
      <c r="L2475" s="237"/>
      <c r="M2475" s="237"/>
      <c r="N2475" s="237"/>
      <c r="O2475" s="237"/>
      <c r="P2475" s="237"/>
      <c r="Q2475" s="237"/>
      <c r="R2475" s="237"/>
      <c r="S2475" s="237"/>
      <c r="T2475" s="237"/>
      <c r="U2475" s="237"/>
      <c r="V2475" s="237"/>
      <c r="W2475" s="237"/>
      <c r="X2475" s="237"/>
      <c r="Y2475" s="237"/>
      <c r="Z2475" s="237"/>
    </row>
    <row r="2476">
      <c r="A2476" s="305">
        <v>2475.0</v>
      </c>
      <c r="B2476" s="236"/>
      <c r="C2476" s="307" t="s">
        <v>1420</v>
      </c>
      <c r="D2476" s="308" t="s">
        <v>8617</v>
      </c>
      <c r="E2476" s="305" t="s">
        <v>8618</v>
      </c>
      <c r="F2476" s="236"/>
      <c r="G2476" s="236"/>
      <c r="H2476" s="307" t="s">
        <v>1420</v>
      </c>
      <c r="I2476" s="237"/>
      <c r="J2476" s="237"/>
      <c r="K2476" s="310" t="s">
        <v>8616</v>
      </c>
      <c r="L2476" s="237"/>
      <c r="M2476" s="237"/>
      <c r="N2476" s="237"/>
      <c r="O2476" s="237"/>
      <c r="P2476" s="237"/>
      <c r="Q2476" s="237"/>
      <c r="R2476" s="237"/>
      <c r="S2476" s="237"/>
      <c r="T2476" s="237"/>
      <c r="U2476" s="237"/>
      <c r="V2476" s="237"/>
      <c r="W2476" s="237"/>
      <c r="X2476" s="237"/>
      <c r="Y2476" s="237"/>
      <c r="Z2476" s="237"/>
    </row>
    <row r="2477">
      <c r="A2477" s="305">
        <v>2476.0</v>
      </c>
      <c r="B2477" s="306">
        <v>1008037.0</v>
      </c>
      <c r="C2477" s="307" t="s">
        <v>1420</v>
      </c>
      <c r="D2477" s="308" t="s">
        <v>8621</v>
      </c>
      <c r="E2477" s="305" t="s">
        <v>8622</v>
      </c>
      <c r="F2477" s="236"/>
      <c r="G2477" s="236"/>
      <c r="H2477" s="307" t="s">
        <v>1420</v>
      </c>
      <c r="I2477" s="237"/>
      <c r="J2477" s="237"/>
      <c r="K2477" s="310" t="s">
        <v>8620</v>
      </c>
      <c r="L2477" s="237"/>
      <c r="M2477" s="237"/>
      <c r="N2477" s="237"/>
      <c r="O2477" s="237"/>
      <c r="P2477" s="237"/>
      <c r="Q2477" s="237"/>
      <c r="R2477" s="237"/>
      <c r="S2477" s="237"/>
      <c r="T2477" s="237"/>
      <c r="U2477" s="237"/>
      <c r="V2477" s="237"/>
      <c r="W2477" s="237"/>
      <c r="X2477" s="237"/>
      <c r="Y2477" s="237"/>
      <c r="Z2477" s="237"/>
    </row>
    <row r="2478">
      <c r="A2478" s="305">
        <v>2477.0</v>
      </c>
      <c r="B2478" s="306">
        <v>1008063.0</v>
      </c>
      <c r="C2478" s="307" t="s">
        <v>1420</v>
      </c>
      <c r="D2478" s="308" t="s">
        <v>8645</v>
      </c>
      <c r="E2478" s="305" t="s">
        <v>8646</v>
      </c>
      <c r="F2478" s="236"/>
      <c r="G2478" s="236"/>
      <c r="H2478" s="307" t="s">
        <v>1420</v>
      </c>
      <c r="I2478" s="237"/>
      <c r="J2478" s="237"/>
      <c r="K2478" s="310" t="s">
        <v>8644</v>
      </c>
      <c r="L2478" s="237"/>
      <c r="M2478" s="237"/>
      <c r="N2478" s="237"/>
      <c r="O2478" s="237"/>
      <c r="P2478" s="237"/>
      <c r="Q2478" s="237"/>
      <c r="R2478" s="237"/>
      <c r="S2478" s="237"/>
      <c r="T2478" s="237"/>
      <c r="U2478" s="237"/>
      <c r="V2478" s="237"/>
      <c r="W2478" s="237"/>
      <c r="X2478" s="237"/>
      <c r="Y2478" s="237"/>
      <c r="Z2478" s="237"/>
    </row>
    <row r="2479">
      <c r="A2479" s="305">
        <v>2478.0</v>
      </c>
      <c r="B2479" s="306">
        <v>1008066.0</v>
      </c>
      <c r="C2479" s="307" t="s">
        <v>1420</v>
      </c>
      <c r="D2479" s="308" t="s">
        <v>8794</v>
      </c>
      <c r="E2479" s="305" t="s">
        <v>8795</v>
      </c>
      <c r="F2479" s="309" t="s">
        <v>8796</v>
      </c>
      <c r="G2479" s="236"/>
      <c r="H2479" s="307" t="s">
        <v>1420</v>
      </c>
      <c r="I2479" s="237"/>
      <c r="J2479" s="237"/>
      <c r="K2479" s="310" t="s">
        <v>8793</v>
      </c>
      <c r="L2479" s="237"/>
      <c r="M2479" s="237"/>
      <c r="N2479" s="237"/>
      <c r="O2479" s="237"/>
      <c r="P2479" s="237"/>
      <c r="Q2479" s="237"/>
      <c r="R2479" s="237"/>
      <c r="S2479" s="237"/>
      <c r="T2479" s="237"/>
      <c r="U2479" s="237"/>
      <c r="V2479" s="237"/>
      <c r="W2479" s="237"/>
      <c r="X2479" s="237"/>
      <c r="Y2479" s="237"/>
      <c r="Z2479" s="237"/>
    </row>
    <row r="2480">
      <c r="A2480" s="305">
        <v>2479.0</v>
      </c>
      <c r="B2480" s="306">
        <v>1008064.0</v>
      </c>
      <c r="C2480" s="307" t="s">
        <v>1420</v>
      </c>
      <c r="D2480" s="308" t="s">
        <v>8649</v>
      </c>
      <c r="E2480" s="305" t="s">
        <v>8650</v>
      </c>
      <c r="F2480" s="236"/>
      <c r="G2480" s="236"/>
      <c r="H2480" s="307" t="s">
        <v>1420</v>
      </c>
      <c r="I2480" s="237"/>
      <c r="J2480" s="237"/>
      <c r="K2480" s="310" t="s">
        <v>8648</v>
      </c>
      <c r="L2480" s="237"/>
      <c r="M2480" s="237"/>
      <c r="N2480" s="237"/>
      <c r="O2480" s="237"/>
      <c r="P2480" s="237"/>
      <c r="Q2480" s="237"/>
      <c r="R2480" s="237"/>
      <c r="S2480" s="237"/>
      <c r="T2480" s="237"/>
      <c r="U2480" s="237"/>
      <c r="V2480" s="237"/>
      <c r="W2480" s="237"/>
      <c r="X2480" s="237"/>
      <c r="Y2480" s="237"/>
      <c r="Z2480" s="237"/>
    </row>
    <row r="2481">
      <c r="A2481" s="305">
        <v>2480.0</v>
      </c>
      <c r="B2481" s="306">
        <v>1008065.0</v>
      </c>
      <c r="C2481" s="307" t="s">
        <v>1420</v>
      </c>
      <c r="D2481" s="308" t="s">
        <v>8780</v>
      </c>
      <c r="E2481" s="305" t="s">
        <v>8781</v>
      </c>
      <c r="F2481" s="309" t="s">
        <v>8782</v>
      </c>
      <c r="G2481" s="236"/>
      <c r="H2481" s="307" t="s">
        <v>1420</v>
      </c>
      <c r="I2481" s="237"/>
      <c r="J2481" s="237"/>
      <c r="K2481" s="310" t="s">
        <v>8779</v>
      </c>
      <c r="L2481" s="237"/>
      <c r="M2481" s="237"/>
      <c r="N2481" s="237"/>
      <c r="O2481" s="237"/>
      <c r="P2481" s="237"/>
      <c r="Q2481" s="237"/>
      <c r="R2481" s="237"/>
      <c r="S2481" s="237"/>
      <c r="T2481" s="237"/>
      <c r="U2481" s="237"/>
      <c r="V2481" s="237"/>
      <c r="W2481" s="237"/>
      <c r="X2481" s="237"/>
      <c r="Y2481" s="237"/>
      <c r="Z2481" s="237"/>
    </row>
    <row r="2482">
      <c r="A2482" s="305">
        <v>2481.0</v>
      </c>
      <c r="B2482" s="306">
        <v>1008062.0</v>
      </c>
      <c r="C2482" s="307" t="s">
        <v>1420</v>
      </c>
      <c r="D2482" s="308" t="s">
        <v>8143</v>
      </c>
      <c r="E2482" s="305" t="s">
        <v>8144</v>
      </c>
      <c r="F2482" s="309" t="s">
        <v>8255</v>
      </c>
      <c r="G2482" s="236"/>
      <c r="H2482" s="307" t="s">
        <v>1420</v>
      </c>
      <c r="I2482" s="237"/>
      <c r="J2482" s="237"/>
      <c r="K2482" s="310" t="s">
        <v>8254</v>
      </c>
      <c r="L2482" s="237"/>
      <c r="M2482" s="237"/>
      <c r="N2482" s="237"/>
      <c r="O2482" s="237"/>
      <c r="P2482" s="237"/>
      <c r="Q2482" s="237"/>
      <c r="R2482" s="237"/>
      <c r="S2482" s="237"/>
      <c r="T2482" s="237"/>
      <c r="U2482" s="237"/>
      <c r="V2482" s="237"/>
      <c r="W2482" s="237"/>
      <c r="X2482" s="237"/>
      <c r="Y2482" s="237"/>
      <c r="Z2482" s="237"/>
    </row>
    <row r="2483">
      <c r="A2483" s="305">
        <v>2482.0</v>
      </c>
      <c r="B2483" s="306">
        <v>1008033.0</v>
      </c>
      <c r="C2483" s="307" t="s">
        <v>1420</v>
      </c>
      <c r="D2483" s="308" t="s">
        <v>8147</v>
      </c>
      <c r="E2483" s="305" t="s">
        <v>8148</v>
      </c>
      <c r="F2483" s="309" t="s">
        <v>8257</v>
      </c>
      <c r="G2483" s="236"/>
      <c r="H2483" s="307" t="s">
        <v>1420</v>
      </c>
      <c r="I2483" s="237"/>
      <c r="J2483" s="237"/>
      <c r="K2483" s="310" t="s">
        <v>8256</v>
      </c>
      <c r="L2483" s="237"/>
      <c r="M2483" s="237"/>
      <c r="N2483" s="237"/>
      <c r="O2483" s="237"/>
      <c r="P2483" s="237"/>
      <c r="Q2483" s="237"/>
      <c r="R2483" s="237"/>
      <c r="S2483" s="237"/>
      <c r="T2483" s="237"/>
      <c r="U2483" s="237"/>
      <c r="V2483" s="237"/>
      <c r="W2483" s="237"/>
      <c r="X2483" s="237"/>
      <c r="Y2483" s="237"/>
      <c r="Z2483" s="237"/>
    </row>
    <row r="2484">
      <c r="A2484" s="305">
        <v>2483.0</v>
      </c>
      <c r="B2484" s="306">
        <v>1008055.0</v>
      </c>
      <c r="C2484" s="307" t="s">
        <v>1420</v>
      </c>
      <c r="D2484" s="308" t="s">
        <v>8139</v>
      </c>
      <c r="E2484" s="305" t="s">
        <v>8140</v>
      </c>
      <c r="F2484" s="309" t="s">
        <v>8253</v>
      </c>
      <c r="G2484" s="236"/>
      <c r="H2484" s="307" t="s">
        <v>1420</v>
      </c>
      <c r="I2484" s="237"/>
      <c r="J2484" s="237"/>
      <c r="K2484" s="310" t="s">
        <v>8252</v>
      </c>
      <c r="L2484" s="237"/>
      <c r="M2484" s="237"/>
      <c r="N2484" s="237"/>
      <c r="O2484" s="237"/>
      <c r="P2484" s="237"/>
      <c r="Q2484" s="237"/>
      <c r="R2484" s="237"/>
      <c r="S2484" s="237"/>
      <c r="T2484" s="237"/>
      <c r="U2484" s="237"/>
      <c r="V2484" s="237"/>
      <c r="W2484" s="237"/>
      <c r="X2484" s="237"/>
      <c r="Y2484" s="237"/>
      <c r="Z2484" s="237"/>
    </row>
    <row r="2485">
      <c r="A2485" s="305">
        <v>2484.0</v>
      </c>
      <c r="B2485" s="306">
        <v>1008035.0</v>
      </c>
      <c r="C2485" s="307" t="s">
        <v>1420</v>
      </c>
      <c r="D2485" s="308" t="s">
        <v>8151</v>
      </c>
      <c r="E2485" s="305" t="s">
        <v>8152</v>
      </c>
      <c r="F2485" s="309" t="s">
        <v>8259</v>
      </c>
      <c r="G2485" s="236"/>
      <c r="H2485" s="307" t="s">
        <v>1420</v>
      </c>
      <c r="I2485" s="237"/>
      <c r="J2485" s="237"/>
      <c r="K2485" s="310" t="s">
        <v>8258</v>
      </c>
      <c r="L2485" s="237"/>
      <c r="M2485" s="237"/>
      <c r="N2485" s="237"/>
      <c r="O2485" s="237"/>
      <c r="P2485" s="237"/>
      <c r="Q2485" s="237"/>
      <c r="R2485" s="237"/>
      <c r="S2485" s="237"/>
      <c r="T2485" s="237"/>
      <c r="U2485" s="237"/>
      <c r="V2485" s="237"/>
      <c r="W2485" s="237"/>
      <c r="X2485" s="237"/>
      <c r="Y2485" s="237"/>
      <c r="Z2485" s="237"/>
    </row>
    <row r="2486">
      <c r="A2486" s="305">
        <v>2485.0</v>
      </c>
      <c r="B2486" s="236"/>
      <c r="C2486" s="307" t="s">
        <v>1420</v>
      </c>
      <c r="D2486" s="308" t="s">
        <v>8802</v>
      </c>
      <c r="E2486" s="305" t="s">
        <v>8803</v>
      </c>
      <c r="F2486" s="309" t="s">
        <v>8804</v>
      </c>
      <c r="G2486" s="236"/>
      <c r="H2486" s="307" t="s">
        <v>1420</v>
      </c>
      <c r="I2486" s="237"/>
      <c r="J2486" s="237"/>
      <c r="K2486" s="310" t="s">
        <v>8801</v>
      </c>
      <c r="L2486" s="237"/>
      <c r="M2486" s="237"/>
      <c r="N2486" s="237"/>
      <c r="O2486" s="237"/>
      <c r="P2486" s="237"/>
      <c r="Q2486" s="237"/>
      <c r="R2486" s="237"/>
      <c r="S2486" s="237"/>
      <c r="T2486" s="237"/>
      <c r="U2486" s="237"/>
      <c r="V2486" s="237"/>
      <c r="W2486" s="237"/>
      <c r="X2486" s="237"/>
      <c r="Y2486" s="237"/>
      <c r="Z2486" s="237"/>
    </row>
    <row r="2487">
      <c r="A2487" s="305">
        <v>2486.0</v>
      </c>
      <c r="B2487" s="236"/>
      <c r="C2487" s="307" t="s">
        <v>1420</v>
      </c>
      <c r="D2487" s="308" t="s">
        <v>8631</v>
      </c>
      <c r="E2487" s="305" t="s">
        <v>8632</v>
      </c>
      <c r="F2487" s="236"/>
      <c r="G2487" s="236"/>
      <c r="H2487" s="307" t="s">
        <v>1420</v>
      </c>
      <c r="I2487" s="237"/>
      <c r="J2487" s="237"/>
      <c r="K2487" s="310" t="s">
        <v>8630</v>
      </c>
      <c r="L2487" s="237"/>
      <c r="M2487" s="237"/>
      <c r="N2487" s="237"/>
      <c r="O2487" s="237"/>
      <c r="P2487" s="237"/>
      <c r="Q2487" s="237"/>
      <c r="R2487" s="237"/>
      <c r="S2487" s="237"/>
      <c r="T2487" s="237"/>
      <c r="U2487" s="237"/>
      <c r="V2487" s="237"/>
      <c r="W2487" s="237"/>
      <c r="X2487" s="237"/>
      <c r="Y2487" s="237"/>
      <c r="Z2487" s="237"/>
    </row>
    <row r="2488">
      <c r="A2488" s="305">
        <v>2487.0</v>
      </c>
      <c r="B2488" s="306">
        <v>1008048.0</v>
      </c>
      <c r="C2488" s="307" t="s">
        <v>1420</v>
      </c>
      <c r="D2488" s="308" t="s">
        <v>8635</v>
      </c>
      <c r="E2488" s="305" t="s">
        <v>8636</v>
      </c>
      <c r="F2488" s="236"/>
      <c r="G2488" s="236"/>
      <c r="H2488" s="307" t="s">
        <v>1420</v>
      </c>
      <c r="I2488" s="237"/>
      <c r="J2488" s="237"/>
      <c r="K2488" s="310" t="s">
        <v>8634</v>
      </c>
      <c r="L2488" s="237"/>
      <c r="M2488" s="237"/>
      <c r="N2488" s="237"/>
      <c r="O2488" s="237"/>
      <c r="P2488" s="237"/>
      <c r="Q2488" s="237"/>
      <c r="R2488" s="237"/>
      <c r="S2488" s="237"/>
      <c r="T2488" s="237"/>
      <c r="U2488" s="237"/>
      <c r="V2488" s="237"/>
      <c r="W2488" s="237"/>
      <c r="X2488" s="237"/>
      <c r="Y2488" s="237"/>
      <c r="Z2488" s="237"/>
    </row>
    <row r="2489">
      <c r="A2489" s="305">
        <v>2488.0</v>
      </c>
      <c r="B2489" s="306">
        <v>1008059.0</v>
      </c>
      <c r="C2489" s="307" t="s">
        <v>1420</v>
      </c>
      <c r="D2489" s="308" t="s">
        <v>8789</v>
      </c>
      <c r="E2489" s="305" t="s">
        <v>8790</v>
      </c>
      <c r="F2489" s="309" t="s">
        <v>8791</v>
      </c>
      <c r="G2489" s="236"/>
      <c r="H2489" s="307" t="s">
        <v>1420</v>
      </c>
      <c r="I2489" s="237"/>
      <c r="J2489" s="237"/>
      <c r="K2489" s="310" t="s">
        <v>8788</v>
      </c>
      <c r="L2489" s="237"/>
      <c r="M2489" s="237"/>
      <c r="N2489" s="237"/>
      <c r="O2489" s="237"/>
      <c r="P2489" s="237"/>
      <c r="Q2489" s="237"/>
      <c r="R2489" s="237"/>
      <c r="S2489" s="237"/>
      <c r="T2489" s="237"/>
      <c r="U2489" s="237"/>
      <c r="V2489" s="237"/>
      <c r="W2489" s="237"/>
      <c r="X2489" s="237"/>
      <c r="Y2489" s="237"/>
      <c r="Z2489" s="237"/>
    </row>
    <row r="2490">
      <c r="A2490" s="305">
        <v>2489.0</v>
      </c>
      <c r="B2490" s="306">
        <v>1008049.0</v>
      </c>
      <c r="C2490" s="307" t="s">
        <v>1420</v>
      </c>
      <c r="D2490" s="308" t="s">
        <v>8029</v>
      </c>
      <c r="E2490" s="305" t="s">
        <v>8030</v>
      </c>
      <c r="F2490" s="309" t="s">
        <v>8031</v>
      </c>
      <c r="G2490" s="236"/>
      <c r="H2490" s="307" t="s">
        <v>1420</v>
      </c>
      <c r="I2490" s="237"/>
      <c r="J2490" s="237"/>
      <c r="K2490" s="310" t="s">
        <v>8028</v>
      </c>
      <c r="L2490" s="237"/>
      <c r="M2490" s="237"/>
      <c r="N2490" s="237"/>
      <c r="O2490" s="237"/>
      <c r="P2490" s="237"/>
      <c r="Q2490" s="237"/>
      <c r="R2490" s="237"/>
      <c r="S2490" s="237"/>
      <c r="T2490" s="237"/>
      <c r="U2490" s="237"/>
      <c r="V2490" s="237"/>
      <c r="W2490" s="237"/>
      <c r="X2490" s="237"/>
      <c r="Y2490" s="237"/>
      <c r="Z2490" s="237"/>
    </row>
    <row r="2491">
      <c r="A2491" s="305">
        <v>2490.0</v>
      </c>
      <c r="B2491" s="236"/>
      <c r="C2491" s="307" t="s">
        <v>1420</v>
      </c>
      <c r="D2491" s="308" t="s">
        <v>8638</v>
      </c>
      <c r="E2491" s="305" t="s">
        <v>8639</v>
      </c>
      <c r="F2491" s="236"/>
      <c r="G2491" s="236"/>
      <c r="H2491" s="307" t="s">
        <v>1420</v>
      </c>
      <c r="I2491" s="237"/>
      <c r="J2491" s="237"/>
      <c r="K2491" s="310" t="s">
        <v>8637</v>
      </c>
      <c r="L2491" s="237"/>
      <c r="M2491" s="237"/>
      <c r="N2491" s="237"/>
      <c r="O2491" s="237"/>
      <c r="P2491" s="237"/>
      <c r="Q2491" s="237"/>
      <c r="R2491" s="237"/>
      <c r="S2491" s="237"/>
      <c r="T2491" s="237"/>
      <c r="U2491" s="237"/>
      <c r="V2491" s="237"/>
      <c r="W2491" s="237"/>
      <c r="X2491" s="237"/>
      <c r="Y2491" s="237"/>
      <c r="Z2491" s="237"/>
    </row>
    <row r="2492">
      <c r="A2492" s="305">
        <v>2491.0</v>
      </c>
      <c r="B2492" s="236"/>
      <c r="C2492" s="307" t="s">
        <v>1420</v>
      </c>
      <c r="D2492" s="308" t="s">
        <v>8798</v>
      </c>
      <c r="E2492" s="305" t="s">
        <v>8799</v>
      </c>
      <c r="F2492" s="309" t="s">
        <v>8800</v>
      </c>
      <c r="G2492" s="236"/>
      <c r="H2492" s="307" t="s">
        <v>1420</v>
      </c>
      <c r="I2492" s="237"/>
      <c r="J2492" s="237"/>
      <c r="K2492" s="310" t="s">
        <v>8797</v>
      </c>
      <c r="L2492" s="237"/>
      <c r="M2492" s="237"/>
      <c r="N2492" s="237"/>
      <c r="O2492" s="237"/>
      <c r="P2492" s="237"/>
      <c r="Q2492" s="237"/>
      <c r="R2492" s="237"/>
      <c r="S2492" s="237"/>
      <c r="T2492" s="237"/>
      <c r="U2492" s="237"/>
      <c r="V2492" s="237"/>
      <c r="W2492" s="237"/>
      <c r="X2492" s="237"/>
      <c r="Y2492" s="237"/>
      <c r="Z2492" s="237"/>
    </row>
    <row r="2493">
      <c r="A2493" s="305">
        <v>2492.0</v>
      </c>
      <c r="B2493" s="236"/>
      <c r="C2493" s="307" t="s">
        <v>1420</v>
      </c>
      <c r="D2493" s="308" t="s">
        <v>8784</v>
      </c>
      <c r="E2493" s="305" t="s">
        <v>8785</v>
      </c>
      <c r="F2493" s="309" t="s">
        <v>8786</v>
      </c>
      <c r="G2493" s="236"/>
      <c r="H2493" s="307" t="s">
        <v>1420</v>
      </c>
      <c r="I2493" s="237"/>
      <c r="J2493" s="237"/>
      <c r="K2493" s="310" t="s">
        <v>8783</v>
      </c>
      <c r="L2493" s="237"/>
      <c r="M2493" s="237"/>
      <c r="N2493" s="237"/>
      <c r="O2493" s="237"/>
      <c r="P2493" s="237"/>
      <c r="Q2493" s="237"/>
      <c r="R2493" s="237"/>
      <c r="S2493" s="237"/>
      <c r="T2493" s="237"/>
      <c r="U2493" s="237"/>
      <c r="V2493" s="237"/>
      <c r="W2493" s="237"/>
      <c r="X2493" s="237"/>
      <c r="Y2493" s="237"/>
      <c r="Z2493" s="237"/>
    </row>
    <row r="2494">
      <c r="A2494" s="305">
        <v>2493.0</v>
      </c>
      <c r="B2494" s="236"/>
      <c r="C2494" s="307" t="s">
        <v>1420</v>
      </c>
      <c r="D2494" s="308" t="s">
        <v>8624</v>
      </c>
      <c r="E2494" s="305" t="s">
        <v>8625</v>
      </c>
      <c r="F2494" s="236"/>
      <c r="G2494" s="236"/>
      <c r="H2494" s="307" t="s">
        <v>1420</v>
      </c>
      <c r="I2494" s="237"/>
      <c r="J2494" s="237"/>
      <c r="K2494" s="310" t="s">
        <v>8623</v>
      </c>
      <c r="L2494" s="237"/>
      <c r="M2494" s="237"/>
      <c r="N2494" s="237"/>
      <c r="O2494" s="237"/>
      <c r="P2494" s="237"/>
      <c r="Q2494" s="237"/>
      <c r="R2494" s="237"/>
      <c r="S2494" s="237"/>
      <c r="T2494" s="237"/>
      <c r="U2494" s="237"/>
      <c r="V2494" s="237"/>
      <c r="W2494" s="237"/>
      <c r="X2494" s="237"/>
      <c r="Y2494" s="237"/>
      <c r="Z2494" s="237"/>
    </row>
    <row r="2495">
      <c r="A2495" s="305">
        <v>2494.0</v>
      </c>
      <c r="B2495" s="306">
        <v>1008042.0</v>
      </c>
      <c r="C2495" s="307" t="s">
        <v>1420</v>
      </c>
      <c r="D2495" s="308" t="s">
        <v>8628</v>
      </c>
      <c r="E2495" s="305" t="s">
        <v>8629</v>
      </c>
      <c r="F2495" s="236"/>
      <c r="G2495" s="236"/>
      <c r="H2495" s="307" t="s">
        <v>1420</v>
      </c>
      <c r="I2495" s="237"/>
      <c r="J2495" s="237"/>
      <c r="K2495" s="310" t="s">
        <v>8627</v>
      </c>
      <c r="L2495" s="237"/>
      <c r="M2495" s="237"/>
      <c r="N2495" s="237"/>
      <c r="O2495" s="237"/>
      <c r="P2495" s="237"/>
      <c r="Q2495" s="237"/>
      <c r="R2495" s="237"/>
      <c r="S2495" s="237"/>
      <c r="T2495" s="237"/>
      <c r="U2495" s="237"/>
      <c r="V2495" s="237"/>
      <c r="W2495" s="237"/>
      <c r="X2495" s="237"/>
      <c r="Y2495" s="237"/>
      <c r="Z2495" s="237"/>
    </row>
    <row r="2496">
      <c r="A2496" s="305">
        <v>2495.0</v>
      </c>
      <c r="B2496" s="306">
        <v>1008045.0</v>
      </c>
      <c r="C2496" s="307" t="s">
        <v>1420</v>
      </c>
      <c r="D2496" s="308" t="s">
        <v>8024</v>
      </c>
      <c r="E2496" s="305" t="s">
        <v>8025</v>
      </c>
      <c r="F2496" s="309" t="s">
        <v>8026</v>
      </c>
      <c r="G2496" s="236"/>
      <c r="H2496" s="307" t="s">
        <v>1420</v>
      </c>
      <c r="I2496" s="237"/>
      <c r="J2496" s="237"/>
      <c r="K2496" s="310" t="s">
        <v>8023</v>
      </c>
      <c r="L2496" s="237"/>
      <c r="M2496" s="237"/>
      <c r="N2496" s="237"/>
      <c r="O2496" s="237"/>
      <c r="P2496" s="237"/>
      <c r="Q2496" s="237"/>
      <c r="R2496" s="237"/>
      <c r="S2496" s="237"/>
      <c r="T2496" s="237"/>
      <c r="U2496" s="237"/>
      <c r="V2496" s="237"/>
      <c r="W2496" s="237"/>
      <c r="X2496" s="237"/>
      <c r="Y2496" s="237"/>
      <c r="Z2496" s="237"/>
    </row>
    <row r="2497">
      <c r="A2497" s="305">
        <v>2496.0</v>
      </c>
      <c r="B2497" s="306">
        <v>1008043.0</v>
      </c>
      <c r="C2497" s="307" t="s">
        <v>1420</v>
      </c>
      <c r="D2497" s="308" t="s">
        <v>8018</v>
      </c>
      <c r="E2497" s="305" t="s">
        <v>8019</v>
      </c>
      <c r="F2497" s="309" t="s">
        <v>8020</v>
      </c>
      <c r="G2497" s="236"/>
      <c r="H2497" s="307" t="s">
        <v>1420</v>
      </c>
      <c r="I2497" s="237"/>
      <c r="J2497" s="237"/>
      <c r="K2497" s="310" t="s">
        <v>8017</v>
      </c>
      <c r="L2497" s="237"/>
      <c r="M2497" s="237"/>
      <c r="N2497" s="237"/>
      <c r="O2497" s="237"/>
      <c r="P2497" s="237"/>
      <c r="Q2497" s="237"/>
      <c r="R2497" s="237"/>
      <c r="S2497" s="237"/>
      <c r="T2497" s="237"/>
      <c r="U2497" s="237"/>
      <c r="V2497" s="237"/>
      <c r="W2497" s="237"/>
      <c r="X2497" s="237"/>
      <c r="Y2497" s="237"/>
      <c r="Z2497" s="237"/>
    </row>
    <row r="2498">
      <c r="A2498" s="305">
        <v>2497.0</v>
      </c>
      <c r="B2498" s="306">
        <v>1008040.0</v>
      </c>
      <c r="C2498" s="307" t="s">
        <v>1420</v>
      </c>
      <c r="D2498" s="308" t="s">
        <v>8135</v>
      </c>
      <c r="E2498" s="305" t="s">
        <v>8136</v>
      </c>
      <c r="F2498" s="309" t="s">
        <v>8251</v>
      </c>
      <c r="G2498" s="236"/>
      <c r="H2498" s="307" t="s">
        <v>1420</v>
      </c>
      <c r="I2498" s="237"/>
      <c r="J2498" s="237"/>
      <c r="K2498" s="310" t="s">
        <v>8250</v>
      </c>
      <c r="L2498" s="237"/>
      <c r="M2498" s="237"/>
      <c r="N2498" s="237"/>
      <c r="O2498" s="237"/>
      <c r="P2498" s="237"/>
      <c r="Q2498" s="237"/>
      <c r="R2498" s="237"/>
      <c r="S2498" s="237"/>
      <c r="T2498" s="237"/>
      <c r="U2498" s="237"/>
      <c r="V2498" s="237"/>
      <c r="W2498" s="237"/>
      <c r="X2498" s="237"/>
      <c r="Y2498" s="237"/>
      <c r="Z2498" s="237"/>
    </row>
    <row r="2499">
      <c r="A2499" s="305">
        <v>2498.0</v>
      </c>
      <c r="B2499" s="306">
        <v>1008038.0</v>
      </c>
      <c r="C2499" s="307" t="s">
        <v>1420</v>
      </c>
      <c r="D2499" s="308" t="s">
        <v>8131</v>
      </c>
      <c r="E2499" s="305" t="s">
        <v>8132</v>
      </c>
      <c r="F2499" s="309" t="s">
        <v>8249</v>
      </c>
      <c r="G2499" s="236"/>
      <c r="H2499" s="307" t="s">
        <v>1420</v>
      </c>
      <c r="I2499" s="237"/>
      <c r="J2499" s="237"/>
      <c r="K2499" s="310" t="s">
        <v>8248</v>
      </c>
      <c r="L2499" s="237"/>
      <c r="M2499" s="237"/>
      <c r="N2499" s="237"/>
      <c r="O2499" s="237"/>
      <c r="P2499" s="237"/>
      <c r="Q2499" s="237"/>
      <c r="R2499" s="237"/>
      <c r="S2499" s="237"/>
      <c r="T2499" s="237"/>
      <c r="U2499" s="237"/>
      <c r="V2499" s="237"/>
      <c r="W2499" s="237"/>
      <c r="X2499" s="237"/>
      <c r="Y2499" s="237"/>
      <c r="Z2499" s="237"/>
    </row>
    <row r="2500">
      <c r="A2500" s="305">
        <v>2499.0</v>
      </c>
      <c r="B2500" s="306">
        <v>1008006.0</v>
      </c>
      <c r="C2500" s="307" t="s">
        <v>1420</v>
      </c>
      <c r="D2500" s="308" t="s">
        <v>8103</v>
      </c>
      <c r="E2500" s="305" t="s">
        <v>8104</v>
      </c>
      <c r="F2500" s="309" t="s">
        <v>8235</v>
      </c>
      <c r="G2500" s="236"/>
      <c r="H2500" s="307" t="s">
        <v>1420</v>
      </c>
      <c r="I2500" s="237"/>
      <c r="J2500" s="237"/>
      <c r="K2500" s="310" t="s">
        <v>8234</v>
      </c>
      <c r="L2500" s="237"/>
      <c r="M2500" s="237"/>
      <c r="N2500" s="237"/>
      <c r="O2500" s="237"/>
      <c r="P2500" s="237"/>
      <c r="Q2500" s="237"/>
      <c r="R2500" s="237"/>
      <c r="S2500" s="237"/>
      <c r="T2500" s="237"/>
      <c r="U2500" s="237"/>
      <c r="V2500" s="237"/>
      <c r="W2500" s="237"/>
      <c r="X2500" s="237"/>
      <c r="Y2500" s="237"/>
      <c r="Z2500" s="237"/>
    </row>
    <row r="2501">
      <c r="A2501" s="305">
        <v>2500.0</v>
      </c>
      <c r="B2501" s="306">
        <v>1008020.0</v>
      </c>
      <c r="C2501" s="307" t="s">
        <v>1420</v>
      </c>
      <c r="D2501" s="308" t="s">
        <v>8049</v>
      </c>
      <c r="E2501" s="305" t="s">
        <v>8050</v>
      </c>
      <c r="F2501" s="309" t="s">
        <v>8051</v>
      </c>
      <c r="G2501" s="236"/>
      <c r="H2501" s="307" t="s">
        <v>1420</v>
      </c>
      <c r="I2501" s="237"/>
      <c r="J2501" s="237"/>
      <c r="K2501" s="310" t="s">
        <v>8048</v>
      </c>
      <c r="L2501" s="237"/>
      <c r="M2501" s="237"/>
      <c r="N2501" s="237"/>
      <c r="O2501" s="237"/>
      <c r="P2501" s="237"/>
      <c r="Q2501" s="237"/>
      <c r="R2501" s="237"/>
      <c r="S2501" s="237"/>
      <c r="T2501" s="237"/>
      <c r="U2501" s="237"/>
      <c r="V2501" s="237"/>
      <c r="W2501" s="237"/>
      <c r="X2501" s="237"/>
      <c r="Y2501" s="237"/>
      <c r="Z2501" s="237"/>
    </row>
    <row r="2502">
      <c r="A2502" s="305">
        <v>2501.0</v>
      </c>
      <c r="B2502" s="306">
        <v>1008019.0</v>
      </c>
      <c r="C2502" s="307" t="s">
        <v>1420</v>
      </c>
      <c r="D2502" s="308" t="s">
        <v>8044</v>
      </c>
      <c r="E2502" s="305" t="s">
        <v>8045</v>
      </c>
      <c r="F2502" s="309" t="s">
        <v>8046</v>
      </c>
      <c r="G2502" s="236"/>
      <c r="H2502" s="307" t="s">
        <v>1420</v>
      </c>
      <c r="I2502" s="237"/>
      <c r="J2502" s="237"/>
      <c r="K2502" s="310" t="s">
        <v>8043</v>
      </c>
      <c r="L2502" s="237"/>
      <c r="M2502" s="237"/>
      <c r="N2502" s="237"/>
      <c r="O2502" s="237"/>
      <c r="P2502" s="237"/>
      <c r="Q2502" s="237"/>
      <c r="R2502" s="237"/>
      <c r="S2502" s="237"/>
      <c r="T2502" s="237"/>
      <c r="U2502" s="237"/>
      <c r="V2502" s="237"/>
      <c r="W2502" s="237"/>
      <c r="X2502" s="237"/>
      <c r="Y2502" s="237"/>
      <c r="Z2502" s="237"/>
    </row>
    <row r="2503">
      <c r="A2503" s="305">
        <v>2502.0</v>
      </c>
      <c r="B2503" s="306">
        <v>1008091.0</v>
      </c>
      <c r="C2503" s="307" t="s">
        <v>1420</v>
      </c>
      <c r="D2503" s="308" t="s">
        <v>8267</v>
      </c>
      <c r="E2503" s="305" t="s">
        <v>8268</v>
      </c>
      <c r="F2503" s="309" t="s">
        <v>8269</v>
      </c>
      <c r="G2503" s="236"/>
      <c r="H2503" s="307" t="s">
        <v>1420</v>
      </c>
      <c r="I2503" s="237"/>
      <c r="J2503" s="237"/>
      <c r="K2503" s="310" t="s">
        <v>8266</v>
      </c>
      <c r="L2503" s="237"/>
      <c r="M2503" s="237"/>
      <c r="N2503" s="237"/>
      <c r="O2503" s="237"/>
      <c r="P2503" s="237"/>
      <c r="Q2503" s="237"/>
      <c r="R2503" s="237"/>
      <c r="S2503" s="237"/>
      <c r="T2503" s="237"/>
      <c r="U2503" s="237"/>
      <c r="V2503" s="237"/>
      <c r="W2503" s="237"/>
      <c r="X2503" s="237"/>
      <c r="Y2503" s="237"/>
      <c r="Z2503" s="237"/>
    </row>
    <row r="2504">
      <c r="A2504" s="305">
        <v>2503.0</v>
      </c>
      <c r="B2504" s="306">
        <v>1008094.0</v>
      </c>
      <c r="C2504" s="307" t="s">
        <v>1420</v>
      </c>
      <c r="D2504" s="308" t="s">
        <v>8277</v>
      </c>
      <c r="E2504" s="305" t="s">
        <v>8278</v>
      </c>
      <c r="F2504" s="309" t="s">
        <v>8279</v>
      </c>
      <c r="G2504" s="236"/>
      <c r="H2504" s="307" t="s">
        <v>1420</v>
      </c>
      <c r="I2504" s="237"/>
      <c r="J2504" s="237"/>
      <c r="K2504" s="310" t="s">
        <v>8276</v>
      </c>
      <c r="L2504" s="237"/>
      <c r="M2504" s="237"/>
      <c r="N2504" s="237"/>
      <c r="O2504" s="237"/>
      <c r="P2504" s="237"/>
      <c r="Q2504" s="237"/>
      <c r="R2504" s="237"/>
      <c r="S2504" s="237"/>
      <c r="T2504" s="237"/>
      <c r="U2504" s="237"/>
      <c r="V2504" s="237"/>
      <c r="W2504" s="237"/>
      <c r="X2504" s="237"/>
      <c r="Y2504" s="237"/>
      <c r="Z2504" s="237"/>
    </row>
    <row r="2505">
      <c r="A2505" s="305">
        <v>2504.0</v>
      </c>
      <c r="B2505" s="306">
        <v>1008093.0</v>
      </c>
      <c r="C2505" s="307" t="s">
        <v>1420</v>
      </c>
      <c r="D2505" s="308" t="s">
        <v>8272</v>
      </c>
      <c r="E2505" s="305" t="s">
        <v>8273</v>
      </c>
      <c r="F2505" s="309" t="s">
        <v>8274</v>
      </c>
      <c r="G2505" s="236"/>
      <c r="H2505" s="307" t="s">
        <v>1420</v>
      </c>
      <c r="I2505" s="237"/>
      <c r="J2505" s="237"/>
      <c r="K2505" s="310" t="s">
        <v>8271</v>
      </c>
      <c r="L2505" s="237"/>
      <c r="M2505" s="237"/>
      <c r="N2505" s="237"/>
      <c r="O2505" s="237"/>
      <c r="P2505" s="237"/>
      <c r="Q2505" s="237"/>
      <c r="R2505" s="237"/>
      <c r="S2505" s="237"/>
      <c r="T2505" s="237"/>
      <c r="U2505" s="237"/>
      <c r="V2505" s="237"/>
      <c r="W2505" s="237"/>
      <c r="X2505" s="237"/>
      <c r="Y2505" s="237"/>
      <c r="Z2505" s="237"/>
    </row>
    <row r="2506">
      <c r="A2506" s="305">
        <v>2505.0</v>
      </c>
      <c r="B2506" s="306">
        <v>1008085.0</v>
      </c>
      <c r="C2506" s="307" t="s">
        <v>1420</v>
      </c>
      <c r="D2506" s="308" t="s">
        <v>8074</v>
      </c>
      <c r="E2506" s="305" t="s">
        <v>8075</v>
      </c>
      <c r="F2506" s="309" t="s">
        <v>8076</v>
      </c>
      <c r="G2506" s="236"/>
      <c r="H2506" s="307" t="s">
        <v>1420</v>
      </c>
      <c r="I2506" s="237"/>
      <c r="J2506" s="237"/>
      <c r="K2506" s="310" t="s">
        <v>8073</v>
      </c>
      <c r="L2506" s="237"/>
      <c r="M2506" s="237"/>
      <c r="N2506" s="237"/>
      <c r="O2506" s="237"/>
      <c r="P2506" s="237"/>
      <c r="Q2506" s="237"/>
      <c r="R2506" s="237"/>
      <c r="S2506" s="237"/>
      <c r="T2506" s="237"/>
      <c r="U2506" s="237"/>
      <c r="V2506" s="237"/>
      <c r="W2506" s="237"/>
      <c r="X2506" s="237"/>
      <c r="Y2506" s="237"/>
      <c r="Z2506" s="237"/>
    </row>
    <row r="2507">
      <c r="A2507" s="305">
        <v>2506.0</v>
      </c>
      <c r="B2507" s="306">
        <v>1008086.0</v>
      </c>
      <c r="C2507" s="307" t="s">
        <v>1420</v>
      </c>
      <c r="D2507" s="308" t="s">
        <v>8750</v>
      </c>
      <c r="E2507" s="305" t="s">
        <v>8751</v>
      </c>
      <c r="F2507" s="309" t="s">
        <v>8752</v>
      </c>
      <c r="G2507" s="236"/>
      <c r="H2507" s="307" t="s">
        <v>1420</v>
      </c>
      <c r="I2507" s="237"/>
      <c r="J2507" s="237"/>
      <c r="K2507" s="310" t="s">
        <v>8749</v>
      </c>
      <c r="L2507" s="237"/>
      <c r="M2507" s="237"/>
      <c r="N2507" s="237"/>
      <c r="O2507" s="237"/>
      <c r="P2507" s="237"/>
      <c r="Q2507" s="237"/>
      <c r="R2507" s="237"/>
      <c r="S2507" s="237"/>
      <c r="T2507" s="237"/>
      <c r="U2507" s="237"/>
      <c r="V2507" s="237"/>
      <c r="W2507" s="237"/>
      <c r="X2507" s="237"/>
      <c r="Y2507" s="237"/>
      <c r="Z2507" s="237"/>
    </row>
    <row r="2508">
      <c r="A2508" s="305">
        <v>2507.0</v>
      </c>
      <c r="B2508" s="306">
        <v>1008082.0</v>
      </c>
      <c r="C2508" s="307" t="s">
        <v>1420</v>
      </c>
      <c r="D2508" s="308" t="s">
        <v>8203</v>
      </c>
      <c r="E2508" s="305" t="s">
        <v>8204</v>
      </c>
      <c r="F2508" s="309" t="s">
        <v>8205</v>
      </c>
      <c r="G2508" s="236"/>
      <c r="H2508" s="307" t="s">
        <v>1420</v>
      </c>
      <c r="I2508" s="237"/>
      <c r="J2508" s="237"/>
      <c r="K2508" s="310" t="s">
        <v>8202</v>
      </c>
      <c r="L2508" s="237"/>
      <c r="M2508" s="237"/>
      <c r="N2508" s="237"/>
      <c r="O2508" s="237"/>
      <c r="P2508" s="237"/>
      <c r="Q2508" s="237"/>
      <c r="R2508" s="237"/>
      <c r="S2508" s="237"/>
      <c r="T2508" s="237"/>
      <c r="U2508" s="237"/>
      <c r="V2508" s="237"/>
      <c r="W2508" s="237"/>
      <c r="X2508" s="237"/>
      <c r="Y2508" s="237"/>
      <c r="Z2508" s="237"/>
    </row>
    <row r="2509">
      <c r="A2509" s="305">
        <v>2508.0</v>
      </c>
      <c r="B2509" s="306">
        <v>1008079.0</v>
      </c>
      <c r="C2509" s="307" t="s">
        <v>1420</v>
      </c>
      <c r="D2509" s="308" t="s">
        <v>8069</v>
      </c>
      <c r="E2509" s="305" t="s">
        <v>8070</v>
      </c>
      <c r="F2509" s="309" t="s">
        <v>8071</v>
      </c>
      <c r="G2509" s="236"/>
      <c r="H2509" s="307" t="s">
        <v>1420</v>
      </c>
      <c r="I2509" s="237"/>
      <c r="J2509" s="237"/>
      <c r="K2509" s="310" t="s">
        <v>8068</v>
      </c>
      <c r="L2509" s="237"/>
      <c r="M2509" s="237"/>
      <c r="N2509" s="237"/>
      <c r="O2509" s="237"/>
      <c r="P2509" s="237"/>
      <c r="Q2509" s="237"/>
      <c r="R2509" s="237"/>
      <c r="S2509" s="237"/>
      <c r="T2509" s="237"/>
      <c r="U2509" s="237"/>
      <c r="V2509" s="237"/>
      <c r="W2509" s="237"/>
      <c r="X2509" s="237"/>
      <c r="Y2509" s="237"/>
      <c r="Z2509" s="237"/>
    </row>
    <row r="2510">
      <c r="A2510" s="305">
        <v>2509.0</v>
      </c>
      <c r="B2510" s="306">
        <v>1008081.0</v>
      </c>
      <c r="C2510" s="307" t="s">
        <v>1420</v>
      </c>
      <c r="D2510" s="308" t="s">
        <v>8740</v>
      </c>
      <c r="E2510" s="305" t="s">
        <v>8741</v>
      </c>
      <c r="F2510" s="309" t="s">
        <v>8742</v>
      </c>
      <c r="G2510" s="236"/>
      <c r="H2510" s="307" t="s">
        <v>1420</v>
      </c>
      <c r="I2510" s="237"/>
      <c r="J2510" s="237"/>
      <c r="K2510" s="310" t="s">
        <v>8739</v>
      </c>
      <c r="L2510" s="237"/>
      <c r="M2510" s="237"/>
      <c r="N2510" s="237"/>
      <c r="O2510" s="237"/>
      <c r="P2510" s="237"/>
      <c r="Q2510" s="237"/>
      <c r="R2510" s="237"/>
      <c r="S2510" s="237"/>
      <c r="T2510" s="237"/>
      <c r="U2510" s="237"/>
      <c r="V2510" s="237"/>
      <c r="W2510" s="237"/>
      <c r="X2510" s="237"/>
      <c r="Y2510" s="237"/>
      <c r="Z2510" s="237"/>
    </row>
    <row r="2511">
      <c r="A2511" s="305">
        <v>2510.0</v>
      </c>
      <c r="B2511" s="306">
        <v>1008084.0</v>
      </c>
      <c r="C2511" s="307" t="s">
        <v>1420</v>
      </c>
      <c r="D2511" s="308" t="s">
        <v>8745</v>
      </c>
      <c r="E2511" s="305" t="s">
        <v>8746</v>
      </c>
      <c r="F2511" s="309" t="s">
        <v>8747</v>
      </c>
      <c r="G2511" s="236"/>
      <c r="H2511" s="307" t="s">
        <v>1420</v>
      </c>
      <c r="I2511" s="237"/>
      <c r="J2511" s="237"/>
      <c r="K2511" s="310" t="s">
        <v>8744</v>
      </c>
      <c r="L2511" s="237"/>
      <c r="M2511" s="237"/>
      <c r="N2511" s="237"/>
      <c r="O2511" s="237"/>
      <c r="P2511" s="237"/>
      <c r="Q2511" s="237"/>
      <c r="R2511" s="237"/>
      <c r="S2511" s="237"/>
      <c r="T2511" s="237"/>
      <c r="U2511" s="237"/>
      <c r="V2511" s="237"/>
      <c r="W2511" s="237"/>
      <c r="X2511" s="237"/>
      <c r="Y2511" s="237"/>
      <c r="Z2511" s="237"/>
    </row>
    <row r="2512">
      <c r="A2512" s="305">
        <v>2511.0</v>
      </c>
      <c r="B2512" s="306">
        <v>1008076.0</v>
      </c>
      <c r="C2512" s="307" t="s">
        <v>1420</v>
      </c>
      <c r="D2512" s="308" t="s">
        <v>8064</v>
      </c>
      <c r="E2512" s="305" t="s">
        <v>8065</v>
      </c>
      <c r="F2512" s="309" t="s">
        <v>8066</v>
      </c>
      <c r="G2512" s="236"/>
      <c r="H2512" s="307" t="s">
        <v>1420</v>
      </c>
      <c r="I2512" s="237"/>
      <c r="J2512" s="237"/>
      <c r="K2512" s="310" t="s">
        <v>8063</v>
      </c>
      <c r="L2512" s="237"/>
      <c r="M2512" s="237"/>
      <c r="N2512" s="237"/>
      <c r="O2512" s="237"/>
      <c r="P2512" s="237"/>
      <c r="Q2512" s="237"/>
      <c r="R2512" s="237"/>
      <c r="S2512" s="237"/>
      <c r="T2512" s="237"/>
      <c r="U2512" s="237"/>
      <c r="V2512" s="237"/>
      <c r="W2512" s="237"/>
      <c r="X2512" s="237"/>
      <c r="Y2512" s="237"/>
      <c r="Z2512" s="237"/>
    </row>
    <row r="2513">
      <c r="A2513" s="305">
        <v>2512.0</v>
      </c>
      <c r="B2513" s="236"/>
      <c r="C2513" s="307" t="s">
        <v>1420</v>
      </c>
      <c r="D2513" s="308" t="s">
        <v>8735</v>
      </c>
      <c r="E2513" s="305" t="s">
        <v>8736</v>
      </c>
      <c r="F2513" s="309" t="s">
        <v>8737</v>
      </c>
      <c r="G2513" s="236"/>
      <c r="H2513" s="307" t="s">
        <v>1420</v>
      </c>
      <c r="I2513" s="237"/>
      <c r="J2513" s="237"/>
      <c r="K2513" s="310" t="s">
        <v>8734</v>
      </c>
      <c r="L2513" s="237"/>
      <c r="M2513" s="237"/>
      <c r="N2513" s="237"/>
      <c r="O2513" s="237"/>
      <c r="P2513" s="237"/>
      <c r="Q2513" s="237"/>
      <c r="R2513" s="237"/>
      <c r="S2513" s="237"/>
      <c r="T2513" s="237"/>
      <c r="U2513" s="237"/>
      <c r="V2513" s="237"/>
      <c r="W2513" s="237"/>
      <c r="X2513" s="237"/>
      <c r="Y2513" s="237"/>
      <c r="Z2513" s="237"/>
    </row>
    <row r="2514">
      <c r="A2514" s="305">
        <v>2513.0</v>
      </c>
      <c r="B2514" s="306">
        <v>1008068.0</v>
      </c>
      <c r="C2514" s="307" t="s">
        <v>1420</v>
      </c>
      <c r="D2514" s="308" t="s">
        <v>8193</v>
      </c>
      <c r="E2514" s="305" t="s">
        <v>8194</v>
      </c>
      <c r="F2514" s="309" t="s">
        <v>8195</v>
      </c>
      <c r="G2514" s="236"/>
      <c r="H2514" s="307" t="s">
        <v>1420</v>
      </c>
      <c r="I2514" s="237"/>
      <c r="J2514" s="237"/>
      <c r="K2514" s="310" t="s">
        <v>8192</v>
      </c>
      <c r="L2514" s="237"/>
      <c r="M2514" s="237"/>
      <c r="N2514" s="237"/>
      <c r="O2514" s="237"/>
      <c r="P2514" s="237"/>
      <c r="Q2514" s="237"/>
      <c r="R2514" s="237"/>
      <c r="S2514" s="237"/>
      <c r="T2514" s="237"/>
      <c r="U2514" s="237"/>
      <c r="V2514" s="237"/>
      <c r="W2514" s="237"/>
      <c r="X2514" s="237"/>
      <c r="Y2514" s="237"/>
      <c r="Z2514" s="237"/>
    </row>
    <row r="2515">
      <c r="A2515" s="305">
        <v>2514.0</v>
      </c>
      <c r="B2515" s="236"/>
      <c r="C2515" s="307" t="s">
        <v>1420</v>
      </c>
      <c r="D2515" s="308" t="s">
        <v>14744</v>
      </c>
      <c r="E2515" s="305" t="s">
        <v>11954</v>
      </c>
      <c r="F2515" s="309" t="s">
        <v>11955</v>
      </c>
      <c r="G2515" s="236"/>
      <c r="H2515" s="307" t="s">
        <v>1420</v>
      </c>
      <c r="I2515" s="237"/>
      <c r="J2515" s="237"/>
      <c r="K2515" s="310" t="s">
        <v>11951</v>
      </c>
      <c r="L2515" s="237"/>
      <c r="M2515" s="237"/>
      <c r="N2515" s="237"/>
      <c r="O2515" s="237"/>
      <c r="P2515" s="237"/>
      <c r="Q2515" s="237"/>
      <c r="R2515" s="237"/>
      <c r="S2515" s="237"/>
      <c r="T2515" s="237"/>
      <c r="U2515" s="237"/>
      <c r="V2515" s="237"/>
      <c r="W2515" s="237"/>
      <c r="X2515" s="237"/>
      <c r="Y2515" s="237"/>
      <c r="Z2515" s="237"/>
    </row>
    <row r="2516">
      <c r="A2516" s="305">
        <v>2515.0</v>
      </c>
      <c r="B2516" s="306">
        <v>1008069.0</v>
      </c>
      <c r="C2516" s="307" t="s">
        <v>1420</v>
      </c>
      <c r="D2516" s="308" t="s">
        <v>8653</v>
      </c>
      <c r="E2516" s="305" t="s">
        <v>8654</v>
      </c>
      <c r="F2516" s="236"/>
      <c r="G2516" s="236"/>
      <c r="H2516" s="307" t="s">
        <v>1420</v>
      </c>
      <c r="I2516" s="237"/>
      <c r="J2516" s="237"/>
      <c r="K2516" s="310" t="s">
        <v>8652</v>
      </c>
      <c r="L2516" s="237"/>
      <c r="M2516" s="237"/>
      <c r="N2516" s="237"/>
      <c r="O2516" s="237"/>
      <c r="P2516" s="237"/>
      <c r="Q2516" s="237"/>
      <c r="R2516" s="237"/>
      <c r="S2516" s="237"/>
      <c r="T2516" s="237"/>
      <c r="U2516" s="237"/>
      <c r="V2516" s="237"/>
      <c r="W2516" s="237"/>
      <c r="X2516" s="237"/>
      <c r="Y2516" s="237"/>
      <c r="Z2516" s="237"/>
    </row>
    <row r="2517">
      <c r="A2517" s="305">
        <v>2516.0</v>
      </c>
      <c r="B2517" s="306">
        <v>1008016.0</v>
      </c>
      <c r="C2517" s="307" t="s">
        <v>1420</v>
      </c>
      <c r="D2517" s="308" t="s">
        <v>8059</v>
      </c>
      <c r="E2517" s="305" t="s">
        <v>8060</v>
      </c>
      <c r="F2517" s="309" t="s">
        <v>8061</v>
      </c>
      <c r="G2517" s="236"/>
      <c r="H2517" s="307" t="s">
        <v>1420</v>
      </c>
      <c r="I2517" s="237"/>
      <c r="J2517" s="237"/>
      <c r="K2517" s="310" t="s">
        <v>8058</v>
      </c>
      <c r="L2517" s="237"/>
      <c r="M2517" s="237"/>
      <c r="N2517" s="237"/>
      <c r="O2517" s="237"/>
      <c r="P2517" s="237"/>
      <c r="Q2517" s="237"/>
      <c r="R2517" s="237"/>
      <c r="S2517" s="237"/>
      <c r="T2517" s="237"/>
      <c r="U2517" s="237"/>
      <c r="V2517" s="237"/>
      <c r="W2517" s="237"/>
      <c r="X2517" s="237"/>
      <c r="Y2517" s="237"/>
      <c r="Z2517" s="237"/>
    </row>
    <row r="2518">
      <c r="A2518" s="305">
        <v>2517.0</v>
      </c>
      <c r="B2518" s="306">
        <v>1008015.0</v>
      </c>
      <c r="C2518" s="307" t="s">
        <v>1420</v>
      </c>
      <c r="D2518" s="308" t="s">
        <v>8054</v>
      </c>
      <c r="E2518" s="305" t="s">
        <v>8055</v>
      </c>
      <c r="F2518" s="309" t="s">
        <v>8056</v>
      </c>
      <c r="G2518" s="236"/>
      <c r="H2518" s="307" t="s">
        <v>1420</v>
      </c>
      <c r="I2518" s="237"/>
      <c r="J2518" s="237"/>
      <c r="K2518" s="310" t="s">
        <v>8053</v>
      </c>
      <c r="L2518" s="237"/>
      <c r="M2518" s="237"/>
      <c r="N2518" s="237"/>
      <c r="O2518" s="237"/>
      <c r="P2518" s="237"/>
      <c r="Q2518" s="237"/>
      <c r="R2518" s="237"/>
      <c r="S2518" s="237"/>
      <c r="T2518" s="237"/>
      <c r="U2518" s="237"/>
      <c r="V2518" s="237"/>
      <c r="W2518" s="237"/>
      <c r="X2518" s="237"/>
      <c r="Y2518" s="237"/>
      <c r="Z2518" s="237"/>
    </row>
    <row r="2519">
      <c r="A2519" s="305">
        <v>2518.0</v>
      </c>
      <c r="B2519" s="306">
        <v>1008075.0</v>
      </c>
      <c r="C2519" s="307" t="s">
        <v>1420</v>
      </c>
      <c r="D2519" s="308" t="s">
        <v>8218</v>
      </c>
      <c r="E2519" s="305" t="s">
        <v>8219</v>
      </c>
      <c r="F2519" s="309" t="s">
        <v>8220</v>
      </c>
      <c r="G2519" s="236"/>
      <c r="H2519" s="307" t="s">
        <v>1420</v>
      </c>
      <c r="I2519" s="237"/>
      <c r="J2519" s="237"/>
      <c r="K2519" s="310" t="s">
        <v>8217</v>
      </c>
      <c r="L2519" s="237"/>
      <c r="M2519" s="237"/>
      <c r="N2519" s="237"/>
      <c r="O2519" s="237"/>
      <c r="P2519" s="237"/>
      <c r="Q2519" s="237"/>
      <c r="R2519" s="237"/>
      <c r="S2519" s="237"/>
      <c r="T2519" s="237"/>
      <c r="U2519" s="237"/>
      <c r="V2519" s="237"/>
      <c r="W2519" s="237"/>
      <c r="X2519" s="237"/>
      <c r="Y2519" s="237"/>
      <c r="Z2519" s="237"/>
    </row>
    <row r="2520">
      <c r="A2520" s="305">
        <v>2519.0</v>
      </c>
      <c r="B2520" s="306">
        <v>1008074.0</v>
      </c>
      <c r="C2520" s="307" t="s">
        <v>1420</v>
      </c>
      <c r="D2520" s="308" t="s">
        <v>8208</v>
      </c>
      <c r="E2520" s="305" t="s">
        <v>8209</v>
      </c>
      <c r="F2520" s="309" t="s">
        <v>8210</v>
      </c>
      <c r="G2520" s="236"/>
      <c r="H2520" s="307" t="s">
        <v>1420</v>
      </c>
      <c r="I2520" s="237"/>
      <c r="J2520" s="237"/>
      <c r="K2520" s="310" t="s">
        <v>8207</v>
      </c>
      <c r="L2520" s="237"/>
      <c r="M2520" s="237"/>
      <c r="N2520" s="237"/>
      <c r="O2520" s="237"/>
      <c r="P2520" s="237"/>
      <c r="Q2520" s="237"/>
      <c r="R2520" s="237"/>
      <c r="S2520" s="237"/>
      <c r="T2520" s="237"/>
      <c r="U2520" s="237"/>
      <c r="V2520" s="237"/>
      <c r="W2520" s="237"/>
      <c r="X2520" s="237"/>
      <c r="Y2520" s="237"/>
      <c r="Z2520" s="237"/>
    </row>
    <row r="2521">
      <c r="A2521" s="305">
        <v>2520.0</v>
      </c>
      <c r="B2521" s="306">
        <v>1008073.0</v>
      </c>
      <c r="C2521" s="307" t="s">
        <v>1420</v>
      </c>
      <c r="D2521" s="308" t="s">
        <v>8213</v>
      </c>
      <c r="E2521" s="305" t="s">
        <v>8214</v>
      </c>
      <c r="F2521" s="309" t="s">
        <v>8215</v>
      </c>
      <c r="G2521" s="236"/>
      <c r="H2521" s="307" t="s">
        <v>1420</v>
      </c>
      <c r="I2521" s="237"/>
      <c r="J2521" s="237"/>
      <c r="K2521" s="310" t="s">
        <v>8212</v>
      </c>
      <c r="L2521" s="237"/>
      <c r="M2521" s="237"/>
      <c r="N2521" s="237"/>
      <c r="O2521" s="237"/>
      <c r="P2521" s="237"/>
      <c r="Q2521" s="237"/>
      <c r="R2521" s="237"/>
      <c r="S2521" s="237"/>
      <c r="T2521" s="237"/>
      <c r="U2521" s="237"/>
      <c r="V2521" s="237"/>
      <c r="W2521" s="237"/>
      <c r="X2521" s="237"/>
      <c r="Y2521" s="237"/>
      <c r="Z2521" s="237"/>
    </row>
    <row r="2522">
      <c r="A2522" s="305">
        <v>2521.0</v>
      </c>
      <c r="B2522" s="306">
        <v>1008008.0</v>
      </c>
      <c r="C2522" s="307" t="s">
        <v>1420</v>
      </c>
      <c r="D2522" s="308" t="s">
        <v>8111</v>
      </c>
      <c r="E2522" s="305" t="s">
        <v>8112</v>
      </c>
      <c r="F2522" s="309" t="s">
        <v>8239</v>
      </c>
      <c r="G2522" s="236"/>
      <c r="H2522" s="307" t="s">
        <v>1420</v>
      </c>
      <c r="I2522" s="237"/>
      <c r="J2522" s="237"/>
      <c r="K2522" s="310" t="s">
        <v>8238</v>
      </c>
      <c r="L2522" s="237"/>
      <c r="M2522" s="237"/>
      <c r="N2522" s="237"/>
      <c r="O2522" s="237"/>
      <c r="P2522" s="237"/>
      <c r="Q2522" s="237"/>
      <c r="R2522" s="237"/>
      <c r="S2522" s="237"/>
      <c r="T2522" s="237"/>
      <c r="U2522" s="237"/>
      <c r="V2522" s="237"/>
      <c r="W2522" s="237"/>
      <c r="X2522" s="237"/>
      <c r="Y2522" s="237"/>
      <c r="Z2522" s="237"/>
    </row>
    <row r="2523">
      <c r="A2523" s="305">
        <v>2522.0</v>
      </c>
      <c r="B2523" s="306">
        <v>1008007.0</v>
      </c>
      <c r="C2523" s="307" t="s">
        <v>1420</v>
      </c>
      <c r="D2523" s="308" t="s">
        <v>8107</v>
      </c>
      <c r="E2523" s="305" t="s">
        <v>8108</v>
      </c>
      <c r="F2523" s="309" t="s">
        <v>8237</v>
      </c>
      <c r="G2523" s="236"/>
      <c r="H2523" s="307" t="s">
        <v>1420</v>
      </c>
      <c r="I2523" s="237"/>
      <c r="J2523" s="237"/>
      <c r="K2523" s="310" t="s">
        <v>8236</v>
      </c>
      <c r="L2523" s="237"/>
      <c r="M2523" s="237"/>
      <c r="N2523" s="237"/>
      <c r="O2523" s="237"/>
      <c r="P2523" s="237"/>
      <c r="Q2523" s="237"/>
      <c r="R2523" s="237"/>
      <c r="S2523" s="237"/>
      <c r="T2523" s="237"/>
      <c r="U2523" s="237"/>
      <c r="V2523" s="237"/>
      <c r="W2523" s="237"/>
      <c r="X2523" s="237"/>
      <c r="Y2523" s="237"/>
      <c r="Z2523" s="237"/>
    </row>
    <row r="2524">
      <c r="A2524" s="305">
        <v>2523.0</v>
      </c>
      <c r="B2524" s="306">
        <v>1008005.0</v>
      </c>
      <c r="C2524" s="307" t="s">
        <v>1420</v>
      </c>
      <c r="D2524" s="308" t="s">
        <v>8099</v>
      </c>
      <c r="E2524" s="305" t="s">
        <v>8100</v>
      </c>
      <c r="F2524" s="309" t="s">
        <v>8233</v>
      </c>
      <c r="G2524" s="236"/>
      <c r="H2524" s="307" t="s">
        <v>1420</v>
      </c>
      <c r="I2524" s="237"/>
      <c r="J2524" s="237"/>
      <c r="K2524" s="310" t="s">
        <v>8232</v>
      </c>
      <c r="L2524" s="237"/>
      <c r="M2524" s="237"/>
      <c r="N2524" s="237"/>
      <c r="O2524" s="237"/>
      <c r="P2524" s="237"/>
      <c r="Q2524" s="237"/>
      <c r="R2524" s="237"/>
      <c r="S2524" s="237"/>
      <c r="T2524" s="237"/>
      <c r="U2524" s="237"/>
      <c r="V2524" s="237"/>
      <c r="W2524" s="237"/>
      <c r="X2524" s="237"/>
      <c r="Y2524" s="237"/>
      <c r="Z2524" s="237"/>
    </row>
    <row r="2525">
      <c r="A2525" s="305">
        <v>2524.0</v>
      </c>
      <c r="B2525" s="306">
        <v>1008088.0</v>
      </c>
      <c r="C2525" s="307" t="s">
        <v>1420</v>
      </c>
      <c r="D2525" s="308" t="s">
        <v>8262</v>
      </c>
      <c r="E2525" s="305" t="s">
        <v>8263</v>
      </c>
      <c r="F2525" s="309" t="s">
        <v>8264</v>
      </c>
      <c r="G2525" s="236"/>
      <c r="H2525" s="307" t="s">
        <v>1420</v>
      </c>
      <c r="I2525" s="237"/>
      <c r="J2525" s="237"/>
      <c r="K2525" s="310" t="s">
        <v>8261</v>
      </c>
      <c r="L2525" s="237"/>
      <c r="M2525" s="237"/>
      <c r="N2525" s="237"/>
      <c r="O2525" s="237"/>
      <c r="P2525" s="237"/>
      <c r="Q2525" s="237"/>
      <c r="R2525" s="237"/>
      <c r="S2525" s="237"/>
      <c r="T2525" s="237"/>
      <c r="U2525" s="237"/>
      <c r="V2525" s="237"/>
      <c r="W2525" s="237"/>
      <c r="X2525" s="237"/>
      <c r="Y2525" s="237"/>
      <c r="Z2525" s="237"/>
    </row>
    <row r="2526">
      <c r="A2526" s="305">
        <v>2525.0</v>
      </c>
      <c r="B2526" s="306">
        <v>1008012.0</v>
      </c>
      <c r="C2526" s="307" t="s">
        <v>1420</v>
      </c>
      <c r="D2526" s="308" t="s">
        <v>8127</v>
      </c>
      <c r="E2526" s="305" t="s">
        <v>8128</v>
      </c>
      <c r="F2526" s="309" t="s">
        <v>8247</v>
      </c>
      <c r="G2526" s="236"/>
      <c r="H2526" s="307" t="s">
        <v>1420</v>
      </c>
      <c r="I2526" s="237"/>
      <c r="J2526" s="237"/>
      <c r="K2526" s="310" t="s">
        <v>8246</v>
      </c>
      <c r="L2526" s="237"/>
      <c r="M2526" s="237"/>
      <c r="N2526" s="237"/>
      <c r="O2526" s="237"/>
      <c r="P2526" s="237"/>
      <c r="Q2526" s="237"/>
      <c r="R2526" s="237"/>
      <c r="S2526" s="237"/>
      <c r="T2526" s="237"/>
      <c r="U2526" s="237"/>
      <c r="V2526" s="237"/>
      <c r="W2526" s="237"/>
      <c r="X2526" s="237"/>
      <c r="Y2526" s="237"/>
      <c r="Z2526" s="237"/>
    </row>
    <row r="2527">
      <c r="A2527" s="305">
        <v>2526.0</v>
      </c>
      <c r="B2527" s="306">
        <v>1008010.0</v>
      </c>
      <c r="C2527" s="307" t="s">
        <v>1420</v>
      </c>
      <c r="D2527" s="308" t="s">
        <v>8119</v>
      </c>
      <c r="E2527" s="305" t="s">
        <v>8120</v>
      </c>
      <c r="F2527" s="309" t="s">
        <v>8243</v>
      </c>
      <c r="G2527" s="236"/>
      <c r="H2527" s="307" t="s">
        <v>1420</v>
      </c>
      <c r="I2527" s="237"/>
      <c r="J2527" s="237"/>
      <c r="K2527" s="310" t="s">
        <v>8242</v>
      </c>
      <c r="L2527" s="237"/>
      <c r="M2527" s="237"/>
      <c r="N2527" s="237"/>
      <c r="O2527" s="237"/>
      <c r="P2527" s="237"/>
      <c r="Q2527" s="237"/>
      <c r="R2527" s="237"/>
      <c r="S2527" s="237"/>
      <c r="T2527" s="237"/>
      <c r="U2527" s="237"/>
      <c r="V2527" s="237"/>
      <c r="W2527" s="237"/>
      <c r="X2527" s="237"/>
      <c r="Y2527" s="237"/>
      <c r="Z2527" s="237"/>
    </row>
    <row r="2528">
      <c r="A2528" s="305">
        <v>2527.0</v>
      </c>
      <c r="B2528" s="306">
        <v>1008011.0</v>
      </c>
      <c r="C2528" s="307" t="s">
        <v>1420</v>
      </c>
      <c r="D2528" s="308" t="s">
        <v>8123</v>
      </c>
      <c r="E2528" s="305" t="s">
        <v>8124</v>
      </c>
      <c r="F2528" s="309" t="s">
        <v>8245</v>
      </c>
      <c r="G2528" s="236"/>
      <c r="H2528" s="307" t="s">
        <v>1420</v>
      </c>
      <c r="I2528" s="237"/>
      <c r="J2528" s="237"/>
      <c r="K2528" s="310" t="s">
        <v>8244</v>
      </c>
      <c r="L2528" s="237"/>
      <c r="M2528" s="237"/>
      <c r="N2528" s="237"/>
      <c r="O2528" s="237"/>
      <c r="P2528" s="237"/>
      <c r="Q2528" s="237"/>
      <c r="R2528" s="237"/>
      <c r="S2528" s="237"/>
      <c r="T2528" s="237"/>
      <c r="U2528" s="237"/>
      <c r="V2528" s="237"/>
      <c r="W2528" s="237"/>
      <c r="X2528" s="237"/>
      <c r="Y2528" s="237"/>
      <c r="Z2528" s="237"/>
    </row>
    <row r="2529">
      <c r="A2529" s="305">
        <v>2528.0</v>
      </c>
      <c r="B2529" s="306">
        <v>1008009.0</v>
      </c>
      <c r="C2529" s="307" t="s">
        <v>1420</v>
      </c>
      <c r="D2529" s="308" t="s">
        <v>8115</v>
      </c>
      <c r="E2529" s="305" t="s">
        <v>8116</v>
      </c>
      <c r="F2529" s="309" t="s">
        <v>8241</v>
      </c>
      <c r="G2529" s="236"/>
      <c r="H2529" s="307" t="s">
        <v>1420</v>
      </c>
      <c r="I2529" s="237"/>
      <c r="J2529" s="237"/>
      <c r="K2529" s="310" t="s">
        <v>8240</v>
      </c>
      <c r="L2529" s="237"/>
      <c r="M2529" s="237"/>
      <c r="N2529" s="237"/>
      <c r="O2529" s="237"/>
      <c r="P2529" s="237"/>
      <c r="Q2529" s="237"/>
      <c r="R2529" s="237"/>
      <c r="S2529" s="237"/>
      <c r="T2529" s="237"/>
      <c r="U2529" s="237"/>
      <c r="V2529" s="237"/>
      <c r="W2529" s="237"/>
      <c r="X2529" s="237"/>
      <c r="Y2529" s="237"/>
      <c r="Z2529" s="237"/>
    </row>
    <row r="2530">
      <c r="A2530" s="305">
        <v>2529.0</v>
      </c>
      <c r="B2530" s="306">
        <v>1008000.0</v>
      </c>
      <c r="C2530" s="307" t="s">
        <v>1420</v>
      </c>
      <c r="D2530" s="308" t="s">
        <v>8079</v>
      </c>
      <c r="E2530" s="305" t="s">
        <v>8222</v>
      </c>
      <c r="F2530" s="309" t="s">
        <v>8223</v>
      </c>
      <c r="G2530" s="236"/>
      <c r="H2530" s="307" t="s">
        <v>1420</v>
      </c>
      <c r="I2530" s="237"/>
      <c r="J2530" s="237"/>
      <c r="K2530" s="310" t="s">
        <v>8221</v>
      </c>
      <c r="L2530" s="237"/>
      <c r="M2530" s="237"/>
      <c r="N2530" s="237"/>
      <c r="O2530" s="237"/>
      <c r="P2530" s="237"/>
      <c r="Q2530" s="237"/>
      <c r="R2530" s="237"/>
      <c r="S2530" s="237"/>
      <c r="T2530" s="237"/>
      <c r="U2530" s="237"/>
      <c r="V2530" s="237"/>
      <c r="W2530" s="237"/>
      <c r="X2530" s="237"/>
      <c r="Y2530" s="237"/>
      <c r="Z2530" s="237"/>
    </row>
    <row r="2531">
      <c r="A2531" s="305">
        <v>2530.0</v>
      </c>
      <c r="B2531" s="306">
        <v>1008002.0</v>
      </c>
      <c r="C2531" s="307" t="s">
        <v>1420</v>
      </c>
      <c r="D2531" s="308" t="s">
        <v>8087</v>
      </c>
      <c r="E2531" s="305" t="s">
        <v>8088</v>
      </c>
      <c r="F2531" s="309" t="s">
        <v>8227</v>
      </c>
      <c r="G2531" s="236"/>
      <c r="H2531" s="307" t="s">
        <v>1420</v>
      </c>
      <c r="I2531" s="237"/>
      <c r="J2531" s="237"/>
      <c r="K2531" s="310" t="s">
        <v>8226</v>
      </c>
      <c r="L2531" s="237"/>
      <c r="M2531" s="237"/>
      <c r="N2531" s="237"/>
      <c r="O2531" s="237"/>
      <c r="P2531" s="237"/>
      <c r="Q2531" s="237"/>
      <c r="R2531" s="237"/>
      <c r="S2531" s="237"/>
      <c r="T2531" s="237"/>
      <c r="U2531" s="237"/>
      <c r="V2531" s="237"/>
      <c r="W2531" s="237"/>
      <c r="X2531" s="237"/>
      <c r="Y2531" s="237"/>
      <c r="Z2531" s="237"/>
    </row>
    <row r="2532">
      <c r="A2532" s="305">
        <v>2531.0</v>
      </c>
      <c r="B2532" s="306">
        <v>1008004.0</v>
      </c>
      <c r="C2532" s="307" t="s">
        <v>1420</v>
      </c>
      <c r="D2532" s="308" t="s">
        <v>8095</v>
      </c>
      <c r="E2532" s="305" t="s">
        <v>8096</v>
      </c>
      <c r="F2532" s="309" t="s">
        <v>8231</v>
      </c>
      <c r="G2532" s="236"/>
      <c r="H2532" s="307" t="s">
        <v>1420</v>
      </c>
      <c r="I2532" s="237"/>
      <c r="J2532" s="237"/>
      <c r="K2532" s="310" t="s">
        <v>8230</v>
      </c>
      <c r="L2532" s="237"/>
      <c r="M2532" s="237"/>
      <c r="N2532" s="237"/>
      <c r="O2532" s="237"/>
      <c r="P2532" s="237"/>
      <c r="Q2532" s="237"/>
      <c r="R2532" s="237"/>
      <c r="S2532" s="237"/>
      <c r="T2532" s="237"/>
      <c r="U2532" s="237"/>
      <c r="V2532" s="237"/>
      <c r="W2532" s="237"/>
      <c r="X2532" s="237"/>
      <c r="Y2532" s="237"/>
      <c r="Z2532" s="237"/>
    </row>
    <row r="2533">
      <c r="A2533" s="305">
        <v>2532.0</v>
      </c>
      <c r="B2533" s="306">
        <v>1008003.0</v>
      </c>
      <c r="C2533" s="307" t="s">
        <v>1420</v>
      </c>
      <c r="D2533" s="308" t="s">
        <v>8091</v>
      </c>
      <c r="E2533" s="305" t="s">
        <v>8092</v>
      </c>
      <c r="F2533" s="309" t="s">
        <v>8229</v>
      </c>
      <c r="G2533" s="236"/>
      <c r="H2533" s="307" t="s">
        <v>1420</v>
      </c>
      <c r="I2533" s="237"/>
      <c r="J2533" s="237"/>
      <c r="K2533" s="310" t="s">
        <v>8228</v>
      </c>
      <c r="L2533" s="237"/>
      <c r="M2533" s="237"/>
      <c r="N2533" s="237"/>
      <c r="O2533" s="237"/>
      <c r="P2533" s="237"/>
      <c r="Q2533" s="237"/>
      <c r="R2533" s="237"/>
      <c r="S2533" s="237"/>
      <c r="T2533" s="237"/>
      <c r="U2533" s="237"/>
      <c r="V2533" s="237"/>
      <c r="W2533" s="237"/>
      <c r="X2533" s="237"/>
      <c r="Y2533" s="237"/>
      <c r="Z2533" s="237"/>
    </row>
    <row r="2534">
      <c r="A2534" s="305">
        <v>2533.0</v>
      </c>
      <c r="B2534" s="306">
        <v>1008001.0</v>
      </c>
      <c r="C2534" s="307" t="s">
        <v>1420</v>
      </c>
      <c r="D2534" s="308" t="s">
        <v>8083</v>
      </c>
      <c r="E2534" s="305" t="s">
        <v>8084</v>
      </c>
      <c r="F2534" s="309" t="s">
        <v>8225</v>
      </c>
      <c r="G2534" s="236"/>
      <c r="H2534" s="307" t="s">
        <v>1420</v>
      </c>
      <c r="I2534" s="237"/>
      <c r="J2534" s="237"/>
      <c r="K2534" s="310" t="s">
        <v>8224</v>
      </c>
      <c r="L2534" s="237"/>
      <c r="M2534" s="237"/>
      <c r="N2534" s="237"/>
      <c r="O2534" s="237"/>
      <c r="P2534" s="237"/>
      <c r="Q2534" s="237"/>
      <c r="R2534" s="237"/>
      <c r="S2534" s="237"/>
      <c r="T2534" s="237"/>
      <c r="U2534" s="237"/>
      <c r="V2534" s="237"/>
      <c r="W2534" s="237"/>
      <c r="X2534" s="237"/>
      <c r="Y2534" s="237"/>
      <c r="Z2534" s="237"/>
    </row>
    <row r="2535">
      <c r="A2535" s="305">
        <v>2534.0</v>
      </c>
      <c r="B2535" s="236"/>
      <c r="C2535" s="307" t="s">
        <v>1420</v>
      </c>
      <c r="D2535" s="308" t="s">
        <v>8667</v>
      </c>
      <c r="E2535" s="305" t="s">
        <v>8668</v>
      </c>
      <c r="F2535" s="309" t="s">
        <v>14745</v>
      </c>
      <c r="G2535" s="236"/>
      <c r="H2535" s="307" t="s">
        <v>1420</v>
      </c>
      <c r="I2535" s="237"/>
      <c r="J2535" s="237"/>
      <c r="K2535" s="310" t="s">
        <v>8666</v>
      </c>
      <c r="L2535" s="237"/>
      <c r="M2535" s="237"/>
      <c r="N2535" s="237"/>
      <c r="O2535" s="237"/>
      <c r="P2535" s="237"/>
      <c r="Q2535" s="237"/>
      <c r="R2535" s="237"/>
      <c r="S2535" s="237"/>
      <c r="T2535" s="237"/>
      <c r="U2535" s="237"/>
      <c r="V2535" s="237"/>
      <c r="W2535" s="237"/>
      <c r="X2535" s="237"/>
      <c r="Y2535" s="237"/>
      <c r="Z2535" s="237"/>
    </row>
    <row r="2536">
      <c r="A2536" s="305">
        <v>2535.0</v>
      </c>
      <c r="B2536" s="236"/>
      <c r="C2536" s="307" t="s">
        <v>1420</v>
      </c>
      <c r="D2536" s="308" t="s">
        <v>8664</v>
      </c>
      <c r="E2536" s="305" t="s">
        <v>8665</v>
      </c>
      <c r="F2536" s="236"/>
      <c r="G2536" s="236"/>
      <c r="H2536" s="307" t="s">
        <v>1420</v>
      </c>
      <c r="I2536" s="237"/>
      <c r="J2536" s="237"/>
      <c r="K2536" s="310" t="s">
        <v>8663</v>
      </c>
      <c r="L2536" s="237"/>
      <c r="M2536" s="237"/>
      <c r="N2536" s="237"/>
      <c r="O2536" s="237"/>
      <c r="P2536" s="237"/>
      <c r="Q2536" s="237"/>
      <c r="R2536" s="237"/>
      <c r="S2536" s="237"/>
      <c r="T2536" s="237"/>
      <c r="U2536" s="237"/>
      <c r="V2536" s="237"/>
      <c r="W2536" s="237"/>
      <c r="X2536" s="237"/>
      <c r="Y2536" s="237"/>
      <c r="Z2536" s="237"/>
    </row>
    <row r="2537">
      <c r="A2537" s="305">
        <v>2536.0</v>
      </c>
      <c r="B2537" s="306">
        <v>1008018.0</v>
      </c>
      <c r="C2537" s="307" t="s">
        <v>1420</v>
      </c>
      <c r="D2537" s="308" t="s">
        <v>8039</v>
      </c>
      <c r="E2537" s="305" t="s">
        <v>8040</v>
      </c>
      <c r="F2537" s="309" t="s">
        <v>8041</v>
      </c>
      <c r="G2537" s="236"/>
      <c r="H2537" s="307" t="s">
        <v>1420</v>
      </c>
      <c r="I2537" s="237"/>
      <c r="J2537" s="237"/>
      <c r="K2537" s="310" t="s">
        <v>8038</v>
      </c>
      <c r="L2537" s="237"/>
      <c r="M2537" s="237"/>
      <c r="N2537" s="237"/>
      <c r="O2537" s="237"/>
      <c r="P2537" s="237"/>
      <c r="Q2537" s="237"/>
      <c r="R2537" s="237"/>
      <c r="S2537" s="237"/>
      <c r="T2537" s="237"/>
      <c r="U2537" s="237"/>
      <c r="V2537" s="237"/>
      <c r="W2537" s="237"/>
      <c r="X2537" s="237"/>
      <c r="Y2537" s="237"/>
      <c r="Z2537" s="237"/>
    </row>
    <row r="2538">
      <c r="A2538" s="305">
        <v>2537.0</v>
      </c>
      <c r="B2538" s="306">
        <v>1008017.0</v>
      </c>
      <c r="C2538" s="307" t="s">
        <v>1420</v>
      </c>
      <c r="D2538" s="308" t="s">
        <v>8034</v>
      </c>
      <c r="E2538" s="305" t="s">
        <v>8035</v>
      </c>
      <c r="F2538" s="309" t="s">
        <v>8036</v>
      </c>
      <c r="G2538" s="236"/>
      <c r="H2538" s="307" t="s">
        <v>1420</v>
      </c>
      <c r="I2538" s="237"/>
      <c r="J2538" s="237"/>
      <c r="K2538" s="310" t="s">
        <v>8033</v>
      </c>
      <c r="L2538" s="237"/>
      <c r="M2538" s="237"/>
      <c r="N2538" s="237"/>
      <c r="O2538" s="237"/>
      <c r="P2538" s="237"/>
      <c r="Q2538" s="237"/>
      <c r="R2538" s="237"/>
      <c r="S2538" s="237"/>
      <c r="T2538" s="237"/>
      <c r="U2538" s="237"/>
      <c r="V2538" s="237"/>
      <c r="W2538" s="237"/>
      <c r="X2538" s="237"/>
      <c r="Y2538" s="237"/>
      <c r="Z2538" s="237"/>
    </row>
    <row r="2539">
      <c r="A2539" s="305">
        <v>2538.0</v>
      </c>
      <c r="B2539" s="306">
        <v>1008071.0</v>
      </c>
      <c r="C2539" s="307" t="s">
        <v>1420</v>
      </c>
      <c r="D2539" s="308" t="s">
        <v>8198</v>
      </c>
      <c r="E2539" s="305" t="s">
        <v>8199</v>
      </c>
      <c r="F2539" s="309" t="s">
        <v>8200</v>
      </c>
      <c r="G2539" s="236"/>
      <c r="H2539" s="307" t="s">
        <v>1420</v>
      </c>
      <c r="I2539" s="237"/>
      <c r="J2539" s="237"/>
      <c r="K2539" s="310" t="s">
        <v>8197</v>
      </c>
      <c r="L2539" s="237"/>
      <c r="M2539" s="237"/>
      <c r="N2539" s="237"/>
      <c r="O2539" s="237"/>
      <c r="P2539" s="237"/>
      <c r="Q2539" s="237"/>
      <c r="R2539" s="237"/>
      <c r="S2539" s="237"/>
      <c r="T2539" s="237"/>
      <c r="U2539" s="237"/>
      <c r="V2539" s="237"/>
      <c r="W2539" s="237"/>
      <c r="X2539" s="237"/>
      <c r="Y2539" s="237"/>
      <c r="Z2539" s="237"/>
    </row>
    <row r="2540">
      <c r="A2540" s="305">
        <v>2539.0</v>
      </c>
      <c r="B2540" s="306">
        <v>1008070.0</v>
      </c>
      <c r="C2540" s="307" t="s">
        <v>1420</v>
      </c>
      <c r="D2540" s="308" t="s">
        <v>8657</v>
      </c>
      <c r="E2540" s="305" t="s">
        <v>8658</v>
      </c>
      <c r="F2540" s="236"/>
      <c r="G2540" s="236"/>
      <c r="H2540" s="307" t="s">
        <v>1420</v>
      </c>
      <c r="I2540" s="237"/>
      <c r="J2540" s="237"/>
      <c r="K2540" s="310" t="s">
        <v>8656</v>
      </c>
      <c r="L2540" s="237"/>
      <c r="M2540" s="237"/>
      <c r="N2540" s="237"/>
      <c r="O2540" s="237"/>
      <c r="P2540" s="237"/>
      <c r="Q2540" s="237"/>
      <c r="R2540" s="237"/>
      <c r="S2540" s="237"/>
      <c r="T2540" s="237"/>
      <c r="U2540" s="237"/>
      <c r="V2540" s="237"/>
      <c r="W2540" s="237"/>
      <c r="X2540" s="237"/>
      <c r="Y2540" s="237"/>
      <c r="Z2540" s="237"/>
    </row>
    <row r="2541">
      <c r="A2541" s="305">
        <v>2540.0</v>
      </c>
      <c r="B2541" s="306">
        <v>1008072.0</v>
      </c>
      <c r="C2541" s="307" t="s">
        <v>1420</v>
      </c>
      <c r="D2541" s="308" t="s">
        <v>8661</v>
      </c>
      <c r="E2541" s="305" t="s">
        <v>8662</v>
      </c>
      <c r="F2541" s="236"/>
      <c r="G2541" s="236"/>
      <c r="H2541" s="307" t="s">
        <v>1420</v>
      </c>
      <c r="I2541" s="237"/>
      <c r="J2541" s="237"/>
      <c r="K2541" s="310" t="s">
        <v>8660</v>
      </c>
      <c r="L2541" s="237"/>
      <c r="M2541" s="237"/>
      <c r="N2541" s="237"/>
      <c r="O2541" s="237"/>
      <c r="P2541" s="237"/>
      <c r="Q2541" s="237"/>
      <c r="R2541" s="237"/>
      <c r="S2541" s="237"/>
      <c r="T2541" s="237"/>
      <c r="U2541" s="237"/>
      <c r="V2541" s="237"/>
      <c r="W2541" s="237"/>
      <c r="X2541" s="237"/>
      <c r="Y2541" s="237"/>
      <c r="Z2541" s="237"/>
    </row>
    <row r="2542">
      <c r="A2542" s="305">
        <v>2541.0</v>
      </c>
      <c r="B2542" s="306">
        <v>1008036.0</v>
      </c>
      <c r="C2542" s="307" t="s">
        <v>1420</v>
      </c>
      <c r="D2542" s="308" t="s">
        <v>8755</v>
      </c>
      <c r="E2542" s="305" t="s">
        <v>8756</v>
      </c>
      <c r="F2542" s="309" t="s">
        <v>8757</v>
      </c>
      <c r="G2542" s="236"/>
      <c r="H2542" s="307" t="s">
        <v>1420</v>
      </c>
      <c r="I2542" s="237"/>
      <c r="J2542" s="237"/>
      <c r="K2542" s="310" t="s">
        <v>8754</v>
      </c>
      <c r="L2542" s="237"/>
      <c r="M2542" s="237"/>
      <c r="N2542" s="237"/>
      <c r="O2542" s="237"/>
      <c r="P2542" s="237"/>
      <c r="Q2542" s="237"/>
      <c r="R2542" s="237"/>
      <c r="S2542" s="237"/>
      <c r="T2542" s="237"/>
      <c r="U2542" s="237"/>
      <c r="V2542" s="237"/>
      <c r="W2542" s="237"/>
      <c r="X2542" s="237"/>
      <c r="Y2542" s="237"/>
      <c r="Z2542" s="237"/>
    </row>
    <row r="2543">
      <c r="A2543" s="305">
        <v>2542.0</v>
      </c>
      <c r="B2543" s="306">
        <v>1008032.0</v>
      </c>
      <c r="C2543" s="307" t="s">
        <v>1420</v>
      </c>
      <c r="D2543" s="308" t="s">
        <v>8765</v>
      </c>
      <c r="E2543" s="305" t="s">
        <v>8766</v>
      </c>
      <c r="F2543" s="309" t="s">
        <v>8767</v>
      </c>
      <c r="G2543" s="236"/>
      <c r="H2543" s="307" t="s">
        <v>1420</v>
      </c>
      <c r="I2543" s="237"/>
      <c r="J2543" s="237"/>
      <c r="K2543" s="310" t="s">
        <v>8764</v>
      </c>
      <c r="L2543" s="237"/>
      <c r="M2543" s="237"/>
      <c r="N2543" s="237"/>
      <c r="O2543" s="237"/>
      <c r="P2543" s="237"/>
      <c r="Q2543" s="237"/>
      <c r="R2543" s="237"/>
      <c r="S2543" s="237"/>
      <c r="T2543" s="237"/>
      <c r="U2543" s="237"/>
      <c r="V2543" s="237"/>
      <c r="W2543" s="237"/>
      <c r="X2543" s="237"/>
      <c r="Y2543" s="237"/>
      <c r="Z2543" s="237"/>
    </row>
    <row r="2544">
      <c r="A2544" s="305">
        <v>2543.0</v>
      </c>
      <c r="B2544" s="306">
        <v>1008034.0</v>
      </c>
      <c r="C2544" s="307" t="s">
        <v>1420</v>
      </c>
      <c r="D2544" s="308" t="s">
        <v>8760</v>
      </c>
      <c r="E2544" s="305" t="s">
        <v>8761</v>
      </c>
      <c r="F2544" s="309" t="s">
        <v>8762</v>
      </c>
      <c r="G2544" s="236"/>
      <c r="H2544" s="307" t="s">
        <v>1420</v>
      </c>
      <c r="I2544" s="237"/>
      <c r="J2544" s="237"/>
      <c r="K2544" s="310" t="s">
        <v>8759</v>
      </c>
      <c r="L2544" s="237"/>
      <c r="M2544" s="237"/>
      <c r="N2544" s="237"/>
      <c r="O2544" s="237"/>
      <c r="P2544" s="237"/>
      <c r="Q2544" s="237"/>
      <c r="R2544" s="237"/>
      <c r="S2544" s="237"/>
      <c r="T2544" s="237"/>
      <c r="U2544" s="237"/>
      <c r="V2544" s="237"/>
      <c r="W2544" s="237"/>
      <c r="X2544" s="237"/>
      <c r="Y2544" s="237"/>
      <c r="Z2544" s="237"/>
    </row>
    <row r="2545">
      <c r="A2545" s="305">
        <v>2544.0</v>
      </c>
      <c r="B2545" s="306">
        <v>1008031.0</v>
      </c>
      <c r="C2545" s="307" t="s">
        <v>1420</v>
      </c>
      <c r="D2545" s="308" t="s">
        <v>8775</v>
      </c>
      <c r="E2545" s="305" t="s">
        <v>8776</v>
      </c>
      <c r="F2545" s="309" t="s">
        <v>8777</v>
      </c>
      <c r="G2545" s="236"/>
      <c r="H2545" s="307" t="s">
        <v>1420</v>
      </c>
      <c r="I2545" s="237"/>
      <c r="J2545" s="237"/>
      <c r="K2545" s="310" t="s">
        <v>8774</v>
      </c>
      <c r="L2545" s="237"/>
      <c r="M2545" s="237"/>
      <c r="N2545" s="237"/>
      <c r="O2545" s="237"/>
      <c r="P2545" s="237"/>
      <c r="Q2545" s="237"/>
      <c r="R2545" s="237"/>
      <c r="S2545" s="237"/>
      <c r="T2545" s="237"/>
      <c r="U2545" s="237"/>
      <c r="V2545" s="237"/>
      <c r="W2545" s="237"/>
      <c r="X2545" s="237"/>
      <c r="Y2545" s="237"/>
      <c r="Z2545" s="237"/>
    </row>
    <row r="2546">
      <c r="A2546" s="305">
        <v>2545.0</v>
      </c>
      <c r="B2546" s="306">
        <v>1008030.0</v>
      </c>
      <c r="C2546" s="307" t="s">
        <v>1420</v>
      </c>
      <c r="D2546" s="308" t="s">
        <v>8770</v>
      </c>
      <c r="E2546" s="305" t="s">
        <v>8771</v>
      </c>
      <c r="F2546" s="309" t="s">
        <v>8772</v>
      </c>
      <c r="G2546" s="236"/>
      <c r="H2546" s="307" t="s">
        <v>1420</v>
      </c>
      <c r="I2546" s="237"/>
      <c r="J2546" s="237"/>
      <c r="K2546" s="310" t="s">
        <v>8769</v>
      </c>
      <c r="L2546" s="237"/>
      <c r="M2546" s="237"/>
      <c r="N2546" s="237"/>
      <c r="O2546" s="237"/>
      <c r="P2546" s="237"/>
      <c r="Q2546" s="237"/>
      <c r="R2546" s="237"/>
      <c r="S2546" s="237"/>
      <c r="T2546" s="237"/>
      <c r="U2546" s="237"/>
      <c r="V2546" s="237"/>
      <c r="W2546" s="237"/>
      <c r="X2546" s="237"/>
      <c r="Y2546" s="237"/>
      <c r="Z2546" s="237"/>
    </row>
    <row r="2547">
      <c r="A2547" s="305">
        <v>2546.0</v>
      </c>
      <c r="B2547" s="236"/>
      <c r="C2547" s="236"/>
      <c r="D2547" s="236"/>
      <c r="E2547" s="236"/>
      <c r="F2547" s="236"/>
      <c r="G2547" s="236"/>
      <c r="H2547" s="236"/>
      <c r="I2547" s="237"/>
      <c r="J2547" s="237"/>
      <c r="K2547" s="262"/>
      <c r="L2547" s="237"/>
      <c r="M2547" s="237"/>
      <c r="N2547" s="237"/>
      <c r="O2547" s="237"/>
      <c r="P2547" s="237"/>
      <c r="Q2547" s="237"/>
      <c r="R2547" s="237"/>
      <c r="S2547" s="237"/>
      <c r="T2547" s="237"/>
      <c r="U2547" s="237"/>
      <c r="V2547" s="237"/>
      <c r="W2547" s="237"/>
      <c r="X2547" s="237"/>
      <c r="Y2547" s="237"/>
      <c r="Z2547" s="237"/>
    </row>
    <row r="2548">
      <c r="A2548" s="305">
        <v>2547.0</v>
      </c>
      <c r="B2548" s="236"/>
      <c r="C2548" s="236"/>
      <c r="D2548" s="236"/>
      <c r="E2548" s="236"/>
      <c r="F2548" s="236"/>
      <c r="G2548" s="236"/>
      <c r="H2548" s="236"/>
      <c r="I2548" s="237"/>
      <c r="J2548" s="237"/>
      <c r="K2548" s="262"/>
      <c r="L2548" s="237"/>
      <c r="M2548" s="237"/>
      <c r="N2548" s="237"/>
      <c r="O2548" s="237"/>
      <c r="P2548" s="237"/>
      <c r="Q2548" s="237"/>
      <c r="R2548" s="237"/>
      <c r="S2548" s="237"/>
      <c r="T2548" s="237"/>
      <c r="U2548" s="237"/>
      <c r="V2548" s="237"/>
      <c r="W2548" s="237"/>
      <c r="X2548" s="237"/>
      <c r="Y2548" s="237"/>
      <c r="Z2548" s="237"/>
    </row>
    <row r="2549">
      <c r="A2549" s="305">
        <v>2548.0</v>
      </c>
      <c r="B2549" s="236"/>
      <c r="C2549" s="236"/>
      <c r="D2549" s="236"/>
      <c r="E2549" s="236"/>
      <c r="F2549" s="236"/>
      <c r="G2549" s="236"/>
      <c r="H2549" s="236"/>
      <c r="I2549" s="237"/>
      <c r="J2549" s="237"/>
      <c r="K2549" s="262"/>
      <c r="L2549" s="237"/>
      <c r="M2549" s="237"/>
      <c r="N2549" s="237"/>
      <c r="O2549" s="237"/>
      <c r="P2549" s="237"/>
      <c r="Q2549" s="237"/>
      <c r="R2549" s="237"/>
      <c r="S2549" s="237"/>
      <c r="T2549" s="237"/>
      <c r="U2549" s="237"/>
      <c r="V2549" s="237"/>
      <c r="W2549" s="237"/>
      <c r="X2549" s="237"/>
      <c r="Y2549" s="237"/>
      <c r="Z2549" s="237"/>
    </row>
    <row r="2550">
      <c r="A2550" s="305">
        <v>2549.0</v>
      </c>
      <c r="B2550" s="236"/>
      <c r="C2550" s="236"/>
      <c r="D2550" s="236"/>
      <c r="E2550" s="236"/>
      <c r="F2550" s="236"/>
      <c r="G2550" s="236"/>
      <c r="H2550" s="236"/>
      <c r="I2550" s="237"/>
      <c r="J2550" s="237"/>
      <c r="K2550" s="262"/>
      <c r="L2550" s="237"/>
      <c r="M2550" s="237"/>
      <c r="N2550" s="237"/>
      <c r="O2550" s="237"/>
      <c r="P2550" s="237"/>
      <c r="Q2550" s="237"/>
      <c r="R2550" s="237"/>
      <c r="S2550" s="237"/>
      <c r="T2550" s="237"/>
      <c r="U2550" s="237"/>
      <c r="V2550" s="237"/>
      <c r="W2550" s="237"/>
      <c r="X2550" s="237"/>
      <c r="Y2550" s="237"/>
      <c r="Z2550" s="237"/>
    </row>
    <row r="2551">
      <c r="A2551" s="305">
        <v>2550.0</v>
      </c>
      <c r="B2551" s="236"/>
      <c r="C2551" s="236"/>
      <c r="D2551" s="236"/>
      <c r="E2551" s="236"/>
      <c r="F2551" s="236"/>
      <c r="G2551" s="236"/>
      <c r="H2551" s="236"/>
      <c r="I2551" s="237"/>
      <c r="J2551" s="237"/>
      <c r="K2551" s="262"/>
      <c r="L2551" s="237"/>
      <c r="M2551" s="237"/>
      <c r="N2551" s="237"/>
      <c r="O2551" s="237"/>
      <c r="P2551" s="237"/>
      <c r="Q2551" s="237"/>
      <c r="R2551" s="237"/>
      <c r="S2551" s="237"/>
      <c r="T2551" s="237"/>
      <c r="U2551" s="237"/>
      <c r="V2551" s="237"/>
      <c r="W2551" s="237"/>
      <c r="X2551" s="237"/>
      <c r="Y2551" s="237"/>
      <c r="Z2551" s="237"/>
    </row>
    <row r="2552">
      <c r="A2552" s="305">
        <v>2551.0</v>
      </c>
      <c r="B2552" s="236"/>
      <c r="C2552" s="236"/>
      <c r="D2552" s="236"/>
      <c r="E2552" s="236"/>
      <c r="F2552" s="236"/>
      <c r="G2552" s="236"/>
      <c r="H2552" s="236"/>
      <c r="I2552" s="237"/>
      <c r="J2552" s="237"/>
      <c r="K2552" s="262"/>
      <c r="L2552" s="237"/>
      <c r="M2552" s="237"/>
      <c r="N2552" s="237"/>
      <c r="O2552" s="237"/>
      <c r="P2552" s="237"/>
      <c r="Q2552" s="237"/>
      <c r="R2552" s="237"/>
      <c r="S2552" s="237"/>
      <c r="T2552" s="237"/>
      <c r="U2552" s="237"/>
      <c r="V2552" s="237"/>
      <c r="W2552" s="237"/>
      <c r="X2552" s="237"/>
      <c r="Y2552" s="237"/>
      <c r="Z2552" s="237"/>
    </row>
    <row r="2553">
      <c r="A2553" s="305">
        <v>2552.0</v>
      </c>
      <c r="B2553" s="236"/>
      <c r="C2553" s="236"/>
      <c r="D2553" s="236"/>
      <c r="E2553" s="236"/>
      <c r="F2553" s="236"/>
      <c r="G2553" s="236"/>
      <c r="H2553" s="236"/>
      <c r="I2553" s="237"/>
      <c r="J2553" s="237"/>
      <c r="K2553" s="262"/>
      <c r="L2553" s="237"/>
      <c r="M2553" s="237"/>
      <c r="N2553" s="237"/>
      <c r="O2553" s="237"/>
      <c r="P2553" s="237"/>
      <c r="Q2553" s="237"/>
      <c r="R2553" s="237"/>
      <c r="S2553" s="237"/>
      <c r="T2553" s="237"/>
      <c r="U2553" s="237"/>
      <c r="V2553" s="237"/>
      <c r="W2553" s="237"/>
      <c r="X2553" s="237"/>
      <c r="Y2553" s="237"/>
      <c r="Z2553" s="237"/>
    </row>
    <row r="2554">
      <c r="A2554" s="305">
        <v>2553.0</v>
      </c>
      <c r="B2554" s="236"/>
      <c r="C2554" s="236"/>
      <c r="D2554" s="236"/>
      <c r="E2554" s="236"/>
      <c r="F2554" s="236"/>
      <c r="G2554" s="236"/>
      <c r="H2554" s="236"/>
      <c r="I2554" s="237"/>
      <c r="J2554" s="237"/>
      <c r="K2554" s="262"/>
      <c r="L2554" s="237"/>
      <c r="M2554" s="237"/>
      <c r="N2554" s="237"/>
      <c r="O2554" s="237"/>
      <c r="P2554" s="237"/>
      <c r="Q2554" s="237"/>
      <c r="R2554" s="237"/>
      <c r="S2554" s="237"/>
      <c r="T2554" s="237"/>
      <c r="U2554" s="237"/>
      <c r="V2554" s="237"/>
      <c r="W2554" s="237"/>
      <c r="X2554" s="237"/>
      <c r="Y2554" s="237"/>
      <c r="Z2554" s="237"/>
    </row>
    <row r="2555">
      <c r="A2555" s="305">
        <v>2554.0</v>
      </c>
      <c r="B2555" s="236"/>
      <c r="C2555" s="236"/>
      <c r="D2555" s="236"/>
      <c r="E2555" s="236"/>
      <c r="F2555" s="236"/>
      <c r="G2555" s="236"/>
      <c r="H2555" s="236"/>
      <c r="I2555" s="237"/>
      <c r="J2555" s="237"/>
      <c r="K2555" s="262"/>
      <c r="L2555" s="237"/>
      <c r="M2555" s="237"/>
      <c r="N2555" s="237"/>
      <c r="O2555" s="237"/>
      <c r="P2555" s="237"/>
      <c r="Q2555" s="237"/>
      <c r="R2555" s="237"/>
      <c r="S2555" s="237"/>
      <c r="T2555" s="237"/>
      <c r="U2555" s="237"/>
      <c r="V2555" s="237"/>
      <c r="W2555" s="237"/>
      <c r="X2555" s="237"/>
      <c r="Y2555" s="237"/>
      <c r="Z2555" s="237"/>
    </row>
    <row r="2556">
      <c r="A2556" s="305">
        <v>2555.0</v>
      </c>
      <c r="B2556" s="236"/>
      <c r="C2556" s="236"/>
      <c r="D2556" s="236"/>
      <c r="E2556" s="236"/>
      <c r="F2556" s="236"/>
      <c r="G2556" s="236"/>
      <c r="H2556" s="236"/>
      <c r="I2556" s="237"/>
      <c r="J2556" s="237"/>
      <c r="K2556" s="262"/>
      <c r="L2556" s="237"/>
      <c r="M2556" s="237"/>
      <c r="N2556" s="237"/>
      <c r="O2556" s="237"/>
      <c r="P2556" s="237"/>
      <c r="Q2556" s="237"/>
      <c r="R2556" s="237"/>
      <c r="S2556" s="237"/>
      <c r="T2556" s="237"/>
      <c r="U2556" s="237"/>
      <c r="V2556" s="237"/>
      <c r="W2556" s="237"/>
      <c r="X2556" s="237"/>
      <c r="Y2556" s="237"/>
      <c r="Z2556" s="237"/>
    </row>
    <row r="2557">
      <c r="A2557" s="305">
        <v>2556.0</v>
      </c>
      <c r="B2557" s="236"/>
      <c r="C2557" s="236"/>
      <c r="D2557" s="236"/>
      <c r="E2557" s="236"/>
      <c r="F2557" s="236"/>
      <c r="G2557" s="236"/>
      <c r="H2557" s="236"/>
      <c r="I2557" s="237"/>
      <c r="J2557" s="237"/>
      <c r="K2557" s="262"/>
      <c r="L2557" s="237"/>
      <c r="M2557" s="237"/>
      <c r="N2557" s="237"/>
      <c r="O2557" s="237"/>
      <c r="P2557" s="237"/>
      <c r="Q2557" s="237"/>
      <c r="R2557" s="237"/>
      <c r="S2557" s="237"/>
      <c r="T2557" s="237"/>
      <c r="U2557" s="237"/>
      <c r="V2557" s="237"/>
      <c r="W2557" s="237"/>
      <c r="X2557" s="237"/>
      <c r="Y2557" s="237"/>
      <c r="Z2557" s="237"/>
    </row>
    <row r="2558">
      <c r="A2558" s="305">
        <v>2557.0</v>
      </c>
      <c r="B2558" s="236"/>
      <c r="C2558" s="236"/>
      <c r="D2558" s="236"/>
      <c r="E2558" s="236"/>
      <c r="F2558" s="236"/>
      <c r="G2558" s="236"/>
      <c r="H2558" s="236"/>
      <c r="I2558" s="237"/>
      <c r="J2558" s="237"/>
      <c r="K2558" s="262"/>
      <c r="L2558" s="237"/>
      <c r="M2558" s="237"/>
      <c r="N2558" s="237"/>
      <c r="O2558" s="237"/>
      <c r="P2558" s="237"/>
      <c r="Q2558" s="237"/>
      <c r="R2558" s="237"/>
      <c r="S2558" s="237"/>
      <c r="T2558" s="237"/>
      <c r="U2558" s="237"/>
      <c r="V2558" s="237"/>
      <c r="W2558" s="237"/>
      <c r="X2558" s="237"/>
      <c r="Y2558" s="237"/>
      <c r="Z2558" s="237"/>
    </row>
    <row r="2559">
      <c r="A2559" s="305">
        <v>2558.0</v>
      </c>
      <c r="B2559" s="236"/>
      <c r="C2559" s="236"/>
      <c r="D2559" s="236"/>
      <c r="E2559" s="236"/>
      <c r="F2559" s="236"/>
      <c r="G2559" s="236"/>
      <c r="H2559" s="236"/>
      <c r="I2559" s="237"/>
      <c r="J2559" s="237"/>
      <c r="K2559" s="262"/>
      <c r="L2559" s="237"/>
      <c r="M2559" s="237"/>
      <c r="N2559" s="237"/>
      <c r="O2559" s="237"/>
      <c r="P2559" s="237"/>
      <c r="Q2559" s="237"/>
      <c r="R2559" s="237"/>
      <c r="S2559" s="237"/>
      <c r="T2559" s="237"/>
      <c r="U2559" s="237"/>
      <c r="V2559" s="237"/>
      <c r="W2559" s="237"/>
      <c r="X2559" s="237"/>
      <c r="Y2559" s="237"/>
      <c r="Z2559" s="237"/>
    </row>
    <row r="2560">
      <c r="A2560" s="305">
        <v>2559.0</v>
      </c>
      <c r="B2560" s="236"/>
      <c r="C2560" s="236"/>
      <c r="D2560" s="236"/>
      <c r="E2560" s="236"/>
      <c r="F2560" s="236"/>
      <c r="G2560" s="236"/>
      <c r="H2560" s="236"/>
      <c r="I2560" s="237"/>
      <c r="J2560" s="237"/>
      <c r="K2560" s="262"/>
      <c r="L2560" s="237"/>
      <c r="M2560" s="237"/>
      <c r="N2560" s="237"/>
      <c r="O2560" s="237"/>
      <c r="P2560" s="237"/>
      <c r="Q2560" s="237"/>
      <c r="R2560" s="237"/>
      <c r="S2560" s="237"/>
      <c r="T2560" s="237"/>
      <c r="U2560" s="237"/>
      <c r="V2560" s="237"/>
      <c r="W2560" s="237"/>
      <c r="X2560" s="237"/>
      <c r="Y2560" s="237"/>
      <c r="Z2560" s="237"/>
    </row>
    <row r="2561">
      <c r="A2561" s="305">
        <v>2560.0</v>
      </c>
      <c r="B2561" s="236"/>
      <c r="C2561" s="236"/>
      <c r="D2561" s="236"/>
      <c r="E2561" s="236"/>
      <c r="F2561" s="236"/>
      <c r="G2561" s="236"/>
      <c r="H2561" s="236"/>
      <c r="I2561" s="237"/>
      <c r="J2561" s="237"/>
      <c r="K2561" s="262"/>
      <c r="L2561" s="237"/>
      <c r="M2561" s="237"/>
      <c r="N2561" s="237"/>
      <c r="O2561" s="237"/>
      <c r="P2561" s="237"/>
      <c r="Q2561" s="237"/>
      <c r="R2561" s="237"/>
      <c r="S2561" s="237"/>
      <c r="T2561" s="237"/>
      <c r="U2561" s="237"/>
      <c r="V2561" s="237"/>
      <c r="W2561" s="237"/>
      <c r="X2561" s="237"/>
      <c r="Y2561" s="237"/>
      <c r="Z2561" s="237"/>
    </row>
    <row r="2562">
      <c r="A2562" s="305">
        <v>2561.0</v>
      </c>
      <c r="B2562" s="236"/>
      <c r="C2562" s="236"/>
      <c r="D2562" s="236"/>
      <c r="E2562" s="236"/>
      <c r="F2562" s="236"/>
      <c r="G2562" s="236"/>
      <c r="H2562" s="236"/>
      <c r="I2562" s="237"/>
      <c r="J2562" s="237"/>
      <c r="K2562" s="262"/>
      <c r="L2562" s="237"/>
      <c r="M2562" s="237"/>
      <c r="N2562" s="237"/>
      <c r="O2562" s="237"/>
      <c r="P2562" s="237"/>
      <c r="Q2562" s="237"/>
      <c r="R2562" s="237"/>
      <c r="S2562" s="237"/>
      <c r="T2562" s="237"/>
      <c r="U2562" s="237"/>
      <c r="V2562" s="237"/>
      <c r="W2562" s="237"/>
      <c r="X2562" s="237"/>
      <c r="Y2562" s="237"/>
      <c r="Z2562" s="237"/>
    </row>
    <row r="2563">
      <c r="A2563" s="305">
        <v>2562.0</v>
      </c>
      <c r="B2563" s="236"/>
      <c r="C2563" s="236"/>
      <c r="D2563" s="236"/>
      <c r="E2563" s="236"/>
      <c r="F2563" s="236"/>
      <c r="G2563" s="236"/>
      <c r="H2563" s="236"/>
      <c r="I2563" s="237"/>
      <c r="J2563" s="237"/>
      <c r="K2563" s="262"/>
      <c r="L2563" s="237"/>
      <c r="M2563" s="237"/>
      <c r="N2563" s="237"/>
      <c r="O2563" s="237"/>
      <c r="P2563" s="237"/>
      <c r="Q2563" s="237"/>
      <c r="R2563" s="237"/>
      <c r="S2563" s="237"/>
      <c r="T2563" s="237"/>
      <c r="U2563" s="237"/>
      <c r="V2563" s="237"/>
      <c r="W2563" s="237"/>
      <c r="X2563" s="237"/>
      <c r="Y2563" s="237"/>
      <c r="Z2563" s="237"/>
    </row>
    <row r="2564">
      <c r="A2564" s="305">
        <v>2563.0</v>
      </c>
      <c r="B2564" s="236"/>
      <c r="C2564" s="236"/>
      <c r="D2564" s="236"/>
      <c r="E2564" s="236"/>
      <c r="F2564" s="236"/>
      <c r="G2564" s="236"/>
      <c r="H2564" s="236"/>
      <c r="I2564" s="237"/>
      <c r="J2564" s="237"/>
      <c r="K2564" s="262"/>
      <c r="L2564" s="237"/>
      <c r="M2564" s="237"/>
      <c r="N2564" s="237"/>
      <c r="O2564" s="237"/>
      <c r="P2564" s="237"/>
      <c r="Q2564" s="237"/>
      <c r="R2564" s="237"/>
      <c r="S2564" s="237"/>
      <c r="T2564" s="237"/>
      <c r="U2564" s="237"/>
      <c r="V2564" s="237"/>
      <c r="W2564" s="237"/>
      <c r="X2564" s="237"/>
      <c r="Y2564" s="237"/>
      <c r="Z2564" s="237"/>
    </row>
    <row r="2565">
      <c r="A2565" s="305">
        <v>2564.0</v>
      </c>
      <c r="B2565" s="236"/>
      <c r="C2565" s="236"/>
      <c r="D2565" s="236"/>
      <c r="E2565" s="236"/>
      <c r="F2565" s="236"/>
      <c r="G2565" s="236"/>
      <c r="H2565" s="236"/>
      <c r="I2565" s="237"/>
      <c r="J2565" s="237"/>
      <c r="K2565" s="262"/>
      <c r="L2565" s="237"/>
      <c r="M2565" s="237"/>
      <c r="N2565" s="237"/>
      <c r="O2565" s="237"/>
      <c r="P2565" s="237"/>
      <c r="Q2565" s="237"/>
      <c r="R2565" s="237"/>
      <c r="S2565" s="237"/>
      <c r="T2565" s="237"/>
      <c r="U2565" s="237"/>
      <c r="V2565" s="237"/>
      <c r="W2565" s="237"/>
      <c r="X2565" s="237"/>
      <c r="Y2565" s="237"/>
      <c r="Z2565" s="237"/>
    </row>
    <row r="2566">
      <c r="A2566" s="305">
        <v>2565.0</v>
      </c>
      <c r="B2566" s="236"/>
      <c r="C2566" s="236"/>
      <c r="D2566" s="236"/>
      <c r="E2566" s="236"/>
      <c r="F2566" s="236"/>
      <c r="G2566" s="236"/>
      <c r="H2566" s="236"/>
      <c r="I2566" s="237"/>
      <c r="J2566" s="237"/>
      <c r="K2566" s="262"/>
      <c r="L2566" s="237"/>
      <c r="M2566" s="237"/>
      <c r="N2566" s="237"/>
      <c r="O2566" s="237"/>
      <c r="P2566" s="237"/>
      <c r="Q2566" s="237"/>
      <c r="R2566" s="237"/>
      <c r="S2566" s="237"/>
      <c r="T2566" s="237"/>
      <c r="U2566" s="237"/>
      <c r="V2566" s="237"/>
      <c r="W2566" s="237"/>
      <c r="X2566" s="237"/>
      <c r="Y2566" s="237"/>
      <c r="Z2566" s="237"/>
    </row>
    <row r="2567">
      <c r="A2567" s="305">
        <v>2566.0</v>
      </c>
      <c r="B2567" s="236"/>
      <c r="C2567" s="236"/>
      <c r="D2567" s="236"/>
      <c r="E2567" s="236"/>
      <c r="F2567" s="236"/>
      <c r="G2567" s="236"/>
      <c r="H2567" s="236"/>
      <c r="I2567" s="237"/>
      <c r="J2567" s="237"/>
      <c r="K2567" s="262"/>
      <c r="L2567" s="237"/>
      <c r="M2567" s="237"/>
      <c r="N2567" s="237"/>
      <c r="O2567" s="237"/>
      <c r="P2567" s="237"/>
      <c r="Q2567" s="237"/>
      <c r="R2567" s="237"/>
      <c r="S2567" s="237"/>
      <c r="T2567" s="237"/>
      <c r="U2567" s="237"/>
      <c r="V2567" s="237"/>
      <c r="W2567" s="237"/>
      <c r="X2567" s="237"/>
      <c r="Y2567" s="237"/>
      <c r="Z2567" s="237"/>
    </row>
    <row r="2568">
      <c r="A2568" s="305">
        <v>2567.0</v>
      </c>
      <c r="B2568" s="236"/>
      <c r="C2568" s="236"/>
      <c r="D2568" s="236"/>
      <c r="E2568" s="236"/>
      <c r="F2568" s="236"/>
      <c r="G2568" s="236"/>
      <c r="H2568" s="236"/>
      <c r="I2568" s="237"/>
      <c r="J2568" s="237"/>
      <c r="K2568" s="262"/>
      <c r="L2568" s="237"/>
      <c r="M2568" s="237"/>
      <c r="N2568" s="237"/>
      <c r="O2568" s="237"/>
      <c r="P2568" s="237"/>
      <c r="Q2568" s="237"/>
      <c r="R2568" s="237"/>
      <c r="S2568" s="237"/>
      <c r="T2568" s="237"/>
      <c r="U2568" s="237"/>
      <c r="V2568" s="237"/>
      <c r="W2568" s="237"/>
      <c r="X2568" s="237"/>
      <c r="Y2568" s="237"/>
      <c r="Z2568" s="237"/>
    </row>
    <row r="2569">
      <c r="A2569" s="305">
        <v>2568.0</v>
      </c>
      <c r="B2569" s="236"/>
      <c r="C2569" s="236"/>
      <c r="D2569" s="236"/>
      <c r="E2569" s="236"/>
      <c r="F2569" s="236"/>
      <c r="G2569" s="236"/>
      <c r="H2569" s="236"/>
      <c r="I2569" s="237"/>
      <c r="J2569" s="237"/>
      <c r="K2569" s="262"/>
      <c r="L2569" s="237"/>
      <c r="M2569" s="237"/>
      <c r="N2569" s="237"/>
      <c r="O2569" s="237"/>
      <c r="P2569" s="237"/>
      <c r="Q2569" s="237"/>
      <c r="R2569" s="237"/>
      <c r="S2569" s="237"/>
      <c r="T2569" s="237"/>
      <c r="U2569" s="237"/>
      <c r="V2569" s="237"/>
      <c r="W2569" s="237"/>
      <c r="X2569" s="237"/>
      <c r="Y2569" s="237"/>
      <c r="Z2569" s="237"/>
    </row>
    <row r="2570">
      <c r="A2570" s="305">
        <v>2569.0</v>
      </c>
      <c r="B2570" s="236"/>
      <c r="C2570" s="236"/>
      <c r="D2570" s="236"/>
      <c r="E2570" s="236"/>
      <c r="F2570" s="236"/>
      <c r="G2570" s="236"/>
      <c r="H2570" s="236"/>
      <c r="I2570" s="237"/>
      <c r="J2570" s="237"/>
      <c r="K2570" s="262"/>
      <c r="L2570" s="237"/>
      <c r="M2570" s="237"/>
      <c r="N2570" s="237"/>
      <c r="O2570" s="237"/>
      <c r="P2570" s="237"/>
      <c r="Q2570" s="237"/>
      <c r="R2570" s="237"/>
      <c r="S2570" s="237"/>
      <c r="T2570" s="237"/>
      <c r="U2570" s="237"/>
      <c r="V2570" s="237"/>
      <c r="W2570" s="237"/>
      <c r="X2570" s="237"/>
      <c r="Y2570" s="237"/>
      <c r="Z2570" s="237"/>
    </row>
    <row r="2571">
      <c r="A2571" s="305">
        <v>2570.0</v>
      </c>
      <c r="B2571" s="236"/>
      <c r="C2571" s="236"/>
      <c r="D2571" s="236"/>
      <c r="E2571" s="236"/>
      <c r="F2571" s="236"/>
      <c r="G2571" s="236"/>
      <c r="H2571" s="236"/>
      <c r="I2571" s="237"/>
      <c r="J2571" s="237"/>
      <c r="K2571" s="262"/>
      <c r="L2571" s="237"/>
      <c r="M2571" s="237"/>
      <c r="N2571" s="237"/>
      <c r="O2571" s="237"/>
      <c r="P2571" s="237"/>
      <c r="Q2571" s="237"/>
      <c r="R2571" s="237"/>
      <c r="S2571" s="237"/>
      <c r="T2571" s="237"/>
      <c r="U2571" s="237"/>
      <c r="V2571" s="237"/>
      <c r="W2571" s="237"/>
      <c r="X2571" s="237"/>
      <c r="Y2571" s="237"/>
      <c r="Z2571" s="237"/>
    </row>
    <row r="2572">
      <c r="A2572" s="305">
        <v>2571.0</v>
      </c>
      <c r="B2572" s="236"/>
      <c r="C2572" s="236"/>
      <c r="D2572" s="236"/>
      <c r="E2572" s="236"/>
      <c r="F2572" s="236"/>
      <c r="G2572" s="236"/>
      <c r="H2572" s="236"/>
      <c r="I2572" s="237"/>
      <c r="J2572" s="237"/>
      <c r="K2572" s="262"/>
      <c r="L2572" s="237"/>
      <c r="M2572" s="237"/>
      <c r="N2572" s="237"/>
      <c r="O2572" s="237"/>
      <c r="P2572" s="237"/>
      <c r="Q2572" s="237"/>
      <c r="R2572" s="237"/>
      <c r="S2572" s="237"/>
      <c r="T2572" s="237"/>
      <c r="U2572" s="237"/>
      <c r="V2572" s="237"/>
      <c r="W2572" s="237"/>
      <c r="X2572" s="237"/>
      <c r="Y2572" s="237"/>
      <c r="Z2572" s="237"/>
    </row>
    <row r="2573">
      <c r="A2573" s="305">
        <v>2572.0</v>
      </c>
      <c r="B2573" s="236"/>
      <c r="C2573" s="236"/>
      <c r="D2573" s="236"/>
      <c r="E2573" s="236"/>
      <c r="F2573" s="236"/>
      <c r="G2573" s="236"/>
      <c r="H2573" s="236"/>
      <c r="I2573" s="237"/>
      <c r="J2573" s="237"/>
      <c r="K2573" s="262"/>
      <c r="L2573" s="237"/>
      <c r="M2573" s="237"/>
      <c r="N2573" s="237"/>
      <c r="O2573" s="237"/>
      <c r="P2573" s="237"/>
      <c r="Q2573" s="237"/>
      <c r="R2573" s="237"/>
      <c r="S2573" s="237"/>
      <c r="T2573" s="237"/>
      <c r="U2573" s="237"/>
      <c r="V2573" s="237"/>
      <c r="W2573" s="237"/>
      <c r="X2573" s="237"/>
      <c r="Y2573" s="237"/>
      <c r="Z2573" s="237"/>
    </row>
    <row r="2574">
      <c r="A2574" s="305">
        <v>2573.0</v>
      </c>
      <c r="B2574" s="236"/>
      <c r="C2574" s="236"/>
      <c r="D2574" s="236"/>
      <c r="E2574" s="236"/>
      <c r="F2574" s="236"/>
      <c r="G2574" s="236"/>
      <c r="H2574" s="236"/>
      <c r="I2574" s="237"/>
      <c r="J2574" s="237"/>
      <c r="K2574" s="262"/>
      <c r="L2574" s="237"/>
      <c r="M2574" s="237"/>
      <c r="N2574" s="237"/>
      <c r="O2574" s="237"/>
      <c r="P2574" s="237"/>
      <c r="Q2574" s="237"/>
      <c r="R2574" s="237"/>
      <c r="S2574" s="237"/>
      <c r="T2574" s="237"/>
      <c r="U2574" s="237"/>
      <c r="V2574" s="237"/>
      <c r="W2574" s="237"/>
      <c r="X2574" s="237"/>
      <c r="Y2574" s="237"/>
      <c r="Z2574" s="237"/>
    </row>
    <row r="2575">
      <c r="A2575" s="305">
        <v>2574.0</v>
      </c>
      <c r="B2575" s="236"/>
      <c r="C2575" s="236"/>
      <c r="D2575" s="236"/>
      <c r="E2575" s="236"/>
      <c r="F2575" s="236"/>
      <c r="G2575" s="236"/>
      <c r="H2575" s="236"/>
      <c r="I2575" s="237"/>
      <c r="J2575" s="237"/>
      <c r="K2575" s="262"/>
      <c r="L2575" s="237"/>
      <c r="M2575" s="237"/>
      <c r="N2575" s="237"/>
      <c r="O2575" s="237"/>
      <c r="P2575" s="237"/>
      <c r="Q2575" s="237"/>
      <c r="R2575" s="237"/>
      <c r="S2575" s="237"/>
      <c r="T2575" s="237"/>
      <c r="U2575" s="237"/>
      <c r="V2575" s="237"/>
      <c r="W2575" s="237"/>
      <c r="X2575" s="237"/>
      <c r="Y2575" s="237"/>
      <c r="Z2575" s="237"/>
    </row>
    <row r="2576">
      <c r="A2576" s="305">
        <v>2575.0</v>
      </c>
      <c r="B2576" s="236"/>
      <c r="C2576" s="236"/>
      <c r="D2576" s="236"/>
      <c r="E2576" s="236"/>
      <c r="F2576" s="236"/>
      <c r="G2576" s="236"/>
      <c r="H2576" s="236"/>
      <c r="I2576" s="237"/>
      <c r="J2576" s="237"/>
      <c r="K2576" s="262"/>
      <c r="L2576" s="237"/>
      <c r="M2576" s="237"/>
      <c r="N2576" s="237"/>
      <c r="O2576" s="237"/>
      <c r="P2576" s="237"/>
      <c r="Q2576" s="237"/>
      <c r="R2576" s="237"/>
      <c r="S2576" s="237"/>
      <c r="T2576" s="237"/>
      <c r="U2576" s="237"/>
      <c r="V2576" s="237"/>
      <c r="W2576" s="237"/>
      <c r="X2576" s="237"/>
      <c r="Y2576" s="237"/>
      <c r="Z2576" s="237"/>
    </row>
    <row r="2577">
      <c r="A2577" s="305">
        <v>2576.0</v>
      </c>
      <c r="B2577" s="236"/>
      <c r="C2577" s="236"/>
      <c r="D2577" s="236"/>
      <c r="E2577" s="236"/>
      <c r="F2577" s="236"/>
      <c r="G2577" s="236"/>
      <c r="H2577" s="236"/>
      <c r="I2577" s="237"/>
      <c r="J2577" s="237"/>
      <c r="K2577" s="262"/>
      <c r="L2577" s="237"/>
      <c r="M2577" s="237"/>
      <c r="N2577" s="237"/>
      <c r="O2577" s="237"/>
      <c r="P2577" s="237"/>
      <c r="Q2577" s="237"/>
      <c r="R2577" s="237"/>
      <c r="S2577" s="237"/>
      <c r="T2577" s="237"/>
      <c r="U2577" s="237"/>
      <c r="V2577" s="237"/>
      <c r="W2577" s="237"/>
      <c r="X2577" s="237"/>
      <c r="Y2577" s="237"/>
      <c r="Z2577" s="237"/>
    </row>
    <row r="2578">
      <c r="A2578" s="305">
        <v>2577.0</v>
      </c>
      <c r="B2578" s="236"/>
      <c r="C2578" s="236"/>
      <c r="D2578" s="236"/>
      <c r="E2578" s="236"/>
      <c r="F2578" s="236"/>
      <c r="G2578" s="236"/>
      <c r="H2578" s="236"/>
      <c r="I2578" s="237"/>
      <c r="J2578" s="237"/>
      <c r="K2578" s="262"/>
      <c r="L2578" s="237"/>
      <c r="M2578" s="237"/>
      <c r="N2578" s="237"/>
      <c r="O2578" s="237"/>
      <c r="P2578" s="237"/>
      <c r="Q2578" s="237"/>
      <c r="R2578" s="237"/>
      <c r="S2578" s="237"/>
      <c r="T2578" s="237"/>
      <c r="U2578" s="237"/>
      <c r="V2578" s="237"/>
      <c r="W2578" s="237"/>
      <c r="X2578" s="237"/>
      <c r="Y2578" s="237"/>
      <c r="Z2578" s="237"/>
    </row>
    <row r="2579">
      <c r="A2579" s="305">
        <v>2578.0</v>
      </c>
      <c r="B2579" s="236"/>
      <c r="C2579" s="236"/>
      <c r="D2579" s="236"/>
      <c r="E2579" s="236"/>
      <c r="F2579" s="236"/>
      <c r="G2579" s="236"/>
      <c r="H2579" s="236"/>
      <c r="I2579" s="237"/>
      <c r="J2579" s="237"/>
      <c r="K2579" s="262"/>
      <c r="L2579" s="237"/>
      <c r="M2579" s="237"/>
      <c r="N2579" s="237"/>
      <c r="O2579" s="237"/>
      <c r="P2579" s="237"/>
      <c r="Q2579" s="237"/>
      <c r="R2579" s="237"/>
      <c r="S2579" s="237"/>
      <c r="T2579" s="237"/>
      <c r="U2579" s="237"/>
      <c r="V2579" s="237"/>
      <c r="W2579" s="237"/>
      <c r="X2579" s="237"/>
      <c r="Y2579" s="237"/>
      <c r="Z2579" s="237"/>
    </row>
    <row r="2580">
      <c r="A2580" s="305">
        <v>2579.0</v>
      </c>
      <c r="B2580" s="236"/>
      <c r="C2580" s="236"/>
      <c r="D2580" s="236"/>
      <c r="E2580" s="236"/>
      <c r="F2580" s="236"/>
      <c r="G2580" s="236"/>
      <c r="H2580" s="236"/>
      <c r="I2580" s="237"/>
      <c r="J2580" s="237"/>
      <c r="K2580" s="262"/>
      <c r="L2580" s="237"/>
      <c r="M2580" s="237"/>
      <c r="N2580" s="237"/>
      <c r="O2580" s="237"/>
      <c r="P2580" s="237"/>
      <c r="Q2580" s="237"/>
      <c r="R2580" s="237"/>
      <c r="S2580" s="237"/>
      <c r="T2580" s="237"/>
      <c r="U2580" s="237"/>
      <c r="V2580" s="237"/>
      <c r="W2580" s="237"/>
      <c r="X2580" s="237"/>
      <c r="Y2580" s="237"/>
      <c r="Z2580" s="237"/>
    </row>
    <row r="2581">
      <c r="A2581" s="305">
        <v>2580.0</v>
      </c>
      <c r="B2581" s="236"/>
      <c r="C2581" s="236"/>
      <c r="D2581" s="236"/>
      <c r="E2581" s="236"/>
      <c r="F2581" s="236"/>
      <c r="G2581" s="236"/>
      <c r="H2581" s="236"/>
      <c r="I2581" s="237"/>
      <c r="J2581" s="237"/>
      <c r="K2581" s="262"/>
      <c r="L2581" s="237"/>
      <c r="M2581" s="237"/>
      <c r="N2581" s="237"/>
      <c r="O2581" s="237"/>
      <c r="P2581" s="237"/>
      <c r="Q2581" s="237"/>
      <c r="R2581" s="237"/>
      <c r="S2581" s="237"/>
      <c r="T2581" s="237"/>
      <c r="U2581" s="237"/>
      <c r="V2581" s="237"/>
      <c r="W2581" s="237"/>
      <c r="X2581" s="237"/>
      <c r="Y2581" s="237"/>
      <c r="Z2581" s="237"/>
    </row>
    <row r="2582">
      <c r="A2582" s="305">
        <v>2581.0</v>
      </c>
      <c r="B2582" s="236"/>
      <c r="C2582" s="236"/>
      <c r="D2582" s="236"/>
      <c r="E2582" s="236"/>
      <c r="F2582" s="236"/>
      <c r="G2582" s="236"/>
      <c r="H2582" s="236"/>
      <c r="I2582" s="237"/>
      <c r="J2582" s="237"/>
      <c r="K2582" s="262"/>
      <c r="L2582" s="237"/>
      <c r="M2582" s="237"/>
      <c r="N2582" s="237"/>
      <c r="O2582" s="237"/>
      <c r="P2582" s="237"/>
      <c r="Q2582" s="237"/>
      <c r="R2582" s="237"/>
      <c r="S2582" s="237"/>
      <c r="T2582" s="237"/>
      <c r="U2582" s="237"/>
      <c r="V2582" s="237"/>
      <c r="W2582" s="237"/>
      <c r="X2582" s="237"/>
      <c r="Y2582" s="237"/>
      <c r="Z2582" s="237"/>
    </row>
    <row r="2583">
      <c r="A2583" s="305">
        <v>2582.0</v>
      </c>
      <c r="B2583" s="236"/>
      <c r="C2583" s="236"/>
      <c r="D2583" s="236"/>
      <c r="E2583" s="236"/>
      <c r="F2583" s="236"/>
      <c r="G2583" s="236"/>
      <c r="H2583" s="236"/>
      <c r="I2583" s="237"/>
      <c r="J2583" s="237"/>
      <c r="K2583" s="262"/>
      <c r="L2583" s="237"/>
      <c r="M2583" s="237"/>
      <c r="N2583" s="237"/>
      <c r="O2583" s="237"/>
      <c r="P2583" s="237"/>
      <c r="Q2583" s="237"/>
      <c r="R2583" s="237"/>
      <c r="S2583" s="237"/>
      <c r="T2583" s="237"/>
      <c r="U2583" s="237"/>
      <c r="V2583" s="237"/>
      <c r="W2583" s="237"/>
      <c r="X2583" s="237"/>
      <c r="Y2583" s="237"/>
      <c r="Z2583" s="237"/>
    </row>
    <row r="2584">
      <c r="A2584" s="305">
        <v>2583.0</v>
      </c>
      <c r="B2584" s="236"/>
      <c r="C2584" s="236"/>
      <c r="D2584" s="236"/>
      <c r="E2584" s="236"/>
      <c r="F2584" s="236"/>
      <c r="G2584" s="236"/>
      <c r="H2584" s="236"/>
      <c r="I2584" s="237"/>
      <c r="J2584" s="237"/>
      <c r="K2584" s="262"/>
      <c r="L2584" s="237"/>
      <c r="M2584" s="237"/>
      <c r="N2584" s="237"/>
      <c r="O2584" s="237"/>
      <c r="P2584" s="237"/>
      <c r="Q2584" s="237"/>
      <c r="R2584" s="237"/>
      <c r="S2584" s="237"/>
      <c r="T2584" s="237"/>
      <c r="U2584" s="237"/>
      <c r="V2584" s="237"/>
      <c r="W2584" s="237"/>
      <c r="X2584" s="237"/>
      <c r="Y2584" s="237"/>
      <c r="Z2584" s="237"/>
    </row>
    <row r="2585">
      <c r="A2585" s="305">
        <v>2584.0</v>
      </c>
      <c r="B2585" s="236"/>
      <c r="C2585" s="236"/>
      <c r="D2585" s="236"/>
      <c r="E2585" s="236"/>
      <c r="F2585" s="236"/>
      <c r="G2585" s="236"/>
      <c r="H2585" s="236"/>
      <c r="I2585" s="237"/>
      <c r="J2585" s="237"/>
      <c r="K2585" s="262"/>
      <c r="L2585" s="237"/>
      <c r="M2585" s="237"/>
      <c r="N2585" s="237"/>
      <c r="O2585" s="237"/>
      <c r="P2585" s="237"/>
      <c r="Q2585" s="237"/>
      <c r="R2585" s="237"/>
      <c r="S2585" s="237"/>
      <c r="T2585" s="237"/>
      <c r="U2585" s="237"/>
      <c r="V2585" s="237"/>
      <c r="W2585" s="237"/>
      <c r="X2585" s="237"/>
      <c r="Y2585" s="237"/>
      <c r="Z2585" s="237"/>
    </row>
    <row r="2586">
      <c r="A2586" s="305">
        <v>2585.0</v>
      </c>
      <c r="B2586" s="236"/>
      <c r="C2586" s="236"/>
      <c r="D2586" s="236"/>
      <c r="E2586" s="236"/>
      <c r="F2586" s="236"/>
      <c r="G2586" s="236"/>
      <c r="H2586" s="236"/>
      <c r="I2586" s="237"/>
      <c r="J2586" s="237"/>
      <c r="K2586" s="262"/>
      <c r="L2586" s="237"/>
      <c r="M2586" s="237"/>
      <c r="N2586" s="237"/>
      <c r="O2586" s="237"/>
      <c r="P2586" s="237"/>
      <c r="Q2586" s="237"/>
      <c r="R2586" s="237"/>
      <c r="S2586" s="237"/>
      <c r="T2586" s="237"/>
      <c r="U2586" s="237"/>
      <c r="V2586" s="237"/>
      <c r="W2586" s="237"/>
      <c r="X2586" s="237"/>
      <c r="Y2586" s="237"/>
      <c r="Z2586" s="237"/>
    </row>
    <row r="2587">
      <c r="A2587" s="305">
        <v>2586.0</v>
      </c>
      <c r="B2587" s="236"/>
      <c r="C2587" s="236"/>
      <c r="D2587" s="236"/>
      <c r="E2587" s="236"/>
      <c r="F2587" s="236"/>
      <c r="G2587" s="236"/>
      <c r="H2587" s="236"/>
      <c r="I2587" s="237"/>
      <c r="J2587" s="237"/>
      <c r="K2587" s="262"/>
      <c r="L2587" s="237"/>
      <c r="M2587" s="237"/>
      <c r="N2587" s="237"/>
      <c r="O2587" s="237"/>
      <c r="P2587" s="237"/>
      <c r="Q2587" s="237"/>
      <c r="R2587" s="237"/>
      <c r="S2587" s="237"/>
      <c r="T2587" s="237"/>
      <c r="U2587" s="237"/>
      <c r="V2587" s="237"/>
      <c r="W2587" s="237"/>
      <c r="X2587" s="237"/>
      <c r="Y2587" s="237"/>
      <c r="Z2587" s="237"/>
    </row>
    <row r="2588">
      <c r="A2588" s="305">
        <v>2587.0</v>
      </c>
      <c r="B2588" s="236"/>
      <c r="C2588" s="236"/>
      <c r="D2588" s="236"/>
      <c r="E2588" s="236"/>
      <c r="F2588" s="236"/>
      <c r="G2588" s="236"/>
      <c r="H2588" s="236"/>
      <c r="I2588" s="237"/>
      <c r="J2588" s="237"/>
      <c r="K2588" s="262"/>
      <c r="L2588" s="237"/>
      <c r="M2588" s="237"/>
      <c r="N2588" s="237"/>
      <c r="O2588" s="237"/>
      <c r="P2588" s="237"/>
      <c r="Q2588" s="237"/>
      <c r="R2588" s="237"/>
      <c r="S2588" s="237"/>
      <c r="T2588" s="237"/>
      <c r="U2588" s="237"/>
      <c r="V2588" s="237"/>
      <c r="W2588" s="237"/>
      <c r="X2588" s="237"/>
      <c r="Y2588" s="237"/>
      <c r="Z2588" s="237"/>
    </row>
    <row r="2589">
      <c r="A2589" s="305">
        <v>2588.0</v>
      </c>
      <c r="B2589" s="236"/>
      <c r="C2589" s="236"/>
      <c r="D2589" s="236"/>
      <c r="E2589" s="236"/>
      <c r="F2589" s="236"/>
      <c r="G2589" s="236"/>
      <c r="H2589" s="236"/>
      <c r="I2589" s="237"/>
      <c r="J2589" s="237"/>
      <c r="K2589" s="262"/>
      <c r="L2589" s="237"/>
      <c r="M2589" s="237"/>
      <c r="N2589" s="237"/>
      <c r="O2589" s="237"/>
      <c r="P2589" s="237"/>
      <c r="Q2589" s="237"/>
      <c r="R2589" s="237"/>
      <c r="S2589" s="237"/>
      <c r="T2589" s="237"/>
      <c r="U2589" s="237"/>
      <c r="V2589" s="237"/>
      <c r="W2589" s="237"/>
      <c r="X2589" s="237"/>
      <c r="Y2589" s="237"/>
      <c r="Z2589" s="237"/>
    </row>
    <row r="2590">
      <c r="A2590" s="305">
        <v>2589.0</v>
      </c>
      <c r="B2590" s="236"/>
      <c r="C2590" s="236"/>
      <c r="D2590" s="236"/>
      <c r="E2590" s="236"/>
      <c r="F2590" s="236"/>
      <c r="G2590" s="236"/>
      <c r="H2590" s="236"/>
      <c r="I2590" s="237"/>
      <c r="J2590" s="237"/>
      <c r="K2590" s="262"/>
      <c r="L2590" s="237"/>
      <c r="M2590" s="237"/>
      <c r="N2590" s="237"/>
      <c r="O2590" s="237"/>
      <c r="P2590" s="237"/>
      <c r="Q2590" s="237"/>
      <c r="R2590" s="237"/>
      <c r="S2590" s="237"/>
      <c r="T2590" s="237"/>
      <c r="U2590" s="237"/>
      <c r="V2590" s="237"/>
      <c r="W2590" s="237"/>
      <c r="X2590" s="237"/>
      <c r="Y2590" s="237"/>
      <c r="Z2590" s="237"/>
    </row>
    <row r="2591">
      <c r="A2591" s="305">
        <v>2590.0</v>
      </c>
      <c r="B2591" s="236"/>
      <c r="C2591" s="236"/>
      <c r="D2591" s="236"/>
      <c r="E2591" s="236"/>
      <c r="F2591" s="236"/>
      <c r="G2591" s="236"/>
      <c r="H2591" s="236"/>
      <c r="I2591" s="237"/>
      <c r="J2591" s="237"/>
      <c r="K2591" s="262"/>
      <c r="L2591" s="237"/>
      <c r="M2591" s="237"/>
      <c r="N2591" s="237"/>
      <c r="O2591" s="237"/>
      <c r="P2591" s="237"/>
      <c r="Q2591" s="237"/>
      <c r="R2591" s="237"/>
      <c r="S2591" s="237"/>
      <c r="T2591" s="237"/>
      <c r="U2591" s="237"/>
      <c r="V2591" s="237"/>
      <c r="W2591" s="237"/>
      <c r="X2591" s="237"/>
      <c r="Y2591" s="237"/>
      <c r="Z2591" s="237"/>
    </row>
    <row r="2592">
      <c r="A2592" s="305">
        <v>2591.0</v>
      </c>
      <c r="B2592" s="236"/>
      <c r="C2592" s="236"/>
      <c r="D2592" s="236"/>
      <c r="E2592" s="236"/>
      <c r="F2592" s="236"/>
      <c r="G2592" s="236"/>
      <c r="H2592" s="236"/>
      <c r="I2592" s="237"/>
      <c r="J2592" s="237"/>
      <c r="K2592" s="262"/>
      <c r="L2592" s="237"/>
      <c r="M2592" s="237"/>
      <c r="N2592" s="237"/>
      <c r="O2592" s="237"/>
      <c r="P2592" s="237"/>
      <c r="Q2592" s="237"/>
      <c r="R2592" s="237"/>
      <c r="S2592" s="237"/>
      <c r="T2592" s="237"/>
      <c r="U2592" s="237"/>
      <c r="V2592" s="237"/>
      <c r="W2592" s="237"/>
      <c r="X2592" s="237"/>
      <c r="Y2592" s="237"/>
      <c r="Z2592" s="237"/>
    </row>
    <row r="2593">
      <c r="A2593" s="305">
        <v>2592.0</v>
      </c>
      <c r="B2593" s="236"/>
      <c r="C2593" s="236"/>
      <c r="D2593" s="236"/>
      <c r="E2593" s="236"/>
      <c r="F2593" s="236"/>
      <c r="G2593" s="236"/>
      <c r="H2593" s="236"/>
      <c r="I2593" s="237"/>
      <c r="J2593" s="237"/>
      <c r="K2593" s="262"/>
      <c r="L2593" s="237"/>
      <c r="M2593" s="237"/>
      <c r="N2593" s="237"/>
      <c r="O2593" s="237"/>
      <c r="P2593" s="237"/>
      <c r="Q2593" s="237"/>
      <c r="R2593" s="237"/>
      <c r="S2593" s="237"/>
      <c r="T2593" s="237"/>
      <c r="U2593" s="237"/>
      <c r="V2593" s="237"/>
      <c r="W2593" s="237"/>
      <c r="X2593" s="237"/>
      <c r="Y2593" s="237"/>
      <c r="Z2593" s="237"/>
    </row>
    <row r="2594">
      <c r="A2594" s="305">
        <v>2593.0</v>
      </c>
      <c r="B2594" s="236"/>
      <c r="C2594" s="236"/>
      <c r="D2594" s="236"/>
      <c r="E2594" s="236"/>
      <c r="F2594" s="236"/>
      <c r="G2594" s="236"/>
      <c r="H2594" s="236"/>
      <c r="I2594" s="237"/>
      <c r="J2594" s="237"/>
      <c r="K2594" s="262"/>
      <c r="L2594" s="237"/>
      <c r="M2594" s="237"/>
      <c r="N2594" s="237"/>
      <c r="O2594" s="237"/>
      <c r="P2594" s="237"/>
      <c r="Q2594" s="237"/>
      <c r="R2594" s="237"/>
      <c r="S2594" s="237"/>
      <c r="T2594" s="237"/>
      <c r="U2594" s="237"/>
      <c r="V2594" s="237"/>
      <c r="W2594" s="237"/>
      <c r="X2594" s="237"/>
      <c r="Y2594" s="237"/>
      <c r="Z2594" s="237"/>
    </row>
    <row r="2595">
      <c r="A2595" s="305">
        <v>2594.0</v>
      </c>
      <c r="B2595" s="236"/>
      <c r="C2595" s="236"/>
      <c r="D2595" s="236"/>
      <c r="E2595" s="236"/>
      <c r="F2595" s="236"/>
      <c r="G2595" s="236"/>
      <c r="H2595" s="236"/>
      <c r="I2595" s="237"/>
      <c r="J2595" s="237"/>
      <c r="K2595" s="262"/>
      <c r="L2595" s="237"/>
      <c r="M2595" s="237"/>
      <c r="N2595" s="237"/>
      <c r="O2595" s="237"/>
      <c r="P2595" s="237"/>
      <c r="Q2595" s="237"/>
      <c r="R2595" s="237"/>
      <c r="S2595" s="237"/>
      <c r="T2595" s="237"/>
      <c r="U2595" s="237"/>
      <c r="V2595" s="237"/>
      <c r="W2595" s="237"/>
      <c r="X2595" s="237"/>
      <c r="Y2595" s="237"/>
      <c r="Z2595" s="237"/>
    </row>
    <row r="2596">
      <c r="A2596" s="305">
        <v>2595.0</v>
      </c>
      <c r="B2596" s="236"/>
      <c r="C2596" s="236"/>
      <c r="D2596" s="236"/>
      <c r="E2596" s="236"/>
      <c r="F2596" s="236"/>
      <c r="G2596" s="236"/>
      <c r="H2596" s="236"/>
      <c r="I2596" s="237"/>
      <c r="J2596" s="237"/>
      <c r="K2596" s="262"/>
      <c r="L2596" s="237"/>
      <c r="M2596" s="237"/>
      <c r="N2596" s="237"/>
      <c r="O2596" s="237"/>
      <c r="P2596" s="237"/>
      <c r="Q2596" s="237"/>
      <c r="R2596" s="237"/>
      <c r="S2596" s="237"/>
      <c r="T2596" s="237"/>
      <c r="U2596" s="237"/>
      <c r="V2596" s="237"/>
      <c r="W2596" s="237"/>
      <c r="X2596" s="237"/>
      <c r="Y2596" s="237"/>
      <c r="Z2596" s="237"/>
    </row>
    <row r="2597">
      <c r="A2597" s="305">
        <v>2596.0</v>
      </c>
      <c r="B2597" s="236"/>
      <c r="C2597" s="236"/>
      <c r="D2597" s="236"/>
      <c r="E2597" s="236"/>
      <c r="F2597" s="236"/>
      <c r="G2597" s="236"/>
      <c r="H2597" s="236"/>
      <c r="I2597" s="237"/>
      <c r="J2597" s="237"/>
      <c r="K2597" s="262"/>
      <c r="L2597" s="237"/>
      <c r="M2597" s="237"/>
      <c r="N2597" s="237"/>
      <c r="O2597" s="237"/>
      <c r="P2597" s="237"/>
      <c r="Q2597" s="237"/>
      <c r="R2597" s="237"/>
      <c r="S2597" s="237"/>
      <c r="T2597" s="237"/>
      <c r="U2597" s="237"/>
      <c r="V2597" s="237"/>
      <c r="W2597" s="237"/>
      <c r="X2597" s="237"/>
      <c r="Y2597" s="237"/>
      <c r="Z2597" s="237"/>
    </row>
    <row r="2598">
      <c r="A2598" s="305">
        <v>2597.0</v>
      </c>
      <c r="B2598" s="236"/>
      <c r="C2598" s="236"/>
      <c r="D2598" s="236"/>
      <c r="E2598" s="236"/>
      <c r="F2598" s="236"/>
      <c r="G2598" s="236"/>
      <c r="H2598" s="236"/>
      <c r="I2598" s="237"/>
      <c r="J2598" s="237"/>
      <c r="K2598" s="262"/>
      <c r="L2598" s="237"/>
      <c r="M2598" s="237"/>
      <c r="N2598" s="237"/>
      <c r="O2598" s="237"/>
      <c r="P2598" s="237"/>
      <c r="Q2598" s="237"/>
      <c r="R2598" s="237"/>
      <c r="S2598" s="237"/>
      <c r="T2598" s="237"/>
      <c r="U2598" s="237"/>
      <c r="V2598" s="237"/>
      <c r="W2598" s="237"/>
      <c r="X2598" s="237"/>
      <c r="Y2598" s="237"/>
      <c r="Z2598" s="237"/>
    </row>
    <row r="2599">
      <c r="A2599" s="305">
        <v>2598.0</v>
      </c>
      <c r="B2599" s="236"/>
      <c r="C2599" s="236"/>
      <c r="D2599" s="236"/>
      <c r="E2599" s="236"/>
      <c r="F2599" s="236"/>
      <c r="G2599" s="236"/>
      <c r="H2599" s="236"/>
      <c r="I2599" s="237"/>
      <c r="J2599" s="237"/>
      <c r="K2599" s="262"/>
      <c r="L2599" s="237"/>
      <c r="M2599" s="237"/>
      <c r="N2599" s="237"/>
      <c r="O2599" s="237"/>
      <c r="P2599" s="237"/>
      <c r="Q2599" s="237"/>
      <c r="R2599" s="237"/>
      <c r="S2599" s="237"/>
      <c r="T2599" s="237"/>
      <c r="U2599" s="237"/>
      <c r="V2599" s="237"/>
      <c r="W2599" s="237"/>
      <c r="X2599" s="237"/>
      <c r="Y2599" s="237"/>
      <c r="Z2599" s="237"/>
    </row>
    <row r="2600">
      <c r="A2600" s="305">
        <v>2599.0</v>
      </c>
      <c r="B2600" s="236"/>
      <c r="C2600" s="236"/>
      <c r="D2600" s="236"/>
      <c r="E2600" s="236"/>
      <c r="F2600" s="236"/>
      <c r="G2600" s="236"/>
      <c r="H2600" s="236"/>
      <c r="I2600" s="237"/>
      <c r="J2600" s="237"/>
      <c r="K2600" s="262"/>
      <c r="L2600" s="237"/>
      <c r="M2600" s="237"/>
      <c r="N2600" s="237"/>
      <c r="O2600" s="237"/>
      <c r="P2600" s="237"/>
      <c r="Q2600" s="237"/>
      <c r="R2600" s="237"/>
      <c r="S2600" s="237"/>
      <c r="T2600" s="237"/>
      <c r="U2600" s="237"/>
      <c r="V2600" s="237"/>
      <c r="W2600" s="237"/>
      <c r="X2600" s="237"/>
      <c r="Y2600" s="237"/>
      <c r="Z2600" s="237"/>
    </row>
    <row r="2601">
      <c r="A2601" s="305">
        <v>2600.0</v>
      </c>
      <c r="B2601" s="236"/>
      <c r="C2601" s="236"/>
      <c r="D2601" s="236"/>
      <c r="E2601" s="236"/>
      <c r="F2601" s="236"/>
      <c r="G2601" s="236"/>
      <c r="H2601" s="236"/>
      <c r="I2601" s="237"/>
      <c r="J2601" s="237"/>
      <c r="K2601" s="262"/>
      <c r="L2601" s="237"/>
      <c r="M2601" s="237"/>
      <c r="N2601" s="237"/>
      <c r="O2601" s="237"/>
      <c r="P2601" s="237"/>
      <c r="Q2601" s="237"/>
      <c r="R2601" s="237"/>
      <c r="S2601" s="237"/>
      <c r="T2601" s="237"/>
      <c r="U2601" s="237"/>
      <c r="V2601" s="237"/>
      <c r="W2601" s="237"/>
      <c r="X2601" s="237"/>
      <c r="Y2601" s="237"/>
      <c r="Z2601" s="237"/>
    </row>
    <row r="2602">
      <c r="A2602" s="305">
        <v>2601.0</v>
      </c>
      <c r="B2602" s="236"/>
      <c r="C2602" s="236"/>
      <c r="D2602" s="236"/>
      <c r="E2602" s="236"/>
      <c r="F2602" s="236"/>
      <c r="G2602" s="236"/>
      <c r="H2602" s="236"/>
      <c r="I2602" s="237"/>
      <c r="J2602" s="237"/>
      <c r="K2602" s="262"/>
      <c r="L2602" s="237"/>
      <c r="M2602" s="237"/>
      <c r="N2602" s="237"/>
      <c r="O2602" s="237"/>
      <c r="P2602" s="237"/>
      <c r="Q2602" s="237"/>
      <c r="R2602" s="237"/>
      <c r="S2602" s="237"/>
      <c r="T2602" s="237"/>
      <c r="U2602" s="237"/>
      <c r="V2602" s="237"/>
      <c r="W2602" s="237"/>
      <c r="X2602" s="237"/>
      <c r="Y2602" s="237"/>
      <c r="Z2602" s="237"/>
    </row>
    <row r="2603">
      <c r="A2603" s="305">
        <v>2602.0</v>
      </c>
      <c r="B2603" s="236"/>
      <c r="C2603" s="236"/>
      <c r="D2603" s="236"/>
      <c r="E2603" s="236"/>
      <c r="F2603" s="236"/>
      <c r="G2603" s="236"/>
      <c r="H2603" s="236"/>
      <c r="I2603" s="237"/>
      <c r="J2603" s="237"/>
      <c r="K2603" s="262"/>
      <c r="L2603" s="237"/>
      <c r="M2603" s="237"/>
      <c r="N2603" s="237"/>
      <c r="O2603" s="237"/>
      <c r="P2603" s="237"/>
      <c r="Q2603" s="237"/>
      <c r="R2603" s="237"/>
      <c r="S2603" s="237"/>
      <c r="T2603" s="237"/>
      <c r="U2603" s="237"/>
      <c r="V2603" s="237"/>
      <c r="W2603" s="237"/>
      <c r="X2603" s="237"/>
      <c r="Y2603" s="237"/>
      <c r="Z2603" s="237"/>
    </row>
    <row r="2604">
      <c r="A2604" s="305">
        <v>2603.0</v>
      </c>
      <c r="B2604" s="236"/>
      <c r="C2604" s="236"/>
      <c r="D2604" s="236"/>
      <c r="E2604" s="236"/>
      <c r="F2604" s="236"/>
      <c r="G2604" s="236"/>
      <c r="H2604" s="236"/>
      <c r="I2604" s="237"/>
      <c r="J2604" s="237"/>
      <c r="K2604" s="262"/>
      <c r="L2604" s="237"/>
      <c r="M2604" s="237"/>
      <c r="N2604" s="237"/>
      <c r="O2604" s="237"/>
      <c r="P2604" s="237"/>
      <c r="Q2604" s="237"/>
      <c r="R2604" s="237"/>
      <c r="S2604" s="237"/>
      <c r="T2604" s="237"/>
      <c r="U2604" s="237"/>
      <c r="V2604" s="237"/>
      <c r="W2604" s="237"/>
      <c r="X2604" s="237"/>
      <c r="Y2604" s="237"/>
      <c r="Z2604" s="237"/>
    </row>
    <row r="2605">
      <c r="A2605" s="305">
        <v>2604.0</v>
      </c>
      <c r="B2605" s="236"/>
      <c r="C2605" s="236"/>
      <c r="D2605" s="236"/>
      <c r="E2605" s="236"/>
      <c r="F2605" s="236"/>
      <c r="G2605" s="236"/>
      <c r="H2605" s="236"/>
      <c r="I2605" s="237"/>
      <c r="J2605" s="237"/>
      <c r="K2605" s="262"/>
      <c r="L2605" s="237"/>
      <c r="M2605" s="237"/>
      <c r="N2605" s="237"/>
      <c r="O2605" s="237"/>
      <c r="P2605" s="237"/>
      <c r="Q2605" s="237"/>
      <c r="R2605" s="237"/>
      <c r="S2605" s="237"/>
      <c r="T2605" s="237"/>
      <c r="U2605" s="237"/>
      <c r="V2605" s="237"/>
      <c r="W2605" s="237"/>
      <c r="X2605" s="237"/>
      <c r="Y2605" s="237"/>
      <c r="Z2605" s="237"/>
    </row>
    <row r="2606">
      <c r="A2606" s="305">
        <v>2605.0</v>
      </c>
      <c r="B2606" s="236"/>
      <c r="C2606" s="236"/>
      <c r="D2606" s="236"/>
      <c r="E2606" s="236"/>
      <c r="F2606" s="236"/>
      <c r="G2606" s="236"/>
      <c r="H2606" s="236"/>
      <c r="I2606" s="237"/>
      <c r="J2606" s="237"/>
      <c r="K2606" s="262"/>
      <c r="L2606" s="237"/>
      <c r="M2606" s="237"/>
      <c r="N2606" s="237"/>
      <c r="O2606" s="237"/>
      <c r="P2606" s="237"/>
      <c r="Q2606" s="237"/>
      <c r="R2606" s="237"/>
      <c r="S2606" s="237"/>
      <c r="T2606" s="237"/>
      <c r="U2606" s="237"/>
      <c r="V2606" s="237"/>
      <c r="W2606" s="237"/>
      <c r="X2606" s="237"/>
      <c r="Y2606" s="237"/>
      <c r="Z2606" s="237"/>
    </row>
    <row r="2607">
      <c r="A2607" s="305">
        <v>2606.0</v>
      </c>
      <c r="B2607" s="236"/>
      <c r="C2607" s="236"/>
      <c r="D2607" s="236"/>
      <c r="E2607" s="236"/>
      <c r="F2607" s="236"/>
      <c r="G2607" s="236"/>
      <c r="H2607" s="236"/>
      <c r="I2607" s="237"/>
      <c r="J2607" s="237"/>
      <c r="K2607" s="262"/>
      <c r="L2607" s="237"/>
      <c r="M2607" s="237"/>
      <c r="N2607" s="237"/>
      <c r="O2607" s="237"/>
      <c r="P2607" s="237"/>
      <c r="Q2607" s="237"/>
      <c r="R2607" s="237"/>
      <c r="S2607" s="237"/>
      <c r="T2607" s="237"/>
      <c r="U2607" s="237"/>
      <c r="V2607" s="237"/>
      <c r="W2607" s="237"/>
      <c r="X2607" s="237"/>
      <c r="Y2607" s="237"/>
      <c r="Z2607" s="237"/>
    </row>
    <row r="2608">
      <c r="A2608" s="305">
        <v>2607.0</v>
      </c>
      <c r="B2608" s="236"/>
      <c r="C2608" s="236"/>
      <c r="D2608" s="236"/>
      <c r="E2608" s="236"/>
      <c r="F2608" s="236"/>
      <c r="G2608" s="236"/>
      <c r="H2608" s="236"/>
      <c r="I2608" s="237"/>
      <c r="J2608" s="237"/>
      <c r="K2608" s="262"/>
      <c r="L2608" s="237"/>
      <c r="M2608" s="237"/>
      <c r="N2608" s="237"/>
      <c r="O2608" s="237"/>
      <c r="P2608" s="237"/>
      <c r="Q2608" s="237"/>
      <c r="R2608" s="237"/>
      <c r="S2608" s="237"/>
      <c r="T2608" s="237"/>
      <c r="U2608" s="237"/>
      <c r="V2608" s="237"/>
      <c r="W2608" s="237"/>
      <c r="X2608" s="237"/>
      <c r="Y2608" s="237"/>
      <c r="Z2608" s="237"/>
    </row>
    <row r="2609">
      <c r="A2609" s="305">
        <v>2608.0</v>
      </c>
      <c r="B2609" s="236"/>
      <c r="C2609" s="236"/>
      <c r="D2609" s="236"/>
      <c r="E2609" s="236"/>
      <c r="F2609" s="236"/>
      <c r="G2609" s="236"/>
      <c r="H2609" s="236"/>
      <c r="I2609" s="237"/>
      <c r="J2609" s="237"/>
      <c r="K2609" s="262"/>
      <c r="L2609" s="237"/>
      <c r="M2609" s="237"/>
      <c r="N2609" s="237"/>
      <c r="O2609" s="237"/>
      <c r="P2609" s="237"/>
      <c r="Q2609" s="237"/>
      <c r="R2609" s="237"/>
      <c r="S2609" s="237"/>
      <c r="T2609" s="237"/>
      <c r="U2609" s="237"/>
      <c r="V2609" s="237"/>
      <c r="W2609" s="237"/>
      <c r="X2609" s="237"/>
      <c r="Y2609" s="237"/>
      <c r="Z2609" s="237"/>
    </row>
    <row r="2610">
      <c r="A2610" s="305">
        <v>2609.0</v>
      </c>
      <c r="B2610" s="236"/>
      <c r="C2610" s="236"/>
      <c r="D2610" s="236"/>
      <c r="E2610" s="236"/>
      <c r="F2610" s="236"/>
      <c r="G2610" s="236"/>
      <c r="H2610" s="236"/>
      <c r="I2610" s="237"/>
      <c r="J2610" s="237"/>
      <c r="K2610" s="262"/>
      <c r="L2610" s="237"/>
      <c r="M2610" s="237"/>
      <c r="N2610" s="237"/>
      <c r="O2610" s="237"/>
      <c r="P2610" s="237"/>
      <c r="Q2610" s="237"/>
      <c r="R2610" s="237"/>
      <c r="S2610" s="237"/>
      <c r="T2610" s="237"/>
      <c r="U2610" s="237"/>
      <c r="V2610" s="237"/>
      <c r="W2610" s="237"/>
      <c r="X2610" s="237"/>
      <c r="Y2610" s="237"/>
      <c r="Z2610" s="237"/>
    </row>
    <row r="2611">
      <c r="A2611" s="305">
        <v>2610.0</v>
      </c>
      <c r="B2611" s="236"/>
      <c r="C2611" s="236"/>
      <c r="D2611" s="236"/>
      <c r="E2611" s="236"/>
      <c r="F2611" s="236"/>
      <c r="G2611" s="236"/>
      <c r="H2611" s="236"/>
      <c r="I2611" s="237"/>
      <c r="J2611" s="237"/>
      <c r="K2611" s="262"/>
      <c r="L2611" s="237"/>
      <c r="M2611" s="237"/>
      <c r="N2611" s="237"/>
      <c r="O2611" s="237"/>
      <c r="P2611" s="237"/>
      <c r="Q2611" s="237"/>
      <c r="R2611" s="237"/>
      <c r="S2611" s="237"/>
      <c r="T2611" s="237"/>
      <c r="U2611" s="237"/>
      <c r="V2611" s="237"/>
      <c r="W2611" s="237"/>
      <c r="X2611" s="237"/>
      <c r="Y2611" s="237"/>
      <c r="Z2611" s="237"/>
    </row>
    <row r="2612">
      <c r="A2612" s="305">
        <v>2611.0</v>
      </c>
      <c r="B2612" s="236"/>
      <c r="C2612" s="236"/>
      <c r="D2612" s="236"/>
      <c r="E2612" s="236"/>
      <c r="F2612" s="236"/>
      <c r="G2612" s="236"/>
      <c r="H2612" s="236"/>
      <c r="I2612" s="237"/>
      <c r="J2612" s="237"/>
      <c r="K2612" s="262"/>
      <c r="L2612" s="237"/>
      <c r="M2612" s="237"/>
      <c r="N2612" s="237"/>
      <c r="O2612" s="237"/>
      <c r="P2612" s="237"/>
      <c r="Q2612" s="237"/>
      <c r="R2612" s="237"/>
      <c r="S2612" s="237"/>
      <c r="T2612" s="237"/>
      <c r="U2612" s="237"/>
      <c r="V2612" s="237"/>
      <c r="W2612" s="237"/>
      <c r="X2612" s="237"/>
      <c r="Y2612" s="237"/>
      <c r="Z2612" s="237"/>
    </row>
    <row r="2613">
      <c r="A2613" s="305">
        <v>2612.0</v>
      </c>
      <c r="B2613" s="236"/>
      <c r="C2613" s="236"/>
      <c r="D2613" s="236"/>
      <c r="E2613" s="236"/>
      <c r="F2613" s="236"/>
      <c r="G2613" s="236"/>
      <c r="H2613" s="236"/>
      <c r="I2613" s="237"/>
      <c r="J2613" s="237"/>
      <c r="K2613" s="262"/>
      <c r="L2613" s="237"/>
      <c r="M2613" s="237"/>
      <c r="N2613" s="237"/>
      <c r="O2613" s="237"/>
      <c r="P2613" s="237"/>
      <c r="Q2613" s="237"/>
      <c r="R2613" s="237"/>
      <c r="S2613" s="237"/>
      <c r="T2613" s="237"/>
      <c r="U2613" s="237"/>
      <c r="V2613" s="237"/>
      <c r="W2613" s="237"/>
      <c r="X2613" s="237"/>
      <c r="Y2613" s="237"/>
      <c r="Z2613" s="237"/>
    </row>
    <row r="2614">
      <c r="A2614" s="305">
        <v>2613.0</v>
      </c>
      <c r="B2614" s="236"/>
      <c r="C2614" s="236"/>
      <c r="D2614" s="236"/>
      <c r="E2614" s="236"/>
      <c r="F2614" s="236"/>
      <c r="G2614" s="236"/>
      <c r="H2614" s="236"/>
      <c r="I2614" s="237"/>
      <c r="J2614" s="237"/>
      <c r="K2614" s="262"/>
      <c r="L2614" s="237"/>
      <c r="M2614" s="237"/>
      <c r="N2614" s="237"/>
      <c r="O2614" s="237"/>
      <c r="P2614" s="237"/>
      <c r="Q2614" s="237"/>
      <c r="R2614" s="237"/>
      <c r="S2614" s="237"/>
      <c r="T2614" s="237"/>
      <c r="U2614" s="237"/>
      <c r="V2614" s="237"/>
      <c r="W2614" s="237"/>
      <c r="X2614" s="237"/>
      <c r="Y2614" s="237"/>
      <c r="Z2614" s="237"/>
    </row>
    <row r="2615">
      <c r="A2615" s="305">
        <v>2614.0</v>
      </c>
      <c r="B2615" s="236"/>
      <c r="C2615" s="236"/>
      <c r="D2615" s="236"/>
      <c r="E2615" s="236"/>
      <c r="F2615" s="236"/>
      <c r="G2615" s="236"/>
      <c r="H2615" s="236"/>
      <c r="I2615" s="237"/>
      <c r="J2615" s="237"/>
      <c r="K2615" s="262"/>
      <c r="L2615" s="237"/>
      <c r="M2615" s="237"/>
      <c r="N2615" s="237"/>
      <c r="O2615" s="237"/>
      <c r="P2615" s="237"/>
      <c r="Q2615" s="237"/>
      <c r="R2615" s="237"/>
      <c r="S2615" s="237"/>
      <c r="T2615" s="237"/>
      <c r="U2615" s="237"/>
      <c r="V2615" s="237"/>
      <c r="W2615" s="237"/>
      <c r="X2615" s="237"/>
      <c r="Y2615" s="237"/>
      <c r="Z2615" s="237"/>
    </row>
    <row r="2616">
      <c r="A2616" s="305">
        <v>2615.0</v>
      </c>
      <c r="B2616" s="236"/>
      <c r="C2616" s="236"/>
      <c r="D2616" s="236"/>
      <c r="E2616" s="236"/>
      <c r="F2616" s="236"/>
      <c r="G2616" s="236"/>
      <c r="H2616" s="236"/>
      <c r="I2616" s="237"/>
      <c r="J2616" s="237"/>
      <c r="K2616" s="262"/>
      <c r="L2616" s="237"/>
      <c r="M2616" s="237"/>
      <c r="N2616" s="237"/>
      <c r="O2616" s="237"/>
      <c r="P2616" s="237"/>
      <c r="Q2616" s="237"/>
      <c r="R2616" s="237"/>
      <c r="S2616" s="237"/>
      <c r="T2616" s="237"/>
      <c r="U2616" s="237"/>
      <c r="V2616" s="237"/>
      <c r="W2616" s="237"/>
      <c r="X2616" s="237"/>
      <c r="Y2616" s="237"/>
      <c r="Z2616" s="237"/>
    </row>
    <row r="2617">
      <c r="A2617" s="305">
        <v>2616.0</v>
      </c>
      <c r="B2617" s="236"/>
      <c r="C2617" s="236"/>
      <c r="D2617" s="236"/>
      <c r="E2617" s="236"/>
      <c r="F2617" s="236"/>
      <c r="G2617" s="236"/>
      <c r="H2617" s="236"/>
      <c r="I2617" s="237"/>
      <c r="J2617" s="237"/>
      <c r="K2617" s="262"/>
      <c r="L2617" s="237"/>
      <c r="M2617" s="237"/>
      <c r="N2617" s="237"/>
      <c r="O2617" s="237"/>
      <c r="P2617" s="237"/>
      <c r="Q2617" s="237"/>
      <c r="R2617" s="237"/>
      <c r="S2617" s="237"/>
      <c r="T2617" s="237"/>
      <c r="U2617" s="237"/>
      <c r="V2617" s="237"/>
      <c r="W2617" s="237"/>
      <c r="X2617" s="237"/>
      <c r="Y2617" s="237"/>
      <c r="Z2617" s="237"/>
    </row>
    <row r="2618">
      <c r="A2618" s="305">
        <v>2617.0</v>
      </c>
      <c r="B2618" s="236"/>
      <c r="C2618" s="236"/>
      <c r="D2618" s="236"/>
      <c r="E2618" s="236"/>
      <c r="F2618" s="236"/>
      <c r="G2618" s="236"/>
      <c r="H2618" s="236"/>
      <c r="I2618" s="237"/>
      <c r="J2618" s="237"/>
      <c r="K2618" s="262"/>
      <c r="L2618" s="237"/>
      <c r="M2618" s="237"/>
      <c r="N2618" s="237"/>
      <c r="O2618" s="237"/>
      <c r="P2618" s="237"/>
      <c r="Q2618" s="237"/>
      <c r="R2618" s="237"/>
      <c r="S2618" s="237"/>
      <c r="T2618" s="237"/>
      <c r="U2618" s="237"/>
      <c r="V2618" s="237"/>
      <c r="W2618" s="237"/>
      <c r="X2618" s="237"/>
      <c r="Y2618" s="237"/>
      <c r="Z2618" s="237"/>
    </row>
    <row r="2619">
      <c r="A2619" s="305">
        <v>2618.0</v>
      </c>
      <c r="B2619" s="236"/>
      <c r="C2619" s="236"/>
      <c r="D2619" s="236"/>
      <c r="E2619" s="236"/>
      <c r="F2619" s="236"/>
      <c r="G2619" s="236"/>
      <c r="H2619" s="236"/>
      <c r="I2619" s="237"/>
      <c r="J2619" s="237"/>
      <c r="K2619" s="262"/>
      <c r="L2619" s="237"/>
      <c r="M2619" s="237"/>
      <c r="N2619" s="237"/>
      <c r="O2619" s="237"/>
      <c r="P2619" s="237"/>
      <c r="Q2619" s="237"/>
      <c r="R2619" s="237"/>
      <c r="S2619" s="237"/>
      <c r="T2619" s="237"/>
      <c r="U2619" s="237"/>
      <c r="V2619" s="237"/>
      <c r="W2619" s="237"/>
      <c r="X2619" s="237"/>
      <c r="Y2619" s="237"/>
      <c r="Z2619" s="237"/>
    </row>
    <row r="2620">
      <c r="A2620" s="305">
        <v>2619.0</v>
      </c>
      <c r="B2620" s="236"/>
      <c r="C2620" s="236"/>
      <c r="D2620" s="236"/>
      <c r="E2620" s="236"/>
      <c r="F2620" s="236"/>
      <c r="G2620" s="236"/>
      <c r="H2620" s="236"/>
      <c r="I2620" s="237"/>
      <c r="J2620" s="237"/>
      <c r="K2620" s="262"/>
      <c r="L2620" s="237"/>
      <c r="M2620" s="237"/>
      <c r="N2620" s="237"/>
      <c r="O2620" s="237"/>
      <c r="P2620" s="237"/>
      <c r="Q2620" s="237"/>
      <c r="R2620" s="237"/>
      <c r="S2620" s="237"/>
      <c r="T2620" s="237"/>
      <c r="U2620" s="237"/>
      <c r="V2620" s="237"/>
      <c r="W2620" s="237"/>
      <c r="X2620" s="237"/>
      <c r="Y2620" s="237"/>
      <c r="Z2620" s="237"/>
    </row>
    <row r="2621">
      <c r="A2621" s="305">
        <v>2620.0</v>
      </c>
      <c r="B2621" s="236"/>
      <c r="C2621" s="236"/>
      <c r="D2621" s="236"/>
      <c r="E2621" s="236"/>
      <c r="F2621" s="236"/>
      <c r="G2621" s="236"/>
      <c r="H2621" s="236"/>
      <c r="I2621" s="237"/>
      <c r="J2621" s="237"/>
      <c r="K2621" s="262"/>
      <c r="L2621" s="237"/>
      <c r="M2621" s="237"/>
      <c r="N2621" s="237"/>
      <c r="O2621" s="237"/>
      <c r="P2621" s="237"/>
      <c r="Q2621" s="237"/>
      <c r="R2621" s="237"/>
      <c r="S2621" s="237"/>
      <c r="T2621" s="237"/>
      <c r="U2621" s="237"/>
      <c r="V2621" s="237"/>
      <c r="W2621" s="237"/>
      <c r="X2621" s="237"/>
      <c r="Y2621" s="237"/>
      <c r="Z2621" s="237"/>
    </row>
    <row r="2622">
      <c r="A2622" s="305">
        <v>2621.0</v>
      </c>
      <c r="B2622" s="236"/>
      <c r="C2622" s="236"/>
      <c r="D2622" s="236"/>
      <c r="E2622" s="236"/>
      <c r="F2622" s="236"/>
      <c r="G2622" s="236"/>
      <c r="H2622" s="236"/>
      <c r="I2622" s="237"/>
      <c r="J2622" s="237"/>
      <c r="K2622" s="262"/>
      <c r="L2622" s="237"/>
      <c r="M2622" s="237"/>
      <c r="N2622" s="237"/>
      <c r="O2622" s="237"/>
      <c r="P2622" s="237"/>
      <c r="Q2622" s="237"/>
      <c r="R2622" s="237"/>
      <c r="S2622" s="237"/>
      <c r="T2622" s="237"/>
      <c r="U2622" s="237"/>
      <c r="V2622" s="237"/>
      <c r="W2622" s="237"/>
      <c r="X2622" s="237"/>
      <c r="Y2622" s="237"/>
      <c r="Z2622" s="237"/>
    </row>
    <row r="2623">
      <c r="A2623" s="305">
        <v>2622.0</v>
      </c>
      <c r="B2623" s="236"/>
      <c r="C2623" s="236"/>
      <c r="D2623" s="236"/>
      <c r="E2623" s="236"/>
      <c r="F2623" s="236"/>
      <c r="G2623" s="236"/>
      <c r="H2623" s="236"/>
      <c r="I2623" s="237"/>
      <c r="J2623" s="237"/>
      <c r="K2623" s="262"/>
      <c r="L2623" s="237"/>
      <c r="M2623" s="237"/>
      <c r="N2623" s="237"/>
      <c r="O2623" s="237"/>
      <c r="P2623" s="237"/>
      <c r="Q2623" s="237"/>
      <c r="R2623" s="237"/>
      <c r="S2623" s="237"/>
      <c r="T2623" s="237"/>
      <c r="U2623" s="237"/>
      <c r="V2623" s="237"/>
      <c r="W2623" s="237"/>
      <c r="X2623" s="237"/>
      <c r="Y2623" s="237"/>
      <c r="Z2623" s="237"/>
    </row>
    <row r="2624">
      <c r="A2624" s="305">
        <v>2623.0</v>
      </c>
      <c r="B2624" s="236"/>
      <c r="C2624" s="236"/>
      <c r="D2624" s="236"/>
      <c r="E2624" s="236"/>
      <c r="F2624" s="236"/>
      <c r="G2624" s="236"/>
      <c r="H2624" s="236"/>
      <c r="I2624" s="237"/>
      <c r="J2624" s="237"/>
      <c r="K2624" s="262"/>
      <c r="L2624" s="237"/>
      <c r="M2624" s="237"/>
      <c r="N2624" s="237"/>
      <c r="O2624" s="237"/>
      <c r="P2624" s="237"/>
      <c r="Q2624" s="237"/>
      <c r="R2624" s="237"/>
      <c r="S2624" s="237"/>
      <c r="T2624" s="237"/>
      <c r="U2624" s="237"/>
      <c r="V2624" s="237"/>
      <c r="W2624" s="237"/>
      <c r="X2624" s="237"/>
      <c r="Y2624" s="237"/>
      <c r="Z2624" s="237"/>
    </row>
    <row r="2625">
      <c r="A2625" s="305">
        <v>2624.0</v>
      </c>
      <c r="B2625" s="236"/>
      <c r="C2625" s="236"/>
      <c r="D2625" s="236"/>
      <c r="E2625" s="236"/>
      <c r="F2625" s="236"/>
      <c r="G2625" s="236"/>
      <c r="H2625" s="236"/>
      <c r="I2625" s="237"/>
      <c r="J2625" s="237"/>
      <c r="K2625" s="262"/>
      <c r="L2625" s="237"/>
      <c r="M2625" s="237"/>
      <c r="N2625" s="237"/>
      <c r="O2625" s="237"/>
      <c r="P2625" s="237"/>
      <c r="Q2625" s="237"/>
      <c r="R2625" s="237"/>
      <c r="S2625" s="237"/>
      <c r="T2625" s="237"/>
      <c r="U2625" s="237"/>
      <c r="V2625" s="237"/>
      <c r="W2625" s="237"/>
      <c r="X2625" s="237"/>
      <c r="Y2625" s="237"/>
      <c r="Z2625" s="237"/>
    </row>
    <row r="2626">
      <c r="A2626" s="305">
        <v>2625.0</v>
      </c>
      <c r="B2626" s="236"/>
      <c r="C2626" s="236"/>
      <c r="D2626" s="236"/>
      <c r="E2626" s="236"/>
      <c r="F2626" s="236"/>
      <c r="G2626" s="236"/>
      <c r="H2626" s="236"/>
      <c r="I2626" s="237"/>
      <c r="J2626" s="237"/>
      <c r="K2626" s="262"/>
      <c r="L2626" s="237"/>
      <c r="M2626" s="237"/>
      <c r="N2626" s="237"/>
      <c r="O2626" s="237"/>
      <c r="P2626" s="237"/>
      <c r="Q2626" s="237"/>
      <c r="R2626" s="237"/>
      <c r="S2626" s="237"/>
      <c r="T2626" s="237"/>
      <c r="U2626" s="237"/>
      <c r="V2626" s="237"/>
      <c r="W2626" s="237"/>
      <c r="X2626" s="237"/>
      <c r="Y2626" s="237"/>
      <c r="Z2626" s="237"/>
    </row>
    <row r="2627">
      <c r="A2627" s="305">
        <v>2626.0</v>
      </c>
      <c r="B2627" s="236"/>
      <c r="C2627" s="236"/>
      <c r="D2627" s="236"/>
      <c r="E2627" s="236"/>
      <c r="F2627" s="236"/>
      <c r="G2627" s="236"/>
      <c r="H2627" s="236"/>
      <c r="I2627" s="237"/>
      <c r="J2627" s="237"/>
      <c r="K2627" s="262"/>
      <c r="L2627" s="237"/>
      <c r="M2627" s="237"/>
      <c r="N2627" s="237"/>
      <c r="O2627" s="237"/>
      <c r="P2627" s="237"/>
      <c r="Q2627" s="237"/>
      <c r="R2627" s="237"/>
      <c r="S2627" s="237"/>
      <c r="T2627" s="237"/>
      <c r="U2627" s="237"/>
      <c r="V2627" s="237"/>
      <c r="W2627" s="237"/>
      <c r="X2627" s="237"/>
      <c r="Y2627" s="237"/>
      <c r="Z2627" s="237"/>
    </row>
    <row r="2628">
      <c r="A2628" s="305">
        <v>2627.0</v>
      </c>
      <c r="B2628" s="236"/>
      <c r="C2628" s="236"/>
      <c r="D2628" s="236"/>
      <c r="E2628" s="236"/>
      <c r="F2628" s="236"/>
      <c r="G2628" s="236"/>
      <c r="H2628" s="236"/>
      <c r="I2628" s="237"/>
      <c r="J2628" s="237"/>
      <c r="K2628" s="262"/>
      <c r="L2628" s="237"/>
      <c r="M2628" s="237"/>
      <c r="N2628" s="237"/>
      <c r="O2628" s="237"/>
      <c r="P2628" s="237"/>
      <c r="Q2628" s="237"/>
      <c r="R2628" s="237"/>
      <c r="S2628" s="237"/>
      <c r="T2628" s="237"/>
      <c r="U2628" s="237"/>
      <c r="V2628" s="237"/>
      <c r="W2628" s="237"/>
      <c r="X2628" s="237"/>
      <c r="Y2628" s="237"/>
      <c r="Z2628" s="237"/>
    </row>
    <row r="2629">
      <c r="A2629" s="305">
        <v>2628.0</v>
      </c>
      <c r="B2629" s="236"/>
      <c r="C2629" s="236"/>
      <c r="D2629" s="236"/>
      <c r="E2629" s="236"/>
      <c r="F2629" s="236"/>
      <c r="G2629" s="236"/>
      <c r="H2629" s="236"/>
      <c r="I2629" s="237"/>
      <c r="J2629" s="237"/>
      <c r="K2629" s="262"/>
      <c r="L2629" s="237"/>
      <c r="M2629" s="237"/>
      <c r="N2629" s="237"/>
      <c r="O2629" s="237"/>
      <c r="P2629" s="237"/>
      <c r="Q2629" s="237"/>
      <c r="R2629" s="237"/>
      <c r="S2629" s="237"/>
      <c r="T2629" s="237"/>
      <c r="U2629" s="237"/>
      <c r="V2629" s="237"/>
      <c r="W2629" s="237"/>
      <c r="X2629" s="237"/>
      <c r="Y2629" s="237"/>
      <c r="Z2629" s="237"/>
    </row>
    <row r="2630">
      <c r="A2630" s="305">
        <v>2629.0</v>
      </c>
      <c r="B2630" s="236"/>
      <c r="C2630" s="236"/>
      <c r="D2630" s="236"/>
      <c r="E2630" s="236"/>
      <c r="F2630" s="236"/>
      <c r="G2630" s="236"/>
      <c r="H2630" s="236"/>
      <c r="I2630" s="237"/>
      <c r="J2630" s="237"/>
      <c r="K2630" s="262"/>
      <c r="L2630" s="237"/>
      <c r="M2630" s="237"/>
      <c r="N2630" s="237"/>
      <c r="O2630" s="237"/>
      <c r="P2630" s="237"/>
      <c r="Q2630" s="237"/>
      <c r="R2630" s="237"/>
      <c r="S2630" s="237"/>
      <c r="T2630" s="237"/>
      <c r="U2630" s="237"/>
      <c r="V2630" s="237"/>
      <c r="W2630" s="237"/>
      <c r="X2630" s="237"/>
      <c r="Y2630" s="237"/>
      <c r="Z2630" s="237"/>
    </row>
    <row r="2631">
      <c r="A2631" s="305">
        <v>2630.0</v>
      </c>
      <c r="B2631" s="236"/>
      <c r="C2631" s="236"/>
      <c r="D2631" s="236"/>
      <c r="E2631" s="236"/>
      <c r="F2631" s="236"/>
      <c r="G2631" s="236"/>
      <c r="H2631" s="236"/>
      <c r="I2631" s="237"/>
      <c r="J2631" s="237"/>
      <c r="K2631" s="262"/>
      <c r="L2631" s="237"/>
      <c r="M2631" s="237"/>
      <c r="N2631" s="237"/>
      <c r="O2631" s="237"/>
      <c r="P2631" s="237"/>
      <c r="Q2631" s="237"/>
      <c r="R2631" s="237"/>
      <c r="S2631" s="237"/>
      <c r="T2631" s="237"/>
      <c r="U2631" s="237"/>
      <c r="V2631" s="237"/>
      <c r="W2631" s="237"/>
      <c r="X2631" s="237"/>
      <c r="Y2631" s="237"/>
      <c r="Z2631" s="237"/>
    </row>
    <row r="2632">
      <c r="A2632" s="305">
        <v>2631.0</v>
      </c>
      <c r="B2632" s="236"/>
      <c r="C2632" s="236"/>
      <c r="D2632" s="236"/>
      <c r="E2632" s="236"/>
      <c r="F2632" s="236"/>
      <c r="G2632" s="236"/>
      <c r="H2632" s="236"/>
      <c r="I2632" s="237"/>
      <c r="J2632" s="237"/>
      <c r="K2632" s="262"/>
      <c r="L2632" s="237"/>
      <c r="M2632" s="237"/>
      <c r="N2632" s="237"/>
      <c r="O2632" s="237"/>
      <c r="P2632" s="237"/>
      <c r="Q2632" s="237"/>
      <c r="R2632" s="237"/>
      <c r="S2632" s="237"/>
      <c r="T2632" s="237"/>
      <c r="U2632" s="237"/>
      <c r="V2632" s="237"/>
      <c r="W2632" s="237"/>
      <c r="X2632" s="237"/>
      <c r="Y2632" s="237"/>
      <c r="Z2632" s="237"/>
    </row>
    <row r="2633">
      <c r="A2633" s="305">
        <v>2632.0</v>
      </c>
      <c r="B2633" s="236"/>
      <c r="C2633" s="236"/>
      <c r="D2633" s="236"/>
      <c r="E2633" s="236"/>
      <c r="F2633" s="236"/>
      <c r="G2633" s="236"/>
      <c r="H2633" s="236"/>
      <c r="I2633" s="237"/>
      <c r="J2633" s="237"/>
      <c r="K2633" s="262"/>
      <c r="L2633" s="237"/>
      <c r="M2633" s="237"/>
      <c r="N2633" s="237"/>
      <c r="O2633" s="237"/>
      <c r="P2633" s="237"/>
      <c r="Q2633" s="237"/>
      <c r="R2633" s="237"/>
      <c r="S2633" s="237"/>
      <c r="T2633" s="237"/>
      <c r="U2633" s="237"/>
      <c r="V2633" s="237"/>
      <c r="W2633" s="237"/>
      <c r="X2633" s="237"/>
      <c r="Y2633" s="237"/>
      <c r="Z2633" s="237"/>
    </row>
    <row r="2634">
      <c r="A2634" s="305">
        <v>2633.0</v>
      </c>
      <c r="B2634" s="236"/>
      <c r="C2634" s="236"/>
      <c r="D2634" s="236"/>
      <c r="E2634" s="236"/>
      <c r="F2634" s="236"/>
      <c r="G2634" s="236"/>
      <c r="H2634" s="236"/>
      <c r="I2634" s="237"/>
      <c r="J2634" s="237"/>
      <c r="K2634" s="262"/>
      <c r="L2634" s="237"/>
      <c r="M2634" s="237"/>
      <c r="N2634" s="237"/>
      <c r="O2634" s="237"/>
      <c r="P2634" s="237"/>
      <c r="Q2634" s="237"/>
      <c r="R2634" s="237"/>
      <c r="S2634" s="237"/>
      <c r="T2634" s="237"/>
      <c r="U2634" s="237"/>
      <c r="V2634" s="237"/>
      <c r="W2634" s="237"/>
      <c r="X2634" s="237"/>
      <c r="Y2634" s="237"/>
      <c r="Z2634" s="237"/>
    </row>
    <row r="2635">
      <c r="A2635" s="305">
        <v>2634.0</v>
      </c>
      <c r="B2635" s="236"/>
      <c r="C2635" s="236"/>
      <c r="D2635" s="236"/>
      <c r="E2635" s="236"/>
      <c r="F2635" s="236"/>
      <c r="G2635" s="236"/>
      <c r="H2635" s="236"/>
      <c r="I2635" s="237"/>
      <c r="J2635" s="237"/>
      <c r="K2635" s="262"/>
      <c r="L2635" s="237"/>
      <c r="M2635" s="237"/>
      <c r="N2635" s="237"/>
      <c r="O2635" s="237"/>
      <c r="P2635" s="237"/>
      <c r="Q2635" s="237"/>
      <c r="R2635" s="237"/>
      <c r="S2635" s="237"/>
      <c r="T2635" s="237"/>
      <c r="U2635" s="237"/>
      <c r="V2635" s="237"/>
      <c r="W2635" s="237"/>
      <c r="X2635" s="237"/>
      <c r="Y2635" s="237"/>
      <c r="Z2635" s="237"/>
    </row>
    <row r="2636">
      <c r="A2636" s="305">
        <v>2635.0</v>
      </c>
      <c r="B2636" s="236"/>
      <c r="C2636" s="236"/>
      <c r="D2636" s="236"/>
      <c r="E2636" s="236"/>
      <c r="F2636" s="236"/>
      <c r="G2636" s="236"/>
      <c r="H2636" s="236"/>
      <c r="I2636" s="237"/>
      <c r="J2636" s="237"/>
      <c r="K2636" s="262"/>
      <c r="L2636" s="237"/>
      <c r="M2636" s="237"/>
      <c r="N2636" s="237"/>
      <c r="O2636" s="237"/>
      <c r="P2636" s="237"/>
      <c r="Q2636" s="237"/>
      <c r="R2636" s="237"/>
      <c r="S2636" s="237"/>
      <c r="T2636" s="237"/>
      <c r="U2636" s="237"/>
      <c r="V2636" s="237"/>
      <c r="W2636" s="237"/>
      <c r="X2636" s="237"/>
      <c r="Y2636" s="237"/>
      <c r="Z2636" s="237"/>
    </row>
    <row r="2637">
      <c r="A2637" s="305">
        <v>2636.0</v>
      </c>
      <c r="B2637" s="236"/>
      <c r="C2637" s="236"/>
      <c r="D2637" s="236"/>
      <c r="E2637" s="236"/>
      <c r="F2637" s="236"/>
      <c r="G2637" s="236"/>
      <c r="H2637" s="236"/>
      <c r="I2637" s="237"/>
      <c r="J2637" s="237"/>
      <c r="K2637" s="262"/>
      <c r="L2637" s="237"/>
      <c r="M2637" s="237"/>
      <c r="N2637" s="237"/>
      <c r="O2637" s="237"/>
      <c r="P2637" s="237"/>
      <c r="Q2637" s="237"/>
      <c r="R2637" s="237"/>
      <c r="S2637" s="237"/>
      <c r="T2637" s="237"/>
      <c r="U2637" s="237"/>
      <c r="V2637" s="237"/>
      <c r="W2637" s="237"/>
      <c r="X2637" s="237"/>
      <c r="Y2637" s="237"/>
      <c r="Z2637" s="237"/>
    </row>
    <row r="2638">
      <c r="A2638" s="305">
        <v>2637.0</v>
      </c>
      <c r="B2638" s="236"/>
      <c r="C2638" s="236"/>
      <c r="D2638" s="236"/>
      <c r="E2638" s="236"/>
      <c r="F2638" s="236"/>
      <c r="G2638" s="236"/>
      <c r="H2638" s="236"/>
      <c r="I2638" s="237"/>
      <c r="J2638" s="237"/>
      <c r="K2638" s="262"/>
      <c r="L2638" s="237"/>
      <c r="M2638" s="237"/>
      <c r="N2638" s="237"/>
      <c r="O2638" s="237"/>
      <c r="P2638" s="237"/>
      <c r="Q2638" s="237"/>
      <c r="R2638" s="237"/>
      <c r="S2638" s="237"/>
      <c r="T2638" s="237"/>
      <c r="U2638" s="237"/>
      <c r="V2638" s="237"/>
      <c r="W2638" s="237"/>
      <c r="X2638" s="237"/>
      <c r="Y2638" s="237"/>
      <c r="Z2638" s="237"/>
    </row>
    <row r="2639">
      <c r="A2639" s="305">
        <v>2638.0</v>
      </c>
      <c r="B2639" s="236"/>
      <c r="C2639" s="236"/>
      <c r="D2639" s="236"/>
      <c r="E2639" s="236"/>
      <c r="F2639" s="236"/>
      <c r="G2639" s="236"/>
      <c r="H2639" s="236"/>
      <c r="I2639" s="237"/>
      <c r="J2639" s="237"/>
      <c r="K2639" s="262"/>
      <c r="L2639" s="237"/>
      <c r="M2639" s="237"/>
      <c r="N2639" s="237"/>
      <c r="O2639" s="237"/>
      <c r="P2639" s="237"/>
      <c r="Q2639" s="237"/>
      <c r="R2639" s="237"/>
      <c r="S2639" s="237"/>
      <c r="T2639" s="237"/>
      <c r="U2639" s="237"/>
      <c r="V2639" s="237"/>
      <c r="W2639" s="237"/>
      <c r="X2639" s="237"/>
      <c r="Y2639" s="237"/>
      <c r="Z2639" s="237"/>
    </row>
    <row r="2640">
      <c r="A2640" s="305">
        <v>2639.0</v>
      </c>
      <c r="B2640" s="236"/>
      <c r="C2640" s="236"/>
      <c r="D2640" s="236"/>
      <c r="E2640" s="236"/>
      <c r="F2640" s="236"/>
      <c r="G2640" s="236"/>
      <c r="H2640" s="236"/>
      <c r="I2640" s="237"/>
      <c r="J2640" s="237"/>
      <c r="K2640" s="262"/>
      <c r="L2640" s="237"/>
      <c r="M2640" s="237"/>
      <c r="N2640" s="237"/>
      <c r="O2640" s="237"/>
      <c r="P2640" s="237"/>
      <c r="Q2640" s="237"/>
      <c r="R2640" s="237"/>
      <c r="S2640" s="237"/>
      <c r="T2640" s="237"/>
      <c r="U2640" s="237"/>
      <c r="V2640" s="237"/>
      <c r="W2640" s="237"/>
      <c r="X2640" s="237"/>
      <c r="Y2640" s="237"/>
      <c r="Z2640" s="237"/>
    </row>
    <row r="2641">
      <c r="A2641" s="305">
        <v>2640.0</v>
      </c>
      <c r="B2641" s="236"/>
      <c r="C2641" s="236"/>
      <c r="D2641" s="236"/>
      <c r="E2641" s="236"/>
      <c r="F2641" s="236"/>
      <c r="G2641" s="236"/>
      <c r="H2641" s="236"/>
      <c r="I2641" s="237"/>
      <c r="J2641" s="237"/>
      <c r="K2641" s="262"/>
      <c r="L2641" s="237"/>
      <c r="M2641" s="237"/>
      <c r="N2641" s="237"/>
      <c r="O2641" s="237"/>
      <c r="P2641" s="237"/>
      <c r="Q2641" s="237"/>
      <c r="R2641" s="237"/>
      <c r="S2641" s="237"/>
      <c r="T2641" s="237"/>
      <c r="U2641" s="237"/>
      <c r="V2641" s="237"/>
      <c r="W2641" s="237"/>
      <c r="X2641" s="237"/>
      <c r="Y2641" s="237"/>
      <c r="Z2641" s="237"/>
    </row>
    <row r="2642">
      <c r="A2642" s="305">
        <v>2641.0</v>
      </c>
      <c r="B2642" s="236"/>
      <c r="C2642" s="236"/>
      <c r="D2642" s="236"/>
      <c r="E2642" s="236"/>
      <c r="F2642" s="236"/>
      <c r="G2642" s="236"/>
      <c r="H2642" s="236"/>
      <c r="I2642" s="237"/>
      <c r="J2642" s="237"/>
      <c r="K2642" s="262"/>
      <c r="L2642" s="237"/>
      <c r="M2642" s="237"/>
      <c r="N2642" s="237"/>
      <c r="O2642" s="237"/>
      <c r="P2642" s="237"/>
      <c r="Q2642" s="237"/>
      <c r="R2642" s="237"/>
      <c r="S2642" s="237"/>
      <c r="T2642" s="237"/>
      <c r="U2642" s="237"/>
      <c r="V2642" s="237"/>
      <c r="W2642" s="237"/>
      <c r="X2642" s="237"/>
      <c r="Y2642" s="237"/>
      <c r="Z2642" s="237"/>
    </row>
    <row r="2643">
      <c r="A2643" s="305">
        <v>2642.0</v>
      </c>
      <c r="B2643" s="236"/>
      <c r="C2643" s="236"/>
      <c r="D2643" s="236"/>
      <c r="E2643" s="236"/>
      <c r="F2643" s="236"/>
      <c r="G2643" s="236"/>
      <c r="H2643" s="236"/>
      <c r="I2643" s="237"/>
      <c r="J2643" s="237"/>
      <c r="K2643" s="262"/>
      <c r="L2643" s="237"/>
      <c r="M2643" s="237"/>
      <c r="N2643" s="237"/>
      <c r="O2643" s="237"/>
      <c r="P2643" s="237"/>
      <c r="Q2643" s="237"/>
      <c r="R2643" s="237"/>
      <c r="S2643" s="237"/>
      <c r="T2643" s="237"/>
      <c r="U2643" s="237"/>
      <c r="V2643" s="237"/>
      <c r="W2643" s="237"/>
      <c r="X2643" s="237"/>
      <c r="Y2643" s="237"/>
      <c r="Z2643" s="237"/>
    </row>
    <row r="2644">
      <c r="A2644" s="305">
        <v>2643.0</v>
      </c>
      <c r="B2644" s="236"/>
      <c r="C2644" s="236"/>
      <c r="D2644" s="236"/>
      <c r="E2644" s="236"/>
      <c r="F2644" s="236"/>
      <c r="G2644" s="236"/>
      <c r="H2644" s="236"/>
      <c r="I2644" s="237"/>
      <c r="J2644" s="237"/>
      <c r="K2644" s="262"/>
      <c r="L2644" s="237"/>
      <c r="M2644" s="237"/>
      <c r="N2644" s="237"/>
      <c r="O2644" s="237"/>
      <c r="P2644" s="237"/>
      <c r="Q2644" s="237"/>
      <c r="R2644" s="237"/>
      <c r="S2644" s="237"/>
      <c r="T2644" s="237"/>
      <c r="U2644" s="237"/>
      <c r="V2644" s="237"/>
      <c r="W2644" s="237"/>
      <c r="X2644" s="237"/>
      <c r="Y2644" s="237"/>
      <c r="Z2644" s="237"/>
    </row>
    <row r="2645">
      <c r="A2645" s="305">
        <v>2644.0</v>
      </c>
      <c r="B2645" s="236"/>
      <c r="C2645" s="236"/>
      <c r="D2645" s="236"/>
      <c r="E2645" s="236"/>
      <c r="F2645" s="236"/>
      <c r="G2645" s="236"/>
      <c r="H2645" s="236"/>
      <c r="I2645" s="237"/>
      <c r="J2645" s="237"/>
      <c r="K2645" s="262"/>
      <c r="L2645" s="237"/>
      <c r="M2645" s="237"/>
      <c r="N2645" s="237"/>
      <c r="O2645" s="237"/>
      <c r="P2645" s="237"/>
      <c r="Q2645" s="237"/>
      <c r="R2645" s="237"/>
      <c r="S2645" s="237"/>
      <c r="T2645" s="237"/>
      <c r="U2645" s="237"/>
      <c r="V2645" s="237"/>
      <c r="W2645" s="237"/>
      <c r="X2645" s="237"/>
      <c r="Y2645" s="237"/>
      <c r="Z2645" s="237"/>
    </row>
    <row r="2646">
      <c r="A2646" s="305">
        <v>2645.0</v>
      </c>
      <c r="B2646" s="236"/>
      <c r="C2646" s="236"/>
      <c r="D2646" s="236"/>
      <c r="E2646" s="236"/>
      <c r="F2646" s="236"/>
      <c r="G2646" s="236"/>
      <c r="H2646" s="236"/>
      <c r="I2646" s="237"/>
      <c r="J2646" s="237"/>
      <c r="K2646" s="262"/>
      <c r="L2646" s="237"/>
      <c r="M2646" s="237"/>
      <c r="N2646" s="237"/>
      <c r="O2646" s="237"/>
      <c r="P2646" s="237"/>
      <c r="Q2646" s="237"/>
      <c r="R2646" s="237"/>
      <c r="S2646" s="237"/>
      <c r="T2646" s="237"/>
      <c r="U2646" s="237"/>
      <c r="V2646" s="237"/>
      <c r="W2646" s="237"/>
      <c r="X2646" s="237"/>
      <c r="Y2646" s="237"/>
      <c r="Z2646" s="237"/>
    </row>
    <row r="2647">
      <c r="A2647" s="305">
        <v>2646.0</v>
      </c>
      <c r="B2647" s="236"/>
      <c r="C2647" s="236"/>
      <c r="D2647" s="236"/>
      <c r="E2647" s="236"/>
      <c r="F2647" s="236"/>
      <c r="G2647" s="236"/>
      <c r="H2647" s="236"/>
      <c r="I2647" s="237"/>
      <c r="J2647" s="237"/>
      <c r="K2647" s="262"/>
      <c r="L2647" s="237"/>
      <c r="M2647" s="237"/>
      <c r="N2647" s="237"/>
      <c r="O2647" s="237"/>
      <c r="P2647" s="237"/>
      <c r="Q2647" s="237"/>
      <c r="R2647" s="237"/>
      <c r="S2647" s="237"/>
      <c r="T2647" s="237"/>
      <c r="U2647" s="237"/>
      <c r="V2647" s="237"/>
      <c r="W2647" s="237"/>
      <c r="X2647" s="237"/>
      <c r="Y2647" s="237"/>
      <c r="Z2647" s="237"/>
    </row>
    <row r="2648">
      <c r="A2648" s="305">
        <v>2647.0</v>
      </c>
      <c r="B2648" s="236"/>
      <c r="C2648" s="236"/>
      <c r="D2648" s="236"/>
      <c r="E2648" s="236"/>
      <c r="F2648" s="236"/>
      <c r="G2648" s="236"/>
      <c r="H2648" s="236"/>
      <c r="I2648" s="237"/>
      <c r="J2648" s="237"/>
      <c r="K2648" s="262"/>
      <c r="L2648" s="237"/>
      <c r="M2648" s="237"/>
      <c r="N2648" s="237"/>
      <c r="O2648" s="237"/>
      <c r="P2648" s="237"/>
      <c r="Q2648" s="237"/>
      <c r="R2648" s="237"/>
      <c r="S2648" s="237"/>
      <c r="T2648" s="237"/>
      <c r="U2648" s="237"/>
      <c r="V2648" s="237"/>
      <c r="W2648" s="237"/>
      <c r="X2648" s="237"/>
      <c r="Y2648" s="237"/>
      <c r="Z2648" s="237"/>
    </row>
    <row r="2649">
      <c r="A2649" s="305">
        <v>2648.0</v>
      </c>
      <c r="B2649" s="236"/>
      <c r="C2649" s="236"/>
      <c r="D2649" s="236"/>
      <c r="E2649" s="236"/>
      <c r="F2649" s="236"/>
      <c r="G2649" s="236"/>
      <c r="H2649" s="236"/>
      <c r="I2649" s="237"/>
      <c r="J2649" s="237"/>
      <c r="K2649" s="262"/>
      <c r="L2649" s="237"/>
      <c r="M2649" s="237"/>
      <c r="N2649" s="237"/>
      <c r="O2649" s="237"/>
      <c r="P2649" s="237"/>
      <c r="Q2649" s="237"/>
      <c r="R2649" s="237"/>
      <c r="S2649" s="237"/>
      <c r="T2649" s="237"/>
      <c r="U2649" s="237"/>
      <c r="V2649" s="237"/>
      <c r="W2649" s="237"/>
      <c r="X2649" s="237"/>
      <c r="Y2649" s="237"/>
      <c r="Z2649" s="237"/>
    </row>
    <row r="2650">
      <c r="A2650" s="305">
        <v>2649.0</v>
      </c>
      <c r="B2650" s="236"/>
      <c r="C2650" s="236"/>
      <c r="D2650" s="236"/>
      <c r="E2650" s="236"/>
      <c r="F2650" s="236"/>
      <c r="G2650" s="236"/>
      <c r="H2650" s="236"/>
      <c r="I2650" s="237"/>
      <c r="J2650" s="237"/>
      <c r="K2650" s="262"/>
      <c r="L2650" s="237"/>
      <c r="M2650" s="237"/>
      <c r="N2650" s="237"/>
      <c r="O2650" s="237"/>
      <c r="P2650" s="237"/>
      <c r="Q2650" s="237"/>
      <c r="R2650" s="237"/>
      <c r="S2650" s="237"/>
      <c r="T2650" s="237"/>
      <c r="U2650" s="237"/>
      <c r="V2650" s="237"/>
      <c r="W2650" s="237"/>
      <c r="X2650" s="237"/>
      <c r="Y2650" s="237"/>
      <c r="Z2650" s="237"/>
    </row>
    <row r="2651">
      <c r="A2651" s="305">
        <v>2650.0</v>
      </c>
      <c r="B2651" s="236"/>
      <c r="C2651" s="236"/>
      <c r="D2651" s="236"/>
      <c r="E2651" s="236"/>
      <c r="F2651" s="236"/>
      <c r="G2651" s="236"/>
      <c r="H2651" s="236"/>
      <c r="I2651" s="237"/>
      <c r="J2651" s="237"/>
      <c r="K2651" s="262"/>
      <c r="L2651" s="237"/>
      <c r="M2651" s="237"/>
      <c r="N2651" s="237"/>
      <c r="O2651" s="237"/>
      <c r="P2651" s="237"/>
      <c r="Q2651" s="237"/>
      <c r="R2651" s="237"/>
      <c r="S2651" s="237"/>
      <c r="T2651" s="237"/>
      <c r="U2651" s="237"/>
      <c r="V2651" s="237"/>
      <c r="W2651" s="237"/>
      <c r="X2651" s="237"/>
      <c r="Y2651" s="237"/>
      <c r="Z2651" s="237"/>
    </row>
    <row r="2652">
      <c r="A2652" s="305">
        <v>2651.0</v>
      </c>
      <c r="B2652" s="236"/>
      <c r="C2652" s="236"/>
      <c r="D2652" s="236"/>
      <c r="E2652" s="236"/>
      <c r="F2652" s="236"/>
      <c r="G2652" s="236"/>
      <c r="H2652" s="236"/>
      <c r="I2652" s="237"/>
      <c r="J2652" s="237"/>
      <c r="K2652" s="262"/>
      <c r="L2652" s="237"/>
      <c r="M2652" s="237"/>
      <c r="N2652" s="237"/>
      <c r="O2652" s="237"/>
      <c r="P2652" s="237"/>
      <c r="Q2652" s="237"/>
      <c r="R2652" s="237"/>
      <c r="S2652" s="237"/>
      <c r="T2652" s="237"/>
      <c r="U2652" s="237"/>
      <c r="V2652" s="237"/>
      <c r="W2652" s="237"/>
      <c r="X2652" s="237"/>
      <c r="Y2652" s="237"/>
      <c r="Z2652" s="237"/>
    </row>
    <row r="2653">
      <c r="A2653" s="305">
        <v>2652.0</v>
      </c>
      <c r="B2653" s="236"/>
      <c r="C2653" s="236"/>
      <c r="D2653" s="236"/>
      <c r="E2653" s="236"/>
      <c r="F2653" s="236"/>
      <c r="G2653" s="236"/>
      <c r="H2653" s="236"/>
      <c r="I2653" s="237"/>
      <c r="J2653" s="237"/>
      <c r="K2653" s="262"/>
      <c r="L2653" s="237"/>
      <c r="M2653" s="237"/>
      <c r="N2653" s="237"/>
      <c r="O2653" s="237"/>
      <c r="P2653" s="237"/>
      <c r="Q2653" s="237"/>
      <c r="R2653" s="237"/>
      <c r="S2653" s="237"/>
      <c r="T2653" s="237"/>
      <c r="U2653" s="237"/>
      <c r="V2653" s="237"/>
      <c r="W2653" s="237"/>
      <c r="X2653" s="237"/>
      <c r="Y2653" s="237"/>
      <c r="Z2653" s="237"/>
    </row>
    <row r="2654">
      <c r="A2654" s="305">
        <v>2653.0</v>
      </c>
      <c r="B2654" s="236"/>
      <c r="C2654" s="236"/>
      <c r="D2654" s="236"/>
      <c r="E2654" s="236"/>
      <c r="F2654" s="236"/>
      <c r="G2654" s="236"/>
      <c r="H2654" s="236"/>
      <c r="I2654" s="237"/>
      <c r="J2654" s="237"/>
      <c r="K2654" s="262"/>
      <c r="L2654" s="237"/>
      <c r="M2654" s="237"/>
      <c r="N2654" s="237"/>
      <c r="O2654" s="237"/>
      <c r="P2654" s="237"/>
      <c r="Q2654" s="237"/>
      <c r="R2654" s="237"/>
      <c r="S2654" s="237"/>
      <c r="T2654" s="237"/>
      <c r="U2654" s="237"/>
      <c r="V2654" s="237"/>
      <c r="W2654" s="237"/>
      <c r="X2654" s="237"/>
      <c r="Y2654" s="237"/>
      <c r="Z2654" s="237"/>
    </row>
    <row r="2655">
      <c r="A2655" s="305">
        <v>2654.0</v>
      </c>
      <c r="B2655" s="236"/>
      <c r="C2655" s="236"/>
      <c r="D2655" s="236"/>
      <c r="E2655" s="236"/>
      <c r="F2655" s="236"/>
      <c r="G2655" s="236"/>
      <c r="H2655" s="236"/>
      <c r="I2655" s="237"/>
      <c r="J2655" s="237"/>
      <c r="K2655" s="262"/>
      <c r="L2655" s="237"/>
      <c r="M2655" s="237"/>
      <c r="N2655" s="237"/>
      <c r="O2655" s="237"/>
      <c r="P2655" s="237"/>
      <c r="Q2655" s="237"/>
      <c r="R2655" s="237"/>
      <c r="S2655" s="237"/>
      <c r="T2655" s="237"/>
      <c r="U2655" s="237"/>
      <c r="V2655" s="237"/>
      <c r="W2655" s="237"/>
      <c r="X2655" s="237"/>
      <c r="Y2655" s="237"/>
      <c r="Z2655" s="237"/>
    </row>
    <row r="2656">
      <c r="A2656" s="305">
        <v>2655.0</v>
      </c>
      <c r="B2656" s="236"/>
      <c r="C2656" s="236"/>
      <c r="D2656" s="236"/>
      <c r="E2656" s="236"/>
      <c r="F2656" s="236"/>
      <c r="G2656" s="236"/>
      <c r="H2656" s="236"/>
      <c r="I2656" s="237"/>
      <c r="J2656" s="237"/>
      <c r="K2656" s="262"/>
      <c r="L2656" s="237"/>
      <c r="M2656" s="237"/>
      <c r="N2656" s="237"/>
      <c r="O2656" s="237"/>
      <c r="P2656" s="237"/>
      <c r="Q2656" s="237"/>
      <c r="R2656" s="237"/>
      <c r="S2656" s="237"/>
      <c r="T2656" s="237"/>
      <c r="U2656" s="237"/>
      <c r="V2656" s="237"/>
      <c r="W2656" s="237"/>
      <c r="X2656" s="237"/>
      <c r="Y2656" s="237"/>
      <c r="Z2656" s="237"/>
    </row>
    <row r="2657">
      <c r="A2657" s="305">
        <v>2656.0</v>
      </c>
      <c r="B2657" s="236"/>
      <c r="C2657" s="236"/>
      <c r="D2657" s="236"/>
      <c r="E2657" s="236"/>
      <c r="F2657" s="236"/>
      <c r="G2657" s="236"/>
      <c r="H2657" s="236"/>
      <c r="I2657" s="237"/>
      <c r="J2657" s="237"/>
      <c r="K2657" s="262"/>
      <c r="L2657" s="237"/>
      <c r="M2657" s="237"/>
      <c r="N2657" s="237"/>
      <c r="O2657" s="237"/>
      <c r="P2657" s="237"/>
      <c r="Q2657" s="237"/>
      <c r="R2657" s="237"/>
      <c r="S2657" s="237"/>
      <c r="T2657" s="237"/>
      <c r="U2657" s="237"/>
      <c r="V2657" s="237"/>
      <c r="W2657" s="237"/>
      <c r="X2657" s="237"/>
      <c r="Y2657" s="237"/>
      <c r="Z2657" s="237"/>
    </row>
    <row r="2658">
      <c r="A2658" s="305">
        <v>2657.0</v>
      </c>
      <c r="B2658" s="236"/>
      <c r="C2658" s="236"/>
      <c r="D2658" s="236"/>
      <c r="E2658" s="236"/>
      <c r="F2658" s="236"/>
      <c r="G2658" s="236"/>
      <c r="H2658" s="236"/>
      <c r="I2658" s="237"/>
      <c r="J2658" s="237"/>
      <c r="K2658" s="262"/>
      <c r="L2658" s="237"/>
      <c r="M2658" s="237"/>
      <c r="N2658" s="237"/>
      <c r="O2658" s="237"/>
      <c r="P2658" s="237"/>
      <c r="Q2658" s="237"/>
      <c r="R2658" s="237"/>
      <c r="S2658" s="237"/>
      <c r="T2658" s="237"/>
      <c r="U2658" s="237"/>
      <c r="V2658" s="237"/>
      <c r="W2658" s="237"/>
      <c r="X2658" s="237"/>
      <c r="Y2658" s="237"/>
      <c r="Z2658" s="237"/>
    </row>
    <row r="2659">
      <c r="A2659" s="305">
        <v>2658.0</v>
      </c>
      <c r="B2659" s="236"/>
      <c r="C2659" s="236"/>
      <c r="D2659" s="236"/>
      <c r="E2659" s="236"/>
      <c r="F2659" s="236"/>
      <c r="G2659" s="236"/>
      <c r="H2659" s="236"/>
      <c r="I2659" s="237"/>
      <c r="J2659" s="237"/>
      <c r="K2659" s="262"/>
      <c r="L2659" s="237"/>
      <c r="M2659" s="237"/>
      <c r="N2659" s="237"/>
      <c r="O2659" s="237"/>
      <c r="P2659" s="237"/>
      <c r="Q2659" s="237"/>
      <c r="R2659" s="237"/>
      <c r="S2659" s="237"/>
      <c r="T2659" s="237"/>
      <c r="U2659" s="237"/>
      <c r="V2659" s="237"/>
      <c r="W2659" s="237"/>
      <c r="X2659" s="237"/>
      <c r="Y2659" s="237"/>
      <c r="Z2659" s="237"/>
    </row>
    <row r="2660">
      <c r="A2660" s="305">
        <v>2659.0</v>
      </c>
      <c r="B2660" s="236"/>
      <c r="C2660" s="236"/>
      <c r="D2660" s="236"/>
      <c r="E2660" s="236"/>
      <c r="F2660" s="236"/>
      <c r="G2660" s="236"/>
      <c r="H2660" s="236"/>
      <c r="I2660" s="237"/>
      <c r="J2660" s="237"/>
      <c r="K2660" s="262"/>
      <c r="L2660" s="237"/>
      <c r="M2660" s="237"/>
      <c r="N2660" s="237"/>
      <c r="O2660" s="237"/>
      <c r="P2660" s="237"/>
      <c r="Q2660" s="237"/>
      <c r="R2660" s="237"/>
      <c r="S2660" s="237"/>
      <c r="T2660" s="237"/>
      <c r="U2660" s="237"/>
      <c r="V2660" s="237"/>
      <c r="W2660" s="237"/>
      <c r="X2660" s="237"/>
      <c r="Y2660" s="237"/>
      <c r="Z2660" s="237"/>
    </row>
    <row r="2661">
      <c r="A2661" s="305">
        <v>2660.0</v>
      </c>
      <c r="B2661" s="236"/>
      <c r="C2661" s="236"/>
      <c r="D2661" s="236"/>
      <c r="E2661" s="236"/>
      <c r="F2661" s="236"/>
      <c r="G2661" s="236"/>
      <c r="H2661" s="236"/>
      <c r="I2661" s="237"/>
      <c r="J2661" s="237"/>
      <c r="K2661" s="262"/>
      <c r="L2661" s="237"/>
      <c r="M2661" s="237"/>
      <c r="N2661" s="237"/>
      <c r="O2661" s="237"/>
      <c r="P2661" s="237"/>
      <c r="Q2661" s="237"/>
      <c r="R2661" s="237"/>
      <c r="S2661" s="237"/>
      <c r="T2661" s="237"/>
      <c r="U2661" s="237"/>
      <c r="V2661" s="237"/>
      <c r="W2661" s="237"/>
      <c r="X2661" s="237"/>
      <c r="Y2661" s="237"/>
      <c r="Z2661" s="237"/>
    </row>
    <row r="2662">
      <c r="A2662" s="305">
        <v>2661.0</v>
      </c>
      <c r="B2662" s="236"/>
      <c r="C2662" s="236"/>
      <c r="D2662" s="236"/>
      <c r="E2662" s="236"/>
      <c r="F2662" s="236"/>
      <c r="G2662" s="236"/>
      <c r="H2662" s="236"/>
      <c r="I2662" s="237"/>
      <c r="J2662" s="237"/>
      <c r="K2662" s="262"/>
      <c r="L2662" s="237"/>
      <c r="M2662" s="237"/>
      <c r="N2662" s="237"/>
      <c r="O2662" s="237"/>
      <c r="P2662" s="237"/>
      <c r="Q2662" s="237"/>
      <c r="R2662" s="237"/>
      <c r="S2662" s="237"/>
      <c r="T2662" s="237"/>
      <c r="U2662" s="237"/>
      <c r="V2662" s="237"/>
      <c r="W2662" s="237"/>
      <c r="X2662" s="237"/>
      <c r="Y2662" s="237"/>
      <c r="Z2662" s="237"/>
    </row>
    <row r="2663">
      <c r="A2663" s="305">
        <v>2662.0</v>
      </c>
      <c r="B2663" s="236"/>
      <c r="C2663" s="236"/>
      <c r="D2663" s="236"/>
      <c r="E2663" s="236"/>
      <c r="F2663" s="236"/>
      <c r="G2663" s="236"/>
      <c r="H2663" s="236"/>
      <c r="I2663" s="237"/>
      <c r="J2663" s="237"/>
      <c r="K2663" s="262"/>
      <c r="L2663" s="237"/>
      <c r="M2663" s="237"/>
      <c r="N2663" s="237"/>
      <c r="O2663" s="237"/>
      <c r="P2663" s="237"/>
      <c r="Q2663" s="237"/>
      <c r="R2663" s="237"/>
      <c r="S2663" s="237"/>
      <c r="T2663" s="237"/>
      <c r="U2663" s="237"/>
      <c r="V2663" s="237"/>
      <c r="W2663" s="237"/>
      <c r="X2663" s="237"/>
      <c r="Y2663" s="237"/>
      <c r="Z2663" s="237"/>
    </row>
    <row r="2664">
      <c r="A2664" s="305">
        <v>2663.0</v>
      </c>
      <c r="B2664" s="236"/>
      <c r="C2664" s="236"/>
      <c r="D2664" s="236"/>
      <c r="E2664" s="236"/>
      <c r="F2664" s="236"/>
      <c r="G2664" s="236"/>
      <c r="H2664" s="236"/>
      <c r="I2664" s="237"/>
      <c r="J2664" s="237"/>
      <c r="K2664" s="262"/>
      <c r="L2664" s="237"/>
      <c r="M2664" s="237"/>
      <c r="N2664" s="237"/>
      <c r="O2664" s="237"/>
      <c r="P2664" s="237"/>
      <c r="Q2664" s="237"/>
      <c r="R2664" s="237"/>
      <c r="S2664" s="237"/>
      <c r="T2664" s="237"/>
      <c r="U2664" s="237"/>
      <c r="V2664" s="237"/>
      <c r="W2664" s="237"/>
      <c r="X2664" s="237"/>
      <c r="Y2664" s="237"/>
      <c r="Z2664" s="237"/>
    </row>
    <row r="2665">
      <c r="A2665" s="305">
        <v>2664.0</v>
      </c>
      <c r="B2665" s="236"/>
      <c r="C2665" s="236"/>
      <c r="D2665" s="236"/>
      <c r="E2665" s="236"/>
      <c r="F2665" s="236"/>
      <c r="G2665" s="236"/>
      <c r="H2665" s="236"/>
      <c r="I2665" s="237"/>
      <c r="J2665" s="237"/>
      <c r="K2665" s="262"/>
      <c r="L2665" s="237"/>
      <c r="M2665" s="237"/>
      <c r="N2665" s="237"/>
      <c r="O2665" s="237"/>
      <c r="P2665" s="237"/>
      <c r="Q2665" s="237"/>
      <c r="R2665" s="237"/>
      <c r="S2665" s="237"/>
      <c r="T2665" s="237"/>
      <c r="U2665" s="237"/>
      <c r="V2665" s="237"/>
      <c r="W2665" s="237"/>
      <c r="X2665" s="237"/>
      <c r="Y2665" s="237"/>
      <c r="Z2665" s="237"/>
    </row>
    <row r="2666">
      <c r="A2666" s="305">
        <v>2665.0</v>
      </c>
      <c r="B2666" s="236"/>
      <c r="C2666" s="236"/>
      <c r="D2666" s="236"/>
      <c r="E2666" s="236"/>
      <c r="F2666" s="236"/>
      <c r="G2666" s="236"/>
      <c r="H2666" s="236"/>
      <c r="I2666" s="237"/>
      <c r="J2666" s="237"/>
      <c r="K2666" s="262"/>
      <c r="L2666" s="237"/>
      <c r="M2666" s="237"/>
      <c r="N2666" s="237"/>
      <c r="O2666" s="237"/>
      <c r="P2666" s="237"/>
      <c r="Q2666" s="237"/>
      <c r="R2666" s="237"/>
      <c r="S2666" s="237"/>
      <c r="T2666" s="237"/>
      <c r="U2666" s="237"/>
      <c r="V2666" s="237"/>
      <c r="W2666" s="237"/>
      <c r="X2666" s="237"/>
      <c r="Y2666" s="237"/>
      <c r="Z2666" s="237"/>
    </row>
    <row r="2667">
      <c r="A2667" s="305">
        <v>2666.0</v>
      </c>
      <c r="B2667" s="236"/>
      <c r="C2667" s="236"/>
      <c r="D2667" s="236"/>
      <c r="E2667" s="236"/>
      <c r="F2667" s="236"/>
      <c r="G2667" s="236"/>
      <c r="H2667" s="236"/>
      <c r="I2667" s="237"/>
      <c r="J2667" s="237"/>
      <c r="K2667" s="262"/>
      <c r="L2667" s="237"/>
      <c r="M2667" s="237"/>
      <c r="N2667" s="237"/>
      <c r="O2667" s="237"/>
      <c r="P2667" s="237"/>
      <c r="Q2667" s="237"/>
      <c r="R2667" s="237"/>
      <c r="S2667" s="237"/>
      <c r="T2667" s="237"/>
      <c r="U2667" s="237"/>
      <c r="V2667" s="237"/>
      <c r="W2667" s="237"/>
      <c r="X2667" s="237"/>
      <c r="Y2667" s="237"/>
      <c r="Z2667" s="237"/>
    </row>
    <row r="2668">
      <c r="A2668" s="305">
        <v>2667.0</v>
      </c>
      <c r="B2668" s="236"/>
      <c r="C2668" s="236"/>
      <c r="D2668" s="236"/>
      <c r="E2668" s="236"/>
      <c r="F2668" s="236"/>
      <c r="G2668" s="236"/>
      <c r="H2668" s="236"/>
      <c r="I2668" s="237"/>
      <c r="J2668" s="237"/>
      <c r="K2668" s="262"/>
      <c r="L2668" s="237"/>
      <c r="M2668" s="237"/>
      <c r="N2668" s="237"/>
      <c r="O2668" s="237"/>
      <c r="P2668" s="237"/>
      <c r="Q2668" s="237"/>
      <c r="R2668" s="237"/>
      <c r="S2668" s="237"/>
      <c r="T2668" s="237"/>
      <c r="U2668" s="237"/>
      <c r="V2668" s="237"/>
      <c r="W2668" s="237"/>
      <c r="X2668" s="237"/>
      <c r="Y2668" s="237"/>
      <c r="Z2668" s="237"/>
    </row>
    <row r="2669">
      <c r="A2669" s="305">
        <v>2668.0</v>
      </c>
      <c r="B2669" s="236"/>
      <c r="C2669" s="236"/>
      <c r="D2669" s="236"/>
      <c r="E2669" s="236"/>
      <c r="F2669" s="236"/>
      <c r="G2669" s="236"/>
      <c r="H2669" s="236"/>
      <c r="I2669" s="237"/>
      <c r="J2669" s="237"/>
      <c r="K2669" s="262"/>
      <c r="L2669" s="237"/>
      <c r="M2669" s="237"/>
      <c r="N2669" s="237"/>
      <c r="O2669" s="237"/>
      <c r="P2669" s="237"/>
      <c r="Q2669" s="237"/>
      <c r="R2669" s="237"/>
      <c r="S2669" s="237"/>
      <c r="T2669" s="237"/>
      <c r="U2669" s="237"/>
      <c r="V2669" s="237"/>
      <c r="W2669" s="237"/>
      <c r="X2669" s="237"/>
      <c r="Y2669" s="237"/>
      <c r="Z2669" s="237"/>
    </row>
    <row r="2670">
      <c r="A2670" s="305">
        <v>2669.0</v>
      </c>
      <c r="B2670" s="236"/>
      <c r="C2670" s="236"/>
      <c r="D2670" s="236"/>
      <c r="E2670" s="236"/>
      <c r="F2670" s="236"/>
      <c r="G2670" s="236"/>
      <c r="H2670" s="236"/>
      <c r="I2670" s="237"/>
      <c r="J2670" s="237"/>
      <c r="K2670" s="262"/>
      <c r="L2670" s="237"/>
      <c r="M2670" s="237"/>
      <c r="N2670" s="237"/>
      <c r="O2670" s="237"/>
      <c r="P2670" s="237"/>
      <c r="Q2670" s="237"/>
      <c r="R2670" s="237"/>
      <c r="S2670" s="237"/>
      <c r="T2670" s="237"/>
      <c r="U2670" s="237"/>
      <c r="V2670" s="237"/>
      <c r="W2670" s="237"/>
      <c r="X2670" s="237"/>
      <c r="Y2670" s="237"/>
      <c r="Z2670" s="237"/>
    </row>
    <row r="2671">
      <c r="A2671" s="305">
        <v>2670.0</v>
      </c>
      <c r="B2671" s="236"/>
      <c r="C2671" s="236"/>
      <c r="D2671" s="236"/>
      <c r="E2671" s="236"/>
      <c r="F2671" s="236"/>
      <c r="G2671" s="236"/>
      <c r="H2671" s="236"/>
      <c r="I2671" s="237"/>
      <c r="J2671" s="237"/>
      <c r="K2671" s="262"/>
      <c r="L2671" s="237"/>
      <c r="M2671" s="237"/>
      <c r="N2671" s="237"/>
      <c r="O2671" s="237"/>
      <c r="P2671" s="237"/>
      <c r="Q2671" s="237"/>
      <c r="R2671" s="237"/>
      <c r="S2671" s="237"/>
      <c r="T2671" s="237"/>
      <c r="U2671" s="237"/>
      <c r="V2671" s="237"/>
      <c r="W2671" s="237"/>
      <c r="X2671" s="237"/>
      <c r="Y2671" s="237"/>
      <c r="Z2671" s="237"/>
    </row>
    <row r="2672">
      <c r="A2672" s="305">
        <v>2671.0</v>
      </c>
      <c r="B2672" s="236"/>
      <c r="C2672" s="236"/>
      <c r="D2672" s="236"/>
      <c r="E2672" s="236"/>
      <c r="F2672" s="236"/>
      <c r="G2672" s="236"/>
      <c r="H2672" s="236"/>
      <c r="I2672" s="237"/>
      <c r="J2672" s="237"/>
      <c r="K2672" s="262"/>
      <c r="L2672" s="237"/>
      <c r="M2672" s="237"/>
      <c r="N2672" s="237"/>
      <c r="O2672" s="237"/>
      <c r="P2672" s="237"/>
      <c r="Q2672" s="237"/>
      <c r="R2672" s="237"/>
      <c r="S2672" s="237"/>
      <c r="T2672" s="237"/>
      <c r="U2672" s="237"/>
      <c r="V2672" s="237"/>
      <c r="W2672" s="237"/>
      <c r="X2672" s="237"/>
      <c r="Y2672" s="237"/>
      <c r="Z2672" s="237"/>
    </row>
    <row r="2673">
      <c r="A2673" s="305">
        <v>2672.0</v>
      </c>
      <c r="B2673" s="236"/>
      <c r="C2673" s="236"/>
      <c r="D2673" s="236"/>
      <c r="E2673" s="236"/>
      <c r="F2673" s="236"/>
      <c r="G2673" s="236"/>
      <c r="H2673" s="236"/>
      <c r="I2673" s="237"/>
      <c r="J2673" s="237"/>
      <c r="K2673" s="262"/>
      <c r="L2673" s="237"/>
      <c r="M2673" s="237"/>
      <c r="N2673" s="237"/>
      <c r="O2673" s="237"/>
      <c r="P2673" s="237"/>
      <c r="Q2673" s="237"/>
      <c r="R2673" s="237"/>
      <c r="S2673" s="237"/>
      <c r="T2673" s="237"/>
      <c r="U2673" s="237"/>
      <c r="V2673" s="237"/>
      <c r="W2673" s="237"/>
      <c r="X2673" s="237"/>
      <c r="Y2673" s="237"/>
      <c r="Z2673" s="237"/>
    </row>
    <row r="2674">
      <c r="A2674" s="305">
        <v>2673.0</v>
      </c>
      <c r="B2674" s="236"/>
      <c r="C2674" s="236"/>
      <c r="D2674" s="236"/>
      <c r="E2674" s="236"/>
      <c r="F2674" s="236"/>
      <c r="G2674" s="236"/>
      <c r="H2674" s="236"/>
      <c r="I2674" s="237"/>
      <c r="J2674" s="237"/>
      <c r="K2674" s="262"/>
      <c r="L2674" s="237"/>
      <c r="M2674" s="237"/>
      <c r="N2674" s="237"/>
      <c r="O2674" s="237"/>
      <c r="P2674" s="237"/>
      <c r="Q2674" s="237"/>
      <c r="R2674" s="237"/>
      <c r="S2674" s="237"/>
      <c r="T2674" s="237"/>
      <c r="U2674" s="237"/>
      <c r="V2674" s="237"/>
      <c r="W2674" s="237"/>
      <c r="X2674" s="237"/>
      <c r="Y2674" s="237"/>
      <c r="Z2674" s="237"/>
    </row>
    <row r="2675">
      <c r="A2675" s="305">
        <v>2674.0</v>
      </c>
      <c r="B2675" s="236"/>
      <c r="C2675" s="236"/>
      <c r="D2675" s="236"/>
      <c r="E2675" s="236"/>
      <c r="F2675" s="236"/>
      <c r="G2675" s="236"/>
      <c r="H2675" s="236"/>
      <c r="I2675" s="237"/>
      <c r="J2675" s="237"/>
      <c r="K2675" s="262"/>
      <c r="L2675" s="237"/>
      <c r="M2675" s="237"/>
      <c r="N2675" s="237"/>
      <c r="O2675" s="237"/>
      <c r="P2675" s="237"/>
      <c r="Q2675" s="237"/>
      <c r="R2675" s="237"/>
      <c r="S2675" s="237"/>
      <c r="T2675" s="237"/>
      <c r="U2675" s="237"/>
      <c r="V2675" s="237"/>
      <c r="W2675" s="237"/>
      <c r="X2675" s="237"/>
      <c r="Y2675" s="237"/>
      <c r="Z2675" s="237"/>
    </row>
    <row r="2676">
      <c r="A2676" s="305">
        <v>2675.0</v>
      </c>
      <c r="B2676" s="236"/>
      <c r="C2676" s="236"/>
      <c r="D2676" s="236"/>
      <c r="E2676" s="236"/>
      <c r="F2676" s="236"/>
      <c r="G2676" s="236"/>
      <c r="H2676" s="236"/>
      <c r="I2676" s="237"/>
      <c r="J2676" s="237"/>
      <c r="K2676" s="262"/>
      <c r="L2676" s="237"/>
      <c r="M2676" s="237"/>
      <c r="N2676" s="237"/>
      <c r="O2676" s="237"/>
      <c r="P2676" s="237"/>
      <c r="Q2676" s="237"/>
      <c r="R2676" s="237"/>
      <c r="S2676" s="237"/>
      <c r="T2676" s="237"/>
      <c r="U2676" s="237"/>
      <c r="V2676" s="237"/>
      <c r="W2676" s="237"/>
      <c r="X2676" s="237"/>
      <c r="Y2676" s="237"/>
      <c r="Z2676" s="237"/>
    </row>
    <row r="2677">
      <c r="A2677" s="305">
        <v>2676.0</v>
      </c>
      <c r="B2677" s="236"/>
      <c r="C2677" s="236"/>
      <c r="D2677" s="236"/>
      <c r="E2677" s="236"/>
      <c r="F2677" s="236"/>
      <c r="G2677" s="236"/>
      <c r="H2677" s="236"/>
      <c r="I2677" s="237"/>
      <c r="J2677" s="237"/>
      <c r="K2677" s="262"/>
      <c r="L2677" s="237"/>
      <c r="M2677" s="237"/>
      <c r="N2677" s="237"/>
      <c r="O2677" s="237"/>
      <c r="P2677" s="237"/>
      <c r="Q2677" s="237"/>
      <c r="R2677" s="237"/>
      <c r="S2677" s="237"/>
      <c r="T2677" s="237"/>
      <c r="U2677" s="237"/>
      <c r="V2677" s="237"/>
      <c r="W2677" s="237"/>
      <c r="X2677" s="237"/>
      <c r="Y2677" s="237"/>
      <c r="Z2677" s="237"/>
    </row>
    <row r="2678">
      <c r="A2678" s="305">
        <v>2677.0</v>
      </c>
      <c r="B2678" s="236"/>
      <c r="C2678" s="236"/>
      <c r="D2678" s="236"/>
      <c r="E2678" s="236"/>
      <c r="F2678" s="236"/>
      <c r="G2678" s="236"/>
      <c r="H2678" s="236"/>
      <c r="I2678" s="237"/>
      <c r="J2678" s="237"/>
      <c r="K2678" s="262"/>
      <c r="L2678" s="237"/>
      <c r="M2678" s="237"/>
      <c r="N2678" s="237"/>
      <c r="O2678" s="237"/>
      <c r="P2678" s="237"/>
      <c r="Q2678" s="237"/>
      <c r="R2678" s="237"/>
      <c r="S2678" s="237"/>
      <c r="T2678" s="237"/>
      <c r="U2678" s="237"/>
      <c r="V2678" s="237"/>
      <c r="W2678" s="237"/>
      <c r="X2678" s="237"/>
      <c r="Y2678" s="237"/>
      <c r="Z2678" s="237"/>
    </row>
    <row r="2679">
      <c r="A2679" s="305">
        <v>2678.0</v>
      </c>
      <c r="B2679" s="236"/>
      <c r="C2679" s="236"/>
      <c r="D2679" s="236"/>
      <c r="E2679" s="236"/>
      <c r="F2679" s="236"/>
      <c r="G2679" s="236"/>
      <c r="H2679" s="236"/>
      <c r="I2679" s="237"/>
      <c r="J2679" s="237"/>
      <c r="K2679" s="262"/>
      <c r="L2679" s="237"/>
      <c r="M2679" s="237"/>
      <c r="N2679" s="237"/>
      <c r="O2679" s="237"/>
      <c r="P2679" s="237"/>
      <c r="Q2679" s="237"/>
      <c r="R2679" s="237"/>
      <c r="S2679" s="237"/>
      <c r="T2679" s="237"/>
      <c r="U2679" s="237"/>
      <c r="V2679" s="237"/>
      <c r="W2679" s="237"/>
      <c r="X2679" s="237"/>
      <c r="Y2679" s="237"/>
      <c r="Z2679" s="237"/>
    </row>
    <row r="2680">
      <c r="A2680" s="305">
        <v>2679.0</v>
      </c>
      <c r="B2680" s="236"/>
      <c r="C2680" s="236"/>
      <c r="D2680" s="236"/>
      <c r="E2680" s="236"/>
      <c r="F2680" s="236"/>
      <c r="G2680" s="236"/>
      <c r="H2680" s="236"/>
      <c r="I2680" s="237"/>
      <c r="J2680" s="237"/>
      <c r="K2680" s="262"/>
      <c r="L2680" s="237"/>
      <c r="M2680" s="237"/>
      <c r="N2680" s="237"/>
      <c r="O2680" s="237"/>
      <c r="P2680" s="237"/>
      <c r="Q2680" s="237"/>
      <c r="R2680" s="237"/>
      <c r="S2680" s="237"/>
      <c r="T2680" s="237"/>
      <c r="U2680" s="237"/>
      <c r="V2680" s="237"/>
      <c r="W2680" s="237"/>
      <c r="X2680" s="237"/>
      <c r="Y2680" s="237"/>
      <c r="Z2680" s="237"/>
    </row>
    <row r="2681">
      <c r="A2681" s="305">
        <v>2680.0</v>
      </c>
      <c r="B2681" s="236"/>
      <c r="C2681" s="236"/>
      <c r="D2681" s="236"/>
      <c r="E2681" s="236"/>
      <c r="F2681" s="236"/>
      <c r="G2681" s="236"/>
      <c r="H2681" s="236"/>
      <c r="I2681" s="237"/>
      <c r="J2681" s="237"/>
      <c r="K2681" s="262"/>
      <c r="L2681" s="237"/>
      <c r="M2681" s="237"/>
      <c r="N2681" s="237"/>
      <c r="O2681" s="237"/>
      <c r="P2681" s="237"/>
      <c r="Q2681" s="237"/>
      <c r="R2681" s="237"/>
      <c r="S2681" s="237"/>
      <c r="T2681" s="237"/>
      <c r="U2681" s="237"/>
      <c r="V2681" s="237"/>
      <c r="W2681" s="237"/>
      <c r="X2681" s="237"/>
      <c r="Y2681" s="237"/>
      <c r="Z2681" s="237"/>
    </row>
    <row r="2682">
      <c r="A2682" s="305">
        <v>2681.0</v>
      </c>
      <c r="B2682" s="236"/>
      <c r="C2682" s="236"/>
      <c r="D2682" s="236"/>
      <c r="E2682" s="236"/>
      <c r="F2682" s="236"/>
      <c r="G2682" s="236"/>
      <c r="H2682" s="236"/>
      <c r="I2682" s="237"/>
      <c r="J2682" s="237"/>
      <c r="K2682" s="262"/>
      <c r="L2682" s="237"/>
      <c r="M2682" s="237"/>
      <c r="N2682" s="237"/>
      <c r="O2682" s="237"/>
      <c r="P2682" s="237"/>
      <c r="Q2682" s="237"/>
      <c r="R2682" s="237"/>
      <c r="S2682" s="237"/>
      <c r="T2682" s="237"/>
      <c r="U2682" s="237"/>
      <c r="V2682" s="237"/>
      <c r="W2682" s="237"/>
      <c r="X2682" s="237"/>
      <c r="Y2682" s="237"/>
      <c r="Z2682" s="237"/>
    </row>
    <row r="2683">
      <c r="A2683" s="305">
        <v>2682.0</v>
      </c>
      <c r="B2683" s="236"/>
      <c r="C2683" s="236"/>
      <c r="D2683" s="236"/>
      <c r="E2683" s="236"/>
      <c r="F2683" s="236"/>
      <c r="G2683" s="236"/>
      <c r="H2683" s="236"/>
      <c r="I2683" s="237"/>
      <c r="J2683" s="237"/>
      <c r="K2683" s="262"/>
      <c r="L2683" s="237"/>
      <c r="M2683" s="237"/>
      <c r="N2683" s="237"/>
      <c r="O2683" s="237"/>
      <c r="P2683" s="237"/>
      <c r="Q2683" s="237"/>
      <c r="R2683" s="237"/>
      <c r="S2683" s="237"/>
      <c r="T2683" s="237"/>
      <c r="U2683" s="237"/>
      <c r="V2683" s="237"/>
      <c r="W2683" s="237"/>
      <c r="X2683" s="237"/>
      <c r="Y2683" s="237"/>
      <c r="Z2683" s="237"/>
    </row>
    <row r="2684">
      <c r="A2684" s="305">
        <v>2683.0</v>
      </c>
      <c r="B2684" s="236"/>
      <c r="C2684" s="236"/>
      <c r="D2684" s="236"/>
      <c r="E2684" s="236"/>
      <c r="F2684" s="236"/>
      <c r="G2684" s="236"/>
      <c r="H2684" s="236"/>
      <c r="I2684" s="237"/>
      <c r="J2684" s="237"/>
      <c r="K2684" s="262"/>
      <c r="L2684" s="237"/>
      <c r="M2684" s="237"/>
      <c r="N2684" s="237"/>
      <c r="O2684" s="237"/>
      <c r="P2684" s="237"/>
      <c r="Q2684" s="237"/>
      <c r="R2684" s="237"/>
      <c r="S2684" s="237"/>
      <c r="T2684" s="237"/>
      <c r="U2684" s="237"/>
      <c r="V2684" s="237"/>
      <c r="W2684" s="237"/>
      <c r="X2684" s="237"/>
      <c r="Y2684" s="237"/>
      <c r="Z2684" s="237"/>
    </row>
    <row r="2685">
      <c r="A2685" s="305">
        <v>2684.0</v>
      </c>
      <c r="B2685" s="236"/>
      <c r="C2685" s="236"/>
      <c r="D2685" s="236"/>
      <c r="E2685" s="236"/>
      <c r="F2685" s="236"/>
      <c r="G2685" s="236"/>
      <c r="H2685" s="236"/>
      <c r="I2685" s="237"/>
      <c r="J2685" s="237"/>
      <c r="K2685" s="262"/>
      <c r="L2685" s="237"/>
      <c r="M2685" s="237"/>
      <c r="N2685" s="237"/>
      <c r="O2685" s="237"/>
      <c r="P2685" s="237"/>
      <c r="Q2685" s="237"/>
      <c r="R2685" s="237"/>
      <c r="S2685" s="237"/>
      <c r="T2685" s="237"/>
      <c r="U2685" s="237"/>
      <c r="V2685" s="237"/>
      <c r="W2685" s="237"/>
      <c r="X2685" s="237"/>
      <c r="Y2685" s="237"/>
      <c r="Z2685" s="237"/>
    </row>
    <row r="2686">
      <c r="A2686" s="305">
        <v>2685.0</v>
      </c>
      <c r="B2686" s="236"/>
      <c r="C2686" s="236"/>
      <c r="D2686" s="236"/>
      <c r="E2686" s="236"/>
      <c r="F2686" s="236"/>
      <c r="G2686" s="236"/>
      <c r="H2686" s="236"/>
      <c r="I2686" s="237"/>
      <c r="J2686" s="237"/>
      <c r="K2686" s="262"/>
      <c r="L2686" s="237"/>
      <c r="M2686" s="237"/>
      <c r="N2686" s="237"/>
      <c r="O2686" s="237"/>
      <c r="P2686" s="237"/>
      <c r="Q2686" s="237"/>
      <c r="R2686" s="237"/>
      <c r="S2686" s="237"/>
      <c r="T2686" s="237"/>
      <c r="U2686" s="237"/>
      <c r="V2686" s="237"/>
      <c r="W2686" s="237"/>
      <c r="X2686" s="237"/>
      <c r="Y2686" s="237"/>
      <c r="Z2686" s="237"/>
    </row>
    <row r="2687">
      <c r="A2687" s="305">
        <v>2686.0</v>
      </c>
      <c r="B2687" s="236"/>
      <c r="C2687" s="236"/>
      <c r="D2687" s="236"/>
      <c r="E2687" s="236"/>
      <c r="F2687" s="236"/>
      <c r="G2687" s="236"/>
      <c r="H2687" s="236"/>
      <c r="I2687" s="237"/>
      <c r="J2687" s="237"/>
      <c r="K2687" s="262"/>
      <c r="L2687" s="237"/>
      <c r="M2687" s="237"/>
      <c r="N2687" s="237"/>
      <c r="O2687" s="237"/>
      <c r="P2687" s="237"/>
      <c r="Q2687" s="237"/>
      <c r="R2687" s="237"/>
      <c r="S2687" s="237"/>
      <c r="T2687" s="237"/>
      <c r="U2687" s="237"/>
      <c r="V2687" s="237"/>
      <c r="W2687" s="237"/>
      <c r="X2687" s="237"/>
      <c r="Y2687" s="237"/>
      <c r="Z2687" s="237"/>
    </row>
    <row r="2688">
      <c r="A2688" s="305">
        <v>2687.0</v>
      </c>
      <c r="B2688" s="236"/>
      <c r="C2688" s="236"/>
      <c r="D2688" s="236"/>
      <c r="E2688" s="236"/>
      <c r="F2688" s="236"/>
      <c r="G2688" s="236"/>
      <c r="H2688" s="236"/>
      <c r="I2688" s="237"/>
      <c r="J2688" s="237"/>
      <c r="K2688" s="262"/>
      <c r="L2688" s="237"/>
      <c r="M2688" s="237"/>
      <c r="N2688" s="237"/>
      <c r="O2688" s="237"/>
      <c r="P2688" s="237"/>
      <c r="Q2688" s="237"/>
      <c r="R2688" s="237"/>
      <c r="S2688" s="237"/>
      <c r="T2688" s="237"/>
      <c r="U2688" s="237"/>
      <c r="V2688" s="237"/>
      <c r="W2688" s="237"/>
      <c r="X2688" s="237"/>
      <c r="Y2688" s="237"/>
      <c r="Z2688" s="237"/>
    </row>
    <row r="2689">
      <c r="A2689" s="305">
        <v>2688.0</v>
      </c>
      <c r="B2689" s="236"/>
      <c r="C2689" s="236"/>
      <c r="D2689" s="236"/>
      <c r="E2689" s="236"/>
      <c r="F2689" s="236"/>
      <c r="G2689" s="236"/>
      <c r="H2689" s="236"/>
      <c r="I2689" s="237"/>
      <c r="J2689" s="237"/>
      <c r="K2689" s="262"/>
      <c r="L2689" s="237"/>
      <c r="M2689" s="237"/>
      <c r="N2689" s="237"/>
      <c r="O2689" s="237"/>
      <c r="P2689" s="237"/>
      <c r="Q2689" s="237"/>
      <c r="R2689" s="237"/>
      <c r="S2689" s="237"/>
      <c r="T2689" s="237"/>
      <c r="U2689" s="237"/>
      <c r="V2689" s="237"/>
      <c r="W2689" s="237"/>
      <c r="X2689" s="237"/>
      <c r="Y2689" s="237"/>
      <c r="Z2689" s="237"/>
    </row>
    <row r="2690">
      <c r="A2690" s="305">
        <v>2689.0</v>
      </c>
      <c r="B2690" s="236"/>
      <c r="C2690" s="236"/>
      <c r="D2690" s="236"/>
      <c r="E2690" s="236"/>
      <c r="F2690" s="236"/>
      <c r="G2690" s="236"/>
      <c r="H2690" s="236"/>
      <c r="I2690" s="237"/>
      <c r="J2690" s="237"/>
      <c r="K2690" s="262"/>
      <c r="L2690" s="237"/>
      <c r="M2690" s="237"/>
      <c r="N2690" s="237"/>
      <c r="O2690" s="237"/>
      <c r="P2690" s="237"/>
      <c r="Q2690" s="237"/>
      <c r="R2690" s="237"/>
      <c r="S2690" s="237"/>
      <c r="T2690" s="237"/>
      <c r="U2690" s="237"/>
      <c r="V2690" s="237"/>
      <c r="W2690" s="237"/>
      <c r="X2690" s="237"/>
      <c r="Y2690" s="237"/>
      <c r="Z2690" s="237"/>
    </row>
    <row r="2691">
      <c r="A2691" s="305">
        <v>2690.0</v>
      </c>
      <c r="B2691" s="236"/>
      <c r="C2691" s="236"/>
      <c r="D2691" s="236"/>
      <c r="E2691" s="236"/>
      <c r="F2691" s="236"/>
      <c r="G2691" s="236"/>
      <c r="H2691" s="236"/>
      <c r="I2691" s="237"/>
      <c r="J2691" s="237"/>
      <c r="K2691" s="262"/>
      <c r="L2691" s="237"/>
      <c r="M2691" s="237"/>
      <c r="N2691" s="237"/>
      <c r="O2691" s="237"/>
      <c r="P2691" s="237"/>
      <c r="Q2691" s="237"/>
      <c r="R2691" s="237"/>
      <c r="S2691" s="237"/>
      <c r="T2691" s="237"/>
      <c r="U2691" s="237"/>
      <c r="V2691" s="237"/>
      <c r="W2691" s="237"/>
      <c r="X2691" s="237"/>
      <c r="Y2691" s="237"/>
      <c r="Z2691" s="237"/>
    </row>
    <row r="2692">
      <c r="A2692" s="305">
        <v>2691.0</v>
      </c>
      <c r="B2692" s="236"/>
      <c r="C2692" s="236"/>
      <c r="D2692" s="236"/>
      <c r="E2692" s="236"/>
      <c r="F2692" s="236"/>
      <c r="G2692" s="236"/>
      <c r="H2692" s="236"/>
      <c r="I2692" s="237"/>
      <c r="J2692" s="237"/>
      <c r="K2692" s="262"/>
      <c r="L2692" s="237"/>
      <c r="M2692" s="237"/>
      <c r="N2692" s="237"/>
      <c r="O2692" s="237"/>
      <c r="P2692" s="237"/>
      <c r="Q2692" s="237"/>
      <c r="R2692" s="237"/>
      <c r="S2692" s="237"/>
      <c r="T2692" s="237"/>
      <c r="U2692" s="237"/>
      <c r="V2692" s="237"/>
      <c r="W2692" s="237"/>
      <c r="X2692" s="237"/>
      <c r="Y2692" s="237"/>
      <c r="Z2692" s="237"/>
    </row>
    <row r="2693">
      <c r="A2693" s="305">
        <v>2692.0</v>
      </c>
      <c r="B2693" s="236"/>
      <c r="C2693" s="236"/>
      <c r="D2693" s="236"/>
      <c r="E2693" s="236"/>
      <c r="F2693" s="236"/>
      <c r="G2693" s="236"/>
      <c r="H2693" s="236"/>
      <c r="I2693" s="237"/>
      <c r="J2693" s="237"/>
      <c r="K2693" s="262"/>
      <c r="L2693" s="237"/>
      <c r="M2693" s="237"/>
      <c r="N2693" s="237"/>
      <c r="O2693" s="237"/>
      <c r="P2693" s="237"/>
      <c r="Q2693" s="237"/>
      <c r="R2693" s="237"/>
      <c r="S2693" s="237"/>
      <c r="T2693" s="237"/>
      <c r="U2693" s="237"/>
      <c r="V2693" s="237"/>
      <c r="W2693" s="237"/>
      <c r="X2693" s="237"/>
      <c r="Y2693" s="237"/>
      <c r="Z2693" s="237"/>
    </row>
    <row r="2694">
      <c r="A2694" s="305">
        <v>2693.0</v>
      </c>
      <c r="B2694" s="236"/>
      <c r="C2694" s="236"/>
      <c r="D2694" s="236"/>
      <c r="E2694" s="236"/>
      <c r="F2694" s="236"/>
      <c r="G2694" s="236"/>
      <c r="H2694" s="236"/>
      <c r="I2694" s="237"/>
      <c r="J2694" s="237"/>
      <c r="K2694" s="262"/>
      <c r="L2694" s="237"/>
      <c r="M2694" s="237"/>
      <c r="N2694" s="237"/>
      <c r="O2694" s="237"/>
      <c r="P2694" s="237"/>
      <c r="Q2694" s="237"/>
      <c r="R2694" s="237"/>
      <c r="S2694" s="237"/>
      <c r="T2694" s="237"/>
      <c r="U2694" s="237"/>
      <c r="V2694" s="237"/>
      <c r="W2694" s="237"/>
      <c r="X2694" s="237"/>
      <c r="Y2694" s="237"/>
      <c r="Z2694" s="237"/>
    </row>
    <row r="2695">
      <c r="A2695" s="305">
        <v>2694.0</v>
      </c>
      <c r="B2695" s="236"/>
      <c r="C2695" s="236"/>
      <c r="D2695" s="236"/>
      <c r="E2695" s="236"/>
      <c r="F2695" s="236"/>
      <c r="G2695" s="236"/>
      <c r="H2695" s="236"/>
      <c r="I2695" s="237"/>
      <c r="J2695" s="237"/>
      <c r="K2695" s="262"/>
      <c r="L2695" s="237"/>
      <c r="M2695" s="237"/>
      <c r="N2695" s="237"/>
      <c r="O2695" s="237"/>
      <c r="P2695" s="237"/>
      <c r="Q2695" s="237"/>
      <c r="R2695" s="237"/>
      <c r="S2695" s="237"/>
      <c r="T2695" s="237"/>
      <c r="U2695" s="237"/>
      <c r="V2695" s="237"/>
      <c r="W2695" s="237"/>
      <c r="X2695" s="237"/>
      <c r="Y2695" s="237"/>
      <c r="Z2695" s="237"/>
    </row>
    <row r="2696">
      <c r="A2696" s="305">
        <v>2695.0</v>
      </c>
      <c r="B2696" s="236"/>
      <c r="C2696" s="236"/>
      <c r="D2696" s="236"/>
      <c r="E2696" s="236"/>
      <c r="F2696" s="236"/>
      <c r="G2696" s="236"/>
      <c r="H2696" s="236"/>
      <c r="I2696" s="237"/>
      <c r="J2696" s="237"/>
      <c r="K2696" s="262"/>
      <c r="L2696" s="237"/>
      <c r="M2696" s="237"/>
      <c r="N2696" s="237"/>
      <c r="O2696" s="237"/>
      <c r="P2696" s="237"/>
      <c r="Q2696" s="237"/>
      <c r="R2696" s="237"/>
      <c r="S2696" s="237"/>
      <c r="T2696" s="237"/>
      <c r="U2696" s="237"/>
      <c r="V2696" s="237"/>
      <c r="W2696" s="237"/>
      <c r="X2696" s="237"/>
      <c r="Y2696" s="237"/>
      <c r="Z2696" s="237"/>
    </row>
    <row r="2697">
      <c r="A2697" s="305">
        <v>2696.0</v>
      </c>
      <c r="B2697" s="236"/>
      <c r="C2697" s="236"/>
      <c r="D2697" s="236"/>
      <c r="E2697" s="236"/>
      <c r="F2697" s="236"/>
      <c r="G2697" s="236"/>
      <c r="H2697" s="236"/>
      <c r="I2697" s="237"/>
      <c r="J2697" s="237"/>
      <c r="K2697" s="262"/>
      <c r="L2697" s="237"/>
      <c r="M2697" s="237"/>
      <c r="N2697" s="237"/>
      <c r="O2697" s="237"/>
      <c r="P2697" s="237"/>
      <c r="Q2697" s="237"/>
      <c r="R2697" s="237"/>
      <c r="S2697" s="237"/>
      <c r="T2697" s="237"/>
      <c r="U2697" s="237"/>
      <c r="V2697" s="237"/>
      <c r="W2697" s="237"/>
      <c r="X2697" s="237"/>
      <c r="Y2697" s="237"/>
      <c r="Z2697" s="237"/>
    </row>
    <row r="2698">
      <c r="A2698" s="305">
        <v>2697.0</v>
      </c>
      <c r="B2698" s="236"/>
      <c r="C2698" s="236"/>
      <c r="D2698" s="236"/>
      <c r="E2698" s="236"/>
      <c r="F2698" s="236"/>
      <c r="G2698" s="236"/>
      <c r="H2698" s="236"/>
      <c r="I2698" s="237"/>
      <c r="J2698" s="237"/>
      <c r="K2698" s="262"/>
      <c r="L2698" s="237"/>
      <c r="M2698" s="237"/>
      <c r="N2698" s="237"/>
      <c r="O2698" s="237"/>
      <c r="P2698" s="237"/>
      <c r="Q2698" s="237"/>
      <c r="R2698" s="237"/>
      <c r="S2698" s="237"/>
      <c r="T2698" s="237"/>
      <c r="U2698" s="237"/>
      <c r="V2698" s="237"/>
      <c r="W2698" s="237"/>
      <c r="X2698" s="237"/>
      <c r="Y2698" s="237"/>
      <c r="Z2698" s="237"/>
    </row>
    <row r="2699">
      <c r="A2699" s="305">
        <v>2698.0</v>
      </c>
      <c r="B2699" s="236"/>
      <c r="C2699" s="236"/>
      <c r="D2699" s="236"/>
      <c r="E2699" s="236"/>
      <c r="F2699" s="236"/>
      <c r="G2699" s="236"/>
      <c r="H2699" s="236"/>
      <c r="I2699" s="237"/>
      <c r="J2699" s="237"/>
      <c r="K2699" s="262"/>
      <c r="L2699" s="237"/>
      <c r="M2699" s="237"/>
      <c r="N2699" s="237"/>
      <c r="O2699" s="237"/>
      <c r="P2699" s="237"/>
      <c r="Q2699" s="237"/>
      <c r="R2699" s="237"/>
      <c r="S2699" s="237"/>
      <c r="T2699" s="237"/>
      <c r="U2699" s="237"/>
      <c r="V2699" s="237"/>
      <c r="W2699" s="237"/>
      <c r="X2699" s="237"/>
      <c r="Y2699" s="237"/>
      <c r="Z2699" s="237"/>
    </row>
    <row r="2700">
      <c r="A2700" s="305">
        <v>2699.0</v>
      </c>
      <c r="B2700" s="236"/>
      <c r="C2700" s="236"/>
      <c r="D2700" s="236"/>
      <c r="E2700" s="236"/>
      <c r="F2700" s="236"/>
      <c r="G2700" s="236"/>
      <c r="H2700" s="236"/>
      <c r="I2700" s="237"/>
      <c r="J2700" s="237"/>
      <c r="K2700" s="262"/>
      <c r="L2700" s="237"/>
      <c r="M2700" s="237"/>
      <c r="N2700" s="237"/>
      <c r="O2700" s="237"/>
      <c r="P2700" s="237"/>
      <c r="Q2700" s="237"/>
      <c r="R2700" s="237"/>
      <c r="S2700" s="237"/>
      <c r="T2700" s="237"/>
      <c r="U2700" s="237"/>
      <c r="V2700" s="237"/>
      <c r="W2700" s="237"/>
      <c r="X2700" s="237"/>
      <c r="Y2700" s="237"/>
      <c r="Z2700" s="237"/>
    </row>
    <row r="2701">
      <c r="A2701" s="305">
        <v>2700.0</v>
      </c>
      <c r="B2701" s="236"/>
      <c r="C2701" s="236"/>
      <c r="D2701" s="236"/>
      <c r="E2701" s="236"/>
      <c r="F2701" s="236"/>
      <c r="G2701" s="236"/>
      <c r="H2701" s="236"/>
      <c r="I2701" s="237"/>
      <c r="J2701" s="237"/>
      <c r="K2701" s="262"/>
      <c r="L2701" s="237"/>
      <c r="M2701" s="237"/>
      <c r="N2701" s="237"/>
      <c r="O2701" s="237"/>
      <c r="P2701" s="237"/>
      <c r="Q2701" s="237"/>
      <c r="R2701" s="237"/>
      <c r="S2701" s="237"/>
      <c r="T2701" s="237"/>
      <c r="U2701" s="237"/>
      <c r="V2701" s="237"/>
      <c r="W2701" s="237"/>
      <c r="X2701" s="237"/>
      <c r="Y2701" s="237"/>
      <c r="Z2701" s="237"/>
    </row>
    <row r="2702">
      <c r="A2702" s="305">
        <v>2701.0</v>
      </c>
      <c r="B2702" s="236"/>
      <c r="C2702" s="236"/>
      <c r="D2702" s="236"/>
      <c r="E2702" s="236"/>
      <c r="F2702" s="236"/>
      <c r="G2702" s="236"/>
      <c r="H2702" s="236"/>
      <c r="I2702" s="237"/>
      <c r="J2702" s="237"/>
      <c r="K2702" s="262"/>
      <c r="L2702" s="237"/>
      <c r="M2702" s="237"/>
      <c r="N2702" s="237"/>
      <c r="O2702" s="237"/>
      <c r="P2702" s="237"/>
      <c r="Q2702" s="237"/>
      <c r="R2702" s="237"/>
      <c r="S2702" s="237"/>
      <c r="T2702" s="237"/>
      <c r="U2702" s="237"/>
      <c r="V2702" s="237"/>
      <c r="W2702" s="237"/>
      <c r="X2702" s="237"/>
      <c r="Y2702" s="237"/>
      <c r="Z2702" s="237"/>
    </row>
    <row r="2703">
      <c r="A2703" s="305">
        <v>2702.0</v>
      </c>
      <c r="B2703" s="236"/>
      <c r="C2703" s="236"/>
      <c r="D2703" s="236"/>
      <c r="E2703" s="236"/>
      <c r="F2703" s="236"/>
      <c r="G2703" s="236"/>
      <c r="H2703" s="236"/>
      <c r="I2703" s="237"/>
      <c r="J2703" s="237"/>
      <c r="K2703" s="262"/>
      <c r="L2703" s="237"/>
      <c r="M2703" s="237"/>
      <c r="N2703" s="237"/>
      <c r="O2703" s="237"/>
      <c r="P2703" s="237"/>
      <c r="Q2703" s="237"/>
      <c r="R2703" s="237"/>
      <c r="S2703" s="237"/>
      <c r="T2703" s="237"/>
      <c r="U2703" s="237"/>
      <c r="V2703" s="237"/>
      <c r="W2703" s="237"/>
      <c r="X2703" s="237"/>
      <c r="Y2703" s="237"/>
      <c r="Z2703" s="237"/>
    </row>
    <row r="2704">
      <c r="A2704" s="305">
        <v>2703.0</v>
      </c>
      <c r="B2704" s="236"/>
      <c r="C2704" s="236"/>
      <c r="D2704" s="236"/>
      <c r="E2704" s="236"/>
      <c r="F2704" s="236"/>
      <c r="G2704" s="236"/>
      <c r="H2704" s="236"/>
      <c r="I2704" s="237"/>
      <c r="J2704" s="237"/>
      <c r="K2704" s="262"/>
      <c r="L2704" s="237"/>
      <c r="M2704" s="237"/>
      <c r="N2704" s="237"/>
      <c r="O2704" s="237"/>
      <c r="P2704" s="237"/>
      <c r="Q2704" s="237"/>
      <c r="R2704" s="237"/>
      <c r="S2704" s="237"/>
      <c r="T2704" s="237"/>
      <c r="U2704" s="237"/>
      <c r="V2704" s="237"/>
      <c r="W2704" s="237"/>
      <c r="X2704" s="237"/>
      <c r="Y2704" s="237"/>
      <c r="Z2704" s="237"/>
    </row>
    <row r="2705">
      <c r="A2705" s="305">
        <v>2704.0</v>
      </c>
      <c r="B2705" s="236"/>
      <c r="C2705" s="236"/>
      <c r="D2705" s="236"/>
      <c r="E2705" s="236"/>
      <c r="F2705" s="236"/>
      <c r="G2705" s="236"/>
      <c r="H2705" s="236"/>
      <c r="I2705" s="237"/>
      <c r="J2705" s="237"/>
      <c r="K2705" s="262"/>
      <c r="L2705" s="237"/>
      <c r="M2705" s="237"/>
      <c r="N2705" s="237"/>
      <c r="O2705" s="237"/>
      <c r="P2705" s="237"/>
      <c r="Q2705" s="237"/>
      <c r="R2705" s="237"/>
      <c r="S2705" s="237"/>
      <c r="T2705" s="237"/>
      <c r="U2705" s="237"/>
      <c r="V2705" s="237"/>
      <c r="W2705" s="237"/>
      <c r="X2705" s="237"/>
      <c r="Y2705" s="237"/>
      <c r="Z2705" s="237"/>
    </row>
    <row r="2706">
      <c r="A2706" s="305">
        <v>2705.0</v>
      </c>
      <c r="B2706" s="236"/>
      <c r="C2706" s="236"/>
      <c r="D2706" s="236"/>
      <c r="E2706" s="236"/>
      <c r="F2706" s="236"/>
      <c r="G2706" s="236"/>
      <c r="H2706" s="236"/>
      <c r="I2706" s="237"/>
      <c r="J2706" s="237"/>
      <c r="K2706" s="262"/>
      <c r="L2706" s="237"/>
      <c r="M2706" s="237"/>
      <c r="N2706" s="237"/>
      <c r="O2706" s="237"/>
      <c r="P2706" s="237"/>
      <c r="Q2706" s="237"/>
      <c r="R2706" s="237"/>
      <c r="S2706" s="237"/>
      <c r="T2706" s="237"/>
      <c r="U2706" s="237"/>
      <c r="V2706" s="237"/>
      <c r="W2706" s="237"/>
      <c r="X2706" s="237"/>
      <c r="Y2706" s="237"/>
      <c r="Z2706" s="237"/>
    </row>
    <row r="2707">
      <c r="A2707" s="305">
        <v>2706.0</v>
      </c>
      <c r="B2707" s="236"/>
      <c r="C2707" s="236"/>
      <c r="D2707" s="236"/>
      <c r="E2707" s="236"/>
      <c r="F2707" s="236"/>
      <c r="G2707" s="236"/>
      <c r="H2707" s="236"/>
      <c r="I2707" s="237"/>
      <c r="J2707" s="237"/>
      <c r="K2707" s="262"/>
      <c r="L2707" s="237"/>
      <c r="M2707" s="237"/>
      <c r="N2707" s="237"/>
      <c r="O2707" s="237"/>
      <c r="P2707" s="237"/>
      <c r="Q2707" s="237"/>
      <c r="R2707" s="237"/>
      <c r="S2707" s="237"/>
      <c r="T2707" s="237"/>
      <c r="U2707" s="237"/>
      <c r="V2707" s="237"/>
      <c r="W2707" s="237"/>
      <c r="X2707" s="237"/>
      <c r="Y2707" s="237"/>
      <c r="Z2707" s="237"/>
    </row>
    <row r="2708">
      <c r="A2708" s="305">
        <v>2707.0</v>
      </c>
      <c r="B2708" s="236"/>
      <c r="C2708" s="236"/>
      <c r="D2708" s="236"/>
      <c r="E2708" s="236"/>
      <c r="F2708" s="236"/>
      <c r="G2708" s="236"/>
      <c r="H2708" s="236"/>
      <c r="I2708" s="237"/>
      <c r="J2708" s="237"/>
      <c r="K2708" s="262"/>
      <c r="L2708" s="237"/>
      <c r="M2708" s="237"/>
      <c r="N2708" s="237"/>
      <c r="O2708" s="237"/>
      <c r="P2708" s="237"/>
      <c r="Q2708" s="237"/>
      <c r="R2708" s="237"/>
      <c r="S2708" s="237"/>
      <c r="T2708" s="237"/>
      <c r="U2708" s="237"/>
      <c r="V2708" s="237"/>
      <c r="W2708" s="237"/>
      <c r="X2708" s="237"/>
      <c r="Y2708" s="237"/>
      <c r="Z2708" s="237"/>
    </row>
    <row r="2709">
      <c r="A2709" s="305">
        <v>2708.0</v>
      </c>
      <c r="B2709" s="236"/>
      <c r="C2709" s="236"/>
      <c r="D2709" s="236"/>
      <c r="E2709" s="236"/>
      <c r="F2709" s="236"/>
      <c r="G2709" s="236"/>
      <c r="H2709" s="236"/>
      <c r="I2709" s="237"/>
      <c r="J2709" s="237"/>
      <c r="K2709" s="262"/>
      <c r="L2709" s="237"/>
      <c r="M2709" s="237"/>
      <c r="N2709" s="237"/>
      <c r="O2709" s="237"/>
      <c r="P2709" s="237"/>
      <c r="Q2709" s="237"/>
      <c r="R2709" s="237"/>
      <c r="S2709" s="237"/>
      <c r="T2709" s="237"/>
      <c r="U2709" s="237"/>
      <c r="V2709" s="237"/>
      <c r="W2709" s="237"/>
      <c r="X2709" s="237"/>
      <c r="Y2709" s="237"/>
      <c r="Z2709" s="237"/>
    </row>
    <row r="2710">
      <c r="A2710" s="305">
        <v>2709.0</v>
      </c>
      <c r="B2710" s="236"/>
      <c r="C2710" s="236"/>
      <c r="D2710" s="236"/>
      <c r="E2710" s="236"/>
      <c r="F2710" s="236"/>
      <c r="G2710" s="236"/>
      <c r="H2710" s="236"/>
      <c r="I2710" s="237"/>
      <c r="J2710" s="237"/>
      <c r="K2710" s="262"/>
      <c r="L2710" s="237"/>
      <c r="M2710" s="237"/>
      <c r="N2710" s="237"/>
      <c r="O2710" s="237"/>
      <c r="P2710" s="237"/>
      <c r="Q2710" s="237"/>
      <c r="R2710" s="237"/>
      <c r="S2710" s="237"/>
      <c r="T2710" s="237"/>
      <c r="U2710" s="237"/>
      <c r="V2710" s="237"/>
      <c r="W2710" s="237"/>
      <c r="X2710" s="237"/>
      <c r="Y2710" s="237"/>
      <c r="Z2710" s="237"/>
    </row>
    <row r="2711">
      <c r="A2711" s="305">
        <v>2710.0</v>
      </c>
      <c r="B2711" s="236"/>
      <c r="C2711" s="236"/>
      <c r="D2711" s="236"/>
      <c r="E2711" s="236"/>
      <c r="F2711" s="236"/>
      <c r="G2711" s="236"/>
      <c r="H2711" s="236"/>
      <c r="I2711" s="237"/>
      <c r="J2711" s="237"/>
      <c r="K2711" s="262"/>
      <c r="L2711" s="237"/>
      <c r="M2711" s="237"/>
      <c r="N2711" s="237"/>
      <c r="O2711" s="237"/>
      <c r="P2711" s="237"/>
      <c r="Q2711" s="237"/>
      <c r="R2711" s="237"/>
      <c r="S2711" s="237"/>
      <c r="T2711" s="237"/>
      <c r="U2711" s="237"/>
      <c r="V2711" s="237"/>
      <c r="W2711" s="237"/>
      <c r="X2711" s="237"/>
      <c r="Y2711" s="237"/>
      <c r="Z2711" s="237"/>
    </row>
    <row r="2712">
      <c r="A2712" s="305">
        <v>2711.0</v>
      </c>
      <c r="B2712" s="236"/>
      <c r="C2712" s="236"/>
      <c r="D2712" s="236"/>
      <c r="E2712" s="236"/>
      <c r="F2712" s="236"/>
      <c r="G2712" s="236"/>
      <c r="H2712" s="236"/>
      <c r="I2712" s="237"/>
      <c r="J2712" s="237"/>
      <c r="K2712" s="262"/>
      <c r="L2712" s="237"/>
      <c r="M2712" s="237"/>
      <c r="N2712" s="237"/>
      <c r="O2712" s="237"/>
      <c r="P2712" s="237"/>
      <c r="Q2712" s="237"/>
      <c r="R2712" s="237"/>
      <c r="S2712" s="237"/>
      <c r="T2712" s="237"/>
      <c r="U2712" s="237"/>
      <c r="V2712" s="237"/>
      <c r="W2712" s="237"/>
      <c r="X2712" s="237"/>
      <c r="Y2712" s="237"/>
      <c r="Z2712" s="237"/>
    </row>
    <row r="2713">
      <c r="A2713" s="305">
        <v>2712.0</v>
      </c>
      <c r="B2713" s="236"/>
      <c r="C2713" s="236"/>
      <c r="D2713" s="236"/>
      <c r="E2713" s="236"/>
      <c r="F2713" s="236"/>
      <c r="G2713" s="236"/>
      <c r="H2713" s="236"/>
      <c r="I2713" s="237"/>
      <c r="J2713" s="237"/>
      <c r="K2713" s="262"/>
      <c r="L2713" s="237"/>
      <c r="M2713" s="237"/>
      <c r="N2713" s="237"/>
      <c r="O2713" s="237"/>
      <c r="P2713" s="237"/>
      <c r="Q2713" s="237"/>
      <c r="R2713" s="237"/>
      <c r="S2713" s="237"/>
      <c r="T2713" s="237"/>
      <c r="U2713" s="237"/>
      <c r="V2713" s="237"/>
      <c r="W2713" s="237"/>
      <c r="X2713" s="237"/>
      <c r="Y2713" s="237"/>
      <c r="Z2713" s="237"/>
    </row>
    <row r="2714">
      <c r="A2714" s="305">
        <v>2713.0</v>
      </c>
      <c r="B2714" s="236"/>
      <c r="C2714" s="236"/>
      <c r="D2714" s="236"/>
      <c r="E2714" s="236"/>
      <c r="F2714" s="236"/>
      <c r="G2714" s="236"/>
      <c r="H2714" s="236"/>
      <c r="I2714" s="237"/>
      <c r="J2714" s="237"/>
      <c r="K2714" s="262"/>
      <c r="L2714" s="237"/>
      <c r="M2714" s="237"/>
      <c r="N2714" s="237"/>
      <c r="O2714" s="237"/>
      <c r="P2714" s="237"/>
      <c r="Q2714" s="237"/>
      <c r="R2714" s="237"/>
      <c r="S2714" s="237"/>
      <c r="T2714" s="237"/>
      <c r="U2714" s="237"/>
      <c r="V2714" s="237"/>
      <c r="W2714" s="237"/>
      <c r="X2714" s="237"/>
      <c r="Y2714" s="237"/>
      <c r="Z2714" s="237"/>
    </row>
    <row r="2715">
      <c r="A2715" s="305">
        <v>2714.0</v>
      </c>
      <c r="B2715" s="236"/>
      <c r="C2715" s="236"/>
      <c r="D2715" s="236"/>
      <c r="E2715" s="236"/>
      <c r="F2715" s="236"/>
      <c r="G2715" s="236"/>
      <c r="H2715" s="236"/>
      <c r="I2715" s="237"/>
      <c r="J2715" s="237"/>
      <c r="K2715" s="262"/>
      <c r="L2715" s="237"/>
      <c r="M2715" s="237"/>
      <c r="N2715" s="237"/>
      <c r="O2715" s="237"/>
      <c r="P2715" s="237"/>
      <c r="Q2715" s="237"/>
      <c r="R2715" s="237"/>
      <c r="S2715" s="237"/>
      <c r="T2715" s="237"/>
      <c r="U2715" s="237"/>
      <c r="V2715" s="237"/>
      <c r="W2715" s="237"/>
      <c r="X2715" s="237"/>
      <c r="Y2715" s="237"/>
      <c r="Z2715" s="237"/>
    </row>
    <row r="2716">
      <c r="A2716" s="305">
        <v>2715.0</v>
      </c>
      <c r="B2716" s="236"/>
      <c r="C2716" s="236"/>
      <c r="D2716" s="236"/>
      <c r="E2716" s="236"/>
      <c r="F2716" s="236"/>
      <c r="G2716" s="236"/>
      <c r="H2716" s="236"/>
      <c r="I2716" s="237"/>
      <c r="J2716" s="237"/>
      <c r="K2716" s="262"/>
      <c r="L2716" s="237"/>
      <c r="M2716" s="237"/>
      <c r="N2716" s="237"/>
      <c r="O2716" s="237"/>
      <c r="P2716" s="237"/>
      <c r="Q2716" s="237"/>
      <c r="R2716" s="237"/>
      <c r="S2716" s="237"/>
      <c r="T2716" s="237"/>
      <c r="U2716" s="237"/>
      <c r="V2716" s="237"/>
      <c r="W2716" s="237"/>
      <c r="X2716" s="237"/>
      <c r="Y2716" s="237"/>
      <c r="Z2716" s="237"/>
    </row>
    <row r="2717">
      <c r="A2717" s="305">
        <v>2716.0</v>
      </c>
      <c r="B2717" s="236"/>
      <c r="C2717" s="236"/>
      <c r="D2717" s="236"/>
      <c r="E2717" s="236"/>
      <c r="F2717" s="236"/>
      <c r="G2717" s="236"/>
      <c r="H2717" s="236"/>
      <c r="I2717" s="237"/>
      <c r="J2717" s="237"/>
      <c r="K2717" s="262"/>
      <c r="L2717" s="237"/>
      <c r="M2717" s="237"/>
      <c r="N2717" s="237"/>
      <c r="O2717" s="237"/>
      <c r="P2717" s="237"/>
      <c r="Q2717" s="237"/>
      <c r="R2717" s="237"/>
      <c r="S2717" s="237"/>
      <c r="T2717" s="237"/>
      <c r="U2717" s="237"/>
      <c r="V2717" s="237"/>
      <c r="W2717" s="237"/>
      <c r="X2717" s="237"/>
      <c r="Y2717" s="237"/>
      <c r="Z2717" s="237"/>
    </row>
  </sheetData>
  <dataValidations>
    <dataValidation type="list" allowBlank="1" showErrorMessage="1" sqref="C2:C2546 H2:H2546">
      <formula1>"تحت الاجراء,جديد,عاد لمقدم الطلب,مرفوض,مكتمل"</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72.75" customHeight="1">
      <c r="A1" s="312" t="s">
        <v>14746</v>
      </c>
    </row>
    <row r="2">
      <c r="A2" s="313" t="s">
        <v>2695</v>
      </c>
      <c r="B2" s="313" t="s">
        <v>2775</v>
      </c>
      <c r="C2" s="313" t="s">
        <v>2783</v>
      </c>
      <c r="D2" s="313" t="s">
        <v>14747</v>
      </c>
      <c r="E2" s="313" t="s">
        <v>14748</v>
      </c>
      <c r="F2" s="313" t="s">
        <v>14749</v>
      </c>
      <c r="G2" s="313" t="s">
        <v>14750</v>
      </c>
    </row>
    <row r="3">
      <c r="A3" s="313" t="s">
        <v>14751</v>
      </c>
      <c r="B3" s="314"/>
      <c r="C3" s="314"/>
      <c r="D3" s="314"/>
      <c r="E3" s="314"/>
      <c r="F3" s="314"/>
      <c r="G3" s="314"/>
    </row>
    <row r="4">
      <c r="A4" s="313" t="s">
        <v>14752</v>
      </c>
      <c r="B4" s="314"/>
      <c r="C4" s="314"/>
      <c r="D4" s="314"/>
      <c r="E4" s="314"/>
      <c r="F4" s="314"/>
      <c r="G4" s="314"/>
    </row>
    <row r="5">
      <c r="A5" s="313" t="s">
        <v>14753</v>
      </c>
      <c r="B5" s="314"/>
      <c r="C5" s="314"/>
      <c r="D5" s="314"/>
      <c r="E5" s="314"/>
      <c r="F5" s="314"/>
      <c r="G5" s="314"/>
    </row>
    <row r="6">
      <c r="A6" s="313" t="s">
        <v>14754</v>
      </c>
      <c r="B6" s="314"/>
      <c r="C6" s="314"/>
      <c r="D6" s="314"/>
      <c r="E6" s="314"/>
      <c r="F6" s="314"/>
      <c r="G6" s="314"/>
    </row>
    <row r="7">
      <c r="A7" s="313" t="s">
        <v>14755</v>
      </c>
      <c r="B7" s="314"/>
      <c r="C7" s="315" t="s">
        <v>14756</v>
      </c>
      <c r="D7" s="314"/>
      <c r="E7" s="314"/>
      <c r="F7" s="314"/>
      <c r="G7" s="314"/>
    </row>
    <row r="8">
      <c r="A8" s="313" t="s">
        <v>14757</v>
      </c>
      <c r="B8" s="314"/>
      <c r="C8" s="314"/>
      <c r="D8" s="314"/>
      <c r="E8" s="314"/>
      <c r="F8" s="314"/>
      <c r="G8" s="314"/>
    </row>
    <row r="9">
      <c r="A9" s="313" t="s">
        <v>14758</v>
      </c>
      <c r="B9" s="314"/>
      <c r="C9" s="314"/>
      <c r="D9" s="314"/>
      <c r="E9" s="314"/>
      <c r="F9" s="314"/>
      <c r="G9" s="314"/>
    </row>
    <row r="10">
      <c r="A10" s="313" t="s">
        <v>14759</v>
      </c>
      <c r="B10" s="314"/>
      <c r="C10" s="314"/>
      <c r="D10" s="314"/>
      <c r="E10" s="314"/>
      <c r="F10" s="314"/>
      <c r="G10" s="314"/>
    </row>
    <row r="11">
      <c r="A11" s="313" t="s">
        <v>14760</v>
      </c>
      <c r="B11" s="314"/>
      <c r="C11" s="314"/>
      <c r="D11" s="314"/>
      <c r="E11" s="314"/>
      <c r="F11" s="314"/>
      <c r="G11" s="314"/>
    </row>
    <row r="12">
      <c r="A12" s="313" t="s">
        <v>14761</v>
      </c>
      <c r="B12" s="314"/>
      <c r="C12" s="314"/>
      <c r="D12" s="314"/>
      <c r="E12" s="314"/>
      <c r="F12" s="314"/>
      <c r="G12" s="314"/>
    </row>
    <row r="13">
      <c r="A13" s="313" t="s">
        <v>14762</v>
      </c>
      <c r="B13" s="314"/>
      <c r="C13" s="315" t="s">
        <v>14756</v>
      </c>
      <c r="D13" s="314"/>
      <c r="E13" s="314"/>
      <c r="F13" s="314"/>
      <c r="G13" s="314"/>
    </row>
    <row r="14">
      <c r="A14" s="313" t="s">
        <v>14763</v>
      </c>
      <c r="B14" s="314"/>
      <c r="C14" s="314"/>
      <c r="D14" s="314"/>
      <c r="E14" s="313"/>
      <c r="F14" s="314"/>
      <c r="G14" s="314"/>
    </row>
    <row r="15">
      <c r="E15" s="316"/>
    </row>
  </sheetData>
  <mergeCells count="1">
    <mergeCell ref="A1:G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25"/>
    <col customWidth="1" min="2" max="2" width="24.38"/>
    <col customWidth="1" min="3" max="3" width="114.13"/>
  </cols>
  <sheetData>
    <row r="1">
      <c r="A1" s="317" t="s">
        <v>14764</v>
      </c>
      <c r="B1" s="317" t="s">
        <v>14765</v>
      </c>
      <c r="C1" s="317" t="s">
        <v>14766</v>
      </c>
    </row>
    <row r="2">
      <c r="A2" s="318" t="s">
        <v>14767</v>
      </c>
      <c r="B2" s="317" t="s">
        <v>81</v>
      </c>
      <c r="C2" s="319" t="s">
        <v>14768</v>
      </c>
      <c r="D2" s="102">
        <v>40.0</v>
      </c>
    </row>
    <row r="3">
      <c r="A3" s="291"/>
      <c r="B3" s="317" t="s">
        <v>1943</v>
      </c>
      <c r="C3" s="317"/>
    </row>
    <row r="4">
      <c r="A4" s="320" t="s">
        <v>259</v>
      </c>
      <c r="B4" s="317" t="s">
        <v>259</v>
      </c>
      <c r="C4" s="319" t="s">
        <v>14769</v>
      </c>
      <c r="D4" s="102">
        <v>30.0</v>
      </c>
    </row>
    <row r="5">
      <c r="A5" s="318" t="s">
        <v>14770</v>
      </c>
      <c r="B5" s="317" t="s">
        <v>3265</v>
      </c>
      <c r="C5" s="77"/>
    </row>
    <row r="6">
      <c r="A6" s="293"/>
      <c r="B6" s="317" t="s">
        <v>14771</v>
      </c>
      <c r="C6" s="319" t="s">
        <v>14772</v>
      </c>
      <c r="D6" s="102">
        <v>30.0</v>
      </c>
    </row>
    <row r="7">
      <c r="A7" s="291"/>
      <c r="B7" s="317" t="s">
        <v>14773</v>
      </c>
      <c r="C7" s="77"/>
    </row>
    <row r="8">
      <c r="A8" s="318" t="s">
        <v>14774</v>
      </c>
      <c r="B8" s="317" t="s">
        <v>14775</v>
      </c>
      <c r="C8" s="319" t="s">
        <v>14776</v>
      </c>
      <c r="D8" s="102">
        <v>25.0</v>
      </c>
    </row>
    <row r="9">
      <c r="A9" s="291"/>
      <c r="B9" s="317" t="s">
        <v>14777</v>
      </c>
      <c r="C9" s="77"/>
    </row>
    <row r="10">
      <c r="A10" s="318" t="s">
        <v>14778</v>
      </c>
      <c r="B10" s="317" t="s">
        <v>14779</v>
      </c>
      <c r="C10" s="77"/>
    </row>
    <row r="11">
      <c r="A11" s="293"/>
      <c r="B11" s="317" t="s">
        <v>3064</v>
      </c>
      <c r="C11" s="77"/>
    </row>
    <row r="12">
      <c r="A12" s="293"/>
      <c r="B12" s="317" t="s">
        <v>14780</v>
      </c>
      <c r="C12" s="77"/>
      <c r="D12" s="102">
        <v>20.0</v>
      </c>
    </row>
    <row r="13">
      <c r="A13" s="293"/>
      <c r="B13" s="317" t="s">
        <v>3072</v>
      </c>
      <c r="C13" s="77"/>
    </row>
    <row r="14">
      <c r="A14" s="293"/>
      <c r="B14" s="317" t="s">
        <v>14781</v>
      </c>
      <c r="C14" s="321" t="s">
        <v>14782</v>
      </c>
    </row>
    <row r="15">
      <c r="A15" s="291"/>
      <c r="B15" s="317" t="s">
        <v>2932</v>
      </c>
      <c r="C15" s="77"/>
    </row>
    <row r="16">
      <c r="A16" s="320" t="s">
        <v>14783</v>
      </c>
      <c r="B16" s="317" t="s">
        <v>14783</v>
      </c>
      <c r="C16" s="319" t="s">
        <v>14784</v>
      </c>
      <c r="D16" s="102">
        <v>25.0</v>
      </c>
    </row>
    <row r="17">
      <c r="A17" s="320" t="s">
        <v>2812</v>
      </c>
      <c r="B17" s="317" t="s">
        <v>2812</v>
      </c>
      <c r="C17" s="319" t="s">
        <v>14785</v>
      </c>
      <c r="D17" s="102">
        <v>35.0</v>
      </c>
    </row>
    <row r="18">
      <c r="A18" s="318" t="s">
        <v>26</v>
      </c>
      <c r="B18" s="317" t="s">
        <v>26</v>
      </c>
      <c r="C18" s="319" t="s">
        <v>14786</v>
      </c>
      <c r="D18" s="102">
        <v>35.0</v>
      </c>
    </row>
    <row r="19">
      <c r="A19" s="291"/>
      <c r="B19" s="317" t="s">
        <v>14787</v>
      </c>
      <c r="C19" s="77"/>
    </row>
    <row r="20">
      <c r="A20" s="320" t="s">
        <v>37</v>
      </c>
      <c r="B20" s="317" t="s">
        <v>37</v>
      </c>
      <c r="C20" s="319" t="s">
        <v>14788</v>
      </c>
      <c r="D20" s="102">
        <v>35.0</v>
      </c>
    </row>
    <row r="21">
      <c r="A21" s="318" t="s">
        <v>40</v>
      </c>
      <c r="B21" s="317" t="s">
        <v>14789</v>
      </c>
      <c r="C21" s="77"/>
    </row>
    <row r="22">
      <c r="A22" s="293"/>
      <c r="B22" s="317" t="s">
        <v>3147</v>
      </c>
      <c r="C22" s="319" t="s">
        <v>14790</v>
      </c>
      <c r="D22" s="102">
        <v>30.0</v>
      </c>
    </row>
    <row r="23">
      <c r="A23" s="293"/>
      <c r="B23" s="317" t="s">
        <v>3168</v>
      </c>
      <c r="C23" s="77"/>
    </row>
    <row r="24">
      <c r="A24" s="293"/>
      <c r="B24" s="317" t="s">
        <v>14791</v>
      </c>
      <c r="C24" s="77"/>
    </row>
    <row r="25">
      <c r="A25" s="291"/>
      <c r="B25" s="317" t="s">
        <v>1612</v>
      </c>
      <c r="C25" s="77"/>
    </row>
    <row r="26">
      <c r="A26" s="318" t="s">
        <v>105</v>
      </c>
      <c r="B26" s="317" t="s">
        <v>14792</v>
      </c>
      <c r="C26" s="77"/>
    </row>
    <row r="27">
      <c r="A27" s="293"/>
      <c r="B27" s="317" t="s">
        <v>14793</v>
      </c>
      <c r="C27" s="319" t="s">
        <v>14794</v>
      </c>
      <c r="D27" s="102">
        <v>35.0</v>
      </c>
    </row>
    <row r="28">
      <c r="A28" s="291"/>
      <c r="B28" s="317" t="s">
        <v>3149</v>
      </c>
      <c r="C28" s="77"/>
    </row>
    <row r="29">
      <c r="A29" s="320" t="s">
        <v>14795</v>
      </c>
      <c r="B29" s="317" t="s">
        <v>14795</v>
      </c>
      <c r="C29" s="319" t="s">
        <v>14796</v>
      </c>
      <c r="D29" s="102">
        <v>15.0</v>
      </c>
    </row>
    <row r="30">
      <c r="A30" s="318" t="s">
        <v>14797</v>
      </c>
      <c r="B30" s="317" t="s">
        <v>3260</v>
      </c>
      <c r="C30" s="77"/>
    </row>
    <row r="31">
      <c r="A31" s="293"/>
      <c r="B31" s="317" t="s">
        <v>14798</v>
      </c>
      <c r="C31" s="319" t="s">
        <v>14799</v>
      </c>
      <c r="D31" s="102">
        <v>25.0</v>
      </c>
    </row>
    <row r="32">
      <c r="A32" s="291"/>
      <c r="B32" s="317" t="s">
        <v>2958</v>
      </c>
      <c r="C32" s="77"/>
    </row>
    <row r="33">
      <c r="A33" s="318" t="s">
        <v>14800</v>
      </c>
      <c r="B33" s="317" t="s">
        <v>14801</v>
      </c>
      <c r="C33" s="319" t="s">
        <v>14802</v>
      </c>
      <c r="D33" s="102">
        <v>20.0</v>
      </c>
    </row>
    <row r="34">
      <c r="A34" s="291"/>
      <c r="B34" s="317" t="s">
        <v>143</v>
      </c>
      <c r="C34" s="77"/>
    </row>
    <row r="35">
      <c r="A35" s="320" t="s">
        <v>14803</v>
      </c>
      <c r="B35" s="317" t="s">
        <v>14804</v>
      </c>
      <c r="C35" s="319" t="s">
        <v>14805</v>
      </c>
    </row>
    <row r="36">
      <c r="A36" s="320" t="s">
        <v>59</v>
      </c>
      <c r="B36" s="317" t="s">
        <v>59</v>
      </c>
      <c r="C36" s="319" t="s">
        <v>14806</v>
      </c>
      <c r="D36" s="102">
        <v>25.0</v>
      </c>
    </row>
    <row r="37">
      <c r="A37" s="318" t="s">
        <v>14807</v>
      </c>
      <c r="B37" s="317" t="s">
        <v>14808</v>
      </c>
      <c r="C37" s="319" t="s">
        <v>14809</v>
      </c>
      <c r="D37" s="102">
        <v>25.0</v>
      </c>
    </row>
    <row r="38">
      <c r="A38" s="291"/>
      <c r="B38" s="317" t="s">
        <v>14810</v>
      </c>
      <c r="C38" s="77"/>
    </row>
    <row r="39">
      <c r="A39" s="320" t="s">
        <v>100</v>
      </c>
      <c r="B39" s="317" t="s">
        <v>100</v>
      </c>
      <c r="C39" s="319" t="s">
        <v>14811</v>
      </c>
      <c r="D39" s="102">
        <v>25.0</v>
      </c>
    </row>
    <row r="40">
      <c r="A40" s="318" t="s">
        <v>14812</v>
      </c>
      <c r="B40" s="317" t="s">
        <v>14813</v>
      </c>
      <c r="C40" s="77"/>
    </row>
    <row r="41">
      <c r="A41" s="291"/>
      <c r="B41" s="317" t="s">
        <v>14814</v>
      </c>
      <c r="C41" s="319" t="s">
        <v>14815</v>
      </c>
      <c r="D41" s="102">
        <v>25.0</v>
      </c>
    </row>
    <row r="42">
      <c r="A42" s="320" t="s">
        <v>169</v>
      </c>
      <c r="B42" s="317" t="s">
        <v>169</v>
      </c>
      <c r="C42" s="319" t="s">
        <v>14816</v>
      </c>
      <c r="D42" s="102">
        <v>25.0</v>
      </c>
    </row>
    <row r="43">
      <c r="A43" s="320" t="s">
        <v>14817</v>
      </c>
      <c r="B43" s="317" t="s">
        <v>14817</v>
      </c>
      <c r="C43" s="319" t="s">
        <v>14818</v>
      </c>
      <c r="D43" s="102">
        <v>15.0</v>
      </c>
    </row>
  </sheetData>
  <mergeCells count="11">
    <mergeCell ref="A30:A32"/>
    <mergeCell ref="A33:A34"/>
    <mergeCell ref="A37:A38"/>
    <mergeCell ref="A40:A41"/>
    <mergeCell ref="A2:A3"/>
    <mergeCell ref="A5:A7"/>
    <mergeCell ref="A8:A9"/>
    <mergeCell ref="A10:A15"/>
    <mergeCell ref="A18:A19"/>
    <mergeCell ref="A21:A25"/>
    <mergeCell ref="A26:A28"/>
  </mergeCells>
  <hyperlinks>
    <hyperlink r:id="rId1" ref="C2"/>
    <hyperlink r:id="rId2" ref="C4"/>
    <hyperlink r:id="rId3" ref="C6"/>
    <hyperlink r:id="rId4" ref="C8"/>
    <hyperlink r:id="rId5" ref="C14"/>
    <hyperlink r:id="rId6" ref="C16"/>
    <hyperlink r:id="rId7" ref="C17"/>
    <hyperlink r:id="rId8" ref="C18"/>
    <hyperlink r:id="rId9" ref="C20"/>
    <hyperlink r:id="rId10" ref="C22"/>
    <hyperlink r:id="rId11" ref="C27"/>
    <hyperlink r:id="rId12" ref="C29"/>
    <hyperlink r:id="rId13" ref="C31"/>
    <hyperlink r:id="rId14" ref="C33"/>
    <hyperlink r:id="rId15" ref="C35"/>
    <hyperlink r:id="rId16" ref="C36"/>
    <hyperlink r:id="rId17" ref="C37"/>
    <hyperlink r:id="rId18" ref="C39"/>
    <hyperlink r:id="rId19" ref="C41"/>
    <hyperlink r:id="rId20" ref="C42"/>
    <hyperlink r:id="rId21" ref="C43"/>
  </hyperlinks>
  <drawing r:id="rId22"/>
</worksheet>
</file>